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omments8.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omments9.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4.xml" ContentType="application/vnd.openxmlformats-officedocument.drawing+xml"/>
  <Override PartName="/xl/charts/chart29.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E:\COMPUTER\6.VARIE PER LA PROFESSIONE\PROGRAMMI UTILI\MURO DI SOSTEGNO\"/>
    </mc:Choice>
  </mc:AlternateContent>
  <workbookProtection workbookAlgorithmName="SHA-512" workbookHashValue="tXnJW/NnTsx5aWvWnF66/b6TjpXmsgBqRSpQiXaRGAKtkGh4HZ25BtXUZpWiRNnLhBh8poSgljtvv1mLYs21mg==" workbookSaltValue="N3Ehu8cYxd1c8mE/XiM1hQ==" workbookSpinCount="100000" revisionsAlgorithmName="SHA-512" revisionsHashValue="YWa9YBrYwmUAScU2JIIC4ZQdJbEAbXwE8zJQkZBjVH7SVwRwmVGzeab97YcJjx+GtKiyM3PyPW2pO2AK2Jbvug==" revisionsSaltValue="nUJahjOpWeaLUiFMVPigZQ==" revisionsSpinCount="100000" lockStructure="1" lockRevision="1"/>
  <bookViews>
    <workbookView xWindow="0" yWindow="0" windowWidth="20490" windowHeight="7620" tabRatio="889"/>
  </bookViews>
  <sheets>
    <sheet name="ISTRUZIONI" sheetId="1" r:id="rId1"/>
    <sheet name="DATI" sheetId="2" r:id="rId2"/>
    <sheet name="ANALISI DELLE SPINTE" sheetId="3" r:id="rId3"/>
    <sheet name="VER. EQU COND. NON DRENATE" sheetId="4" r:id="rId4"/>
    <sheet name="VER. EQU COND. DRENATE" sheetId="5" r:id="rId5"/>
    <sheet name="VER. GEO CONDIZIONI NON DRENATE" sheetId="6" r:id="rId6"/>
    <sheet name="VER. GEO CONDIZIONI DRENATE" sheetId="7" r:id="rId7"/>
    <sheet name="geom masse muro+tensioni" sheetId="8" state="hidden" r:id="rId8"/>
    <sheet name="Progetto del paramento slu" sheetId="9" r:id="rId9"/>
    <sheet name="Foglio deposito bis" sheetId="10" state="hidden" r:id="rId10"/>
    <sheet name="FOGLIO DEPOSITO" sheetId="11" state="hidden" r:id="rId11"/>
    <sheet name="SOLLECITAZ NASCOSTO" sheetId="12" state="hidden" r:id="rId12"/>
    <sheet name="sezione" sheetId="13" state="hidden" r:id="rId13"/>
    <sheet name="Progetto della zattera slu" sheetId="14" r:id="rId14"/>
    <sheet name="SPETTRO DI PROGETTO ORIZZONTALE" sheetId="15" r:id="rId15"/>
    <sheet name="Formule coefficienti correttivi" sheetId="16" r:id="rId16"/>
    <sheet name="tabelle NTC 18" sheetId="17" r:id="rId17"/>
  </sheets>
  <externalReferences>
    <externalReference r:id="rId18"/>
  </externalReferences>
  <definedNames>
    <definedName name="app">'FOGLIO DEPOSITO'!$I$66:$I$68</definedName>
    <definedName name="class">'FOGLIO DEPOSITO'!$G$197:$G$207</definedName>
    <definedName name="COMBO">'FOGLIO DEPOSITO'!$I$66:$I$69</definedName>
    <definedName name="dis">sezione!$AC$2:$AC$3</definedName>
    <definedName name="dr">'FOGLIO DEPOSITO'!$B$26:$B$27</definedName>
    <definedName name="fer">'FOGLIO DEPOSITO'!$J$197:$J$198</definedName>
    <definedName name="fond">'FOGLIO DEPOSITO'!$H$174:$J$175</definedName>
    <definedName name="fonda">'FOGLIO DEPOSITO'!$H$174:$H$175</definedName>
    <definedName name="graf1">'FOGLIO DEPOSITO'!$AD$164:$AD$165</definedName>
    <definedName name="graf2">'FOGLIO DEPOSITO'!$AD$167:$AD$168</definedName>
    <definedName name="graf3">'FOGLIO DEPOSITO'!$AD$170:$AD$171</definedName>
    <definedName name="graf4">'FOGLIO DEPOSITO'!$AD$173:$AD$174</definedName>
    <definedName name="mey">'FOGLIO DEPOSITO'!$F$26:$F$28</definedName>
    <definedName name="mur">'FOGLIO DEPOSITO'!$B$14:$B$16</definedName>
    <definedName name="NUMCOST">'geom masse muro+tensioni'!$M$43:$M$47</definedName>
    <definedName name="PASDEN">'FOGLIO DEPOSITO'!$U$2:$U$22</definedName>
    <definedName name="perm">'FOGLIO DEPOSITO'!$T$179:$T$180</definedName>
    <definedName name="posdent">'FOGLIO DEPOSITO'!$U$1:$U$22</definedName>
    <definedName name="posza">'FOGLIO DEPOSITO'!$C$205:$C$207</definedName>
    <definedName name="pr">'FOGLIO DEPOSITO'!$H$165:$H$166</definedName>
    <definedName name="RAN">'FOGLIO DEPOSITO'!$K$178:$K$180</definedName>
    <definedName name="RANK">'FOGLIO DEPOSITO'!$K$178:$L$180</definedName>
    <definedName name="sd">'geom masse muro+tensioni'!$L$87:$L$88</definedName>
    <definedName name="sec">'FOGLIO DEPOSITO'!$H$168:$H$169</definedName>
    <definedName name="SISM">'FOGLIO DEPOSITO'!$I$72:$I$73</definedName>
    <definedName name="sn">'FOGLIO DEPOSITO'!$I$26:$I$27</definedName>
    <definedName name="snn">'[1]FOGLIO DEPOSITO'!$I$16:$I$17</definedName>
    <definedName name="speg">'FOGLIO DEPOSITO'!$AD$164:$AD$170</definedName>
    <definedName name="spegn">'FOGLIO DEPOSITO'!$AD$165:$AD$170</definedName>
    <definedName name="spin">'FOGLIO DEPOSITO'!$N$178:$N$182</definedName>
    <definedName name="spint">'FOGLIO DEPOSITO'!$N$178:$N$184</definedName>
    <definedName name="ss">'FOGLIO DEPOSITO'!$R$197:$R$201</definedName>
    <definedName name="st">'FOGLIO DEPOSITO'!$R$2:$R$152</definedName>
    <definedName name="str">'FOGLIO DEPOSITO'!$Q$2:$Q$152</definedName>
    <definedName name="ter">'FOGLIO DEPOSITO'!$H$171:$H$172</definedName>
    <definedName name="terrr">'FOGLIO DEPOSITO'!$B$275:$B$286</definedName>
    <definedName name="terrrr">'FOGLIO DEPOSITO'!$B$275:$B$286</definedName>
    <definedName name="tfit">'SOLLECITAZ NASCOSTO'!$AN$23:$AN$43</definedName>
    <definedName name="tip">'FOGLIO DEPOSITO'!$F$26:$G$28</definedName>
    <definedName name="TOP">'FOGLIO DEPOSITO'!$S$197:$S$200</definedName>
  </definedNames>
  <calcPr calcId="162913"/>
  <customWorkbookViews>
    <customWorkbookView name="Davide Cicchini - Visualizzazione personale" guid="{5E8F20A8-8220-4169-B947-2AB764A2AA7B}" mergeInterval="0" personalView="1" maximized="1" xWindow="-8" yWindow="-8" windowWidth="1382" windowHeight="744" tabRatio="889" activeSheetId="1"/>
    <customWorkbookView name="Elisa - Visualizzazione personale" guid="{9F540994-A66B-4083-BD64-035E71878618}" mergeInterval="0" personalView="1" windowWidth="1410" windowHeight="1040" tabRatio="889" activeSheetId="17"/>
  </customWorkbookViews>
</workbook>
</file>

<file path=xl/calcChain.xml><?xml version="1.0" encoding="utf-8"?>
<calcChain xmlns="http://schemas.openxmlformats.org/spreadsheetml/2006/main">
  <c r="Y86" i="12" l="1"/>
  <c r="C68" i="14"/>
  <c r="D167" i="11" l="1"/>
  <c r="C167" i="11"/>
  <c r="E167" i="11" s="1"/>
  <c r="E169" i="11" s="1"/>
  <c r="G68" i="11" l="1"/>
  <c r="E272" i="2"/>
  <c r="D120" i="5" l="1"/>
  <c r="D120" i="4"/>
  <c r="E259" i="2" l="1"/>
  <c r="G253" i="11" l="1"/>
  <c r="G254" i="11"/>
  <c r="E248" i="2" l="1"/>
  <c r="E275" i="11"/>
  <c r="H275" i="11" s="1"/>
  <c r="E276" i="11"/>
  <c r="H276" i="11" s="1"/>
  <c r="E277" i="11"/>
  <c r="H277" i="11" s="1"/>
  <c r="E278" i="11"/>
  <c r="H278" i="11" s="1"/>
  <c r="E279" i="11"/>
  <c r="H279" i="11" s="1"/>
  <c r="E280" i="11"/>
  <c r="H280" i="11"/>
  <c r="E281" i="11"/>
  <c r="G281" i="11" s="1"/>
  <c r="E282" i="11"/>
  <c r="G282" i="11" s="1"/>
  <c r="E283" i="11"/>
  <c r="H283" i="11" s="1"/>
  <c r="G283" i="11"/>
  <c r="E284" i="11"/>
  <c r="G284" i="11"/>
  <c r="E245" i="2" s="1"/>
  <c r="H284" i="11"/>
  <c r="E285" i="11"/>
  <c r="G285" i="11" s="1"/>
  <c r="E286" i="11"/>
  <c r="G286" i="11" s="1"/>
  <c r="E246" i="2" l="1"/>
  <c r="D105" i="7" s="1"/>
  <c r="H285" i="11"/>
  <c r="E247" i="2" s="1"/>
  <c r="E249" i="2" s="1"/>
  <c r="H281" i="11"/>
  <c r="H286" i="11"/>
  <c r="H282" i="11"/>
  <c r="C262" i="10" l="1"/>
  <c r="G262" i="10" s="1"/>
  <c r="C277" i="10"/>
  <c r="G277" i="10" s="1"/>
  <c r="G232" i="10"/>
  <c r="B201" i="10"/>
  <c r="B202" i="10" s="1"/>
  <c r="B203" i="10" s="1"/>
  <c r="B204" i="10" s="1"/>
  <c r="B205" i="10" s="1"/>
  <c r="B206" i="10" s="1"/>
  <c r="B207" i="10" s="1"/>
  <c r="B208" i="10" s="1"/>
  <c r="B209" i="10" s="1"/>
  <c r="B210" i="10" s="1"/>
  <c r="H188" i="10"/>
  <c r="H183" i="10"/>
  <c r="I163" i="10"/>
  <c r="G163" i="10"/>
  <c r="I162" i="10"/>
  <c r="G162" i="10"/>
  <c r="I161" i="10"/>
  <c r="G161" i="10"/>
  <c r="I160" i="10"/>
  <c r="G160" i="10"/>
  <c r="I159" i="10"/>
  <c r="G159" i="10"/>
  <c r="I158" i="10"/>
  <c r="G158" i="10"/>
  <c r="I157" i="10"/>
  <c r="G157" i="10"/>
  <c r="I156" i="10"/>
  <c r="G156" i="10"/>
  <c r="I155" i="10"/>
  <c r="G155" i="10"/>
  <c r="I154" i="10"/>
  <c r="G154" i="10"/>
  <c r="B154" i="10"/>
  <c r="B155" i="10" s="1"/>
  <c r="B156" i="10" s="1"/>
  <c r="B157" i="10" s="1"/>
  <c r="B158" i="10" s="1"/>
  <c r="B159" i="10" s="1"/>
  <c r="B160" i="10" s="1"/>
  <c r="B161" i="10" s="1"/>
  <c r="B162" i="10" s="1"/>
  <c r="B163" i="10" s="1"/>
  <c r="I153" i="10"/>
  <c r="G153" i="10"/>
  <c r="H143" i="10"/>
  <c r="F143" i="10"/>
  <c r="H142" i="10"/>
  <c r="F142" i="10"/>
  <c r="H141" i="10"/>
  <c r="F141" i="10"/>
  <c r="H140" i="10"/>
  <c r="F140" i="10"/>
  <c r="H139" i="10"/>
  <c r="F139" i="10"/>
  <c r="H138" i="10"/>
  <c r="F138" i="10"/>
  <c r="H137" i="10"/>
  <c r="F137" i="10"/>
  <c r="H136" i="10"/>
  <c r="F136" i="10"/>
  <c r="H135" i="10"/>
  <c r="F135" i="10"/>
  <c r="H134" i="10"/>
  <c r="F134" i="10"/>
  <c r="B134" i="10"/>
  <c r="B135" i="10" s="1"/>
  <c r="B136" i="10" s="1"/>
  <c r="B137" i="10" s="1"/>
  <c r="B138" i="10" s="1"/>
  <c r="B139" i="10" s="1"/>
  <c r="B140" i="10" s="1"/>
  <c r="B141" i="10" s="1"/>
  <c r="B142" i="10" s="1"/>
  <c r="B143" i="10" s="1"/>
  <c r="H133" i="10"/>
  <c r="F133" i="10"/>
  <c r="B101" i="10"/>
  <c r="B102" i="10" s="1"/>
  <c r="B103" i="10" s="1"/>
  <c r="B104" i="10" s="1"/>
  <c r="B105" i="10" s="1"/>
  <c r="B106" i="10" s="1"/>
  <c r="B107" i="10" s="1"/>
  <c r="B108" i="10" s="1"/>
  <c r="B109" i="10" s="1"/>
  <c r="B110" i="10" s="1"/>
  <c r="F92" i="10"/>
  <c r="E92" i="10"/>
  <c r="B92" i="10"/>
  <c r="F91" i="10"/>
  <c r="E91" i="10"/>
  <c r="B91" i="10"/>
  <c r="F90" i="10"/>
  <c r="E90" i="10"/>
  <c r="B90" i="10"/>
  <c r="F89" i="10"/>
  <c r="E89" i="10"/>
  <c r="B89" i="10"/>
  <c r="F88" i="10"/>
  <c r="E88" i="10"/>
  <c r="B88" i="10"/>
  <c r="F82" i="10"/>
  <c r="E82" i="10"/>
  <c r="B82" i="10"/>
  <c r="F81" i="10"/>
  <c r="E81" i="10"/>
  <c r="B81" i="10"/>
  <c r="F80" i="10"/>
  <c r="E80" i="10"/>
  <c r="B80" i="10"/>
  <c r="F79" i="10"/>
  <c r="E79" i="10"/>
  <c r="B79" i="10"/>
  <c r="F78" i="10"/>
  <c r="E78" i="10"/>
  <c r="B78" i="10"/>
  <c r="F72" i="10"/>
  <c r="E72" i="10"/>
  <c r="B72" i="10"/>
  <c r="F71" i="10"/>
  <c r="E71" i="10"/>
  <c r="B71" i="10"/>
  <c r="F70" i="10"/>
  <c r="E70" i="10"/>
  <c r="B70" i="10"/>
  <c r="F69" i="10"/>
  <c r="E69" i="10"/>
  <c r="B69" i="10"/>
  <c r="F68" i="10"/>
  <c r="E68" i="10"/>
  <c r="B68" i="10"/>
  <c r="F62" i="10"/>
  <c r="E62" i="10"/>
  <c r="B62" i="10"/>
  <c r="F61" i="10"/>
  <c r="E61" i="10"/>
  <c r="B61" i="10"/>
  <c r="F60" i="10"/>
  <c r="E60" i="10"/>
  <c r="B60" i="10"/>
  <c r="F59" i="10"/>
  <c r="E59" i="10"/>
  <c r="B59" i="10"/>
  <c r="F58" i="10"/>
  <c r="E58" i="10"/>
  <c r="B58" i="10"/>
  <c r="F52" i="10"/>
  <c r="E52" i="10"/>
  <c r="B52" i="10"/>
  <c r="F51" i="10"/>
  <c r="E51" i="10"/>
  <c r="B51" i="10"/>
  <c r="F50" i="10"/>
  <c r="E50" i="10"/>
  <c r="B50" i="10"/>
  <c r="F49" i="10"/>
  <c r="E49" i="10"/>
  <c r="B49" i="10"/>
  <c r="F48" i="10"/>
  <c r="C232" i="10" s="1"/>
  <c r="E48" i="10"/>
  <c r="B48" i="10"/>
  <c r="I35" i="10"/>
  <c r="I34" i="10"/>
  <c r="J33" i="10"/>
  <c r="I32" i="10"/>
  <c r="I30" i="10"/>
  <c r="I24" i="10"/>
  <c r="I23" i="10"/>
  <c r="J34" i="10" s="1"/>
  <c r="J22" i="10"/>
  <c r="I21" i="10"/>
  <c r="I16" i="10"/>
  <c r="J30" i="10" s="1"/>
  <c r="D232" i="10" l="1"/>
  <c r="J23" i="10"/>
  <c r="J16" i="10"/>
  <c r="J24" i="10"/>
  <c r="J35" i="10"/>
  <c r="J21" i="10"/>
  <c r="J32" i="10"/>
  <c r="Z35" i="13"/>
  <c r="B2486" i="13" l="1"/>
  <c r="B2487" i="13" s="1"/>
  <c r="B2488" i="13" s="1"/>
  <c r="B2489" i="13" s="1"/>
  <c r="B2490" i="13" s="1"/>
  <c r="B2491" i="13" s="1"/>
  <c r="B2492" i="13" s="1"/>
  <c r="B2493" i="13" s="1"/>
  <c r="B2494" i="13" s="1"/>
  <c r="B2495" i="13" s="1"/>
  <c r="B2496" i="13" s="1"/>
  <c r="B2497" i="13" s="1"/>
  <c r="B2498" i="13" s="1"/>
  <c r="B2499" i="13" s="1"/>
  <c r="B2500" i="13" s="1"/>
  <c r="B2501" i="13" s="1"/>
  <c r="B2502" i="13" s="1"/>
  <c r="B2503" i="13" s="1"/>
  <c r="B2504" i="13" s="1"/>
  <c r="B2505" i="13" s="1"/>
  <c r="B2506" i="13" s="1"/>
  <c r="B2507" i="13" s="1"/>
  <c r="B2508" i="13" s="1"/>
  <c r="B2509" i="13" s="1"/>
  <c r="B2510" i="13" s="1"/>
  <c r="B2511" i="13" s="1"/>
  <c r="B2512" i="13" s="1"/>
  <c r="B2513" i="13" s="1"/>
  <c r="B2514" i="13" s="1"/>
  <c r="B2515" i="13" s="1"/>
  <c r="B2516" i="13" s="1"/>
  <c r="B2517" i="13" s="1"/>
  <c r="B2518" i="13" s="1"/>
  <c r="B2519" i="13" s="1"/>
  <c r="B2520" i="13" s="1"/>
  <c r="B2521" i="13" s="1"/>
  <c r="B2522" i="13" s="1"/>
  <c r="B2523" i="13" s="1"/>
  <c r="B2524" i="13" s="1"/>
  <c r="B2525" i="13" s="1"/>
  <c r="B2526" i="13" s="1"/>
  <c r="B2527" i="13" s="1"/>
  <c r="B2528" i="13" s="1"/>
  <c r="B2529" i="13" s="1"/>
  <c r="B2530" i="13" s="1"/>
  <c r="B2531" i="13" s="1"/>
  <c r="B2532" i="13" s="1"/>
  <c r="B2533" i="13" s="1"/>
  <c r="B2534" i="13" s="1"/>
  <c r="B2535" i="13" s="1"/>
  <c r="B2536" i="13" s="1"/>
  <c r="B2537" i="13" s="1"/>
  <c r="B2538" i="13" s="1"/>
  <c r="B2539" i="13" s="1"/>
  <c r="B2540" i="13" s="1"/>
  <c r="B2541" i="13" s="1"/>
  <c r="B2542" i="13" s="1"/>
  <c r="B2543" i="13" s="1"/>
  <c r="B2544" i="13" s="1"/>
  <c r="B2545" i="13" s="1"/>
  <c r="B2546" i="13" s="1"/>
  <c r="B2547" i="13" s="1"/>
  <c r="B2548" i="13" s="1"/>
  <c r="B2549" i="13" s="1"/>
  <c r="B2550" i="13" s="1"/>
  <c r="B2551" i="13" s="1"/>
  <c r="B2552" i="13" s="1"/>
  <c r="B2553" i="13" s="1"/>
  <c r="B2554" i="13" s="1"/>
  <c r="B2555" i="13" s="1"/>
  <c r="B2556" i="13" s="1"/>
  <c r="B2557" i="13" s="1"/>
  <c r="B2558" i="13" s="1"/>
  <c r="B2559" i="13" s="1"/>
  <c r="B2560" i="13" s="1"/>
  <c r="B2561" i="13" s="1"/>
  <c r="B2562" i="13" s="1"/>
  <c r="B2563" i="13" s="1"/>
  <c r="B2564" i="13" s="1"/>
  <c r="B2565" i="13" s="1"/>
  <c r="B2566" i="13" s="1"/>
  <c r="B2567" i="13" s="1"/>
  <c r="B2568" i="13" s="1"/>
  <c r="B2569" i="13" s="1"/>
  <c r="B2570" i="13" s="1"/>
  <c r="B2571" i="13" s="1"/>
  <c r="B2572" i="13" s="1"/>
  <c r="B2573" i="13" s="1"/>
  <c r="B2574" i="13" s="1"/>
  <c r="B2575" i="13" s="1"/>
  <c r="B2576" i="13" s="1"/>
  <c r="B2577" i="13" s="1"/>
  <c r="B2578" i="13" s="1"/>
  <c r="B2579" i="13" s="1"/>
  <c r="B2580" i="13" s="1"/>
  <c r="B2581" i="13" s="1"/>
  <c r="B2582" i="13" s="1"/>
  <c r="B2583" i="13" s="1"/>
  <c r="B2584" i="13" s="1"/>
  <c r="B2585" i="13" s="1"/>
  <c r="B2586" i="13" s="1"/>
  <c r="B2587" i="13" s="1"/>
  <c r="B2588" i="13" s="1"/>
  <c r="B2589" i="13" s="1"/>
  <c r="B2590" i="13" s="1"/>
  <c r="B2591" i="13" s="1"/>
  <c r="B2592" i="13" s="1"/>
  <c r="B2593" i="13" s="1"/>
  <c r="B2594" i="13" s="1"/>
  <c r="B2595" i="13" s="1"/>
  <c r="B2596" i="13" s="1"/>
  <c r="B2597" i="13" s="1"/>
  <c r="B2598" i="13" s="1"/>
  <c r="B2599" i="13" s="1"/>
  <c r="B2600" i="13" s="1"/>
  <c r="B2601" i="13" s="1"/>
  <c r="B2602" i="13" s="1"/>
  <c r="B2603" i="13" s="1"/>
  <c r="B2604" i="13" s="1"/>
  <c r="B2605" i="13" s="1"/>
  <c r="B2606" i="13" s="1"/>
  <c r="B2607" i="13" s="1"/>
  <c r="B2608" i="13" s="1"/>
  <c r="B2609" i="13" s="1"/>
  <c r="B2610" i="13" s="1"/>
  <c r="B2611" i="13" s="1"/>
  <c r="B2612" i="13" s="1"/>
  <c r="B2613" i="13" s="1"/>
  <c r="B2614" i="13" s="1"/>
  <c r="B2615" i="13" s="1"/>
  <c r="B2616" i="13" s="1"/>
  <c r="B2617" i="13" s="1"/>
  <c r="B2618" i="13" s="1"/>
  <c r="B2619" i="13" s="1"/>
  <c r="B2620" i="13" s="1"/>
  <c r="B2621" i="13" s="1"/>
  <c r="B2622" i="13" s="1"/>
  <c r="B2623" i="13" s="1"/>
  <c r="B2624" i="13" s="1"/>
  <c r="B2625" i="13" s="1"/>
  <c r="B2626" i="13" s="1"/>
  <c r="B2627" i="13" s="1"/>
  <c r="B2628" i="13" s="1"/>
  <c r="B2629" i="13" s="1"/>
  <c r="B2630" i="13" s="1"/>
  <c r="B2631" i="13" s="1"/>
  <c r="B2632" i="13" s="1"/>
  <c r="B2633" i="13" s="1"/>
  <c r="B2634" i="13" s="1"/>
  <c r="B2635" i="13" s="1"/>
  <c r="B2636" i="13" s="1"/>
  <c r="B2637" i="13" s="1"/>
  <c r="B2638" i="13" s="1"/>
  <c r="B2639" i="13" s="1"/>
  <c r="B2640" i="13" s="1"/>
  <c r="B2641" i="13" s="1"/>
  <c r="B2642" i="13" s="1"/>
  <c r="B2643" i="13" s="1"/>
  <c r="B2644" i="13" s="1"/>
  <c r="B2645" i="13" s="1"/>
  <c r="B2646" i="13" s="1"/>
  <c r="B2647" i="13" s="1"/>
  <c r="B2648" i="13" s="1"/>
  <c r="B2649" i="13" s="1"/>
  <c r="B2650" i="13" s="1"/>
  <c r="B2651" i="13" s="1"/>
  <c r="B2652" i="13" s="1"/>
  <c r="B2653" i="13" s="1"/>
  <c r="B2654" i="13" s="1"/>
  <c r="B2655" i="13" s="1"/>
  <c r="B2656" i="13" s="1"/>
  <c r="B2657" i="13" s="1"/>
  <c r="B2658" i="13" s="1"/>
  <c r="B2659" i="13" s="1"/>
  <c r="B2660" i="13" s="1"/>
  <c r="B2661" i="13" s="1"/>
  <c r="B2662" i="13" s="1"/>
  <c r="B2663" i="13" s="1"/>
  <c r="B2664" i="13" s="1"/>
  <c r="B2665" i="13" s="1"/>
  <c r="B2666" i="13" s="1"/>
  <c r="B2667" i="13" s="1"/>
  <c r="B2668" i="13" s="1"/>
  <c r="B2669" i="13" s="1"/>
  <c r="B2670" i="13" s="1"/>
  <c r="B2671" i="13" s="1"/>
  <c r="B2672" i="13" s="1"/>
  <c r="B2673" i="13" s="1"/>
  <c r="B2674" i="13" s="1"/>
  <c r="B2675" i="13" s="1"/>
  <c r="B2676" i="13" s="1"/>
  <c r="B2677" i="13" s="1"/>
  <c r="B2678" i="13" s="1"/>
  <c r="B2679" i="13" s="1"/>
  <c r="B2680" i="13" s="1"/>
  <c r="B2681" i="13" s="1"/>
  <c r="B2682" i="13" s="1"/>
  <c r="B2683" i="13" s="1"/>
  <c r="B2684" i="13" s="1"/>
  <c r="B2685" i="13" s="1"/>
  <c r="B2686" i="13" s="1"/>
  <c r="B2687" i="13" s="1"/>
  <c r="B2688" i="13" s="1"/>
  <c r="B2689" i="13" s="1"/>
  <c r="B2690" i="13" s="1"/>
  <c r="B2691" i="13" s="1"/>
  <c r="B2692" i="13" s="1"/>
  <c r="B2693" i="13" s="1"/>
  <c r="B2694" i="13" s="1"/>
  <c r="B2695" i="13" s="1"/>
  <c r="B2696" i="13" s="1"/>
  <c r="B2697" i="13" s="1"/>
  <c r="B2698" i="13" s="1"/>
  <c r="B2699" i="13" s="1"/>
  <c r="B2700" i="13" s="1"/>
  <c r="B2701" i="13" s="1"/>
  <c r="B2702" i="13" s="1"/>
  <c r="B2703" i="13" s="1"/>
  <c r="B2704" i="13" s="1"/>
  <c r="B2705" i="13" s="1"/>
  <c r="B2706" i="13" s="1"/>
  <c r="B2707" i="13" s="1"/>
  <c r="B2708" i="13" s="1"/>
  <c r="B2709" i="13" s="1"/>
  <c r="B2710" i="13" s="1"/>
  <c r="B2711" i="13" s="1"/>
  <c r="B2712" i="13" s="1"/>
  <c r="B2713" i="13" s="1"/>
  <c r="B2714" i="13" s="1"/>
  <c r="B2715" i="13" s="1"/>
  <c r="B2716" i="13" s="1"/>
  <c r="B2717" i="13" s="1"/>
  <c r="B2718" i="13" s="1"/>
  <c r="B2719" i="13" s="1"/>
  <c r="B2720" i="13" s="1"/>
  <c r="B2721" i="13" s="1"/>
  <c r="B2722" i="13" s="1"/>
  <c r="B2723" i="13" s="1"/>
  <c r="B2724" i="13" s="1"/>
  <c r="B2725" i="13" s="1"/>
  <c r="B2726" i="13" s="1"/>
  <c r="B2727" i="13" s="1"/>
  <c r="B2238" i="13"/>
  <c r="B2239" i="13" s="1"/>
  <c r="B2240" i="13" s="1"/>
  <c r="B2241" i="13" s="1"/>
  <c r="B2242" i="13" s="1"/>
  <c r="B2243" i="13" s="1"/>
  <c r="B2244" i="13" s="1"/>
  <c r="B2245" i="13" s="1"/>
  <c r="B2246" i="13" s="1"/>
  <c r="B2247" i="13" s="1"/>
  <c r="B2248" i="13" s="1"/>
  <c r="B2249" i="13" s="1"/>
  <c r="B2250" i="13" s="1"/>
  <c r="B2251" i="13" s="1"/>
  <c r="B2252" i="13" s="1"/>
  <c r="B2253" i="13" s="1"/>
  <c r="B2254" i="13" s="1"/>
  <c r="B2255" i="13" s="1"/>
  <c r="B2256" i="13" s="1"/>
  <c r="B2257" i="13" s="1"/>
  <c r="B2258" i="13" s="1"/>
  <c r="B2259" i="13" s="1"/>
  <c r="B2260" i="13" s="1"/>
  <c r="B2261" i="13" s="1"/>
  <c r="B2262" i="13" s="1"/>
  <c r="B2263" i="13" s="1"/>
  <c r="B2264" i="13" s="1"/>
  <c r="B2265" i="13" s="1"/>
  <c r="B2266" i="13" s="1"/>
  <c r="B2267" i="13" s="1"/>
  <c r="B2268" i="13" s="1"/>
  <c r="B2269" i="13" s="1"/>
  <c r="B2270" i="13" s="1"/>
  <c r="B2271" i="13" s="1"/>
  <c r="B2272" i="13" s="1"/>
  <c r="B2273" i="13" s="1"/>
  <c r="B2274" i="13" s="1"/>
  <c r="B2275" i="13" s="1"/>
  <c r="B2276" i="13" s="1"/>
  <c r="B2277" i="13" s="1"/>
  <c r="B2278" i="13" s="1"/>
  <c r="B2279" i="13" s="1"/>
  <c r="B2280" i="13" s="1"/>
  <c r="B2281" i="13" s="1"/>
  <c r="B2282" i="13" s="1"/>
  <c r="B2283" i="13" s="1"/>
  <c r="B2284" i="13" s="1"/>
  <c r="B2285" i="13" s="1"/>
  <c r="B2286" i="13" s="1"/>
  <c r="B2287" i="13" s="1"/>
  <c r="B2288" i="13" s="1"/>
  <c r="B2289" i="13" s="1"/>
  <c r="B2290" i="13" s="1"/>
  <c r="B2291" i="13" s="1"/>
  <c r="B2292" i="13" s="1"/>
  <c r="B2293" i="13" s="1"/>
  <c r="B2294" i="13" s="1"/>
  <c r="B2295" i="13" s="1"/>
  <c r="B2296" i="13" s="1"/>
  <c r="B2297" i="13" s="1"/>
  <c r="B2298" i="13" s="1"/>
  <c r="B2299" i="13" s="1"/>
  <c r="B2300" i="13" s="1"/>
  <c r="B2301" i="13" s="1"/>
  <c r="B2302" i="13" s="1"/>
  <c r="B2303" i="13" s="1"/>
  <c r="B2304" i="13" s="1"/>
  <c r="B2305" i="13" s="1"/>
  <c r="B2306" i="13" s="1"/>
  <c r="B2307" i="13" s="1"/>
  <c r="B2308" i="13" s="1"/>
  <c r="B2309" i="13" s="1"/>
  <c r="B2310" i="13" s="1"/>
  <c r="B2311" i="13" s="1"/>
  <c r="B2312" i="13" s="1"/>
  <c r="B2313" i="13" s="1"/>
  <c r="B2314" i="13" s="1"/>
  <c r="B2315" i="13" s="1"/>
  <c r="B2316" i="13" s="1"/>
  <c r="B2317" i="13" s="1"/>
  <c r="B2318" i="13" s="1"/>
  <c r="B2319" i="13" s="1"/>
  <c r="B2320" i="13" s="1"/>
  <c r="B2321" i="13" s="1"/>
  <c r="B2322" i="13" s="1"/>
  <c r="B2323" i="13" s="1"/>
  <c r="B2324" i="13" s="1"/>
  <c r="B2325" i="13" s="1"/>
  <c r="B2326" i="13" s="1"/>
  <c r="B2327" i="13" s="1"/>
  <c r="B2328" i="13" s="1"/>
  <c r="B2329" i="13" s="1"/>
  <c r="B2330" i="13" s="1"/>
  <c r="B2331" i="13" s="1"/>
  <c r="B2332" i="13" s="1"/>
  <c r="B2333" i="13" s="1"/>
  <c r="B2334" i="13" s="1"/>
  <c r="B2335" i="13" s="1"/>
  <c r="B2336" i="13" s="1"/>
  <c r="B2337" i="13" s="1"/>
  <c r="B2338" i="13" s="1"/>
  <c r="B2339" i="13" s="1"/>
  <c r="B2340" i="13" s="1"/>
  <c r="B2341" i="13" s="1"/>
  <c r="B2342" i="13" s="1"/>
  <c r="B2343" i="13" s="1"/>
  <c r="B2344" i="13" s="1"/>
  <c r="B2345" i="13" s="1"/>
  <c r="B2346" i="13" s="1"/>
  <c r="B2347" i="13" s="1"/>
  <c r="B2348" i="13" s="1"/>
  <c r="B2349" i="13" s="1"/>
  <c r="B2350" i="13" s="1"/>
  <c r="B2351" i="13" s="1"/>
  <c r="B2352" i="13" s="1"/>
  <c r="B2353" i="13" s="1"/>
  <c r="B2354" i="13" s="1"/>
  <c r="B2355" i="13" s="1"/>
  <c r="B2356" i="13" s="1"/>
  <c r="B2357" i="13" s="1"/>
  <c r="B2358" i="13" s="1"/>
  <c r="B2359" i="13" s="1"/>
  <c r="B2360" i="13" s="1"/>
  <c r="B2361" i="13" s="1"/>
  <c r="B2362" i="13" s="1"/>
  <c r="B2363" i="13" s="1"/>
  <c r="B2364" i="13" s="1"/>
  <c r="B2365" i="13" s="1"/>
  <c r="B2366" i="13" s="1"/>
  <c r="B2367" i="13" s="1"/>
  <c r="B2368" i="13" s="1"/>
  <c r="B2369" i="13" s="1"/>
  <c r="B2370" i="13" s="1"/>
  <c r="B2371" i="13" s="1"/>
  <c r="B2372" i="13" s="1"/>
  <c r="B2373" i="13" s="1"/>
  <c r="B2374" i="13" s="1"/>
  <c r="B2375" i="13" s="1"/>
  <c r="B2376" i="13" s="1"/>
  <c r="B2377" i="13" s="1"/>
  <c r="B2378" i="13" s="1"/>
  <c r="B2379" i="13" s="1"/>
  <c r="B2380" i="13" s="1"/>
  <c r="B2381" i="13" s="1"/>
  <c r="B2382" i="13" s="1"/>
  <c r="B2383" i="13" s="1"/>
  <c r="B2384" i="13" s="1"/>
  <c r="B2385" i="13" s="1"/>
  <c r="B2386" i="13" s="1"/>
  <c r="B2387" i="13" s="1"/>
  <c r="B2388" i="13" s="1"/>
  <c r="B2389" i="13" s="1"/>
  <c r="B2390" i="13" s="1"/>
  <c r="B2391" i="13" s="1"/>
  <c r="B2392" i="13" s="1"/>
  <c r="B2393" i="13" s="1"/>
  <c r="B2394" i="13" s="1"/>
  <c r="B2395" i="13" s="1"/>
  <c r="B2396" i="13" s="1"/>
  <c r="B2397" i="13" s="1"/>
  <c r="B2398" i="13" s="1"/>
  <c r="B2399" i="13" s="1"/>
  <c r="B2400" i="13" s="1"/>
  <c r="B2401" i="13" s="1"/>
  <c r="B2402" i="13" s="1"/>
  <c r="B2403" i="13" s="1"/>
  <c r="B2404" i="13" s="1"/>
  <c r="B2405" i="13" s="1"/>
  <c r="B2406" i="13" s="1"/>
  <c r="B2407" i="13" s="1"/>
  <c r="B2408" i="13" s="1"/>
  <c r="B2409" i="13" s="1"/>
  <c r="B2410" i="13" s="1"/>
  <c r="B2411" i="13" s="1"/>
  <c r="B2412" i="13" s="1"/>
  <c r="B2413" i="13" s="1"/>
  <c r="B2414" i="13" s="1"/>
  <c r="B2415" i="13" s="1"/>
  <c r="B2416" i="13" s="1"/>
  <c r="B2417" i="13" s="1"/>
  <c r="B2418" i="13" s="1"/>
  <c r="B2419" i="13" s="1"/>
  <c r="B2420" i="13" s="1"/>
  <c r="B2421" i="13" s="1"/>
  <c r="B2422" i="13" s="1"/>
  <c r="B2423" i="13" s="1"/>
  <c r="B2424" i="13" s="1"/>
  <c r="B2425" i="13" s="1"/>
  <c r="B2426" i="13" s="1"/>
  <c r="B2427" i="13" s="1"/>
  <c r="B2428" i="13" s="1"/>
  <c r="B2429" i="13" s="1"/>
  <c r="B2430" i="13" s="1"/>
  <c r="B2431" i="13" s="1"/>
  <c r="B2432" i="13" s="1"/>
  <c r="B2433" i="13" s="1"/>
  <c r="B2434" i="13" s="1"/>
  <c r="B2435" i="13" s="1"/>
  <c r="B2436" i="13" s="1"/>
  <c r="B2437" i="13" s="1"/>
  <c r="B2438" i="13" s="1"/>
  <c r="B2439" i="13" s="1"/>
  <c r="B2440" i="13" s="1"/>
  <c r="B2441" i="13" s="1"/>
  <c r="B2442" i="13" s="1"/>
  <c r="B2443" i="13" s="1"/>
  <c r="B2444" i="13" s="1"/>
  <c r="B2445" i="13" s="1"/>
  <c r="B2446" i="13" s="1"/>
  <c r="B2447" i="13" s="1"/>
  <c r="B2448" i="13" s="1"/>
  <c r="B2449" i="13" s="1"/>
  <c r="B2450" i="13" s="1"/>
  <c r="B2451" i="13" s="1"/>
  <c r="B2452" i="13" s="1"/>
  <c r="B2453" i="13" s="1"/>
  <c r="B2454" i="13" s="1"/>
  <c r="B2455" i="13" s="1"/>
  <c r="B2456" i="13" s="1"/>
  <c r="B2457" i="13" s="1"/>
  <c r="B2458" i="13" s="1"/>
  <c r="B2459" i="13" s="1"/>
  <c r="B2460" i="13" s="1"/>
  <c r="B2461" i="13" s="1"/>
  <c r="B2462" i="13" s="1"/>
  <c r="B2463" i="13" s="1"/>
  <c r="B2464" i="13" s="1"/>
  <c r="B2465" i="13" s="1"/>
  <c r="B2466" i="13" s="1"/>
  <c r="B2467" i="13" s="1"/>
  <c r="B2468" i="13" s="1"/>
  <c r="B2469" i="13" s="1"/>
  <c r="B2470" i="13" s="1"/>
  <c r="B2471" i="13" s="1"/>
  <c r="B2472" i="13" s="1"/>
  <c r="B2473" i="13" s="1"/>
  <c r="B2474" i="13" s="1"/>
  <c r="B2475" i="13" s="1"/>
  <c r="B2476" i="13" s="1"/>
  <c r="B2477" i="13" s="1"/>
  <c r="B2478" i="13" s="1"/>
  <c r="B2479" i="13" s="1"/>
  <c r="B1990" i="13"/>
  <c r="B1991" i="13" s="1"/>
  <c r="B1992" i="13" s="1"/>
  <c r="B1993" i="13" s="1"/>
  <c r="B1994" i="13" s="1"/>
  <c r="B1995" i="13" s="1"/>
  <c r="B1996" i="13" s="1"/>
  <c r="B1997" i="13" s="1"/>
  <c r="B1998" i="13" s="1"/>
  <c r="B1999" i="13" s="1"/>
  <c r="B2000" i="13" s="1"/>
  <c r="B2001" i="13" s="1"/>
  <c r="B2002" i="13" s="1"/>
  <c r="B2003" i="13" s="1"/>
  <c r="B2004" i="13" s="1"/>
  <c r="B2005" i="13" s="1"/>
  <c r="B2006" i="13" s="1"/>
  <c r="B2007" i="13" s="1"/>
  <c r="B2008" i="13" s="1"/>
  <c r="B2009" i="13" s="1"/>
  <c r="B2010" i="13" s="1"/>
  <c r="B2011" i="13" s="1"/>
  <c r="B2012" i="13" s="1"/>
  <c r="B2013" i="13" s="1"/>
  <c r="B2014" i="13" s="1"/>
  <c r="B2015" i="13" s="1"/>
  <c r="B2016" i="13" s="1"/>
  <c r="B2017" i="13" s="1"/>
  <c r="B2018" i="13" s="1"/>
  <c r="B2019" i="13" s="1"/>
  <c r="B2020" i="13" s="1"/>
  <c r="B2021" i="13" s="1"/>
  <c r="B2022" i="13" s="1"/>
  <c r="B2023" i="13" s="1"/>
  <c r="B2024" i="13" s="1"/>
  <c r="B2025" i="13" s="1"/>
  <c r="B2026" i="13" s="1"/>
  <c r="B2027" i="13" s="1"/>
  <c r="B2028" i="13" s="1"/>
  <c r="B2029" i="13" s="1"/>
  <c r="B2030" i="13" s="1"/>
  <c r="B2031" i="13" s="1"/>
  <c r="B2032" i="13" s="1"/>
  <c r="B2033" i="13" s="1"/>
  <c r="B2034" i="13" s="1"/>
  <c r="B2035" i="13" s="1"/>
  <c r="B2036" i="13" s="1"/>
  <c r="B2037" i="13" s="1"/>
  <c r="B2038" i="13" s="1"/>
  <c r="B2039" i="13" s="1"/>
  <c r="B2040" i="13" s="1"/>
  <c r="B2041" i="13" s="1"/>
  <c r="B2042" i="13" s="1"/>
  <c r="B2043" i="13" s="1"/>
  <c r="B2044" i="13" s="1"/>
  <c r="B2045" i="13" s="1"/>
  <c r="B2046" i="13" s="1"/>
  <c r="B2047" i="13" s="1"/>
  <c r="B2048" i="13" s="1"/>
  <c r="B2049" i="13" s="1"/>
  <c r="B2050" i="13" s="1"/>
  <c r="B2051" i="13" s="1"/>
  <c r="B2052" i="13" s="1"/>
  <c r="B2053" i="13" s="1"/>
  <c r="B2054" i="13" s="1"/>
  <c r="B2055" i="13" s="1"/>
  <c r="B2056" i="13" s="1"/>
  <c r="B2057" i="13" s="1"/>
  <c r="B2058" i="13" s="1"/>
  <c r="B2059" i="13" s="1"/>
  <c r="B2060" i="13" s="1"/>
  <c r="B2061" i="13" s="1"/>
  <c r="B2062" i="13" s="1"/>
  <c r="B2063" i="13" s="1"/>
  <c r="B2064" i="13" s="1"/>
  <c r="B2065" i="13" s="1"/>
  <c r="B2066" i="13" s="1"/>
  <c r="B2067" i="13" s="1"/>
  <c r="B2068" i="13" s="1"/>
  <c r="B2069" i="13" s="1"/>
  <c r="B2070" i="13" s="1"/>
  <c r="B2071" i="13" s="1"/>
  <c r="B2072" i="13" s="1"/>
  <c r="B2073" i="13" s="1"/>
  <c r="B2074" i="13" s="1"/>
  <c r="B2075" i="13" s="1"/>
  <c r="B2076" i="13" s="1"/>
  <c r="B2077" i="13" s="1"/>
  <c r="B2078" i="13" s="1"/>
  <c r="B2079" i="13" s="1"/>
  <c r="B2080" i="13" s="1"/>
  <c r="B2081" i="13" s="1"/>
  <c r="B2082" i="13" s="1"/>
  <c r="B2083" i="13" s="1"/>
  <c r="B2084" i="13" s="1"/>
  <c r="B2085" i="13" s="1"/>
  <c r="B2086" i="13" s="1"/>
  <c r="B2087" i="13" s="1"/>
  <c r="B2088" i="13" s="1"/>
  <c r="B2089" i="13" s="1"/>
  <c r="B2090" i="13" s="1"/>
  <c r="B2091" i="13" s="1"/>
  <c r="B2092" i="13" s="1"/>
  <c r="B2093" i="13" s="1"/>
  <c r="B2094" i="13" s="1"/>
  <c r="B2095" i="13" s="1"/>
  <c r="B2096" i="13" s="1"/>
  <c r="B2097" i="13" s="1"/>
  <c r="B2098" i="13" s="1"/>
  <c r="B2099" i="13" s="1"/>
  <c r="B2100" i="13" s="1"/>
  <c r="B2101" i="13" s="1"/>
  <c r="B2102" i="13" s="1"/>
  <c r="B2103" i="13" s="1"/>
  <c r="B2104" i="13" s="1"/>
  <c r="B2105" i="13" s="1"/>
  <c r="B2106" i="13" s="1"/>
  <c r="B2107" i="13" s="1"/>
  <c r="B2108" i="13" s="1"/>
  <c r="B2109" i="13" s="1"/>
  <c r="B2110" i="13" s="1"/>
  <c r="B2111" i="13" s="1"/>
  <c r="B2112" i="13" s="1"/>
  <c r="B2113" i="13" s="1"/>
  <c r="B2114" i="13" s="1"/>
  <c r="B2115" i="13" s="1"/>
  <c r="B2116" i="13" s="1"/>
  <c r="B2117" i="13" s="1"/>
  <c r="B2118" i="13" s="1"/>
  <c r="B2119" i="13" s="1"/>
  <c r="B2120" i="13" s="1"/>
  <c r="B2121" i="13" s="1"/>
  <c r="B2122" i="13" s="1"/>
  <c r="B2123" i="13" s="1"/>
  <c r="B2124" i="13" s="1"/>
  <c r="B2125" i="13" s="1"/>
  <c r="B2126" i="13" s="1"/>
  <c r="B2127" i="13" s="1"/>
  <c r="B2128" i="13" s="1"/>
  <c r="B2129" i="13" s="1"/>
  <c r="B2130" i="13" s="1"/>
  <c r="B2131" i="13" s="1"/>
  <c r="B2132" i="13" s="1"/>
  <c r="B2133" i="13" s="1"/>
  <c r="B2134" i="13" s="1"/>
  <c r="B2135" i="13" s="1"/>
  <c r="B2136" i="13" s="1"/>
  <c r="B2137" i="13" s="1"/>
  <c r="B2138" i="13" s="1"/>
  <c r="B2139" i="13" s="1"/>
  <c r="B2140" i="13" s="1"/>
  <c r="B2141" i="13" s="1"/>
  <c r="B2142" i="13" s="1"/>
  <c r="B2143" i="13" s="1"/>
  <c r="B2144" i="13" s="1"/>
  <c r="B2145" i="13" s="1"/>
  <c r="B2146" i="13" s="1"/>
  <c r="B2147" i="13" s="1"/>
  <c r="B2148" i="13" s="1"/>
  <c r="B2149" i="13" s="1"/>
  <c r="B2150" i="13" s="1"/>
  <c r="B2151" i="13" s="1"/>
  <c r="B2152" i="13" s="1"/>
  <c r="B2153" i="13" s="1"/>
  <c r="B2154" i="13" s="1"/>
  <c r="B2155" i="13" s="1"/>
  <c r="B2156" i="13" s="1"/>
  <c r="B2157" i="13" s="1"/>
  <c r="B2158" i="13" s="1"/>
  <c r="B2159" i="13" s="1"/>
  <c r="B2160" i="13" s="1"/>
  <c r="B2161" i="13" s="1"/>
  <c r="B2162" i="13" s="1"/>
  <c r="B2163" i="13" s="1"/>
  <c r="B2164" i="13" s="1"/>
  <c r="B2165" i="13" s="1"/>
  <c r="B2166" i="13" s="1"/>
  <c r="B2167" i="13" s="1"/>
  <c r="B2168" i="13" s="1"/>
  <c r="B2169" i="13" s="1"/>
  <c r="B2170" i="13" s="1"/>
  <c r="B2171" i="13" s="1"/>
  <c r="B2172" i="13" s="1"/>
  <c r="B2173" i="13" s="1"/>
  <c r="B2174" i="13" s="1"/>
  <c r="B2175" i="13" s="1"/>
  <c r="B2176" i="13" s="1"/>
  <c r="B2177" i="13" s="1"/>
  <c r="B2178" i="13" s="1"/>
  <c r="B2179" i="13" s="1"/>
  <c r="B2180" i="13" s="1"/>
  <c r="B2181" i="13" s="1"/>
  <c r="B2182" i="13" s="1"/>
  <c r="B2183" i="13" s="1"/>
  <c r="B2184" i="13" s="1"/>
  <c r="B2185" i="13" s="1"/>
  <c r="B2186" i="13" s="1"/>
  <c r="B2187" i="13" s="1"/>
  <c r="B2188" i="13" s="1"/>
  <c r="B2189" i="13" s="1"/>
  <c r="B2190" i="13" s="1"/>
  <c r="B2191" i="13" s="1"/>
  <c r="B2192" i="13" s="1"/>
  <c r="B2193" i="13" s="1"/>
  <c r="B2194" i="13" s="1"/>
  <c r="B2195" i="13" s="1"/>
  <c r="B2196" i="13" s="1"/>
  <c r="B2197" i="13" s="1"/>
  <c r="B2198" i="13" s="1"/>
  <c r="B2199" i="13" s="1"/>
  <c r="B2200" i="13" s="1"/>
  <c r="B2201" i="13" s="1"/>
  <c r="B2202" i="13" s="1"/>
  <c r="B2203" i="13" s="1"/>
  <c r="B2204" i="13" s="1"/>
  <c r="B2205" i="13" s="1"/>
  <c r="B2206" i="13" s="1"/>
  <c r="B2207" i="13" s="1"/>
  <c r="B2208" i="13" s="1"/>
  <c r="B2209" i="13" s="1"/>
  <c r="B2210" i="13" s="1"/>
  <c r="B2211" i="13" s="1"/>
  <c r="B2212" i="13" s="1"/>
  <c r="B2213" i="13" s="1"/>
  <c r="B2214" i="13" s="1"/>
  <c r="B2215" i="13" s="1"/>
  <c r="B2216" i="13" s="1"/>
  <c r="B2217" i="13" s="1"/>
  <c r="B2218" i="13" s="1"/>
  <c r="B2219" i="13" s="1"/>
  <c r="B2220" i="13" s="1"/>
  <c r="B2221" i="13" s="1"/>
  <c r="B2222" i="13" s="1"/>
  <c r="B2223" i="13" s="1"/>
  <c r="B2224" i="13" s="1"/>
  <c r="B2225" i="13" s="1"/>
  <c r="B2226" i="13" s="1"/>
  <c r="B2227" i="13" s="1"/>
  <c r="B2228" i="13" s="1"/>
  <c r="B2229" i="13" s="1"/>
  <c r="B2230" i="13" s="1"/>
  <c r="B2231" i="13" s="1"/>
  <c r="B1742" i="13"/>
  <c r="B1743" i="13" s="1"/>
  <c r="B1744" i="13" s="1"/>
  <c r="B1745" i="13" s="1"/>
  <c r="B1746" i="13" s="1"/>
  <c r="B1747" i="13" s="1"/>
  <c r="B1748" i="13" s="1"/>
  <c r="B1749" i="13" s="1"/>
  <c r="B1750" i="13" s="1"/>
  <c r="B1751" i="13" s="1"/>
  <c r="B1752" i="13" s="1"/>
  <c r="B1753" i="13" s="1"/>
  <c r="B1754" i="13" s="1"/>
  <c r="B1755" i="13" s="1"/>
  <c r="B1756" i="13" s="1"/>
  <c r="B1757" i="13" s="1"/>
  <c r="B1758" i="13" s="1"/>
  <c r="B1759" i="13" s="1"/>
  <c r="B1760" i="13" s="1"/>
  <c r="B1761" i="13" s="1"/>
  <c r="B1762" i="13" s="1"/>
  <c r="B1763" i="13" s="1"/>
  <c r="B1764" i="13" s="1"/>
  <c r="B1765" i="13" s="1"/>
  <c r="B1766" i="13" s="1"/>
  <c r="B1767" i="13" s="1"/>
  <c r="B1768" i="13" s="1"/>
  <c r="B1769" i="13" s="1"/>
  <c r="B1770" i="13" s="1"/>
  <c r="B1771" i="13" s="1"/>
  <c r="B1772" i="13" s="1"/>
  <c r="B1773" i="13" s="1"/>
  <c r="B1774" i="13" s="1"/>
  <c r="B1775" i="13" s="1"/>
  <c r="B1776" i="13" s="1"/>
  <c r="B1777" i="13" s="1"/>
  <c r="B1778" i="13" s="1"/>
  <c r="B1779" i="13" s="1"/>
  <c r="B1780" i="13" s="1"/>
  <c r="B1781" i="13" s="1"/>
  <c r="B1782" i="13" s="1"/>
  <c r="B1783" i="13" s="1"/>
  <c r="B1784" i="13" s="1"/>
  <c r="B1785" i="13" s="1"/>
  <c r="B1786" i="13" s="1"/>
  <c r="B1787" i="13" s="1"/>
  <c r="B1788" i="13" s="1"/>
  <c r="B1789" i="13" s="1"/>
  <c r="B1790" i="13" s="1"/>
  <c r="B1791" i="13" s="1"/>
  <c r="B1792" i="13" s="1"/>
  <c r="B1793" i="13" s="1"/>
  <c r="B1794" i="13" s="1"/>
  <c r="B1795" i="13" s="1"/>
  <c r="B1796" i="13" s="1"/>
  <c r="B1797" i="13" s="1"/>
  <c r="B1798" i="13" s="1"/>
  <c r="B1799" i="13" s="1"/>
  <c r="B1800" i="13" s="1"/>
  <c r="B1801" i="13" s="1"/>
  <c r="B1802" i="13" s="1"/>
  <c r="B1803" i="13" s="1"/>
  <c r="B1804" i="13" s="1"/>
  <c r="B1805" i="13" s="1"/>
  <c r="B1806" i="13" s="1"/>
  <c r="B1807" i="13" s="1"/>
  <c r="B1808" i="13" s="1"/>
  <c r="B1809" i="13" s="1"/>
  <c r="B1810" i="13" s="1"/>
  <c r="B1811" i="13" s="1"/>
  <c r="B1812" i="13" s="1"/>
  <c r="B1813" i="13" s="1"/>
  <c r="B1814" i="13" s="1"/>
  <c r="B1815" i="13" s="1"/>
  <c r="B1816" i="13" s="1"/>
  <c r="B1817" i="13" s="1"/>
  <c r="B1818" i="13" s="1"/>
  <c r="B1819" i="13" s="1"/>
  <c r="B1820" i="13" s="1"/>
  <c r="B1821" i="13" s="1"/>
  <c r="B1822" i="13" s="1"/>
  <c r="B1823" i="13" s="1"/>
  <c r="B1824" i="13" s="1"/>
  <c r="B1825" i="13" s="1"/>
  <c r="B1826" i="13" s="1"/>
  <c r="B1827" i="13" s="1"/>
  <c r="B1828" i="13" s="1"/>
  <c r="B1829" i="13" s="1"/>
  <c r="B1830" i="13" s="1"/>
  <c r="B1831" i="13" s="1"/>
  <c r="B1832" i="13" s="1"/>
  <c r="B1833" i="13" s="1"/>
  <c r="B1834" i="13" s="1"/>
  <c r="B1835" i="13" s="1"/>
  <c r="B1836" i="13" s="1"/>
  <c r="B1837" i="13" s="1"/>
  <c r="B1838" i="13" s="1"/>
  <c r="B1839" i="13" s="1"/>
  <c r="B1840" i="13" s="1"/>
  <c r="B1841" i="13" s="1"/>
  <c r="B1842" i="13" s="1"/>
  <c r="B1843" i="13" s="1"/>
  <c r="B1844" i="13" s="1"/>
  <c r="B1845" i="13" s="1"/>
  <c r="B1846" i="13" s="1"/>
  <c r="B1847" i="13" s="1"/>
  <c r="B1848" i="13" s="1"/>
  <c r="B1849" i="13" s="1"/>
  <c r="B1850" i="13" s="1"/>
  <c r="B1851" i="13" s="1"/>
  <c r="B1852" i="13" s="1"/>
  <c r="B1853" i="13" s="1"/>
  <c r="B1854" i="13" s="1"/>
  <c r="B1855" i="13" s="1"/>
  <c r="B1856" i="13" s="1"/>
  <c r="B1857" i="13" s="1"/>
  <c r="B1858" i="13" s="1"/>
  <c r="B1859" i="13" s="1"/>
  <c r="B1860" i="13" s="1"/>
  <c r="B1861" i="13" s="1"/>
  <c r="B1862" i="13" s="1"/>
  <c r="B1863" i="13" s="1"/>
  <c r="B1864" i="13" s="1"/>
  <c r="B1865" i="13" s="1"/>
  <c r="B1866" i="13" s="1"/>
  <c r="B1867" i="13" s="1"/>
  <c r="B1868" i="13" s="1"/>
  <c r="B1869" i="13" s="1"/>
  <c r="B1870" i="13" s="1"/>
  <c r="B1871" i="13" s="1"/>
  <c r="B1872" i="13" s="1"/>
  <c r="B1873" i="13" s="1"/>
  <c r="B1874" i="13" s="1"/>
  <c r="B1875" i="13" s="1"/>
  <c r="B1876" i="13" s="1"/>
  <c r="B1877" i="13" s="1"/>
  <c r="B1878" i="13" s="1"/>
  <c r="B1879" i="13" s="1"/>
  <c r="B1880" i="13" s="1"/>
  <c r="B1881" i="13" s="1"/>
  <c r="B1882" i="13" s="1"/>
  <c r="B1883" i="13" s="1"/>
  <c r="B1884" i="13" s="1"/>
  <c r="B1885" i="13" s="1"/>
  <c r="B1886" i="13" s="1"/>
  <c r="B1887" i="13" s="1"/>
  <c r="B1888" i="13" s="1"/>
  <c r="B1889" i="13" s="1"/>
  <c r="B1890" i="13" s="1"/>
  <c r="B1891" i="13" s="1"/>
  <c r="B1892" i="13" s="1"/>
  <c r="B1893" i="13" s="1"/>
  <c r="B1894" i="13" s="1"/>
  <c r="B1895" i="13" s="1"/>
  <c r="B1896" i="13" s="1"/>
  <c r="B1897" i="13" s="1"/>
  <c r="B1898" i="13" s="1"/>
  <c r="B1899" i="13" s="1"/>
  <c r="B1900" i="13" s="1"/>
  <c r="B1901" i="13" s="1"/>
  <c r="B1902" i="13" s="1"/>
  <c r="B1903" i="13" s="1"/>
  <c r="B1904" i="13" s="1"/>
  <c r="B1905" i="13" s="1"/>
  <c r="B1906" i="13" s="1"/>
  <c r="B1907" i="13" s="1"/>
  <c r="B1908" i="13" s="1"/>
  <c r="B1909" i="13" s="1"/>
  <c r="B1910" i="13" s="1"/>
  <c r="B1911" i="13" s="1"/>
  <c r="B1912" i="13" s="1"/>
  <c r="B1913" i="13" s="1"/>
  <c r="B1914" i="13" s="1"/>
  <c r="B1915" i="13" s="1"/>
  <c r="B1916" i="13" s="1"/>
  <c r="B1917" i="13" s="1"/>
  <c r="B1918" i="13" s="1"/>
  <c r="B1919" i="13" s="1"/>
  <c r="B1920" i="13" s="1"/>
  <c r="B1921" i="13" s="1"/>
  <c r="B1922" i="13" s="1"/>
  <c r="B1923" i="13" s="1"/>
  <c r="B1924" i="13" s="1"/>
  <c r="B1925" i="13" s="1"/>
  <c r="B1926" i="13" s="1"/>
  <c r="B1927" i="13" s="1"/>
  <c r="B1928" i="13" s="1"/>
  <c r="B1929" i="13" s="1"/>
  <c r="B1930" i="13" s="1"/>
  <c r="B1931" i="13" s="1"/>
  <c r="B1932" i="13" s="1"/>
  <c r="B1933" i="13" s="1"/>
  <c r="B1934" i="13" s="1"/>
  <c r="B1935" i="13" s="1"/>
  <c r="B1936" i="13" s="1"/>
  <c r="B1937" i="13" s="1"/>
  <c r="B1938" i="13" s="1"/>
  <c r="B1939" i="13" s="1"/>
  <c r="B1940" i="13" s="1"/>
  <c r="B1941" i="13" s="1"/>
  <c r="B1942" i="13" s="1"/>
  <c r="B1943" i="13" s="1"/>
  <c r="B1944" i="13" s="1"/>
  <c r="B1945" i="13" s="1"/>
  <c r="B1946" i="13" s="1"/>
  <c r="B1947" i="13" s="1"/>
  <c r="B1948" i="13" s="1"/>
  <c r="B1949" i="13" s="1"/>
  <c r="B1950" i="13" s="1"/>
  <c r="B1951" i="13" s="1"/>
  <c r="B1952" i="13" s="1"/>
  <c r="B1953" i="13" s="1"/>
  <c r="B1954" i="13" s="1"/>
  <c r="B1955" i="13" s="1"/>
  <c r="B1956" i="13" s="1"/>
  <c r="B1957" i="13" s="1"/>
  <c r="B1958" i="13" s="1"/>
  <c r="B1959" i="13" s="1"/>
  <c r="B1960" i="13" s="1"/>
  <c r="B1961" i="13" s="1"/>
  <c r="B1962" i="13" s="1"/>
  <c r="B1963" i="13" s="1"/>
  <c r="B1964" i="13" s="1"/>
  <c r="B1965" i="13" s="1"/>
  <c r="B1966" i="13" s="1"/>
  <c r="B1967" i="13" s="1"/>
  <c r="B1968" i="13" s="1"/>
  <c r="B1969" i="13" s="1"/>
  <c r="B1970" i="13" s="1"/>
  <c r="B1971" i="13" s="1"/>
  <c r="B1972" i="13" s="1"/>
  <c r="B1973" i="13" s="1"/>
  <c r="B1974" i="13" s="1"/>
  <c r="B1975" i="13" s="1"/>
  <c r="B1976" i="13" s="1"/>
  <c r="B1977" i="13" s="1"/>
  <c r="B1978" i="13" s="1"/>
  <c r="B1979" i="13" s="1"/>
  <c r="B1980" i="13" s="1"/>
  <c r="B1981" i="13" s="1"/>
  <c r="B1982" i="13" s="1"/>
  <c r="B1983" i="13" s="1"/>
  <c r="B1494" i="13"/>
  <c r="B1495" i="13" s="1"/>
  <c r="B1496" i="13" s="1"/>
  <c r="B1497" i="13" s="1"/>
  <c r="B1498" i="13" s="1"/>
  <c r="B1499" i="13" s="1"/>
  <c r="B1500" i="13" s="1"/>
  <c r="B1501" i="13" s="1"/>
  <c r="B1502" i="13" s="1"/>
  <c r="B1503" i="13" s="1"/>
  <c r="B1504" i="13" s="1"/>
  <c r="B1505" i="13" s="1"/>
  <c r="B1506" i="13" s="1"/>
  <c r="B1507" i="13" s="1"/>
  <c r="B1508" i="13" s="1"/>
  <c r="B1509" i="13" s="1"/>
  <c r="B1510" i="13" s="1"/>
  <c r="B1511" i="13" s="1"/>
  <c r="B1512" i="13" s="1"/>
  <c r="B1513" i="13" s="1"/>
  <c r="B1514" i="13" s="1"/>
  <c r="B1515" i="13" s="1"/>
  <c r="B1516" i="13" s="1"/>
  <c r="B1517" i="13" s="1"/>
  <c r="B1518" i="13" s="1"/>
  <c r="B1519" i="13" s="1"/>
  <c r="B1520" i="13" s="1"/>
  <c r="B1521" i="13" s="1"/>
  <c r="B1522" i="13" s="1"/>
  <c r="B1523" i="13" s="1"/>
  <c r="B1524" i="13" s="1"/>
  <c r="B1525" i="13" s="1"/>
  <c r="B1526" i="13" s="1"/>
  <c r="B1527" i="13" s="1"/>
  <c r="B1528" i="13" s="1"/>
  <c r="B1529" i="13" s="1"/>
  <c r="B1530" i="13" s="1"/>
  <c r="B1531" i="13" s="1"/>
  <c r="B1532" i="13" s="1"/>
  <c r="B1533" i="13" s="1"/>
  <c r="B1534" i="13" s="1"/>
  <c r="B1535" i="13" s="1"/>
  <c r="B1536" i="13" s="1"/>
  <c r="B1537" i="13" s="1"/>
  <c r="B1538" i="13" s="1"/>
  <c r="B1539" i="13" s="1"/>
  <c r="B1540" i="13" s="1"/>
  <c r="B1541" i="13" s="1"/>
  <c r="B1542" i="13" s="1"/>
  <c r="B1543" i="13" s="1"/>
  <c r="B1544" i="13" s="1"/>
  <c r="B1545" i="13" s="1"/>
  <c r="B1546" i="13" s="1"/>
  <c r="B1547" i="13" s="1"/>
  <c r="B1548" i="13" s="1"/>
  <c r="B1549" i="13" s="1"/>
  <c r="B1550" i="13" s="1"/>
  <c r="B1551" i="13" s="1"/>
  <c r="B1552" i="13" s="1"/>
  <c r="B1553" i="13" s="1"/>
  <c r="B1554" i="13" s="1"/>
  <c r="B1555" i="13" s="1"/>
  <c r="B1556" i="13" s="1"/>
  <c r="B1557" i="13" s="1"/>
  <c r="B1558" i="13" s="1"/>
  <c r="B1559" i="13" s="1"/>
  <c r="B1560" i="13" s="1"/>
  <c r="B1561" i="13" s="1"/>
  <c r="B1562" i="13" s="1"/>
  <c r="B1563" i="13" s="1"/>
  <c r="B1564" i="13" s="1"/>
  <c r="B1565" i="13" s="1"/>
  <c r="B1566" i="13" s="1"/>
  <c r="B1567" i="13" s="1"/>
  <c r="B1568" i="13" s="1"/>
  <c r="B1569" i="13" s="1"/>
  <c r="B1570" i="13" s="1"/>
  <c r="B1571" i="13" s="1"/>
  <c r="B1572" i="13" s="1"/>
  <c r="B1573" i="13" s="1"/>
  <c r="B1574" i="13" s="1"/>
  <c r="B1575" i="13" s="1"/>
  <c r="B1576" i="13" s="1"/>
  <c r="B1577" i="13" s="1"/>
  <c r="B1578" i="13" s="1"/>
  <c r="B1579" i="13" s="1"/>
  <c r="B1580" i="13" s="1"/>
  <c r="B1581" i="13" s="1"/>
  <c r="B1582" i="13" s="1"/>
  <c r="B1583" i="13" s="1"/>
  <c r="B1584" i="13" s="1"/>
  <c r="B1585" i="13" s="1"/>
  <c r="B1586" i="13" s="1"/>
  <c r="B1587" i="13" s="1"/>
  <c r="B1588" i="13" s="1"/>
  <c r="B1589" i="13" s="1"/>
  <c r="B1590" i="13" s="1"/>
  <c r="B1591" i="13" s="1"/>
  <c r="B1592" i="13" s="1"/>
  <c r="B1593" i="13" s="1"/>
  <c r="B1594" i="13" s="1"/>
  <c r="B1595" i="13" s="1"/>
  <c r="B1596" i="13" s="1"/>
  <c r="B1597" i="13" s="1"/>
  <c r="B1598" i="13" s="1"/>
  <c r="B1599" i="13" s="1"/>
  <c r="B1600" i="13" s="1"/>
  <c r="B1601" i="13" s="1"/>
  <c r="B1602" i="13" s="1"/>
  <c r="B1603" i="13" s="1"/>
  <c r="B1604" i="13" s="1"/>
  <c r="B1605" i="13" s="1"/>
  <c r="B1606" i="13" s="1"/>
  <c r="B1607" i="13" s="1"/>
  <c r="B1608" i="13" s="1"/>
  <c r="B1609" i="13" s="1"/>
  <c r="B1610" i="13" s="1"/>
  <c r="B1611" i="13" s="1"/>
  <c r="B1612" i="13" s="1"/>
  <c r="B1613" i="13" s="1"/>
  <c r="B1614" i="13" s="1"/>
  <c r="B1615" i="13" s="1"/>
  <c r="B1616" i="13" s="1"/>
  <c r="B1617" i="13" s="1"/>
  <c r="B1618" i="13" s="1"/>
  <c r="B1619" i="13" s="1"/>
  <c r="B1620" i="13" s="1"/>
  <c r="B1621" i="13" s="1"/>
  <c r="B1622" i="13" s="1"/>
  <c r="B1623" i="13" s="1"/>
  <c r="B1624" i="13" s="1"/>
  <c r="B1625" i="13" s="1"/>
  <c r="B1626" i="13" s="1"/>
  <c r="B1627" i="13" s="1"/>
  <c r="B1628" i="13" s="1"/>
  <c r="B1629" i="13" s="1"/>
  <c r="B1630" i="13" s="1"/>
  <c r="B1631" i="13" s="1"/>
  <c r="B1632" i="13" s="1"/>
  <c r="B1633" i="13" s="1"/>
  <c r="B1634" i="13" s="1"/>
  <c r="B1635" i="13" s="1"/>
  <c r="B1636" i="13" s="1"/>
  <c r="B1637" i="13" s="1"/>
  <c r="B1638" i="13" s="1"/>
  <c r="B1639" i="13" s="1"/>
  <c r="B1640" i="13" s="1"/>
  <c r="B1641" i="13" s="1"/>
  <c r="B1642" i="13" s="1"/>
  <c r="B1643" i="13" s="1"/>
  <c r="B1644" i="13" s="1"/>
  <c r="B1645" i="13" s="1"/>
  <c r="B1646" i="13" s="1"/>
  <c r="B1647" i="13" s="1"/>
  <c r="B1648" i="13" s="1"/>
  <c r="B1649" i="13" s="1"/>
  <c r="B1650" i="13" s="1"/>
  <c r="B1651" i="13" s="1"/>
  <c r="B1652" i="13" s="1"/>
  <c r="B1653" i="13" s="1"/>
  <c r="B1654" i="13" s="1"/>
  <c r="B1655" i="13" s="1"/>
  <c r="B1656" i="13" s="1"/>
  <c r="B1657" i="13" s="1"/>
  <c r="B1658" i="13" s="1"/>
  <c r="B1659" i="13" s="1"/>
  <c r="B1660" i="13" s="1"/>
  <c r="B1661" i="13" s="1"/>
  <c r="B1662" i="13" s="1"/>
  <c r="B1663" i="13" s="1"/>
  <c r="B1664" i="13" s="1"/>
  <c r="B1665" i="13" s="1"/>
  <c r="B1666" i="13" s="1"/>
  <c r="B1667" i="13" s="1"/>
  <c r="B1668" i="13" s="1"/>
  <c r="B1669" i="13" s="1"/>
  <c r="B1670" i="13" s="1"/>
  <c r="B1671" i="13" s="1"/>
  <c r="B1672" i="13" s="1"/>
  <c r="B1673" i="13" s="1"/>
  <c r="B1674" i="13" s="1"/>
  <c r="B1675" i="13" s="1"/>
  <c r="B1676" i="13" s="1"/>
  <c r="B1677" i="13" s="1"/>
  <c r="B1678" i="13" s="1"/>
  <c r="B1679" i="13" s="1"/>
  <c r="B1680" i="13" s="1"/>
  <c r="B1681" i="13" s="1"/>
  <c r="B1682" i="13" s="1"/>
  <c r="B1683" i="13" s="1"/>
  <c r="B1684" i="13" s="1"/>
  <c r="B1685" i="13" s="1"/>
  <c r="B1686" i="13" s="1"/>
  <c r="B1687" i="13" s="1"/>
  <c r="B1688" i="13" s="1"/>
  <c r="B1689" i="13" s="1"/>
  <c r="B1690" i="13" s="1"/>
  <c r="B1691" i="13" s="1"/>
  <c r="B1692" i="13" s="1"/>
  <c r="B1693" i="13" s="1"/>
  <c r="B1694" i="13" s="1"/>
  <c r="B1695" i="13" s="1"/>
  <c r="B1696" i="13" s="1"/>
  <c r="B1697" i="13" s="1"/>
  <c r="B1698" i="13" s="1"/>
  <c r="B1699" i="13" s="1"/>
  <c r="B1700" i="13" s="1"/>
  <c r="B1701" i="13" s="1"/>
  <c r="B1702" i="13" s="1"/>
  <c r="B1703" i="13" s="1"/>
  <c r="B1704" i="13" s="1"/>
  <c r="B1705" i="13" s="1"/>
  <c r="B1706" i="13" s="1"/>
  <c r="B1707" i="13" s="1"/>
  <c r="B1708" i="13" s="1"/>
  <c r="B1709" i="13" s="1"/>
  <c r="B1710" i="13" s="1"/>
  <c r="B1711" i="13" s="1"/>
  <c r="B1712" i="13" s="1"/>
  <c r="B1713" i="13" s="1"/>
  <c r="B1714" i="13" s="1"/>
  <c r="B1715" i="13" s="1"/>
  <c r="B1716" i="13" s="1"/>
  <c r="B1717" i="13" s="1"/>
  <c r="B1718" i="13" s="1"/>
  <c r="B1719" i="13" s="1"/>
  <c r="B1720" i="13" s="1"/>
  <c r="B1721" i="13" s="1"/>
  <c r="B1722" i="13" s="1"/>
  <c r="B1723" i="13" s="1"/>
  <c r="B1724" i="13" s="1"/>
  <c r="B1725" i="13" s="1"/>
  <c r="B1726" i="13" s="1"/>
  <c r="B1727" i="13" s="1"/>
  <c r="B1728" i="13" s="1"/>
  <c r="B1729" i="13" s="1"/>
  <c r="B1730" i="13" s="1"/>
  <c r="B1731" i="13" s="1"/>
  <c r="B1732" i="13" s="1"/>
  <c r="B1733" i="13" s="1"/>
  <c r="B1734" i="13" s="1"/>
  <c r="B1735" i="13" s="1"/>
  <c r="B1246" i="13"/>
  <c r="B1247" i="13" s="1"/>
  <c r="B1248" i="13" s="1"/>
  <c r="B1249" i="13" s="1"/>
  <c r="B1250" i="13" s="1"/>
  <c r="B1251" i="13" s="1"/>
  <c r="B1252" i="13" s="1"/>
  <c r="B1253" i="13" s="1"/>
  <c r="B1254" i="13" s="1"/>
  <c r="B1255" i="13" s="1"/>
  <c r="B1256" i="13" s="1"/>
  <c r="B1257" i="13" s="1"/>
  <c r="B1258" i="13" s="1"/>
  <c r="B1259" i="13" s="1"/>
  <c r="B1260" i="13" s="1"/>
  <c r="B1261" i="13" s="1"/>
  <c r="B1262" i="13" s="1"/>
  <c r="B1263" i="13" s="1"/>
  <c r="B1264" i="13" s="1"/>
  <c r="B1265" i="13" s="1"/>
  <c r="B1266" i="13" s="1"/>
  <c r="B1267" i="13" s="1"/>
  <c r="B1268" i="13" s="1"/>
  <c r="B1269" i="13" s="1"/>
  <c r="B1270" i="13" s="1"/>
  <c r="B1271" i="13" s="1"/>
  <c r="B1272" i="13" s="1"/>
  <c r="B1273" i="13" s="1"/>
  <c r="B1274" i="13" s="1"/>
  <c r="B1275" i="13" s="1"/>
  <c r="B1276" i="13" s="1"/>
  <c r="B1277" i="13" s="1"/>
  <c r="B1278" i="13" s="1"/>
  <c r="B1279" i="13" s="1"/>
  <c r="B1280" i="13" s="1"/>
  <c r="B1281" i="13" s="1"/>
  <c r="B1282" i="13" s="1"/>
  <c r="B1283" i="13" s="1"/>
  <c r="B1284" i="13" s="1"/>
  <c r="B1285" i="13" s="1"/>
  <c r="B1286" i="13" s="1"/>
  <c r="B1287" i="13" s="1"/>
  <c r="B1288" i="13" s="1"/>
  <c r="B1289" i="13" s="1"/>
  <c r="B1290" i="13" s="1"/>
  <c r="B1291" i="13" s="1"/>
  <c r="B1292" i="13" s="1"/>
  <c r="B1293" i="13" s="1"/>
  <c r="B1294" i="13" s="1"/>
  <c r="B1295" i="13" s="1"/>
  <c r="B1296" i="13" s="1"/>
  <c r="B1297" i="13" s="1"/>
  <c r="B1298" i="13" s="1"/>
  <c r="B1299" i="13" s="1"/>
  <c r="B1300" i="13" s="1"/>
  <c r="B1301" i="13" s="1"/>
  <c r="B1302" i="13" s="1"/>
  <c r="B1303" i="13" s="1"/>
  <c r="B1304" i="13" s="1"/>
  <c r="B1305" i="13" s="1"/>
  <c r="B1306" i="13" s="1"/>
  <c r="B1307" i="13" s="1"/>
  <c r="B1308" i="13" s="1"/>
  <c r="B1309" i="13" s="1"/>
  <c r="B1310" i="13" s="1"/>
  <c r="B1311" i="13" s="1"/>
  <c r="B1312" i="13" s="1"/>
  <c r="B1313" i="13" s="1"/>
  <c r="B1314" i="13" s="1"/>
  <c r="B1315" i="13" s="1"/>
  <c r="B1316" i="13" s="1"/>
  <c r="B1317" i="13" s="1"/>
  <c r="B1318" i="13" s="1"/>
  <c r="B1319" i="13" s="1"/>
  <c r="B1320" i="13" s="1"/>
  <c r="B1321" i="13" s="1"/>
  <c r="B1322" i="13" s="1"/>
  <c r="B1323" i="13" s="1"/>
  <c r="B1324" i="13" s="1"/>
  <c r="B1325" i="13" s="1"/>
  <c r="B1326" i="13" s="1"/>
  <c r="B1327" i="13" s="1"/>
  <c r="B1328" i="13" s="1"/>
  <c r="B1329" i="13" s="1"/>
  <c r="B1330" i="13" s="1"/>
  <c r="B1331" i="13" s="1"/>
  <c r="B1332" i="13" s="1"/>
  <c r="B1333" i="13" s="1"/>
  <c r="B1334" i="13" s="1"/>
  <c r="B1335" i="13" s="1"/>
  <c r="B1336" i="13" s="1"/>
  <c r="B1337" i="13" s="1"/>
  <c r="B1338" i="13" s="1"/>
  <c r="B1339" i="13" s="1"/>
  <c r="B1340" i="13" s="1"/>
  <c r="B1341" i="13" s="1"/>
  <c r="B1342" i="13" s="1"/>
  <c r="B1343" i="13" s="1"/>
  <c r="B1344" i="13" s="1"/>
  <c r="B1345" i="13" s="1"/>
  <c r="B1346" i="13" s="1"/>
  <c r="B1347" i="13" s="1"/>
  <c r="B1348" i="13" s="1"/>
  <c r="B1349" i="13" s="1"/>
  <c r="B1350" i="13" s="1"/>
  <c r="B1351" i="13" s="1"/>
  <c r="B1352" i="13" s="1"/>
  <c r="B1353" i="13" s="1"/>
  <c r="B1354" i="13" s="1"/>
  <c r="B1355" i="13" s="1"/>
  <c r="B1356" i="13" s="1"/>
  <c r="B1357" i="13" s="1"/>
  <c r="B1358" i="13" s="1"/>
  <c r="B1359" i="13" s="1"/>
  <c r="B1360" i="13" s="1"/>
  <c r="B1361" i="13" s="1"/>
  <c r="B1362" i="13" s="1"/>
  <c r="B1363" i="13" s="1"/>
  <c r="B1364" i="13" s="1"/>
  <c r="B1365" i="13" s="1"/>
  <c r="B1366" i="13" s="1"/>
  <c r="B1367" i="13" s="1"/>
  <c r="B1368" i="13" s="1"/>
  <c r="B1369" i="13" s="1"/>
  <c r="B1370" i="13" s="1"/>
  <c r="B1371" i="13" s="1"/>
  <c r="B1372" i="13" s="1"/>
  <c r="B1373" i="13" s="1"/>
  <c r="B1374" i="13" s="1"/>
  <c r="B1375" i="13" s="1"/>
  <c r="B1376" i="13" s="1"/>
  <c r="B1377" i="13" s="1"/>
  <c r="B1378" i="13" s="1"/>
  <c r="B1379" i="13" s="1"/>
  <c r="B1380" i="13" s="1"/>
  <c r="B1381" i="13" s="1"/>
  <c r="B1382" i="13" s="1"/>
  <c r="B1383" i="13" s="1"/>
  <c r="B1384" i="13" s="1"/>
  <c r="B1385" i="13" s="1"/>
  <c r="B1386" i="13" s="1"/>
  <c r="B1387" i="13" s="1"/>
  <c r="B1388" i="13" s="1"/>
  <c r="B1389" i="13" s="1"/>
  <c r="B1390" i="13" s="1"/>
  <c r="B1391" i="13" s="1"/>
  <c r="B1392" i="13" s="1"/>
  <c r="B1393" i="13" s="1"/>
  <c r="B1394" i="13" s="1"/>
  <c r="B1395" i="13" s="1"/>
  <c r="B1396" i="13" s="1"/>
  <c r="B1397" i="13" s="1"/>
  <c r="B1398" i="13" s="1"/>
  <c r="B1399" i="13" s="1"/>
  <c r="B1400" i="13" s="1"/>
  <c r="B1401" i="13" s="1"/>
  <c r="B1402" i="13" s="1"/>
  <c r="B1403" i="13" s="1"/>
  <c r="B1404" i="13" s="1"/>
  <c r="B1405" i="13" s="1"/>
  <c r="B1406" i="13" s="1"/>
  <c r="B1407" i="13" s="1"/>
  <c r="B1408" i="13" s="1"/>
  <c r="B1409" i="13" s="1"/>
  <c r="B1410" i="13" s="1"/>
  <c r="B1411" i="13" s="1"/>
  <c r="B1412" i="13" s="1"/>
  <c r="B1413" i="13" s="1"/>
  <c r="B1414" i="13" s="1"/>
  <c r="B1415" i="13" s="1"/>
  <c r="B1416" i="13" s="1"/>
  <c r="B1417" i="13" s="1"/>
  <c r="B1418" i="13" s="1"/>
  <c r="B1419" i="13" s="1"/>
  <c r="B1420" i="13" s="1"/>
  <c r="B1421" i="13" s="1"/>
  <c r="B1422" i="13" s="1"/>
  <c r="B1423" i="13" s="1"/>
  <c r="B1424" i="13" s="1"/>
  <c r="B1425" i="13" s="1"/>
  <c r="B1426" i="13" s="1"/>
  <c r="B1427" i="13" s="1"/>
  <c r="B1428" i="13" s="1"/>
  <c r="B1429" i="13" s="1"/>
  <c r="B1430" i="13" s="1"/>
  <c r="B1431" i="13" s="1"/>
  <c r="B1432" i="13" s="1"/>
  <c r="B1433" i="13" s="1"/>
  <c r="B1434" i="13" s="1"/>
  <c r="B1435" i="13" s="1"/>
  <c r="B1436" i="13" s="1"/>
  <c r="B1437" i="13" s="1"/>
  <c r="B1438" i="13" s="1"/>
  <c r="B1439" i="13" s="1"/>
  <c r="B1440" i="13" s="1"/>
  <c r="B1441" i="13" s="1"/>
  <c r="B1442" i="13" s="1"/>
  <c r="B1443" i="13" s="1"/>
  <c r="B1444" i="13" s="1"/>
  <c r="B1445" i="13" s="1"/>
  <c r="B1446" i="13" s="1"/>
  <c r="B1447" i="13" s="1"/>
  <c r="B1448" i="13" s="1"/>
  <c r="B1449" i="13" s="1"/>
  <c r="B1450" i="13" s="1"/>
  <c r="B1451" i="13" s="1"/>
  <c r="B1452" i="13" s="1"/>
  <c r="B1453" i="13" s="1"/>
  <c r="B1454" i="13" s="1"/>
  <c r="B1455" i="13" s="1"/>
  <c r="B1456" i="13" s="1"/>
  <c r="B1457" i="13" s="1"/>
  <c r="B1458" i="13" s="1"/>
  <c r="B1459" i="13" s="1"/>
  <c r="B1460" i="13" s="1"/>
  <c r="B1461" i="13" s="1"/>
  <c r="B1462" i="13" s="1"/>
  <c r="B1463" i="13" s="1"/>
  <c r="B1464" i="13" s="1"/>
  <c r="B1465" i="13" s="1"/>
  <c r="B1466" i="13" s="1"/>
  <c r="B1467" i="13" s="1"/>
  <c r="B1468" i="13" s="1"/>
  <c r="B1469" i="13" s="1"/>
  <c r="B1470" i="13" s="1"/>
  <c r="B1471" i="13" s="1"/>
  <c r="B1472" i="13" s="1"/>
  <c r="B1473" i="13" s="1"/>
  <c r="B1474" i="13" s="1"/>
  <c r="B1475" i="13" s="1"/>
  <c r="B1476" i="13" s="1"/>
  <c r="B1477" i="13" s="1"/>
  <c r="B1478" i="13" s="1"/>
  <c r="B1479" i="13" s="1"/>
  <c r="B1480" i="13" s="1"/>
  <c r="B1481" i="13" s="1"/>
  <c r="B1482" i="13" s="1"/>
  <c r="B1483" i="13" s="1"/>
  <c r="B1484" i="13" s="1"/>
  <c r="B1485" i="13" s="1"/>
  <c r="B1486" i="13" s="1"/>
  <c r="B1487" i="13" s="1"/>
  <c r="B998" i="13"/>
  <c r="B999" i="13" s="1"/>
  <c r="B1000" i="13" s="1"/>
  <c r="B1001" i="13" s="1"/>
  <c r="B1002" i="13" s="1"/>
  <c r="B1003" i="13" s="1"/>
  <c r="B1004" i="13" s="1"/>
  <c r="B1005" i="13" s="1"/>
  <c r="B1006" i="13" s="1"/>
  <c r="B1007" i="13" s="1"/>
  <c r="B1008" i="13" s="1"/>
  <c r="B1009" i="13" s="1"/>
  <c r="B1010" i="13" s="1"/>
  <c r="B1011" i="13" s="1"/>
  <c r="B1012" i="13" s="1"/>
  <c r="B1013" i="13" s="1"/>
  <c r="B1014" i="13" s="1"/>
  <c r="B1015" i="13" s="1"/>
  <c r="B1016" i="13" s="1"/>
  <c r="B1017" i="13" s="1"/>
  <c r="B1018" i="13" s="1"/>
  <c r="B1019" i="13" s="1"/>
  <c r="B1020" i="13" s="1"/>
  <c r="B1021" i="13" s="1"/>
  <c r="B1022" i="13" s="1"/>
  <c r="B1023" i="13" s="1"/>
  <c r="B1024" i="13" s="1"/>
  <c r="B1025" i="13" s="1"/>
  <c r="B1026" i="13" s="1"/>
  <c r="B1027" i="13" s="1"/>
  <c r="B1028" i="13" s="1"/>
  <c r="B1029" i="13" s="1"/>
  <c r="B1030" i="13" s="1"/>
  <c r="B1031" i="13" s="1"/>
  <c r="B1032" i="13" s="1"/>
  <c r="B1033" i="13" s="1"/>
  <c r="B1034" i="13" s="1"/>
  <c r="B1035" i="13" s="1"/>
  <c r="B1036" i="13" s="1"/>
  <c r="B1037" i="13" s="1"/>
  <c r="B1038" i="13" s="1"/>
  <c r="B1039" i="13" s="1"/>
  <c r="B1040" i="13" s="1"/>
  <c r="B1041" i="13" s="1"/>
  <c r="B1042" i="13" s="1"/>
  <c r="B1043" i="13" s="1"/>
  <c r="B1044" i="13" s="1"/>
  <c r="B1045" i="13" s="1"/>
  <c r="B1046" i="13" s="1"/>
  <c r="B1047" i="13" s="1"/>
  <c r="B1048" i="13" s="1"/>
  <c r="B1049" i="13" s="1"/>
  <c r="B1050" i="13" s="1"/>
  <c r="B1051" i="13" s="1"/>
  <c r="B1052" i="13" s="1"/>
  <c r="B1053" i="13" s="1"/>
  <c r="B1054" i="13" s="1"/>
  <c r="B1055" i="13" s="1"/>
  <c r="B1056" i="13" s="1"/>
  <c r="B1057" i="13" s="1"/>
  <c r="B1058" i="13" s="1"/>
  <c r="B1059" i="13" s="1"/>
  <c r="B1060" i="13" s="1"/>
  <c r="B1061" i="13" s="1"/>
  <c r="B1062" i="13" s="1"/>
  <c r="B1063" i="13" s="1"/>
  <c r="B1064" i="13" s="1"/>
  <c r="B1065" i="13" s="1"/>
  <c r="B1066" i="13" s="1"/>
  <c r="B1067" i="13" s="1"/>
  <c r="B1068" i="13" s="1"/>
  <c r="B1069" i="13" s="1"/>
  <c r="B1070" i="13" s="1"/>
  <c r="B1071" i="13" s="1"/>
  <c r="B1072" i="13" s="1"/>
  <c r="B1073" i="13" s="1"/>
  <c r="B1074" i="13" s="1"/>
  <c r="B1075" i="13" s="1"/>
  <c r="B1076" i="13" s="1"/>
  <c r="B1077" i="13" s="1"/>
  <c r="B1078" i="13" s="1"/>
  <c r="B1079" i="13" s="1"/>
  <c r="B1080" i="13" s="1"/>
  <c r="B1081" i="13" s="1"/>
  <c r="B1082" i="13" s="1"/>
  <c r="B1083" i="13" s="1"/>
  <c r="B1084" i="13" s="1"/>
  <c r="B1085" i="13" s="1"/>
  <c r="B1086" i="13" s="1"/>
  <c r="B1087" i="13" s="1"/>
  <c r="B1088" i="13" s="1"/>
  <c r="B1089" i="13" s="1"/>
  <c r="B1090" i="13" s="1"/>
  <c r="B1091" i="13" s="1"/>
  <c r="B1092" i="13" s="1"/>
  <c r="B1093" i="13" s="1"/>
  <c r="B1094" i="13" s="1"/>
  <c r="B1095" i="13" s="1"/>
  <c r="B1096" i="13" s="1"/>
  <c r="B1097" i="13" s="1"/>
  <c r="B1098" i="13" s="1"/>
  <c r="B1099" i="13" s="1"/>
  <c r="B1100" i="13" s="1"/>
  <c r="B1101" i="13" s="1"/>
  <c r="B1102" i="13" s="1"/>
  <c r="B1103" i="13" s="1"/>
  <c r="B1104" i="13" s="1"/>
  <c r="B1105" i="13" s="1"/>
  <c r="B1106" i="13" s="1"/>
  <c r="B1107" i="13" s="1"/>
  <c r="B1108" i="13" s="1"/>
  <c r="B1109" i="13" s="1"/>
  <c r="B1110" i="13" s="1"/>
  <c r="B1111" i="13" s="1"/>
  <c r="B1112" i="13" s="1"/>
  <c r="B1113" i="13" s="1"/>
  <c r="B1114" i="13" s="1"/>
  <c r="B1115" i="13" s="1"/>
  <c r="B1116" i="13" s="1"/>
  <c r="B1117" i="13" s="1"/>
  <c r="B1118" i="13" s="1"/>
  <c r="B1119" i="13" s="1"/>
  <c r="B1120" i="13" s="1"/>
  <c r="B1121" i="13" s="1"/>
  <c r="B1122" i="13" s="1"/>
  <c r="B1123" i="13" s="1"/>
  <c r="B1124" i="13" s="1"/>
  <c r="B1125" i="13" s="1"/>
  <c r="B1126" i="13" s="1"/>
  <c r="B1127" i="13" s="1"/>
  <c r="B1128" i="13" s="1"/>
  <c r="B1129" i="13" s="1"/>
  <c r="B1130" i="13" s="1"/>
  <c r="B1131" i="13" s="1"/>
  <c r="B1132" i="13" s="1"/>
  <c r="B1133" i="13" s="1"/>
  <c r="B1134" i="13" s="1"/>
  <c r="B1135" i="13" s="1"/>
  <c r="B1136" i="13" s="1"/>
  <c r="B1137" i="13" s="1"/>
  <c r="B1138" i="13" s="1"/>
  <c r="B1139" i="13" s="1"/>
  <c r="B1140" i="13" s="1"/>
  <c r="B1141" i="13" s="1"/>
  <c r="B1142" i="13" s="1"/>
  <c r="B1143" i="13" s="1"/>
  <c r="B1144" i="13" s="1"/>
  <c r="B1145" i="13" s="1"/>
  <c r="B1146" i="13" s="1"/>
  <c r="B1147" i="13" s="1"/>
  <c r="B1148" i="13" s="1"/>
  <c r="B1149" i="13" s="1"/>
  <c r="B1150" i="13" s="1"/>
  <c r="B1151" i="13" s="1"/>
  <c r="B1152" i="13" s="1"/>
  <c r="B1153" i="13" s="1"/>
  <c r="B1154" i="13" s="1"/>
  <c r="B1155" i="13" s="1"/>
  <c r="B1156" i="13" s="1"/>
  <c r="B1157" i="13" s="1"/>
  <c r="B1158" i="13" s="1"/>
  <c r="B1159" i="13" s="1"/>
  <c r="B1160" i="13" s="1"/>
  <c r="B1161" i="13" s="1"/>
  <c r="B1162" i="13" s="1"/>
  <c r="B1163" i="13" s="1"/>
  <c r="B1164" i="13" s="1"/>
  <c r="B1165" i="13" s="1"/>
  <c r="B1166" i="13" s="1"/>
  <c r="B1167" i="13" s="1"/>
  <c r="B1168" i="13" s="1"/>
  <c r="B1169" i="13" s="1"/>
  <c r="B1170" i="13" s="1"/>
  <c r="B1171" i="13" s="1"/>
  <c r="B1172" i="13" s="1"/>
  <c r="B1173" i="13" s="1"/>
  <c r="B1174" i="13" s="1"/>
  <c r="B1175" i="13" s="1"/>
  <c r="B1176" i="13" s="1"/>
  <c r="B1177" i="13" s="1"/>
  <c r="B1178" i="13" s="1"/>
  <c r="B1179" i="13" s="1"/>
  <c r="B1180" i="13" s="1"/>
  <c r="B1181" i="13" s="1"/>
  <c r="B1182" i="13" s="1"/>
  <c r="B1183" i="13" s="1"/>
  <c r="B1184" i="13" s="1"/>
  <c r="B1185" i="13" s="1"/>
  <c r="B1186" i="13" s="1"/>
  <c r="B1187" i="13" s="1"/>
  <c r="B1188" i="13" s="1"/>
  <c r="B1189" i="13" s="1"/>
  <c r="B1190" i="13" s="1"/>
  <c r="B1191" i="13" s="1"/>
  <c r="B1192" i="13" s="1"/>
  <c r="B1193" i="13" s="1"/>
  <c r="B1194" i="13" s="1"/>
  <c r="B1195" i="13" s="1"/>
  <c r="B1196" i="13" s="1"/>
  <c r="B1197" i="13" s="1"/>
  <c r="B1198" i="13" s="1"/>
  <c r="B1199" i="13" s="1"/>
  <c r="B1200" i="13" s="1"/>
  <c r="B1201" i="13" s="1"/>
  <c r="B1202" i="13" s="1"/>
  <c r="B1203" i="13" s="1"/>
  <c r="B1204" i="13" s="1"/>
  <c r="B1205" i="13" s="1"/>
  <c r="B1206" i="13" s="1"/>
  <c r="B1207" i="13" s="1"/>
  <c r="B1208" i="13" s="1"/>
  <c r="B1209" i="13" s="1"/>
  <c r="B1210" i="13" s="1"/>
  <c r="B1211" i="13" s="1"/>
  <c r="B1212" i="13" s="1"/>
  <c r="B1213" i="13" s="1"/>
  <c r="B1214" i="13" s="1"/>
  <c r="B1215" i="13" s="1"/>
  <c r="B1216" i="13" s="1"/>
  <c r="B1217" i="13" s="1"/>
  <c r="B1218" i="13" s="1"/>
  <c r="B1219" i="13" s="1"/>
  <c r="B1220" i="13" s="1"/>
  <c r="B1221" i="13" s="1"/>
  <c r="B1222" i="13" s="1"/>
  <c r="B1223" i="13" s="1"/>
  <c r="B1224" i="13" s="1"/>
  <c r="B1225" i="13" s="1"/>
  <c r="B1226" i="13" s="1"/>
  <c r="B1227" i="13" s="1"/>
  <c r="B1228" i="13" s="1"/>
  <c r="B1229" i="13" s="1"/>
  <c r="B1230" i="13" s="1"/>
  <c r="B1231" i="13" s="1"/>
  <c r="B1232" i="13" s="1"/>
  <c r="B1233" i="13" s="1"/>
  <c r="B1234" i="13" s="1"/>
  <c r="B1235" i="13" s="1"/>
  <c r="B1236" i="13" s="1"/>
  <c r="B1237" i="13" s="1"/>
  <c r="B1238" i="13" s="1"/>
  <c r="B1239" i="13" s="1"/>
  <c r="B750" i="13"/>
  <c r="B751" i="13" s="1"/>
  <c r="B752" i="13" s="1"/>
  <c r="B753" i="13" s="1"/>
  <c r="B754" i="13" s="1"/>
  <c r="B755" i="13" s="1"/>
  <c r="B756" i="13" s="1"/>
  <c r="B757" i="13" s="1"/>
  <c r="B758" i="13" s="1"/>
  <c r="B759" i="13" s="1"/>
  <c r="B760" i="13" s="1"/>
  <c r="B761" i="13" s="1"/>
  <c r="B762" i="13" s="1"/>
  <c r="B763" i="13" s="1"/>
  <c r="B764" i="13" s="1"/>
  <c r="B765" i="13" s="1"/>
  <c r="B766" i="13" s="1"/>
  <c r="B767" i="13" s="1"/>
  <c r="B768" i="13" s="1"/>
  <c r="B769" i="13" s="1"/>
  <c r="B770" i="13" s="1"/>
  <c r="B771" i="13" s="1"/>
  <c r="B772" i="13" s="1"/>
  <c r="B773" i="13" s="1"/>
  <c r="B774" i="13" s="1"/>
  <c r="B775" i="13" s="1"/>
  <c r="B776" i="13" s="1"/>
  <c r="B777" i="13" s="1"/>
  <c r="B778" i="13" s="1"/>
  <c r="B779" i="13" s="1"/>
  <c r="B780" i="13" s="1"/>
  <c r="B781" i="13" s="1"/>
  <c r="B782" i="13" s="1"/>
  <c r="B783" i="13" s="1"/>
  <c r="B784" i="13" s="1"/>
  <c r="B785" i="13" s="1"/>
  <c r="B786" i="13" s="1"/>
  <c r="B787" i="13" s="1"/>
  <c r="B788" i="13" s="1"/>
  <c r="B789" i="13" s="1"/>
  <c r="B790" i="13" s="1"/>
  <c r="B791" i="13" s="1"/>
  <c r="B792" i="13" s="1"/>
  <c r="B793" i="13" s="1"/>
  <c r="B794" i="13" s="1"/>
  <c r="B795" i="13" s="1"/>
  <c r="B796" i="13" s="1"/>
  <c r="B797" i="13" s="1"/>
  <c r="B798" i="13" s="1"/>
  <c r="B799" i="13" s="1"/>
  <c r="B800" i="13" s="1"/>
  <c r="B801" i="13" s="1"/>
  <c r="B802" i="13" s="1"/>
  <c r="B803" i="13" s="1"/>
  <c r="B804" i="13" s="1"/>
  <c r="B805" i="13" s="1"/>
  <c r="B806" i="13" s="1"/>
  <c r="B807" i="13" s="1"/>
  <c r="B808" i="13" s="1"/>
  <c r="B809" i="13" s="1"/>
  <c r="B810" i="13" s="1"/>
  <c r="B811" i="13" s="1"/>
  <c r="B812" i="13" s="1"/>
  <c r="B813" i="13" s="1"/>
  <c r="B814" i="13" s="1"/>
  <c r="B815" i="13" s="1"/>
  <c r="B816" i="13" s="1"/>
  <c r="B817" i="13" s="1"/>
  <c r="B818" i="13" s="1"/>
  <c r="B819" i="13" s="1"/>
  <c r="B820" i="13" s="1"/>
  <c r="B821" i="13" s="1"/>
  <c r="B822" i="13" s="1"/>
  <c r="B823" i="13" s="1"/>
  <c r="B824" i="13" s="1"/>
  <c r="B825" i="13" s="1"/>
  <c r="B826" i="13" s="1"/>
  <c r="B827" i="13" s="1"/>
  <c r="B828" i="13" s="1"/>
  <c r="B829" i="13" s="1"/>
  <c r="B830" i="13" s="1"/>
  <c r="B831" i="13" s="1"/>
  <c r="B832" i="13" s="1"/>
  <c r="B833" i="13" s="1"/>
  <c r="B834" i="13" s="1"/>
  <c r="B835" i="13" s="1"/>
  <c r="B836" i="13" s="1"/>
  <c r="B837" i="13" s="1"/>
  <c r="B838" i="13" s="1"/>
  <c r="B839" i="13" s="1"/>
  <c r="B840" i="13" s="1"/>
  <c r="B841" i="13" s="1"/>
  <c r="B842" i="13" s="1"/>
  <c r="B843" i="13" s="1"/>
  <c r="B844" i="13" s="1"/>
  <c r="B845" i="13" s="1"/>
  <c r="B846" i="13" s="1"/>
  <c r="B847" i="13" s="1"/>
  <c r="B848" i="13" s="1"/>
  <c r="B849" i="13" s="1"/>
  <c r="B850" i="13" s="1"/>
  <c r="B851" i="13" s="1"/>
  <c r="B852" i="13" s="1"/>
  <c r="B853" i="13" s="1"/>
  <c r="B854" i="13" s="1"/>
  <c r="B855" i="13" s="1"/>
  <c r="B856" i="13" s="1"/>
  <c r="B857" i="13" s="1"/>
  <c r="B858" i="13" s="1"/>
  <c r="B859" i="13" s="1"/>
  <c r="B860" i="13" s="1"/>
  <c r="B861" i="13" s="1"/>
  <c r="B862" i="13" s="1"/>
  <c r="B863" i="13" s="1"/>
  <c r="B864" i="13" s="1"/>
  <c r="B865" i="13" s="1"/>
  <c r="B866" i="13" s="1"/>
  <c r="B867" i="13" s="1"/>
  <c r="B868" i="13" s="1"/>
  <c r="B869" i="13" s="1"/>
  <c r="B870" i="13" s="1"/>
  <c r="B871" i="13" s="1"/>
  <c r="B872" i="13" s="1"/>
  <c r="B873" i="13" s="1"/>
  <c r="B874" i="13" s="1"/>
  <c r="B875" i="13" s="1"/>
  <c r="B876" i="13" s="1"/>
  <c r="B877" i="13" s="1"/>
  <c r="B878" i="13" s="1"/>
  <c r="B879" i="13" s="1"/>
  <c r="B880" i="13" s="1"/>
  <c r="B881" i="13" s="1"/>
  <c r="B882" i="13" s="1"/>
  <c r="B883" i="13" s="1"/>
  <c r="B884" i="13" s="1"/>
  <c r="B885" i="13" s="1"/>
  <c r="B886" i="13" s="1"/>
  <c r="B887" i="13" s="1"/>
  <c r="B888" i="13" s="1"/>
  <c r="B889" i="13" s="1"/>
  <c r="B890" i="13" s="1"/>
  <c r="B891" i="13" s="1"/>
  <c r="B892" i="13" s="1"/>
  <c r="B893" i="13" s="1"/>
  <c r="B894" i="13" s="1"/>
  <c r="B895" i="13" s="1"/>
  <c r="B896" i="13" s="1"/>
  <c r="B897" i="13" s="1"/>
  <c r="B898" i="13" s="1"/>
  <c r="B899" i="13" s="1"/>
  <c r="B900" i="13" s="1"/>
  <c r="B901" i="13" s="1"/>
  <c r="B902" i="13" s="1"/>
  <c r="B903" i="13" s="1"/>
  <c r="B904" i="13" s="1"/>
  <c r="B905" i="13" s="1"/>
  <c r="B906" i="13" s="1"/>
  <c r="B907" i="13" s="1"/>
  <c r="B908" i="13" s="1"/>
  <c r="B909" i="13" s="1"/>
  <c r="B910" i="13" s="1"/>
  <c r="B911" i="13" s="1"/>
  <c r="B912" i="13" s="1"/>
  <c r="B913" i="13" s="1"/>
  <c r="B914" i="13" s="1"/>
  <c r="B915" i="13" s="1"/>
  <c r="B916" i="13" s="1"/>
  <c r="B917" i="13" s="1"/>
  <c r="B918" i="13" s="1"/>
  <c r="B919" i="13" s="1"/>
  <c r="B920" i="13" s="1"/>
  <c r="B921" i="13" s="1"/>
  <c r="B922" i="13" s="1"/>
  <c r="B923" i="13" s="1"/>
  <c r="B924" i="13" s="1"/>
  <c r="B925" i="13" s="1"/>
  <c r="B926" i="13" s="1"/>
  <c r="B927" i="13" s="1"/>
  <c r="B928" i="13" s="1"/>
  <c r="B929" i="13" s="1"/>
  <c r="B930" i="13" s="1"/>
  <c r="B931" i="13" s="1"/>
  <c r="B932" i="13" s="1"/>
  <c r="B933" i="13" s="1"/>
  <c r="B934" i="13" s="1"/>
  <c r="B935" i="13" s="1"/>
  <c r="B936" i="13" s="1"/>
  <c r="B937" i="13" s="1"/>
  <c r="B938" i="13" s="1"/>
  <c r="B939" i="13" s="1"/>
  <c r="B940" i="13" s="1"/>
  <c r="B941" i="13" s="1"/>
  <c r="B942" i="13" s="1"/>
  <c r="B943" i="13" s="1"/>
  <c r="B944" i="13" s="1"/>
  <c r="B945" i="13" s="1"/>
  <c r="B946" i="13" s="1"/>
  <c r="B947" i="13" s="1"/>
  <c r="B948" i="13" s="1"/>
  <c r="B949" i="13" s="1"/>
  <c r="B950" i="13" s="1"/>
  <c r="B951" i="13" s="1"/>
  <c r="B952" i="13" s="1"/>
  <c r="B953" i="13" s="1"/>
  <c r="B954" i="13" s="1"/>
  <c r="B955" i="13" s="1"/>
  <c r="B956" i="13" s="1"/>
  <c r="B957" i="13" s="1"/>
  <c r="B958" i="13" s="1"/>
  <c r="B959" i="13" s="1"/>
  <c r="B960" i="13" s="1"/>
  <c r="B961" i="13" s="1"/>
  <c r="B962" i="13" s="1"/>
  <c r="B963" i="13" s="1"/>
  <c r="B964" i="13" s="1"/>
  <c r="B965" i="13" s="1"/>
  <c r="B966" i="13" s="1"/>
  <c r="B967" i="13" s="1"/>
  <c r="B968" i="13" s="1"/>
  <c r="B969" i="13" s="1"/>
  <c r="B970" i="13" s="1"/>
  <c r="B971" i="13" s="1"/>
  <c r="B972" i="13" s="1"/>
  <c r="B973" i="13" s="1"/>
  <c r="B974" i="13" s="1"/>
  <c r="B975" i="13" s="1"/>
  <c r="B976" i="13" s="1"/>
  <c r="B977" i="13" s="1"/>
  <c r="B978" i="13" s="1"/>
  <c r="B979" i="13" s="1"/>
  <c r="B980" i="13" s="1"/>
  <c r="B981" i="13" s="1"/>
  <c r="B982" i="13" s="1"/>
  <c r="B983" i="13" s="1"/>
  <c r="B984" i="13" s="1"/>
  <c r="B985" i="13" s="1"/>
  <c r="B986" i="13" s="1"/>
  <c r="B987" i="13" s="1"/>
  <c r="B988" i="13" s="1"/>
  <c r="B989" i="13" s="1"/>
  <c r="B990" i="13" s="1"/>
  <c r="B991" i="13" s="1"/>
  <c r="B502" i="13"/>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690" i="13" s="1"/>
  <c r="B691" i="13" s="1"/>
  <c r="B692" i="13" s="1"/>
  <c r="B693" i="13" s="1"/>
  <c r="B694" i="13" s="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714" i="13" s="1"/>
  <c r="B715" i="13" s="1"/>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254" i="13"/>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6" i="13"/>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l="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AD58" i="13" l="1"/>
  <c r="D229" i="11"/>
  <c r="B229" i="11"/>
  <c r="AH28" i="13" l="1"/>
  <c r="AH29" i="13" s="1"/>
  <c r="AH30" i="13" s="1"/>
  <c r="AH31" i="13" s="1"/>
  <c r="AH32" i="13" s="1"/>
  <c r="AH33" i="13" s="1"/>
  <c r="AH34" i="13" s="1"/>
  <c r="AH35" i="13" s="1"/>
  <c r="AH36" i="13" s="1"/>
  <c r="AH37" i="13" s="1"/>
  <c r="AC41" i="13"/>
  <c r="AC36" i="13"/>
  <c r="AC31" i="13"/>
  <c r="AC27" i="13"/>
  <c r="AC23" i="13"/>
  <c r="Z41" i="13"/>
  <c r="Z40" i="13"/>
  <c r="AC40" i="13" s="1"/>
  <c r="Z36" i="13"/>
  <c r="AC35" i="13"/>
  <c r="Z31" i="13"/>
  <c r="Z30" i="13"/>
  <c r="AD30" i="13" s="1"/>
  <c r="AD31" i="13" s="1"/>
  <c r="Z27" i="13"/>
  <c r="Z26" i="13"/>
  <c r="AC26" i="13" s="1"/>
  <c r="Z23" i="13"/>
  <c r="Z22" i="13"/>
  <c r="AD22" i="13" s="1"/>
  <c r="AD23" i="13" s="1"/>
  <c r="AC30" i="13" l="1"/>
  <c r="AD26" i="13"/>
  <c r="AD27" i="13" s="1"/>
  <c r="AC22" i="13"/>
  <c r="AH8" i="13"/>
  <c r="AH9" i="13" s="1"/>
  <c r="AH10" i="13" s="1"/>
  <c r="AH11" i="13" s="1"/>
  <c r="AH12" i="13" s="1"/>
  <c r="AH13" i="13" s="1"/>
  <c r="AH14" i="13" s="1"/>
  <c r="AH15" i="13" s="1"/>
  <c r="AH16" i="13" s="1"/>
  <c r="AH17" i="13" s="1"/>
  <c r="AP8" i="13"/>
  <c r="AP9" i="13" s="1"/>
  <c r="AP10" i="13" s="1"/>
  <c r="AP11" i="13" s="1"/>
  <c r="AP12" i="13" s="1"/>
  <c r="AP13" i="13" s="1"/>
  <c r="AP14" i="13" s="1"/>
  <c r="AP15" i="13" s="1"/>
  <c r="AP16" i="13" s="1"/>
  <c r="AP17" i="13" s="1"/>
  <c r="AI20" i="13"/>
  <c r="AH20" i="13"/>
  <c r="AA22" i="13" s="1"/>
  <c r="AA23" i="13" s="1"/>
  <c r="P34" i="12"/>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Z18" i="13"/>
  <c r="AC18" i="13" s="1"/>
  <c r="AC19" i="13" s="1"/>
  <c r="Z19" i="13" l="1"/>
  <c r="AS14" i="13"/>
  <c r="AA26" i="13"/>
  <c r="AA27" i="13" s="1"/>
  <c r="AK20" i="13"/>
  <c r="AA35" i="13" s="1"/>
  <c r="AJ20" i="13"/>
  <c r="AA30" i="13" s="1"/>
  <c r="AA31" i="13" s="1"/>
  <c r="AR14" i="13"/>
  <c r="AR8" i="13"/>
  <c r="AR10" i="13"/>
  <c r="AR12" i="13"/>
  <c r="AS9" i="13"/>
  <c r="AR16" i="13"/>
  <c r="AS13" i="13"/>
  <c r="AS17" i="13"/>
  <c r="AR7" i="13"/>
  <c r="AS8" i="13"/>
  <c r="AR11" i="13"/>
  <c r="AS12" i="13"/>
  <c r="AR15" i="13"/>
  <c r="AS16" i="13"/>
  <c r="AS7" i="13"/>
  <c r="AS11" i="13"/>
  <c r="AS15" i="13"/>
  <c r="AR9" i="13"/>
  <c r="AS10" i="13"/>
  <c r="AR13" i="13"/>
  <c r="AR17" i="13"/>
  <c r="P450" i="12"/>
  <c r="AA36" i="13" l="1"/>
  <c r="AD35" i="13"/>
  <c r="AD36" i="13" s="1"/>
  <c r="AU16" i="13"/>
  <c r="AU13" i="13"/>
  <c r="AU8" i="13"/>
  <c r="AU15" i="13"/>
  <c r="AU11" i="13"/>
  <c r="AU12" i="13"/>
  <c r="AU10" i="13"/>
  <c r="AU9" i="13"/>
  <c r="AU14" i="13"/>
  <c r="AU17" i="13"/>
  <c r="AU7" i="13"/>
  <c r="AT15" i="13"/>
  <c r="AT11" i="13"/>
  <c r="AT7" i="13"/>
  <c r="AT16" i="13"/>
  <c r="AT12" i="13"/>
  <c r="AT8" i="13"/>
  <c r="AT17" i="13"/>
  <c r="AT13" i="13"/>
  <c r="AT9" i="13"/>
  <c r="AT14" i="13"/>
  <c r="AT10" i="13"/>
  <c r="P451" i="12"/>
  <c r="Z5" i="13"/>
  <c r="Z6" i="13" s="1"/>
  <c r="Z7" i="13" s="1"/>
  <c r="Z8" i="13" s="1"/>
  <c r="Z9" i="13" s="1"/>
  <c r="Z10" i="13" s="1"/>
  <c r="Z11" i="13" s="1"/>
  <c r="Z12" i="13" s="1"/>
  <c r="Z13" i="13" s="1"/>
  <c r="Z14" i="13" s="1"/>
  <c r="P452" i="12" l="1"/>
  <c r="P453" i="12" l="1"/>
  <c r="K82" i="6"/>
  <c r="D4" i="12"/>
  <c r="B155" i="9"/>
  <c r="B156" i="9" s="1"/>
  <c r="P454" i="12" l="1"/>
  <c r="I92" i="9"/>
  <c r="B157" i="9"/>
  <c r="B158" i="9" s="1"/>
  <c r="B159" i="9" s="1"/>
  <c r="B160" i="9" s="1"/>
  <c r="B161" i="9" s="1"/>
  <c r="B162" i="9" s="1"/>
  <c r="B163" i="9" s="1"/>
  <c r="B164" i="9" s="1"/>
  <c r="G54" i="9"/>
  <c r="F52" i="14" s="1"/>
  <c r="G51" i="9"/>
  <c r="F49" i="14" s="1"/>
  <c r="G36" i="9"/>
  <c r="F35" i="14" s="1"/>
  <c r="G35" i="9"/>
  <c r="F34" i="14" s="1"/>
  <c r="G34" i="9"/>
  <c r="F33" i="14" s="1"/>
  <c r="P455" i="12" l="1"/>
  <c r="P38" i="3"/>
  <c r="P37" i="3"/>
  <c r="P34" i="3"/>
  <c r="N178" i="11"/>
  <c r="N179" i="11"/>
  <c r="P35" i="3" s="1"/>
  <c r="N180" i="11"/>
  <c r="P36" i="3" s="1"/>
  <c r="P456" i="12" l="1"/>
  <c r="AC104" i="3"/>
  <c r="AC87" i="3"/>
  <c r="D21" i="8"/>
  <c r="P457" i="12" l="1"/>
  <c r="O92" i="8"/>
  <c r="O93" i="8" s="1"/>
  <c r="J22" i="8"/>
  <c r="P458" i="12" l="1"/>
  <c r="AQ24" i="12"/>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D5" i="12"/>
  <c r="P459" i="12" l="1"/>
  <c r="G70" i="9"/>
  <c r="E83" i="2"/>
  <c r="P460" i="12" l="1"/>
  <c r="V99" i="3"/>
  <c r="V116" i="3"/>
  <c r="B121" i="5"/>
  <c r="B121" i="4"/>
  <c r="B71" i="14"/>
  <c r="AN24" i="12"/>
  <c r="AN25" i="12" s="1"/>
  <c r="AN26" i="12" s="1"/>
  <c r="AN27" i="12" s="1"/>
  <c r="AN28" i="12" s="1"/>
  <c r="AN29" i="12" s="1"/>
  <c r="AN30" i="12" s="1"/>
  <c r="AN31" i="12" s="1"/>
  <c r="AN32" i="12" s="1"/>
  <c r="AN33" i="12" s="1"/>
  <c r="AN34" i="12" s="1"/>
  <c r="AN35" i="12" s="1"/>
  <c r="AN36" i="12" s="1"/>
  <c r="AN37" i="12" s="1"/>
  <c r="AN38" i="12" s="1"/>
  <c r="AN39" i="12" s="1"/>
  <c r="AN40" i="12" s="1"/>
  <c r="AN41" i="12" s="1"/>
  <c r="AN42" i="12" s="1"/>
  <c r="AN43" i="12" s="1"/>
  <c r="P461" i="12" l="1"/>
  <c r="W235" i="11"/>
  <c r="W223" i="11"/>
  <c r="W229" i="11"/>
  <c r="W224" i="11"/>
  <c r="W225" i="11"/>
  <c r="W226" i="11"/>
  <c r="W230" i="11"/>
  <c r="W231" i="11"/>
  <c r="W232" i="11"/>
  <c r="W236" i="11"/>
  <c r="W237" i="11"/>
  <c r="W238" i="11"/>
  <c r="P462" i="12" l="1"/>
  <c r="K74" i="3"/>
  <c r="D69" i="3"/>
  <c r="J88" i="3" s="1"/>
  <c r="P463" i="12" l="1"/>
  <c r="E85" i="8"/>
  <c r="C85" i="8"/>
  <c r="C71" i="2"/>
  <c r="P464" i="12" l="1"/>
  <c r="J134" i="3"/>
  <c r="K154" i="11"/>
  <c r="D7" i="9"/>
  <c r="AG87" i="3"/>
  <c r="AG104" i="3"/>
  <c r="AD104" i="3"/>
  <c r="AD87" i="3"/>
  <c r="AE87" i="3"/>
  <c r="P465" i="12" l="1"/>
  <c r="D25" i="3"/>
  <c r="H30" i="7" s="1"/>
  <c r="D24" i="3"/>
  <c r="D23" i="3"/>
  <c r="D22" i="3"/>
  <c r="H27" i="6" s="1"/>
  <c r="D21" i="3"/>
  <c r="H26" i="6" s="1"/>
  <c r="N76" i="3"/>
  <c r="B78" i="3"/>
  <c r="M74" i="3"/>
  <c r="L74" i="3"/>
  <c r="AE104" i="3"/>
  <c r="AF104" i="3"/>
  <c r="AI104" i="3"/>
  <c r="AH104" i="3"/>
  <c r="AH87" i="3"/>
  <c r="AI87" i="3"/>
  <c r="AF87" i="3"/>
  <c r="F104" i="3"/>
  <c r="F87" i="3"/>
  <c r="P466" i="12" l="1"/>
  <c r="H27" i="7"/>
  <c r="H30" i="6"/>
  <c r="H20" i="5"/>
  <c r="H26" i="7"/>
  <c r="F22" i="14"/>
  <c r="G23" i="9"/>
  <c r="H21" i="4"/>
  <c r="H22" i="5"/>
  <c r="F23" i="14"/>
  <c r="G24" i="9"/>
  <c r="H28" i="6"/>
  <c r="H19" i="5"/>
  <c r="G21" i="9"/>
  <c r="F20" i="14"/>
  <c r="H23" i="5"/>
  <c r="G25" i="9"/>
  <c r="F24" i="14"/>
  <c r="H21" i="5"/>
  <c r="H29" i="6"/>
  <c r="H28" i="7"/>
  <c r="G22" i="9"/>
  <c r="F21" i="14"/>
  <c r="H20" i="4"/>
  <c r="H29" i="7"/>
  <c r="H19" i="4"/>
  <c r="H23" i="4"/>
  <c r="H22" i="4"/>
  <c r="P467" i="12" l="1"/>
  <c r="I63" i="3"/>
  <c r="P468" i="12" l="1"/>
  <c r="D119" i="4"/>
  <c r="E39" i="2"/>
  <c r="D104" i="5" l="1"/>
  <c r="C85" i="5"/>
  <c r="C80" i="5"/>
  <c r="D64" i="5"/>
  <c r="D63" i="5"/>
  <c r="D62" i="5"/>
  <c r="H61" i="5"/>
  <c r="D61" i="5"/>
  <c r="B168" i="14"/>
  <c r="B165" i="14"/>
  <c r="G130" i="14"/>
  <c r="F112" i="14"/>
  <c r="F111" i="14"/>
  <c r="D7" i="14"/>
  <c r="G64" i="5" l="1"/>
  <c r="C37" i="5"/>
  <c r="D41" i="8"/>
  <c r="D55" i="8"/>
  <c r="C45" i="8"/>
  <c r="I70" i="11" l="1"/>
  <c r="D88" i="3"/>
  <c r="C104" i="9" s="1"/>
  <c r="F33" i="3"/>
  <c r="D70" i="3"/>
  <c r="K88" i="3" s="1"/>
  <c r="C226" i="11"/>
  <c r="P102" i="8"/>
  <c r="E25" i="2"/>
  <c r="G53" i="9" s="1"/>
  <c r="E11" i="2"/>
  <c r="E14" i="2" s="1"/>
  <c r="E49" i="2"/>
  <c r="M154" i="11"/>
  <c r="D15" i="3"/>
  <c r="I73" i="11"/>
  <c r="C8" i="3"/>
  <c r="D104" i="4"/>
  <c r="D99" i="8"/>
  <c r="E170" i="2"/>
  <c r="P19" i="8"/>
  <c r="J32" i="8"/>
  <c r="N86" i="8"/>
  <c r="D210" i="11"/>
  <c r="D212" i="11" s="1"/>
  <c r="D209" i="11"/>
  <c r="J15" i="12" s="1"/>
  <c r="D18" i="8"/>
  <c r="D20" i="8" s="1"/>
  <c r="C72" i="8"/>
  <c r="C73" i="8" s="1"/>
  <c r="C74" i="8" s="1"/>
  <c r="C75" i="8" s="1"/>
  <c r="C76" i="8" s="1"/>
  <c r="C77" i="8" s="1"/>
  <c r="Q33" i="8"/>
  <c r="H96" i="8"/>
  <c r="J74" i="3"/>
  <c r="G75" i="3"/>
  <c r="F76" i="3"/>
  <c r="F274" i="2"/>
  <c r="F272" i="2"/>
  <c r="E66" i="11"/>
  <c r="G67" i="11"/>
  <c r="E68" i="11"/>
  <c r="E67" i="11"/>
  <c r="N199" i="11"/>
  <c r="E41" i="2" s="1"/>
  <c r="O199" i="11"/>
  <c r="E44" i="2" s="1"/>
  <c r="E46" i="2" s="1"/>
  <c r="N200" i="11"/>
  <c r="O200" i="11"/>
  <c r="N201" i="11"/>
  <c r="O201" i="11"/>
  <c r="N202" i="11"/>
  <c r="O202" i="11"/>
  <c r="G217" i="11"/>
  <c r="E40" i="2"/>
  <c r="E47" i="2"/>
  <c r="J34" i="15" s="1"/>
  <c r="B6" i="15"/>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H197" i="11"/>
  <c r="C84" i="3"/>
  <c r="M166" i="11"/>
  <c r="V150" i="11" s="1"/>
  <c r="C105" i="3"/>
  <c r="Q166" i="11" s="1"/>
  <c r="Z166" i="11" s="1"/>
  <c r="D61" i="3"/>
  <c r="D59" i="3"/>
  <c r="D56" i="3"/>
  <c r="M105" i="8"/>
  <c r="M103" i="8"/>
  <c r="P3" i="11"/>
  <c r="P4" i="11"/>
  <c r="P5" i="11" s="1"/>
  <c r="P6" i="11" s="1"/>
  <c r="P7" i="11" s="1"/>
  <c r="P8" i="11" s="1"/>
  <c r="P9" i="11" s="1"/>
  <c r="P10" i="11" s="1"/>
  <c r="P11" i="11" s="1"/>
  <c r="P12" i="11" s="1"/>
  <c r="P13" i="11" s="1"/>
  <c r="P14" i="11" s="1"/>
  <c r="P15" i="11" s="1"/>
  <c r="P16" i="11" s="1"/>
  <c r="P17" i="11" s="1"/>
  <c r="P18" i="11" s="1"/>
  <c r="P19" i="11" s="1"/>
  <c r="P20" i="11" s="1"/>
  <c r="P21" i="11" s="1"/>
  <c r="P22" i="11" s="1"/>
  <c r="P23" i="11" s="1"/>
  <c r="P24" i="11" s="1"/>
  <c r="P25" i="11" s="1"/>
  <c r="P26" i="11" s="1"/>
  <c r="P27" i="11" s="1"/>
  <c r="P28" i="11" s="1"/>
  <c r="P29" i="11" s="1"/>
  <c r="P30" i="11" s="1"/>
  <c r="P31" i="11" s="1"/>
  <c r="P32" i="11" s="1"/>
  <c r="P33" i="11" s="1"/>
  <c r="P34" i="11" s="1"/>
  <c r="P35" i="11" s="1"/>
  <c r="P36" i="11" s="1"/>
  <c r="P37" i="11" s="1"/>
  <c r="P38" i="11" s="1"/>
  <c r="P39" i="11" s="1"/>
  <c r="P40" i="11" s="1"/>
  <c r="P41" i="11" s="1"/>
  <c r="P42" i="11" s="1"/>
  <c r="P43" i="11" s="1"/>
  <c r="P44" i="11" s="1"/>
  <c r="P45" i="11" s="1"/>
  <c r="P46" i="11" s="1"/>
  <c r="P47" i="11" s="1"/>
  <c r="P48" i="11" s="1"/>
  <c r="P49" i="11" s="1"/>
  <c r="P50" i="11" s="1"/>
  <c r="P51" i="11" s="1"/>
  <c r="P52" i="11" s="1"/>
  <c r="P53" i="11" s="1"/>
  <c r="P54" i="11" s="1"/>
  <c r="P55" i="11" s="1"/>
  <c r="P56" i="11" s="1"/>
  <c r="P57" i="11" s="1"/>
  <c r="P58" i="11" s="1"/>
  <c r="P59" i="11" s="1"/>
  <c r="P60" i="11" s="1"/>
  <c r="P61" i="11" s="1"/>
  <c r="P62" i="11" s="1"/>
  <c r="P63" i="11" s="1"/>
  <c r="P64" i="11" s="1"/>
  <c r="P65" i="11" s="1"/>
  <c r="P66" i="11" s="1"/>
  <c r="P67" i="11" s="1"/>
  <c r="P68" i="11" s="1"/>
  <c r="P69" i="11" s="1"/>
  <c r="P70" i="11" s="1"/>
  <c r="P71" i="11" s="1"/>
  <c r="P72" i="11" s="1"/>
  <c r="P73" i="11" s="1"/>
  <c r="P74" i="11" s="1"/>
  <c r="P75" i="11" s="1"/>
  <c r="P76" i="11" s="1"/>
  <c r="P77" i="11" s="1"/>
  <c r="P78" i="11" s="1"/>
  <c r="P79" i="11" s="1"/>
  <c r="P80" i="11" s="1"/>
  <c r="P81" i="11" s="1"/>
  <c r="P82" i="11" s="1"/>
  <c r="P83" i="11" s="1"/>
  <c r="P84" i="11" s="1"/>
  <c r="P85" i="11" s="1"/>
  <c r="P86" i="11" s="1"/>
  <c r="P87" i="11" s="1"/>
  <c r="P88" i="11" s="1"/>
  <c r="P89" i="11" s="1"/>
  <c r="P90" i="11" s="1"/>
  <c r="P91" i="11" s="1"/>
  <c r="P92" i="11" s="1"/>
  <c r="P93" i="11" s="1"/>
  <c r="P94" i="11" s="1"/>
  <c r="P95" i="11" s="1"/>
  <c r="P96" i="11" s="1"/>
  <c r="P97" i="11" s="1"/>
  <c r="P98" i="11" s="1"/>
  <c r="P99" i="11" s="1"/>
  <c r="P100" i="11" s="1"/>
  <c r="P101" i="11" s="1"/>
  <c r="P102" i="11" s="1"/>
  <c r="P103" i="11" s="1"/>
  <c r="P104" i="11" s="1"/>
  <c r="P105" i="11" s="1"/>
  <c r="P106" i="11" s="1"/>
  <c r="P107" i="11" s="1"/>
  <c r="P108" i="11" s="1"/>
  <c r="P109" i="11" s="1"/>
  <c r="P110" i="11" s="1"/>
  <c r="P111" i="11" s="1"/>
  <c r="P112" i="11" s="1"/>
  <c r="P113" i="11" s="1"/>
  <c r="P114" i="11" s="1"/>
  <c r="P115" i="11" s="1"/>
  <c r="P116" i="11" s="1"/>
  <c r="P117" i="11" s="1"/>
  <c r="P118" i="11" s="1"/>
  <c r="P119" i="11" s="1"/>
  <c r="P120" i="11" s="1"/>
  <c r="P121" i="11" s="1"/>
  <c r="P122" i="11" s="1"/>
  <c r="P123" i="11" s="1"/>
  <c r="P124" i="11" s="1"/>
  <c r="P125" i="11" s="1"/>
  <c r="P126" i="11" s="1"/>
  <c r="P127" i="11" s="1"/>
  <c r="P128" i="11" s="1"/>
  <c r="P129" i="11" s="1"/>
  <c r="P130" i="11" s="1"/>
  <c r="P131" i="11" s="1"/>
  <c r="P132" i="11" s="1"/>
  <c r="P133" i="11" s="1"/>
  <c r="P134" i="11" s="1"/>
  <c r="P135" i="11" s="1"/>
  <c r="P136" i="11" s="1"/>
  <c r="P137" i="11" s="1"/>
  <c r="P138" i="11" s="1"/>
  <c r="P139" i="11" s="1"/>
  <c r="P140" i="11" s="1"/>
  <c r="P141" i="11" s="1"/>
  <c r="P142" i="11" s="1"/>
  <c r="P143" i="11" s="1"/>
  <c r="P144" i="11" s="1"/>
  <c r="P145" i="11" s="1"/>
  <c r="P146" i="11" s="1"/>
  <c r="P147" i="11" s="1"/>
  <c r="P148" i="11" s="1"/>
  <c r="P149" i="11" s="1"/>
  <c r="P150" i="11" s="1"/>
  <c r="P151" i="11" s="1"/>
  <c r="P152" i="11" s="1"/>
  <c r="U3" i="11"/>
  <c r="U4" i="11" s="1"/>
  <c r="U5" i="11" s="1"/>
  <c r="U6" i="11" s="1"/>
  <c r="U7" i="11" s="1"/>
  <c r="U8" i="11" s="1"/>
  <c r="U9" i="11" s="1"/>
  <c r="U10" i="11" s="1"/>
  <c r="U11" i="11" s="1"/>
  <c r="U12" i="11" s="1"/>
  <c r="U13" i="11" s="1"/>
  <c r="U14" i="11" s="1"/>
  <c r="U15" i="11" s="1"/>
  <c r="U16" i="11" s="1"/>
  <c r="U17" i="11" s="1"/>
  <c r="U18" i="11" s="1"/>
  <c r="U19" i="11" s="1"/>
  <c r="U20" i="11" s="1"/>
  <c r="U21" i="11" s="1"/>
  <c r="U22" i="11" s="1"/>
  <c r="N88" i="8"/>
  <c r="C85" i="4"/>
  <c r="C80" i="4"/>
  <c r="M26" i="8"/>
  <c r="G84" i="8"/>
  <c r="G85" i="8" s="1"/>
  <c r="B450" i="12"/>
  <c r="B451" i="12" s="1"/>
  <c r="B452" i="12" s="1"/>
  <c r="B453" i="12" s="1"/>
  <c r="D103" i="8"/>
  <c r="D102" i="8"/>
  <c r="D96" i="8"/>
  <c r="C96" i="8"/>
  <c r="C95" i="8"/>
  <c r="D84" i="11"/>
  <c r="I39" i="6" s="1"/>
  <c r="D123" i="11"/>
  <c r="D124" i="11"/>
  <c r="D15" i="8"/>
  <c r="G15" i="8"/>
  <c r="H15" i="8" s="1"/>
  <c r="E64" i="5" s="1"/>
  <c r="F64" i="5" s="1"/>
  <c r="G64" i="4"/>
  <c r="S68" i="8"/>
  <c r="S64" i="8"/>
  <c r="K46" i="8" s="1"/>
  <c r="K47" i="8" s="1"/>
  <c r="K48" i="8" s="1"/>
  <c r="S63" i="8"/>
  <c r="S58" i="8"/>
  <c r="S57" i="8"/>
  <c r="S50" i="8"/>
  <c r="S49" i="8"/>
  <c r="S48" i="8"/>
  <c r="S46" i="8"/>
  <c r="S45" i="8"/>
  <c r="S44" i="8"/>
  <c r="F45" i="8"/>
  <c r="C46" i="8"/>
  <c r="D121" i="11"/>
  <c r="C263" i="10" s="1"/>
  <c r="G263" i="10" s="1"/>
  <c r="D119" i="11"/>
  <c r="D61" i="4"/>
  <c r="H61" i="4"/>
  <c r="C37" i="4"/>
  <c r="D62" i="4"/>
  <c r="D63" i="4"/>
  <c r="D64" i="4"/>
  <c r="D5" i="8"/>
  <c r="G5" i="8"/>
  <c r="D8" i="8"/>
  <c r="D11" i="8"/>
  <c r="E11" i="8"/>
  <c r="G11" i="8" s="1"/>
  <c r="D12" i="8"/>
  <c r="J13" i="8"/>
  <c r="J16" i="8" s="1"/>
  <c r="J25" i="8" s="1"/>
  <c r="E15" i="8"/>
  <c r="D46" i="8"/>
  <c r="G46" i="8"/>
  <c r="D47" i="8"/>
  <c r="G47" i="8"/>
  <c r="B51" i="8"/>
  <c r="D51" i="8"/>
  <c r="G51" i="8"/>
  <c r="B55" i="8"/>
  <c r="G55" i="8"/>
  <c r="B59" i="8"/>
  <c r="D59" i="8"/>
  <c r="G59" i="8"/>
  <c r="D63" i="8"/>
  <c r="G63" i="8"/>
  <c r="D67" i="8"/>
  <c r="D68" i="8" s="1"/>
  <c r="D69" i="8" s="1"/>
  <c r="G67" i="8"/>
  <c r="G68" i="8" s="1"/>
  <c r="G69" i="8" s="1"/>
  <c r="F73" i="8"/>
  <c r="B33" i="12"/>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D8" i="12"/>
  <c r="D9" i="12"/>
  <c r="D11" i="12"/>
  <c r="D12" i="12"/>
  <c r="D13" i="12"/>
  <c r="E88" i="11"/>
  <c r="N126" i="7"/>
  <c r="O129" i="7"/>
  <c r="K130" i="7"/>
  <c r="G26" i="11"/>
  <c r="D10" i="11"/>
  <c r="I43" i="6"/>
  <c r="I43" i="7"/>
  <c r="D44" i="6"/>
  <c r="D43" i="6"/>
  <c r="P58" i="6" s="1"/>
  <c r="D44" i="7"/>
  <c r="P58" i="7" s="1"/>
  <c r="P60" i="7" s="1"/>
  <c r="D43" i="7"/>
  <c r="I42" i="6"/>
  <c r="I42" i="7"/>
  <c r="D51" i="6"/>
  <c r="D49" i="6" s="1"/>
  <c r="E46" i="11"/>
  <c r="F46" i="11"/>
  <c r="C69" i="14" l="1"/>
  <c r="C276" i="10"/>
  <c r="G323" i="10" s="1"/>
  <c r="G278" i="10"/>
  <c r="C278" i="10"/>
  <c r="I200" i="10"/>
  <c r="H200" i="10"/>
  <c r="C344" i="10"/>
  <c r="C314" i="10"/>
  <c r="C315" i="10" s="1"/>
  <c r="F51" i="14"/>
  <c r="V166" i="11"/>
  <c r="G41" i="9"/>
  <c r="G38" i="9"/>
  <c r="F37" i="14" s="1"/>
  <c r="D57" i="3"/>
  <c r="K68" i="8"/>
  <c r="P90" i="8"/>
  <c r="P87" i="8"/>
  <c r="P88" i="8" s="1"/>
  <c r="P86" i="8"/>
  <c r="P89" i="8"/>
  <c r="S59" i="8"/>
  <c r="B327" i="12"/>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D105" i="3"/>
  <c r="J26" i="8"/>
  <c r="J27" i="8" s="1"/>
  <c r="I81" i="8"/>
  <c r="D54" i="3"/>
  <c r="C274" i="2"/>
  <c r="D6" i="9"/>
  <c r="J105" i="3"/>
  <c r="J89" i="3"/>
  <c r="E280" i="2"/>
  <c r="E274" i="2"/>
  <c r="E273" i="2"/>
  <c r="D71" i="14"/>
  <c r="B88" i="3"/>
  <c r="B105" i="3" s="1"/>
  <c r="J107" i="3"/>
  <c r="J106" i="3"/>
  <c r="J90" i="3"/>
  <c r="C10" i="7"/>
  <c r="C10" i="6"/>
  <c r="D10" i="5"/>
  <c r="D10" i="4"/>
  <c r="E279" i="2"/>
  <c r="D35" i="3" s="1"/>
  <c r="E278" i="2"/>
  <c r="N124" i="7" s="1"/>
  <c r="E277" i="2"/>
  <c r="G15" i="9" s="1"/>
  <c r="C119" i="5"/>
  <c r="E119" i="5" s="1"/>
  <c r="F120" i="5"/>
  <c r="C118" i="5"/>
  <c r="F70" i="14"/>
  <c r="D6" i="14"/>
  <c r="C6" i="3" s="1"/>
  <c r="E42" i="2"/>
  <c r="E43" i="2" s="1"/>
  <c r="O166" i="11"/>
  <c r="S166" i="11"/>
  <c r="D48" i="8"/>
  <c r="D49" i="8" s="1"/>
  <c r="D50" i="8" s="1"/>
  <c r="E7" i="8"/>
  <c r="J52" i="8" s="1"/>
  <c r="D64" i="8"/>
  <c r="D65" i="8" s="1"/>
  <c r="D66" i="8" s="1"/>
  <c r="S51" i="8"/>
  <c r="C118" i="4"/>
  <c r="C119" i="4"/>
  <c r="E119" i="4" s="1"/>
  <c r="G216" i="2"/>
  <c r="E190" i="2" s="1"/>
  <c r="F120" i="4"/>
  <c r="E105" i="3"/>
  <c r="E88" i="3" s="1"/>
  <c r="M58" i="6"/>
  <c r="D50" i="6"/>
  <c r="F74" i="8"/>
  <c r="F75" i="8" s="1"/>
  <c r="F72" i="8"/>
  <c r="F76" i="8" s="1"/>
  <c r="J65" i="8"/>
  <c r="J68" i="8" s="1"/>
  <c r="D75" i="8"/>
  <c r="I39" i="7"/>
  <c r="K89" i="3"/>
  <c r="E13" i="2"/>
  <c r="G40" i="9" s="1"/>
  <c r="F39" i="14" s="1"/>
  <c r="E19" i="2"/>
  <c r="G46" i="9" s="1"/>
  <c r="F45" i="14" s="1"/>
  <c r="K61" i="8"/>
  <c r="G60" i="8"/>
  <c r="G61" i="8" s="1"/>
  <c r="D85" i="11"/>
  <c r="G69" i="9"/>
  <c r="K65" i="8"/>
  <c r="H217" i="11"/>
  <c r="E50" i="2" s="1"/>
  <c r="D202" i="11"/>
  <c r="D201" i="11" s="1"/>
  <c r="D196" i="11" s="1"/>
  <c r="D63" i="3" s="1"/>
  <c r="D52" i="8"/>
  <c r="D53" i="8" s="1"/>
  <c r="D54" i="8" s="1"/>
  <c r="N93" i="8"/>
  <c r="N84" i="8" s="1"/>
  <c r="K90" i="3"/>
  <c r="K105" i="3"/>
  <c r="K106" i="3"/>
  <c r="D56" i="8"/>
  <c r="D57" i="8" s="1"/>
  <c r="D58" i="8" s="1"/>
  <c r="K107" i="3"/>
  <c r="D18" i="12"/>
  <c r="E18" i="12" s="1"/>
  <c r="E45" i="2"/>
  <c r="J33" i="15"/>
  <c r="C47" i="8"/>
  <c r="C48" i="8" s="1"/>
  <c r="C49" i="8" s="1"/>
  <c r="C50" i="8" s="1"/>
  <c r="C51" i="8" s="1"/>
  <c r="C52" i="8" s="1"/>
  <c r="C53" i="8" s="1"/>
  <c r="C54" i="8" s="1"/>
  <c r="C55" i="8" s="1"/>
  <c r="C56" i="8" s="1"/>
  <c r="C57" i="8" s="1"/>
  <c r="C58" i="8" s="1"/>
  <c r="J33" i="8"/>
  <c r="J34" i="8" s="1"/>
  <c r="D62" i="8"/>
  <c r="H5" i="8"/>
  <c r="D60" i="8"/>
  <c r="D61" i="8" s="1"/>
  <c r="N91" i="8"/>
  <c r="K60" i="8"/>
  <c r="K62" i="8" s="1"/>
  <c r="C105" i="8"/>
  <c r="C111" i="8" s="1"/>
  <c r="C117" i="8" s="1"/>
  <c r="M15" i="8"/>
  <c r="K15" i="8"/>
  <c r="N15" i="8" s="1"/>
  <c r="E64" i="4"/>
  <c r="F64" i="4" s="1"/>
  <c r="K49" i="8"/>
  <c r="K50" i="8"/>
  <c r="K51" i="8" s="1"/>
  <c r="K52" i="8" s="1"/>
  <c r="K53" i="8" s="1"/>
  <c r="K54" i="8" s="1"/>
  <c r="K55" i="8" s="1"/>
  <c r="K56" i="8" s="1"/>
  <c r="K57" i="8" s="1"/>
  <c r="K58" i="8" s="1"/>
  <c r="G62" i="8"/>
  <c r="J60" i="8"/>
  <c r="M93" i="8"/>
  <c r="J53" i="8"/>
  <c r="J54" i="8" s="1"/>
  <c r="J55" i="8" s="1"/>
  <c r="J56" i="8" s="1"/>
  <c r="J57" i="8" s="1"/>
  <c r="J58" i="8" s="1"/>
  <c r="F46" i="8"/>
  <c r="F47" i="8"/>
  <c r="F48" i="8" s="1"/>
  <c r="F49" i="8" s="1"/>
  <c r="F50" i="8" s="1"/>
  <c r="H11" i="8"/>
  <c r="D287" i="2" l="1"/>
  <c r="E110" i="5"/>
  <c r="D102" i="5"/>
  <c r="F110" i="5" s="1"/>
  <c r="E110" i="4"/>
  <c r="D102" i="4"/>
  <c r="F110" i="4" s="1"/>
  <c r="G276" i="10"/>
  <c r="G330" i="10"/>
  <c r="E285" i="2"/>
  <c r="H22" i="7" s="1"/>
  <c r="E283" i="2"/>
  <c r="H20" i="7" s="1"/>
  <c r="D118" i="4"/>
  <c r="E118" i="4" s="1"/>
  <c r="D118" i="5"/>
  <c r="E118" i="5" s="1"/>
  <c r="D242" i="11"/>
  <c r="C345" i="10"/>
  <c r="C238" i="10"/>
  <c r="J200" i="10"/>
  <c r="C330" i="10"/>
  <c r="C343" i="10"/>
  <c r="C340" i="10" s="1"/>
  <c r="D5" i="13"/>
  <c r="D997" i="13"/>
  <c r="D1989" i="13"/>
  <c r="P2237" i="13"/>
  <c r="P1245" i="13"/>
  <c r="P253" i="13"/>
  <c r="D253" i="13"/>
  <c r="D1245" i="13"/>
  <c r="D2237" i="13"/>
  <c r="P1989" i="13"/>
  <c r="P997" i="13"/>
  <c r="P5" i="13"/>
  <c r="D501" i="13"/>
  <c r="D1493" i="13"/>
  <c r="D2485" i="13"/>
  <c r="P1741" i="13"/>
  <c r="P749" i="13"/>
  <c r="D749" i="13"/>
  <c r="D1741" i="13"/>
  <c r="P2485" i="13"/>
  <c r="P1493" i="13"/>
  <c r="P501" i="13"/>
  <c r="Y223" i="11"/>
  <c r="I15" i="12"/>
  <c r="F40" i="14"/>
  <c r="Z150" i="11"/>
  <c r="D41" i="6"/>
  <c r="D40" i="6"/>
  <c r="P91" i="8"/>
  <c r="P82" i="8"/>
  <c r="P93" i="8"/>
  <c r="P85" i="8" s="1"/>
  <c r="B454" i="12"/>
  <c r="B455" i="12" s="1"/>
  <c r="B456" i="12" s="1"/>
  <c r="B457" i="12" s="1"/>
  <c r="B458" i="12" s="1"/>
  <c r="B459" i="12" s="1"/>
  <c r="B460" i="12" s="1"/>
  <c r="B461" i="12" s="1"/>
  <c r="B462" i="12" s="1"/>
  <c r="B463" i="12" s="1"/>
  <c r="B464" i="12" s="1"/>
  <c r="B465" i="12" s="1"/>
  <c r="B466" i="12" s="1"/>
  <c r="B467" i="12" s="1"/>
  <c r="B468" i="12" s="1"/>
  <c r="D121" i="4"/>
  <c r="D121" i="5"/>
  <c r="H64" i="4"/>
  <c r="H64" i="5"/>
  <c r="I64" i="4"/>
  <c r="I64" i="5"/>
  <c r="D36" i="3"/>
  <c r="T89" i="3"/>
  <c r="T107" i="3"/>
  <c r="T106" i="3"/>
  <c r="T90" i="3"/>
  <c r="U107" i="3"/>
  <c r="U89" i="3"/>
  <c r="U90" i="3"/>
  <c r="U106" i="3"/>
  <c r="S89" i="3"/>
  <c r="S106" i="3"/>
  <c r="S90" i="3"/>
  <c r="S107" i="3"/>
  <c r="D40" i="3"/>
  <c r="P183" i="11" s="1"/>
  <c r="J253" i="11" s="1"/>
  <c r="D41" i="3"/>
  <c r="D34" i="3"/>
  <c r="H88" i="3" s="1"/>
  <c r="D48" i="3"/>
  <c r="D26" i="3"/>
  <c r="E51" i="2"/>
  <c r="N123" i="7"/>
  <c r="G16" i="9"/>
  <c r="D39" i="6"/>
  <c r="G17" i="9"/>
  <c r="F18" i="14"/>
  <c r="D19" i="3" s="1"/>
  <c r="G18" i="9"/>
  <c r="Q1" i="11"/>
  <c r="Q122" i="11" s="1"/>
  <c r="F11" i="14"/>
  <c r="G112" i="14" s="1"/>
  <c r="H112" i="14" s="1"/>
  <c r="G11" i="9"/>
  <c r="D69" i="14"/>
  <c r="E69" i="14" s="1"/>
  <c r="G12" i="9"/>
  <c r="G10" i="9"/>
  <c r="F17" i="14"/>
  <c r="D18" i="3" s="1"/>
  <c r="H16" i="4" s="1"/>
  <c r="D66" i="14"/>
  <c r="D38" i="7"/>
  <c r="D51" i="7" s="1"/>
  <c r="K94" i="7"/>
  <c r="F16" i="14"/>
  <c r="D17" i="3" s="1"/>
  <c r="H15" i="5" s="1"/>
  <c r="D39" i="7"/>
  <c r="F7" i="8"/>
  <c r="G7" i="8" s="1"/>
  <c r="C8" i="6"/>
  <c r="D116" i="4"/>
  <c r="D8" i="4"/>
  <c r="C8" i="7"/>
  <c r="D117" i="5"/>
  <c r="D116" i="5"/>
  <c r="D117" i="4"/>
  <c r="D8" i="5"/>
  <c r="D47" i="3"/>
  <c r="Q183" i="11" s="1"/>
  <c r="K253" i="11" s="1"/>
  <c r="F15" i="14"/>
  <c r="D16" i="3" s="1"/>
  <c r="D67" i="14"/>
  <c r="D33" i="3"/>
  <c r="O183" i="11" s="1"/>
  <c r="I253" i="11" s="1"/>
  <c r="K213" i="11"/>
  <c r="C96" i="11"/>
  <c r="F10" i="14"/>
  <c r="K211" i="11"/>
  <c r="F12" i="14"/>
  <c r="D68" i="14"/>
  <c r="E68" i="14" s="1"/>
  <c r="C93" i="11"/>
  <c r="K212" i="11"/>
  <c r="G34" i="15"/>
  <c r="G68" i="9"/>
  <c r="M5" i="8"/>
  <c r="E61" i="5"/>
  <c r="F61" i="5" s="1"/>
  <c r="P100" i="8"/>
  <c r="D60" i="3"/>
  <c r="D7" i="12" s="1"/>
  <c r="H115" i="8"/>
  <c r="K121" i="8" s="1"/>
  <c r="K108" i="8" s="1"/>
  <c r="K92" i="8" s="1"/>
  <c r="K93" i="8" s="1"/>
  <c r="D198" i="11"/>
  <c r="S53" i="8" s="1"/>
  <c r="F51" i="8"/>
  <c r="F52" i="8" s="1"/>
  <c r="F53" i="8" s="1"/>
  <c r="F54" i="8" s="1"/>
  <c r="F55" i="8" s="1"/>
  <c r="F56" i="8" s="1"/>
  <c r="F57" i="8" s="1"/>
  <c r="F58" i="8" s="1"/>
  <c r="F59" i="8" s="1"/>
  <c r="F60" i="8" s="1"/>
  <c r="F61" i="8" s="1"/>
  <c r="F62" i="8" s="1"/>
  <c r="E61" i="4"/>
  <c r="F61" i="4" s="1"/>
  <c r="K5" i="8"/>
  <c r="N5" i="8" s="1"/>
  <c r="G33" i="15"/>
  <c r="E15" i="2"/>
  <c r="E12" i="2"/>
  <c r="G39" i="9" s="1"/>
  <c r="F38" i="14" s="1"/>
  <c r="C59" i="8"/>
  <c r="C60" i="8" s="1"/>
  <c r="C61" i="8" s="1"/>
  <c r="C62" i="8" s="1"/>
  <c r="C63" i="8"/>
  <c r="C64" i="8" s="1"/>
  <c r="C65" i="8" s="1"/>
  <c r="C66" i="8" s="1"/>
  <c r="C67" i="8" s="1"/>
  <c r="C68" i="8" s="1"/>
  <c r="C69" i="8" s="1"/>
  <c r="D15" i="12"/>
  <c r="D16" i="12" s="1"/>
  <c r="S52" i="8"/>
  <c r="I5" i="8"/>
  <c r="L5" i="8" s="1"/>
  <c r="I41" i="6"/>
  <c r="I93" i="6" s="1"/>
  <c r="I41" i="7"/>
  <c r="I98" i="7" s="1"/>
  <c r="J32" i="15"/>
  <c r="G32" i="15" s="1"/>
  <c r="C12" i="15"/>
  <c r="C16" i="15"/>
  <c r="C20" i="15"/>
  <c r="C24" i="15"/>
  <c r="C28" i="15"/>
  <c r="C32" i="15"/>
  <c r="C36" i="15"/>
  <c r="C45" i="15"/>
  <c r="C7" i="15"/>
  <c r="C8" i="15"/>
  <c r="C5" i="15"/>
  <c r="C10" i="15"/>
  <c r="C14" i="15"/>
  <c r="C18" i="15"/>
  <c r="C22" i="15"/>
  <c r="C26" i="15"/>
  <c r="C30" i="15"/>
  <c r="C34" i="15"/>
  <c r="C38" i="15"/>
  <c r="C40" i="15"/>
  <c r="C42" i="15"/>
  <c r="C44" i="15"/>
  <c r="C11" i="15"/>
  <c r="C15" i="15"/>
  <c r="C19" i="15"/>
  <c r="C23" i="15"/>
  <c r="C27" i="15"/>
  <c r="C31" i="15"/>
  <c r="C35" i="15"/>
  <c r="C37" i="15"/>
  <c r="C6" i="15"/>
  <c r="C17" i="15"/>
  <c r="C33" i="15"/>
  <c r="C43" i="15"/>
  <c r="C46" i="15"/>
  <c r="C9" i="15"/>
  <c r="C21" i="15"/>
  <c r="C39" i="15"/>
  <c r="C41" i="15"/>
  <c r="G31" i="15"/>
  <c r="C25" i="15"/>
  <c r="C13" i="15"/>
  <c r="C29" i="15"/>
  <c r="C56" i="15"/>
  <c r="C60" i="15"/>
  <c r="C61" i="15"/>
  <c r="C63" i="15"/>
  <c r="C47" i="15"/>
  <c r="C53" i="15"/>
  <c r="C57" i="15"/>
  <c r="C51" i="15"/>
  <c r="C55" i="15"/>
  <c r="C58" i="15"/>
  <c r="C62" i="15"/>
  <c r="C52" i="15"/>
  <c r="C64" i="15"/>
  <c r="C69" i="15"/>
  <c r="C71" i="15"/>
  <c r="C74" i="15"/>
  <c r="C80" i="15"/>
  <c r="C84" i="15"/>
  <c r="C88" i="15"/>
  <c r="C92" i="15"/>
  <c r="C96" i="15"/>
  <c r="C100" i="15"/>
  <c r="C104" i="15"/>
  <c r="C108" i="15"/>
  <c r="C112" i="15"/>
  <c r="C114" i="15"/>
  <c r="C116" i="15"/>
  <c r="C120" i="15"/>
  <c r="C124" i="15"/>
  <c r="C128" i="15"/>
  <c r="C132" i="15"/>
  <c r="C136" i="15"/>
  <c r="C140" i="15"/>
  <c r="C144" i="15"/>
  <c r="C148" i="15"/>
  <c r="C152" i="15"/>
  <c r="C156" i="15"/>
  <c r="C160" i="15"/>
  <c r="C164" i="15"/>
  <c r="C168" i="15"/>
  <c r="C172" i="15"/>
  <c r="C176" i="15"/>
  <c r="C180" i="15"/>
  <c r="C184" i="15"/>
  <c r="C188" i="15"/>
  <c r="C192" i="15"/>
  <c r="C196" i="15"/>
  <c r="C200" i="15"/>
  <c r="C202" i="15"/>
  <c r="C206" i="15"/>
  <c r="C208" i="15"/>
  <c r="C210" i="15"/>
  <c r="C214" i="15"/>
  <c r="C216" i="15"/>
  <c r="C218" i="15"/>
  <c r="C222" i="15"/>
  <c r="C224" i="15"/>
  <c r="C226" i="15"/>
  <c r="C230" i="15"/>
  <c r="C232" i="15"/>
  <c r="C234" i="15"/>
  <c r="C240" i="15"/>
  <c r="C244" i="15"/>
  <c r="C248" i="15"/>
  <c r="C252" i="15"/>
  <c r="C256" i="15"/>
  <c r="C260" i="15"/>
  <c r="C264" i="15"/>
  <c r="C268" i="15"/>
  <c r="C272" i="15"/>
  <c r="C276" i="15"/>
  <c r="C280" i="15"/>
  <c r="C284" i="15"/>
  <c r="C288" i="15"/>
  <c r="C292" i="15"/>
  <c r="C296" i="15"/>
  <c r="C300" i="15"/>
  <c r="C304" i="15"/>
  <c r="C308" i="15"/>
  <c r="C312" i="15"/>
  <c r="C316" i="15"/>
  <c r="C320" i="15"/>
  <c r="C324" i="15"/>
  <c r="C328" i="15"/>
  <c r="C332" i="15"/>
  <c r="C48" i="15"/>
  <c r="C49" i="15"/>
  <c r="C54" i="15"/>
  <c r="C65" i="15"/>
  <c r="C67" i="15"/>
  <c r="C73" i="15"/>
  <c r="C75" i="15"/>
  <c r="C78" i="15"/>
  <c r="C82" i="15"/>
  <c r="C86" i="15"/>
  <c r="C90" i="15"/>
  <c r="C94" i="15"/>
  <c r="C98" i="15"/>
  <c r="C102" i="15"/>
  <c r="C106" i="15"/>
  <c r="C110" i="15"/>
  <c r="C118" i="15"/>
  <c r="C122" i="15"/>
  <c r="C126" i="15"/>
  <c r="C130" i="15"/>
  <c r="C134" i="15"/>
  <c r="C138" i="15"/>
  <c r="C142" i="15"/>
  <c r="C146" i="15"/>
  <c r="C150" i="15"/>
  <c r="C154" i="15"/>
  <c r="C158" i="15"/>
  <c r="C162" i="15"/>
  <c r="C166" i="15"/>
  <c r="C170" i="15"/>
  <c r="C174" i="15"/>
  <c r="C178" i="15"/>
  <c r="C182" i="15"/>
  <c r="C186" i="15"/>
  <c r="C190" i="15"/>
  <c r="C194" i="15"/>
  <c r="C198" i="15"/>
  <c r="C204" i="15"/>
  <c r="C212" i="15"/>
  <c r="C220" i="15"/>
  <c r="C228" i="15"/>
  <c r="C236" i="15"/>
  <c r="C238" i="15"/>
  <c r="C242" i="15"/>
  <c r="C246" i="15"/>
  <c r="C250" i="15"/>
  <c r="C254" i="15"/>
  <c r="C50" i="15"/>
  <c r="C66" i="15"/>
  <c r="C72" i="15"/>
  <c r="C77" i="15"/>
  <c r="C79" i="15"/>
  <c r="C83" i="15"/>
  <c r="C87" i="15"/>
  <c r="C91" i="15"/>
  <c r="C95" i="15"/>
  <c r="C99" i="15"/>
  <c r="C103" i="15"/>
  <c r="C107" i="15"/>
  <c r="C111" i="15"/>
  <c r="C115" i="15"/>
  <c r="C117" i="15"/>
  <c r="C121" i="15"/>
  <c r="C125" i="15"/>
  <c r="C129" i="15"/>
  <c r="C133" i="15"/>
  <c r="C137" i="15"/>
  <c r="C141" i="15"/>
  <c r="C145" i="15"/>
  <c r="C149" i="15"/>
  <c r="C153" i="15"/>
  <c r="C157" i="15"/>
  <c r="C161" i="15"/>
  <c r="C165" i="15"/>
  <c r="C169" i="15"/>
  <c r="C173" i="15"/>
  <c r="C177" i="15"/>
  <c r="C181" i="15"/>
  <c r="C185" i="15"/>
  <c r="C189" i="15"/>
  <c r="C193" i="15"/>
  <c r="C197" i="15"/>
  <c r="C201" i="15"/>
  <c r="C205" i="15"/>
  <c r="C209" i="15"/>
  <c r="C213" i="15"/>
  <c r="C217" i="15"/>
  <c r="C221" i="15"/>
  <c r="C225" i="15"/>
  <c r="C229" i="15"/>
  <c r="C233" i="15"/>
  <c r="C237" i="15"/>
  <c r="C239" i="15"/>
  <c r="C243" i="15"/>
  <c r="C247" i="15"/>
  <c r="C251" i="15"/>
  <c r="C255" i="15"/>
  <c r="C259" i="15"/>
  <c r="C263" i="15"/>
  <c r="C267" i="15"/>
  <c r="C271" i="15"/>
  <c r="C275" i="15"/>
  <c r="C279" i="15"/>
  <c r="C283" i="15"/>
  <c r="C287" i="15"/>
  <c r="C291" i="15"/>
  <c r="C295" i="15"/>
  <c r="C299" i="15"/>
  <c r="C303" i="15"/>
  <c r="C307" i="15"/>
  <c r="C311" i="15"/>
  <c r="C315" i="15"/>
  <c r="C319" i="15"/>
  <c r="C323" i="15"/>
  <c r="C327" i="15"/>
  <c r="C331" i="15"/>
  <c r="C68" i="15"/>
  <c r="C89" i="15"/>
  <c r="C105" i="15"/>
  <c r="C131" i="15"/>
  <c r="C147" i="15"/>
  <c r="C163" i="15"/>
  <c r="C179" i="15"/>
  <c r="C195" i="15"/>
  <c r="C211" i="15"/>
  <c r="C227" i="15"/>
  <c r="C253" i="15"/>
  <c r="C336" i="15"/>
  <c r="C340" i="15"/>
  <c r="C344" i="15"/>
  <c r="C348" i="15"/>
  <c r="C350" i="15"/>
  <c r="C354" i="15"/>
  <c r="C358" i="15"/>
  <c r="C362" i="15"/>
  <c r="C366" i="15"/>
  <c r="C370" i="15"/>
  <c r="C374" i="15"/>
  <c r="C378" i="15"/>
  <c r="C382" i="15"/>
  <c r="C386" i="15"/>
  <c r="C390" i="15"/>
  <c r="C394" i="15"/>
  <c r="C398" i="15"/>
  <c r="C402" i="15"/>
  <c r="C406" i="15"/>
  <c r="C410" i="15"/>
  <c r="C414" i="15"/>
  <c r="C420" i="15"/>
  <c r="C422" i="15"/>
  <c r="C424" i="15"/>
  <c r="C428" i="15"/>
  <c r="C432" i="15"/>
  <c r="C436" i="15"/>
  <c r="C438" i="15"/>
  <c r="C440" i="15"/>
  <c r="C444" i="15"/>
  <c r="C446" i="15"/>
  <c r="C448" i="15"/>
  <c r="C452" i="15"/>
  <c r="C454" i="15"/>
  <c r="C456" i="15"/>
  <c r="C458" i="15"/>
  <c r="C462" i="15"/>
  <c r="C466" i="15"/>
  <c r="C470" i="15"/>
  <c r="C474" i="15"/>
  <c r="C478" i="15"/>
  <c r="C482" i="15"/>
  <c r="C486" i="15"/>
  <c r="C490" i="15"/>
  <c r="C494" i="15"/>
  <c r="C498" i="15"/>
  <c r="C502" i="15"/>
  <c r="C352" i="15"/>
  <c r="C364" i="15"/>
  <c r="C368" i="15"/>
  <c r="C376" i="15"/>
  <c r="C384" i="15"/>
  <c r="C392" i="15"/>
  <c r="C400" i="15"/>
  <c r="C404" i="15"/>
  <c r="C412" i="15"/>
  <c r="C418" i="15"/>
  <c r="C430" i="15"/>
  <c r="C442" i="15"/>
  <c r="C460" i="15"/>
  <c r="C468" i="15"/>
  <c r="C476" i="15"/>
  <c r="C480" i="15"/>
  <c r="C488" i="15"/>
  <c r="C496" i="15"/>
  <c r="C504" i="15"/>
  <c r="C70" i="15"/>
  <c r="C101" i="15"/>
  <c r="C143" i="15"/>
  <c r="C175" i="15"/>
  <c r="C249" i="15"/>
  <c r="C266" i="15"/>
  <c r="C274" i="15"/>
  <c r="C285" i="15"/>
  <c r="C301" i="15"/>
  <c r="C314" i="15"/>
  <c r="C322" i="15"/>
  <c r="C333" i="15"/>
  <c r="C345" i="15"/>
  <c r="C357" i="15"/>
  <c r="C365" i="15"/>
  <c r="C373" i="15"/>
  <c r="C385" i="15"/>
  <c r="C397" i="15"/>
  <c r="C409" i="15"/>
  <c r="C419" i="15"/>
  <c r="C431" i="15"/>
  <c r="C451" i="15"/>
  <c r="C461" i="15"/>
  <c r="C469" i="15"/>
  <c r="C477" i="15"/>
  <c r="C493" i="15"/>
  <c r="C59" i="15"/>
  <c r="C93" i="15"/>
  <c r="C109" i="15"/>
  <c r="C119" i="15"/>
  <c r="C135" i="15"/>
  <c r="C151" i="15"/>
  <c r="C167" i="15"/>
  <c r="C183" i="15"/>
  <c r="C199" i="15"/>
  <c r="C215" i="15"/>
  <c r="C231" i="15"/>
  <c r="C241" i="15"/>
  <c r="C257" i="15"/>
  <c r="C262" i="15"/>
  <c r="C265" i="15"/>
  <c r="C270" i="15"/>
  <c r="C273" i="15"/>
  <c r="C278" i="15"/>
  <c r="C281" i="15"/>
  <c r="C286" i="15"/>
  <c r="C289" i="15"/>
  <c r="C294" i="15"/>
  <c r="C297" i="15"/>
  <c r="C302" i="15"/>
  <c r="C305" i="15"/>
  <c r="C310" i="15"/>
  <c r="C313" i="15"/>
  <c r="C318" i="15"/>
  <c r="C321" i="15"/>
  <c r="C326" i="15"/>
  <c r="C329" i="15"/>
  <c r="C334" i="15"/>
  <c r="C338" i="15"/>
  <c r="C342" i="15"/>
  <c r="C346" i="15"/>
  <c r="C356" i="15"/>
  <c r="C360" i="15"/>
  <c r="C372" i="15"/>
  <c r="C380" i="15"/>
  <c r="C388" i="15"/>
  <c r="C396" i="15"/>
  <c r="C408" i="15"/>
  <c r="C416" i="15"/>
  <c r="C426" i="15"/>
  <c r="C434" i="15"/>
  <c r="C450" i="15"/>
  <c r="C464" i="15"/>
  <c r="C472" i="15"/>
  <c r="C484" i="15"/>
  <c r="C492" i="15"/>
  <c r="C500" i="15"/>
  <c r="C85" i="15"/>
  <c r="C159" i="15"/>
  <c r="C223" i="15"/>
  <c r="C261" i="15"/>
  <c r="C277" i="15"/>
  <c r="C290" i="15"/>
  <c r="C298" i="15"/>
  <c r="C309" i="15"/>
  <c r="C325" i="15"/>
  <c r="C337" i="15"/>
  <c r="C349" i="15"/>
  <c r="C361" i="15"/>
  <c r="C381" i="15"/>
  <c r="C393" i="15"/>
  <c r="C405" i="15"/>
  <c r="C423" i="15"/>
  <c r="C439" i="15"/>
  <c r="C443" i="15"/>
  <c r="C457" i="15"/>
  <c r="C465" i="15"/>
  <c r="C485" i="15"/>
  <c r="C497" i="15"/>
  <c r="C76" i="15"/>
  <c r="C81" i="15"/>
  <c r="C97" i="15"/>
  <c r="C113" i="15"/>
  <c r="C123" i="15"/>
  <c r="C139" i="15"/>
  <c r="C155" i="15"/>
  <c r="C171" i="15"/>
  <c r="C187" i="15"/>
  <c r="C203" i="15"/>
  <c r="C219" i="15"/>
  <c r="C235" i="15"/>
  <c r="C245" i="15"/>
  <c r="C335" i="15"/>
  <c r="C339" i="15"/>
  <c r="C343" i="15"/>
  <c r="C347" i="15"/>
  <c r="C351" i="15"/>
  <c r="C355" i="15"/>
  <c r="C359" i="15"/>
  <c r="C363" i="15"/>
  <c r="C367" i="15"/>
  <c r="C371" i="15"/>
  <c r="C375" i="15"/>
  <c r="C379" i="15"/>
  <c r="C383" i="15"/>
  <c r="C387" i="15"/>
  <c r="C391" i="15"/>
  <c r="C395" i="15"/>
  <c r="C399" i="15"/>
  <c r="C403" i="15"/>
  <c r="C407" i="15"/>
  <c r="C411" i="15"/>
  <c r="C415" i="15"/>
  <c r="C417" i="15"/>
  <c r="C421" i="15"/>
  <c r="C425" i="15"/>
  <c r="C429" i="15"/>
  <c r="C433" i="15"/>
  <c r="C437" i="15"/>
  <c r="C441" i="15"/>
  <c r="C445" i="15"/>
  <c r="C449" i="15"/>
  <c r="C453" i="15"/>
  <c r="C459" i="15"/>
  <c r="C463" i="15"/>
  <c r="C467" i="15"/>
  <c r="C471" i="15"/>
  <c r="C475" i="15"/>
  <c r="C479" i="15"/>
  <c r="C483" i="15"/>
  <c r="C487" i="15"/>
  <c r="C491" i="15"/>
  <c r="C495" i="15"/>
  <c r="C499" i="15"/>
  <c r="C503" i="15"/>
  <c r="C505" i="15"/>
  <c r="C127" i="15"/>
  <c r="C191" i="15"/>
  <c r="C207" i="15"/>
  <c r="C258" i="15"/>
  <c r="C269" i="15"/>
  <c r="C282" i="15"/>
  <c r="C293" i="15"/>
  <c r="C306" i="15"/>
  <c r="C317" i="15"/>
  <c r="C330" i="15"/>
  <c r="C341" i="15"/>
  <c r="C353" i="15"/>
  <c r="C369" i="15"/>
  <c r="C377" i="15"/>
  <c r="C389" i="15"/>
  <c r="C401" i="15"/>
  <c r="C413" i="15"/>
  <c r="C427" i="15"/>
  <c r="C435" i="15"/>
  <c r="C447" i="15"/>
  <c r="C455" i="15"/>
  <c r="C473" i="15"/>
  <c r="C481" i="15"/>
  <c r="C489" i="15"/>
  <c r="C501" i="15"/>
  <c r="K63" i="8"/>
  <c r="C106" i="8"/>
  <c r="C112" i="8" s="1"/>
  <c r="C118" i="8" s="1"/>
  <c r="C109" i="8"/>
  <c r="C115" i="8" s="1"/>
  <c r="C121" i="8" s="1"/>
  <c r="N82" i="8"/>
  <c r="N87" i="8" s="1"/>
  <c r="N92" i="8"/>
  <c r="J62" i="8"/>
  <c r="J61" i="8"/>
  <c r="I11" i="8"/>
  <c r="K11" i="8"/>
  <c r="H22" i="6" l="1"/>
  <c r="H20" i="6"/>
  <c r="C342" i="10"/>
  <c r="D330" i="10"/>
  <c r="C242" i="11"/>
  <c r="I88" i="3" s="1"/>
  <c r="D42" i="6"/>
  <c r="L200" i="10"/>
  <c r="Y224" i="11"/>
  <c r="Y226" i="11"/>
  <c r="Y225" i="11"/>
  <c r="D14" i="12"/>
  <c r="D32" i="12" s="1"/>
  <c r="E32" i="12" s="1"/>
  <c r="A32" i="12" s="1"/>
  <c r="L15" i="12"/>
  <c r="E16" i="2"/>
  <c r="G43" i="9" s="1"/>
  <c r="F42" i="14" s="1"/>
  <c r="G42" i="9"/>
  <c r="F41" i="14" s="1"/>
  <c r="Q184" i="11"/>
  <c r="K254" i="11" s="1"/>
  <c r="O184" i="11"/>
  <c r="I254" i="11" s="1"/>
  <c r="P184" i="11"/>
  <c r="J254" i="11" s="1"/>
  <c r="D37" i="3"/>
  <c r="D44" i="3"/>
  <c r="I185" i="11" s="1"/>
  <c r="E52" i="2"/>
  <c r="D28" i="3" s="1"/>
  <c r="G28" i="9" s="1"/>
  <c r="M206" i="11"/>
  <c r="G115" i="14"/>
  <c r="G114" i="14"/>
  <c r="G113" i="14"/>
  <c r="P83" i="8"/>
  <c r="P92" i="8"/>
  <c r="P84" i="8" s="1"/>
  <c r="D6" i="12"/>
  <c r="C344" i="12" s="1"/>
  <c r="Q344" i="12" s="1"/>
  <c r="I61" i="4"/>
  <c r="I61" i="5"/>
  <c r="G61" i="4"/>
  <c r="G61" i="5"/>
  <c r="H180" i="11"/>
  <c r="P178" i="11" s="1"/>
  <c r="S34" i="3" s="1"/>
  <c r="H13" i="4"/>
  <c r="H17" i="7"/>
  <c r="H17" i="6"/>
  <c r="H13" i="5"/>
  <c r="S182" i="11"/>
  <c r="S184" i="11"/>
  <c r="D27" i="3"/>
  <c r="S181" i="11"/>
  <c r="H13" i="6"/>
  <c r="H13" i="7"/>
  <c r="G26" i="9"/>
  <c r="F25" i="14"/>
  <c r="H24" i="5"/>
  <c r="H24" i="4"/>
  <c r="H31" i="7"/>
  <c r="H31" i="6"/>
  <c r="Q152" i="11"/>
  <c r="S1" i="11"/>
  <c r="R1" i="11" s="1"/>
  <c r="D12" i="3"/>
  <c r="H10" i="4" s="1"/>
  <c r="H17" i="5"/>
  <c r="H17" i="4"/>
  <c r="H16" i="6"/>
  <c r="H15" i="7"/>
  <c r="H16" i="5"/>
  <c r="H16" i="7"/>
  <c r="D51" i="3"/>
  <c r="I186" i="11" s="1"/>
  <c r="M58" i="7"/>
  <c r="M60" i="7" s="1"/>
  <c r="H15" i="6"/>
  <c r="H15" i="4"/>
  <c r="H179" i="11"/>
  <c r="O178" i="11" s="1"/>
  <c r="R34" i="3" s="1"/>
  <c r="R188" i="11"/>
  <c r="H14" i="7"/>
  <c r="H14" i="6"/>
  <c r="H14" i="5"/>
  <c r="H14" i="4"/>
  <c r="D11" i="3"/>
  <c r="H9" i="7" s="1"/>
  <c r="H181" i="11"/>
  <c r="Q178" i="11" s="1"/>
  <c r="T34" i="3" s="1"/>
  <c r="D50" i="7"/>
  <c r="P59" i="7" s="1"/>
  <c r="D49" i="7"/>
  <c r="G111" i="14"/>
  <c r="H111" i="14" s="1"/>
  <c r="D13" i="3"/>
  <c r="H11" i="6" s="1"/>
  <c r="N115" i="8"/>
  <c r="N116" i="8" s="1"/>
  <c r="Q132" i="11"/>
  <c r="Q76" i="11"/>
  <c r="Q25" i="11"/>
  <c r="Q11" i="11"/>
  <c r="Q116" i="11"/>
  <c r="Q34" i="11"/>
  <c r="Q35" i="11"/>
  <c r="Q136" i="11"/>
  <c r="Q21" i="11"/>
  <c r="Q52" i="11"/>
  <c r="Q149" i="11"/>
  <c r="Q151" i="11"/>
  <c r="Q22" i="11"/>
  <c r="Q121" i="11"/>
  <c r="Q131" i="11"/>
  <c r="Q134" i="11"/>
  <c r="Q124" i="11"/>
  <c r="Q84" i="11"/>
  <c r="Q79" i="11"/>
  <c r="Q126" i="11"/>
  <c r="Q44" i="11"/>
  <c r="Q64" i="11"/>
  <c r="Q103" i="11"/>
  <c r="Q8" i="11"/>
  <c r="Q65" i="11"/>
  <c r="Q91" i="11"/>
  <c r="Q36" i="11"/>
  <c r="Q127" i="11"/>
  <c r="Q7" i="11"/>
  <c r="Q112" i="11"/>
  <c r="Q20" i="11"/>
  <c r="Q14" i="11"/>
  <c r="Q33" i="11"/>
  <c r="Q45" i="11"/>
  <c r="Q137" i="11"/>
  <c r="Q114" i="11"/>
  <c r="Q83" i="11"/>
  <c r="Q87" i="11"/>
  <c r="Q46" i="11"/>
  <c r="Q5" i="11"/>
  <c r="Q95" i="11"/>
  <c r="Q89" i="11"/>
  <c r="Q86" i="11"/>
  <c r="Q50" i="11"/>
  <c r="Q101" i="11"/>
  <c r="Q4" i="11"/>
  <c r="Q47" i="11"/>
  <c r="Q88" i="11"/>
  <c r="Q40" i="11"/>
  <c r="Q31" i="11"/>
  <c r="Q54" i="11"/>
  <c r="Q138" i="11"/>
  <c r="Q71" i="11"/>
  <c r="Q42" i="11"/>
  <c r="Q72" i="11"/>
  <c r="Q130" i="11"/>
  <c r="Q74" i="11"/>
  <c r="Q120" i="11"/>
  <c r="Q73" i="11"/>
  <c r="Q119" i="11"/>
  <c r="Q77" i="11"/>
  <c r="Q2" i="11"/>
  <c r="Q57" i="11"/>
  <c r="Q27" i="11"/>
  <c r="Q19" i="11"/>
  <c r="Q39" i="11"/>
  <c r="Q111" i="11"/>
  <c r="Q16" i="11"/>
  <c r="Q80" i="11"/>
  <c r="Q12" i="11"/>
  <c r="Q148" i="11"/>
  <c r="Q81" i="11"/>
  <c r="Q51" i="11"/>
  <c r="Q69" i="11"/>
  <c r="Q115" i="11"/>
  <c r="Q43" i="11"/>
  <c r="Q102" i="11"/>
  <c r="Q75" i="11"/>
  <c r="Q68" i="11"/>
  <c r="Q23" i="11"/>
  <c r="Q61" i="11"/>
  <c r="Q128" i="11"/>
  <c r="Q94" i="11"/>
  <c r="Q109" i="11"/>
  <c r="Q145" i="11"/>
  <c r="Q17" i="11"/>
  <c r="Q100" i="11"/>
  <c r="Q118" i="11"/>
  <c r="Q70" i="11"/>
  <c r="Q139" i="11"/>
  <c r="Q105" i="11"/>
  <c r="Q104" i="11"/>
  <c r="Q26" i="11"/>
  <c r="Q96" i="11"/>
  <c r="Q99" i="11"/>
  <c r="Q135" i="11"/>
  <c r="Q82" i="11"/>
  <c r="Q107" i="11"/>
  <c r="Q108" i="11"/>
  <c r="Q15" i="11"/>
  <c r="Q141" i="11"/>
  <c r="Q56" i="11"/>
  <c r="Q32" i="11"/>
  <c r="Q78" i="11"/>
  <c r="Q49" i="11"/>
  <c r="Q110" i="11"/>
  <c r="Q30" i="11"/>
  <c r="Q41" i="11"/>
  <c r="Q29" i="11"/>
  <c r="Q98" i="11"/>
  <c r="Q142" i="11"/>
  <c r="Q67" i="11"/>
  <c r="Q133" i="11"/>
  <c r="Q6" i="11"/>
  <c r="Q9" i="11"/>
  <c r="Q117" i="11"/>
  <c r="Q38" i="11"/>
  <c r="Q59" i="11"/>
  <c r="Q129" i="11"/>
  <c r="Q90" i="11"/>
  <c r="Q24" i="11"/>
  <c r="Q13" i="11"/>
  <c r="Q18" i="11"/>
  <c r="Q10" i="11"/>
  <c r="Q62" i="11"/>
  <c r="Q93" i="11"/>
  <c r="Q66" i="11"/>
  <c r="Q143" i="11"/>
  <c r="Q48" i="11"/>
  <c r="Q113" i="11"/>
  <c r="Q123" i="11"/>
  <c r="Q144" i="11"/>
  <c r="Q58" i="11"/>
  <c r="Q92" i="11"/>
  <c r="Q63" i="11"/>
  <c r="Q106" i="11"/>
  <c r="Q53" i="11"/>
  <c r="Q85" i="11"/>
  <c r="Q60" i="11"/>
  <c r="Q55" i="11"/>
  <c r="Q125" i="11"/>
  <c r="Q97" i="11"/>
  <c r="Q3" i="11"/>
  <c r="Q37" i="11"/>
  <c r="Q140" i="11"/>
  <c r="Q150" i="11"/>
  <c r="Q147" i="11"/>
  <c r="Q28" i="11"/>
  <c r="Q146" i="11"/>
  <c r="F63" i="8"/>
  <c r="F64" i="8" s="1"/>
  <c r="F65" i="8" s="1"/>
  <c r="F66" i="8" s="1"/>
  <c r="F67" i="8" s="1"/>
  <c r="F68" i="8" s="1"/>
  <c r="F69" i="8" s="1"/>
  <c r="P95" i="8"/>
  <c r="E8" i="8"/>
  <c r="J63" i="8" s="1"/>
  <c r="D62" i="3"/>
  <c r="N83" i="8"/>
  <c r="H105" i="3"/>
  <c r="I105" i="3" s="1"/>
  <c r="J225" i="11" l="1"/>
  <c r="N166" i="11" s="1"/>
  <c r="P225" i="11"/>
  <c r="E18" i="2"/>
  <c r="G45" i="9" s="1"/>
  <c r="F44" i="14" s="1"/>
  <c r="E17" i="2"/>
  <c r="G44" i="9" s="1"/>
  <c r="F43" i="14" s="1"/>
  <c r="D256" i="11"/>
  <c r="H26" i="5"/>
  <c r="Y228" i="11"/>
  <c r="W239" i="11" s="1"/>
  <c r="F32" i="12"/>
  <c r="H32" i="12" s="1"/>
  <c r="G32" i="12"/>
  <c r="H33" i="6"/>
  <c r="H33" i="7"/>
  <c r="D106" i="9"/>
  <c r="AE156" i="11" s="1"/>
  <c r="D105" i="9"/>
  <c r="AE157" i="11" s="1"/>
  <c r="D104" i="9"/>
  <c r="AE158" i="11" s="1"/>
  <c r="F27" i="14"/>
  <c r="H26" i="4"/>
  <c r="B104" i="9"/>
  <c r="AD158" i="11" s="1"/>
  <c r="K76" i="3"/>
  <c r="H186" i="11"/>
  <c r="Q179" i="11" s="1"/>
  <c r="T35" i="3" s="1"/>
  <c r="H185" i="11"/>
  <c r="P179" i="11" s="1"/>
  <c r="S35" i="3" s="1"/>
  <c r="H184" i="11"/>
  <c r="O179" i="11" s="1"/>
  <c r="R35" i="3" s="1"/>
  <c r="Y188" i="11"/>
  <c r="I184" i="11"/>
  <c r="Y190" i="11"/>
  <c r="AF190" i="11"/>
  <c r="I190" i="11"/>
  <c r="H190" i="11" s="1"/>
  <c r="P180" i="11" s="1"/>
  <c r="S36" i="3" s="1"/>
  <c r="AF188" i="11"/>
  <c r="Y189" i="11"/>
  <c r="AF189" i="11"/>
  <c r="C138" i="12"/>
  <c r="Q138" i="12" s="1"/>
  <c r="C56" i="12"/>
  <c r="Q56" i="12" s="1"/>
  <c r="C242" i="12"/>
  <c r="Q242" i="12" s="1"/>
  <c r="C269" i="12"/>
  <c r="Q269" i="12" s="1"/>
  <c r="C47" i="12"/>
  <c r="Q47" i="12" s="1"/>
  <c r="C61" i="12"/>
  <c r="Q61" i="12" s="1"/>
  <c r="C113" i="12"/>
  <c r="Q113" i="12" s="1"/>
  <c r="C66" i="12"/>
  <c r="Q66" i="12" s="1"/>
  <c r="C389" i="12"/>
  <c r="Q389" i="12" s="1"/>
  <c r="C354" i="12"/>
  <c r="Q354" i="12" s="1"/>
  <c r="C217" i="12"/>
  <c r="Q217" i="12" s="1"/>
  <c r="C133" i="12"/>
  <c r="Q133" i="12" s="1"/>
  <c r="C361" i="12"/>
  <c r="Q361" i="12" s="1"/>
  <c r="C142" i="12"/>
  <c r="Q142" i="12" s="1"/>
  <c r="C398" i="12"/>
  <c r="Q398" i="12" s="1"/>
  <c r="C147" i="12"/>
  <c r="Q147" i="12" s="1"/>
  <c r="C233" i="12"/>
  <c r="Q233" i="12" s="1"/>
  <c r="C282" i="12"/>
  <c r="Q282" i="12" s="1"/>
  <c r="C141" i="12"/>
  <c r="Q141" i="12" s="1"/>
  <c r="C397" i="12"/>
  <c r="Q397" i="12" s="1"/>
  <c r="C377" i="12"/>
  <c r="Q377" i="12" s="1"/>
  <c r="C362" i="12"/>
  <c r="Q362" i="12" s="1"/>
  <c r="C150" i="12"/>
  <c r="Q150" i="12" s="1"/>
  <c r="C235" i="12"/>
  <c r="Q235" i="12" s="1"/>
  <c r="C39" i="12"/>
  <c r="Q39" i="12" s="1"/>
  <c r="C48" i="12"/>
  <c r="Q48" i="12" s="1"/>
  <c r="C57" i="12"/>
  <c r="Q57" i="12" s="1"/>
  <c r="C261" i="12"/>
  <c r="Q261" i="12" s="1"/>
  <c r="C103" i="12"/>
  <c r="Q103" i="12" s="1"/>
  <c r="C122" i="12"/>
  <c r="Q122" i="12" s="1"/>
  <c r="C62" i="12"/>
  <c r="Q62" i="12" s="1"/>
  <c r="C270" i="12"/>
  <c r="Q270" i="12" s="1"/>
  <c r="C363" i="12"/>
  <c r="Q363" i="12" s="1"/>
  <c r="C278" i="12"/>
  <c r="Q278" i="12" s="1"/>
  <c r="C406" i="12"/>
  <c r="Q406" i="12" s="1"/>
  <c r="C151" i="12"/>
  <c r="Q151" i="12" s="1"/>
  <c r="C239" i="12"/>
  <c r="Q239" i="12" s="1"/>
  <c r="C367" i="12"/>
  <c r="Q367" i="12" s="1"/>
  <c r="C99" i="12"/>
  <c r="Q99" i="12" s="1"/>
  <c r="C337" i="12"/>
  <c r="Q337" i="12" s="1"/>
  <c r="C108" i="12"/>
  <c r="Q108" i="12" s="1"/>
  <c r="C410" i="12"/>
  <c r="Q410" i="12" s="1"/>
  <c r="C89" i="12"/>
  <c r="Q89" i="12" s="1"/>
  <c r="C197" i="12"/>
  <c r="Q197" i="12" s="1"/>
  <c r="C325" i="12"/>
  <c r="Q325" i="12" s="1"/>
  <c r="C35" i="12"/>
  <c r="Q35" i="12" s="1"/>
  <c r="S35" i="12" s="1"/>
  <c r="C225" i="12"/>
  <c r="Q225" i="12" s="1"/>
  <c r="C52" i="12"/>
  <c r="Q52" i="12" s="1"/>
  <c r="C250" i="12"/>
  <c r="Q250" i="12" s="1"/>
  <c r="C32" i="12"/>
  <c r="S32" i="12" s="1"/>
  <c r="C94" i="12"/>
  <c r="Q94" i="12" s="1"/>
  <c r="C206" i="12"/>
  <c r="Q206" i="12" s="1"/>
  <c r="C334" i="12"/>
  <c r="Q334" i="12" s="1"/>
  <c r="C115" i="12"/>
  <c r="Q115" i="12" s="1"/>
  <c r="C179" i="12"/>
  <c r="Q179" i="12" s="1"/>
  <c r="C299" i="12"/>
  <c r="Q299" i="12" s="1"/>
  <c r="C427" i="12"/>
  <c r="Q427" i="12" s="1"/>
  <c r="C107" i="12"/>
  <c r="Q107" i="12" s="1"/>
  <c r="C353" i="12"/>
  <c r="Q353" i="12" s="1"/>
  <c r="C130" i="12"/>
  <c r="Q130" i="12" s="1"/>
  <c r="C434" i="12"/>
  <c r="Q434" i="12" s="1"/>
  <c r="C93" i="12"/>
  <c r="Q93" i="12" s="1"/>
  <c r="C205" i="12"/>
  <c r="Q205" i="12" s="1"/>
  <c r="C333" i="12"/>
  <c r="Q333" i="12" s="1"/>
  <c r="C43" i="12"/>
  <c r="Q43" i="12" s="1"/>
  <c r="C241" i="12"/>
  <c r="Q241" i="12" s="1"/>
  <c r="C60" i="12"/>
  <c r="Q60" i="12" s="1"/>
  <c r="C258" i="12"/>
  <c r="Q258" i="12" s="1"/>
  <c r="C34" i="12"/>
  <c r="Q34" i="12" s="1"/>
  <c r="C98" i="12"/>
  <c r="Q98" i="12" s="1"/>
  <c r="C214" i="12"/>
  <c r="Q214" i="12" s="1"/>
  <c r="C342" i="12"/>
  <c r="Q342" i="12" s="1"/>
  <c r="C119" i="12"/>
  <c r="Q119" i="12" s="1"/>
  <c r="C187" i="12"/>
  <c r="Q187" i="12" s="1"/>
  <c r="C303" i="12"/>
  <c r="Q303" i="12" s="1"/>
  <c r="C431" i="12"/>
  <c r="Q431" i="12" s="1"/>
  <c r="C152" i="12"/>
  <c r="Q152" i="12" s="1"/>
  <c r="C156" i="12"/>
  <c r="Q156" i="12" s="1"/>
  <c r="C216" i="12"/>
  <c r="Q216" i="12" s="1"/>
  <c r="C220" i="12"/>
  <c r="Q220" i="12" s="1"/>
  <c r="C280" i="12"/>
  <c r="Q280" i="12" s="1"/>
  <c r="C284" i="12"/>
  <c r="Q284" i="12" s="1"/>
  <c r="C436" i="12"/>
  <c r="Q436" i="12" s="1"/>
  <c r="C396" i="12"/>
  <c r="Q396" i="12" s="1"/>
  <c r="C364" i="12"/>
  <c r="Q364" i="12" s="1"/>
  <c r="C332" i="12"/>
  <c r="Q332" i="12" s="1"/>
  <c r="C300" i="12"/>
  <c r="Q300" i="12" s="1"/>
  <c r="C268" i="12"/>
  <c r="Q268" i="12" s="1"/>
  <c r="C236" i="12"/>
  <c r="Q236" i="12" s="1"/>
  <c r="C204" i="12"/>
  <c r="Q204" i="12" s="1"/>
  <c r="C172" i="12"/>
  <c r="Q172" i="12" s="1"/>
  <c r="C140" i="12"/>
  <c r="Q140" i="12" s="1"/>
  <c r="C447" i="12"/>
  <c r="Q447" i="12" s="1"/>
  <c r="C415" i="12"/>
  <c r="Q415" i="12" s="1"/>
  <c r="C383" i="12"/>
  <c r="Q383" i="12" s="1"/>
  <c r="C351" i="12"/>
  <c r="Q351" i="12" s="1"/>
  <c r="C319" i="12"/>
  <c r="Q319" i="12" s="1"/>
  <c r="C287" i="12"/>
  <c r="Q287" i="12" s="1"/>
  <c r="C255" i="12"/>
  <c r="Q255" i="12" s="1"/>
  <c r="C223" i="12"/>
  <c r="Q223" i="12" s="1"/>
  <c r="C195" i="12"/>
  <c r="Q195" i="12" s="1"/>
  <c r="C175" i="12"/>
  <c r="Q175" i="12" s="1"/>
  <c r="C159" i="12"/>
  <c r="Q159" i="12" s="1"/>
  <c r="C143" i="12"/>
  <c r="Q143" i="12" s="1"/>
  <c r="C127" i="12"/>
  <c r="Q127" i="12" s="1"/>
  <c r="C111" i="12"/>
  <c r="Q111" i="12" s="1"/>
  <c r="C422" i="12"/>
  <c r="Q422" i="12" s="1"/>
  <c r="C390" i="12"/>
  <c r="Q390" i="12" s="1"/>
  <c r="C358" i="12"/>
  <c r="Q358" i="12" s="1"/>
  <c r="C326" i="12"/>
  <c r="Q326" i="12" s="1"/>
  <c r="C294" i="12"/>
  <c r="Q294" i="12" s="1"/>
  <c r="C262" i="12"/>
  <c r="Q262" i="12" s="1"/>
  <c r="C230" i="12"/>
  <c r="Q230" i="12" s="1"/>
  <c r="C198" i="12"/>
  <c r="Q198" i="12" s="1"/>
  <c r="C166" i="12"/>
  <c r="Q166" i="12" s="1"/>
  <c r="C134" i="12"/>
  <c r="Q134" i="12" s="1"/>
  <c r="C106" i="12"/>
  <c r="Q106" i="12" s="1"/>
  <c r="C90" i="12"/>
  <c r="Q90" i="12" s="1"/>
  <c r="C74" i="12"/>
  <c r="Q74" i="12" s="1"/>
  <c r="C58" i="12"/>
  <c r="Q58" i="12" s="1"/>
  <c r="C42" i="12"/>
  <c r="Q42" i="12" s="1"/>
  <c r="C442" i="12"/>
  <c r="Q442" i="12" s="1"/>
  <c r="C394" i="12"/>
  <c r="Q394" i="12" s="1"/>
  <c r="C338" i="12"/>
  <c r="Q338" i="12" s="1"/>
  <c r="C274" i="12"/>
  <c r="Q274" i="12" s="1"/>
  <c r="C234" i="12"/>
  <c r="Q234" i="12" s="1"/>
  <c r="C178" i="12"/>
  <c r="Q178" i="12" s="1"/>
  <c r="C114" i="12"/>
  <c r="Q114" i="12" s="1"/>
  <c r="C80" i="12"/>
  <c r="Q80" i="12" s="1"/>
  <c r="C44" i="12"/>
  <c r="Q44" i="12" s="1"/>
  <c r="C409" i="12"/>
  <c r="Q409" i="12" s="1"/>
  <c r="C345" i="12"/>
  <c r="Q345" i="12" s="1"/>
  <c r="C273" i="12"/>
  <c r="Q273" i="12" s="1"/>
  <c r="C209" i="12"/>
  <c r="Q209" i="12" s="1"/>
  <c r="C153" i="12"/>
  <c r="Q153" i="12" s="1"/>
  <c r="C91" i="12"/>
  <c r="Q91" i="12" s="1"/>
  <c r="C59" i="12"/>
  <c r="Q59" i="12" s="1"/>
  <c r="C445" i="12"/>
  <c r="Q445" i="12" s="1"/>
  <c r="C413" i="12"/>
  <c r="Q413" i="12" s="1"/>
  <c r="C381" i="12"/>
  <c r="Q381" i="12" s="1"/>
  <c r="C349" i="12"/>
  <c r="Q349" i="12" s="1"/>
  <c r="C317" i="12"/>
  <c r="Q317" i="12" s="1"/>
  <c r="C285" i="12"/>
  <c r="Q285" i="12" s="1"/>
  <c r="C253" i="12"/>
  <c r="Q253" i="12" s="1"/>
  <c r="C221" i="12"/>
  <c r="Q221" i="12" s="1"/>
  <c r="C189" i="12"/>
  <c r="Q189" i="12" s="1"/>
  <c r="C157" i="12"/>
  <c r="Q157" i="12" s="1"/>
  <c r="C125" i="12"/>
  <c r="Q125" i="12" s="1"/>
  <c r="C101" i="12"/>
  <c r="Q101" i="12" s="1"/>
  <c r="C85" i="12"/>
  <c r="Q85" i="12" s="1"/>
  <c r="C69" i="12"/>
  <c r="Q69" i="12" s="1"/>
  <c r="C53" i="12"/>
  <c r="Q53" i="12" s="1"/>
  <c r="C37" i="12"/>
  <c r="Q37" i="12" s="1"/>
  <c r="C386" i="12"/>
  <c r="Q386" i="12" s="1"/>
  <c r="C314" i="12"/>
  <c r="Q314" i="12" s="1"/>
  <c r="C218" i="12"/>
  <c r="Q218" i="12" s="1"/>
  <c r="C154" i="12"/>
  <c r="Q154" i="12" s="1"/>
  <c r="C100" i="12"/>
  <c r="Q100" i="12" s="1"/>
  <c r="C68" i="12"/>
  <c r="Q68" i="12" s="1"/>
  <c r="C40" i="12"/>
  <c r="Q40" i="12" s="1"/>
  <c r="C385" i="12"/>
  <c r="Q385" i="12" s="1"/>
  <c r="C321" i="12"/>
  <c r="Q321" i="12" s="1"/>
  <c r="C265" i="12"/>
  <c r="Q265" i="12" s="1"/>
  <c r="C201" i="12"/>
  <c r="Q201" i="12" s="1"/>
  <c r="C129" i="12"/>
  <c r="Q129" i="12" s="1"/>
  <c r="C95" i="12"/>
  <c r="Q95" i="12" s="1"/>
  <c r="C63" i="12"/>
  <c r="Q63" i="12" s="1"/>
  <c r="C392" i="12"/>
  <c r="Q392" i="12" s="1"/>
  <c r="C360" i="12"/>
  <c r="Q360" i="12" s="1"/>
  <c r="C328" i="12"/>
  <c r="Q328" i="12" s="1"/>
  <c r="C296" i="12"/>
  <c r="Q296" i="12" s="1"/>
  <c r="C264" i="12"/>
  <c r="Q264" i="12" s="1"/>
  <c r="C232" i="12"/>
  <c r="Q232" i="12" s="1"/>
  <c r="C200" i="12"/>
  <c r="Q200" i="12" s="1"/>
  <c r="C168" i="12"/>
  <c r="Q168" i="12" s="1"/>
  <c r="C136" i="12"/>
  <c r="Q136" i="12" s="1"/>
  <c r="C443" i="12"/>
  <c r="Q443" i="12" s="1"/>
  <c r="C411" i="12"/>
  <c r="Q411" i="12" s="1"/>
  <c r="C379" i="12"/>
  <c r="Q379" i="12" s="1"/>
  <c r="C347" i="12"/>
  <c r="Q347" i="12" s="1"/>
  <c r="C315" i="12"/>
  <c r="Q315" i="12" s="1"/>
  <c r="C283" i="12"/>
  <c r="Q283" i="12" s="1"/>
  <c r="C251" i="12"/>
  <c r="Q251" i="12" s="1"/>
  <c r="C219" i="12"/>
  <c r="Q219" i="12" s="1"/>
  <c r="C191" i="12"/>
  <c r="Q191" i="12" s="1"/>
  <c r="C171" i="12"/>
  <c r="Q171" i="12" s="1"/>
  <c r="C155" i="12"/>
  <c r="Q155" i="12" s="1"/>
  <c r="C139" i="12"/>
  <c r="Q139" i="12" s="1"/>
  <c r="C123" i="12"/>
  <c r="Q123" i="12" s="1"/>
  <c r="C446" i="12"/>
  <c r="Q446" i="12" s="1"/>
  <c r="C414" i="12"/>
  <c r="Q414" i="12" s="1"/>
  <c r="C382" i="12"/>
  <c r="Q382" i="12" s="1"/>
  <c r="C350" i="12"/>
  <c r="Q350" i="12" s="1"/>
  <c r="C318" i="12"/>
  <c r="Q318" i="12" s="1"/>
  <c r="C286" i="12"/>
  <c r="Q286" i="12" s="1"/>
  <c r="C254" i="12"/>
  <c r="Q254" i="12" s="1"/>
  <c r="C222" i="12"/>
  <c r="Q222" i="12" s="1"/>
  <c r="C190" i="12"/>
  <c r="Q190" i="12" s="1"/>
  <c r="C158" i="12"/>
  <c r="Q158" i="12" s="1"/>
  <c r="C126" i="12"/>
  <c r="Q126" i="12" s="1"/>
  <c r="C102" i="12"/>
  <c r="Q102" i="12" s="1"/>
  <c r="C86" i="12"/>
  <c r="Q86" i="12" s="1"/>
  <c r="C70" i="12"/>
  <c r="Q70" i="12" s="1"/>
  <c r="C54" i="12"/>
  <c r="Q54" i="12" s="1"/>
  <c r="C38" i="12"/>
  <c r="Q38" i="12" s="1"/>
  <c r="C426" i="12"/>
  <c r="Q426" i="12" s="1"/>
  <c r="C378" i="12"/>
  <c r="Q378" i="12" s="1"/>
  <c r="C322" i="12"/>
  <c r="Q322" i="12" s="1"/>
  <c r="C266" i="12"/>
  <c r="Q266" i="12" s="1"/>
  <c r="C226" i="12"/>
  <c r="Q226" i="12" s="1"/>
  <c r="C162" i="12"/>
  <c r="Q162" i="12" s="1"/>
  <c r="C104" i="12"/>
  <c r="Q104" i="12" s="1"/>
  <c r="C72" i="12"/>
  <c r="Q72" i="12" s="1"/>
  <c r="C36" i="12"/>
  <c r="Q36" i="12" s="1"/>
  <c r="C393" i="12"/>
  <c r="Q393" i="12" s="1"/>
  <c r="C329" i="12"/>
  <c r="Q329" i="12" s="1"/>
  <c r="C257" i="12"/>
  <c r="Q257" i="12" s="1"/>
  <c r="C193" i="12"/>
  <c r="Q193" i="12" s="1"/>
  <c r="C137" i="12"/>
  <c r="Q137" i="12" s="1"/>
  <c r="C83" i="12"/>
  <c r="Q83" i="12" s="1"/>
  <c r="C51" i="12"/>
  <c r="Q51" i="12" s="1"/>
  <c r="C437" i="12"/>
  <c r="Q437" i="12" s="1"/>
  <c r="C405" i="12"/>
  <c r="Q405" i="12" s="1"/>
  <c r="C373" i="12"/>
  <c r="Q373" i="12" s="1"/>
  <c r="C341" i="12"/>
  <c r="Q341" i="12" s="1"/>
  <c r="C309" i="12"/>
  <c r="Q309" i="12" s="1"/>
  <c r="C277" i="12"/>
  <c r="Q277" i="12" s="1"/>
  <c r="C245" i="12"/>
  <c r="C213" i="12"/>
  <c r="Q213" i="12" s="1"/>
  <c r="C181" i="12"/>
  <c r="Q181" i="12" s="1"/>
  <c r="C149" i="12"/>
  <c r="Q149" i="12" s="1"/>
  <c r="C117" i="12"/>
  <c r="Q117" i="12" s="1"/>
  <c r="C97" i="12"/>
  <c r="Q97" i="12" s="1"/>
  <c r="C81" i="12"/>
  <c r="Q81" i="12" s="1"/>
  <c r="C65" i="12"/>
  <c r="Q65" i="12" s="1"/>
  <c r="C49" i="12"/>
  <c r="Q49" i="12" s="1"/>
  <c r="C33" i="12"/>
  <c r="C370" i="12"/>
  <c r="Q370" i="12" s="1"/>
  <c r="C298" i="12"/>
  <c r="Q298" i="12" s="1"/>
  <c r="C202" i="12"/>
  <c r="Q202" i="12" s="1"/>
  <c r="C146" i="12"/>
  <c r="Q146" i="12" s="1"/>
  <c r="C92" i="12"/>
  <c r="Q92" i="12" s="1"/>
  <c r="C64" i="12"/>
  <c r="Q64" i="12" s="1"/>
  <c r="C433" i="12"/>
  <c r="Q433" i="12" s="1"/>
  <c r="C369" i="12"/>
  <c r="Q369" i="12" s="1"/>
  <c r="C305" i="12"/>
  <c r="Q305" i="12" s="1"/>
  <c r="C249" i="12"/>
  <c r="Q249" i="12" s="1"/>
  <c r="C177" i="12"/>
  <c r="Q177" i="12" s="1"/>
  <c r="C121" i="12"/>
  <c r="Q121" i="12" s="1"/>
  <c r="C87" i="12"/>
  <c r="Q87" i="12" s="1"/>
  <c r="C55" i="12"/>
  <c r="Q55" i="12" s="1"/>
  <c r="C71" i="12"/>
  <c r="Q71" i="12" s="1"/>
  <c r="C145" i="12"/>
  <c r="Q145" i="12" s="1"/>
  <c r="C281" i="12"/>
  <c r="Q281" i="12" s="1"/>
  <c r="C401" i="12"/>
  <c r="Q401" i="12" s="1"/>
  <c r="C76" i="12"/>
  <c r="Q76" i="12" s="1"/>
  <c r="C170" i="12"/>
  <c r="Q170" i="12" s="1"/>
  <c r="C330" i="12"/>
  <c r="Q330" i="12" s="1"/>
  <c r="C41" i="12"/>
  <c r="C73" i="12"/>
  <c r="Q73" i="12" s="1"/>
  <c r="C105" i="12"/>
  <c r="Q105" i="12" s="1"/>
  <c r="C165" i="12"/>
  <c r="Q165" i="12" s="1"/>
  <c r="C229" i="12"/>
  <c r="Q229" i="12" s="1"/>
  <c r="C293" i="12"/>
  <c r="Q293" i="12" s="1"/>
  <c r="C357" i="12"/>
  <c r="Q357" i="12" s="1"/>
  <c r="C421" i="12"/>
  <c r="Q421" i="12" s="1"/>
  <c r="C67" i="12"/>
  <c r="Q67" i="12" s="1"/>
  <c r="C169" i="12"/>
  <c r="Q169" i="12" s="1"/>
  <c r="C289" i="12"/>
  <c r="Q289" i="12" s="1"/>
  <c r="C425" i="12"/>
  <c r="Q425" i="12" s="1"/>
  <c r="C88" i="12"/>
  <c r="Q88" i="12" s="1"/>
  <c r="C194" i="12"/>
  <c r="Q194" i="12" s="1"/>
  <c r="C290" i="12"/>
  <c r="Q290" i="12" s="1"/>
  <c r="C402" i="12"/>
  <c r="Q402" i="12" s="1"/>
  <c r="C46" i="12"/>
  <c r="Q46" i="12" s="1"/>
  <c r="C78" i="12"/>
  <c r="Q78" i="12" s="1"/>
  <c r="C110" i="12"/>
  <c r="Q110" i="12" s="1"/>
  <c r="C174" i="12"/>
  <c r="Q174" i="12" s="1"/>
  <c r="C238" i="12"/>
  <c r="Q238" i="12" s="1"/>
  <c r="C302" i="12"/>
  <c r="Q302" i="12" s="1"/>
  <c r="C366" i="12"/>
  <c r="Q366" i="12" s="1"/>
  <c r="C430" i="12"/>
  <c r="Q430" i="12" s="1"/>
  <c r="C131" i="12"/>
  <c r="Q131" i="12" s="1"/>
  <c r="C163" i="12"/>
  <c r="Q163" i="12" s="1"/>
  <c r="C203" i="12"/>
  <c r="Q203" i="12" s="1"/>
  <c r="C267" i="12"/>
  <c r="Q267" i="12" s="1"/>
  <c r="C331" i="12"/>
  <c r="Q331" i="12" s="1"/>
  <c r="C395" i="12"/>
  <c r="Q395" i="12" s="1"/>
  <c r="C120" i="12"/>
  <c r="Q120" i="12" s="1"/>
  <c r="C184" i="12"/>
  <c r="Q184" i="12" s="1"/>
  <c r="C248" i="12"/>
  <c r="Q248" i="12" s="1"/>
  <c r="C312" i="12"/>
  <c r="Q312" i="12" s="1"/>
  <c r="C376" i="12"/>
  <c r="Q376" i="12" s="1"/>
  <c r="C348" i="12"/>
  <c r="Q348" i="12" s="1"/>
  <c r="C79" i="12"/>
  <c r="Q79" i="12" s="1"/>
  <c r="C161" i="12"/>
  <c r="Q161" i="12" s="1"/>
  <c r="C297" i="12"/>
  <c r="Q297" i="12" s="1"/>
  <c r="C417" i="12"/>
  <c r="Q417" i="12" s="1"/>
  <c r="C84" i="12"/>
  <c r="Q84" i="12" s="1"/>
  <c r="C186" i="12"/>
  <c r="Q186" i="12" s="1"/>
  <c r="C346" i="12"/>
  <c r="Q346" i="12" s="1"/>
  <c r="C45" i="12"/>
  <c r="Q45" i="12" s="1"/>
  <c r="C77" i="12"/>
  <c r="Q77" i="12" s="1"/>
  <c r="C109" i="12"/>
  <c r="Q109" i="12" s="1"/>
  <c r="C173" i="12"/>
  <c r="Q173" i="12" s="1"/>
  <c r="C237" i="12"/>
  <c r="Q237" i="12" s="1"/>
  <c r="C301" i="12"/>
  <c r="Q301" i="12" s="1"/>
  <c r="C365" i="12"/>
  <c r="Q365" i="12" s="1"/>
  <c r="C429" i="12"/>
  <c r="Q429" i="12" s="1"/>
  <c r="C75" i="12"/>
  <c r="Q75" i="12" s="1"/>
  <c r="C185" i="12"/>
  <c r="Q185" i="12" s="1"/>
  <c r="C313" i="12"/>
  <c r="Q313" i="12" s="1"/>
  <c r="C441" i="12"/>
  <c r="Q441" i="12" s="1"/>
  <c r="C96" i="12"/>
  <c r="Q96" i="12" s="1"/>
  <c r="C210" i="12"/>
  <c r="Q210" i="12" s="1"/>
  <c r="C306" i="12"/>
  <c r="Q306" i="12" s="1"/>
  <c r="C418" i="12"/>
  <c r="Q418" i="12" s="1"/>
  <c r="C50" i="12"/>
  <c r="Q50" i="12" s="1"/>
  <c r="C82" i="12"/>
  <c r="Q82" i="12" s="1"/>
  <c r="C118" i="12"/>
  <c r="Q118" i="12" s="1"/>
  <c r="C182" i="12"/>
  <c r="Q182" i="12" s="1"/>
  <c r="C246" i="12"/>
  <c r="Q246" i="12" s="1"/>
  <c r="C310" i="12"/>
  <c r="Q310" i="12" s="1"/>
  <c r="C374" i="12"/>
  <c r="Q374" i="12" s="1"/>
  <c r="C438" i="12"/>
  <c r="Q438" i="12" s="1"/>
  <c r="C135" i="12"/>
  <c r="Q135" i="12" s="1"/>
  <c r="C167" i="12"/>
  <c r="Q167" i="12" s="1"/>
  <c r="C207" i="12"/>
  <c r="Q207" i="12" s="1"/>
  <c r="C271" i="12"/>
  <c r="Q271" i="12" s="1"/>
  <c r="C335" i="12"/>
  <c r="Q335" i="12" s="1"/>
  <c r="C399" i="12"/>
  <c r="Q399" i="12" s="1"/>
  <c r="C124" i="12"/>
  <c r="Q124" i="12" s="1"/>
  <c r="C188" i="12"/>
  <c r="Q188" i="12" s="1"/>
  <c r="C252" i="12"/>
  <c r="Q252" i="12" s="1"/>
  <c r="C316" i="12"/>
  <c r="Q316" i="12" s="1"/>
  <c r="C380" i="12"/>
  <c r="Q380" i="12" s="1"/>
  <c r="C211" i="12"/>
  <c r="Q211" i="12" s="1"/>
  <c r="C227" i="12"/>
  <c r="Q227" i="12" s="1"/>
  <c r="C243" i="12"/>
  <c r="Q243" i="12" s="1"/>
  <c r="C259" i="12"/>
  <c r="Q259" i="12" s="1"/>
  <c r="C275" i="12"/>
  <c r="Q275" i="12" s="1"/>
  <c r="C291" i="12"/>
  <c r="Q291" i="12" s="1"/>
  <c r="C307" i="12"/>
  <c r="Q307" i="12" s="1"/>
  <c r="C323" i="12"/>
  <c r="Q323" i="12" s="1"/>
  <c r="C339" i="12"/>
  <c r="Q339" i="12" s="1"/>
  <c r="C355" i="12"/>
  <c r="Q355" i="12" s="1"/>
  <c r="C371" i="12"/>
  <c r="Q371" i="12" s="1"/>
  <c r="C387" i="12"/>
  <c r="Q387" i="12" s="1"/>
  <c r="C403" i="12"/>
  <c r="Q403" i="12" s="1"/>
  <c r="C419" i="12"/>
  <c r="Q419" i="12" s="1"/>
  <c r="C435" i="12"/>
  <c r="Q435" i="12" s="1"/>
  <c r="C112" i="12"/>
  <c r="Q112" i="12" s="1"/>
  <c r="C128" i="12"/>
  <c r="Q128" i="12" s="1"/>
  <c r="C144" i="12"/>
  <c r="Q144" i="12" s="1"/>
  <c r="C160" i="12"/>
  <c r="Q160" i="12" s="1"/>
  <c r="C176" i="12"/>
  <c r="Q176" i="12" s="1"/>
  <c r="C192" i="12"/>
  <c r="Q192" i="12" s="1"/>
  <c r="C208" i="12"/>
  <c r="Q208" i="12" s="1"/>
  <c r="C224" i="12"/>
  <c r="Q224" i="12" s="1"/>
  <c r="C240" i="12"/>
  <c r="Q240" i="12" s="1"/>
  <c r="C256" i="12"/>
  <c r="Q256" i="12" s="1"/>
  <c r="C272" i="12"/>
  <c r="Q272" i="12" s="1"/>
  <c r="C288" i="12"/>
  <c r="Q288" i="12" s="1"/>
  <c r="C304" i="12"/>
  <c r="Q304" i="12" s="1"/>
  <c r="C320" i="12"/>
  <c r="Q320" i="12" s="1"/>
  <c r="C336" i="12"/>
  <c r="Q336" i="12" s="1"/>
  <c r="C352" i="12"/>
  <c r="Q352" i="12" s="1"/>
  <c r="C368" i="12"/>
  <c r="Q368" i="12" s="1"/>
  <c r="C384" i="12"/>
  <c r="Q384" i="12" s="1"/>
  <c r="C400" i="12"/>
  <c r="Q400" i="12" s="1"/>
  <c r="C183" i="12"/>
  <c r="Q183" i="12" s="1"/>
  <c r="C199" i="12"/>
  <c r="Q199" i="12" s="1"/>
  <c r="C215" i="12"/>
  <c r="Q215" i="12" s="1"/>
  <c r="C231" i="12"/>
  <c r="Q231" i="12" s="1"/>
  <c r="C247" i="12"/>
  <c r="Q247" i="12" s="1"/>
  <c r="C263" i="12"/>
  <c r="Q263" i="12" s="1"/>
  <c r="C279" i="12"/>
  <c r="Q279" i="12" s="1"/>
  <c r="C295" i="12"/>
  <c r="Q295" i="12" s="1"/>
  <c r="C311" i="12"/>
  <c r="Q311" i="12" s="1"/>
  <c r="C327" i="12"/>
  <c r="Q327" i="12" s="1"/>
  <c r="C343" i="12"/>
  <c r="Q343" i="12" s="1"/>
  <c r="C359" i="12"/>
  <c r="Q359" i="12" s="1"/>
  <c r="C375" i="12"/>
  <c r="Q375" i="12" s="1"/>
  <c r="C391" i="12"/>
  <c r="Q391" i="12" s="1"/>
  <c r="C407" i="12"/>
  <c r="Q407" i="12" s="1"/>
  <c r="C423" i="12"/>
  <c r="Q423" i="12" s="1"/>
  <c r="C439" i="12"/>
  <c r="Q439" i="12" s="1"/>
  <c r="C116" i="12"/>
  <c r="Q116" i="12" s="1"/>
  <c r="C132" i="12"/>
  <c r="Q132" i="12" s="1"/>
  <c r="C148" i="12"/>
  <c r="Q148" i="12" s="1"/>
  <c r="C164" i="12"/>
  <c r="Q164" i="12" s="1"/>
  <c r="C180" i="12"/>
  <c r="Q180" i="12" s="1"/>
  <c r="C196" i="12"/>
  <c r="Q196" i="12" s="1"/>
  <c r="C212" i="12"/>
  <c r="Q212" i="12" s="1"/>
  <c r="C228" i="12"/>
  <c r="Q228" i="12" s="1"/>
  <c r="C244" i="12"/>
  <c r="Q244" i="12" s="1"/>
  <c r="C260" i="12"/>
  <c r="Q260" i="12" s="1"/>
  <c r="C276" i="12"/>
  <c r="Q276" i="12" s="1"/>
  <c r="C292" i="12"/>
  <c r="Q292" i="12" s="1"/>
  <c r="C308" i="12"/>
  <c r="Q308" i="12" s="1"/>
  <c r="C324" i="12"/>
  <c r="Q324" i="12" s="1"/>
  <c r="C340" i="12"/>
  <c r="Q340" i="12" s="1"/>
  <c r="C356" i="12"/>
  <c r="Q356" i="12" s="1"/>
  <c r="C372" i="12"/>
  <c r="Q372" i="12" s="1"/>
  <c r="C388" i="12"/>
  <c r="Q388" i="12" s="1"/>
  <c r="C404" i="12"/>
  <c r="Q404" i="12" s="1"/>
  <c r="C412" i="12"/>
  <c r="Q412" i="12" s="1"/>
  <c r="C416" i="12"/>
  <c r="Q416" i="12" s="1"/>
  <c r="C420" i="12"/>
  <c r="Q420" i="12" s="1"/>
  <c r="C408" i="12"/>
  <c r="Q408" i="12" s="1"/>
  <c r="C424" i="12"/>
  <c r="Q424" i="12" s="1"/>
  <c r="C428" i="12"/>
  <c r="Q428" i="12" s="1"/>
  <c r="C432" i="12"/>
  <c r="Q432" i="12" s="1"/>
  <c r="C440" i="12"/>
  <c r="Q440" i="12" s="1"/>
  <c r="C444" i="12"/>
  <c r="Q444" i="12" s="1"/>
  <c r="C448" i="12"/>
  <c r="Q448" i="12" s="1"/>
  <c r="S344" i="12"/>
  <c r="R344" i="12"/>
  <c r="D141" i="12"/>
  <c r="E141" i="12" s="1"/>
  <c r="D344" i="12"/>
  <c r="E344" i="12" s="1"/>
  <c r="I191" i="11"/>
  <c r="H191" i="11" s="1"/>
  <c r="Q180" i="11" s="1"/>
  <c r="T36" i="3" s="1"/>
  <c r="I189" i="11"/>
  <c r="H189" i="11" s="1"/>
  <c r="O180" i="11" s="1"/>
  <c r="R36" i="3" s="1"/>
  <c r="J242" i="11"/>
  <c r="R166" i="11" s="1"/>
  <c r="G27" i="9"/>
  <c r="F26" i="14"/>
  <c r="H25" i="5"/>
  <c r="H25" i="4"/>
  <c r="H32" i="7"/>
  <c r="H32" i="6"/>
  <c r="H10" i="5"/>
  <c r="H10" i="7"/>
  <c r="H10" i="6"/>
  <c r="S188" i="11"/>
  <c r="H236" i="11" s="1"/>
  <c r="H9" i="6"/>
  <c r="H11" i="7"/>
  <c r="H11" i="4"/>
  <c r="H11" i="5"/>
  <c r="H9" i="4"/>
  <c r="H9" i="5"/>
  <c r="M59" i="7"/>
  <c r="J51" i="8"/>
  <c r="E12" i="8"/>
  <c r="G12" i="8" s="1"/>
  <c r="H12" i="8" s="1"/>
  <c r="I12" i="8" s="1"/>
  <c r="I13" i="8" s="1"/>
  <c r="F8" i="8"/>
  <c r="D52" i="3" l="1"/>
  <c r="C185" i="2"/>
  <c r="D203" i="11"/>
  <c r="D211" i="11" s="1"/>
  <c r="G56" i="8"/>
  <c r="G57" i="8" s="1"/>
  <c r="G58" i="8" s="1"/>
  <c r="G52" i="8"/>
  <c r="G53" i="8" s="1"/>
  <c r="G54" i="8" s="1"/>
  <c r="P242" i="11"/>
  <c r="Q245" i="12"/>
  <c r="S245" i="12" s="1"/>
  <c r="Q41" i="12"/>
  <c r="S41" i="12" s="1"/>
  <c r="S33" i="12"/>
  <c r="Q33" i="12"/>
  <c r="D428" i="12"/>
  <c r="E428" i="12" s="1"/>
  <c r="G428" i="12" s="1"/>
  <c r="S308" i="12"/>
  <c r="S116" i="12"/>
  <c r="S263" i="12"/>
  <c r="D304" i="12"/>
  <c r="E304" i="12" s="1"/>
  <c r="F304" i="12" s="1"/>
  <c r="H304" i="12" s="1"/>
  <c r="D112" i="12"/>
  <c r="E112" i="12" s="1"/>
  <c r="G112" i="12" s="1"/>
  <c r="S112" i="12"/>
  <c r="D259" i="12"/>
  <c r="E259" i="12" s="1"/>
  <c r="A259" i="12" s="1"/>
  <c r="D207" i="12"/>
  <c r="E207" i="12" s="1"/>
  <c r="G207" i="12" s="1"/>
  <c r="S207" i="12"/>
  <c r="S306" i="12"/>
  <c r="S365" i="12"/>
  <c r="S161" i="12"/>
  <c r="D163" i="12"/>
  <c r="E163" i="12" s="1"/>
  <c r="A163" i="12" s="1"/>
  <c r="S163" i="12"/>
  <c r="D194" i="12"/>
  <c r="E194" i="12" s="1"/>
  <c r="F194" i="12" s="1"/>
  <c r="H194" i="12" s="1"/>
  <c r="S293" i="12"/>
  <c r="S177" i="12"/>
  <c r="S329" i="12"/>
  <c r="R54" i="12"/>
  <c r="S347" i="12"/>
  <c r="S264" i="12"/>
  <c r="D253" i="12"/>
  <c r="E253" i="12" s="1"/>
  <c r="A253" i="12" s="1"/>
  <c r="S253" i="12"/>
  <c r="D91" i="12"/>
  <c r="E91" i="12" s="1"/>
  <c r="G91" i="12" s="1"/>
  <c r="D338" i="12"/>
  <c r="E338" i="12" s="1"/>
  <c r="A338" i="12" s="1"/>
  <c r="S338" i="12"/>
  <c r="D134" i="12"/>
  <c r="E134" i="12" s="1"/>
  <c r="F134" i="12" s="1"/>
  <c r="H134" i="12" s="1"/>
  <c r="D390" i="12"/>
  <c r="E390" i="12" s="1"/>
  <c r="G390" i="12" s="1"/>
  <c r="D223" i="12"/>
  <c r="E223" i="12" s="1"/>
  <c r="A223" i="12" s="1"/>
  <c r="D268" i="12"/>
  <c r="E268" i="12" s="1"/>
  <c r="F268" i="12" s="1"/>
  <c r="H268" i="12" s="1"/>
  <c r="D220" i="12"/>
  <c r="E220" i="12" s="1"/>
  <c r="G220" i="12" s="1"/>
  <c r="D431" i="12"/>
  <c r="E431" i="12" s="1"/>
  <c r="F431" i="12" s="1"/>
  <c r="H431" i="12" s="1"/>
  <c r="S258" i="12"/>
  <c r="S130" i="12"/>
  <c r="R52" i="12"/>
  <c r="S337" i="12"/>
  <c r="D261" i="12"/>
  <c r="E261" i="12" s="1"/>
  <c r="G261" i="12" s="1"/>
  <c r="D444" i="12"/>
  <c r="E444" i="12" s="1"/>
  <c r="A444" i="12" s="1"/>
  <c r="D412" i="12"/>
  <c r="E412" i="12" s="1"/>
  <c r="G412" i="12" s="1"/>
  <c r="S356" i="12"/>
  <c r="S292" i="12"/>
  <c r="S228" i="12"/>
  <c r="S164" i="12"/>
  <c r="S375" i="12"/>
  <c r="S311" i="12"/>
  <c r="S247" i="12"/>
  <c r="S183" i="12"/>
  <c r="D352" i="12"/>
  <c r="E352" i="12" s="1"/>
  <c r="F352" i="12" s="1"/>
  <c r="H352" i="12" s="1"/>
  <c r="S352" i="12"/>
  <c r="D288" i="12"/>
  <c r="E288" i="12" s="1"/>
  <c r="F288" i="12" s="1"/>
  <c r="H288" i="12" s="1"/>
  <c r="D224" i="12"/>
  <c r="E224" i="12" s="1"/>
  <c r="A224" i="12" s="1"/>
  <c r="S224" i="12"/>
  <c r="D160" i="12"/>
  <c r="E160" i="12" s="1"/>
  <c r="F160" i="12" s="1"/>
  <c r="H160" i="12" s="1"/>
  <c r="D435" i="12"/>
  <c r="E435" i="12" s="1"/>
  <c r="F435" i="12" s="1"/>
  <c r="H435" i="12" s="1"/>
  <c r="D371" i="12"/>
  <c r="E371" i="12" s="1"/>
  <c r="A371" i="12" s="1"/>
  <c r="D307" i="12"/>
  <c r="E307" i="12" s="1"/>
  <c r="G307" i="12" s="1"/>
  <c r="S307" i="12"/>
  <c r="D243" i="12"/>
  <c r="E243" i="12" s="1"/>
  <c r="A243" i="12" s="1"/>
  <c r="D316" i="12"/>
  <c r="E316" i="12" s="1"/>
  <c r="G316" i="12" s="1"/>
  <c r="S316" i="12"/>
  <c r="D399" i="12"/>
  <c r="E399" i="12" s="1"/>
  <c r="G399" i="12" s="1"/>
  <c r="S167" i="12"/>
  <c r="S310" i="12"/>
  <c r="S82" i="12"/>
  <c r="S210" i="12"/>
  <c r="S185" i="12"/>
  <c r="S301" i="12"/>
  <c r="S77" i="12"/>
  <c r="S84" i="12"/>
  <c r="S79" i="12"/>
  <c r="S248" i="12"/>
  <c r="S331" i="12"/>
  <c r="D131" i="12"/>
  <c r="E131" i="12" s="1"/>
  <c r="G131" i="12" s="1"/>
  <c r="D238" i="12"/>
  <c r="E238" i="12" s="1"/>
  <c r="G238" i="12" s="1"/>
  <c r="S238" i="12"/>
  <c r="S88" i="12"/>
  <c r="D67" i="12"/>
  <c r="E67" i="12" s="1"/>
  <c r="G67" i="12" s="1"/>
  <c r="S67" i="12"/>
  <c r="S229" i="12"/>
  <c r="R55" i="12"/>
  <c r="S55" i="12"/>
  <c r="S249" i="12"/>
  <c r="S64" i="12"/>
  <c r="S298" i="12"/>
  <c r="S65" i="12"/>
  <c r="S149" i="12"/>
  <c r="S277" i="12"/>
  <c r="S137" i="12"/>
  <c r="S162" i="12"/>
  <c r="S70" i="12"/>
  <c r="D158" i="12"/>
  <c r="E158" i="12" s="1"/>
  <c r="G158" i="12" s="1"/>
  <c r="S158" i="12"/>
  <c r="S286" i="12"/>
  <c r="S155" i="12"/>
  <c r="S168" i="12"/>
  <c r="S296" i="12"/>
  <c r="D265" i="12"/>
  <c r="E265" i="12" s="1"/>
  <c r="G265" i="12" s="1"/>
  <c r="D68" i="12"/>
  <c r="E68" i="12" s="1"/>
  <c r="F68" i="12" s="1"/>
  <c r="H68" i="12" s="1"/>
  <c r="S68" i="12"/>
  <c r="D314" i="12"/>
  <c r="E314" i="12" s="1"/>
  <c r="F314" i="12" s="1"/>
  <c r="H314" i="12" s="1"/>
  <c r="D69" i="12"/>
  <c r="E69" i="12" s="1"/>
  <c r="A69" i="12" s="1"/>
  <c r="S69" i="12"/>
  <c r="D157" i="12"/>
  <c r="E157" i="12" s="1"/>
  <c r="G157" i="12" s="1"/>
  <c r="D285" i="12"/>
  <c r="E285" i="12" s="1"/>
  <c r="F285" i="12" s="1"/>
  <c r="H285" i="12" s="1"/>
  <c r="S285" i="12"/>
  <c r="D413" i="12"/>
  <c r="E413" i="12" s="1"/>
  <c r="G413" i="12" s="1"/>
  <c r="D153" i="12"/>
  <c r="E153" i="12" s="1"/>
  <c r="F153" i="12" s="1"/>
  <c r="H153" i="12" s="1"/>
  <c r="S153" i="12"/>
  <c r="D409" i="12"/>
  <c r="E409" i="12" s="1"/>
  <c r="G409" i="12" s="1"/>
  <c r="D178" i="12"/>
  <c r="E178" i="12" s="1"/>
  <c r="G178" i="12" s="1"/>
  <c r="S178" i="12"/>
  <c r="D394" i="12"/>
  <c r="E394" i="12" s="1"/>
  <c r="G394" i="12" s="1"/>
  <c r="D74" i="12"/>
  <c r="E74" i="12" s="1"/>
  <c r="F74" i="12" s="1"/>
  <c r="H74" i="12" s="1"/>
  <c r="S74" i="12"/>
  <c r="D166" i="12"/>
  <c r="E166" i="12" s="1"/>
  <c r="F166" i="12" s="1"/>
  <c r="H166" i="12" s="1"/>
  <c r="D294" i="12"/>
  <c r="E294" i="12" s="1"/>
  <c r="G294" i="12" s="1"/>
  <c r="S294" i="12"/>
  <c r="D422" i="12"/>
  <c r="E422" i="12" s="1"/>
  <c r="G422" i="12" s="1"/>
  <c r="D159" i="12"/>
  <c r="E159" i="12" s="1"/>
  <c r="F159" i="12" s="1"/>
  <c r="H159" i="12" s="1"/>
  <c r="S159" i="12"/>
  <c r="D255" i="12"/>
  <c r="E255" i="12" s="1"/>
  <c r="F255" i="12" s="1"/>
  <c r="H255" i="12" s="1"/>
  <c r="D383" i="12"/>
  <c r="E383" i="12" s="1"/>
  <c r="F383" i="12" s="1"/>
  <c r="H383" i="12" s="1"/>
  <c r="S383" i="12"/>
  <c r="D172" i="12"/>
  <c r="E172" i="12" s="1"/>
  <c r="G172" i="12" s="1"/>
  <c r="D300" i="12"/>
  <c r="E300" i="12" s="1"/>
  <c r="G300" i="12" s="1"/>
  <c r="S216" i="12"/>
  <c r="D303" i="12"/>
  <c r="E303" i="12" s="1"/>
  <c r="G303" i="12" s="1"/>
  <c r="S303" i="12"/>
  <c r="S214" i="12"/>
  <c r="S60" i="12"/>
  <c r="S205" i="12"/>
  <c r="S353" i="12"/>
  <c r="D179" i="12"/>
  <c r="E179" i="12" s="1"/>
  <c r="F179" i="12" s="1"/>
  <c r="H179" i="12" s="1"/>
  <c r="D94" i="12"/>
  <c r="E94" i="12" s="1"/>
  <c r="A94" i="12" s="1"/>
  <c r="S94" i="12"/>
  <c r="S225" i="12"/>
  <c r="S89" i="12"/>
  <c r="S99" i="12"/>
  <c r="D62" i="12"/>
  <c r="E62" i="12" s="1"/>
  <c r="F62" i="12" s="1"/>
  <c r="H62" i="12" s="1"/>
  <c r="S62" i="12"/>
  <c r="S150" i="12"/>
  <c r="S141" i="12"/>
  <c r="D398" i="12"/>
  <c r="E398" i="12" s="1"/>
  <c r="F398" i="12" s="1"/>
  <c r="H398" i="12" s="1"/>
  <c r="S217" i="12"/>
  <c r="S113" i="12"/>
  <c r="S242" i="12"/>
  <c r="S372" i="12"/>
  <c r="S199" i="12"/>
  <c r="D240" i="12"/>
  <c r="E240" i="12" s="1"/>
  <c r="A240" i="12" s="1"/>
  <c r="D323" i="12"/>
  <c r="E323" i="12" s="1"/>
  <c r="G323" i="12" s="1"/>
  <c r="D124" i="12"/>
  <c r="E124" i="12" s="1"/>
  <c r="A124" i="12" s="1"/>
  <c r="S374" i="12"/>
  <c r="S313" i="12"/>
  <c r="S186" i="12"/>
  <c r="S312" i="12"/>
  <c r="D302" i="12"/>
  <c r="E302" i="12" s="1"/>
  <c r="F302" i="12" s="1"/>
  <c r="H302" i="12" s="1"/>
  <c r="S302" i="12"/>
  <c r="S169" i="12"/>
  <c r="S76" i="12"/>
  <c r="S71" i="12"/>
  <c r="S202" i="12"/>
  <c r="S117" i="12"/>
  <c r="S83" i="12"/>
  <c r="S322" i="12"/>
  <c r="S254" i="12"/>
  <c r="S219" i="12"/>
  <c r="D218" i="12"/>
  <c r="E218" i="12" s="1"/>
  <c r="F218" i="12" s="1"/>
  <c r="H218" i="12" s="1"/>
  <c r="R125" i="12"/>
  <c r="D381" i="12"/>
  <c r="E381" i="12" s="1"/>
  <c r="A381" i="12" s="1"/>
  <c r="D114" i="12"/>
  <c r="E114" i="12" s="1"/>
  <c r="G114" i="12" s="1"/>
  <c r="D58" i="12"/>
  <c r="E58" i="12" s="1"/>
  <c r="G58" i="12" s="1"/>
  <c r="S58" i="12"/>
  <c r="D262" i="12"/>
  <c r="E262" i="12" s="1"/>
  <c r="A262" i="12" s="1"/>
  <c r="D143" i="12"/>
  <c r="E143" i="12" s="1"/>
  <c r="G143" i="12" s="1"/>
  <c r="S143" i="12"/>
  <c r="D351" i="12"/>
  <c r="E351" i="12" s="1"/>
  <c r="F351" i="12" s="1"/>
  <c r="H351" i="12" s="1"/>
  <c r="D396" i="12"/>
  <c r="E396" i="12" s="1"/>
  <c r="A396" i="12" s="1"/>
  <c r="S342" i="12"/>
  <c r="S333" i="12"/>
  <c r="S299" i="12"/>
  <c r="D206" i="12"/>
  <c r="E206" i="12" s="1"/>
  <c r="G206" i="12" s="1"/>
  <c r="S206" i="12"/>
  <c r="S197" i="12"/>
  <c r="S151" i="12"/>
  <c r="D270" i="12"/>
  <c r="E270" i="12" s="1"/>
  <c r="F270" i="12" s="1"/>
  <c r="H270" i="12" s="1"/>
  <c r="S235" i="12"/>
  <c r="D147" i="12"/>
  <c r="E147" i="12" s="1"/>
  <c r="F147" i="12" s="1"/>
  <c r="H147" i="12" s="1"/>
  <c r="S133" i="12"/>
  <c r="S66" i="12"/>
  <c r="S269" i="12"/>
  <c r="R404" i="12"/>
  <c r="D437" i="12"/>
  <c r="E437" i="12" s="1"/>
  <c r="G437" i="12" s="1"/>
  <c r="D446" i="12"/>
  <c r="E446" i="12" s="1"/>
  <c r="A446" i="12" s="1"/>
  <c r="D171" i="12"/>
  <c r="E171" i="12" s="1"/>
  <c r="A171" i="12" s="1"/>
  <c r="R200" i="12"/>
  <c r="R328" i="12"/>
  <c r="S328" i="12"/>
  <c r="D284" i="12"/>
  <c r="E284" i="12" s="1"/>
  <c r="A284" i="12" s="1"/>
  <c r="D156" i="12"/>
  <c r="E156" i="12" s="1"/>
  <c r="A156" i="12" s="1"/>
  <c r="S156" i="12"/>
  <c r="S187" i="12"/>
  <c r="S98" i="12"/>
  <c r="S241" i="12"/>
  <c r="S93" i="12"/>
  <c r="S107" i="12"/>
  <c r="D115" i="12"/>
  <c r="E115" i="12" s="1"/>
  <c r="A115" i="12" s="1"/>
  <c r="S115" i="12"/>
  <c r="R35" i="12"/>
  <c r="D367" i="12"/>
  <c r="E367" i="12" s="1"/>
  <c r="A367" i="12" s="1"/>
  <c r="S367" i="12"/>
  <c r="S278" i="12"/>
  <c r="S122" i="12"/>
  <c r="R48" i="12"/>
  <c r="S362" i="12"/>
  <c r="S282" i="12"/>
  <c r="D142" i="12"/>
  <c r="E142" i="12" s="1"/>
  <c r="G142" i="12" s="1"/>
  <c r="S142" i="12"/>
  <c r="D354" i="12"/>
  <c r="E354" i="12" s="1"/>
  <c r="A354" i="12" s="1"/>
  <c r="S61" i="12"/>
  <c r="D416" i="12"/>
  <c r="E416" i="12" s="1"/>
  <c r="G416" i="12" s="1"/>
  <c r="S244" i="12"/>
  <c r="S180" i="12"/>
  <c r="S327" i="12"/>
  <c r="D368" i="12"/>
  <c r="E368" i="12" s="1"/>
  <c r="F368" i="12" s="1"/>
  <c r="H368" i="12" s="1"/>
  <c r="D176" i="12"/>
  <c r="E176" i="12" s="1"/>
  <c r="F176" i="12" s="1"/>
  <c r="H176" i="12" s="1"/>
  <c r="S176" i="12"/>
  <c r="D387" i="12"/>
  <c r="E387" i="12" s="1"/>
  <c r="G387" i="12" s="1"/>
  <c r="D380" i="12"/>
  <c r="E380" i="12" s="1"/>
  <c r="G380" i="12" s="1"/>
  <c r="S118" i="12"/>
  <c r="S109" i="12"/>
  <c r="D78" i="12"/>
  <c r="E78" i="12" s="1"/>
  <c r="F78" i="12" s="1"/>
  <c r="H78" i="12" s="1"/>
  <c r="S73" i="12"/>
  <c r="R49" i="12"/>
  <c r="S373" i="12"/>
  <c r="S104" i="12"/>
  <c r="S126" i="12"/>
  <c r="S139" i="12"/>
  <c r="S136" i="12"/>
  <c r="R53" i="12"/>
  <c r="D345" i="12"/>
  <c r="E345" i="12" s="1"/>
  <c r="F345" i="12" s="1"/>
  <c r="H345" i="12" s="1"/>
  <c r="D140" i="12"/>
  <c r="E140" i="12" s="1"/>
  <c r="F140" i="12" s="1"/>
  <c r="H140" i="12" s="1"/>
  <c r="S340" i="12"/>
  <c r="D359" i="12"/>
  <c r="E359" i="12" s="1"/>
  <c r="F359" i="12" s="1"/>
  <c r="H359" i="12" s="1"/>
  <c r="S267" i="12"/>
  <c r="R402" i="12"/>
  <c r="D432" i="12"/>
  <c r="E432" i="12" s="1"/>
  <c r="G432" i="12" s="1"/>
  <c r="S324" i="12"/>
  <c r="S260" i="12"/>
  <c r="S196" i="12"/>
  <c r="S132" i="12"/>
  <c r="S343" i="12"/>
  <c r="S279" i="12"/>
  <c r="S215" i="12"/>
  <c r="D384" i="12"/>
  <c r="E384" i="12" s="1"/>
  <c r="F384" i="12" s="1"/>
  <c r="H384" i="12" s="1"/>
  <c r="D320" i="12"/>
  <c r="E320" i="12" s="1"/>
  <c r="A320" i="12" s="1"/>
  <c r="D256" i="12"/>
  <c r="E256" i="12" s="1"/>
  <c r="G256" i="12" s="1"/>
  <c r="D192" i="12"/>
  <c r="E192" i="12" s="1"/>
  <c r="A192" i="12" s="1"/>
  <c r="D128" i="12"/>
  <c r="E128" i="12" s="1"/>
  <c r="F128" i="12" s="1"/>
  <c r="H128" i="12" s="1"/>
  <c r="S128" i="12"/>
  <c r="D403" i="12"/>
  <c r="E403" i="12" s="1"/>
  <c r="F403" i="12" s="1"/>
  <c r="H403" i="12" s="1"/>
  <c r="D339" i="12"/>
  <c r="E339" i="12" s="1"/>
  <c r="A339" i="12" s="1"/>
  <c r="S339" i="12"/>
  <c r="D275" i="12"/>
  <c r="E275" i="12" s="1"/>
  <c r="F275" i="12" s="1"/>
  <c r="H275" i="12" s="1"/>
  <c r="D211" i="12"/>
  <c r="E211" i="12" s="1"/>
  <c r="G211" i="12" s="1"/>
  <c r="S211" i="12"/>
  <c r="D188" i="12"/>
  <c r="E188" i="12" s="1"/>
  <c r="F188" i="12" s="1"/>
  <c r="H188" i="12" s="1"/>
  <c r="D271" i="12"/>
  <c r="E271" i="12" s="1"/>
  <c r="F271" i="12" s="1"/>
  <c r="H271" i="12" s="1"/>
  <c r="S182" i="12"/>
  <c r="S173" i="12"/>
  <c r="S346" i="12"/>
  <c r="S297" i="12"/>
  <c r="R120" i="12"/>
  <c r="S203" i="12"/>
  <c r="D366" i="12"/>
  <c r="E366" i="12" s="1"/>
  <c r="G366" i="12" s="1"/>
  <c r="D110" i="12"/>
  <c r="E110" i="12" s="1"/>
  <c r="F110" i="12" s="1"/>
  <c r="H110" i="12" s="1"/>
  <c r="S110" i="12"/>
  <c r="D290" i="12"/>
  <c r="E290" i="12" s="1"/>
  <c r="G290" i="12" s="1"/>
  <c r="D289" i="12"/>
  <c r="E289" i="12" s="1"/>
  <c r="G289" i="12" s="1"/>
  <c r="S289" i="12"/>
  <c r="D357" i="12"/>
  <c r="E357" i="12" s="1"/>
  <c r="F357" i="12" s="1"/>
  <c r="H357" i="12" s="1"/>
  <c r="S105" i="12"/>
  <c r="S170" i="12"/>
  <c r="S145" i="12"/>
  <c r="S121" i="12"/>
  <c r="S369" i="12"/>
  <c r="S146" i="12"/>
  <c r="S97" i="12"/>
  <c r="S213" i="12"/>
  <c r="S341" i="12"/>
  <c r="R51" i="12"/>
  <c r="S257" i="12"/>
  <c r="S72" i="12"/>
  <c r="S266" i="12"/>
  <c r="R38" i="12"/>
  <c r="S102" i="12"/>
  <c r="S222" i="12"/>
  <c r="S350" i="12"/>
  <c r="S123" i="12"/>
  <c r="D191" i="12"/>
  <c r="E191" i="12" s="1"/>
  <c r="A191" i="12" s="1"/>
  <c r="S191" i="12"/>
  <c r="S315" i="12"/>
  <c r="S232" i="12"/>
  <c r="S360" i="12"/>
  <c r="D129" i="12"/>
  <c r="E129" i="12" s="1"/>
  <c r="G129" i="12" s="1"/>
  <c r="S129" i="12"/>
  <c r="D385" i="12"/>
  <c r="E385" i="12" s="1"/>
  <c r="F385" i="12" s="1"/>
  <c r="H385" i="12" s="1"/>
  <c r="D101" i="12"/>
  <c r="E101" i="12" s="1"/>
  <c r="G101" i="12" s="1"/>
  <c r="D221" i="12"/>
  <c r="E221" i="12" s="1"/>
  <c r="G221" i="12" s="1"/>
  <c r="D349" i="12"/>
  <c r="E349" i="12" s="1"/>
  <c r="A349" i="12" s="1"/>
  <c r="S349" i="12"/>
  <c r="D59" i="12"/>
  <c r="E59" i="12" s="1"/>
  <c r="F59" i="12" s="1"/>
  <c r="H59" i="12" s="1"/>
  <c r="D273" i="12"/>
  <c r="E273" i="12" s="1"/>
  <c r="G273" i="12" s="1"/>
  <c r="S273" i="12"/>
  <c r="D80" i="12"/>
  <c r="E80" i="12" s="1"/>
  <c r="G80" i="12" s="1"/>
  <c r="D274" i="12"/>
  <c r="E274" i="12" s="1"/>
  <c r="G274" i="12" s="1"/>
  <c r="S274" i="12"/>
  <c r="R42" i="12"/>
  <c r="D106" i="12"/>
  <c r="E106" i="12" s="1"/>
  <c r="A106" i="12" s="1"/>
  <c r="D230" i="12"/>
  <c r="E230" i="12" s="1"/>
  <c r="F230" i="12" s="1"/>
  <c r="H230" i="12" s="1"/>
  <c r="D358" i="12"/>
  <c r="E358" i="12" s="1"/>
  <c r="A358" i="12" s="1"/>
  <c r="S358" i="12"/>
  <c r="D127" i="12"/>
  <c r="E127" i="12" s="1"/>
  <c r="G127" i="12" s="1"/>
  <c r="D195" i="12"/>
  <c r="E195" i="12" s="1"/>
  <c r="G195" i="12" s="1"/>
  <c r="D319" i="12"/>
  <c r="E319" i="12" s="1"/>
  <c r="G319" i="12" s="1"/>
  <c r="D447" i="12"/>
  <c r="E447" i="12" s="1"/>
  <c r="G447" i="12" s="1"/>
  <c r="D236" i="12"/>
  <c r="E236" i="12" s="1"/>
  <c r="A236" i="12" s="1"/>
  <c r="D364" i="12"/>
  <c r="E364" i="12" s="1"/>
  <c r="G364" i="12" s="1"/>
  <c r="S364" i="12"/>
  <c r="S280" i="12"/>
  <c r="S152" i="12"/>
  <c r="S119" i="12"/>
  <c r="R43" i="12"/>
  <c r="S43" i="12"/>
  <c r="D334" i="12"/>
  <c r="E334" i="12" s="1"/>
  <c r="G334" i="12" s="1"/>
  <c r="S250" i="12"/>
  <c r="S325" i="12"/>
  <c r="S108" i="12"/>
  <c r="D239" i="12"/>
  <c r="E239" i="12" s="1"/>
  <c r="A239" i="12" s="1"/>
  <c r="S363" i="12"/>
  <c r="S103" i="12"/>
  <c r="R39" i="12"/>
  <c r="S39" i="12"/>
  <c r="S233" i="12"/>
  <c r="D361" i="12"/>
  <c r="E361" i="12" s="1"/>
  <c r="F361" i="12" s="1"/>
  <c r="H361" i="12" s="1"/>
  <c r="R47" i="12"/>
  <c r="S138" i="12"/>
  <c r="F344" i="12"/>
  <c r="H344" i="12" s="1"/>
  <c r="A344" i="12"/>
  <c r="J32" i="12"/>
  <c r="K32" i="12" s="1"/>
  <c r="F141" i="12"/>
  <c r="H141" i="12" s="1"/>
  <c r="A141" i="12"/>
  <c r="S34" i="12"/>
  <c r="D33" i="12"/>
  <c r="C467" i="12"/>
  <c r="Q467" i="12" s="1"/>
  <c r="C468" i="12"/>
  <c r="Q468" i="12" s="1"/>
  <c r="D448" i="12"/>
  <c r="E448" i="12" s="1"/>
  <c r="R37" i="12"/>
  <c r="S37" i="12"/>
  <c r="R36" i="12"/>
  <c r="S36" i="12"/>
  <c r="AC97" i="3"/>
  <c r="F104" i="9" s="1"/>
  <c r="AG158" i="11" s="1"/>
  <c r="AC114" i="3"/>
  <c r="R56" i="12"/>
  <c r="D242" i="12"/>
  <c r="E242" i="12" s="1"/>
  <c r="R406" i="12"/>
  <c r="R242" i="12"/>
  <c r="D217" i="12"/>
  <c r="E217" i="12" s="1"/>
  <c r="R113" i="12"/>
  <c r="D113" i="12"/>
  <c r="E113" i="12" s="1"/>
  <c r="D225" i="12"/>
  <c r="E225" i="12" s="1"/>
  <c r="D214" i="12"/>
  <c r="E214" i="12" s="1"/>
  <c r="R60" i="12"/>
  <c r="R353" i="12"/>
  <c r="R57" i="12"/>
  <c r="R179" i="12"/>
  <c r="D138" i="12"/>
  <c r="E138" i="12" s="1"/>
  <c r="R138" i="12"/>
  <c r="D269" i="12"/>
  <c r="E269" i="12" s="1"/>
  <c r="D66" i="12"/>
  <c r="E66" i="12" s="1"/>
  <c r="R269" i="12"/>
  <c r="R108" i="12"/>
  <c r="R363" i="12"/>
  <c r="D377" i="12"/>
  <c r="E377" i="12" s="1"/>
  <c r="D233" i="12"/>
  <c r="E233" i="12" s="1"/>
  <c r="R233" i="12"/>
  <c r="D389" i="12"/>
  <c r="E389" i="12" s="1"/>
  <c r="R103" i="12"/>
  <c r="R119" i="12"/>
  <c r="D363" i="12"/>
  <c r="E363" i="12" s="1"/>
  <c r="R377" i="12"/>
  <c r="R389" i="12"/>
  <c r="S361" i="12"/>
  <c r="S47" i="12"/>
  <c r="D103" i="12"/>
  <c r="E103" i="12" s="1"/>
  <c r="R361" i="12"/>
  <c r="D61" i="12"/>
  <c r="E61" i="12" s="1"/>
  <c r="D282" i="12"/>
  <c r="E282" i="12" s="1"/>
  <c r="R122" i="12"/>
  <c r="R98" i="12"/>
  <c r="S354" i="12"/>
  <c r="R156" i="12"/>
  <c r="R61" i="12"/>
  <c r="R354" i="12"/>
  <c r="D122" i="12"/>
  <c r="E122" i="12" s="1"/>
  <c r="R278" i="12"/>
  <c r="R282" i="12"/>
  <c r="R142" i="12"/>
  <c r="D185" i="12"/>
  <c r="E185" i="12" s="1"/>
  <c r="D89" i="12"/>
  <c r="E89" i="12" s="1"/>
  <c r="D216" i="12"/>
  <c r="E216" i="12" s="1"/>
  <c r="D353" i="12"/>
  <c r="E353" i="12" s="1"/>
  <c r="R398" i="12"/>
  <c r="R94" i="12"/>
  <c r="R303" i="12"/>
  <c r="R133" i="12"/>
  <c r="R66" i="12"/>
  <c r="D337" i="12"/>
  <c r="E337" i="12" s="1"/>
  <c r="D406" i="12"/>
  <c r="E406" i="12" s="1"/>
  <c r="D130" i="12"/>
  <c r="E130" i="12" s="1"/>
  <c r="R225" i="12"/>
  <c r="R89" i="12"/>
  <c r="R217" i="12"/>
  <c r="R151" i="12"/>
  <c r="S147" i="12"/>
  <c r="R62" i="12"/>
  <c r="S52" i="12"/>
  <c r="R41" i="12"/>
  <c r="R159" i="12"/>
  <c r="R337" i="12"/>
  <c r="D133" i="12"/>
  <c r="E133" i="12" s="1"/>
  <c r="R331" i="12"/>
  <c r="R147" i="12"/>
  <c r="D278" i="12"/>
  <c r="E278" i="12" s="1"/>
  <c r="D107" i="12"/>
  <c r="E107" i="12" s="1"/>
  <c r="R93" i="12"/>
  <c r="R362" i="12"/>
  <c r="S48" i="12"/>
  <c r="D410" i="12"/>
  <c r="E410" i="12" s="1"/>
  <c r="D93" i="12"/>
  <c r="E93" i="12" s="1"/>
  <c r="D187" i="12"/>
  <c r="E187" i="12" s="1"/>
  <c r="D241" i="12"/>
  <c r="E241" i="12" s="1"/>
  <c r="R32" i="12"/>
  <c r="R410" i="12"/>
  <c r="R107" i="12"/>
  <c r="R187" i="12"/>
  <c r="R115" i="12"/>
  <c r="R284" i="12"/>
  <c r="D98" i="12"/>
  <c r="E98" i="12" s="1"/>
  <c r="D362" i="12"/>
  <c r="E362" i="12" s="1"/>
  <c r="R241" i="12"/>
  <c r="R367" i="12"/>
  <c r="D436" i="12"/>
  <c r="E436" i="12" s="1"/>
  <c r="D150" i="12"/>
  <c r="E150" i="12" s="1"/>
  <c r="D60" i="12"/>
  <c r="E60" i="12" s="1"/>
  <c r="R141" i="12"/>
  <c r="R150" i="12"/>
  <c r="R214" i="12"/>
  <c r="R46" i="12"/>
  <c r="R153" i="12"/>
  <c r="S251" i="12"/>
  <c r="D149" i="12"/>
  <c r="E149" i="12" s="1"/>
  <c r="R286" i="12"/>
  <c r="R405" i="12"/>
  <c r="R238" i="12"/>
  <c r="R63" i="12"/>
  <c r="D299" i="12"/>
  <c r="E299" i="12" s="1"/>
  <c r="D397" i="12"/>
  <c r="E397" i="12" s="1"/>
  <c r="R299" i="12"/>
  <c r="D99" i="12"/>
  <c r="E99" i="12" s="1"/>
  <c r="D235" i="12"/>
  <c r="E235" i="12" s="1"/>
  <c r="D342" i="12"/>
  <c r="E342" i="12" s="1"/>
  <c r="D333" i="12"/>
  <c r="E333" i="12" s="1"/>
  <c r="D84" i="12"/>
  <c r="E84" i="12" s="1"/>
  <c r="D205" i="12"/>
  <c r="E205" i="12" s="1"/>
  <c r="R99" i="12"/>
  <c r="R130" i="12"/>
  <c r="R258" i="12"/>
  <c r="R333" i="12"/>
  <c r="R216" i="12"/>
  <c r="R235" i="12"/>
  <c r="D63" i="12"/>
  <c r="E63" i="12" s="1"/>
  <c r="R205" i="12"/>
  <c r="S179" i="12"/>
  <c r="S270" i="12"/>
  <c r="R261" i="12"/>
  <c r="R172" i="12"/>
  <c r="R431" i="12"/>
  <c r="R394" i="12"/>
  <c r="R397" i="12"/>
  <c r="S261" i="12"/>
  <c r="D197" i="12"/>
  <c r="E197" i="12" s="1"/>
  <c r="D405" i="12"/>
  <c r="E405" i="12" s="1"/>
  <c r="D258" i="12"/>
  <c r="E258" i="12" s="1"/>
  <c r="R88" i="12"/>
  <c r="R210" i="12"/>
  <c r="R77" i="12"/>
  <c r="R270" i="12"/>
  <c r="R178" i="12"/>
  <c r="S265" i="12"/>
  <c r="D434" i="12"/>
  <c r="E434" i="12" s="1"/>
  <c r="D325" i="12"/>
  <c r="E325" i="12" s="1"/>
  <c r="R250" i="12"/>
  <c r="S288" i="12"/>
  <c r="S239" i="12"/>
  <c r="D369" i="12"/>
  <c r="E369" i="12" s="1"/>
  <c r="R434" i="12"/>
  <c r="R239" i="12"/>
  <c r="R325" i="12"/>
  <c r="R110" i="12"/>
  <c r="S38" i="12"/>
  <c r="D152" i="12"/>
  <c r="E152" i="12" s="1"/>
  <c r="S334" i="12"/>
  <c r="S188" i="12"/>
  <c r="R152" i="12"/>
  <c r="R334" i="12"/>
  <c r="D250" i="12"/>
  <c r="E250" i="12" s="1"/>
  <c r="D105" i="12"/>
  <c r="E105" i="12" s="1"/>
  <c r="D108" i="12"/>
  <c r="E108" i="12" s="1"/>
  <c r="D119" i="12"/>
  <c r="E119" i="12" s="1"/>
  <c r="D427" i="12"/>
  <c r="E427" i="12" s="1"/>
  <c r="D151" i="12"/>
  <c r="E151" i="12" s="1"/>
  <c r="R197" i="12"/>
  <c r="R34" i="12"/>
  <c r="R342" i="12"/>
  <c r="R427" i="12"/>
  <c r="R206" i="12"/>
  <c r="R349" i="12"/>
  <c r="R243" i="12"/>
  <c r="R104" i="12"/>
  <c r="R201" i="12"/>
  <c r="R424" i="12"/>
  <c r="R112" i="12"/>
  <c r="D313" i="12"/>
  <c r="E313" i="12" s="1"/>
  <c r="D292" i="12"/>
  <c r="E292" i="12" s="1"/>
  <c r="R177" i="12"/>
  <c r="R307" i="12"/>
  <c r="S134" i="12"/>
  <c r="D365" i="12"/>
  <c r="E365" i="12" s="1"/>
  <c r="S259" i="12"/>
  <c r="R220" i="12"/>
  <c r="R313" i="12"/>
  <c r="R186" i="12"/>
  <c r="R264" i="12"/>
  <c r="R387" i="12"/>
  <c r="R124" i="12"/>
  <c r="R143" i="12"/>
  <c r="S49" i="12"/>
  <c r="D161" i="12"/>
  <c r="E161" i="12" s="1"/>
  <c r="R374" i="12"/>
  <c r="D169" i="12"/>
  <c r="E169" i="12" s="1"/>
  <c r="D293" i="12"/>
  <c r="E293" i="12" s="1"/>
  <c r="D308" i="12"/>
  <c r="E308" i="12" s="1"/>
  <c r="D117" i="12"/>
  <c r="E117" i="12" s="1"/>
  <c r="R169" i="12"/>
  <c r="R293" i="12"/>
  <c r="R382" i="12"/>
  <c r="R117" i="12"/>
  <c r="R311" i="12"/>
  <c r="S371" i="12"/>
  <c r="R78" i="12"/>
  <c r="R268" i="12"/>
  <c r="R390" i="12"/>
  <c r="R40" i="12"/>
  <c r="D245" i="12"/>
  <c r="E245" i="12" s="1"/>
  <c r="D199" i="12"/>
  <c r="E199" i="12" s="1"/>
  <c r="R202" i="12"/>
  <c r="R380" i="12"/>
  <c r="S220" i="12"/>
  <c r="R207" i="12"/>
  <c r="S262" i="12"/>
  <c r="D280" i="12"/>
  <c r="E280" i="12" s="1"/>
  <c r="R213" i="12"/>
  <c r="R290" i="12"/>
  <c r="S236" i="12"/>
  <c r="R274" i="12"/>
  <c r="R182" i="12"/>
  <c r="R280" i="12"/>
  <c r="R192" i="12"/>
  <c r="R358" i="12"/>
  <c r="D228" i="12"/>
  <c r="E228" i="12" s="1"/>
  <c r="D429" i="12"/>
  <c r="E429" i="12" s="1"/>
  <c r="D266" i="12"/>
  <c r="E266" i="12" s="1"/>
  <c r="R279" i="12"/>
  <c r="R257" i="12"/>
  <c r="R33" i="12"/>
  <c r="R228" i="12"/>
  <c r="R176" i="12"/>
  <c r="R323" i="12"/>
  <c r="R154" i="12"/>
  <c r="S284" i="12"/>
  <c r="D296" i="12"/>
  <c r="E296" i="12" s="1"/>
  <c r="D414" i="12"/>
  <c r="E414" i="12" s="1"/>
  <c r="D249" i="12"/>
  <c r="E249" i="12" s="1"/>
  <c r="D164" i="12"/>
  <c r="E164" i="12" s="1"/>
  <c r="D167" i="12"/>
  <c r="E167" i="12" s="1"/>
  <c r="D379" i="12"/>
  <c r="E379" i="12" s="1"/>
  <c r="D155" i="12"/>
  <c r="E155" i="12" s="1"/>
  <c r="D162" i="12"/>
  <c r="E162" i="12" s="1"/>
  <c r="D375" i="12"/>
  <c r="E375" i="12" s="1"/>
  <c r="D310" i="12"/>
  <c r="E310" i="12" s="1"/>
  <c r="R79" i="12"/>
  <c r="R248" i="12"/>
  <c r="R155" i="12"/>
  <c r="R70" i="12"/>
  <c r="R393" i="12"/>
  <c r="R277" i="12"/>
  <c r="R65" i="12"/>
  <c r="R64" i="12"/>
  <c r="R436" i="12"/>
  <c r="R164" i="12"/>
  <c r="R183" i="12"/>
  <c r="R288" i="12"/>
  <c r="R371" i="12"/>
  <c r="R275" i="12"/>
  <c r="S131" i="12"/>
  <c r="R316" i="12"/>
  <c r="R383" i="12"/>
  <c r="S166" i="12"/>
  <c r="R74" i="12"/>
  <c r="R285" i="12"/>
  <c r="R69" i="12"/>
  <c r="R265" i="12"/>
  <c r="R158" i="12"/>
  <c r="D401" i="12"/>
  <c r="E401" i="12" s="1"/>
  <c r="D331" i="12"/>
  <c r="E331" i="12" s="1"/>
  <c r="D286" i="12"/>
  <c r="E286" i="12" s="1"/>
  <c r="D65" i="12"/>
  <c r="E65" i="12" s="1"/>
  <c r="D439" i="12"/>
  <c r="E439" i="12" s="1"/>
  <c r="D210" i="12"/>
  <c r="E210" i="12" s="1"/>
  <c r="D79" i="12"/>
  <c r="E79" i="12" s="1"/>
  <c r="D70" i="12"/>
  <c r="E70" i="12" s="1"/>
  <c r="D137" i="12"/>
  <c r="E137" i="12" s="1"/>
  <c r="D64" i="12"/>
  <c r="E64" i="12" s="1"/>
  <c r="D247" i="12"/>
  <c r="E247" i="12" s="1"/>
  <c r="D82" i="12"/>
  <c r="E82" i="12" s="1"/>
  <c r="R401" i="12"/>
  <c r="R247" i="12"/>
  <c r="R82" i="12"/>
  <c r="R296" i="12"/>
  <c r="R379" i="12"/>
  <c r="R251" i="12"/>
  <c r="R414" i="12"/>
  <c r="R378" i="12"/>
  <c r="R249" i="12"/>
  <c r="R356" i="12"/>
  <c r="R439" i="12"/>
  <c r="R301" i="12"/>
  <c r="S160" i="12"/>
  <c r="R435" i="12"/>
  <c r="R131" i="12"/>
  <c r="R67" i="12"/>
  <c r="R412" i="12"/>
  <c r="S300" i="12"/>
  <c r="S255" i="12"/>
  <c r="R166" i="12"/>
  <c r="R409" i="12"/>
  <c r="R413" i="12"/>
  <c r="S157" i="12"/>
  <c r="S314" i="12"/>
  <c r="R68" i="12"/>
  <c r="D229" i="12"/>
  <c r="E229" i="12" s="1"/>
  <c r="D88" i="12"/>
  <c r="E88" i="12" s="1"/>
  <c r="D424" i="12"/>
  <c r="E424" i="12" s="1"/>
  <c r="D248" i="12"/>
  <c r="E248" i="12" s="1"/>
  <c r="D393" i="12"/>
  <c r="E393" i="12" s="1"/>
  <c r="D298" i="12"/>
  <c r="E298" i="12" s="1"/>
  <c r="D311" i="12"/>
  <c r="E311" i="12" s="1"/>
  <c r="D168" i="12"/>
  <c r="E168" i="12" s="1"/>
  <c r="D251" i="12"/>
  <c r="E251" i="12" s="1"/>
  <c r="D378" i="12"/>
  <c r="E378" i="12" s="1"/>
  <c r="D277" i="12"/>
  <c r="E277" i="12" s="1"/>
  <c r="D356" i="12"/>
  <c r="E356" i="12" s="1"/>
  <c r="D183" i="12"/>
  <c r="E183" i="12" s="1"/>
  <c r="D301" i="12"/>
  <c r="E301" i="12" s="1"/>
  <c r="D77" i="12"/>
  <c r="E77" i="12" s="1"/>
  <c r="R229" i="12"/>
  <c r="R167" i="12"/>
  <c r="R185" i="12"/>
  <c r="R168" i="12"/>
  <c r="R162" i="12"/>
  <c r="R137" i="12"/>
  <c r="R149" i="12"/>
  <c r="R298" i="12"/>
  <c r="R292" i="12"/>
  <c r="R375" i="12"/>
  <c r="R310" i="12"/>
  <c r="R84" i="12"/>
  <c r="R352" i="12"/>
  <c r="R224" i="12"/>
  <c r="R160" i="12"/>
  <c r="S243" i="12"/>
  <c r="R300" i="12"/>
  <c r="S172" i="12"/>
  <c r="R399" i="12"/>
  <c r="R255" i="12"/>
  <c r="R422" i="12"/>
  <c r="R294" i="12"/>
  <c r="R157" i="12"/>
  <c r="R314" i="12"/>
  <c r="D201" i="12"/>
  <c r="E201" i="12" s="1"/>
  <c r="D329" i="12"/>
  <c r="E329" i="12" s="1"/>
  <c r="D244" i="12"/>
  <c r="E244" i="12" s="1"/>
  <c r="D391" i="12"/>
  <c r="E391" i="12" s="1"/>
  <c r="D109" i="12"/>
  <c r="E109" i="12" s="1"/>
  <c r="D136" i="12"/>
  <c r="E136" i="12" s="1"/>
  <c r="D382" i="12"/>
  <c r="E382" i="12" s="1"/>
  <c r="D373" i="12"/>
  <c r="E373" i="12" s="1"/>
  <c r="D202" i="12"/>
  <c r="E202" i="12" s="1"/>
  <c r="D327" i="12"/>
  <c r="E327" i="12" s="1"/>
  <c r="D374" i="12"/>
  <c r="E374" i="12" s="1"/>
  <c r="R73" i="12"/>
  <c r="R76" i="12"/>
  <c r="R199" i="12"/>
  <c r="R365" i="12"/>
  <c r="R312" i="12"/>
  <c r="R136" i="12"/>
  <c r="R83" i="12"/>
  <c r="R245" i="12"/>
  <c r="R308" i="12"/>
  <c r="R180" i="12"/>
  <c r="R391" i="12"/>
  <c r="R263" i="12"/>
  <c r="R109" i="12"/>
  <c r="R416" i="12"/>
  <c r="R259" i="12"/>
  <c r="S194" i="12"/>
  <c r="S140" i="12"/>
  <c r="S351" i="12"/>
  <c r="S223" i="12"/>
  <c r="R262" i="12"/>
  <c r="R134" i="12"/>
  <c r="R58" i="12"/>
  <c r="R338" i="12"/>
  <c r="S114" i="12"/>
  <c r="S345" i="12"/>
  <c r="S91" i="12"/>
  <c r="D73" i="12"/>
  <c r="E73" i="12" s="1"/>
  <c r="D76" i="12"/>
  <c r="E76" i="12" s="1"/>
  <c r="D395" i="12"/>
  <c r="E395" i="12" s="1"/>
  <c r="D322" i="12"/>
  <c r="E322" i="12" s="1"/>
  <c r="D83" i="12"/>
  <c r="E83" i="12" s="1"/>
  <c r="D306" i="12"/>
  <c r="E306" i="12" s="1"/>
  <c r="D186" i="12"/>
  <c r="E186" i="12" s="1"/>
  <c r="D312" i="12"/>
  <c r="E312" i="12" s="1"/>
  <c r="D219" i="12"/>
  <c r="E219" i="12" s="1"/>
  <c r="D254" i="12"/>
  <c r="E254" i="12" s="1"/>
  <c r="D180" i="12"/>
  <c r="E180" i="12" s="1"/>
  <c r="R71" i="12"/>
  <c r="R306" i="12"/>
  <c r="R347" i="12"/>
  <c r="R139" i="12"/>
  <c r="R254" i="12"/>
  <c r="R322" i="12"/>
  <c r="R329" i="12"/>
  <c r="R433" i="12"/>
  <c r="S368" i="12"/>
  <c r="S304" i="12"/>
  <c r="S240" i="12"/>
  <c r="R194" i="12"/>
  <c r="R396" i="12"/>
  <c r="R140" i="12"/>
  <c r="R351" i="12"/>
  <c r="R223" i="12"/>
  <c r="R114" i="12"/>
  <c r="R345" i="12"/>
  <c r="R91" i="12"/>
  <c r="R381" i="12"/>
  <c r="S125" i="12"/>
  <c r="S53" i="12"/>
  <c r="S218" i="12"/>
  <c r="S54" i="12"/>
  <c r="D71" i="12"/>
  <c r="E71" i="12" s="1"/>
  <c r="D392" i="12"/>
  <c r="E392" i="12" s="1"/>
  <c r="D347" i="12"/>
  <c r="E347" i="12" s="1"/>
  <c r="D139" i="12"/>
  <c r="E139" i="12" s="1"/>
  <c r="D104" i="12"/>
  <c r="E104" i="12" s="1"/>
  <c r="D433" i="12"/>
  <c r="E433" i="12" s="1"/>
  <c r="A433" i="12" s="1"/>
  <c r="D372" i="12"/>
  <c r="E372" i="12" s="1"/>
  <c r="D263" i="12"/>
  <c r="E263" i="12" s="1"/>
  <c r="D264" i="12"/>
  <c r="E264" i="12" s="1"/>
  <c r="D126" i="12"/>
  <c r="E126" i="12" s="1"/>
  <c r="D177" i="12"/>
  <c r="E177" i="12" s="1"/>
  <c r="D116" i="12"/>
  <c r="E116" i="12" s="1"/>
  <c r="D118" i="12"/>
  <c r="E118" i="12" s="1"/>
  <c r="D125" i="12"/>
  <c r="E125" i="12" s="1"/>
  <c r="R118" i="12"/>
  <c r="R392" i="12"/>
  <c r="R395" i="12"/>
  <c r="R219" i="12"/>
  <c r="R126" i="12"/>
  <c r="R373" i="12"/>
  <c r="R372" i="12"/>
  <c r="R244" i="12"/>
  <c r="R116" i="12"/>
  <c r="R327" i="12"/>
  <c r="R161" i="12"/>
  <c r="R368" i="12"/>
  <c r="R304" i="12"/>
  <c r="R240" i="12"/>
  <c r="S323" i="12"/>
  <c r="R163" i="12"/>
  <c r="R302" i="12"/>
  <c r="S78" i="12"/>
  <c r="S268" i="12"/>
  <c r="S124" i="12"/>
  <c r="R253" i="12"/>
  <c r="R218" i="12"/>
  <c r="D170" i="12"/>
  <c r="E170" i="12" s="1"/>
  <c r="D360" i="12"/>
  <c r="E360" i="12" s="1"/>
  <c r="D324" i="12"/>
  <c r="E324" i="12" s="1"/>
  <c r="R170" i="12"/>
  <c r="R173" i="12"/>
  <c r="R315" i="12"/>
  <c r="R72" i="12"/>
  <c r="R341" i="12"/>
  <c r="R343" i="12"/>
  <c r="S320" i="12"/>
  <c r="S195" i="12"/>
  <c r="R236" i="12"/>
  <c r="R188" i="12"/>
  <c r="S230" i="12"/>
  <c r="S80" i="12"/>
  <c r="S221" i="12"/>
  <c r="D407" i="12"/>
  <c r="E407" i="12" s="1"/>
  <c r="D443" i="12"/>
  <c r="E443" i="12" s="1"/>
  <c r="D315" i="12"/>
  <c r="E315" i="12" s="1"/>
  <c r="D257" i="12"/>
  <c r="E257" i="12" s="1"/>
  <c r="D213" i="12"/>
  <c r="E213" i="12" s="1"/>
  <c r="D182" i="12"/>
  <c r="E182" i="12" s="1"/>
  <c r="D346" i="12"/>
  <c r="E346" i="12" s="1"/>
  <c r="R438" i="12"/>
  <c r="R418" i="12"/>
  <c r="R232" i="12"/>
  <c r="R222" i="12"/>
  <c r="R369" i="12"/>
  <c r="R407" i="12"/>
  <c r="R320" i="12"/>
  <c r="R403" i="12"/>
  <c r="R195" i="12"/>
  <c r="R289" i="12"/>
  <c r="R191" i="12"/>
  <c r="R106" i="12"/>
  <c r="R273" i="12"/>
  <c r="R101" i="12"/>
  <c r="R129" i="12"/>
  <c r="D350" i="12"/>
  <c r="E350" i="12" s="1"/>
  <c r="D341" i="12"/>
  <c r="E341" i="12" s="1"/>
  <c r="D196" i="12"/>
  <c r="E196" i="12" s="1"/>
  <c r="D173" i="12"/>
  <c r="E173" i="12" s="1"/>
  <c r="D297" i="12"/>
  <c r="E297" i="12" s="1"/>
  <c r="D279" i="12"/>
  <c r="E279" i="12" s="1"/>
  <c r="D438" i="12"/>
  <c r="E438" i="12" s="1"/>
  <c r="R346" i="12"/>
  <c r="R196" i="12"/>
  <c r="R360" i="12"/>
  <c r="R350" i="12"/>
  <c r="R146" i="12"/>
  <c r="R260" i="12"/>
  <c r="S192" i="12"/>
  <c r="S275" i="12"/>
  <c r="S290" i="12"/>
  <c r="S357" i="12"/>
  <c r="S127" i="12"/>
  <c r="S42" i="12"/>
  <c r="S59" i="12"/>
  <c r="D376" i="12"/>
  <c r="E376" i="12" s="1"/>
  <c r="D123" i="12"/>
  <c r="E123" i="12" s="1"/>
  <c r="D222" i="12"/>
  <c r="E222" i="12" s="1"/>
  <c r="D146" i="12"/>
  <c r="E146" i="12" s="1"/>
  <c r="D121" i="12"/>
  <c r="E121" i="12" s="1"/>
  <c r="D132" i="12"/>
  <c r="E132" i="12" s="1"/>
  <c r="D343" i="12"/>
  <c r="E343" i="12" s="1"/>
  <c r="D441" i="12"/>
  <c r="E441" i="12" s="1"/>
  <c r="D232" i="12"/>
  <c r="E232" i="12" s="1"/>
  <c r="D102" i="12"/>
  <c r="E102" i="12" s="1"/>
  <c r="D420" i="12"/>
  <c r="E420" i="12" s="1"/>
  <c r="D215" i="12"/>
  <c r="E215" i="12" s="1"/>
  <c r="R145" i="12"/>
  <c r="D154" i="12"/>
  <c r="E154" i="12" s="1"/>
  <c r="R215" i="12"/>
  <c r="R429" i="12"/>
  <c r="R443" i="12"/>
  <c r="R203" i="12"/>
  <c r="R123" i="12"/>
  <c r="R102" i="12"/>
  <c r="R266" i="12"/>
  <c r="R420" i="12"/>
  <c r="R324" i="12"/>
  <c r="R132" i="12"/>
  <c r="S256" i="12"/>
  <c r="S366" i="12"/>
  <c r="R357" i="12"/>
  <c r="S319" i="12"/>
  <c r="S271" i="12"/>
  <c r="R127" i="12"/>
  <c r="R230" i="12"/>
  <c r="R80" i="12"/>
  <c r="R59" i="12"/>
  <c r="R221" i="12"/>
  <c r="R385" i="12"/>
  <c r="S120" i="12"/>
  <c r="S51" i="12"/>
  <c r="D145" i="12"/>
  <c r="E145" i="12" s="1"/>
  <c r="D203" i="12"/>
  <c r="E203" i="12" s="1"/>
  <c r="D97" i="12"/>
  <c r="E97" i="12" s="1"/>
  <c r="D418" i="12"/>
  <c r="E418" i="12" s="1"/>
  <c r="D120" i="12"/>
  <c r="E120" i="12" s="1"/>
  <c r="D72" i="12"/>
  <c r="E72" i="12" s="1"/>
  <c r="D388" i="12"/>
  <c r="E388" i="12" s="1"/>
  <c r="D260" i="12"/>
  <c r="E260" i="12" s="1"/>
  <c r="R105" i="12"/>
  <c r="R297" i="12"/>
  <c r="R376" i="12"/>
  <c r="R97" i="12"/>
  <c r="R121" i="12"/>
  <c r="R388" i="12"/>
  <c r="R441" i="12"/>
  <c r="R384" i="12"/>
  <c r="R256" i="12"/>
  <c r="R128" i="12"/>
  <c r="R339" i="12"/>
  <c r="R211" i="12"/>
  <c r="R366" i="12"/>
  <c r="R364" i="12"/>
  <c r="R447" i="12"/>
  <c r="R319" i="12"/>
  <c r="S106" i="12"/>
  <c r="S101" i="12"/>
  <c r="R408" i="12"/>
  <c r="S276" i="12"/>
  <c r="D276" i="12"/>
  <c r="E276" i="12" s="1"/>
  <c r="S212" i="12"/>
  <c r="D212" i="12"/>
  <c r="E212" i="12" s="1"/>
  <c r="R423" i="12"/>
  <c r="D423" i="12"/>
  <c r="E423" i="12" s="1"/>
  <c r="S231" i="12"/>
  <c r="R231" i="12"/>
  <c r="D231" i="12"/>
  <c r="E231" i="12" s="1"/>
  <c r="D272" i="12"/>
  <c r="E272" i="12" s="1"/>
  <c r="A272" i="12" s="1"/>
  <c r="R272" i="12"/>
  <c r="S272" i="12"/>
  <c r="D419" i="12"/>
  <c r="E419" i="12" s="1"/>
  <c r="A419" i="12" s="1"/>
  <c r="R419" i="12"/>
  <c r="D252" i="12"/>
  <c r="E252" i="12" s="1"/>
  <c r="A252" i="12" s="1"/>
  <c r="R252" i="12"/>
  <c r="S252" i="12"/>
  <c r="S246" i="12"/>
  <c r="D246" i="12"/>
  <c r="E246" i="12" s="1"/>
  <c r="S75" i="12"/>
  <c r="R75" i="12"/>
  <c r="D75" i="12"/>
  <c r="E75" i="12" s="1"/>
  <c r="R417" i="12"/>
  <c r="D417" i="12"/>
  <c r="E417" i="12" s="1"/>
  <c r="S184" i="12"/>
  <c r="D184" i="12"/>
  <c r="E184" i="12" s="1"/>
  <c r="R184" i="12"/>
  <c r="D174" i="12"/>
  <c r="E174" i="12" s="1"/>
  <c r="A174" i="12" s="1"/>
  <c r="R174" i="12"/>
  <c r="S174" i="12"/>
  <c r="D425" i="12"/>
  <c r="E425" i="12" s="1"/>
  <c r="R425" i="12"/>
  <c r="S330" i="12"/>
  <c r="D330" i="12"/>
  <c r="E330" i="12" s="1"/>
  <c r="S305" i="12"/>
  <c r="R305" i="12"/>
  <c r="S81" i="12"/>
  <c r="R81" i="12"/>
  <c r="S309" i="12"/>
  <c r="D309" i="12"/>
  <c r="E309" i="12" s="1"/>
  <c r="R309" i="12"/>
  <c r="S193" i="12"/>
  <c r="R193" i="12"/>
  <c r="D193" i="12"/>
  <c r="E193" i="12" s="1"/>
  <c r="S226" i="12"/>
  <c r="R226" i="12"/>
  <c r="D226" i="12"/>
  <c r="E226" i="12" s="1"/>
  <c r="S86" i="12"/>
  <c r="D86" i="12"/>
  <c r="E86" i="12" s="1"/>
  <c r="R86" i="12"/>
  <c r="S318" i="12"/>
  <c r="D318" i="12"/>
  <c r="E318" i="12" s="1"/>
  <c r="R318" i="12"/>
  <c r="S171" i="12"/>
  <c r="R171" i="12"/>
  <c r="R411" i="12"/>
  <c r="D328" i="12"/>
  <c r="E328" i="12" s="1"/>
  <c r="D321" i="12"/>
  <c r="E321" i="12" s="1"/>
  <c r="A321" i="12" s="1"/>
  <c r="R321" i="12"/>
  <c r="S321" i="12"/>
  <c r="D386" i="12"/>
  <c r="E386" i="12" s="1"/>
  <c r="A386" i="12" s="1"/>
  <c r="R386" i="12"/>
  <c r="D189" i="12"/>
  <c r="E189" i="12" s="1"/>
  <c r="A189" i="12" s="1"/>
  <c r="R189" i="12"/>
  <c r="S189" i="12"/>
  <c r="D445" i="12"/>
  <c r="E445" i="12" s="1"/>
  <c r="A445" i="12" s="1"/>
  <c r="R445" i="12"/>
  <c r="D209" i="12"/>
  <c r="E209" i="12" s="1"/>
  <c r="A209" i="12" s="1"/>
  <c r="R209" i="12"/>
  <c r="S209" i="12"/>
  <c r="D234" i="12"/>
  <c r="E234" i="12" s="1"/>
  <c r="A234" i="12" s="1"/>
  <c r="R234" i="12"/>
  <c r="S234" i="12"/>
  <c r="D90" i="12"/>
  <c r="E90" i="12" s="1"/>
  <c r="A90" i="12" s="1"/>
  <c r="R90" i="12"/>
  <c r="S90" i="12"/>
  <c r="D326" i="12"/>
  <c r="E326" i="12" s="1"/>
  <c r="A326" i="12" s="1"/>
  <c r="R326" i="12"/>
  <c r="S326" i="12"/>
  <c r="D175" i="12"/>
  <c r="E175" i="12" s="1"/>
  <c r="A175" i="12" s="1"/>
  <c r="R175" i="12"/>
  <c r="S175" i="12"/>
  <c r="D332" i="12"/>
  <c r="E332" i="12" s="1"/>
  <c r="A332" i="12" s="1"/>
  <c r="S332" i="12"/>
  <c r="D267" i="12"/>
  <c r="E267" i="12" s="1"/>
  <c r="R267" i="12"/>
  <c r="S148" i="12"/>
  <c r="R148" i="12"/>
  <c r="S295" i="12"/>
  <c r="R295" i="12"/>
  <c r="D336" i="12"/>
  <c r="E336" i="12" s="1"/>
  <c r="A336" i="12" s="1"/>
  <c r="R336" i="12"/>
  <c r="S336" i="12"/>
  <c r="D144" i="12"/>
  <c r="E144" i="12" s="1"/>
  <c r="A144" i="12" s="1"/>
  <c r="R144" i="12"/>
  <c r="S144" i="12"/>
  <c r="D291" i="12"/>
  <c r="E291" i="12" s="1"/>
  <c r="A291" i="12" s="1"/>
  <c r="R291" i="12"/>
  <c r="S291" i="12"/>
  <c r="D335" i="12"/>
  <c r="E335" i="12" s="1"/>
  <c r="A335" i="12" s="1"/>
  <c r="R335" i="12"/>
  <c r="S335" i="12"/>
  <c r="R50" i="12"/>
  <c r="S50" i="12"/>
  <c r="S237" i="12"/>
  <c r="R237" i="12"/>
  <c r="D237" i="12"/>
  <c r="E237" i="12" s="1"/>
  <c r="D402" i="12"/>
  <c r="E402" i="12" s="1"/>
  <c r="A402" i="12" s="1"/>
  <c r="D165" i="12"/>
  <c r="E165" i="12" s="1"/>
  <c r="A165" i="12" s="1"/>
  <c r="R165" i="12"/>
  <c r="S165" i="12"/>
  <c r="S87" i="12"/>
  <c r="D87" i="12"/>
  <c r="E87" i="12" s="1"/>
  <c r="R87" i="12"/>
  <c r="S370" i="12"/>
  <c r="R370" i="12"/>
  <c r="R437" i="12"/>
  <c r="S190" i="12"/>
  <c r="R190" i="12"/>
  <c r="D415" i="12"/>
  <c r="E415" i="12" s="1"/>
  <c r="A415" i="12" s="1"/>
  <c r="D81" i="12"/>
  <c r="E81" i="12" s="1"/>
  <c r="D305" i="12"/>
  <c r="E305" i="12" s="1"/>
  <c r="R340" i="12"/>
  <c r="R276" i="12"/>
  <c r="R212" i="12"/>
  <c r="R332" i="12"/>
  <c r="R415" i="12"/>
  <c r="D404" i="12"/>
  <c r="E404" i="12" s="1"/>
  <c r="S359" i="12"/>
  <c r="R359" i="12"/>
  <c r="D400" i="12"/>
  <c r="E400" i="12" s="1"/>
  <c r="A400" i="12" s="1"/>
  <c r="R400" i="12"/>
  <c r="D208" i="12"/>
  <c r="E208" i="12" s="1"/>
  <c r="A208" i="12" s="1"/>
  <c r="R208" i="12"/>
  <c r="S208" i="12"/>
  <c r="D355" i="12"/>
  <c r="E355" i="12" s="1"/>
  <c r="A355" i="12" s="1"/>
  <c r="R355" i="12"/>
  <c r="S355" i="12"/>
  <c r="D227" i="12"/>
  <c r="E227" i="12" s="1"/>
  <c r="A227" i="12" s="1"/>
  <c r="R227" i="12"/>
  <c r="S227" i="12"/>
  <c r="S135" i="12"/>
  <c r="D135" i="12"/>
  <c r="E135" i="12" s="1"/>
  <c r="R135" i="12"/>
  <c r="S96" i="12"/>
  <c r="R96" i="12"/>
  <c r="D96" i="12"/>
  <c r="E96" i="12" s="1"/>
  <c r="R45" i="12"/>
  <c r="S45" i="12"/>
  <c r="D348" i="12"/>
  <c r="E348" i="12" s="1"/>
  <c r="A348" i="12" s="1"/>
  <c r="R348" i="12"/>
  <c r="S348" i="12"/>
  <c r="D430" i="12"/>
  <c r="E430" i="12" s="1"/>
  <c r="A430" i="12" s="1"/>
  <c r="R430" i="12"/>
  <c r="D421" i="12"/>
  <c r="E421" i="12" s="1"/>
  <c r="R421" i="12"/>
  <c r="S281" i="12"/>
  <c r="R281" i="12"/>
  <c r="S92" i="12"/>
  <c r="D92" i="12"/>
  <c r="E92" i="12" s="1"/>
  <c r="R92" i="12"/>
  <c r="S181" i="12"/>
  <c r="D181" i="12"/>
  <c r="E181" i="12" s="1"/>
  <c r="R181" i="12"/>
  <c r="R426" i="12"/>
  <c r="R446" i="12"/>
  <c r="S283" i="12"/>
  <c r="R283" i="12"/>
  <c r="S200" i="12"/>
  <c r="D200" i="12"/>
  <c r="E200" i="12" s="1"/>
  <c r="R95" i="12"/>
  <c r="S95" i="12"/>
  <c r="D95" i="12"/>
  <c r="E95" i="12" s="1"/>
  <c r="D100" i="12"/>
  <c r="E100" i="12" s="1"/>
  <c r="R100" i="12"/>
  <c r="S100" i="12"/>
  <c r="D85" i="12"/>
  <c r="E85" i="12" s="1"/>
  <c r="A85" i="12" s="1"/>
  <c r="R85" i="12"/>
  <c r="S85" i="12"/>
  <c r="D317" i="12"/>
  <c r="E317" i="12" s="1"/>
  <c r="A317" i="12" s="1"/>
  <c r="R317" i="12"/>
  <c r="S317" i="12"/>
  <c r="R44" i="12"/>
  <c r="S44" i="12"/>
  <c r="D442" i="12"/>
  <c r="E442" i="12" s="1"/>
  <c r="A442" i="12" s="1"/>
  <c r="R442" i="12"/>
  <c r="D198" i="12"/>
  <c r="E198" i="12" s="1"/>
  <c r="A198" i="12" s="1"/>
  <c r="R198" i="12"/>
  <c r="S198" i="12"/>
  <c r="D111" i="12"/>
  <c r="E111" i="12" s="1"/>
  <c r="A111" i="12" s="1"/>
  <c r="R111" i="12"/>
  <c r="S111" i="12"/>
  <c r="D287" i="12"/>
  <c r="E287" i="12" s="1"/>
  <c r="A287" i="12" s="1"/>
  <c r="S287" i="12"/>
  <c r="D204" i="12"/>
  <c r="E204" i="12" s="1"/>
  <c r="A204" i="12" s="1"/>
  <c r="S204" i="12"/>
  <c r="D281" i="12"/>
  <c r="E281" i="12" s="1"/>
  <c r="D408" i="12"/>
  <c r="E408" i="12" s="1"/>
  <c r="D426" i="12"/>
  <c r="E426" i="12" s="1"/>
  <c r="D340" i="12"/>
  <c r="E340" i="12" s="1"/>
  <c r="D295" i="12"/>
  <c r="E295" i="12" s="1"/>
  <c r="D411" i="12"/>
  <c r="E411" i="12" s="1"/>
  <c r="D283" i="12"/>
  <c r="E283" i="12" s="1"/>
  <c r="D190" i="12"/>
  <c r="E190" i="12" s="1"/>
  <c r="D370" i="12"/>
  <c r="E370" i="12" s="1"/>
  <c r="D148" i="12"/>
  <c r="E148" i="12" s="1"/>
  <c r="R330" i="12"/>
  <c r="R246" i="12"/>
  <c r="R204" i="12"/>
  <c r="R287" i="12"/>
  <c r="R432" i="12"/>
  <c r="R271" i="12"/>
  <c r="C465" i="12"/>
  <c r="Q465" i="12" s="1"/>
  <c r="C453" i="12"/>
  <c r="Q453" i="12" s="1"/>
  <c r="C459" i="12"/>
  <c r="Q459" i="12" s="1"/>
  <c r="C466" i="12"/>
  <c r="Q466" i="12" s="1"/>
  <c r="C454" i="12"/>
  <c r="Q454" i="12" s="1"/>
  <c r="C457" i="12"/>
  <c r="Q457" i="12" s="1"/>
  <c r="R428" i="12"/>
  <c r="C458" i="12"/>
  <c r="Q458" i="12" s="1"/>
  <c r="C461" i="12"/>
  <c r="Q461" i="12" s="1"/>
  <c r="C456" i="12"/>
  <c r="Q456" i="12" s="1"/>
  <c r="D440" i="12"/>
  <c r="E440" i="12" s="1"/>
  <c r="R440" i="12"/>
  <c r="R444" i="12"/>
  <c r="C464" i="12"/>
  <c r="Q464" i="12" s="1"/>
  <c r="C452" i="12"/>
  <c r="Q452" i="12" s="1"/>
  <c r="C455" i="12"/>
  <c r="Q455" i="12" s="1"/>
  <c r="C463" i="12"/>
  <c r="Q463" i="12" s="1"/>
  <c r="C460" i="12"/>
  <c r="Q460" i="12" s="1"/>
  <c r="R448" i="12"/>
  <c r="C462" i="12"/>
  <c r="Q462" i="12" s="1"/>
  <c r="C451" i="12"/>
  <c r="Q451" i="12" s="1"/>
  <c r="C450" i="12"/>
  <c r="Q450" i="12" s="1"/>
  <c r="C449" i="12"/>
  <c r="Q449" i="12" s="1"/>
  <c r="G141" i="12"/>
  <c r="S46" i="12"/>
  <c r="S40" i="12"/>
  <c r="S201" i="12"/>
  <c r="S57" i="12"/>
  <c r="S154" i="12"/>
  <c r="S63" i="12"/>
  <c r="S56" i="12"/>
  <c r="G344" i="12"/>
  <c r="G64" i="8"/>
  <c r="G65" i="8" s="1"/>
  <c r="G66" i="8" s="1"/>
  <c r="R184" i="11"/>
  <c r="R182" i="11"/>
  <c r="R181" i="11"/>
  <c r="J76" i="3"/>
  <c r="H13" i="8"/>
  <c r="E63" i="5" s="1"/>
  <c r="F63" i="5" s="1"/>
  <c r="G13" i="8"/>
  <c r="K12" i="8"/>
  <c r="K13" i="8" s="1"/>
  <c r="G48" i="8"/>
  <c r="G49" i="8" s="1"/>
  <c r="G50" i="8" s="1"/>
  <c r="G8" i="8"/>
  <c r="G9" i="8" s="1"/>
  <c r="G320" i="12" l="1"/>
  <c r="D96" i="3"/>
  <c r="D94" i="3"/>
  <c r="C69" i="2"/>
  <c r="K21" i="10" s="1"/>
  <c r="G270" i="12"/>
  <c r="J270" i="12" s="1"/>
  <c r="K270" i="12" s="1"/>
  <c r="A140" i="12"/>
  <c r="A179" i="12"/>
  <c r="F446" i="12"/>
  <c r="H446" i="12" s="1"/>
  <c r="G192" i="12"/>
  <c r="F69" i="12"/>
  <c r="H69" i="12" s="1"/>
  <c r="G160" i="12"/>
  <c r="J160" i="12" s="1"/>
  <c r="K160" i="12" s="1"/>
  <c r="G74" i="12"/>
  <c r="J74" i="12" s="1"/>
  <c r="K74" i="12" s="1"/>
  <c r="A131" i="12"/>
  <c r="F338" i="12"/>
  <c r="H338" i="12" s="1"/>
  <c r="A74" i="12"/>
  <c r="G163" i="12"/>
  <c r="G140" i="12"/>
  <c r="G223" i="12"/>
  <c r="F399" i="12"/>
  <c r="H399" i="12" s="1"/>
  <c r="G255" i="12"/>
  <c r="J255" i="12" s="1"/>
  <c r="K255" i="12" s="1"/>
  <c r="A399" i="12"/>
  <c r="A300" i="12"/>
  <c r="A261" i="12"/>
  <c r="F262" i="12"/>
  <c r="H262" i="12" s="1"/>
  <c r="G176" i="12"/>
  <c r="J176" i="12" s="1"/>
  <c r="K176" i="12" s="1"/>
  <c r="F67" i="12"/>
  <c r="H67" i="12" s="1"/>
  <c r="G349" i="12"/>
  <c r="F396" i="12"/>
  <c r="H396" i="12" s="1"/>
  <c r="F381" i="12"/>
  <c r="H381" i="12" s="1"/>
  <c r="F409" i="12"/>
  <c r="H409" i="12" s="1"/>
  <c r="F192" i="12"/>
  <c r="H192" i="12" s="1"/>
  <c r="F300" i="12"/>
  <c r="H300" i="12" s="1"/>
  <c r="A409" i="12"/>
  <c r="A67" i="12"/>
  <c r="F261" i="12"/>
  <c r="H261" i="12" s="1"/>
  <c r="G262" i="12"/>
  <c r="F112" i="12"/>
  <c r="H112" i="12" s="1"/>
  <c r="F367" i="12"/>
  <c r="H367" i="12" s="1"/>
  <c r="A265" i="12"/>
  <c r="F223" i="12"/>
  <c r="H223" i="12" s="1"/>
  <c r="A112" i="12"/>
  <c r="G339" i="12"/>
  <c r="F240" i="12"/>
  <c r="H240" i="12" s="1"/>
  <c r="F163" i="12"/>
  <c r="H163" i="12" s="1"/>
  <c r="F206" i="12"/>
  <c r="H206" i="12" s="1"/>
  <c r="G69" i="12"/>
  <c r="A160" i="12"/>
  <c r="A255" i="12"/>
  <c r="G396" i="12"/>
  <c r="G338" i="12"/>
  <c r="G240" i="12"/>
  <c r="J240" i="12" s="1"/>
  <c r="K240" i="12" s="1"/>
  <c r="G381" i="12"/>
  <c r="F349" i="12"/>
  <c r="H349" i="12" s="1"/>
  <c r="G367" i="12"/>
  <c r="J367" i="12" s="1"/>
  <c r="K367" i="12" s="1"/>
  <c r="A270" i="12"/>
  <c r="G68" i="12"/>
  <c r="J68" i="12" s="1"/>
  <c r="K68" i="12" s="1"/>
  <c r="F290" i="12"/>
  <c r="H290" i="12" s="1"/>
  <c r="F131" i="12"/>
  <c r="H131" i="12" s="1"/>
  <c r="F447" i="12"/>
  <c r="H447" i="12" s="1"/>
  <c r="G179" i="12"/>
  <c r="J179" i="12" s="1"/>
  <c r="K179" i="12" s="1"/>
  <c r="F265" i="12"/>
  <c r="H265" i="12" s="1"/>
  <c r="G446" i="12"/>
  <c r="F339" i="12"/>
  <c r="H339" i="12" s="1"/>
  <c r="A206" i="12"/>
  <c r="A176" i="12"/>
  <c r="A435" i="12"/>
  <c r="A290" i="12"/>
  <c r="A447" i="12"/>
  <c r="G383" i="12"/>
  <c r="J383" i="12" s="1"/>
  <c r="K383" i="12" s="1"/>
  <c r="G268" i="12"/>
  <c r="J268" i="12" s="1"/>
  <c r="K268" i="12" s="1"/>
  <c r="F323" i="12"/>
  <c r="H323" i="12" s="1"/>
  <c r="F422" i="12"/>
  <c r="H422" i="12" s="1"/>
  <c r="F178" i="12"/>
  <c r="H178" i="12" s="1"/>
  <c r="G354" i="12"/>
  <c r="A68" i="12"/>
  <c r="G115" i="12"/>
  <c r="A188" i="12"/>
  <c r="A268" i="12"/>
  <c r="F236" i="12"/>
  <c r="H236" i="12" s="1"/>
  <c r="F143" i="12"/>
  <c r="H143" i="12" s="1"/>
  <c r="G253" i="12"/>
  <c r="F238" i="12"/>
  <c r="H238" i="12" s="1"/>
  <c r="F171" i="12"/>
  <c r="H171" i="12" s="1"/>
  <c r="A289" i="12"/>
  <c r="A178" i="12"/>
  <c r="G444" i="12"/>
  <c r="F243" i="12"/>
  <c r="H243" i="12" s="1"/>
  <c r="G128" i="12"/>
  <c r="J128" i="12" s="1"/>
  <c r="K128" i="12" s="1"/>
  <c r="F444" i="12"/>
  <c r="H444" i="12" s="1"/>
  <c r="G243" i="12"/>
  <c r="A366" i="12"/>
  <c r="G94" i="12"/>
  <c r="A422" i="12"/>
  <c r="F253" i="12"/>
  <c r="H253" i="12" s="1"/>
  <c r="F127" i="12"/>
  <c r="H127" i="12" s="1"/>
  <c r="F284" i="12"/>
  <c r="H284" i="12" s="1"/>
  <c r="F106" i="12"/>
  <c r="H106" i="12" s="1"/>
  <c r="F239" i="12"/>
  <c r="H239" i="12" s="1"/>
  <c r="F413" i="12"/>
  <c r="H413" i="12" s="1"/>
  <c r="F354" i="12"/>
  <c r="H354" i="12" s="1"/>
  <c r="G284" i="12"/>
  <c r="A384" i="12"/>
  <c r="A413" i="12"/>
  <c r="A238" i="12"/>
  <c r="A288" i="12"/>
  <c r="F156" i="12"/>
  <c r="H156" i="12" s="1"/>
  <c r="A128" i="12"/>
  <c r="F224" i="12"/>
  <c r="H224" i="12" s="1"/>
  <c r="F387" i="12"/>
  <c r="H387" i="12" s="1"/>
  <c r="G191" i="12"/>
  <c r="A390" i="12"/>
  <c r="G259" i="12"/>
  <c r="A159" i="12"/>
  <c r="A412" i="12"/>
  <c r="A334" i="12"/>
  <c r="G357" i="12"/>
  <c r="J357" i="12" s="1"/>
  <c r="K357" i="12" s="1"/>
  <c r="A80" i="12"/>
  <c r="F80" i="12"/>
  <c r="H80" i="12" s="1"/>
  <c r="G385" i="12"/>
  <c r="J385" i="12" s="1"/>
  <c r="K385" i="12" s="1"/>
  <c r="F432" i="12"/>
  <c r="H432" i="12" s="1"/>
  <c r="F334" i="12"/>
  <c r="H334" i="12" s="1"/>
  <c r="F115" i="12"/>
  <c r="H115" i="12" s="1"/>
  <c r="G236" i="12"/>
  <c r="F366" i="12"/>
  <c r="H366" i="12" s="1"/>
  <c r="G384" i="12"/>
  <c r="J384" i="12" s="1"/>
  <c r="K384" i="12" s="1"/>
  <c r="A383" i="12"/>
  <c r="G435" i="12"/>
  <c r="J435" i="12" s="1"/>
  <c r="K435" i="12" s="1"/>
  <c r="A323" i="12"/>
  <c r="G171" i="12"/>
  <c r="G188" i="12"/>
  <c r="J188" i="12" s="1"/>
  <c r="K188" i="12" s="1"/>
  <c r="F114" i="12"/>
  <c r="H114" i="12" s="1"/>
  <c r="F289" i="12"/>
  <c r="H289" i="12" s="1"/>
  <c r="G288" i="12"/>
  <c r="J288" i="12" s="1"/>
  <c r="K288" i="12" s="1"/>
  <c r="F94" i="12"/>
  <c r="H94" i="12" s="1"/>
  <c r="G239" i="12"/>
  <c r="A428" i="12"/>
  <c r="A380" i="12"/>
  <c r="G106" i="12"/>
  <c r="F256" i="12"/>
  <c r="H256" i="12" s="1"/>
  <c r="F221" i="12"/>
  <c r="H221" i="12" s="1"/>
  <c r="G358" i="12"/>
  <c r="A172" i="12"/>
  <c r="A351" i="12"/>
  <c r="A91" i="12"/>
  <c r="A368" i="12"/>
  <c r="F437" i="12"/>
  <c r="H437" i="12" s="1"/>
  <c r="F91" i="12"/>
  <c r="H91" i="12" s="1"/>
  <c r="G285" i="12"/>
  <c r="J285" i="12" s="1"/>
  <c r="K285" i="12" s="1"/>
  <c r="G431" i="12"/>
  <c r="J431" i="12" s="1"/>
  <c r="K431" i="12" s="1"/>
  <c r="A431" i="12"/>
  <c r="A221" i="12"/>
  <c r="A256" i="12"/>
  <c r="A357" i="12"/>
  <c r="F428" i="12"/>
  <c r="H428" i="12" s="1"/>
  <c r="F273" i="12"/>
  <c r="H273" i="12" s="1"/>
  <c r="F390" i="12"/>
  <c r="H390" i="12" s="1"/>
  <c r="G302" i="12"/>
  <c r="J302" i="12" s="1"/>
  <c r="K302" i="12" s="1"/>
  <c r="F207" i="12"/>
  <c r="H207" i="12" s="1"/>
  <c r="G368" i="12"/>
  <c r="J368" i="12" s="1"/>
  <c r="K368" i="12" s="1"/>
  <c r="F307" i="12"/>
  <c r="H307" i="12" s="1"/>
  <c r="F319" i="12"/>
  <c r="H319" i="12" s="1"/>
  <c r="F129" i="12"/>
  <c r="H129" i="12" s="1"/>
  <c r="G304" i="12"/>
  <c r="J304" i="12" s="1"/>
  <c r="K304" i="12" s="1"/>
  <c r="F211" i="12"/>
  <c r="H211" i="12" s="1"/>
  <c r="F172" i="12"/>
  <c r="H172" i="12" s="1"/>
  <c r="A294" i="12"/>
  <c r="A394" i="12"/>
  <c r="A285" i="12"/>
  <c r="A314" i="12"/>
  <c r="A307" i="12"/>
  <c r="G351" i="12"/>
  <c r="J351" i="12" s="1"/>
  <c r="K351" i="12" s="1"/>
  <c r="F380" i="12"/>
  <c r="H380" i="12" s="1"/>
  <c r="F416" i="12"/>
  <c r="H416" i="12" s="1"/>
  <c r="F358" i="12"/>
  <c r="H358" i="12" s="1"/>
  <c r="G403" i="12"/>
  <c r="J403" i="12" s="1"/>
  <c r="K403" i="12" s="1"/>
  <c r="G314" i="12"/>
  <c r="J314" i="12" s="1"/>
  <c r="K314" i="12" s="1"/>
  <c r="F394" i="12"/>
  <c r="H394" i="12" s="1"/>
  <c r="A142" i="12"/>
  <c r="A437" i="12"/>
  <c r="A352" i="12"/>
  <c r="A361" i="12"/>
  <c r="F294" i="12"/>
  <c r="H294" i="12" s="1"/>
  <c r="A416" i="12"/>
  <c r="A319" i="12"/>
  <c r="A403" i="12"/>
  <c r="A345" i="12"/>
  <c r="A302" i="12"/>
  <c r="A207" i="12"/>
  <c r="A304" i="12"/>
  <c r="A273" i="12"/>
  <c r="A129" i="12"/>
  <c r="A211" i="12"/>
  <c r="G345" i="12"/>
  <c r="J345" i="12" s="1"/>
  <c r="K345" i="12" s="1"/>
  <c r="G352" i="12"/>
  <c r="J352" i="12" s="1"/>
  <c r="K352" i="12" s="1"/>
  <c r="F142" i="12"/>
  <c r="H142" i="12" s="1"/>
  <c r="G361" i="12"/>
  <c r="J361" i="12" s="1"/>
  <c r="K361" i="12" s="1"/>
  <c r="F274" i="12"/>
  <c r="H274" i="12" s="1"/>
  <c r="G275" i="12"/>
  <c r="J275" i="12" s="1"/>
  <c r="K275" i="12" s="1"/>
  <c r="A153" i="12"/>
  <c r="A316" i="12"/>
  <c r="A218" i="12"/>
  <c r="F124" i="12"/>
  <c r="H124" i="12" s="1"/>
  <c r="F195" i="12"/>
  <c r="H195" i="12" s="1"/>
  <c r="F259" i="12"/>
  <c r="H259" i="12" s="1"/>
  <c r="G156" i="12"/>
  <c r="G224" i="12"/>
  <c r="A158" i="12"/>
  <c r="A230" i="12"/>
  <c r="A275" i="12"/>
  <c r="A134" i="12"/>
  <c r="A78" i="12"/>
  <c r="F320" i="12"/>
  <c r="H320" i="12" s="1"/>
  <c r="F101" i="12"/>
  <c r="H101" i="12" s="1"/>
  <c r="F58" i="12"/>
  <c r="H58" i="12" s="1"/>
  <c r="F371" i="12"/>
  <c r="H371" i="12" s="1"/>
  <c r="A62" i="12"/>
  <c r="A364" i="12"/>
  <c r="A101" i="12"/>
  <c r="A147" i="12"/>
  <c r="G159" i="12"/>
  <c r="J159" i="12" s="1"/>
  <c r="K159" i="12" s="1"/>
  <c r="G62" i="12"/>
  <c r="J62" i="12" s="1"/>
  <c r="K62" i="12" s="1"/>
  <c r="A359" i="12"/>
  <c r="A195" i="12"/>
  <c r="G153" i="12"/>
  <c r="J153" i="12" s="1"/>
  <c r="K153" i="12" s="1"/>
  <c r="F158" i="12"/>
  <c r="H158" i="12" s="1"/>
  <c r="F316" i="12"/>
  <c r="H316" i="12" s="1"/>
  <c r="F412" i="12"/>
  <c r="H412" i="12" s="1"/>
  <c r="F364" i="12"/>
  <c r="H364" i="12" s="1"/>
  <c r="A274" i="12"/>
  <c r="G147" i="12"/>
  <c r="J147" i="12" s="1"/>
  <c r="K147" i="12" s="1"/>
  <c r="G134" i="12"/>
  <c r="J134" i="12" s="1"/>
  <c r="K134" i="12" s="1"/>
  <c r="G218" i="12"/>
  <c r="J218" i="12" s="1"/>
  <c r="K218" i="12" s="1"/>
  <c r="A110" i="12"/>
  <c r="G359" i="12"/>
  <c r="J359" i="12" s="1"/>
  <c r="K359" i="12" s="1"/>
  <c r="G271" i="12"/>
  <c r="J271" i="12" s="1"/>
  <c r="K271" i="12" s="1"/>
  <c r="G59" i="12"/>
  <c r="J59" i="12" s="1"/>
  <c r="K59" i="12" s="1"/>
  <c r="G124" i="12"/>
  <c r="G78" i="12"/>
  <c r="J78" i="12" s="1"/>
  <c r="K78" i="12" s="1"/>
  <c r="G166" i="12"/>
  <c r="J166" i="12" s="1"/>
  <c r="K166" i="12" s="1"/>
  <c r="A398" i="12"/>
  <c r="A303" i="12"/>
  <c r="A166" i="12"/>
  <c r="A157" i="12"/>
  <c r="A385" i="12"/>
  <c r="A271" i="12"/>
  <c r="A432" i="12"/>
  <c r="A220" i="12"/>
  <c r="A143" i="12"/>
  <c r="A58" i="12"/>
  <c r="A114" i="12"/>
  <c r="A194" i="12"/>
  <c r="A127" i="12"/>
  <c r="G110" i="12"/>
  <c r="J110" i="12" s="1"/>
  <c r="K110" i="12" s="1"/>
  <c r="F191" i="12"/>
  <c r="H191" i="12" s="1"/>
  <c r="G230" i="12"/>
  <c r="J230" i="12" s="1"/>
  <c r="K230" i="12" s="1"/>
  <c r="F220" i="12"/>
  <c r="H220" i="12" s="1"/>
  <c r="G194" i="12"/>
  <c r="J194" i="12" s="1"/>
  <c r="K194" i="12" s="1"/>
  <c r="G371" i="12"/>
  <c r="F157" i="12"/>
  <c r="H157" i="12" s="1"/>
  <c r="F303" i="12"/>
  <c r="H303" i="12" s="1"/>
  <c r="G398" i="12"/>
  <c r="J398" i="12" s="1"/>
  <c r="K398" i="12" s="1"/>
  <c r="A59" i="12"/>
  <c r="A387" i="12"/>
  <c r="R458" i="12"/>
  <c r="R467" i="12"/>
  <c r="R450" i="12"/>
  <c r="R460" i="12"/>
  <c r="R464" i="12"/>
  <c r="R459" i="12"/>
  <c r="R449" i="12"/>
  <c r="R465" i="12"/>
  <c r="R451" i="12"/>
  <c r="R463" i="12"/>
  <c r="R456" i="12"/>
  <c r="R457" i="12"/>
  <c r="R453" i="12"/>
  <c r="R452" i="12"/>
  <c r="R466" i="12"/>
  <c r="R462" i="12"/>
  <c r="R455" i="12"/>
  <c r="R461" i="12"/>
  <c r="R454" i="12"/>
  <c r="R468" i="12"/>
  <c r="J344" i="12"/>
  <c r="K344" i="12" s="1"/>
  <c r="J140" i="12"/>
  <c r="K140" i="12" s="1"/>
  <c r="F295" i="12"/>
  <c r="H295" i="12" s="1"/>
  <c r="A295" i="12"/>
  <c r="G100" i="12"/>
  <c r="A100" i="12"/>
  <c r="F226" i="12"/>
  <c r="H226" i="12" s="1"/>
  <c r="A226" i="12"/>
  <c r="F425" i="12"/>
  <c r="H425" i="12" s="1"/>
  <c r="A425" i="12"/>
  <c r="G417" i="12"/>
  <c r="A417" i="12"/>
  <c r="G423" i="12"/>
  <c r="A423" i="12"/>
  <c r="F222" i="12"/>
  <c r="H222" i="12" s="1"/>
  <c r="A222" i="12"/>
  <c r="F196" i="12"/>
  <c r="H196" i="12" s="1"/>
  <c r="A196" i="12"/>
  <c r="G324" i="12"/>
  <c r="A324" i="12"/>
  <c r="G322" i="12"/>
  <c r="A322" i="12"/>
  <c r="G202" i="12"/>
  <c r="A202" i="12"/>
  <c r="G201" i="12"/>
  <c r="A201" i="12"/>
  <c r="G298" i="12"/>
  <c r="A298" i="12"/>
  <c r="G65" i="12"/>
  <c r="A65" i="12"/>
  <c r="G162" i="12"/>
  <c r="A162" i="12"/>
  <c r="G164" i="12"/>
  <c r="A164" i="12"/>
  <c r="F293" i="12"/>
  <c r="H293" i="12" s="1"/>
  <c r="A293" i="12"/>
  <c r="F205" i="12"/>
  <c r="H205" i="12" s="1"/>
  <c r="A205" i="12"/>
  <c r="F235" i="12"/>
  <c r="H235" i="12" s="1"/>
  <c r="A235" i="12"/>
  <c r="F98" i="12"/>
  <c r="H98" i="12" s="1"/>
  <c r="A98" i="12"/>
  <c r="G410" i="12"/>
  <c r="A410" i="12"/>
  <c r="G89" i="12"/>
  <c r="A89" i="12"/>
  <c r="G185" i="12"/>
  <c r="A185" i="12"/>
  <c r="F190" i="12"/>
  <c r="H190" i="12" s="1"/>
  <c r="A190" i="12"/>
  <c r="F340" i="12"/>
  <c r="H340" i="12" s="1"/>
  <c r="A340" i="12"/>
  <c r="G95" i="12"/>
  <c r="A95" i="12"/>
  <c r="G181" i="12"/>
  <c r="A181" i="12"/>
  <c r="G421" i="12"/>
  <c r="A421" i="12"/>
  <c r="G87" i="12"/>
  <c r="A87" i="12"/>
  <c r="G330" i="12"/>
  <c r="A330" i="12"/>
  <c r="G231" i="12"/>
  <c r="A231" i="12"/>
  <c r="F276" i="12"/>
  <c r="H276" i="12" s="1"/>
  <c r="A276" i="12"/>
  <c r="G72" i="12"/>
  <c r="A72" i="12"/>
  <c r="G203" i="12"/>
  <c r="A203" i="12"/>
  <c r="G154" i="12"/>
  <c r="A154" i="12"/>
  <c r="F102" i="12"/>
  <c r="H102" i="12" s="1"/>
  <c r="A102" i="12"/>
  <c r="G132" i="12"/>
  <c r="A132" i="12"/>
  <c r="G123" i="12"/>
  <c r="A123" i="12"/>
  <c r="G279" i="12"/>
  <c r="A279" i="12"/>
  <c r="G341" i="12"/>
  <c r="A341" i="12"/>
  <c r="G257" i="12"/>
  <c r="A257" i="12"/>
  <c r="F360" i="12"/>
  <c r="H360" i="12" s="1"/>
  <c r="A360" i="12"/>
  <c r="G118" i="12"/>
  <c r="A118" i="12"/>
  <c r="G264" i="12"/>
  <c r="A264" i="12"/>
  <c r="F104" i="12"/>
  <c r="H104" i="12" s="1"/>
  <c r="A104" i="12"/>
  <c r="F71" i="12"/>
  <c r="H71" i="12" s="1"/>
  <c r="A71" i="12"/>
  <c r="F180" i="12"/>
  <c r="H180" i="12" s="1"/>
  <c r="A180" i="12"/>
  <c r="G186" i="12"/>
  <c r="A186" i="12"/>
  <c r="F395" i="12"/>
  <c r="H395" i="12" s="1"/>
  <c r="A395" i="12"/>
  <c r="F373" i="12"/>
  <c r="H373" i="12" s="1"/>
  <c r="A373" i="12"/>
  <c r="G391" i="12"/>
  <c r="A391" i="12"/>
  <c r="F183" i="12"/>
  <c r="H183" i="12" s="1"/>
  <c r="A183" i="12"/>
  <c r="G251" i="12"/>
  <c r="A251" i="12"/>
  <c r="G393" i="12"/>
  <c r="A393" i="12"/>
  <c r="G229" i="12"/>
  <c r="A229" i="12"/>
  <c r="G247" i="12"/>
  <c r="A247" i="12"/>
  <c r="G79" i="12"/>
  <c r="A79" i="12"/>
  <c r="G286" i="12"/>
  <c r="A286" i="12"/>
  <c r="G155" i="12"/>
  <c r="A155" i="12"/>
  <c r="G249" i="12"/>
  <c r="A249" i="12"/>
  <c r="G228" i="12"/>
  <c r="A228" i="12"/>
  <c r="G280" i="12"/>
  <c r="A280" i="12"/>
  <c r="F169" i="12"/>
  <c r="H169" i="12" s="1"/>
  <c r="A169" i="12"/>
  <c r="F365" i="12"/>
  <c r="H365" i="12" s="1"/>
  <c r="A365" i="12"/>
  <c r="G108" i="12"/>
  <c r="A108" i="12"/>
  <c r="F152" i="12"/>
  <c r="H152" i="12" s="1"/>
  <c r="A152" i="12"/>
  <c r="F258" i="12"/>
  <c r="H258" i="12" s="1"/>
  <c r="A258" i="12"/>
  <c r="G63" i="12"/>
  <c r="A63" i="12"/>
  <c r="F84" i="12"/>
  <c r="H84" i="12" s="1"/>
  <c r="A84" i="12"/>
  <c r="G99" i="12"/>
  <c r="A99" i="12"/>
  <c r="F436" i="12"/>
  <c r="H436" i="12" s="1"/>
  <c r="A436" i="12"/>
  <c r="G241" i="12"/>
  <c r="A241" i="12"/>
  <c r="F130" i="12"/>
  <c r="H130" i="12" s="1"/>
  <c r="A130" i="12"/>
  <c r="G103" i="12"/>
  <c r="A103" i="12"/>
  <c r="F233" i="12"/>
  <c r="H233" i="12" s="1"/>
  <c r="A233" i="12"/>
  <c r="G138" i="12"/>
  <c r="A138" i="12"/>
  <c r="G225" i="12"/>
  <c r="A225" i="12"/>
  <c r="G448" i="12"/>
  <c r="A448" i="12"/>
  <c r="G440" i="12"/>
  <c r="A440" i="12"/>
  <c r="F370" i="12"/>
  <c r="H370" i="12" s="1"/>
  <c r="A370" i="12"/>
  <c r="F92" i="12"/>
  <c r="H92" i="12" s="1"/>
  <c r="A92" i="12"/>
  <c r="F237" i="12"/>
  <c r="H237" i="12" s="1"/>
  <c r="A237" i="12"/>
  <c r="F328" i="12"/>
  <c r="H328" i="12" s="1"/>
  <c r="A328" i="12"/>
  <c r="G97" i="12"/>
  <c r="A97" i="12"/>
  <c r="G420" i="12"/>
  <c r="A420" i="12"/>
  <c r="F438" i="12"/>
  <c r="H438" i="12" s="1"/>
  <c r="A438" i="12"/>
  <c r="G213" i="12"/>
  <c r="A213" i="12"/>
  <c r="G126" i="12"/>
  <c r="A126" i="12"/>
  <c r="G109" i="12"/>
  <c r="A109" i="12"/>
  <c r="F378" i="12"/>
  <c r="H378" i="12" s="1"/>
  <c r="A378" i="12"/>
  <c r="F82" i="12"/>
  <c r="H82" i="12" s="1"/>
  <c r="A82" i="12"/>
  <c r="F429" i="12"/>
  <c r="H429" i="12" s="1"/>
  <c r="A429" i="12"/>
  <c r="F119" i="12"/>
  <c r="H119" i="12" s="1"/>
  <c r="A119" i="12"/>
  <c r="F325" i="12"/>
  <c r="H325" i="12" s="1"/>
  <c r="A325" i="12"/>
  <c r="F299" i="12"/>
  <c r="H299" i="12" s="1"/>
  <c r="A299" i="12"/>
  <c r="F150" i="12"/>
  <c r="H150" i="12" s="1"/>
  <c r="A150" i="12"/>
  <c r="F363" i="12"/>
  <c r="H363" i="12" s="1"/>
  <c r="A363" i="12"/>
  <c r="G214" i="12"/>
  <c r="A214" i="12"/>
  <c r="G283" i="12"/>
  <c r="A283" i="12"/>
  <c r="F426" i="12"/>
  <c r="H426" i="12" s="1"/>
  <c r="A426" i="12"/>
  <c r="G305" i="12"/>
  <c r="A305" i="12"/>
  <c r="F267" i="12"/>
  <c r="H267" i="12" s="1"/>
  <c r="A267" i="12"/>
  <c r="G86" i="12"/>
  <c r="A86" i="12"/>
  <c r="G184" i="12"/>
  <c r="A184" i="12"/>
  <c r="F246" i="12"/>
  <c r="H246" i="12" s="1"/>
  <c r="A246" i="12"/>
  <c r="F120" i="12"/>
  <c r="H120" i="12" s="1"/>
  <c r="A120" i="12"/>
  <c r="F145" i="12"/>
  <c r="H145" i="12" s="1"/>
  <c r="A145" i="12"/>
  <c r="G232" i="12"/>
  <c r="A232" i="12"/>
  <c r="F121" i="12"/>
  <c r="H121" i="12" s="1"/>
  <c r="A121" i="12"/>
  <c r="F376" i="12"/>
  <c r="H376" i="12" s="1"/>
  <c r="A376" i="12"/>
  <c r="G297" i="12"/>
  <c r="A297" i="12"/>
  <c r="F350" i="12"/>
  <c r="H350" i="12" s="1"/>
  <c r="A350" i="12"/>
  <c r="F346" i="12"/>
  <c r="H346" i="12" s="1"/>
  <c r="A346" i="12"/>
  <c r="G315" i="12"/>
  <c r="A315" i="12"/>
  <c r="G170" i="12"/>
  <c r="A170" i="12"/>
  <c r="F116" i="12"/>
  <c r="H116" i="12" s="1"/>
  <c r="A116" i="12"/>
  <c r="G263" i="12"/>
  <c r="A263" i="12"/>
  <c r="G139" i="12"/>
  <c r="A139" i="12"/>
  <c r="F254" i="12"/>
  <c r="H254" i="12" s="1"/>
  <c r="A254" i="12"/>
  <c r="G306" i="12"/>
  <c r="A306" i="12"/>
  <c r="F76" i="12"/>
  <c r="H76" i="12" s="1"/>
  <c r="A76" i="12"/>
  <c r="F374" i="12"/>
  <c r="H374" i="12" s="1"/>
  <c r="A374" i="12"/>
  <c r="G382" i="12"/>
  <c r="A382" i="12"/>
  <c r="G244" i="12"/>
  <c r="A244" i="12"/>
  <c r="G356" i="12"/>
  <c r="A356" i="12"/>
  <c r="G168" i="12"/>
  <c r="A168" i="12"/>
  <c r="F248" i="12"/>
  <c r="H248" i="12" s="1"/>
  <c r="A248" i="12"/>
  <c r="G64" i="12"/>
  <c r="A64" i="12"/>
  <c r="G210" i="12"/>
  <c r="A210" i="12"/>
  <c r="F331" i="12"/>
  <c r="H331" i="12" s="1"/>
  <c r="A331" i="12"/>
  <c r="F310" i="12"/>
  <c r="H310" i="12" s="1"/>
  <c r="A310" i="12"/>
  <c r="G379" i="12"/>
  <c r="A379" i="12"/>
  <c r="G414" i="12"/>
  <c r="A414" i="12"/>
  <c r="F199" i="12"/>
  <c r="H199" i="12" s="1"/>
  <c r="A199" i="12"/>
  <c r="G117" i="12"/>
  <c r="A117" i="12"/>
  <c r="G151" i="12"/>
  <c r="A151" i="12"/>
  <c r="G105" i="12"/>
  <c r="A105" i="12"/>
  <c r="G369" i="12"/>
  <c r="A369" i="12"/>
  <c r="F434" i="12"/>
  <c r="H434" i="12" s="1"/>
  <c r="A434" i="12"/>
  <c r="F405" i="12"/>
  <c r="H405" i="12" s="1"/>
  <c r="A405" i="12"/>
  <c r="F333" i="12"/>
  <c r="H333" i="12" s="1"/>
  <c r="A333" i="12"/>
  <c r="G187" i="12"/>
  <c r="A187" i="12"/>
  <c r="F107" i="12"/>
  <c r="H107" i="12" s="1"/>
  <c r="A107" i="12"/>
  <c r="F406" i="12"/>
  <c r="H406" i="12" s="1"/>
  <c r="A406" i="12"/>
  <c r="F353" i="12"/>
  <c r="H353" i="12" s="1"/>
  <c r="A353" i="12"/>
  <c r="G122" i="12"/>
  <c r="A122" i="12"/>
  <c r="G377" i="12"/>
  <c r="A377" i="12"/>
  <c r="F66" i="12"/>
  <c r="H66" i="12" s="1"/>
  <c r="A66" i="12"/>
  <c r="G113" i="12"/>
  <c r="A113" i="12"/>
  <c r="G217" i="12"/>
  <c r="A217" i="12"/>
  <c r="G281" i="12"/>
  <c r="A281" i="12"/>
  <c r="F200" i="12"/>
  <c r="H200" i="12" s="1"/>
  <c r="A200" i="12"/>
  <c r="G388" i="12"/>
  <c r="A388" i="12"/>
  <c r="F343" i="12"/>
  <c r="H343" i="12" s="1"/>
  <c r="A343" i="12"/>
  <c r="F407" i="12"/>
  <c r="H407" i="12" s="1"/>
  <c r="A407" i="12"/>
  <c r="G125" i="12"/>
  <c r="A125" i="12"/>
  <c r="F392" i="12"/>
  <c r="H392" i="12" s="1"/>
  <c r="A392" i="12"/>
  <c r="G312" i="12"/>
  <c r="A312" i="12"/>
  <c r="F301" i="12"/>
  <c r="H301" i="12" s="1"/>
  <c r="A301" i="12"/>
  <c r="F88" i="12"/>
  <c r="H88" i="12" s="1"/>
  <c r="A88" i="12"/>
  <c r="F70" i="12"/>
  <c r="H70" i="12" s="1"/>
  <c r="A70" i="12"/>
  <c r="F313" i="12"/>
  <c r="H313" i="12" s="1"/>
  <c r="A313" i="12"/>
  <c r="J141" i="12"/>
  <c r="K141" i="12" s="1"/>
  <c r="F148" i="12"/>
  <c r="H148" i="12" s="1"/>
  <c r="A148" i="12"/>
  <c r="F411" i="12"/>
  <c r="H411" i="12" s="1"/>
  <c r="A411" i="12"/>
  <c r="G408" i="12"/>
  <c r="A408" i="12"/>
  <c r="F96" i="12"/>
  <c r="H96" i="12" s="1"/>
  <c r="A96" i="12"/>
  <c r="F135" i="12"/>
  <c r="H135" i="12" s="1"/>
  <c r="A135" i="12"/>
  <c r="F404" i="12"/>
  <c r="H404" i="12" s="1"/>
  <c r="A404" i="12"/>
  <c r="F81" i="12"/>
  <c r="H81" i="12" s="1"/>
  <c r="A81" i="12"/>
  <c r="F318" i="12"/>
  <c r="H318" i="12" s="1"/>
  <c r="A318" i="12"/>
  <c r="F193" i="12"/>
  <c r="H193" i="12" s="1"/>
  <c r="A193" i="12"/>
  <c r="F309" i="12"/>
  <c r="H309" i="12" s="1"/>
  <c r="A309" i="12"/>
  <c r="F75" i="12"/>
  <c r="H75" i="12" s="1"/>
  <c r="A75" i="12"/>
  <c r="F212" i="12"/>
  <c r="H212" i="12" s="1"/>
  <c r="A212" i="12"/>
  <c r="G260" i="12"/>
  <c r="A260" i="12"/>
  <c r="G418" i="12"/>
  <c r="A418" i="12"/>
  <c r="G215" i="12"/>
  <c r="A215" i="12"/>
  <c r="F441" i="12"/>
  <c r="H441" i="12" s="1"/>
  <c r="A441" i="12"/>
  <c r="G146" i="12"/>
  <c r="A146" i="12"/>
  <c r="G173" i="12"/>
  <c r="A173" i="12"/>
  <c r="G182" i="12"/>
  <c r="A182" i="12"/>
  <c r="G443" i="12"/>
  <c r="A443" i="12"/>
  <c r="G177" i="12"/>
  <c r="A177" i="12"/>
  <c r="G372" i="12"/>
  <c r="A372" i="12"/>
  <c r="G347" i="12"/>
  <c r="A347" i="12"/>
  <c r="F219" i="12"/>
  <c r="H219" i="12" s="1"/>
  <c r="A219" i="12"/>
  <c r="G83" i="12"/>
  <c r="A83" i="12"/>
  <c r="F73" i="12"/>
  <c r="H73" i="12" s="1"/>
  <c r="A73" i="12"/>
  <c r="F327" i="12"/>
  <c r="H327" i="12" s="1"/>
  <c r="A327" i="12"/>
  <c r="F136" i="12"/>
  <c r="H136" i="12" s="1"/>
  <c r="A136" i="12"/>
  <c r="G329" i="12"/>
  <c r="A329" i="12"/>
  <c r="G77" i="12"/>
  <c r="A77" i="12"/>
  <c r="G277" i="12"/>
  <c r="A277" i="12"/>
  <c r="F311" i="12"/>
  <c r="H311" i="12" s="1"/>
  <c r="A311" i="12"/>
  <c r="F424" i="12"/>
  <c r="H424" i="12" s="1"/>
  <c r="A424" i="12"/>
  <c r="G137" i="12"/>
  <c r="A137" i="12"/>
  <c r="F439" i="12"/>
  <c r="H439" i="12" s="1"/>
  <c r="A439" i="12"/>
  <c r="F401" i="12"/>
  <c r="H401" i="12" s="1"/>
  <c r="A401" i="12"/>
  <c r="G375" i="12"/>
  <c r="A375" i="12"/>
  <c r="G167" i="12"/>
  <c r="A167" i="12"/>
  <c r="G296" i="12"/>
  <c r="A296" i="12"/>
  <c r="F266" i="12"/>
  <c r="H266" i="12" s="1"/>
  <c r="A266" i="12"/>
  <c r="F245" i="12"/>
  <c r="H245" i="12" s="1"/>
  <c r="A245" i="12"/>
  <c r="G308" i="12"/>
  <c r="A308" i="12"/>
  <c r="F161" i="12"/>
  <c r="H161" i="12" s="1"/>
  <c r="A161" i="12"/>
  <c r="G292" i="12"/>
  <c r="A292" i="12"/>
  <c r="F427" i="12"/>
  <c r="H427" i="12" s="1"/>
  <c r="A427" i="12"/>
  <c r="F250" i="12"/>
  <c r="H250" i="12" s="1"/>
  <c r="A250" i="12"/>
  <c r="F197" i="12"/>
  <c r="H197" i="12" s="1"/>
  <c r="A197" i="12"/>
  <c r="G342" i="12"/>
  <c r="A342" i="12"/>
  <c r="G397" i="12"/>
  <c r="A397" i="12"/>
  <c r="G149" i="12"/>
  <c r="A149" i="12"/>
  <c r="F60" i="12"/>
  <c r="H60" i="12" s="1"/>
  <c r="A60" i="12"/>
  <c r="F362" i="12"/>
  <c r="H362" i="12" s="1"/>
  <c r="A362" i="12"/>
  <c r="G93" i="12"/>
  <c r="A93" i="12"/>
  <c r="F278" i="12"/>
  <c r="H278" i="12" s="1"/>
  <c r="A278" i="12"/>
  <c r="F133" i="12"/>
  <c r="H133" i="12" s="1"/>
  <c r="A133" i="12"/>
  <c r="G337" i="12"/>
  <c r="A337" i="12"/>
  <c r="F216" i="12"/>
  <c r="H216" i="12" s="1"/>
  <c r="A216" i="12"/>
  <c r="G282" i="12"/>
  <c r="A282" i="12"/>
  <c r="F61" i="12"/>
  <c r="H61" i="12" s="1"/>
  <c r="A61" i="12"/>
  <c r="G389" i="12"/>
  <c r="A389" i="12"/>
  <c r="G269" i="12"/>
  <c r="A269" i="12"/>
  <c r="G242" i="12"/>
  <c r="A242" i="12"/>
  <c r="F448" i="12"/>
  <c r="H448" i="12" s="1"/>
  <c r="F241" i="12"/>
  <c r="H241" i="12" s="1"/>
  <c r="F242" i="12"/>
  <c r="H242" i="12" s="1"/>
  <c r="F269" i="12"/>
  <c r="H269" i="12" s="1"/>
  <c r="AF114" i="3"/>
  <c r="AF97" i="3"/>
  <c r="F105" i="9"/>
  <c r="AG157" i="11" s="1"/>
  <c r="G365" i="12"/>
  <c r="F151" i="12"/>
  <c r="H151" i="12" s="1"/>
  <c r="F369" i="12"/>
  <c r="H369" i="12" s="1"/>
  <c r="G434" i="12"/>
  <c r="F225" i="12"/>
  <c r="H225" i="12" s="1"/>
  <c r="G436" i="12"/>
  <c r="F103" i="12"/>
  <c r="H103" i="12" s="1"/>
  <c r="F138" i="12"/>
  <c r="H138" i="12" s="1"/>
  <c r="S377" i="12"/>
  <c r="S376" i="12"/>
  <c r="S384" i="12"/>
  <c r="S379" i="12"/>
  <c r="S385" i="12"/>
  <c r="S378" i="12"/>
  <c r="S380" i="12"/>
  <c r="S381" i="12"/>
  <c r="S382" i="12"/>
  <c r="S386" i="12"/>
  <c r="S387" i="12"/>
  <c r="G266" i="12"/>
  <c r="G395" i="12"/>
  <c r="F214" i="12"/>
  <c r="H214" i="12" s="1"/>
  <c r="F113" i="12"/>
  <c r="H113" i="12" s="1"/>
  <c r="F217" i="12"/>
  <c r="H217" i="12" s="1"/>
  <c r="F187" i="12"/>
  <c r="H187" i="12" s="1"/>
  <c r="G107" i="12"/>
  <c r="G406" i="12"/>
  <c r="G66" i="12"/>
  <c r="F83" i="12"/>
  <c r="H83" i="12" s="1"/>
  <c r="S398" i="12"/>
  <c r="S399" i="12"/>
  <c r="F185" i="12"/>
  <c r="H185" i="12" s="1"/>
  <c r="S412" i="12"/>
  <c r="G98" i="12"/>
  <c r="G258" i="12"/>
  <c r="G363" i="12"/>
  <c r="G84" i="12"/>
  <c r="F410" i="12"/>
  <c r="H410" i="12" s="1"/>
  <c r="F89" i="12"/>
  <c r="H89" i="12" s="1"/>
  <c r="G150" i="12"/>
  <c r="F308" i="12"/>
  <c r="H308" i="12" s="1"/>
  <c r="G73" i="12"/>
  <c r="F77" i="12"/>
  <c r="H77" i="12" s="1"/>
  <c r="F123" i="12"/>
  <c r="H123" i="12" s="1"/>
  <c r="F137" i="12"/>
  <c r="H137" i="12" s="1"/>
  <c r="G401" i="12"/>
  <c r="F154" i="12"/>
  <c r="H154" i="12" s="1"/>
  <c r="G136" i="12"/>
  <c r="G61" i="12"/>
  <c r="F282" i="12"/>
  <c r="H282" i="12" s="1"/>
  <c r="F389" i="12"/>
  <c r="H389" i="12" s="1"/>
  <c r="G424" i="12"/>
  <c r="G439" i="12"/>
  <c r="F329" i="12"/>
  <c r="H329" i="12" s="1"/>
  <c r="F330" i="12"/>
  <c r="H330" i="12" s="1"/>
  <c r="F182" i="12"/>
  <c r="H182" i="12" s="1"/>
  <c r="G245" i="12"/>
  <c r="F122" i="12"/>
  <c r="H122" i="12" s="1"/>
  <c r="G276" i="12"/>
  <c r="G311" i="12"/>
  <c r="G250" i="12"/>
  <c r="F377" i="12"/>
  <c r="H377" i="12" s="1"/>
  <c r="F443" i="12"/>
  <c r="H443" i="12" s="1"/>
  <c r="F372" i="12"/>
  <c r="H372" i="12" s="1"/>
  <c r="G353" i="12"/>
  <c r="G327" i="12"/>
  <c r="G161" i="12"/>
  <c r="F167" i="12"/>
  <c r="H167" i="12" s="1"/>
  <c r="F292" i="12"/>
  <c r="H292" i="12" s="1"/>
  <c r="G427" i="12"/>
  <c r="F132" i="12"/>
  <c r="H132" i="12" s="1"/>
  <c r="F296" i="12"/>
  <c r="H296" i="12" s="1"/>
  <c r="F347" i="12"/>
  <c r="H347" i="12" s="1"/>
  <c r="F277" i="12"/>
  <c r="H277" i="12" s="1"/>
  <c r="F397" i="12"/>
  <c r="H397" i="12" s="1"/>
  <c r="F72" i="12"/>
  <c r="H72" i="12" s="1"/>
  <c r="F375" i="12"/>
  <c r="H375" i="12" s="1"/>
  <c r="G197" i="12"/>
  <c r="G102" i="12"/>
  <c r="F177" i="12"/>
  <c r="H177" i="12" s="1"/>
  <c r="G219" i="12"/>
  <c r="F173" i="12"/>
  <c r="H173" i="12" s="1"/>
  <c r="F342" i="12"/>
  <c r="H342" i="12" s="1"/>
  <c r="G233" i="12"/>
  <c r="G333" i="12"/>
  <c r="F64" i="12"/>
  <c r="H64" i="12" s="1"/>
  <c r="G405" i="12"/>
  <c r="F356" i="12"/>
  <c r="H356" i="12" s="1"/>
  <c r="F244" i="12"/>
  <c r="H244" i="12" s="1"/>
  <c r="F382" i="12"/>
  <c r="H382" i="12" s="1"/>
  <c r="G328" i="12"/>
  <c r="F105" i="12"/>
  <c r="H105" i="12" s="1"/>
  <c r="G92" i="12"/>
  <c r="G130" i="12"/>
  <c r="F388" i="12"/>
  <c r="H388" i="12" s="1"/>
  <c r="G254" i="12"/>
  <c r="G76" i="12"/>
  <c r="G343" i="12"/>
  <c r="S422" i="12"/>
  <c r="F393" i="12"/>
  <c r="H393" i="12" s="1"/>
  <c r="F146" i="12"/>
  <c r="H146" i="12" s="1"/>
  <c r="G71" i="12"/>
  <c r="F229" i="12"/>
  <c r="H229" i="12" s="1"/>
  <c r="F186" i="12"/>
  <c r="H186" i="12" s="1"/>
  <c r="G104" i="12"/>
  <c r="F86" i="12"/>
  <c r="H86" i="12" s="1"/>
  <c r="S436" i="12"/>
  <c r="G313" i="12"/>
  <c r="G205" i="12"/>
  <c r="F93" i="12"/>
  <c r="H93" i="12" s="1"/>
  <c r="F164" i="12"/>
  <c r="H164" i="12" s="1"/>
  <c r="G216" i="12"/>
  <c r="G299" i="12"/>
  <c r="G121" i="12"/>
  <c r="G278" i="12"/>
  <c r="G293" i="12"/>
  <c r="F337" i="12"/>
  <c r="H337" i="12" s="1"/>
  <c r="F201" i="12"/>
  <c r="H201" i="12" s="1"/>
  <c r="G119" i="12"/>
  <c r="G82" i="12"/>
  <c r="F109" i="12"/>
  <c r="H109" i="12" s="1"/>
  <c r="G325" i="12"/>
  <c r="G235" i="12"/>
  <c r="G60" i="12"/>
  <c r="G376" i="12"/>
  <c r="F149" i="12"/>
  <c r="H149" i="12" s="1"/>
  <c r="G362" i="12"/>
  <c r="G301" i="12"/>
  <c r="G70" i="12"/>
  <c r="F65" i="12"/>
  <c r="H65" i="12" s="1"/>
  <c r="G133" i="12"/>
  <c r="G392" i="12"/>
  <c r="G438" i="12"/>
  <c r="G378" i="12"/>
  <c r="S404" i="12"/>
  <c r="S415" i="12"/>
  <c r="S408" i="12"/>
  <c r="S409" i="12"/>
  <c r="S416" i="12"/>
  <c r="S392" i="12"/>
  <c r="S407" i="12"/>
  <c r="S414" i="12"/>
  <c r="S395" i="12"/>
  <c r="S388" i="12"/>
  <c r="S389" i="12"/>
  <c r="S400" i="12"/>
  <c r="S402" i="12"/>
  <c r="S417" i="12"/>
  <c r="S403" i="12"/>
  <c r="S391" i="12"/>
  <c r="S410" i="12"/>
  <c r="S393" i="12"/>
  <c r="S411" i="12"/>
  <c r="S432" i="12"/>
  <c r="S390" i="12"/>
  <c r="S396" i="12"/>
  <c r="S394" i="12"/>
  <c r="S413" i="12"/>
  <c r="S397" i="12"/>
  <c r="S401" i="12"/>
  <c r="S405" i="12"/>
  <c r="S406" i="12"/>
  <c r="F228" i="12"/>
  <c r="H228" i="12" s="1"/>
  <c r="F79" i="12"/>
  <c r="H79" i="12" s="1"/>
  <c r="G169" i="12"/>
  <c r="F257" i="12"/>
  <c r="H257" i="12" s="1"/>
  <c r="F247" i="12"/>
  <c r="H247" i="12" s="1"/>
  <c r="G360" i="12"/>
  <c r="G152" i="12"/>
  <c r="F341" i="12"/>
  <c r="H341" i="12" s="1"/>
  <c r="F118" i="12"/>
  <c r="H118" i="12" s="1"/>
  <c r="F391" i="12"/>
  <c r="H391" i="12" s="1"/>
  <c r="F155" i="12"/>
  <c r="H155" i="12" s="1"/>
  <c r="F264" i="12"/>
  <c r="H264" i="12" s="1"/>
  <c r="F108" i="12"/>
  <c r="H108" i="12" s="1"/>
  <c r="G183" i="12"/>
  <c r="F249" i="12"/>
  <c r="H249" i="12" s="1"/>
  <c r="F280" i="12"/>
  <c r="H280" i="12" s="1"/>
  <c r="F286" i="12"/>
  <c r="H286" i="12" s="1"/>
  <c r="F251" i="12"/>
  <c r="H251" i="12" s="1"/>
  <c r="F63" i="12"/>
  <c r="H63" i="12" s="1"/>
  <c r="G373" i="12"/>
  <c r="G180" i="12"/>
  <c r="F99" i="12"/>
  <c r="H99" i="12" s="1"/>
  <c r="F279" i="12"/>
  <c r="H279" i="12" s="1"/>
  <c r="F203" i="12"/>
  <c r="H203" i="12" s="1"/>
  <c r="S419" i="12"/>
  <c r="S424" i="12"/>
  <c r="S425" i="12"/>
  <c r="S418" i="12"/>
  <c r="S421" i="12"/>
  <c r="S423" i="12"/>
  <c r="S420" i="12"/>
  <c r="G426" i="12"/>
  <c r="F283" i="12"/>
  <c r="H283" i="12" s="1"/>
  <c r="S447" i="12"/>
  <c r="F232" i="12"/>
  <c r="H232" i="12" s="1"/>
  <c r="F213" i="12"/>
  <c r="H213" i="12" s="1"/>
  <c r="F324" i="12"/>
  <c r="H324" i="12" s="1"/>
  <c r="F162" i="12"/>
  <c r="F298" i="12"/>
  <c r="H298" i="12" s="1"/>
  <c r="F126" i="12"/>
  <c r="H126" i="12" s="1"/>
  <c r="G246" i="12"/>
  <c r="G370" i="12"/>
  <c r="S441" i="12"/>
  <c r="S438" i="12"/>
  <c r="S428" i="12"/>
  <c r="S426" i="12"/>
  <c r="S430" i="12"/>
  <c r="G267" i="12"/>
  <c r="S435" i="12"/>
  <c r="S431" i="12"/>
  <c r="S440" i="12"/>
  <c r="S444" i="12"/>
  <c r="G120" i="12"/>
  <c r="G145" i="12"/>
  <c r="F305" i="12"/>
  <c r="H305" i="12" s="1"/>
  <c r="G407" i="12"/>
  <c r="F322" i="12"/>
  <c r="S443" i="12"/>
  <c r="G429" i="12"/>
  <c r="F202" i="12"/>
  <c r="H202" i="12" s="1"/>
  <c r="F184" i="12"/>
  <c r="H184" i="12" s="1"/>
  <c r="G88" i="12"/>
  <c r="S448" i="12"/>
  <c r="F312" i="12"/>
  <c r="H312" i="12" s="1"/>
  <c r="F125" i="12"/>
  <c r="H125" i="12" s="1"/>
  <c r="G196" i="12"/>
  <c r="S427" i="12"/>
  <c r="F418" i="12"/>
  <c r="H418" i="12" s="1"/>
  <c r="S445" i="12"/>
  <c r="S429" i="12"/>
  <c r="G411" i="12"/>
  <c r="G148" i="12"/>
  <c r="G425" i="12"/>
  <c r="G116" i="12"/>
  <c r="F170" i="12"/>
  <c r="H170" i="12" s="1"/>
  <c r="F315" i="12"/>
  <c r="H315" i="12" s="1"/>
  <c r="G346" i="12"/>
  <c r="F423" i="12"/>
  <c r="H423" i="12" s="1"/>
  <c r="G331" i="12"/>
  <c r="G248" i="12"/>
  <c r="G222" i="12"/>
  <c r="F281" i="12"/>
  <c r="H281" i="12" s="1"/>
  <c r="F97" i="12"/>
  <c r="H97" i="12" s="1"/>
  <c r="F420" i="12"/>
  <c r="H420" i="12" s="1"/>
  <c r="G200" i="12"/>
  <c r="F117" i="12"/>
  <c r="H117" i="12" s="1"/>
  <c r="F297" i="12"/>
  <c r="H297" i="12" s="1"/>
  <c r="G226" i="12"/>
  <c r="F263" i="12"/>
  <c r="H263" i="12" s="1"/>
  <c r="G199" i="12"/>
  <c r="G350" i="12"/>
  <c r="G237" i="12"/>
  <c r="G374" i="12"/>
  <c r="F139" i="12"/>
  <c r="H139" i="12" s="1"/>
  <c r="F210" i="12"/>
  <c r="H210" i="12" s="1"/>
  <c r="G295" i="12"/>
  <c r="F168" i="12"/>
  <c r="H168" i="12" s="1"/>
  <c r="G310" i="12"/>
  <c r="F306" i="12"/>
  <c r="H306" i="12" s="1"/>
  <c r="F414" i="12"/>
  <c r="F417" i="12"/>
  <c r="H417" i="12" s="1"/>
  <c r="F379" i="12"/>
  <c r="F100" i="12"/>
  <c r="H100" i="12" s="1"/>
  <c r="F433" i="12"/>
  <c r="H433" i="12" s="1"/>
  <c r="G433" i="12"/>
  <c r="S433" i="12"/>
  <c r="S442" i="12"/>
  <c r="S446" i="12"/>
  <c r="S437" i="12"/>
  <c r="S434" i="12"/>
  <c r="S439" i="12"/>
  <c r="G96" i="12"/>
  <c r="F215" i="12"/>
  <c r="H215" i="12" s="1"/>
  <c r="G193" i="12"/>
  <c r="G81" i="12"/>
  <c r="F260" i="12"/>
  <c r="H260" i="12" s="1"/>
  <c r="G309" i="12"/>
  <c r="F440" i="12"/>
  <c r="H440" i="12" s="1"/>
  <c r="G318" i="12"/>
  <c r="F408" i="12"/>
  <c r="H408" i="12" s="1"/>
  <c r="G135" i="12"/>
  <c r="G404" i="12"/>
  <c r="G75" i="12"/>
  <c r="G212" i="12"/>
  <c r="G441" i="12"/>
  <c r="F144" i="12"/>
  <c r="H144" i="12" s="1"/>
  <c r="G144" i="12"/>
  <c r="F90" i="12"/>
  <c r="H90" i="12" s="1"/>
  <c r="G90" i="12"/>
  <c r="G340" i="12"/>
  <c r="F204" i="12"/>
  <c r="H204" i="12" s="1"/>
  <c r="G204" i="12"/>
  <c r="G198" i="12"/>
  <c r="F198" i="12"/>
  <c r="H198" i="12" s="1"/>
  <c r="G317" i="12"/>
  <c r="F317" i="12"/>
  <c r="H317" i="12" s="1"/>
  <c r="F355" i="12"/>
  <c r="H355" i="12" s="1"/>
  <c r="G355" i="12"/>
  <c r="F291" i="12"/>
  <c r="H291" i="12" s="1"/>
  <c r="G291" i="12"/>
  <c r="G326" i="12"/>
  <c r="F326" i="12"/>
  <c r="H326" i="12" s="1"/>
  <c r="F445" i="12"/>
  <c r="H445" i="12" s="1"/>
  <c r="G445" i="12"/>
  <c r="G252" i="12"/>
  <c r="F252" i="12"/>
  <c r="H252" i="12" s="1"/>
  <c r="G85" i="12"/>
  <c r="F85" i="12"/>
  <c r="H85" i="12" s="1"/>
  <c r="G430" i="12"/>
  <c r="F430" i="12"/>
  <c r="H430" i="12" s="1"/>
  <c r="F208" i="12"/>
  <c r="H208" i="12" s="1"/>
  <c r="G208" i="12"/>
  <c r="G189" i="12"/>
  <c r="F189" i="12"/>
  <c r="H189" i="12" s="1"/>
  <c r="G190" i="12"/>
  <c r="F231" i="12"/>
  <c r="H231" i="12" s="1"/>
  <c r="G111" i="12"/>
  <c r="F111" i="12"/>
  <c r="H111" i="12" s="1"/>
  <c r="G227" i="12"/>
  <c r="F227" i="12"/>
  <c r="H227" i="12" s="1"/>
  <c r="F402" i="12"/>
  <c r="H402" i="12" s="1"/>
  <c r="G402" i="12"/>
  <c r="F335" i="12"/>
  <c r="H335" i="12" s="1"/>
  <c r="G335" i="12"/>
  <c r="G175" i="12"/>
  <c r="F175" i="12"/>
  <c r="H175" i="12" s="1"/>
  <c r="G209" i="12"/>
  <c r="F209" i="12"/>
  <c r="H209" i="12" s="1"/>
  <c r="G321" i="12"/>
  <c r="F321" i="12"/>
  <c r="H321" i="12" s="1"/>
  <c r="G442" i="12"/>
  <c r="F442" i="12"/>
  <c r="H442" i="12" s="1"/>
  <c r="G415" i="12"/>
  <c r="F415" i="12"/>
  <c r="H415" i="12" s="1"/>
  <c r="F165" i="12"/>
  <c r="H165" i="12" s="1"/>
  <c r="G165" i="12"/>
  <c r="F419" i="12"/>
  <c r="H419" i="12" s="1"/>
  <c r="G419" i="12"/>
  <c r="F421" i="12"/>
  <c r="H421" i="12" s="1"/>
  <c r="F87" i="12"/>
  <c r="H87" i="12" s="1"/>
  <c r="F181" i="12"/>
  <c r="H181" i="12" s="1"/>
  <c r="F95" i="12"/>
  <c r="H95" i="12" s="1"/>
  <c r="G287" i="12"/>
  <c r="F287" i="12"/>
  <c r="H287" i="12" s="1"/>
  <c r="F348" i="12"/>
  <c r="H348" i="12" s="1"/>
  <c r="G348" i="12"/>
  <c r="F400" i="12"/>
  <c r="H400" i="12" s="1"/>
  <c r="G400" i="12"/>
  <c r="F336" i="12"/>
  <c r="H336" i="12" s="1"/>
  <c r="G336" i="12"/>
  <c r="F332" i="12"/>
  <c r="H332" i="12" s="1"/>
  <c r="G332" i="12"/>
  <c r="F234" i="12"/>
  <c r="H234" i="12" s="1"/>
  <c r="G234" i="12"/>
  <c r="G386" i="12"/>
  <c r="F386" i="12"/>
  <c r="H386" i="12" s="1"/>
  <c r="F174" i="12"/>
  <c r="H174" i="12" s="1"/>
  <c r="G174" i="12"/>
  <c r="F272" i="12"/>
  <c r="H272" i="12" s="1"/>
  <c r="G272" i="12"/>
  <c r="AQ25" i="13"/>
  <c r="O87" i="8"/>
  <c r="O88" i="8"/>
  <c r="E86" i="8"/>
  <c r="E87" i="8" s="1"/>
  <c r="C87" i="8"/>
  <c r="C88" i="8" s="1"/>
  <c r="N13" i="8"/>
  <c r="I63" i="4" s="1"/>
  <c r="L13" i="8"/>
  <c r="G63" i="5" s="1"/>
  <c r="E63" i="4"/>
  <c r="F63" i="4" s="1"/>
  <c r="M13" i="8"/>
  <c r="H63" i="4" s="1"/>
  <c r="F119" i="5"/>
  <c r="G119" i="5" s="1"/>
  <c r="F69" i="14"/>
  <c r="G69" i="14" s="1"/>
  <c r="F68" i="14"/>
  <c r="G68" i="14" s="1"/>
  <c r="F118" i="5"/>
  <c r="G118" i="5" s="1"/>
  <c r="G129" i="14"/>
  <c r="G131" i="14"/>
  <c r="D120" i="11"/>
  <c r="C261" i="10" s="1"/>
  <c r="C107" i="8"/>
  <c r="C101" i="8"/>
  <c r="C102" i="8" s="1"/>
  <c r="F118" i="4"/>
  <c r="G118" i="4" s="1"/>
  <c r="J49" i="8"/>
  <c r="J50" i="8" s="1"/>
  <c r="D73" i="8"/>
  <c r="D74" i="8" s="1"/>
  <c r="D76" i="8" s="1"/>
  <c r="E84" i="2"/>
  <c r="F119" i="4"/>
  <c r="G119" i="4" s="1"/>
  <c r="G86" i="8"/>
  <c r="G87" i="8" s="1"/>
  <c r="T32" i="12" l="1"/>
  <c r="T35" i="12"/>
  <c r="T39" i="12"/>
  <c r="T43" i="12"/>
  <c r="T47" i="12"/>
  <c r="T51" i="12"/>
  <c r="T55" i="12"/>
  <c r="T59" i="12"/>
  <c r="T63" i="12"/>
  <c r="T67" i="12"/>
  <c r="T71" i="12"/>
  <c r="T75" i="12"/>
  <c r="T79" i="12"/>
  <c r="T83" i="12"/>
  <c r="T87" i="12"/>
  <c r="T91" i="12"/>
  <c r="T95" i="12"/>
  <c r="T99" i="12"/>
  <c r="T103" i="12"/>
  <c r="T107" i="12"/>
  <c r="T111" i="12"/>
  <c r="T115" i="12"/>
  <c r="T119" i="12"/>
  <c r="T123" i="12"/>
  <c r="T127" i="12"/>
  <c r="T131" i="12"/>
  <c r="T135" i="12"/>
  <c r="T139" i="12"/>
  <c r="T143" i="12"/>
  <c r="T147" i="12"/>
  <c r="T151" i="12"/>
  <c r="T155" i="12"/>
  <c r="T159" i="12"/>
  <c r="T163" i="12"/>
  <c r="T167" i="12"/>
  <c r="T171" i="12"/>
  <c r="T175" i="12"/>
  <c r="T179" i="12"/>
  <c r="T183" i="12"/>
  <c r="T187" i="12"/>
  <c r="T191" i="12"/>
  <c r="T195" i="12"/>
  <c r="T199" i="12"/>
  <c r="T203" i="12"/>
  <c r="T207" i="12"/>
  <c r="T211" i="12"/>
  <c r="T215" i="12"/>
  <c r="T219" i="12"/>
  <c r="T223" i="12"/>
  <c r="T227" i="12"/>
  <c r="T231" i="12"/>
  <c r="T235" i="12"/>
  <c r="T239" i="12"/>
  <c r="T243" i="12"/>
  <c r="T247" i="12"/>
  <c r="T251" i="12"/>
  <c r="T255" i="12"/>
  <c r="T259" i="12"/>
  <c r="T263" i="12"/>
  <c r="T267" i="12"/>
  <c r="T271" i="12"/>
  <c r="T275" i="12"/>
  <c r="T279" i="12"/>
  <c r="T283" i="12"/>
  <c r="T287" i="12"/>
  <c r="T291" i="12"/>
  <c r="T295" i="12"/>
  <c r="T299" i="12"/>
  <c r="T303" i="12"/>
  <c r="T307" i="12"/>
  <c r="T311" i="12"/>
  <c r="T315" i="12"/>
  <c r="T319" i="12"/>
  <c r="T323" i="12"/>
  <c r="T327" i="12"/>
  <c r="T331" i="12"/>
  <c r="T335" i="12"/>
  <c r="T339" i="12"/>
  <c r="T343" i="12"/>
  <c r="T347" i="12"/>
  <c r="T351" i="12"/>
  <c r="T355" i="12"/>
  <c r="T359" i="12"/>
  <c r="T363" i="12"/>
  <c r="T367" i="12"/>
  <c r="T36" i="12"/>
  <c r="T40" i="12"/>
  <c r="T44" i="12"/>
  <c r="T48" i="12"/>
  <c r="T52" i="12"/>
  <c r="T56" i="12"/>
  <c r="T60" i="12"/>
  <c r="T64" i="12"/>
  <c r="T68" i="12"/>
  <c r="T72" i="12"/>
  <c r="T76" i="12"/>
  <c r="T80" i="12"/>
  <c r="T84" i="12"/>
  <c r="T88" i="12"/>
  <c r="T92" i="12"/>
  <c r="T96" i="12"/>
  <c r="T100" i="12"/>
  <c r="T104" i="12"/>
  <c r="T108" i="12"/>
  <c r="T112" i="12"/>
  <c r="T116" i="12"/>
  <c r="T120" i="12"/>
  <c r="T124" i="12"/>
  <c r="T128" i="12"/>
  <c r="T132" i="12"/>
  <c r="T136" i="12"/>
  <c r="T140" i="12"/>
  <c r="T144" i="12"/>
  <c r="T148" i="12"/>
  <c r="T152" i="12"/>
  <c r="T156" i="12"/>
  <c r="T160" i="12"/>
  <c r="T164" i="12"/>
  <c r="T168" i="12"/>
  <c r="T172" i="12"/>
  <c r="T176" i="12"/>
  <c r="T180" i="12"/>
  <c r="T184" i="12"/>
  <c r="T188" i="12"/>
  <c r="T192" i="12"/>
  <c r="T196" i="12"/>
  <c r="T200" i="12"/>
  <c r="T204" i="12"/>
  <c r="T208" i="12"/>
  <c r="T212" i="12"/>
  <c r="T216" i="12"/>
  <c r="T220" i="12"/>
  <c r="T224" i="12"/>
  <c r="T228" i="12"/>
  <c r="T232" i="12"/>
  <c r="T236" i="12"/>
  <c r="T240" i="12"/>
  <c r="T244" i="12"/>
  <c r="T248" i="12"/>
  <c r="T252" i="12"/>
  <c r="T256" i="12"/>
  <c r="T260" i="12"/>
  <c r="T264" i="12"/>
  <c r="T268" i="12"/>
  <c r="T272" i="12"/>
  <c r="T276" i="12"/>
  <c r="T280" i="12"/>
  <c r="T284" i="12"/>
  <c r="T288" i="12"/>
  <c r="T292" i="12"/>
  <c r="T296" i="12"/>
  <c r="T300" i="12"/>
  <c r="T304" i="12"/>
  <c r="T308" i="12"/>
  <c r="T312" i="12"/>
  <c r="T316" i="12"/>
  <c r="T320" i="12"/>
  <c r="T324" i="12"/>
  <c r="T328" i="12"/>
  <c r="T332" i="12"/>
  <c r="T336" i="12"/>
  <c r="T33" i="12"/>
  <c r="T37" i="12"/>
  <c r="T41" i="12"/>
  <c r="T45" i="12"/>
  <c r="T49" i="12"/>
  <c r="T53" i="12"/>
  <c r="T57" i="12"/>
  <c r="T61" i="12"/>
  <c r="T65" i="12"/>
  <c r="T69" i="12"/>
  <c r="T73" i="12"/>
  <c r="T77" i="12"/>
  <c r="T81" i="12"/>
  <c r="T85" i="12"/>
  <c r="T89" i="12"/>
  <c r="T93" i="12"/>
  <c r="T97" i="12"/>
  <c r="T101" i="12"/>
  <c r="T105" i="12"/>
  <c r="T109" i="12"/>
  <c r="T113" i="12"/>
  <c r="T117" i="12"/>
  <c r="T121" i="12"/>
  <c r="T125" i="12"/>
  <c r="T129" i="12"/>
  <c r="T133" i="12"/>
  <c r="T137" i="12"/>
  <c r="T141" i="12"/>
  <c r="T145" i="12"/>
  <c r="T149" i="12"/>
  <c r="T153" i="12"/>
  <c r="T157" i="12"/>
  <c r="T161" i="12"/>
  <c r="T165" i="12"/>
  <c r="T169" i="12"/>
  <c r="T173" i="12"/>
  <c r="T177" i="12"/>
  <c r="T181" i="12"/>
  <c r="T185" i="12"/>
  <c r="T189" i="12"/>
  <c r="T193" i="12"/>
  <c r="T197" i="12"/>
  <c r="T201" i="12"/>
  <c r="T205" i="12"/>
  <c r="T209" i="12"/>
  <c r="T213" i="12"/>
  <c r="T217" i="12"/>
  <c r="T221" i="12"/>
  <c r="T225" i="12"/>
  <c r="T229" i="12"/>
  <c r="T233" i="12"/>
  <c r="T237" i="12"/>
  <c r="T241" i="12"/>
  <c r="T245" i="12"/>
  <c r="T249" i="12"/>
  <c r="T253" i="12"/>
  <c r="T257" i="12"/>
  <c r="T261" i="12"/>
  <c r="T265" i="12"/>
  <c r="T269" i="12"/>
  <c r="T273" i="12"/>
  <c r="T277" i="12"/>
  <c r="T281" i="12"/>
  <c r="T285" i="12"/>
  <c r="T289" i="12"/>
  <c r="T293" i="12"/>
  <c r="T297" i="12"/>
  <c r="T301" i="12"/>
  <c r="T305" i="12"/>
  <c r="T309" i="12"/>
  <c r="T313" i="12"/>
  <c r="T317" i="12"/>
  <c r="T321" i="12"/>
  <c r="T325" i="12"/>
  <c r="T329" i="12"/>
  <c r="T333" i="12"/>
  <c r="T337" i="12"/>
  <c r="T341" i="12"/>
  <c r="T345" i="12"/>
  <c r="T349" i="12"/>
  <c r="T353" i="12"/>
  <c r="T357" i="12"/>
  <c r="T361" i="12"/>
  <c r="T365" i="12"/>
  <c r="T369" i="12"/>
  <c r="T34" i="12"/>
  <c r="T50" i="12"/>
  <c r="T66" i="12"/>
  <c r="T82" i="12"/>
  <c r="T98" i="12"/>
  <c r="T114" i="12"/>
  <c r="T130" i="12"/>
  <c r="T146" i="12"/>
  <c r="T162" i="12"/>
  <c r="T178" i="12"/>
  <c r="T194" i="12"/>
  <c r="T210" i="12"/>
  <c r="T226" i="12"/>
  <c r="T242" i="12"/>
  <c r="T258" i="12"/>
  <c r="T274" i="12"/>
  <c r="T290" i="12"/>
  <c r="T306" i="12"/>
  <c r="T322" i="12"/>
  <c r="T338" i="12"/>
  <c r="T346" i="12"/>
  <c r="T354" i="12"/>
  <c r="T362" i="12"/>
  <c r="T370" i="12"/>
  <c r="T374" i="12"/>
  <c r="T378" i="12"/>
  <c r="T382" i="12"/>
  <c r="T386" i="12"/>
  <c r="T390" i="12"/>
  <c r="T394" i="12"/>
  <c r="T398" i="12"/>
  <c r="T402" i="12"/>
  <c r="T406" i="12"/>
  <c r="T410" i="12"/>
  <c r="T414" i="12"/>
  <c r="T418" i="12"/>
  <c r="T422" i="12"/>
  <c r="T426" i="12"/>
  <c r="T430" i="12"/>
  <c r="T434" i="12"/>
  <c r="T438" i="12"/>
  <c r="T442" i="12"/>
  <c r="T446" i="12"/>
  <c r="T78" i="12"/>
  <c r="T174" i="12"/>
  <c r="T206" i="12"/>
  <c r="T238" i="12"/>
  <c r="T270" i="12"/>
  <c r="T318" i="12"/>
  <c r="T344" i="12"/>
  <c r="T368" i="12"/>
  <c r="T381" i="12"/>
  <c r="T393" i="12"/>
  <c r="T405" i="12"/>
  <c r="T417" i="12"/>
  <c r="T429" i="12"/>
  <c r="T441" i="12"/>
  <c r="T38" i="12"/>
  <c r="T54" i="12"/>
  <c r="T70" i="12"/>
  <c r="T86" i="12"/>
  <c r="T102" i="12"/>
  <c r="T118" i="12"/>
  <c r="T134" i="12"/>
  <c r="T150" i="12"/>
  <c r="T166" i="12"/>
  <c r="T182" i="12"/>
  <c r="T198" i="12"/>
  <c r="T214" i="12"/>
  <c r="T230" i="12"/>
  <c r="T246" i="12"/>
  <c r="T262" i="12"/>
  <c r="T278" i="12"/>
  <c r="T294" i="12"/>
  <c r="T310" i="12"/>
  <c r="T326" i="12"/>
  <c r="T340" i="12"/>
  <c r="T348" i="12"/>
  <c r="T356" i="12"/>
  <c r="T364" i="12"/>
  <c r="T371" i="12"/>
  <c r="T375" i="12"/>
  <c r="T379" i="12"/>
  <c r="T383" i="12"/>
  <c r="T387" i="12"/>
  <c r="T391" i="12"/>
  <c r="T395" i="12"/>
  <c r="T399" i="12"/>
  <c r="T403" i="12"/>
  <c r="T407" i="12"/>
  <c r="T411" i="12"/>
  <c r="T415" i="12"/>
  <c r="T419" i="12"/>
  <c r="T423" i="12"/>
  <c r="T427" i="12"/>
  <c r="T431" i="12"/>
  <c r="T435" i="12"/>
  <c r="T439" i="12"/>
  <c r="T443" i="12"/>
  <c r="T447" i="12"/>
  <c r="T142" i="12"/>
  <c r="T302" i="12"/>
  <c r="T352" i="12"/>
  <c r="T373" i="12"/>
  <c r="T385" i="12"/>
  <c r="T397" i="12"/>
  <c r="T409" i="12"/>
  <c r="T421" i="12"/>
  <c r="T433" i="12"/>
  <c r="T445" i="12"/>
  <c r="T42" i="12"/>
  <c r="T58" i="12"/>
  <c r="T74" i="12"/>
  <c r="T90" i="12"/>
  <c r="T106" i="12"/>
  <c r="T122" i="12"/>
  <c r="T138" i="12"/>
  <c r="T154" i="12"/>
  <c r="T170" i="12"/>
  <c r="T186" i="12"/>
  <c r="T202" i="12"/>
  <c r="T218" i="12"/>
  <c r="T234" i="12"/>
  <c r="T250" i="12"/>
  <c r="T266" i="12"/>
  <c r="T282" i="12"/>
  <c r="T298" i="12"/>
  <c r="T314" i="12"/>
  <c r="T330" i="12"/>
  <c r="T342" i="12"/>
  <c r="T350" i="12"/>
  <c r="T358" i="12"/>
  <c r="T366" i="12"/>
  <c r="T372" i="12"/>
  <c r="T376" i="12"/>
  <c r="T380" i="12"/>
  <c r="T384" i="12"/>
  <c r="T388" i="12"/>
  <c r="T392" i="12"/>
  <c r="T396" i="12"/>
  <c r="T400" i="12"/>
  <c r="T404" i="12"/>
  <c r="T408" i="12"/>
  <c r="T412" i="12"/>
  <c r="T416" i="12"/>
  <c r="T420" i="12"/>
  <c r="T424" i="12"/>
  <c r="T428" i="12"/>
  <c r="T432" i="12"/>
  <c r="T436" i="12"/>
  <c r="T440" i="12"/>
  <c r="T444" i="12"/>
  <c r="T448" i="12"/>
  <c r="T46" i="12"/>
  <c r="T62" i="12"/>
  <c r="T94" i="12"/>
  <c r="T110" i="12"/>
  <c r="T126" i="12"/>
  <c r="T158" i="12"/>
  <c r="T190" i="12"/>
  <c r="T222" i="12"/>
  <c r="T254" i="12"/>
  <c r="T286" i="12"/>
  <c r="T334" i="12"/>
  <c r="T360" i="12"/>
  <c r="T377" i="12"/>
  <c r="T389" i="12"/>
  <c r="T401" i="12"/>
  <c r="T413" i="12"/>
  <c r="T425" i="12"/>
  <c r="T437" i="12"/>
  <c r="K33" i="10"/>
  <c r="K22" i="10"/>
  <c r="K16" i="10"/>
  <c r="K32" i="10"/>
  <c r="K30" i="10"/>
  <c r="K35" i="10"/>
  <c r="K24" i="10"/>
  <c r="K34" i="10"/>
  <c r="K23" i="10"/>
  <c r="J338" i="12"/>
  <c r="K338" i="12" s="1"/>
  <c r="J69" i="12"/>
  <c r="K69" i="12" s="1"/>
  <c r="J409" i="12"/>
  <c r="K409" i="12" s="1"/>
  <c r="G261" i="10"/>
  <c r="G293" i="10"/>
  <c r="G300" i="10"/>
  <c r="J446" i="12"/>
  <c r="K446" i="12" s="1"/>
  <c r="J290" i="12"/>
  <c r="K290" i="12" s="1"/>
  <c r="J206" i="12"/>
  <c r="K206" i="12" s="1"/>
  <c r="J265" i="12"/>
  <c r="K265" i="12" s="1"/>
  <c r="J67" i="12"/>
  <c r="K67" i="12" s="1"/>
  <c r="J262" i="12"/>
  <c r="K262" i="12" s="1"/>
  <c r="J192" i="12"/>
  <c r="K192" i="12" s="1"/>
  <c r="J112" i="12"/>
  <c r="K112" i="12" s="1"/>
  <c r="J381" i="12"/>
  <c r="K381" i="12" s="1"/>
  <c r="J349" i="12"/>
  <c r="K349" i="12" s="1"/>
  <c r="J396" i="12"/>
  <c r="K396" i="12" s="1"/>
  <c r="J261" i="12"/>
  <c r="K261" i="12" s="1"/>
  <c r="J163" i="12"/>
  <c r="K163" i="12" s="1"/>
  <c r="J399" i="12"/>
  <c r="K399" i="12" s="1"/>
  <c r="J300" i="12"/>
  <c r="K300" i="12" s="1"/>
  <c r="J223" i="12"/>
  <c r="K223" i="12" s="1"/>
  <c r="J339" i="12"/>
  <c r="K339" i="12" s="1"/>
  <c r="J447" i="12"/>
  <c r="K447" i="12" s="1"/>
  <c r="J131" i="12"/>
  <c r="K131" i="12" s="1"/>
  <c r="J323" i="12"/>
  <c r="K323" i="12" s="1"/>
  <c r="J143" i="12"/>
  <c r="K143" i="12" s="1"/>
  <c r="J178" i="12"/>
  <c r="K178" i="12" s="1"/>
  <c r="J224" i="12"/>
  <c r="K224" i="12" s="1"/>
  <c r="J354" i="12"/>
  <c r="K354" i="12" s="1"/>
  <c r="J422" i="12"/>
  <c r="K422" i="12" s="1"/>
  <c r="J284" i="12"/>
  <c r="K284" i="12" s="1"/>
  <c r="J171" i="12"/>
  <c r="K171" i="12" s="1"/>
  <c r="J127" i="12"/>
  <c r="K127" i="12" s="1"/>
  <c r="J129" i="12"/>
  <c r="K129" i="12" s="1"/>
  <c r="J243" i="12"/>
  <c r="K243" i="12" s="1"/>
  <c r="J413" i="12"/>
  <c r="K413" i="12" s="1"/>
  <c r="J239" i="12"/>
  <c r="K239" i="12" s="1"/>
  <c r="J253" i="12"/>
  <c r="K253" i="12" s="1"/>
  <c r="J156" i="12"/>
  <c r="K156" i="12" s="1"/>
  <c r="J238" i="12"/>
  <c r="K238" i="12" s="1"/>
  <c r="J236" i="12"/>
  <c r="K236" i="12" s="1"/>
  <c r="J444" i="12"/>
  <c r="K444" i="12" s="1"/>
  <c r="J366" i="12"/>
  <c r="K366" i="12" s="1"/>
  <c r="J106" i="12"/>
  <c r="K106" i="12" s="1"/>
  <c r="J196" i="12"/>
  <c r="K196" i="12" s="1"/>
  <c r="J274" i="12"/>
  <c r="K274" i="12" s="1"/>
  <c r="J256" i="12"/>
  <c r="K256" i="12" s="1"/>
  <c r="J294" i="12"/>
  <c r="K294" i="12" s="1"/>
  <c r="J91" i="12"/>
  <c r="K91" i="12" s="1"/>
  <c r="J207" i="12"/>
  <c r="K207" i="12" s="1"/>
  <c r="J98" i="12"/>
  <c r="K98" i="12" s="1"/>
  <c r="J387" i="12"/>
  <c r="K387" i="12" s="1"/>
  <c r="J428" i="12"/>
  <c r="K428" i="12" s="1"/>
  <c r="J114" i="12"/>
  <c r="K114" i="12" s="1"/>
  <c r="J101" i="12"/>
  <c r="K101" i="12" s="1"/>
  <c r="J289" i="12"/>
  <c r="K289" i="12" s="1"/>
  <c r="J157" i="12"/>
  <c r="K157" i="12" s="1"/>
  <c r="J371" i="12"/>
  <c r="K371" i="12" s="1"/>
  <c r="J267" i="12"/>
  <c r="K267" i="12" s="1"/>
  <c r="J426" i="12"/>
  <c r="K426" i="12" s="1"/>
  <c r="J115" i="12"/>
  <c r="K115" i="12" s="1"/>
  <c r="J320" i="12"/>
  <c r="K320" i="12" s="1"/>
  <c r="J94" i="12"/>
  <c r="K94" i="12" s="1"/>
  <c r="J82" i="12"/>
  <c r="K82" i="12" s="1"/>
  <c r="J80" i="12"/>
  <c r="K80" i="12" s="1"/>
  <c r="J301" i="12"/>
  <c r="K301" i="12" s="1"/>
  <c r="J334" i="12"/>
  <c r="K334" i="12" s="1"/>
  <c r="J221" i="12"/>
  <c r="K221" i="12" s="1"/>
  <c r="J102" i="12"/>
  <c r="K102" i="12" s="1"/>
  <c r="J358" i="12"/>
  <c r="K358" i="12" s="1"/>
  <c r="J250" i="12"/>
  <c r="K250" i="12" s="1"/>
  <c r="J73" i="12"/>
  <c r="K73" i="12" s="1"/>
  <c r="J266" i="12"/>
  <c r="K266" i="12" s="1"/>
  <c r="J404" i="12"/>
  <c r="K404" i="12" s="1"/>
  <c r="J411" i="12"/>
  <c r="K411" i="12" s="1"/>
  <c r="J205" i="12"/>
  <c r="K205" i="12" s="1"/>
  <c r="J259" i="12"/>
  <c r="K259" i="12" s="1"/>
  <c r="J211" i="12"/>
  <c r="K211" i="12" s="1"/>
  <c r="J276" i="12"/>
  <c r="K276" i="12" s="1"/>
  <c r="J136" i="12"/>
  <c r="K136" i="12" s="1"/>
  <c r="J309" i="12"/>
  <c r="K309" i="12" s="1"/>
  <c r="J212" i="12"/>
  <c r="K212" i="12" s="1"/>
  <c r="J58" i="12"/>
  <c r="K58" i="12" s="1"/>
  <c r="J401" i="12"/>
  <c r="K401" i="12" s="1"/>
  <c r="J432" i="12"/>
  <c r="K432" i="12" s="1"/>
  <c r="J190" i="12"/>
  <c r="K190" i="12" s="1"/>
  <c r="J96" i="12"/>
  <c r="K96" i="12" s="1"/>
  <c r="J425" i="12"/>
  <c r="K425" i="12" s="1"/>
  <c r="J307" i="12"/>
  <c r="K307" i="12" s="1"/>
  <c r="J416" i="12"/>
  <c r="K416" i="12" s="1"/>
  <c r="J390" i="12"/>
  <c r="K390" i="12" s="1"/>
  <c r="J219" i="12"/>
  <c r="K219" i="12" s="1"/>
  <c r="J434" i="12"/>
  <c r="K434" i="12" s="1"/>
  <c r="J394" i="12"/>
  <c r="K394" i="12" s="1"/>
  <c r="J437" i="12"/>
  <c r="K437" i="12" s="1"/>
  <c r="J220" i="12"/>
  <c r="K220" i="12" s="1"/>
  <c r="J319" i="12"/>
  <c r="K319" i="12" s="1"/>
  <c r="J303" i="12"/>
  <c r="K303" i="12" s="1"/>
  <c r="J273" i="12"/>
  <c r="K273" i="12" s="1"/>
  <c r="J138" i="12"/>
  <c r="K138" i="12" s="1"/>
  <c r="J340" i="12"/>
  <c r="K340" i="12" s="1"/>
  <c r="J124" i="12"/>
  <c r="K124" i="12" s="1"/>
  <c r="J172" i="12"/>
  <c r="K172" i="12" s="1"/>
  <c r="J142" i="12"/>
  <c r="K142" i="12" s="1"/>
  <c r="J380" i="12"/>
  <c r="K380" i="12" s="1"/>
  <c r="J199" i="12"/>
  <c r="K199" i="12" s="1"/>
  <c r="J438" i="12"/>
  <c r="K438" i="12" s="1"/>
  <c r="J405" i="12"/>
  <c r="K405" i="12" s="1"/>
  <c r="J374" i="12"/>
  <c r="K374" i="12" s="1"/>
  <c r="J195" i="12"/>
  <c r="K195" i="12" s="1"/>
  <c r="J150" i="12"/>
  <c r="K150" i="12" s="1"/>
  <c r="J225" i="12"/>
  <c r="K225" i="12" s="1"/>
  <c r="J293" i="12"/>
  <c r="K293" i="12" s="1"/>
  <c r="J316" i="12"/>
  <c r="K316" i="12" s="1"/>
  <c r="J191" i="12"/>
  <c r="K191" i="12" s="1"/>
  <c r="J412" i="12"/>
  <c r="K412" i="12" s="1"/>
  <c r="J364" i="12"/>
  <c r="K364" i="12" s="1"/>
  <c r="J158" i="12"/>
  <c r="K158" i="12" s="1"/>
  <c r="J310" i="12"/>
  <c r="K310" i="12" s="1"/>
  <c r="J248" i="12"/>
  <c r="K248" i="12" s="1"/>
  <c r="J246" i="12"/>
  <c r="K246" i="12" s="1"/>
  <c r="J299" i="12"/>
  <c r="K299" i="12" s="1"/>
  <c r="J254" i="12"/>
  <c r="K254" i="12" s="1"/>
  <c r="J92" i="12"/>
  <c r="K92" i="12" s="1"/>
  <c r="S459" i="12"/>
  <c r="T459" i="12" s="1"/>
  <c r="S460" i="12"/>
  <c r="T460" i="12" s="1"/>
  <c r="S467" i="12"/>
  <c r="T467" i="12" s="1"/>
  <c r="S454" i="12"/>
  <c r="T454" i="12" s="1"/>
  <c r="S455" i="12"/>
  <c r="T455" i="12" s="1"/>
  <c r="S466" i="12"/>
  <c r="T466" i="12" s="1"/>
  <c r="S453" i="12"/>
  <c r="T453" i="12" s="1"/>
  <c r="S456" i="12"/>
  <c r="T456" i="12" s="1"/>
  <c r="S451" i="12"/>
  <c r="T451" i="12" s="1"/>
  <c r="S449" i="12"/>
  <c r="T449" i="12" s="1"/>
  <c r="J119" i="12"/>
  <c r="K119" i="12" s="1"/>
  <c r="J328" i="12"/>
  <c r="K328" i="12" s="1"/>
  <c r="J333" i="12"/>
  <c r="K333" i="12" s="1"/>
  <c r="J363" i="12"/>
  <c r="K363" i="12" s="1"/>
  <c r="J436" i="12"/>
  <c r="K436" i="12" s="1"/>
  <c r="S468" i="12"/>
  <c r="T468" i="12" s="1"/>
  <c r="S464" i="12"/>
  <c r="T464" i="12" s="1"/>
  <c r="S450" i="12"/>
  <c r="T450" i="12" s="1"/>
  <c r="S458" i="12"/>
  <c r="T458" i="12" s="1"/>
  <c r="J346" i="12"/>
  <c r="K346" i="12" s="1"/>
  <c r="J145" i="12"/>
  <c r="K145" i="12" s="1"/>
  <c r="J121" i="12"/>
  <c r="K121" i="12" s="1"/>
  <c r="J76" i="12"/>
  <c r="K76" i="12" s="1"/>
  <c r="J130" i="12"/>
  <c r="K130" i="12" s="1"/>
  <c r="J233" i="12"/>
  <c r="K233" i="12" s="1"/>
  <c r="S461" i="12"/>
  <c r="T461" i="12" s="1"/>
  <c r="S462" i="12"/>
  <c r="T462" i="12" s="1"/>
  <c r="S452" i="12"/>
  <c r="T452" i="12" s="1"/>
  <c r="S457" i="12"/>
  <c r="T457" i="12" s="1"/>
  <c r="S463" i="12"/>
  <c r="T463" i="12" s="1"/>
  <c r="S465" i="12"/>
  <c r="T465" i="12" s="1"/>
  <c r="J353" i="12"/>
  <c r="K353" i="12" s="1"/>
  <c r="J245" i="12"/>
  <c r="K245" i="12" s="1"/>
  <c r="J439" i="12"/>
  <c r="K439" i="12" s="1"/>
  <c r="J84" i="12"/>
  <c r="K84" i="12" s="1"/>
  <c r="J258" i="12"/>
  <c r="K258" i="12" s="1"/>
  <c r="J107" i="12"/>
  <c r="K107" i="12" s="1"/>
  <c r="J441" i="12"/>
  <c r="K441" i="12" s="1"/>
  <c r="J407" i="12"/>
  <c r="K407" i="12" s="1"/>
  <c r="J183" i="12"/>
  <c r="K183" i="12" s="1"/>
  <c r="J360" i="12"/>
  <c r="K360" i="12" s="1"/>
  <c r="J392" i="12"/>
  <c r="K392" i="12" s="1"/>
  <c r="J362" i="12"/>
  <c r="K362" i="12" s="1"/>
  <c r="J311" i="12"/>
  <c r="K311" i="12" s="1"/>
  <c r="J318" i="12"/>
  <c r="K318" i="12" s="1"/>
  <c r="J70" i="12"/>
  <c r="K70" i="12" s="1"/>
  <c r="J278" i="12"/>
  <c r="K278" i="12" s="1"/>
  <c r="J295" i="12"/>
  <c r="K295" i="12" s="1"/>
  <c r="J237" i="12"/>
  <c r="K237" i="12" s="1"/>
  <c r="J226" i="12"/>
  <c r="K226" i="12" s="1"/>
  <c r="J331" i="12"/>
  <c r="K331" i="12" s="1"/>
  <c r="J429" i="12"/>
  <c r="K429" i="12" s="1"/>
  <c r="J235" i="12"/>
  <c r="K235" i="12" s="1"/>
  <c r="J350" i="12"/>
  <c r="K350" i="12" s="1"/>
  <c r="J222" i="12"/>
  <c r="K222" i="12" s="1"/>
  <c r="J116" i="12"/>
  <c r="K116" i="12" s="1"/>
  <c r="J120" i="12"/>
  <c r="K120" i="12" s="1"/>
  <c r="J370" i="12"/>
  <c r="K370" i="12" s="1"/>
  <c r="J378" i="12"/>
  <c r="K378" i="12" s="1"/>
  <c r="J376" i="12"/>
  <c r="K376" i="12" s="1"/>
  <c r="J325" i="12"/>
  <c r="K325" i="12" s="1"/>
  <c r="J406" i="12"/>
  <c r="K406" i="12" s="1"/>
  <c r="J135" i="12"/>
  <c r="K135" i="12" s="1"/>
  <c r="J81" i="12"/>
  <c r="K81" i="12" s="1"/>
  <c r="J180" i="12"/>
  <c r="K180" i="12" s="1"/>
  <c r="J60" i="12"/>
  <c r="K60" i="12" s="1"/>
  <c r="J193" i="12"/>
  <c r="K193" i="12" s="1"/>
  <c r="J200" i="12"/>
  <c r="K200" i="12" s="1"/>
  <c r="J133" i="12"/>
  <c r="K133" i="12" s="1"/>
  <c r="J216" i="12"/>
  <c r="K216" i="12" s="1"/>
  <c r="J313" i="12"/>
  <c r="K313" i="12" s="1"/>
  <c r="J104" i="12"/>
  <c r="K104" i="12" s="1"/>
  <c r="J427" i="12"/>
  <c r="K427" i="12" s="1"/>
  <c r="J161" i="12"/>
  <c r="K161" i="12" s="1"/>
  <c r="J424" i="12"/>
  <c r="K424" i="12" s="1"/>
  <c r="J66" i="12"/>
  <c r="K66" i="12" s="1"/>
  <c r="J75" i="12"/>
  <c r="K75" i="12" s="1"/>
  <c r="J148" i="12"/>
  <c r="K148" i="12" s="1"/>
  <c r="J88" i="12"/>
  <c r="K88" i="12" s="1"/>
  <c r="J169" i="12"/>
  <c r="K169" i="12" s="1"/>
  <c r="J343" i="12"/>
  <c r="K343" i="12" s="1"/>
  <c r="J197" i="12"/>
  <c r="K197" i="12" s="1"/>
  <c r="J327" i="12"/>
  <c r="K327" i="12" s="1"/>
  <c r="J61" i="12"/>
  <c r="K61" i="12" s="1"/>
  <c r="J395" i="12"/>
  <c r="K395" i="12" s="1"/>
  <c r="J373" i="12"/>
  <c r="K373" i="12" s="1"/>
  <c r="J71" i="12"/>
  <c r="K71" i="12" s="1"/>
  <c r="J365" i="12"/>
  <c r="K365" i="12" s="1"/>
  <c r="J152" i="12"/>
  <c r="K152" i="12" s="1"/>
  <c r="J241" i="12"/>
  <c r="K241" i="12" s="1"/>
  <c r="J448" i="12"/>
  <c r="K448" i="12" s="1"/>
  <c r="J164" i="12"/>
  <c r="K164" i="12" s="1"/>
  <c r="J292" i="12"/>
  <c r="K292" i="12" s="1"/>
  <c r="J269" i="12"/>
  <c r="K269" i="12" s="1"/>
  <c r="J151" i="12"/>
  <c r="K151" i="12" s="1"/>
  <c r="J242" i="12"/>
  <c r="K242" i="12" s="1"/>
  <c r="F106" i="9"/>
  <c r="AG156" i="11" s="1"/>
  <c r="J123" i="12"/>
  <c r="K123" i="12" s="1"/>
  <c r="J369" i="12"/>
  <c r="K369" i="12" s="1"/>
  <c r="J214" i="12"/>
  <c r="K214" i="12" s="1"/>
  <c r="J308" i="12"/>
  <c r="K308" i="12" s="1"/>
  <c r="J137" i="12"/>
  <c r="K137" i="12" s="1"/>
  <c r="J185" i="12"/>
  <c r="K185" i="12" s="1"/>
  <c r="J103" i="12"/>
  <c r="K103" i="12" s="1"/>
  <c r="J77" i="12"/>
  <c r="K77" i="12" s="1"/>
  <c r="J113" i="12"/>
  <c r="K113" i="12" s="1"/>
  <c r="J83" i="12"/>
  <c r="K83" i="12" s="1"/>
  <c r="J217" i="12"/>
  <c r="K217" i="12" s="1"/>
  <c r="J187" i="12"/>
  <c r="K187" i="12" s="1"/>
  <c r="J397" i="12"/>
  <c r="K397" i="12" s="1"/>
  <c r="J410" i="12"/>
  <c r="K410" i="12" s="1"/>
  <c r="J122" i="12"/>
  <c r="K122" i="12" s="1"/>
  <c r="J89" i="12"/>
  <c r="K89" i="12" s="1"/>
  <c r="J330" i="12"/>
  <c r="K330" i="12" s="1"/>
  <c r="J443" i="12"/>
  <c r="K443" i="12" s="1"/>
  <c r="J279" i="12"/>
  <c r="K279" i="12" s="1"/>
  <c r="J244" i="12"/>
  <c r="K244" i="12" s="1"/>
  <c r="J105" i="12"/>
  <c r="K105" i="12" s="1"/>
  <c r="J342" i="12"/>
  <c r="K342" i="12" s="1"/>
  <c r="J182" i="12"/>
  <c r="K182" i="12" s="1"/>
  <c r="J154" i="12"/>
  <c r="K154" i="12" s="1"/>
  <c r="J282" i="12"/>
  <c r="K282" i="12" s="1"/>
  <c r="J167" i="12"/>
  <c r="K167" i="12" s="1"/>
  <c r="J210" i="12"/>
  <c r="K210" i="12" s="1"/>
  <c r="J177" i="12"/>
  <c r="K177" i="12" s="1"/>
  <c r="J389" i="12"/>
  <c r="K389" i="12" s="1"/>
  <c r="J202" i="12"/>
  <c r="K202" i="12" s="1"/>
  <c r="J231" i="12"/>
  <c r="K231" i="12" s="1"/>
  <c r="J228" i="12"/>
  <c r="K228" i="12" s="1"/>
  <c r="J286" i="12"/>
  <c r="K286" i="12" s="1"/>
  <c r="J297" i="12"/>
  <c r="K297" i="12" s="1"/>
  <c r="J203" i="12"/>
  <c r="K203" i="12" s="1"/>
  <c r="J170" i="12"/>
  <c r="K170" i="12" s="1"/>
  <c r="J391" i="12"/>
  <c r="K391" i="12" s="1"/>
  <c r="J281" i="12"/>
  <c r="K281" i="12" s="1"/>
  <c r="J126" i="12"/>
  <c r="K126" i="12" s="1"/>
  <c r="J213" i="12"/>
  <c r="K213" i="12" s="1"/>
  <c r="J247" i="12"/>
  <c r="K247" i="12" s="1"/>
  <c r="J146" i="12"/>
  <c r="K146" i="12" s="1"/>
  <c r="J277" i="12"/>
  <c r="K277" i="12" s="1"/>
  <c r="J377" i="12"/>
  <c r="K377" i="12" s="1"/>
  <c r="J329" i="12"/>
  <c r="K329" i="12" s="1"/>
  <c r="J388" i="12"/>
  <c r="K388" i="12" s="1"/>
  <c r="J173" i="12"/>
  <c r="K173" i="12" s="1"/>
  <c r="J186" i="12"/>
  <c r="K186" i="12" s="1"/>
  <c r="J356" i="12"/>
  <c r="K356" i="12" s="1"/>
  <c r="J393" i="12"/>
  <c r="K393" i="12" s="1"/>
  <c r="J347" i="12"/>
  <c r="K347" i="12" s="1"/>
  <c r="J375" i="12"/>
  <c r="K375" i="12" s="1"/>
  <c r="J64" i="12"/>
  <c r="K64" i="12" s="1"/>
  <c r="J72" i="12"/>
  <c r="K72" i="12" s="1"/>
  <c r="J372" i="12"/>
  <c r="K372" i="12" s="1"/>
  <c r="J296" i="12"/>
  <c r="K296" i="12" s="1"/>
  <c r="J86" i="12"/>
  <c r="K86" i="12" s="1"/>
  <c r="J229" i="12"/>
  <c r="K229" i="12" s="1"/>
  <c r="J132" i="12"/>
  <c r="K132" i="12" s="1"/>
  <c r="J382" i="12"/>
  <c r="K382" i="12" s="1"/>
  <c r="J139" i="12"/>
  <c r="K139" i="12" s="1"/>
  <c r="J305" i="12"/>
  <c r="K305" i="12" s="1"/>
  <c r="J420" i="12"/>
  <c r="K420" i="12" s="1"/>
  <c r="J260" i="12"/>
  <c r="K260" i="12" s="1"/>
  <c r="J423" i="12"/>
  <c r="K423" i="12" s="1"/>
  <c r="J251" i="12"/>
  <c r="K251" i="12" s="1"/>
  <c r="J79" i="12"/>
  <c r="K79" i="12" s="1"/>
  <c r="J312" i="12"/>
  <c r="K312" i="12" s="1"/>
  <c r="J283" i="12"/>
  <c r="K283" i="12" s="1"/>
  <c r="J109" i="12"/>
  <c r="K109" i="12" s="1"/>
  <c r="J324" i="12"/>
  <c r="K324" i="12" s="1"/>
  <c r="J315" i="12"/>
  <c r="K315" i="12" s="1"/>
  <c r="J418" i="12"/>
  <c r="K418" i="12" s="1"/>
  <c r="J99" i="12"/>
  <c r="K99" i="12" s="1"/>
  <c r="J337" i="12"/>
  <c r="K337" i="12" s="1"/>
  <c r="J249" i="12"/>
  <c r="K249" i="12" s="1"/>
  <c r="J155" i="12"/>
  <c r="K155" i="12" s="1"/>
  <c r="J280" i="12"/>
  <c r="K280" i="12" s="1"/>
  <c r="J118" i="12"/>
  <c r="K118" i="12" s="1"/>
  <c r="J417" i="12"/>
  <c r="K417" i="12" s="1"/>
  <c r="J149" i="12"/>
  <c r="K149" i="12" s="1"/>
  <c r="J95" i="12"/>
  <c r="K95" i="12" s="1"/>
  <c r="J440" i="12"/>
  <c r="K440" i="12" s="1"/>
  <c r="J93" i="12"/>
  <c r="K93" i="12" s="1"/>
  <c r="J65" i="12"/>
  <c r="K65" i="12" s="1"/>
  <c r="J184" i="12"/>
  <c r="K184" i="12" s="1"/>
  <c r="J100" i="12"/>
  <c r="K100" i="12" s="1"/>
  <c r="J264" i="12"/>
  <c r="K264" i="12" s="1"/>
  <c r="J117" i="12"/>
  <c r="K117" i="12" s="1"/>
  <c r="J201" i="12"/>
  <c r="K201" i="12" s="1"/>
  <c r="J63" i="12"/>
  <c r="K63" i="12" s="1"/>
  <c r="J181" i="12"/>
  <c r="K181" i="12" s="1"/>
  <c r="J341" i="12"/>
  <c r="K341" i="12" s="1"/>
  <c r="J306" i="12"/>
  <c r="K306" i="12" s="1"/>
  <c r="J108" i="12"/>
  <c r="K108" i="12" s="1"/>
  <c r="J298" i="12"/>
  <c r="K298" i="12" s="1"/>
  <c r="J257" i="12"/>
  <c r="K257" i="12" s="1"/>
  <c r="J232" i="12"/>
  <c r="K232" i="12" s="1"/>
  <c r="H322" i="12"/>
  <c r="J322" i="12"/>
  <c r="K322" i="12" s="1"/>
  <c r="H162" i="12"/>
  <c r="J162" i="12"/>
  <c r="K162" i="12" s="1"/>
  <c r="J263" i="12"/>
  <c r="K263" i="12" s="1"/>
  <c r="J87" i="12"/>
  <c r="K87" i="12" s="1"/>
  <c r="J408" i="12"/>
  <c r="K408" i="12" s="1"/>
  <c r="J97" i="12"/>
  <c r="K97" i="12" s="1"/>
  <c r="J125" i="12"/>
  <c r="K125" i="12" s="1"/>
  <c r="J168" i="12"/>
  <c r="K168" i="12" s="1"/>
  <c r="J421" i="12"/>
  <c r="K421" i="12" s="1"/>
  <c r="H379" i="12"/>
  <c r="J379" i="12"/>
  <c r="K379" i="12" s="1"/>
  <c r="H414" i="12"/>
  <c r="J414" i="12"/>
  <c r="K414" i="12" s="1"/>
  <c r="J433" i="12"/>
  <c r="K433" i="12" s="1"/>
  <c r="J215" i="12"/>
  <c r="K215" i="12" s="1"/>
  <c r="O89" i="8"/>
  <c r="O85" i="8" s="1"/>
  <c r="E108" i="8" s="1"/>
  <c r="O84" i="8"/>
  <c r="E107" i="8" s="1"/>
  <c r="O86" i="8"/>
  <c r="O82" i="8" s="1"/>
  <c r="E105" i="8" s="1"/>
  <c r="E109" i="8" s="1"/>
  <c r="O83" i="8"/>
  <c r="E106" i="8" s="1"/>
  <c r="J419" i="12"/>
  <c r="K419" i="12" s="1"/>
  <c r="J402" i="12"/>
  <c r="K402" i="12" s="1"/>
  <c r="J355" i="12"/>
  <c r="K355" i="12" s="1"/>
  <c r="J90" i="12"/>
  <c r="K90" i="12" s="1"/>
  <c r="J386" i="12"/>
  <c r="K386" i="12" s="1"/>
  <c r="J287" i="12"/>
  <c r="K287" i="12" s="1"/>
  <c r="J165" i="12"/>
  <c r="K165" i="12" s="1"/>
  <c r="J335" i="12"/>
  <c r="K335" i="12" s="1"/>
  <c r="J208" i="12"/>
  <c r="K208" i="12" s="1"/>
  <c r="J445" i="12"/>
  <c r="K445" i="12" s="1"/>
  <c r="J291" i="12"/>
  <c r="K291" i="12" s="1"/>
  <c r="J204" i="12"/>
  <c r="K204" i="12" s="1"/>
  <c r="J144" i="12"/>
  <c r="K144" i="12" s="1"/>
  <c r="J272" i="12"/>
  <c r="K272" i="12" s="1"/>
  <c r="J332" i="12"/>
  <c r="K332" i="12" s="1"/>
  <c r="J400" i="12"/>
  <c r="K400" i="12" s="1"/>
  <c r="J415" i="12"/>
  <c r="K415" i="12" s="1"/>
  <c r="J321" i="12"/>
  <c r="K321" i="12" s="1"/>
  <c r="J175" i="12"/>
  <c r="K175" i="12" s="1"/>
  <c r="J111" i="12"/>
  <c r="K111" i="12" s="1"/>
  <c r="J189" i="12"/>
  <c r="K189" i="12" s="1"/>
  <c r="J430" i="12"/>
  <c r="K430" i="12" s="1"/>
  <c r="J252" i="12"/>
  <c r="K252" i="12" s="1"/>
  <c r="J326" i="12"/>
  <c r="K326" i="12" s="1"/>
  <c r="J198" i="12"/>
  <c r="K198" i="12" s="1"/>
  <c r="J174" i="12"/>
  <c r="K174" i="12" s="1"/>
  <c r="J234" i="12"/>
  <c r="K234" i="12" s="1"/>
  <c r="J336" i="12"/>
  <c r="K336" i="12" s="1"/>
  <c r="J348" i="12"/>
  <c r="K348" i="12" s="1"/>
  <c r="J442" i="12"/>
  <c r="K442" i="12" s="1"/>
  <c r="J209" i="12"/>
  <c r="K209" i="12" s="1"/>
  <c r="J227" i="12"/>
  <c r="K227" i="12" s="1"/>
  <c r="J85" i="12"/>
  <c r="K85" i="12" s="1"/>
  <c r="J317" i="12"/>
  <c r="K317" i="12" s="1"/>
  <c r="G127" i="14"/>
  <c r="G63" i="4"/>
  <c r="H63" i="5"/>
  <c r="I63" i="5"/>
  <c r="L143" i="11"/>
  <c r="B76" i="5"/>
  <c r="F137" i="11"/>
  <c r="M50" i="8"/>
  <c r="J45" i="8" s="1"/>
  <c r="J46" i="8" s="1"/>
  <c r="J47" i="8" s="1"/>
  <c r="J48" i="8" s="1"/>
  <c r="Q15" i="8"/>
  <c r="I15" i="8" s="1"/>
  <c r="G73" i="8"/>
  <c r="G74" i="8" s="1"/>
  <c r="G72" i="8"/>
  <c r="C108" i="8"/>
  <c r="C114" i="8" s="1"/>
  <c r="C120" i="8" s="1"/>
  <c r="C113" i="8"/>
  <c r="C119" i="8" s="1"/>
  <c r="D83" i="11"/>
  <c r="P21" i="8"/>
  <c r="E70" i="2"/>
  <c r="F70" i="2" s="1"/>
  <c r="E69" i="2"/>
  <c r="F69" i="2" s="1"/>
  <c r="D69" i="2"/>
  <c r="D70" i="2"/>
  <c r="B76" i="4"/>
  <c r="E20" i="8" l="1"/>
  <c r="H20" i="8" s="1"/>
  <c r="E19" i="8"/>
  <c r="D19" i="8" s="1"/>
  <c r="H19" i="8" s="1"/>
  <c r="I19" i="8" s="1"/>
  <c r="E21" i="8"/>
  <c r="H21" i="8" s="1"/>
  <c r="I21" i="8" s="1"/>
  <c r="C300" i="10"/>
  <c r="D300" i="10" s="1"/>
  <c r="C313" i="10"/>
  <c r="C310" i="10" s="1"/>
  <c r="F138" i="11"/>
  <c r="F139" i="11" s="1"/>
  <c r="G75" i="8"/>
  <c r="G76" i="8"/>
  <c r="I38" i="6"/>
  <c r="I38" i="7"/>
  <c r="L15" i="8"/>
  <c r="M86" i="8"/>
  <c r="M82" i="8" s="1"/>
  <c r="E18" i="8"/>
  <c r="K21" i="8" l="1"/>
  <c r="N21" i="8" s="1"/>
  <c r="L21" i="8"/>
  <c r="H18" i="8"/>
  <c r="K19" i="8"/>
  <c r="N19" i="8" s="1"/>
  <c r="L19" i="8"/>
  <c r="M96" i="8"/>
  <c r="M115" i="8" s="1"/>
  <c r="M87" i="8"/>
  <c r="I20" i="8"/>
  <c r="L20" i="8" s="1"/>
  <c r="K20" i="8"/>
  <c r="N20" i="8" s="1"/>
  <c r="I18" i="8" l="1"/>
  <c r="L18" i="8" s="1"/>
  <c r="H22" i="8"/>
  <c r="H26" i="8" s="1"/>
  <c r="K18" i="8"/>
  <c r="K22" i="8" s="1"/>
  <c r="M97" i="8"/>
  <c r="M99" i="8"/>
  <c r="M112" i="8" s="1"/>
  <c r="M83" i="8"/>
  <c r="M88" i="8" s="1"/>
  <c r="M84" i="8" s="1"/>
  <c r="M109" i="8"/>
  <c r="M98" i="8"/>
  <c r="M111" i="8" s="1"/>
  <c r="N18" i="8" l="1"/>
  <c r="I22" i="8"/>
  <c r="L22" i="8" s="1"/>
  <c r="C84" i="5" s="1"/>
  <c r="C73" i="5" s="1"/>
  <c r="F117" i="5" s="1"/>
  <c r="M110" i="8"/>
  <c r="M116" i="8"/>
  <c r="N22" i="8"/>
  <c r="C86" i="5" s="1"/>
  <c r="K26" i="8"/>
  <c r="I26" i="8" l="1"/>
  <c r="C84" i="4"/>
  <c r="C73" i="4" s="1"/>
  <c r="F67" i="14" s="1"/>
  <c r="L26" i="8"/>
  <c r="C86" i="4"/>
  <c r="N26" i="8"/>
  <c r="F117" i="4" l="1"/>
  <c r="W227" i="11" l="1"/>
  <c r="W233" i="11"/>
  <c r="U95" i="3" l="1"/>
  <c r="P97" i="8"/>
  <c r="Q32" i="8"/>
  <c r="F114" i="14" s="1"/>
  <c r="H114" i="14" s="1"/>
  <c r="P96" i="8"/>
  <c r="N96" i="8" s="1"/>
  <c r="G169" i="2"/>
  <c r="C179" i="2"/>
  <c r="D38" i="3"/>
  <c r="D45" i="3"/>
  <c r="P98" i="8"/>
  <c r="T111" i="3"/>
  <c r="R109" i="11"/>
  <c r="R43" i="11"/>
  <c r="R104" i="11"/>
  <c r="R55" i="11"/>
  <c r="R73" i="11"/>
  <c r="R48" i="11"/>
  <c r="R53" i="11"/>
  <c r="R134" i="11"/>
  <c r="R21" i="11"/>
  <c r="R81" i="11"/>
  <c r="R139" i="11"/>
  <c r="R32" i="11"/>
  <c r="R101" i="11"/>
  <c r="R20" i="11"/>
  <c r="R44" i="11"/>
  <c r="R64" i="11"/>
  <c r="R143" i="11"/>
  <c r="R152" i="11"/>
  <c r="R60" i="11"/>
  <c r="R79" i="11"/>
  <c r="R97" i="11"/>
  <c r="R107" i="11"/>
  <c r="R11" i="11"/>
  <c r="R72" i="11"/>
  <c r="R88" i="11"/>
  <c r="R12" i="11"/>
  <c r="R117" i="11"/>
  <c r="R130" i="11"/>
  <c r="R120" i="11"/>
  <c r="R95" i="11"/>
  <c r="R128" i="11"/>
  <c r="R38" i="11"/>
  <c r="R99" i="11"/>
  <c r="R26" i="11"/>
  <c r="R63" i="11"/>
  <c r="R16" i="11"/>
  <c r="R19" i="11"/>
  <c r="R18" i="11"/>
  <c r="R136" i="11"/>
  <c r="R34" i="11"/>
  <c r="R129" i="11"/>
  <c r="R132" i="11"/>
  <c r="R5" i="11"/>
  <c r="R133" i="11"/>
  <c r="R149" i="11"/>
  <c r="R29" i="11"/>
  <c r="R9" i="11"/>
  <c r="R92" i="11"/>
  <c r="R96" i="11"/>
  <c r="R116" i="11"/>
  <c r="R15" i="11"/>
  <c r="R119" i="11"/>
  <c r="R31" i="11"/>
  <c r="R52" i="11"/>
  <c r="R78" i="11"/>
  <c r="R105" i="11"/>
  <c r="R3" i="11"/>
  <c r="R57" i="11"/>
  <c r="R115" i="11"/>
  <c r="R24" i="11"/>
  <c r="R46" i="11"/>
  <c r="R126" i="11"/>
  <c r="R91" i="11"/>
  <c r="R113" i="11"/>
  <c r="R84" i="11"/>
  <c r="R102" i="11"/>
  <c r="R122" i="11"/>
  <c r="R65" i="11"/>
  <c r="R80" i="11"/>
  <c r="R75" i="11"/>
  <c r="R123" i="11"/>
  <c r="R40" i="11"/>
  <c r="R49" i="11"/>
  <c r="R151" i="11"/>
  <c r="R66" i="11"/>
  <c r="R148" i="11"/>
  <c r="R7" i="11"/>
  <c r="R70" i="11"/>
  <c r="R90" i="11"/>
  <c r="R131" i="11"/>
  <c r="R41" i="11"/>
  <c r="R69" i="11"/>
  <c r="R144" i="11"/>
  <c r="R4" i="11"/>
  <c r="R39" i="11"/>
  <c r="R150" i="11"/>
  <c r="R121" i="11"/>
  <c r="R111" i="11"/>
  <c r="R138" i="11"/>
  <c r="R146" i="11"/>
  <c r="R45" i="11"/>
  <c r="R114" i="11"/>
  <c r="R83" i="11"/>
  <c r="R25" i="11"/>
  <c r="R93" i="11"/>
  <c r="R82" i="11"/>
  <c r="R100" i="11"/>
  <c r="R10" i="11"/>
  <c r="R142" i="11"/>
  <c r="R106" i="11"/>
  <c r="R37" i="11"/>
  <c r="R13" i="11"/>
  <c r="R22" i="11"/>
  <c r="R42" i="11"/>
  <c r="R110" i="11"/>
  <c r="R77" i="11"/>
  <c r="R28" i="11"/>
  <c r="R8" i="11"/>
  <c r="R14" i="11"/>
  <c r="R2" i="11"/>
  <c r="R62" i="11"/>
  <c r="R127" i="11"/>
  <c r="R118" i="11"/>
  <c r="R74" i="11"/>
  <c r="R124" i="11"/>
  <c r="R58" i="11"/>
  <c r="R140" i="11"/>
  <c r="R98" i="11"/>
  <c r="R108" i="11"/>
  <c r="R71" i="11"/>
  <c r="R50" i="11"/>
  <c r="R103" i="11"/>
  <c r="R112" i="11"/>
  <c r="R51" i="11"/>
  <c r="R85" i="11"/>
  <c r="R23" i="11"/>
  <c r="R147" i="11"/>
  <c r="R61" i="11"/>
  <c r="R47" i="11"/>
  <c r="R17" i="11"/>
  <c r="R35" i="11"/>
  <c r="R54" i="11"/>
  <c r="R27" i="11"/>
  <c r="R6" i="11"/>
  <c r="R87" i="11"/>
  <c r="R56" i="11"/>
  <c r="R76" i="11"/>
  <c r="R125" i="11"/>
  <c r="R89" i="11"/>
  <c r="R30" i="11"/>
  <c r="R141" i="11"/>
  <c r="R135" i="11"/>
  <c r="R68" i="11"/>
  <c r="R33" i="11"/>
  <c r="R67" i="11"/>
  <c r="R145" i="11"/>
  <c r="R94" i="11"/>
  <c r="R137" i="11"/>
  <c r="R59" i="11"/>
  <c r="R86" i="11"/>
  <c r="R36" i="11"/>
  <c r="D91" i="3" l="1"/>
  <c r="C107" i="9" s="1"/>
  <c r="K94" i="3"/>
  <c r="J112" i="3"/>
  <c r="F47" i="3"/>
  <c r="U96" i="3"/>
  <c r="U112" i="3"/>
  <c r="J95" i="3"/>
  <c r="T94" i="3"/>
  <c r="K96" i="3"/>
  <c r="S95" i="3"/>
  <c r="K113" i="3"/>
  <c r="S112" i="3"/>
  <c r="S94" i="3"/>
  <c r="J113" i="3"/>
  <c r="K111" i="3"/>
  <c r="U94" i="3"/>
  <c r="C110" i="9"/>
  <c r="S113" i="3"/>
  <c r="J94" i="3"/>
  <c r="K95" i="3"/>
  <c r="J96" i="3"/>
  <c r="J111" i="3"/>
  <c r="D113" i="3"/>
  <c r="T112" i="3"/>
  <c r="S111" i="3"/>
  <c r="U111" i="3"/>
  <c r="T113" i="3"/>
  <c r="K112" i="3"/>
  <c r="T95" i="3"/>
  <c r="S96" i="3"/>
  <c r="T96" i="3"/>
  <c r="U113" i="3"/>
  <c r="H66" i="3"/>
  <c r="P189" i="11"/>
  <c r="U189" i="11" s="1"/>
  <c r="N98" i="8"/>
  <c r="N104" i="8" s="1"/>
  <c r="N111" i="8" s="1"/>
  <c r="C90" i="3"/>
  <c r="P188" i="11"/>
  <c r="H32" i="8"/>
  <c r="K148" i="11"/>
  <c r="D90" i="3"/>
  <c r="K32" i="8"/>
  <c r="Q188" i="11"/>
  <c r="O188" i="11" s="1"/>
  <c r="C75" i="4"/>
  <c r="I32" i="8"/>
  <c r="C75" i="5"/>
  <c r="J110" i="3"/>
  <c r="J92" i="3"/>
  <c r="S93" i="3"/>
  <c r="Q190" i="11"/>
  <c r="W190" i="11" s="1"/>
  <c r="T108" i="3"/>
  <c r="J108" i="3"/>
  <c r="T92" i="3"/>
  <c r="J109" i="3"/>
  <c r="D93" i="3"/>
  <c r="U93" i="3"/>
  <c r="S109" i="3"/>
  <c r="Q189" i="11"/>
  <c r="W189" i="11" s="1"/>
  <c r="U108" i="3"/>
  <c r="S110" i="3"/>
  <c r="K110" i="3"/>
  <c r="K109" i="3"/>
  <c r="T110" i="3"/>
  <c r="C91" i="3"/>
  <c r="K93" i="3"/>
  <c r="T109" i="3"/>
  <c r="C93" i="3"/>
  <c r="S91" i="3"/>
  <c r="U110" i="3"/>
  <c r="T91" i="3"/>
  <c r="U91" i="3"/>
  <c r="T93" i="3"/>
  <c r="F40" i="3"/>
  <c r="B91" i="3" s="1"/>
  <c r="B108" i="3" s="1"/>
  <c r="U109" i="3"/>
  <c r="U92" i="3"/>
  <c r="P190" i="11"/>
  <c r="J93" i="3"/>
  <c r="S92" i="3"/>
  <c r="K91" i="3"/>
  <c r="K92" i="3"/>
  <c r="K108" i="3"/>
  <c r="J91" i="3"/>
  <c r="S108" i="3"/>
  <c r="N97" i="8"/>
  <c r="N103" i="8" s="1"/>
  <c r="N110" i="8" s="1"/>
  <c r="N102" i="8"/>
  <c r="N109" i="8" s="1"/>
  <c r="P6" i="12" l="1"/>
  <c r="B106" i="9" s="1"/>
  <c r="AD156" i="11" s="1"/>
  <c r="D49" i="3"/>
  <c r="P7" i="12"/>
  <c r="D110" i="9"/>
  <c r="AE152" i="11" s="1"/>
  <c r="D107" i="9"/>
  <c r="AE155" i="11" s="1"/>
  <c r="D50" i="3"/>
  <c r="B94" i="3"/>
  <c r="B111" i="3" s="1"/>
  <c r="D111" i="3"/>
  <c r="F107" i="9"/>
  <c r="AG155" i="11" s="1"/>
  <c r="C107" i="3"/>
  <c r="E107" i="3" s="1"/>
  <c r="D244" i="11" s="1"/>
  <c r="M168" i="11"/>
  <c r="N99" i="8"/>
  <c r="N105" i="8" s="1"/>
  <c r="N112" i="8" s="1"/>
  <c r="T189" i="11"/>
  <c r="N189" i="11"/>
  <c r="AE189" i="11"/>
  <c r="C89" i="3"/>
  <c r="P5" i="12" s="1"/>
  <c r="B105" i="9" s="1"/>
  <c r="AE190" i="11"/>
  <c r="U190" i="11"/>
  <c r="N190" i="11"/>
  <c r="T190" i="11"/>
  <c r="U188" i="11"/>
  <c r="AE188" i="11"/>
  <c r="T188" i="11"/>
  <c r="N188" i="11"/>
  <c r="D108" i="3"/>
  <c r="D110" i="3"/>
  <c r="D107" i="3"/>
  <c r="C110" i="3"/>
  <c r="E110" i="3" s="1"/>
  <c r="H75" i="3"/>
  <c r="H90" i="3"/>
  <c r="H91" i="3" s="1"/>
  <c r="C108" i="3"/>
  <c r="E108" i="3" s="1"/>
  <c r="C94" i="3"/>
  <c r="P10" i="12" s="1"/>
  <c r="G76" i="3"/>
  <c r="V188" i="11"/>
  <c r="V189" i="11"/>
  <c r="D42" i="3"/>
  <c r="D43" i="3"/>
  <c r="W188" i="11"/>
  <c r="O189" i="11"/>
  <c r="O190" i="11"/>
  <c r="V190" i="11"/>
  <c r="H76" i="3"/>
  <c r="C92" i="3"/>
  <c r="V152" i="11" l="1"/>
  <c r="Z152" i="11" s="1"/>
  <c r="D245" i="11"/>
  <c r="E91" i="3"/>
  <c r="AH90" i="3"/>
  <c r="E90" i="3"/>
  <c r="D247" i="11"/>
  <c r="AH93" i="3" s="1"/>
  <c r="E93" i="3"/>
  <c r="H93" i="3"/>
  <c r="C244" i="11"/>
  <c r="I90" i="3" s="1"/>
  <c r="V168" i="11"/>
  <c r="Q168" i="11"/>
  <c r="Z168" i="11" s="1"/>
  <c r="K119" i="8" s="1"/>
  <c r="K106" i="8" s="1"/>
  <c r="K90" i="8" s="1"/>
  <c r="O168" i="11"/>
  <c r="B110" i="9"/>
  <c r="AD152" i="11" s="1"/>
  <c r="B107" i="9"/>
  <c r="AD155" i="11" s="1"/>
  <c r="D89" i="3"/>
  <c r="C105" i="9" s="1"/>
  <c r="C106" i="9" s="1"/>
  <c r="P182" i="11"/>
  <c r="S38" i="3" s="1"/>
  <c r="P181" i="11"/>
  <c r="S37" i="3" s="1"/>
  <c r="Q182" i="11"/>
  <c r="T38" i="3" s="1"/>
  <c r="Q181" i="11"/>
  <c r="T37" i="3" s="1"/>
  <c r="O181" i="11"/>
  <c r="O182" i="11"/>
  <c r="R38" i="3" s="1"/>
  <c r="M167" i="11"/>
  <c r="C106" i="3"/>
  <c r="Q167" i="11" s="1"/>
  <c r="H107" i="3"/>
  <c r="AH107" i="3"/>
  <c r="AI107" i="3" s="1"/>
  <c r="AI90" i="3"/>
  <c r="C96" i="3"/>
  <c r="C111" i="3"/>
  <c r="E111" i="3" s="1"/>
  <c r="E94" i="3" s="1"/>
  <c r="I76" i="3"/>
  <c r="I75" i="3"/>
  <c r="C109" i="3"/>
  <c r="D92" i="3"/>
  <c r="C108" i="9" s="1"/>
  <c r="AH110" i="3" l="1"/>
  <c r="AI110" i="3" s="1"/>
  <c r="C247" i="11"/>
  <c r="I93" i="3" s="1"/>
  <c r="I107" i="3"/>
  <c r="D258" i="11" s="1"/>
  <c r="D248" i="11"/>
  <c r="H94" i="3"/>
  <c r="H111" i="3" s="1"/>
  <c r="I111" i="3" s="1"/>
  <c r="H110" i="3"/>
  <c r="I110" i="3" s="1"/>
  <c r="H96" i="3"/>
  <c r="H113" i="3" s="1"/>
  <c r="H108" i="3"/>
  <c r="I108" i="3" s="1"/>
  <c r="C245" i="11"/>
  <c r="I91" i="3" s="1"/>
  <c r="R37" i="3"/>
  <c r="F89" i="3"/>
  <c r="D108" i="9"/>
  <c r="AE154" i="11" s="1"/>
  <c r="P8" i="12"/>
  <c r="S168" i="11"/>
  <c r="AD157" i="11"/>
  <c r="V167" i="11"/>
  <c r="V151" i="11"/>
  <c r="F108" i="9"/>
  <c r="AG154" i="11" s="1"/>
  <c r="C109" i="9"/>
  <c r="H89" i="3"/>
  <c r="D106" i="3"/>
  <c r="E106" i="3"/>
  <c r="F113" i="3"/>
  <c r="G113" i="3" s="1"/>
  <c r="O167" i="11"/>
  <c r="F112" i="3"/>
  <c r="H249" i="11" s="1"/>
  <c r="F111" i="3"/>
  <c r="G111" i="3" s="1"/>
  <c r="F93" i="3"/>
  <c r="F92" i="3"/>
  <c r="F91" i="3"/>
  <c r="F96" i="3"/>
  <c r="F94" i="3"/>
  <c r="G94" i="3" s="1"/>
  <c r="F95" i="3"/>
  <c r="F105" i="3"/>
  <c r="F90" i="3"/>
  <c r="F88" i="3"/>
  <c r="F107" i="3"/>
  <c r="C113" i="3"/>
  <c r="E113" i="3" s="1"/>
  <c r="E96" i="3" s="1"/>
  <c r="C95" i="3"/>
  <c r="F106" i="3"/>
  <c r="J227" i="11"/>
  <c r="N168" i="11" s="1"/>
  <c r="P227" i="11"/>
  <c r="F110" i="3"/>
  <c r="F109" i="3"/>
  <c r="F108" i="3"/>
  <c r="G108" i="3" s="1"/>
  <c r="AI93" i="3"/>
  <c r="D109" i="3"/>
  <c r="H92" i="3"/>
  <c r="E109" i="3"/>
  <c r="S167" i="11"/>
  <c r="Z167" i="11"/>
  <c r="K120" i="8" s="1"/>
  <c r="K107" i="8" s="1"/>
  <c r="K91" i="8" s="1"/>
  <c r="J230" i="11" l="1"/>
  <c r="P244" i="11"/>
  <c r="E89" i="3"/>
  <c r="D243" i="11"/>
  <c r="C243" i="11" s="1"/>
  <c r="J226" i="11" s="1"/>
  <c r="N167" i="11" s="1"/>
  <c r="C248" i="11"/>
  <c r="I94" i="3" s="1"/>
  <c r="P230" i="11"/>
  <c r="I113" i="3"/>
  <c r="D264" i="11" s="1"/>
  <c r="J244" i="11"/>
  <c r="R168" i="11" s="1"/>
  <c r="D246" i="11"/>
  <c r="C246" i="11" s="1"/>
  <c r="I92" i="3" s="1"/>
  <c r="E92" i="3"/>
  <c r="J247" i="11"/>
  <c r="D261" i="11"/>
  <c r="D250" i="11"/>
  <c r="C250" i="11" s="1"/>
  <c r="I96" i="3" s="1"/>
  <c r="P247" i="11"/>
  <c r="P228" i="11"/>
  <c r="D262" i="11"/>
  <c r="H106" i="3"/>
  <c r="D109" i="9"/>
  <c r="AE153" i="11" s="1"/>
  <c r="P9" i="12"/>
  <c r="Z151" i="11"/>
  <c r="B108" i="9"/>
  <c r="AD154" i="11" s="1"/>
  <c r="F109" i="9"/>
  <c r="I250" i="11"/>
  <c r="N113" i="3" s="1"/>
  <c r="H250" i="11"/>
  <c r="N250" i="11" s="1"/>
  <c r="I249" i="11"/>
  <c r="O249" i="11" s="1"/>
  <c r="J228" i="11"/>
  <c r="M169" i="11" s="1"/>
  <c r="H242" i="11"/>
  <c r="M105" i="3" s="1"/>
  <c r="P106" i="3" s="1"/>
  <c r="W106" i="3" s="1"/>
  <c r="H226" i="11"/>
  <c r="M89" i="3" s="1"/>
  <c r="P90" i="3" s="1"/>
  <c r="W90" i="3" s="1"/>
  <c r="I232" i="11"/>
  <c r="O232" i="11" s="1"/>
  <c r="G112" i="3"/>
  <c r="G107" i="3"/>
  <c r="G244" i="11" s="1"/>
  <c r="I225" i="11"/>
  <c r="O225" i="11" s="1"/>
  <c r="I231" i="11"/>
  <c r="O231" i="11" s="1"/>
  <c r="H243" i="11"/>
  <c r="N243" i="11" s="1"/>
  <c r="G90" i="3"/>
  <c r="G227" i="11" s="1"/>
  <c r="G96" i="3"/>
  <c r="H248" i="11"/>
  <c r="M111" i="3" s="1"/>
  <c r="H231" i="11"/>
  <c r="M94" i="3" s="1"/>
  <c r="P95" i="3" s="1"/>
  <c r="W95" i="3" s="1"/>
  <c r="H232" i="11"/>
  <c r="M95" i="3" s="1"/>
  <c r="P96" i="3" s="1"/>
  <c r="W96" i="3" s="1"/>
  <c r="G95" i="3"/>
  <c r="I248" i="11"/>
  <c r="O248" i="11" s="1"/>
  <c r="I242" i="11"/>
  <c r="N105" i="3" s="1"/>
  <c r="Q106" i="3" s="1"/>
  <c r="X106" i="3" s="1"/>
  <c r="G105" i="3"/>
  <c r="G242" i="11" s="1"/>
  <c r="G106" i="3"/>
  <c r="H233" i="11"/>
  <c r="I233" i="11"/>
  <c r="I244" i="11"/>
  <c r="O244" i="11" s="1"/>
  <c r="I243" i="11"/>
  <c r="N106" i="3" s="1"/>
  <c r="Q107" i="3" s="1"/>
  <c r="X107" i="3" s="1"/>
  <c r="H244" i="11"/>
  <c r="N244" i="11" s="1"/>
  <c r="H225" i="11"/>
  <c r="M88" i="3" s="1"/>
  <c r="P89" i="3" s="1"/>
  <c r="W89" i="3" s="1"/>
  <c r="G89" i="3"/>
  <c r="G88" i="3"/>
  <c r="G225" i="11" s="1"/>
  <c r="D95" i="3"/>
  <c r="C111" i="9" s="1"/>
  <c r="P11" i="12" s="1"/>
  <c r="C112" i="3"/>
  <c r="E112" i="3" s="1"/>
  <c r="I227" i="11"/>
  <c r="N90" i="3" s="1"/>
  <c r="Q91" i="3" s="1"/>
  <c r="X91" i="3" s="1"/>
  <c r="H227" i="11"/>
  <c r="N227" i="11" s="1"/>
  <c r="I226" i="11"/>
  <c r="N89" i="3" s="1"/>
  <c r="Q90" i="3" s="1"/>
  <c r="X90" i="3" s="1"/>
  <c r="M112" i="3"/>
  <c r="N249" i="11"/>
  <c r="H245" i="11"/>
  <c r="I245" i="11"/>
  <c r="G109" i="3"/>
  <c r="H228" i="11"/>
  <c r="I228" i="11"/>
  <c r="G91" i="3"/>
  <c r="G228" i="11" s="1"/>
  <c r="G92" i="3"/>
  <c r="I246" i="11"/>
  <c r="H246" i="11"/>
  <c r="H230" i="11"/>
  <c r="G93" i="3"/>
  <c r="G230" i="11" s="1"/>
  <c r="I230" i="11"/>
  <c r="H247" i="11"/>
  <c r="I247" i="11"/>
  <c r="G110" i="3"/>
  <c r="G247" i="11" s="1"/>
  <c r="H229" i="11"/>
  <c r="I229" i="11"/>
  <c r="H109" i="3"/>
  <c r="I109" i="3" s="1"/>
  <c r="P231" i="11" l="1"/>
  <c r="J231" i="11"/>
  <c r="G231" i="11"/>
  <c r="M231" i="11" s="1"/>
  <c r="G250" i="11"/>
  <c r="AN184" i="11" s="1"/>
  <c r="I106" i="3"/>
  <c r="D257" i="11" s="1"/>
  <c r="D249" i="11"/>
  <c r="E95" i="3"/>
  <c r="AH96" i="3"/>
  <c r="AH97" i="3" s="1"/>
  <c r="G245" i="11"/>
  <c r="L108" i="3" s="1"/>
  <c r="D259" i="11"/>
  <c r="P229" i="11"/>
  <c r="M170" i="11"/>
  <c r="V154" i="11" s="1"/>
  <c r="Z154" i="11" s="1"/>
  <c r="N171" i="11"/>
  <c r="G248" i="11"/>
  <c r="L111" i="3" s="1"/>
  <c r="J245" i="11"/>
  <c r="P226" i="11"/>
  <c r="I89" i="3"/>
  <c r="P248" i="11"/>
  <c r="J248" i="11"/>
  <c r="D260" i="11"/>
  <c r="P245" i="11"/>
  <c r="G226" i="11"/>
  <c r="M226" i="11" s="1"/>
  <c r="P233" i="11"/>
  <c r="AH113" i="3"/>
  <c r="AI113" i="3" s="1"/>
  <c r="AI114" i="3" s="1"/>
  <c r="AN163" i="11"/>
  <c r="P166" i="11" s="1"/>
  <c r="D111" i="9"/>
  <c r="AE151" i="11" s="1"/>
  <c r="C112" i="9"/>
  <c r="P12" i="12" s="1"/>
  <c r="F110" i="9"/>
  <c r="AG153" i="11"/>
  <c r="B109" i="9"/>
  <c r="AD153" i="11" s="1"/>
  <c r="O250" i="11"/>
  <c r="M113" i="3"/>
  <c r="N112" i="3"/>
  <c r="Q113" i="3" s="1"/>
  <c r="X113" i="3" s="1"/>
  <c r="N95" i="3"/>
  <c r="Q96" i="3" s="1"/>
  <c r="X96" i="3" s="1"/>
  <c r="M171" i="11"/>
  <c r="N169" i="11"/>
  <c r="N88" i="3"/>
  <c r="Q89" i="3" s="1"/>
  <c r="X89" i="3" s="1"/>
  <c r="G229" i="11"/>
  <c r="G233" i="11"/>
  <c r="AN171" i="11" s="1"/>
  <c r="N226" i="11"/>
  <c r="N107" i="3"/>
  <c r="Q108" i="3" s="1"/>
  <c r="X108" i="3" s="1"/>
  <c r="N242" i="11"/>
  <c r="N94" i="3"/>
  <c r="Q95" i="3" s="1"/>
  <c r="X95" i="3" s="1"/>
  <c r="N111" i="3"/>
  <c r="Q112" i="3" s="1"/>
  <c r="X112" i="3" s="1"/>
  <c r="M106" i="3"/>
  <c r="P107" i="3" s="1"/>
  <c r="W107" i="3" s="1"/>
  <c r="N231" i="11"/>
  <c r="M227" i="11"/>
  <c r="L90" i="3"/>
  <c r="M244" i="11"/>
  <c r="L107" i="3"/>
  <c r="M242" i="11"/>
  <c r="P250" i="11"/>
  <c r="N248" i="11"/>
  <c r="N232" i="11"/>
  <c r="O242" i="11"/>
  <c r="AN176" i="11"/>
  <c r="T166" i="11" s="1"/>
  <c r="O233" i="11"/>
  <c r="N96" i="3"/>
  <c r="M96" i="3"/>
  <c r="N233" i="11"/>
  <c r="O227" i="11"/>
  <c r="J250" i="11"/>
  <c r="L88" i="3"/>
  <c r="O243" i="11"/>
  <c r="J233" i="11"/>
  <c r="N225" i="11"/>
  <c r="AN178" i="11"/>
  <c r="T168" i="11" s="1"/>
  <c r="M107" i="3"/>
  <c r="P108" i="3" s="1"/>
  <c r="W108" i="3" s="1"/>
  <c r="P113" i="3"/>
  <c r="W113" i="3" s="1"/>
  <c r="P112" i="3"/>
  <c r="W112" i="3" s="1"/>
  <c r="M225" i="11"/>
  <c r="M90" i="3"/>
  <c r="P91" i="3" s="1"/>
  <c r="W91" i="3" s="1"/>
  <c r="AN165" i="11"/>
  <c r="P168" i="11" s="1"/>
  <c r="D112" i="3"/>
  <c r="H95" i="3"/>
  <c r="O226" i="11"/>
  <c r="N93" i="3"/>
  <c r="Q94" i="3" s="1"/>
  <c r="X94" i="3" s="1"/>
  <c r="O230" i="11"/>
  <c r="L93" i="3"/>
  <c r="M230" i="11"/>
  <c r="M92" i="3"/>
  <c r="P93" i="3" s="1"/>
  <c r="W93" i="3" s="1"/>
  <c r="N229" i="11"/>
  <c r="M91" i="3"/>
  <c r="P92" i="3" s="1"/>
  <c r="W92" i="3" s="1"/>
  <c r="N228" i="11"/>
  <c r="L110" i="3"/>
  <c r="M247" i="11"/>
  <c r="N110" i="3"/>
  <c r="Q111" i="3" s="1"/>
  <c r="X111" i="3" s="1"/>
  <c r="O247" i="11"/>
  <c r="M93" i="3"/>
  <c r="P94" i="3" s="1"/>
  <c r="W94" i="3" s="1"/>
  <c r="N230" i="11"/>
  <c r="M228" i="11"/>
  <c r="N109" i="3"/>
  <c r="Q110" i="3" s="1"/>
  <c r="X110" i="3" s="1"/>
  <c r="O246" i="11"/>
  <c r="N92" i="3"/>
  <c r="Q93" i="3" s="1"/>
  <c r="X93" i="3" s="1"/>
  <c r="O229" i="11"/>
  <c r="M110" i="3"/>
  <c r="P111" i="3" s="1"/>
  <c r="W111" i="3" s="1"/>
  <c r="N247" i="11"/>
  <c r="M109" i="3"/>
  <c r="P110" i="3" s="1"/>
  <c r="W110" i="3" s="1"/>
  <c r="N246" i="11"/>
  <c r="N91" i="3"/>
  <c r="Q92" i="3" s="1"/>
  <c r="X92" i="3" s="1"/>
  <c r="O228" i="11"/>
  <c r="N108" i="3"/>
  <c r="Q109" i="3" s="1"/>
  <c r="O245" i="11"/>
  <c r="M108" i="3"/>
  <c r="P109" i="3" s="1"/>
  <c r="N245" i="11"/>
  <c r="AN181" i="11"/>
  <c r="AN168" i="11"/>
  <c r="L91" i="3"/>
  <c r="AN166" i="11"/>
  <c r="J229" i="11"/>
  <c r="N170" i="11" s="1"/>
  <c r="AN169" i="11" l="1"/>
  <c r="AH114" i="3"/>
  <c r="AI96" i="3"/>
  <c r="AI97" i="3" s="1"/>
  <c r="N172" i="11"/>
  <c r="N174" i="11"/>
  <c r="O170" i="11"/>
  <c r="L94" i="3"/>
  <c r="AN179" i="11"/>
  <c r="T169" i="11" s="1"/>
  <c r="J243" i="11"/>
  <c r="R167" i="11" s="1"/>
  <c r="C249" i="11"/>
  <c r="I95" i="3" s="1"/>
  <c r="V170" i="11"/>
  <c r="G243" i="11"/>
  <c r="M243" i="11" s="1"/>
  <c r="P243" i="11"/>
  <c r="M248" i="11"/>
  <c r="M245" i="11"/>
  <c r="AN182" i="11"/>
  <c r="J246" i="11"/>
  <c r="R170" i="11" s="1"/>
  <c r="Q169" i="11"/>
  <c r="R171" i="11"/>
  <c r="R174" i="11" s="1"/>
  <c r="Q170" i="11"/>
  <c r="Q171" i="11"/>
  <c r="Q172" i="11" s="1"/>
  <c r="R169" i="11"/>
  <c r="G246" i="11"/>
  <c r="M246" i="11" s="1"/>
  <c r="P246" i="11"/>
  <c r="AN164" i="11"/>
  <c r="AM164" i="11" s="1"/>
  <c r="L89" i="3"/>
  <c r="D112" i="9"/>
  <c r="AE150" i="11" s="1"/>
  <c r="F111" i="9"/>
  <c r="AG152" i="11"/>
  <c r="B111" i="9"/>
  <c r="AD151" i="11" s="1"/>
  <c r="O171" i="11"/>
  <c r="V155" i="11"/>
  <c r="Z155" i="11" s="1"/>
  <c r="O169" i="11"/>
  <c r="V153" i="11"/>
  <c r="V171" i="11"/>
  <c r="M174" i="11"/>
  <c r="O174" i="11" s="1"/>
  <c r="M173" i="11"/>
  <c r="V173" i="11" s="1"/>
  <c r="M172" i="11"/>
  <c r="V169" i="11"/>
  <c r="L105" i="3"/>
  <c r="M233" i="11"/>
  <c r="M250" i="11"/>
  <c r="T171" i="11"/>
  <c r="T174" i="11" s="1"/>
  <c r="L113" i="3"/>
  <c r="L96" i="3"/>
  <c r="P171" i="11"/>
  <c r="P169" i="11"/>
  <c r="H112" i="3"/>
  <c r="I112" i="3" s="1"/>
  <c r="X109" i="3"/>
  <c r="Q114" i="3"/>
  <c r="P97" i="3"/>
  <c r="Q97" i="3"/>
  <c r="W109" i="3"/>
  <c r="P114" i="3"/>
  <c r="M229" i="11"/>
  <c r="L92" i="3"/>
  <c r="AN167" i="11"/>
  <c r="P170" i="11" s="1"/>
  <c r="P172" i="11" l="1"/>
  <c r="G232" i="11"/>
  <c r="AN177" i="11"/>
  <c r="AM177" i="11" s="1"/>
  <c r="L106" i="3"/>
  <c r="L109" i="3"/>
  <c r="AN180" i="11"/>
  <c r="T170" i="11" s="1"/>
  <c r="R172" i="11"/>
  <c r="S172" i="11"/>
  <c r="Z172" i="11"/>
  <c r="K115" i="8" s="1"/>
  <c r="K102" i="8" s="1"/>
  <c r="K86" i="8" s="1"/>
  <c r="Q173" i="11"/>
  <c r="Z173" i="11" s="1"/>
  <c r="K114" i="8" s="1"/>
  <c r="K101" i="8" s="1"/>
  <c r="K85" i="8" s="1"/>
  <c r="Q174" i="11"/>
  <c r="S170" i="11"/>
  <c r="Z170" i="11"/>
  <c r="K117" i="8" s="1"/>
  <c r="K104" i="8" s="1"/>
  <c r="K88" i="8" s="1"/>
  <c r="S169" i="11"/>
  <c r="Z169" i="11"/>
  <c r="K118" i="8" s="1"/>
  <c r="K105" i="8" s="1"/>
  <c r="K89" i="8" s="1"/>
  <c r="Z171" i="11"/>
  <c r="K116" i="8" s="1"/>
  <c r="K103" i="8" s="1"/>
  <c r="K87" i="8" s="1"/>
  <c r="S171" i="11"/>
  <c r="P167" i="11"/>
  <c r="AM165" i="11"/>
  <c r="AM169" i="11" s="1"/>
  <c r="Z153" i="11"/>
  <c r="F112" i="9"/>
  <c r="AG150" i="11" s="1"/>
  <c r="AG151" i="11"/>
  <c r="B112" i="9"/>
  <c r="AD150" i="11" s="1"/>
  <c r="O173" i="11"/>
  <c r="V157" i="11"/>
  <c r="Z157" i="11" s="1"/>
  <c r="V174" i="11"/>
  <c r="V158" i="11"/>
  <c r="Z158" i="11" s="1"/>
  <c r="O172" i="11"/>
  <c r="V156" i="11"/>
  <c r="Z156" i="11" s="1"/>
  <c r="V172" i="11"/>
  <c r="T172" i="11"/>
  <c r="P174" i="11"/>
  <c r="P232" i="11"/>
  <c r="J232" i="11"/>
  <c r="N173" i="11" s="1"/>
  <c r="P249" i="11"/>
  <c r="X141" i="11" l="1"/>
  <c r="S173" i="11"/>
  <c r="AM178" i="11"/>
  <c r="T167" i="11"/>
  <c r="AM167" i="11"/>
  <c r="J249" i="11"/>
  <c r="R173" i="11" s="1"/>
  <c r="D263" i="11"/>
  <c r="Z174" i="11"/>
  <c r="K113" i="8" s="1"/>
  <c r="K100" i="8" s="1"/>
  <c r="K84" i="8" s="1"/>
  <c r="K94" i="8" s="1"/>
  <c r="K95" i="8" s="1"/>
  <c r="S174" i="11"/>
  <c r="G249" i="11"/>
  <c r="M249" i="11" s="1"/>
  <c r="AM166" i="11"/>
  <c r="AM168" i="11"/>
  <c r="AM170" i="11"/>
  <c r="L95" i="3"/>
  <c r="AN170" i="11"/>
  <c r="M232" i="11"/>
  <c r="AM182" i="11" l="1"/>
  <c r="AM179" i="11"/>
  <c r="AM181" i="11"/>
  <c r="AM183" i="11"/>
  <c r="AM180" i="11"/>
  <c r="L112" i="3"/>
  <c r="AN183" i="11"/>
  <c r="AM184" i="11" s="1"/>
  <c r="P173" i="11"/>
  <c r="AM171" i="11"/>
  <c r="C99" i="3" s="1"/>
  <c r="C100" i="3" s="1"/>
  <c r="K225" i="11" s="1"/>
  <c r="C116" i="3" l="1"/>
  <c r="C117" i="3" s="1"/>
  <c r="K242" i="11" s="1"/>
  <c r="T173" i="11"/>
  <c r="K227" i="11"/>
  <c r="K231" i="11"/>
  <c r="K232" i="11"/>
  <c r="Q225" i="11"/>
  <c r="K226" i="11"/>
  <c r="AB89" i="3" s="1"/>
  <c r="K233" i="11"/>
  <c r="K228" i="11"/>
  <c r="Q227" i="11"/>
  <c r="K230" i="11"/>
  <c r="Q231" i="11"/>
  <c r="Q232" i="11"/>
  <c r="Q233" i="11"/>
  <c r="Q228" i="11"/>
  <c r="Q226" i="11"/>
  <c r="Q230" i="11"/>
  <c r="K229" i="11"/>
  <c r="Q229" i="11"/>
  <c r="Q245" i="11" l="1"/>
  <c r="Q242" i="11"/>
  <c r="Q243" i="11"/>
  <c r="K243" i="11"/>
  <c r="AO177" i="11" s="1"/>
  <c r="Q247" i="11"/>
  <c r="Q250" i="11"/>
  <c r="K249" i="11"/>
  <c r="AO183" i="11" s="1"/>
  <c r="Q248" i="11"/>
  <c r="K245" i="11"/>
  <c r="K248" i="11"/>
  <c r="Q246" i="11"/>
  <c r="Q249" i="11"/>
  <c r="Q244" i="11"/>
  <c r="R108" i="3" s="1"/>
  <c r="K250" i="11"/>
  <c r="AO184" i="11" s="1"/>
  <c r="K247" i="11"/>
  <c r="AO181" i="11" s="1"/>
  <c r="K244" i="11"/>
  <c r="K246" i="11"/>
  <c r="AO180" i="11" s="1"/>
  <c r="AB96" i="3"/>
  <c r="AB91" i="3"/>
  <c r="AB92" i="3"/>
  <c r="AB95" i="3"/>
  <c r="Y94" i="3"/>
  <c r="AB93" i="3"/>
  <c r="AB94" i="3"/>
  <c r="AB90" i="3"/>
  <c r="R89" i="3"/>
  <c r="Y93" i="3"/>
  <c r="Y95" i="3"/>
  <c r="Y92" i="3"/>
  <c r="Y91" i="3"/>
  <c r="Y96" i="3"/>
  <c r="Y89" i="3"/>
  <c r="Y90" i="3"/>
  <c r="R92" i="3"/>
  <c r="R91" i="3"/>
  <c r="R94" i="3"/>
  <c r="R96" i="3"/>
  <c r="R90" i="3"/>
  <c r="R93" i="3"/>
  <c r="R95" i="3"/>
  <c r="AO166" i="11"/>
  <c r="X167" i="11"/>
  <c r="AO164" i="11"/>
  <c r="AO176" i="11"/>
  <c r="AB166" i="11"/>
  <c r="AO169" i="11"/>
  <c r="AO168" i="11"/>
  <c r="AO167" i="11"/>
  <c r="AO170" i="11"/>
  <c r="X166" i="11"/>
  <c r="AO163" i="11"/>
  <c r="AO171" i="11"/>
  <c r="AO165" i="11"/>
  <c r="X168" i="11"/>
  <c r="R109" i="3" l="1"/>
  <c r="R112" i="3"/>
  <c r="AB106" i="3"/>
  <c r="AB107" i="3"/>
  <c r="R106" i="3"/>
  <c r="AO178" i="11"/>
  <c r="Y106" i="3"/>
  <c r="AA106" i="3" s="1"/>
  <c r="AB168" i="11"/>
  <c r="AB169" i="11" s="1"/>
  <c r="AB167" i="11"/>
  <c r="R113" i="3"/>
  <c r="Y107" i="3"/>
  <c r="AA107" i="3" s="1"/>
  <c r="Y108" i="3"/>
  <c r="Z108" i="3" s="1"/>
  <c r="R110" i="3"/>
  <c r="AO179" i="11"/>
  <c r="R111" i="3"/>
  <c r="R107" i="3"/>
  <c r="Y110" i="3"/>
  <c r="Z110" i="3" s="1"/>
  <c r="AB112" i="3"/>
  <c r="Y111" i="3"/>
  <c r="AA111" i="3" s="1"/>
  <c r="Y113" i="3"/>
  <c r="AA113" i="3" s="1"/>
  <c r="AB111" i="3"/>
  <c r="AB110" i="3"/>
  <c r="AB108" i="3"/>
  <c r="AO182" i="11"/>
  <c r="AB113" i="3"/>
  <c r="Y112" i="3"/>
  <c r="AA112" i="3" s="1"/>
  <c r="Y109" i="3"/>
  <c r="AA109" i="3" s="1"/>
  <c r="AB109" i="3"/>
  <c r="Z89" i="3"/>
  <c r="AA89" i="3"/>
  <c r="Z93" i="3"/>
  <c r="AA93" i="3"/>
  <c r="Z92" i="3"/>
  <c r="AA92" i="3"/>
  <c r="Z96" i="3"/>
  <c r="AA96" i="3"/>
  <c r="Z91" i="3"/>
  <c r="AA91" i="3"/>
  <c r="Z95" i="3"/>
  <c r="AA95" i="3"/>
  <c r="Z94" i="3"/>
  <c r="AA94" i="3"/>
  <c r="Z90" i="3"/>
  <c r="AA90" i="3"/>
  <c r="O90" i="3"/>
  <c r="V90" i="3" s="1"/>
  <c r="O89" i="3"/>
  <c r="V89" i="3" s="1"/>
  <c r="R97" i="3"/>
  <c r="Y97" i="3"/>
  <c r="X170" i="11"/>
  <c r="X169" i="11"/>
  <c r="X171" i="11"/>
  <c r="AB97" i="3"/>
  <c r="O93" i="3"/>
  <c r="V93" i="3" s="1"/>
  <c r="O91" i="3"/>
  <c r="V91" i="3" s="1"/>
  <c r="O96" i="3"/>
  <c r="V96" i="3" s="1"/>
  <c r="O95" i="3"/>
  <c r="V95" i="3" s="1"/>
  <c r="O92" i="3"/>
  <c r="V92" i="3" s="1"/>
  <c r="O94" i="3"/>
  <c r="V94" i="3" s="1"/>
  <c r="O107" i="3" l="1"/>
  <c r="V107" i="3" s="1"/>
  <c r="AB171" i="11"/>
  <c r="AB172" i="11" s="1"/>
  <c r="AB170" i="11"/>
  <c r="O106" i="3"/>
  <c r="V106" i="3" s="1"/>
  <c r="Z107" i="3"/>
  <c r="Z106" i="3"/>
  <c r="Z111" i="3"/>
  <c r="O111" i="3"/>
  <c r="V111" i="3" s="1"/>
  <c r="O108" i="3"/>
  <c r="V108" i="3" s="1"/>
  <c r="O109" i="3"/>
  <c r="V109" i="3" s="1"/>
  <c r="R114" i="3"/>
  <c r="O113" i="3"/>
  <c r="V113" i="3" s="1"/>
  <c r="AA108" i="3"/>
  <c r="Z113" i="3"/>
  <c r="O110" i="3"/>
  <c r="V110" i="3" s="1"/>
  <c r="AA110" i="3"/>
  <c r="Y114" i="3"/>
  <c r="Z109" i="3"/>
  <c r="AB114" i="3"/>
  <c r="O112" i="3"/>
  <c r="V112" i="3" s="1"/>
  <c r="Z112" i="3"/>
  <c r="O97" i="3"/>
  <c r="X173" i="11"/>
  <c r="X172" i="11"/>
  <c r="X174" i="11"/>
  <c r="Z97" i="3"/>
  <c r="AA97" i="3"/>
  <c r="AB173" i="11" l="1"/>
  <c r="AB174" i="11"/>
  <c r="AA114" i="3"/>
  <c r="C120" i="5" s="1"/>
  <c r="E120" i="5" s="1"/>
  <c r="G120" i="5" s="1"/>
  <c r="Z114" i="3"/>
  <c r="O114" i="3"/>
  <c r="C120" i="4"/>
  <c r="C70" i="14" l="1"/>
  <c r="E70" i="14" s="1"/>
  <c r="E120" i="4"/>
  <c r="G70" i="14" l="1"/>
  <c r="G120" i="4"/>
  <c r="D7" i="8" l="1"/>
  <c r="I9" i="8" s="1"/>
  <c r="D34" i="12" l="1"/>
  <c r="E34" i="12" s="1"/>
  <c r="F34" i="12" s="1"/>
  <c r="H34" i="12" s="1"/>
  <c r="D42" i="12"/>
  <c r="E42" i="12" s="1"/>
  <c r="D36" i="12"/>
  <c r="E36" i="12" s="1"/>
  <c r="D44" i="12"/>
  <c r="E44" i="12" s="1"/>
  <c r="D38" i="12"/>
  <c r="E38" i="12" s="1"/>
  <c r="D39" i="12"/>
  <c r="E39" i="12" s="1"/>
  <c r="D40" i="12"/>
  <c r="E40" i="12" s="1"/>
  <c r="D43" i="12"/>
  <c r="E43" i="12" s="1"/>
  <c r="D45" i="12"/>
  <c r="E45" i="12" s="1"/>
  <c r="D46" i="12"/>
  <c r="E46" i="12" s="1"/>
  <c r="D56" i="12"/>
  <c r="E56" i="12" s="1"/>
  <c r="D47" i="12"/>
  <c r="E47" i="12" s="1"/>
  <c r="D55" i="12"/>
  <c r="E55" i="12" s="1"/>
  <c r="D50" i="12"/>
  <c r="E50" i="12" s="1"/>
  <c r="D48" i="12"/>
  <c r="E48" i="12" s="1"/>
  <c r="D53" i="12"/>
  <c r="E53" i="12" s="1"/>
  <c r="D57" i="12"/>
  <c r="E57" i="12" s="1"/>
  <c r="E33" i="12"/>
  <c r="D54" i="12"/>
  <c r="E54" i="12" s="1"/>
  <c r="D52" i="12"/>
  <c r="E52" i="12" s="1"/>
  <c r="D37" i="12"/>
  <c r="E37" i="12" s="1"/>
  <c r="D49" i="12"/>
  <c r="E49" i="12" s="1"/>
  <c r="K9" i="8"/>
  <c r="H9" i="8"/>
  <c r="L9" i="8" s="1"/>
  <c r="D35" i="12"/>
  <c r="E35" i="12" s="1"/>
  <c r="D10" i="12"/>
  <c r="D41" i="12"/>
  <c r="E41" i="12" s="1"/>
  <c r="D51" i="12"/>
  <c r="E51" i="12" s="1"/>
  <c r="I16" i="8"/>
  <c r="G51" i="12" l="1"/>
  <c r="A51" i="12"/>
  <c r="G52" i="12"/>
  <c r="A52" i="12"/>
  <c r="G53" i="12"/>
  <c r="A53" i="12"/>
  <c r="G47" i="12"/>
  <c r="A47" i="12"/>
  <c r="G43" i="12"/>
  <c r="A43" i="12"/>
  <c r="F44" i="12"/>
  <c r="H44" i="12" s="1"/>
  <c r="A44" i="12"/>
  <c r="F41" i="12"/>
  <c r="H41" i="12" s="1"/>
  <c r="A41" i="12"/>
  <c r="F54" i="12"/>
  <c r="H54" i="12" s="1"/>
  <c r="A54" i="12"/>
  <c r="F48" i="12"/>
  <c r="H48" i="12" s="1"/>
  <c r="A48" i="12"/>
  <c r="F56" i="12"/>
  <c r="H56" i="12" s="1"/>
  <c r="A56" i="12"/>
  <c r="G40" i="12"/>
  <c r="A40" i="12"/>
  <c r="G36" i="12"/>
  <c r="A36" i="12"/>
  <c r="F49" i="12"/>
  <c r="H49" i="12" s="1"/>
  <c r="A49" i="12"/>
  <c r="F33" i="12"/>
  <c r="H33" i="12" s="1"/>
  <c r="A33" i="12"/>
  <c r="G50" i="12"/>
  <c r="A50" i="12"/>
  <c r="F46" i="12"/>
  <c r="H46" i="12" s="1"/>
  <c r="A46" i="12"/>
  <c r="G39" i="12"/>
  <c r="A39" i="12"/>
  <c r="F42" i="12"/>
  <c r="H42" i="12" s="1"/>
  <c r="A42" i="12"/>
  <c r="F35" i="12"/>
  <c r="H35" i="12" s="1"/>
  <c r="A35" i="12"/>
  <c r="G37" i="12"/>
  <c r="A37" i="12"/>
  <c r="F57" i="12"/>
  <c r="H57" i="12" s="1"/>
  <c r="A57" i="12"/>
  <c r="F55" i="12"/>
  <c r="H55" i="12" s="1"/>
  <c r="A55" i="12"/>
  <c r="G45" i="12"/>
  <c r="A45" i="12"/>
  <c r="F38" i="12"/>
  <c r="H38" i="12" s="1"/>
  <c r="A38" i="12"/>
  <c r="G34" i="12"/>
  <c r="J34" i="12" s="1"/>
  <c r="K34" i="12" s="1"/>
  <c r="A34" i="12"/>
  <c r="F39" i="12"/>
  <c r="H39" i="12" s="1"/>
  <c r="G42" i="12"/>
  <c r="F40" i="12"/>
  <c r="H40" i="12" s="1"/>
  <c r="F36" i="12"/>
  <c r="H36" i="12" s="1"/>
  <c r="F43" i="12"/>
  <c r="H43" i="12" s="1"/>
  <c r="F53" i="12"/>
  <c r="H53" i="12" s="1"/>
  <c r="G44" i="12"/>
  <c r="F45" i="12"/>
  <c r="H45" i="12" s="1"/>
  <c r="G38" i="12"/>
  <c r="F47" i="12"/>
  <c r="H47" i="12" s="1"/>
  <c r="G46" i="12"/>
  <c r="F50" i="12"/>
  <c r="H50" i="12" s="1"/>
  <c r="F52" i="12"/>
  <c r="H52" i="12" s="1"/>
  <c r="G33" i="12"/>
  <c r="G49" i="12"/>
  <c r="J49" i="12" s="1"/>
  <c r="K49" i="12" s="1"/>
  <c r="G57" i="12"/>
  <c r="F37" i="12"/>
  <c r="H37" i="12" s="1"/>
  <c r="G48" i="12"/>
  <c r="G56" i="12"/>
  <c r="G54" i="12"/>
  <c r="G55" i="12"/>
  <c r="J55" i="12" s="1"/>
  <c r="K55" i="12" s="1"/>
  <c r="E62" i="5"/>
  <c r="F62" i="5" s="1"/>
  <c r="H16" i="8"/>
  <c r="C35" i="5" s="1"/>
  <c r="C36" i="5" s="1"/>
  <c r="C47" i="5" s="1"/>
  <c r="C116" i="5" s="1"/>
  <c r="M9" i="8"/>
  <c r="H62" i="5" s="1"/>
  <c r="E62" i="4"/>
  <c r="F62" i="4" s="1"/>
  <c r="H115" i="14" s="1"/>
  <c r="K152" i="11" s="1"/>
  <c r="N9" i="8"/>
  <c r="I62" i="5" s="1"/>
  <c r="C71" i="4"/>
  <c r="C71" i="5"/>
  <c r="C117" i="5" s="1"/>
  <c r="E117" i="5" s="1"/>
  <c r="G117" i="5" s="1"/>
  <c r="K16" i="8"/>
  <c r="K33" i="8" s="1"/>
  <c r="K34" i="8" s="1"/>
  <c r="G35" i="12"/>
  <c r="G41" i="12"/>
  <c r="J41" i="12" s="1"/>
  <c r="K41" i="12" s="1"/>
  <c r="F51" i="12"/>
  <c r="H51" i="12" s="1"/>
  <c r="G62" i="4"/>
  <c r="G62" i="5"/>
  <c r="I25" i="8"/>
  <c r="I27" i="8" s="1"/>
  <c r="I33" i="8"/>
  <c r="I34" i="8" s="1"/>
  <c r="AG47" i="13" l="1"/>
  <c r="C154" i="9" s="1"/>
  <c r="J38" i="12"/>
  <c r="K38" i="12" s="1"/>
  <c r="AG56" i="13"/>
  <c r="C163" i="9" s="1"/>
  <c r="AG51" i="13"/>
  <c r="C158" i="9" s="1"/>
  <c r="AG52" i="13"/>
  <c r="C159" i="9" s="1"/>
  <c r="D154" i="9"/>
  <c r="E153" i="10" s="1"/>
  <c r="AG48" i="13"/>
  <c r="C155" i="9" s="1"/>
  <c r="AG53" i="13"/>
  <c r="C160" i="9" s="1"/>
  <c r="AG57" i="13"/>
  <c r="C164" i="9" s="1"/>
  <c r="AG54" i="13"/>
  <c r="C161" i="9" s="1"/>
  <c r="AG49" i="13"/>
  <c r="C156" i="9" s="1"/>
  <c r="AG50" i="13"/>
  <c r="C157" i="9" s="1"/>
  <c r="AG55" i="13"/>
  <c r="C162" i="9" s="1"/>
  <c r="J43" i="12"/>
  <c r="K43" i="12" s="1"/>
  <c r="J40" i="12"/>
  <c r="K40" i="12" s="1"/>
  <c r="J53" i="12"/>
  <c r="K53" i="12" s="1"/>
  <c r="J35" i="12"/>
  <c r="K35" i="12" s="1"/>
  <c r="J48" i="12"/>
  <c r="K48" i="12" s="1"/>
  <c r="J33" i="12"/>
  <c r="K33" i="12" s="1"/>
  <c r="J42" i="12"/>
  <c r="K42" i="12" s="1"/>
  <c r="J45" i="12"/>
  <c r="K45" i="12" s="1"/>
  <c r="J39" i="12"/>
  <c r="K39" i="12" s="1"/>
  <c r="J57" i="12"/>
  <c r="K57" i="12" s="1"/>
  <c r="J54" i="12"/>
  <c r="K54" i="12" s="1"/>
  <c r="J56" i="12"/>
  <c r="K56" i="12" s="1"/>
  <c r="J46" i="12"/>
  <c r="K46" i="12" s="1"/>
  <c r="J44" i="12"/>
  <c r="K44" i="12" s="1"/>
  <c r="H113" i="14"/>
  <c r="F113" i="14"/>
  <c r="J36" i="12"/>
  <c r="K36" i="12" s="1"/>
  <c r="J47" i="12"/>
  <c r="K47" i="12" s="1"/>
  <c r="J52" i="12"/>
  <c r="K52" i="12" s="1"/>
  <c r="J37" i="12"/>
  <c r="K37" i="12" s="1"/>
  <c r="J50" i="12"/>
  <c r="K50" i="12" s="1"/>
  <c r="H33" i="8"/>
  <c r="H34" i="8" s="1"/>
  <c r="L34" i="8" s="1"/>
  <c r="J51" i="12"/>
  <c r="K51" i="12" s="1"/>
  <c r="M16" i="8"/>
  <c r="C39" i="5" s="1"/>
  <c r="C90" i="5" s="1"/>
  <c r="F115" i="14"/>
  <c r="H25" i="8"/>
  <c r="H27" i="8" s="1"/>
  <c r="L27" i="8" s="1"/>
  <c r="L16" i="8"/>
  <c r="L25" i="8" s="1"/>
  <c r="C35" i="4"/>
  <c r="C36" i="4" s="1"/>
  <c r="C47" i="4" s="1"/>
  <c r="C116" i="4" s="1"/>
  <c r="H62" i="4"/>
  <c r="I62" i="4"/>
  <c r="N16" i="8"/>
  <c r="C40" i="4" s="1"/>
  <c r="C91" i="4" s="1"/>
  <c r="K25" i="8"/>
  <c r="K27" i="8" s="1"/>
  <c r="C117" i="4"/>
  <c r="E117" i="4" s="1"/>
  <c r="G117" i="4" s="1"/>
  <c r="C67" i="14"/>
  <c r="E67" i="14" s="1"/>
  <c r="G67" i="14" s="1"/>
  <c r="D100" i="8"/>
  <c r="D105" i="8" s="1"/>
  <c r="F105" i="8" s="1"/>
  <c r="E116" i="5"/>
  <c r="F153" i="10" l="1"/>
  <c r="E200" i="10" s="1"/>
  <c r="D200" i="10"/>
  <c r="D159" i="9"/>
  <c r="E158" i="10" s="1"/>
  <c r="D161" i="9"/>
  <c r="E160" i="10" s="1"/>
  <c r="D164" i="9"/>
  <c r="E163" i="10" s="1"/>
  <c r="D157" i="9"/>
  <c r="E156" i="10" s="1"/>
  <c r="D160" i="9"/>
  <c r="E159" i="10" s="1"/>
  <c r="D158" i="9"/>
  <c r="E157" i="10" s="1"/>
  <c r="D162" i="9"/>
  <c r="E161" i="10" s="1"/>
  <c r="D156" i="9"/>
  <c r="E155" i="10" s="1"/>
  <c r="D155" i="9"/>
  <c r="E154" i="10" s="1"/>
  <c r="D163" i="9"/>
  <c r="E162" i="10" s="1"/>
  <c r="M28" i="12"/>
  <c r="AV7" i="13"/>
  <c r="AD40" i="13" s="1"/>
  <c r="AD41" i="13" s="1"/>
  <c r="AQ37" i="13"/>
  <c r="AQ28" i="13"/>
  <c r="AQ27" i="13"/>
  <c r="AQ32" i="13"/>
  <c r="AQ33" i="13"/>
  <c r="AQ34" i="13"/>
  <c r="AQ29" i="13"/>
  <c r="AQ36" i="13"/>
  <c r="AQ31" i="13"/>
  <c r="AQ35" i="13"/>
  <c r="AQ30" i="13"/>
  <c r="F108" i="8"/>
  <c r="F109" i="8" s="1"/>
  <c r="F106" i="8"/>
  <c r="F107" i="8" s="1"/>
  <c r="D106" i="8"/>
  <c r="K150" i="11"/>
  <c r="L76" i="3"/>
  <c r="M76" i="3"/>
  <c r="C38" i="5"/>
  <c r="C49" i="5" s="1"/>
  <c r="F116" i="5" s="1"/>
  <c r="G116" i="5" s="1"/>
  <c r="C40" i="5"/>
  <c r="C91" i="5" s="1"/>
  <c r="C38" i="4"/>
  <c r="C89" i="4" s="1"/>
  <c r="C66" i="14"/>
  <c r="E66" i="14" s="1"/>
  <c r="M25" i="8"/>
  <c r="N34" i="8"/>
  <c r="C81" i="5" s="1"/>
  <c r="C39" i="4"/>
  <c r="C90" i="4" s="1"/>
  <c r="N27" i="8"/>
  <c r="N25" i="8"/>
  <c r="C79" i="4"/>
  <c r="F71" i="14" s="1"/>
  <c r="C79" i="5"/>
  <c r="F121" i="5" s="1"/>
  <c r="E116" i="4"/>
  <c r="D101" i="8"/>
  <c r="E45" i="10" l="1"/>
  <c r="C200" i="10"/>
  <c r="C100" i="10"/>
  <c r="AC47" i="13" s="1"/>
  <c r="AC46" i="13" s="1"/>
  <c r="D201" i="10"/>
  <c r="F154" i="10"/>
  <c r="E201" i="10" s="1"/>
  <c r="F161" i="10"/>
  <c r="E208" i="10" s="1"/>
  <c r="D208" i="10"/>
  <c r="D206" i="10"/>
  <c r="F159" i="10"/>
  <c r="E206" i="10" s="1"/>
  <c r="D210" i="10"/>
  <c r="F163" i="10"/>
  <c r="E210" i="10" s="1"/>
  <c r="D205" i="10"/>
  <c r="F158" i="10"/>
  <c r="E205" i="10" s="1"/>
  <c r="C201" i="10"/>
  <c r="C101" i="10"/>
  <c r="AC48" i="13" s="1"/>
  <c r="E85" i="10"/>
  <c r="G75" i="10"/>
  <c r="C208" i="10"/>
  <c r="C108" i="10"/>
  <c r="AC55" i="13" s="1"/>
  <c r="G65" i="10"/>
  <c r="C206" i="10"/>
  <c r="E75" i="10"/>
  <c r="C106" i="10"/>
  <c r="AC53" i="13" s="1"/>
  <c r="C210" i="10"/>
  <c r="C110" i="10"/>
  <c r="AC57" i="13" s="1"/>
  <c r="AC58" i="13" s="1"/>
  <c r="G85" i="10"/>
  <c r="C205" i="10"/>
  <c r="C105" i="10"/>
  <c r="AC52" i="13" s="1"/>
  <c r="D209" i="10"/>
  <c r="F162" i="10"/>
  <c r="E209" i="10" s="1"/>
  <c r="D202" i="10"/>
  <c r="F155" i="10"/>
  <c r="E202" i="10" s="1"/>
  <c r="F157" i="10"/>
  <c r="E204" i="10" s="1"/>
  <c r="D204" i="10"/>
  <c r="D203" i="10"/>
  <c r="F156" i="10"/>
  <c r="E203" i="10" s="1"/>
  <c r="D207" i="10"/>
  <c r="F160" i="10"/>
  <c r="E207" i="10" s="1"/>
  <c r="C209" i="10"/>
  <c r="C109" i="10"/>
  <c r="AC56" i="13" s="1"/>
  <c r="C202" i="10"/>
  <c r="C102" i="10"/>
  <c r="AC49" i="13" s="1"/>
  <c r="G45" i="10"/>
  <c r="E55" i="10"/>
  <c r="E65" i="10"/>
  <c r="G55" i="10"/>
  <c r="C104" i="10"/>
  <c r="AC51" i="13" s="1"/>
  <c r="C204" i="10"/>
  <c r="C203" i="10"/>
  <c r="C103" i="10"/>
  <c r="AC50" i="13" s="1"/>
  <c r="C207" i="10"/>
  <c r="C107" i="10"/>
  <c r="AC54" i="13" s="1"/>
  <c r="AV16" i="13"/>
  <c r="AV9" i="13"/>
  <c r="AV11" i="13"/>
  <c r="AV10" i="13"/>
  <c r="AV14" i="13"/>
  <c r="AV15" i="13"/>
  <c r="AV13" i="13"/>
  <c r="AV12" i="13"/>
  <c r="AV17" i="13"/>
  <c r="AA40" i="13" s="1"/>
  <c r="AA41" i="13" s="1"/>
  <c r="AV8" i="13"/>
  <c r="AB99" i="3"/>
  <c r="AB116" i="3"/>
  <c r="AD97" i="3"/>
  <c r="Y84" i="12" s="1"/>
  <c r="AE97" i="3"/>
  <c r="C71" i="14" s="1"/>
  <c r="C72" i="14" s="1"/>
  <c r="AE114" i="3"/>
  <c r="AD114" i="3"/>
  <c r="C89" i="5"/>
  <c r="C49" i="4"/>
  <c r="F66" i="14" s="1"/>
  <c r="G66" i="14" s="1"/>
  <c r="C81" i="4"/>
  <c r="AB100" i="3" s="1"/>
  <c r="D108" i="8"/>
  <c r="D109" i="8"/>
  <c r="D107" i="10" l="1"/>
  <c r="C140" i="10"/>
  <c r="C160" i="10" s="1"/>
  <c r="AI34" i="13" s="1"/>
  <c r="C142" i="10"/>
  <c r="C162" i="10" s="1"/>
  <c r="AI36" i="13" s="1"/>
  <c r="D109" i="10"/>
  <c r="C138" i="10"/>
  <c r="C158" i="10" s="1"/>
  <c r="AI32" i="13" s="1"/>
  <c r="D105" i="10"/>
  <c r="C137" i="10"/>
  <c r="C157" i="10" s="1"/>
  <c r="AI31" i="13" s="1"/>
  <c r="D104" i="10"/>
  <c r="C139" i="10"/>
  <c r="C159" i="10" s="1"/>
  <c r="AI33" i="13" s="1"/>
  <c r="D106" i="10"/>
  <c r="C141" i="10"/>
  <c r="C161" i="10" s="1"/>
  <c r="AI35" i="13" s="1"/>
  <c r="D108" i="10"/>
  <c r="C134" i="10"/>
  <c r="C154" i="10" s="1"/>
  <c r="AI28" i="13" s="1"/>
  <c r="D101" i="10"/>
  <c r="C133" i="10"/>
  <c r="C153" i="10" s="1"/>
  <c r="AI27" i="13" s="1"/>
  <c r="D100" i="10"/>
  <c r="D103" i="10"/>
  <c r="C136" i="10"/>
  <c r="C156" i="10" s="1"/>
  <c r="C135" i="10"/>
  <c r="C155" i="10" s="1"/>
  <c r="AI29" i="13" s="1"/>
  <c r="D102" i="10"/>
  <c r="C143" i="10"/>
  <c r="C163" i="10" s="1"/>
  <c r="D110" i="10"/>
  <c r="AI9" i="13"/>
  <c r="AK29" i="13" s="1"/>
  <c r="AI14" i="13"/>
  <c r="AK34" i="13" s="1"/>
  <c r="AI11" i="13"/>
  <c r="AK31" i="13" s="1"/>
  <c r="AI13" i="13"/>
  <c r="AK33" i="13" s="1"/>
  <c r="AI15" i="13"/>
  <c r="AK35" i="13" s="1"/>
  <c r="AI12" i="13"/>
  <c r="AK32" i="13" s="1"/>
  <c r="AI8" i="13"/>
  <c r="AK28" i="13" s="1"/>
  <c r="AI10" i="13"/>
  <c r="AK30" i="13" s="1"/>
  <c r="AI16" i="13"/>
  <c r="AK36" i="13" s="1"/>
  <c r="C2486" i="13"/>
  <c r="AI17" i="13"/>
  <c r="AK37" i="13" s="1"/>
  <c r="AI30" i="13"/>
  <c r="C7" i="13"/>
  <c r="C8" i="13"/>
  <c r="C10" i="13"/>
  <c r="C243" i="13"/>
  <c r="C9" i="13"/>
  <c r="C11" i="13"/>
  <c r="C15" i="13"/>
  <c r="C19" i="13"/>
  <c r="C23" i="13"/>
  <c r="C27" i="13"/>
  <c r="C31" i="13"/>
  <c r="C35" i="13"/>
  <c r="C39" i="13"/>
  <c r="C43" i="13"/>
  <c r="C47" i="13"/>
  <c r="C51" i="13"/>
  <c r="C55" i="13"/>
  <c r="C59" i="13"/>
  <c r="C63" i="13"/>
  <c r="C67" i="13"/>
  <c r="C71" i="13"/>
  <c r="C75" i="13"/>
  <c r="C79" i="13"/>
  <c r="C83" i="13"/>
  <c r="C87" i="13"/>
  <c r="C91" i="13"/>
  <c r="C95" i="13"/>
  <c r="C99" i="13"/>
  <c r="C103" i="13"/>
  <c r="C107" i="13"/>
  <c r="C111" i="13"/>
  <c r="C115" i="13"/>
  <c r="C119" i="13"/>
  <c r="C123" i="13"/>
  <c r="C127" i="13"/>
  <c r="C131" i="13"/>
  <c r="C135" i="13"/>
  <c r="C139" i="13"/>
  <c r="C143" i="13"/>
  <c r="C147" i="13"/>
  <c r="C151" i="13"/>
  <c r="C155" i="13"/>
  <c r="C159" i="13"/>
  <c r="C163" i="13"/>
  <c r="C167" i="13"/>
  <c r="C171" i="13"/>
  <c r="C175" i="13"/>
  <c r="C179" i="13"/>
  <c r="C183" i="13"/>
  <c r="C187" i="13"/>
  <c r="C191" i="13"/>
  <c r="C195" i="13"/>
  <c r="C199" i="13"/>
  <c r="C203" i="13"/>
  <c r="C207" i="13"/>
  <c r="C211" i="13"/>
  <c r="C215" i="13"/>
  <c r="C219" i="13"/>
  <c r="C223" i="13"/>
  <c r="C227" i="13"/>
  <c r="C231" i="13"/>
  <c r="C235" i="13"/>
  <c r="C239" i="13"/>
  <c r="C247" i="13"/>
  <c r="C12" i="13"/>
  <c r="C16" i="13"/>
  <c r="C20" i="13"/>
  <c r="C24" i="13"/>
  <c r="C28" i="13"/>
  <c r="C32" i="13"/>
  <c r="C36" i="13"/>
  <c r="C40" i="13"/>
  <c r="C44" i="13"/>
  <c r="C48" i="13"/>
  <c r="C52" i="13"/>
  <c r="C56" i="13"/>
  <c r="C60" i="13"/>
  <c r="C64" i="13"/>
  <c r="C68" i="13"/>
  <c r="C72" i="13"/>
  <c r="C76" i="13"/>
  <c r="C80" i="13"/>
  <c r="C84" i="13"/>
  <c r="C88" i="13"/>
  <c r="C92" i="13"/>
  <c r="C96" i="13"/>
  <c r="C100" i="13"/>
  <c r="C104" i="13"/>
  <c r="C108" i="13"/>
  <c r="C112" i="13"/>
  <c r="C116" i="13"/>
  <c r="C120" i="13"/>
  <c r="C124" i="13"/>
  <c r="C128" i="13"/>
  <c r="C132" i="13"/>
  <c r="C136" i="13"/>
  <c r="C140" i="13"/>
  <c r="C144" i="13"/>
  <c r="C148" i="13"/>
  <c r="C152" i="13"/>
  <c r="C156" i="13"/>
  <c r="C160" i="13"/>
  <c r="C164" i="13"/>
  <c r="C168" i="13"/>
  <c r="C172" i="13"/>
  <c r="C176" i="13"/>
  <c r="C180" i="13"/>
  <c r="C184" i="13"/>
  <c r="C188" i="13"/>
  <c r="C192" i="13"/>
  <c r="C196" i="13"/>
  <c r="C200" i="13"/>
  <c r="C204" i="13"/>
  <c r="C208" i="13"/>
  <c r="C212" i="13"/>
  <c r="C216" i="13"/>
  <c r="C220" i="13"/>
  <c r="C224" i="13"/>
  <c r="C228" i="13"/>
  <c r="C232" i="13"/>
  <c r="C236" i="13"/>
  <c r="C240" i="13"/>
  <c r="C244" i="13"/>
  <c r="C13" i="13"/>
  <c r="C17" i="13"/>
  <c r="C21" i="13"/>
  <c r="C25" i="13"/>
  <c r="C29" i="13"/>
  <c r="C33" i="13"/>
  <c r="C37" i="13"/>
  <c r="C41" i="13"/>
  <c r="C45" i="13"/>
  <c r="C49" i="13"/>
  <c r="C53" i="13"/>
  <c r="C57" i="13"/>
  <c r="C61" i="13"/>
  <c r="C65" i="13"/>
  <c r="C69" i="13"/>
  <c r="C73" i="13"/>
  <c r="C77" i="13"/>
  <c r="C81" i="13"/>
  <c r="C85" i="13"/>
  <c r="C89" i="13"/>
  <c r="C93" i="13"/>
  <c r="C97" i="13"/>
  <c r="C101" i="13"/>
  <c r="C105" i="13"/>
  <c r="C109" i="13"/>
  <c r="C113" i="13"/>
  <c r="C117" i="13"/>
  <c r="C121" i="13"/>
  <c r="C125" i="13"/>
  <c r="C129" i="13"/>
  <c r="C133" i="13"/>
  <c r="C137" i="13"/>
  <c r="C141" i="13"/>
  <c r="C145" i="13"/>
  <c r="C149" i="13"/>
  <c r="C153" i="13"/>
  <c r="C157" i="13"/>
  <c r="C161" i="13"/>
  <c r="C165" i="13"/>
  <c r="C169" i="13"/>
  <c r="C173" i="13"/>
  <c r="C177" i="13"/>
  <c r="C181" i="13"/>
  <c r="C185" i="13"/>
  <c r="C189" i="13"/>
  <c r="C193" i="13"/>
  <c r="C197" i="13"/>
  <c r="C201" i="13"/>
  <c r="C205" i="13"/>
  <c r="C209" i="13"/>
  <c r="C213" i="13"/>
  <c r="C217" i="13"/>
  <c r="C221" i="13"/>
  <c r="C225" i="13"/>
  <c r="C229" i="13"/>
  <c r="C233" i="13"/>
  <c r="C237" i="13"/>
  <c r="C241" i="13"/>
  <c r="C245" i="13"/>
  <c r="C26" i="13"/>
  <c r="C42" i="13"/>
  <c r="C58" i="13"/>
  <c r="C74" i="13"/>
  <c r="C90" i="13"/>
  <c r="C106" i="13"/>
  <c r="C122" i="13"/>
  <c r="C138" i="13"/>
  <c r="C154" i="13"/>
  <c r="C170" i="13"/>
  <c r="C186" i="13"/>
  <c r="C202" i="13"/>
  <c r="C218" i="13"/>
  <c r="C234" i="13"/>
  <c r="C34" i="13"/>
  <c r="C82" i="13"/>
  <c r="C130" i="13"/>
  <c r="C178" i="13"/>
  <c r="C226" i="13"/>
  <c r="C14" i="13"/>
  <c r="C30" i="13"/>
  <c r="C46" i="13"/>
  <c r="C62" i="13"/>
  <c r="C78" i="13"/>
  <c r="C94" i="13"/>
  <c r="C110" i="13"/>
  <c r="C126" i="13"/>
  <c r="C142" i="13"/>
  <c r="C158" i="13"/>
  <c r="C174" i="13"/>
  <c r="C190" i="13"/>
  <c r="C206" i="13"/>
  <c r="C222" i="13"/>
  <c r="C238" i="13"/>
  <c r="C6" i="13"/>
  <c r="C50" i="13"/>
  <c r="C114" i="13"/>
  <c r="C162" i="13"/>
  <c r="C210" i="13"/>
  <c r="C22" i="13"/>
  <c r="C38" i="13"/>
  <c r="C54" i="13"/>
  <c r="C70" i="13"/>
  <c r="C86" i="13"/>
  <c r="C102" i="13"/>
  <c r="C118" i="13"/>
  <c r="C134" i="13"/>
  <c r="C150" i="13"/>
  <c r="C166" i="13"/>
  <c r="C182" i="13"/>
  <c r="C198" i="13"/>
  <c r="C214" i="13"/>
  <c r="C230" i="13"/>
  <c r="C246" i="13"/>
  <c r="C18" i="13"/>
  <c r="C66" i="13"/>
  <c r="C98" i="13"/>
  <c r="C146" i="13"/>
  <c r="C194" i="13"/>
  <c r="C242" i="13"/>
  <c r="AI37" i="13"/>
  <c r="AI7" i="13"/>
  <c r="AK27" i="13" s="1"/>
  <c r="C2008" i="13"/>
  <c r="C2149" i="13"/>
  <c r="C2048" i="13"/>
  <c r="C2050" i="13"/>
  <c r="C2029" i="13"/>
  <c r="C2189" i="13"/>
  <c r="C2133" i="13"/>
  <c r="C2060" i="13"/>
  <c r="C2002" i="13"/>
  <c r="C2191" i="13"/>
  <c r="C2128" i="13"/>
  <c r="C2075" i="13"/>
  <c r="C2210" i="13"/>
  <c r="C2212" i="13"/>
  <c r="C2089" i="13"/>
  <c r="C2022" i="13"/>
  <c r="C1997" i="13"/>
  <c r="C2076" i="13"/>
  <c r="C2194" i="13"/>
  <c r="C2198" i="13"/>
  <c r="C1993" i="13"/>
  <c r="C2207" i="13"/>
  <c r="C2084" i="13"/>
  <c r="C2021" i="13"/>
  <c r="C2174" i="13"/>
  <c r="C2069" i="13"/>
  <c r="C2105" i="13"/>
  <c r="C2040" i="13"/>
  <c r="C2221" i="13"/>
  <c r="C2150" i="13"/>
  <c r="C2061" i="13"/>
  <c r="C2027" i="13"/>
  <c r="C2223" i="13"/>
  <c r="C2159" i="13"/>
  <c r="C2196" i="13"/>
  <c r="C2227" i="13"/>
  <c r="C2143" i="13"/>
  <c r="C2087" i="13"/>
  <c r="C2034" i="13"/>
  <c r="C2186" i="13"/>
  <c r="C2164" i="13"/>
  <c r="C2090" i="13"/>
  <c r="C2018" i="13"/>
  <c r="C2157" i="13"/>
  <c r="C2139" i="13"/>
  <c r="C2066" i="13"/>
  <c r="C2009" i="13"/>
  <c r="C2205" i="13"/>
  <c r="C2123" i="13"/>
  <c r="C2103" i="13"/>
  <c r="C2057" i="13"/>
  <c r="C2230" i="13"/>
  <c r="C2180" i="13"/>
  <c r="C2106" i="13"/>
  <c r="C2016" i="13"/>
  <c r="C2173" i="13"/>
  <c r="C2117" i="13"/>
  <c r="C2045" i="13"/>
  <c r="C2004" i="13"/>
  <c r="C2175" i="13"/>
  <c r="C2088" i="13"/>
  <c r="C2059" i="13"/>
  <c r="C2178" i="13"/>
  <c r="C2182" i="13"/>
  <c r="C2201" i="13"/>
  <c r="C2219" i="13"/>
  <c r="C2155" i="13"/>
  <c r="C2192" i="13"/>
  <c r="C2145" i="13"/>
  <c r="C2119" i="13"/>
  <c r="C2099" i="13"/>
  <c r="C2039" i="13"/>
  <c r="C2072" i="13"/>
  <c r="C2043" i="13"/>
  <c r="C2046" i="13"/>
  <c r="C2025" i="13"/>
  <c r="C1991" i="13"/>
  <c r="C2162" i="13"/>
  <c r="C2166" i="13"/>
  <c r="C2197" i="13"/>
  <c r="C2215" i="13"/>
  <c r="C2151" i="13"/>
  <c r="C2188" i="13"/>
  <c r="C2141" i="13"/>
  <c r="C2116" i="13"/>
  <c r="C2095" i="13"/>
  <c r="C2114" i="13"/>
  <c r="C2068" i="13"/>
  <c r="C2041" i="13"/>
  <c r="C2042" i="13"/>
  <c r="C2024" i="13"/>
  <c r="C2010" i="13"/>
  <c r="C2228" i="13"/>
  <c r="C2214" i="13"/>
  <c r="C2209" i="13"/>
  <c r="C2130" i="13"/>
  <c r="C2163" i="13"/>
  <c r="C2200" i="13"/>
  <c r="C2112" i="13"/>
  <c r="C2127" i="13"/>
  <c r="C2107" i="13"/>
  <c r="C2073" i="13"/>
  <c r="C2080" i="13"/>
  <c r="C2054" i="13"/>
  <c r="C2044" i="13"/>
  <c r="C2033" i="13"/>
  <c r="C2015" i="13"/>
  <c r="C2222" i="13"/>
  <c r="C2226" i="13"/>
  <c r="C2185" i="13"/>
  <c r="C2203" i="13"/>
  <c r="C2138" i="13"/>
  <c r="C2176" i="13"/>
  <c r="C2129" i="13"/>
  <c r="C2140" i="13"/>
  <c r="C2065" i="13"/>
  <c r="C2102" i="13"/>
  <c r="C2056" i="13"/>
  <c r="C2017" i="13"/>
  <c r="C2030" i="13"/>
  <c r="C2012" i="13"/>
  <c r="C1998" i="13"/>
  <c r="C2206" i="13"/>
  <c r="C2218" i="13"/>
  <c r="C2181" i="13"/>
  <c r="C2199" i="13"/>
  <c r="C2122" i="13"/>
  <c r="C2172" i="13"/>
  <c r="C2125" i="13"/>
  <c r="C2136" i="13"/>
  <c r="C2113" i="13"/>
  <c r="C2098" i="13"/>
  <c r="C2052" i="13"/>
  <c r="C2083" i="13"/>
  <c r="C2026" i="13"/>
  <c r="C2011" i="13"/>
  <c r="C1994" i="13"/>
  <c r="C2231" i="13"/>
  <c r="C2147" i="13"/>
  <c r="C2193" i="13"/>
  <c r="C2211" i="13"/>
  <c r="C2148" i="13"/>
  <c r="C2184" i="13"/>
  <c r="C2137" i="13"/>
  <c r="C2100" i="13"/>
  <c r="C2091" i="13"/>
  <c r="C2110" i="13"/>
  <c r="C2064" i="13"/>
  <c r="C2035" i="13"/>
  <c r="C2038" i="13"/>
  <c r="C2020" i="13"/>
  <c r="C2006" i="13"/>
  <c r="C2158" i="13"/>
  <c r="C2170" i="13"/>
  <c r="C2169" i="13"/>
  <c r="C2187" i="13"/>
  <c r="C2224" i="13"/>
  <c r="C2160" i="13"/>
  <c r="C2108" i="13"/>
  <c r="C2124" i="13"/>
  <c r="C2101" i="13"/>
  <c r="C2086" i="13"/>
  <c r="C2078" i="13"/>
  <c r="C2071" i="13"/>
  <c r="C2036" i="13"/>
  <c r="C2014" i="13"/>
  <c r="C2000" i="13"/>
  <c r="C2142" i="13"/>
  <c r="C2154" i="13"/>
  <c r="C2165" i="13"/>
  <c r="C2183" i="13"/>
  <c r="C2220" i="13"/>
  <c r="C2156" i="13"/>
  <c r="C2092" i="13"/>
  <c r="C2120" i="13"/>
  <c r="C2097" i="13"/>
  <c r="C2082" i="13"/>
  <c r="C2074" i="13"/>
  <c r="C2067" i="13"/>
  <c r="C2032" i="13"/>
  <c r="C2007" i="13"/>
  <c r="C1996" i="13"/>
  <c r="C2190" i="13"/>
  <c r="C2202" i="13"/>
  <c r="C2177" i="13"/>
  <c r="C2195" i="13"/>
  <c r="C2096" i="13"/>
  <c r="C2168" i="13"/>
  <c r="C2121" i="13"/>
  <c r="C2132" i="13"/>
  <c r="C2109" i="13"/>
  <c r="C2094" i="13"/>
  <c r="C2051" i="13"/>
  <c r="C2079" i="13"/>
  <c r="C2013" i="13"/>
  <c r="C1995" i="13"/>
  <c r="C1990" i="13"/>
  <c r="C2134" i="13"/>
  <c r="C2217" i="13"/>
  <c r="C2153" i="13"/>
  <c r="C2171" i="13"/>
  <c r="C2208" i="13"/>
  <c r="C2144" i="13"/>
  <c r="C2135" i="13"/>
  <c r="C2115" i="13"/>
  <c r="C2085" i="13"/>
  <c r="C2047" i="13"/>
  <c r="C2062" i="13"/>
  <c r="C2055" i="13"/>
  <c r="C1999" i="13"/>
  <c r="C2023" i="13"/>
  <c r="C2005" i="13"/>
  <c r="C2229" i="13"/>
  <c r="C2213" i="13"/>
  <c r="C2146" i="13"/>
  <c r="C2167" i="13"/>
  <c r="C2204" i="13"/>
  <c r="C2126" i="13"/>
  <c r="C2131" i="13"/>
  <c r="C2111" i="13"/>
  <c r="C2081" i="13"/>
  <c r="C2031" i="13"/>
  <c r="C2058" i="13"/>
  <c r="C2049" i="13"/>
  <c r="C2037" i="13"/>
  <c r="C2019" i="13"/>
  <c r="C2001" i="13"/>
  <c r="C2118" i="13"/>
  <c r="C2225" i="13"/>
  <c r="C2161" i="13"/>
  <c r="C2179" i="13"/>
  <c r="C2216" i="13"/>
  <c r="C2152" i="13"/>
  <c r="C2053" i="13"/>
  <c r="C2104" i="13"/>
  <c r="C2093" i="13"/>
  <c r="C2077" i="13"/>
  <c r="C2070" i="13"/>
  <c r="C2063" i="13"/>
  <c r="C2028" i="13"/>
  <c r="C2003" i="13"/>
  <c r="C1992" i="13"/>
  <c r="C495" i="13"/>
  <c r="C484" i="13"/>
  <c r="C489" i="13"/>
  <c r="C482" i="13"/>
  <c r="C464" i="13"/>
  <c r="C473" i="13"/>
  <c r="C494" i="13"/>
  <c r="C466" i="13"/>
  <c r="C446" i="13"/>
  <c r="C455" i="13"/>
  <c r="C460" i="13"/>
  <c r="C442" i="13"/>
  <c r="C426" i="13"/>
  <c r="C410" i="13"/>
  <c r="C439" i="13"/>
  <c r="C423" i="13"/>
  <c r="C407" i="13"/>
  <c r="C440" i="13"/>
  <c r="C424" i="13"/>
  <c r="C408" i="13"/>
  <c r="C403" i="13"/>
  <c r="C387" i="13"/>
  <c r="C445" i="13"/>
  <c r="C400" i="13"/>
  <c r="C384" i="13"/>
  <c r="C457" i="13"/>
  <c r="C389" i="13"/>
  <c r="C365" i="13"/>
  <c r="C349" i="13"/>
  <c r="C333" i="13"/>
  <c r="C317" i="13"/>
  <c r="C437" i="13"/>
  <c r="C390" i="13"/>
  <c r="C366" i="13"/>
  <c r="C350" i="13"/>
  <c r="C334" i="13"/>
  <c r="C318" i="13"/>
  <c r="C433" i="13"/>
  <c r="C363" i="13"/>
  <c r="C331" i="13"/>
  <c r="C303" i="13"/>
  <c r="C394" i="13"/>
  <c r="C356" i="13"/>
  <c r="C324" i="13"/>
  <c r="C296" i="13"/>
  <c r="C367" i="13"/>
  <c r="C335" i="13"/>
  <c r="C402" i="13"/>
  <c r="C297" i="13"/>
  <c r="C275" i="13"/>
  <c r="C259" i="13"/>
  <c r="C286" i="13"/>
  <c r="C344" i="13"/>
  <c r="C288" i="13"/>
  <c r="C272" i="13"/>
  <c r="C256" i="13"/>
  <c r="C270" i="13"/>
  <c r="C254" i="13"/>
  <c r="C293" i="13"/>
  <c r="C277" i="13"/>
  <c r="C261" i="13"/>
  <c r="C491" i="13"/>
  <c r="C480" i="13"/>
  <c r="C485" i="13"/>
  <c r="C474" i="13"/>
  <c r="C490" i="13"/>
  <c r="C469" i="13"/>
  <c r="C486" i="13"/>
  <c r="C458" i="13"/>
  <c r="C487" i="13"/>
  <c r="C451" i="13"/>
  <c r="C456" i="13"/>
  <c r="C438" i="13"/>
  <c r="C422" i="13"/>
  <c r="C449" i="13"/>
  <c r="C435" i="13"/>
  <c r="C419" i="13"/>
  <c r="C463" i="13"/>
  <c r="C436" i="13"/>
  <c r="C420" i="13"/>
  <c r="C441" i="13"/>
  <c r="C399" i="13"/>
  <c r="C383" i="13"/>
  <c r="C429" i="13"/>
  <c r="C396" i="13"/>
  <c r="C380" i="13"/>
  <c r="C417" i="13"/>
  <c r="C381" i="13"/>
  <c r="C361" i="13"/>
  <c r="C345" i="13"/>
  <c r="C329" i="13"/>
  <c r="C313" i="13"/>
  <c r="C421" i="13"/>
  <c r="C382" i="13"/>
  <c r="C362" i="13"/>
  <c r="C346" i="13"/>
  <c r="C330" i="13"/>
  <c r="C314" i="13"/>
  <c r="C393" i="13"/>
  <c r="C355" i="13"/>
  <c r="C323" i="13"/>
  <c r="C299" i="13"/>
  <c r="C378" i="13"/>
  <c r="C348" i="13"/>
  <c r="C316" i="13"/>
  <c r="C292" i="13"/>
  <c r="C359" i="13"/>
  <c r="C327" i="13"/>
  <c r="C368" i="13"/>
  <c r="C287" i="13"/>
  <c r="C271" i="13"/>
  <c r="C255" i="13"/>
  <c r="C282" i="13"/>
  <c r="C312" i="13"/>
  <c r="C284" i="13"/>
  <c r="C268" i="13"/>
  <c r="C386" i="13"/>
  <c r="C266" i="13"/>
  <c r="C352" i="13"/>
  <c r="C289" i="13"/>
  <c r="C273" i="13"/>
  <c r="C257" i="13"/>
  <c r="C492" i="13"/>
  <c r="C476" i="13"/>
  <c r="C481" i="13"/>
  <c r="C472" i="13"/>
  <c r="C483" i="13"/>
  <c r="C465" i="13"/>
  <c r="C478" i="13"/>
  <c r="C454" i="13"/>
  <c r="C467" i="13"/>
  <c r="C470" i="13"/>
  <c r="C452" i="13"/>
  <c r="C434" i="13"/>
  <c r="C418" i="13"/>
  <c r="C447" i="13"/>
  <c r="C431" i="13"/>
  <c r="C415" i="13"/>
  <c r="C453" i="13"/>
  <c r="C432" i="13"/>
  <c r="C416" i="13"/>
  <c r="C425" i="13"/>
  <c r="C395" i="13"/>
  <c r="C379" i="13"/>
  <c r="C413" i="13"/>
  <c r="C392" i="13"/>
  <c r="C376" i="13"/>
  <c r="C405" i="13"/>
  <c r="C373" i="13"/>
  <c r="C357" i="13"/>
  <c r="C341" i="13"/>
  <c r="C325" i="13"/>
  <c r="C309" i="13"/>
  <c r="C406" i="13"/>
  <c r="C374" i="13"/>
  <c r="C358" i="13"/>
  <c r="C342" i="13"/>
  <c r="C326" i="13"/>
  <c r="C310" i="13"/>
  <c r="C377" i="13"/>
  <c r="C347" i="13"/>
  <c r="C315" i="13"/>
  <c r="C295" i="13"/>
  <c r="C372" i="13"/>
  <c r="C340" i="13"/>
  <c r="C308" i="13"/>
  <c r="C401" i="13"/>
  <c r="C351" i="13"/>
  <c r="C319" i="13"/>
  <c r="C336" i="13"/>
  <c r="C283" i="13"/>
  <c r="C267" i="13"/>
  <c r="C360" i="13"/>
  <c r="C278" i="13"/>
  <c r="C298" i="13"/>
  <c r="C280" i="13"/>
  <c r="C264" i="13"/>
  <c r="C328" i="13"/>
  <c r="C262" i="13"/>
  <c r="C320" i="13"/>
  <c r="C285" i="13"/>
  <c r="C269" i="13"/>
  <c r="C488" i="13"/>
  <c r="C493" i="13"/>
  <c r="C477" i="13"/>
  <c r="C468" i="13"/>
  <c r="C475" i="13"/>
  <c r="C461" i="13"/>
  <c r="C479" i="13"/>
  <c r="C450" i="13"/>
  <c r="C459" i="13"/>
  <c r="C462" i="13"/>
  <c r="C448" i="13"/>
  <c r="C430" i="13"/>
  <c r="C414" i="13"/>
  <c r="C443" i="13"/>
  <c r="C427" i="13"/>
  <c r="C411" i="13"/>
  <c r="C444" i="13"/>
  <c r="C428" i="13"/>
  <c r="C412" i="13"/>
  <c r="C409" i="13"/>
  <c r="C391" i="13"/>
  <c r="C375" i="13"/>
  <c r="C404" i="13"/>
  <c r="C388" i="13"/>
  <c r="C471" i="13"/>
  <c r="C397" i="13"/>
  <c r="C369" i="13"/>
  <c r="C353" i="13"/>
  <c r="C337" i="13"/>
  <c r="C321" i="13"/>
  <c r="C305" i="13"/>
  <c r="C398" i="13"/>
  <c r="C370" i="13"/>
  <c r="C354" i="13"/>
  <c r="C338" i="13"/>
  <c r="C322" i="13"/>
  <c r="C306" i="13"/>
  <c r="C371" i="13"/>
  <c r="C339" i="13"/>
  <c r="C307" i="13"/>
  <c r="C291" i="13"/>
  <c r="C364" i="13"/>
  <c r="C332" i="13"/>
  <c r="C300" i="13"/>
  <c r="C385" i="13"/>
  <c r="C343" i="13"/>
  <c r="C311" i="13"/>
  <c r="C304" i="13"/>
  <c r="C279" i="13"/>
  <c r="C263" i="13"/>
  <c r="C302" i="13"/>
  <c r="C274" i="13"/>
  <c r="C290" i="13"/>
  <c r="C276" i="13"/>
  <c r="C260" i="13"/>
  <c r="C294" i="13"/>
  <c r="C258" i="13"/>
  <c r="C301" i="13"/>
  <c r="C281" i="13"/>
  <c r="C265" i="13"/>
  <c r="C1013" i="13"/>
  <c r="C1007" i="13"/>
  <c r="C1002" i="13"/>
  <c r="C1023" i="13"/>
  <c r="C1008" i="13"/>
  <c r="C1030" i="13"/>
  <c r="C1021" i="13"/>
  <c r="C1028" i="13"/>
  <c r="C1044" i="13"/>
  <c r="C1060" i="13"/>
  <c r="C1035" i="13"/>
  <c r="C1042" i="13"/>
  <c r="C1058" i="13"/>
  <c r="C1037" i="13"/>
  <c r="C1071" i="13"/>
  <c r="C1053" i="13"/>
  <c r="C1043" i="13"/>
  <c r="C1087" i="13"/>
  <c r="C1103" i="13"/>
  <c r="C1078" i="13"/>
  <c r="C1094" i="13"/>
  <c r="C1051" i="13"/>
  <c r="C1105" i="13"/>
  <c r="C1124" i="13"/>
  <c r="C1140" i="13"/>
  <c r="C1096" i="13"/>
  <c r="C1119" i="13"/>
  <c r="C1135" i="13"/>
  <c r="C1077" i="13"/>
  <c r="C1110" i="13"/>
  <c r="C1126" i="13"/>
  <c r="C1117" i="13"/>
  <c r="C1153" i="13"/>
  <c r="C1169" i="13"/>
  <c r="C1185" i="13"/>
  <c r="C1201" i="13"/>
  <c r="C1100" i="13"/>
  <c r="C1144" i="13"/>
  <c r="C1160" i="13"/>
  <c r="C1176" i="13"/>
  <c r="C1192" i="13"/>
  <c r="C1208" i="13"/>
  <c r="C1092" i="13"/>
  <c r="C1141" i="13"/>
  <c r="C1155" i="13"/>
  <c r="C1142" i="13"/>
  <c r="C1179" i="13"/>
  <c r="C1211" i="13"/>
  <c r="C1231" i="13"/>
  <c r="C1150" i="13"/>
  <c r="C1225" i="13"/>
  <c r="C1170" i="13"/>
  <c r="C1202" i="13"/>
  <c r="C1226" i="13"/>
  <c r="C1167" i="13"/>
  <c r="C1215" i="13"/>
  <c r="C1166" i="13"/>
  <c r="C1146" i="13"/>
  <c r="C1182" i="13"/>
  <c r="C1174" i="13"/>
  <c r="C1001" i="13"/>
  <c r="C1017" i="13"/>
  <c r="C1011" i="13"/>
  <c r="C1010" i="13"/>
  <c r="C1027" i="13"/>
  <c r="C1016" i="13"/>
  <c r="C998" i="13"/>
  <c r="C1025" i="13"/>
  <c r="C1032" i="13"/>
  <c r="C1048" i="13"/>
  <c r="C1064" i="13"/>
  <c r="C1039" i="13"/>
  <c r="C1046" i="13"/>
  <c r="C1062" i="13"/>
  <c r="C1047" i="13"/>
  <c r="C1012" i="13"/>
  <c r="C1061" i="13"/>
  <c r="C1059" i="13"/>
  <c r="C1091" i="13"/>
  <c r="C1107" i="13"/>
  <c r="C1082" i="13"/>
  <c r="C1098" i="13"/>
  <c r="C1081" i="13"/>
  <c r="C1112" i="13"/>
  <c r="C1128" i="13"/>
  <c r="C1049" i="13"/>
  <c r="C1104" i="13"/>
  <c r="C1123" i="13"/>
  <c r="C1139" i="13"/>
  <c r="C1085" i="13"/>
  <c r="C1114" i="13"/>
  <c r="C1130" i="13"/>
  <c r="C1137" i="13"/>
  <c r="C1157" i="13"/>
  <c r="C1173" i="13"/>
  <c r="C1189" i="13"/>
  <c r="C1205" i="13"/>
  <c r="C1113" i="13"/>
  <c r="C1148" i="13"/>
  <c r="C1164" i="13"/>
  <c r="C1180" i="13"/>
  <c r="C1196" i="13"/>
  <c r="C1212" i="13"/>
  <c r="C1109" i="13"/>
  <c r="C1143" i="13"/>
  <c r="C1159" i="13"/>
  <c r="C1158" i="13"/>
  <c r="C1187" i="13"/>
  <c r="C1219" i="13"/>
  <c r="C1235" i="13"/>
  <c r="C1199" i="13"/>
  <c r="C1121" i="13"/>
  <c r="C1178" i="13"/>
  <c r="C1210" i="13"/>
  <c r="C1230" i="13"/>
  <c r="C1175" i="13"/>
  <c r="C1221" i="13"/>
  <c r="C1198" i="13"/>
  <c r="C1190" i="13"/>
  <c r="C1214" i="13"/>
  <c r="C1005" i="13"/>
  <c r="C999" i="13"/>
  <c r="C1015" i="13"/>
  <c r="C1018" i="13"/>
  <c r="C1031" i="13"/>
  <c r="C1022" i="13"/>
  <c r="C1006" i="13"/>
  <c r="C1029" i="13"/>
  <c r="C1036" i="13"/>
  <c r="C1052" i="13"/>
  <c r="C1068" i="13"/>
  <c r="C1034" i="13"/>
  <c r="C1050" i="13"/>
  <c r="C1066" i="13"/>
  <c r="C1055" i="13"/>
  <c r="C1033" i="13"/>
  <c r="C1069" i="13"/>
  <c r="C1079" i="13"/>
  <c r="C1095" i="13"/>
  <c r="C1057" i="13"/>
  <c r="C1086" i="13"/>
  <c r="C1102" i="13"/>
  <c r="C1089" i="13"/>
  <c r="C1116" i="13"/>
  <c r="C1132" i="13"/>
  <c r="C1080" i="13"/>
  <c r="C1111" i="13"/>
  <c r="C1127" i="13"/>
  <c r="C1067" i="13"/>
  <c r="C1093" i="13"/>
  <c r="C1118" i="13"/>
  <c r="C1076" i="13"/>
  <c r="C1145" i="13"/>
  <c r="C1161" i="13"/>
  <c r="C1177" i="13"/>
  <c r="C1193" i="13"/>
  <c r="C1209" i="13"/>
  <c r="C1129" i="13"/>
  <c r="C1152" i="13"/>
  <c r="C1168" i="13"/>
  <c r="C1184" i="13"/>
  <c r="C1200" i="13"/>
  <c r="C1065" i="13"/>
  <c r="C1125" i="13"/>
  <c r="C1147" i="13"/>
  <c r="C1041" i="13"/>
  <c r="C1163" i="13"/>
  <c r="C1195" i="13"/>
  <c r="C1223" i="13"/>
  <c r="C1239" i="13"/>
  <c r="C1207" i="13"/>
  <c r="C1154" i="13"/>
  <c r="C1186" i="13"/>
  <c r="C1218" i="13"/>
  <c r="C1234" i="13"/>
  <c r="C1183" i="13"/>
  <c r="C1233" i="13"/>
  <c r="C1224" i="13"/>
  <c r="C1220" i="13"/>
  <c r="C1216" i="13"/>
  <c r="C1009" i="13"/>
  <c r="C1003" i="13"/>
  <c r="C1019" i="13"/>
  <c r="C1020" i="13"/>
  <c r="C1000" i="13"/>
  <c r="C1026" i="13"/>
  <c r="C1014" i="13"/>
  <c r="C1004" i="13"/>
  <c r="C1040" i="13"/>
  <c r="C1056" i="13"/>
  <c r="C1024" i="13"/>
  <c r="C1038" i="13"/>
  <c r="C1054" i="13"/>
  <c r="C1070" i="13"/>
  <c r="C1063" i="13"/>
  <c r="C1045" i="13"/>
  <c r="C1073" i="13"/>
  <c r="C1083" i="13"/>
  <c r="C1099" i="13"/>
  <c r="C1075" i="13"/>
  <c r="C1090" i="13"/>
  <c r="C1106" i="13"/>
  <c r="C1097" i="13"/>
  <c r="C1120" i="13"/>
  <c r="C1136" i="13"/>
  <c r="C1088" i="13"/>
  <c r="C1115" i="13"/>
  <c r="C1131" i="13"/>
  <c r="C1074" i="13"/>
  <c r="C1101" i="13"/>
  <c r="C1122" i="13"/>
  <c r="C1108" i="13"/>
  <c r="C1149" i="13"/>
  <c r="C1165" i="13"/>
  <c r="C1181" i="13"/>
  <c r="C1197" i="13"/>
  <c r="C1213" i="13"/>
  <c r="C1134" i="13"/>
  <c r="C1156" i="13"/>
  <c r="C1172" i="13"/>
  <c r="C1188" i="13"/>
  <c r="C1204" i="13"/>
  <c r="C1072" i="13"/>
  <c r="C1133" i="13"/>
  <c r="C1151" i="13"/>
  <c r="C1138" i="13"/>
  <c r="C1171" i="13"/>
  <c r="C1203" i="13"/>
  <c r="C1227" i="13"/>
  <c r="C1084" i="13"/>
  <c r="C1217" i="13"/>
  <c r="C1162" i="13"/>
  <c r="C1194" i="13"/>
  <c r="C1222" i="13"/>
  <c r="C1238" i="13"/>
  <c r="C1191" i="13"/>
  <c r="C1229" i="13"/>
  <c r="C1237" i="13"/>
  <c r="C1236" i="13"/>
  <c r="C1232" i="13"/>
  <c r="C1206" i="13"/>
  <c r="C1228" i="13"/>
  <c r="C1253" i="13"/>
  <c r="C1248" i="13"/>
  <c r="C1264" i="13"/>
  <c r="C1250" i="13"/>
  <c r="C1274" i="13"/>
  <c r="C1269" i="13"/>
  <c r="C1275" i="13"/>
  <c r="C1294" i="13"/>
  <c r="C1310" i="13"/>
  <c r="C1280" i="13"/>
  <c r="C1293" i="13"/>
  <c r="C1309" i="13"/>
  <c r="C1284" i="13"/>
  <c r="C1318" i="13"/>
  <c r="C1291" i="13"/>
  <c r="C1288" i="13"/>
  <c r="C1303" i="13"/>
  <c r="C1327" i="13"/>
  <c r="C1343" i="13"/>
  <c r="C1295" i="13"/>
  <c r="C1330" i="13"/>
  <c r="C1346" i="13"/>
  <c r="C1321" i="13"/>
  <c r="C1337" i="13"/>
  <c r="C1353" i="13"/>
  <c r="C1356" i="13"/>
  <c r="C1372" i="13"/>
  <c r="C1388" i="13"/>
  <c r="C1404" i="13"/>
  <c r="C1420" i="13"/>
  <c r="C1324" i="13"/>
  <c r="C1320" i="13"/>
  <c r="C1362" i="13"/>
  <c r="C1378" i="13"/>
  <c r="C1394" i="13"/>
  <c r="C1410" i="13"/>
  <c r="C1426" i="13"/>
  <c r="C1377" i="13"/>
  <c r="C1409" i="13"/>
  <c r="C1436" i="13"/>
  <c r="C1361" i="13"/>
  <c r="C1391" i="13"/>
  <c r="C1423" i="13"/>
  <c r="C1373" i="13"/>
  <c r="C1438" i="13"/>
  <c r="C1448" i="13"/>
  <c r="C1464" i="13"/>
  <c r="C1480" i="13"/>
  <c r="C1387" i="13"/>
  <c r="C1443" i="13"/>
  <c r="C1459" i="13"/>
  <c r="C1475" i="13"/>
  <c r="C1427" i="13"/>
  <c r="C1469" i="13"/>
  <c r="C1397" i="13"/>
  <c r="C1442" i="13"/>
  <c r="C1458" i="13"/>
  <c r="C1474" i="13"/>
  <c r="C1379" i="13"/>
  <c r="C1449" i="13"/>
  <c r="C1485" i="13"/>
  <c r="C1257" i="13"/>
  <c r="C1252" i="13"/>
  <c r="C1247" i="13"/>
  <c r="C1254" i="13"/>
  <c r="C1278" i="13"/>
  <c r="C1273" i="13"/>
  <c r="C1282" i="13"/>
  <c r="C1298" i="13"/>
  <c r="C1314" i="13"/>
  <c r="C1281" i="13"/>
  <c r="C1297" i="13"/>
  <c r="C1313" i="13"/>
  <c r="C1292" i="13"/>
  <c r="C1266" i="13"/>
  <c r="C1299" i="13"/>
  <c r="C1296" i="13"/>
  <c r="C1316" i="13"/>
  <c r="C1331" i="13"/>
  <c r="C1347" i="13"/>
  <c r="C1315" i="13"/>
  <c r="C1334" i="13"/>
  <c r="C1350" i="13"/>
  <c r="C1325" i="13"/>
  <c r="C1341" i="13"/>
  <c r="C1317" i="13"/>
  <c r="C1360" i="13"/>
  <c r="C1376" i="13"/>
  <c r="C1392" i="13"/>
  <c r="C1408" i="13"/>
  <c r="C1424" i="13"/>
  <c r="C1340" i="13"/>
  <c r="C1336" i="13"/>
  <c r="C1366" i="13"/>
  <c r="C1382" i="13"/>
  <c r="C1398" i="13"/>
  <c r="C1414" i="13"/>
  <c r="C1430" i="13"/>
  <c r="C1385" i="13"/>
  <c r="C1417" i="13"/>
  <c r="C1311" i="13"/>
  <c r="C1367" i="13"/>
  <c r="C1399" i="13"/>
  <c r="C1431" i="13"/>
  <c r="C1389" i="13"/>
  <c r="C1439" i="13"/>
  <c r="C1452" i="13"/>
  <c r="C1468" i="13"/>
  <c r="C1484" i="13"/>
  <c r="C1403" i="13"/>
  <c r="C1447" i="13"/>
  <c r="C1463" i="13"/>
  <c r="C1479" i="13"/>
  <c r="C1453" i="13"/>
  <c r="C1473" i="13"/>
  <c r="C1413" i="13"/>
  <c r="C1446" i="13"/>
  <c r="C1462" i="13"/>
  <c r="C1478" i="13"/>
  <c r="C1395" i="13"/>
  <c r="C1457" i="13"/>
  <c r="C1261" i="13"/>
  <c r="C1256" i="13"/>
  <c r="C1251" i="13"/>
  <c r="C1262" i="13"/>
  <c r="C1259" i="13"/>
  <c r="C1277" i="13"/>
  <c r="C1286" i="13"/>
  <c r="C1302" i="13"/>
  <c r="C1258" i="13"/>
  <c r="C1285" i="13"/>
  <c r="C1301" i="13"/>
  <c r="C1255" i="13"/>
  <c r="C1300" i="13"/>
  <c r="C1268" i="13"/>
  <c r="C1307" i="13"/>
  <c r="C1304" i="13"/>
  <c r="C1319" i="13"/>
  <c r="C1335" i="13"/>
  <c r="C1351" i="13"/>
  <c r="C1322" i="13"/>
  <c r="C1338" i="13"/>
  <c r="C1276" i="13"/>
  <c r="C1329" i="13"/>
  <c r="C1345" i="13"/>
  <c r="C1328" i="13"/>
  <c r="C1364" i="13"/>
  <c r="C1380" i="13"/>
  <c r="C1396" i="13"/>
  <c r="C1412" i="13"/>
  <c r="C1428" i="13"/>
  <c r="C1359" i="13"/>
  <c r="C1354" i="13"/>
  <c r="C1370" i="13"/>
  <c r="C1386" i="13"/>
  <c r="C1402" i="13"/>
  <c r="C1418" i="13"/>
  <c r="C1348" i="13"/>
  <c r="C1393" i="13"/>
  <c r="C1425" i="13"/>
  <c r="C1332" i="13"/>
  <c r="C1375" i="13"/>
  <c r="C1407" i="13"/>
  <c r="C1435" i="13"/>
  <c r="C1405" i="13"/>
  <c r="C1440" i="13"/>
  <c r="C1456" i="13"/>
  <c r="C1472" i="13"/>
  <c r="C1445" i="13"/>
  <c r="C1419" i="13"/>
  <c r="C1451" i="13"/>
  <c r="C1467" i="13"/>
  <c r="C1483" i="13"/>
  <c r="C1461" i="13"/>
  <c r="C1365" i="13"/>
  <c r="C1429" i="13"/>
  <c r="C1450" i="13"/>
  <c r="C1466" i="13"/>
  <c r="C1482" i="13"/>
  <c r="C1411" i="13"/>
  <c r="C1481" i="13"/>
  <c r="C1249" i="13"/>
  <c r="C1265" i="13"/>
  <c r="C1260" i="13"/>
  <c r="C1246" i="13"/>
  <c r="C1270" i="13"/>
  <c r="C1267" i="13"/>
  <c r="C1263" i="13"/>
  <c r="C1290" i="13"/>
  <c r="C1306" i="13"/>
  <c r="C1272" i="13"/>
  <c r="C1289" i="13"/>
  <c r="C1305" i="13"/>
  <c r="C1271" i="13"/>
  <c r="C1308" i="13"/>
  <c r="C1283" i="13"/>
  <c r="C1279" i="13"/>
  <c r="C1312" i="13"/>
  <c r="C1323" i="13"/>
  <c r="C1339" i="13"/>
  <c r="C1355" i="13"/>
  <c r="C1326" i="13"/>
  <c r="C1342" i="13"/>
  <c r="C1287" i="13"/>
  <c r="C1333" i="13"/>
  <c r="C1349" i="13"/>
  <c r="C1344" i="13"/>
  <c r="C1368" i="13"/>
  <c r="C1384" i="13"/>
  <c r="C1400" i="13"/>
  <c r="C1416" i="13"/>
  <c r="C1432" i="13"/>
  <c r="C1363" i="13"/>
  <c r="C1358" i="13"/>
  <c r="C1374" i="13"/>
  <c r="C1390" i="13"/>
  <c r="C1406" i="13"/>
  <c r="C1422" i="13"/>
  <c r="C1369" i="13"/>
  <c r="C1401" i="13"/>
  <c r="C1433" i="13"/>
  <c r="C1352" i="13"/>
  <c r="C1383" i="13"/>
  <c r="C1415" i="13"/>
  <c r="C1357" i="13"/>
  <c r="C1421" i="13"/>
  <c r="C1444" i="13"/>
  <c r="C1460" i="13"/>
  <c r="C1476" i="13"/>
  <c r="C1371" i="13"/>
  <c r="C1437" i="13"/>
  <c r="C1455" i="13"/>
  <c r="C1471" i="13"/>
  <c r="C1487" i="13"/>
  <c r="C1465" i="13"/>
  <c r="C1381" i="13"/>
  <c r="C1434" i="13"/>
  <c r="C1454" i="13"/>
  <c r="C1470" i="13"/>
  <c r="C1486" i="13"/>
  <c r="C1441" i="13"/>
  <c r="C1477" i="13"/>
  <c r="C2494" i="13"/>
  <c r="C2510" i="13"/>
  <c r="C2526" i="13"/>
  <c r="C2489" i="13"/>
  <c r="C2505" i="13"/>
  <c r="C2521" i="13"/>
  <c r="C2537" i="13"/>
  <c r="C2499" i="13"/>
  <c r="C2515" i="13"/>
  <c r="C2531" i="13"/>
  <c r="C2535" i="13"/>
  <c r="C2555" i="13"/>
  <c r="C2571" i="13"/>
  <c r="C2587" i="13"/>
  <c r="C2603" i="13"/>
  <c r="C2520" i="13"/>
  <c r="C2549" i="13"/>
  <c r="C2565" i="13"/>
  <c r="C2581" i="13"/>
  <c r="C2597" i="13"/>
  <c r="C2516" i="13"/>
  <c r="C2548" i="13"/>
  <c r="C2564" i="13"/>
  <c r="C2580" i="13"/>
  <c r="C2596" i="13"/>
  <c r="C2546" i="13"/>
  <c r="C2611" i="13"/>
  <c r="C2627" i="13"/>
  <c r="C2643" i="13"/>
  <c r="C2659" i="13"/>
  <c r="C2524" i="13"/>
  <c r="C2586" i="13"/>
  <c r="C2617" i="13"/>
  <c r="C2633" i="13"/>
  <c r="C2649" i="13"/>
  <c r="C2665" i="13"/>
  <c r="C2550" i="13"/>
  <c r="C2606" i="13"/>
  <c r="C2620" i="13"/>
  <c r="C2636" i="13"/>
  <c r="C2652" i="13"/>
  <c r="C2668" i="13"/>
  <c r="C2634" i="13"/>
  <c r="C2682" i="13"/>
  <c r="C2698" i="13"/>
  <c r="C2714" i="13"/>
  <c r="C2703" i="13"/>
  <c r="C2542" i="13"/>
  <c r="C2662" i="13"/>
  <c r="C2689" i="13"/>
  <c r="C2705" i="13"/>
  <c r="C2721" i="13"/>
  <c r="C2670" i="13"/>
  <c r="C2687" i="13"/>
  <c r="C2723" i="13"/>
  <c r="C2642" i="13"/>
  <c r="C2680" i="13"/>
  <c r="C2696" i="13"/>
  <c r="C2712" i="13"/>
  <c r="C2574" i="13"/>
  <c r="C2498" i="13"/>
  <c r="C2514" i="13"/>
  <c r="C2530" i="13"/>
  <c r="C2493" i="13"/>
  <c r="C2509" i="13"/>
  <c r="C2525" i="13"/>
  <c r="C2487" i="13"/>
  <c r="C2503" i="13"/>
  <c r="C2519" i="13"/>
  <c r="C2496" i="13"/>
  <c r="C2543" i="13"/>
  <c r="C2559" i="13"/>
  <c r="C2575" i="13"/>
  <c r="C2591" i="13"/>
  <c r="C2607" i="13"/>
  <c r="C2539" i="13"/>
  <c r="C2553" i="13"/>
  <c r="C2569" i="13"/>
  <c r="C2585" i="13"/>
  <c r="C2601" i="13"/>
  <c r="C2532" i="13"/>
  <c r="C2552" i="13"/>
  <c r="C2568" i="13"/>
  <c r="C2584" i="13"/>
  <c r="C2600" i="13"/>
  <c r="C2562" i="13"/>
  <c r="C2615" i="13"/>
  <c r="C2631" i="13"/>
  <c r="C2647" i="13"/>
  <c r="C2663" i="13"/>
  <c r="C2540" i="13"/>
  <c r="C2602" i="13"/>
  <c r="C2621" i="13"/>
  <c r="C2637" i="13"/>
  <c r="C2653" i="13"/>
  <c r="C2669" i="13"/>
  <c r="C2566" i="13"/>
  <c r="C2608" i="13"/>
  <c r="C2624" i="13"/>
  <c r="C2640" i="13"/>
  <c r="C2656" i="13"/>
  <c r="C2672" i="13"/>
  <c r="C2650" i="13"/>
  <c r="C2686" i="13"/>
  <c r="C2702" i="13"/>
  <c r="C2718" i="13"/>
  <c r="C2715" i="13"/>
  <c r="C2614" i="13"/>
  <c r="C2677" i="13"/>
  <c r="C2693" i="13"/>
  <c r="C2709" i="13"/>
  <c r="C2725" i="13"/>
  <c r="C2675" i="13"/>
  <c r="C2691" i="13"/>
  <c r="C2590" i="13"/>
  <c r="C2658" i="13"/>
  <c r="C2684" i="13"/>
  <c r="C2700" i="13"/>
  <c r="C2716" i="13"/>
  <c r="C2622" i="13"/>
  <c r="C2502" i="13"/>
  <c r="C2518" i="13"/>
  <c r="C2534" i="13"/>
  <c r="C2497" i="13"/>
  <c r="C2513" i="13"/>
  <c r="C2529" i="13"/>
  <c r="C2491" i="13"/>
  <c r="C2507" i="13"/>
  <c r="C2523" i="13"/>
  <c r="C2512" i="13"/>
  <c r="C2547" i="13"/>
  <c r="C2563" i="13"/>
  <c r="C2579" i="13"/>
  <c r="C2595" i="13"/>
  <c r="C2488" i="13"/>
  <c r="C2541" i="13"/>
  <c r="C2557" i="13"/>
  <c r="C2573" i="13"/>
  <c r="C2589" i="13"/>
  <c r="C2605" i="13"/>
  <c r="C2536" i="13"/>
  <c r="C2556" i="13"/>
  <c r="C2572" i="13"/>
  <c r="C2588" i="13"/>
  <c r="C2604" i="13"/>
  <c r="C2578" i="13"/>
  <c r="C2619" i="13"/>
  <c r="C2635" i="13"/>
  <c r="C2651" i="13"/>
  <c r="C2667" i="13"/>
  <c r="C2554" i="13"/>
  <c r="C2609" i="13"/>
  <c r="C2625" i="13"/>
  <c r="C2641" i="13"/>
  <c r="C2657" i="13"/>
  <c r="C2673" i="13"/>
  <c r="C2582" i="13"/>
  <c r="C2612" i="13"/>
  <c r="C2628" i="13"/>
  <c r="C2644" i="13"/>
  <c r="C2660" i="13"/>
  <c r="C2558" i="13"/>
  <c r="C2666" i="13"/>
  <c r="C2690" i="13"/>
  <c r="C2706" i="13"/>
  <c r="C2722" i="13"/>
  <c r="C2719" i="13"/>
  <c r="C2630" i="13"/>
  <c r="C2681" i="13"/>
  <c r="C2697" i="13"/>
  <c r="C2713" i="13"/>
  <c r="C2638" i="13"/>
  <c r="C2679" i="13"/>
  <c r="C2695" i="13"/>
  <c r="C2610" i="13"/>
  <c r="C2674" i="13"/>
  <c r="C2688" i="13"/>
  <c r="C2704" i="13"/>
  <c r="C2720" i="13"/>
  <c r="C2707" i="13"/>
  <c r="C2490" i="13"/>
  <c r="C2506" i="13"/>
  <c r="C2522" i="13"/>
  <c r="C2538" i="13"/>
  <c r="C2501" i="13"/>
  <c r="C2517" i="13"/>
  <c r="C2533" i="13"/>
  <c r="C2495" i="13"/>
  <c r="C2511" i="13"/>
  <c r="C2527" i="13"/>
  <c r="C2528" i="13"/>
  <c r="C2551" i="13"/>
  <c r="C2567" i="13"/>
  <c r="C2583" i="13"/>
  <c r="C2599" i="13"/>
  <c r="C2504" i="13"/>
  <c r="C2545" i="13"/>
  <c r="C2561" i="13"/>
  <c r="C2577" i="13"/>
  <c r="C2593" i="13"/>
  <c r="C2500" i="13"/>
  <c r="C2544" i="13"/>
  <c r="C2560" i="13"/>
  <c r="C2576" i="13"/>
  <c r="C2592" i="13"/>
  <c r="C2492" i="13"/>
  <c r="C2594" i="13"/>
  <c r="C2623" i="13"/>
  <c r="C2639" i="13"/>
  <c r="C2655" i="13"/>
  <c r="C2671" i="13"/>
  <c r="C2570" i="13"/>
  <c r="C2613" i="13"/>
  <c r="C2629" i="13"/>
  <c r="C2645" i="13"/>
  <c r="C2661" i="13"/>
  <c r="C2508" i="13"/>
  <c r="C2598" i="13"/>
  <c r="C2616" i="13"/>
  <c r="C2632" i="13"/>
  <c r="C2648" i="13"/>
  <c r="C2664" i="13"/>
  <c r="C2618" i="13"/>
  <c r="C2678" i="13"/>
  <c r="C2694" i="13"/>
  <c r="C2710" i="13"/>
  <c r="C2726" i="13"/>
  <c r="C2727" i="13"/>
  <c r="C2646" i="13"/>
  <c r="C2685" i="13"/>
  <c r="C2701" i="13"/>
  <c r="C2717" i="13"/>
  <c r="C2654" i="13"/>
  <c r="C2683" i="13"/>
  <c r="C2699" i="13"/>
  <c r="C2626" i="13"/>
  <c r="C2676" i="13"/>
  <c r="C2692" i="13"/>
  <c r="C2708" i="13"/>
  <c r="C2724" i="13"/>
  <c r="C2711" i="13"/>
  <c r="C1831" i="13"/>
  <c r="C1795" i="13"/>
  <c r="C1778" i="13"/>
  <c r="C1759" i="13"/>
  <c r="C1952" i="13"/>
  <c r="C1896" i="13"/>
  <c r="C1808" i="13"/>
  <c r="C1981" i="13"/>
  <c r="C1913" i="13"/>
  <c r="C1874" i="13"/>
  <c r="C1785" i="13"/>
  <c r="C1965" i="13"/>
  <c r="C1885" i="13"/>
  <c r="C1858" i="13"/>
  <c r="C1767" i="13"/>
  <c r="C1750" i="13"/>
  <c r="C1932" i="13"/>
  <c r="C1967" i="13"/>
  <c r="C1970" i="13"/>
  <c r="C1893" i="13"/>
  <c r="C1856" i="13"/>
  <c r="C1793" i="13"/>
  <c r="C1958" i="13"/>
  <c r="C1889" i="13"/>
  <c r="C1828" i="13"/>
  <c r="C1773" i="13"/>
  <c r="C1942" i="13"/>
  <c r="C1894" i="13"/>
  <c r="C1812" i="13"/>
  <c r="C1752" i="13"/>
  <c r="C1929" i="13"/>
  <c r="C1928" i="13"/>
  <c r="C1918" i="13"/>
  <c r="C1846" i="13"/>
  <c r="C1949" i="13"/>
  <c r="C1934" i="13"/>
  <c r="C1823" i="13"/>
  <c r="C1794" i="13"/>
  <c r="C1943" i="13"/>
  <c r="C1887" i="13"/>
  <c r="C1787" i="13"/>
  <c r="C1743" i="13"/>
  <c r="C1968" i="13"/>
  <c r="C1857" i="13"/>
  <c r="C1826" i="13"/>
  <c r="C1749" i="13"/>
  <c r="C1757" i="13"/>
  <c r="C1939" i="13"/>
  <c r="C1880" i="13"/>
  <c r="C1844" i="13"/>
  <c r="C1821" i="13"/>
  <c r="C1904" i="13"/>
  <c r="C1879" i="13"/>
  <c r="C1837" i="13"/>
  <c r="C1764" i="13"/>
  <c r="C1931" i="13"/>
  <c r="C1851" i="13"/>
  <c r="C1801" i="13"/>
  <c r="C1966" i="13"/>
  <c r="C1915" i="13"/>
  <c r="C1872" i="13"/>
  <c r="C1766" i="13"/>
  <c r="C1982" i="13"/>
  <c r="C1953" i="13"/>
  <c r="C1920" i="13"/>
  <c r="C1956" i="13"/>
  <c r="C1903" i="13"/>
  <c r="C1792" i="13"/>
  <c r="C1882" i="13"/>
  <c r="C1900" i="13"/>
  <c r="C1860" i="13"/>
  <c r="C1843" i="13"/>
  <c r="C1841" i="13"/>
  <c r="C1814" i="13"/>
  <c r="C1799" i="13"/>
  <c r="C1798" i="13"/>
  <c r="C1746" i="13"/>
  <c r="C1947" i="13"/>
  <c r="C1937" i="13"/>
  <c r="C1971" i="13"/>
  <c r="C1940" i="13"/>
  <c r="C1933" i="13"/>
  <c r="C1922" i="13"/>
  <c r="C1855" i="13"/>
  <c r="C1884" i="13"/>
  <c r="C1839" i="13"/>
  <c r="C1848" i="13"/>
  <c r="C1825" i="13"/>
  <c r="C1800" i="13"/>
  <c r="C1771" i="13"/>
  <c r="C1782" i="13"/>
  <c r="C1763" i="13"/>
  <c r="C1974" i="13"/>
  <c r="C1881" i="13"/>
  <c r="C1962" i="13"/>
  <c r="C1951" i="13"/>
  <c r="C1935" i="13"/>
  <c r="C1917" i="13"/>
  <c r="C1906" i="13"/>
  <c r="C1891" i="13"/>
  <c r="C1859" i="13"/>
  <c r="C1878" i="13"/>
  <c r="C1832" i="13"/>
  <c r="C1797" i="13"/>
  <c r="C1803" i="13"/>
  <c r="C1770" i="13"/>
  <c r="C1762" i="13"/>
  <c r="C1747" i="13"/>
  <c r="C1979" i="13"/>
  <c r="C1969" i="13"/>
  <c r="C1946" i="13"/>
  <c r="C1972" i="13"/>
  <c r="C1919" i="13"/>
  <c r="C1901" i="13"/>
  <c r="C1898" i="13"/>
  <c r="C1865" i="13"/>
  <c r="C1876" i="13"/>
  <c r="C1862" i="13"/>
  <c r="C1816" i="13"/>
  <c r="C1830" i="13"/>
  <c r="C1776" i="13"/>
  <c r="C1772" i="13"/>
  <c r="C1760" i="13"/>
  <c r="C1753" i="13"/>
  <c r="C1924" i="13"/>
  <c r="C1916" i="13"/>
  <c r="C1959" i="13"/>
  <c r="C1912" i="13"/>
  <c r="C1925" i="13"/>
  <c r="C1914" i="13"/>
  <c r="C1899" i="13"/>
  <c r="C1875" i="13"/>
  <c r="C1815" i="13"/>
  <c r="C1840" i="13"/>
  <c r="C1817" i="13"/>
  <c r="C1789" i="13"/>
  <c r="C1779" i="13"/>
  <c r="C1774" i="13"/>
  <c r="C1755" i="13"/>
  <c r="C1963" i="13"/>
  <c r="C1941" i="13"/>
  <c r="C1975" i="13"/>
  <c r="C1944" i="13"/>
  <c r="C1842" i="13"/>
  <c r="C1926" i="13"/>
  <c r="C1863" i="13"/>
  <c r="C1888" i="13"/>
  <c r="C1847" i="13"/>
  <c r="C1811" i="13"/>
  <c r="C1829" i="13"/>
  <c r="C1802" i="13"/>
  <c r="C1784" i="13"/>
  <c r="C1786" i="13"/>
  <c r="C1748" i="13"/>
  <c r="C1977" i="13"/>
  <c r="C1954" i="13"/>
  <c r="C1980" i="13"/>
  <c r="C1927" i="13"/>
  <c r="C1909" i="13"/>
  <c r="C1869" i="13"/>
  <c r="C1883" i="13"/>
  <c r="C1838" i="13"/>
  <c r="C1870" i="13"/>
  <c r="C1824" i="13"/>
  <c r="C1783" i="13"/>
  <c r="C1796" i="13"/>
  <c r="C1781" i="13"/>
  <c r="C1769" i="13"/>
  <c r="C1761" i="13"/>
  <c r="C1908" i="13"/>
  <c r="C1853" i="13"/>
  <c r="C1955" i="13"/>
  <c r="C1897" i="13"/>
  <c r="C1921" i="13"/>
  <c r="C1910" i="13"/>
  <c r="C1895" i="13"/>
  <c r="C1867" i="13"/>
  <c r="C1804" i="13"/>
  <c r="C1836" i="13"/>
  <c r="C1813" i="13"/>
  <c r="C1807" i="13"/>
  <c r="C1775" i="13"/>
  <c r="C1768" i="13"/>
  <c r="C1751" i="13"/>
  <c r="C1961" i="13"/>
  <c r="C1938" i="13"/>
  <c r="C1964" i="13"/>
  <c r="C1911" i="13"/>
  <c r="C1861" i="13"/>
  <c r="C1890" i="13"/>
  <c r="C1849" i="13"/>
  <c r="C1868" i="13"/>
  <c r="C1854" i="13"/>
  <c r="C1780" i="13"/>
  <c r="C1822" i="13"/>
  <c r="C1809" i="13"/>
  <c r="C1758" i="13"/>
  <c r="C1744" i="13"/>
  <c r="C1745" i="13"/>
  <c r="C1973" i="13"/>
  <c r="C1950" i="13"/>
  <c r="C1976" i="13"/>
  <c r="C1923" i="13"/>
  <c r="C1905" i="13"/>
  <c r="C1902" i="13"/>
  <c r="C1873" i="13"/>
  <c r="C1827" i="13"/>
  <c r="C1866" i="13"/>
  <c r="C1820" i="13"/>
  <c r="C1834" i="13"/>
  <c r="C1791" i="13"/>
  <c r="C1777" i="13"/>
  <c r="C1765" i="13"/>
  <c r="C1945" i="13"/>
  <c r="C1983" i="13"/>
  <c r="C1948" i="13"/>
  <c r="C1877" i="13"/>
  <c r="C1930" i="13"/>
  <c r="C1871" i="13"/>
  <c r="C1892" i="13"/>
  <c r="C1852" i="13"/>
  <c r="C1810" i="13"/>
  <c r="C1833" i="13"/>
  <c r="C1806" i="13"/>
  <c r="C1788" i="13"/>
  <c r="C1790" i="13"/>
  <c r="C1756" i="13"/>
  <c r="C1978" i="13"/>
  <c r="C1957" i="13"/>
  <c r="C1936" i="13"/>
  <c r="C1960" i="13"/>
  <c r="C1907" i="13"/>
  <c r="C1835" i="13"/>
  <c r="C1886" i="13"/>
  <c r="C1819" i="13"/>
  <c r="C1864" i="13"/>
  <c r="C1850" i="13"/>
  <c r="C1845" i="13"/>
  <c r="C1818" i="13"/>
  <c r="C1805" i="13"/>
  <c r="C1742" i="13"/>
  <c r="C1754" i="13"/>
  <c r="C546" i="13"/>
  <c r="C714" i="13"/>
  <c r="C728" i="13"/>
  <c r="C561" i="13"/>
  <c r="C601" i="13"/>
  <c r="C663" i="13"/>
  <c r="C723" i="13"/>
  <c r="C511" i="13"/>
  <c r="C592" i="13"/>
  <c r="C637" i="13"/>
  <c r="C696" i="13"/>
  <c r="C533" i="13"/>
  <c r="C634" i="13"/>
  <c r="C712" i="13"/>
  <c r="C515" i="13"/>
  <c r="C577" i="13"/>
  <c r="C582" i="13"/>
  <c r="C541" i="13"/>
  <c r="C548" i="13"/>
  <c r="C519" i="13"/>
  <c r="C583" i="13"/>
  <c r="C650" i="13"/>
  <c r="C603" i="13"/>
  <c r="C657" i="13"/>
  <c r="C635" i="13"/>
  <c r="C682" i="13"/>
  <c r="C697" i="13"/>
  <c r="C726" i="13"/>
  <c r="C737" i="13"/>
  <c r="C508" i="13"/>
  <c r="C526" i="13"/>
  <c r="C614" i="13"/>
  <c r="C520" i="13"/>
  <c r="C584" i="13"/>
  <c r="C735" i="13"/>
  <c r="C560" i="13"/>
  <c r="C670" i="13"/>
  <c r="C602" i="13"/>
  <c r="C565" i="13"/>
  <c r="C597" i="13"/>
  <c r="C620" i="13"/>
  <c r="C703" i="13"/>
  <c r="C542" i="13"/>
  <c r="C563" i="13"/>
  <c r="C652" i="13"/>
  <c r="C721" i="13"/>
  <c r="C507" i="13"/>
  <c r="C544" i="13"/>
  <c r="C599" i="13"/>
  <c r="C693" i="13"/>
  <c r="C578" i="13"/>
  <c r="C502" i="13"/>
  <c r="C537" i="13"/>
  <c r="C573" i="13"/>
  <c r="C564" i="13"/>
  <c r="C535" i="13"/>
  <c r="C606" i="13"/>
  <c r="C608" i="13"/>
  <c r="C619" i="13"/>
  <c r="C674" i="13"/>
  <c r="C651" i="13"/>
  <c r="C679" i="13"/>
  <c r="C730" i="13"/>
  <c r="C718" i="13"/>
  <c r="C732" i="13"/>
  <c r="C586" i="13"/>
  <c r="C530" i="13"/>
  <c r="C558" i="13"/>
  <c r="C517" i="13"/>
  <c r="C536" i="13"/>
  <c r="C615" i="13"/>
  <c r="C531" i="13"/>
  <c r="C595" i="13"/>
  <c r="C604" i="13"/>
  <c r="C538" i="13"/>
  <c r="C576" i="13"/>
  <c r="C631" i="13"/>
  <c r="C680" i="13"/>
  <c r="C509" i="13"/>
  <c r="C617" i="13"/>
  <c r="C675" i="13"/>
  <c r="C739" i="13"/>
  <c r="C594" i="13"/>
  <c r="C654" i="13"/>
  <c r="C653" i="13"/>
  <c r="C715" i="13"/>
  <c r="C570" i="13"/>
  <c r="C518" i="13"/>
  <c r="C569" i="13"/>
  <c r="C630" i="13"/>
  <c r="C580" i="13"/>
  <c r="C551" i="13"/>
  <c r="C605" i="13"/>
  <c r="C624" i="13"/>
  <c r="C642" i="13"/>
  <c r="C640" i="13"/>
  <c r="C667" i="13"/>
  <c r="C720" i="13"/>
  <c r="C684" i="13"/>
  <c r="C709" i="13"/>
  <c r="C727" i="13"/>
  <c r="C521" i="13"/>
  <c r="C585" i="13"/>
  <c r="C590" i="13"/>
  <c r="C549" i="13"/>
  <c r="C552" i="13"/>
  <c r="C716" i="13"/>
  <c r="C669" i="13"/>
  <c r="C647" i="13"/>
  <c r="C711" i="13"/>
  <c r="C514" i="13"/>
  <c r="C547" i="13"/>
  <c r="C636" i="13"/>
  <c r="C705" i="13"/>
  <c r="C516" i="13"/>
  <c r="C528" i="13"/>
  <c r="C646" i="13"/>
  <c r="C677" i="13"/>
  <c r="C574" i="13"/>
  <c r="C579" i="13"/>
  <c r="C668" i="13"/>
  <c r="C733" i="13"/>
  <c r="C554" i="13"/>
  <c r="C522" i="13"/>
  <c r="C550" i="13"/>
  <c r="C513" i="13"/>
  <c r="C532" i="13"/>
  <c r="C596" i="13"/>
  <c r="C567" i="13"/>
  <c r="C621" i="13"/>
  <c r="C662" i="13"/>
  <c r="C641" i="13"/>
  <c r="C656" i="13"/>
  <c r="C683" i="13"/>
  <c r="C681" i="13"/>
  <c r="C700" i="13"/>
  <c r="C734" i="13"/>
  <c r="C743" i="13"/>
  <c r="C504" i="13"/>
  <c r="C506" i="13"/>
  <c r="C545" i="13"/>
  <c r="C581" i="13"/>
  <c r="C568" i="13"/>
  <c r="C610" i="13"/>
  <c r="C571" i="13"/>
  <c r="C625" i="13"/>
  <c r="C678" i="13"/>
  <c r="C645" i="13"/>
  <c r="C660" i="13"/>
  <c r="C691" i="13"/>
  <c r="C685" i="13"/>
  <c r="C704" i="13"/>
  <c r="C725" i="13"/>
  <c r="C618" i="13"/>
  <c r="C562" i="13"/>
  <c r="C566" i="13"/>
  <c r="C525" i="13"/>
  <c r="C540" i="13"/>
  <c r="C626" i="13"/>
  <c r="C575" i="13"/>
  <c r="C629" i="13"/>
  <c r="C694" i="13"/>
  <c r="C649" i="13"/>
  <c r="C664" i="13"/>
  <c r="C699" i="13"/>
  <c r="C689" i="13"/>
  <c r="C707" i="13"/>
  <c r="C729" i="13"/>
  <c r="C523" i="13"/>
  <c r="C587" i="13"/>
  <c r="C666" i="13"/>
  <c r="C607" i="13"/>
  <c r="C661" i="13"/>
  <c r="C639" i="13"/>
  <c r="C690" i="13"/>
  <c r="C701" i="13"/>
  <c r="C706" i="13"/>
  <c r="C741" i="13"/>
  <c r="C529" i="13"/>
  <c r="C593" i="13"/>
  <c r="C598" i="13"/>
  <c r="C557" i="13"/>
  <c r="C556" i="13"/>
  <c r="C527" i="13"/>
  <c r="C591" i="13"/>
  <c r="C600" i="13"/>
  <c r="C611" i="13"/>
  <c r="C665" i="13"/>
  <c r="C643" i="13"/>
  <c r="C698" i="13"/>
  <c r="C708" i="13"/>
  <c r="C710" i="13"/>
  <c r="C724" i="13"/>
  <c r="C539" i="13"/>
  <c r="C622" i="13"/>
  <c r="C612" i="13"/>
  <c r="C623" i="13"/>
  <c r="C686" i="13"/>
  <c r="C655" i="13"/>
  <c r="C687" i="13"/>
  <c r="C672" i="13"/>
  <c r="C722" i="13"/>
  <c r="C736" i="13"/>
  <c r="C512" i="13"/>
  <c r="C510" i="13"/>
  <c r="C553" i="13"/>
  <c r="C589" i="13"/>
  <c r="C572" i="13"/>
  <c r="C543" i="13"/>
  <c r="C638" i="13"/>
  <c r="C616" i="13"/>
  <c r="C627" i="13"/>
  <c r="C719" i="13"/>
  <c r="C659" i="13"/>
  <c r="C695" i="13"/>
  <c r="C676" i="13"/>
  <c r="C738" i="13"/>
  <c r="C740" i="13"/>
  <c r="C555" i="13"/>
  <c r="C609" i="13"/>
  <c r="C628" i="13"/>
  <c r="C658" i="13"/>
  <c r="C644" i="13"/>
  <c r="C702" i="13"/>
  <c r="C742" i="13"/>
  <c r="C688" i="13"/>
  <c r="C713" i="13"/>
  <c r="C731" i="13"/>
  <c r="C503" i="13"/>
  <c r="C534" i="13"/>
  <c r="C505" i="13"/>
  <c r="C524" i="13"/>
  <c r="C588" i="13"/>
  <c r="C559" i="13"/>
  <c r="C613" i="13"/>
  <c r="C632" i="13"/>
  <c r="C633" i="13"/>
  <c r="C648" i="13"/>
  <c r="C671" i="13"/>
  <c r="C673" i="13"/>
  <c r="C692" i="13"/>
  <c r="C717" i="13"/>
  <c r="C823" i="13"/>
  <c r="C766" i="13"/>
  <c r="C811" i="13"/>
  <c r="C830" i="13"/>
  <c r="C807" i="13"/>
  <c r="C843" i="13"/>
  <c r="C859" i="13"/>
  <c r="C875" i="13"/>
  <c r="C891" i="13"/>
  <c r="C829" i="13"/>
  <c r="C850" i="13"/>
  <c r="C866" i="13"/>
  <c r="C882" i="13"/>
  <c r="C898" i="13"/>
  <c r="C815" i="13"/>
  <c r="C857" i="13"/>
  <c r="C889" i="13"/>
  <c r="C912" i="13"/>
  <c r="C928" i="13"/>
  <c r="C944" i="13"/>
  <c r="C848" i="13"/>
  <c r="C880" i="13"/>
  <c r="C905" i="13"/>
  <c r="C923" i="13"/>
  <c r="C939" i="13"/>
  <c r="C955" i="13"/>
  <c r="C833" i="13"/>
  <c r="C892" i="13"/>
  <c r="C921" i="13"/>
  <c r="C956" i="13"/>
  <c r="C976" i="13"/>
  <c r="C852" i="13"/>
  <c r="C970" i="13"/>
  <c r="C820" i="13"/>
  <c r="C836" i="13"/>
  <c r="C899" i="13"/>
  <c r="C926" i="13"/>
  <c r="C954" i="13"/>
  <c r="C975" i="13"/>
  <c r="C991" i="13"/>
  <c r="C917" i="13"/>
  <c r="C953" i="13"/>
  <c r="C990" i="13"/>
  <c r="C922" i="13"/>
  <c r="C952" i="13"/>
  <c r="C981" i="13"/>
  <c r="C969" i="13"/>
  <c r="C777" i="13"/>
  <c r="C827" i="13"/>
  <c r="C787" i="13"/>
  <c r="C818" i="13"/>
  <c r="C834" i="13"/>
  <c r="C824" i="13"/>
  <c r="C847" i="13"/>
  <c r="C863" i="13"/>
  <c r="C879" i="13"/>
  <c r="C786" i="13"/>
  <c r="C837" i="13"/>
  <c r="C854" i="13"/>
  <c r="C870" i="13"/>
  <c r="C886" i="13"/>
  <c r="C902" i="13"/>
  <c r="C828" i="13"/>
  <c r="C865" i="13"/>
  <c r="C896" i="13"/>
  <c r="C916" i="13"/>
  <c r="C932" i="13"/>
  <c r="C948" i="13"/>
  <c r="C856" i="13"/>
  <c r="C888" i="13"/>
  <c r="C911" i="13"/>
  <c r="C927" i="13"/>
  <c r="C943" i="13"/>
  <c r="C959" i="13"/>
  <c r="C844" i="13"/>
  <c r="C903" i="13"/>
  <c r="C929" i="13"/>
  <c r="C961" i="13"/>
  <c r="C980" i="13"/>
  <c r="C909" i="13"/>
  <c r="C978" i="13"/>
  <c r="C845" i="13"/>
  <c r="C853" i="13"/>
  <c r="C904" i="13"/>
  <c r="C934" i="13"/>
  <c r="C960" i="13"/>
  <c r="C979" i="13"/>
  <c r="C868" i="13"/>
  <c r="C925" i="13"/>
  <c r="C958" i="13"/>
  <c r="C877" i="13"/>
  <c r="C930" i="13"/>
  <c r="C957" i="13"/>
  <c r="C977" i="13"/>
  <c r="C985" i="13"/>
  <c r="C806" i="13"/>
  <c r="C835" i="13"/>
  <c r="C795" i="13"/>
  <c r="C822" i="13"/>
  <c r="C838" i="13"/>
  <c r="C832" i="13"/>
  <c r="C851" i="13"/>
  <c r="C867" i="13"/>
  <c r="C883" i="13"/>
  <c r="C802" i="13"/>
  <c r="C842" i="13"/>
  <c r="C858" i="13"/>
  <c r="C874" i="13"/>
  <c r="C890" i="13"/>
  <c r="C906" i="13"/>
  <c r="C841" i="13"/>
  <c r="C873" i="13"/>
  <c r="C901" i="13"/>
  <c r="C920" i="13"/>
  <c r="C936" i="13"/>
  <c r="C794" i="13"/>
  <c r="C864" i="13"/>
  <c r="C895" i="13"/>
  <c r="C915" i="13"/>
  <c r="C931" i="13"/>
  <c r="C947" i="13"/>
  <c r="C963" i="13"/>
  <c r="C860" i="13"/>
  <c r="C908" i="13"/>
  <c r="C937" i="13"/>
  <c r="C968" i="13"/>
  <c r="C984" i="13"/>
  <c r="C941" i="13"/>
  <c r="C982" i="13"/>
  <c r="C861" i="13"/>
  <c r="C869" i="13"/>
  <c r="C910" i="13"/>
  <c r="C942" i="13"/>
  <c r="C967" i="13"/>
  <c r="C983" i="13"/>
  <c r="C884" i="13"/>
  <c r="C933" i="13"/>
  <c r="C964" i="13"/>
  <c r="C893" i="13"/>
  <c r="C938" i="13"/>
  <c r="C962" i="13"/>
  <c r="C973" i="13"/>
  <c r="C839" i="13"/>
  <c r="C840" i="13"/>
  <c r="C821" i="13"/>
  <c r="C894" i="13"/>
  <c r="C907" i="13"/>
  <c r="C872" i="13"/>
  <c r="C951" i="13"/>
  <c r="C945" i="13"/>
  <c r="C986" i="13"/>
  <c r="C950" i="13"/>
  <c r="C949" i="13"/>
  <c r="C965" i="13"/>
  <c r="C803" i="13"/>
  <c r="C855" i="13"/>
  <c r="C846" i="13"/>
  <c r="C778" i="13"/>
  <c r="C924" i="13"/>
  <c r="C900" i="13"/>
  <c r="C810" i="13"/>
  <c r="C972" i="13"/>
  <c r="C799" i="13"/>
  <c r="C971" i="13"/>
  <c r="C974" i="13"/>
  <c r="C989" i="13"/>
  <c r="C826" i="13"/>
  <c r="C871" i="13"/>
  <c r="C862" i="13"/>
  <c r="C849" i="13"/>
  <c r="C940" i="13"/>
  <c r="C919" i="13"/>
  <c r="C876" i="13"/>
  <c r="C988" i="13"/>
  <c r="C885" i="13"/>
  <c r="C987" i="13"/>
  <c r="C914" i="13"/>
  <c r="C819" i="13"/>
  <c r="C791" i="13"/>
  <c r="C887" i="13"/>
  <c r="C878" i="13"/>
  <c r="C881" i="13"/>
  <c r="C825" i="13"/>
  <c r="C935" i="13"/>
  <c r="C913" i="13"/>
  <c r="C966" i="13"/>
  <c r="C918" i="13"/>
  <c r="C897" i="13"/>
  <c r="C946" i="13"/>
  <c r="C798" i="13"/>
  <c r="C800" i="13"/>
  <c r="C796" i="13"/>
  <c r="C755" i="13"/>
  <c r="C782" i="13"/>
  <c r="C813" i="13"/>
  <c r="C758" i="13"/>
  <c r="C767" i="13"/>
  <c r="C762" i="13"/>
  <c r="C759" i="13"/>
  <c r="C774" i="13"/>
  <c r="C770" i="13"/>
  <c r="C756" i="13"/>
  <c r="C757" i="13"/>
  <c r="C831" i="13"/>
  <c r="C808" i="13"/>
  <c r="C790" i="13"/>
  <c r="C804" i="13"/>
  <c r="C781" i="13"/>
  <c r="C750" i="13"/>
  <c r="C809" i="13"/>
  <c r="C760" i="13"/>
  <c r="C801" i="13"/>
  <c r="C772" i="13"/>
  <c r="C775" i="13"/>
  <c r="C764" i="13"/>
  <c r="C761" i="13"/>
  <c r="C814" i="13"/>
  <c r="C784" i="13"/>
  <c r="C812" i="13"/>
  <c r="C788" i="13"/>
  <c r="C817" i="13"/>
  <c r="C805" i="13"/>
  <c r="C751" i="13"/>
  <c r="C797" i="13"/>
  <c r="C785" i="13"/>
  <c r="C765" i="13"/>
  <c r="C780" i="13"/>
  <c r="C769" i="13"/>
  <c r="C768" i="13"/>
  <c r="C763" i="13"/>
  <c r="C816" i="13"/>
  <c r="C792" i="13"/>
  <c r="C771" i="13"/>
  <c r="C773" i="13"/>
  <c r="C776" i="13"/>
  <c r="C789" i="13"/>
  <c r="C779" i="13"/>
  <c r="C783" i="13"/>
  <c r="C793" i="13"/>
  <c r="C754" i="13"/>
  <c r="C753" i="13"/>
  <c r="C752" i="13"/>
  <c r="C1501" i="13"/>
  <c r="C1496" i="13"/>
  <c r="C1512" i="13"/>
  <c r="C1516" i="13"/>
  <c r="C1503" i="13"/>
  <c r="C1502" i="13"/>
  <c r="C1526" i="13"/>
  <c r="C1535" i="13"/>
  <c r="C1521" i="13"/>
  <c r="C1538" i="13"/>
  <c r="C1523" i="13"/>
  <c r="C1505" i="13"/>
  <c r="C1500" i="13"/>
  <c r="C1498" i="13"/>
  <c r="C1520" i="13"/>
  <c r="C1511" i="13"/>
  <c r="C1510" i="13"/>
  <c r="C1515" i="13"/>
  <c r="C1539" i="13"/>
  <c r="C1525" i="13"/>
  <c r="C1542" i="13"/>
  <c r="C1529" i="13"/>
  <c r="C1509" i="13"/>
  <c r="C1504" i="13"/>
  <c r="C1506" i="13"/>
  <c r="C1524" i="13"/>
  <c r="C1519" i="13"/>
  <c r="C1518" i="13"/>
  <c r="C1527" i="13"/>
  <c r="C1543" i="13"/>
  <c r="C1530" i="13"/>
  <c r="C1499" i="13"/>
  <c r="C1533" i="13"/>
  <c r="C1497" i="13"/>
  <c r="C1513" i="13"/>
  <c r="C1508" i="13"/>
  <c r="C1514" i="13"/>
  <c r="C1495" i="13"/>
  <c r="C1494" i="13"/>
  <c r="C1522" i="13"/>
  <c r="C1531" i="13"/>
  <c r="C1507" i="13"/>
  <c r="C1534" i="13"/>
  <c r="C1517" i="13"/>
  <c r="C1537" i="13"/>
  <c r="C1541" i="13"/>
  <c r="C1556" i="13"/>
  <c r="C1547" i="13"/>
  <c r="C1536" i="13"/>
  <c r="C1557" i="13"/>
  <c r="C1565" i="13"/>
  <c r="C1581" i="13"/>
  <c r="C1597" i="13"/>
  <c r="C1572" i="13"/>
  <c r="C1588" i="13"/>
  <c r="C1550" i="13"/>
  <c r="C1590" i="13"/>
  <c r="C1610" i="13"/>
  <c r="C1563" i="13"/>
  <c r="C1595" i="13"/>
  <c r="C1613" i="13"/>
  <c r="C1575" i="13"/>
  <c r="C1619" i="13"/>
  <c r="C1638" i="13"/>
  <c r="C1654" i="13"/>
  <c r="C1670" i="13"/>
  <c r="C1586" i="13"/>
  <c r="C1629" i="13"/>
  <c r="C1645" i="13"/>
  <c r="C1661" i="13"/>
  <c r="C1677" i="13"/>
  <c r="C1599" i="13"/>
  <c r="C1628" i="13"/>
  <c r="C1644" i="13"/>
  <c r="C1639" i="13"/>
  <c r="C1671" i="13"/>
  <c r="C1693" i="13"/>
  <c r="C1709" i="13"/>
  <c r="C1725" i="13"/>
  <c r="C1635" i="13"/>
  <c r="C1651" i="13"/>
  <c r="C1683" i="13"/>
  <c r="C1699" i="13"/>
  <c r="C1715" i="13"/>
  <c r="C1731" i="13"/>
  <c r="C1672" i="13"/>
  <c r="C1710" i="13"/>
  <c r="C1690" i="13"/>
  <c r="C1643" i="13"/>
  <c r="C1704" i="13"/>
  <c r="C1692" i="13"/>
  <c r="C1724" i="13"/>
  <c r="C1680" i="13"/>
  <c r="C1730" i="13"/>
  <c r="C1728" i="13"/>
  <c r="C1532" i="13"/>
  <c r="C1560" i="13"/>
  <c r="C1551" i="13"/>
  <c r="C1545" i="13"/>
  <c r="C1540" i="13"/>
  <c r="C1569" i="13"/>
  <c r="C1585" i="13"/>
  <c r="C1558" i="13"/>
  <c r="C1576" i="13"/>
  <c r="C1592" i="13"/>
  <c r="C1566" i="13"/>
  <c r="C1598" i="13"/>
  <c r="C1614" i="13"/>
  <c r="C1571" i="13"/>
  <c r="C1601" i="13"/>
  <c r="C1617" i="13"/>
  <c r="C1591" i="13"/>
  <c r="C1626" i="13"/>
  <c r="C1642" i="13"/>
  <c r="C1658" i="13"/>
  <c r="C1674" i="13"/>
  <c r="C1608" i="13"/>
  <c r="C1633" i="13"/>
  <c r="C1649" i="13"/>
  <c r="C1665" i="13"/>
  <c r="C1681" i="13"/>
  <c r="C1607" i="13"/>
  <c r="C1632" i="13"/>
  <c r="C1578" i="13"/>
  <c r="C1647" i="13"/>
  <c r="C1679" i="13"/>
  <c r="C1697" i="13"/>
  <c r="C1713" i="13"/>
  <c r="C1729" i="13"/>
  <c r="C1652" i="13"/>
  <c r="C1659" i="13"/>
  <c r="C1687" i="13"/>
  <c r="C1703" i="13"/>
  <c r="C1719" i="13"/>
  <c r="C1735" i="13"/>
  <c r="C1686" i="13"/>
  <c r="C1718" i="13"/>
  <c r="C1714" i="13"/>
  <c r="C1660" i="13"/>
  <c r="C1656" i="13"/>
  <c r="C1700" i="13"/>
  <c r="C1732" i="13"/>
  <c r="C1682" i="13"/>
  <c r="C1688" i="13"/>
  <c r="C1548" i="13"/>
  <c r="C1528" i="13"/>
  <c r="C1555" i="13"/>
  <c r="C1549" i="13"/>
  <c r="C1546" i="13"/>
  <c r="C1573" i="13"/>
  <c r="C1589" i="13"/>
  <c r="C1564" i="13"/>
  <c r="C1580" i="13"/>
  <c r="C1596" i="13"/>
  <c r="C1574" i="13"/>
  <c r="C1602" i="13"/>
  <c r="C1618" i="13"/>
  <c r="C1579" i="13"/>
  <c r="C1605" i="13"/>
  <c r="C1621" i="13"/>
  <c r="C1603" i="13"/>
  <c r="C1630" i="13"/>
  <c r="C1646" i="13"/>
  <c r="C1662" i="13"/>
  <c r="C1678" i="13"/>
  <c r="C1616" i="13"/>
  <c r="C1637" i="13"/>
  <c r="C1653" i="13"/>
  <c r="C1669" i="13"/>
  <c r="C1567" i="13"/>
  <c r="C1615" i="13"/>
  <c r="C1636" i="13"/>
  <c r="C1604" i="13"/>
  <c r="C1655" i="13"/>
  <c r="C1685" i="13"/>
  <c r="C1701" i="13"/>
  <c r="C1717" i="13"/>
  <c r="C1733" i="13"/>
  <c r="C1620" i="13"/>
  <c r="C1667" i="13"/>
  <c r="C1691" i="13"/>
  <c r="C1707" i="13"/>
  <c r="C1723" i="13"/>
  <c r="C1594" i="13"/>
  <c r="C1694" i="13"/>
  <c r="C1726" i="13"/>
  <c r="C1722" i="13"/>
  <c r="C1676" i="13"/>
  <c r="C1668" i="13"/>
  <c r="C1708" i="13"/>
  <c r="C1648" i="13"/>
  <c r="C1698" i="13"/>
  <c r="C1712" i="13"/>
  <c r="C1552" i="13"/>
  <c r="C1544" i="13"/>
  <c r="C1559" i="13"/>
  <c r="C1553" i="13"/>
  <c r="C1561" i="13"/>
  <c r="C1577" i="13"/>
  <c r="C1593" i="13"/>
  <c r="C1568" i="13"/>
  <c r="C1584" i="13"/>
  <c r="C1600" i="13"/>
  <c r="C1582" i="13"/>
  <c r="C1606" i="13"/>
  <c r="C1622" i="13"/>
  <c r="C1587" i="13"/>
  <c r="C1609" i="13"/>
  <c r="C1554" i="13"/>
  <c r="C1611" i="13"/>
  <c r="C1634" i="13"/>
  <c r="C1650" i="13"/>
  <c r="C1666" i="13"/>
  <c r="C1570" i="13"/>
  <c r="C1625" i="13"/>
  <c r="C1641" i="13"/>
  <c r="C1657" i="13"/>
  <c r="C1673" i="13"/>
  <c r="C1583" i="13"/>
  <c r="C1624" i="13"/>
  <c r="C1640" i="13"/>
  <c r="C1623" i="13"/>
  <c r="C1663" i="13"/>
  <c r="C1689" i="13"/>
  <c r="C1705" i="13"/>
  <c r="C1721" i="13"/>
  <c r="C1562" i="13"/>
  <c r="C1631" i="13"/>
  <c r="C1675" i="13"/>
  <c r="C1695" i="13"/>
  <c r="C1711" i="13"/>
  <c r="C1727" i="13"/>
  <c r="C1627" i="13"/>
  <c r="C1702" i="13"/>
  <c r="C1734" i="13"/>
  <c r="C1612" i="13"/>
  <c r="C1696" i="13"/>
  <c r="C1684" i="13"/>
  <c r="C1716" i="13"/>
  <c r="C1664" i="13"/>
  <c r="C1706" i="13"/>
  <c r="C1720" i="13"/>
  <c r="C2245" i="13"/>
  <c r="C2240" i="13"/>
  <c r="C2256" i="13"/>
  <c r="C2250" i="13"/>
  <c r="C2262" i="13"/>
  <c r="C2247" i="13"/>
  <c r="C2273" i="13"/>
  <c r="C2267" i="13"/>
  <c r="C2278" i="13"/>
  <c r="C2281" i="13"/>
  <c r="C2280" i="13"/>
  <c r="C2260" i="13"/>
  <c r="C2295" i="13"/>
  <c r="C2311" i="13"/>
  <c r="C2327" i="13"/>
  <c r="C2298" i="13"/>
  <c r="C2314" i="13"/>
  <c r="C2276" i="13"/>
  <c r="C2300" i="13"/>
  <c r="C2316" i="13"/>
  <c r="C2301" i="13"/>
  <c r="C2338" i="13"/>
  <c r="C2354" i="13"/>
  <c r="C2297" i="13"/>
  <c r="C2337" i="13"/>
  <c r="C2353" i="13"/>
  <c r="C2325" i="13"/>
  <c r="C2344" i="13"/>
  <c r="C2360" i="13"/>
  <c r="C2362" i="13"/>
  <c r="C2375" i="13"/>
  <c r="C2391" i="13"/>
  <c r="C2407" i="13"/>
  <c r="C2423" i="13"/>
  <c r="C2343" i="13"/>
  <c r="C2374" i="13"/>
  <c r="C2390" i="13"/>
  <c r="C2406" i="13"/>
  <c r="C2422" i="13"/>
  <c r="C2355" i="13"/>
  <c r="C2377" i="13"/>
  <c r="C2393" i="13"/>
  <c r="C2400" i="13"/>
  <c r="C2432" i="13"/>
  <c r="C2448" i="13"/>
  <c r="C2405" i="13"/>
  <c r="C2435" i="13"/>
  <c r="C2451" i="13"/>
  <c r="C2380" i="13"/>
  <c r="C2420" i="13"/>
  <c r="C2442" i="13"/>
  <c r="C2458" i="13"/>
  <c r="C2456" i="13"/>
  <c r="C2475" i="13"/>
  <c r="C2453" i="13"/>
  <c r="C2474" i="13"/>
  <c r="C2401" i="13"/>
  <c r="C2464" i="13"/>
  <c r="C2441" i="13"/>
  <c r="C2465" i="13"/>
  <c r="C2469" i="13"/>
  <c r="C2249" i="13"/>
  <c r="C2244" i="13"/>
  <c r="C2238" i="13"/>
  <c r="C2254" i="13"/>
  <c r="C2266" i="13"/>
  <c r="C2261" i="13"/>
  <c r="C2239" i="13"/>
  <c r="C2271" i="13"/>
  <c r="C2259" i="13"/>
  <c r="C2285" i="13"/>
  <c r="C2284" i="13"/>
  <c r="C2279" i="13"/>
  <c r="C2299" i="13"/>
  <c r="C2315" i="13"/>
  <c r="C2283" i="13"/>
  <c r="C2302" i="13"/>
  <c r="C2318" i="13"/>
  <c r="C2287" i="13"/>
  <c r="C2304" i="13"/>
  <c r="C2320" i="13"/>
  <c r="C2317" i="13"/>
  <c r="C2342" i="13"/>
  <c r="C2358" i="13"/>
  <c r="C2313" i="13"/>
  <c r="C2341" i="13"/>
  <c r="C2357" i="13"/>
  <c r="C2332" i="13"/>
  <c r="C2348" i="13"/>
  <c r="C2321" i="13"/>
  <c r="C2363" i="13"/>
  <c r="C2379" i="13"/>
  <c r="C2395" i="13"/>
  <c r="C2411" i="13"/>
  <c r="C2427" i="13"/>
  <c r="C2359" i="13"/>
  <c r="C2378" i="13"/>
  <c r="C2394" i="13"/>
  <c r="C2410" i="13"/>
  <c r="C2426" i="13"/>
  <c r="C2365" i="13"/>
  <c r="C2381" i="13"/>
  <c r="C2335" i="13"/>
  <c r="C2408" i="13"/>
  <c r="C2436" i="13"/>
  <c r="C2368" i="13"/>
  <c r="C2413" i="13"/>
  <c r="C2439" i="13"/>
  <c r="C2455" i="13"/>
  <c r="C2396" i="13"/>
  <c r="C2428" i="13"/>
  <c r="C2446" i="13"/>
  <c r="C2462" i="13"/>
  <c r="C2463" i="13"/>
  <c r="C2479" i="13"/>
  <c r="C2461" i="13"/>
  <c r="C2478" i="13"/>
  <c r="C2437" i="13"/>
  <c r="C2468" i="13"/>
  <c r="C2473" i="13"/>
  <c r="C2477" i="13"/>
  <c r="C2253" i="13"/>
  <c r="C2248" i="13"/>
  <c r="C2242" i="13"/>
  <c r="C2258" i="13"/>
  <c r="C2270" i="13"/>
  <c r="C2265" i="13"/>
  <c r="C2255" i="13"/>
  <c r="C2275" i="13"/>
  <c r="C2268" i="13"/>
  <c r="C2243" i="13"/>
  <c r="C2288" i="13"/>
  <c r="C2286" i="13"/>
  <c r="C2303" i="13"/>
  <c r="C2319" i="13"/>
  <c r="C2293" i="13"/>
  <c r="C2306" i="13"/>
  <c r="C2322" i="13"/>
  <c r="C2290" i="13"/>
  <c r="C2308" i="13"/>
  <c r="C2324" i="13"/>
  <c r="C2330" i="13"/>
  <c r="C2346" i="13"/>
  <c r="C2282" i="13"/>
  <c r="C2329" i="13"/>
  <c r="C2345" i="13"/>
  <c r="C2361" i="13"/>
  <c r="C2336" i="13"/>
  <c r="C2352" i="13"/>
  <c r="C2331" i="13"/>
  <c r="C2367" i="13"/>
  <c r="C2383" i="13"/>
  <c r="C2399" i="13"/>
  <c r="C2415" i="13"/>
  <c r="C2431" i="13"/>
  <c r="C2366" i="13"/>
  <c r="C2382" i="13"/>
  <c r="C2398" i="13"/>
  <c r="C2414" i="13"/>
  <c r="C2430" i="13"/>
  <c r="C2369" i="13"/>
  <c r="C2385" i="13"/>
  <c r="C2372" i="13"/>
  <c r="C2416" i="13"/>
  <c r="C2440" i="13"/>
  <c r="C2384" i="13"/>
  <c r="C2421" i="13"/>
  <c r="C2443" i="13"/>
  <c r="C2459" i="13"/>
  <c r="C2404" i="13"/>
  <c r="C2434" i="13"/>
  <c r="C2450" i="13"/>
  <c r="C2425" i="13"/>
  <c r="C2467" i="13"/>
  <c r="C2417" i="13"/>
  <c r="C2466" i="13"/>
  <c r="C2351" i="13"/>
  <c r="C2449" i="13"/>
  <c r="C2472" i="13"/>
  <c r="C2392" i="13"/>
  <c r="C2409" i="13"/>
  <c r="C2241" i="13"/>
  <c r="C2257" i="13"/>
  <c r="C2252" i="13"/>
  <c r="C2246" i="13"/>
  <c r="C2251" i="13"/>
  <c r="C2274" i="13"/>
  <c r="C2269" i="13"/>
  <c r="C2263" i="13"/>
  <c r="C2272" i="13"/>
  <c r="C2277" i="13"/>
  <c r="C2264" i="13"/>
  <c r="C2292" i="13"/>
  <c r="C2289" i="13"/>
  <c r="C2307" i="13"/>
  <c r="C2323" i="13"/>
  <c r="C2294" i="13"/>
  <c r="C2310" i="13"/>
  <c r="C2326" i="13"/>
  <c r="C2296" i="13"/>
  <c r="C2312" i="13"/>
  <c r="C2328" i="13"/>
  <c r="C2334" i="13"/>
  <c r="C2350" i="13"/>
  <c r="C2291" i="13"/>
  <c r="C2333" i="13"/>
  <c r="C2349" i="13"/>
  <c r="C2309" i="13"/>
  <c r="C2340" i="13"/>
  <c r="C2356" i="13"/>
  <c r="C2347" i="13"/>
  <c r="C2371" i="13"/>
  <c r="C2387" i="13"/>
  <c r="C2403" i="13"/>
  <c r="C2419" i="13"/>
  <c r="C2305" i="13"/>
  <c r="C2370" i="13"/>
  <c r="C2386" i="13"/>
  <c r="C2402" i="13"/>
  <c r="C2418" i="13"/>
  <c r="C2339" i="13"/>
  <c r="C2373" i="13"/>
  <c r="C2389" i="13"/>
  <c r="C2388" i="13"/>
  <c r="C2424" i="13"/>
  <c r="C2444" i="13"/>
  <c r="C2397" i="13"/>
  <c r="C2429" i="13"/>
  <c r="C2447" i="13"/>
  <c r="C2364" i="13"/>
  <c r="C2412" i="13"/>
  <c r="C2438" i="13"/>
  <c r="C2454" i="13"/>
  <c r="C2433" i="13"/>
  <c r="C2471" i="13"/>
  <c r="C2445" i="13"/>
  <c r="C2470" i="13"/>
  <c r="C2376" i="13"/>
  <c r="C2457" i="13"/>
  <c r="C2476" i="13"/>
  <c r="C2452" i="13"/>
  <c r="C2460" i="13"/>
  <c r="AO19" i="12"/>
  <c r="AO27" i="12" s="1"/>
  <c r="AB117" i="3"/>
  <c r="R117" i="3" s="1"/>
  <c r="D110" i="5" s="1"/>
  <c r="C121" i="4"/>
  <c r="E71" i="14" s="1"/>
  <c r="E72" i="14" s="1"/>
  <c r="AG114" i="3"/>
  <c r="Y85" i="12"/>
  <c r="C121" i="5"/>
  <c r="E121" i="5" s="1"/>
  <c r="G121" i="5" s="1"/>
  <c r="Y83" i="12"/>
  <c r="AG97" i="3"/>
  <c r="AG113" i="3"/>
  <c r="AG96" i="3"/>
  <c r="F64" i="9"/>
  <c r="N39" i="7"/>
  <c r="D91" i="7" s="1"/>
  <c r="F60" i="14"/>
  <c r="D42" i="11" s="1"/>
  <c r="D46" i="11" s="1"/>
  <c r="D88" i="6" s="1"/>
  <c r="G66" i="9"/>
  <c r="C239" i="10" s="1"/>
  <c r="N39" i="6"/>
  <c r="F116" i="4"/>
  <c r="G116" i="4" s="1"/>
  <c r="C103" i="11"/>
  <c r="D107" i="8"/>
  <c r="D111" i="8"/>
  <c r="G110" i="5" l="1"/>
  <c r="G111" i="5" s="1"/>
  <c r="AM11" i="13"/>
  <c r="AL8" i="13"/>
  <c r="AN16" i="13"/>
  <c r="AJ11" i="13"/>
  <c r="AL11" i="13"/>
  <c r="AN8" i="13"/>
  <c r="AN11" i="13"/>
  <c r="AK8" i="13"/>
  <c r="AM8" i="13"/>
  <c r="AK11" i="13"/>
  <c r="AJ8" i="13"/>
  <c r="AK9" i="13"/>
  <c r="AN15" i="13"/>
  <c r="AL17" i="13"/>
  <c r="AJ17" i="13"/>
  <c r="AN17" i="13"/>
  <c r="AM9" i="13"/>
  <c r="AK15" i="13"/>
  <c r="AL16" i="13"/>
  <c r="AJ16" i="13"/>
  <c r="AM16" i="13"/>
  <c r="AJ9" i="13"/>
  <c r="AM15" i="13"/>
  <c r="AL15" i="13"/>
  <c r="AK16" i="13"/>
  <c r="AL9" i="13"/>
  <c r="AN9" i="13"/>
  <c r="AJ15" i="13"/>
  <c r="AK14" i="13"/>
  <c r="AN12" i="13"/>
  <c r="AJ13" i="13"/>
  <c r="AM14" i="13"/>
  <c r="AJ10" i="13"/>
  <c r="AM13" i="13"/>
  <c r="AL10" i="13"/>
  <c r="AN14" i="13"/>
  <c r="AM12" i="13"/>
  <c r="AL13" i="13"/>
  <c r="AN13" i="13"/>
  <c r="AN10" i="13"/>
  <c r="AL14" i="13"/>
  <c r="AK12" i="13"/>
  <c r="AJ12" i="13"/>
  <c r="AK13" i="13"/>
  <c r="AM10" i="13"/>
  <c r="AK10" i="13"/>
  <c r="AJ14" i="13"/>
  <c r="AL12" i="13"/>
  <c r="D2486" i="13"/>
  <c r="P2486" i="13"/>
  <c r="AK17" i="13"/>
  <c r="AM17" i="13"/>
  <c r="D2476" i="13"/>
  <c r="P2476" i="13"/>
  <c r="D2445" i="13"/>
  <c r="P2445" i="13"/>
  <c r="D2438" i="13"/>
  <c r="P2438" i="13"/>
  <c r="D2429" i="13"/>
  <c r="P2429" i="13"/>
  <c r="D2388" i="13"/>
  <c r="P2388" i="13"/>
  <c r="D2418" i="13"/>
  <c r="P2418" i="13"/>
  <c r="D2305" i="13"/>
  <c r="P2305" i="13"/>
  <c r="P2371" i="13"/>
  <c r="D2371" i="13"/>
  <c r="D2309" i="13"/>
  <c r="P2309" i="13"/>
  <c r="D2350" i="13"/>
  <c r="P2350" i="13"/>
  <c r="D2296" i="13"/>
  <c r="P2296" i="13"/>
  <c r="P2323" i="13"/>
  <c r="D2323" i="13"/>
  <c r="D2264" i="13"/>
  <c r="P2264" i="13"/>
  <c r="D2269" i="13"/>
  <c r="P2269" i="13"/>
  <c r="D2252" i="13"/>
  <c r="P2252" i="13"/>
  <c r="D2392" i="13"/>
  <c r="P2392" i="13"/>
  <c r="D2466" i="13"/>
  <c r="P2466" i="13"/>
  <c r="D2450" i="13"/>
  <c r="P2450" i="13"/>
  <c r="D2443" i="13"/>
  <c r="P2443" i="13"/>
  <c r="D2416" i="13"/>
  <c r="P2416" i="13"/>
  <c r="D2430" i="13"/>
  <c r="P2430" i="13"/>
  <c r="D2366" i="13"/>
  <c r="P2366" i="13"/>
  <c r="D2383" i="13"/>
  <c r="P2383" i="13"/>
  <c r="D2336" i="13"/>
  <c r="P2336" i="13"/>
  <c r="D2282" i="13"/>
  <c r="P2282" i="13"/>
  <c r="D2308" i="13"/>
  <c r="P2308" i="13"/>
  <c r="D2293" i="13"/>
  <c r="P2293" i="13"/>
  <c r="D2288" i="13"/>
  <c r="P2288" i="13"/>
  <c r="D2255" i="13"/>
  <c r="P2255" i="13"/>
  <c r="D2242" i="13"/>
  <c r="P2242" i="13"/>
  <c r="D2473" i="13"/>
  <c r="P2473" i="13"/>
  <c r="D2461" i="13"/>
  <c r="P2461" i="13"/>
  <c r="D2446" i="13"/>
  <c r="P2446" i="13"/>
  <c r="D2439" i="13"/>
  <c r="P2439" i="13"/>
  <c r="D2408" i="13"/>
  <c r="P2408" i="13"/>
  <c r="D2426" i="13"/>
  <c r="P2426" i="13"/>
  <c r="D2359" i="13"/>
  <c r="P2359" i="13"/>
  <c r="D2379" i="13"/>
  <c r="P2379" i="13"/>
  <c r="D2332" i="13"/>
  <c r="P2332" i="13"/>
  <c r="D2358" i="13"/>
  <c r="P2358" i="13"/>
  <c r="D2304" i="13"/>
  <c r="P2304" i="13"/>
  <c r="D2283" i="13"/>
  <c r="P2283" i="13"/>
  <c r="D2284" i="13"/>
  <c r="P2284" i="13"/>
  <c r="D2239" i="13"/>
  <c r="P2239" i="13"/>
  <c r="D2238" i="13"/>
  <c r="P2238" i="13"/>
  <c r="D2465" i="13"/>
  <c r="P2465" i="13"/>
  <c r="D2474" i="13"/>
  <c r="P2474" i="13"/>
  <c r="D2458" i="13"/>
  <c r="P2458" i="13"/>
  <c r="P2451" i="13"/>
  <c r="D2451" i="13"/>
  <c r="D2432" i="13"/>
  <c r="P2432" i="13"/>
  <c r="P2355" i="13"/>
  <c r="D2355" i="13"/>
  <c r="D2374" i="13"/>
  <c r="P2374" i="13"/>
  <c r="D2391" i="13"/>
  <c r="P2391" i="13"/>
  <c r="D2344" i="13"/>
  <c r="P2344" i="13"/>
  <c r="D2297" i="13"/>
  <c r="P2297" i="13"/>
  <c r="D2316" i="13"/>
  <c r="P2316" i="13"/>
  <c r="D2298" i="13"/>
  <c r="P2298" i="13"/>
  <c r="D2260" i="13"/>
  <c r="P2260" i="13"/>
  <c r="D2267" i="13"/>
  <c r="P2267" i="13"/>
  <c r="D2250" i="13"/>
  <c r="P2250" i="13"/>
  <c r="D1720" i="13"/>
  <c r="P1720" i="13"/>
  <c r="D1684" i="13"/>
  <c r="P1684" i="13"/>
  <c r="D1702" i="13"/>
  <c r="P1702" i="13"/>
  <c r="D1695" i="13"/>
  <c r="P1695" i="13"/>
  <c r="D1721" i="13"/>
  <c r="P1721" i="13"/>
  <c r="D1623" i="13"/>
  <c r="P1623" i="13"/>
  <c r="D1673" i="13"/>
  <c r="P1673" i="13"/>
  <c r="D1570" i="13"/>
  <c r="P1570" i="13"/>
  <c r="D1611" i="13"/>
  <c r="P1611" i="13"/>
  <c r="D1622" i="13"/>
  <c r="P1622" i="13"/>
  <c r="D1584" i="13"/>
  <c r="P1584" i="13"/>
  <c r="D1561" i="13"/>
  <c r="P1561" i="13"/>
  <c r="D1552" i="13"/>
  <c r="P1552" i="13"/>
  <c r="D1708" i="13"/>
  <c r="P1708" i="13"/>
  <c r="D1726" i="13"/>
  <c r="P1726" i="13"/>
  <c r="D1707" i="13"/>
  <c r="P1707" i="13"/>
  <c r="D1733" i="13"/>
  <c r="P1733" i="13"/>
  <c r="D1655" i="13"/>
  <c r="P1655" i="13"/>
  <c r="D1567" i="13"/>
  <c r="P1567" i="13"/>
  <c r="D1616" i="13"/>
  <c r="P1616" i="13"/>
  <c r="D1630" i="13"/>
  <c r="P1630" i="13"/>
  <c r="D1579" i="13"/>
  <c r="P1579" i="13"/>
  <c r="D1596" i="13"/>
  <c r="P1596" i="13"/>
  <c r="D1573" i="13"/>
  <c r="P1573" i="13"/>
  <c r="D1528" i="13"/>
  <c r="P1528" i="13"/>
  <c r="D1732" i="13"/>
  <c r="P1732" i="13"/>
  <c r="D1714" i="13"/>
  <c r="P1714" i="13"/>
  <c r="D1719" i="13"/>
  <c r="P1719" i="13"/>
  <c r="D1652" i="13"/>
  <c r="P1652" i="13"/>
  <c r="D1679" i="13"/>
  <c r="P1679" i="13"/>
  <c r="D1607" i="13"/>
  <c r="P1607" i="13"/>
  <c r="D1633" i="13"/>
  <c r="P1633" i="13"/>
  <c r="D1642" i="13"/>
  <c r="P1642" i="13"/>
  <c r="D1601" i="13"/>
  <c r="P1601" i="13"/>
  <c r="D1566" i="13"/>
  <c r="P1566" i="13"/>
  <c r="D1585" i="13"/>
  <c r="P1585" i="13"/>
  <c r="D1551" i="13"/>
  <c r="P1551" i="13"/>
  <c r="D1730" i="13"/>
  <c r="P1730" i="13"/>
  <c r="D1704" i="13"/>
  <c r="P1704" i="13"/>
  <c r="D1672" i="13"/>
  <c r="P1672" i="13"/>
  <c r="D1683" i="13"/>
  <c r="P1683" i="13"/>
  <c r="D1709" i="13"/>
  <c r="P1709" i="13"/>
  <c r="D1644" i="13"/>
  <c r="P1644" i="13"/>
  <c r="D1661" i="13"/>
  <c r="P1661" i="13"/>
  <c r="D1670" i="13"/>
  <c r="P1670" i="13"/>
  <c r="D1575" i="13"/>
  <c r="P1575" i="13"/>
  <c r="D1610" i="13"/>
  <c r="P1610" i="13"/>
  <c r="D1572" i="13"/>
  <c r="P1572" i="13"/>
  <c r="D1557" i="13"/>
  <c r="P1557" i="13"/>
  <c r="D1541" i="13"/>
  <c r="P1541" i="13"/>
  <c r="D1507" i="13"/>
  <c r="P1507" i="13"/>
  <c r="D1495" i="13"/>
  <c r="P1495" i="13"/>
  <c r="D1497" i="13"/>
  <c r="P1497" i="13"/>
  <c r="D1543" i="13"/>
  <c r="P1543" i="13"/>
  <c r="D1524" i="13"/>
  <c r="P1524" i="13"/>
  <c r="D1529" i="13"/>
  <c r="P1529" i="13"/>
  <c r="D1515" i="13"/>
  <c r="P1515" i="13"/>
  <c r="D1498" i="13"/>
  <c r="P1498" i="13"/>
  <c r="D1538" i="13"/>
  <c r="P1538" i="13"/>
  <c r="D1502" i="13"/>
  <c r="P1502" i="13"/>
  <c r="D1496" i="13"/>
  <c r="P1496" i="13"/>
  <c r="D753" i="13"/>
  <c r="P753" i="13"/>
  <c r="D779" i="13"/>
  <c r="P779" i="13"/>
  <c r="D771" i="13"/>
  <c r="P771" i="13"/>
  <c r="D768" i="13"/>
  <c r="P768" i="13"/>
  <c r="D785" i="13"/>
  <c r="P785" i="13"/>
  <c r="D817" i="13"/>
  <c r="P817" i="13"/>
  <c r="D814" i="13"/>
  <c r="P814" i="13"/>
  <c r="D772" i="13"/>
  <c r="P772" i="13"/>
  <c r="D750" i="13"/>
  <c r="P750" i="13"/>
  <c r="D808" i="13"/>
  <c r="P808" i="13"/>
  <c r="D770" i="13"/>
  <c r="P770" i="13"/>
  <c r="D767" i="13"/>
  <c r="P767" i="13"/>
  <c r="D755" i="13"/>
  <c r="P755" i="13"/>
  <c r="D946" i="13"/>
  <c r="P946" i="13"/>
  <c r="D913" i="13"/>
  <c r="P913" i="13"/>
  <c r="D878" i="13"/>
  <c r="P878" i="13"/>
  <c r="D914" i="13"/>
  <c r="P914" i="13"/>
  <c r="D876" i="13"/>
  <c r="P876" i="13"/>
  <c r="D862" i="13"/>
  <c r="P862" i="13"/>
  <c r="D974" i="13"/>
  <c r="P974" i="13"/>
  <c r="D810" i="13"/>
  <c r="P810" i="13"/>
  <c r="D846" i="13"/>
  <c r="P846" i="13"/>
  <c r="D949" i="13"/>
  <c r="P949" i="13"/>
  <c r="D951" i="13"/>
  <c r="P951" i="13"/>
  <c r="D821" i="13"/>
  <c r="P821" i="13"/>
  <c r="D973" i="13"/>
  <c r="P973" i="13"/>
  <c r="D964" i="13"/>
  <c r="P964" i="13"/>
  <c r="D967" i="13"/>
  <c r="P967" i="13"/>
  <c r="D861" i="13"/>
  <c r="P861" i="13"/>
  <c r="D968" i="13"/>
  <c r="P968" i="13"/>
  <c r="D963" i="13"/>
  <c r="P963" i="13"/>
  <c r="D895" i="13"/>
  <c r="P895" i="13"/>
  <c r="D920" i="13"/>
  <c r="P920" i="13"/>
  <c r="D906" i="13"/>
  <c r="P906" i="13"/>
  <c r="D842" i="13"/>
  <c r="P842" i="13"/>
  <c r="D851" i="13"/>
  <c r="P851" i="13"/>
  <c r="D795" i="13"/>
  <c r="P795" i="13"/>
  <c r="D977" i="13"/>
  <c r="P977" i="13"/>
  <c r="D958" i="13"/>
  <c r="P958" i="13"/>
  <c r="D960" i="13"/>
  <c r="P960" i="13"/>
  <c r="D845" i="13"/>
  <c r="P845" i="13"/>
  <c r="D961" i="13"/>
  <c r="P961" i="13"/>
  <c r="D959" i="13"/>
  <c r="P959" i="13"/>
  <c r="D888" i="13"/>
  <c r="P888" i="13"/>
  <c r="D916" i="13"/>
  <c r="P916" i="13"/>
  <c r="D902" i="13"/>
  <c r="P902" i="13"/>
  <c r="D837" i="13"/>
  <c r="P837" i="13"/>
  <c r="D847" i="13"/>
  <c r="P847" i="13"/>
  <c r="D787" i="13"/>
  <c r="P787" i="13"/>
  <c r="D981" i="13"/>
  <c r="P981" i="13"/>
  <c r="D953" i="13"/>
  <c r="P953" i="13"/>
  <c r="D954" i="13"/>
  <c r="P954" i="13"/>
  <c r="D820" i="13"/>
  <c r="P820" i="13"/>
  <c r="D956" i="13"/>
  <c r="P956" i="13"/>
  <c r="D955" i="13"/>
  <c r="P955" i="13"/>
  <c r="D880" i="13"/>
  <c r="P880" i="13"/>
  <c r="D912" i="13"/>
  <c r="P912" i="13"/>
  <c r="D898" i="13"/>
  <c r="P898" i="13"/>
  <c r="D829" i="13"/>
  <c r="P829" i="13"/>
  <c r="D843" i="13"/>
  <c r="P843" i="13"/>
  <c r="D766" i="13"/>
  <c r="P766" i="13"/>
  <c r="D673" i="13"/>
  <c r="P673" i="13"/>
  <c r="D632" i="13"/>
  <c r="P632" i="13"/>
  <c r="D524" i="13"/>
  <c r="P524" i="13"/>
  <c r="D731" i="13"/>
  <c r="P731" i="13"/>
  <c r="D702" i="13"/>
  <c r="P702" i="13"/>
  <c r="D609" i="13"/>
  <c r="P609" i="13"/>
  <c r="D676" i="13"/>
  <c r="P676" i="13"/>
  <c r="D627" i="13"/>
  <c r="P627" i="13"/>
  <c r="D572" i="13"/>
  <c r="P572" i="13"/>
  <c r="D512" i="13"/>
  <c r="P512" i="13"/>
  <c r="D687" i="13"/>
  <c r="P687" i="13"/>
  <c r="D612" i="13"/>
  <c r="P612" i="13"/>
  <c r="D710" i="13"/>
  <c r="P710" i="13"/>
  <c r="D665" i="13"/>
  <c r="P665" i="13"/>
  <c r="D527" i="13"/>
  <c r="P527" i="13"/>
  <c r="D593" i="13"/>
  <c r="P593" i="13"/>
  <c r="D701" i="13"/>
  <c r="P701" i="13"/>
  <c r="D607" i="13"/>
  <c r="P607" i="13"/>
  <c r="D729" i="13"/>
  <c r="P729" i="13"/>
  <c r="D664" i="13"/>
  <c r="P664" i="13"/>
  <c r="D575" i="13"/>
  <c r="P575" i="13"/>
  <c r="D566" i="13"/>
  <c r="P566" i="13"/>
  <c r="D704" i="13"/>
  <c r="P704" i="13"/>
  <c r="D645" i="13"/>
  <c r="P645" i="13"/>
  <c r="D610" i="13"/>
  <c r="P610" i="13"/>
  <c r="D506" i="13"/>
  <c r="P506" i="13"/>
  <c r="D700" i="13"/>
  <c r="P700" i="13"/>
  <c r="D641" i="13"/>
  <c r="P641" i="13"/>
  <c r="D596" i="13"/>
  <c r="P596" i="13"/>
  <c r="D522" i="13"/>
  <c r="P522" i="13"/>
  <c r="D579" i="13"/>
  <c r="P579" i="13"/>
  <c r="D528" i="13"/>
  <c r="P528" i="13"/>
  <c r="D547" i="13"/>
  <c r="P547" i="13"/>
  <c r="D669" i="13"/>
  <c r="P669" i="13"/>
  <c r="D590" i="13"/>
  <c r="P590" i="13"/>
  <c r="D709" i="13"/>
  <c r="P709" i="13"/>
  <c r="D640" i="13"/>
  <c r="P640" i="13"/>
  <c r="D551" i="13"/>
  <c r="P551" i="13"/>
  <c r="D518" i="13"/>
  <c r="P518" i="13"/>
  <c r="D654" i="13"/>
  <c r="P654" i="13"/>
  <c r="D617" i="13"/>
  <c r="P617" i="13"/>
  <c r="D576" i="13"/>
  <c r="P576" i="13"/>
  <c r="D531" i="13"/>
  <c r="P531" i="13"/>
  <c r="D558" i="13"/>
  <c r="P558" i="13"/>
  <c r="D718" i="13"/>
  <c r="P718" i="13"/>
  <c r="D674" i="13"/>
  <c r="P674" i="13"/>
  <c r="D535" i="13"/>
  <c r="P535" i="13"/>
  <c r="D502" i="13"/>
  <c r="P502" i="13"/>
  <c r="D544" i="13"/>
  <c r="P544" i="13"/>
  <c r="D563" i="13"/>
  <c r="P563" i="13"/>
  <c r="D597" i="13"/>
  <c r="P597" i="13"/>
  <c r="D560" i="13"/>
  <c r="P560" i="13"/>
  <c r="D614" i="13"/>
  <c r="P614" i="13"/>
  <c r="D737" i="13"/>
  <c r="P737" i="13"/>
  <c r="D635" i="13"/>
  <c r="P635" i="13"/>
  <c r="D583" i="13"/>
  <c r="P583" i="13"/>
  <c r="D582" i="13"/>
  <c r="P582" i="13"/>
  <c r="D634" i="13"/>
  <c r="P634" i="13"/>
  <c r="D592" i="13"/>
  <c r="P592" i="13"/>
  <c r="D601" i="13"/>
  <c r="P601" i="13"/>
  <c r="D546" i="13"/>
  <c r="P546" i="13"/>
  <c r="D1818" i="13"/>
  <c r="P1818" i="13"/>
  <c r="D1819" i="13"/>
  <c r="P1819" i="13"/>
  <c r="D1960" i="13"/>
  <c r="P1960" i="13"/>
  <c r="D1756" i="13"/>
  <c r="P1756" i="13"/>
  <c r="D1833" i="13"/>
  <c r="P1833" i="13"/>
  <c r="D1871" i="13"/>
  <c r="P1871" i="13"/>
  <c r="D1983" i="13"/>
  <c r="P1983" i="13"/>
  <c r="D1791" i="13"/>
  <c r="P1791" i="13"/>
  <c r="D1827" i="13"/>
  <c r="P1827" i="13"/>
  <c r="D1923" i="13"/>
  <c r="P1923" i="13"/>
  <c r="D1745" i="13"/>
  <c r="P1745" i="13"/>
  <c r="D1822" i="13"/>
  <c r="P1822" i="13"/>
  <c r="D1849" i="13"/>
  <c r="P1849" i="13"/>
  <c r="D1964" i="13"/>
  <c r="P1964" i="13"/>
  <c r="D1768" i="13"/>
  <c r="P1768" i="13"/>
  <c r="D1836" i="13"/>
  <c r="P1836" i="13"/>
  <c r="D1910" i="13"/>
  <c r="P1910" i="13"/>
  <c r="D1853" i="13"/>
  <c r="P1853" i="13"/>
  <c r="D1781" i="13"/>
  <c r="P1781" i="13"/>
  <c r="D1870" i="13"/>
  <c r="P1870" i="13"/>
  <c r="D1909" i="13"/>
  <c r="P1909" i="13"/>
  <c r="D1977" i="13"/>
  <c r="P1977" i="13"/>
  <c r="D1802" i="13"/>
  <c r="P1802" i="13"/>
  <c r="D1888" i="13"/>
  <c r="P1888" i="13"/>
  <c r="D1944" i="13"/>
  <c r="P1944" i="13"/>
  <c r="D1755" i="13"/>
  <c r="P1755" i="13"/>
  <c r="D1817" i="13"/>
  <c r="P1817" i="13"/>
  <c r="D1899" i="13"/>
  <c r="P1899" i="13"/>
  <c r="D1959" i="13"/>
  <c r="P1959" i="13"/>
  <c r="D1760" i="13"/>
  <c r="P1760" i="13"/>
  <c r="D1816" i="13"/>
  <c r="P1816" i="13"/>
  <c r="D1898" i="13"/>
  <c r="P1898" i="13"/>
  <c r="D1946" i="13"/>
  <c r="P1946" i="13"/>
  <c r="D1762" i="13"/>
  <c r="P1762" i="13"/>
  <c r="D1832" i="13"/>
  <c r="P1832" i="13"/>
  <c r="D1906" i="13"/>
  <c r="P1906" i="13"/>
  <c r="D1962" i="13"/>
  <c r="P1962" i="13"/>
  <c r="D1782" i="13"/>
  <c r="P1782" i="13"/>
  <c r="D1848" i="13"/>
  <c r="P1848" i="13"/>
  <c r="D1922" i="13"/>
  <c r="P1922" i="13"/>
  <c r="D1937" i="13"/>
  <c r="P1937" i="13"/>
  <c r="D1798" i="13"/>
  <c r="P1798" i="13"/>
  <c r="D1843" i="13"/>
  <c r="P1843" i="13"/>
  <c r="D1792" i="13"/>
  <c r="P1792" i="13"/>
  <c r="D1953" i="13"/>
  <c r="P1953" i="13"/>
  <c r="D1915" i="13"/>
  <c r="P1915" i="13"/>
  <c r="D1931" i="13"/>
  <c r="P1931" i="13"/>
  <c r="D1904" i="13"/>
  <c r="P1904" i="13"/>
  <c r="D1939" i="13"/>
  <c r="P1939" i="13"/>
  <c r="D1857" i="13"/>
  <c r="P1857" i="13"/>
  <c r="D1887" i="13"/>
  <c r="P1887" i="13"/>
  <c r="D1934" i="13"/>
  <c r="P1934" i="13"/>
  <c r="D1928" i="13"/>
  <c r="P1928" i="13"/>
  <c r="D1894" i="13"/>
  <c r="P1894" i="13"/>
  <c r="D1889" i="13"/>
  <c r="P1889" i="13"/>
  <c r="D1893" i="13"/>
  <c r="P1893" i="13"/>
  <c r="D1750" i="13"/>
  <c r="P1750" i="13"/>
  <c r="D1965" i="13"/>
  <c r="P1965" i="13"/>
  <c r="D1981" i="13"/>
  <c r="P1981" i="13"/>
  <c r="D1759" i="13"/>
  <c r="P1759" i="13"/>
  <c r="P2711" i="13"/>
  <c r="D2711" i="13"/>
  <c r="D2676" i="13"/>
  <c r="P2676" i="13"/>
  <c r="P2654" i="13"/>
  <c r="D2654" i="13"/>
  <c r="P2646" i="13"/>
  <c r="D2646" i="13"/>
  <c r="P2694" i="13"/>
  <c r="D2694" i="13"/>
  <c r="D2648" i="13"/>
  <c r="P2648" i="13"/>
  <c r="D2508" i="13"/>
  <c r="P2508" i="13"/>
  <c r="D2613" i="13"/>
  <c r="P2613" i="13"/>
  <c r="D2639" i="13"/>
  <c r="P2639" i="13"/>
  <c r="D2592" i="13"/>
  <c r="P2592" i="13"/>
  <c r="D2500" i="13"/>
  <c r="P2500" i="13"/>
  <c r="D2545" i="13"/>
  <c r="P2545" i="13"/>
  <c r="D2567" i="13"/>
  <c r="P2567" i="13"/>
  <c r="D2511" i="13"/>
  <c r="P2511" i="13"/>
  <c r="D2501" i="13"/>
  <c r="P2501" i="13"/>
  <c r="P2490" i="13"/>
  <c r="D2490" i="13"/>
  <c r="D2688" i="13"/>
  <c r="P2688" i="13"/>
  <c r="P2679" i="13"/>
  <c r="D2679" i="13"/>
  <c r="D2681" i="13"/>
  <c r="P2681" i="13"/>
  <c r="P2706" i="13"/>
  <c r="D2706" i="13"/>
  <c r="D2660" i="13"/>
  <c r="P2660" i="13"/>
  <c r="P2582" i="13"/>
  <c r="D2582" i="13"/>
  <c r="D2625" i="13"/>
  <c r="P2625" i="13"/>
  <c r="D2651" i="13"/>
  <c r="P2651" i="13"/>
  <c r="D2604" i="13"/>
  <c r="P2604" i="13"/>
  <c r="D2536" i="13"/>
  <c r="P2536" i="13"/>
  <c r="D2557" i="13"/>
  <c r="P2557" i="13"/>
  <c r="D2579" i="13"/>
  <c r="P2579" i="13"/>
  <c r="D2523" i="13"/>
  <c r="P2523" i="13"/>
  <c r="D2513" i="13"/>
  <c r="P2513" i="13"/>
  <c r="P2502" i="13"/>
  <c r="D2502" i="13"/>
  <c r="D2700" i="13"/>
  <c r="P2700" i="13"/>
  <c r="P2691" i="13"/>
  <c r="D2691" i="13"/>
  <c r="D2693" i="13"/>
  <c r="P2693" i="13"/>
  <c r="P2718" i="13"/>
  <c r="D2718" i="13"/>
  <c r="D2672" i="13"/>
  <c r="P2672" i="13"/>
  <c r="D2608" i="13"/>
  <c r="P2608" i="13"/>
  <c r="D2637" i="13"/>
  <c r="P2637" i="13"/>
  <c r="D2663" i="13"/>
  <c r="P2663" i="13"/>
  <c r="P2562" i="13"/>
  <c r="D2562" i="13"/>
  <c r="D2552" i="13"/>
  <c r="P2552" i="13"/>
  <c r="D2569" i="13"/>
  <c r="P2569" i="13"/>
  <c r="D2591" i="13"/>
  <c r="P2591" i="13"/>
  <c r="D2496" i="13"/>
  <c r="P2496" i="13"/>
  <c r="D2525" i="13"/>
  <c r="P2525" i="13"/>
  <c r="P2514" i="13"/>
  <c r="D2514" i="13"/>
  <c r="D2696" i="13"/>
  <c r="P2696" i="13"/>
  <c r="P2687" i="13"/>
  <c r="D2687" i="13"/>
  <c r="D2689" i="13"/>
  <c r="P2689" i="13"/>
  <c r="P2714" i="13"/>
  <c r="D2714" i="13"/>
  <c r="D2668" i="13"/>
  <c r="P2668" i="13"/>
  <c r="D2606" i="13"/>
  <c r="P2606" i="13"/>
  <c r="D2633" i="13"/>
  <c r="P2633" i="13"/>
  <c r="D2659" i="13"/>
  <c r="P2659" i="13"/>
  <c r="P2546" i="13"/>
  <c r="D2546" i="13"/>
  <c r="D2548" i="13"/>
  <c r="P2548" i="13"/>
  <c r="D2565" i="13"/>
  <c r="P2565" i="13"/>
  <c r="D2587" i="13"/>
  <c r="P2587" i="13"/>
  <c r="D2531" i="13"/>
  <c r="P2531" i="13"/>
  <c r="D2521" i="13"/>
  <c r="P2521" i="13"/>
  <c r="D2510" i="13"/>
  <c r="P2510" i="13"/>
  <c r="D1441" i="13"/>
  <c r="P1441" i="13"/>
  <c r="D1434" i="13"/>
  <c r="P1434" i="13"/>
  <c r="D1471" i="13"/>
  <c r="P1471" i="13"/>
  <c r="D1476" i="13"/>
  <c r="P1476" i="13"/>
  <c r="D1357" i="13"/>
  <c r="P1357" i="13"/>
  <c r="D1433" i="13"/>
  <c r="P1433" i="13"/>
  <c r="D1406" i="13"/>
  <c r="P1406" i="13"/>
  <c r="D1363" i="13"/>
  <c r="P1363" i="13"/>
  <c r="D1384" i="13"/>
  <c r="P1384" i="13"/>
  <c r="D1333" i="13"/>
  <c r="P1333" i="13"/>
  <c r="D1355" i="13"/>
  <c r="P1355" i="13"/>
  <c r="D1279" i="13"/>
  <c r="P1279" i="13"/>
  <c r="D1305" i="13"/>
  <c r="P1305" i="13"/>
  <c r="D1290" i="13"/>
  <c r="P1290" i="13"/>
  <c r="D1246" i="13"/>
  <c r="P1246" i="13"/>
  <c r="D1481" i="13"/>
  <c r="P1481" i="13"/>
  <c r="D1450" i="13"/>
  <c r="P1450" i="13"/>
  <c r="D1483" i="13"/>
  <c r="P1483" i="13"/>
  <c r="D1445" i="13"/>
  <c r="P1445" i="13"/>
  <c r="D1405" i="13"/>
  <c r="P1405" i="13"/>
  <c r="D1332" i="13"/>
  <c r="P1332" i="13"/>
  <c r="D1418" i="13"/>
  <c r="P1418" i="13"/>
  <c r="D1354" i="13"/>
  <c r="P1354" i="13"/>
  <c r="D1396" i="13"/>
  <c r="P1396" i="13"/>
  <c r="D1345" i="13"/>
  <c r="P1345" i="13"/>
  <c r="D1322" i="13"/>
  <c r="P1322" i="13"/>
  <c r="D1304" i="13"/>
  <c r="P1304" i="13"/>
  <c r="D1255" i="13"/>
  <c r="P1255" i="13"/>
  <c r="D1302" i="13"/>
  <c r="P1302" i="13"/>
  <c r="D1262" i="13"/>
  <c r="P1262" i="13"/>
  <c r="D1457" i="13"/>
  <c r="P1457" i="13"/>
  <c r="D1446" i="13"/>
  <c r="P1446" i="13"/>
  <c r="D1479" i="13"/>
  <c r="P1479" i="13"/>
  <c r="D1484" i="13"/>
  <c r="P1484" i="13"/>
  <c r="D1389" i="13"/>
  <c r="P1389" i="13"/>
  <c r="D1311" i="13"/>
  <c r="P1311" i="13"/>
  <c r="D1414" i="13"/>
  <c r="P1414" i="13"/>
  <c r="D1336" i="13"/>
  <c r="P1336" i="13"/>
  <c r="D1392" i="13"/>
  <c r="P1392" i="13"/>
  <c r="D1341" i="13"/>
  <c r="P1341" i="13"/>
  <c r="D1315" i="13"/>
  <c r="P1315" i="13"/>
  <c r="D1296" i="13"/>
  <c r="P1296" i="13"/>
  <c r="D1313" i="13"/>
  <c r="P1313" i="13"/>
  <c r="D1298" i="13"/>
  <c r="P1298" i="13"/>
  <c r="D1254" i="13"/>
  <c r="P1254" i="13"/>
  <c r="D1485" i="13"/>
  <c r="P1485" i="13"/>
  <c r="D1458" i="13"/>
  <c r="P1458" i="13"/>
  <c r="D1427" i="13"/>
  <c r="P1427" i="13"/>
  <c r="D1387" i="13"/>
  <c r="P1387" i="13"/>
  <c r="D1438" i="13"/>
  <c r="P1438" i="13"/>
  <c r="D1361" i="13"/>
  <c r="P1361" i="13"/>
  <c r="D1426" i="13"/>
  <c r="P1426" i="13"/>
  <c r="D1362" i="13"/>
  <c r="P1362" i="13"/>
  <c r="D1404" i="13"/>
  <c r="P1404" i="13"/>
  <c r="D1353" i="13"/>
  <c r="P1353" i="13"/>
  <c r="D1330" i="13"/>
  <c r="P1330" i="13"/>
  <c r="D1303" i="13"/>
  <c r="P1303" i="13"/>
  <c r="D1284" i="13"/>
  <c r="P1284" i="13"/>
  <c r="D1310" i="13"/>
  <c r="P1310" i="13"/>
  <c r="D1274" i="13"/>
  <c r="P1274" i="13"/>
  <c r="D1253" i="13"/>
  <c r="P1253" i="13"/>
  <c r="D1232" i="13"/>
  <c r="P1232" i="13"/>
  <c r="D1191" i="13"/>
  <c r="P1191" i="13"/>
  <c r="D1162" i="13"/>
  <c r="P1162" i="13"/>
  <c r="D1203" i="13"/>
  <c r="P1203" i="13"/>
  <c r="D1133" i="13"/>
  <c r="P1133" i="13"/>
  <c r="D1172" i="13"/>
  <c r="P1172" i="13"/>
  <c r="D1197" i="13"/>
  <c r="P1197" i="13"/>
  <c r="D1108" i="13"/>
  <c r="P1108" i="13"/>
  <c r="D1131" i="13"/>
  <c r="P1131" i="13"/>
  <c r="D1120" i="13"/>
  <c r="P1120" i="13"/>
  <c r="D1075" i="13"/>
  <c r="P1075" i="13"/>
  <c r="D1045" i="13"/>
  <c r="P1045" i="13"/>
  <c r="D1038" i="13"/>
  <c r="P1038" i="13"/>
  <c r="D1004" i="13"/>
  <c r="P1004" i="13"/>
  <c r="D1020" i="13"/>
  <c r="P1020" i="13"/>
  <c r="D1216" i="13"/>
  <c r="P1216" i="13"/>
  <c r="D1183" i="13"/>
  <c r="P1183" i="13"/>
  <c r="D1154" i="13"/>
  <c r="P1154" i="13"/>
  <c r="D1195" i="13"/>
  <c r="P1195" i="13"/>
  <c r="D1125" i="13"/>
  <c r="P1125" i="13"/>
  <c r="D1168" i="13"/>
  <c r="P1168" i="13"/>
  <c r="D1193" i="13"/>
  <c r="P1193" i="13"/>
  <c r="D1076" i="13"/>
  <c r="P1076" i="13"/>
  <c r="D1127" i="13"/>
  <c r="P1127" i="13"/>
  <c r="D1116" i="13"/>
  <c r="P1116" i="13"/>
  <c r="D1057" i="13"/>
  <c r="P1057" i="13"/>
  <c r="D1033" i="13"/>
  <c r="P1033" i="13"/>
  <c r="D1034" i="13"/>
  <c r="P1034" i="13"/>
  <c r="D1029" i="13"/>
  <c r="P1029" i="13"/>
  <c r="D1018" i="13"/>
  <c r="P1018" i="13"/>
  <c r="D1214" i="13"/>
  <c r="P1214" i="13"/>
  <c r="D1175" i="13"/>
  <c r="P1175" i="13"/>
  <c r="D1121" i="13"/>
  <c r="P1121" i="13"/>
  <c r="D1187" i="13"/>
  <c r="P1187" i="13"/>
  <c r="D1109" i="13"/>
  <c r="P1109" i="13"/>
  <c r="D1164" i="13"/>
  <c r="P1164" i="13"/>
  <c r="D1189" i="13"/>
  <c r="P1189" i="13"/>
  <c r="D1130" i="13"/>
  <c r="P1130" i="13"/>
  <c r="D1123" i="13"/>
  <c r="P1123" i="13"/>
  <c r="D1112" i="13"/>
  <c r="P1112" i="13"/>
  <c r="D1107" i="13"/>
  <c r="P1107" i="13"/>
  <c r="D1012" i="13"/>
  <c r="P1012" i="13"/>
  <c r="D1039" i="13"/>
  <c r="P1039" i="13"/>
  <c r="D1025" i="13"/>
  <c r="P1025" i="13"/>
  <c r="D1010" i="13"/>
  <c r="P1010" i="13"/>
  <c r="D1174" i="13"/>
  <c r="P1174" i="13"/>
  <c r="D1215" i="13"/>
  <c r="P1215" i="13"/>
  <c r="D1170" i="13"/>
  <c r="P1170" i="13"/>
  <c r="D1211" i="13"/>
  <c r="P1211" i="13"/>
  <c r="D1141" i="13"/>
  <c r="P1141" i="13"/>
  <c r="D1176" i="13"/>
  <c r="P1176" i="13"/>
  <c r="D1201" i="13"/>
  <c r="P1201" i="13"/>
  <c r="D1117" i="13"/>
  <c r="P1117" i="13"/>
  <c r="D1135" i="13"/>
  <c r="P1135" i="13"/>
  <c r="D1124" i="13"/>
  <c r="P1124" i="13"/>
  <c r="D1078" i="13"/>
  <c r="P1078" i="13"/>
  <c r="D1053" i="13"/>
  <c r="P1053" i="13"/>
  <c r="D1042" i="13"/>
  <c r="P1042" i="13"/>
  <c r="D1028" i="13"/>
  <c r="P1028" i="13"/>
  <c r="D1023" i="13"/>
  <c r="P1023" i="13"/>
  <c r="D265" i="13"/>
  <c r="P265" i="13"/>
  <c r="D294" i="13"/>
  <c r="P294" i="13"/>
  <c r="D274" i="13"/>
  <c r="P274" i="13"/>
  <c r="D304" i="13"/>
  <c r="P304" i="13"/>
  <c r="D300" i="13"/>
  <c r="P300" i="13"/>
  <c r="D307" i="13"/>
  <c r="P307" i="13"/>
  <c r="D322" i="13"/>
  <c r="P322" i="13"/>
  <c r="D398" i="13"/>
  <c r="P398" i="13"/>
  <c r="D353" i="13"/>
  <c r="P353" i="13"/>
  <c r="D388" i="13"/>
  <c r="P388" i="13"/>
  <c r="D409" i="13"/>
  <c r="P409" i="13"/>
  <c r="D411" i="13"/>
  <c r="P411" i="13"/>
  <c r="D430" i="13"/>
  <c r="P430" i="13"/>
  <c r="D450" i="13"/>
  <c r="P450" i="13"/>
  <c r="D468" i="13"/>
  <c r="P468" i="13"/>
  <c r="D269" i="13"/>
  <c r="P269" i="13"/>
  <c r="D328" i="13"/>
  <c r="P328" i="13"/>
  <c r="D278" i="13"/>
  <c r="P278" i="13"/>
  <c r="D336" i="13"/>
  <c r="P336" i="13"/>
  <c r="D308" i="13"/>
  <c r="P308" i="13"/>
  <c r="D315" i="13"/>
  <c r="P315" i="13"/>
  <c r="D326" i="13"/>
  <c r="P326" i="13"/>
  <c r="D406" i="13"/>
  <c r="P406" i="13"/>
  <c r="D357" i="13"/>
  <c r="P357" i="13"/>
  <c r="D392" i="13"/>
  <c r="P392" i="13"/>
  <c r="D425" i="13"/>
  <c r="P425" i="13"/>
  <c r="D415" i="13"/>
  <c r="P415" i="13"/>
  <c r="D434" i="13"/>
  <c r="P434" i="13"/>
  <c r="D454" i="13"/>
  <c r="P454" i="13"/>
  <c r="D472" i="13"/>
  <c r="P472" i="13"/>
  <c r="D257" i="13"/>
  <c r="P257" i="13"/>
  <c r="D266" i="13"/>
  <c r="P266" i="13"/>
  <c r="D312" i="13"/>
  <c r="P312" i="13"/>
  <c r="D287" i="13"/>
  <c r="P287" i="13"/>
  <c r="D292" i="13"/>
  <c r="P292" i="13"/>
  <c r="D299" i="13"/>
  <c r="P299" i="13"/>
  <c r="D314" i="13"/>
  <c r="P314" i="13"/>
  <c r="D382" i="13"/>
  <c r="P382" i="13"/>
  <c r="D345" i="13"/>
  <c r="P345" i="13"/>
  <c r="D380" i="13"/>
  <c r="P380" i="13"/>
  <c r="D399" i="13"/>
  <c r="P399" i="13"/>
  <c r="D463" i="13"/>
  <c r="P463" i="13"/>
  <c r="D422" i="13"/>
  <c r="P422" i="13"/>
  <c r="D487" i="13"/>
  <c r="P487" i="13"/>
  <c r="D490" i="13"/>
  <c r="P490" i="13"/>
  <c r="D491" i="13"/>
  <c r="P491" i="13"/>
  <c r="D293" i="13"/>
  <c r="P293" i="13"/>
  <c r="D272" i="13"/>
  <c r="P272" i="13"/>
  <c r="D259" i="13"/>
  <c r="P259" i="13"/>
  <c r="D335" i="13"/>
  <c r="P335" i="13"/>
  <c r="D356" i="13"/>
  <c r="P356" i="13"/>
  <c r="D363" i="13"/>
  <c r="P363" i="13"/>
  <c r="D350" i="13"/>
  <c r="P350" i="13"/>
  <c r="D317" i="13"/>
  <c r="P317" i="13"/>
  <c r="D389" i="13"/>
  <c r="P389" i="13"/>
  <c r="D445" i="13"/>
  <c r="P445" i="13"/>
  <c r="D424" i="13"/>
  <c r="P424" i="13"/>
  <c r="D439" i="13"/>
  <c r="P439" i="13"/>
  <c r="D460" i="13"/>
  <c r="P460" i="13"/>
  <c r="D494" i="13"/>
  <c r="P494" i="13"/>
  <c r="D489" i="13"/>
  <c r="P489" i="13"/>
  <c r="D2003" i="13"/>
  <c r="P2003" i="13"/>
  <c r="D2077" i="13"/>
  <c r="P2077" i="13"/>
  <c r="D2152" i="13"/>
  <c r="P2152" i="13"/>
  <c r="D2225" i="13"/>
  <c r="P2225" i="13"/>
  <c r="D2037" i="13"/>
  <c r="P2037" i="13"/>
  <c r="D2081" i="13"/>
  <c r="P2081" i="13"/>
  <c r="D2204" i="13"/>
  <c r="P2204" i="13"/>
  <c r="D2229" i="13"/>
  <c r="P2229" i="13"/>
  <c r="D2055" i="13"/>
  <c r="P2055" i="13"/>
  <c r="D2115" i="13"/>
  <c r="P2115" i="13"/>
  <c r="D2171" i="13"/>
  <c r="P2171" i="13"/>
  <c r="D2079" i="13"/>
  <c r="P2079" i="13"/>
  <c r="D2132" i="13"/>
  <c r="P2132" i="13"/>
  <c r="D2195" i="13"/>
  <c r="P2195" i="13"/>
  <c r="D1996" i="13"/>
  <c r="P1996" i="13"/>
  <c r="D2074" i="13"/>
  <c r="P2074" i="13"/>
  <c r="D2092" i="13"/>
  <c r="P2092" i="13"/>
  <c r="D2165" i="13"/>
  <c r="P2165" i="13"/>
  <c r="D2014" i="13"/>
  <c r="P2014" i="13"/>
  <c r="D2086" i="13"/>
  <c r="P2086" i="13"/>
  <c r="D2160" i="13"/>
  <c r="P2160" i="13"/>
  <c r="D2170" i="13"/>
  <c r="P2170" i="13"/>
  <c r="D2038" i="13"/>
  <c r="P2038" i="13"/>
  <c r="D2091" i="13"/>
  <c r="P2091" i="13"/>
  <c r="D2148" i="13"/>
  <c r="P2148" i="13"/>
  <c r="D2231" i="13"/>
  <c r="P2231" i="13"/>
  <c r="D2083" i="13"/>
  <c r="P2083" i="13"/>
  <c r="D2136" i="13"/>
  <c r="P2136" i="13"/>
  <c r="D2199" i="13"/>
  <c r="P2199" i="13"/>
  <c r="D1998" i="13"/>
  <c r="P1998" i="13"/>
  <c r="D2056" i="13"/>
  <c r="P2056" i="13"/>
  <c r="D2129" i="13"/>
  <c r="P2129" i="13"/>
  <c r="D2185" i="13"/>
  <c r="P2185" i="13"/>
  <c r="D2033" i="13"/>
  <c r="P2033" i="13"/>
  <c r="D2073" i="13"/>
  <c r="P2073" i="13"/>
  <c r="D2200" i="13"/>
  <c r="P2200" i="13"/>
  <c r="D2214" i="13"/>
  <c r="P2214" i="13"/>
  <c r="D2042" i="13"/>
  <c r="P2042" i="13"/>
  <c r="D2095" i="13"/>
  <c r="P2095" i="13"/>
  <c r="D2151" i="13"/>
  <c r="P2151" i="13"/>
  <c r="D2162" i="13"/>
  <c r="P2162" i="13"/>
  <c r="D2043" i="13"/>
  <c r="P2043" i="13"/>
  <c r="D2119" i="13"/>
  <c r="P2119" i="13"/>
  <c r="D2219" i="13"/>
  <c r="P2219" i="13"/>
  <c r="D2059" i="13"/>
  <c r="P2059" i="13"/>
  <c r="D2045" i="13"/>
  <c r="P2045" i="13"/>
  <c r="D2106" i="13"/>
  <c r="P2106" i="13"/>
  <c r="P2103" i="13"/>
  <c r="D2103" i="13"/>
  <c r="D2066" i="13"/>
  <c r="P2066" i="13"/>
  <c r="D2090" i="13"/>
  <c r="P2090" i="13"/>
  <c r="D2087" i="13"/>
  <c r="P2087" i="13"/>
  <c r="D2159" i="13"/>
  <c r="P2159" i="13"/>
  <c r="D2150" i="13"/>
  <c r="P2150" i="13"/>
  <c r="D2069" i="13"/>
  <c r="P2069" i="13"/>
  <c r="D2207" i="13"/>
  <c r="P2207" i="13"/>
  <c r="D2076" i="13"/>
  <c r="P2076" i="13"/>
  <c r="D2212" i="13"/>
  <c r="P2212" i="13"/>
  <c r="D2191" i="13"/>
  <c r="P2191" i="13"/>
  <c r="D2189" i="13"/>
  <c r="P2189" i="13"/>
  <c r="D2149" i="13"/>
  <c r="P2149" i="13"/>
  <c r="D146" i="13"/>
  <c r="P146" i="13"/>
  <c r="D246" i="13"/>
  <c r="P246" i="13"/>
  <c r="D182" i="13"/>
  <c r="P182" i="13"/>
  <c r="D118" i="13"/>
  <c r="P118" i="13"/>
  <c r="D54" i="13"/>
  <c r="P54" i="13"/>
  <c r="D162" i="13"/>
  <c r="P162" i="13"/>
  <c r="D238" i="13"/>
  <c r="P238" i="13"/>
  <c r="D174" i="13"/>
  <c r="P174" i="13"/>
  <c r="D110" i="13"/>
  <c r="P110" i="13"/>
  <c r="D46" i="13"/>
  <c r="P46" i="13"/>
  <c r="D178" i="13"/>
  <c r="P178" i="13"/>
  <c r="D234" i="13"/>
  <c r="P234" i="13"/>
  <c r="D170" i="13"/>
  <c r="P170" i="13"/>
  <c r="D106" i="13"/>
  <c r="P106" i="13"/>
  <c r="D42" i="13"/>
  <c r="P42" i="13"/>
  <c r="D237" i="13"/>
  <c r="P237" i="13"/>
  <c r="D221" i="13"/>
  <c r="P221" i="13"/>
  <c r="D205" i="13"/>
  <c r="P205" i="13"/>
  <c r="D189" i="13"/>
  <c r="P189" i="13"/>
  <c r="D173" i="13"/>
  <c r="P173" i="13"/>
  <c r="D157" i="13"/>
  <c r="P157" i="13"/>
  <c r="D141" i="13"/>
  <c r="P141" i="13"/>
  <c r="D125" i="13"/>
  <c r="P125" i="13"/>
  <c r="D109" i="13"/>
  <c r="P109" i="13"/>
  <c r="D93" i="13"/>
  <c r="P93" i="13"/>
  <c r="D77" i="13"/>
  <c r="P77" i="13"/>
  <c r="D61" i="13"/>
  <c r="P61" i="13"/>
  <c r="D45" i="13"/>
  <c r="P45" i="13"/>
  <c r="D29" i="13"/>
  <c r="P29" i="13"/>
  <c r="D13" i="13"/>
  <c r="P13" i="13"/>
  <c r="D232" i="13"/>
  <c r="P232" i="13"/>
  <c r="D216" i="13"/>
  <c r="P216" i="13"/>
  <c r="D200" i="13"/>
  <c r="P200" i="13"/>
  <c r="D184" i="13"/>
  <c r="P184" i="13"/>
  <c r="D168" i="13"/>
  <c r="P168" i="13"/>
  <c r="D152" i="13"/>
  <c r="P152" i="13"/>
  <c r="D136" i="13"/>
  <c r="P136" i="13"/>
  <c r="D120" i="13"/>
  <c r="P120" i="13"/>
  <c r="D104" i="13"/>
  <c r="P104" i="13"/>
  <c r="D88" i="13"/>
  <c r="P88" i="13"/>
  <c r="D72" i="13"/>
  <c r="P72" i="13"/>
  <c r="D56" i="13"/>
  <c r="P56" i="13"/>
  <c r="D40" i="13"/>
  <c r="P40" i="13"/>
  <c r="D24" i="13"/>
  <c r="P24" i="13"/>
  <c r="D247" i="13"/>
  <c r="P247" i="13"/>
  <c r="D227" i="13"/>
  <c r="P227" i="13"/>
  <c r="D211" i="13"/>
  <c r="P211" i="13"/>
  <c r="D195" i="13"/>
  <c r="P195" i="13"/>
  <c r="D179" i="13"/>
  <c r="P179" i="13"/>
  <c r="D163" i="13"/>
  <c r="P163" i="13"/>
  <c r="D147" i="13"/>
  <c r="P147" i="13"/>
  <c r="D131" i="13"/>
  <c r="P131" i="13"/>
  <c r="D115" i="13"/>
  <c r="P115" i="13"/>
  <c r="D99" i="13"/>
  <c r="P99" i="13"/>
  <c r="D83" i="13"/>
  <c r="P83" i="13"/>
  <c r="D67" i="13"/>
  <c r="P67" i="13"/>
  <c r="D51" i="13"/>
  <c r="P51" i="13"/>
  <c r="D35" i="13"/>
  <c r="P35" i="13"/>
  <c r="D19" i="13"/>
  <c r="P19" i="13"/>
  <c r="D243" i="13"/>
  <c r="P243" i="13"/>
  <c r="D2457" i="13"/>
  <c r="P2457" i="13"/>
  <c r="D2471" i="13"/>
  <c r="P2471" i="13"/>
  <c r="D2412" i="13"/>
  <c r="P2412" i="13"/>
  <c r="D2397" i="13"/>
  <c r="P2397" i="13"/>
  <c r="D2389" i="13"/>
  <c r="P2389" i="13"/>
  <c r="D2402" i="13"/>
  <c r="P2402" i="13"/>
  <c r="P2419" i="13"/>
  <c r="D2419" i="13"/>
  <c r="D2347" i="13"/>
  <c r="P2347" i="13"/>
  <c r="D2349" i="13"/>
  <c r="P2349" i="13"/>
  <c r="D2334" i="13"/>
  <c r="P2334" i="13"/>
  <c r="D2326" i="13"/>
  <c r="P2326" i="13"/>
  <c r="P2307" i="13"/>
  <c r="D2307" i="13"/>
  <c r="D2277" i="13"/>
  <c r="P2277" i="13"/>
  <c r="D2274" i="13"/>
  <c r="P2274" i="13"/>
  <c r="D2257" i="13"/>
  <c r="P2257" i="13"/>
  <c r="D2472" i="13"/>
  <c r="P2472" i="13"/>
  <c r="D2417" i="13"/>
  <c r="P2417" i="13"/>
  <c r="D2434" i="13"/>
  <c r="P2434" i="13"/>
  <c r="D2421" i="13"/>
  <c r="P2421" i="13"/>
  <c r="D2372" i="13"/>
  <c r="P2372" i="13"/>
  <c r="D2414" i="13"/>
  <c r="P2414" i="13"/>
  <c r="D2431" i="13"/>
  <c r="P2431" i="13"/>
  <c r="D2367" i="13"/>
  <c r="P2367" i="13"/>
  <c r="D2361" i="13"/>
  <c r="P2361" i="13"/>
  <c r="D2346" i="13"/>
  <c r="P2346" i="13"/>
  <c r="D2290" i="13"/>
  <c r="P2290" i="13"/>
  <c r="D2319" i="13"/>
  <c r="P2319" i="13"/>
  <c r="P2243" i="13"/>
  <c r="D2243" i="13"/>
  <c r="D2265" i="13"/>
  <c r="P2265" i="13"/>
  <c r="D2248" i="13"/>
  <c r="P2248" i="13"/>
  <c r="D2468" i="13"/>
  <c r="P2468" i="13"/>
  <c r="D2479" i="13"/>
  <c r="P2479" i="13"/>
  <c r="D2428" i="13"/>
  <c r="P2428" i="13"/>
  <c r="D2413" i="13"/>
  <c r="P2413" i="13"/>
  <c r="D2335" i="13"/>
  <c r="P2335" i="13"/>
  <c r="D2410" i="13"/>
  <c r="P2410" i="13"/>
  <c r="D2427" i="13"/>
  <c r="P2427" i="13"/>
  <c r="D2363" i="13"/>
  <c r="P2363" i="13"/>
  <c r="D2357" i="13"/>
  <c r="P2357" i="13"/>
  <c r="D2342" i="13"/>
  <c r="P2342" i="13"/>
  <c r="D2287" i="13"/>
  <c r="P2287" i="13"/>
  <c r="D2315" i="13"/>
  <c r="P2315" i="13"/>
  <c r="D2285" i="13"/>
  <c r="P2285" i="13"/>
  <c r="D2261" i="13"/>
  <c r="P2261" i="13"/>
  <c r="D2244" i="13"/>
  <c r="P2244" i="13"/>
  <c r="D2441" i="13"/>
  <c r="P2441" i="13"/>
  <c r="D2453" i="13"/>
  <c r="P2453" i="13"/>
  <c r="D2442" i="13"/>
  <c r="P2442" i="13"/>
  <c r="P2435" i="13"/>
  <c r="D2435" i="13"/>
  <c r="D2400" i="13"/>
  <c r="P2400" i="13"/>
  <c r="D2422" i="13"/>
  <c r="P2422" i="13"/>
  <c r="D2343" i="13"/>
  <c r="P2343" i="13"/>
  <c r="D2375" i="13"/>
  <c r="P2375" i="13"/>
  <c r="D2325" i="13"/>
  <c r="P2325" i="13"/>
  <c r="D2354" i="13"/>
  <c r="P2354" i="13"/>
  <c r="D2300" i="13"/>
  <c r="P2300" i="13"/>
  <c r="D2327" i="13"/>
  <c r="P2327" i="13"/>
  <c r="D2280" i="13"/>
  <c r="P2280" i="13"/>
  <c r="D2273" i="13"/>
  <c r="P2273" i="13"/>
  <c r="D2256" i="13"/>
  <c r="P2256" i="13"/>
  <c r="D1706" i="13"/>
  <c r="P1706" i="13"/>
  <c r="D1696" i="13"/>
  <c r="P1696" i="13"/>
  <c r="D1627" i="13"/>
  <c r="P1627" i="13"/>
  <c r="D1675" i="13"/>
  <c r="P1675" i="13"/>
  <c r="D1705" i="13"/>
  <c r="P1705" i="13"/>
  <c r="D1640" i="13"/>
  <c r="P1640" i="13"/>
  <c r="D1657" i="13"/>
  <c r="P1657" i="13"/>
  <c r="D1666" i="13"/>
  <c r="P1666" i="13"/>
  <c r="D1554" i="13"/>
  <c r="P1554" i="13"/>
  <c r="D1606" i="13"/>
  <c r="P1606" i="13"/>
  <c r="D1568" i="13"/>
  <c r="P1568" i="13"/>
  <c r="D1553" i="13"/>
  <c r="P1553" i="13"/>
  <c r="D1712" i="13"/>
  <c r="P1712" i="13"/>
  <c r="D1668" i="13"/>
  <c r="P1668" i="13"/>
  <c r="D1694" i="13"/>
  <c r="P1694" i="13"/>
  <c r="D1691" i="13"/>
  <c r="P1691" i="13"/>
  <c r="D1717" i="13"/>
  <c r="P1717" i="13"/>
  <c r="D1604" i="13"/>
  <c r="P1604" i="13"/>
  <c r="D1669" i="13"/>
  <c r="P1669" i="13"/>
  <c r="D1678" i="13"/>
  <c r="P1678" i="13"/>
  <c r="D1603" i="13"/>
  <c r="P1603" i="13"/>
  <c r="D1618" i="13"/>
  <c r="P1618" i="13"/>
  <c r="D1580" i="13"/>
  <c r="P1580" i="13"/>
  <c r="D1546" i="13"/>
  <c r="P1546" i="13"/>
  <c r="D1548" i="13"/>
  <c r="P1548" i="13"/>
  <c r="D1700" i="13"/>
  <c r="P1700" i="13"/>
  <c r="D1718" i="13"/>
  <c r="P1718" i="13"/>
  <c r="D1703" i="13"/>
  <c r="P1703" i="13"/>
  <c r="D1729" i="13"/>
  <c r="P1729" i="13"/>
  <c r="D1647" i="13"/>
  <c r="P1647" i="13"/>
  <c r="D1681" i="13"/>
  <c r="P1681" i="13"/>
  <c r="D1608" i="13"/>
  <c r="P1608" i="13"/>
  <c r="D1626" i="13"/>
  <c r="P1626" i="13"/>
  <c r="D1571" i="13"/>
  <c r="P1571" i="13"/>
  <c r="D1592" i="13"/>
  <c r="P1592" i="13"/>
  <c r="D1569" i="13"/>
  <c r="P1569" i="13"/>
  <c r="D1560" i="13"/>
  <c r="P1560" i="13"/>
  <c r="D1680" i="13"/>
  <c r="P1680" i="13"/>
  <c r="D1643" i="13"/>
  <c r="P1643" i="13"/>
  <c r="D1731" i="13"/>
  <c r="P1731" i="13"/>
  <c r="D1651" i="13"/>
  <c r="P1651" i="13"/>
  <c r="D1693" i="13"/>
  <c r="P1693" i="13"/>
  <c r="D1628" i="13"/>
  <c r="P1628" i="13"/>
  <c r="D1645" i="13"/>
  <c r="P1645" i="13"/>
  <c r="D1654" i="13"/>
  <c r="P1654" i="13"/>
  <c r="D1613" i="13"/>
  <c r="P1613" i="13"/>
  <c r="D1590" i="13"/>
  <c r="P1590" i="13"/>
  <c r="D1597" i="13"/>
  <c r="P1597" i="13"/>
  <c r="D1536" i="13"/>
  <c r="P1536" i="13"/>
  <c r="D1537" i="13"/>
  <c r="P1537" i="13"/>
  <c r="D1531" i="13"/>
  <c r="P1531" i="13"/>
  <c r="D1514" i="13"/>
  <c r="P1514" i="13"/>
  <c r="D1533" i="13"/>
  <c r="P1533" i="13"/>
  <c r="D1527" i="13"/>
  <c r="P1527" i="13"/>
  <c r="D1506" i="13"/>
  <c r="P1506" i="13"/>
  <c r="D1542" i="13"/>
  <c r="P1542" i="13"/>
  <c r="D1510" i="13"/>
  <c r="P1510" i="13"/>
  <c r="D1500" i="13"/>
  <c r="P1500" i="13"/>
  <c r="D1521" i="13"/>
  <c r="P1521" i="13"/>
  <c r="D1503" i="13"/>
  <c r="P1503" i="13"/>
  <c r="D1501" i="13"/>
  <c r="P1501" i="13"/>
  <c r="D754" i="13"/>
  <c r="P754" i="13"/>
  <c r="D789" i="13"/>
  <c r="P789" i="13"/>
  <c r="D792" i="13"/>
  <c r="P792" i="13"/>
  <c r="D769" i="13"/>
  <c r="P769" i="13"/>
  <c r="D797" i="13"/>
  <c r="P797" i="13"/>
  <c r="D788" i="13"/>
  <c r="P788" i="13"/>
  <c r="D761" i="13"/>
  <c r="P761" i="13"/>
  <c r="D801" i="13"/>
  <c r="P801" i="13"/>
  <c r="D781" i="13"/>
  <c r="P781" i="13"/>
  <c r="D831" i="13"/>
  <c r="P831" i="13"/>
  <c r="D774" i="13"/>
  <c r="P774" i="13"/>
  <c r="D758" i="13"/>
  <c r="P758" i="13"/>
  <c r="D796" i="13"/>
  <c r="P796" i="13"/>
  <c r="D897" i="13"/>
  <c r="P897" i="13"/>
  <c r="D935" i="13"/>
  <c r="P935" i="13"/>
  <c r="D887" i="13"/>
  <c r="P887" i="13"/>
  <c r="D987" i="13"/>
  <c r="P987" i="13"/>
  <c r="D919" i="13"/>
  <c r="P919" i="13"/>
  <c r="D871" i="13"/>
  <c r="P871" i="13"/>
  <c r="D971" i="13"/>
  <c r="P971" i="13"/>
  <c r="D900" i="13"/>
  <c r="P900" i="13"/>
  <c r="D855" i="13"/>
  <c r="P855" i="13"/>
  <c r="D950" i="13"/>
  <c r="P950" i="13"/>
  <c r="D872" i="13"/>
  <c r="P872" i="13"/>
  <c r="D840" i="13"/>
  <c r="P840" i="13"/>
  <c r="D962" i="13"/>
  <c r="P962" i="13"/>
  <c r="D933" i="13"/>
  <c r="P933" i="13"/>
  <c r="D942" i="13"/>
  <c r="P942" i="13"/>
  <c r="D982" i="13"/>
  <c r="P982" i="13"/>
  <c r="D937" i="13"/>
  <c r="P937" i="13"/>
  <c r="D947" i="13"/>
  <c r="P947" i="13"/>
  <c r="D864" i="13"/>
  <c r="P864" i="13"/>
  <c r="D901" i="13"/>
  <c r="P901" i="13"/>
  <c r="D890" i="13"/>
  <c r="P890" i="13"/>
  <c r="D802" i="13"/>
  <c r="P802" i="13"/>
  <c r="D832" i="13"/>
  <c r="P832" i="13"/>
  <c r="D835" i="13"/>
  <c r="P835" i="13"/>
  <c r="D957" i="13"/>
  <c r="P957" i="13"/>
  <c r="D925" i="13"/>
  <c r="P925" i="13"/>
  <c r="D934" i="13"/>
  <c r="P934" i="13"/>
  <c r="D978" i="13"/>
  <c r="P978" i="13"/>
  <c r="D929" i="13"/>
  <c r="P929" i="13"/>
  <c r="D943" i="13"/>
  <c r="P943" i="13"/>
  <c r="D856" i="13"/>
  <c r="P856" i="13"/>
  <c r="D896" i="13"/>
  <c r="P896" i="13"/>
  <c r="D886" i="13"/>
  <c r="P886" i="13"/>
  <c r="D786" i="13"/>
  <c r="P786" i="13"/>
  <c r="D824" i="13"/>
  <c r="P824" i="13"/>
  <c r="D827" i="13"/>
  <c r="P827" i="13"/>
  <c r="D952" i="13"/>
  <c r="P952" i="13"/>
  <c r="D917" i="13"/>
  <c r="P917" i="13"/>
  <c r="D926" i="13"/>
  <c r="P926" i="13"/>
  <c r="D970" i="13"/>
  <c r="P970" i="13"/>
  <c r="D921" i="13"/>
  <c r="P921" i="13"/>
  <c r="D939" i="13"/>
  <c r="P939" i="13"/>
  <c r="D848" i="13"/>
  <c r="P848" i="13"/>
  <c r="D889" i="13"/>
  <c r="P889" i="13"/>
  <c r="D882" i="13"/>
  <c r="P882" i="13"/>
  <c r="D891" i="13"/>
  <c r="P891" i="13"/>
  <c r="D807" i="13"/>
  <c r="P807" i="13"/>
  <c r="D823" i="13"/>
  <c r="P823" i="13"/>
  <c r="D671" i="13"/>
  <c r="P671" i="13"/>
  <c r="D613" i="13"/>
  <c r="P613" i="13"/>
  <c r="D505" i="13"/>
  <c r="P505" i="13"/>
  <c r="D713" i="13"/>
  <c r="P713" i="13"/>
  <c r="D644" i="13"/>
  <c r="P644" i="13"/>
  <c r="D555" i="13"/>
  <c r="P555" i="13"/>
  <c r="D695" i="13"/>
  <c r="P695" i="13"/>
  <c r="D616" i="13"/>
  <c r="P616" i="13"/>
  <c r="D589" i="13"/>
  <c r="P589" i="13"/>
  <c r="D736" i="13"/>
  <c r="P736" i="13"/>
  <c r="D655" i="13"/>
  <c r="P655" i="13"/>
  <c r="D622" i="13"/>
  <c r="P622" i="13"/>
  <c r="D708" i="13"/>
  <c r="P708" i="13"/>
  <c r="D611" i="13"/>
  <c r="P611" i="13"/>
  <c r="D556" i="13"/>
  <c r="P556" i="13"/>
  <c r="D529" i="13"/>
  <c r="P529" i="13"/>
  <c r="D690" i="13"/>
  <c r="P690" i="13"/>
  <c r="D666" i="13"/>
  <c r="P666" i="13"/>
  <c r="D707" i="13"/>
  <c r="P707" i="13"/>
  <c r="D649" i="13"/>
  <c r="P649" i="13"/>
  <c r="D626" i="13"/>
  <c r="P626" i="13"/>
  <c r="D562" i="13"/>
  <c r="P562" i="13"/>
  <c r="D685" i="13"/>
  <c r="P685" i="13"/>
  <c r="D678" i="13"/>
  <c r="P678" i="13"/>
  <c r="D568" i="13"/>
  <c r="P568" i="13"/>
  <c r="D504" i="13"/>
  <c r="P504" i="13"/>
  <c r="D681" i="13"/>
  <c r="P681" i="13"/>
  <c r="D662" i="13"/>
  <c r="P662" i="13"/>
  <c r="D532" i="13"/>
  <c r="P532" i="13"/>
  <c r="D554" i="13"/>
  <c r="P554" i="13"/>
  <c r="D574" i="13"/>
  <c r="P574" i="13"/>
  <c r="D516" i="13"/>
  <c r="P516" i="13"/>
  <c r="D514" i="13"/>
  <c r="P514" i="13"/>
  <c r="D716" i="13"/>
  <c r="P716" i="13"/>
  <c r="D585" i="13"/>
  <c r="P585" i="13"/>
  <c r="D684" i="13"/>
  <c r="P684" i="13"/>
  <c r="D642" i="13"/>
  <c r="P642" i="13"/>
  <c r="D580" i="13"/>
  <c r="P580" i="13"/>
  <c r="D570" i="13"/>
  <c r="P570" i="13"/>
  <c r="D594" i="13"/>
  <c r="P594" i="13"/>
  <c r="D509" i="13"/>
  <c r="P509" i="13"/>
  <c r="D538" i="13"/>
  <c r="P538" i="13"/>
  <c r="D615" i="13"/>
  <c r="P615" i="13"/>
  <c r="D530" i="13"/>
  <c r="P530" i="13"/>
  <c r="D730" i="13"/>
  <c r="P730" i="13"/>
  <c r="D619" i="13"/>
  <c r="P619" i="13"/>
  <c r="D564" i="13"/>
  <c r="P564" i="13"/>
  <c r="D578" i="13"/>
  <c r="P578" i="13"/>
  <c r="D507" i="13"/>
  <c r="P507" i="13"/>
  <c r="D542" i="13"/>
  <c r="P542" i="13"/>
  <c r="D565" i="13"/>
  <c r="P565" i="13"/>
  <c r="D735" i="13"/>
  <c r="P735" i="13"/>
  <c r="D526" i="13"/>
  <c r="P526" i="13"/>
  <c r="D726" i="13"/>
  <c r="P726" i="13"/>
  <c r="D657" i="13"/>
  <c r="P657" i="13"/>
  <c r="D519" i="13"/>
  <c r="P519" i="13"/>
  <c r="D577" i="13"/>
  <c r="P577" i="13"/>
  <c r="D533" i="13"/>
  <c r="P533" i="13"/>
  <c r="D511" i="13"/>
  <c r="P511" i="13"/>
  <c r="D561" i="13"/>
  <c r="P561" i="13"/>
  <c r="D1754" i="13"/>
  <c r="P1754" i="13"/>
  <c r="D1845" i="13"/>
  <c r="P1845" i="13"/>
  <c r="D1886" i="13"/>
  <c r="P1886" i="13"/>
  <c r="D1936" i="13"/>
  <c r="P1936" i="13"/>
  <c r="D1790" i="13"/>
  <c r="P1790" i="13"/>
  <c r="D1810" i="13"/>
  <c r="P1810" i="13"/>
  <c r="D1930" i="13"/>
  <c r="P1930" i="13"/>
  <c r="D1945" i="13"/>
  <c r="P1945" i="13"/>
  <c r="D1834" i="13"/>
  <c r="P1834" i="13"/>
  <c r="D1873" i="13"/>
  <c r="P1873" i="13"/>
  <c r="D1976" i="13"/>
  <c r="P1976" i="13"/>
  <c r="D1744" i="13"/>
  <c r="P1744" i="13"/>
  <c r="D1780" i="13"/>
  <c r="P1780" i="13"/>
  <c r="D1890" i="13"/>
  <c r="P1890" i="13"/>
  <c r="D1938" i="13"/>
  <c r="P1938" i="13"/>
  <c r="D1775" i="13"/>
  <c r="P1775" i="13"/>
  <c r="D1804" i="13"/>
  <c r="P1804" i="13"/>
  <c r="D1921" i="13"/>
  <c r="P1921" i="13"/>
  <c r="D1908" i="13"/>
  <c r="P1908" i="13"/>
  <c r="D1796" i="13"/>
  <c r="P1796" i="13"/>
  <c r="D1838" i="13"/>
  <c r="P1838" i="13"/>
  <c r="D1927" i="13"/>
  <c r="P1927" i="13"/>
  <c r="D1748" i="13"/>
  <c r="P1748" i="13"/>
  <c r="D1829" i="13"/>
  <c r="P1829" i="13"/>
  <c r="D1863" i="13"/>
  <c r="P1863" i="13"/>
  <c r="D1975" i="13"/>
  <c r="P1975" i="13"/>
  <c r="D1774" i="13"/>
  <c r="P1774" i="13"/>
  <c r="D1840" i="13"/>
  <c r="P1840" i="13"/>
  <c r="D1914" i="13"/>
  <c r="P1914" i="13"/>
  <c r="D1916" i="13"/>
  <c r="P1916" i="13"/>
  <c r="D1772" i="13"/>
  <c r="P1772" i="13"/>
  <c r="D1862" i="13"/>
  <c r="P1862" i="13"/>
  <c r="D1901" i="13"/>
  <c r="P1901" i="13"/>
  <c r="D1969" i="13"/>
  <c r="P1969" i="13"/>
  <c r="D1770" i="13"/>
  <c r="P1770" i="13"/>
  <c r="D1878" i="13"/>
  <c r="P1878" i="13"/>
  <c r="D1917" i="13"/>
  <c r="P1917" i="13"/>
  <c r="D1881" i="13"/>
  <c r="P1881" i="13"/>
  <c r="D1771" i="13"/>
  <c r="P1771" i="13"/>
  <c r="D1839" i="13"/>
  <c r="P1839" i="13"/>
  <c r="D1933" i="13"/>
  <c r="P1933" i="13"/>
  <c r="D1947" i="13"/>
  <c r="P1947" i="13"/>
  <c r="D1799" i="13"/>
  <c r="P1799" i="13"/>
  <c r="D1860" i="13"/>
  <c r="P1860" i="13"/>
  <c r="D1903" i="13"/>
  <c r="P1903" i="13"/>
  <c r="D1982" i="13"/>
  <c r="P1982" i="13"/>
  <c r="D1966" i="13"/>
  <c r="P1966" i="13"/>
  <c r="D1764" i="13"/>
  <c r="P1764" i="13"/>
  <c r="D1821" i="13"/>
  <c r="P1821" i="13"/>
  <c r="D1757" i="13"/>
  <c r="P1757" i="13"/>
  <c r="D1968" i="13"/>
  <c r="P1968" i="13"/>
  <c r="D1943" i="13"/>
  <c r="P1943" i="13"/>
  <c r="D1949" i="13"/>
  <c r="P1949" i="13"/>
  <c r="D1929" i="13"/>
  <c r="P1929" i="13"/>
  <c r="D1942" i="13"/>
  <c r="P1942" i="13"/>
  <c r="D1958" i="13"/>
  <c r="P1958" i="13"/>
  <c r="D1970" i="13"/>
  <c r="P1970" i="13"/>
  <c r="D1767" i="13"/>
  <c r="P1767" i="13"/>
  <c r="D1785" i="13"/>
  <c r="P1785" i="13"/>
  <c r="D1808" i="13"/>
  <c r="P1808" i="13"/>
  <c r="D1778" i="13"/>
  <c r="P1778" i="13"/>
  <c r="D2724" i="13"/>
  <c r="P2724" i="13"/>
  <c r="P2626" i="13"/>
  <c r="D2626" i="13"/>
  <c r="D2717" i="13"/>
  <c r="P2717" i="13"/>
  <c r="P2727" i="13"/>
  <c r="D2727" i="13"/>
  <c r="P2678" i="13"/>
  <c r="D2678" i="13"/>
  <c r="D2632" i="13"/>
  <c r="P2632" i="13"/>
  <c r="D2661" i="13"/>
  <c r="P2661" i="13"/>
  <c r="D2570" i="13"/>
  <c r="P2570" i="13"/>
  <c r="D2623" i="13"/>
  <c r="P2623" i="13"/>
  <c r="D2576" i="13"/>
  <c r="P2576" i="13"/>
  <c r="D2593" i="13"/>
  <c r="P2593" i="13"/>
  <c r="D2504" i="13"/>
  <c r="P2504" i="13"/>
  <c r="D2551" i="13"/>
  <c r="P2551" i="13"/>
  <c r="D2495" i="13"/>
  <c r="P2495" i="13"/>
  <c r="D2538" i="13"/>
  <c r="P2538" i="13"/>
  <c r="P2707" i="13"/>
  <c r="D2707" i="13"/>
  <c r="P2674" i="13"/>
  <c r="D2674" i="13"/>
  <c r="P2638" i="13"/>
  <c r="D2638" i="13"/>
  <c r="P2630" i="13"/>
  <c r="D2630" i="13"/>
  <c r="P2690" i="13"/>
  <c r="D2690" i="13"/>
  <c r="D2644" i="13"/>
  <c r="P2644" i="13"/>
  <c r="D2673" i="13"/>
  <c r="P2673" i="13"/>
  <c r="D2609" i="13"/>
  <c r="P2609" i="13"/>
  <c r="D2635" i="13"/>
  <c r="P2635" i="13"/>
  <c r="D2588" i="13"/>
  <c r="P2588" i="13"/>
  <c r="D2605" i="13"/>
  <c r="P2605" i="13"/>
  <c r="D2541" i="13"/>
  <c r="P2541" i="13"/>
  <c r="D2563" i="13"/>
  <c r="P2563" i="13"/>
  <c r="D2507" i="13"/>
  <c r="P2507" i="13"/>
  <c r="D2497" i="13"/>
  <c r="P2497" i="13"/>
  <c r="D2684" i="13"/>
  <c r="P2684" i="13"/>
  <c r="D2675" i="13"/>
  <c r="P2675" i="13"/>
  <c r="D2677" i="13"/>
  <c r="P2677" i="13"/>
  <c r="P2702" i="13"/>
  <c r="D2702" i="13"/>
  <c r="D2656" i="13"/>
  <c r="P2656" i="13"/>
  <c r="P2566" i="13"/>
  <c r="D2566" i="13"/>
  <c r="D2621" i="13"/>
  <c r="P2621" i="13"/>
  <c r="D2647" i="13"/>
  <c r="P2647" i="13"/>
  <c r="D2600" i="13"/>
  <c r="P2600" i="13"/>
  <c r="D2532" i="13"/>
  <c r="P2532" i="13"/>
  <c r="D2553" i="13"/>
  <c r="P2553" i="13"/>
  <c r="D2575" i="13"/>
  <c r="P2575" i="13"/>
  <c r="D2519" i="13"/>
  <c r="P2519" i="13"/>
  <c r="D2509" i="13"/>
  <c r="P2509" i="13"/>
  <c r="P2498" i="13"/>
  <c r="D2498" i="13"/>
  <c r="D2680" i="13"/>
  <c r="P2680" i="13"/>
  <c r="P2670" i="13"/>
  <c r="D2670" i="13"/>
  <c r="P2662" i="13"/>
  <c r="D2662" i="13"/>
  <c r="P2698" i="13"/>
  <c r="D2698" i="13"/>
  <c r="D2652" i="13"/>
  <c r="P2652" i="13"/>
  <c r="P2550" i="13"/>
  <c r="D2550" i="13"/>
  <c r="D2617" i="13"/>
  <c r="P2617" i="13"/>
  <c r="D2643" i="13"/>
  <c r="P2643" i="13"/>
  <c r="D2596" i="13"/>
  <c r="P2596" i="13"/>
  <c r="D2516" i="13"/>
  <c r="P2516" i="13"/>
  <c r="D2549" i="13"/>
  <c r="P2549" i="13"/>
  <c r="D2571" i="13"/>
  <c r="P2571" i="13"/>
  <c r="D2515" i="13"/>
  <c r="P2515" i="13"/>
  <c r="D2505" i="13"/>
  <c r="P2505" i="13"/>
  <c r="D2494" i="13"/>
  <c r="P2494" i="13"/>
  <c r="D1486" i="13"/>
  <c r="P1486" i="13"/>
  <c r="D1381" i="13"/>
  <c r="P1381" i="13"/>
  <c r="D1455" i="13"/>
  <c r="P1455" i="13"/>
  <c r="D1460" i="13"/>
  <c r="P1460" i="13"/>
  <c r="D1415" i="13"/>
  <c r="P1415" i="13"/>
  <c r="D1401" i="13"/>
  <c r="P1401" i="13"/>
  <c r="D1390" i="13"/>
  <c r="P1390" i="13"/>
  <c r="D1432" i="13"/>
  <c r="P1432" i="13"/>
  <c r="D1368" i="13"/>
  <c r="P1368" i="13"/>
  <c r="D1287" i="13"/>
  <c r="P1287" i="13"/>
  <c r="D1339" i="13"/>
  <c r="P1339" i="13"/>
  <c r="D1283" i="13"/>
  <c r="P1283" i="13"/>
  <c r="D1289" i="13"/>
  <c r="P1289" i="13"/>
  <c r="D1263" i="13"/>
  <c r="P1263" i="13"/>
  <c r="D1260" i="13"/>
  <c r="P1260" i="13"/>
  <c r="D1411" i="13"/>
  <c r="P1411" i="13"/>
  <c r="D1429" i="13"/>
  <c r="P1429" i="13"/>
  <c r="D1467" i="13"/>
  <c r="P1467" i="13"/>
  <c r="D1472" i="13"/>
  <c r="P1472" i="13"/>
  <c r="D1435" i="13"/>
  <c r="P1435" i="13"/>
  <c r="D1425" i="13"/>
  <c r="P1425" i="13"/>
  <c r="D1402" i="13"/>
  <c r="P1402" i="13"/>
  <c r="D1359" i="13"/>
  <c r="P1359" i="13"/>
  <c r="D1380" i="13"/>
  <c r="P1380" i="13"/>
  <c r="D1329" i="13"/>
  <c r="P1329" i="13"/>
  <c r="D1351" i="13"/>
  <c r="P1351" i="13"/>
  <c r="D1307" i="13"/>
  <c r="P1307" i="13"/>
  <c r="D1301" i="13"/>
  <c r="P1301" i="13"/>
  <c r="D1286" i="13"/>
  <c r="P1286" i="13"/>
  <c r="D1251" i="13"/>
  <c r="P1251" i="13"/>
  <c r="D1395" i="13"/>
  <c r="P1395" i="13"/>
  <c r="D1413" i="13"/>
  <c r="P1413" i="13"/>
  <c r="D1463" i="13"/>
  <c r="P1463" i="13"/>
  <c r="D1468" i="13"/>
  <c r="P1468" i="13"/>
  <c r="D1431" i="13"/>
  <c r="P1431" i="13"/>
  <c r="D1417" i="13"/>
  <c r="P1417" i="13"/>
  <c r="D1398" i="13"/>
  <c r="P1398" i="13"/>
  <c r="D1340" i="13"/>
  <c r="P1340" i="13"/>
  <c r="D1376" i="13"/>
  <c r="P1376" i="13"/>
  <c r="D1325" i="13"/>
  <c r="P1325" i="13"/>
  <c r="D1347" i="13"/>
  <c r="P1347" i="13"/>
  <c r="D1299" i="13"/>
  <c r="P1299" i="13"/>
  <c r="D1297" i="13"/>
  <c r="P1297" i="13"/>
  <c r="D1282" i="13"/>
  <c r="P1282" i="13"/>
  <c r="D1247" i="13"/>
  <c r="P1247" i="13"/>
  <c r="D1449" i="13"/>
  <c r="P1449" i="13"/>
  <c r="D1442" i="13"/>
  <c r="P1442" i="13"/>
  <c r="D1475" i="13"/>
  <c r="P1475" i="13"/>
  <c r="D1480" i="13"/>
  <c r="P1480" i="13"/>
  <c r="D1373" i="13"/>
  <c r="P1373" i="13"/>
  <c r="D1436" i="13"/>
  <c r="P1436" i="13"/>
  <c r="D1410" i="13"/>
  <c r="P1410" i="13"/>
  <c r="D1320" i="13"/>
  <c r="P1320" i="13"/>
  <c r="D1388" i="13"/>
  <c r="P1388" i="13"/>
  <c r="D1337" i="13"/>
  <c r="P1337" i="13"/>
  <c r="D1295" i="13"/>
  <c r="P1295" i="13"/>
  <c r="D1288" i="13"/>
  <c r="P1288" i="13"/>
  <c r="D1309" i="13"/>
  <c r="P1309" i="13"/>
  <c r="D1294" i="13"/>
  <c r="P1294" i="13"/>
  <c r="D1250" i="13"/>
  <c r="P1250" i="13"/>
  <c r="D1236" i="13"/>
  <c r="P1236" i="13"/>
  <c r="D1238" i="13"/>
  <c r="P1238" i="13"/>
  <c r="D1217" i="13"/>
  <c r="P1217" i="13"/>
  <c r="D1171" i="13"/>
  <c r="P1171" i="13"/>
  <c r="D1072" i="13"/>
  <c r="P1072" i="13"/>
  <c r="D1156" i="13"/>
  <c r="P1156" i="13"/>
  <c r="D1181" i="13"/>
  <c r="P1181" i="13"/>
  <c r="D1122" i="13"/>
  <c r="P1122" i="13"/>
  <c r="D1115" i="13"/>
  <c r="P1115" i="13"/>
  <c r="D1097" i="13"/>
  <c r="P1097" i="13"/>
  <c r="D1099" i="13"/>
  <c r="P1099" i="13"/>
  <c r="D1063" i="13"/>
  <c r="P1063" i="13"/>
  <c r="D1024" i="13"/>
  <c r="P1024" i="13"/>
  <c r="D1014" i="13"/>
  <c r="P1014" i="13"/>
  <c r="D1019" i="13"/>
  <c r="P1019" i="13"/>
  <c r="D1220" i="13"/>
  <c r="P1220" i="13"/>
  <c r="D1234" i="13"/>
  <c r="P1234" i="13"/>
  <c r="D1207" i="13"/>
  <c r="P1207" i="13"/>
  <c r="D1163" i="13"/>
  <c r="P1163" i="13"/>
  <c r="D1065" i="13"/>
  <c r="P1065" i="13"/>
  <c r="D1152" i="13"/>
  <c r="P1152" i="13"/>
  <c r="D1177" i="13"/>
  <c r="P1177" i="13"/>
  <c r="D1118" i="13"/>
  <c r="P1118" i="13"/>
  <c r="D1111" i="13"/>
  <c r="P1111" i="13"/>
  <c r="D1089" i="13"/>
  <c r="P1089" i="13"/>
  <c r="D1095" i="13"/>
  <c r="P1095" i="13"/>
  <c r="D1055" i="13"/>
  <c r="P1055" i="13"/>
  <c r="D1068" i="13"/>
  <c r="P1068" i="13"/>
  <c r="D1006" i="13"/>
  <c r="P1006" i="13"/>
  <c r="D1015" i="13"/>
  <c r="P1015" i="13"/>
  <c r="D1190" i="13"/>
  <c r="P1190" i="13"/>
  <c r="D1230" i="13"/>
  <c r="P1230" i="13"/>
  <c r="D1199" i="13"/>
  <c r="P1199" i="13"/>
  <c r="D1158" i="13"/>
  <c r="P1158" i="13"/>
  <c r="D1212" i="13"/>
  <c r="P1212" i="13"/>
  <c r="D1148" i="13"/>
  <c r="P1148" i="13"/>
  <c r="D1173" i="13"/>
  <c r="P1173" i="13"/>
  <c r="D1114" i="13"/>
  <c r="P1114" i="13"/>
  <c r="D1104" i="13"/>
  <c r="P1104" i="13"/>
  <c r="D1081" i="13"/>
  <c r="P1081" i="13"/>
  <c r="D1091" i="13"/>
  <c r="P1091" i="13"/>
  <c r="D1047" i="13"/>
  <c r="P1047" i="13"/>
  <c r="D1064" i="13"/>
  <c r="P1064" i="13"/>
  <c r="D998" i="13"/>
  <c r="P998" i="13"/>
  <c r="D1011" i="13"/>
  <c r="P1011" i="13"/>
  <c r="D1182" i="13"/>
  <c r="P1182" i="13"/>
  <c r="D1167" i="13"/>
  <c r="P1167" i="13"/>
  <c r="D1225" i="13"/>
  <c r="P1225" i="13"/>
  <c r="D1179" i="13"/>
  <c r="P1179" i="13"/>
  <c r="D1092" i="13"/>
  <c r="P1092" i="13"/>
  <c r="D1160" i="13"/>
  <c r="P1160" i="13"/>
  <c r="D1185" i="13"/>
  <c r="P1185" i="13"/>
  <c r="D1126" i="13"/>
  <c r="P1126" i="13"/>
  <c r="D1119" i="13"/>
  <c r="P1119" i="13"/>
  <c r="D1105" i="13"/>
  <c r="P1105" i="13"/>
  <c r="D1103" i="13"/>
  <c r="P1103" i="13"/>
  <c r="D1071" i="13"/>
  <c r="P1071" i="13"/>
  <c r="D1035" i="13"/>
  <c r="P1035" i="13"/>
  <c r="D1021" i="13"/>
  <c r="P1021" i="13"/>
  <c r="D1002" i="13"/>
  <c r="P1002" i="13"/>
  <c r="D281" i="13"/>
  <c r="P281" i="13"/>
  <c r="D260" i="13"/>
  <c r="P260" i="13"/>
  <c r="D302" i="13"/>
  <c r="P302" i="13"/>
  <c r="D311" i="13"/>
  <c r="P311" i="13"/>
  <c r="D332" i="13"/>
  <c r="P332" i="13"/>
  <c r="D339" i="13"/>
  <c r="P339" i="13"/>
  <c r="D338" i="13"/>
  <c r="P338" i="13"/>
  <c r="D305" i="13"/>
  <c r="P305" i="13"/>
  <c r="D369" i="13"/>
  <c r="P369" i="13"/>
  <c r="D404" i="13"/>
  <c r="P404" i="13"/>
  <c r="D412" i="13"/>
  <c r="P412" i="13"/>
  <c r="D427" i="13"/>
  <c r="P427" i="13"/>
  <c r="D448" i="13"/>
  <c r="P448" i="13"/>
  <c r="D479" i="13"/>
  <c r="P479" i="13"/>
  <c r="D477" i="13"/>
  <c r="P477" i="13"/>
  <c r="D285" i="13"/>
  <c r="P285" i="13"/>
  <c r="D264" i="13"/>
  <c r="P264" i="13"/>
  <c r="D360" i="13"/>
  <c r="P360" i="13"/>
  <c r="D319" i="13"/>
  <c r="P319" i="13"/>
  <c r="D340" i="13"/>
  <c r="P340" i="13"/>
  <c r="D347" i="13"/>
  <c r="P347" i="13"/>
  <c r="D342" i="13"/>
  <c r="P342" i="13"/>
  <c r="D309" i="13"/>
  <c r="P309" i="13"/>
  <c r="D373" i="13"/>
  <c r="P373" i="13"/>
  <c r="D413" i="13"/>
  <c r="P413" i="13"/>
  <c r="D416" i="13"/>
  <c r="P416" i="13"/>
  <c r="D431" i="13"/>
  <c r="P431" i="13"/>
  <c r="D452" i="13"/>
  <c r="P452" i="13"/>
  <c r="D478" i="13"/>
  <c r="P478" i="13"/>
  <c r="D481" i="13"/>
  <c r="P481" i="13"/>
  <c r="D273" i="13"/>
  <c r="P273" i="13"/>
  <c r="D386" i="13"/>
  <c r="P386" i="13"/>
  <c r="D282" i="13"/>
  <c r="P282" i="13"/>
  <c r="D368" i="13"/>
  <c r="P368" i="13"/>
  <c r="D316" i="13"/>
  <c r="P316" i="13"/>
  <c r="D323" i="13"/>
  <c r="P323" i="13"/>
  <c r="D330" i="13"/>
  <c r="P330" i="13"/>
  <c r="D421" i="13"/>
  <c r="P421" i="13"/>
  <c r="D361" i="13"/>
  <c r="P361" i="13"/>
  <c r="D396" i="13"/>
  <c r="P396" i="13"/>
  <c r="D441" i="13"/>
  <c r="P441" i="13"/>
  <c r="D419" i="13"/>
  <c r="P419" i="13"/>
  <c r="D438" i="13"/>
  <c r="P438" i="13"/>
  <c r="D458" i="13"/>
  <c r="P458" i="13"/>
  <c r="D474" i="13"/>
  <c r="P474" i="13"/>
  <c r="D254" i="13"/>
  <c r="P254" i="13"/>
  <c r="D288" i="13"/>
  <c r="P288" i="13"/>
  <c r="D275" i="13"/>
  <c r="P275" i="13"/>
  <c r="D367" i="13"/>
  <c r="P367" i="13"/>
  <c r="D394" i="13"/>
  <c r="P394" i="13"/>
  <c r="D433" i="13"/>
  <c r="P433" i="13"/>
  <c r="D366" i="13"/>
  <c r="P366" i="13"/>
  <c r="D333" i="13"/>
  <c r="P333" i="13"/>
  <c r="D457" i="13"/>
  <c r="P457" i="13"/>
  <c r="D387" i="13"/>
  <c r="P387" i="13"/>
  <c r="D440" i="13"/>
  <c r="P440" i="13"/>
  <c r="D410" i="13"/>
  <c r="P410" i="13"/>
  <c r="D455" i="13"/>
  <c r="P455" i="13"/>
  <c r="D473" i="13"/>
  <c r="P473" i="13"/>
  <c r="D484" i="13"/>
  <c r="P484" i="13"/>
  <c r="D2028" i="13"/>
  <c r="P2028" i="13"/>
  <c r="D2093" i="13"/>
  <c r="P2093" i="13"/>
  <c r="D2216" i="13"/>
  <c r="P2216" i="13"/>
  <c r="D2118" i="13"/>
  <c r="P2118" i="13"/>
  <c r="D2049" i="13"/>
  <c r="P2049" i="13"/>
  <c r="D2111" i="13"/>
  <c r="P2111" i="13"/>
  <c r="P2167" i="13"/>
  <c r="D2167" i="13"/>
  <c r="D2005" i="13"/>
  <c r="P2005" i="13"/>
  <c r="D2062" i="13"/>
  <c r="P2062" i="13"/>
  <c r="D2135" i="13"/>
  <c r="P2135" i="13"/>
  <c r="D2153" i="13"/>
  <c r="P2153" i="13"/>
  <c r="D1990" i="13"/>
  <c r="P1990" i="13"/>
  <c r="D2051" i="13"/>
  <c r="P2051" i="13"/>
  <c r="D2121" i="13"/>
  <c r="P2121" i="13"/>
  <c r="D2177" i="13"/>
  <c r="P2177" i="13"/>
  <c r="D2007" i="13"/>
  <c r="P2007" i="13"/>
  <c r="D2082" i="13"/>
  <c r="P2082" i="13"/>
  <c r="D2156" i="13"/>
  <c r="P2156" i="13"/>
  <c r="D2154" i="13"/>
  <c r="P2154" i="13"/>
  <c r="D2036" i="13"/>
  <c r="P2036" i="13"/>
  <c r="D2101" i="13"/>
  <c r="P2101" i="13"/>
  <c r="D2224" i="13"/>
  <c r="P2224" i="13"/>
  <c r="D2158" i="13"/>
  <c r="P2158" i="13"/>
  <c r="D2035" i="13"/>
  <c r="P2035" i="13"/>
  <c r="D2100" i="13"/>
  <c r="P2100" i="13"/>
  <c r="D2211" i="13"/>
  <c r="P2211" i="13"/>
  <c r="D1994" i="13"/>
  <c r="P1994" i="13"/>
  <c r="D2052" i="13"/>
  <c r="P2052" i="13"/>
  <c r="D2125" i="13"/>
  <c r="P2125" i="13"/>
  <c r="D2181" i="13"/>
  <c r="P2181" i="13"/>
  <c r="P2012" i="13"/>
  <c r="D2012" i="13"/>
  <c r="D2102" i="13"/>
  <c r="P2102" i="13"/>
  <c r="D2176" i="13"/>
  <c r="P2176" i="13"/>
  <c r="D2226" i="13"/>
  <c r="P2226" i="13"/>
  <c r="D2044" i="13"/>
  <c r="P2044" i="13"/>
  <c r="D2107" i="13"/>
  <c r="P2107" i="13"/>
  <c r="D2163" i="13"/>
  <c r="P2163" i="13"/>
  <c r="D2228" i="13"/>
  <c r="P2228" i="13"/>
  <c r="D2041" i="13"/>
  <c r="P2041" i="13"/>
  <c r="D2116" i="13"/>
  <c r="P2116" i="13"/>
  <c r="D2215" i="13"/>
  <c r="P2215" i="13"/>
  <c r="D1991" i="13"/>
  <c r="P1991" i="13"/>
  <c r="D2072" i="13"/>
  <c r="P2072" i="13"/>
  <c r="D2145" i="13"/>
  <c r="P2145" i="13"/>
  <c r="D2201" i="13"/>
  <c r="P2201" i="13"/>
  <c r="D2088" i="13"/>
  <c r="P2088" i="13"/>
  <c r="D2117" i="13"/>
  <c r="P2117" i="13"/>
  <c r="D2180" i="13"/>
  <c r="P2180" i="13"/>
  <c r="D2123" i="13"/>
  <c r="P2123" i="13"/>
  <c r="D2139" i="13"/>
  <c r="P2139" i="13"/>
  <c r="D2164" i="13"/>
  <c r="P2164" i="13"/>
  <c r="D2143" i="13"/>
  <c r="P2143" i="13"/>
  <c r="D2223" i="13"/>
  <c r="P2223" i="13"/>
  <c r="D2221" i="13"/>
  <c r="P2221" i="13"/>
  <c r="D2174" i="13"/>
  <c r="P2174" i="13"/>
  <c r="D1993" i="13"/>
  <c r="P1993" i="13"/>
  <c r="D1997" i="13"/>
  <c r="P1997" i="13"/>
  <c r="D2210" i="13"/>
  <c r="P2210" i="13"/>
  <c r="D2002" i="13"/>
  <c r="P2002" i="13"/>
  <c r="D2029" i="13"/>
  <c r="P2029" i="13"/>
  <c r="D2008" i="13"/>
  <c r="P2008" i="13"/>
  <c r="D98" i="13"/>
  <c r="P98" i="13"/>
  <c r="D230" i="13"/>
  <c r="P230" i="13"/>
  <c r="D166" i="13"/>
  <c r="P166" i="13"/>
  <c r="D102" i="13"/>
  <c r="P102" i="13"/>
  <c r="D38" i="13"/>
  <c r="P38" i="13"/>
  <c r="D114" i="13"/>
  <c r="P114" i="13"/>
  <c r="D222" i="13"/>
  <c r="P222" i="13"/>
  <c r="D158" i="13"/>
  <c r="P158" i="13"/>
  <c r="D94" i="13"/>
  <c r="P94" i="13"/>
  <c r="D30" i="13"/>
  <c r="P30" i="13"/>
  <c r="D130" i="13"/>
  <c r="P130" i="13"/>
  <c r="D218" i="13"/>
  <c r="P218" i="13"/>
  <c r="D154" i="13"/>
  <c r="P154" i="13"/>
  <c r="D90" i="13"/>
  <c r="P90" i="13"/>
  <c r="D26" i="13"/>
  <c r="P26" i="13"/>
  <c r="D233" i="13"/>
  <c r="P233" i="13"/>
  <c r="D217" i="13"/>
  <c r="P217" i="13"/>
  <c r="D201" i="13"/>
  <c r="P201" i="13"/>
  <c r="D185" i="13"/>
  <c r="P185" i="13"/>
  <c r="D169" i="13"/>
  <c r="P169" i="13"/>
  <c r="D153" i="13"/>
  <c r="P153" i="13"/>
  <c r="D137" i="13"/>
  <c r="P137" i="13"/>
  <c r="D121" i="13"/>
  <c r="P121" i="13"/>
  <c r="D105" i="13"/>
  <c r="P105" i="13"/>
  <c r="D89" i="13"/>
  <c r="P89" i="13"/>
  <c r="D73" i="13"/>
  <c r="P73" i="13"/>
  <c r="D57" i="13"/>
  <c r="P57" i="13"/>
  <c r="D41" i="13"/>
  <c r="P41" i="13"/>
  <c r="D25" i="13"/>
  <c r="P25" i="13"/>
  <c r="D244" i="13"/>
  <c r="P244" i="13"/>
  <c r="D228" i="13"/>
  <c r="P228" i="13"/>
  <c r="D212" i="13"/>
  <c r="P212" i="13"/>
  <c r="D196" i="13"/>
  <c r="P196" i="13"/>
  <c r="D180" i="13"/>
  <c r="P180" i="13"/>
  <c r="D164" i="13"/>
  <c r="P164" i="13"/>
  <c r="D148" i="13"/>
  <c r="P148" i="13"/>
  <c r="D132" i="13"/>
  <c r="P132" i="13"/>
  <c r="D116" i="13"/>
  <c r="P116" i="13"/>
  <c r="D100" i="13"/>
  <c r="P100" i="13"/>
  <c r="D84" i="13"/>
  <c r="P84" i="13"/>
  <c r="D68" i="13"/>
  <c r="P68" i="13"/>
  <c r="D52" i="13"/>
  <c r="P52" i="13"/>
  <c r="D36" i="13"/>
  <c r="P36" i="13"/>
  <c r="D20" i="13"/>
  <c r="P20" i="13"/>
  <c r="D239" i="13"/>
  <c r="P239" i="13"/>
  <c r="D223" i="13"/>
  <c r="P223" i="13"/>
  <c r="D207" i="13"/>
  <c r="P207" i="13"/>
  <c r="D191" i="13"/>
  <c r="P191" i="13"/>
  <c r="D175" i="13"/>
  <c r="P175" i="13"/>
  <c r="D159" i="13"/>
  <c r="P159" i="13"/>
  <c r="D143" i="13"/>
  <c r="P143" i="13"/>
  <c r="D127" i="13"/>
  <c r="P127" i="13"/>
  <c r="D111" i="13"/>
  <c r="P111" i="13"/>
  <c r="D95" i="13"/>
  <c r="P95" i="13"/>
  <c r="D79" i="13"/>
  <c r="P79" i="13"/>
  <c r="D63" i="13"/>
  <c r="P63" i="13"/>
  <c r="D47" i="13"/>
  <c r="P47" i="13"/>
  <c r="D31" i="13"/>
  <c r="P31" i="13"/>
  <c r="D15" i="13"/>
  <c r="P15" i="13"/>
  <c r="D10" i="13"/>
  <c r="P10" i="13"/>
  <c r="D2460" i="13"/>
  <c r="P2460" i="13"/>
  <c r="D2376" i="13"/>
  <c r="P2376" i="13"/>
  <c r="D2433" i="13"/>
  <c r="P2433" i="13"/>
  <c r="D2364" i="13"/>
  <c r="P2364" i="13"/>
  <c r="D2444" i="13"/>
  <c r="P2444" i="13"/>
  <c r="D2373" i="13"/>
  <c r="P2373" i="13"/>
  <c r="D2386" i="13"/>
  <c r="P2386" i="13"/>
  <c r="P2403" i="13"/>
  <c r="D2403" i="13"/>
  <c r="D2356" i="13"/>
  <c r="P2356" i="13"/>
  <c r="D2333" i="13"/>
  <c r="P2333" i="13"/>
  <c r="D2328" i="13"/>
  <c r="P2328" i="13"/>
  <c r="D2310" i="13"/>
  <c r="P2310" i="13"/>
  <c r="D2289" i="13"/>
  <c r="P2289" i="13"/>
  <c r="D2272" i="13"/>
  <c r="P2272" i="13"/>
  <c r="D2251" i="13"/>
  <c r="P2251" i="13"/>
  <c r="D2241" i="13"/>
  <c r="P2241" i="13"/>
  <c r="D2449" i="13"/>
  <c r="P2449" i="13"/>
  <c r="P2467" i="13"/>
  <c r="D2467" i="13"/>
  <c r="D2404" i="13"/>
  <c r="P2404" i="13"/>
  <c r="D2384" i="13"/>
  <c r="P2384" i="13"/>
  <c r="D2385" i="13"/>
  <c r="P2385" i="13"/>
  <c r="D2398" i="13"/>
  <c r="P2398" i="13"/>
  <c r="D2415" i="13"/>
  <c r="P2415" i="13"/>
  <c r="D2331" i="13"/>
  <c r="P2331" i="13"/>
  <c r="D2345" i="13"/>
  <c r="P2345" i="13"/>
  <c r="D2330" i="13"/>
  <c r="P2330" i="13"/>
  <c r="D2322" i="13"/>
  <c r="P2322" i="13"/>
  <c r="D2303" i="13"/>
  <c r="P2303" i="13"/>
  <c r="D2268" i="13"/>
  <c r="P2268" i="13"/>
  <c r="D2270" i="13"/>
  <c r="P2270" i="13"/>
  <c r="D2253" i="13"/>
  <c r="P2253" i="13"/>
  <c r="D2437" i="13"/>
  <c r="P2437" i="13"/>
  <c r="D2463" i="13"/>
  <c r="P2463" i="13"/>
  <c r="D2396" i="13"/>
  <c r="P2396" i="13"/>
  <c r="D2368" i="13"/>
  <c r="P2368" i="13"/>
  <c r="D2381" i="13"/>
  <c r="P2381" i="13"/>
  <c r="D2394" i="13"/>
  <c r="P2394" i="13"/>
  <c r="D2411" i="13"/>
  <c r="P2411" i="13"/>
  <c r="D2321" i="13"/>
  <c r="P2321" i="13"/>
  <c r="D2341" i="13"/>
  <c r="P2341" i="13"/>
  <c r="D2317" i="13"/>
  <c r="P2317" i="13"/>
  <c r="D2318" i="13"/>
  <c r="P2318" i="13"/>
  <c r="D2299" i="13"/>
  <c r="P2299" i="13"/>
  <c r="P2259" i="13"/>
  <c r="D2259" i="13"/>
  <c r="D2266" i="13"/>
  <c r="P2266" i="13"/>
  <c r="D2249" i="13"/>
  <c r="P2249" i="13"/>
  <c r="D2464" i="13"/>
  <c r="P2464" i="13"/>
  <c r="D2475" i="13"/>
  <c r="P2475" i="13"/>
  <c r="D2420" i="13"/>
  <c r="P2420" i="13"/>
  <c r="D2405" i="13"/>
  <c r="P2405" i="13"/>
  <c r="D2393" i="13"/>
  <c r="P2393" i="13"/>
  <c r="D2406" i="13"/>
  <c r="P2406" i="13"/>
  <c r="D2423" i="13"/>
  <c r="P2423" i="13"/>
  <c r="D2362" i="13"/>
  <c r="P2362" i="13"/>
  <c r="D2353" i="13"/>
  <c r="P2353" i="13"/>
  <c r="D2338" i="13"/>
  <c r="P2338" i="13"/>
  <c r="D2276" i="13"/>
  <c r="P2276" i="13"/>
  <c r="D2311" i="13"/>
  <c r="P2311" i="13"/>
  <c r="D2281" i="13"/>
  <c r="P2281" i="13"/>
  <c r="D2247" i="13"/>
  <c r="P2247" i="13"/>
  <c r="D2240" i="13"/>
  <c r="P2240" i="13"/>
  <c r="D1664" i="13"/>
  <c r="P1664" i="13"/>
  <c r="D1612" i="13"/>
  <c r="P1612" i="13"/>
  <c r="D1727" i="13"/>
  <c r="P1727" i="13"/>
  <c r="D1631" i="13"/>
  <c r="P1631" i="13"/>
  <c r="D1689" i="13"/>
  <c r="P1689" i="13"/>
  <c r="D1624" i="13"/>
  <c r="P1624" i="13"/>
  <c r="D1641" i="13"/>
  <c r="P1641" i="13"/>
  <c r="D1650" i="13"/>
  <c r="P1650" i="13"/>
  <c r="D1609" i="13"/>
  <c r="P1609" i="13"/>
  <c r="D1582" i="13"/>
  <c r="P1582" i="13"/>
  <c r="D1593" i="13"/>
  <c r="P1593" i="13"/>
  <c r="D1559" i="13"/>
  <c r="P1559" i="13"/>
  <c r="P1698" i="13"/>
  <c r="D1698" i="13"/>
  <c r="D1676" i="13"/>
  <c r="P1676" i="13"/>
  <c r="D1594" i="13"/>
  <c r="P1594" i="13"/>
  <c r="D1667" i="13"/>
  <c r="P1667" i="13"/>
  <c r="D1701" i="13"/>
  <c r="P1701" i="13"/>
  <c r="D1636" i="13"/>
  <c r="P1636" i="13"/>
  <c r="D1653" i="13"/>
  <c r="P1653" i="13"/>
  <c r="D1662" i="13"/>
  <c r="P1662" i="13"/>
  <c r="D1621" i="13"/>
  <c r="P1621" i="13"/>
  <c r="D1602" i="13"/>
  <c r="P1602" i="13"/>
  <c r="D1564" i="13"/>
  <c r="P1564" i="13"/>
  <c r="D1549" i="13"/>
  <c r="P1549" i="13"/>
  <c r="D1688" i="13"/>
  <c r="P1688" i="13"/>
  <c r="D1656" i="13"/>
  <c r="P1656" i="13"/>
  <c r="D1686" i="13"/>
  <c r="P1686" i="13"/>
  <c r="D1687" i="13"/>
  <c r="P1687" i="13"/>
  <c r="D1713" i="13"/>
  <c r="P1713" i="13"/>
  <c r="D1578" i="13"/>
  <c r="P1578" i="13"/>
  <c r="D1665" i="13"/>
  <c r="P1665" i="13"/>
  <c r="D1674" i="13"/>
  <c r="P1674" i="13"/>
  <c r="D1591" i="13"/>
  <c r="P1591" i="13"/>
  <c r="D1614" i="13"/>
  <c r="P1614" i="13"/>
  <c r="D1576" i="13"/>
  <c r="P1576" i="13"/>
  <c r="D1540" i="13"/>
  <c r="P1540" i="13"/>
  <c r="D1532" i="13"/>
  <c r="P1532" i="13"/>
  <c r="D1724" i="13"/>
  <c r="P1724" i="13"/>
  <c r="D1690" i="13"/>
  <c r="P1690" i="13"/>
  <c r="D1715" i="13"/>
  <c r="P1715" i="13"/>
  <c r="D1635" i="13"/>
  <c r="P1635" i="13"/>
  <c r="D1671" i="13"/>
  <c r="P1671" i="13"/>
  <c r="D1599" i="13"/>
  <c r="P1599" i="13"/>
  <c r="D1629" i="13"/>
  <c r="P1629" i="13"/>
  <c r="D1638" i="13"/>
  <c r="P1638" i="13"/>
  <c r="D1595" i="13"/>
  <c r="P1595" i="13"/>
  <c r="D1550" i="13"/>
  <c r="P1550" i="13"/>
  <c r="D1581" i="13"/>
  <c r="P1581" i="13"/>
  <c r="D1547" i="13"/>
  <c r="P1547" i="13"/>
  <c r="D1517" i="13"/>
  <c r="P1517" i="13"/>
  <c r="D1522" i="13"/>
  <c r="P1522" i="13"/>
  <c r="D1508" i="13"/>
  <c r="P1508" i="13"/>
  <c r="D1499" i="13"/>
  <c r="P1499" i="13"/>
  <c r="D1518" i="13"/>
  <c r="P1518" i="13"/>
  <c r="D1504" i="13"/>
  <c r="P1504" i="13"/>
  <c r="D1525" i="13"/>
  <c r="P1525" i="13"/>
  <c r="D1511" i="13"/>
  <c r="P1511" i="13"/>
  <c r="D1505" i="13"/>
  <c r="P1505" i="13"/>
  <c r="D1535" i="13"/>
  <c r="P1535" i="13"/>
  <c r="D1516" i="13"/>
  <c r="P1516" i="13"/>
  <c r="D793" i="13"/>
  <c r="P793" i="13"/>
  <c r="D776" i="13"/>
  <c r="P776" i="13"/>
  <c r="D816" i="13"/>
  <c r="P816" i="13"/>
  <c r="D780" i="13"/>
  <c r="P780" i="13"/>
  <c r="D751" i="13"/>
  <c r="P751" i="13"/>
  <c r="D812" i="13"/>
  <c r="P812" i="13"/>
  <c r="D764" i="13"/>
  <c r="P764" i="13"/>
  <c r="D760" i="13"/>
  <c r="P760" i="13"/>
  <c r="D804" i="13"/>
  <c r="P804" i="13"/>
  <c r="D757" i="13"/>
  <c r="P757" i="13"/>
  <c r="D759" i="13"/>
  <c r="P759" i="13"/>
  <c r="D813" i="13"/>
  <c r="P813" i="13"/>
  <c r="D800" i="13"/>
  <c r="P800" i="13"/>
  <c r="D918" i="13"/>
  <c r="P918" i="13"/>
  <c r="D825" i="13"/>
  <c r="P825" i="13"/>
  <c r="D791" i="13"/>
  <c r="P791" i="13"/>
  <c r="D885" i="13"/>
  <c r="P885" i="13"/>
  <c r="D940" i="13"/>
  <c r="P940" i="13"/>
  <c r="D826" i="13"/>
  <c r="P826" i="13"/>
  <c r="D799" i="13"/>
  <c r="P799" i="13"/>
  <c r="D924" i="13"/>
  <c r="P924" i="13"/>
  <c r="D803" i="13"/>
  <c r="P803" i="13"/>
  <c r="D986" i="13"/>
  <c r="P986" i="13"/>
  <c r="D907" i="13"/>
  <c r="P907" i="13"/>
  <c r="D839" i="13"/>
  <c r="P839" i="13"/>
  <c r="D938" i="13"/>
  <c r="P938" i="13"/>
  <c r="D884" i="13"/>
  <c r="P884" i="13"/>
  <c r="D910" i="13"/>
  <c r="P910" i="13"/>
  <c r="D941" i="13"/>
  <c r="P941" i="13"/>
  <c r="D908" i="13"/>
  <c r="P908" i="13"/>
  <c r="D931" i="13"/>
  <c r="P931" i="13"/>
  <c r="D794" i="13"/>
  <c r="P794" i="13"/>
  <c r="D873" i="13"/>
  <c r="P873" i="13"/>
  <c r="D874" i="13"/>
  <c r="P874" i="13"/>
  <c r="D883" i="13"/>
  <c r="P883" i="13"/>
  <c r="D838" i="13"/>
  <c r="P838" i="13"/>
  <c r="D806" i="13"/>
  <c r="P806" i="13"/>
  <c r="D930" i="13"/>
  <c r="P930" i="13"/>
  <c r="D868" i="13"/>
  <c r="P868" i="13"/>
  <c r="D904" i="13"/>
  <c r="P904" i="13"/>
  <c r="D909" i="13"/>
  <c r="P909" i="13"/>
  <c r="D903" i="13"/>
  <c r="P903" i="13"/>
  <c r="D927" i="13"/>
  <c r="P927" i="13"/>
  <c r="D948" i="13"/>
  <c r="P948" i="13"/>
  <c r="D865" i="13"/>
  <c r="P865" i="13"/>
  <c r="D870" i="13"/>
  <c r="P870" i="13"/>
  <c r="D879" i="13"/>
  <c r="P879" i="13"/>
  <c r="D834" i="13"/>
  <c r="P834" i="13"/>
  <c r="D777" i="13"/>
  <c r="P777" i="13"/>
  <c r="D922" i="13"/>
  <c r="P922" i="13"/>
  <c r="D991" i="13"/>
  <c r="P991" i="13"/>
  <c r="D899" i="13"/>
  <c r="P899" i="13"/>
  <c r="D852" i="13"/>
  <c r="P852" i="13"/>
  <c r="D892" i="13"/>
  <c r="P892" i="13"/>
  <c r="D923" i="13"/>
  <c r="P923" i="13"/>
  <c r="D944" i="13"/>
  <c r="P944" i="13"/>
  <c r="D857" i="13"/>
  <c r="P857" i="13"/>
  <c r="D866" i="13"/>
  <c r="P866" i="13"/>
  <c r="D875" i="13"/>
  <c r="P875" i="13"/>
  <c r="D830" i="13"/>
  <c r="P830" i="13"/>
  <c r="D717" i="13"/>
  <c r="P717" i="13"/>
  <c r="D648" i="13"/>
  <c r="P648" i="13"/>
  <c r="D559" i="13"/>
  <c r="P559" i="13"/>
  <c r="D534" i="13"/>
  <c r="P534" i="13"/>
  <c r="D688" i="13"/>
  <c r="P688" i="13"/>
  <c r="D658" i="13"/>
  <c r="P658" i="13"/>
  <c r="D740" i="13"/>
  <c r="P740" i="13"/>
  <c r="D659" i="13"/>
  <c r="P659" i="13"/>
  <c r="D638" i="13"/>
  <c r="P638" i="13"/>
  <c r="D553" i="13"/>
  <c r="P553" i="13"/>
  <c r="D722" i="13"/>
  <c r="P722" i="13"/>
  <c r="D686" i="13"/>
  <c r="P686" i="13"/>
  <c r="D539" i="13"/>
  <c r="P539" i="13"/>
  <c r="D698" i="13"/>
  <c r="P698" i="13"/>
  <c r="D600" i="13"/>
  <c r="P600" i="13"/>
  <c r="D557" i="13"/>
  <c r="P557" i="13"/>
  <c r="D741" i="13"/>
  <c r="P741" i="13"/>
  <c r="D639" i="13"/>
  <c r="P639" i="13"/>
  <c r="D587" i="13"/>
  <c r="P587" i="13"/>
  <c r="D689" i="13"/>
  <c r="P689" i="13"/>
  <c r="D694" i="13"/>
  <c r="P694" i="13"/>
  <c r="D540" i="13"/>
  <c r="P540" i="13"/>
  <c r="D618" i="13"/>
  <c r="P618" i="13"/>
  <c r="D691" i="13"/>
  <c r="P691" i="13"/>
  <c r="D625" i="13"/>
  <c r="P625" i="13"/>
  <c r="D581" i="13"/>
  <c r="P581" i="13"/>
  <c r="D743" i="13"/>
  <c r="P743" i="13"/>
  <c r="D683" i="13"/>
  <c r="P683" i="13"/>
  <c r="D621" i="13"/>
  <c r="P621" i="13"/>
  <c r="D513" i="13"/>
  <c r="P513" i="13"/>
  <c r="D733" i="13"/>
  <c r="P733" i="13"/>
  <c r="D677" i="13"/>
  <c r="P677" i="13"/>
  <c r="D705" i="13"/>
  <c r="P705" i="13"/>
  <c r="D711" i="13"/>
  <c r="P711" i="13"/>
  <c r="D552" i="13"/>
  <c r="P552" i="13"/>
  <c r="D521" i="13"/>
  <c r="P521" i="13"/>
  <c r="D720" i="13"/>
  <c r="P720" i="13"/>
  <c r="D624" i="13"/>
  <c r="P624" i="13"/>
  <c r="D630" i="13"/>
  <c r="P630" i="13"/>
  <c r="D715" i="13"/>
  <c r="P715" i="13"/>
  <c r="D739" i="13"/>
  <c r="P739" i="13"/>
  <c r="D680" i="13"/>
  <c r="P680" i="13"/>
  <c r="D604" i="13"/>
  <c r="P604" i="13"/>
  <c r="D536" i="13"/>
  <c r="P536" i="13"/>
  <c r="D586" i="13"/>
  <c r="P586" i="13"/>
  <c r="D679" i="13"/>
  <c r="P679" i="13"/>
  <c r="D608" i="13"/>
  <c r="P608" i="13"/>
  <c r="D573" i="13"/>
  <c r="P573" i="13"/>
  <c r="D693" i="13"/>
  <c r="P693" i="13"/>
  <c r="D721" i="13"/>
  <c r="P721" i="13"/>
  <c r="D703" i="13"/>
  <c r="P703" i="13"/>
  <c r="D602" i="13"/>
  <c r="P602" i="13"/>
  <c r="D584" i="13"/>
  <c r="P584" i="13"/>
  <c r="D508" i="13"/>
  <c r="P508" i="13"/>
  <c r="D697" i="13"/>
  <c r="P697" i="13"/>
  <c r="D603" i="13"/>
  <c r="P603" i="13"/>
  <c r="D548" i="13"/>
  <c r="P548" i="13"/>
  <c r="D515" i="13"/>
  <c r="P515" i="13"/>
  <c r="D696" i="13"/>
  <c r="P696" i="13"/>
  <c r="D723" i="13"/>
  <c r="P723" i="13"/>
  <c r="D728" i="13"/>
  <c r="P728" i="13"/>
  <c r="D1742" i="13"/>
  <c r="P1742" i="13"/>
  <c r="D1850" i="13"/>
  <c r="P1850" i="13"/>
  <c r="D1835" i="13"/>
  <c r="P1835" i="13"/>
  <c r="D1957" i="13"/>
  <c r="P1957" i="13"/>
  <c r="D1788" i="13"/>
  <c r="P1788" i="13"/>
  <c r="D1852" i="13"/>
  <c r="P1852" i="13"/>
  <c r="D1877" i="13"/>
  <c r="P1877" i="13"/>
  <c r="D1765" i="13"/>
  <c r="P1765" i="13"/>
  <c r="D1820" i="13"/>
  <c r="P1820" i="13"/>
  <c r="D1902" i="13"/>
  <c r="P1902" i="13"/>
  <c r="D1950" i="13"/>
  <c r="P1950" i="13"/>
  <c r="D1758" i="13"/>
  <c r="P1758" i="13"/>
  <c r="D1854" i="13"/>
  <c r="P1854" i="13"/>
  <c r="D1861" i="13"/>
  <c r="P1861" i="13"/>
  <c r="D1961" i="13"/>
  <c r="P1961" i="13"/>
  <c r="D1807" i="13"/>
  <c r="P1807" i="13"/>
  <c r="D1867" i="13"/>
  <c r="P1867" i="13"/>
  <c r="D1897" i="13"/>
  <c r="P1897" i="13"/>
  <c r="D1761" i="13"/>
  <c r="P1761" i="13"/>
  <c r="D1783" i="13"/>
  <c r="P1783" i="13"/>
  <c r="D1883" i="13"/>
  <c r="P1883" i="13"/>
  <c r="D1980" i="13"/>
  <c r="P1980" i="13"/>
  <c r="D1786" i="13"/>
  <c r="P1786" i="13"/>
  <c r="D1811" i="13"/>
  <c r="P1811" i="13"/>
  <c r="D1926" i="13"/>
  <c r="P1926" i="13"/>
  <c r="D1941" i="13"/>
  <c r="P1941" i="13"/>
  <c r="D1779" i="13"/>
  <c r="P1779" i="13"/>
  <c r="D1815" i="13"/>
  <c r="P1815" i="13"/>
  <c r="D1925" i="13"/>
  <c r="P1925" i="13"/>
  <c r="D1924" i="13"/>
  <c r="P1924" i="13"/>
  <c r="D1776" i="13"/>
  <c r="P1776" i="13"/>
  <c r="D1876" i="13"/>
  <c r="P1876" i="13"/>
  <c r="D1919" i="13"/>
  <c r="P1919" i="13"/>
  <c r="D1979" i="13"/>
  <c r="P1979" i="13"/>
  <c r="D1803" i="13"/>
  <c r="P1803" i="13"/>
  <c r="D1859" i="13"/>
  <c r="P1859" i="13"/>
  <c r="D1935" i="13"/>
  <c r="P1935" i="13"/>
  <c r="D1974" i="13"/>
  <c r="P1974" i="13"/>
  <c r="D1800" i="13"/>
  <c r="P1800" i="13"/>
  <c r="D1884" i="13"/>
  <c r="P1884" i="13"/>
  <c r="D1940" i="13"/>
  <c r="P1940" i="13"/>
  <c r="D1814" i="13"/>
  <c r="P1814" i="13"/>
  <c r="D1900" i="13"/>
  <c r="P1900" i="13"/>
  <c r="D1956" i="13"/>
  <c r="P1956" i="13"/>
  <c r="D1766" i="13"/>
  <c r="P1766" i="13"/>
  <c r="D1801" i="13"/>
  <c r="P1801" i="13"/>
  <c r="D1837" i="13"/>
  <c r="P1837" i="13"/>
  <c r="D1844" i="13"/>
  <c r="P1844" i="13"/>
  <c r="D1749" i="13"/>
  <c r="P1749" i="13"/>
  <c r="D1743" i="13"/>
  <c r="P1743" i="13"/>
  <c r="D1794" i="13"/>
  <c r="P1794" i="13"/>
  <c r="D1846" i="13"/>
  <c r="P1846" i="13"/>
  <c r="D1752" i="13"/>
  <c r="P1752" i="13"/>
  <c r="D1773" i="13"/>
  <c r="P1773" i="13"/>
  <c r="D1793" i="13"/>
  <c r="P1793" i="13"/>
  <c r="D1967" i="13"/>
  <c r="P1967" i="13"/>
  <c r="D1858" i="13"/>
  <c r="P1858" i="13"/>
  <c r="D1874" i="13"/>
  <c r="P1874" i="13"/>
  <c r="D1896" i="13"/>
  <c r="P1896" i="13"/>
  <c r="D1795" i="13"/>
  <c r="P1795" i="13"/>
  <c r="D2708" i="13"/>
  <c r="P2708" i="13"/>
  <c r="P2699" i="13"/>
  <c r="D2699" i="13"/>
  <c r="D2701" i="13"/>
  <c r="P2701" i="13"/>
  <c r="P2726" i="13"/>
  <c r="D2726" i="13"/>
  <c r="D2618" i="13"/>
  <c r="P2618" i="13"/>
  <c r="D2616" i="13"/>
  <c r="P2616" i="13"/>
  <c r="D2645" i="13"/>
  <c r="P2645" i="13"/>
  <c r="D2671" i="13"/>
  <c r="P2671" i="13"/>
  <c r="P2594" i="13"/>
  <c r="D2594" i="13"/>
  <c r="D2560" i="13"/>
  <c r="P2560" i="13"/>
  <c r="D2577" i="13"/>
  <c r="P2577" i="13"/>
  <c r="D2599" i="13"/>
  <c r="P2599" i="13"/>
  <c r="D2528" i="13"/>
  <c r="P2528" i="13"/>
  <c r="D2533" i="13"/>
  <c r="P2533" i="13"/>
  <c r="D2522" i="13"/>
  <c r="P2522" i="13"/>
  <c r="D2720" i="13"/>
  <c r="P2720" i="13"/>
  <c r="P2610" i="13"/>
  <c r="D2610" i="13"/>
  <c r="D2713" i="13"/>
  <c r="P2713" i="13"/>
  <c r="P2719" i="13"/>
  <c r="D2719" i="13"/>
  <c r="P2666" i="13"/>
  <c r="D2666" i="13"/>
  <c r="D2628" i="13"/>
  <c r="P2628" i="13"/>
  <c r="D2657" i="13"/>
  <c r="P2657" i="13"/>
  <c r="D2554" i="13"/>
  <c r="P2554" i="13"/>
  <c r="D2619" i="13"/>
  <c r="P2619" i="13"/>
  <c r="D2572" i="13"/>
  <c r="P2572" i="13"/>
  <c r="D2589" i="13"/>
  <c r="P2589" i="13"/>
  <c r="D2488" i="13"/>
  <c r="P2488" i="13"/>
  <c r="D2547" i="13"/>
  <c r="P2547" i="13"/>
  <c r="D2491" i="13"/>
  <c r="P2491" i="13"/>
  <c r="P2534" i="13"/>
  <c r="D2534" i="13"/>
  <c r="D2622" i="13"/>
  <c r="P2622" i="13"/>
  <c r="P2658" i="13"/>
  <c r="D2658" i="13"/>
  <c r="D2725" i="13"/>
  <c r="P2725" i="13"/>
  <c r="P2614" i="13"/>
  <c r="D2614" i="13"/>
  <c r="P2686" i="13"/>
  <c r="D2686" i="13"/>
  <c r="D2640" i="13"/>
  <c r="P2640" i="13"/>
  <c r="D2669" i="13"/>
  <c r="P2669" i="13"/>
  <c r="D2602" i="13"/>
  <c r="P2602" i="13"/>
  <c r="D2631" i="13"/>
  <c r="P2631" i="13"/>
  <c r="D2584" i="13"/>
  <c r="P2584" i="13"/>
  <c r="D2601" i="13"/>
  <c r="P2601" i="13"/>
  <c r="D2539" i="13"/>
  <c r="P2539" i="13"/>
  <c r="D2559" i="13"/>
  <c r="P2559" i="13"/>
  <c r="D2503" i="13"/>
  <c r="P2503" i="13"/>
  <c r="D2493" i="13"/>
  <c r="P2493" i="13"/>
  <c r="D2574" i="13"/>
  <c r="P2574" i="13"/>
  <c r="P2642" i="13"/>
  <c r="D2642" i="13"/>
  <c r="D2721" i="13"/>
  <c r="P2721" i="13"/>
  <c r="D2542" i="13"/>
  <c r="P2542" i="13"/>
  <c r="P2682" i="13"/>
  <c r="D2682" i="13"/>
  <c r="D2636" i="13"/>
  <c r="P2636" i="13"/>
  <c r="D2665" i="13"/>
  <c r="P2665" i="13"/>
  <c r="D2586" i="13"/>
  <c r="P2586" i="13"/>
  <c r="D2627" i="13"/>
  <c r="P2627" i="13"/>
  <c r="D2580" i="13"/>
  <c r="P2580" i="13"/>
  <c r="D2597" i="13"/>
  <c r="P2597" i="13"/>
  <c r="D2520" i="13"/>
  <c r="P2520" i="13"/>
  <c r="D2555" i="13"/>
  <c r="P2555" i="13"/>
  <c r="D2499" i="13"/>
  <c r="P2499" i="13"/>
  <c r="D2489" i="13"/>
  <c r="P2489" i="13"/>
  <c r="D1470" i="13"/>
  <c r="P1470" i="13"/>
  <c r="D1465" i="13"/>
  <c r="P1465" i="13"/>
  <c r="D1437" i="13"/>
  <c r="P1437" i="13"/>
  <c r="D1444" i="13"/>
  <c r="P1444" i="13"/>
  <c r="D1383" i="13"/>
  <c r="P1383" i="13"/>
  <c r="D1369" i="13"/>
  <c r="P1369" i="13"/>
  <c r="D1374" i="13"/>
  <c r="P1374" i="13"/>
  <c r="D1416" i="13"/>
  <c r="P1416" i="13"/>
  <c r="D1344" i="13"/>
  <c r="P1344" i="13"/>
  <c r="D1342" i="13"/>
  <c r="P1342" i="13"/>
  <c r="D1323" i="13"/>
  <c r="P1323" i="13"/>
  <c r="D1308" i="13"/>
  <c r="P1308" i="13"/>
  <c r="D1272" i="13"/>
  <c r="P1272" i="13"/>
  <c r="D1267" i="13"/>
  <c r="P1267" i="13"/>
  <c r="D1265" i="13"/>
  <c r="P1265" i="13"/>
  <c r="D1482" i="13"/>
  <c r="P1482" i="13"/>
  <c r="D1365" i="13"/>
  <c r="P1365" i="13"/>
  <c r="D1451" i="13"/>
  <c r="P1451" i="13"/>
  <c r="D1456" i="13"/>
  <c r="P1456" i="13"/>
  <c r="D1407" i="13"/>
  <c r="P1407" i="13"/>
  <c r="D1393" i="13"/>
  <c r="P1393" i="13"/>
  <c r="D1386" i="13"/>
  <c r="P1386" i="13"/>
  <c r="D1428" i="13"/>
  <c r="P1428" i="13"/>
  <c r="D1364" i="13"/>
  <c r="P1364" i="13"/>
  <c r="D1276" i="13"/>
  <c r="P1276" i="13"/>
  <c r="D1335" i="13"/>
  <c r="P1335" i="13"/>
  <c r="D1268" i="13"/>
  <c r="P1268" i="13"/>
  <c r="D1285" i="13"/>
  <c r="P1285" i="13"/>
  <c r="D1277" i="13"/>
  <c r="P1277" i="13"/>
  <c r="D1256" i="13"/>
  <c r="P1256" i="13"/>
  <c r="D1478" i="13"/>
  <c r="P1478" i="13"/>
  <c r="D1473" i="13"/>
  <c r="P1473" i="13"/>
  <c r="D1447" i="13"/>
  <c r="P1447" i="13"/>
  <c r="D1452" i="13"/>
  <c r="P1452" i="13"/>
  <c r="D1399" i="13"/>
  <c r="P1399" i="13"/>
  <c r="D1385" i="13"/>
  <c r="P1385" i="13"/>
  <c r="D1382" i="13"/>
  <c r="P1382" i="13"/>
  <c r="D1424" i="13"/>
  <c r="P1424" i="13"/>
  <c r="D1360" i="13"/>
  <c r="P1360" i="13"/>
  <c r="D1350" i="13"/>
  <c r="P1350" i="13"/>
  <c r="D1331" i="13"/>
  <c r="P1331" i="13"/>
  <c r="D1266" i="13"/>
  <c r="P1266" i="13"/>
  <c r="D1281" i="13"/>
  <c r="P1281" i="13"/>
  <c r="D1273" i="13"/>
  <c r="P1273" i="13"/>
  <c r="D1252" i="13"/>
  <c r="P1252" i="13"/>
  <c r="D1379" i="13"/>
  <c r="P1379" i="13"/>
  <c r="D1397" i="13"/>
  <c r="P1397" i="13"/>
  <c r="D1459" i="13"/>
  <c r="P1459" i="13"/>
  <c r="D1464" i="13"/>
  <c r="P1464" i="13"/>
  <c r="D1423" i="13"/>
  <c r="P1423" i="13"/>
  <c r="D1409" i="13"/>
  <c r="P1409" i="13"/>
  <c r="D1394" i="13"/>
  <c r="P1394" i="13"/>
  <c r="D1324" i="13"/>
  <c r="P1324" i="13"/>
  <c r="D1372" i="13"/>
  <c r="P1372" i="13"/>
  <c r="D1321" i="13"/>
  <c r="P1321" i="13"/>
  <c r="D1343" i="13"/>
  <c r="P1343" i="13"/>
  <c r="D1291" i="13"/>
  <c r="P1291" i="13"/>
  <c r="D1293" i="13"/>
  <c r="P1293" i="13"/>
  <c r="D1275" i="13"/>
  <c r="P1275" i="13"/>
  <c r="D1264" i="13"/>
  <c r="P1264" i="13"/>
  <c r="D1228" i="13"/>
  <c r="P1228" i="13"/>
  <c r="D1237" i="13"/>
  <c r="P1237" i="13"/>
  <c r="D1222" i="13"/>
  <c r="P1222" i="13"/>
  <c r="D1084" i="13"/>
  <c r="P1084" i="13"/>
  <c r="D1138" i="13"/>
  <c r="P1138" i="13"/>
  <c r="D1204" i="13"/>
  <c r="P1204" i="13"/>
  <c r="D1134" i="13"/>
  <c r="P1134" i="13"/>
  <c r="D1165" i="13"/>
  <c r="P1165" i="13"/>
  <c r="D1101" i="13"/>
  <c r="P1101" i="13"/>
  <c r="D1088" i="13"/>
  <c r="P1088" i="13"/>
  <c r="D1106" i="13"/>
  <c r="P1106" i="13"/>
  <c r="D1083" i="13"/>
  <c r="P1083" i="13"/>
  <c r="D1070" i="13"/>
  <c r="P1070" i="13"/>
  <c r="D1056" i="13"/>
  <c r="P1056" i="13"/>
  <c r="D1026" i="13"/>
  <c r="P1026" i="13"/>
  <c r="D1003" i="13"/>
  <c r="P1003" i="13"/>
  <c r="D1224" i="13"/>
  <c r="P1224" i="13"/>
  <c r="D1218" i="13"/>
  <c r="P1218" i="13"/>
  <c r="D1239" i="13"/>
  <c r="P1239" i="13"/>
  <c r="D1041" i="13"/>
  <c r="P1041" i="13"/>
  <c r="D1200" i="13"/>
  <c r="P1200" i="13"/>
  <c r="D1129" i="13"/>
  <c r="P1129" i="13"/>
  <c r="D1161" i="13"/>
  <c r="P1161" i="13"/>
  <c r="D1093" i="13"/>
  <c r="P1093" i="13"/>
  <c r="D1080" i="13"/>
  <c r="P1080" i="13"/>
  <c r="D1102" i="13"/>
  <c r="P1102" i="13"/>
  <c r="D1079" i="13"/>
  <c r="P1079" i="13"/>
  <c r="D1066" i="13"/>
  <c r="P1066" i="13"/>
  <c r="D1052" i="13"/>
  <c r="P1052" i="13"/>
  <c r="D1022" i="13"/>
  <c r="P1022" i="13"/>
  <c r="D999" i="13"/>
  <c r="P999" i="13"/>
  <c r="D1198" i="13"/>
  <c r="P1198" i="13"/>
  <c r="D1210" i="13"/>
  <c r="P1210" i="13"/>
  <c r="D1235" i="13"/>
  <c r="P1235" i="13"/>
  <c r="D1159" i="13"/>
  <c r="P1159" i="13"/>
  <c r="D1196" i="13"/>
  <c r="P1196" i="13"/>
  <c r="D1113" i="13"/>
  <c r="P1113" i="13"/>
  <c r="D1157" i="13"/>
  <c r="P1157" i="13"/>
  <c r="D1085" i="13"/>
  <c r="P1085" i="13"/>
  <c r="D1049" i="13"/>
  <c r="P1049" i="13"/>
  <c r="D1098" i="13"/>
  <c r="P1098" i="13"/>
  <c r="D1059" i="13"/>
  <c r="P1059" i="13"/>
  <c r="D1062" i="13"/>
  <c r="P1062" i="13"/>
  <c r="D1048" i="13"/>
  <c r="P1048" i="13"/>
  <c r="D1016" i="13"/>
  <c r="P1016" i="13"/>
  <c r="D1017" i="13"/>
  <c r="P1017" i="13"/>
  <c r="D1146" i="13"/>
  <c r="P1146" i="13"/>
  <c r="D1226" i="13"/>
  <c r="P1226" i="13"/>
  <c r="D1150" i="13"/>
  <c r="P1150" i="13"/>
  <c r="D1142" i="13"/>
  <c r="P1142" i="13"/>
  <c r="D1208" i="13"/>
  <c r="P1208" i="13"/>
  <c r="D1144" i="13"/>
  <c r="P1144" i="13"/>
  <c r="D1169" i="13"/>
  <c r="P1169" i="13"/>
  <c r="D1110" i="13"/>
  <c r="P1110" i="13"/>
  <c r="D1096" i="13"/>
  <c r="P1096" i="13"/>
  <c r="D1051" i="13"/>
  <c r="P1051" i="13"/>
  <c r="D1087" i="13"/>
  <c r="P1087" i="13"/>
  <c r="D1037" i="13"/>
  <c r="P1037" i="13"/>
  <c r="D1060" i="13"/>
  <c r="P1060" i="13"/>
  <c r="D1030" i="13"/>
  <c r="P1030" i="13"/>
  <c r="D1007" i="13"/>
  <c r="P1007" i="13"/>
  <c r="D301" i="13"/>
  <c r="P301" i="13"/>
  <c r="D276" i="13"/>
  <c r="P276" i="13"/>
  <c r="D263" i="13"/>
  <c r="P263" i="13"/>
  <c r="D343" i="13"/>
  <c r="P343" i="13"/>
  <c r="D364" i="13"/>
  <c r="P364" i="13"/>
  <c r="D371" i="13"/>
  <c r="P371" i="13"/>
  <c r="D354" i="13"/>
  <c r="P354" i="13"/>
  <c r="D321" i="13"/>
  <c r="P321" i="13"/>
  <c r="D397" i="13"/>
  <c r="P397" i="13"/>
  <c r="D375" i="13"/>
  <c r="P375" i="13"/>
  <c r="D428" i="13"/>
  <c r="P428" i="13"/>
  <c r="D443" i="13"/>
  <c r="P443" i="13"/>
  <c r="D462" i="13"/>
  <c r="P462" i="13"/>
  <c r="D461" i="13"/>
  <c r="P461" i="13"/>
  <c r="D493" i="13"/>
  <c r="P493" i="13"/>
  <c r="D320" i="13"/>
  <c r="P320" i="13"/>
  <c r="D280" i="13"/>
  <c r="P280" i="13"/>
  <c r="D267" i="13"/>
  <c r="P267" i="13"/>
  <c r="D351" i="13"/>
  <c r="P351" i="13"/>
  <c r="D372" i="13"/>
  <c r="P372" i="13"/>
  <c r="D377" i="13"/>
  <c r="P377" i="13"/>
  <c r="D358" i="13"/>
  <c r="P358" i="13"/>
  <c r="D325" i="13"/>
  <c r="P325" i="13"/>
  <c r="D405" i="13"/>
  <c r="P405" i="13"/>
  <c r="D379" i="13"/>
  <c r="P379" i="13"/>
  <c r="D432" i="13"/>
  <c r="P432" i="13"/>
  <c r="D447" i="13"/>
  <c r="P447" i="13"/>
  <c r="D470" i="13"/>
  <c r="P470" i="13"/>
  <c r="D465" i="13"/>
  <c r="P465" i="13"/>
  <c r="D476" i="13"/>
  <c r="P476" i="13"/>
  <c r="D289" i="13"/>
  <c r="P289" i="13"/>
  <c r="D268" i="13"/>
  <c r="P268" i="13"/>
  <c r="D255" i="13"/>
  <c r="P255" i="13"/>
  <c r="D327" i="13"/>
  <c r="P327" i="13"/>
  <c r="D348" i="13"/>
  <c r="P348" i="13"/>
  <c r="D355" i="13"/>
  <c r="P355" i="13"/>
  <c r="D346" i="13"/>
  <c r="P346" i="13"/>
  <c r="D313" i="13"/>
  <c r="P313" i="13"/>
  <c r="D381" i="13"/>
  <c r="P381" i="13"/>
  <c r="D429" i="13"/>
  <c r="P429" i="13"/>
  <c r="D420" i="13"/>
  <c r="P420" i="13"/>
  <c r="D435" i="13"/>
  <c r="P435" i="13"/>
  <c r="D456" i="13"/>
  <c r="P456" i="13"/>
  <c r="D486" i="13"/>
  <c r="P486" i="13"/>
  <c r="D485" i="13"/>
  <c r="P485" i="13"/>
  <c r="D261" i="13"/>
  <c r="P261" i="13"/>
  <c r="D270" i="13"/>
  <c r="P270" i="13"/>
  <c r="D344" i="13"/>
  <c r="P344" i="13"/>
  <c r="D297" i="13"/>
  <c r="P297" i="13"/>
  <c r="D296" i="13"/>
  <c r="P296" i="13"/>
  <c r="D303" i="13"/>
  <c r="P303" i="13"/>
  <c r="D318" i="13"/>
  <c r="P318" i="13"/>
  <c r="D390" i="13"/>
  <c r="P390" i="13"/>
  <c r="D349" i="13"/>
  <c r="P349" i="13"/>
  <c r="D384" i="13"/>
  <c r="P384" i="13"/>
  <c r="D403" i="13"/>
  <c r="P403" i="13"/>
  <c r="D407" i="13"/>
  <c r="P407" i="13"/>
  <c r="D426" i="13"/>
  <c r="P426" i="13"/>
  <c r="D446" i="13"/>
  <c r="P446" i="13"/>
  <c r="D464" i="13"/>
  <c r="P464" i="13"/>
  <c r="D495" i="13"/>
  <c r="P495" i="13"/>
  <c r="D2063" i="13"/>
  <c r="P2063" i="13"/>
  <c r="D2104" i="13"/>
  <c r="P2104" i="13"/>
  <c r="D2179" i="13"/>
  <c r="P2179" i="13"/>
  <c r="D2001" i="13"/>
  <c r="P2001" i="13"/>
  <c r="D2058" i="13"/>
  <c r="P2058" i="13"/>
  <c r="D2131" i="13"/>
  <c r="P2131" i="13"/>
  <c r="D2146" i="13"/>
  <c r="P2146" i="13"/>
  <c r="D2023" i="13"/>
  <c r="P2023" i="13"/>
  <c r="D2047" i="13"/>
  <c r="P2047" i="13"/>
  <c r="D2144" i="13"/>
  <c r="P2144" i="13"/>
  <c r="D2217" i="13"/>
  <c r="P2217" i="13"/>
  <c r="D1995" i="13"/>
  <c r="P1995" i="13"/>
  <c r="D2094" i="13"/>
  <c r="P2094" i="13"/>
  <c r="D2168" i="13"/>
  <c r="P2168" i="13"/>
  <c r="D2202" i="13"/>
  <c r="P2202" i="13"/>
  <c r="D2032" i="13"/>
  <c r="P2032" i="13"/>
  <c r="D2097" i="13"/>
  <c r="P2097" i="13"/>
  <c r="D2220" i="13"/>
  <c r="P2220" i="13"/>
  <c r="D2142" i="13"/>
  <c r="P2142" i="13"/>
  <c r="D2071" i="13"/>
  <c r="P2071" i="13"/>
  <c r="P2124" i="13"/>
  <c r="D2124" i="13"/>
  <c r="D2187" i="13"/>
  <c r="P2187" i="13"/>
  <c r="D2006" i="13"/>
  <c r="P2006" i="13"/>
  <c r="D2064" i="13"/>
  <c r="P2064" i="13"/>
  <c r="D2137" i="13"/>
  <c r="P2137" i="13"/>
  <c r="D2193" i="13"/>
  <c r="P2193" i="13"/>
  <c r="D2011" i="13"/>
  <c r="P2011" i="13"/>
  <c r="D2098" i="13"/>
  <c r="P2098" i="13"/>
  <c r="D2172" i="13"/>
  <c r="P2172" i="13"/>
  <c r="D2218" i="13"/>
  <c r="P2218" i="13"/>
  <c r="D2030" i="13"/>
  <c r="P2030" i="13"/>
  <c r="D2065" i="13"/>
  <c r="P2065" i="13"/>
  <c r="D2138" i="13"/>
  <c r="P2138" i="13"/>
  <c r="D2222" i="13"/>
  <c r="P2222" i="13"/>
  <c r="D2054" i="13"/>
  <c r="P2054" i="13"/>
  <c r="D2127" i="13"/>
  <c r="P2127" i="13"/>
  <c r="D2130" i="13"/>
  <c r="P2130" i="13"/>
  <c r="D2010" i="13"/>
  <c r="P2010" i="13"/>
  <c r="D2068" i="13"/>
  <c r="P2068" i="13"/>
  <c r="D2141" i="13"/>
  <c r="P2141" i="13"/>
  <c r="D2197" i="13"/>
  <c r="P2197" i="13"/>
  <c r="D2025" i="13"/>
  <c r="P2025" i="13"/>
  <c r="P2039" i="13"/>
  <c r="D2039" i="13"/>
  <c r="D2192" i="13"/>
  <c r="P2192" i="13"/>
  <c r="D2182" i="13"/>
  <c r="P2182" i="13"/>
  <c r="D2175" i="13"/>
  <c r="P2175" i="13"/>
  <c r="D2173" i="13"/>
  <c r="P2173" i="13"/>
  <c r="D2230" i="13"/>
  <c r="P2230" i="13"/>
  <c r="D2205" i="13"/>
  <c r="P2205" i="13"/>
  <c r="D2157" i="13"/>
  <c r="P2157" i="13"/>
  <c r="D2186" i="13"/>
  <c r="P2186" i="13"/>
  <c r="D2227" i="13"/>
  <c r="P2227" i="13"/>
  <c r="D2027" i="13"/>
  <c r="P2027" i="13"/>
  <c r="D2040" i="13"/>
  <c r="P2040" i="13"/>
  <c r="D2021" i="13"/>
  <c r="P2021" i="13"/>
  <c r="D2198" i="13"/>
  <c r="P2198" i="13"/>
  <c r="D2022" i="13"/>
  <c r="P2022" i="13"/>
  <c r="D2075" i="13"/>
  <c r="P2075" i="13"/>
  <c r="P2060" i="13"/>
  <c r="D2060" i="13"/>
  <c r="D2050" i="13"/>
  <c r="P2050" i="13"/>
  <c r="D242" i="13"/>
  <c r="P242" i="13"/>
  <c r="D66" i="13"/>
  <c r="P66" i="13"/>
  <c r="D214" i="13"/>
  <c r="P214" i="13"/>
  <c r="D150" i="13"/>
  <c r="P150" i="13"/>
  <c r="D86" i="13"/>
  <c r="P86" i="13"/>
  <c r="D22" i="13"/>
  <c r="P22" i="13"/>
  <c r="D50" i="13"/>
  <c r="P50" i="13"/>
  <c r="D206" i="13"/>
  <c r="P206" i="13"/>
  <c r="D142" i="13"/>
  <c r="P142" i="13"/>
  <c r="D78" i="13"/>
  <c r="P78" i="13"/>
  <c r="D14" i="13"/>
  <c r="P14" i="13"/>
  <c r="D82" i="13"/>
  <c r="P82" i="13"/>
  <c r="D202" i="13"/>
  <c r="P202" i="13"/>
  <c r="D138" i="13"/>
  <c r="P138" i="13"/>
  <c r="D74" i="13"/>
  <c r="P74" i="13"/>
  <c r="D245" i="13"/>
  <c r="P245" i="13"/>
  <c r="D229" i="13"/>
  <c r="P229" i="13"/>
  <c r="D213" i="13"/>
  <c r="P213" i="13"/>
  <c r="D197" i="13"/>
  <c r="P197" i="13"/>
  <c r="D181" i="13"/>
  <c r="P181" i="13"/>
  <c r="D165" i="13"/>
  <c r="P165" i="13"/>
  <c r="D149" i="13"/>
  <c r="P149" i="13"/>
  <c r="D133" i="13"/>
  <c r="P133" i="13"/>
  <c r="D117" i="13"/>
  <c r="P117" i="13"/>
  <c r="D101" i="13"/>
  <c r="P101" i="13"/>
  <c r="D85" i="13"/>
  <c r="P85" i="13"/>
  <c r="D69" i="13"/>
  <c r="P69" i="13"/>
  <c r="D53" i="13"/>
  <c r="P53" i="13"/>
  <c r="D37" i="13"/>
  <c r="P37" i="13"/>
  <c r="D21" i="13"/>
  <c r="P21" i="13"/>
  <c r="D240" i="13"/>
  <c r="P240" i="13"/>
  <c r="D224" i="13"/>
  <c r="P224" i="13"/>
  <c r="D208" i="13"/>
  <c r="P208" i="13"/>
  <c r="D192" i="13"/>
  <c r="P192" i="13"/>
  <c r="D176" i="13"/>
  <c r="P176" i="13"/>
  <c r="D160" i="13"/>
  <c r="P160" i="13"/>
  <c r="D144" i="13"/>
  <c r="P144" i="13"/>
  <c r="D128" i="13"/>
  <c r="P128" i="13"/>
  <c r="D112" i="13"/>
  <c r="P112" i="13"/>
  <c r="D96" i="13"/>
  <c r="P96" i="13"/>
  <c r="D80" i="13"/>
  <c r="P80" i="13"/>
  <c r="D64" i="13"/>
  <c r="P64" i="13"/>
  <c r="D48" i="13"/>
  <c r="P48" i="13"/>
  <c r="D32" i="13"/>
  <c r="P32" i="13"/>
  <c r="D16" i="13"/>
  <c r="P16" i="13"/>
  <c r="D235" i="13"/>
  <c r="P235" i="13"/>
  <c r="D219" i="13"/>
  <c r="P219" i="13"/>
  <c r="D203" i="13"/>
  <c r="P203" i="13"/>
  <c r="D187" i="13"/>
  <c r="P187" i="13"/>
  <c r="D171" i="13"/>
  <c r="P171" i="13"/>
  <c r="D155" i="13"/>
  <c r="P155" i="13"/>
  <c r="D139" i="13"/>
  <c r="P139" i="13"/>
  <c r="D123" i="13"/>
  <c r="P123" i="13"/>
  <c r="D107" i="13"/>
  <c r="P107" i="13"/>
  <c r="D91" i="13"/>
  <c r="P91" i="13"/>
  <c r="D75" i="13"/>
  <c r="P75" i="13"/>
  <c r="D59" i="13"/>
  <c r="P59" i="13"/>
  <c r="D43" i="13"/>
  <c r="P43" i="13"/>
  <c r="D27" i="13"/>
  <c r="P27" i="13"/>
  <c r="D11" i="13"/>
  <c r="P11" i="13"/>
  <c r="D8" i="13"/>
  <c r="P8" i="13"/>
  <c r="D2452" i="13"/>
  <c r="P2452" i="13"/>
  <c r="D2470" i="13"/>
  <c r="P2470" i="13"/>
  <c r="D2454" i="13"/>
  <c r="P2454" i="13"/>
  <c r="D2447" i="13"/>
  <c r="P2447" i="13"/>
  <c r="D2424" i="13"/>
  <c r="P2424" i="13"/>
  <c r="P2339" i="13"/>
  <c r="D2339" i="13"/>
  <c r="D2370" i="13"/>
  <c r="P2370" i="13"/>
  <c r="P2387" i="13"/>
  <c r="D2387" i="13"/>
  <c r="D2340" i="13"/>
  <c r="P2340" i="13"/>
  <c r="P2291" i="13"/>
  <c r="D2291" i="13"/>
  <c r="D2312" i="13"/>
  <c r="P2312" i="13"/>
  <c r="D2294" i="13"/>
  <c r="P2294" i="13"/>
  <c r="D2292" i="13"/>
  <c r="P2292" i="13"/>
  <c r="D2263" i="13"/>
  <c r="P2263" i="13"/>
  <c r="D2246" i="13"/>
  <c r="P2246" i="13"/>
  <c r="D2409" i="13"/>
  <c r="P2409" i="13"/>
  <c r="D2351" i="13"/>
  <c r="P2351" i="13"/>
  <c r="D2425" i="13"/>
  <c r="P2425" i="13"/>
  <c r="D2459" i="13"/>
  <c r="P2459" i="13"/>
  <c r="D2440" i="13"/>
  <c r="P2440" i="13"/>
  <c r="D2369" i="13"/>
  <c r="P2369" i="13"/>
  <c r="D2382" i="13"/>
  <c r="P2382" i="13"/>
  <c r="D2399" i="13"/>
  <c r="P2399" i="13"/>
  <c r="D2352" i="13"/>
  <c r="P2352" i="13"/>
  <c r="D2329" i="13"/>
  <c r="P2329" i="13"/>
  <c r="D2324" i="13"/>
  <c r="P2324" i="13"/>
  <c r="D2306" i="13"/>
  <c r="P2306" i="13"/>
  <c r="D2286" i="13"/>
  <c r="P2286" i="13"/>
  <c r="P2275" i="13"/>
  <c r="D2275" i="13"/>
  <c r="D2258" i="13"/>
  <c r="P2258" i="13"/>
  <c r="D2477" i="13"/>
  <c r="P2477" i="13"/>
  <c r="D2478" i="13"/>
  <c r="P2478" i="13"/>
  <c r="D2462" i="13"/>
  <c r="P2462" i="13"/>
  <c r="D2455" i="13"/>
  <c r="P2455" i="13"/>
  <c r="D2436" i="13"/>
  <c r="P2436" i="13"/>
  <c r="D2365" i="13"/>
  <c r="P2365" i="13"/>
  <c r="D2378" i="13"/>
  <c r="P2378" i="13"/>
  <c r="D2395" i="13"/>
  <c r="P2395" i="13"/>
  <c r="D2348" i="13"/>
  <c r="P2348" i="13"/>
  <c r="D2313" i="13"/>
  <c r="P2313" i="13"/>
  <c r="D2320" i="13"/>
  <c r="P2320" i="13"/>
  <c r="D2302" i="13"/>
  <c r="P2302" i="13"/>
  <c r="D2279" i="13"/>
  <c r="P2279" i="13"/>
  <c r="D2271" i="13"/>
  <c r="P2271" i="13"/>
  <c r="D2254" i="13"/>
  <c r="P2254" i="13"/>
  <c r="D2469" i="13"/>
  <c r="P2469" i="13"/>
  <c r="D2401" i="13"/>
  <c r="P2401" i="13"/>
  <c r="D2456" i="13"/>
  <c r="P2456" i="13"/>
  <c r="D2380" i="13"/>
  <c r="P2380" i="13"/>
  <c r="D2448" i="13"/>
  <c r="P2448" i="13"/>
  <c r="D2377" i="13"/>
  <c r="P2377" i="13"/>
  <c r="D2390" i="13"/>
  <c r="P2390" i="13"/>
  <c r="D2407" i="13"/>
  <c r="P2407" i="13"/>
  <c r="D2360" i="13"/>
  <c r="P2360" i="13"/>
  <c r="D2337" i="13"/>
  <c r="P2337" i="13"/>
  <c r="D2301" i="13"/>
  <c r="P2301" i="13"/>
  <c r="D2314" i="13"/>
  <c r="P2314" i="13"/>
  <c r="D2295" i="13"/>
  <c r="P2295" i="13"/>
  <c r="D2278" i="13"/>
  <c r="P2278" i="13"/>
  <c r="D2262" i="13"/>
  <c r="P2262" i="13"/>
  <c r="D2245" i="13"/>
  <c r="P2245" i="13"/>
  <c r="D1716" i="13"/>
  <c r="P1716" i="13"/>
  <c r="D1734" i="13"/>
  <c r="P1734" i="13"/>
  <c r="D1711" i="13"/>
  <c r="P1711" i="13"/>
  <c r="D1562" i="13"/>
  <c r="P1562" i="13"/>
  <c r="D1663" i="13"/>
  <c r="P1663" i="13"/>
  <c r="D1583" i="13"/>
  <c r="P1583" i="13"/>
  <c r="D1625" i="13"/>
  <c r="P1625" i="13"/>
  <c r="P1634" i="13"/>
  <c r="D1634" i="13"/>
  <c r="D1587" i="13"/>
  <c r="P1587" i="13"/>
  <c r="D1600" i="13"/>
  <c r="P1600" i="13"/>
  <c r="D1577" i="13"/>
  <c r="P1577" i="13"/>
  <c r="D1544" i="13"/>
  <c r="P1544" i="13"/>
  <c r="D1648" i="13"/>
  <c r="P1648" i="13"/>
  <c r="D1722" i="13"/>
  <c r="P1722" i="13"/>
  <c r="D1723" i="13"/>
  <c r="P1723" i="13"/>
  <c r="D1620" i="13"/>
  <c r="P1620" i="13"/>
  <c r="D1685" i="13"/>
  <c r="P1685" i="13"/>
  <c r="D1615" i="13"/>
  <c r="P1615" i="13"/>
  <c r="D1637" i="13"/>
  <c r="P1637" i="13"/>
  <c r="D1646" i="13"/>
  <c r="P1646" i="13"/>
  <c r="D1605" i="13"/>
  <c r="P1605" i="13"/>
  <c r="D1574" i="13"/>
  <c r="P1574" i="13"/>
  <c r="D1589" i="13"/>
  <c r="P1589" i="13"/>
  <c r="D1555" i="13"/>
  <c r="P1555" i="13"/>
  <c r="D1682" i="13"/>
  <c r="P1682" i="13"/>
  <c r="D1660" i="13"/>
  <c r="P1660" i="13"/>
  <c r="D1735" i="13"/>
  <c r="P1735" i="13"/>
  <c r="D1659" i="13"/>
  <c r="P1659" i="13"/>
  <c r="D1697" i="13"/>
  <c r="P1697" i="13"/>
  <c r="D1632" i="13"/>
  <c r="P1632" i="13"/>
  <c r="D1649" i="13"/>
  <c r="P1649" i="13"/>
  <c r="D1658" i="13"/>
  <c r="P1658" i="13"/>
  <c r="D1617" i="13"/>
  <c r="P1617" i="13"/>
  <c r="D1598" i="13"/>
  <c r="P1598" i="13"/>
  <c r="D1558" i="13"/>
  <c r="P1558" i="13"/>
  <c r="D1545" i="13"/>
  <c r="P1545" i="13"/>
  <c r="D1728" i="13"/>
  <c r="P1728" i="13"/>
  <c r="D1692" i="13"/>
  <c r="P1692" i="13"/>
  <c r="D1710" i="13"/>
  <c r="P1710" i="13"/>
  <c r="D1699" i="13"/>
  <c r="P1699" i="13"/>
  <c r="D1725" i="13"/>
  <c r="P1725" i="13"/>
  <c r="D1639" i="13"/>
  <c r="P1639" i="13"/>
  <c r="D1677" i="13"/>
  <c r="P1677" i="13"/>
  <c r="D1586" i="13"/>
  <c r="P1586" i="13"/>
  <c r="D1619" i="13"/>
  <c r="P1619" i="13"/>
  <c r="D1563" i="13"/>
  <c r="P1563" i="13"/>
  <c r="D1588" i="13"/>
  <c r="P1588" i="13"/>
  <c r="D1565" i="13"/>
  <c r="P1565" i="13"/>
  <c r="D1556" i="13"/>
  <c r="P1556" i="13"/>
  <c r="D1534" i="13"/>
  <c r="P1534" i="13"/>
  <c r="D1494" i="13"/>
  <c r="P1494" i="13"/>
  <c r="D1513" i="13"/>
  <c r="P1513" i="13"/>
  <c r="D1530" i="13"/>
  <c r="P1530" i="13"/>
  <c r="D1519" i="13"/>
  <c r="P1519" i="13"/>
  <c r="D1509" i="13"/>
  <c r="P1509" i="13"/>
  <c r="D1539" i="13"/>
  <c r="P1539" i="13"/>
  <c r="D1520" i="13"/>
  <c r="P1520" i="13"/>
  <c r="D1523" i="13"/>
  <c r="P1523" i="13"/>
  <c r="D1526" i="13"/>
  <c r="P1526" i="13"/>
  <c r="D1512" i="13"/>
  <c r="P1512" i="13"/>
  <c r="D752" i="13"/>
  <c r="P752" i="13"/>
  <c r="D783" i="13"/>
  <c r="P783" i="13"/>
  <c r="D773" i="13"/>
  <c r="P773" i="13"/>
  <c r="D763" i="13"/>
  <c r="P763" i="13"/>
  <c r="D765" i="13"/>
  <c r="P765" i="13"/>
  <c r="D805" i="13"/>
  <c r="P805" i="13"/>
  <c r="D784" i="13"/>
  <c r="P784" i="13"/>
  <c r="D775" i="13"/>
  <c r="P775" i="13"/>
  <c r="D809" i="13"/>
  <c r="P809" i="13"/>
  <c r="D790" i="13"/>
  <c r="P790" i="13"/>
  <c r="D756" i="13"/>
  <c r="P756" i="13"/>
  <c r="D762" i="13"/>
  <c r="P762" i="13"/>
  <c r="D782" i="13"/>
  <c r="P782" i="13"/>
  <c r="D798" i="13"/>
  <c r="P798" i="13"/>
  <c r="D966" i="13"/>
  <c r="P966" i="13"/>
  <c r="D881" i="13"/>
  <c r="P881" i="13"/>
  <c r="D819" i="13"/>
  <c r="P819" i="13"/>
  <c r="D988" i="13"/>
  <c r="P988" i="13"/>
  <c r="D849" i="13"/>
  <c r="P849" i="13"/>
  <c r="D989" i="13"/>
  <c r="P989" i="13"/>
  <c r="D972" i="13"/>
  <c r="P972" i="13"/>
  <c r="D778" i="13"/>
  <c r="P778" i="13"/>
  <c r="D965" i="13"/>
  <c r="P965" i="13"/>
  <c r="D945" i="13"/>
  <c r="P945" i="13"/>
  <c r="D894" i="13"/>
  <c r="P894" i="13"/>
  <c r="D893" i="13"/>
  <c r="P893" i="13"/>
  <c r="D983" i="13"/>
  <c r="P983" i="13"/>
  <c r="D869" i="13"/>
  <c r="P869" i="13"/>
  <c r="D984" i="13"/>
  <c r="P984" i="13"/>
  <c r="D860" i="13"/>
  <c r="P860" i="13"/>
  <c r="D915" i="13"/>
  <c r="P915" i="13"/>
  <c r="D936" i="13"/>
  <c r="P936" i="13"/>
  <c r="D841" i="13"/>
  <c r="P841" i="13"/>
  <c r="D858" i="13"/>
  <c r="P858" i="13"/>
  <c r="D867" i="13"/>
  <c r="P867" i="13"/>
  <c r="D822" i="13"/>
  <c r="P822" i="13"/>
  <c r="D985" i="13"/>
  <c r="P985" i="13"/>
  <c r="D877" i="13"/>
  <c r="P877" i="13"/>
  <c r="D979" i="13"/>
  <c r="P979" i="13"/>
  <c r="D853" i="13"/>
  <c r="P853" i="13"/>
  <c r="D980" i="13"/>
  <c r="P980" i="13"/>
  <c r="D844" i="13"/>
  <c r="P844" i="13"/>
  <c r="D911" i="13"/>
  <c r="P911" i="13"/>
  <c r="D932" i="13"/>
  <c r="P932" i="13"/>
  <c r="D828" i="13"/>
  <c r="P828" i="13"/>
  <c r="D854" i="13"/>
  <c r="P854" i="13"/>
  <c r="D863" i="13"/>
  <c r="P863" i="13"/>
  <c r="D818" i="13"/>
  <c r="P818" i="13"/>
  <c r="D969" i="13"/>
  <c r="P969" i="13"/>
  <c r="D990" i="13"/>
  <c r="P990" i="13"/>
  <c r="D975" i="13"/>
  <c r="P975" i="13"/>
  <c r="D836" i="13"/>
  <c r="P836" i="13"/>
  <c r="D976" i="13"/>
  <c r="P976" i="13"/>
  <c r="D833" i="13"/>
  <c r="P833" i="13"/>
  <c r="D905" i="13"/>
  <c r="P905" i="13"/>
  <c r="D928" i="13"/>
  <c r="P928" i="13"/>
  <c r="D815" i="13"/>
  <c r="P815" i="13"/>
  <c r="D850" i="13"/>
  <c r="P850" i="13"/>
  <c r="D859" i="13"/>
  <c r="P859" i="13"/>
  <c r="D811" i="13"/>
  <c r="P811" i="13"/>
  <c r="D692" i="13"/>
  <c r="P692" i="13"/>
  <c r="D633" i="13"/>
  <c r="P633" i="13"/>
  <c r="D588" i="13"/>
  <c r="P588" i="13"/>
  <c r="D503" i="13"/>
  <c r="P503" i="13"/>
  <c r="D742" i="13"/>
  <c r="P742" i="13"/>
  <c r="D628" i="13"/>
  <c r="P628" i="13"/>
  <c r="D738" i="13"/>
  <c r="P738" i="13"/>
  <c r="D719" i="13"/>
  <c r="P719" i="13"/>
  <c r="D543" i="13"/>
  <c r="P543" i="13"/>
  <c r="D510" i="13"/>
  <c r="P510" i="13"/>
  <c r="D672" i="13"/>
  <c r="P672" i="13"/>
  <c r="D623" i="13"/>
  <c r="P623" i="13"/>
  <c r="D724" i="13"/>
  <c r="P724" i="13"/>
  <c r="D643" i="13"/>
  <c r="P643" i="13"/>
  <c r="D591" i="13"/>
  <c r="P591" i="13"/>
  <c r="D598" i="13"/>
  <c r="P598" i="13"/>
  <c r="D706" i="13"/>
  <c r="P706" i="13"/>
  <c r="D661" i="13"/>
  <c r="P661" i="13"/>
  <c r="D523" i="13"/>
  <c r="P523" i="13"/>
  <c r="D699" i="13"/>
  <c r="P699" i="13"/>
  <c r="D629" i="13"/>
  <c r="P629" i="13"/>
  <c r="D525" i="13"/>
  <c r="P525" i="13"/>
  <c r="D725" i="13"/>
  <c r="P725" i="13"/>
  <c r="D660" i="13"/>
  <c r="P660" i="13"/>
  <c r="D571" i="13"/>
  <c r="P571" i="13"/>
  <c r="D545" i="13"/>
  <c r="P545" i="13"/>
  <c r="D734" i="13"/>
  <c r="P734" i="13"/>
  <c r="D656" i="13"/>
  <c r="P656" i="13"/>
  <c r="D567" i="13"/>
  <c r="P567" i="13"/>
  <c r="D550" i="13"/>
  <c r="P550" i="13"/>
  <c r="D668" i="13"/>
  <c r="P668" i="13"/>
  <c r="D646" i="13"/>
  <c r="P646" i="13"/>
  <c r="D636" i="13"/>
  <c r="P636" i="13"/>
  <c r="D647" i="13"/>
  <c r="P647" i="13"/>
  <c r="D549" i="13"/>
  <c r="P549" i="13"/>
  <c r="D727" i="13"/>
  <c r="P727" i="13"/>
  <c r="D667" i="13"/>
  <c r="P667" i="13"/>
  <c r="D605" i="13"/>
  <c r="P605" i="13"/>
  <c r="D569" i="13"/>
  <c r="P569" i="13"/>
  <c r="D653" i="13"/>
  <c r="P653" i="13"/>
  <c r="D675" i="13"/>
  <c r="P675" i="13"/>
  <c r="D631" i="13"/>
  <c r="P631" i="13"/>
  <c r="D595" i="13"/>
  <c r="P595" i="13"/>
  <c r="D517" i="13"/>
  <c r="P517" i="13"/>
  <c r="D732" i="13"/>
  <c r="P732" i="13"/>
  <c r="D651" i="13"/>
  <c r="P651" i="13"/>
  <c r="D606" i="13"/>
  <c r="P606" i="13"/>
  <c r="D537" i="13"/>
  <c r="P537" i="13"/>
  <c r="D599" i="13"/>
  <c r="P599" i="13"/>
  <c r="D652" i="13"/>
  <c r="P652" i="13"/>
  <c r="D620" i="13"/>
  <c r="P620" i="13"/>
  <c r="D670" i="13"/>
  <c r="P670" i="13"/>
  <c r="D520" i="13"/>
  <c r="P520" i="13"/>
  <c r="D682" i="13"/>
  <c r="P682" i="13"/>
  <c r="D650" i="13"/>
  <c r="P650" i="13"/>
  <c r="D541" i="13"/>
  <c r="P541" i="13"/>
  <c r="D712" i="13"/>
  <c r="P712" i="13"/>
  <c r="D637" i="13"/>
  <c r="P637" i="13"/>
  <c r="D663" i="13"/>
  <c r="P663" i="13"/>
  <c r="D714" i="13"/>
  <c r="P714" i="13"/>
  <c r="D1805" i="13"/>
  <c r="P1805" i="13"/>
  <c r="D1864" i="13"/>
  <c r="P1864" i="13"/>
  <c r="D1907" i="13"/>
  <c r="P1907" i="13"/>
  <c r="D1978" i="13"/>
  <c r="P1978" i="13"/>
  <c r="D1806" i="13"/>
  <c r="P1806" i="13"/>
  <c r="D1892" i="13"/>
  <c r="P1892" i="13"/>
  <c r="D1948" i="13"/>
  <c r="P1948" i="13"/>
  <c r="D1777" i="13"/>
  <c r="P1777" i="13"/>
  <c r="D1866" i="13"/>
  <c r="P1866" i="13"/>
  <c r="D1905" i="13"/>
  <c r="P1905" i="13"/>
  <c r="D1973" i="13"/>
  <c r="P1973" i="13"/>
  <c r="D1809" i="13"/>
  <c r="P1809" i="13"/>
  <c r="D1868" i="13"/>
  <c r="P1868" i="13"/>
  <c r="D1911" i="13"/>
  <c r="P1911" i="13"/>
  <c r="D1751" i="13"/>
  <c r="P1751" i="13"/>
  <c r="D1813" i="13"/>
  <c r="P1813" i="13"/>
  <c r="D1895" i="13"/>
  <c r="P1895" i="13"/>
  <c r="D1955" i="13"/>
  <c r="P1955" i="13"/>
  <c r="D1769" i="13"/>
  <c r="P1769" i="13"/>
  <c r="D1824" i="13"/>
  <c r="P1824" i="13"/>
  <c r="D1869" i="13"/>
  <c r="P1869" i="13"/>
  <c r="D1954" i="13"/>
  <c r="P1954" i="13"/>
  <c r="D1784" i="13"/>
  <c r="P1784" i="13"/>
  <c r="D1847" i="13"/>
  <c r="P1847" i="13"/>
  <c r="D1842" i="13"/>
  <c r="P1842" i="13"/>
  <c r="D1963" i="13"/>
  <c r="P1963" i="13"/>
  <c r="D1789" i="13"/>
  <c r="P1789" i="13"/>
  <c r="D1875" i="13"/>
  <c r="P1875" i="13"/>
  <c r="D1912" i="13"/>
  <c r="P1912" i="13"/>
  <c r="D1753" i="13"/>
  <c r="P1753" i="13"/>
  <c r="D1830" i="13"/>
  <c r="P1830" i="13"/>
  <c r="D1865" i="13"/>
  <c r="P1865" i="13"/>
  <c r="D1972" i="13"/>
  <c r="P1972" i="13"/>
  <c r="D1747" i="13"/>
  <c r="P1747" i="13"/>
  <c r="D1797" i="13"/>
  <c r="P1797" i="13"/>
  <c r="D1891" i="13"/>
  <c r="P1891" i="13"/>
  <c r="D1951" i="13"/>
  <c r="P1951" i="13"/>
  <c r="D1763" i="13"/>
  <c r="P1763" i="13"/>
  <c r="D1825" i="13"/>
  <c r="P1825" i="13"/>
  <c r="D1855" i="13"/>
  <c r="P1855" i="13"/>
  <c r="D1971" i="13"/>
  <c r="P1971" i="13"/>
  <c r="D1746" i="13"/>
  <c r="P1746" i="13"/>
  <c r="D1841" i="13"/>
  <c r="P1841" i="13"/>
  <c r="D1882" i="13"/>
  <c r="P1882" i="13"/>
  <c r="D1920" i="13"/>
  <c r="P1920" i="13"/>
  <c r="D1872" i="13"/>
  <c r="P1872" i="13"/>
  <c r="D1851" i="13"/>
  <c r="P1851" i="13"/>
  <c r="D1879" i="13"/>
  <c r="P1879" i="13"/>
  <c r="D1880" i="13"/>
  <c r="P1880" i="13"/>
  <c r="D1826" i="13"/>
  <c r="P1826" i="13"/>
  <c r="D1787" i="13"/>
  <c r="P1787" i="13"/>
  <c r="D1823" i="13"/>
  <c r="P1823" i="13"/>
  <c r="D1918" i="13"/>
  <c r="P1918" i="13"/>
  <c r="D1812" i="13"/>
  <c r="P1812" i="13"/>
  <c r="D1828" i="13"/>
  <c r="P1828" i="13"/>
  <c r="D1856" i="13"/>
  <c r="P1856" i="13"/>
  <c r="D1932" i="13"/>
  <c r="P1932" i="13"/>
  <c r="D1885" i="13"/>
  <c r="P1885" i="13"/>
  <c r="D1913" i="13"/>
  <c r="P1913" i="13"/>
  <c r="D1952" i="13"/>
  <c r="P1952" i="13"/>
  <c r="D1831" i="13"/>
  <c r="P1831" i="13"/>
  <c r="D2692" i="13"/>
  <c r="P2692" i="13"/>
  <c r="P2683" i="13"/>
  <c r="D2683" i="13"/>
  <c r="D2685" i="13"/>
  <c r="P2685" i="13"/>
  <c r="P2710" i="13"/>
  <c r="D2710" i="13"/>
  <c r="D2664" i="13"/>
  <c r="P2664" i="13"/>
  <c r="P2598" i="13"/>
  <c r="D2598" i="13"/>
  <c r="D2629" i="13"/>
  <c r="P2629" i="13"/>
  <c r="D2655" i="13"/>
  <c r="P2655" i="13"/>
  <c r="D2492" i="13"/>
  <c r="P2492" i="13"/>
  <c r="D2544" i="13"/>
  <c r="P2544" i="13"/>
  <c r="D2561" i="13"/>
  <c r="P2561" i="13"/>
  <c r="D2583" i="13"/>
  <c r="P2583" i="13"/>
  <c r="D2527" i="13"/>
  <c r="P2527" i="13"/>
  <c r="D2517" i="13"/>
  <c r="P2517" i="13"/>
  <c r="P2506" i="13"/>
  <c r="D2506" i="13"/>
  <c r="D2704" i="13"/>
  <c r="P2704" i="13"/>
  <c r="P2695" i="13"/>
  <c r="D2695" i="13"/>
  <c r="D2697" i="13"/>
  <c r="P2697" i="13"/>
  <c r="P2722" i="13"/>
  <c r="D2722" i="13"/>
  <c r="D2558" i="13"/>
  <c r="P2558" i="13"/>
  <c r="D2612" i="13"/>
  <c r="P2612" i="13"/>
  <c r="D2641" i="13"/>
  <c r="P2641" i="13"/>
  <c r="D2667" i="13"/>
  <c r="P2667" i="13"/>
  <c r="P2578" i="13"/>
  <c r="D2578" i="13"/>
  <c r="D2556" i="13"/>
  <c r="P2556" i="13"/>
  <c r="D2573" i="13"/>
  <c r="P2573" i="13"/>
  <c r="D2595" i="13"/>
  <c r="P2595" i="13"/>
  <c r="D2512" i="13"/>
  <c r="P2512" i="13"/>
  <c r="D2529" i="13"/>
  <c r="P2529" i="13"/>
  <c r="P2518" i="13"/>
  <c r="D2518" i="13"/>
  <c r="D2716" i="13"/>
  <c r="P2716" i="13"/>
  <c r="D2590" i="13"/>
  <c r="P2590" i="13"/>
  <c r="D2709" i="13"/>
  <c r="P2709" i="13"/>
  <c r="P2715" i="13"/>
  <c r="D2715" i="13"/>
  <c r="P2650" i="13"/>
  <c r="D2650" i="13"/>
  <c r="D2624" i="13"/>
  <c r="P2624" i="13"/>
  <c r="D2653" i="13"/>
  <c r="P2653" i="13"/>
  <c r="D2540" i="13"/>
  <c r="P2540" i="13"/>
  <c r="D2615" i="13"/>
  <c r="P2615" i="13"/>
  <c r="D2568" i="13"/>
  <c r="P2568" i="13"/>
  <c r="D2585" i="13"/>
  <c r="P2585" i="13"/>
  <c r="D2607" i="13"/>
  <c r="P2607" i="13"/>
  <c r="D2543" i="13"/>
  <c r="P2543" i="13"/>
  <c r="D2487" i="13"/>
  <c r="P2487" i="13"/>
  <c r="P2530" i="13"/>
  <c r="D2530" i="13"/>
  <c r="D2712" i="13"/>
  <c r="P2712" i="13"/>
  <c r="P2723" i="13"/>
  <c r="D2723" i="13"/>
  <c r="D2705" i="13"/>
  <c r="P2705" i="13"/>
  <c r="P2703" i="13"/>
  <c r="D2703" i="13"/>
  <c r="D2634" i="13"/>
  <c r="P2634" i="13"/>
  <c r="D2620" i="13"/>
  <c r="P2620" i="13"/>
  <c r="D2649" i="13"/>
  <c r="P2649" i="13"/>
  <c r="D2524" i="13"/>
  <c r="P2524" i="13"/>
  <c r="D2611" i="13"/>
  <c r="P2611" i="13"/>
  <c r="D2564" i="13"/>
  <c r="P2564" i="13"/>
  <c r="D2581" i="13"/>
  <c r="P2581" i="13"/>
  <c r="D2603" i="13"/>
  <c r="P2603" i="13"/>
  <c r="D2535" i="13"/>
  <c r="P2535" i="13"/>
  <c r="D2537" i="13"/>
  <c r="P2537" i="13"/>
  <c r="D2526" i="13"/>
  <c r="P2526" i="13"/>
  <c r="D1477" i="13"/>
  <c r="P1477" i="13"/>
  <c r="D1454" i="13"/>
  <c r="P1454" i="13"/>
  <c r="D1487" i="13"/>
  <c r="P1487" i="13"/>
  <c r="D1371" i="13"/>
  <c r="P1371" i="13"/>
  <c r="D1421" i="13"/>
  <c r="P1421" i="13"/>
  <c r="D1352" i="13"/>
  <c r="P1352" i="13"/>
  <c r="D1422" i="13"/>
  <c r="P1422" i="13"/>
  <c r="D1358" i="13"/>
  <c r="P1358" i="13"/>
  <c r="D1400" i="13"/>
  <c r="P1400" i="13"/>
  <c r="D1349" i="13"/>
  <c r="P1349" i="13"/>
  <c r="D1326" i="13"/>
  <c r="P1326" i="13"/>
  <c r="D1312" i="13"/>
  <c r="P1312" i="13"/>
  <c r="D1271" i="13"/>
  <c r="P1271" i="13"/>
  <c r="D1306" i="13"/>
  <c r="P1306" i="13"/>
  <c r="D1270" i="13"/>
  <c r="P1270" i="13"/>
  <c r="D1249" i="13"/>
  <c r="P1249" i="13"/>
  <c r="D1466" i="13"/>
  <c r="P1466" i="13"/>
  <c r="D1461" i="13"/>
  <c r="P1461" i="13"/>
  <c r="D1419" i="13"/>
  <c r="P1419" i="13"/>
  <c r="D1440" i="13"/>
  <c r="P1440" i="13"/>
  <c r="D1375" i="13"/>
  <c r="P1375" i="13"/>
  <c r="D1348" i="13"/>
  <c r="P1348" i="13"/>
  <c r="D1370" i="13"/>
  <c r="P1370" i="13"/>
  <c r="D1412" i="13"/>
  <c r="P1412" i="13"/>
  <c r="D1328" i="13"/>
  <c r="P1328" i="13"/>
  <c r="D1338" i="13"/>
  <c r="P1338" i="13"/>
  <c r="D1319" i="13"/>
  <c r="P1319" i="13"/>
  <c r="D1300" i="13"/>
  <c r="P1300" i="13"/>
  <c r="D1258" i="13"/>
  <c r="P1258" i="13"/>
  <c r="D1259" i="13"/>
  <c r="P1259" i="13"/>
  <c r="D1261" i="13"/>
  <c r="P1261" i="13"/>
  <c r="D1462" i="13"/>
  <c r="P1462" i="13"/>
  <c r="D1453" i="13"/>
  <c r="P1453" i="13"/>
  <c r="D1403" i="13"/>
  <c r="P1403" i="13"/>
  <c r="D1439" i="13"/>
  <c r="P1439" i="13"/>
  <c r="D1367" i="13"/>
  <c r="P1367" i="13"/>
  <c r="D1430" i="13"/>
  <c r="P1430" i="13"/>
  <c r="D1366" i="13"/>
  <c r="P1366" i="13"/>
  <c r="D1408" i="13"/>
  <c r="P1408" i="13"/>
  <c r="D1317" i="13"/>
  <c r="P1317" i="13"/>
  <c r="D1334" i="13"/>
  <c r="P1334" i="13"/>
  <c r="D1316" i="13"/>
  <c r="P1316" i="13"/>
  <c r="D1292" i="13"/>
  <c r="P1292" i="13"/>
  <c r="D1314" i="13"/>
  <c r="P1314" i="13"/>
  <c r="D1278" i="13"/>
  <c r="P1278" i="13"/>
  <c r="D1257" i="13"/>
  <c r="P1257" i="13"/>
  <c r="D1474" i="13"/>
  <c r="P1474" i="13"/>
  <c r="D1469" i="13"/>
  <c r="P1469" i="13"/>
  <c r="D1443" i="13"/>
  <c r="P1443" i="13"/>
  <c r="D1448" i="13"/>
  <c r="P1448" i="13"/>
  <c r="D1391" i="13"/>
  <c r="P1391" i="13"/>
  <c r="D1377" i="13"/>
  <c r="P1377" i="13"/>
  <c r="D1378" i="13"/>
  <c r="P1378" i="13"/>
  <c r="D1420" i="13"/>
  <c r="P1420" i="13"/>
  <c r="D1356" i="13"/>
  <c r="P1356" i="13"/>
  <c r="D1346" i="13"/>
  <c r="P1346" i="13"/>
  <c r="D1327" i="13"/>
  <c r="P1327" i="13"/>
  <c r="D1318" i="13"/>
  <c r="P1318" i="13"/>
  <c r="D1280" i="13"/>
  <c r="P1280" i="13"/>
  <c r="D1269" i="13"/>
  <c r="P1269" i="13"/>
  <c r="D1248" i="13"/>
  <c r="P1248" i="13"/>
  <c r="D1206" i="13"/>
  <c r="P1206" i="13"/>
  <c r="D1229" i="13"/>
  <c r="P1229" i="13"/>
  <c r="D1194" i="13"/>
  <c r="P1194" i="13"/>
  <c r="D1227" i="13"/>
  <c r="P1227" i="13"/>
  <c r="D1151" i="13"/>
  <c r="P1151" i="13"/>
  <c r="D1188" i="13"/>
  <c r="P1188" i="13"/>
  <c r="D1213" i="13"/>
  <c r="P1213" i="13"/>
  <c r="D1149" i="13"/>
  <c r="P1149" i="13"/>
  <c r="D1074" i="13"/>
  <c r="P1074" i="13"/>
  <c r="D1136" i="13"/>
  <c r="P1136" i="13"/>
  <c r="D1090" i="13"/>
  <c r="P1090" i="13"/>
  <c r="D1073" i="13"/>
  <c r="P1073" i="13"/>
  <c r="D1054" i="13"/>
  <c r="P1054" i="13"/>
  <c r="D1040" i="13"/>
  <c r="P1040" i="13"/>
  <c r="D1000" i="13"/>
  <c r="P1000" i="13"/>
  <c r="D1009" i="13"/>
  <c r="P1009" i="13"/>
  <c r="D1233" i="13"/>
  <c r="P1233" i="13"/>
  <c r="D1186" i="13"/>
  <c r="P1186" i="13"/>
  <c r="D1223" i="13"/>
  <c r="P1223" i="13"/>
  <c r="D1147" i="13"/>
  <c r="P1147" i="13"/>
  <c r="D1184" i="13"/>
  <c r="P1184" i="13"/>
  <c r="D1209" i="13"/>
  <c r="P1209" i="13"/>
  <c r="D1145" i="13"/>
  <c r="P1145" i="13"/>
  <c r="D1067" i="13"/>
  <c r="P1067" i="13"/>
  <c r="D1132" i="13"/>
  <c r="P1132" i="13"/>
  <c r="D1086" i="13"/>
  <c r="P1086" i="13"/>
  <c r="D1069" i="13"/>
  <c r="P1069" i="13"/>
  <c r="D1050" i="13"/>
  <c r="P1050" i="13"/>
  <c r="D1036" i="13"/>
  <c r="P1036" i="13"/>
  <c r="D1031" i="13"/>
  <c r="P1031" i="13"/>
  <c r="D1005" i="13"/>
  <c r="P1005" i="13"/>
  <c r="D1221" i="13"/>
  <c r="P1221" i="13"/>
  <c r="D1178" i="13"/>
  <c r="P1178" i="13"/>
  <c r="D1219" i="13"/>
  <c r="P1219" i="13"/>
  <c r="D1143" i="13"/>
  <c r="P1143" i="13"/>
  <c r="D1180" i="13"/>
  <c r="P1180" i="13"/>
  <c r="D1205" i="13"/>
  <c r="P1205" i="13"/>
  <c r="D1137" i="13"/>
  <c r="P1137" i="13"/>
  <c r="D1139" i="13"/>
  <c r="P1139" i="13"/>
  <c r="D1128" i="13"/>
  <c r="P1128" i="13"/>
  <c r="D1082" i="13"/>
  <c r="P1082" i="13"/>
  <c r="D1061" i="13"/>
  <c r="P1061" i="13"/>
  <c r="D1046" i="13"/>
  <c r="P1046" i="13"/>
  <c r="D1032" i="13"/>
  <c r="P1032" i="13"/>
  <c r="D1027" i="13"/>
  <c r="P1027" i="13"/>
  <c r="D1001" i="13"/>
  <c r="P1001" i="13"/>
  <c r="D1166" i="13"/>
  <c r="P1166" i="13"/>
  <c r="D1202" i="13"/>
  <c r="P1202" i="13"/>
  <c r="D1231" i="13"/>
  <c r="P1231" i="13"/>
  <c r="D1155" i="13"/>
  <c r="P1155" i="13"/>
  <c r="D1192" i="13"/>
  <c r="P1192" i="13"/>
  <c r="D1100" i="13"/>
  <c r="P1100" i="13"/>
  <c r="D1153" i="13"/>
  <c r="P1153" i="13"/>
  <c r="D1077" i="13"/>
  <c r="P1077" i="13"/>
  <c r="D1140" i="13"/>
  <c r="P1140" i="13"/>
  <c r="D1094" i="13"/>
  <c r="P1094" i="13"/>
  <c r="D1043" i="13"/>
  <c r="P1043" i="13"/>
  <c r="D1058" i="13"/>
  <c r="P1058" i="13"/>
  <c r="D1044" i="13"/>
  <c r="P1044" i="13"/>
  <c r="D1008" i="13"/>
  <c r="P1008" i="13"/>
  <c r="D1013" i="13"/>
  <c r="P1013" i="13"/>
  <c r="D258" i="13"/>
  <c r="P258" i="13"/>
  <c r="D290" i="13"/>
  <c r="P290" i="13"/>
  <c r="D279" i="13"/>
  <c r="P279" i="13"/>
  <c r="D385" i="13"/>
  <c r="P385" i="13"/>
  <c r="D291" i="13"/>
  <c r="P291" i="13"/>
  <c r="D306" i="13"/>
  <c r="P306" i="13"/>
  <c r="D370" i="13"/>
  <c r="P370" i="13"/>
  <c r="D337" i="13"/>
  <c r="P337" i="13"/>
  <c r="D471" i="13"/>
  <c r="P471" i="13"/>
  <c r="D391" i="13"/>
  <c r="P391" i="13"/>
  <c r="D444" i="13"/>
  <c r="P444" i="13"/>
  <c r="D414" i="13"/>
  <c r="P414" i="13"/>
  <c r="D459" i="13"/>
  <c r="P459" i="13"/>
  <c r="D475" i="13"/>
  <c r="P475" i="13"/>
  <c r="D488" i="13"/>
  <c r="P488" i="13"/>
  <c r="D262" i="13"/>
  <c r="P262" i="13"/>
  <c r="D298" i="13"/>
  <c r="P298" i="13"/>
  <c r="D283" i="13"/>
  <c r="P283" i="13"/>
  <c r="D401" i="13"/>
  <c r="P401" i="13"/>
  <c r="D295" i="13"/>
  <c r="P295" i="13"/>
  <c r="D310" i="13"/>
  <c r="P310" i="13"/>
  <c r="D374" i="13"/>
  <c r="P374" i="13"/>
  <c r="D341" i="13"/>
  <c r="P341" i="13"/>
  <c r="D376" i="13"/>
  <c r="P376" i="13"/>
  <c r="D395" i="13"/>
  <c r="P395" i="13"/>
  <c r="D453" i="13"/>
  <c r="P453" i="13"/>
  <c r="D418" i="13"/>
  <c r="P418" i="13"/>
  <c r="D467" i="13"/>
  <c r="P467" i="13"/>
  <c r="D483" i="13"/>
  <c r="P483" i="13"/>
  <c r="D492" i="13"/>
  <c r="P492" i="13"/>
  <c r="D352" i="13"/>
  <c r="P352" i="13"/>
  <c r="D284" i="13"/>
  <c r="P284" i="13"/>
  <c r="D271" i="13"/>
  <c r="P271" i="13"/>
  <c r="D359" i="13"/>
  <c r="P359" i="13"/>
  <c r="D378" i="13"/>
  <c r="P378" i="13"/>
  <c r="D393" i="13"/>
  <c r="P393" i="13"/>
  <c r="D362" i="13"/>
  <c r="P362" i="13"/>
  <c r="D329" i="13"/>
  <c r="P329" i="13"/>
  <c r="D417" i="13"/>
  <c r="P417" i="13"/>
  <c r="D383" i="13"/>
  <c r="P383" i="13"/>
  <c r="D436" i="13"/>
  <c r="P436" i="13"/>
  <c r="D449" i="13"/>
  <c r="P449" i="13"/>
  <c r="D451" i="13"/>
  <c r="P451" i="13"/>
  <c r="D469" i="13"/>
  <c r="P469" i="13"/>
  <c r="D480" i="13"/>
  <c r="P480" i="13"/>
  <c r="D277" i="13"/>
  <c r="P277" i="13"/>
  <c r="D256" i="13"/>
  <c r="P256" i="13"/>
  <c r="D286" i="13"/>
  <c r="P286" i="13"/>
  <c r="D402" i="13"/>
  <c r="P402" i="13"/>
  <c r="D324" i="13"/>
  <c r="P324" i="13"/>
  <c r="D331" i="13"/>
  <c r="P331" i="13"/>
  <c r="D334" i="13"/>
  <c r="P334" i="13"/>
  <c r="D437" i="13"/>
  <c r="P437" i="13"/>
  <c r="D365" i="13"/>
  <c r="P365" i="13"/>
  <c r="D400" i="13"/>
  <c r="P400" i="13"/>
  <c r="D408" i="13"/>
  <c r="P408" i="13"/>
  <c r="D423" i="13"/>
  <c r="P423" i="13"/>
  <c r="D442" i="13"/>
  <c r="P442" i="13"/>
  <c r="D466" i="13"/>
  <c r="P466" i="13"/>
  <c r="D482" i="13"/>
  <c r="P482" i="13"/>
  <c r="D1992" i="13"/>
  <c r="P1992" i="13"/>
  <c r="D2070" i="13"/>
  <c r="P2070" i="13"/>
  <c r="D2053" i="13"/>
  <c r="P2053" i="13"/>
  <c r="D2161" i="13"/>
  <c r="P2161" i="13"/>
  <c r="D2019" i="13"/>
  <c r="P2019" i="13"/>
  <c r="D2031" i="13"/>
  <c r="P2031" i="13"/>
  <c r="D2126" i="13"/>
  <c r="P2126" i="13"/>
  <c r="D2213" i="13"/>
  <c r="P2213" i="13"/>
  <c r="D1999" i="13"/>
  <c r="P1999" i="13"/>
  <c r="D2085" i="13"/>
  <c r="P2085" i="13"/>
  <c r="D2208" i="13"/>
  <c r="P2208" i="13"/>
  <c r="D2134" i="13"/>
  <c r="P2134" i="13"/>
  <c r="D2013" i="13"/>
  <c r="P2013" i="13"/>
  <c r="D2109" i="13"/>
  <c r="P2109" i="13"/>
  <c r="D2096" i="13"/>
  <c r="P2096" i="13"/>
  <c r="D2190" i="13"/>
  <c r="P2190" i="13"/>
  <c r="D2067" i="13"/>
  <c r="P2067" i="13"/>
  <c r="D2120" i="13"/>
  <c r="P2120" i="13"/>
  <c r="D2183" i="13"/>
  <c r="P2183" i="13"/>
  <c r="D2000" i="13"/>
  <c r="P2000" i="13"/>
  <c r="D2078" i="13"/>
  <c r="P2078" i="13"/>
  <c r="D2108" i="13"/>
  <c r="P2108" i="13"/>
  <c r="D2169" i="13"/>
  <c r="P2169" i="13"/>
  <c r="P2020" i="13"/>
  <c r="D2020" i="13"/>
  <c r="D2110" i="13"/>
  <c r="P2110" i="13"/>
  <c r="D2184" i="13"/>
  <c r="P2184" i="13"/>
  <c r="D2147" i="13"/>
  <c r="P2147" i="13"/>
  <c r="D2026" i="13"/>
  <c r="P2026" i="13"/>
  <c r="D2113" i="13"/>
  <c r="P2113" i="13"/>
  <c r="D2122" i="13"/>
  <c r="P2122" i="13"/>
  <c r="D2206" i="13"/>
  <c r="P2206" i="13"/>
  <c r="D2017" i="13"/>
  <c r="P2017" i="13"/>
  <c r="D2140" i="13"/>
  <c r="P2140" i="13"/>
  <c r="D2203" i="13"/>
  <c r="P2203" i="13"/>
  <c r="D2015" i="13"/>
  <c r="P2015" i="13"/>
  <c r="D2080" i="13"/>
  <c r="P2080" i="13"/>
  <c r="D2112" i="13"/>
  <c r="P2112" i="13"/>
  <c r="D2209" i="13"/>
  <c r="P2209" i="13"/>
  <c r="D2024" i="13"/>
  <c r="P2024" i="13"/>
  <c r="D2114" i="13"/>
  <c r="P2114" i="13"/>
  <c r="P2188" i="13"/>
  <c r="D2188" i="13"/>
  <c r="D2166" i="13"/>
  <c r="P2166" i="13"/>
  <c r="D2046" i="13"/>
  <c r="P2046" i="13"/>
  <c r="D2099" i="13"/>
  <c r="P2099" i="13"/>
  <c r="D2155" i="13"/>
  <c r="P2155" i="13"/>
  <c r="D2178" i="13"/>
  <c r="P2178" i="13"/>
  <c r="P2004" i="13"/>
  <c r="D2004" i="13"/>
  <c r="D2016" i="13"/>
  <c r="P2016" i="13"/>
  <c r="D2057" i="13"/>
  <c r="P2057" i="13"/>
  <c r="D2009" i="13"/>
  <c r="P2009" i="13"/>
  <c r="D2018" i="13"/>
  <c r="P2018" i="13"/>
  <c r="D2034" i="13"/>
  <c r="P2034" i="13"/>
  <c r="D2196" i="13"/>
  <c r="P2196" i="13"/>
  <c r="D2061" i="13"/>
  <c r="P2061" i="13"/>
  <c r="D2105" i="13"/>
  <c r="P2105" i="13"/>
  <c r="D2084" i="13"/>
  <c r="P2084" i="13"/>
  <c r="D2194" i="13"/>
  <c r="P2194" i="13"/>
  <c r="D2089" i="13"/>
  <c r="P2089" i="13"/>
  <c r="D2128" i="13"/>
  <c r="P2128" i="13"/>
  <c r="D2133" i="13"/>
  <c r="P2133" i="13"/>
  <c r="D2048" i="13"/>
  <c r="P2048" i="13"/>
  <c r="D194" i="13"/>
  <c r="P194" i="13"/>
  <c r="D18" i="13"/>
  <c r="P18" i="13"/>
  <c r="D198" i="13"/>
  <c r="P198" i="13"/>
  <c r="D134" i="13"/>
  <c r="P134" i="13"/>
  <c r="D70" i="13"/>
  <c r="P70" i="13"/>
  <c r="D210" i="13"/>
  <c r="P210" i="13"/>
  <c r="D6" i="13"/>
  <c r="P6" i="13"/>
  <c r="D190" i="13"/>
  <c r="P190" i="13"/>
  <c r="D126" i="13"/>
  <c r="P126" i="13"/>
  <c r="D62" i="13"/>
  <c r="P62" i="13"/>
  <c r="D226" i="13"/>
  <c r="P226" i="13"/>
  <c r="D34" i="13"/>
  <c r="P34" i="13"/>
  <c r="D186" i="13"/>
  <c r="P186" i="13"/>
  <c r="D122" i="13"/>
  <c r="P122" i="13"/>
  <c r="D58" i="13"/>
  <c r="P58" i="13"/>
  <c r="D241" i="13"/>
  <c r="P241" i="13"/>
  <c r="D225" i="13"/>
  <c r="P225" i="13"/>
  <c r="D209" i="13"/>
  <c r="P209" i="13"/>
  <c r="D193" i="13"/>
  <c r="P193" i="13"/>
  <c r="D177" i="13"/>
  <c r="P177" i="13"/>
  <c r="D161" i="13"/>
  <c r="P161" i="13"/>
  <c r="D145" i="13"/>
  <c r="P145" i="13"/>
  <c r="D129" i="13"/>
  <c r="P129" i="13"/>
  <c r="D113" i="13"/>
  <c r="P113" i="13"/>
  <c r="D97" i="13"/>
  <c r="P97" i="13"/>
  <c r="D81" i="13"/>
  <c r="P81" i="13"/>
  <c r="D65" i="13"/>
  <c r="P65" i="13"/>
  <c r="D49" i="13"/>
  <c r="P49" i="13"/>
  <c r="D33" i="13"/>
  <c r="P33" i="13"/>
  <c r="D17" i="13"/>
  <c r="P17" i="13"/>
  <c r="D236" i="13"/>
  <c r="P236" i="13"/>
  <c r="D220" i="13"/>
  <c r="P220" i="13"/>
  <c r="D204" i="13"/>
  <c r="P204" i="13"/>
  <c r="D188" i="13"/>
  <c r="P188" i="13"/>
  <c r="D172" i="13"/>
  <c r="P172" i="13"/>
  <c r="D156" i="13"/>
  <c r="P156" i="13"/>
  <c r="D140" i="13"/>
  <c r="P140" i="13"/>
  <c r="D124" i="13"/>
  <c r="P124" i="13"/>
  <c r="D108" i="13"/>
  <c r="P108" i="13"/>
  <c r="D92" i="13"/>
  <c r="P92" i="13"/>
  <c r="D76" i="13"/>
  <c r="P76" i="13"/>
  <c r="D60" i="13"/>
  <c r="P60" i="13"/>
  <c r="D44" i="13"/>
  <c r="P44" i="13"/>
  <c r="D28" i="13"/>
  <c r="P28" i="13"/>
  <c r="D12" i="13"/>
  <c r="P12" i="13"/>
  <c r="D231" i="13"/>
  <c r="P231" i="13"/>
  <c r="D215" i="13"/>
  <c r="P215" i="13"/>
  <c r="D199" i="13"/>
  <c r="P199" i="13"/>
  <c r="D183" i="13"/>
  <c r="P183" i="13"/>
  <c r="D167" i="13"/>
  <c r="P167" i="13"/>
  <c r="D151" i="13"/>
  <c r="P151" i="13"/>
  <c r="D135" i="13"/>
  <c r="P135" i="13"/>
  <c r="D119" i="13"/>
  <c r="P119" i="13"/>
  <c r="D103" i="13"/>
  <c r="P103" i="13"/>
  <c r="D87" i="13"/>
  <c r="P87" i="13"/>
  <c r="D71" i="13"/>
  <c r="P71" i="13"/>
  <c r="D55" i="13"/>
  <c r="P55" i="13"/>
  <c r="D39" i="13"/>
  <c r="P39" i="13"/>
  <c r="D23" i="13"/>
  <c r="P23" i="13"/>
  <c r="D9" i="13"/>
  <c r="P9" i="13"/>
  <c r="D7" i="13"/>
  <c r="P7" i="13"/>
  <c r="AL7" i="13"/>
  <c r="AK7" i="13"/>
  <c r="AN7" i="13"/>
  <c r="AJ7" i="13"/>
  <c r="AM7" i="13"/>
  <c r="AQ16" i="13"/>
  <c r="AQ13" i="13"/>
  <c r="AQ10" i="13"/>
  <c r="AQ9" i="13"/>
  <c r="AQ14" i="13"/>
  <c r="AQ17" i="13"/>
  <c r="AQ12" i="13"/>
  <c r="AQ11" i="13"/>
  <c r="AQ8" i="13"/>
  <c r="AQ7" i="13"/>
  <c r="AQ15" i="13"/>
  <c r="F121" i="4"/>
  <c r="C122" i="5"/>
  <c r="E121" i="4"/>
  <c r="C122" i="4"/>
  <c r="Y88" i="12"/>
  <c r="AO30" i="12"/>
  <c r="AO32" i="12"/>
  <c r="AO31" i="12"/>
  <c r="AO29" i="12"/>
  <c r="AO36" i="12"/>
  <c r="AO41" i="12"/>
  <c r="AO24" i="12"/>
  <c r="AO43" i="12"/>
  <c r="B76" i="14"/>
  <c r="R100" i="3"/>
  <c r="AR19" i="12"/>
  <c r="AO37" i="12"/>
  <c r="AO23" i="12"/>
  <c r="AO34" i="12"/>
  <c r="AO35" i="12"/>
  <c r="AO33" i="12"/>
  <c r="AO26" i="12"/>
  <c r="AO25" i="12"/>
  <c r="AO39" i="12"/>
  <c r="AO40" i="12"/>
  <c r="AO42" i="12"/>
  <c r="AO28" i="12"/>
  <c r="AO38" i="12"/>
  <c r="G67" i="9"/>
  <c r="C225" i="10" s="1"/>
  <c r="D225" i="10" s="1"/>
  <c r="G60" i="14"/>
  <c r="G61" i="14" s="1"/>
  <c r="C76" i="14" s="1"/>
  <c r="E122" i="5"/>
  <c r="G122" i="5"/>
  <c r="D40" i="11"/>
  <c r="G119" i="14"/>
  <c r="N156" i="11" s="1"/>
  <c r="D112" i="8"/>
  <c r="D115" i="8"/>
  <c r="D114" i="8" s="1"/>
  <c r="D110" i="4" l="1"/>
  <c r="F128" i="5"/>
  <c r="G128" i="5" s="1"/>
  <c r="G126" i="5"/>
  <c r="G71" i="14"/>
  <c r="G72" i="14" s="1"/>
  <c r="G121" i="4"/>
  <c r="G122" i="4" s="1"/>
  <c r="E122" i="4"/>
  <c r="Y89" i="12"/>
  <c r="Y101" i="12"/>
  <c r="AR40" i="12"/>
  <c r="AR29" i="12"/>
  <c r="AR26" i="12"/>
  <c r="AR27" i="12"/>
  <c r="AR43" i="12"/>
  <c r="AR24" i="12"/>
  <c r="AR39" i="12"/>
  <c r="AR36" i="12"/>
  <c r="AR33" i="12"/>
  <c r="AR34" i="12"/>
  <c r="AR31" i="12"/>
  <c r="AR41" i="12"/>
  <c r="AR28" i="12"/>
  <c r="AR23" i="12"/>
  <c r="AR37" i="12"/>
  <c r="AR42" i="12"/>
  <c r="AR35" i="12"/>
  <c r="AR30" i="12"/>
  <c r="AR32" i="12"/>
  <c r="AR25" i="12"/>
  <c r="AR38" i="12"/>
  <c r="N38" i="6"/>
  <c r="D80" i="6" s="1"/>
  <c r="N38" i="7"/>
  <c r="D83" i="7" s="1"/>
  <c r="D113" i="8"/>
  <c r="D117" i="8"/>
  <c r="D76" i="14" l="1"/>
  <c r="N40" i="7" s="1"/>
  <c r="G110" i="4"/>
  <c r="G111" i="4" s="1"/>
  <c r="G125" i="4"/>
  <c r="Y90" i="12"/>
  <c r="Y99" i="12" s="1"/>
  <c r="Y100" i="12" s="1"/>
  <c r="I7" i="12"/>
  <c r="M32" i="12" s="1"/>
  <c r="D118" i="8"/>
  <c r="D119" i="8" s="1"/>
  <c r="D121" i="8"/>
  <c r="D120" i="8" s="1"/>
  <c r="N40" i="6" l="1"/>
  <c r="K110" i="11" s="1"/>
  <c r="C110" i="11" s="1"/>
  <c r="K108" i="11"/>
  <c r="C108" i="11" s="1"/>
  <c r="D65" i="7"/>
  <c r="D66" i="7" s="1"/>
  <c r="I40" i="7" s="1"/>
  <c r="D45" i="7" s="1"/>
  <c r="G125" i="14"/>
  <c r="L141" i="11" s="1"/>
  <c r="F127" i="4"/>
  <c r="G127" i="4" s="1"/>
  <c r="Y104" i="12"/>
  <c r="Y105" i="12"/>
  <c r="V32" i="12"/>
  <c r="F154" i="9" s="1"/>
  <c r="D63" i="6" l="1"/>
  <c r="D64" i="6" s="1"/>
  <c r="I40" i="6" s="1"/>
  <c r="D58" i="6" s="1"/>
  <c r="D58" i="7"/>
  <c r="D110" i="7"/>
  <c r="D86" i="7"/>
  <c r="D60" i="7"/>
  <c r="N66" i="7"/>
  <c r="K83" i="7" s="1"/>
  <c r="J61" i="7"/>
  <c r="J60" i="7" s="1"/>
  <c r="J59" i="7" s="1"/>
  <c r="G60" i="7"/>
  <c r="G59" i="7" s="1"/>
  <c r="D59" i="7"/>
  <c r="G126" i="14"/>
  <c r="B123" i="14" s="1"/>
  <c r="D89" i="6"/>
  <c r="H89" i="6" s="1"/>
  <c r="D45" i="6"/>
  <c r="F100" i="11" s="1"/>
  <c r="I100" i="11" s="1"/>
  <c r="D83" i="6"/>
  <c r="L142" i="11"/>
  <c r="B146" i="11" s="1"/>
  <c r="G121" i="14"/>
  <c r="N158" i="11" s="1"/>
  <c r="E107" i="9"/>
  <c r="E110" i="9"/>
  <c r="E111" i="9"/>
  <c r="E112" i="9"/>
  <c r="E105" i="9"/>
  <c r="E109" i="9"/>
  <c r="E104" i="9"/>
  <c r="G104" i="9" s="1"/>
  <c r="E106" i="9"/>
  <c r="E108" i="9"/>
  <c r="Y106" i="12"/>
  <c r="J58" i="7"/>
  <c r="G58" i="6" l="1"/>
  <c r="J59" i="6"/>
  <c r="J60" i="6" s="1"/>
  <c r="G120" i="14"/>
  <c r="N157" i="11" s="1"/>
  <c r="J58" i="6"/>
  <c r="H88" i="6"/>
  <c r="G144" i="11"/>
  <c r="F84" i="8" s="1"/>
  <c r="G131" i="11"/>
  <c r="G150" i="11" s="1"/>
  <c r="H83" i="8" s="1"/>
  <c r="B133" i="11"/>
  <c r="C159" i="11" s="1"/>
  <c r="AF158" i="11"/>
  <c r="G111" i="9"/>
  <c r="AF151" i="11"/>
  <c r="G106" i="9"/>
  <c r="AF156" i="11"/>
  <c r="G112" i="9"/>
  <c r="AF150" i="11"/>
  <c r="G109" i="9"/>
  <c r="AF153" i="11"/>
  <c r="G110" i="9"/>
  <c r="AF152" i="11"/>
  <c r="G108" i="9"/>
  <c r="AF154" i="11"/>
  <c r="G105" i="9"/>
  <c r="AF157" i="11"/>
  <c r="G107" i="9"/>
  <c r="AF155" i="11"/>
  <c r="D41" i="7"/>
  <c r="D40" i="7"/>
  <c r="F86" i="8"/>
  <c r="D69" i="6" l="1"/>
  <c r="H69" i="6" s="1"/>
  <c r="D81" i="6" s="1"/>
  <c r="D84" i="6" s="1"/>
  <c r="AC150" i="11"/>
  <c r="X151" i="11"/>
  <c r="I107" i="8" s="1"/>
  <c r="J107" i="8" s="1"/>
  <c r="X150" i="11"/>
  <c r="I108" i="8" s="1"/>
  <c r="J108" i="8" s="1"/>
  <c r="X153" i="11"/>
  <c r="I105" i="8" s="1"/>
  <c r="J105" i="8" s="1"/>
  <c r="X157" i="11"/>
  <c r="I101" i="8" s="1"/>
  <c r="J101" i="8" s="1"/>
  <c r="D42" i="7"/>
  <c r="D103" i="7" s="1"/>
  <c r="D108" i="7" s="1"/>
  <c r="I110" i="7" s="1"/>
  <c r="S58" i="7" s="1"/>
  <c r="S60" i="7" s="1"/>
  <c r="S59" i="7" s="1"/>
  <c r="D166" i="14"/>
  <c r="D142" i="11"/>
  <c r="F85" i="8" s="1"/>
  <c r="F98" i="8"/>
  <c r="C84" i="8" s="1"/>
  <c r="D129" i="11"/>
  <c r="I138" i="11"/>
  <c r="H95" i="8" s="1"/>
  <c r="I139" i="11"/>
  <c r="I135" i="11" s="1"/>
  <c r="I145" i="11"/>
  <c r="D169" i="14"/>
  <c r="I146" i="11"/>
  <c r="I144" i="11" s="1"/>
  <c r="I142" i="11"/>
  <c r="O468" i="12"/>
  <c r="D83" i="8"/>
  <c r="D87" i="8"/>
  <c r="AB151" i="11"/>
  <c r="I120" i="8" s="1"/>
  <c r="J120" i="8" s="1"/>
  <c r="AB150" i="11"/>
  <c r="I121" i="8" s="1"/>
  <c r="J121" i="8" s="1"/>
  <c r="AB152" i="11"/>
  <c r="I119" i="8" s="1"/>
  <c r="J119" i="8" s="1"/>
  <c r="X152" i="11"/>
  <c r="I106" i="8" s="1"/>
  <c r="J106" i="8" s="1"/>
  <c r="AB153" i="11"/>
  <c r="I118" i="8" s="1"/>
  <c r="J118" i="8" s="1"/>
  <c r="AB155" i="11"/>
  <c r="I116" i="8" s="1"/>
  <c r="J116" i="8" s="1"/>
  <c r="AB154" i="11"/>
  <c r="I117" i="8" s="1"/>
  <c r="J117" i="8" s="1"/>
  <c r="X155" i="11"/>
  <c r="I103" i="8" s="1"/>
  <c r="J103" i="8" s="1"/>
  <c r="X154" i="11"/>
  <c r="I104" i="8" s="1"/>
  <c r="J104" i="8" s="1"/>
  <c r="X156" i="11"/>
  <c r="I102" i="8" s="1"/>
  <c r="J102" i="8" s="1"/>
  <c r="AB158" i="11"/>
  <c r="AB157" i="11"/>
  <c r="X158" i="11"/>
  <c r="I100" i="8" s="1"/>
  <c r="J100" i="8" s="1"/>
  <c r="AB156" i="11"/>
  <c r="I115" i="8" s="1"/>
  <c r="J115" i="8" s="1"/>
  <c r="D92" i="7"/>
  <c r="H91" i="7" s="1"/>
  <c r="H86" i="8"/>
  <c r="H80" i="6" l="1"/>
  <c r="H81" i="6"/>
  <c r="F157" i="11"/>
  <c r="G260" i="10" s="1"/>
  <c r="G255" i="10" s="1"/>
  <c r="E152" i="11"/>
  <c r="D71" i="7"/>
  <c r="H71" i="7" s="1"/>
  <c r="D84" i="7" s="1"/>
  <c r="D87" i="7" s="1"/>
  <c r="I113" i="8"/>
  <c r="J113" i="8" s="1"/>
  <c r="I84" i="8" s="1"/>
  <c r="J84" i="8" s="1"/>
  <c r="J95" i="8" s="1"/>
  <c r="I114" i="8"/>
  <c r="J114" i="8" s="1"/>
  <c r="I85" i="8" s="1"/>
  <c r="J85" i="8" s="1"/>
  <c r="G122" i="14"/>
  <c r="I143" i="11"/>
  <c r="D84" i="8"/>
  <c r="I140" i="11"/>
  <c r="G124" i="14" s="1"/>
  <c r="I136" i="11"/>
  <c r="F97" i="8"/>
  <c r="C86" i="8" s="1"/>
  <c r="D86" i="8" s="1"/>
  <c r="I87" i="8"/>
  <c r="J87" i="8" s="1"/>
  <c r="I92" i="8"/>
  <c r="J92" i="8" s="1"/>
  <c r="I86" i="8"/>
  <c r="J86" i="8" s="1"/>
  <c r="I91" i="8"/>
  <c r="J91" i="8" s="1"/>
  <c r="I88" i="8"/>
  <c r="J88" i="8" s="1"/>
  <c r="I90" i="8"/>
  <c r="J90" i="8" s="1"/>
  <c r="I89" i="8"/>
  <c r="J89" i="8" s="1"/>
  <c r="H92" i="7"/>
  <c r="D168" i="14" l="1"/>
  <c r="C260" i="10"/>
  <c r="C255" i="10" s="1"/>
  <c r="K255" i="10" s="1"/>
  <c r="C293" i="10" s="1"/>
  <c r="D293" i="10" s="1"/>
  <c r="H85" i="8"/>
  <c r="G256" i="10"/>
  <c r="G258" i="10" s="1"/>
  <c r="H84" i="7"/>
  <c r="H83" i="7"/>
  <c r="D165" i="14"/>
  <c r="C275" i="10"/>
  <c r="G275" i="10"/>
  <c r="H84" i="8"/>
  <c r="D85" i="8"/>
  <c r="J93" i="8"/>
  <c r="J94" i="8" s="1"/>
  <c r="C256" i="10" l="1"/>
  <c r="K256" i="10" s="1"/>
  <c r="G271" i="10"/>
  <c r="G273" i="10" s="1"/>
  <c r="G270" i="10"/>
  <c r="C270" i="10"/>
  <c r="C271" i="10"/>
  <c r="N35" i="12"/>
  <c r="C258" i="10" l="1"/>
  <c r="K258" i="10" s="1"/>
  <c r="K270" i="10"/>
  <c r="C323" i="10" s="1"/>
  <c r="D323" i="10" s="1"/>
  <c r="C311" i="10"/>
  <c r="C312" i="10"/>
  <c r="K271" i="10"/>
  <c r="C341" i="10" s="1"/>
  <c r="C273" i="10"/>
  <c r="K273" i="10" s="1"/>
  <c r="O449" i="12"/>
  <c r="N33" i="12"/>
  <c r="N34" i="12"/>
  <c r="N46" i="12"/>
  <c r="N44" i="12"/>
  <c r="N105" i="12"/>
  <c r="N78" i="12"/>
  <c r="O168" i="12"/>
  <c r="O71" i="12"/>
  <c r="N161" i="12"/>
  <c r="O81" i="12"/>
  <c r="N149" i="12"/>
  <c r="O93" i="12"/>
  <c r="N110" i="12"/>
  <c r="O157" i="12"/>
  <c r="N174" i="12"/>
  <c r="N123" i="12"/>
  <c r="O138" i="12"/>
  <c r="O222" i="12"/>
  <c r="N132" i="12"/>
  <c r="O147" i="12"/>
  <c r="O197" i="12"/>
  <c r="N214" i="12"/>
  <c r="N211" i="12"/>
  <c r="N208" i="12"/>
  <c r="O234" i="12"/>
  <c r="N224" i="12"/>
  <c r="N221" i="12"/>
  <c r="O236" i="12"/>
  <c r="N280" i="12"/>
  <c r="O229" i="12"/>
  <c r="O287" i="12"/>
  <c r="O277" i="12"/>
  <c r="N296" i="12"/>
  <c r="N293" i="12"/>
  <c r="O290" i="12"/>
  <c r="N325" i="12"/>
  <c r="O66" i="12"/>
  <c r="N141" i="12"/>
  <c r="O216" i="12"/>
  <c r="O112" i="12"/>
  <c r="N73" i="12"/>
  <c r="O100" i="12"/>
  <c r="N130" i="12"/>
  <c r="O145" i="12"/>
  <c r="N189" i="12"/>
  <c r="N95" i="12"/>
  <c r="O110" i="12"/>
  <c r="N159" i="12"/>
  <c r="O174" i="12"/>
  <c r="N104" i="12"/>
  <c r="O119" i="12"/>
  <c r="N168" i="12"/>
  <c r="O196" i="12"/>
  <c r="N186" i="12"/>
  <c r="N227" i="12"/>
  <c r="N183" i="12"/>
  <c r="O198" i="12"/>
  <c r="N180" i="12"/>
  <c r="O195" i="12"/>
  <c r="O243" i="12"/>
  <c r="N260" i="12"/>
  <c r="N257" i="12"/>
  <c r="N250" i="12"/>
  <c r="O267" i="12"/>
  <c r="N273" i="12"/>
  <c r="N282" i="12"/>
  <c r="O270" i="12"/>
  <c r="O314" i="12"/>
  <c r="N313" i="12"/>
  <c r="O92" i="12"/>
  <c r="N121" i="12"/>
  <c r="N64" i="12"/>
  <c r="O79" i="12"/>
  <c r="N66" i="12"/>
  <c r="O136" i="12"/>
  <c r="N185" i="12"/>
  <c r="N102" i="12"/>
  <c r="O104" i="12"/>
  <c r="N79" i="12"/>
  <c r="N178" i="12"/>
  <c r="O77" i="12"/>
  <c r="N97" i="12"/>
  <c r="O160" i="12"/>
  <c r="N85" i="12"/>
  <c r="O148" i="12"/>
  <c r="N94" i="12"/>
  <c r="O141" i="12"/>
  <c r="N158" i="12"/>
  <c r="N107" i="12"/>
  <c r="O122" i="12"/>
  <c r="N171" i="12"/>
  <c r="N116" i="12"/>
  <c r="O131" i="12"/>
  <c r="N181" i="12"/>
  <c r="O181" i="12"/>
  <c r="N198" i="12"/>
  <c r="N195" i="12"/>
  <c r="O210" i="12"/>
  <c r="N192" i="12"/>
  <c r="O207" i="12"/>
  <c r="O255" i="12"/>
  <c r="O220" i="12"/>
  <c r="O279" i="12"/>
  <c r="O261" i="12"/>
  <c r="O268" i="12"/>
  <c r="N267" i="12"/>
  <c r="O295" i="12"/>
  <c r="O292" i="12"/>
  <c r="N298" i="12"/>
  <c r="N309" i="12"/>
  <c r="O324" i="12"/>
  <c r="N63" i="12"/>
  <c r="N83" i="12"/>
  <c r="O140" i="12"/>
  <c r="N201" i="12"/>
  <c r="N76" i="12"/>
  <c r="N89" i="12"/>
  <c r="O72" i="12"/>
  <c r="N114" i="12"/>
  <c r="O129" i="12"/>
  <c r="O188" i="12"/>
  <c r="O94" i="12"/>
  <c r="N143" i="12"/>
  <c r="O158" i="12"/>
  <c r="N88" i="12"/>
  <c r="O103" i="12"/>
  <c r="N152" i="12"/>
  <c r="O167" i="12"/>
  <c r="O226" i="12"/>
  <c r="O182" i="12"/>
  <c r="O179" i="12"/>
  <c r="N251" i="12"/>
  <c r="O227" i="12"/>
  <c r="N244" i="12"/>
  <c r="N241" i="12"/>
  <c r="O256" i="12"/>
  <c r="N234" i="12"/>
  <c r="O249" i="12"/>
  <c r="O281" i="12"/>
  <c r="N286" i="12"/>
  <c r="O319" i="12"/>
  <c r="O312" i="12"/>
  <c r="N318" i="12"/>
  <c r="N71" i="12"/>
  <c r="N255" i="12"/>
  <c r="O120" i="12"/>
  <c r="O63" i="12"/>
  <c r="N129" i="12"/>
  <c r="O65" i="12"/>
  <c r="N117" i="12"/>
  <c r="N125" i="12"/>
  <c r="O96" i="12"/>
  <c r="N69" i="12"/>
  <c r="O84" i="12"/>
  <c r="O125" i="12"/>
  <c r="N142" i="12"/>
  <c r="N91" i="12"/>
  <c r="O106" i="12"/>
  <c r="N155" i="12"/>
  <c r="O170" i="12"/>
  <c r="N100" i="12"/>
  <c r="O115" i="12"/>
  <c r="N164" i="12"/>
  <c r="O180" i="12"/>
  <c r="N182" i="12"/>
  <c r="N179" i="12"/>
  <c r="O194" i="12"/>
  <c r="N272" i="12"/>
  <c r="O191" i="12"/>
  <c r="O239" i="12"/>
  <c r="N256" i="12"/>
  <c r="N253" i="12"/>
  <c r="N246" i="12"/>
  <c r="N262" i="12"/>
  <c r="N269" i="12"/>
  <c r="O266" i="12"/>
  <c r="O326" i="12"/>
  <c r="O297" i="12"/>
  <c r="N319" i="12"/>
  <c r="N316" i="12"/>
  <c r="O308" i="12"/>
  <c r="N314" i="12"/>
  <c r="N67" i="12"/>
  <c r="O82" i="12"/>
  <c r="N86" i="12"/>
  <c r="O200" i="12"/>
  <c r="O75" i="12"/>
  <c r="N177" i="12"/>
  <c r="O88" i="12"/>
  <c r="N165" i="12"/>
  <c r="N98" i="12"/>
  <c r="O113" i="12"/>
  <c r="N162" i="12"/>
  <c r="N127" i="12"/>
  <c r="O142" i="12"/>
  <c r="O87" i="12"/>
  <c r="N136" i="12"/>
  <c r="O151" i="12"/>
  <c r="O201" i="12"/>
  <c r="N215" i="12"/>
  <c r="N212" i="12"/>
  <c r="O250" i="12"/>
  <c r="N228" i="12"/>
  <c r="N225" i="12"/>
  <c r="O240" i="12"/>
  <c r="N218" i="12"/>
  <c r="O233" i="12"/>
  <c r="N266" i="12"/>
  <c r="N307" i="12"/>
  <c r="O296" i="12"/>
  <c r="O285" i="12"/>
  <c r="N295" i="12"/>
  <c r="O303" i="12"/>
  <c r="N320" i="12"/>
  <c r="N302" i="12"/>
  <c r="O317" i="12"/>
  <c r="O70" i="12"/>
  <c r="N157" i="12"/>
  <c r="O254" i="12"/>
  <c r="O128" i="12"/>
  <c r="N77" i="12"/>
  <c r="O116" i="12"/>
  <c r="O78" i="12"/>
  <c r="O124" i="12"/>
  <c r="O177" i="12"/>
  <c r="N169" i="12"/>
  <c r="N72" i="12"/>
  <c r="N82" i="12"/>
  <c r="O68" i="12"/>
  <c r="O109" i="12"/>
  <c r="N126" i="12"/>
  <c r="O173" i="12"/>
  <c r="O90" i="12"/>
  <c r="N139" i="12"/>
  <c r="O154" i="12"/>
  <c r="N223" i="12"/>
  <c r="O99" i="12"/>
  <c r="N148" i="12"/>
  <c r="O163" i="12"/>
  <c r="O213" i="12"/>
  <c r="O178" i="12"/>
  <c r="O271" i="12"/>
  <c r="N235" i="12"/>
  <c r="O223" i="12"/>
  <c r="N240" i="12"/>
  <c r="N237" i="12"/>
  <c r="O252" i="12"/>
  <c r="N230" i="12"/>
  <c r="O245" i="12"/>
  <c r="N288" i="12"/>
  <c r="N278" i="12"/>
  <c r="N291" i="12"/>
  <c r="O318" i="12"/>
  <c r="O315" i="12"/>
  <c r="O313" i="12"/>
  <c r="N217" i="12"/>
  <c r="O85" i="12"/>
  <c r="N113" i="12"/>
  <c r="O176" i="12"/>
  <c r="N101" i="12"/>
  <c r="O164" i="12"/>
  <c r="O97" i="12"/>
  <c r="N146" i="12"/>
  <c r="O161" i="12"/>
  <c r="N111" i="12"/>
  <c r="O126" i="12"/>
  <c r="N175" i="12"/>
  <c r="N120" i="12"/>
  <c r="O135" i="12"/>
  <c r="N197" i="12"/>
  <c r="O185" i="12"/>
  <c r="N202" i="12"/>
  <c r="N199" i="12"/>
  <c r="O214" i="12"/>
  <c r="N196" i="12"/>
  <c r="O211" i="12"/>
  <c r="O259" i="12"/>
  <c r="O224" i="12"/>
  <c r="O217" i="12"/>
  <c r="N268" i="12"/>
  <c r="O272" i="12"/>
  <c r="O265" i="12"/>
  <c r="N271" i="12"/>
  <c r="O306" i="12"/>
  <c r="N297" i="12"/>
  <c r="N315" i="12"/>
  <c r="O294" i="12"/>
  <c r="N304" i="12"/>
  <c r="O301" i="12"/>
  <c r="N93" i="12"/>
  <c r="O156" i="12"/>
  <c r="N80" i="12"/>
  <c r="N137" i="12"/>
  <c r="O76" i="12"/>
  <c r="O117" i="12"/>
  <c r="O184" i="12"/>
  <c r="N134" i="12"/>
  <c r="O204" i="12"/>
  <c r="O98" i="12"/>
  <c r="N147" i="12"/>
  <c r="O162" i="12"/>
  <c r="N92" i="12"/>
  <c r="O107" i="12"/>
  <c r="N156" i="12"/>
  <c r="O171" i="12"/>
  <c r="O242" i="12"/>
  <c r="O186" i="12"/>
  <c r="N231" i="12"/>
  <c r="O183" i="12"/>
  <c r="N284" i="12"/>
  <c r="N232" i="12"/>
  <c r="O247" i="12"/>
  <c r="N245" i="12"/>
  <c r="O260" i="12"/>
  <c r="N238" i="12"/>
  <c r="O253" i="12"/>
  <c r="O291" i="12"/>
  <c r="N301" i="12"/>
  <c r="N290" i="12"/>
  <c r="O323" i="12"/>
  <c r="O316" i="12"/>
  <c r="N322" i="12"/>
  <c r="N74" i="12"/>
  <c r="O152" i="12"/>
  <c r="O67" i="12"/>
  <c r="N145" i="12"/>
  <c r="O69" i="12"/>
  <c r="O64" i="12"/>
  <c r="N133" i="12"/>
  <c r="O89" i="12"/>
  <c r="N106" i="12"/>
  <c r="O153" i="12"/>
  <c r="N170" i="12"/>
  <c r="N119" i="12"/>
  <c r="O134" i="12"/>
  <c r="O208" i="12"/>
  <c r="N128" i="12"/>
  <c r="O143" i="12"/>
  <c r="N239" i="12"/>
  <c r="N194" i="12"/>
  <c r="O209" i="12"/>
  <c r="N207" i="12"/>
  <c r="N204" i="12"/>
  <c r="O218" i="12"/>
  <c r="N220" i="12"/>
  <c r="O299" i="12"/>
  <c r="O232" i="12"/>
  <c r="N264" i="12"/>
  <c r="O225" i="12"/>
  <c r="O273" i="12"/>
  <c r="N279" i="12"/>
  <c r="O288" i="12"/>
  <c r="N287" i="12"/>
  <c r="O302" i="12"/>
  <c r="N312" i="12"/>
  <c r="O309" i="12"/>
  <c r="N118" i="12"/>
  <c r="O165" i="12"/>
  <c r="N131" i="12"/>
  <c r="O146" i="12"/>
  <c r="N193" i="12"/>
  <c r="O91" i="12"/>
  <c r="N140" i="12"/>
  <c r="O155" i="12"/>
  <c r="O205" i="12"/>
  <c r="O230" i="12"/>
  <c r="N216" i="12"/>
  <c r="O283" i="12"/>
  <c r="O231" i="12"/>
  <c r="N276" i="12"/>
  <c r="N229" i="12"/>
  <c r="O244" i="12"/>
  <c r="N222" i="12"/>
  <c r="O237" i="12"/>
  <c r="N270" i="12"/>
  <c r="O300" i="12"/>
  <c r="O289" i="12"/>
  <c r="N299" i="12"/>
  <c r="O307" i="12"/>
  <c r="N324" i="12"/>
  <c r="N306" i="12"/>
  <c r="O321" i="12"/>
  <c r="N75" i="12"/>
  <c r="N173" i="12"/>
  <c r="O73" i="12"/>
  <c r="O144" i="12"/>
  <c r="N81" i="12"/>
  <c r="O132" i="12"/>
  <c r="N90" i="12"/>
  <c r="O137" i="12"/>
  <c r="N154" i="12"/>
  <c r="N103" i="12"/>
  <c r="O118" i="12"/>
  <c r="N167" i="12"/>
  <c r="N112" i="12"/>
  <c r="O127" i="12"/>
  <c r="N176" i="12"/>
  <c r="O238" i="12"/>
  <c r="O193" i="12"/>
  <c r="N259" i="12"/>
  <c r="N191" i="12"/>
  <c r="O206" i="12"/>
  <c r="N188" i="12"/>
  <c r="O203" i="12"/>
  <c r="O251" i="12"/>
  <c r="O263" i="12"/>
  <c r="N258" i="12"/>
  <c r="N265" i="12"/>
  <c r="O280" i="12"/>
  <c r="N263" i="12"/>
  <c r="O278" i="12"/>
  <c r="N289" i="12"/>
  <c r="O286" i="12"/>
  <c r="N321" i="12"/>
  <c r="N150" i="12"/>
  <c r="N166" i="12"/>
  <c r="N115" i="12"/>
  <c r="O130" i="12"/>
  <c r="O192" i="12"/>
  <c r="N124" i="12"/>
  <c r="O139" i="12"/>
  <c r="N213" i="12"/>
  <c r="O189" i="12"/>
  <c r="N206" i="12"/>
  <c r="N203" i="12"/>
  <c r="N200" i="12"/>
  <c r="O215" i="12"/>
  <c r="O275" i="12"/>
  <c r="O228" i="12"/>
  <c r="O221" i="12"/>
  <c r="N323" i="12"/>
  <c r="O276" i="12"/>
  <c r="O269" i="12"/>
  <c r="N275" i="12"/>
  <c r="O284" i="12"/>
  <c r="N283" i="12"/>
  <c r="O298" i="12"/>
  <c r="N308" i="12"/>
  <c r="O305" i="12"/>
  <c r="N109" i="12"/>
  <c r="O172" i="12"/>
  <c r="N84" i="12"/>
  <c r="O80" i="12"/>
  <c r="O121" i="12"/>
  <c r="N138" i="12"/>
  <c r="N87" i="12"/>
  <c r="O102" i="12"/>
  <c r="N151" i="12"/>
  <c r="O166" i="12"/>
  <c r="N96" i="12"/>
  <c r="O111" i="12"/>
  <c r="N160" i="12"/>
  <c r="O175" i="12"/>
  <c r="O258" i="12"/>
  <c r="O190" i="12"/>
  <c r="N247" i="12"/>
  <c r="O187" i="12"/>
  <c r="O235" i="12"/>
  <c r="N252" i="12"/>
  <c r="N249" i="12"/>
  <c r="N242" i="12"/>
  <c r="O257" i="12"/>
  <c r="O264" i="12"/>
  <c r="O262" i="12"/>
  <c r="N311" i="12"/>
  <c r="N294" i="12"/>
  <c r="N305" i="12"/>
  <c r="O320" i="12"/>
  <c r="N326" i="12"/>
  <c r="O101" i="12"/>
  <c r="O133" i="12"/>
  <c r="O149" i="12"/>
  <c r="N205" i="12"/>
  <c r="N99" i="12"/>
  <c r="O114" i="12"/>
  <c r="N163" i="12"/>
  <c r="N108" i="12"/>
  <c r="O123" i="12"/>
  <c r="N172" i="12"/>
  <c r="O212" i="12"/>
  <c r="N190" i="12"/>
  <c r="N243" i="12"/>
  <c r="N187" i="12"/>
  <c r="O202" i="12"/>
  <c r="N184" i="12"/>
  <c r="O199" i="12"/>
  <c r="N248" i="12"/>
  <c r="N261" i="12"/>
  <c r="N254" i="12"/>
  <c r="O322" i="12"/>
  <c r="N277" i="12"/>
  <c r="N292" i="12"/>
  <c r="O274" i="12"/>
  <c r="N285" i="12"/>
  <c r="O282" i="12"/>
  <c r="N317" i="12"/>
  <c r="O74" i="12"/>
  <c r="O108" i="12"/>
  <c r="N153" i="12"/>
  <c r="N68" i="12"/>
  <c r="O83" i="12"/>
  <c r="N70" i="12"/>
  <c r="N65" i="12"/>
  <c r="O105" i="12"/>
  <c r="N122" i="12"/>
  <c r="O169" i="12"/>
  <c r="O86" i="12"/>
  <c r="N135" i="12"/>
  <c r="O150" i="12"/>
  <c r="N209" i="12"/>
  <c r="O95" i="12"/>
  <c r="N144" i="12"/>
  <c r="O159" i="12"/>
  <c r="N210" i="12"/>
  <c r="O246" i="12"/>
  <c r="N219" i="12"/>
  <c r="O219" i="12"/>
  <c r="N236" i="12"/>
  <c r="N300" i="12"/>
  <c r="N233" i="12"/>
  <c r="O248" i="12"/>
  <c r="N226" i="12"/>
  <c r="O241" i="12"/>
  <c r="N281" i="12"/>
  <c r="N274" i="12"/>
  <c r="O310" i="12"/>
  <c r="O293" i="12"/>
  <c r="N303" i="12"/>
  <c r="O311" i="12"/>
  <c r="O304" i="12"/>
  <c r="N310" i="12"/>
  <c r="O325" i="12"/>
  <c r="N42" i="12"/>
  <c r="N37" i="12"/>
  <c r="N453" i="12"/>
  <c r="O452" i="12"/>
  <c r="O453" i="12"/>
  <c r="N452" i="12"/>
  <c r="N451" i="12"/>
  <c r="O451" i="12"/>
  <c r="N361" i="12"/>
  <c r="N372" i="12"/>
  <c r="O369" i="12"/>
  <c r="N359" i="12"/>
  <c r="O368" i="12"/>
  <c r="N368" i="12"/>
  <c r="O365" i="12"/>
  <c r="N365" i="12"/>
  <c r="O359" i="12"/>
  <c r="N367" i="12"/>
  <c r="O357" i="12"/>
  <c r="N363" i="12"/>
  <c r="O374" i="12"/>
  <c r="O372" i="12"/>
  <c r="O371" i="12"/>
  <c r="N370" i="12"/>
  <c r="O358" i="12"/>
  <c r="N369" i="12"/>
  <c r="O367" i="12"/>
  <c r="N366" i="12"/>
  <c r="N360" i="12"/>
  <c r="N358" i="12"/>
  <c r="O373" i="12"/>
  <c r="N373" i="12"/>
  <c r="O356" i="12"/>
  <c r="O370" i="12"/>
  <c r="O363" i="12"/>
  <c r="O361" i="12"/>
  <c r="O354" i="12"/>
  <c r="O353" i="12"/>
  <c r="O355" i="12"/>
  <c r="O362" i="12"/>
  <c r="O360" i="12"/>
  <c r="N374" i="12"/>
  <c r="N357" i="12"/>
  <c r="N371" i="12"/>
  <c r="N364" i="12"/>
  <c r="O364" i="12"/>
  <c r="N362" i="12"/>
  <c r="N355" i="12"/>
  <c r="O366" i="12"/>
  <c r="N354" i="12"/>
  <c r="N356" i="12"/>
  <c r="O351" i="12"/>
  <c r="O60" i="12"/>
  <c r="O346" i="12"/>
  <c r="N335" i="12"/>
  <c r="O347" i="12"/>
  <c r="O342" i="12"/>
  <c r="N331" i="12"/>
  <c r="O348" i="12"/>
  <c r="N332" i="12"/>
  <c r="N345" i="12"/>
  <c r="O328" i="12"/>
  <c r="N62" i="12"/>
  <c r="O349" i="12"/>
  <c r="N352" i="12"/>
  <c r="N61" i="12"/>
  <c r="O339" i="12"/>
  <c r="N348" i="12"/>
  <c r="O335" i="12"/>
  <c r="N349" i="12"/>
  <c r="O340" i="12"/>
  <c r="N338" i="12"/>
  <c r="O341" i="12"/>
  <c r="O350" i="12"/>
  <c r="N329" i="12"/>
  <c r="O61" i="12"/>
  <c r="N334" i="12"/>
  <c r="N350" i="12"/>
  <c r="O336" i="12"/>
  <c r="N340" i="12"/>
  <c r="O62" i="12"/>
  <c r="N330" i="12"/>
  <c r="O352" i="12"/>
  <c r="N336" i="12"/>
  <c r="O58" i="12"/>
  <c r="O345" i="12"/>
  <c r="O343" i="12"/>
  <c r="N341" i="12"/>
  <c r="O59" i="12"/>
  <c r="N327" i="12"/>
  <c r="O337" i="12"/>
  <c r="N342" i="12"/>
  <c r="O332" i="12"/>
  <c r="N351" i="12"/>
  <c r="O327" i="12"/>
  <c r="O338" i="12"/>
  <c r="O333" i="12"/>
  <c r="N337" i="12"/>
  <c r="N347" i="12"/>
  <c r="O334" i="12"/>
  <c r="O329" i="12"/>
  <c r="N353" i="12"/>
  <c r="N343" i="12"/>
  <c r="O330" i="12"/>
  <c r="N59" i="12"/>
  <c r="N346" i="12"/>
  <c r="N344" i="12"/>
  <c r="O331" i="12"/>
  <c r="N60" i="12"/>
  <c r="O344" i="12"/>
  <c r="N333" i="12"/>
  <c r="N328" i="12"/>
  <c r="N339" i="12"/>
  <c r="N58" i="12"/>
  <c r="N468" i="12"/>
  <c r="N404" i="12"/>
  <c r="N441" i="12"/>
  <c r="N455" i="12"/>
  <c r="N430" i="12"/>
  <c r="N416" i="12"/>
  <c r="N467" i="12"/>
  <c r="N403" i="12"/>
  <c r="N413" i="12"/>
  <c r="N442" i="12"/>
  <c r="N428" i="12"/>
  <c r="N415" i="12"/>
  <c r="N454" i="12"/>
  <c r="N440" i="12"/>
  <c r="N427" i="12"/>
  <c r="N466" i="12"/>
  <c r="N402" i="12"/>
  <c r="N421" i="12"/>
  <c r="N439" i="12"/>
  <c r="N414" i="12"/>
  <c r="N465" i="12"/>
  <c r="N464" i="12"/>
  <c r="N400" i="12"/>
  <c r="N429" i="12"/>
  <c r="N426" i="12"/>
  <c r="N412" i="12"/>
  <c r="N457" i="12"/>
  <c r="N463" i="12"/>
  <c r="N399" i="12"/>
  <c r="N397" i="12"/>
  <c r="N438" i="12"/>
  <c r="N424" i="12"/>
  <c r="N411" i="12"/>
  <c r="N437" i="12"/>
  <c r="N450" i="12"/>
  <c r="N436" i="12"/>
  <c r="N423" i="12"/>
  <c r="N462" i="12"/>
  <c r="N398" i="12"/>
  <c r="N409" i="12"/>
  <c r="N448" i="12"/>
  <c r="N435" i="12"/>
  <c r="N410" i="12"/>
  <c r="N449" i="12"/>
  <c r="N460" i="12"/>
  <c r="N396" i="12"/>
  <c r="N417" i="12"/>
  <c r="N447" i="12"/>
  <c r="N422" i="12"/>
  <c r="N408" i="12"/>
  <c r="N445" i="12"/>
  <c r="N459" i="12"/>
  <c r="N395" i="12"/>
  <c r="N434" i="12"/>
  <c r="N420" i="12"/>
  <c r="N407" i="12"/>
  <c r="N425" i="12"/>
  <c r="N446" i="12"/>
  <c r="N432" i="12"/>
  <c r="N419" i="12"/>
  <c r="N461" i="12"/>
  <c r="N458" i="12"/>
  <c r="N394" i="12"/>
  <c r="N401" i="12"/>
  <c r="N444" i="12"/>
  <c r="N431" i="12"/>
  <c r="N406" i="12"/>
  <c r="N433" i="12"/>
  <c r="N456" i="12"/>
  <c r="N405" i="12"/>
  <c r="N443" i="12"/>
  <c r="N418" i="12"/>
  <c r="N375" i="12"/>
  <c r="N56" i="12"/>
  <c r="N43" i="12"/>
  <c r="N55" i="12"/>
  <c r="N49" i="12"/>
  <c r="N54" i="12"/>
  <c r="N40" i="12"/>
  <c r="N53" i="12"/>
  <c r="N52" i="12"/>
  <c r="N39" i="12"/>
  <c r="N51" i="12"/>
  <c r="N57" i="12"/>
  <c r="N38" i="12"/>
  <c r="N50" i="12"/>
  <c r="N36" i="12"/>
  <c r="N41" i="12"/>
  <c r="N48" i="12"/>
  <c r="N47" i="12"/>
  <c r="N45" i="12"/>
  <c r="N391" i="12"/>
  <c r="N378" i="12"/>
  <c r="N390" i="12"/>
  <c r="N389" i="12"/>
  <c r="N376" i="12"/>
  <c r="N388" i="12"/>
  <c r="N393" i="12"/>
  <c r="N387" i="12"/>
  <c r="N386" i="12"/>
  <c r="N377" i="12"/>
  <c r="N384" i="12"/>
  <c r="N381" i="12"/>
  <c r="N383" i="12"/>
  <c r="N385" i="12"/>
  <c r="N382" i="12"/>
  <c r="N380" i="12"/>
  <c r="N392" i="12"/>
  <c r="N379" i="12"/>
  <c r="O37" i="12"/>
  <c r="O47" i="12"/>
  <c r="O393" i="12"/>
  <c r="O436" i="12"/>
  <c r="O395" i="12"/>
  <c r="O402" i="12"/>
  <c r="O418" i="12"/>
  <c r="O416" i="12"/>
  <c r="O423" i="12"/>
  <c r="O427" i="12"/>
  <c r="O457" i="12"/>
  <c r="O394" i="12"/>
  <c r="O462" i="12"/>
  <c r="O460" i="12"/>
  <c r="O407" i="12"/>
  <c r="O426" i="12"/>
  <c r="O424" i="12"/>
  <c r="O450" i="12"/>
  <c r="O414" i="12"/>
  <c r="O399" i="12"/>
  <c r="O447" i="12"/>
  <c r="O446" i="12"/>
  <c r="O442" i="12"/>
  <c r="O413" i="12"/>
  <c r="O458" i="12"/>
  <c r="O445" i="12"/>
  <c r="O464" i="12"/>
  <c r="O405" i="12"/>
  <c r="O455" i="12"/>
  <c r="O400" i="12"/>
  <c r="O443" i="12"/>
  <c r="O398" i="12"/>
  <c r="O433" i="12"/>
  <c r="O410" i="12"/>
  <c r="O406" i="12"/>
  <c r="O461" i="12"/>
  <c r="O404" i="12"/>
  <c r="O444" i="12"/>
  <c r="O417" i="12"/>
  <c r="O435" i="12"/>
  <c r="O396" i="12"/>
  <c r="O421" i="12"/>
  <c r="O429" i="12"/>
  <c r="O467" i="12"/>
  <c r="O431" i="12"/>
  <c r="O415" i="12"/>
  <c r="O425" i="12"/>
  <c r="O428" i="12"/>
  <c r="O454" i="12"/>
  <c r="O422" i="12"/>
  <c r="O432" i="12"/>
  <c r="O434" i="12"/>
  <c r="O448" i="12"/>
  <c r="O438" i="12"/>
  <c r="O437" i="12"/>
  <c r="O465" i="12"/>
  <c r="O463" i="12"/>
  <c r="O408" i="12"/>
  <c r="O420" i="12"/>
  <c r="O459" i="12"/>
  <c r="O401" i="12"/>
  <c r="O419" i="12"/>
  <c r="O441" i="12"/>
  <c r="O412" i="12"/>
  <c r="O456" i="12"/>
  <c r="O397" i="12"/>
  <c r="O439" i="12"/>
  <c r="O403" i="12"/>
  <c r="O440" i="12"/>
  <c r="O466" i="12"/>
  <c r="O409" i="12"/>
  <c r="O411" i="12"/>
  <c r="O430" i="12"/>
  <c r="O388" i="12"/>
  <c r="O387" i="12"/>
  <c r="O384" i="12"/>
  <c r="O390" i="12"/>
  <c r="O389" i="12"/>
  <c r="O376" i="12"/>
  <c r="O375" i="12"/>
  <c r="O382" i="12"/>
  <c r="O383" i="12"/>
  <c r="O392" i="12"/>
  <c r="O379" i="12"/>
  <c r="O381" i="12"/>
  <c r="O380" i="12"/>
  <c r="O377" i="12"/>
  <c r="O386" i="12"/>
  <c r="O391" i="12"/>
  <c r="O385" i="12"/>
  <c r="O378" i="12"/>
  <c r="O54" i="12"/>
  <c r="O45" i="12"/>
  <c r="O42" i="12"/>
  <c r="O55" i="12"/>
  <c r="O40" i="12"/>
  <c r="O56" i="12"/>
  <c r="O52" i="12"/>
  <c r="O51" i="12"/>
  <c r="O39" i="12"/>
  <c r="O36" i="12"/>
  <c r="O44" i="12"/>
  <c r="O35" i="12"/>
  <c r="O33" i="12"/>
  <c r="O34" i="12"/>
  <c r="O50" i="12"/>
  <c r="O48" i="12"/>
  <c r="O57" i="12"/>
  <c r="O53" i="12"/>
  <c r="O38" i="12"/>
  <c r="O49" i="12"/>
  <c r="O43" i="12"/>
  <c r="O46" i="12"/>
  <c r="O41" i="12"/>
  <c r="L6" i="12" l="1"/>
  <c r="L9" i="12" s="1"/>
  <c r="K6" i="12"/>
  <c r="K9" i="12" s="1"/>
  <c r="M9" i="12" l="1"/>
  <c r="I9" i="12" s="1"/>
  <c r="R8" i="12" l="1"/>
  <c r="L32" i="12"/>
  <c r="L33" i="12" l="1"/>
  <c r="M33" i="12" s="1"/>
  <c r="U32" i="12"/>
  <c r="E154" i="9" s="1"/>
  <c r="L34" i="12" l="1"/>
  <c r="U34" i="12" s="1"/>
  <c r="U33" i="12"/>
  <c r="V33" i="12"/>
  <c r="M34" i="12" l="1"/>
  <c r="V34" i="12" s="1"/>
  <c r="L35" i="12"/>
  <c r="M35" i="12" l="1"/>
  <c r="V35" i="12" s="1"/>
  <c r="L36" i="12"/>
  <c r="U36" i="12" s="1"/>
  <c r="U35" i="12"/>
  <c r="L37" i="12" l="1"/>
  <c r="L38" i="12" s="1"/>
  <c r="M36" i="12"/>
  <c r="V36" i="12" s="1"/>
  <c r="U37" i="12" l="1"/>
  <c r="M37" i="12"/>
  <c r="M38" i="12" s="1"/>
  <c r="U38" i="12"/>
  <c r="L39" i="12"/>
  <c r="V37" i="12" l="1"/>
  <c r="U39" i="12"/>
  <c r="L40" i="12"/>
  <c r="V38" i="12"/>
  <c r="M39" i="12"/>
  <c r="V39" i="12" l="1"/>
  <c r="M40" i="12"/>
  <c r="U40" i="12"/>
  <c r="L41" i="12"/>
  <c r="U41" i="12" l="1"/>
  <c r="L42" i="12"/>
  <c r="V40" i="12"/>
  <c r="M41" i="12"/>
  <c r="V41" i="12" l="1"/>
  <c r="M42" i="12"/>
  <c r="U42" i="12"/>
  <c r="L43" i="12"/>
  <c r="U43" i="12" l="1"/>
  <c r="L44" i="12"/>
  <c r="V42" i="12"/>
  <c r="M43" i="12"/>
  <c r="V43" i="12" l="1"/>
  <c r="M44" i="12"/>
  <c r="U44" i="12"/>
  <c r="L45" i="12"/>
  <c r="U45" i="12" l="1"/>
  <c r="L46" i="12"/>
  <c r="V44" i="12"/>
  <c r="M45" i="12"/>
  <c r="V45" i="12" l="1"/>
  <c r="M46" i="12"/>
  <c r="U46" i="12"/>
  <c r="L47" i="12"/>
  <c r="U47" i="12" l="1"/>
  <c r="L48" i="12"/>
  <c r="V46" i="12"/>
  <c r="M47" i="12"/>
  <c r="V47" i="12" l="1"/>
  <c r="M48" i="12"/>
  <c r="U48" i="12"/>
  <c r="L49" i="12"/>
  <c r="U49" i="12" l="1"/>
  <c r="L50" i="12"/>
  <c r="V48" i="12"/>
  <c r="M49" i="12"/>
  <c r="V49" i="12" l="1"/>
  <c r="M50" i="12"/>
  <c r="U50" i="12"/>
  <c r="L51" i="12"/>
  <c r="U51" i="12" l="1"/>
  <c r="L52" i="12"/>
  <c r="V50" i="12"/>
  <c r="M51" i="12"/>
  <c r="V51" i="12" l="1"/>
  <c r="M52" i="12"/>
  <c r="U52" i="12"/>
  <c r="L53" i="12"/>
  <c r="U53" i="12" l="1"/>
  <c r="L54" i="12"/>
  <c r="V52" i="12"/>
  <c r="M53" i="12"/>
  <c r="V53" i="12" l="1"/>
  <c r="M54" i="12"/>
  <c r="U54" i="12"/>
  <c r="L55" i="12"/>
  <c r="U55" i="12" l="1"/>
  <c r="L56" i="12"/>
  <c r="V54" i="12"/>
  <c r="M55" i="12"/>
  <c r="V55" i="12" l="1"/>
  <c r="M56" i="12"/>
  <c r="U56" i="12"/>
  <c r="L57" i="12"/>
  <c r="U57" i="12" l="1"/>
  <c r="L58" i="12"/>
  <c r="V56" i="12"/>
  <c r="M57" i="12"/>
  <c r="V57" i="12" l="1"/>
  <c r="M58" i="12"/>
  <c r="U58" i="12"/>
  <c r="L59" i="12"/>
  <c r="U59" i="12" l="1"/>
  <c r="L60" i="12"/>
  <c r="V58" i="12"/>
  <c r="M59" i="12"/>
  <c r="V59" i="12" l="1"/>
  <c r="M60" i="12"/>
  <c r="U60" i="12"/>
  <c r="L61" i="12"/>
  <c r="U61" i="12" l="1"/>
  <c r="L62" i="12"/>
  <c r="V60" i="12"/>
  <c r="M61" i="12"/>
  <c r="V61" i="12" l="1"/>
  <c r="M62" i="12"/>
  <c r="U62" i="12"/>
  <c r="L63" i="12"/>
  <c r="U63" i="12" l="1"/>
  <c r="L64" i="12"/>
  <c r="V62" i="12"/>
  <c r="M63" i="12"/>
  <c r="V63" i="12" l="1"/>
  <c r="M64" i="12"/>
  <c r="U64" i="12"/>
  <c r="L65" i="12"/>
  <c r="U65" i="12" l="1"/>
  <c r="L66" i="12"/>
  <c r="V64" i="12"/>
  <c r="M65" i="12"/>
  <c r="V65" i="12" l="1"/>
  <c r="M66" i="12"/>
  <c r="U66" i="12"/>
  <c r="L67" i="12"/>
  <c r="U67" i="12" l="1"/>
  <c r="L68" i="12"/>
  <c r="V66" i="12"/>
  <c r="M67" i="12"/>
  <c r="V67" i="12" l="1"/>
  <c r="M68" i="12"/>
  <c r="U68" i="12"/>
  <c r="L69" i="12"/>
  <c r="U69" i="12" l="1"/>
  <c r="L70" i="12"/>
  <c r="V68" i="12"/>
  <c r="M69" i="12"/>
  <c r="V69" i="12" l="1"/>
  <c r="M70" i="12"/>
  <c r="U70" i="12"/>
  <c r="L71" i="12"/>
  <c r="U71" i="12" l="1"/>
  <c r="L72" i="12"/>
  <c r="V70" i="12"/>
  <c r="M71" i="12"/>
  <c r="V71" i="12" l="1"/>
  <c r="M72" i="12"/>
  <c r="U72" i="12"/>
  <c r="L73" i="12"/>
  <c r="U73" i="12" l="1"/>
  <c r="E155" i="9" s="1"/>
  <c r="L74" i="12"/>
  <c r="V72" i="12"/>
  <c r="M73" i="12"/>
  <c r="V73" i="12" l="1"/>
  <c r="F155" i="9" s="1"/>
  <c r="M74" i="12"/>
  <c r="U74" i="12"/>
  <c r="L75" i="12"/>
  <c r="U75" i="12" l="1"/>
  <c r="L76" i="12"/>
  <c r="V74" i="12"/>
  <c r="M75" i="12"/>
  <c r="V75" i="12" l="1"/>
  <c r="M76" i="12"/>
  <c r="U76" i="12"/>
  <c r="L77" i="12"/>
  <c r="U77" i="12" l="1"/>
  <c r="L78" i="12"/>
  <c r="V76" i="12"/>
  <c r="M77" i="12"/>
  <c r="V77" i="12" l="1"/>
  <c r="M78" i="12"/>
  <c r="U78" i="12"/>
  <c r="L79" i="12"/>
  <c r="U79" i="12" l="1"/>
  <c r="L80" i="12"/>
  <c r="V78" i="12"/>
  <c r="M79" i="12"/>
  <c r="U80" i="12" l="1"/>
  <c r="L81" i="12"/>
  <c r="V79" i="12"/>
  <c r="M80" i="12"/>
  <c r="U81" i="12" l="1"/>
  <c r="L82" i="12"/>
  <c r="V80" i="12"/>
  <c r="M81" i="12"/>
  <c r="V81" i="12" l="1"/>
  <c r="M82" i="12"/>
  <c r="U82" i="12"/>
  <c r="L83" i="12"/>
  <c r="U83" i="12" l="1"/>
  <c r="L84" i="12"/>
  <c r="V82" i="12"/>
  <c r="M83" i="12"/>
  <c r="V83" i="12" l="1"/>
  <c r="M84" i="12"/>
  <c r="U84" i="12"/>
  <c r="L85" i="12"/>
  <c r="U85" i="12" l="1"/>
  <c r="L86" i="12"/>
  <c r="V84" i="12"/>
  <c r="M85" i="12"/>
  <c r="V85" i="12" l="1"/>
  <c r="M86" i="12"/>
  <c r="U86" i="12"/>
  <c r="L87" i="12"/>
  <c r="U87" i="12" l="1"/>
  <c r="L88" i="12"/>
  <c r="V86" i="12"/>
  <c r="M87" i="12"/>
  <c r="V87" i="12" l="1"/>
  <c r="M88" i="12"/>
  <c r="U88" i="12"/>
  <c r="L89" i="12"/>
  <c r="U89" i="12" l="1"/>
  <c r="L90" i="12"/>
  <c r="V88" i="12"/>
  <c r="M89" i="12"/>
  <c r="V89" i="12" l="1"/>
  <c r="M90" i="12"/>
  <c r="U90" i="12"/>
  <c r="L91" i="12"/>
  <c r="U91" i="12" l="1"/>
  <c r="L92" i="12"/>
  <c r="V90" i="12"/>
  <c r="M91" i="12"/>
  <c r="V91" i="12" l="1"/>
  <c r="M92" i="12"/>
  <c r="U92" i="12"/>
  <c r="L93" i="12"/>
  <c r="U93" i="12" l="1"/>
  <c r="L94" i="12"/>
  <c r="V92" i="12"/>
  <c r="M93" i="12"/>
  <c r="V93" i="12" l="1"/>
  <c r="M94" i="12"/>
  <c r="U94" i="12"/>
  <c r="L95" i="12"/>
  <c r="U95" i="12" l="1"/>
  <c r="L96" i="12"/>
  <c r="V94" i="12"/>
  <c r="M95" i="12"/>
  <c r="V95" i="12" l="1"/>
  <c r="M96" i="12"/>
  <c r="U96" i="12"/>
  <c r="L97" i="12"/>
  <c r="U97" i="12" l="1"/>
  <c r="L98" i="12"/>
  <c r="V96" i="12"/>
  <c r="M97" i="12"/>
  <c r="V97" i="12" l="1"/>
  <c r="M98" i="12"/>
  <c r="U98" i="12"/>
  <c r="L99" i="12"/>
  <c r="U99" i="12" l="1"/>
  <c r="L100" i="12"/>
  <c r="V98" i="12"/>
  <c r="M99" i="12"/>
  <c r="V99" i="12" l="1"/>
  <c r="M100" i="12"/>
  <c r="U100" i="12"/>
  <c r="L101" i="12"/>
  <c r="U101" i="12" l="1"/>
  <c r="L102" i="12"/>
  <c r="V100" i="12"/>
  <c r="M101" i="12"/>
  <c r="V101" i="12" l="1"/>
  <c r="M102" i="12"/>
  <c r="U102" i="12"/>
  <c r="L103" i="12"/>
  <c r="U103" i="12" l="1"/>
  <c r="L104" i="12"/>
  <c r="V102" i="12"/>
  <c r="M103" i="12"/>
  <c r="V103" i="12" l="1"/>
  <c r="M104" i="12"/>
  <c r="U104" i="12"/>
  <c r="L105" i="12"/>
  <c r="U105" i="12" l="1"/>
  <c r="L106" i="12"/>
  <c r="V104" i="12"/>
  <c r="M105" i="12"/>
  <c r="V105" i="12" l="1"/>
  <c r="M106" i="12"/>
  <c r="U106" i="12"/>
  <c r="L107" i="12"/>
  <c r="U107" i="12" l="1"/>
  <c r="L108" i="12"/>
  <c r="V106" i="12"/>
  <c r="M107" i="12"/>
  <c r="V107" i="12" l="1"/>
  <c r="M108" i="12"/>
  <c r="U108" i="12"/>
  <c r="L109" i="12"/>
  <c r="U109" i="12" l="1"/>
  <c r="L110" i="12"/>
  <c r="V108" i="12"/>
  <c r="M109" i="12"/>
  <c r="V109" i="12" l="1"/>
  <c r="M110" i="12"/>
  <c r="U110" i="12"/>
  <c r="L111" i="12"/>
  <c r="U111" i="12" l="1"/>
  <c r="L112" i="12"/>
  <c r="V110" i="12"/>
  <c r="M111" i="12"/>
  <c r="V111" i="12" l="1"/>
  <c r="M112" i="12"/>
  <c r="U112" i="12"/>
  <c r="L113" i="12"/>
  <c r="U113" i="12" l="1"/>
  <c r="L114" i="12"/>
  <c r="V112" i="12"/>
  <c r="M113" i="12"/>
  <c r="V113" i="12" l="1"/>
  <c r="M114" i="12"/>
  <c r="U114" i="12"/>
  <c r="L115" i="12"/>
  <c r="U115" i="12" l="1"/>
  <c r="E156" i="9" s="1"/>
  <c r="L116" i="12"/>
  <c r="V114" i="12"/>
  <c r="M115" i="12"/>
  <c r="V115" i="12" l="1"/>
  <c r="F156" i="9" s="1"/>
  <c r="M116" i="12"/>
  <c r="U116" i="12"/>
  <c r="L117" i="12"/>
  <c r="U117" i="12" l="1"/>
  <c r="L118" i="12"/>
  <c r="V116" i="12"/>
  <c r="M117" i="12"/>
  <c r="V117" i="12" l="1"/>
  <c r="M118" i="12"/>
  <c r="U118" i="12"/>
  <c r="L119" i="12"/>
  <c r="U119" i="12" l="1"/>
  <c r="L120" i="12"/>
  <c r="V118" i="12"/>
  <c r="M119" i="12"/>
  <c r="V119" i="12" l="1"/>
  <c r="M120" i="12"/>
  <c r="U120" i="12"/>
  <c r="L121" i="12"/>
  <c r="U121" i="12" l="1"/>
  <c r="L122" i="12"/>
  <c r="V120" i="12"/>
  <c r="M121" i="12"/>
  <c r="V121" i="12" l="1"/>
  <c r="M122" i="12"/>
  <c r="U122" i="12"/>
  <c r="L123" i="12"/>
  <c r="U123" i="12" l="1"/>
  <c r="L124" i="12"/>
  <c r="V122" i="12"/>
  <c r="M123" i="12"/>
  <c r="V123" i="12" l="1"/>
  <c r="M124" i="12"/>
  <c r="U124" i="12"/>
  <c r="L125" i="12"/>
  <c r="U125" i="12" l="1"/>
  <c r="L126" i="12"/>
  <c r="V124" i="12"/>
  <c r="M125" i="12"/>
  <c r="V125" i="12" l="1"/>
  <c r="M126" i="12"/>
  <c r="U126" i="12"/>
  <c r="L127" i="12"/>
  <c r="V126" i="12" l="1"/>
  <c r="M127" i="12"/>
  <c r="U127" i="12"/>
  <c r="L128" i="12"/>
  <c r="V127" i="12" l="1"/>
  <c r="M128" i="12"/>
  <c r="U128" i="12"/>
  <c r="L129" i="12"/>
  <c r="U129" i="12" l="1"/>
  <c r="L130" i="12"/>
  <c r="V128" i="12"/>
  <c r="M129" i="12"/>
  <c r="V129" i="12" l="1"/>
  <c r="M130" i="12"/>
  <c r="U130" i="12"/>
  <c r="L131" i="12"/>
  <c r="U131" i="12" l="1"/>
  <c r="L132" i="12"/>
  <c r="V130" i="12"/>
  <c r="M131" i="12"/>
  <c r="V131" i="12" l="1"/>
  <c r="M132" i="12"/>
  <c r="U132" i="12"/>
  <c r="L133" i="12"/>
  <c r="U133" i="12" l="1"/>
  <c r="L134" i="12"/>
  <c r="V132" i="12"/>
  <c r="M133" i="12"/>
  <c r="V133" i="12" l="1"/>
  <c r="M134" i="12"/>
  <c r="U134" i="12"/>
  <c r="L135" i="12"/>
  <c r="U135" i="12" l="1"/>
  <c r="L136" i="12"/>
  <c r="V134" i="12"/>
  <c r="M135" i="12"/>
  <c r="V135" i="12" l="1"/>
  <c r="M136" i="12"/>
  <c r="U136" i="12"/>
  <c r="L137" i="12"/>
  <c r="U137" i="12" l="1"/>
  <c r="L138" i="12"/>
  <c r="V136" i="12"/>
  <c r="M137" i="12"/>
  <c r="V137" i="12" l="1"/>
  <c r="M138" i="12"/>
  <c r="U138" i="12"/>
  <c r="L139" i="12"/>
  <c r="U139" i="12" l="1"/>
  <c r="L140" i="12"/>
  <c r="V138" i="12"/>
  <c r="M139" i="12"/>
  <c r="V139" i="12" l="1"/>
  <c r="M140" i="12"/>
  <c r="U140" i="12"/>
  <c r="L141" i="12"/>
  <c r="U141" i="12" l="1"/>
  <c r="L142" i="12"/>
  <c r="V140" i="12"/>
  <c r="M141" i="12"/>
  <c r="V141" i="12" l="1"/>
  <c r="M142" i="12"/>
  <c r="U142" i="12"/>
  <c r="L143" i="12"/>
  <c r="U143" i="12" l="1"/>
  <c r="L144" i="12"/>
  <c r="V142" i="12"/>
  <c r="M143" i="12"/>
  <c r="V143" i="12" l="1"/>
  <c r="M144" i="12"/>
  <c r="U144" i="12"/>
  <c r="L145" i="12"/>
  <c r="U145" i="12" l="1"/>
  <c r="L146" i="12"/>
  <c r="V144" i="12"/>
  <c r="M145" i="12"/>
  <c r="V145" i="12" l="1"/>
  <c r="M146" i="12"/>
  <c r="U146" i="12"/>
  <c r="L147" i="12"/>
  <c r="U147" i="12" l="1"/>
  <c r="L148" i="12"/>
  <c r="V146" i="12"/>
  <c r="M147" i="12"/>
  <c r="V147" i="12" l="1"/>
  <c r="M148" i="12"/>
  <c r="U148" i="12"/>
  <c r="L149" i="12"/>
  <c r="U149" i="12" l="1"/>
  <c r="L150" i="12"/>
  <c r="V148" i="12"/>
  <c r="M149" i="12"/>
  <c r="V149" i="12" l="1"/>
  <c r="M150" i="12"/>
  <c r="U150" i="12"/>
  <c r="L151" i="12"/>
  <c r="U151" i="12" l="1"/>
  <c r="L152" i="12"/>
  <c r="V150" i="12"/>
  <c r="M151" i="12"/>
  <c r="V151" i="12" l="1"/>
  <c r="M152" i="12"/>
  <c r="U152" i="12"/>
  <c r="L153" i="12"/>
  <c r="U153" i="12" l="1"/>
  <c r="L154" i="12"/>
  <c r="V152" i="12"/>
  <c r="M153" i="12"/>
  <c r="V153" i="12" l="1"/>
  <c r="M154" i="12"/>
  <c r="U154" i="12"/>
  <c r="L155" i="12"/>
  <c r="U155" i="12" l="1"/>
  <c r="L156" i="12"/>
  <c r="V154" i="12"/>
  <c r="M155" i="12"/>
  <c r="V155" i="12" l="1"/>
  <c r="M156" i="12"/>
  <c r="U156" i="12"/>
  <c r="E157" i="9" s="1"/>
  <c r="L157" i="12"/>
  <c r="U157" i="12" l="1"/>
  <c r="L158" i="12"/>
  <c r="V156" i="12"/>
  <c r="F157" i="9" s="1"/>
  <c r="M157" i="12"/>
  <c r="V157" i="12" l="1"/>
  <c r="M158" i="12"/>
  <c r="U158" i="12"/>
  <c r="L159" i="12"/>
  <c r="U159" i="12" l="1"/>
  <c r="L160" i="12"/>
  <c r="V158" i="12"/>
  <c r="M159" i="12"/>
  <c r="V159" i="12" l="1"/>
  <c r="M160" i="12"/>
  <c r="U160" i="12"/>
  <c r="L161" i="12"/>
  <c r="U161" i="12" l="1"/>
  <c r="L162" i="12"/>
  <c r="V160" i="12"/>
  <c r="M161" i="12"/>
  <c r="V161" i="12" l="1"/>
  <c r="M162" i="12"/>
  <c r="U162" i="12"/>
  <c r="L163" i="12"/>
  <c r="U163" i="12" l="1"/>
  <c r="L164" i="12"/>
  <c r="V162" i="12"/>
  <c r="M163" i="12"/>
  <c r="V163" i="12" l="1"/>
  <c r="M164" i="12"/>
  <c r="U164" i="12"/>
  <c r="L165" i="12"/>
  <c r="U165" i="12" l="1"/>
  <c r="L166" i="12"/>
  <c r="V164" i="12"/>
  <c r="M165" i="12"/>
  <c r="V165" i="12" l="1"/>
  <c r="M166" i="12"/>
  <c r="U166" i="12"/>
  <c r="L167" i="12"/>
  <c r="U167" i="12" l="1"/>
  <c r="L168" i="12"/>
  <c r="V166" i="12"/>
  <c r="M167" i="12"/>
  <c r="V167" i="12" l="1"/>
  <c r="M168" i="12"/>
  <c r="U168" i="12"/>
  <c r="L169" i="12"/>
  <c r="U169" i="12" l="1"/>
  <c r="L170" i="12"/>
  <c r="V168" i="12"/>
  <c r="M169" i="12"/>
  <c r="V169" i="12" l="1"/>
  <c r="M170" i="12"/>
  <c r="U170" i="12"/>
  <c r="L171" i="12"/>
  <c r="U171" i="12" l="1"/>
  <c r="L172" i="12"/>
  <c r="V170" i="12"/>
  <c r="M171" i="12"/>
  <c r="V171" i="12" l="1"/>
  <c r="M172" i="12"/>
  <c r="U172" i="12"/>
  <c r="L173" i="12"/>
  <c r="U173" i="12" l="1"/>
  <c r="L174" i="12"/>
  <c r="V172" i="12"/>
  <c r="M173" i="12"/>
  <c r="U174" i="12" l="1"/>
  <c r="L175" i="12"/>
  <c r="V173" i="12"/>
  <c r="M174" i="12"/>
  <c r="U175" i="12" l="1"/>
  <c r="L176" i="12"/>
  <c r="V174" i="12"/>
  <c r="M175" i="12"/>
  <c r="V175" i="12" l="1"/>
  <c r="M176" i="12"/>
  <c r="U176" i="12"/>
  <c r="L177" i="12"/>
  <c r="U177" i="12" l="1"/>
  <c r="L178" i="12"/>
  <c r="V176" i="12"/>
  <c r="M177" i="12"/>
  <c r="V177" i="12" l="1"/>
  <c r="M178" i="12"/>
  <c r="U178" i="12"/>
  <c r="L179" i="12"/>
  <c r="V178" i="12" l="1"/>
  <c r="M179" i="12"/>
  <c r="U179" i="12"/>
  <c r="L180" i="12"/>
  <c r="U180" i="12" l="1"/>
  <c r="L181" i="12"/>
  <c r="V179" i="12"/>
  <c r="M180" i="12"/>
  <c r="U181" i="12" l="1"/>
  <c r="L182" i="12"/>
  <c r="V180" i="12"/>
  <c r="M181" i="12"/>
  <c r="V181" i="12" l="1"/>
  <c r="M182" i="12"/>
  <c r="U182" i="12"/>
  <c r="L183" i="12"/>
  <c r="U183" i="12" l="1"/>
  <c r="L184" i="12"/>
  <c r="V182" i="12"/>
  <c r="M183" i="12"/>
  <c r="V183" i="12" l="1"/>
  <c r="M184" i="12"/>
  <c r="U184" i="12"/>
  <c r="L185" i="12"/>
  <c r="U185" i="12" l="1"/>
  <c r="L186" i="12"/>
  <c r="V184" i="12"/>
  <c r="M185" i="12"/>
  <c r="V185" i="12" l="1"/>
  <c r="M186" i="12"/>
  <c r="U186" i="12"/>
  <c r="L187" i="12"/>
  <c r="U187" i="12" l="1"/>
  <c r="L188" i="12"/>
  <c r="V186" i="12"/>
  <c r="M187" i="12"/>
  <c r="V187" i="12" l="1"/>
  <c r="M188" i="12"/>
  <c r="U188" i="12"/>
  <c r="L189" i="12"/>
  <c r="U189" i="12" l="1"/>
  <c r="L190" i="12"/>
  <c r="V188" i="12"/>
  <c r="M189" i="12"/>
  <c r="V189" i="12" l="1"/>
  <c r="M190" i="12"/>
  <c r="U190" i="12"/>
  <c r="L191" i="12"/>
  <c r="U191" i="12" l="1"/>
  <c r="L192" i="12"/>
  <c r="V190" i="12"/>
  <c r="M191" i="12"/>
  <c r="V191" i="12" l="1"/>
  <c r="M192" i="12"/>
  <c r="U192" i="12"/>
  <c r="L193" i="12"/>
  <c r="U193" i="12" l="1"/>
  <c r="L194" i="12"/>
  <c r="V192" i="12"/>
  <c r="M193" i="12"/>
  <c r="V193" i="12" l="1"/>
  <c r="M194" i="12"/>
  <c r="U194" i="12"/>
  <c r="L195" i="12"/>
  <c r="V194" i="12" l="1"/>
  <c r="M195" i="12"/>
  <c r="U195" i="12"/>
  <c r="L196" i="12"/>
  <c r="U196" i="12" l="1"/>
  <c r="L197" i="12"/>
  <c r="V195" i="12"/>
  <c r="M196" i="12"/>
  <c r="U197" i="12" l="1"/>
  <c r="L198" i="12"/>
  <c r="V196" i="12"/>
  <c r="M197" i="12"/>
  <c r="V197" i="12" l="1"/>
  <c r="M198" i="12"/>
  <c r="U198" i="12"/>
  <c r="E158" i="9" s="1"/>
  <c r="L199" i="12"/>
  <c r="U199" i="12" l="1"/>
  <c r="L200" i="12"/>
  <c r="V198" i="12"/>
  <c r="F158" i="9" s="1"/>
  <c r="M199" i="12"/>
  <c r="V199" i="12" l="1"/>
  <c r="M200" i="12"/>
  <c r="U200" i="12"/>
  <c r="L201" i="12"/>
  <c r="U201" i="12" l="1"/>
  <c r="L202" i="12"/>
  <c r="V200" i="12"/>
  <c r="M201" i="12"/>
  <c r="V201" i="12" l="1"/>
  <c r="M202" i="12"/>
  <c r="U202" i="12"/>
  <c r="L203" i="12"/>
  <c r="U203" i="12" l="1"/>
  <c r="L204" i="12"/>
  <c r="V202" i="12"/>
  <c r="M203" i="12"/>
  <c r="V203" i="12" l="1"/>
  <c r="M204" i="12"/>
  <c r="U204" i="12"/>
  <c r="L205" i="12"/>
  <c r="U205" i="12" l="1"/>
  <c r="L206" i="12"/>
  <c r="V204" i="12"/>
  <c r="M205" i="12"/>
  <c r="V205" i="12" l="1"/>
  <c r="M206" i="12"/>
  <c r="U206" i="12"/>
  <c r="L207" i="12"/>
  <c r="U207" i="12" l="1"/>
  <c r="L208" i="12"/>
  <c r="V206" i="12"/>
  <c r="M207" i="12"/>
  <c r="V207" i="12" l="1"/>
  <c r="M208" i="12"/>
  <c r="U208" i="12"/>
  <c r="L209" i="12"/>
  <c r="U209" i="12" l="1"/>
  <c r="L210" i="12"/>
  <c r="V208" i="12"/>
  <c r="M209" i="12"/>
  <c r="V209" i="12" l="1"/>
  <c r="M210" i="12"/>
  <c r="U210" i="12"/>
  <c r="L211" i="12"/>
  <c r="U211" i="12" l="1"/>
  <c r="L212" i="12"/>
  <c r="V210" i="12"/>
  <c r="M211" i="12"/>
  <c r="U212" i="12" l="1"/>
  <c r="L213" i="12"/>
  <c r="V211" i="12"/>
  <c r="M212" i="12"/>
  <c r="U213" i="12" l="1"/>
  <c r="L214" i="12"/>
  <c r="V212" i="12"/>
  <c r="M213" i="12"/>
  <c r="U214" i="12" l="1"/>
  <c r="L215" i="12"/>
  <c r="V213" i="12"/>
  <c r="M214" i="12"/>
  <c r="V214" i="12" l="1"/>
  <c r="M215" i="12"/>
  <c r="U215" i="12"/>
  <c r="L216" i="12"/>
  <c r="U216" i="12" l="1"/>
  <c r="L217" i="12"/>
  <c r="V215" i="12"/>
  <c r="M216" i="12"/>
  <c r="V216" i="12" l="1"/>
  <c r="M217" i="12"/>
  <c r="U217" i="12"/>
  <c r="L218" i="12"/>
  <c r="U218" i="12" l="1"/>
  <c r="L219" i="12"/>
  <c r="V217" i="12"/>
  <c r="M218" i="12"/>
  <c r="V218" i="12" l="1"/>
  <c r="M219" i="12"/>
  <c r="U219" i="12"/>
  <c r="L220" i="12"/>
  <c r="U220" i="12" l="1"/>
  <c r="L221" i="12"/>
  <c r="V219" i="12"/>
  <c r="M220" i="12"/>
  <c r="V220" i="12" l="1"/>
  <c r="M221" i="12"/>
  <c r="U221" i="12"/>
  <c r="L222" i="12"/>
  <c r="V221" i="12" l="1"/>
  <c r="M222" i="12"/>
  <c r="U222" i="12"/>
  <c r="L223" i="12"/>
  <c r="V222" i="12" l="1"/>
  <c r="M223" i="12"/>
  <c r="U223" i="12"/>
  <c r="L224" i="12"/>
  <c r="U224" i="12" l="1"/>
  <c r="L225" i="12"/>
  <c r="V223" i="12"/>
  <c r="M224" i="12"/>
  <c r="V224" i="12" l="1"/>
  <c r="M225" i="12"/>
  <c r="U225" i="12"/>
  <c r="L226" i="12"/>
  <c r="U226" i="12" l="1"/>
  <c r="L227" i="12"/>
  <c r="V225" i="12"/>
  <c r="M226" i="12"/>
  <c r="V226" i="12" l="1"/>
  <c r="M227" i="12"/>
  <c r="U227" i="12"/>
  <c r="L228" i="12"/>
  <c r="U228" i="12" l="1"/>
  <c r="L229" i="12"/>
  <c r="V227" i="12"/>
  <c r="M228" i="12"/>
  <c r="V228" i="12" l="1"/>
  <c r="M229" i="12"/>
  <c r="U229" i="12"/>
  <c r="L230" i="12"/>
  <c r="U230" i="12" l="1"/>
  <c r="L231" i="12"/>
  <c r="V229" i="12"/>
  <c r="M230" i="12"/>
  <c r="V230" i="12" l="1"/>
  <c r="M231" i="12"/>
  <c r="U231" i="12"/>
  <c r="L232" i="12"/>
  <c r="V231" i="12" l="1"/>
  <c r="M232" i="12"/>
  <c r="U232" i="12"/>
  <c r="L233" i="12"/>
  <c r="U233" i="12" l="1"/>
  <c r="L234" i="12"/>
  <c r="V232" i="12"/>
  <c r="M233" i="12"/>
  <c r="V233" i="12" l="1"/>
  <c r="M234" i="12"/>
  <c r="U234" i="12"/>
  <c r="L235" i="12"/>
  <c r="U235" i="12" l="1"/>
  <c r="L236" i="12"/>
  <c r="V234" i="12"/>
  <c r="M235" i="12"/>
  <c r="V235" i="12" l="1"/>
  <c r="M236" i="12"/>
  <c r="U236" i="12"/>
  <c r="L237" i="12"/>
  <c r="U237" i="12" l="1"/>
  <c r="L238" i="12"/>
  <c r="V236" i="12"/>
  <c r="M237" i="12"/>
  <c r="V237" i="12" l="1"/>
  <c r="M238" i="12"/>
  <c r="U238" i="12"/>
  <c r="L239" i="12"/>
  <c r="U239" i="12" l="1"/>
  <c r="L240" i="12"/>
  <c r="V238" i="12"/>
  <c r="M239" i="12"/>
  <c r="V239" i="12" l="1"/>
  <c r="M240" i="12"/>
  <c r="U240" i="12"/>
  <c r="E159" i="9" s="1"/>
  <c r="L241" i="12"/>
  <c r="U241" i="12" l="1"/>
  <c r="L242" i="12"/>
  <c r="V240" i="12"/>
  <c r="F159" i="9" s="1"/>
  <c r="M241" i="12"/>
  <c r="V241" i="12" l="1"/>
  <c r="M242" i="12"/>
  <c r="U242" i="12"/>
  <c r="L243" i="12"/>
  <c r="U243" i="12" l="1"/>
  <c r="L244" i="12"/>
  <c r="V242" i="12"/>
  <c r="M243" i="12"/>
  <c r="V243" i="12" l="1"/>
  <c r="M244" i="12"/>
  <c r="U244" i="12"/>
  <c r="L245" i="12"/>
  <c r="U245" i="12" l="1"/>
  <c r="L246" i="12"/>
  <c r="V244" i="12"/>
  <c r="M245" i="12"/>
  <c r="V245" i="12" l="1"/>
  <c r="M246" i="12"/>
  <c r="U246" i="12"/>
  <c r="L247" i="12"/>
  <c r="U247" i="12" l="1"/>
  <c r="L248" i="12"/>
  <c r="V246" i="12"/>
  <c r="M247" i="12"/>
  <c r="V247" i="12" l="1"/>
  <c r="M248" i="12"/>
  <c r="U248" i="12"/>
  <c r="L249" i="12"/>
  <c r="U249" i="12" l="1"/>
  <c r="L250" i="12"/>
  <c r="V248" i="12"/>
  <c r="M249" i="12"/>
  <c r="V249" i="12" l="1"/>
  <c r="M250" i="12"/>
  <c r="U250" i="12"/>
  <c r="L251" i="12"/>
  <c r="U251" i="12" l="1"/>
  <c r="L252" i="12"/>
  <c r="V250" i="12"/>
  <c r="M251" i="12"/>
  <c r="V251" i="12" l="1"/>
  <c r="M252" i="12"/>
  <c r="U252" i="12"/>
  <c r="L253" i="12"/>
  <c r="U253" i="12" l="1"/>
  <c r="L254" i="12"/>
  <c r="V252" i="12"/>
  <c r="M253" i="12"/>
  <c r="V253" i="12" l="1"/>
  <c r="M254" i="12"/>
  <c r="U254" i="12"/>
  <c r="L255" i="12"/>
  <c r="U255" i="12" l="1"/>
  <c r="L256" i="12"/>
  <c r="V254" i="12"/>
  <c r="M255" i="12"/>
  <c r="V255" i="12" l="1"/>
  <c r="M256" i="12"/>
  <c r="U256" i="12"/>
  <c r="L257" i="12"/>
  <c r="V256" i="12" l="1"/>
  <c r="M257" i="12"/>
  <c r="U257" i="12"/>
  <c r="L258" i="12"/>
  <c r="U258" i="12" l="1"/>
  <c r="L259" i="12"/>
  <c r="V257" i="12"/>
  <c r="M258" i="12"/>
  <c r="V258" i="12" l="1"/>
  <c r="M259" i="12"/>
  <c r="U259" i="12"/>
  <c r="L260" i="12"/>
  <c r="U260" i="12" l="1"/>
  <c r="L261" i="12"/>
  <c r="V259" i="12"/>
  <c r="M260" i="12"/>
  <c r="V260" i="12" l="1"/>
  <c r="M261" i="12"/>
  <c r="U261" i="12"/>
  <c r="L262" i="12"/>
  <c r="U262" i="12" l="1"/>
  <c r="L263" i="12"/>
  <c r="V261" i="12"/>
  <c r="M262" i="12"/>
  <c r="V262" i="12" l="1"/>
  <c r="M263" i="12"/>
  <c r="U263" i="12"/>
  <c r="L264" i="12"/>
  <c r="U264" i="12" l="1"/>
  <c r="L265" i="12"/>
  <c r="V263" i="12"/>
  <c r="M264" i="12"/>
  <c r="V264" i="12" l="1"/>
  <c r="M265" i="12"/>
  <c r="U265" i="12"/>
  <c r="L266" i="12"/>
  <c r="U266" i="12" l="1"/>
  <c r="L267" i="12"/>
  <c r="V265" i="12"/>
  <c r="M266" i="12"/>
  <c r="V266" i="12" l="1"/>
  <c r="M267" i="12"/>
  <c r="U267" i="12"/>
  <c r="L268" i="12"/>
  <c r="U268" i="12" l="1"/>
  <c r="L269" i="12"/>
  <c r="V267" i="12"/>
  <c r="M268" i="12"/>
  <c r="U269" i="12" l="1"/>
  <c r="L270" i="12"/>
  <c r="V268" i="12"/>
  <c r="M269" i="12"/>
  <c r="U270" i="12" l="1"/>
  <c r="L271" i="12"/>
  <c r="V269" i="12"/>
  <c r="M270" i="12"/>
  <c r="V270" i="12" l="1"/>
  <c r="M271" i="12"/>
  <c r="U271" i="12"/>
  <c r="L272" i="12"/>
  <c r="U272" i="12" l="1"/>
  <c r="L273" i="12"/>
  <c r="V271" i="12"/>
  <c r="M272" i="12"/>
  <c r="V272" i="12" l="1"/>
  <c r="M273" i="12"/>
  <c r="U273" i="12"/>
  <c r="L274" i="12"/>
  <c r="U274" i="12" l="1"/>
  <c r="L275" i="12"/>
  <c r="V273" i="12"/>
  <c r="M274" i="12"/>
  <c r="V274" i="12" l="1"/>
  <c r="M275" i="12"/>
  <c r="U275" i="12"/>
  <c r="L276" i="12"/>
  <c r="U276" i="12" l="1"/>
  <c r="L277" i="12"/>
  <c r="V275" i="12"/>
  <c r="M276" i="12"/>
  <c r="V276" i="12" l="1"/>
  <c r="M277" i="12"/>
  <c r="U277" i="12"/>
  <c r="L278" i="12"/>
  <c r="U278" i="12" l="1"/>
  <c r="L279" i="12"/>
  <c r="V277" i="12"/>
  <c r="M278" i="12"/>
  <c r="V278" i="12" l="1"/>
  <c r="M279" i="12"/>
  <c r="U279" i="12"/>
  <c r="L280" i="12"/>
  <c r="U280" i="12" l="1"/>
  <c r="L281" i="12"/>
  <c r="V279" i="12"/>
  <c r="M280" i="12"/>
  <c r="V280" i="12" l="1"/>
  <c r="M281" i="12"/>
  <c r="U281" i="12"/>
  <c r="E160" i="9" s="1"/>
  <c r="L282" i="12"/>
  <c r="U282" i="12" l="1"/>
  <c r="L283" i="12"/>
  <c r="V281" i="12"/>
  <c r="F160" i="9" s="1"/>
  <c r="M282" i="12"/>
  <c r="V282" i="12" l="1"/>
  <c r="M283" i="12"/>
  <c r="U283" i="12"/>
  <c r="L284" i="12"/>
  <c r="U284" i="12" l="1"/>
  <c r="L285" i="12"/>
  <c r="V283" i="12"/>
  <c r="M284" i="12"/>
  <c r="V284" i="12" l="1"/>
  <c r="M285" i="12"/>
  <c r="U285" i="12"/>
  <c r="L286" i="12"/>
  <c r="U286" i="12" l="1"/>
  <c r="L287" i="12"/>
  <c r="V285" i="12"/>
  <c r="M286" i="12"/>
  <c r="V286" i="12" l="1"/>
  <c r="M287" i="12"/>
  <c r="U287" i="12"/>
  <c r="L288" i="12"/>
  <c r="U288" i="12" l="1"/>
  <c r="L289" i="12"/>
  <c r="V287" i="12"/>
  <c r="M288" i="12"/>
  <c r="V288" i="12" l="1"/>
  <c r="M289" i="12"/>
  <c r="U289" i="12"/>
  <c r="L290" i="12"/>
  <c r="U290" i="12" l="1"/>
  <c r="L291" i="12"/>
  <c r="V289" i="12"/>
  <c r="M290" i="12"/>
  <c r="V290" i="12" l="1"/>
  <c r="M291" i="12"/>
  <c r="U291" i="12"/>
  <c r="L292" i="12"/>
  <c r="U292" i="12" l="1"/>
  <c r="L293" i="12"/>
  <c r="V291" i="12"/>
  <c r="M292" i="12"/>
  <c r="V292" i="12" l="1"/>
  <c r="M293" i="12"/>
  <c r="U293" i="12"/>
  <c r="L294" i="12"/>
  <c r="U294" i="12" l="1"/>
  <c r="L295" i="12"/>
  <c r="V293" i="12"/>
  <c r="M294" i="12"/>
  <c r="V294" i="12" l="1"/>
  <c r="M295" i="12"/>
  <c r="U295" i="12"/>
  <c r="L296" i="12"/>
  <c r="U296" i="12" l="1"/>
  <c r="L297" i="12"/>
  <c r="V295" i="12"/>
  <c r="M296" i="12"/>
  <c r="V296" i="12" l="1"/>
  <c r="M297" i="12"/>
  <c r="U297" i="12"/>
  <c r="L298" i="12"/>
  <c r="U298" i="12" l="1"/>
  <c r="L299" i="12"/>
  <c r="V297" i="12"/>
  <c r="M298" i="12"/>
  <c r="V298" i="12" l="1"/>
  <c r="M299" i="12"/>
  <c r="U299" i="12"/>
  <c r="L300" i="12"/>
  <c r="U300" i="12" l="1"/>
  <c r="L301" i="12"/>
  <c r="V299" i="12"/>
  <c r="M300" i="12"/>
  <c r="V300" i="12" l="1"/>
  <c r="M301" i="12"/>
  <c r="U301" i="12"/>
  <c r="L302" i="12"/>
  <c r="U302" i="12" l="1"/>
  <c r="L303" i="12"/>
  <c r="V301" i="12"/>
  <c r="M302" i="12"/>
  <c r="V302" i="12" l="1"/>
  <c r="M303" i="12"/>
  <c r="U303" i="12"/>
  <c r="L304" i="12"/>
  <c r="U304" i="12" l="1"/>
  <c r="L305" i="12"/>
  <c r="V303" i="12"/>
  <c r="M304" i="12"/>
  <c r="V304" i="12" l="1"/>
  <c r="M305" i="12"/>
  <c r="U305" i="12"/>
  <c r="L306" i="12"/>
  <c r="U306" i="12" l="1"/>
  <c r="L307" i="12"/>
  <c r="V305" i="12"/>
  <c r="M306" i="12"/>
  <c r="V306" i="12" l="1"/>
  <c r="M307" i="12"/>
  <c r="U307" i="12"/>
  <c r="L308" i="12"/>
  <c r="U308" i="12" l="1"/>
  <c r="L309" i="12"/>
  <c r="V307" i="12"/>
  <c r="M308" i="12"/>
  <c r="V308" i="12" l="1"/>
  <c r="M309" i="12"/>
  <c r="U309" i="12"/>
  <c r="L310" i="12"/>
  <c r="U310" i="12" l="1"/>
  <c r="L311" i="12"/>
  <c r="V309" i="12"/>
  <c r="M310" i="12"/>
  <c r="V310" i="12" l="1"/>
  <c r="M311" i="12"/>
  <c r="U311" i="12"/>
  <c r="L312" i="12"/>
  <c r="U312" i="12" l="1"/>
  <c r="L313" i="12"/>
  <c r="V311" i="12"/>
  <c r="M312" i="12"/>
  <c r="V312" i="12" l="1"/>
  <c r="M313" i="12"/>
  <c r="U313" i="12"/>
  <c r="L314" i="12"/>
  <c r="U314" i="12" l="1"/>
  <c r="L315" i="12"/>
  <c r="V313" i="12"/>
  <c r="M314" i="12"/>
  <c r="V314" i="12" l="1"/>
  <c r="M315" i="12"/>
  <c r="U315" i="12"/>
  <c r="L316" i="12"/>
  <c r="V315" i="12" l="1"/>
  <c r="M316" i="12"/>
  <c r="U316" i="12"/>
  <c r="L317" i="12"/>
  <c r="V316" i="12" l="1"/>
  <c r="M317" i="12"/>
  <c r="U317" i="12"/>
  <c r="L318" i="12"/>
  <c r="U318" i="12" l="1"/>
  <c r="L319" i="12"/>
  <c r="V317" i="12"/>
  <c r="M318" i="12"/>
  <c r="V318" i="12" l="1"/>
  <c r="M319" i="12"/>
  <c r="U319" i="12"/>
  <c r="L320" i="12"/>
  <c r="U320" i="12" l="1"/>
  <c r="L321" i="12"/>
  <c r="V319" i="12"/>
  <c r="M320" i="12"/>
  <c r="V320" i="12" l="1"/>
  <c r="M321" i="12"/>
  <c r="U321" i="12"/>
  <c r="L322" i="12"/>
  <c r="U322" i="12" l="1"/>
  <c r="L323" i="12"/>
  <c r="V321" i="12"/>
  <c r="M322" i="12"/>
  <c r="V322" i="12" l="1"/>
  <c r="M323" i="12"/>
  <c r="U323" i="12"/>
  <c r="E161" i="9" s="1"/>
  <c r="L324" i="12"/>
  <c r="U324" i="12" l="1"/>
  <c r="L325" i="12"/>
  <c r="V323" i="12"/>
  <c r="F161" i="9" s="1"/>
  <c r="M324" i="12"/>
  <c r="V324" i="12" l="1"/>
  <c r="M325" i="12"/>
  <c r="U325" i="12"/>
  <c r="L326" i="12"/>
  <c r="U326" i="12" l="1"/>
  <c r="L327" i="12"/>
  <c r="V325" i="12"/>
  <c r="M326" i="12"/>
  <c r="V326" i="12" l="1"/>
  <c r="M327" i="12"/>
  <c r="U327" i="12"/>
  <c r="L328" i="12"/>
  <c r="U328" i="12" l="1"/>
  <c r="L329" i="12"/>
  <c r="V327" i="12"/>
  <c r="M328" i="12"/>
  <c r="V328" i="12" l="1"/>
  <c r="M329" i="12"/>
  <c r="U329" i="12"/>
  <c r="L330" i="12"/>
  <c r="U330" i="12" l="1"/>
  <c r="L331" i="12"/>
  <c r="V329" i="12"/>
  <c r="M330" i="12"/>
  <c r="V330" i="12" l="1"/>
  <c r="M331" i="12"/>
  <c r="U331" i="12"/>
  <c r="L332" i="12"/>
  <c r="U332" i="12" l="1"/>
  <c r="L333" i="12"/>
  <c r="V331" i="12"/>
  <c r="M332" i="12"/>
  <c r="V332" i="12" l="1"/>
  <c r="M333" i="12"/>
  <c r="U333" i="12"/>
  <c r="L334" i="12"/>
  <c r="U334" i="12" l="1"/>
  <c r="L335" i="12"/>
  <c r="V333" i="12"/>
  <c r="M334" i="12"/>
  <c r="V334" i="12" l="1"/>
  <c r="M335" i="12"/>
  <c r="U335" i="12"/>
  <c r="L336" i="12"/>
  <c r="U336" i="12" l="1"/>
  <c r="L337" i="12"/>
  <c r="V335" i="12"/>
  <c r="M336" i="12"/>
  <c r="V336" i="12" l="1"/>
  <c r="M337" i="12"/>
  <c r="U337" i="12"/>
  <c r="L338" i="12"/>
  <c r="U338" i="12" l="1"/>
  <c r="L339" i="12"/>
  <c r="V337" i="12"/>
  <c r="M338" i="12"/>
  <c r="V338" i="12" l="1"/>
  <c r="M339" i="12"/>
  <c r="U339" i="12"/>
  <c r="L340" i="12"/>
  <c r="U340" i="12" l="1"/>
  <c r="L341" i="12"/>
  <c r="V339" i="12"/>
  <c r="M340" i="12"/>
  <c r="V340" i="12" l="1"/>
  <c r="M341" i="12"/>
  <c r="U341" i="12"/>
  <c r="L342" i="12"/>
  <c r="U342" i="12" l="1"/>
  <c r="L343" i="12"/>
  <c r="V341" i="12"/>
  <c r="M342" i="12"/>
  <c r="V342" i="12" l="1"/>
  <c r="M343" i="12"/>
  <c r="U343" i="12"/>
  <c r="L344" i="12"/>
  <c r="U344" i="12" l="1"/>
  <c r="L345" i="12"/>
  <c r="V343" i="12"/>
  <c r="M344" i="12"/>
  <c r="V344" i="12" l="1"/>
  <c r="M345" i="12"/>
  <c r="U345" i="12"/>
  <c r="L346" i="12"/>
  <c r="U346" i="12" l="1"/>
  <c r="L347" i="12"/>
  <c r="V345" i="12"/>
  <c r="M346" i="12"/>
  <c r="V346" i="12" l="1"/>
  <c r="M347" i="12"/>
  <c r="U347" i="12"/>
  <c r="L348" i="12"/>
  <c r="U348" i="12" l="1"/>
  <c r="L349" i="12"/>
  <c r="V347" i="12"/>
  <c r="M348" i="12"/>
  <c r="V348" i="12" l="1"/>
  <c r="M349" i="12"/>
  <c r="U349" i="12"/>
  <c r="L350" i="12"/>
  <c r="U350" i="12" l="1"/>
  <c r="L351" i="12"/>
  <c r="V349" i="12"/>
  <c r="M350" i="12"/>
  <c r="V350" i="12" l="1"/>
  <c r="M351" i="12"/>
  <c r="U351" i="12"/>
  <c r="L352" i="12"/>
  <c r="U352" i="12" l="1"/>
  <c r="L353" i="12"/>
  <c r="V351" i="12"/>
  <c r="M352" i="12"/>
  <c r="V352" i="12" l="1"/>
  <c r="M353" i="12"/>
  <c r="U353" i="12"/>
  <c r="L354" i="12"/>
  <c r="U354" i="12" l="1"/>
  <c r="L355" i="12"/>
  <c r="V353" i="12"/>
  <c r="M354" i="12"/>
  <c r="V354" i="12" l="1"/>
  <c r="M355" i="12"/>
  <c r="U355" i="12"/>
  <c r="L356" i="12"/>
  <c r="U356" i="12" l="1"/>
  <c r="L357" i="12"/>
  <c r="V355" i="12"/>
  <c r="M356" i="12"/>
  <c r="V356" i="12" l="1"/>
  <c r="M357" i="12"/>
  <c r="U357" i="12"/>
  <c r="L358" i="12"/>
  <c r="U358" i="12" l="1"/>
  <c r="L359" i="12"/>
  <c r="V357" i="12"/>
  <c r="M358" i="12"/>
  <c r="V358" i="12" l="1"/>
  <c r="M359" i="12"/>
  <c r="U359" i="12"/>
  <c r="L360" i="12"/>
  <c r="U360" i="12" l="1"/>
  <c r="L361" i="12"/>
  <c r="V359" i="12"/>
  <c r="M360" i="12"/>
  <c r="V360" i="12" l="1"/>
  <c r="M361" i="12"/>
  <c r="U361" i="12"/>
  <c r="L362" i="12"/>
  <c r="U362" i="12" l="1"/>
  <c r="L363" i="12"/>
  <c r="V361" i="12"/>
  <c r="M362" i="12"/>
  <c r="V362" i="12" l="1"/>
  <c r="M363" i="12"/>
  <c r="U363" i="12"/>
  <c r="L364" i="12"/>
  <c r="V363" i="12" l="1"/>
  <c r="M364" i="12"/>
  <c r="U364" i="12"/>
  <c r="E162" i="9" s="1"/>
  <c r="L365" i="12"/>
  <c r="V364" i="12" l="1"/>
  <c r="F162" i="9" s="1"/>
  <c r="M365" i="12"/>
  <c r="U365" i="12"/>
  <c r="L366" i="12"/>
  <c r="U366" i="12" l="1"/>
  <c r="L367" i="12"/>
  <c r="V365" i="12"/>
  <c r="M366" i="12"/>
  <c r="V366" i="12" l="1"/>
  <c r="M367" i="12"/>
  <c r="U367" i="12"/>
  <c r="L368" i="12"/>
  <c r="U368" i="12" l="1"/>
  <c r="L369" i="12"/>
  <c r="V367" i="12"/>
  <c r="M368" i="12"/>
  <c r="V368" i="12" l="1"/>
  <c r="M369" i="12"/>
  <c r="U369" i="12"/>
  <c r="L370" i="12"/>
  <c r="U370" i="12" l="1"/>
  <c r="L371" i="12"/>
  <c r="V369" i="12"/>
  <c r="M370" i="12"/>
  <c r="V370" i="12" l="1"/>
  <c r="M371" i="12"/>
  <c r="U371" i="12"/>
  <c r="L372" i="12"/>
  <c r="U372" i="12" l="1"/>
  <c r="L373" i="12"/>
  <c r="V371" i="12"/>
  <c r="M372" i="12"/>
  <c r="V372" i="12" l="1"/>
  <c r="M373" i="12"/>
  <c r="U373" i="12"/>
  <c r="L374" i="12"/>
  <c r="V373" i="12" l="1"/>
  <c r="M374" i="12"/>
  <c r="U374" i="12"/>
  <c r="L375" i="12"/>
  <c r="U375" i="12" l="1"/>
  <c r="L376" i="12"/>
  <c r="V374" i="12"/>
  <c r="M375" i="12"/>
  <c r="V375" i="12" l="1"/>
  <c r="M376" i="12"/>
  <c r="U376" i="12"/>
  <c r="L377" i="12"/>
  <c r="U377" i="12" l="1"/>
  <c r="L378" i="12"/>
  <c r="V376" i="12"/>
  <c r="M377" i="12"/>
  <c r="V377" i="12" l="1"/>
  <c r="M378" i="12"/>
  <c r="U378" i="12"/>
  <c r="L379" i="12"/>
  <c r="U379" i="12" l="1"/>
  <c r="L380" i="12"/>
  <c r="V378" i="12"/>
  <c r="M379" i="12"/>
  <c r="V379" i="12" l="1"/>
  <c r="M380" i="12"/>
  <c r="U380" i="12"/>
  <c r="L381" i="12"/>
  <c r="U381" i="12" l="1"/>
  <c r="L382" i="12"/>
  <c r="V380" i="12"/>
  <c r="M381" i="12"/>
  <c r="V381" i="12" l="1"/>
  <c r="M382" i="12"/>
  <c r="U382" i="12"/>
  <c r="L383" i="12"/>
  <c r="U383" i="12" l="1"/>
  <c r="L384" i="12"/>
  <c r="V382" i="12"/>
  <c r="M383" i="12"/>
  <c r="V383" i="12" l="1"/>
  <c r="M384" i="12"/>
  <c r="U384" i="12"/>
  <c r="L385" i="12"/>
  <c r="U385" i="12" l="1"/>
  <c r="L386" i="12"/>
  <c r="V384" i="12"/>
  <c r="M385" i="12"/>
  <c r="V385" i="12" l="1"/>
  <c r="M386" i="12"/>
  <c r="U386" i="12"/>
  <c r="L387" i="12"/>
  <c r="U387" i="12" l="1"/>
  <c r="L388" i="12"/>
  <c r="V386" i="12"/>
  <c r="M387" i="12"/>
  <c r="V387" i="12" l="1"/>
  <c r="M388" i="12"/>
  <c r="U388" i="12"/>
  <c r="L389" i="12"/>
  <c r="U389" i="12" l="1"/>
  <c r="L390" i="12"/>
  <c r="V388" i="12"/>
  <c r="M389" i="12"/>
  <c r="V389" i="12" l="1"/>
  <c r="M390" i="12"/>
  <c r="U390" i="12"/>
  <c r="L391" i="12"/>
  <c r="U391" i="12" l="1"/>
  <c r="L392" i="12"/>
  <c r="V390" i="12"/>
  <c r="M391" i="12"/>
  <c r="V391" i="12" l="1"/>
  <c r="M392" i="12"/>
  <c r="U392" i="12"/>
  <c r="L393" i="12"/>
  <c r="U393" i="12" l="1"/>
  <c r="L394" i="12"/>
  <c r="V392" i="12"/>
  <c r="M393" i="12"/>
  <c r="V393" i="12" l="1"/>
  <c r="M394" i="12"/>
  <c r="U394" i="12"/>
  <c r="L395" i="12"/>
  <c r="U395" i="12" l="1"/>
  <c r="L396" i="12"/>
  <c r="V394" i="12"/>
  <c r="M395" i="12"/>
  <c r="V395" i="12" l="1"/>
  <c r="M396" i="12"/>
  <c r="U396" i="12"/>
  <c r="L397" i="12"/>
  <c r="U397" i="12" l="1"/>
  <c r="L398" i="12"/>
  <c r="V396" i="12"/>
  <c r="M397" i="12"/>
  <c r="V397" i="12" l="1"/>
  <c r="M398" i="12"/>
  <c r="U398" i="12"/>
  <c r="L399" i="12"/>
  <c r="U399" i="12" l="1"/>
  <c r="L400" i="12"/>
  <c r="V398" i="12"/>
  <c r="M399" i="12"/>
  <c r="V399" i="12" l="1"/>
  <c r="M400" i="12"/>
  <c r="U400" i="12"/>
  <c r="L401" i="12"/>
  <c r="U401" i="12" l="1"/>
  <c r="L402" i="12"/>
  <c r="V400" i="12"/>
  <c r="M401" i="12"/>
  <c r="V401" i="12" l="1"/>
  <c r="M402" i="12"/>
  <c r="U402" i="12"/>
  <c r="L403" i="12"/>
  <c r="U403" i="12" l="1"/>
  <c r="L404" i="12"/>
  <c r="V402" i="12"/>
  <c r="M403" i="12"/>
  <c r="V403" i="12" l="1"/>
  <c r="M404" i="12"/>
  <c r="U404" i="12"/>
  <c r="L405" i="12"/>
  <c r="U405" i="12" l="1"/>
  <c r="L406" i="12"/>
  <c r="V404" i="12"/>
  <c r="M405" i="12"/>
  <c r="V405" i="12" l="1"/>
  <c r="M406" i="12"/>
  <c r="U406" i="12"/>
  <c r="E163" i="9" s="1"/>
  <c r="L407" i="12"/>
  <c r="U407" i="12" l="1"/>
  <c r="L408" i="12"/>
  <c r="V406" i="12"/>
  <c r="F163" i="9" s="1"/>
  <c r="M407" i="12"/>
  <c r="V407" i="12" l="1"/>
  <c r="M408" i="12"/>
  <c r="U408" i="12"/>
  <c r="L409" i="12"/>
  <c r="U409" i="12" l="1"/>
  <c r="L410" i="12"/>
  <c r="V408" i="12"/>
  <c r="M409" i="12"/>
  <c r="V409" i="12" l="1"/>
  <c r="M410" i="12"/>
  <c r="U410" i="12"/>
  <c r="L411" i="12"/>
  <c r="V410" i="12" l="1"/>
  <c r="M411" i="12"/>
  <c r="U411" i="12"/>
  <c r="L412" i="12"/>
  <c r="V411" i="12" l="1"/>
  <c r="M412" i="12"/>
  <c r="U412" i="12"/>
  <c r="L413" i="12"/>
  <c r="U413" i="12" l="1"/>
  <c r="L414" i="12"/>
  <c r="V412" i="12"/>
  <c r="M413" i="12"/>
  <c r="V413" i="12" l="1"/>
  <c r="M414" i="12"/>
  <c r="U414" i="12"/>
  <c r="L415" i="12"/>
  <c r="U415" i="12" l="1"/>
  <c r="L416" i="12"/>
  <c r="V414" i="12"/>
  <c r="M415" i="12"/>
  <c r="V415" i="12" l="1"/>
  <c r="M416" i="12"/>
  <c r="U416" i="12"/>
  <c r="L417" i="12"/>
  <c r="U417" i="12" l="1"/>
  <c r="L418" i="12"/>
  <c r="V416" i="12"/>
  <c r="M417" i="12"/>
  <c r="V417" i="12" l="1"/>
  <c r="M418" i="12"/>
  <c r="U418" i="12"/>
  <c r="L419" i="12"/>
  <c r="U419" i="12" l="1"/>
  <c r="L420" i="12"/>
  <c r="V418" i="12"/>
  <c r="M419" i="12"/>
  <c r="V419" i="12" l="1"/>
  <c r="M420" i="12"/>
  <c r="U420" i="12"/>
  <c r="L421" i="12"/>
  <c r="U421" i="12" l="1"/>
  <c r="L422" i="12"/>
  <c r="V420" i="12"/>
  <c r="M421" i="12"/>
  <c r="V421" i="12" l="1"/>
  <c r="M422" i="12"/>
  <c r="U422" i="12"/>
  <c r="L423" i="12"/>
  <c r="U423" i="12" l="1"/>
  <c r="L424" i="12"/>
  <c r="V422" i="12"/>
  <c r="M423" i="12"/>
  <c r="V423" i="12" l="1"/>
  <c r="M424" i="12"/>
  <c r="U424" i="12"/>
  <c r="L425" i="12"/>
  <c r="U425" i="12" l="1"/>
  <c r="L426" i="12"/>
  <c r="V424" i="12"/>
  <c r="M425" i="12"/>
  <c r="U426" i="12" l="1"/>
  <c r="L427" i="12"/>
  <c r="V425" i="12"/>
  <c r="M426" i="12"/>
  <c r="V426" i="12" l="1"/>
  <c r="M427" i="12"/>
  <c r="U427" i="12"/>
  <c r="L428" i="12"/>
  <c r="U428" i="12" l="1"/>
  <c r="L429" i="12"/>
  <c r="V427" i="12"/>
  <c r="M428" i="12"/>
  <c r="V428" i="12" l="1"/>
  <c r="M429" i="12"/>
  <c r="U429" i="12"/>
  <c r="L430" i="12"/>
  <c r="U430" i="12" l="1"/>
  <c r="L431" i="12"/>
  <c r="V429" i="12"/>
  <c r="M430" i="12"/>
  <c r="V430" i="12" l="1"/>
  <c r="M431" i="12"/>
  <c r="U431" i="12"/>
  <c r="L432" i="12"/>
  <c r="U432" i="12" l="1"/>
  <c r="L433" i="12"/>
  <c r="V431" i="12"/>
  <c r="M432" i="12"/>
  <c r="V432" i="12" l="1"/>
  <c r="M433" i="12"/>
  <c r="U433" i="12"/>
  <c r="L434" i="12"/>
  <c r="U434" i="12" l="1"/>
  <c r="L435" i="12"/>
  <c r="V433" i="12"/>
  <c r="M434" i="12"/>
  <c r="V434" i="12" l="1"/>
  <c r="M435" i="12"/>
  <c r="U435" i="12"/>
  <c r="L436" i="12"/>
  <c r="U436" i="12" l="1"/>
  <c r="L437" i="12"/>
  <c r="V435" i="12"/>
  <c r="M436" i="12"/>
  <c r="V436" i="12" l="1"/>
  <c r="M437" i="12"/>
  <c r="U437" i="12"/>
  <c r="L438" i="12"/>
  <c r="U438" i="12" l="1"/>
  <c r="L439" i="12"/>
  <c r="V437" i="12"/>
  <c r="M438" i="12"/>
  <c r="V438" i="12" l="1"/>
  <c r="M439" i="12"/>
  <c r="U439" i="12"/>
  <c r="L440" i="12"/>
  <c r="U440" i="12" l="1"/>
  <c r="L441" i="12"/>
  <c r="V439" i="12"/>
  <c r="M440" i="12"/>
  <c r="V440" i="12" l="1"/>
  <c r="M441" i="12"/>
  <c r="U441" i="12"/>
  <c r="L442" i="12"/>
  <c r="U442" i="12" l="1"/>
  <c r="L443" i="12"/>
  <c r="V441" i="12"/>
  <c r="M442" i="12"/>
  <c r="V442" i="12" l="1"/>
  <c r="M443" i="12"/>
  <c r="U443" i="12"/>
  <c r="L444" i="12"/>
  <c r="U444" i="12" l="1"/>
  <c r="L445" i="12"/>
  <c r="V443" i="12"/>
  <c r="M444" i="12"/>
  <c r="V444" i="12" l="1"/>
  <c r="M445" i="12"/>
  <c r="U445" i="12"/>
  <c r="L446" i="12"/>
  <c r="U446" i="12" l="1"/>
  <c r="L447" i="12"/>
  <c r="V445" i="12"/>
  <c r="M446" i="12"/>
  <c r="U447" i="12" l="1"/>
  <c r="L448" i="12"/>
  <c r="V446" i="12"/>
  <c r="M447" i="12"/>
  <c r="F200" i="10" l="1"/>
  <c r="E100" i="10"/>
  <c r="V447" i="12"/>
  <c r="M448" i="12"/>
  <c r="U448" i="12"/>
  <c r="L449" i="12"/>
  <c r="U449" i="12" s="1"/>
  <c r="N28" i="12" l="1"/>
  <c r="E164" i="9"/>
  <c r="L450" i="12"/>
  <c r="U450" i="12" s="1"/>
  <c r="V448" i="12"/>
  <c r="F164" i="9" s="1"/>
  <c r="M449" i="12"/>
  <c r="V449" i="12" s="1"/>
  <c r="M450" i="12" l="1"/>
  <c r="V450" i="12" s="1"/>
  <c r="L451" i="12"/>
  <c r="U451" i="12" s="1"/>
  <c r="L452" i="12" l="1"/>
  <c r="U452" i="12" s="1"/>
  <c r="M451" i="12"/>
  <c r="V451" i="12" s="1"/>
  <c r="M452" i="12" l="1"/>
  <c r="V452" i="12" s="1"/>
  <c r="L453" i="12"/>
  <c r="U453" i="12" s="1"/>
  <c r="M453" i="12" l="1"/>
  <c r="V453" i="12" s="1"/>
  <c r="L454" i="12"/>
  <c r="U454" i="12" s="1"/>
  <c r="M454" i="12" l="1"/>
  <c r="V454" i="12" s="1"/>
  <c r="L455" i="12"/>
  <c r="U455" i="12" s="1"/>
  <c r="M455" i="12" l="1"/>
  <c r="V455" i="12" s="1"/>
  <c r="L456" i="12"/>
  <c r="U456" i="12" s="1"/>
  <c r="M456" i="12" l="1"/>
  <c r="V456" i="12" s="1"/>
  <c r="L457" i="12"/>
  <c r="U457" i="12" s="1"/>
  <c r="L458" i="12" l="1"/>
  <c r="U458" i="12" s="1"/>
  <c r="M457" i="12"/>
  <c r="V457" i="12" s="1"/>
  <c r="M458" i="12" l="1"/>
  <c r="V458" i="12" s="1"/>
  <c r="L459" i="12"/>
  <c r="U459" i="12" s="1"/>
  <c r="L460" i="12" l="1"/>
  <c r="U460" i="12" s="1"/>
  <c r="M459" i="12"/>
  <c r="V459" i="12" s="1"/>
  <c r="M460" i="12" l="1"/>
  <c r="V460" i="12" s="1"/>
  <c r="L461" i="12"/>
  <c r="U461" i="12" s="1"/>
  <c r="L462" i="12" l="1"/>
  <c r="U462" i="12" s="1"/>
  <c r="M461" i="12"/>
  <c r="V461" i="12" s="1"/>
  <c r="M462" i="12" l="1"/>
  <c r="V462" i="12" s="1"/>
  <c r="L463" i="12"/>
  <c r="U463" i="12" s="1"/>
  <c r="L464" i="12" l="1"/>
  <c r="M463" i="12"/>
  <c r="V463" i="12" s="1"/>
  <c r="U464" i="12" l="1"/>
  <c r="M464" i="12"/>
  <c r="L465" i="12"/>
  <c r="U465" i="12" s="1"/>
  <c r="E101" i="10" l="1"/>
  <c r="F201" i="10"/>
  <c r="F101" i="10"/>
  <c r="V464" i="12"/>
  <c r="L466" i="12"/>
  <c r="U466" i="12" s="1"/>
  <c r="M465" i="12"/>
  <c r="V465" i="12" s="1"/>
  <c r="F100" i="10" l="1"/>
  <c r="AD48" i="13"/>
  <c r="AN28" i="13"/>
  <c r="M445" i="13" s="1"/>
  <c r="AM28" i="13"/>
  <c r="L394" i="13" s="1"/>
  <c r="AL28" i="13"/>
  <c r="AO28" i="13"/>
  <c r="AP28" i="13"/>
  <c r="Z48" i="13"/>
  <c r="M466" i="12"/>
  <c r="V466" i="12" s="1"/>
  <c r="L467" i="12"/>
  <c r="H176" i="10" l="1"/>
  <c r="H171" i="10"/>
  <c r="L486" i="13"/>
  <c r="F486" i="13" s="1"/>
  <c r="L432" i="13"/>
  <c r="R432" i="13" s="1"/>
  <c r="L429" i="13"/>
  <c r="R429" i="13" s="1"/>
  <c r="L440" i="13"/>
  <c r="F440" i="13" s="1"/>
  <c r="L447" i="13"/>
  <c r="F447" i="13" s="1"/>
  <c r="L483" i="13"/>
  <c r="F483" i="13" s="1"/>
  <c r="M377" i="13"/>
  <c r="S377" i="13" s="1"/>
  <c r="M424" i="13"/>
  <c r="S424" i="13" s="1"/>
  <c r="M429" i="13"/>
  <c r="S429" i="13" s="1"/>
  <c r="M263" i="13"/>
  <c r="G263" i="13" s="1"/>
  <c r="M432" i="13"/>
  <c r="G432" i="13" s="1"/>
  <c r="M290" i="13"/>
  <c r="S290" i="13" s="1"/>
  <c r="M481" i="13"/>
  <c r="S481" i="13" s="1"/>
  <c r="M453" i="13"/>
  <c r="S453" i="13" s="1"/>
  <c r="M394" i="13"/>
  <c r="S394" i="13" s="1"/>
  <c r="M479" i="13"/>
  <c r="S479" i="13" s="1"/>
  <c r="M450" i="13"/>
  <c r="G450" i="13" s="1"/>
  <c r="M304" i="13"/>
  <c r="G304" i="13" s="1"/>
  <c r="M374" i="13"/>
  <c r="S374" i="13" s="1"/>
  <c r="M454" i="13"/>
  <c r="G454" i="13" s="1"/>
  <c r="M426" i="13"/>
  <c r="S426" i="13" s="1"/>
  <c r="M411" i="13"/>
  <c r="G411" i="13" s="1"/>
  <c r="M266" i="13"/>
  <c r="S266" i="13" s="1"/>
  <c r="M486" i="13"/>
  <c r="S486" i="13" s="1"/>
  <c r="M257" i="13"/>
  <c r="G257" i="13" s="1"/>
  <c r="M440" i="13"/>
  <c r="G440" i="13" s="1"/>
  <c r="M365" i="13"/>
  <c r="G365" i="13" s="1"/>
  <c r="M462" i="13"/>
  <c r="S462" i="13" s="1"/>
  <c r="M271" i="13"/>
  <c r="G271" i="13" s="1"/>
  <c r="M484" i="13"/>
  <c r="G484" i="13" s="1"/>
  <c r="M369" i="13"/>
  <c r="G369" i="13" s="1"/>
  <c r="M331" i="13"/>
  <c r="G331" i="13" s="1"/>
  <c r="M281" i="13"/>
  <c r="S281" i="13" s="1"/>
  <c r="M371" i="13"/>
  <c r="G371" i="13" s="1"/>
  <c r="M418" i="13"/>
  <c r="G418" i="13" s="1"/>
  <c r="M469" i="13"/>
  <c r="S469" i="13" s="1"/>
  <c r="M327" i="13"/>
  <c r="G327" i="13" s="1"/>
  <c r="M296" i="13"/>
  <c r="G296" i="13" s="1"/>
  <c r="M273" i="13"/>
  <c r="S273" i="13" s="1"/>
  <c r="M388" i="13"/>
  <c r="S388" i="13" s="1"/>
  <c r="M302" i="13"/>
  <c r="S302" i="13" s="1"/>
  <c r="M261" i="13"/>
  <c r="G261" i="13" s="1"/>
  <c r="M260" i="13"/>
  <c r="G260" i="13" s="1"/>
  <c r="M383" i="13"/>
  <c r="S383" i="13" s="1"/>
  <c r="M421" i="13"/>
  <c r="G421" i="13" s="1"/>
  <c r="M467" i="13"/>
  <c r="G467" i="13" s="1"/>
  <c r="M372" i="13"/>
  <c r="S372" i="13" s="1"/>
  <c r="M375" i="13"/>
  <c r="S375" i="13" s="1"/>
  <c r="M442" i="13"/>
  <c r="S442" i="13" s="1"/>
  <c r="M455" i="13"/>
  <c r="G455" i="13" s="1"/>
  <c r="M258" i="13"/>
  <c r="G258" i="13" s="1"/>
  <c r="M414" i="13"/>
  <c r="S414" i="13" s="1"/>
  <c r="M482" i="13"/>
  <c r="G482" i="13" s="1"/>
  <c r="M284" i="13"/>
  <c r="G284" i="13" s="1"/>
  <c r="M370" i="13"/>
  <c r="S370" i="13" s="1"/>
  <c r="M300" i="13"/>
  <c r="S300" i="13" s="1"/>
  <c r="M330" i="13"/>
  <c r="G330" i="13" s="1"/>
  <c r="M347" i="13"/>
  <c r="S347" i="13" s="1"/>
  <c r="M320" i="13"/>
  <c r="S320" i="13" s="1"/>
  <c r="M285" i="13"/>
  <c r="S285" i="13" s="1"/>
  <c r="M335" i="13"/>
  <c r="G335" i="13" s="1"/>
  <c r="M396" i="13"/>
  <c r="S396" i="13" s="1"/>
  <c r="M422" i="13"/>
  <c r="S422" i="13" s="1"/>
  <c r="M410" i="13"/>
  <c r="G410" i="13" s="1"/>
  <c r="M294" i="13"/>
  <c r="G294" i="13" s="1"/>
  <c r="M476" i="13"/>
  <c r="G476" i="13" s="1"/>
  <c r="M471" i="13"/>
  <c r="S471" i="13" s="1"/>
  <c r="M337" i="13"/>
  <c r="G337" i="13" s="1"/>
  <c r="M363" i="13"/>
  <c r="S363" i="13" s="1"/>
  <c r="M472" i="13"/>
  <c r="G472" i="13" s="1"/>
  <c r="M288" i="13"/>
  <c r="S288" i="13" s="1"/>
  <c r="M415" i="13"/>
  <c r="S415" i="13" s="1"/>
  <c r="M293" i="13"/>
  <c r="G293" i="13" s="1"/>
  <c r="M478" i="13"/>
  <c r="S478" i="13" s="1"/>
  <c r="M264" i="13"/>
  <c r="G264" i="13" s="1"/>
  <c r="M279" i="13"/>
  <c r="S279" i="13" s="1"/>
  <c r="M339" i="13"/>
  <c r="S339" i="13" s="1"/>
  <c r="M323" i="13"/>
  <c r="G323" i="13" s="1"/>
  <c r="M433" i="13"/>
  <c r="S433" i="13" s="1"/>
  <c r="M451" i="13"/>
  <c r="S451" i="13" s="1"/>
  <c r="M310" i="13"/>
  <c r="S310" i="13" s="1"/>
  <c r="M380" i="13"/>
  <c r="G380" i="13" s="1"/>
  <c r="M405" i="13"/>
  <c r="G405" i="13" s="1"/>
  <c r="M351" i="13"/>
  <c r="S351" i="13" s="1"/>
  <c r="M492" i="13"/>
  <c r="S492" i="13" s="1"/>
  <c r="M488" i="13"/>
  <c r="S488" i="13" s="1"/>
  <c r="M359" i="13"/>
  <c r="G359" i="13" s="1"/>
  <c r="M387" i="13"/>
  <c r="G387" i="13" s="1"/>
  <c r="M406" i="13"/>
  <c r="S406" i="13" s="1"/>
  <c r="M319" i="13"/>
  <c r="G319" i="13" s="1"/>
  <c r="M430" i="13"/>
  <c r="S430" i="13" s="1"/>
  <c r="M404" i="13"/>
  <c r="G404" i="13" s="1"/>
  <c r="M295" i="13"/>
  <c r="S295" i="13" s="1"/>
  <c r="M322" i="13"/>
  <c r="G322" i="13" s="1"/>
  <c r="M361" i="13"/>
  <c r="G361" i="13" s="1"/>
  <c r="M402" i="13"/>
  <c r="G402" i="13" s="1"/>
  <c r="M441" i="13"/>
  <c r="G441" i="13" s="1"/>
  <c r="M334" i="13"/>
  <c r="G334" i="13" s="1"/>
  <c r="M420" i="13"/>
  <c r="S420" i="13" s="1"/>
  <c r="M384" i="13"/>
  <c r="G384" i="13" s="1"/>
  <c r="M329" i="13"/>
  <c r="G329" i="13" s="1"/>
  <c r="M265" i="13"/>
  <c r="S265" i="13" s="1"/>
  <c r="M480" i="13"/>
  <c r="S480" i="13" s="1"/>
  <c r="M305" i="13"/>
  <c r="G305" i="13" s="1"/>
  <c r="M431" i="13"/>
  <c r="S431" i="13" s="1"/>
  <c r="M417" i="13"/>
  <c r="G417" i="13" s="1"/>
  <c r="M475" i="13"/>
  <c r="G475" i="13" s="1"/>
  <c r="M357" i="13"/>
  <c r="G357" i="13" s="1"/>
  <c r="M490" i="13"/>
  <c r="S490" i="13" s="1"/>
  <c r="M434" i="13"/>
  <c r="G434" i="13" s="1"/>
  <c r="M325" i="13"/>
  <c r="S325" i="13" s="1"/>
  <c r="M403" i="13"/>
  <c r="S403" i="13" s="1"/>
  <c r="M465" i="13"/>
  <c r="S465" i="13" s="1"/>
  <c r="M364" i="13"/>
  <c r="G364" i="13" s="1"/>
  <c r="M254" i="13"/>
  <c r="S254" i="13" s="1"/>
  <c r="M338" i="13"/>
  <c r="S338" i="13" s="1"/>
  <c r="M381" i="13"/>
  <c r="G381" i="13" s="1"/>
  <c r="M399" i="13"/>
  <c r="G399" i="13" s="1"/>
  <c r="M315" i="13"/>
  <c r="G315" i="13" s="1"/>
  <c r="M494" i="13"/>
  <c r="S494" i="13" s="1"/>
  <c r="M466" i="13"/>
  <c r="G466" i="13" s="1"/>
  <c r="M456" i="13"/>
  <c r="G456" i="13" s="1"/>
  <c r="M446" i="13"/>
  <c r="G446" i="13" s="1"/>
  <c r="M269" i="13"/>
  <c r="G269" i="13" s="1"/>
  <c r="M487" i="13"/>
  <c r="S487" i="13" s="1"/>
  <c r="M346" i="13"/>
  <c r="S346" i="13" s="1"/>
  <c r="M267" i="13"/>
  <c r="S267" i="13" s="1"/>
  <c r="M409" i="13"/>
  <c r="S409" i="13" s="1"/>
  <c r="M416" i="13"/>
  <c r="S416" i="13" s="1"/>
  <c r="M349" i="13"/>
  <c r="G349" i="13" s="1"/>
  <c r="M397" i="13"/>
  <c r="G397" i="13" s="1"/>
  <c r="M353" i="13"/>
  <c r="S353" i="13" s="1"/>
  <c r="M391" i="13"/>
  <c r="G391" i="13" s="1"/>
  <c r="M259" i="13"/>
  <c r="S259" i="13" s="1"/>
  <c r="M306" i="13"/>
  <c r="S306" i="13" s="1"/>
  <c r="M345" i="13"/>
  <c r="G345" i="13" s="1"/>
  <c r="M328" i="13"/>
  <c r="S328" i="13" s="1"/>
  <c r="AM27" i="13"/>
  <c r="AP27" i="13"/>
  <c r="AO27" i="13"/>
  <c r="Z47" i="13"/>
  <c r="AD47" i="13"/>
  <c r="AL27" i="13"/>
  <c r="AN27" i="13"/>
  <c r="M308" i="13"/>
  <c r="S308" i="13" s="1"/>
  <c r="M255" i="13"/>
  <c r="G255" i="13" s="1"/>
  <c r="M443" i="13"/>
  <c r="S443" i="13" s="1"/>
  <c r="M457" i="13"/>
  <c r="G457" i="13" s="1"/>
  <c r="M477" i="13"/>
  <c r="G477" i="13" s="1"/>
  <c r="M297" i="13"/>
  <c r="G297" i="13" s="1"/>
  <c r="M276" i="13"/>
  <c r="S276" i="13" s="1"/>
  <c r="M253" i="13"/>
  <c r="S253" i="13" s="1"/>
  <c r="M400" i="13"/>
  <c r="S400" i="13" s="1"/>
  <c r="M385" i="13"/>
  <c r="S385" i="13" s="1"/>
  <c r="M489" i="13"/>
  <c r="S489" i="13" s="1"/>
  <c r="M368" i="13"/>
  <c r="G368" i="13" s="1"/>
  <c r="M393" i="13"/>
  <c r="S393" i="13" s="1"/>
  <c r="M342" i="13"/>
  <c r="G342" i="13" s="1"/>
  <c r="M366" i="13"/>
  <c r="G366" i="13" s="1"/>
  <c r="M278" i="13"/>
  <c r="G278" i="13" s="1"/>
  <c r="M324" i="13"/>
  <c r="G324" i="13" s="1"/>
  <c r="M376" i="13"/>
  <c r="S376" i="13" s="1"/>
  <c r="M317" i="13"/>
  <c r="G317" i="13" s="1"/>
  <c r="M299" i="13"/>
  <c r="G299" i="13" s="1"/>
  <c r="M355" i="13"/>
  <c r="G355" i="13" s="1"/>
  <c r="M280" i="13"/>
  <c r="G280" i="13" s="1"/>
  <c r="M398" i="13"/>
  <c r="G398" i="13" s="1"/>
  <c r="M413" i="13"/>
  <c r="G413" i="13" s="1"/>
  <c r="M390" i="13"/>
  <c r="S390" i="13" s="1"/>
  <c r="M354" i="13"/>
  <c r="S354" i="13" s="1"/>
  <c r="M277" i="13"/>
  <c r="G277" i="13" s="1"/>
  <c r="M412" i="13"/>
  <c r="G412" i="13" s="1"/>
  <c r="M348" i="13"/>
  <c r="S348" i="13" s="1"/>
  <c r="M423" i="13"/>
  <c r="G423" i="13" s="1"/>
  <c r="M452" i="13"/>
  <c r="S452" i="13" s="1"/>
  <c r="M438" i="13"/>
  <c r="G438" i="13" s="1"/>
  <c r="M449" i="13"/>
  <c r="S449" i="13" s="1"/>
  <c r="M401" i="13"/>
  <c r="G401" i="13" s="1"/>
  <c r="M314" i="13"/>
  <c r="S314" i="13" s="1"/>
  <c r="M495" i="13"/>
  <c r="S495" i="13" s="1"/>
  <c r="M268" i="13"/>
  <c r="S268" i="13" s="1"/>
  <c r="M428" i="13"/>
  <c r="G428" i="13" s="1"/>
  <c r="M333" i="13"/>
  <c r="G333" i="13" s="1"/>
  <c r="M448" i="13"/>
  <c r="G448" i="13" s="1"/>
  <c r="M270" i="13"/>
  <c r="G270" i="13" s="1"/>
  <c r="M460" i="13"/>
  <c r="G460" i="13" s="1"/>
  <c r="M463" i="13"/>
  <c r="S463" i="13" s="1"/>
  <c r="M378" i="13"/>
  <c r="G378" i="13" s="1"/>
  <c r="M473" i="13"/>
  <c r="G473" i="13" s="1"/>
  <c r="M389" i="13"/>
  <c r="G389" i="13" s="1"/>
  <c r="M395" i="13"/>
  <c r="S395" i="13" s="1"/>
  <c r="M286" i="13"/>
  <c r="S286" i="13" s="1"/>
  <c r="M309" i="13"/>
  <c r="G309" i="13" s="1"/>
  <c r="M362" i="13"/>
  <c r="G362" i="13" s="1"/>
  <c r="M459" i="13"/>
  <c r="G459" i="13" s="1"/>
  <c r="M336" i="13"/>
  <c r="G336" i="13" s="1"/>
  <c r="M303" i="13"/>
  <c r="S303" i="13" s="1"/>
  <c r="M470" i="13"/>
  <c r="G470" i="13" s="1"/>
  <c r="M301" i="13"/>
  <c r="G301" i="13" s="1"/>
  <c r="M474" i="13"/>
  <c r="G474" i="13" s="1"/>
  <c r="M332" i="13"/>
  <c r="G332" i="13" s="1"/>
  <c r="M313" i="13"/>
  <c r="G313" i="13" s="1"/>
  <c r="M382" i="13"/>
  <c r="S382" i="13" s="1"/>
  <c r="M298" i="13"/>
  <c r="G298" i="13" s="1"/>
  <c r="M444" i="13"/>
  <c r="G444" i="13" s="1"/>
  <c r="M318" i="13"/>
  <c r="G318" i="13" s="1"/>
  <c r="M307" i="13"/>
  <c r="S307" i="13" s="1"/>
  <c r="M392" i="13"/>
  <c r="S392" i="13" s="1"/>
  <c r="M419" i="13"/>
  <c r="S419" i="13" s="1"/>
  <c r="M326" i="13"/>
  <c r="S326" i="13" s="1"/>
  <c r="M356" i="13"/>
  <c r="G356" i="13" s="1"/>
  <c r="M408" i="13"/>
  <c r="G408" i="13" s="1"/>
  <c r="M483" i="13"/>
  <c r="S483" i="13" s="1"/>
  <c r="M291" i="13"/>
  <c r="G291" i="13" s="1"/>
  <c r="M350" i="13"/>
  <c r="S350" i="13" s="1"/>
  <c r="M447" i="13"/>
  <c r="G447" i="13" s="1"/>
  <c r="M458" i="13"/>
  <c r="G458" i="13" s="1"/>
  <c r="M379" i="13"/>
  <c r="G379" i="13" s="1"/>
  <c r="M283" i="13"/>
  <c r="G283" i="13" s="1"/>
  <c r="M352" i="13"/>
  <c r="G352" i="13" s="1"/>
  <c r="M360" i="13"/>
  <c r="S360" i="13" s="1"/>
  <c r="M275" i="13"/>
  <c r="G275" i="13" s="1"/>
  <c r="M274" i="13"/>
  <c r="S274" i="13" s="1"/>
  <c r="M256" i="13"/>
  <c r="G256" i="13" s="1"/>
  <c r="M341" i="13"/>
  <c r="S341" i="13" s="1"/>
  <c r="M491" i="13"/>
  <c r="G491" i="13" s="1"/>
  <c r="M425" i="13"/>
  <c r="S425" i="13" s="1"/>
  <c r="M493" i="13"/>
  <c r="G493" i="13" s="1"/>
  <c r="M340" i="13"/>
  <c r="S340" i="13" s="1"/>
  <c r="M343" i="13"/>
  <c r="S343" i="13" s="1"/>
  <c r="M282" i="13"/>
  <c r="G282" i="13" s="1"/>
  <c r="M272" i="13"/>
  <c r="G272" i="13" s="1"/>
  <c r="M437" i="13"/>
  <c r="S437" i="13" s="1"/>
  <c r="M373" i="13"/>
  <c r="S373" i="13" s="1"/>
  <c r="M316" i="13"/>
  <c r="S316" i="13" s="1"/>
  <c r="M436" i="13"/>
  <c r="G436" i="13" s="1"/>
  <c r="M262" i="13"/>
  <c r="S262" i="13" s="1"/>
  <c r="M287" i="13"/>
  <c r="S287" i="13" s="1"/>
  <c r="M344" i="13"/>
  <c r="S344" i="13" s="1"/>
  <c r="M439" i="13"/>
  <c r="G439" i="13" s="1"/>
  <c r="M311" i="13"/>
  <c r="S311" i="13" s="1"/>
  <c r="M312" i="13"/>
  <c r="S312" i="13" s="1"/>
  <c r="L289" i="13"/>
  <c r="R289" i="13" s="1"/>
  <c r="L381" i="13"/>
  <c r="F381" i="13" s="1"/>
  <c r="L348" i="13"/>
  <c r="R348" i="13" s="1"/>
  <c r="L374" i="13"/>
  <c r="R374" i="13" s="1"/>
  <c r="L255" i="13"/>
  <c r="R255" i="13" s="1"/>
  <c r="L409" i="13"/>
  <c r="F409" i="13" s="1"/>
  <c r="L274" i="13"/>
  <c r="R274" i="13" s="1"/>
  <c r="L266" i="13"/>
  <c r="F266" i="13" s="1"/>
  <c r="L278" i="13"/>
  <c r="F278" i="13" s="1"/>
  <c r="L257" i="13"/>
  <c r="F257" i="13" s="1"/>
  <c r="L301" i="13"/>
  <c r="R301" i="13" s="1"/>
  <c r="L343" i="13"/>
  <c r="R343" i="13" s="1"/>
  <c r="L406" i="13"/>
  <c r="F406" i="13" s="1"/>
  <c r="L487" i="13"/>
  <c r="F487" i="13" s="1"/>
  <c r="L312" i="13"/>
  <c r="F312" i="13" s="1"/>
  <c r="L365" i="13"/>
  <c r="R365" i="13" s="1"/>
  <c r="L373" i="13"/>
  <c r="R373" i="13" s="1"/>
  <c r="L356" i="13"/>
  <c r="F356" i="13" s="1"/>
  <c r="M435" i="13"/>
  <c r="S435" i="13" s="1"/>
  <c r="M358" i="13"/>
  <c r="S358" i="13" s="1"/>
  <c r="M292" i="13"/>
  <c r="G292" i="13" s="1"/>
  <c r="M386" i="13"/>
  <c r="G386" i="13" s="1"/>
  <c r="M407" i="13"/>
  <c r="G407" i="13" s="1"/>
  <c r="M461" i="13"/>
  <c r="G461" i="13" s="1"/>
  <c r="M468" i="13"/>
  <c r="G468" i="13" s="1"/>
  <c r="M464" i="13"/>
  <c r="G464" i="13" s="1"/>
  <c r="M289" i="13"/>
  <c r="G289" i="13" s="1"/>
  <c r="M321" i="13"/>
  <c r="G321" i="13" s="1"/>
  <c r="M367" i="13"/>
  <c r="S367" i="13" s="1"/>
  <c r="M427" i="13"/>
  <c r="S427" i="13" s="1"/>
  <c r="M485" i="13"/>
  <c r="G485" i="13" s="1"/>
  <c r="L390" i="13"/>
  <c r="R390" i="13" s="1"/>
  <c r="L418" i="13"/>
  <c r="R418" i="13" s="1"/>
  <c r="L425" i="13"/>
  <c r="R425" i="13" s="1"/>
  <c r="L369" i="13"/>
  <c r="F369" i="13" s="1"/>
  <c r="L384" i="13"/>
  <c r="R384" i="13" s="1"/>
  <c r="L378" i="13"/>
  <c r="F378" i="13" s="1"/>
  <c r="L332" i="13"/>
  <c r="R332" i="13" s="1"/>
  <c r="L413" i="13"/>
  <c r="R413" i="13" s="1"/>
  <c r="L349" i="13"/>
  <c r="F349" i="13" s="1"/>
  <c r="L352" i="13"/>
  <c r="R352" i="13" s="1"/>
  <c r="L281" i="13"/>
  <c r="R281" i="13" s="1"/>
  <c r="L375" i="13"/>
  <c r="R375" i="13" s="1"/>
  <c r="L329" i="13"/>
  <c r="F329" i="13" s="1"/>
  <c r="L306" i="13"/>
  <c r="F306" i="13" s="1"/>
  <c r="L463" i="13"/>
  <c r="R463" i="13" s="1"/>
  <c r="L396" i="13"/>
  <c r="F396" i="13" s="1"/>
  <c r="L305" i="13"/>
  <c r="F305" i="13" s="1"/>
  <c r="L280" i="13"/>
  <c r="R280" i="13" s="1"/>
  <c r="L480" i="13"/>
  <c r="F480" i="13" s="1"/>
  <c r="L459" i="13"/>
  <c r="R459" i="13" s="1"/>
  <c r="L300" i="13"/>
  <c r="R300" i="13" s="1"/>
  <c r="L288" i="13"/>
  <c r="R288" i="13" s="1"/>
  <c r="L265" i="13"/>
  <c r="F265" i="13" s="1"/>
  <c r="L382" i="13"/>
  <c r="F382" i="13" s="1"/>
  <c r="L468" i="13"/>
  <c r="R468" i="13" s="1"/>
  <c r="L297" i="13"/>
  <c r="R297" i="13" s="1"/>
  <c r="L444" i="13"/>
  <c r="F444" i="13" s="1"/>
  <c r="L445" i="13"/>
  <c r="F445" i="13" s="1"/>
  <c r="L299" i="13"/>
  <c r="F299" i="13" s="1"/>
  <c r="L303" i="13"/>
  <c r="R303" i="13" s="1"/>
  <c r="L401" i="13"/>
  <c r="F401" i="13" s="1"/>
  <c r="L293" i="13"/>
  <c r="F293" i="13" s="1"/>
  <c r="L460" i="13"/>
  <c r="R460" i="13" s="1"/>
  <c r="L296" i="13"/>
  <c r="F296" i="13" s="1"/>
  <c r="L488" i="13"/>
  <c r="F488" i="13" s="1"/>
  <c r="L313" i="13"/>
  <c r="F313" i="13" s="1"/>
  <c r="L371" i="13"/>
  <c r="F371" i="13" s="1"/>
  <c r="L359" i="13"/>
  <c r="F359" i="13" s="1"/>
  <c r="L290" i="13"/>
  <c r="F290" i="13" s="1"/>
  <c r="L454" i="13"/>
  <c r="F454" i="13" s="1"/>
  <c r="L323" i="13"/>
  <c r="R323" i="13" s="1"/>
  <c r="L311" i="13"/>
  <c r="R311" i="13" s="1"/>
  <c r="L462" i="13"/>
  <c r="F462" i="13" s="1"/>
  <c r="L436" i="13"/>
  <c r="F436" i="13" s="1"/>
  <c r="L471" i="13"/>
  <c r="F471" i="13" s="1"/>
  <c r="L363" i="13"/>
  <c r="R363" i="13" s="1"/>
  <c r="L412" i="13"/>
  <c r="R412" i="13" s="1"/>
  <c r="L416" i="13"/>
  <c r="R416" i="13" s="1"/>
  <c r="L400" i="13"/>
  <c r="F400" i="13" s="1"/>
  <c r="L399" i="13"/>
  <c r="F399" i="13" s="1"/>
  <c r="L493" i="13"/>
  <c r="R493" i="13" s="1"/>
  <c r="L474" i="13"/>
  <c r="R474" i="13" s="1"/>
  <c r="L417" i="13"/>
  <c r="R417" i="13" s="1"/>
  <c r="L294" i="13"/>
  <c r="F294" i="13" s="1"/>
  <c r="L325" i="13"/>
  <c r="R325" i="13" s="1"/>
  <c r="L333" i="13"/>
  <c r="R333" i="13" s="1"/>
  <c r="L428" i="13"/>
  <c r="F428" i="13" s="1"/>
  <c r="L350" i="13"/>
  <c r="R350" i="13" s="1"/>
  <c r="L351" i="13"/>
  <c r="R351" i="13" s="1"/>
  <c r="L367" i="13"/>
  <c r="R367" i="13" s="1"/>
  <c r="L358" i="13"/>
  <c r="R358" i="13" s="1"/>
  <c r="L324" i="13"/>
  <c r="R324" i="13" s="1"/>
  <c r="L283" i="13"/>
  <c r="R283" i="13" s="1"/>
  <c r="L336" i="13"/>
  <c r="R336" i="13" s="1"/>
  <c r="L366" i="13"/>
  <c r="F366" i="13" s="1"/>
  <c r="L340" i="13"/>
  <c r="F340" i="13" s="1"/>
  <c r="L465" i="13"/>
  <c r="R465" i="13" s="1"/>
  <c r="L423" i="13"/>
  <c r="R423" i="13" s="1"/>
  <c r="L395" i="13"/>
  <c r="R395" i="13" s="1"/>
  <c r="L380" i="13"/>
  <c r="F380" i="13" s="1"/>
  <c r="L473" i="13"/>
  <c r="R473" i="13" s="1"/>
  <c r="L262" i="13"/>
  <c r="F262" i="13" s="1"/>
  <c r="L438" i="13"/>
  <c r="R438" i="13" s="1"/>
  <c r="L355" i="13"/>
  <c r="R355" i="13" s="1"/>
  <c r="L286" i="13"/>
  <c r="R286" i="13" s="1"/>
  <c r="L414" i="13"/>
  <c r="R414" i="13" s="1"/>
  <c r="L326" i="13"/>
  <c r="R326" i="13" s="1"/>
  <c r="L318" i="13"/>
  <c r="F318" i="13" s="1"/>
  <c r="L441" i="13"/>
  <c r="R441" i="13" s="1"/>
  <c r="L307" i="13"/>
  <c r="R307" i="13" s="1"/>
  <c r="L407" i="13"/>
  <c r="F407" i="13" s="1"/>
  <c r="L420" i="13"/>
  <c r="R420" i="13" s="1"/>
  <c r="L451" i="13"/>
  <c r="F451" i="13" s="1"/>
  <c r="L439" i="13"/>
  <c r="R439" i="13" s="1"/>
  <c r="L448" i="13"/>
  <c r="R448" i="13" s="1"/>
  <c r="L344" i="13"/>
  <c r="R344" i="13" s="1"/>
  <c r="L410" i="13"/>
  <c r="R410" i="13" s="1"/>
  <c r="L434" i="13"/>
  <c r="F434" i="13" s="1"/>
  <c r="L446" i="13"/>
  <c r="R446" i="13" s="1"/>
  <c r="L456" i="13"/>
  <c r="F456" i="13" s="1"/>
  <c r="L331" i="13"/>
  <c r="R331" i="13" s="1"/>
  <c r="L315" i="13"/>
  <c r="F315" i="13" s="1"/>
  <c r="L347" i="13"/>
  <c r="R347" i="13" s="1"/>
  <c r="L403" i="13"/>
  <c r="F403" i="13" s="1"/>
  <c r="L490" i="13"/>
  <c r="F490" i="13" s="1"/>
  <c r="L328" i="13"/>
  <c r="R328" i="13" s="1"/>
  <c r="L426" i="13"/>
  <c r="F426" i="13" s="1"/>
  <c r="L435" i="13"/>
  <c r="F435" i="13" s="1"/>
  <c r="L256" i="13"/>
  <c r="F256" i="13" s="1"/>
  <c r="L388" i="13"/>
  <c r="R388" i="13" s="1"/>
  <c r="L264" i="13"/>
  <c r="R264" i="13" s="1"/>
  <c r="L476" i="13"/>
  <c r="R476" i="13" s="1"/>
  <c r="L461" i="13"/>
  <c r="R461" i="13" s="1"/>
  <c r="L442" i="13"/>
  <c r="F442" i="13" s="1"/>
  <c r="L449" i="13"/>
  <c r="F449" i="13" s="1"/>
  <c r="L453" i="13"/>
  <c r="R453" i="13" s="1"/>
  <c r="L391" i="13"/>
  <c r="F391" i="13" s="1"/>
  <c r="L422" i="13"/>
  <c r="F422" i="13" s="1"/>
  <c r="L389" i="13"/>
  <c r="F389" i="13" s="1"/>
  <c r="L484" i="13"/>
  <c r="R484" i="13" s="1"/>
  <c r="L458" i="13"/>
  <c r="F458" i="13" s="1"/>
  <c r="L452" i="13"/>
  <c r="R452" i="13" s="1"/>
  <c r="L427" i="13"/>
  <c r="F427" i="13" s="1"/>
  <c r="L346" i="13"/>
  <c r="R346" i="13" s="1"/>
  <c r="L377" i="13"/>
  <c r="F377" i="13" s="1"/>
  <c r="L364" i="13"/>
  <c r="F364" i="13" s="1"/>
  <c r="L402" i="13"/>
  <c r="R402" i="13" s="1"/>
  <c r="L271" i="13"/>
  <c r="R271" i="13" s="1"/>
  <c r="L298" i="13"/>
  <c r="F298" i="13" s="1"/>
  <c r="L258" i="13"/>
  <c r="R258" i="13" s="1"/>
  <c r="L269" i="13"/>
  <c r="R269" i="13" s="1"/>
  <c r="L392" i="13"/>
  <c r="F392" i="13" s="1"/>
  <c r="L433" i="13"/>
  <c r="F433" i="13" s="1"/>
  <c r="L477" i="13"/>
  <c r="R477" i="13" s="1"/>
  <c r="L320" i="13"/>
  <c r="R320" i="13" s="1"/>
  <c r="L284" i="13"/>
  <c r="R284" i="13" s="1"/>
  <c r="L430" i="13"/>
  <c r="F430" i="13" s="1"/>
  <c r="L254" i="13"/>
  <c r="R254" i="13" s="1"/>
  <c r="L472" i="13"/>
  <c r="F472" i="13" s="1"/>
  <c r="L287" i="13"/>
  <c r="F287" i="13" s="1"/>
  <c r="L335" i="13"/>
  <c r="F335" i="13" s="1"/>
  <c r="L495" i="13"/>
  <c r="F495" i="13" s="1"/>
  <c r="L485" i="13"/>
  <c r="F485" i="13" s="1"/>
  <c r="L466" i="13"/>
  <c r="R466" i="13" s="1"/>
  <c r="L491" i="13"/>
  <c r="F491" i="13" s="1"/>
  <c r="L478" i="13"/>
  <c r="R478" i="13" s="1"/>
  <c r="L464" i="13"/>
  <c r="F464" i="13" s="1"/>
  <c r="L370" i="13"/>
  <c r="F370" i="13" s="1"/>
  <c r="L304" i="13"/>
  <c r="F304" i="13" s="1"/>
  <c r="L308" i="13"/>
  <c r="F308" i="13" s="1"/>
  <c r="L270" i="13"/>
  <c r="R270" i="13" s="1"/>
  <c r="L354" i="13"/>
  <c r="R354" i="13" s="1"/>
  <c r="L279" i="13"/>
  <c r="F279" i="13" s="1"/>
  <c r="L330" i="13"/>
  <c r="R330" i="13" s="1"/>
  <c r="L411" i="13"/>
  <c r="R411" i="13" s="1"/>
  <c r="L341" i="13"/>
  <c r="F341" i="13" s="1"/>
  <c r="L489" i="13"/>
  <c r="F489" i="13" s="1"/>
  <c r="L353" i="13"/>
  <c r="F353" i="13" s="1"/>
  <c r="L261" i="13"/>
  <c r="R261" i="13" s="1"/>
  <c r="L263" i="13"/>
  <c r="R263" i="13" s="1"/>
  <c r="L424" i="13"/>
  <c r="F424" i="13" s="1"/>
  <c r="L282" i="13"/>
  <c r="R282" i="13" s="1"/>
  <c r="L327" i="13"/>
  <c r="R327" i="13" s="1"/>
  <c r="L267" i="13"/>
  <c r="F267" i="13" s="1"/>
  <c r="L276" i="13"/>
  <c r="F276" i="13" s="1"/>
  <c r="L277" i="13"/>
  <c r="F277" i="13" s="1"/>
  <c r="L492" i="13"/>
  <c r="F492" i="13" s="1"/>
  <c r="L475" i="13"/>
  <c r="R475" i="13" s="1"/>
  <c r="L317" i="13"/>
  <c r="F317" i="13" s="1"/>
  <c r="L322" i="13"/>
  <c r="R322" i="13" s="1"/>
  <c r="L450" i="13"/>
  <c r="F450" i="13" s="1"/>
  <c r="L275" i="13"/>
  <c r="F275" i="13" s="1"/>
  <c r="L386" i="13"/>
  <c r="F386" i="13" s="1"/>
  <c r="L285" i="13"/>
  <c r="F285" i="13" s="1"/>
  <c r="L253" i="13"/>
  <c r="R253" i="13" s="1"/>
  <c r="L379" i="13"/>
  <c r="F379" i="13" s="1"/>
  <c r="L397" i="13"/>
  <c r="R397" i="13" s="1"/>
  <c r="L437" i="13"/>
  <c r="R437" i="13" s="1"/>
  <c r="L362" i="13"/>
  <c r="F362" i="13" s="1"/>
  <c r="L310" i="13"/>
  <c r="F310" i="13" s="1"/>
  <c r="L291" i="13"/>
  <c r="R291" i="13" s="1"/>
  <c r="L415" i="13"/>
  <c r="F415" i="13" s="1"/>
  <c r="L345" i="13"/>
  <c r="F345" i="13" s="1"/>
  <c r="L387" i="13"/>
  <c r="R387" i="13" s="1"/>
  <c r="L273" i="13"/>
  <c r="R273" i="13" s="1"/>
  <c r="L372" i="13"/>
  <c r="R372" i="13" s="1"/>
  <c r="L469" i="13"/>
  <c r="R469" i="13" s="1"/>
  <c r="L494" i="13"/>
  <c r="F494" i="13" s="1"/>
  <c r="K357" i="13"/>
  <c r="G445" i="13"/>
  <c r="S445" i="13"/>
  <c r="L339" i="13"/>
  <c r="N303" i="13"/>
  <c r="F394" i="13"/>
  <c r="R394" i="13"/>
  <c r="O348" i="13"/>
  <c r="K436" i="13"/>
  <c r="O423" i="13"/>
  <c r="O470" i="13"/>
  <c r="L431" i="13"/>
  <c r="L268" i="13"/>
  <c r="L482" i="13"/>
  <c r="L467" i="13"/>
  <c r="L272" i="13"/>
  <c r="L398" i="13"/>
  <c r="L479" i="13"/>
  <c r="K285" i="13"/>
  <c r="K442" i="13"/>
  <c r="L316" i="13"/>
  <c r="L319" i="13"/>
  <c r="L302" i="13"/>
  <c r="L405" i="13"/>
  <c r="L321" i="13"/>
  <c r="L334" i="13"/>
  <c r="L393" i="13"/>
  <c r="L295" i="13"/>
  <c r="L385" i="13"/>
  <c r="L357" i="13"/>
  <c r="L292" i="13"/>
  <c r="L457" i="13"/>
  <c r="L481" i="13"/>
  <c r="K467" i="13"/>
  <c r="L361" i="13"/>
  <c r="L309" i="13"/>
  <c r="L338" i="13"/>
  <c r="L470" i="13"/>
  <c r="L443" i="13"/>
  <c r="L408" i="13"/>
  <c r="L383" i="13"/>
  <c r="L376" i="13"/>
  <c r="L337" i="13"/>
  <c r="L314" i="13"/>
  <c r="L259" i="13"/>
  <c r="L455" i="13"/>
  <c r="L419" i="13"/>
  <c r="L404" i="13"/>
  <c r="O434" i="13"/>
  <c r="O326" i="13"/>
  <c r="O264" i="13"/>
  <c r="O292" i="13"/>
  <c r="O430" i="13"/>
  <c r="O347" i="13"/>
  <c r="O282" i="13"/>
  <c r="K323" i="13"/>
  <c r="K361" i="13"/>
  <c r="K342" i="13"/>
  <c r="K369" i="13"/>
  <c r="L368" i="13"/>
  <c r="L360" i="13"/>
  <c r="L260" i="13"/>
  <c r="K335" i="13"/>
  <c r="K422" i="13"/>
  <c r="K461" i="13"/>
  <c r="K456" i="13"/>
  <c r="K420" i="13"/>
  <c r="K318" i="13"/>
  <c r="K490" i="13"/>
  <c r="L421" i="13"/>
  <c r="L342" i="13"/>
  <c r="K466" i="13"/>
  <c r="K287" i="13"/>
  <c r="K327" i="13"/>
  <c r="K345" i="13"/>
  <c r="K453" i="13"/>
  <c r="K303" i="13"/>
  <c r="K312" i="13"/>
  <c r="K471" i="13"/>
  <c r="K297" i="13"/>
  <c r="K441" i="13"/>
  <c r="K272" i="13"/>
  <c r="K486" i="13"/>
  <c r="K465" i="13"/>
  <c r="K443" i="13"/>
  <c r="K484" i="13"/>
  <c r="K381" i="13"/>
  <c r="K387" i="13"/>
  <c r="K299" i="13"/>
  <c r="K391" i="13"/>
  <c r="K390" i="13"/>
  <c r="K421" i="13"/>
  <c r="K423" i="13"/>
  <c r="K380" i="13"/>
  <c r="K344" i="13"/>
  <c r="K413" i="13"/>
  <c r="K469" i="13"/>
  <c r="K265" i="13"/>
  <c r="O398" i="13"/>
  <c r="O324" i="13"/>
  <c r="O444" i="13"/>
  <c r="O331" i="13"/>
  <c r="O296" i="13"/>
  <c r="K296" i="13"/>
  <c r="K400" i="13"/>
  <c r="K378" i="13"/>
  <c r="K488" i="13"/>
  <c r="K429" i="13"/>
  <c r="K309" i="13"/>
  <c r="K449" i="13"/>
  <c r="K476" i="13"/>
  <c r="K259" i="13"/>
  <c r="K339" i="13"/>
  <c r="K395" i="13"/>
  <c r="K270" i="13"/>
  <c r="K410" i="13"/>
  <c r="K399" i="13"/>
  <c r="K414" i="13"/>
  <c r="O420" i="13"/>
  <c r="O397" i="13"/>
  <c r="O298" i="13"/>
  <c r="O412" i="13"/>
  <c r="K446" i="13"/>
  <c r="K338" i="13"/>
  <c r="K455" i="13"/>
  <c r="K482" i="13"/>
  <c r="K463" i="13"/>
  <c r="K418" i="13"/>
  <c r="K444" i="13"/>
  <c r="K396" i="13"/>
  <c r="K447" i="13"/>
  <c r="K366" i="13"/>
  <c r="K434" i="13"/>
  <c r="K370" i="13"/>
  <c r="K462" i="13"/>
  <c r="K386" i="13"/>
  <c r="K331" i="13"/>
  <c r="K315" i="13"/>
  <c r="K389" i="13"/>
  <c r="K427" i="13"/>
  <c r="K352" i="13"/>
  <c r="K261" i="13"/>
  <c r="K384" i="13"/>
  <c r="K407" i="13"/>
  <c r="K403" i="13"/>
  <c r="K363" i="13"/>
  <c r="K473" i="13"/>
  <c r="K438" i="13"/>
  <c r="K431" i="13"/>
  <c r="K412" i="13"/>
  <c r="K293" i="13"/>
  <c r="K304" i="13"/>
  <c r="K277" i="13"/>
  <c r="K492" i="13"/>
  <c r="K475" i="13"/>
  <c r="K317" i="13"/>
  <c r="K322" i="13"/>
  <c r="K358" i="13"/>
  <c r="K263" i="13"/>
  <c r="K364" i="13"/>
  <c r="K343" i="13"/>
  <c r="K398" i="13"/>
  <c r="K419" i="13"/>
  <c r="K416" i="13"/>
  <c r="K404" i="13"/>
  <c r="K487" i="13"/>
  <c r="K294" i="13"/>
  <c r="K480" i="13"/>
  <c r="K483" i="13"/>
  <c r="K459" i="13"/>
  <c r="K356" i="13"/>
  <c r="K300" i="13"/>
  <c r="K371" i="13"/>
  <c r="K253" i="13"/>
  <c r="Q253" i="13" s="1"/>
  <c r="K301" i="13"/>
  <c r="K439" i="13"/>
  <c r="K274" i="13"/>
  <c r="K474" i="13"/>
  <c r="K478" i="13"/>
  <c r="K448" i="13"/>
  <c r="K350" i="13"/>
  <c r="K353" i="13"/>
  <c r="K286" i="13"/>
  <c r="K284" i="13"/>
  <c r="K262" i="13"/>
  <c r="K494" i="13"/>
  <c r="K430" i="13"/>
  <c r="O330" i="13"/>
  <c r="O334" i="13"/>
  <c r="O344" i="13"/>
  <c r="O481" i="13"/>
  <c r="O432" i="13"/>
  <c r="O474" i="13"/>
  <c r="O479" i="13"/>
  <c r="O488" i="13"/>
  <c r="O483" i="13"/>
  <c r="K254" i="13"/>
  <c r="K373" i="13"/>
  <c r="K440" i="13"/>
  <c r="K305" i="13"/>
  <c r="K491" i="13"/>
  <c r="K470" i="13"/>
  <c r="K340" i="13"/>
  <c r="K417" i="13"/>
  <c r="K349" i="13"/>
  <c r="K450" i="13"/>
  <c r="K489" i="13"/>
  <c r="K401" i="13"/>
  <c r="K495" i="13"/>
  <c r="K458" i="13"/>
  <c r="K307" i="13"/>
  <c r="K424" i="13"/>
  <c r="K435" i="13"/>
  <c r="K325" i="13"/>
  <c r="K379" i="13"/>
  <c r="K405" i="13"/>
  <c r="K392" i="13"/>
  <c r="K433" i="13"/>
  <c r="K316" i="13"/>
  <c r="K319" i="13"/>
  <c r="K302" i="13"/>
  <c r="K425" i="13"/>
  <c r="K365" i="13"/>
  <c r="K329" i="13"/>
  <c r="K374" i="13"/>
  <c r="K306" i="13"/>
  <c r="K257" i="13"/>
  <c r="K267" i="13"/>
  <c r="K348" i="13"/>
  <c r="K346" i="13"/>
  <c r="K355" i="13"/>
  <c r="K292" i="13"/>
  <c r="K457" i="13"/>
  <c r="K368" i="13"/>
  <c r="K360" i="13"/>
  <c r="K260" i="13"/>
  <c r="K406" i="13"/>
  <c r="K437" i="13"/>
  <c r="K362" i="13"/>
  <c r="K310" i="13"/>
  <c r="K291" i="13"/>
  <c r="K415" i="13"/>
  <c r="K276" i="13"/>
  <c r="K289" i="13"/>
  <c r="K255" i="13"/>
  <c r="K268" i="13"/>
  <c r="K266" i="13"/>
  <c r="K333" i="13"/>
  <c r="K330" i="13"/>
  <c r="K347" i="13"/>
  <c r="K332" i="13"/>
  <c r="K472" i="13"/>
  <c r="K408" i="13"/>
  <c r="K383" i="13"/>
  <c r="K376" i="13"/>
  <c r="K337" i="13"/>
  <c r="K314" i="13"/>
  <c r="O253" i="13"/>
  <c r="U253" i="13" s="1"/>
  <c r="O449" i="13"/>
  <c r="O342" i="13"/>
  <c r="O427" i="13"/>
  <c r="O279" i="13"/>
  <c r="O472" i="13"/>
  <c r="O333" i="13"/>
  <c r="O260" i="13"/>
  <c r="O482" i="13"/>
  <c r="K451" i="13"/>
  <c r="K382" i="13"/>
  <c r="K485" i="13"/>
  <c r="K426" i="13"/>
  <c r="K454" i="13"/>
  <c r="K311" i="13"/>
  <c r="K341" i="13"/>
  <c r="K428" i="13"/>
  <c r="K275" i="13"/>
  <c r="K328" i="13"/>
  <c r="K279" i="13"/>
  <c r="K464" i="13"/>
  <c r="K452" i="13"/>
  <c r="K256" i="13"/>
  <c r="K388" i="13"/>
  <c r="K313" i="13"/>
  <c r="K354" i="13"/>
  <c r="K397" i="13"/>
  <c r="K321" i="13"/>
  <c r="K409" i="13"/>
  <c r="K288" i="13"/>
  <c r="K273" i="13"/>
  <c r="K477" i="13"/>
  <c r="K460" i="13"/>
  <c r="K468" i="13"/>
  <c r="K324" i="13"/>
  <c r="K359" i="13"/>
  <c r="K283" i="13"/>
  <c r="K290" i="13"/>
  <c r="K336" i="13"/>
  <c r="K432" i="13"/>
  <c r="K351" i="13"/>
  <c r="K377" i="13"/>
  <c r="K372" i="13"/>
  <c r="K326" i="13"/>
  <c r="K394" i="13"/>
  <c r="K481" i="13"/>
  <c r="K479" i="13"/>
  <c r="K445" i="13"/>
  <c r="K411" i="13"/>
  <c r="K402" i="13"/>
  <c r="K271" i="13"/>
  <c r="K298" i="13"/>
  <c r="K258" i="13"/>
  <c r="K269" i="13"/>
  <c r="K375" i="13"/>
  <c r="K493" i="13"/>
  <c r="K280" i="13"/>
  <c r="K320" i="13"/>
  <c r="K278" i="13"/>
  <c r="K367" i="13"/>
  <c r="K282" i="13"/>
  <c r="K264" i="13"/>
  <c r="K281" i="13"/>
  <c r="K308" i="13"/>
  <c r="K334" i="13"/>
  <c r="K393" i="13"/>
  <c r="K295" i="13"/>
  <c r="K385" i="13"/>
  <c r="O452" i="13"/>
  <c r="O327" i="13"/>
  <c r="N489" i="13"/>
  <c r="O375" i="13"/>
  <c r="O293" i="13"/>
  <c r="O422" i="13"/>
  <c r="O283" i="13"/>
  <c r="O384" i="13"/>
  <c r="O383" i="13"/>
  <c r="O359" i="13"/>
  <c r="O343" i="13"/>
  <c r="O310" i="13"/>
  <c r="O429" i="13"/>
  <c r="O255" i="13"/>
  <c r="O280" i="13"/>
  <c r="O387" i="13"/>
  <c r="O317" i="13"/>
  <c r="O355" i="13"/>
  <c r="O455" i="13"/>
  <c r="O386" i="13"/>
  <c r="O313" i="13"/>
  <c r="O445" i="13"/>
  <c r="O448" i="13"/>
  <c r="N482" i="13"/>
  <c r="N340" i="13"/>
  <c r="O391" i="13"/>
  <c r="N333" i="13"/>
  <c r="N452" i="13"/>
  <c r="N411" i="13"/>
  <c r="N353" i="13"/>
  <c r="N328" i="13"/>
  <c r="N380" i="13"/>
  <c r="N397" i="13"/>
  <c r="N282" i="13"/>
  <c r="N296" i="13"/>
  <c r="N290" i="13"/>
  <c r="N485" i="13"/>
  <c r="N279" i="13"/>
  <c r="N253" i="13"/>
  <c r="T253" i="13" s="1"/>
  <c r="N425" i="13"/>
  <c r="N360" i="13"/>
  <c r="O461" i="13"/>
  <c r="N428" i="13"/>
  <c r="N268" i="13"/>
  <c r="N495" i="13"/>
  <c r="N481" i="13"/>
  <c r="N455" i="13"/>
  <c r="N375" i="13"/>
  <c r="N384" i="13"/>
  <c r="N445" i="13"/>
  <c r="N298" i="13"/>
  <c r="N423" i="13"/>
  <c r="N467" i="13"/>
  <c r="N257" i="13"/>
  <c r="N450" i="13"/>
  <c r="N491" i="13"/>
  <c r="N374" i="13"/>
  <c r="N364" i="13"/>
  <c r="N465" i="13"/>
  <c r="N403" i="13"/>
  <c r="N373" i="13"/>
  <c r="N366" i="13"/>
  <c r="N343" i="13"/>
  <c r="N318" i="13"/>
  <c r="N382" i="13"/>
  <c r="N471" i="13"/>
  <c r="N437" i="13"/>
  <c r="N337" i="13"/>
  <c r="N292" i="13"/>
  <c r="N368" i="13"/>
  <c r="N466" i="13"/>
  <c r="N409" i="13"/>
  <c r="N350" i="13"/>
  <c r="N432" i="13"/>
  <c r="N261" i="13"/>
  <c r="N347" i="13"/>
  <c r="N275" i="13"/>
  <c r="N389" i="13"/>
  <c r="N270" i="13"/>
  <c r="N434" i="13"/>
  <c r="N258" i="13"/>
  <c r="N277" i="13"/>
  <c r="N300" i="13"/>
  <c r="N386" i="13"/>
  <c r="N260" i="13"/>
  <c r="N451" i="13"/>
  <c r="N332" i="13"/>
  <c r="N493" i="13"/>
  <c r="N278" i="13"/>
  <c r="N395" i="13"/>
  <c r="N370" i="13"/>
  <c r="N358" i="13"/>
  <c r="N266" i="13"/>
  <c r="N393" i="13"/>
  <c r="N341" i="13"/>
  <c r="N344" i="13"/>
  <c r="N297" i="13"/>
  <c r="N269" i="13"/>
  <c r="N330" i="13"/>
  <c r="N410" i="13"/>
  <c r="N376" i="13"/>
  <c r="N440" i="13"/>
  <c r="N487" i="13"/>
  <c r="N325" i="13"/>
  <c r="N264" i="13"/>
  <c r="N463" i="13"/>
  <c r="N356" i="13"/>
  <c r="N490" i="13"/>
  <c r="N362" i="13"/>
  <c r="N475" i="13"/>
  <c r="N267" i="13"/>
  <c r="N421" i="13"/>
  <c r="N392" i="13"/>
  <c r="N315" i="13"/>
  <c r="N361" i="13"/>
  <c r="N310" i="13"/>
  <c r="N474" i="13"/>
  <c r="N462" i="13"/>
  <c r="N339" i="13"/>
  <c r="N320" i="13"/>
  <c r="N265" i="13"/>
  <c r="N338" i="13"/>
  <c r="N317" i="13"/>
  <c r="N449" i="13"/>
  <c r="N305" i="13"/>
  <c r="N469" i="13"/>
  <c r="N308" i="13"/>
  <c r="N280" i="13"/>
  <c r="N355" i="13"/>
  <c r="N369" i="13"/>
  <c r="N323" i="13"/>
  <c r="N326" i="13"/>
  <c r="N377" i="13"/>
  <c r="N304" i="13"/>
  <c r="N430" i="13"/>
  <c r="N418" i="13"/>
  <c r="N319" i="13"/>
  <c r="N334" i="13"/>
  <c r="N459" i="13"/>
  <c r="N444" i="13"/>
  <c r="N478" i="13"/>
  <c r="N363" i="13"/>
  <c r="N443" i="13"/>
  <c r="N255" i="13"/>
  <c r="N302" i="13"/>
  <c r="N273" i="13"/>
  <c r="N484" i="13"/>
  <c r="N461" i="13"/>
  <c r="N407" i="13"/>
  <c r="N460" i="13"/>
  <c r="N283" i="13"/>
  <c r="N442" i="13"/>
  <c r="N284" i="13"/>
  <c r="N422" i="13"/>
  <c r="N357" i="13"/>
  <c r="N453" i="13"/>
  <c r="N324" i="13"/>
  <c r="N371" i="13"/>
  <c r="N476" i="13"/>
  <c r="N426" i="13"/>
  <c r="N431" i="13"/>
  <c r="N387" i="13"/>
  <c r="N354" i="13"/>
  <c r="N390" i="13"/>
  <c r="N399" i="13"/>
  <c r="N391" i="13"/>
  <c r="N365" i="13"/>
  <c r="N262" i="13"/>
  <c r="N322" i="13"/>
  <c r="N254" i="13"/>
  <c r="N413" i="13"/>
  <c r="N287" i="13"/>
  <c r="N348" i="13"/>
  <c r="N351" i="13"/>
  <c r="N477" i="13"/>
  <c r="N448" i="13"/>
  <c r="N435" i="13"/>
  <c r="N381" i="13"/>
  <c r="N473" i="13"/>
  <c r="N424" i="13"/>
  <c r="N342" i="13"/>
  <c r="N472" i="13"/>
  <c r="N458" i="13"/>
  <c r="N289" i="13"/>
  <c r="N336" i="13"/>
  <c r="N306" i="13"/>
  <c r="N414" i="13"/>
  <c r="N456" i="13"/>
  <c r="N419" i="13"/>
  <c r="N429" i="13"/>
  <c r="N468" i="13"/>
  <c r="N329" i="13"/>
  <c r="N427" i="13"/>
  <c r="N378" i="13"/>
  <c r="N406" i="13"/>
  <c r="N346" i="13"/>
  <c r="N412" i="13"/>
  <c r="N379" i="13"/>
  <c r="N307" i="13"/>
  <c r="N352" i="13"/>
  <c r="N408" i="13"/>
  <c r="N488" i="13"/>
  <c r="N281" i="13"/>
  <c r="N327" i="13"/>
  <c r="N274" i="13"/>
  <c r="N446" i="13"/>
  <c r="N295" i="13"/>
  <c r="N383" i="13"/>
  <c r="N314" i="13"/>
  <c r="N367" i="13"/>
  <c r="N294" i="13"/>
  <c r="N335" i="13"/>
  <c r="N349" i="13"/>
  <c r="N256" i="13"/>
  <c r="N276" i="13"/>
  <c r="N271" i="13"/>
  <c r="N441" i="13"/>
  <c r="N291" i="13"/>
  <c r="N345" i="13"/>
  <c r="N288" i="13"/>
  <c r="N313" i="13"/>
  <c r="N479" i="13"/>
  <c r="N492" i="13"/>
  <c r="N439" i="13"/>
  <c r="N486" i="13"/>
  <c r="N331" i="13"/>
  <c r="N402" i="13"/>
  <c r="N263" i="13"/>
  <c r="N470" i="13"/>
  <c r="N457" i="13"/>
  <c r="N464" i="13"/>
  <c r="N404" i="13"/>
  <c r="N394" i="13"/>
  <c r="N311" i="13"/>
  <c r="N285" i="13"/>
  <c r="N388" i="13"/>
  <c r="N401" i="13"/>
  <c r="N359" i="13"/>
  <c r="N454" i="13"/>
  <c r="N420" i="13"/>
  <c r="N417" i="13"/>
  <c r="N480" i="13"/>
  <c r="N259" i="13"/>
  <c r="N405" i="13"/>
  <c r="N416" i="13"/>
  <c r="N385" i="13"/>
  <c r="N433" i="13"/>
  <c r="N301" i="13"/>
  <c r="N321" i="13"/>
  <c r="N400" i="13"/>
  <c r="N286" i="13"/>
  <c r="N447" i="13"/>
  <c r="N272" i="13"/>
  <c r="N299" i="13"/>
  <c r="N316" i="13"/>
  <c r="N483" i="13"/>
  <c r="N415" i="13"/>
  <c r="N396" i="13"/>
  <c r="N372" i="13"/>
  <c r="N436" i="13"/>
  <c r="N494" i="13"/>
  <c r="N438" i="13"/>
  <c r="N293" i="13"/>
  <c r="N398" i="13"/>
  <c r="N312" i="13"/>
  <c r="N309" i="13"/>
  <c r="O290" i="13"/>
  <c r="O388" i="13"/>
  <c r="O335" i="13"/>
  <c r="O478" i="13"/>
  <c r="O376" i="13"/>
  <c r="O495" i="13"/>
  <c r="O477" i="13"/>
  <c r="O404" i="13"/>
  <c r="O268" i="13"/>
  <c r="O428" i="13"/>
  <c r="O332" i="13"/>
  <c r="O494" i="13"/>
  <c r="O464" i="13"/>
  <c r="O401" i="13"/>
  <c r="O325" i="13"/>
  <c r="O395" i="13"/>
  <c r="O353" i="13"/>
  <c r="O362" i="13"/>
  <c r="O476" i="13"/>
  <c r="O411" i="13"/>
  <c r="O274" i="13"/>
  <c r="O345" i="13"/>
  <c r="O257" i="13"/>
  <c r="O446" i="13"/>
  <c r="O451" i="13"/>
  <c r="O339" i="13"/>
  <c r="O414" i="13"/>
  <c r="O416" i="13"/>
  <c r="O462" i="13"/>
  <c r="O425" i="13"/>
  <c r="O323" i="13"/>
  <c r="O457" i="13"/>
  <c r="O284" i="13"/>
  <c r="O265" i="13"/>
  <c r="O491" i="13"/>
  <c r="O367" i="13"/>
  <c r="O297" i="13"/>
  <c r="O263" i="13"/>
  <c r="O372" i="13"/>
  <c r="O415" i="13"/>
  <c r="O311" i="13"/>
  <c r="O369" i="13"/>
  <c r="O440" i="13"/>
  <c r="O402" i="13"/>
  <c r="O277" i="13"/>
  <c r="O380" i="13"/>
  <c r="O441" i="13"/>
  <c r="O475" i="13"/>
  <c r="O321" i="13"/>
  <c r="O276" i="13"/>
  <c r="O484" i="13"/>
  <c r="O443" i="13"/>
  <c r="O294" i="13"/>
  <c r="O460" i="13"/>
  <c r="O316" i="13"/>
  <c r="O352" i="13"/>
  <c r="O436" i="13"/>
  <c r="O392" i="13"/>
  <c r="O319" i="13"/>
  <c r="O471" i="13"/>
  <c r="O403" i="13"/>
  <c r="O390" i="13"/>
  <c r="O473" i="13"/>
  <c r="O259" i="13"/>
  <c r="O366" i="13"/>
  <c r="O407" i="13"/>
  <c r="O285" i="13"/>
  <c r="O409" i="13"/>
  <c r="O273" i="13"/>
  <c r="O463" i="13"/>
  <c r="O301" i="13"/>
  <c r="O485" i="13"/>
  <c r="O307" i="13"/>
  <c r="O385" i="13"/>
  <c r="O303" i="13"/>
  <c r="O382" i="13"/>
  <c r="O289" i="13"/>
  <c r="O287" i="13"/>
  <c r="O328" i="13"/>
  <c r="O336" i="13"/>
  <c r="O358" i="13"/>
  <c r="O447" i="13"/>
  <c r="O469" i="13"/>
  <c r="O309" i="13"/>
  <c r="O271" i="13"/>
  <c r="O408" i="13"/>
  <c r="O269" i="13"/>
  <c r="O272" i="13"/>
  <c r="O306" i="13"/>
  <c r="O270" i="13"/>
  <c r="O346" i="13"/>
  <c r="O456" i="13"/>
  <c r="O389" i="13"/>
  <c r="O291" i="13"/>
  <c r="O459" i="13"/>
  <c r="O417" i="13"/>
  <c r="O442" i="13"/>
  <c r="O377" i="13"/>
  <c r="O486" i="13"/>
  <c r="O254" i="13"/>
  <c r="O350" i="13"/>
  <c r="O468" i="13"/>
  <c r="O433" i="13"/>
  <c r="O393" i="13"/>
  <c r="O281" i="13"/>
  <c r="O454" i="13"/>
  <c r="O467" i="13"/>
  <c r="O400" i="13"/>
  <c r="O314" i="13"/>
  <c r="O361" i="13"/>
  <c r="O351" i="13"/>
  <c r="O337" i="13"/>
  <c r="O373" i="13"/>
  <c r="O410" i="13"/>
  <c r="O368" i="13"/>
  <c r="O278" i="13"/>
  <c r="O399" i="13"/>
  <c r="O480" i="13"/>
  <c r="O374" i="13"/>
  <c r="O286" i="13"/>
  <c r="O357" i="13"/>
  <c r="O360" i="13"/>
  <c r="O435" i="13"/>
  <c r="O453" i="13"/>
  <c r="O490" i="13"/>
  <c r="O354" i="13"/>
  <c r="O396" i="13"/>
  <c r="O340" i="13"/>
  <c r="O300" i="13"/>
  <c r="O318" i="13"/>
  <c r="O356" i="13"/>
  <c r="O431" i="13"/>
  <c r="O419" i="13"/>
  <c r="O413" i="13"/>
  <c r="O341" i="13"/>
  <c r="O450" i="13"/>
  <c r="O466" i="13"/>
  <c r="O487" i="13"/>
  <c r="O379" i="13"/>
  <c r="O406" i="13"/>
  <c r="O439" i="13"/>
  <c r="O394" i="13"/>
  <c r="O363" i="13"/>
  <c r="O437" i="13"/>
  <c r="O421" i="13"/>
  <c r="O418" i="13"/>
  <c r="O364" i="13"/>
  <c r="O489" i="13"/>
  <c r="O322" i="13"/>
  <c r="O458" i="13"/>
  <c r="O312" i="13"/>
  <c r="O302" i="13"/>
  <c r="O315" i="13"/>
  <c r="O266" i="13"/>
  <c r="O275" i="13"/>
  <c r="O295" i="13"/>
  <c r="O329" i="13"/>
  <c r="O405" i="13"/>
  <c r="O349" i="13"/>
  <c r="O465" i="13"/>
  <c r="O308" i="13"/>
  <c r="O381" i="13"/>
  <c r="O267" i="13"/>
  <c r="O320" i="13"/>
  <c r="O262" i="13"/>
  <c r="O438" i="13"/>
  <c r="O370" i="13"/>
  <c r="O378" i="13"/>
  <c r="O365" i="13"/>
  <c r="O493" i="13"/>
  <c r="O371" i="13"/>
  <c r="O299" i="13"/>
  <c r="O305" i="13"/>
  <c r="O288" i="13"/>
  <c r="O304" i="13"/>
  <c r="O426" i="13"/>
  <c r="O338" i="13"/>
  <c r="O424" i="13"/>
  <c r="O258" i="13"/>
  <c r="O492" i="13"/>
  <c r="O256" i="13"/>
  <c r="O261" i="13"/>
  <c r="L468" i="12"/>
  <c r="U468" i="12" s="1"/>
  <c r="U467" i="12"/>
  <c r="M467" i="12"/>
  <c r="V467" i="12" s="1"/>
  <c r="E90" i="8"/>
  <c r="F208" i="10" l="1"/>
  <c r="E104" i="10"/>
  <c r="R486" i="13"/>
  <c r="E107" i="10"/>
  <c r="F203" i="10"/>
  <c r="F206" i="10"/>
  <c r="E102" i="10"/>
  <c r="E109" i="10"/>
  <c r="E105" i="10"/>
  <c r="G288" i="13"/>
  <c r="G392" i="13"/>
  <c r="G346" i="13"/>
  <c r="G265" i="13"/>
  <c r="G453" i="13"/>
  <c r="R483" i="13"/>
  <c r="G396" i="13"/>
  <c r="S380" i="13"/>
  <c r="S439" i="13"/>
  <c r="S436" i="13"/>
  <c r="R487" i="13"/>
  <c r="S457" i="13"/>
  <c r="S412" i="13"/>
  <c r="S272" i="13"/>
  <c r="S438" i="13"/>
  <c r="S408" i="13"/>
  <c r="G259" i="13"/>
  <c r="S464" i="13"/>
  <c r="G347" i="13"/>
  <c r="R356" i="13"/>
  <c r="F432" i="13"/>
  <c r="G495" i="13"/>
  <c r="G488" i="13"/>
  <c r="G478" i="13"/>
  <c r="S298" i="13"/>
  <c r="G427" i="13"/>
  <c r="G286" i="13"/>
  <c r="S256" i="13"/>
  <c r="S334" i="13"/>
  <c r="S323" i="13"/>
  <c r="F397" i="13"/>
  <c r="G306" i="13"/>
  <c r="F429" i="13"/>
  <c r="G372" i="13"/>
  <c r="R434" i="13"/>
  <c r="R293" i="13"/>
  <c r="F478" i="13"/>
  <c r="F282" i="13"/>
  <c r="R454" i="13"/>
  <c r="R262" i="13"/>
  <c r="G268" i="13"/>
  <c r="G266" i="13"/>
  <c r="S324" i="13"/>
  <c r="R382" i="13"/>
  <c r="G303" i="13"/>
  <c r="F254" i="13"/>
  <c r="S264" i="13"/>
  <c r="R312" i="13"/>
  <c r="G341" i="13"/>
  <c r="G308" i="13"/>
  <c r="S397" i="13"/>
  <c r="G374" i="13"/>
  <c r="G262" i="13"/>
  <c r="F328" i="13"/>
  <c r="S475" i="13"/>
  <c r="F307" i="13"/>
  <c r="R353" i="13"/>
  <c r="S444" i="13"/>
  <c r="G267" i="13"/>
  <c r="S369" i="13"/>
  <c r="F477" i="13"/>
  <c r="G422" i="13"/>
  <c r="F367" i="13"/>
  <c r="S332" i="13"/>
  <c r="S405" i="13"/>
  <c r="R364" i="13"/>
  <c r="S477" i="13"/>
  <c r="S473" i="13"/>
  <c r="R442" i="13"/>
  <c r="R285" i="13"/>
  <c r="R495" i="13"/>
  <c r="G393" i="13"/>
  <c r="S365" i="13"/>
  <c r="G419" i="13"/>
  <c r="F423" i="13"/>
  <c r="F474" i="13"/>
  <c r="S485" i="13"/>
  <c r="S260" i="13"/>
  <c r="R315" i="13"/>
  <c r="G433" i="13"/>
  <c r="F375" i="13"/>
  <c r="F413" i="13"/>
  <c r="R369" i="13"/>
  <c r="G254" i="13"/>
  <c r="S361" i="13"/>
  <c r="R415" i="13"/>
  <c r="F322" i="13"/>
  <c r="F330" i="13"/>
  <c r="G311" i="13"/>
  <c r="S446" i="13"/>
  <c r="G377" i="13"/>
  <c r="F414" i="13"/>
  <c r="F336" i="13"/>
  <c r="F333" i="13"/>
  <c r="S289" i="13"/>
  <c r="S309" i="13"/>
  <c r="G370" i="13"/>
  <c r="G273" i="13"/>
  <c r="F452" i="13"/>
  <c r="F439" i="13"/>
  <c r="G471" i="13"/>
  <c r="F301" i="13"/>
  <c r="G360" i="13"/>
  <c r="G480" i="13"/>
  <c r="G430" i="13"/>
  <c r="S355" i="13"/>
  <c r="R277" i="13"/>
  <c r="R308" i="13"/>
  <c r="S458" i="13"/>
  <c r="G394" i="13"/>
  <c r="S432" i="13"/>
  <c r="R436" i="13"/>
  <c r="R313" i="13"/>
  <c r="R445" i="13"/>
  <c r="S258" i="13"/>
  <c r="S418" i="13"/>
  <c r="R422" i="13"/>
  <c r="S407" i="13"/>
  <c r="F459" i="13"/>
  <c r="R396" i="13"/>
  <c r="F348" i="13"/>
  <c r="S270" i="13"/>
  <c r="S315" i="13"/>
  <c r="S359" i="13"/>
  <c r="F372" i="13"/>
  <c r="F437" i="13"/>
  <c r="G320" i="13"/>
  <c r="G325" i="13"/>
  <c r="F258" i="13"/>
  <c r="G483" i="13"/>
  <c r="G390" i="13"/>
  <c r="G400" i="13"/>
  <c r="G437" i="13"/>
  <c r="F416" i="13"/>
  <c r="F274" i="13"/>
  <c r="G340" i="13"/>
  <c r="G348" i="13"/>
  <c r="G449" i="13"/>
  <c r="G420" i="13"/>
  <c r="F388" i="13"/>
  <c r="G435" i="13"/>
  <c r="G363" i="13"/>
  <c r="R447" i="13"/>
  <c r="G395" i="13"/>
  <c r="S291" i="13"/>
  <c r="S357" i="13"/>
  <c r="G290" i="13"/>
  <c r="G479" i="13"/>
  <c r="F320" i="13"/>
  <c r="F460" i="13"/>
  <c r="F365" i="13"/>
  <c r="S386" i="13"/>
  <c r="R485" i="13"/>
  <c r="G462" i="13"/>
  <c r="S280" i="13"/>
  <c r="S313" i="13"/>
  <c r="G486" i="13"/>
  <c r="S410" i="13"/>
  <c r="S460" i="13"/>
  <c r="F469" i="13"/>
  <c r="F411" i="13"/>
  <c r="G312" i="13"/>
  <c r="G385" i="13"/>
  <c r="G353" i="13"/>
  <c r="G424" i="13"/>
  <c r="F269" i="13"/>
  <c r="F358" i="13"/>
  <c r="S470" i="13"/>
  <c r="S389" i="13"/>
  <c r="F374" i="13"/>
  <c r="S428" i="13"/>
  <c r="S401" i="13"/>
  <c r="S423" i="13"/>
  <c r="S305" i="13"/>
  <c r="S384" i="13"/>
  <c r="S402" i="13"/>
  <c r="R362" i="13"/>
  <c r="R464" i="13"/>
  <c r="S331" i="13"/>
  <c r="S454" i="13"/>
  <c r="S461" i="13"/>
  <c r="S255" i="13"/>
  <c r="F253" i="13"/>
  <c r="F395" i="13"/>
  <c r="F417" i="13"/>
  <c r="R449" i="13"/>
  <c r="R407" i="13"/>
  <c r="R440" i="13"/>
  <c r="S491" i="13"/>
  <c r="S275" i="13"/>
  <c r="S387" i="13"/>
  <c r="R427" i="13"/>
  <c r="R345" i="13"/>
  <c r="F270" i="13"/>
  <c r="G409" i="13"/>
  <c r="F264" i="13"/>
  <c r="F323" i="13"/>
  <c r="F468" i="13"/>
  <c r="S321" i="13"/>
  <c r="S362" i="13"/>
  <c r="F446" i="13"/>
  <c r="S342" i="13"/>
  <c r="F300" i="13"/>
  <c r="R305" i="13"/>
  <c r="S318" i="13"/>
  <c r="S404" i="13"/>
  <c r="G279" i="13"/>
  <c r="S440" i="13"/>
  <c r="S411" i="13"/>
  <c r="S484" i="13"/>
  <c r="S263" i="13"/>
  <c r="R290" i="13"/>
  <c r="R401" i="13"/>
  <c r="S474" i="13"/>
  <c r="S434" i="13"/>
  <c r="S284" i="13"/>
  <c r="S455" i="13"/>
  <c r="S467" i="13"/>
  <c r="S261" i="13"/>
  <c r="S296" i="13"/>
  <c r="S371" i="13"/>
  <c r="R409" i="13"/>
  <c r="S493" i="13"/>
  <c r="S352" i="13"/>
  <c r="S399" i="13"/>
  <c r="S364" i="13"/>
  <c r="S322" i="13"/>
  <c r="S447" i="13"/>
  <c r="S378" i="13"/>
  <c r="S368" i="13"/>
  <c r="S456" i="13"/>
  <c r="S349" i="13"/>
  <c r="R377" i="13"/>
  <c r="S299" i="13"/>
  <c r="S476" i="13"/>
  <c r="S336" i="13"/>
  <c r="S472" i="13"/>
  <c r="R265" i="13"/>
  <c r="R480" i="13"/>
  <c r="R257" i="13"/>
  <c r="R381" i="13"/>
  <c r="S304" i="13"/>
  <c r="S448" i="13"/>
  <c r="S417" i="13"/>
  <c r="S319" i="13"/>
  <c r="S413" i="13"/>
  <c r="S278" i="13"/>
  <c r="G253" i="13"/>
  <c r="R462" i="13"/>
  <c r="R488" i="13"/>
  <c r="R444" i="13"/>
  <c r="G344" i="13"/>
  <c r="G328" i="13"/>
  <c r="G314" i="13"/>
  <c r="S391" i="13"/>
  <c r="F255" i="13"/>
  <c r="R406" i="13"/>
  <c r="S421" i="13"/>
  <c r="G463" i="13"/>
  <c r="G489" i="13"/>
  <c r="S271" i="13"/>
  <c r="G339" i="13"/>
  <c r="F350" i="13"/>
  <c r="S282" i="13"/>
  <c r="S482" i="13"/>
  <c r="G276" i="13"/>
  <c r="G465" i="13"/>
  <c r="S441" i="13"/>
  <c r="G350" i="13"/>
  <c r="G367" i="13"/>
  <c r="S327" i="13"/>
  <c r="S398" i="13"/>
  <c r="G295" i="13"/>
  <c r="G310" i="13"/>
  <c r="S294" i="13"/>
  <c r="G492" i="13"/>
  <c r="G416" i="13"/>
  <c r="S450" i="13"/>
  <c r="S257" i="13"/>
  <c r="S459" i="13"/>
  <c r="S330" i="13"/>
  <c r="S356" i="13"/>
  <c r="G443" i="13"/>
  <c r="G425" i="13"/>
  <c r="S333" i="13"/>
  <c r="G307" i="13"/>
  <c r="R341" i="13"/>
  <c r="G487" i="13"/>
  <c r="G481" i="13"/>
  <c r="G426" i="13"/>
  <c r="G429" i="13"/>
  <c r="F284" i="13"/>
  <c r="R380" i="13"/>
  <c r="R294" i="13"/>
  <c r="G316" i="13"/>
  <c r="G382" i="13"/>
  <c r="G281" i="13"/>
  <c r="G490" i="13"/>
  <c r="G442" i="13"/>
  <c r="G302" i="13"/>
  <c r="F476" i="13"/>
  <c r="F373" i="13"/>
  <c r="R378" i="13"/>
  <c r="F289" i="13"/>
  <c r="G274" i="13"/>
  <c r="G452" i="13"/>
  <c r="G431" i="13"/>
  <c r="G406" i="13"/>
  <c r="R456" i="13"/>
  <c r="R275" i="13"/>
  <c r="R287" i="13"/>
  <c r="S277" i="13"/>
  <c r="S466" i="13"/>
  <c r="R403" i="13"/>
  <c r="S293" i="13"/>
  <c r="S335" i="13"/>
  <c r="R359" i="13"/>
  <c r="S301" i="13"/>
  <c r="F344" i="13"/>
  <c r="R278" i="13"/>
  <c r="S283" i="13"/>
  <c r="S381" i="13"/>
  <c r="S329" i="13"/>
  <c r="S317" i="13"/>
  <c r="S366" i="13"/>
  <c r="F387" i="13"/>
  <c r="R379" i="13"/>
  <c r="R267" i="13"/>
  <c r="R370" i="13"/>
  <c r="F271" i="13"/>
  <c r="F311" i="13"/>
  <c r="F297" i="13"/>
  <c r="F288" i="13"/>
  <c r="R306" i="13"/>
  <c r="R435" i="13"/>
  <c r="S468" i="13"/>
  <c r="F347" i="13"/>
  <c r="F327" i="13"/>
  <c r="F261" i="13"/>
  <c r="F448" i="13"/>
  <c r="G358" i="13"/>
  <c r="G326" i="13"/>
  <c r="G451" i="13"/>
  <c r="F326" i="13"/>
  <c r="F438" i="13"/>
  <c r="G287" i="13"/>
  <c r="G373" i="13"/>
  <c r="G351" i="13"/>
  <c r="G300" i="13"/>
  <c r="G414" i="13"/>
  <c r="G375" i="13"/>
  <c r="G383" i="13"/>
  <c r="G388" i="13"/>
  <c r="G469" i="13"/>
  <c r="G354" i="13"/>
  <c r="G376" i="13"/>
  <c r="G415" i="13"/>
  <c r="G285" i="13"/>
  <c r="F343" i="13"/>
  <c r="F384" i="13"/>
  <c r="F390" i="13"/>
  <c r="G343" i="13"/>
  <c r="G494" i="13"/>
  <c r="G338" i="13"/>
  <c r="G403" i="13"/>
  <c r="F402" i="13"/>
  <c r="R450" i="13"/>
  <c r="R492" i="13"/>
  <c r="R472" i="13"/>
  <c r="S379" i="13"/>
  <c r="S269" i="13"/>
  <c r="S345" i="13"/>
  <c r="R389" i="13"/>
  <c r="R426" i="13"/>
  <c r="R471" i="13"/>
  <c r="R366" i="13"/>
  <c r="R371" i="13"/>
  <c r="R428" i="13"/>
  <c r="R299" i="13"/>
  <c r="R400" i="13"/>
  <c r="R329" i="13"/>
  <c r="R349" i="13"/>
  <c r="R266" i="13"/>
  <c r="S297" i="13"/>
  <c r="S337" i="13"/>
  <c r="L5" i="13"/>
  <c r="R5" i="13" s="1"/>
  <c r="L245" i="13"/>
  <c r="R245" i="13" s="1"/>
  <c r="L217" i="13"/>
  <c r="R217" i="13" s="1"/>
  <c r="L241" i="13"/>
  <c r="R241" i="13" s="1"/>
  <c r="L204" i="13"/>
  <c r="R204" i="13" s="1"/>
  <c r="L58" i="13"/>
  <c r="R58" i="13" s="1"/>
  <c r="L31" i="13"/>
  <c r="R31" i="13" s="1"/>
  <c r="L205" i="13"/>
  <c r="R205" i="13" s="1"/>
  <c r="L216" i="13"/>
  <c r="R216" i="13" s="1"/>
  <c r="L91" i="13"/>
  <c r="R91" i="13" s="1"/>
  <c r="L62" i="13"/>
  <c r="R62" i="13" s="1"/>
  <c r="L102" i="13"/>
  <c r="R102" i="13" s="1"/>
  <c r="L8" i="13"/>
  <c r="R8" i="13" s="1"/>
  <c r="L37" i="13"/>
  <c r="R37" i="13" s="1"/>
  <c r="L133" i="13"/>
  <c r="R133" i="13" s="1"/>
  <c r="L61" i="13"/>
  <c r="R61" i="13" s="1"/>
  <c r="L53" i="13"/>
  <c r="R53" i="13" s="1"/>
  <c r="L193" i="13"/>
  <c r="R193" i="13" s="1"/>
  <c r="L154" i="13"/>
  <c r="R154" i="13" s="1"/>
  <c r="L120" i="13"/>
  <c r="R120" i="13" s="1"/>
  <c r="L234" i="13"/>
  <c r="R234" i="13" s="1"/>
  <c r="L39" i="13"/>
  <c r="R39" i="13" s="1"/>
  <c r="L122" i="13"/>
  <c r="R122" i="13" s="1"/>
  <c r="L188" i="13"/>
  <c r="R188" i="13" s="1"/>
  <c r="L170" i="13"/>
  <c r="R170" i="13" s="1"/>
  <c r="L59" i="13"/>
  <c r="R59" i="13" s="1"/>
  <c r="L160" i="13"/>
  <c r="R160" i="13" s="1"/>
  <c r="L41" i="13"/>
  <c r="R41" i="13" s="1"/>
  <c r="L130" i="13"/>
  <c r="R130" i="13" s="1"/>
  <c r="L219" i="13"/>
  <c r="R219" i="13" s="1"/>
  <c r="L150" i="13"/>
  <c r="R150" i="13" s="1"/>
  <c r="L144" i="13"/>
  <c r="R144" i="13" s="1"/>
  <c r="L132" i="13"/>
  <c r="R132" i="13" s="1"/>
  <c r="L239" i="13"/>
  <c r="R239" i="13" s="1"/>
  <c r="L247" i="13"/>
  <c r="R247" i="13" s="1"/>
  <c r="L189" i="13"/>
  <c r="R189" i="13" s="1"/>
  <c r="L117" i="13"/>
  <c r="R117" i="13" s="1"/>
  <c r="L143" i="13"/>
  <c r="R143" i="13" s="1"/>
  <c r="L218" i="13"/>
  <c r="R218" i="13" s="1"/>
  <c r="L226" i="13"/>
  <c r="R226" i="13" s="1"/>
  <c r="L215" i="13"/>
  <c r="R215" i="13" s="1"/>
  <c r="L175" i="13"/>
  <c r="R175" i="13" s="1"/>
  <c r="L36" i="13"/>
  <c r="R36" i="13" s="1"/>
  <c r="L56" i="13"/>
  <c r="R56" i="13" s="1"/>
  <c r="L119" i="13"/>
  <c r="R119" i="13" s="1"/>
  <c r="L232" i="13"/>
  <c r="R232" i="13" s="1"/>
  <c r="L196" i="13"/>
  <c r="R196" i="13" s="1"/>
  <c r="L184" i="13"/>
  <c r="R184" i="13" s="1"/>
  <c r="L242" i="13"/>
  <c r="R242" i="13" s="1"/>
  <c r="L47" i="13"/>
  <c r="R47" i="13" s="1"/>
  <c r="L142" i="13"/>
  <c r="R142" i="13" s="1"/>
  <c r="L45" i="13"/>
  <c r="R45" i="13" s="1"/>
  <c r="L21" i="13"/>
  <c r="R21" i="13" s="1"/>
  <c r="L63" i="13"/>
  <c r="R63" i="13" s="1"/>
  <c r="L186" i="13"/>
  <c r="R186" i="13" s="1"/>
  <c r="L15" i="13"/>
  <c r="R15" i="13" s="1"/>
  <c r="L203" i="13"/>
  <c r="R203" i="13" s="1"/>
  <c r="L181" i="13"/>
  <c r="R181" i="13" s="1"/>
  <c r="L25" i="13"/>
  <c r="R25" i="13" s="1"/>
  <c r="L236" i="13"/>
  <c r="R236" i="13" s="1"/>
  <c r="L75" i="13"/>
  <c r="R75" i="13" s="1"/>
  <c r="L10" i="13"/>
  <c r="R10" i="13" s="1"/>
  <c r="L200" i="13"/>
  <c r="R200" i="13" s="1"/>
  <c r="L210" i="13"/>
  <c r="R210" i="13" s="1"/>
  <c r="L50" i="13"/>
  <c r="R50" i="13" s="1"/>
  <c r="L178" i="13"/>
  <c r="R178" i="13" s="1"/>
  <c r="L185" i="13"/>
  <c r="R185" i="13" s="1"/>
  <c r="L67" i="13"/>
  <c r="R67" i="13" s="1"/>
  <c r="L208" i="13"/>
  <c r="R208" i="13" s="1"/>
  <c r="L107" i="13"/>
  <c r="R107" i="13" s="1"/>
  <c r="L195" i="13"/>
  <c r="R195" i="13" s="1"/>
  <c r="L201" i="13"/>
  <c r="R201" i="13" s="1"/>
  <c r="L230" i="13"/>
  <c r="R230" i="13" s="1"/>
  <c r="L80" i="13"/>
  <c r="R80" i="13" s="1"/>
  <c r="L57" i="13"/>
  <c r="R57" i="13" s="1"/>
  <c r="L145" i="13"/>
  <c r="R145" i="13" s="1"/>
  <c r="L70" i="13"/>
  <c r="R70" i="13" s="1"/>
  <c r="L100" i="13"/>
  <c r="R100" i="13" s="1"/>
  <c r="L221" i="13"/>
  <c r="R221" i="13" s="1"/>
  <c r="L173" i="13"/>
  <c r="R173" i="13" s="1"/>
  <c r="L92" i="13"/>
  <c r="R92" i="13" s="1"/>
  <c r="L180" i="13"/>
  <c r="R180" i="13" s="1"/>
  <c r="L28" i="13"/>
  <c r="R28" i="13" s="1"/>
  <c r="L161" i="13"/>
  <c r="R161" i="13" s="1"/>
  <c r="L7" i="13"/>
  <c r="R7" i="13" s="1"/>
  <c r="L44" i="13"/>
  <c r="R44" i="13" s="1"/>
  <c r="L54" i="13"/>
  <c r="R54" i="13" s="1"/>
  <c r="L126" i="13"/>
  <c r="R126" i="13" s="1"/>
  <c r="L66" i="13"/>
  <c r="R66" i="13" s="1"/>
  <c r="L105" i="13"/>
  <c r="R105" i="13" s="1"/>
  <c r="L165" i="13"/>
  <c r="R165" i="13" s="1"/>
  <c r="L74" i="13"/>
  <c r="R74" i="13" s="1"/>
  <c r="L109" i="13"/>
  <c r="R109" i="13" s="1"/>
  <c r="L139" i="13"/>
  <c r="R139" i="13" s="1"/>
  <c r="L73" i="13"/>
  <c r="R73" i="13" s="1"/>
  <c r="L108" i="13"/>
  <c r="R108" i="13" s="1"/>
  <c r="L151" i="13"/>
  <c r="R151" i="13" s="1"/>
  <c r="L225" i="13"/>
  <c r="R225" i="13" s="1"/>
  <c r="L106" i="13"/>
  <c r="R106" i="13" s="1"/>
  <c r="L20" i="13"/>
  <c r="R20" i="13" s="1"/>
  <c r="L179" i="13"/>
  <c r="R179" i="13" s="1"/>
  <c r="L149" i="13"/>
  <c r="R149" i="13" s="1"/>
  <c r="L162" i="13"/>
  <c r="R162" i="13" s="1"/>
  <c r="L23" i="13"/>
  <c r="R23" i="13" s="1"/>
  <c r="L194" i="13"/>
  <c r="R194" i="13" s="1"/>
  <c r="L51" i="13"/>
  <c r="R51" i="13" s="1"/>
  <c r="L24" i="13"/>
  <c r="R24" i="13" s="1"/>
  <c r="L101" i="13"/>
  <c r="R101" i="13" s="1"/>
  <c r="L158" i="13"/>
  <c r="R158" i="13" s="1"/>
  <c r="L93" i="13"/>
  <c r="R93" i="13" s="1"/>
  <c r="L135" i="13"/>
  <c r="R135" i="13" s="1"/>
  <c r="L124" i="13"/>
  <c r="R124" i="13" s="1"/>
  <c r="L163" i="13"/>
  <c r="R163" i="13" s="1"/>
  <c r="L125" i="13"/>
  <c r="R125" i="13" s="1"/>
  <c r="L30" i="13"/>
  <c r="R30" i="13" s="1"/>
  <c r="L146" i="13"/>
  <c r="R146" i="13" s="1"/>
  <c r="L199" i="13"/>
  <c r="R199" i="13" s="1"/>
  <c r="L141" i="13"/>
  <c r="R141" i="13" s="1"/>
  <c r="L212" i="13"/>
  <c r="R212" i="13" s="1"/>
  <c r="L46" i="13"/>
  <c r="R46" i="13" s="1"/>
  <c r="L121" i="13"/>
  <c r="R121" i="13" s="1"/>
  <c r="L197" i="13"/>
  <c r="R197" i="13" s="1"/>
  <c r="L72" i="13"/>
  <c r="R72" i="13" s="1"/>
  <c r="L35" i="13"/>
  <c r="R35" i="13" s="1"/>
  <c r="L77" i="13"/>
  <c r="R77" i="13" s="1"/>
  <c r="L9" i="13"/>
  <c r="R9" i="13" s="1"/>
  <c r="L112" i="13"/>
  <c r="R112" i="13" s="1"/>
  <c r="L171" i="13"/>
  <c r="R171" i="13" s="1"/>
  <c r="L147" i="13"/>
  <c r="R147" i="13" s="1"/>
  <c r="L97" i="13"/>
  <c r="R97" i="13" s="1"/>
  <c r="L65" i="13"/>
  <c r="R65" i="13" s="1"/>
  <c r="L191" i="13"/>
  <c r="R191" i="13" s="1"/>
  <c r="L128" i="13"/>
  <c r="R128" i="13" s="1"/>
  <c r="L16" i="13"/>
  <c r="R16" i="13" s="1"/>
  <c r="L244" i="13"/>
  <c r="R244" i="13" s="1"/>
  <c r="L40" i="13"/>
  <c r="R40" i="13" s="1"/>
  <c r="L83" i="13"/>
  <c r="R83" i="13" s="1"/>
  <c r="L43" i="13"/>
  <c r="R43" i="13" s="1"/>
  <c r="L94" i="13"/>
  <c r="R94" i="13" s="1"/>
  <c r="L110" i="13"/>
  <c r="R110" i="13" s="1"/>
  <c r="L64" i="13"/>
  <c r="R64" i="13" s="1"/>
  <c r="L127" i="13"/>
  <c r="R127" i="13" s="1"/>
  <c r="L34" i="13"/>
  <c r="R34" i="13" s="1"/>
  <c r="L136" i="13"/>
  <c r="R136" i="13" s="1"/>
  <c r="L206" i="13"/>
  <c r="R206" i="13" s="1"/>
  <c r="L176" i="13"/>
  <c r="R176" i="13" s="1"/>
  <c r="L29" i="13"/>
  <c r="R29" i="13" s="1"/>
  <c r="L138" i="13"/>
  <c r="R138" i="13" s="1"/>
  <c r="L99" i="13"/>
  <c r="R99" i="13" s="1"/>
  <c r="L95" i="13"/>
  <c r="R95" i="13" s="1"/>
  <c r="L246" i="13"/>
  <c r="R246" i="13" s="1"/>
  <c r="L86" i="13"/>
  <c r="R86" i="13" s="1"/>
  <c r="L32" i="13"/>
  <c r="R32" i="13" s="1"/>
  <c r="L220" i="13"/>
  <c r="R220" i="13" s="1"/>
  <c r="L202" i="13"/>
  <c r="R202" i="13" s="1"/>
  <c r="L68" i="13"/>
  <c r="R68" i="13" s="1"/>
  <c r="L168" i="13"/>
  <c r="R168" i="13" s="1"/>
  <c r="L69" i="13"/>
  <c r="R69" i="13" s="1"/>
  <c r="L103" i="13"/>
  <c r="R103" i="13" s="1"/>
  <c r="L89" i="13"/>
  <c r="R89" i="13" s="1"/>
  <c r="L42" i="13"/>
  <c r="R42" i="13" s="1"/>
  <c r="L183" i="13"/>
  <c r="R183" i="13" s="1"/>
  <c r="L166" i="13"/>
  <c r="R166" i="13" s="1"/>
  <c r="L118" i="13"/>
  <c r="R118" i="13" s="1"/>
  <c r="L76" i="13"/>
  <c r="R76" i="13" s="1"/>
  <c r="L233" i="13"/>
  <c r="R233" i="13" s="1"/>
  <c r="L113" i="13"/>
  <c r="R113" i="13" s="1"/>
  <c r="L157" i="13"/>
  <c r="R157" i="13" s="1"/>
  <c r="L207" i="13"/>
  <c r="R207" i="13" s="1"/>
  <c r="L167" i="13"/>
  <c r="R167" i="13" s="1"/>
  <c r="L227" i="13"/>
  <c r="R227" i="13" s="1"/>
  <c r="L82" i="13"/>
  <c r="R82" i="13" s="1"/>
  <c r="L71" i="13"/>
  <c r="R71" i="13" s="1"/>
  <c r="L137" i="13"/>
  <c r="R137" i="13" s="1"/>
  <c r="L237" i="13"/>
  <c r="R237" i="13" s="1"/>
  <c r="L88" i="13"/>
  <c r="R88" i="13" s="1"/>
  <c r="L114" i="13"/>
  <c r="R114" i="13" s="1"/>
  <c r="L152" i="13"/>
  <c r="R152" i="13" s="1"/>
  <c r="L123" i="13"/>
  <c r="R123" i="13" s="1"/>
  <c r="L27" i="13"/>
  <c r="R27" i="13" s="1"/>
  <c r="L172" i="13"/>
  <c r="R172" i="13" s="1"/>
  <c r="L38" i="13"/>
  <c r="R38" i="13" s="1"/>
  <c r="L49" i="13"/>
  <c r="R49" i="13" s="1"/>
  <c r="L223" i="13"/>
  <c r="R223" i="13" s="1"/>
  <c r="L182" i="13"/>
  <c r="R182" i="13" s="1"/>
  <c r="L155" i="13"/>
  <c r="R155" i="13" s="1"/>
  <c r="L159" i="13"/>
  <c r="R159" i="13" s="1"/>
  <c r="L134" i="13"/>
  <c r="R134" i="13" s="1"/>
  <c r="L187" i="13"/>
  <c r="R187" i="13" s="1"/>
  <c r="L224" i="13"/>
  <c r="R224" i="13" s="1"/>
  <c r="L211" i="13"/>
  <c r="R211" i="13" s="1"/>
  <c r="L19" i="13"/>
  <c r="R19" i="13" s="1"/>
  <c r="L52" i="13"/>
  <c r="R52" i="13" s="1"/>
  <c r="L192" i="13"/>
  <c r="R192" i="13" s="1"/>
  <c r="L17" i="13"/>
  <c r="R17" i="13" s="1"/>
  <c r="L11" i="13"/>
  <c r="R11" i="13" s="1"/>
  <c r="L148" i="13"/>
  <c r="R148" i="13" s="1"/>
  <c r="L98" i="13"/>
  <c r="R98" i="13" s="1"/>
  <c r="L87" i="13"/>
  <c r="R87" i="13" s="1"/>
  <c r="L85" i="13"/>
  <c r="R85" i="13" s="1"/>
  <c r="L13" i="13"/>
  <c r="R13" i="13" s="1"/>
  <c r="L214" i="13"/>
  <c r="R214" i="13" s="1"/>
  <c r="L96" i="13"/>
  <c r="R96" i="13" s="1"/>
  <c r="L12" i="13"/>
  <c r="R12" i="13" s="1"/>
  <c r="L116" i="13"/>
  <c r="R116" i="13" s="1"/>
  <c r="L169" i="13"/>
  <c r="R169" i="13" s="1"/>
  <c r="L131" i="13"/>
  <c r="R131" i="13" s="1"/>
  <c r="L153" i="13"/>
  <c r="R153" i="13" s="1"/>
  <c r="L84" i="13"/>
  <c r="R84" i="13" s="1"/>
  <c r="L14" i="13"/>
  <c r="R14" i="13" s="1"/>
  <c r="L228" i="13"/>
  <c r="R228" i="13" s="1"/>
  <c r="L174" i="13"/>
  <c r="R174" i="13" s="1"/>
  <c r="L48" i="13"/>
  <c r="R48" i="13" s="1"/>
  <c r="L111" i="13"/>
  <c r="R111" i="13" s="1"/>
  <c r="L6" i="13"/>
  <c r="R6" i="13" s="1"/>
  <c r="L209" i="13"/>
  <c r="R209" i="13" s="1"/>
  <c r="L79" i="13"/>
  <c r="R79" i="13" s="1"/>
  <c r="L33" i="13"/>
  <c r="R33" i="13" s="1"/>
  <c r="L156" i="13"/>
  <c r="R156" i="13" s="1"/>
  <c r="L235" i="13"/>
  <c r="R235" i="13" s="1"/>
  <c r="L222" i="13"/>
  <c r="R222" i="13" s="1"/>
  <c r="L238" i="13"/>
  <c r="R238" i="13" s="1"/>
  <c r="L198" i="13"/>
  <c r="R198" i="13" s="1"/>
  <c r="L104" i="13"/>
  <c r="R104" i="13" s="1"/>
  <c r="L90" i="13"/>
  <c r="R90" i="13" s="1"/>
  <c r="L55" i="13"/>
  <c r="R55" i="13" s="1"/>
  <c r="L22" i="13"/>
  <c r="R22" i="13" s="1"/>
  <c r="L60" i="13"/>
  <c r="R60" i="13" s="1"/>
  <c r="L231" i="13"/>
  <c r="R231" i="13" s="1"/>
  <c r="L129" i="13"/>
  <c r="R129" i="13" s="1"/>
  <c r="L243" i="13"/>
  <c r="R243" i="13" s="1"/>
  <c r="L26" i="13"/>
  <c r="R26" i="13" s="1"/>
  <c r="L115" i="13"/>
  <c r="R115" i="13" s="1"/>
  <c r="L240" i="13"/>
  <c r="R240" i="13" s="1"/>
  <c r="L229" i="13"/>
  <c r="R229" i="13" s="1"/>
  <c r="L164" i="13"/>
  <c r="R164" i="13" s="1"/>
  <c r="L78" i="13"/>
  <c r="R78" i="13" s="1"/>
  <c r="L81" i="13"/>
  <c r="R81" i="13" s="1"/>
  <c r="L140" i="13"/>
  <c r="R140" i="13" s="1"/>
  <c r="L190" i="13"/>
  <c r="R190" i="13" s="1"/>
  <c r="L213" i="13"/>
  <c r="R213" i="13" s="1"/>
  <c r="L18" i="13"/>
  <c r="R18" i="13" s="1"/>
  <c r="L177" i="13"/>
  <c r="R177" i="13" s="1"/>
  <c r="M5" i="13"/>
  <c r="S5" i="13" s="1"/>
  <c r="M118" i="13"/>
  <c r="S118" i="13" s="1"/>
  <c r="M165" i="13"/>
  <c r="S165" i="13" s="1"/>
  <c r="M114" i="13"/>
  <c r="S114" i="13" s="1"/>
  <c r="M199" i="13"/>
  <c r="S199" i="13" s="1"/>
  <c r="M232" i="13"/>
  <c r="S232" i="13" s="1"/>
  <c r="M214" i="13"/>
  <c r="S214" i="13" s="1"/>
  <c r="M23" i="13"/>
  <c r="S23" i="13" s="1"/>
  <c r="M58" i="13"/>
  <c r="S58" i="13" s="1"/>
  <c r="M30" i="13"/>
  <c r="S30" i="13" s="1"/>
  <c r="M25" i="13"/>
  <c r="S25" i="13" s="1"/>
  <c r="M42" i="13"/>
  <c r="S42" i="13" s="1"/>
  <c r="M236" i="13"/>
  <c r="S236" i="13" s="1"/>
  <c r="M181" i="13"/>
  <c r="S181" i="13" s="1"/>
  <c r="M17" i="13"/>
  <c r="S17" i="13" s="1"/>
  <c r="M233" i="13"/>
  <c r="S233" i="13" s="1"/>
  <c r="M84" i="13"/>
  <c r="S84" i="13" s="1"/>
  <c r="M244" i="13"/>
  <c r="S244" i="13" s="1"/>
  <c r="M162" i="13"/>
  <c r="S162" i="13" s="1"/>
  <c r="M7" i="13"/>
  <c r="S7" i="13" s="1"/>
  <c r="M45" i="13"/>
  <c r="S45" i="13" s="1"/>
  <c r="M70" i="13"/>
  <c r="S70" i="13" s="1"/>
  <c r="M126" i="13"/>
  <c r="S126" i="13" s="1"/>
  <c r="M124" i="13"/>
  <c r="S124" i="13" s="1"/>
  <c r="M166" i="13"/>
  <c r="S166" i="13" s="1"/>
  <c r="M146" i="13"/>
  <c r="S146" i="13" s="1"/>
  <c r="M104" i="13"/>
  <c r="S104" i="13" s="1"/>
  <c r="M6" i="13"/>
  <c r="S6" i="13" s="1"/>
  <c r="M185" i="13"/>
  <c r="S185" i="13" s="1"/>
  <c r="M203" i="13"/>
  <c r="S203" i="13" s="1"/>
  <c r="M103" i="13"/>
  <c r="S103" i="13" s="1"/>
  <c r="M211" i="13"/>
  <c r="S211" i="13" s="1"/>
  <c r="M100" i="13"/>
  <c r="S100" i="13" s="1"/>
  <c r="M170" i="13"/>
  <c r="S170" i="13" s="1"/>
  <c r="M209" i="13"/>
  <c r="S209" i="13" s="1"/>
  <c r="M160" i="13"/>
  <c r="S160" i="13" s="1"/>
  <c r="M193" i="13"/>
  <c r="S193" i="13" s="1"/>
  <c r="M16" i="13"/>
  <c r="S16" i="13" s="1"/>
  <c r="M196" i="13"/>
  <c r="S196" i="13" s="1"/>
  <c r="M178" i="13"/>
  <c r="S178" i="13" s="1"/>
  <c r="M132" i="13"/>
  <c r="S132" i="13" s="1"/>
  <c r="M21" i="13"/>
  <c r="S21" i="13" s="1"/>
  <c r="M116" i="13"/>
  <c r="S116" i="13" s="1"/>
  <c r="M50" i="13"/>
  <c r="S50" i="13" s="1"/>
  <c r="M175" i="13"/>
  <c r="S175" i="13" s="1"/>
  <c r="M147" i="13"/>
  <c r="S147" i="13" s="1"/>
  <c r="M195" i="13"/>
  <c r="S195" i="13" s="1"/>
  <c r="M19" i="13"/>
  <c r="S19" i="13" s="1"/>
  <c r="M177" i="13"/>
  <c r="S177" i="13" s="1"/>
  <c r="M235" i="13"/>
  <c r="S235" i="13" s="1"/>
  <c r="M234" i="13"/>
  <c r="S234" i="13" s="1"/>
  <c r="M40" i="13"/>
  <c r="S40" i="13" s="1"/>
  <c r="M61" i="13"/>
  <c r="S61" i="13" s="1"/>
  <c r="M56" i="13"/>
  <c r="S56" i="13" s="1"/>
  <c r="M86" i="13"/>
  <c r="S86" i="13" s="1"/>
  <c r="M156" i="13"/>
  <c r="S156" i="13" s="1"/>
  <c r="M206" i="13"/>
  <c r="S206" i="13" s="1"/>
  <c r="M220" i="13"/>
  <c r="S220" i="13" s="1"/>
  <c r="M143" i="13"/>
  <c r="S143" i="13" s="1"/>
  <c r="M202" i="13"/>
  <c r="S202" i="13" s="1"/>
  <c r="M112" i="13"/>
  <c r="S112" i="13" s="1"/>
  <c r="M168" i="13"/>
  <c r="S168" i="13" s="1"/>
  <c r="M51" i="13"/>
  <c r="S51" i="13" s="1"/>
  <c r="M63" i="13"/>
  <c r="S63" i="13" s="1"/>
  <c r="M188" i="13"/>
  <c r="S188" i="13" s="1"/>
  <c r="M164" i="13"/>
  <c r="S164" i="13" s="1"/>
  <c r="M139" i="13"/>
  <c r="S139" i="13" s="1"/>
  <c r="M68" i="13"/>
  <c r="S68" i="13" s="1"/>
  <c r="M76" i="13"/>
  <c r="S76" i="13" s="1"/>
  <c r="M231" i="13"/>
  <c r="S231" i="13" s="1"/>
  <c r="M245" i="13"/>
  <c r="S245" i="13" s="1"/>
  <c r="M107" i="13"/>
  <c r="S107" i="13" s="1"/>
  <c r="M73" i="13"/>
  <c r="S73" i="13" s="1"/>
  <c r="M155" i="13"/>
  <c r="S155" i="13" s="1"/>
  <c r="M28" i="13"/>
  <c r="S28" i="13" s="1"/>
  <c r="M108" i="13"/>
  <c r="S108" i="13" s="1"/>
  <c r="M60" i="13"/>
  <c r="S60" i="13" s="1"/>
  <c r="M91" i="13"/>
  <c r="S91" i="13" s="1"/>
  <c r="M142" i="13"/>
  <c r="S142" i="13" s="1"/>
  <c r="M125" i="13"/>
  <c r="S125" i="13" s="1"/>
  <c r="M149" i="13"/>
  <c r="S149" i="13" s="1"/>
  <c r="M20" i="13"/>
  <c r="S20" i="13" s="1"/>
  <c r="M197" i="13"/>
  <c r="S197" i="13" s="1"/>
  <c r="M81" i="13"/>
  <c r="S81" i="13" s="1"/>
  <c r="M49" i="13"/>
  <c r="S49" i="13" s="1"/>
  <c r="M52" i="13"/>
  <c r="S52" i="13" s="1"/>
  <c r="M138" i="13"/>
  <c r="S138" i="13" s="1"/>
  <c r="M194" i="13"/>
  <c r="S194" i="13" s="1"/>
  <c r="M22" i="13"/>
  <c r="S22" i="13" s="1"/>
  <c r="M141" i="13"/>
  <c r="S141" i="13" s="1"/>
  <c r="M98" i="13"/>
  <c r="S98" i="13" s="1"/>
  <c r="M182" i="13"/>
  <c r="S182" i="13" s="1"/>
  <c r="M237" i="13"/>
  <c r="S237" i="13" s="1"/>
  <c r="M48" i="13"/>
  <c r="S48" i="13" s="1"/>
  <c r="M167" i="13"/>
  <c r="S167" i="13" s="1"/>
  <c r="M186" i="13"/>
  <c r="S186" i="13" s="1"/>
  <c r="M221" i="13"/>
  <c r="S221" i="13" s="1"/>
  <c r="M53" i="13"/>
  <c r="S53" i="13" s="1"/>
  <c r="M33" i="13"/>
  <c r="S33" i="13" s="1"/>
  <c r="M133" i="13"/>
  <c r="S133" i="13" s="1"/>
  <c r="M144" i="13"/>
  <c r="S144" i="13" s="1"/>
  <c r="M77" i="13"/>
  <c r="S77" i="13" s="1"/>
  <c r="M26" i="13"/>
  <c r="S26" i="13" s="1"/>
  <c r="M157" i="13"/>
  <c r="S157" i="13" s="1"/>
  <c r="M8" i="13"/>
  <c r="S8" i="13" s="1"/>
  <c r="M87" i="13"/>
  <c r="S87" i="13" s="1"/>
  <c r="M99" i="13"/>
  <c r="S99" i="13" s="1"/>
  <c r="M64" i="13"/>
  <c r="S64" i="13" s="1"/>
  <c r="M111" i="13"/>
  <c r="S111" i="13" s="1"/>
  <c r="M13" i="13"/>
  <c r="S13" i="13" s="1"/>
  <c r="M43" i="13"/>
  <c r="S43" i="13" s="1"/>
  <c r="M117" i="13"/>
  <c r="S117" i="13" s="1"/>
  <c r="M243" i="13"/>
  <c r="S243" i="13" s="1"/>
  <c r="M105" i="13"/>
  <c r="S105" i="13" s="1"/>
  <c r="M121" i="13"/>
  <c r="S121" i="13" s="1"/>
  <c r="M238" i="13"/>
  <c r="S238" i="13" s="1"/>
  <c r="M183" i="13"/>
  <c r="S183" i="13" s="1"/>
  <c r="M242" i="13"/>
  <c r="S242" i="13" s="1"/>
  <c r="M247" i="13"/>
  <c r="S247" i="13" s="1"/>
  <c r="M31" i="13"/>
  <c r="S31" i="13" s="1"/>
  <c r="M158" i="13"/>
  <c r="S158" i="13" s="1"/>
  <c r="M134" i="13"/>
  <c r="S134" i="13" s="1"/>
  <c r="M15" i="13"/>
  <c r="S15" i="13" s="1"/>
  <c r="M172" i="13"/>
  <c r="S172" i="13" s="1"/>
  <c r="M239" i="13"/>
  <c r="S239" i="13" s="1"/>
  <c r="M79" i="13"/>
  <c r="S79" i="13" s="1"/>
  <c r="M59" i="13"/>
  <c r="S59" i="13" s="1"/>
  <c r="M228" i="13"/>
  <c r="S228" i="13" s="1"/>
  <c r="M135" i="13"/>
  <c r="S135" i="13" s="1"/>
  <c r="M151" i="13"/>
  <c r="S151" i="13" s="1"/>
  <c r="M131" i="13"/>
  <c r="S131" i="13" s="1"/>
  <c r="M39" i="13"/>
  <c r="S39" i="13" s="1"/>
  <c r="M201" i="13"/>
  <c r="S201" i="13" s="1"/>
  <c r="M222" i="13"/>
  <c r="S222" i="13" s="1"/>
  <c r="M54" i="13"/>
  <c r="S54" i="13" s="1"/>
  <c r="M101" i="13"/>
  <c r="S101" i="13" s="1"/>
  <c r="M41" i="13"/>
  <c r="S41" i="13" s="1"/>
  <c r="M92" i="13"/>
  <c r="S92" i="13" s="1"/>
  <c r="M212" i="13"/>
  <c r="S212" i="13" s="1"/>
  <c r="M136" i="13"/>
  <c r="S136" i="13" s="1"/>
  <c r="M217" i="13"/>
  <c r="S217" i="13" s="1"/>
  <c r="M184" i="13"/>
  <c r="S184" i="13" s="1"/>
  <c r="M150" i="13"/>
  <c r="S150" i="13" s="1"/>
  <c r="M227" i="13"/>
  <c r="S227" i="13" s="1"/>
  <c r="M246" i="13"/>
  <c r="S246" i="13" s="1"/>
  <c r="M210" i="13"/>
  <c r="S210" i="13" s="1"/>
  <c r="M18" i="13"/>
  <c r="S18" i="13" s="1"/>
  <c r="M106" i="13"/>
  <c r="S106" i="13" s="1"/>
  <c r="M27" i="13"/>
  <c r="S27" i="13" s="1"/>
  <c r="M226" i="13"/>
  <c r="S226" i="13" s="1"/>
  <c r="M55" i="13"/>
  <c r="S55" i="13" s="1"/>
  <c r="M11" i="13"/>
  <c r="S11" i="13" s="1"/>
  <c r="M109" i="13"/>
  <c r="S109" i="13" s="1"/>
  <c r="M37" i="13"/>
  <c r="S37" i="13" s="1"/>
  <c r="M129" i="13"/>
  <c r="S129" i="13" s="1"/>
  <c r="M176" i="13"/>
  <c r="S176" i="13" s="1"/>
  <c r="M208" i="13"/>
  <c r="S208" i="13" s="1"/>
  <c r="M223" i="13"/>
  <c r="S223" i="13" s="1"/>
  <c r="M224" i="13"/>
  <c r="S224" i="13" s="1"/>
  <c r="M179" i="13"/>
  <c r="S179" i="13" s="1"/>
  <c r="M78" i="13"/>
  <c r="S78" i="13" s="1"/>
  <c r="M9" i="13"/>
  <c r="S9" i="13" s="1"/>
  <c r="M171" i="13"/>
  <c r="S171" i="13" s="1"/>
  <c r="M123" i="13"/>
  <c r="S123" i="13" s="1"/>
  <c r="M89" i="13"/>
  <c r="S89" i="13" s="1"/>
  <c r="M12" i="13"/>
  <c r="S12" i="13" s="1"/>
  <c r="M190" i="13"/>
  <c r="S190" i="13" s="1"/>
  <c r="M207" i="13"/>
  <c r="S207" i="13" s="1"/>
  <c r="M152" i="13"/>
  <c r="S152" i="13" s="1"/>
  <c r="M230" i="13"/>
  <c r="S230" i="13" s="1"/>
  <c r="M218" i="13"/>
  <c r="S218" i="13" s="1"/>
  <c r="M65" i="13"/>
  <c r="S65" i="13" s="1"/>
  <c r="M80" i="13"/>
  <c r="S80" i="13" s="1"/>
  <c r="M189" i="13"/>
  <c r="S189" i="13" s="1"/>
  <c r="M192" i="13"/>
  <c r="S192" i="13" s="1"/>
  <c r="M173" i="13"/>
  <c r="S173" i="13" s="1"/>
  <c r="M169" i="13"/>
  <c r="S169" i="13" s="1"/>
  <c r="M205" i="13"/>
  <c r="S205" i="13" s="1"/>
  <c r="M38" i="13"/>
  <c r="S38" i="13" s="1"/>
  <c r="M90" i="13"/>
  <c r="S90" i="13" s="1"/>
  <c r="M122" i="13"/>
  <c r="S122" i="13" s="1"/>
  <c r="M14" i="13"/>
  <c r="S14" i="13" s="1"/>
  <c r="M159" i="13"/>
  <c r="S159" i="13" s="1"/>
  <c r="M32" i="13"/>
  <c r="S32" i="13" s="1"/>
  <c r="M140" i="13"/>
  <c r="S140" i="13" s="1"/>
  <c r="M130" i="13"/>
  <c r="S130" i="13" s="1"/>
  <c r="M161" i="13"/>
  <c r="S161" i="13" s="1"/>
  <c r="M85" i="13"/>
  <c r="S85" i="13" s="1"/>
  <c r="M71" i="13"/>
  <c r="S71" i="13" s="1"/>
  <c r="M225" i="13"/>
  <c r="S225" i="13" s="1"/>
  <c r="M113" i="13"/>
  <c r="S113" i="13" s="1"/>
  <c r="M153" i="13"/>
  <c r="S153" i="13" s="1"/>
  <c r="M216" i="13"/>
  <c r="S216" i="13" s="1"/>
  <c r="M163" i="13"/>
  <c r="S163" i="13" s="1"/>
  <c r="M83" i="13"/>
  <c r="S83" i="13" s="1"/>
  <c r="M46" i="13"/>
  <c r="S46" i="13" s="1"/>
  <c r="M72" i="13"/>
  <c r="S72" i="13" s="1"/>
  <c r="M213" i="13"/>
  <c r="S213" i="13" s="1"/>
  <c r="M34" i="13"/>
  <c r="S34" i="13" s="1"/>
  <c r="M44" i="13"/>
  <c r="S44" i="13" s="1"/>
  <c r="M24" i="13"/>
  <c r="S24" i="13" s="1"/>
  <c r="M62" i="13"/>
  <c r="S62" i="13" s="1"/>
  <c r="M119" i="13"/>
  <c r="S119" i="13" s="1"/>
  <c r="M145" i="13"/>
  <c r="S145" i="13" s="1"/>
  <c r="M154" i="13"/>
  <c r="S154" i="13" s="1"/>
  <c r="M187" i="13"/>
  <c r="S187" i="13" s="1"/>
  <c r="M127" i="13"/>
  <c r="S127" i="13" s="1"/>
  <c r="M110" i="13"/>
  <c r="S110" i="13" s="1"/>
  <c r="M229" i="13"/>
  <c r="S229" i="13" s="1"/>
  <c r="M204" i="13"/>
  <c r="S204" i="13" s="1"/>
  <c r="M10" i="13"/>
  <c r="S10" i="13" s="1"/>
  <c r="M241" i="13"/>
  <c r="S241" i="13" s="1"/>
  <c r="M69" i="13"/>
  <c r="S69" i="13" s="1"/>
  <c r="M35" i="13"/>
  <c r="S35" i="13" s="1"/>
  <c r="M219" i="13"/>
  <c r="S219" i="13" s="1"/>
  <c r="M75" i="13"/>
  <c r="S75" i="13" s="1"/>
  <c r="M120" i="13"/>
  <c r="S120" i="13" s="1"/>
  <c r="M115" i="13"/>
  <c r="S115" i="13" s="1"/>
  <c r="M200" i="13"/>
  <c r="S200" i="13" s="1"/>
  <c r="M148" i="13"/>
  <c r="S148" i="13" s="1"/>
  <c r="M128" i="13"/>
  <c r="S128" i="13" s="1"/>
  <c r="M137" i="13"/>
  <c r="S137" i="13" s="1"/>
  <c r="M66" i="13"/>
  <c r="S66" i="13" s="1"/>
  <c r="M102" i="13"/>
  <c r="S102" i="13" s="1"/>
  <c r="M174" i="13"/>
  <c r="S174" i="13" s="1"/>
  <c r="M57" i="13"/>
  <c r="S57" i="13" s="1"/>
  <c r="M191" i="13"/>
  <c r="S191" i="13" s="1"/>
  <c r="M82" i="13"/>
  <c r="S82" i="13" s="1"/>
  <c r="M97" i="13"/>
  <c r="S97" i="13" s="1"/>
  <c r="M29" i="13"/>
  <c r="S29" i="13" s="1"/>
  <c r="M180" i="13"/>
  <c r="S180" i="13" s="1"/>
  <c r="M47" i="13"/>
  <c r="S47" i="13" s="1"/>
  <c r="M67" i="13"/>
  <c r="S67" i="13" s="1"/>
  <c r="M240" i="13"/>
  <c r="S240" i="13" s="1"/>
  <c r="M94" i="13"/>
  <c r="S94" i="13" s="1"/>
  <c r="M215" i="13"/>
  <c r="S215" i="13" s="1"/>
  <c r="M96" i="13"/>
  <c r="S96" i="13" s="1"/>
  <c r="M93" i="13"/>
  <c r="S93" i="13" s="1"/>
  <c r="M95" i="13"/>
  <c r="S95" i="13" s="1"/>
  <c r="M198" i="13"/>
  <c r="S198" i="13" s="1"/>
  <c r="M74" i="13"/>
  <c r="S74" i="13" s="1"/>
  <c r="M88" i="13"/>
  <c r="S88" i="13" s="1"/>
  <c r="M36" i="13"/>
  <c r="S36" i="13" s="1"/>
  <c r="N5" i="13"/>
  <c r="T5" i="13" s="1"/>
  <c r="N219" i="13"/>
  <c r="T219" i="13" s="1"/>
  <c r="N74" i="13"/>
  <c r="T74" i="13" s="1"/>
  <c r="N51" i="13"/>
  <c r="T51" i="13" s="1"/>
  <c r="N184" i="13"/>
  <c r="T184" i="13" s="1"/>
  <c r="N61" i="13"/>
  <c r="T61" i="13" s="1"/>
  <c r="N70" i="13"/>
  <c r="T70" i="13" s="1"/>
  <c r="N197" i="13"/>
  <c r="T197" i="13" s="1"/>
  <c r="N204" i="13"/>
  <c r="T204" i="13" s="1"/>
  <c r="N94" i="13"/>
  <c r="T94" i="13" s="1"/>
  <c r="N16" i="13"/>
  <c r="T16" i="13" s="1"/>
  <c r="N226" i="13"/>
  <c r="T226" i="13" s="1"/>
  <c r="N57" i="13"/>
  <c r="T57" i="13" s="1"/>
  <c r="N118" i="13"/>
  <c r="T118" i="13" s="1"/>
  <c r="N110" i="13"/>
  <c r="T110" i="13" s="1"/>
  <c r="N108" i="13"/>
  <c r="T108" i="13" s="1"/>
  <c r="N93" i="13"/>
  <c r="T93" i="13" s="1"/>
  <c r="N71" i="13"/>
  <c r="T71" i="13" s="1"/>
  <c r="N50" i="13"/>
  <c r="T50" i="13" s="1"/>
  <c r="N234" i="13"/>
  <c r="T234" i="13" s="1"/>
  <c r="N91" i="13"/>
  <c r="T91" i="13" s="1"/>
  <c r="N159" i="13"/>
  <c r="T159" i="13" s="1"/>
  <c r="N191" i="13"/>
  <c r="T191" i="13" s="1"/>
  <c r="N55" i="13"/>
  <c r="T55" i="13" s="1"/>
  <c r="N98" i="13"/>
  <c r="T98" i="13" s="1"/>
  <c r="N49" i="13"/>
  <c r="T49" i="13" s="1"/>
  <c r="N83" i="13"/>
  <c r="T83" i="13" s="1"/>
  <c r="N131" i="13"/>
  <c r="T131" i="13" s="1"/>
  <c r="N39" i="13"/>
  <c r="T39" i="13" s="1"/>
  <c r="N170" i="13"/>
  <c r="T170" i="13" s="1"/>
  <c r="N143" i="13"/>
  <c r="T143" i="13" s="1"/>
  <c r="N247" i="13"/>
  <c r="T247" i="13" s="1"/>
  <c r="N17" i="13"/>
  <c r="T17" i="13" s="1"/>
  <c r="N224" i="13"/>
  <c r="T224" i="13" s="1"/>
  <c r="N28" i="13"/>
  <c r="T28" i="13" s="1"/>
  <c r="N218" i="13"/>
  <c r="T218" i="13" s="1"/>
  <c r="N26" i="13"/>
  <c r="T26" i="13" s="1"/>
  <c r="N194" i="13"/>
  <c r="T194" i="13" s="1"/>
  <c r="N174" i="13"/>
  <c r="T174" i="13" s="1"/>
  <c r="N187" i="13"/>
  <c r="T187" i="13" s="1"/>
  <c r="N116" i="13"/>
  <c r="T116" i="13" s="1"/>
  <c r="N22" i="13"/>
  <c r="T22" i="13" s="1"/>
  <c r="N163" i="13"/>
  <c r="T163" i="13" s="1"/>
  <c r="N178" i="13"/>
  <c r="T178" i="13" s="1"/>
  <c r="N34" i="13"/>
  <c r="T34" i="13" s="1"/>
  <c r="N223" i="13"/>
  <c r="T223" i="13" s="1"/>
  <c r="N107" i="13"/>
  <c r="T107" i="13" s="1"/>
  <c r="N185" i="13"/>
  <c r="T185" i="13" s="1"/>
  <c r="N242" i="13"/>
  <c r="T242" i="13" s="1"/>
  <c r="N167" i="13"/>
  <c r="T167" i="13" s="1"/>
  <c r="N59" i="13"/>
  <c r="T59" i="13" s="1"/>
  <c r="N76" i="13"/>
  <c r="T76" i="13" s="1"/>
  <c r="N139" i="13"/>
  <c r="T139" i="13" s="1"/>
  <c r="N73" i="13"/>
  <c r="T73" i="13" s="1"/>
  <c r="N192" i="13"/>
  <c r="T192" i="13" s="1"/>
  <c r="N29" i="13"/>
  <c r="T29" i="13" s="1"/>
  <c r="N60" i="13"/>
  <c r="T60" i="13" s="1"/>
  <c r="N183" i="13"/>
  <c r="T183" i="13" s="1"/>
  <c r="N96" i="13"/>
  <c r="T96" i="13" s="1"/>
  <c r="N231" i="13"/>
  <c r="T231" i="13" s="1"/>
  <c r="N206" i="13"/>
  <c r="T206" i="13" s="1"/>
  <c r="N151" i="13"/>
  <c r="T151" i="13" s="1"/>
  <c r="N135" i="13"/>
  <c r="T135" i="13" s="1"/>
  <c r="N164" i="13"/>
  <c r="T164" i="13" s="1"/>
  <c r="N109" i="13"/>
  <c r="T109" i="13" s="1"/>
  <c r="N203" i="13"/>
  <c r="T203" i="13" s="1"/>
  <c r="N46" i="13"/>
  <c r="T46" i="13" s="1"/>
  <c r="N145" i="13"/>
  <c r="T145" i="13" s="1"/>
  <c r="N211" i="13"/>
  <c r="T211" i="13" s="1"/>
  <c r="N235" i="13"/>
  <c r="T235" i="13" s="1"/>
  <c r="N179" i="13"/>
  <c r="T179" i="13" s="1"/>
  <c r="N68" i="13"/>
  <c r="T68" i="13" s="1"/>
  <c r="N84" i="13"/>
  <c r="T84" i="13" s="1"/>
  <c r="N127" i="13"/>
  <c r="T127" i="13" s="1"/>
  <c r="N169" i="13"/>
  <c r="T169" i="13" s="1"/>
  <c r="N152" i="13"/>
  <c r="T152" i="13" s="1"/>
  <c r="N44" i="13"/>
  <c r="T44" i="13" s="1"/>
  <c r="N78" i="13"/>
  <c r="T78" i="13" s="1"/>
  <c r="N105" i="13"/>
  <c r="T105" i="13" s="1"/>
  <c r="N47" i="13"/>
  <c r="T47" i="13" s="1"/>
  <c r="N239" i="13"/>
  <c r="T239" i="13" s="1"/>
  <c r="N161" i="13"/>
  <c r="T161" i="13" s="1"/>
  <c r="N154" i="13"/>
  <c r="T154" i="13" s="1"/>
  <c r="N193" i="13"/>
  <c r="T193" i="13" s="1"/>
  <c r="N99" i="13"/>
  <c r="T99" i="13" s="1"/>
  <c r="N149" i="13"/>
  <c r="T149" i="13" s="1"/>
  <c r="N246" i="13"/>
  <c r="T246" i="13" s="1"/>
  <c r="N208" i="13"/>
  <c r="T208" i="13" s="1"/>
  <c r="N148" i="13"/>
  <c r="T148" i="13" s="1"/>
  <c r="N245" i="13"/>
  <c r="T245" i="13" s="1"/>
  <c r="N134" i="13"/>
  <c r="T134" i="13" s="1"/>
  <c r="N207" i="13"/>
  <c r="T207" i="13" s="1"/>
  <c r="N58" i="13"/>
  <c r="T58" i="13" s="1"/>
  <c r="N8" i="13"/>
  <c r="T8" i="13" s="1"/>
  <c r="N27" i="13"/>
  <c r="T27" i="13" s="1"/>
  <c r="N129" i="13"/>
  <c r="T129" i="13" s="1"/>
  <c r="N243" i="13"/>
  <c r="T243" i="13" s="1"/>
  <c r="N81" i="13"/>
  <c r="T81" i="13" s="1"/>
  <c r="N102" i="13"/>
  <c r="T102" i="13" s="1"/>
  <c r="N120" i="13"/>
  <c r="T120" i="13" s="1"/>
  <c r="N240" i="13"/>
  <c r="T240" i="13" s="1"/>
  <c r="N186" i="13"/>
  <c r="T186" i="13" s="1"/>
  <c r="N189" i="13"/>
  <c r="T189" i="13" s="1"/>
  <c r="N153" i="13"/>
  <c r="T153" i="13" s="1"/>
  <c r="N52" i="13"/>
  <c r="T52" i="13" s="1"/>
  <c r="N48" i="13"/>
  <c r="T48" i="13" s="1"/>
  <c r="N188" i="13"/>
  <c r="T188" i="13" s="1"/>
  <c r="N126" i="13"/>
  <c r="T126" i="13" s="1"/>
  <c r="N24" i="13"/>
  <c r="T24" i="13" s="1"/>
  <c r="N213" i="13"/>
  <c r="T213" i="13" s="1"/>
  <c r="N15" i="13"/>
  <c r="T15" i="13" s="1"/>
  <c r="N210" i="13"/>
  <c r="T210" i="13" s="1"/>
  <c r="N144" i="13"/>
  <c r="T144" i="13" s="1"/>
  <c r="N182" i="13"/>
  <c r="T182" i="13" s="1"/>
  <c r="N133" i="13"/>
  <c r="T133" i="13" s="1"/>
  <c r="N88" i="13"/>
  <c r="T88" i="13" s="1"/>
  <c r="N209" i="13"/>
  <c r="T209" i="13" s="1"/>
  <c r="N82" i="13"/>
  <c r="T82" i="13" s="1"/>
  <c r="N230" i="13"/>
  <c r="T230" i="13" s="1"/>
  <c r="N168" i="13"/>
  <c r="T168" i="13" s="1"/>
  <c r="N92" i="13"/>
  <c r="T92" i="13" s="1"/>
  <c r="N18" i="13"/>
  <c r="T18" i="13" s="1"/>
  <c r="N125" i="13"/>
  <c r="T125" i="13" s="1"/>
  <c r="N21" i="13"/>
  <c r="T21" i="13" s="1"/>
  <c r="N54" i="13"/>
  <c r="T54" i="13" s="1"/>
  <c r="N173" i="13"/>
  <c r="T173" i="13" s="1"/>
  <c r="N141" i="13"/>
  <c r="T141" i="13" s="1"/>
  <c r="N236" i="13"/>
  <c r="T236" i="13" s="1"/>
  <c r="N62" i="13"/>
  <c r="T62" i="13" s="1"/>
  <c r="N45" i="13"/>
  <c r="T45" i="13" s="1"/>
  <c r="N136" i="13"/>
  <c r="T136" i="13" s="1"/>
  <c r="N217" i="13"/>
  <c r="T217" i="13" s="1"/>
  <c r="N101" i="13"/>
  <c r="T101" i="13" s="1"/>
  <c r="N146" i="13"/>
  <c r="T146" i="13" s="1"/>
  <c r="N19" i="13"/>
  <c r="T19" i="13" s="1"/>
  <c r="N6" i="13"/>
  <c r="T6" i="13" s="1"/>
  <c r="N220" i="13"/>
  <c r="T220" i="13" s="1"/>
  <c r="N132" i="13"/>
  <c r="T132" i="13" s="1"/>
  <c r="N165" i="13"/>
  <c r="T165" i="13" s="1"/>
  <c r="N115" i="13"/>
  <c r="T115" i="13" s="1"/>
  <c r="N119" i="13"/>
  <c r="T119" i="13" s="1"/>
  <c r="N238" i="13"/>
  <c r="T238" i="13" s="1"/>
  <c r="N64" i="13"/>
  <c r="T64" i="13" s="1"/>
  <c r="N229" i="13"/>
  <c r="T229" i="13" s="1"/>
  <c r="N113" i="13"/>
  <c r="T113" i="13" s="1"/>
  <c r="N23" i="13"/>
  <c r="T23" i="13" s="1"/>
  <c r="N114" i="13"/>
  <c r="T114" i="13" s="1"/>
  <c r="N43" i="13"/>
  <c r="T43" i="13" s="1"/>
  <c r="N195" i="13"/>
  <c r="T195" i="13" s="1"/>
  <c r="N95" i="13"/>
  <c r="T95" i="13" s="1"/>
  <c r="N140" i="13"/>
  <c r="T140" i="13" s="1"/>
  <c r="N166" i="13"/>
  <c r="T166" i="13" s="1"/>
  <c r="N40" i="13"/>
  <c r="T40" i="13" s="1"/>
  <c r="N32" i="13"/>
  <c r="T32" i="13" s="1"/>
  <c r="N106" i="13"/>
  <c r="T106" i="13" s="1"/>
  <c r="N90" i="13"/>
  <c r="T90" i="13" s="1"/>
  <c r="N20" i="13"/>
  <c r="T20" i="13" s="1"/>
  <c r="N180" i="13"/>
  <c r="T180" i="13" s="1"/>
  <c r="N202" i="13"/>
  <c r="T202" i="13" s="1"/>
  <c r="N89" i="13"/>
  <c r="T89" i="13" s="1"/>
  <c r="N87" i="13"/>
  <c r="T87" i="13" s="1"/>
  <c r="N156" i="13"/>
  <c r="T156" i="13" s="1"/>
  <c r="N130" i="13"/>
  <c r="T130" i="13" s="1"/>
  <c r="N227" i="13"/>
  <c r="T227" i="13" s="1"/>
  <c r="N13" i="13"/>
  <c r="T13" i="13" s="1"/>
  <c r="N77" i="13"/>
  <c r="T77" i="13" s="1"/>
  <c r="N56" i="13"/>
  <c r="T56" i="13" s="1"/>
  <c r="N237" i="13"/>
  <c r="T237" i="13" s="1"/>
  <c r="N79" i="13"/>
  <c r="T79" i="13" s="1"/>
  <c r="N35" i="13"/>
  <c r="T35" i="13" s="1"/>
  <c r="N160" i="13"/>
  <c r="T160" i="13" s="1"/>
  <c r="N9" i="13"/>
  <c r="T9" i="13" s="1"/>
  <c r="N37" i="13"/>
  <c r="T37" i="13" s="1"/>
  <c r="N85" i="13"/>
  <c r="T85" i="13" s="1"/>
  <c r="N103" i="13"/>
  <c r="T103" i="13" s="1"/>
  <c r="N111" i="13"/>
  <c r="T111" i="13" s="1"/>
  <c r="N200" i="13"/>
  <c r="T200" i="13" s="1"/>
  <c r="N104" i="13"/>
  <c r="T104" i="13" s="1"/>
  <c r="N198" i="13"/>
  <c r="T198" i="13" s="1"/>
  <c r="N138" i="13"/>
  <c r="T138" i="13" s="1"/>
  <c r="N176" i="13"/>
  <c r="T176" i="13" s="1"/>
  <c r="N157" i="13"/>
  <c r="T157" i="13" s="1"/>
  <c r="N172" i="13"/>
  <c r="T172" i="13" s="1"/>
  <c r="N53" i="13"/>
  <c r="T53" i="13" s="1"/>
  <c r="N41" i="13"/>
  <c r="T41" i="13" s="1"/>
  <c r="N177" i="13"/>
  <c r="T177" i="13" s="1"/>
  <c r="N123" i="13"/>
  <c r="T123" i="13" s="1"/>
  <c r="N199" i="13"/>
  <c r="T199" i="13" s="1"/>
  <c r="N122" i="13"/>
  <c r="T122" i="13" s="1"/>
  <c r="N215" i="13"/>
  <c r="T215" i="13" s="1"/>
  <c r="N36" i="13"/>
  <c r="T36" i="13" s="1"/>
  <c r="N232" i="13"/>
  <c r="T232" i="13" s="1"/>
  <c r="N228" i="13"/>
  <c r="T228" i="13" s="1"/>
  <c r="N205" i="13"/>
  <c r="T205" i="13" s="1"/>
  <c r="N212" i="13"/>
  <c r="T212" i="13" s="1"/>
  <c r="N201" i="13"/>
  <c r="T201" i="13" s="1"/>
  <c r="N80" i="13"/>
  <c r="T80" i="13" s="1"/>
  <c r="N181" i="13"/>
  <c r="T181" i="13" s="1"/>
  <c r="N100" i="13"/>
  <c r="T100" i="13" s="1"/>
  <c r="N142" i="13"/>
  <c r="T142" i="13" s="1"/>
  <c r="N67" i="13"/>
  <c r="T67" i="13" s="1"/>
  <c r="N10" i="13"/>
  <c r="T10" i="13" s="1"/>
  <c r="N33" i="13"/>
  <c r="T33" i="13" s="1"/>
  <c r="N214" i="13"/>
  <c r="T214" i="13" s="1"/>
  <c r="N14" i="13"/>
  <c r="T14" i="13" s="1"/>
  <c r="N171" i="13"/>
  <c r="T171" i="13" s="1"/>
  <c r="N86" i="13"/>
  <c r="T86" i="13" s="1"/>
  <c r="N30" i="13"/>
  <c r="T30" i="13" s="1"/>
  <c r="N155" i="13"/>
  <c r="T155" i="13" s="1"/>
  <c r="N124" i="13"/>
  <c r="T124" i="13" s="1"/>
  <c r="N216" i="13"/>
  <c r="T216" i="13" s="1"/>
  <c r="N225" i="13"/>
  <c r="T225" i="13" s="1"/>
  <c r="N65" i="13"/>
  <c r="T65" i="13" s="1"/>
  <c r="N244" i="13"/>
  <c r="T244" i="13" s="1"/>
  <c r="N241" i="13"/>
  <c r="T241" i="13" s="1"/>
  <c r="N75" i="13"/>
  <c r="T75" i="13" s="1"/>
  <c r="N11" i="13"/>
  <c r="T11" i="13" s="1"/>
  <c r="N31" i="13"/>
  <c r="T31" i="13" s="1"/>
  <c r="N112" i="13"/>
  <c r="T112" i="13" s="1"/>
  <c r="N175" i="13"/>
  <c r="T175" i="13" s="1"/>
  <c r="N222" i="13"/>
  <c r="T222" i="13" s="1"/>
  <c r="N66" i="13"/>
  <c r="T66" i="13" s="1"/>
  <c r="N221" i="13"/>
  <c r="T221" i="13" s="1"/>
  <c r="N150" i="13"/>
  <c r="T150" i="13" s="1"/>
  <c r="N72" i="13"/>
  <c r="T72" i="13" s="1"/>
  <c r="N63" i="13"/>
  <c r="T63" i="13" s="1"/>
  <c r="N25" i="13"/>
  <c r="T25" i="13" s="1"/>
  <c r="N147" i="13"/>
  <c r="T147" i="13" s="1"/>
  <c r="N42" i="13"/>
  <c r="T42" i="13" s="1"/>
  <c r="N7" i="13"/>
  <c r="T7" i="13" s="1"/>
  <c r="N128" i="13"/>
  <c r="T128" i="13" s="1"/>
  <c r="N69" i="13"/>
  <c r="T69" i="13" s="1"/>
  <c r="N137" i="13"/>
  <c r="T137" i="13" s="1"/>
  <c r="N196" i="13"/>
  <c r="T196" i="13" s="1"/>
  <c r="N117" i="13"/>
  <c r="T117" i="13" s="1"/>
  <c r="N158" i="13"/>
  <c r="T158" i="13" s="1"/>
  <c r="N121" i="13"/>
  <c r="T121" i="13" s="1"/>
  <c r="N97" i="13"/>
  <c r="T97" i="13" s="1"/>
  <c r="N190" i="13"/>
  <c r="T190" i="13" s="1"/>
  <c r="N162" i="13"/>
  <c r="T162" i="13" s="1"/>
  <c r="N12" i="13"/>
  <c r="T12" i="13" s="1"/>
  <c r="N233" i="13"/>
  <c r="T233" i="13" s="1"/>
  <c r="N38" i="13"/>
  <c r="T38" i="13" s="1"/>
  <c r="K52" i="13"/>
  <c r="Q52" i="13" s="1"/>
  <c r="K74" i="13"/>
  <c r="Q74" i="13" s="1"/>
  <c r="K60" i="13"/>
  <c r="Q60" i="13" s="1"/>
  <c r="K15" i="13"/>
  <c r="Q15" i="13" s="1"/>
  <c r="K102" i="13"/>
  <c r="Q102" i="13" s="1"/>
  <c r="K240" i="13"/>
  <c r="Q240" i="13" s="1"/>
  <c r="K104" i="13"/>
  <c r="Q104" i="13" s="1"/>
  <c r="K151" i="13"/>
  <c r="Q151" i="13" s="1"/>
  <c r="K185" i="13"/>
  <c r="Q185" i="13" s="1"/>
  <c r="K142" i="13"/>
  <c r="Q142" i="13" s="1"/>
  <c r="K225" i="13"/>
  <c r="Q225" i="13" s="1"/>
  <c r="K10" i="13"/>
  <c r="Q10" i="13" s="1"/>
  <c r="K39" i="13"/>
  <c r="Q39" i="13" s="1"/>
  <c r="K17" i="13"/>
  <c r="Q17" i="13" s="1"/>
  <c r="K144" i="13"/>
  <c r="Q144" i="13" s="1"/>
  <c r="K113" i="13"/>
  <c r="Q113" i="13" s="1"/>
  <c r="K122" i="13"/>
  <c r="Q122" i="13" s="1"/>
  <c r="K101" i="13"/>
  <c r="Q101" i="13" s="1"/>
  <c r="K205" i="13"/>
  <c r="Q205" i="13" s="1"/>
  <c r="K146" i="13"/>
  <c r="Q146" i="13" s="1"/>
  <c r="K169" i="13"/>
  <c r="Q169" i="13" s="1"/>
  <c r="K232" i="13"/>
  <c r="Q232" i="13" s="1"/>
  <c r="K5" i="13"/>
  <c r="Q5" i="13" s="1"/>
  <c r="K212" i="13"/>
  <c r="Q212" i="13" s="1"/>
  <c r="K245" i="13"/>
  <c r="Q245" i="13" s="1"/>
  <c r="K233" i="13"/>
  <c r="Q233" i="13" s="1"/>
  <c r="K79" i="13"/>
  <c r="Q79" i="13" s="1"/>
  <c r="K132" i="13"/>
  <c r="Q132" i="13" s="1"/>
  <c r="K112" i="13"/>
  <c r="Q112" i="13" s="1"/>
  <c r="K188" i="13"/>
  <c r="Q188" i="13" s="1"/>
  <c r="K6" i="13"/>
  <c r="Q6" i="13" s="1"/>
  <c r="K180" i="13"/>
  <c r="Q180" i="13" s="1"/>
  <c r="K98" i="13"/>
  <c r="Q98" i="13" s="1"/>
  <c r="K85" i="13"/>
  <c r="Q85" i="13" s="1"/>
  <c r="K244" i="13"/>
  <c r="Q244" i="13" s="1"/>
  <c r="K145" i="13"/>
  <c r="Q145" i="13" s="1"/>
  <c r="K97" i="13"/>
  <c r="Q97" i="13" s="1"/>
  <c r="K166" i="13"/>
  <c r="Q166" i="13" s="1"/>
  <c r="K8" i="13"/>
  <c r="Q8" i="13" s="1"/>
  <c r="K206" i="13"/>
  <c r="Q206" i="13" s="1"/>
  <c r="K198" i="13"/>
  <c r="Q198" i="13" s="1"/>
  <c r="K96" i="13"/>
  <c r="Q96" i="13" s="1"/>
  <c r="K117" i="13"/>
  <c r="Q117" i="13" s="1"/>
  <c r="K194" i="13"/>
  <c r="Q194" i="13" s="1"/>
  <c r="K66" i="13"/>
  <c r="Q66" i="13" s="1"/>
  <c r="K93" i="13"/>
  <c r="Q93" i="13" s="1"/>
  <c r="K162" i="13"/>
  <c r="Q162" i="13" s="1"/>
  <c r="K136" i="13"/>
  <c r="Q136" i="13" s="1"/>
  <c r="K173" i="13"/>
  <c r="Q173" i="13" s="1"/>
  <c r="K149" i="13"/>
  <c r="Q149" i="13" s="1"/>
  <c r="K242" i="13"/>
  <c r="Q242" i="13" s="1"/>
  <c r="K238" i="13"/>
  <c r="Q238" i="13" s="1"/>
  <c r="K68" i="13"/>
  <c r="Q68" i="13" s="1"/>
  <c r="K176" i="13"/>
  <c r="Q176" i="13" s="1"/>
  <c r="K175" i="13"/>
  <c r="Q175" i="13" s="1"/>
  <c r="K81" i="13"/>
  <c r="Q81" i="13" s="1"/>
  <c r="K67" i="13"/>
  <c r="Q67" i="13" s="1"/>
  <c r="K95" i="13"/>
  <c r="Q95" i="13" s="1"/>
  <c r="K140" i="13"/>
  <c r="Q140" i="13" s="1"/>
  <c r="K36" i="13"/>
  <c r="Q36" i="13" s="1"/>
  <c r="K228" i="13"/>
  <c r="Q228" i="13" s="1"/>
  <c r="K178" i="13"/>
  <c r="Q178" i="13" s="1"/>
  <c r="K43" i="13"/>
  <c r="Q43" i="13" s="1"/>
  <c r="K203" i="13"/>
  <c r="Q203" i="13" s="1"/>
  <c r="K227" i="13"/>
  <c r="Q227" i="13" s="1"/>
  <c r="K147" i="13"/>
  <c r="Q147" i="13" s="1"/>
  <c r="K11" i="13"/>
  <c r="Q11" i="13" s="1"/>
  <c r="K192" i="13"/>
  <c r="Q192" i="13" s="1"/>
  <c r="K32" i="13"/>
  <c r="Q32" i="13" s="1"/>
  <c r="K47" i="13"/>
  <c r="Q47" i="13" s="1"/>
  <c r="K80" i="13"/>
  <c r="Q80" i="13" s="1"/>
  <c r="K153" i="13"/>
  <c r="Q153" i="13" s="1"/>
  <c r="K118" i="13"/>
  <c r="Q118" i="13" s="1"/>
  <c r="K82" i="13"/>
  <c r="Q82" i="13" s="1"/>
  <c r="K128" i="13"/>
  <c r="Q128" i="13" s="1"/>
  <c r="K148" i="13"/>
  <c r="Q148" i="13" s="1"/>
  <c r="K164" i="13"/>
  <c r="Q164" i="13" s="1"/>
  <c r="K22" i="13"/>
  <c r="Q22" i="13" s="1"/>
  <c r="K204" i="13"/>
  <c r="Q204" i="13" s="1"/>
  <c r="K159" i="13"/>
  <c r="Q159" i="13" s="1"/>
  <c r="K182" i="13"/>
  <c r="Q182" i="13" s="1"/>
  <c r="K25" i="13"/>
  <c r="Q25" i="13" s="1"/>
  <c r="K246" i="13"/>
  <c r="Q246" i="13" s="1"/>
  <c r="K54" i="13"/>
  <c r="Q54" i="13" s="1"/>
  <c r="K21" i="13"/>
  <c r="Q21" i="13" s="1"/>
  <c r="K33" i="13"/>
  <c r="Q33" i="13" s="1"/>
  <c r="K247" i="13"/>
  <c r="Q247" i="13" s="1"/>
  <c r="K50" i="13"/>
  <c r="Q50" i="13" s="1"/>
  <c r="K75" i="13"/>
  <c r="Q75" i="13" s="1"/>
  <c r="K59" i="13"/>
  <c r="Q59" i="13" s="1"/>
  <c r="K14" i="13"/>
  <c r="Q14" i="13" s="1"/>
  <c r="K202" i="13"/>
  <c r="Q202" i="13" s="1"/>
  <c r="K138" i="13"/>
  <c r="Q138" i="13" s="1"/>
  <c r="K219" i="13"/>
  <c r="Q219" i="13" s="1"/>
  <c r="K28" i="13"/>
  <c r="Q28" i="13" s="1"/>
  <c r="K213" i="13"/>
  <c r="Q213" i="13" s="1"/>
  <c r="K77" i="13"/>
  <c r="Q77" i="13" s="1"/>
  <c r="K87" i="13"/>
  <c r="Q87" i="13" s="1"/>
  <c r="K57" i="13"/>
  <c r="Q57" i="13" s="1"/>
  <c r="K139" i="13"/>
  <c r="Q139" i="13" s="1"/>
  <c r="K191" i="13"/>
  <c r="Q191" i="13" s="1"/>
  <c r="K41" i="13"/>
  <c r="Q41" i="13" s="1"/>
  <c r="K231" i="13"/>
  <c r="Q231" i="13" s="1"/>
  <c r="K24" i="13"/>
  <c r="Q24" i="13" s="1"/>
  <c r="K171" i="13"/>
  <c r="Q171" i="13" s="1"/>
  <c r="K211" i="13"/>
  <c r="Q211" i="13" s="1"/>
  <c r="K23" i="13"/>
  <c r="Q23" i="13" s="1"/>
  <c r="K69" i="13"/>
  <c r="Q69" i="13" s="1"/>
  <c r="K103" i="13"/>
  <c r="Q103" i="13" s="1"/>
  <c r="K123" i="13"/>
  <c r="Q123" i="13" s="1"/>
  <c r="K90" i="13"/>
  <c r="Q90" i="13" s="1"/>
  <c r="K189" i="13"/>
  <c r="Q189" i="13" s="1"/>
  <c r="K65" i="13"/>
  <c r="Q65" i="13" s="1"/>
  <c r="K110" i="13"/>
  <c r="Q110" i="13" s="1"/>
  <c r="K221" i="13"/>
  <c r="Q221" i="13" s="1"/>
  <c r="K156" i="13"/>
  <c r="Q156" i="13" s="1"/>
  <c r="K48" i="13"/>
  <c r="Q48" i="13" s="1"/>
  <c r="K207" i="13"/>
  <c r="Q207" i="13" s="1"/>
  <c r="K209" i="13"/>
  <c r="Q209" i="13" s="1"/>
  <c r="K236" i="13"/>
  <c r="Q236" i="13" s="1"/>
  <c r="K111" i="13"/>
  <c r="Q111" i="13" s="1"/>
  <c r="K13" i="13"/>
  <c r="Q13" i="13" s="1"/>
  <c r="K84" i="13"/>
  <c r="Q84" i="13" s="1"/>
  <c r="K217" i="13"/>
  <c r="Q217" i="13" s="1"/>
  <c r="K170" i="13"/>
  <c r="Q170" i="13" s="1"/>
  <c r="K27" i="13"/>
  <c r="Q27" i="13" s="1"/>
  <c r="K158" i="13"/>
  <c r="Q158" i="13" s="1"/>
  <c r="K172" i="13"/>
  <c r="Q172" i="13" s="1"/>
  <c r="K42" i="13"/>
  <c r="Q42" i="13" s="1"/>
  <c r="K181" i="13"/>
  <c r="Q181" i="13" s="1"/>
  <c r="K55" i="13"/>
  <c r="Q55" i="13" s="1"/>
  <c r="K135" i="13"/>
  <c r="Q135" i="13" s="1"/>
  <c r="K157" i="13"/>
  <c r="Q157" i="13" s="1"/>
  <c r="K127" i="13"/>
  <c r="Q127" i="13" s="1"/>
  <c r="K152" i="13"/>
  <c r="Q152" i="13" s="1"/>
  <c r="K121" i="13"/>
  <c r="Q121" i="13" s="1"/>
  <c r="K243" i="13"/>
  <c r="Q243" i="13" s="1"/>
  <c r="K62" i="13"/>
  <c r="Q62" i="13" s="1"/>
  <c r="K29" i="13"/>
  <c r="Q29" i="13" s="1"/>
  <c r="K165" i="13"/>
  <c r="Q165" i="13" s="1"/>
  <c r="K40" i="13"/>
  <c r="Q40" i="13" s="1"/>
  <c r="K141" i="13"/>
  <c r="Q141" i="13" s="1"/>
  <c r="K19" i="13"/>
  <c r="Q19" i="13" s="1"/>
  <c r="K109" i="13"/>
  <c r="Q109" i="13" s="1"/>
  <c r="K108" i="13"/>
  <c r="Q108" i="13" s="1"/>
  <c r="K116" i="13"/>
  <c r="Q116" i="13" s="1"/>
  <c r="K20" i="13"/>
  <c r="Q20" i="13" s="1"/>
  <c r="K26" i="13"/>
  <c r="Q26" i="13" s="1"/>
  <c r="K235" i="13"/>
  <c r="Q235" i="13" s="1"/>
  <c r="K143" i="13"/>
  <c r="Q143" i="13" s="1"/>
  <c r="K63" i="13"/>
  <c r="Q63" i="13" s="1"/>
  <c r="K160" i="13"/>
  <c r="Q160" i="13" s="1"/>
  <c r="K208" i="13"/>
  <c r="Q208" i="13" s="1"/>
  <c r="K35" i="13"/>
  <c r="Q35" i="13" s="1"/>
  <c r="K200" i="13"/>
  <c r="Q200" i="13" s="1"/>
  <c r="K154" i="13"/>
  <c r="Q154" i="13" s="1"/>
  <c r="K179" i="13"/>
  <c r="Q179" i="13" s="1"/>
  <c r="K70" i="13"/>
  <c r="Q70" i="13" s="1"/>
  <c r="K129" i="13"/>
  <c r="Q129" i="13" s="1"/>
  <c r="K222" i="13"/>
  <c r="Q222" i="13" s="1"/>
  <c r="K218" i="13"/>
  <c r="Q218" i="13" s="1"/>
  <c r="K30" i="13"/>
  <c r="Q30" i="13" s="1"/>
  <c r="K61" i="13"/>
  <c r="Q61" i="13" s="1"/>
  <c r="K37" i="13"/>
  <c r="Q37" i="13" s="1"/>
  <c r="K91" i="13"/>
  <c r="Q91" i="13" s="1"/>
  <c r="K195" i="13"/>
  <c r="Q195" i="13" s="1"/>
  <c r="K12" i="13"/>
  <c r="Q12" i="13" s="1"/>
  <c r="K92" i="13"/>
  <c r="Q92" i="13" s="1"/>
  <c r="K126" i="13"/>
  <c r="Q126" i="13" s="1"/>
  <c r="K230" i="13"/>
  <c r="Q230" i="13" s="1"/>
  <c r="K237" i="13"/>
  <c r="Q237" i="13" s="1"/>
  <c r="K16" i="13"/>
  <c r="Q16" i="13" s="1"/>
  <c r="K220" i="13"/>
  <c r="Q220" i="13" s="1"/>
  <c r="K155" i="13"/>
  <c r="Q155" i="13" s="1"/>
  <c r="K241" i="13"/>
  <c r="Q241" i="13" s="1"/>
  <c r="K7" i="13"/>
  <c r="Q7" i="13" s="1"/>
  <c r="K234" i="13"/>
  <c r="Q234" i="13" s="1"/>
  <c r="K83" i="13"/>
  <c r="Q83" i="13" s="1"/>
  <c r="K119" i="13"/>
  <c r="Q119" i="13" s="1"/>
  <c r="K174" i="13"/>
  <c r="Q174" i="13" s="1"/>
  <c r="K71" i="13"/>
  <c r="Q71" i="13" s="1"/>
  <c r="K196" i="13"/>
  <c r="Q196" i="13" s="1"/>
  <c r="K124" i="13"/>
  <c r="Q124" i="13" s="1"/>
  <c r="K216" i="13"/>
  <c r="Q216" i="13" s="1"/>
  <c r="K161" i="13"/>
  <c r="Q161" i="13" s="1"/>
  <c r="K183" i="13"/>
  <c r="Q183" i="13" s="1"/>
  <c r="K53" i="13"/>
  <c r="Q53" i="13" s="1"/>
  <c r="K131" i="13"/>
  <c r="Q131" i="13" s="1"/>
  <c r="K78" i="13"/>
  <c r="Q78" i="13" s="1"/>
  <c r="K38" i="13"/>
  <c r="Q38" i="13" s="1"/>
  <c r="K100" i="13"/>
  <c r="Q100" i="13" s="1"/>
  <c r="K163" i="13"/>
  <c r="Q163" i="13" s="1"/>
  <c r="K106" i="13"/>
  <c r="Q106" i="13" s="1"/>
  <c r="K187" i="13"/>
  <c r="Q187" i="13" s="1"/>
  <c r="K49" i="13"/>
  <c r="Q49" i="13" s="1"/>
  <c r="K73" i="13"/>
  <c r="Q73" i="13" s="1"/>
  <c r="K210" i="13"/>
  <c r="Q210" i="13" s="1"/>
  <c r="K130" i="13"/>
  <c r="Q130" i="13" s="1"/>
  <c r="K201" i="13"/>
  <c r="Q201" i="13" s="1"/>
  <c r="K168" i="13"/>
  <c r="Q168" i="13" s="1"/>
  <c r="K44" i="13"/>
  <c r="Q44" i="13" s="1"/>
  <c r="K229" i="13"/>
  <c r="Q229" i="13" s="1"/>
  <c r="K224" i="13"/>
  <c r="Q224" i="13" s="1"/>
  <c r="K114" i="13"/>
  <c r="Q114" i="13" s="1"/>
  <c r="K64" i="13"/>
  <c r="Q64" i="13" s="1"/>
  <c r="K58" i="13"/>
  <c r="Q58" i="13" s="1"/>
  <c r="K125" i="13"/>
  <c r="Q125" i="13" s="1"/>
  <c r="K76" i="13"/>
  <c r="Q76" i="13" s="1"/>
  <c r="K86" i="13"/>
  <c r="Q86" i="13" s="1"/>
  <c r="K107" i="13"/>
  <c r="Q107" i="13" s="1"/>
  <c r="K51" i="13"/>
  <c r="Q51" i="13" s="1"/>
  <c r="K134" i="13"/>
  <c r="Q134" i="13" s="1"/>
  <c r="K46" i="13"/>
  <c r="Q46" i="13" s="1"/>
  <c r="K56" i="13"/>
  <c r="Q56" i="13" s="1"/>
  <c r="K226" i="13"/>
  <c r="Q226" i="13" s="1"/>
  <c r="K31" i="13"/>
  <c r="Q31" i="13" s="1"/>
  <c r="K34" i="13"/>
  <c r="Q34" i="13" s="1"/>
  <c r="K223" i="13"/>
  <c r="Q223" i="13" s="1"/>
  <c r="K120" i="13"/>
  <c r="Q120" i="13" s="1"/>
  <c r="K115" i="13"/>
  <c r="Q115" i="13" s="1"/>
  <c r="K239" i="13"/>
  <c r="Q239" i="13" s="1"/>
  <c r="K88" i="13"/>
  <c r="Q88" i="13" s="1"/>
  <c r="K137" i="13"/>
  <c r="Q137" i="13" s="1"/>
  <c r="K150" i="13"/>
  <c r="Q150" i="13" s="1"/>
  <c r="K184" i="13"/>
  <c r="Q184" i="13" s="1"/>
  <c r="K193" i="13"/>
  <c r="Q193" i="13" s="1"/>
  <c r="K72" i="13"/>
  <c r="Q72" i="13" s="1"/>
  <c r="K214" i="13"/>
  <c r="Q214" i="13" s="1"/>
  <c r="K94" i="13"/>
  <c r="Q94" i="13" s="1"/>
  <c r="K197" i="13"/>
  <c r="Q197" i="13" s="1"/>
  <c r="K167" i="13"/>
  <c r="Q167" i="13" s="1"/>
  <c r="K199" i="13"/>
  <c r="Q199" i="13" s="1"/>
  <c r="K215" i="13"/>
  <c r="Q215" i="13" s="1"/>
  <c r="K45" i="13"/>
  <c r="Q45" i="13" s="1"/>
  <c r="K9" i="13"/>
  <c r="Q9" i="13" s="1"/>
  <c r="K99" i="13"/>
  <c r="Q99" i="13" s="1"/>
  <c r="K18" i="13"/>
  <c r="Q18" i="13" s="1"/>
  <c r="K133" i="13"/>
  <c r="Q133" i="13" s="1"/>
  <c r="K190" i="13"/>
  <c r="Q190" i="13" s="1"/>
  <c r="K186" i="13"/>
  <c r="Q186" i="13" s="1"/>
  <c r="K89" i="13"/>
  <c r="Q89" i="13" s="1"/>
  <c r="K105" i="13"/>
  <c r="Q105" i="13" s="1"/>
  <c r="K177" i="13"/>
  <c r="Q177" i="13" s="1"/>
  <c r="O5" i="13"/>
  <c r="U5" i="13" s="1"/>
  <c r="O150" i="13"/>
  <c r="U150" i="13" s="1"/>
  <c r="O63" i="13"/>
  <c r="U63" i="13" s="1"/>
  <c r="O219" i="13"/>
  <c r="U219" i="13" s="1"/>
  <c r="O239" i="13"/>
  <c r="U239" i="13" s="1"/>
  <c r="O31" i="13"/>
  <c r="U31" i="13" s="1"/>
  <c r="O97" i="13"/>
  <c r="U97" i="13" s="1"/>
  <c r="O165" i="13"/>
  <c r="U165" i="13" s="1"/>
  <c r="O232" i="13"/>
  <c r="U232" i="13" s="1"/>
  <c r="O13" i="13"/>
  <c r="U13" i="13" s="1"/>
  <c r="O179" i="13"/>
  <c r="U179" i="13" s="1"/>
  <c r="O247" i="13"/>
  <c r="U247" i="13" s="1"/>
  <c r="O127" i="13"/>
  <c r="U127" i="13" s="1"/>
  <c r="O37" i="13"/>
  <c r="U37" i="13" s="1"/>
  <c r="O11" i="13"/>
  <c r="U11" i="13" s="1"/>
  <c r="O59" i="13"/>
  <c r="U59" i="13" s="1"/>
  <c r="O217" i="13"/>
  <c r="U217" i="13" s="1"/>
  <c r="O142" i="13"/>
  <c r="U142" i="13" s="1"/>
  <c r="O130" i="13"/>
  <c r="U130" i="13" s="1"/>
  <c r="O8" i="13"/>
  <c r="U8" i="13" s="1"/>
  <c r="O115" i="13"/>
  <c r="U115" i="13" s="1"/>
  <c r="O226" i="13"/>
  <c r="U226" i="13" s="1"/>
  <c r="O62" i="13"/>
  <c r="U62" i="13" s="1"/>
  <c r="O162" i="13"/>
  <c r="U162" i="13" s="1"/>
  <c r="O75" i="13"/>
  <c r="U75" i="13" s="1"/>
  <c r="O33" i="13"/>
  <c r="U33" i="13" s="1"/>
  <c r="O24" i="13"/>
  <c r="U24" i="13" s="1"/>
  <c r="O241" i="13"/>
  <c r="U241" i="13" s="1"/>
  <c r="O69" i="13"/>
  <c r="U69" i="13" s="1"/>
  <c r="O7" i="13"/>
  <c r="U7" i="13" s="1"/>
  <c r="O182" i="13"/>
  <c r="U182" i="13" s="1"/>
  <c r="O218" i="13"/>
  <c r="U218" i="13" s="1"/>
  <c r="O46" i="13"/>
  <c r="U46" i="13" s="1"/>
  <c r="O118" i="13"/>
  <c r="U118" i="13" s="1"/>
  <c r="O189" i="13"/>
  <c r="U189" i="13" s="1"/>
  <c r="O148" i="13"/>
  <c r="U148" i="13" s="1"/>
  <c r="O191" i="13"/>
  <c r="U191" i="13" s="1"/>
  <c r="O168" i="13"/>
  <c r="U168" i="13" s="1"/>
  <c r="O216" i="13"/>
  <c r="U216" i="13" s="1"/>
  <c r="O210" i="13"/>
  <c r="U210" i="13" s="1"/>
  <c r="O131" i="13"/>
  <c r="U131" i="13" s="1"/>
  <c r="O52" i="13"/>
  <c r="U52" i="13" s="1"/>
  <c r="O17" i="13"/>
  <c r="U17" i="13" s="1"/>
  <c r="O176" i="13"/>
  <c r="U176" i="13" s="1"/>
  <c r="O29" i="13"/>
  <c r="U29" i="13" s="1"/>
  <c r="O54" i="13"/>
  <c r="U54" i="13" s="1"/>
  <c r="O78" i="13"/>
  <c r="U78" i="13" s="1"/>
  <c r="O92" i="13"/>
  <c r="U92" i="13" s="1"/>
  <c r="O121" i="13"/>
  <c r="U121" i="13" s="1"/>
  <c r="O203" i="13"/>
  <c r="U203" i="13" s="1"/>
  <c r="O80" i="13"/>
  <c r="U80" i="13" s="1"/>
  <c r="O56" i="13"/>
  <c r="U56" i="13" s="1"/>
  <c r="O245" i="13"/>
  <c r="U245" i="13" s="1"/>
  <c r="O135" i="13"/>
  <c r="U135" i="13" s="1"/>
  <c r="O235" i="13"/>
  <c r="U235" i="13" s="1"/>
  <c r="O6" i="13"/>
  <c r="U6" i="13" s="1"/>
  <c r="O132" i="13"/>
  <c r="U132" i="13" s="1"/>
  <c r="O113" i="13"/>
  <c r="U113" i="13" s="1"/>
  <c r="O234" i="13"/>
  <c r="U234" i="13" s="1"/>
  <c r="O198" i="13"/>
  <c r="U198" i="13" s="1"/>
  <c r="O237" i="13"/>
  <c r="U237" i="13" s="1"/>
  <c r="O133" i="13"/>
  <c r="U133" i="13" s="1"/>
  <c r="O77" i="13"/>
  <c r="U77" i="13" s="1"/>
  <c r="O44" i="13"/>
  <c r="U44" i="13" s="1"/>
  <c r="O70" i="13"/>
  <c r="U70" i="13" s="1"/>
  <c r="O154" i="13"/>
  <c r="U154" i="13" s="1"/>
  <c r="O187" i="13"/>
  <c r="U187" i="13" s="1"/>
  <c r="O177" i="13"/>
  <c r="U177" i="13" s="1"/>
  <c r="O231" i="13"/>
  <c r="U231" i="13" s="1"/>
  <c r="O126" i="13"/>
  <c r="U126" i="13" s="1"/>
  <c r="O228" i="13"/>
  <c r="U228" i="13" s="1"/>
  <c r="O141" i="13"/>
  <c r="U141" i="13" s="1"/>
  <c r="O243" i="13"/>
  <c r="U243" i="13" s="1"/>
  <c r="O76" i="13"/>
  <c r="U76" i="13" s="1"/>
  <c r="O230" i="13"/>
  <c r="U230" i="13" s="1"/>
  <c r="O159" i="13"/>
  <c r="U159" i="13" s="1"/>
  <c r="O146" i="13"/>
  <c r="U146" i="13" s="1"/>
  <c r="O192" i="13"/>
  <c r="U192" i="13" s="1"/>
  <c r="O240" i="13"/>
  <c r="U240" i="13" s="1"/>
  <c r="O49" i="13"/>
  <c r="U49" i="13" s="1"/>
  <c r="O72" i="13"/>
  <c r="U72" i="13" s="1"/>
  <c r="O39" i="13"/>
  <c r="U39" i="13" s="1"/>
  <c r="O233" i="13"/>
  <c r="U233" i="13" s="1"/>
  <c r="O137" i="13"/>
  <c r="U137" i="13" s="1"/>
  <c r="O144" i="13"/>
  <c r="U144" i="13" s="1"/>
  <c r="O183" i="13"/>
  <c r="U183" i="13" s="1"/>
  <c r="O160" i="13"/>
  <c r="U160" i="13" s="1"/>
  <c r="O117" i="13"/>
  <c r="U117" i="13" s="1"/>
  <c r="O19" i="13"/>
  <c r="U19" i="13" s="1"/>
  <c r="O207" i="13"/>
  <c r="U207" i="13" s="1"/>
  <c r="O16" i="13"/>
  <c r="U16" i="13" s="1"/>
  <c r="O180" i="13"/>
  <c r="U180" i="13" s="1"/>
  <c r="O48" i="13"/>
  <c r="U48" i="13" s="1"/>
  <c r="O152" i="13"/>
  <c r="U152" i="13" s="1"/>
  <c r="O175" i="13"/>
  <c r="U175" i="13" s="1"/>
  <c r="O172" i="13"/>
  <c r="U172" i="13" s="1"/>
  <c r="O140" i="13"/>
  <c r="U140" i="13" s="1"/>
  <c r="O15" i="13"/>
  <c r="U15" i="13" s="1"/>
  <c r="O53" i="13"/>
  <c r="U53" i="13" s="1"/>
  <c r="O129" i="13"/>
  <c r="U129" i="13" s="1"/>
  <c r="O223" i="13"/>
  <c r="U223" i="13" s="1"/>
  <c r="O174" i="13"/>
  <c r="U174" i="13" s="1"/>
  <c r="O155" i="13"/>
  <c r="U155" i="13" s="1"/>
  <c r="O58" i="13"/>
  <c r="U58" i="13" s="1"/>
  <c r="O81" i="13"/>
  <c r="U81" i="13" s="1"/>
  <c r="O178" i="13"/>
  <c r="U178" i="13" s="1"/>
  <c r="O40" i="13"/>
  <c r="U40" i="13" s="1"/>
  <c r="O9" i="13"/>
  <c r="U9" i="13" s="1"/>
  <c r="O125" i="13"/>
  <c r="U125" i="13" s="1"/>
  <c r="O79" i="13"/>
  <c r="U79" i="13" s="1"/>
  <c r="O156" i="13"/>
  <c r="U156" i="13" s="1"/>
  <c r="O244" i="13"/>
  <c r="U244" i="13" s="1"/>
  <c r="O105" i="13"/>
  <c r="U105" i="13" s="1"/>
  <c r="O110" i="13"/>
  <c r="U110" i="13" s="1"/>
  <c r="O145" i="13"/>
  <c r="U145" i="13" s="1"/>
  <c r="O188" i="13"/>
  <c r="U188" i="13" s="1"/>
  <c r="O57" i="13"/>
  <c r="U57" i="13" s="1"/>
  <c r="O186" i="13"/>
  <c r="U186" i="13" s="1"/>
  <c r="O213" i="13"/>
  <c r="U213" i="13" s="1"/>
  <c r="O123" i="13"/>
  <c r="U123" i="13" s="1"/>
  <c r="O139" i="13"/>
  <c r="U139" i="13" s="1"/>
  <c r="O225" i="13"/>
  <c r="U225" i="13" s="1"/>
  <c r="O128" i="13"/>
  <c r="U128" i="13" s="1"/>
  <c r="O112" i="13"/>
  <c r="U112" i="13" s="1"/>
  <c r="O167" i="13"/>
  <c r="U167" i="13" s="1"/>
  <c r="O164" i="13"/>
  <c r="U164" i="13" s="1"/>
  <c r="O95" i="13"/>
  <c r="U95" i="13" s="1"/>
  <c r="O101" i="13"/>
  <c r="U101" i="13" s="1"/>
  <c r="O136" i="13"/>
  <c r="U136" i="13" s="1"/>
  <c r="O60" i="13"/>
  <c r="U60" i="13" s="1"/>
  <c r="O184" i="13"/>
  <c r="U184" i="13" s="1"/>
  <c r="O151" i="13"/>
  <c r="U151" i="13" s="1"/>
  <c r="O55" i="13"/>
  <c r="U55" i="13" s="1"/>
  <c r="O45" i="13"/>
  <c r="U45" i="13" s="1"/>
  <c r="O211" i="13"/>
  <c r="U211" i="13" s="1"/>
  <c r="O107" i="13"/>
  <c r="U107" i="13" s="1"/>
  <c r="O23" i="13"/>
  <c r="U23" i="13" s="1"/>
  <c r="O153" i="13"/>
  <c r="U153" i="13" s="1"/>
  <c r="O114" i="13"/>
  <c r="U114" i="13" s="1"/>
  <c r="O66" i="13"/>
  <c r="U66" i="13" s="1"/>
  <c r="O206" i="13"/>
  <c r="U206" i="13" s="1"/>
  <c r="O214" i="13"/>
  <c r="U214" i="13" s="1"/>
  <c r="O224" i="13"/>
  <c r="U224" i="13" s="1"/>
  <c r="O173" i="13"/>
  <c r="U173" i="13" s="1"/>
  <c r="O119" i="13"/>
  <c r="U119" i="13" s="1"/>
  <c r="O166" i="13"/>
  <c r="U166" i="13" s="1"/>
  <c r="O36" i="13"/>
  <c r="U36" i="13" s="1"/>
  <c r="O229" i="13"/>
  <c r="U229" i="13" s="1"/>
  <c r="O34" i="13"/>
  <c r="U34" i="13" s="1"/>
  <c r="O68" i="13"/>
  <c r="U68" i="13" s="1"/>
  <c r="O102" i="13"/>
  <c r="U102" i="13" s="1"/>
  <c r="O138" i="13"/>
  <c r="U138" i="13" s="1"/>
  <c r="O163" i="13"/>
  <c r="U163" i="13" s="1"/>
  <c r="O25" i="13"/>
  <c r="U25" i="13" s="1"/>
  <c r="O90" i="13"/>
  <c r="U90" i="13" s="1"/>
  <c r="O221" i="13"/>
  <c r="U221" i="13" s="1"/>
  <c r="O87" i="13"/>
  <c r="U87" i="13" s="1"/>
  <c r="O38" i="13"/>
  <c r="U38" i="13" s="1"/>
  <c r="O242" i="13"/>
  <c r="U242" i="13" s="1"/>
  <c r="O170" i="13"/>
  <c r="U170" i="13" s="1"/>
  <c r="O88" i="13"/>
  <c r="U88" i="13" s="1"/>
  <c r="O149" i="13"/>
  <c r="U149" i="13" s="1"/>
  <c r="O83" i="13"/>
  <c r="U83" i="13" s="1"/>
  <c r="O103" i="13"/>
  <c r="U103" i="13" s="1"/>
  <c r="O120" i="13"/>
  <c r="U120" i="13" s="1"/>
  <c r="O93" i="13"/>
  <c r="U93" i="13" s="1"/>
  <c r="O61" i="13"/>
  <c r="U61" i="13" s="1"/>
  <c r="O86" i="13"/>
  <c r="U86" i="13" s="1"/>
  <c r="O195" i="13"/>
  <c r="U195" i="13" s="1"/>
  <c r="O194" i="13"/>
  <c r="U194" i="13" s="1"/>
  <c r="O67" i="13"/>
  <c r="U67" i="13" s="1"/>
  <c r="O197" i="13"/>
  <c r="U197" i="13" s="1"/>
  <c r="O21" i="13"/>
  <c r="U21" i="13" s="1"/>
  <c r="O65" i="13"/>
  <c r="U65" i="13" s="1"/>
  <c r="O94" i="13"/>
  <c r="U94" i="13" s="1"/>
  <c r="O222" i="13"/>
  <c r="U222" i="13" s="1"/>
  <c r="O193" i="13"/>
  <c r="U193" i="13" s="1"/>
  <c r="O35" i="13"/>
  <c r="U35" i="13" s="1"/>
  <c r="O196" i="13"/>
  <c r="U196" i="13" s="1"/>
  <c r="O181" i="13"/>
  <c r="U181" i="13" s="1"/>
  <c r="O91" i="13"/>
  <c r="U91" i="13" s="1"/>
  <c r="O64" i="13"/>
  <c r="U64" i="13" s="1"/>
  <c r="O82" i="13"/>
  <c r="U82" i="13" s="1"/>
  <c r="O98" i="13"/>
  <c r="U98" i="13" s="1"/>
  <c r="O41" i="13"/>
  <c r="U41" i="13" s="1"/>
  <c r="O238" i="13"/>
  <c r="U238" i="13" s="1"/>
  <c r="O18" i="13"/>
  <c r="U18" i="13" s="1"/>
  <c r="O204" i="13"/>
  <c r="U204" i="13" s="1"/>
  <c r="O104" i="13"/>
  <c r="U104" i="13" s="1"/>
  <c r="O212" i="13"/>
  <c r="U212" i="13" s="1"/>
  <c r="O108" i="13"/>
  <c r="U108" i="13" s="1"/>
  <c r="O215" i="13"/>
  <c r="U215" i="13" s="1"/>
  <c r="O32" i="13"/>
  <c r="U32" i="13" s="1"/>
  <c r="O227" i="13"/>
  <c r="U227" i="13" s="1"/>
  <c r="O14" i="13"/>
  <c r="U14" i="13" s="1"/>
  <c r="O202" i="13"/>
  <c r="U202" i="13" s="1"/>
  <c r="O236" i="13"/>
  <c r="U236" i="13" s="1"/>
  <c r="O157" i="13"/>
  <c r="U157" i="13" s="1"/>
  <c r="O100" i="13"/>
  <c r="U100" i="13" s="1"/>
  <c r="O47" i="13"/>
  <c r="U47" i="13" s="1"/>
  <c r="O201" i="13"/>
  <c r="U201" i="13" s="1"/>
  <c r="O12" i="13"/>
  <c r="U12" i="13" s="1"/>
  <c r="O111" i="13"/>
  <c r="U111" i="13" s="1"/>
  <c r="O27" i="13"/>
  <c r="U27" i="13" s="1"/>
  <c r="O96" i="13"/>
  <c r="U96" i="13" s="1"/>
  <c r="O220" i="13"/>
  <c r="U220" i="13" s="1"/>
  <c r="O209" i="13"/>
  <c r="U209" i="13" s="1"/>
  <c r="O26" i="13"/>
  <c r="U26" i="13" s="1"/>
  <c r="O171" i="13"/>
  <c r="U171" i="13" s="1"/>
  <c r="O147" i="13"/>
  <c r="U147" i="13" s="1"/>
  <c r="O74" i="13"/>
  <c r="U74" i="13" s="1"/>
  <c r="O89" i="13"/>
  <c r="U89" i="13" s="1"/>
  <c r="O143" i="13"/>
  <c r="U143" i="13" s="1"/>
  <c r="O51" i="13"/>
  <c r="U51" i="13" s="1"/>
  <c r="O246" i="13"/>
  <c r="U246" i="13" s="1"/>
  <c r="O20" i="13"/>
  <c r="U20" i="13" s="1"/>
  <c r="O106" i="13"/>
  <c r="U106" i="13" s="1"/>
  <c r="O208" i="13"/>
  <c r="U208" i="13" s="1"/>
  <c r="O84" i="13"/>
  <c r="U84" i="13" s="1"/>
  <c r="O116" i="13"/>
  <c r="U116" i="13" s="1"/>
  <c r="O22" i="13"/>
  <c r="U22" i="13" s="1"/>
  <c r="O185" i="13"/>
  <c r="U185" i="13" s="1"/>
  <c r="O71" i="13"/>
  <c r="U71" i="13" s="1"/>
  <c r="O134" i="13"/>
  <c r="U134" i="13" s="1"/>
  <c r="O28" i="13"/>
  <c r="U28" i="13" s="1"/>
  <c r="O99" i="13"/>
  <c r="U99" i="13" s="1"/>
  <c r="O50" i="13"/>
  <c r="U50" i="13" s="1"/>
  <c r="O199" i="13"/>
  <c r="U199" i="13" s="1"/>
  <c r="O158" i="13"/>
  <c r="U158" i="13" s="1"/>
  <c r="O205" i="13"/>
  <c r="U205" i="13" s="1"/>
  <c r="O124" i="13"/>
  <c r="U124" i="13" s="1"/>
  <c r="O190" i="13"/>
  <c r="U190" i="13" s="1"/>
  <c r="O42" i="13"/>
  <c r="U42" i="13" s="1"/>
  <c r="O200" i="13"/>
  <c r="U200" i="13" s="1"/>
  <c r="O85" i="13"/>
  <c r="U85" i="13" s="1"/>
  <c r="O161" i="13"/>
  <c r="U161" i="13" s="1"/>
  <c r="O10" i="13"/>
  <c r="U10" i="13" s="1"/>
  <c r="O122" i="13"/>
  <c r="U122" i="13" s="1"/>
  <c r="O30" i="13"/>
  <c r="U30" i="13" s="1"/>
  <c r="O109" i="13"/>
  <c r="U109" i="13" s="1"/>
  <c r="O169" i="13"/>
  <c r="U169" i="13" s="1"/>
  <c r="O73" i="13"/>
  <c r="U73" i="13" s="1"/>
  <c r="O43" i="13"/>
  <c r="U43" i="13" s="1"/>
  <c r="F475" i="13"/>
  <c r="F263" i="13"/>
  <c r="F354" i="13"/>
  <c r="F466" i="13"/>
  <c r="F346" i="13"/>
  <c r="F453" i="13"/>
  <c r="F420" i="13"/>
  <c r="F355" i="13"/>
  <c r="F363" i="13"/>
  <c r="F324" i="13"/>
  <c r="F303" i="13"/>
  <c r="F280" i="13"/>
  <c r="F352" i="13"/>
  <c r="F418" i="13"/>
  <c r="F484" i="13"/>
  <c r="R494" i="13"/>
  <c r="R310" i="13"/>
  <c r="R392" i="13"/>
  <c r="R340" i="13"/>
  <c r="R296" i="13"/>
  <c r="R399" i="13"/>
  <c r="R318" i="13"/>
  <c r="S292" i="13"/>
  <c r="R458" i="13"/>
  <c r="F473" i="13"/>
  <c r="F465" i="13"/>
  <c r="F283" i="13"/>
  <c r="F351" i="13"/>
  <c r="F325" i="13"/>
  <c r="F493" i="13"/>
  <c r="F412" i="13"/>
  <c r="F281" i="13"/>
  <c r="F332" i="13"/>
  <c r="F425" i="13"/>
  <c r="F291" i="13"/>
  <c r="R298" i="13"/>
  <c r="F273" i="13"/>
  <c r="R433" i="13"/>
  <c r="R256" i="13"/>
  <c r="F410" i="13"/>
  <c r="F463" i="13"/>
  <c r="F461" i="13"/>
  <c r="F331" i="13"/>
  <c r="F441" i="13"/>
  <c r="F286" i="13"/>
  <c r="R386" i="13"/>
  <c r="R317" i="13"/>
  <c r="R276" i="13"/>
  <c r="R424" i="13"/>
  <c r="R489" i="13"/>
  <c r="R279" i="13"/>
  <c r="R304" i="13"/>
  <c r="R491" i="13"/>
  <c r="R335" i="13"/>
  <c r="R430" i="13"/>
  <c r="R391" i="13"/>
  <c r="R490" i="13"/>
  <c r="R451" i="13"/>
  <c r="I256" i="13"/>
  <c r="U256" i="13"/>
  <c r="I365" i="13"/>
  <c r="U365" i="13"/>
  <c r="I308" i="13"/>
  <c r="U308" i="13"/>
  <c r="I322" i="13"/>
  <c r="U322" i="13"/>
  <c r="I439" i="13"/>
  <c r="U439" i="13"/>
  <c r="I300" i="13"/>
  <c r="U300" i="13"/>
  <c r="I399" i="13"/>
  <c r="U399" i="13"/>
  <c r="I350" i="13"/>
  <c r="U350" i="13"/>
  <c r="I271" i="13"/>
  <c r="U271" i="13"/>
  <c r="I307" i="13"/>
  <c r="U307" i="13"/>
  <c r="I403" i="13"/>
  <c r="U403" i="13"/>
  <c r="I321" i="13"/>
  <c r="U321" i="13"/>
  <c r="I311" i="13"/>
  <c r="U311" i="13"/>
  <c r="I462" i="13"/>
  <c r="U462" i="13"/>
  <c r="I353" i="13"/>
  <c r="U353" i="13"/>
  <c r="I268" i="13"/>
  <c r="U268" i="13"/>
  <c r="H293" i="13"/>
  <c r="T293" i="13"/>
  <c r="H286" i="13"/>
  <c r="T286" i="13"/>
  <c r="H454" i="13"/>
  <c r="T454" i="13"/>
  <c r="H285" i="13"/>
  <c r="T285" i="13"/>
  <c r="H492" i="13"/>
  <c r="T492" i="13"/>
  <c r="H294" i="13"/>
  <c r="T294" i="13"/>
  <c r="H307" i="13"/>
  <c r="T307" i="13"/>
  <c r="H414" i="13"/>
  <c r="T414" i="13"/>
  <c r="H477" i="13"/>
  <c r="T477" i="13"/>
  <c r="H354" i="13"/>
  <c r="T354" i="13"/>
  <c r="H357" i="13"/>
  <c r="T357" i="13"/>
  <c r="H484" i="13"/>
  <c r="T484" i="13"/>
  <c r="H430" i="13"/>
  <c r="T430" i="13"/>
  <c r="H317" i="13"/>
  <c r="T317" i="13"/>
  <c r="H356" i="13"/>
  <c r="T356" i="13"/>
  <c r="H341" i="13"/>
  <c r="T341" i="13"/>
  <c r="H300" i="13"/>
  <c r="T300" i="13"/>
  <c r="H261" i="13"/>
  <c r="T261" i="13"/>
  <c r="H437" i="13"/>
  <c r="T437" i="13"/>
  <c r="H465" i="13"/>
  <c r="T465" i="13"/>
  <c r="H298" i="13"/>
  <c r="T298" i="13"/>
  <c r="H428" i="13"/>
  <c r="T428" i="13"/>
  <c r="H328" i="13"/>
  <c r="T328" i="13"/>
  <c r="I455" i="13"/>
  <c r="U455" i="13"/>
  <c r="H489" i="13"/>
  <c r="T489" i="13"/>
  <c r="E375" i="13"/>
  <c r="Q375" i="13"/>
  <c r="E372" i="13"/>
  <c r="Q372" i="13"/>
  <c r="E273" i="13"/>
  <c r="Q273" i="13"/>
  <c r="E328" i="13"/>
  <c r="Q328" i="13"/>
  <c r="I333" i="13"/>
  <c r="U333" i="13"/>
  <c r="E472" i="13"/>
  <c r="Q472" i="13"/>
  <c r="E292" i="13"/>
  <c r="Q292" i="13"/>
  <c r="E319" i="13"/>
  <c r="Q319" i="13"/>
  <c r="E401" i="13"/>
  <c r="Q401" i="13"/>
  <c r="E305" i="13"/>
  <c r="Q305" i="13"/>
  <c r="I330" i="13"/>
  <c r="U330" i="13"/>
  <c r="E439" i="13"/>
  <c r="Q439" i="13"/>
  <c r="E364" i="13"/>
  <c r="Q364" i="13"/>
  <c r="E407" i="13"/>
  <c r="Q407" i="13"/>
  <c r="E366" i="13"/>
  <c r="Q366" i="13"/>
  <c r="I397" i="13"/>
  <c r="U397" i="13"/>
  <c r="E429" i="13"/>
  <c r="Q429" i="13"/>
  <c r="E296" i="13"/>
  <c r="Q296" i="13"/>
  <c r="E421" i="13"/>
  <c r="Q421" i="13"/>
  <c r="E297" i="13"/>
  <c r="Q297" i="13"/>
  <c r="E318" i="13"/>
  <c r="Q318" i="13"/>
  <c r="E323" i="13"/>
  <c r="Q323" i="13"/>
  <c r="F404" i="13"/>
  <c r="R404" i="13"/>
  <c r="F457" i="13"/>
  <c r="R457" i="13"/>
  <c r="E442" i="13"/>
  <c r="Q442" i="13"/>
  <c r="I304" i="13"/>
  <c r="U304" i="13"/>
  <c r="I371" i="13"/>
  <c r="U371" i="13"/>
  <c r="I267" i="13"/>
  <c r="U267" i="13"/>
  <c r="I275" i="13"/>
  <c r="U275" i="13"/>
  <c r="I379" i="13"/>
  <c r="U379" i="13"/>
  <c r="I261" i="13"/>
  <c r="U261" i="13"/>
  <c r="I424" i="13"/>
  <c r="U424" i="13"/>
  <c r="I288" i="13"/>
  <c r="U288" i="13"/>
  <c r="I493" i="13"/>
  <c r="U493" i="13"/>
  <c r="I438" i="13"/>
  <c r="U438" i="13"/>
  <c r="I381" i="13"/>
  <c r="U381" i="13"/>
  <c r="I405" i="13"/>
  <c r="U405" i="13"/>
  <c r="I266" i="13"/>
  <c r="U266" i="13"/>
  <c r="I458" i="13"/>
  <c r="U458" i="13"/>
  <c r="I418" i="13"/>
  <c r="U418" i="13"/>
  <c r="I394" i="13"/>
  <c r="U394" i="13"/>
  <c r="I487" i="13"/>
  <c r="U487" i="13"/>
  <c r="I413" i="13"/>
  <c r="U413" i="13"/>
  <c r="I318" i="13"/>
  <c r="U318" i="13"/>
  <c r="I354" i="13"/>
  <c r="U354" i="13"/>
  <c r="I360" i="13"/>
  <c r="U360" i="13"/>
  <c r="I480" i="13"/>
  <c r="U480" i="13"/>
  <c r="I410" i="13"/>
  <c r="U410" i="13"/>
  <c r="I361" i="13"/>
  <c r="U361" i="13"/>
  <c r="I454" i="13"/>
  <c r="U454" i="13"/>
  <c r="I468" i="13"/>
  <c r="U468" i="13"/>
  <c r="I377" i="13"/>
  <c r="U377" i="13"/>
  <c r="I291" i="13"/>
  <c r="U291" i="13"/>
  <c r="I270" i="13"/>
  <c r="U270" i="13"/>
  <c r="I408" i="13"/>
  <c r="U408" i="13"/>
  <c r="I447" i="13"/>
  <c r="U447" i="13"/>
  <c r="I287" i="13"/>
  <c r="U287" i="13"/>
  <c r="I385" i="13"/>
  <c r="U385" i="13"/>
  <c r="I463" i="13"/>
  <c r="U463" i="13"/>
  <c r="I407" i="13"/>
  <c r="U407" i="13"/>
  <c r="I390" i="13"/>
  <c r="U390" i="13"/>
  <c r="I392" i="13"/>
  <c r="U392" i="13"/>
  <c r="I460" i="13"/>
  <c r="U460" i="13"/>
  <c r="I276" i="13"/>
  <c r="U276" i="13"/>
  <c r="I380" i="13"/>
  <c r="U380" i="13"/>
  <c r="I369" i="13"/>
  <c r="U369" i="13"/>
  <c r="I263" i="13"/>
  <c r="U263" i="13"/>
  <c r="I265" i="13"/>
  <c r="U265" i="13"/>
  <c r="I425" i="13"/>
  <c r="U425" i="13"/>
  <c r="I339" i="13"/>
  <c r="U339" i="13"/>
  <c r="I345" i="13"/>
  <c r="U345" i="13"/>
  <c r="I362" i="13"/>
  <c r="U362" i="13"/>
  <c r="I401" i="13"/>
  <c r="U401" i="13"/>
  <c r="I428" i="13"/>
  <c r="U428" i="13"/>
  <c r="I495" i="13"/>
  <c r="U495" i="13"/>
  <c r="I388" i="13"/>
  <c r="U388" i="13"/>
  <c r="H398" i="13"/>
  <c r="T398" i="13"/>
  <c r="H436" i="13"/>
  <c r="T436" i="13"/>
  <c r="H483" i="13"/>
  <c r="T483" i="13"/>
  <c r="H447" i="13"/>
  <c r="T447" i="13"/>
  <c r="H301" i="13"/>
  <c r="T301" i="13"/>
  <c r="H405" i="13"/>
  <c r="T405" i="13"/>
  <c r="H420" i="13"/>
  <c r="T420" i="13"/>
  <c r="H388" i="13"/>
  <c r="T388" i="13"/>
  <c r="H404" i="13"/>
  <c r="T404" i="13"/>
  <c r="H263" i="13"/>
  <c r="T263" i="13"/>
  <c r="H439" i="13"/>
  <c r="T439" i="13"/>
  <c r="H288" i="13"/>
  <c r="T288" i="13"/>
  <c r="H271" i="13"/>
  <c r="T271" i="13"/>
  <c r="H335" i="13"/>
  <c r="T335" i="13"/>
  <c r="H383" i="13"/>
  <c r="T383" i="13"/>
  <c r="H327" i="13"/>
  <c r="T327" i="13"/>
  <c r="H352" i="13"/>
  <c r="T352" i="13"/>
  <c r="H346" i="13"/>
  <c r="T346" i="13"/>
  <c r="H329" i="13"/>
  <c r="T329" i="13"/>
  <c r="H456" i="13"/>
  <c r="T456" i="13"/>
  <c r="H289" i="13"/>
  <c r="T289" i="13"/>
  <c r="H424" i="13"/>
  <c r="T424" i="13"/>
  <c r="H448" i="13"/>
  <c r="T448" i="13"/>
  <c r="H287" i="13"/>
  <c r="T287" i="13"/>
  <c r="H262" i="13"/>
  <c r="T262" i="13"/>
  <c r="H390" i="13"/>
  <c r="T390" i="13"/>
  <c r="H426" i="13"/>
  <c r="T426" i="13"/>
  <c r="H453" i="13"/>
  <c r="T453" i="13"/>
  <c r="H442" i="13"/>
  <c r="T442" i="13"/>
  <c r="H461" i="13"/>
  <c r="T461" i="13"/>
  <c r="H255" i="13"/>
  <c r="T255" i="13"/>
  <c r="H444" i="13"/>
  <c r="T444" i="13"/>
  <c r="H418" i="13"/>
  <c r="T418" i="13"/>
  <c r="H326" i="13"/>
  <c r="T326" i="13"/>
  <c r="H280" i="13"/>
  <c r="T280" i="13"/>
  <c r="H449" i="13"/>
  <c r="T449" i="13"/>
  <c r="H320" i="13"/>
  <c r="T320" i="13"/>
  <c r="H310" i="13"/>
  <c r="T310" i="13"/>
  <c r="H421" i="13"/>
  <c r="T421" i="13"/>
  <c r="H490" i="13"/>
  <c r="T490" i="13"/>
  <c r="H325" i="13"/>
  <c r="T325" i="13"/>
  <c r="H410" i="13"/>
  <c r="T410" i="13"/>
  <c r="H344" i="13"/>
  <c r="T344" i="13"/>
  <c r="H358" i="13"/>
  <c r="T358" i="13"/>
  <c r="H493" i="13"/>
  <c r="T493" i="13"/>
  <c r="H386" i="13"/>
  <c r="T386" i="13"/>
  <c r="H434" i="13"/>
  <c r="T434" i="13"/>
  <c r="H347" i="13"/>
  <c r="T347" i="13"/>
  <c r="H409" i="13"/>
  <c r="T409" i="13"/>
  <c r="H337" i="13"/>
  <c r="T337" i="13"/>
  <c r="H318" i="13"/>
  <c r="T318" i="13"/>
  <c r="H403" i="13"/>
  <c r="T403" i="13"/>
  <c r="H491" i="13"/>
  <c r="T491" i="13"/>
  <c r="H423" i="13"/>
  <c r="T423" i="13"/>
  <c r="H375" i="13"/>
  <c r="T375" i="13"/>
  <c r="H268" i="13"/>
  <c r="T268" i="13"/>
  <c r="H425" i="13"/>
  <c r="T425" i="13"/>
  <c r="H290" i="13"/>
  <c r="T290" i="13"/>
  <c r="H380" i="13"/>
  <c r="T380" i="13"/>
  <c r="H452" i="13"/>
  <c r="T452" i="13"/>
  <c r="H482" i="13"/>
  <c r="T482" i="13"/>
  <c r="I386" i="13"/>
  <c r="U386" i="13"/>
  <c r="I387" i="13"/>
  <c r="U387" i="13"/>
  <c r="I310" i="13"/>
  <c r="U310" i="13"/>
  <c r="I384" i="13"/>
  <c r="U384" i="13"/>
  <c r="I375" i="13"/>
  <c r="U375" i="13"/>
  <c r="E385" i="13"/>
  <c r="Q385" i="13"/>
  <c r="E308" i="13"/>
  <c r="Q308" i="13"/>
  <c r="E367" i="13"/>
  <c r="Q367" i="13"/>
  <c r="E493" i="13"/>
  <c r="Q493" i="13"/>
  <c r="E298" i="13"/>
  <c r="Q298" i="13"/>
  <c r="E445" i="13"/>
  <c r="Q445" i="13"/>
  <c r="E326" i="13"/>
  <c r="Q326" i="13"/>
  <c r="E432" i="13"/>
  <c r="Q432" i="13"/>
  <c r="E359" i="13"/>
  <c r="Q359" i="13"/>
  <c r="E477" i="13"/>
  <c r="Q477" i="13"/>
  <c r="E321" i="13"/>
  <c r="Q321" i="13"/>
  <c r="E388" i="13"/>
  <c r="Q388" i="13"/>
  <c r="E279" i="13"/>
  <c r="Q279" i="13"/>
  <c r="E341" i="13"/>
  <c r="Q341" i="13"/>
  <c r="E485" i="13"/>
  <c r="Q485" i="13"/>
  <c r="I260" i="13"/>
  <c r="U260" i="13"/>
  <c r="I427" i="13"/>
  <c r="U427" i="13"/>
  <c r="E314" i="13"/>
  <c r="Q314" i="13"/>
  <c r="E408" i="13"/>
  <c r="Q408" i="13"/>
  <c r="E330" i="13"/>
  <c r="Q330" i="13"/>
  <c r="E255" i="13"/>
  <c r="Q255" i="13"/>
  <c r="E291" i="13"/>
  <c r="Q291" i="13"/>
  <c r="E406" i="13"/>
  <c r="Q406" i="13"/>
  <c r="E457" i="13"/>
  <c r="Q457" i="13"/>
  <c r="E348" i="13"/>
  <c r="Q348" i="13"/>
  <c r="E374" i="13"/>
  <c r="Q374" i="13"/>
  <c r="E302" i="13"/>
  <c r="Q302" i="13"/>
  <c r="E392" i="13"/>
  <c r="Q392" i="13"/>
  <c r="E435" i="13"/>
  <c r="Q435" i="13"/>
  <c r="E495" i="13"/>
  <c r="Q495" i="13"/>
  <c r="E349" i="13"/>
  <c r="Q349" i="13"/>
  <c r="E491" i="13"/>
  <c r="Q491" i="13"/>
  <c r="E254" i="13"/>
  <c r="Q254" i="13"/>
  <c r="I474" i="13"/>
  <c r="U474" i="13"/>
  <c r="I334" i="13"/>
  <c r="U334" i="13"/>
  <c r="E262" i="13"/>
  <c r="Q262" i="13"/>
  <c r="E350" i="13"/>
  <c r="Q350" i="13"/>
  <c r="E274" i="13"/>
  <c r="Q274" i="13"/>
  <c r="E371" i="13"/>
  <c r="Q371" i="13"/>
  <c r="E483" i="13"/>
  <c r="Q483" i="13"/>
  <c r="E404" i="13"/>
  <c r="Q404" i="13"/>
  <c r="E343" i="13"/>
  <c r="Q343" i="13"/>
  <c r="E322" i="13"/>
  <c r="Q322" i="13"/>
  <c r="E277" i="13"/>
  <c r="Q277" i="13"/>
  <c r="E431" i="13"/>
  <c r="Q431" i="13"/>
  <c r="E403" i="13"/>
  <c r="Q403" i="13"/>
  <c r="E352" i="13"/>
  <c r="Q352" i="13"/>
  <c r="E331" i="13"/>
  <c r="Q331" i="13"/>
  <c r="E434" i="13"/>
  <c r="Q434" i="13"/>
  <c r="E444" i="13"/>
  <c r="Q444" i="13"/>
  <c r="E455" i="13"/>
  <c r="Q455" i="13"/>
  <c r="I298" i="13"/>
  <c r="U298" i="13"/>
  <c r="E399" i="13"/>
  <c r="Q399" i="13"/>
  <c r="E339" i="13"/>
  <c r="Q339" i="13"/>
  <c r="E309" i="13"/>
  <c r="Q309" i="13"/>
  <c r="E400" i="13"/>
  <c r="Q400" i="13"/>
  <c r="I444" i="13"/>
  <c r="U444" i="13"/>
  <c r="E469" i="13"/>
  <c r="Q469" i="13"/>
  <c r="E423" i="13"/>
  <c r="Q423" i="13"/>
  <c r="E299" i="13"/>
  <c r="Q299" i="13"/>
  <c r="E443" i="13"/>
  <c r="Q443" i="13"/>
  <c r="E441" i="13"/>
  <c r="Q441" i="13"/>
  <c r="E303" i="13"/>
  <c r="Q303" i="13"/>
  <c r="E287" i="13"/>
  <c r="Q287" i="13"/>
  <c r="E490" i="13"/>
  <c r="Q490" i="13"/>
  <c r="E461" i="13"/>
  <c r="Q461" i="13"/>
  <c r="F360" i="13"/>
  <c r="R360" i="13"/>
  <c r="E361" i="13"/>
  <c r="Q361" i="13"/>
  <c r="I430" i="13"/>
  <c r="U430" i="13"/>
  <c r="I434" i="13"/>
  <c r="U434" i="13"/>
  <c r="F259" i="13"/>
  <c r="R259" i="13"/>
  <c r="F383" i="13"/>
  <c r="R383" i="13"/>
  <c r="F338" i="13"/>
  <c r="R338" i="13"/>
  <c r="F481" i="13"/>
  <c r="R481" i="13"/>
  <c r="F385" i="13"/>
  <c r="R385" i="13"/>
  <c r="F321" i="13"/>
  <c r="R321" i="13"/>
  <c r="F316" i="13"/>
  <c r="R316" i="13"/>
  <c r="F398" i="13"/>
  <c r="R398" i="13"/>
  <c r="F268" i="13"/>
  <c r="R268" i="13"/>
  <c r="E436" i="13"/>
  <c r="Q436" i="13"/>
  <c r="I338" i="13"/>
  <c r="U338" i="13"/>
  <c r="I262" i="13"/>
  <c r="U262" i="13"/>
  <c r="I315" i="13"/>
  <c r="U315" i="13"/>
  <c r="I466" i="13"/>
  <c r="U466" i="13"/>
  <c r="I357" i="13"/>
  <c r="U357" i="13"/>
  <c r="I314" i="13"/>
  <c r="U314" i="13"/>
  <c r="I442" i="13"/>
  <c r="U442" i="13"/>
  <c r="I306" i="13"/>
  <c r="U306" i="13"/>
  <c r="I289" i="13"/>
  <c r="U289" i="13"/>
  <c r="I366" i="13"/>
  <c r="U366" i="13"/>
  <c r="I294" i="13"/>
  <c r="U294" i="13"/>
  <c r="I277" i="13"/>
  <c r="U277" i="13"/>
  <c r="I284" i="13"/>
  <c r="U284" i="13"/>
  <c r="I274" i="13"/>
  <c r="U274" i="13"/>
  <c r="I376" i="13"/>
  <c r="U376" i="13"/>
  <c r="H372" i="13"/>
  <c r="T372" i="13"/>
  <c r="H259" i="13"/>
  <c r="T259" i="13"/>
  <c r="H402" i="13"/>
  <c r="T402" i="13"/>
  <c r="H276" i="13"/>
  <c r="T276" i="13"/>
  <c r="H281" i="13"/>
  <c r="T281" i="13"/>
  <c r="H468" i="13"/>
  <c r="T468" i="13"/>
  <c r="H473" i="13"/>
  <c r="T473" i="13"/>
  <c r="H365" i="13"/>
  <c r="T365" i="13"/>
  <c r="H283" i="13"/>
  <c r="T283" i="13"/>
  <c r="H459" i="13"/>
  <c r="T459" i="13"/>
  <c r="H308" i="13"/>
  <c r="T308" i="13"/>
  <c r="H361" i="13"/>
  <c r="T361" i="13"/>
  <c r="H487" i="13"/>
  <c r="T487" i="13"/>
  <c r="H332" i="13"/>
  <c r="T332" i="13"/>
  <c r="H466" i="13"/>
  <c r="T466" i="13"/>
  <c r="H333" i="13"/>
  <c r="T333" i="13"/>
  <c r="I280" i="13"/>
  <c r="U280" i="13"/>
  <c r="E295" i="13"/>
  <c r="Q295" i="13"/>
  <c r="E278" i="13"/>
  <c r="Q278" i="13"/>
  <c r="E271" i="13"/>
  <c r="Q271" i="13"/>
  <c r="E336" i="13"/>
  <c r="Q336" i="13"/>
  <c r="E397" i="13"/>
  <c r="Q397" i="13"/>
  <c r="E311" i="13"/>
  <c r="Q311" i="13"/>
  <c r="I342" i="13"/>
  <c r="U342" i="13"/>
  <c r="E333" i="13"/>
  <c r="Q333" i="13"/>
  <c r="E310" i="13"/>
  <c r="Q310" i="13"/>
  <c r="E267" i="13"/>
  <c r="Q267" i="13"/>
  <c r="E405" i="13"/>
  <c r="Q405" i="13"/>
  <c r="E417" i="13"/>
  <c r="Q417" i="13"/>
  <c r="I432" i="13"/>
  <c r="U432" i="13"/>
  <c r="E448" i="13"/>
  <c r="Q448" i="13"/>
  <c r="E300" i="13"/>
  <c r="Q300" i="13"/>
  <c r="E416" i="13"/>
  <c r="Q416" i="13"/>
  <c r="E304" i="13"/>
  <c r="Q304" i="13"/>
  <c r="E427" i="13"/>
  <c r="Q427" i="13"/>
  <c r="E338" i="13"/>
  <c r="Q338" i="13"/>
  <c r="E259" i="13"/>
  <c r="Q259" i="13"/>
  <c r="E413" i="13"/>
  <c r="Q413" i="13"/>
  <c r="E465" i="13"/>
  <c r="Q465" i="13"/>
  <c r="E466" i="13"/>
  <c r="Q466" i="13"/>
  <c r="F368" i="13"/>
  <c r="R368" i="13"/>
  <c r="F408" i="13"/>
  <c r="R408" i="13"/>
  <c r="F295" i="13"/>
  <c r="R295" i="13"/>
  <c r="F272" i="13"/>
  <c r="R272" i="13"/>
  <c r="I492" i="13"/>
  <c r="U492" i="13"/>
  <c r="I426" i="13"/>
  <c r="U426" i="13"/>
  <c r="I299" i="13"/>
  <c r="U299" i="13"/>
  <c r="I378" i="13"/>
  <c r="U378" i="13"/>
  <c r="I320" i="13"/>
  <c r="U320" i="13"/>
  <c r="I465" i="13"/>
  <c r="U465" i="13"/>
  <c r="I295" i="13"/>
  <c r="U295" i="13"/>
  <c r="I302" i="13"/>
  <c r="U302" i="13"/>
  <c r="I489" i="13"/>
  <c r="U489" i="13"/>
  <c r="I437" i="13"/>
  <c r="U437" i="13"/>
  <c r="I406" i="13"/>
  <c r="U406" i="13"/>
  <c r="I450" i="13"/>
  <c r="U450" i="13"/>
  <c r="I431" i="13"/>
  <c r="U431" i="13"/>
  <c r="I340" i="13"/>
  <c r="U340" i="13"/>
  <c r="I453" i="13"/>
  <c r="U453" i="13"/>
  <c r="I286" i="13"/>
  <c r="U286" i="13"/>
  <c r="I278" i="13"/>
  <c r="U278" i="13"/>
  <c r="I337" i="13"/>
  <c r="U337" i="13"/>
  <c r="I400" i="13"/>
  <c r="U400" i="13"/>
  <c r="I393" i="13"/>
  <c r="U393" i="13"/>
  <c r="I254" i="13"/>
  <c r="U254" i="13"/>
  <c r="I417" i="13"/>
  <c r="U417" i="13"/>
  <c r="I456" i="13"/>
  <c r="U456" i="13"/>
  <c r="I272" i="13"/>
  <c r="U272" i="13"/>
  <c r="I309" i="13"/>
  <c r="U309" i="13"/>
  <c r="I336" i="13"/>
  <c r="U336" i="13"/>
  <c r="I382" i="13"/>
  <c r="U382" i="13"/>
  <c r="I485" i="13"/>
  <c r="U485" i="13"/>
  <c r="I409" i="13"/>
  <c r="U409" i="13"/>
  <c r="I259" i="13"/>
  <c r="U259" i="13"/>
  <c r="I471" i="13"/>
  <c r="U471" i="13"/>
  <c r="I352" i="13"/>
  <c r="U352" i="13"/>
  <c r="I443" i="13"/>
  <c r="U443" i="13"/>
  <c r="I475" i="13"/>
  <c r="U475" i="13"/>
  <c r="I402" i="13"/>
  <c r="U402" i="13"/>
  <c r="I415" i="13"/>
  <c r="U415" i="13"/>
  <c r="I367" i="13"/>
  <c r="U367" i="13"/>
  <c r="I457" i="13"/>
  <c r="U457" i="13"/>
  <c r="I416" i="13"/>
  <c r="U416" i="13"/>
  <c r="I446" i="13"/>
  <c r="U446" i="13"/>
  <c r="I411" i="13"/>
  <c r="U411" i="13"/>
  <c r="I395" i="13"/>
  <c r="U395" i="13"/>
  <c r="I494" i="13"/>
  <c r="U494" i="13"/>
  <c r="I404" i="13"/>
  <c r="U404" i="13"/>
  <c r="I478" i="13"/>
  <c r="U478" i="13"/>
  <c r="H309" i="13"/>
  <c r="T309" i="13"/>
  <c r="H438" i="13"/>
  <c r="T438" i="13"/>
  <c r="H396" i="13"/>
  <c r="T396" i="13"/>
  <c r="H299" i="13"/>
  <c r="T299" i="13"/>
  <c r="H400" i="13"/>
  <c r="T400" i="13"/>
  <c r="H385" i="13"/>
  <c r="T385" i="13"/>
  <c r="H480" i="13"/>
  <c r="T480" i="13"/>
  <c r="H359" i="13"/>
  <c r="T359" i="13"/>
  <c r="H311" i="13"/>
  <c r="T311" i="13"/>
  <c r="H457" i="13"/>
  <c r="T457" i="13"/>
  <c r="H331" i="13"/>
  <c r="T331" i="13"/>
  <c r="H479" i="13"/>
  <c r="T479" i="13"/>
  <c r="H291" i="13"/>
  <c r="T291" i="13"/>
  <c r="H256" i="13"/>
  <c r="T256" i="13"/>
  <c r="H367" i="13"/>
  <c r="T367" i="13"/>
  <c r="H446" i="13"/>
  <c r="T446" i="13"/>
  <c r="H488" i="13"/>
  <c r="T488" i="13"/>
  <c r="H379" i="13"/>
  <c r="T379" i="13"/>
  <c r="H378" i="13"/>
  <c r="T378" i="13"/>
  <c r="H429" i="13"/>
  <c r="T429" i="13"/>
  <c r="H306" i="13"/>
  <c r="T306" i="13"/>
  <c r="H472" i="13"/>
  <c r="T472" i="13"/>
  <c r="H381" i="13"/>
  <c r="T381" i="13"/>
  <c r="H351" i="13"/>
  <c r="T351" i="13"/>
  <c r="H254" i="13"/>
  <c r="T254" i="13"/>
  <c r="H391" i="13"/>
  <c r="T391" i="13"/>
  <c r="H387" i="13"/>
  <c r="T387" i="13"/>
  <c r="H371" i="13"/>
  <c r="T371" i="13"/>
  <c r="H422" i="13"/>
  <c r="T422" i="13"/>
  <c r="H460" i="13"/>
  <c r="T460" i="13"/>
  <c r="H273" i="13"/>
  <c r="T273" i="13"/>
  <c r="H363" i="13"/>
  <c r="T363" i="13"/>
  <c r="H334" i="13"/>
  <c r="T334" i="13"/>
  <c r="H304" i="13"/>
  <c r="T304" i="13"/>
  <c r="H369" i="13"/>
  <c r="T369" i="13"/>
  <c r="H469" i="13"/>
  <c r="T469" i="13"/>
  <c r="H338" i="13"/>
  <c r="T338" i="13"/>
  <c r="H462" i="13"/>
  <c r="T462" i="13"/>
  <c r="H315" i="13"/>
  <c r="T315" i="13"/>
  <c r="H475" i="13"/>
  <c r="T475" i="13"/>
  <c r="H463" i="13"/>
  <c r="T463" i="13"/>
  <c r="H440" i="13"/>
  <c r="T440" i="13"/>
  <c r="H269" i="13"/>
  <c r="T269" i="13"/>
  <c r="H393" i="13"/>
  <c r="T393" i="13"/>
  <c r="H395" i="13"/>
  <c r="T395" i="13"/>
  <c r="H451" i="13"/>
  <c r="T451" i="13"/>
  <c r="H277" i="13"/>
  <c r="T277" i="13"/>
  <c r="H389" i="13"/>
  <c r="T389" i="13"/>
  <c r="H432" i="13"/>
  <c r="T432" i="13"/>
  <c r="H368" i="13"/>
  <c r="T368" i="13"/>
  <c r="H471" i="13"/>
  <c r="T471" i="13"/>
  <c r="H366" i="13"/>
  <c r="T366" i="13"/>
  <c r="H364" i="13"/>
  <c r="T364" i="13"/>
  <c r="H257" i="13"/>
  <c r="T257" i="13"/>
  <c r="H445" i="13"/>
  <c r="T445" i="13"/>
  <c r="H481" i="13"/>
  <c r="T481" i="13"/>
  <c r="I461" i="13"/>
  <c r="U461" i="13"/>
  <c r="H279" i="13"/>
  <c r="T279" i="13"/>
  <c r="H282" i="13"/>
  <c r="T282" i="13"/>
  <c r="H353" i="13"/>
  <c r="T353" i="13"/>
  <c r="I391" i="13"/>
  <c r="U391" i="13"/>
  <c r="I445" i="13"/>
  <c r="U445" i="13"/>
  <c r="I355" i="13"/>
  <c r="U355" i="13"/>
  <c r="I255" i="13"/>
  <c r="U255" i="13"/>
  <c r="I359" i="13"/>
  <c r="U359" i="13"/>
  <c r="I422" i="13"/>
  <c r="U422" i="13"/>
  <c r="I327" i="13"/>
  <c r="U327" i="13"/>
  <c r="E393" i="13"/>
  <c r="Q393" i="13"/>
  <c r="E264" i="13"/>
  <c r="Q264" i="13"/>
  <c r="E320" i="13"/>
  <c r="Q320" i="13"/>
  <c r="E269" i="13"/>
  <c r="Q269" i="13"/>
  <c r="E402" i="13"/>
  <c r="Q402" i="13"/>
  <c r="E481" i="13"/>
  <c r="Q481" i="13"/>
  <c r="E377" i="13"/>
  <c r="Q377" i="13"/>
  <c r="E290" i="13"/>
  <c r="Q290" i="13"/>
  <c r="E468" i="13"/>
  <c r="Q468" i="13"/>
  <c r="E288" i="13"/>
  <c r="Q288" i="13"/>
  <c r="E354" i="13"/>
  <c r="Q354" i="13"/>
  <c r="E452" i="13"/>
  <c r="Q452" i="13"/>
  <c r="E275" i="13"/>
  <c r="Q275" i="13"/>
  <c r="E454" i="13"/>
  <c r="Q454" i="13"/>
  <c r="E451" i="13"/>
  <c r="Q451" i="13"/>
  <c r="I472" i="13"/>
  <c r="U472" i="13"/>
  <c r="I449" i="13"/>
  <c r="U449" i="13"/>
  <c r="E376" i="13"/>
  <c r="Q376" i="13"/>
  <c r="E332" i="13"/>
  <c r="Q332" i="13"/>
  <c r="E266" i="13"/>
  <c r="Q266" i="13"/>
  <c r="E276" i="13"/>
  <c r="Q276" i="13"/>
  <c r="E362" i="13"/>
  <c r="Q362" i="13"/>
  <c r="E360" i="13"/>
  <c r="Q360" i="13"/>
  <c r="E355" i="13"/>
  <c r="Q355" i="13"/>
  <c r="E257" i="13"/>
  <c r="Q257" i="13"/>
  <c r="E365" i="13"/>
  <c r="Q365" i="13"/>
  <c r="E316" i="13"/>
  <c r="Q316" i="13"/>
  <c r="E379" i="13"/>
  <c r="Q379" i="13"/>
  <c r="E307" i="13"/>
  <c r="Q307" i="13"/>
  <c r="E489" i="13"/>
  <c r="Q489" i="13"/>
  <c r="E340" i="13"/>
  <c r="Q340" i="13"/>
  <c r="E440" i="13"/>
  <c r="Q440" i="13"/>
  <c r="I488" i="13"/>
  <c r="U488" i="13"/>
  <c r="I481" i="13"/>
  <c r="U481" i="13"/>
  <c r="E430" i="13"/>
  <c r="Q430" i="13"/>
  <c r="E286" i="13"/>
  <c r="Q286" i="13"/>
  <c r="E478" i="13"/>
  <c r="Q478" i="13"/>
  <c r="E301" i="13"/>
  <c r="Q301" i="13"/>
  <c r="E356" i="13"/>
  <c r="Q356" i="13"/>
  <c r="E294" i="13"/>
  <c r="J294" i="13" s="1"/>
  <c r="Q294" i="13"/>
  <c r="E419" i="13"/>
  <c r="Q419" i="13"/>
  <c r="E263" i="13"/>
  <c r="Q263" i="13"/>
  <c r="E475" i="13"/>
  <c r="Q475" i="13"/>
  <c r="E293" i="13"/>
  <c r="Q293" i="13"/>
  <c r="E473" i="13"/>
  <c r="Q473" i="13"/>
  <c r="E384" i="13"/>
  <c r="Q384" i="13"/>
  <c r="E389" i="13"/>
  <c r="Q389" i="13"/>
  <c r="E462" i="13"/>
  <c r="Q462" i="13"/>
  <c r="E447" i="13"/>
  <c r="Q447" i="13"/>
  <c r="E463" i="13"/>
  <c r="Q463" i="13"/>
  <c r="V463" i="13" s="1"/>
  <c r="A463" i="13" s="1"/>
  <c r="E446" i="13"/>
  <c r="Q446" i="13"/>
  <c r="I420" i="13"/>
  <c r="U420" i="13"/>
  <c r="E270" i="13"/>
  <c r="Q270" i="13"/>
  <c r="E476" i="13"/>
  <c r="Q476" i="13"/>
  <c r="E488" i="13"/>
  <c r="Q488" i="13"/>
  <c r="I296" i="13"/>
  <c r="U296" i="13"/>
  <c r="I398" i="13"/>
  <c r="U398" i="13"/>
  <c r="E344" i="13"/>
  <c r="Q344" i="13"/>
  <c r="E390" i="13"/>
  <c r="Q390" i="13"/>
  <c r="E381" i="13"/>
  <c r="Q381" i="13"/>
  <c r="E486" i="13"/>
  <c r="Q486" i="13"/>
  <c r="E471" i="13"/>
  <c r="Q471" i="13"/>
  <c r="E345" i="13"/>
  <c r="Q345" i="13"/>
  <c r="F342" i="13"/>
  <c r="R342" i="13"/>
  <c r="E420" i="13"/>
  <c r="Q420" i="13"/>
  <c r="E335" i="13"/>
  <c r="Q335" i="13"/>
  <c r="E369" i="13"/>
  <c r="Q369" i="13"/>
  <c r="I282" i="13"/>
  <c r="U282" i="13"/>
  <c r="I264" i="13"/>
  <c r="U264" i="13"/>
  <c r="F419" i="13"/>
  <c r="R419" i="13"/>
  <c r="F337" i="13"/>
  <c r="R337" i="13"/>
  <c r="F443" i="13"/>
  <c r="R443" i="13"/>
  <c r="F361" i="13"/>
  <c r="R361" i="13"/>
  <c r="F292" i="13"/>
  <c r="R292" i="13"/>
  <c r="F393" i="13"/>
  <c r="R393" i="13"/>
  <c r="F302" i="13"/>
  <c r="R302" i="13"/>
  <c r="E285" i="13"/>
  <c r="Q285" i="13"/>
  <c r="F467" i="13"/>
  <c r="R467" i="13"/>
  <c r="I470" i="13"/>
  <c r="U470" i="13"/>
  <c r="I253" i="13"/>
  <c r="H253" i="13"/>
  <c r="E253" i="13"/>
  <c r="I305" i="13"/>
  <c r="U305" i="13"/>
  <c r="I329" i="13"/>
  <c r="U329" i="13"/>
  <c r="I421" i="13"/>
  <c r="U421" i="13"/>
  <c r="I419" i="13"/>
  <c r="U419" i="13"/>
  <c r="I490" i="13"/>
  <c r="U490" i="13"/>
  <c r="I373" i="13"/>
  <c r="U373" i="13"/>
  <c r="I281" i="13"/>
  <c r="U281" i="13"/>
  <c r="I389" i="13"/>
  <c r="U389" i="13"/>
  <c r="I358" i="13"/>
  <c r="U358" i="13"/>
  <c r="I273" i="13"/>
  <c r="U273" i="13"/>
  <c r="I436" i="13"/>
  <c r="U436" i="13"/>
  <c r="I297" i="13"/>
  <c r="U297" i="13"/>
  <c r="I451" i="13"/>
  <c r="U451" i="13"/>
  <c r="I464" i="13"/>
  <c r="U464" i="13"/>
  <c r="I290" i="13"/>
  <c r="U290" i="13"/>
  <c r="H316" i="13"/>
  <c r="T316" i="13"/>
  <c r="H433" i="13"/>
  <c r="T433" i="13"/>
  <c r="H464" i="13"/>
  <c r="T464" i="13"/>
  <c r="H345" i="13"/>
  <c r="T345" i="13"/>
  <c r="H295" i="13"/>
  <c r="T295" i="13"/>
  <c r="H406" i="13"/>
  <c r="T406" i="13"/>
  <c r="H458" i="13"/>
  <c r="T458" i="13"/>
  <c r="H413" i="13"/>
  <c r="T413" i="13"/>
  <c r="H476" i="13"/>
  <c r="T476" i="13"/>
  <c r="H443" i="13"/>
  <c r="T443" i="13"/>
  <c r="H323" i="13"/>
  <c r="T323" i="13"/>
  <c r="H339" i="13"/>
  <c r="T339" i="13"/>
  <c r="H267" i="13"/>
  <c r="T267" i="13"/>
  <c r="H330" i="13"/>
  <c r="T330" i="13"/>
  <c r="H370" i="13"/>
  <c r="T370" i="13"/>
  <c r="H270" i="13"/>
  <c r="T270" i="13"/>
  <c r="H343" i="13"/>
  <c r="T343" i="13"/>
  <c r="H450" i="13"/>
  <c r="T450" i="13"/>
  <c r="H455" i="13"/>
  <c r="T455" i="13"/>
  <c r="H296" i="13"/>
  <c r="T296" i="13"/>
  <c r="I448" i="13"/>
  <c r="U448" i="13"/>
  <c r="I343" i="13"/>
  <c r="U343" i="13"/>
  <c r="I283" i="13"/>
  <c r="U283" i="13"/>
  <c r="E281" i="13"/>
  <c r="Q281" i="13"/>
  <c r="E479" i="13"/>
  <c r="Q479" i="13"/>
  <c r="E324" i="13"/>
  <c r="Q324" i="13"/>
  <c r="E256" i="13"/>
  <c r="Q256" i="13"/>
  <c r="E382" i="13"/>
  <c r="Q382" i="13"/>
  <c r="E337" i="13"/>
  <c r="Q337" i="13"/>
  <c r="E289" i="13"/>
  <c r="Q289" i="13"/>
  <c r="E260" i="13"/>
  <c r="Q260" i="13"/>
  <c r="E329" i="13"/>
  <c r="Q329" i="13"/>
  <c r="E424" i="13"/>
  <c r="Q424" i="13"/>
  <c r="I483" i="13"/>
  <c r="U483" i="13"/>
  <c r="E284" i="13"/>
  <c r="Q284" i="13"/>
  <c r="E480" i="13"/>
  <c r="Q480" i="13"/>
  <c r="E317" i="13"/>
  <c r="Q317" i="13"/>
  <c r="E438" i="13"/>
  <c r="Q438" i="13"/>
  <c r="E386" i="13"/>
  <c r="Q386" i="13"/>
  <c r="E418" i="13"/>
  <c r="Q418" i="13"/>
  <c r="E410" i="13"/>
  <c r="Q410" i="13"/>
  <c r="I324" i="13"/>
  <c r="U324" i="13"/>
  <c r="E387" i="13"/>
  <c r="Q387" i="13"/>
  <c r="E453" i="13"/>
  <c r="Q453" i="13"/>
  <c r="E422" i="13"/>
  <c r="Q422" i="13"/>
  <c r="I292" i="13"/>
  <c r="U292" i="13"/>
  <c r="F314" i="13"/>
  <c r="R314" i="13"/>
  <c r="F309" i="13"/>
  <c r="R309" i="13"/>
  <c r="F405" i="13"/>
  <c r="R405" i="13"/>
  <c r="F431" i="13"/>
  <c r="R431" i="13"/>
  <c r="I258" i="13"/>
  <c r="U258" i="13"/>
  <c r="I370" i="13"/>
  <c r="U370" i="13"/>
  <c r="I349" i="13"/>
  <c r="U349" i="13"/>
  <c r="I312" i="13"/>
  <c r="U312" i="13"/>
  <c r="I364" i="13"/>
  <c r="U364" i="13"/>
  <c r="I363" i="13"/>
  <c r="U363" i="13"/>
  <c r="I341" i="13"/>
  <c r="U341" i="13"/>
  <c r="I356" i="13"/>
  <c r="U356" i="13"/>
  <c r="I396" i="13"/>
  <c r="U396" i="13"/>
  <c r="I435" i="13"/>
  <c r="U435" i="13"/>
  <c r="I374" i="13"/>
  <c r="U374" i="13"/>
  <c r="I368" i="13"/>
  <c r="U368" i="13"/>
  <c r="I351" i="13"/>
  <c r="U351" i="13"/>
  <c r="I467" i="13"/>
  <c r="U467" i="13"/>
  <c r="I433" i="13"/>
  <c r="U433" i="13"/>
  <c r="I486" i="13"/>
  <c r="U486" i="13"/>
  <c r="I459" i="13"/>
  <c r="U459" i="13"/>
  <c r="I346" i="13"/>
  <c r="U346" i="13"/>
  <c r="I269" i="13"/>
  <c r="U269" i="13"/>
  <c r="I469" i="13"/>
  <c r="U469" i="13"/>
  <c r="I328" i="13"/>
  <c r="U328" i="13"/>
  <c r="I303" i="13"/>
  <c r="U303" i="13"/>
  <c r="I301" i="13"/>
  <c r="U301" i="13"/>
  <c r="I285" i="13"/>
  <c r="U285" i="13"/>
  <c r="I473" i="13"/>
  <c r="U473" i="13"/>
  <c r="I319" i="13"/>
  <c r="U319" i="13"/>
  <c r="I316" i="13"/>
  <c r="U316" i="13"/>
  <c r="I484" i="13"/>
  <c r="U484" i="13"/>
  <c r="I441" i="13"/>
  <c r="U441" i="13"/>
  <c r="I440" i="13"/>
  <c r="U440" i="13"/>
  <c r="I372" i="13"/>
  <c r="U372" i="13"/>
  <c r="I491" i="13"/>
  <c r="U491" i="13"/>
  <c r="I323" i="13"/>
  <c r="U323" i="13"/>
  <c r="I414" i="13"/>
  <c r="U414" i="13"/>
  <c r="I257" i="13"/>
  <c r="U257" i="13"/>
  <c r="I476" i="13"/>
  <c r="U476" i="13"/>
  <c r="I325" i="13"/>
  <c r="U325" i="13"/>
  <c r="I332" i="13"/>
  <c r="U332" i="13"/>
  <c r="I477" i="13"/>
  <c r="U477" i="13"/>
  <c r="I335" i="13"/>
  <c r="U335" i="13"/>
  <c r="H312" i="13"/>
  <c r="T312" i="13"/>
  <c r="H494" i="13"/>
  <c r="T494" i="13"/>
  <c r="H415" i="13"/>
  <c r="T415" i="13"/>
  <c r="H272" i="13"/>
  <c r="T272" i="13"/>
  <c r="H321" i="13"/>
  <c r="T321" i="13"/>
  <c r="H416" i="13"/>
  <c r="T416" i="13"/>
  <c r="H417" i="13"/>
  <c r="T417" i="13"/>
  <c r="H401" i="13"/>
  <c r="T401" i="13"/>
  <c r="H394" i="13"/>
  <c r="T394" i="13"/>
  <c r="H470" i="13"/>
  <c r="T470" i="13"/>
  <c r="H486" i="13"/>
  <c r="T486" i="13"/>
  <c r="H313" i="13"/>
  <c r="T313" i="13"/>
  <c r="H441" i="13"/>
  <c r="T441" i="13"/>
  <c r="H349" i="13"/>
  <c r="T349" i="13"/>
  <c r="H314" i="13"/>
  <c r="T314" i="13"/>
  <c r="H274" i="13"/>
  <c r="T274" i="13"/>
  <c r="H408" i="13"/>
  <c r="T408" i="13"/>
  <c r="H412" i="13"/>
  <c r="T412" i="13"/>
  <c r="H427" i="13"/>
  <c r="T427" i="13"/>
  <c r="H419" i="13"/>
  <c r="T419" i="13"/>
  <c r="H336" i="13"/>
  <c r="T336" i="13"/>
  <c r="H342" i="13"/>
  <c r="T342" i="13"/>
  <c r="H435" i="13"/>
  <c r="T435" i="13"/>
  <c r="H348" i="13"/>
  <c r="T348" i="13"/>
  <c r="H322" i="13"/>
  <c r="T322" i="13"/>
  <c r="H399" i="13"/>
  <c r="T399" i="13"/>
  <c r="H431" i="13"/>
  <c r="T431" i="13"/>
  <c r="H324" i="13"/>
  <c r="T324" i="13"/>
  <c r="H284" i="13"/>
  <c r="T284" i="13"/>
  <c r="H407" i="13"/>
  <c r="T407" i="13"/>
  <c r="H302" i="13"/>
  <c r="T302" i="13"/>
  <c r="H478" i="13"/>
  <c r="T478" i="13"/>
  <c r="H319" i="13"/>
  <c r="T319" i="13"/>
  <c r="H377" i="13"/>
  <c r="T377" i="13"/>
  <c r="H355" i="13"/>
  <c r="T355" i="13"/>
  <c r="H305" i="13"/>
  <c r="T305" i="13"/>
  <c r="H265" i="13"/>
  <c r="T265" i="13"/>
  <c r="H474" i="13"/>
  <c r="T474" i="13"/>
  <c r="H392" i="13"/>
  <c r="T392" i="13"/>
  <c r="H362" i="13"/>
  <c r="T362" i="13"/>
  <c r="H264" i="13"/>
  <c r="T264" i="13"/>
  <c r="H376" i="13"/>
  <c r="T376" i="13"/>
  <c r="H297" i="13"/>
  <c r="T297" i="13"/>
  <c r="H266" i="13"/>
  <c r="T266" i="13"/>
  <c r="H278" i="13"/>
  <c r="T278" i="13"/>
  <c r="H260" i="13"/>
  <c r="T260" i="13"/>
  <c r="H258" i="13"/>
  <c r="T258" i="13"/>
  <c r="H275" i="13"/>
  <c r="T275" i="13"/>
  <c r="H350" i="13"/>
  <c r="T350" i="13"/>
  <c r="H292" i="13"/>
  <c r="T292" i="13"/>
  <c r="H382" i="13"/>
  <c r="T382" i="13"/>
  <c r="H373" i="13"/>
  <c r="T373" i="13"/>
  <c r="H374" i="13"/>
  <c r="T374" i="13"/>
  <c r="H467" i="13"/>
  <c r="T467" i="13"/>
  <c r="H384" i="13"/>
  <c r="T384" i="13"/>
  <c r="H495" i="13"/>
  <c r="T495" i="13"/>
  <c r="H360" i="13"/>
  <c r="T360" i="13"/>
  <c r="H485" i="13"/>
  <c r="T485" i="13"/>
  <c r="H397" i="13"/>
  <c r="T397" i="13"/>
  <c r="H411" i="13"/>
  <c r="T411" i="13"/>
  <c r="H340" i="13"/>
  <c r="T340" i="13"/>
  <c r="I313" i="13"/>
  <c r="U313" i="13"/>
  <c r="I317" i="13"/>
  <c r="U317" i="13"/>
  <c r="I429" i="13"/>
  <c r="U429" i="13"/>
  <c r="I383" i="13"/>
  <c r="U383" i="13"/>
  <c r="I293" i="13"/>
  <c r="U293" i="13"/>
  <c r="I452" i="13"/>
  <c r="U452" i="13"/>
  <c r="E334" i="13"/>
  <c r="Q334" i="13"/>
  <c r="E282" i="13"/>
  <c r="Q282" i="13"/>
  <c r="E280" i="13"/>
  <c r="Q280" i="13"/>
  <c r="E258" i="13"/>
  <c r="Q258" i="13"/>
  <c r="E411" i="13"/>
  <c r="Q411" i="13"/>
  <c r="E394" i="13"/>
  <c r="Q394" i="13"/>
  <c r="E351" i="13"/>
  <c r="Q351" i="13"/>
  <c r="E283" i="13"/>
  <c r="Q283" i="13"/>
  <c r="E460" i="13"/>
  <c r="Q460" i="13"/>
  <c r="E409" i="13"/>
  <c r="Q409" i="13"/>
  <c r="E313" i="13"/>
  <c r="Q313" i="13"/>
  <c r="E464" i="13"/>
  <c r="Q464" i="13"/>
  <c r="E428" i="13"/>
  <c r="Q428" i="13"/>
  <c r="E426" i="13"/>
  <c r="Q426" i="13"/>
  <c r="I482" i="13"/>
  <c r="U482" i="13"/>
  <c r="I279" i="13"/>
  <c r="U279" i="13"/>
  <c r="E383" i="13"/>
  <c r="Q383" i="13"/>
  <c r="E347" i="13"/>
  <c r="Q347" i="13"/>
  <c r="E268" i="13"/>
  <c r="Q268" i="13"/>
  <c r="E415" i="13"/>
  <c r="Q415" i="13"/>
  <c r="E437" i="13"/>
  <c r="Q437" i="13"/>
  <c r="E368" i="13"/>
  <c r="Q368" i="13"/>
  <c r="E346" i="13"/>
  <c r="Q346" i="13"/>
  <c r="E306" i="13"/>
  <c r="Q306" i="13"/>
  <c r="E425" i="13"/>
  <c r="Q425" i="13"/>
  <c r="E433" i="13"/>
  <c r="Q433" i="13"/>
  <c r="E325" i="13"/>
  <c r="Q325" i="13"/>
  <c r="E458" i="13"/>
  <c r="Q458" i="13"/>
  <c r="E450" i="13"/>
  <c r="Q450" i="13"/>
  <c r="E470" i="13"/>
  <c r="Q470" i="13"/>
  <c r="E373" i="13"/>
  <c r="Q373" i="13"/>
  <c r="I479" i="13"/>
  <c r="U479" i="13"/>
  <c r="I344" i="13"/>
  <c r="U344" i="13"/>
  <c r="E494" i="13"/>
  <c r="Q494" i="13"/>
  <c r="E353" i="13"/>
  <c r="Q353" i="13"/>
  <c r="E474" i="13"/>
  <c r="Q474" i="13"/>
  <c r="V253" i="13"/>
  <c r="A253" i="13" s="1"/>
  <c r="E459" i="13"/>
  <c r="Q459" i="13"/>
  <c r="E487" i="13"/>
  <c r="Q487" i="13"/>
  <c r="E398" i="13"/>
  <c r="Q398" i="13"/>
  <c r="E358" i="13"/>
  <c r="Q358" i="13"/>
  <c r="E492" i="13"/>
  <c r="Q492" i="13"/>
  <c r="E412" i="13"/>
  <c r="Q412" i="13"/>
  <c r="E363" i="13"/>
  <c r="Q363" i="13"/>
  <c r="E261" i="13"/>
  <c r="Q261" i="13"/>
  <c r="E315" i="13"/>
  <c r="Q315" i="13"/>
  <c r="E370" i="13"/>
  <c r="Q370" i="13"/>
  <c r="E396" i="13"/>
  <c r="Q396" i="13"/>
  <c r="E482" i="13"/>
  <c r="Q482" i="13"/>
  <c r="I412" i="13"/>
  <c r="U412" i="13"/>
  <c r="E414" i="13"/>
  <c r="Q414" i="13"/>
  <c r="E395" i="13"/>
  <c r="Q395" i="13"/>
  <c r="E449" i="13"/>
  <c r="Q449" i="13"/>
  <c r="E378" i="13"/>
  <c r="Q378" i="13"/>
  <c r="I331" i="13"/>
  <c r="U331" i="13"/>
  <c r="E265" i="13"/>
  <c r="Q265" i="13"/>
  <c r="E380" i="13"/>
  <c r="Q380" i="13"/>
  <c r="E391" i="13"/>
  <c r="Q391" i="13"/>
  <c r="E484" i="13"/>
  <c r="Q484" i="13"/>
  <c r="E272" i="13"/>
  <c r="Q272" i="13"/>
  <c r="E312" i="13"/>
  <c r="Q312" i="13"/>
  <c r="E327" i="13"/>
  <c r="Q327" i="13"/>
  <c r="F421" i="13"/>
  <c r="R421" i="13"/>
  <c r="E456" i="13"/>
  <c r="Q456" i="13"/>
  <c r="F260" i="13"/>
  <c r="R260" i="13"/>
  <c r="E342" i="13"/>
  <c r="Q342" i="13"/>
  <c r="I347" i="13"/>
  <c r="U347" i="13"/>
  <c r="I326" i="13"/>
  <c r="U326" i="13"/>
  <c r="F455" i="13"/>
  <c r="R455" i="13"/>
  <c r="F376" i="13"/>
  <c r="R376" i="13"/>
  <c r="F470" i="13"/>
  <c r="R470" i="13"/>
  <c r="E467" i="13"/>
  <c r="Q467" i="13"/>
  <c r="F357" i="13"/>
  <c r="R357" i="13"/>
  <c r="F334" i="13"/>
  <c r="R334" i="13"/>
  <c r="F319" i="13"/>
  <c r="R319" i="13"/>
  <c r="F479" i="13"/>
  <c r="R479" i="13"/>
  <c r="F482" i="13"/>
  <c r="R482" i="13"/>
  <c r="I423" i="13"/>
  <c r="U423" i="13"/>
  <c r="I348" i="13"/>
  <c r="U348" i="13"/>
  <c r="H303" i="13"/>
  <c r="T303" i="13"/>
  <c r="F339" i="13"/>
  <c r="R339" i="13"/>
  <c r="E357" i="13"/>
  <c r="Q357" i="13"/>
  <c r="H11" i="12"/>
  <c r="R6" i="12" s="1"/>
  <c r="S6" i="12" s="1"/>
  <c r="I125" i="9" s="1"/>
  <c r="M468" i="12"/>
  <c r="V468" i="12" s="1"/>
  <c r="D95" i="8"/>
  <c r="V286" i="13" l="1"/>
  <c r="A286" i="13" s="1"/>
  <c r="E172" i="13"/>
  <c r="J378" i="13"/>
  <c r="J315" i="13"/>
  <c r="V388" i="13"/>
  <c r="A388" i="13" s="1"/>
  <c r="I20" i="13"/>
  <c r="J447" i="13"/>
  <c r="H168" i="13"/>
  <c r="V395" i="13"/>
  <c r="A395" i="13" s="1"/>
  <c r="J464" i="13"/>
  <c r="E42" i="13"/>
  <c r="J286" i="13"/>
  <c r="F204" i="10"/>
  <c r="E144" i="13"/>
  <c r="E27" i="13"/>
  <c r="E108" i="10"/>
  <c r="F207" i="10"/>
  <c r="E103" i="10"/>
  <c r="F205" i="10"/>
  <c r="F209" i="10"/>
  <c r="E106" i="10"/>
  <c r="F202" i="10"/>
  <c r="V487" i="13"/>
  <c r="A487" i="13" s="1"/>
  <c r="E110" i="10"/>
  <c r="F210" i="10"/>
  <c r="V258" i="13"/>
  <c r="A258" i="13" s="1"/>
  <c r="J308" i="13"/>
  <c r="I13" i="13"/>
  <c r="G58" i="13"/>
  <c r="F216" i="13"/>
  <c r="J449" i="13"/>
  <c r="E244" i="13"/>
  <c r="G67" i="13"/>
  <c r="H197" i="13"/>
  <c r="G201" i="13"/>
  <c r="G97" i="13"/>
  <c r="I222" i="13"/>
  <c r="V315" i="13"/>
  <c r="A315" i="13" s="1"/>
  <c r="V365" i="13"/>
  <c r="A365" i="13" s="1"/>
  <c r="I129" i="13"/>
  <c r="I199" i="13"/>
  <c r="I176" i="13"/>
  <c r="E200" i="13"/>
  <c r="E20" i="13"/>
  <c r="E181" i="13"/>
  <c r="E116" i="13"/>
  <c r="I39" i="13"/>
  <c r="E226" i="13"/>
  <c r="H76" i="13"/>
  <c r="G174" i="13"/>
  <c r="G237" i="13"/>
  <c r="G183" i="13"/>
  <c r="I64" i="13"/>
  <c r="H187" i="13"/>
  <c r="G166" i="13"/>
  <c r="G112" i="13"/>
  <c r="G72" i="13"/>
  <c r="G27" i="13"/>
  <c r="E11" i="13"/>
  <c r="H47" i="13"/>
  <c r="G193" i="13"/>
  <c r="G60" i="13"/>
  <c r="G154" i="13"/>
  <c r="F116" i="13"/>
  <c r="J395" i="13"/>
  <c r="V313" i="13"/>
  <c r="A313" i="13" s="1"/>
  <c r="G96" i="13"/>
  <c r="I78" i="13"/>
  <c r="E209" i="13"/>
  <c r="E28" i="13"/>
  <c r="H55" i="13"/>
  <c r="H129" i="13"/>
  <c r="F122" i="13"/>
  <c r="E242" i="13"/>
  <c r="E162" i="13"/>
  <c r="E246" i="13"/>
  <c r="E152" i="13"/>
  <c r="H232" i="13"/>
  <c r="H164" i="13"/>
  <c r="H43" i="13"/>
  <c r="F72" i="13"/>
  <c r="G116" i="13"/>
  <c r="I137" i="13"/>
  <c r="I202" i="13"/>
  <c r="I181" i="13"/>
  <c r="G209" i="13"/>
  <c r="G212" i="13"/>
  <c r="F34" i="13"/>
  <c r="F110" i="13"/>
  <c r="F142" i="13"/>
  <c r="F237" i="13"/>
  <c r="F218" i="13"/>
  <c r="F62" i="13"/>
  <c r="F160" i="13"/>
  <c r="H191" i="13"/>
  <c r="F177" i="13"/>
  <c r="H131" i="13"/>
  <c r="H145" i="13"/>
  <c r="H120" i="13"/>
  <c r="H227" i="13"/>
  <c r="G185" i="13"/>
  <c r="G80" i="13"/>
  <c r="G188" i="13"/>
  <c r="G221" i="13"/>
  <c r="G140" i="13"/>
  <c r="G229" i="13"/>
  <c r="G158" i="13"/>
  <c r="F136" i="13"/>
  <c r="F102" i="13"/>
  <c r="V447" i="13"/>
  <c r="A447" i="13" s="1"/>
  <c r="V402" i="13"/>
  <c r="A402" i="13" s="1"/>
  <c r="I56" i="13"/>
  <c r="I188" i="13"/>
  <c r="I247" i="13"/>
  <c r="H199" i="13"/>
  <c r="H69" i="13"/>
  <c r="H108" i="13"/>
  <c r="H247" i="13"/>
  <c r="H185" i="13"/>
  <c r="H68" i="13"/>
  <c r="H208" i="13"/>
  <c r="H153" i="13"/>
  <c r="H231" i="13"/>
  <c r="H210" i="13"/>
  <c r="G84" i="13"/>
  <c r="G199" i="13"/>
  <c r="G120" i="13"/>
  <c r="G175" i="13"/>
  <c r="G61" i="13"/>
  <c r="G76" i="13"/>
  <c r="G49" i="13"/>
  <c r="G144" i="13"/>
  <c r="G78" i="13"/>
  <c r="G71" i="13"/>
  <c r="G122" i="13"/>
  <c r="G111" i="13"/>
  <c r="G239" i="13"/>
  <c r="G217" i="13"/>
  <c r="F217" i="13"/>
  <c r="F113" i="13"/>
  <c r="F94" i="13"/>
  <c r="F133" i="13"/>
  <c r="F162" i="13"/>
  <c r="F17" i="13"/>
  <c r="H53" i="13"/>
  <c r="H226" i="13"/>
  <c r="H178" i="13"/>
  <c r="H193" i="13"/>
  <c r="H29" i="13"/>
  <c r="G236" i="13"/>
  <c r="G132" i="13"/>
  <c r="G69" i="13"/>
  <c r="G149" i="13"/>
  <c r="G208" i="13"/>
  <c r="G24" i="13"/>
  <c r="G8" i="13"/>
  <c r="G41" i="13"/>
  <c r="G109" i="13"/>
  <c r="J487" i="13"/>
  <c r="I177" i="13"/>
  <c r="I221" i="13"/>
  <c r="I229" i="13"/>
  <c r="I151" i="13"/>
  <c r="I241" i="13"/>
  <c r="H30" i="13"/>
  <c r="H51" i="13"/>
  <c r="H234" i="13"/>
  <c r="H218" i="13"/>
  <c r="H141" i="13"/>
  <c r="H152" i="13"/>
  <c r="H207" i="13"/>
  <c r="H126" i="13"/>
  <c r="H217" i="13"/>
  <c r="H88" i="13"/>
  <c r="G45" i="13"/>
  <c r="G100" i="13"/>
  <c r="G128" i="13"/>
  <c r="G177" i="13"/>
  <c r="G206" i="13"/>
  <c r="G73" i="13"/>
  <c r="G22" i="13"/>
  <c r="G152" i="13"/>
  <c r="G89" i="13"/>
  <c r="G216" i="13"/>
  <c r="G169" i="13"/>
  <c r="G243" i="13"/>
  <c r="G135" i="13"/>
  <c r="G246" i="13"/>
  <c r="F31" i="13"/>
  <c r="F154" i="13"/>
  <c r="F49" i="13"/>
  <c r="F108" i="13"/>
  <c r="I154" i="13"/>
  <c r="E87" i="13"/>
  <c r="E142" i="13"/>
  <c r="I45" i="13"/>
  <c r="I118" i="13"/>
  <c r="E83" i="13"/>
  <c r="F220" i="13"/>
  <c r="I203" i="13"/>
  <c r="I166" i="13"/>
  <c r="E70" i="13"/>
  <c r="J365" i="13"/>
  <c r="I44" i="13"/>
  <c r="I49" i="13"/>
  <c r="I172" i="13"/>
  <c r="I86" i="13"/>
  <c r="I109" i="13"/>
  <c r="I197" i="13"/>
  <c r="I215" i="13"/>
  <c r="I244" i="13"/>
  <c r="I101" i="13"/>
  <c r="I165" i="13"/>
  <c r="I162" i="13"/>
  <c r="I210" i="13"/>
  <c r="I89" i="13"/>
  <c r="H41" i="13"/>
  <c r="G151" i="13"/>
  <c r="F167" i="13"/>
  <c r="I6" i="13"/>
  <c r="I141" i="13"/>
  <c r="I117" i="13"/>
  <c r="I170" i="13"/>
  <c r="I161" i="13"/>
  <c r="I47" i="13"/>
  <c r="I134" i="13"/>
  <c r="I138" i="13"/>
  <c r="I98" i="13"/>
  <c r="I58" i="13"/>
  <c r="I123" i="13"/>
  <c r="I107" i="13"/>
  <c r="I59" i="13"/>
  <c r="I218" i="13"/>
  <c r="I92" i="13"/>
  <c r="F10" i="13"/>
  <c r="I198" i="13"/>
  <c r="I159" i="13"/>
  <c r="I180" i="13"/>
  <c r="I103" i="13"/>
  <c r="I116" i="13"/>
  <c r="I27" i="13"/>
  <c r="I173" i="13"/>
  <c r="I190" i="13"/>
  <c r="I204" i="13"/>
  <c r="I9" i="13"/>
  <c r="I112" i="13"/>
  <c r="I66" i="13"/>
  <c r="I219" i="13"/>
  <c r="I8" i="13"/>
  <c r="I148" i="13"/>
  <c r="I26" i="13"/>
  <c r="H52" i="13"/>
  <c r="G56" i="13"/>
  <c r="G163" i="13"/>
  <c r="G29" i="13"/>
  <c r="F240" i="13"/>
  <c r="F43" i="13"/>
  <c r="E94" i="13"/>
  <c r="H176" i="13"/>
  <c r="H12" i="13"/>
  <c r="G19" i="13"/>
  <c r="G31" i="13"/>
  <c r="V449" i="13"/>
  <c r="A449" i="13" s="1"/>
  <c r="E191" i="13"/>
  <c r="E78" i="13"/>
  <c r="E220" i="13"/>
  <c r="H155" i="13"/>
  <c r="H93" i="13"/>
  <c r="H101" i="13"/>
  <c r="F206" i="13"/>
  <c r="V464" i="13"/>
  <c r="A464" i="13" s="1"/>
  <c r="H72" i="13"/>
  <c r="H20" i="13"/>
  <c r="E208" i="13"/>
  <c r="E173" i="13"/>
  <c r="E108" i="13"/>
  <c r="E215" i="13"/>
  <c r="E126" i="13"/>
  <c r="E106" i="13"/>
  <c r="E170" i="13"/>
  <c r="H172" i="13"/>
  <c r="H70" i="13"/>
  <c r="H169" i="13"/>
  <c r="F109" i="13"/>
  <c r="F48" i="13"/>
  <c r="F64" i="13"/>
  <c r="F79" i="13"/>
  <c r="E32" i="13"/>
  <c r="E112" i="13"/>
  <c r="E102" i="13"/>
  <c r="H64" i="13"/>
  <c r="H125" i="13"/>
  <c r="F71" i="13"/>
  <c r="F234" i="13"/>
  <c r="F119" i="13"/>
  <c r="F182" i="13"/>
  <c r="F115" i="13"/>
  <c r="F52" i="13"/>
  <c r="I228" i="13"/>
  <c r="E66" i="13"/>
  <c r="E169" i="13"/>
  <c r="E103" i="13"/>
  <c r="E44" i="13"/>
  <c r="H25" i="13"/>
  <c r="G98" i="13"/>
  <c r="F151" i="13"/>
  <c r="F168" i="13"/>
  <c r="F77" i="13"/>
  <c r="I133" i="13"/>
  <c r="I192" i="13"/>
  <c r="I186" i="13"/>
  <c r="I25" i="13"/>
  <c r="I31" i="13"/>
  <c r="I7" i="13"/>
  <c r="E193" i="13"/>
  <c r="E223" i="13"/>
  <c r="E130" i="13"/>
  <c r="E47" i="13"/>
  <c r="E166" i="13"/>
  <c r="E33" i="13"/>
  <c r="E74" i="13"/>
  <c r="E183" i="13"/>
  <c r="E207" i="13"/>
  <c r="H122" i="13"/>
  <c r="H14" i="13"/>
  <c r="H222" i="13"/>
  <c r="H200" i="13"/>
  <c r="H137" i="13"/>
  <c r="H148" i="13"/>
  <c r="H62" i="13"/>
  <c r="H195" i="13"/>
  <c r="G103" i="13"/>
  <c r="G28" i="13"/>
  <c r="G15" i="13"/>
  <c r="F207" i="13"/>
  <c r="F204" i="13"/>
  <c r="F53" i="13"/>
  <c r="F84" i="13"/>
  <c r="F158" i="13"/>
  <c r="F208" i="13"/>
  <c r="F230" i="13"/>
  <c r="F66" i="13"/>
  <c r="F13" i="13"/>
  <c r="F215" i="13"/>
  <c r="F75" i="13"/>
  <c r="F121" i="13"/>
  <c r="F83" i="13"/>
  <c r="F90" i="13"/>
  <c r="F21" i="13"/>
  <c r="V403" i="13"/>
  <c r="A403" i="13" s="1"/>
  <c r="I38" i="13"/>
  <c r="I135" i="13"/>
  <c r="I126" i="13"/>
  <c r="I183" i="13"/>
  <c r="I157" i="13"/>
  <c r="I15" i="13"/>
  <c r="I153" i="13"/>
  <c r="I200" i="13"/>
  <c r="I37" i="13"/>
  <c r="I54" i="13"/>
  <c r="E143" i="13"/>
  <c r="E45" i="13"/>
  <c r="E62" i="13"/>
  <c r="E107" i="13"/>
  <c r="E101" i="13"/>
  <c r="E22" i="13"/>
  <c r="H80" i="13"/>
  <c r="H65" i="13"/>
  <c r="H42" i="13"/>
  <c r="H17" i="13"/>
  <c r="H206" i="13"/>
  <c r="H119" i="13"/>
  <c r="H87" i="13"/>
  <c r="G162" i="13"/>
  <c r="G218" i="13"/>
  <c r="F50" i="13"/>
  <c r="F213" i="13"/>
  <c r="F170" i="13"/>
  <c r="F179" i="13"/>
  <c r="F231" i="13"/>
  <c r="F222" i="13"/>
  <c r="F92" i="13"/>
  <c r="F132" i="13"/>
  <c r="F78" i="13"/>
  <c r="F242" i="13"/>
  <c r="F163" i="13"/>
  <c r="F147" i="13"/>
  <c r="F114" i="13"/>
  <c r="F70" i="13"/>
  <c r="J402" i="13"/>
  <c r="I149" i="13"/>
  <c r="I113" i="13"/>
  <c r="I76" i="13"/>
  <c r="I122" i="13"/>
  <c r="I110" i="13"/>
  <c r="I150" i="13"/>
  <c r="I226" i="13"/>
  <c r="I220" i="13"/>
  <c r="E178" i="13"/>
  <c r="E95" i="13"/>
  <c r="E149" i="13"/>
  <c r="E30" i="13"/>
  <c r="E188" i="13"/>
  <c r="E230" i="13"/>
  <c r="E123" i="13"/>
  <c r="H67" i="13"/>
  <c r="H11" i="13"/>
  <c r="H37" i="13"/>
  <c r="H228" i="13"/>
  <c r="H92" i="13"/>
  <c r="H242" i="13"/>
  <c r="H84" i="13"/>
  <c r="H54" i="13"/>
  <c r="H113" i="13"/>
  <c r="H13" i="13"/>
  <c r="G143" i="13"/>
  <c r="F76" i="13"/>
  <c r="F8" i="13"/>
  <c r="F130" i="13"/>
  <c r="F194" i="13"/>
  <c r="F99" i="13"/>
  <c r="F187" i="13"/>
  <c r="F7" i="13"/>
  <c r="F148" i="13"/>
  <c r="F117" i="13"/>
  <c r="F203" i="13"/>
  <c r="F199" i="13"/>
  <c r="F128" i="13"/>
  <c r="F172" i="13"/>
  <c r="F42" i="13"/>
  <c r="F32" i="13"/>
  <c r="J463" i="13"/>
  <c r="J442" i="13"/>
  <c r="E86" i="13"/>
  <c r="E67" i="13"/>
  <c r="E179" i="13"/>
  <c r="E235" i="13"/>
  <c r="E91" i="13"/>
  <c r="E34" i="13"/>
  <c r="E89" i="13"/>
  <c r="E77" i="13"/>
  <c r="E245" i="13"/>
  <c r="E198" i="13"/>
  <c r="E40" i="13"/>
  <c r="E75" i="13"/>
  <c r="E52" i="13"/>
  <c r="E122" i="13"/>
  <c r="E161" i="13"/>
  <c r="E111" i="13"/>
  <c r="G77" i="13"/>
  <c r="G93" i="13"/>
  <c r="G105" i="13"/>
  <c r="F219" i="13"/>
  <c r="F149" i="13"/>
  <c r="F105" i="13"/>
  <c r="F197" i="13"/>
  <c r="E118" i="13"/>
  <c r="E18" i="13"/>
  <c r="E171" i="13"/>
  <c r="E98" i="13"/>
  <c r="E157" i="13"/>
  <c r="E46" i="13"/>
  <c r="E185" i="13"/>
  <c r="E164" i="13"/>
  <c r="E210" i="13"/>
  <c r="E65" i="13"/>
  <c r="E234" i="13"/>
  <c r="H81" i="13"/>
  <c r="G181" i="13"/>
  <c r="G9" i="13"/>
  <c r="G231" i="13"/>
  <c r="G130" i="13"/>
  <c r="G210" i="13"/>
  <c r="F14" i="13"/>
  <c r="F169" i="13"/>
  <c r="F239" i="13"/>
  <c r="F107" i="13"/>
  <c r="V378" i="13"/>
  <c r="A378" i="13" s="1"/>
  <c r="V294" i="13"/>
  <c r="A294" i="13" s="1"/>
  <c r="E68" i="13"/>
  <c r="E228" i="13"/>
  <c r="E218" i="13"/>
  <c r="E227" i="13"/>
  <c r="E138" i="13"/>
  <c r="E97" i="13"/>
  <c r="E243" i="13"/>
  <c r="E21" i="13"/>
  <c r="E39" i="13"/>
  <c r="E71" i="13"/>
  <c r="E48" i="13"/>
  <c r="E182" i="13"/>
  <c r="E239" i="13"/>
  <c r="H156" i="13"/>
  <c r="G52" i="13"/>
  <c r="G213" i="13"/>
  <c r="F176" i="13"/>
  <c r="F37" i="13"/>
  <c r="G99" i="13"/>
  <c r="E31" i="13"/>
  <c r="I207" i="13"/>
  <c r="I227" i="13"/>
  <c r="I12" i="13"/>
  <c r="I174" i="13"/>
  <c r="I225" i="13"/>
  <c r="I185" i="13"/>
  <c r="I40" i="13"/>
  <c r="I43" i="13"/>
  <c r="I208" i="13"/>
  <c r="E72" i="13"/>
  <c r="E146" i="13"/>
  <c r="E186" i="13"/>
  <c r="E53" i="13"/>
  <c r="H212" i="13"/>
  <c r="H174" i="13"/>
  <c r="H134" i="13"/>
  <c r="H202" i="13"/>
  <c r="I242" i="13"/>
  <c r="I152" i="13"/>
  <c r="I178" i="13"/>
  <c r="I60" i="13"/>
  <c r="I68" i="13"/>
  <c r="I114" i="13"/>
  <c r="I142" i="13"/>
  <c r="I168" i="13"/>
  <c r="I11" i="13"/>
  <c r="H216" i="13"/>
  <c r="H85" i="13"/>
  <c r="H188" i="13"/>
  <c r="J403" i="13"/>
  <c r="J388" i="13"/>
  <c r="E160" i="13"/>
  <c r="E15" i="13"/>
  <c r="E174" i="13"/>
  <c r="E139" i="13"/>
  <c r="E194" i="13"/>
  <c r="H36" i="13"/>
  <c r="H86" i="13"/>
  <c r="H221" i="13"/>
  <c r="H198" i="13"/>
  <c r="H74" i="13"/>
  <c r="H50" i="13"/>
  <c r="H28" i="13"/>
  <c r="H179" i="13"/>
  <c r="H246" i="13"/>
  <c r="H189" i="13"/>
  <c r="H96" i="13"/>
  <c r="H165" i="13"/>
  <c r="H106" i="13"/>
  <c r="H160" i="13"/>
  <c r="H230" i="13"/>
  <c r="H38" i="13"/>
  <c r="G232" i="13"/>
  <c r="G30" i="13"/>
  <c r="G203" i="13"/>
  <c r="G115" i="13"/>
  <c r="G57" i="13"/>
  <c r="G189" i="13"/>
  <c r="G235" i="13"/>
  <c r="G164" i="13"/>
  <c r="G20" i="13"/>
  <c r="G53" i="13"/>
  <c r="G13" i="13"/>
  <c r="G79" i="13"/>
  <c r="G184" i="13"/>
  <c r="G14" i="13"/>
  <c r="F15" i="13"/>
  <c r="F226" i="13"/>
  <c r="F35" i="13"/>
  <c r="E69" i="13"/>
  <c r="H100" i="13"/>
  <c r="H241" i="13"/>
  <c r="H128" i="13"/>
  <c r="H16" i="13"/>
  <c r="H83" i="13"/>
  <c r="H163" i="13"/>
  <c r="H135" i="13"/>
  <c r="H105" i="13"/>
  <c r="H27" i="13"/>
  <c r="H59" i="13"/>
  <c r="H136" i="13"/>
  <c r="H114" i="13"/>
  <c r="H130" i="13"/>
  <c r="H15" i="13"/>
  <c r="H117" i="13"/>
  <c r="G70" i="13"/>
  <c r="G170" i="13"/>
  <c r="G35" i="13"/>
  <c r="G137" i="13"/>
  <c r="G16" i="13"/>
  <c r="G21" i="13"/>
  <c r="G220" i="13"/>
  <c r="G155" i="13"/>
  <c r="G141" i="13"/>
  <c r="G230" i="13"/>
  <c r="G62" i="13"/>
  <c r="G242" i="13"/>
  <c r="G222" i="13"/>
  <c r="G226" i="13"/>
  <c r="G187" i="13"/>
  <c r="F134" i="13"/>
  <c r="F12" i="13"/>
  <c r="F19" i="13"/>
  <c r="F26" i="13"/>
  <c r="F41" i="13"/>
  <c r="F124" i="13"/>
  <c r="E109" i="13"/>
  <c r="E238" i="13"/>
  <c r="E217" i="13"/>
  <c r="E132" i="13"/>
  <c r="H123" i="13"/>
  <c r="H33" i="13"/>
  <c r="H112" i="13"/>
  <c r="H103" i="13"/>
  <c r="H110" i="13"/>
  <c r="H143" i="13"/>
  <c r="H107" i="13"/>
  <c r="H46" i="13"/>
  <c r="H154" i="13"/>
  <c r="H102" i="13"/>
  <c r="H192" i="13"/>
  <c r="H19" i="13"/>
  <c r="H140" i="13"/>
  <c r="H56" i="13"/>
  <c r="H133" i="13"/>
  <c r="H190" i="13"/>
  <c r="G244" i="13"/>
  <c r="G118" i="13"/>
  <c r="G146" i="13"/>
  <c r="G223" i="13"/>
  <c r="G12" i="13"/>
  <c r="G147" i="13"/>
  <c r="G168" i="13"/>
  <c r="G91" i="13"/>
  <c r="G48" i="13"/>
  <c r="G240" i="13"/>
  <c r="G225" i="13"/>
  <c r="G205" i="13"/>
  <c r="G204" i="13"/>
  <c r="G87" i="13"/>
  <c r="G134" i="13"/>
  <c r="G92" i="13"/>
  <c r="G37" i="13"/>
  <c r="F236" i="13"/>
  <c r="E61" i="13"/>
  <c r="E43" i="13"/>
  <c r="E12" i="13"/>
  <c r="E175" i="13"/>
  <c r="E237" i="13"/>
  <c r="E221" i="13"/>
  <c r="E137" i="13"/>
  <c r="E6" i="13"/>
  <c r="E55" i="13"/>
  <c r="E14" i="13"/>
  <c r="E120" i="13"/>
  <c r="E225" i="13"/>
  <c r="E124" i="13"/>
  <c r="H31" i="13"/>
  <c r="H161" i="13"/>
  <c r="H23" i="13"/>
  <c r="H194" i="13"/>
  <c r="G186" i="13"/>
  <c r="G148" i="13"/>
  <c r="G44" i="13"/>
  <c r="G157" i="13"/>
  <c r="F60" i="13"/>
  <c r="F205" i="13"/>
  <c r="F74" i="13"/>
  <c r="F235" i="13"/>
  <c r="F85" i="13"/>
  <c r="F189" i="13"/>
  <c r="F201" i="13"/>
  <c r="F118" i="13"/>
  <c r="F174" i="13"/>
  <c r="F67" i="13"/>
  <c r="F46" i="13"/>
  <c r="F40" i="13"/>
  <c r="F184" i="13"/>
  <c r="F145" i="13"/>
  <c r="F45" i="13"/>
  <c r="F188" i="13"/>
  <c r="F101" i="13"/>
  <c r="F164" i="13"/>
  <c r="I19" i="13"/>
  <c r="I104" i="13"/>
  <c r="I193" i="13"/>
  <c r="E140" i="13"/>
  <c r="E63" i="13"/>
  <c r="E125" i="13"/>
  <c r="E177" i="13"/>
  <c r="E9" i="13"/>
  <c r="E23" i="13"/>
  <c r="E84" i="13"/>
  <c r="E241" i="13"/>
  <c r="E201" i="13"/>
  <c r="E80" i="13"/>
  <c r="E51" i="13"/>
  <c r="E57" i="13"/>
  <c r="E8" i="13"/>
  <c r="E29" i="13"/>
  <c r="E60" i="13"/>
  <c r="E205" i="13"/>
  <c r="E100" i="13"/>
  <c r="E5" i="13"/>
  <c r="H177" i="13"/>
  <c r="H73" i="13"/>
  <c r="H61" i="13"/>
  <c r="G6" i="13"/>
  <c r="G63" i="13"/>
  <c r="G101" i="13"/>
  <c r="F157" i="13"/>
  <c r="F161" i="13"/>
  <c r="F56" i="13"/>
  <c r="F68" i="13"/>
  <c r="F171" i="13"/>
  <c r="F88" i="13"/>
  <c r="F61" i="13"/>
  <c r="F20" i="13"/>
  <c r="E190" i="13"/>
  <c r="E129" i="13"/>
  <c r="E204" i="13"/>
  <c r="E49" i="13"/>
  <c r="E90" i="13"/>
  <c r="E119" i="13"/>
  <c r="E224" i="13"/>
  <c r="E128" i="13"/>
  <c r="E167" i="13"/>
  <c r="E231" i="13"/>
  <c r="E79" i="13"/>
  <c r="E117" i="13"/>
  <c r="E19" i="13"/>
  <c r="E247" i="13"/>
  <c r="E104" i="13"/>
  <c r="E158" i="13"/>
  <c r="H10" i="13"/>
  <c r="H203" i="13"/>
  <c r="H45" i="13"/>
  <c r="H233" i="13"/>
  <c r="H159" i="13"/>
  <c r="G125" i="13"/>
  <c r="G85" i="13"/>
  <c r="G82" i="13"/>
  <c r="G11" i="13"/>
  <c r="F210" i="13"/>
  <c r="F241" i="13"/>
  <c r="F82" i="13"/>
  <c r="F126" i="13"/>
  <c r="F153" i="13"/>
  <c r="F11" i="13"/>
  <c r="F144" i="13"/>
  <c r="F86" i="13"/>
  <c r="F223" i="13"/>
  <c r="F173" i="13"/>
  <c r="F138" i="13"/>
  <c r="F146" i="13"/>
  <c r="F191" i="13"/>
  <c r="F27" i="13"/>
  <c r="F104" i="13"/>
  <c r="F89" i="13"/>
  <c r="F190" i="13"/>
  <c r="F120" i="13"/>
  <c r="F209" i="13"/>
  <c r="F23" i="13"/>
  <c r="G88" i="13"/>
  <c r="G74" i="13"/>
  <c r="I243" i="13"/>
  <c r="I235" i="13"/>
  <c r="I23" i="13"/>
  <c r="I96" i="13"/>
  <c r="I18" i="13"/>
  <c r="I121" i="13"/>
  <c r="E147" i="13"/>
  <c r="E58" i="13"/>
  <c r="E155" i="13"/>
  <c r="E197" i="13"/>
  <c r="E56" i="13"/>
  <c r="E219" i="13"/>
  <c r="E233" i="13"/>
  <c r="E96" i="13"/>
  <c r="E141" i="13"/>
  <c r="E59" i="13"/>
  <c r="E17" i="13"/>
  <c r="E38" i="13"/>
  <c r="E187" i="13"/>
  <c r="E211" i="13"/>
  <c r="E13" i="13"/>
  <c r="H215" i="13"/>
  <c r="H171" i="13"/>
  <c r="H66" i="13"/>
  <c r="H104" i="13"/>
  <c r="H235" i="13"/>
  <c r="H149" i="13"/>
  <c r="H186" i="13"/>
  <c r="H183" i="13"/>
  <c r="H146" i="13"/>
  <c r="H95" i="13"/>
  <c r="H77" i="13"/>
  <c r="H182" i="13"/>
  <c r="H94" i="13"/>
  <c r="H49" i="13"/>
  <c r="H22" i="13"/>
  <c r="G233" i="13"/>
  <c r="G114" i="13"/>
  <c r="G23" i="13"/>
  <c r="G40" i="13"/>
  <c r="G68" i="13"/>
  <c r="G81" i="13"/>
  <c r="G133" i="13"/>
  <c r="G75" i="13"/>
  <c r="G123" i="13"/>
  <c r="G160" i="13"/>
  <c r="G64" i="13"/>
  <c r="G172" i="13"/>
  <c r="G136" i="13"/>
  <c r="F227" i="13"/>
  <c r="F229" i="13"/>
  <c r="F112" i="13"/>
  <c r="F123" i="13"/>
  <c r="F228" i="13"/>
  <c r="F24" i="13"/>
  <c r="F185" i="13"/>
  <c r="F166" i="13"/>
  <c r="F28" i="13"/>
  <c r="F87" i="13"/>
  <c r="F36" i="13"/>
  <c r="H205" i="13"/>
  <c r="H124" i="13"/>
  <c r="H63" i="13"/>
  <c r="H157" i="13"/>
  <c r="H127" i="13"/>
  <c r="H245" i="13"/>
  <c r="H48" i="13"/>
  <c r="H151" i="13"/>
  <c r="H132" i="13"/>
  <c r="H32" i="13"/>
  <c r="H35" i="13"/>
  <c r="H82" i="13"/>
  <c r="H118" i="13"/>
  <c r="H170" i="13"/>
  <c r="H223" i="13"/>
  <c r="G7" i="13"/>
  <c r="G211" i="13"/>
  <c r="G42" i="13"/>
  <c r="G156" i="13"/>
  <c r="G107" i="13"/>
  <c r="G194" i="13"/>
  <c r="G207" i="13"/>
  <c r="G179" i="13"/>
  <c r="G47" i="13"/>
  <c r="G46" i="13"/>
  <c r="G178" i="13"/>
  <c r="G32" i="13"/>
  <c r="G90" i="13"/>
  <c r="G145" i="13"/>
  <c r="G241" i="13"/>
  <c r="G117" i="13"/>
  <c r="G228" i="13"/>
  <c r="G227" i="13"/>
  <c r="F200" i="13"/>
  <c r="F22" i="13"/>
  <c r="F30" i="13"/>
  <c r="F65" i="13"/>
  <c r="F140" i="13"/>
  <c r="F198" i="13"/>
  <c r="F57" i="13"/>
  <c r="F150" i="13"/>
  <c r="F73" i="13"/>
  <c r="F135" i="13"/>
  <c r="F243" i="13"/>
  <c r="F6" i="13"/>
  <c r="F54" i="13"/>
  <c r="F96" i="13"/>
  <c r="F196" i="13"/>
  <c r="F5" i="13"/>
  <c r="I160" i="13"/>
  <c r="I158" i="13"/>
  <c r="I81" i="13"/>
  <c r="I163" i="13"/>
  <c r="I128" i="13"/>
  <c r="I195" i="13"/>
  <c r="I124" i="13"/>
  <c r="I217" i="13"/>
  <c r="I182" i="13"/>
  <c r="E93" i="13"/>
  <c r="E35" i="13"/>
  <c r="E176" i="13"/>
  <c r="E195" i="13"/>
  <c r="E25" i="13"/>
  <c r="E229" i="13"/>
  <c r="E82" i="13"/>
  <c r="E88" i="13"/>
  <c r="E41" i="13"/>
  <c r="E85" i="13"/>
  <c r="E127" i="13"/>
  <c r="E133" i="13"/>
  <c r="E240" i="13"/>
  <c r="E232" i="13"/>
  <c r="E196" i="13"/>
  <c r="E105" i="13"/>
  <c r="E110" i="13"/>
  <c r="H181" i="13"/>
  <c r="H244" i="13"/>
  <c r="H7" i="13"/>
  <c r="H78" i="13"/>
  <c r="H8" i="13"/>
  <c r="H213" i="13"/>
  <c r="H173" i="13"/>
  <c r="H238" i="13"/>
  <c r="H180" i="13"/>
  <c r="H18" i="13"/>
  <c r="H97" i="13"/>
  <c r="H219" i="13"/>
  <c r="H71" i="13"/>
  <c r="H224" i="13"/>
  <c r="H167" i="13"/>
  <c r="G124" i="13"/>
  <c r="G50" i="13"/>
  <c r="G202" i="13"/>
  <c r="G108" i="13"/>
  <c r="G182" i="13"/>
  <c r="G65" i="13"/>
  <c r="G102" i="13"/>
  <c r="G176" i="13"/>
  <c r="G153" i="13"/>
  <c r="G215" i="13"/>
  <c r="G110" i="13"/>
  <c r="G173" i="13"/>
  <c r="G238" i="13"/>
  <c r="G39" i="13"/>
  <c r="G106" i="13"/>
  <c r="F29" i="13"/>
  <c r="F156" i="13"/>
  <c r="F212" i="13"/>
  <c r="F244" i="13"/>
  <c r="F103" i="13"/>
  <c r="F25" i="13"/>
  <c r="F186" i="13"/>
  <c r="F195" i="13"/>
  <c r="F202" i="13"/>
  <c r="F106" i="13"/>
  <c r="F246" i="13"/>
  <c r="F211" i="13"/>
  <c r="F165" i="13"/>
  <c r="F131" i="13"/>
  <c r="F247" i="13"/>
  <c r="F159" i="13"/>
  <c r="F221" i="13"/>
  <c r="I132" i="13"/>
  <c r="I88" i="13"/>
  <c r="I139" i="13"/>
  <c r="I46" i="13"/>
  <c r="E99" i="13"/>
  <c r="I245" i="13"/>
  <c r="I231" i="13"/>
  <c r="I144" i="13"/>
  <c r="I87" i="13"/>
  <c r="I41" i="13"/>
  <c r="I223" i="13"/>
  <c r="I57" i="13"/>
  <c r="I55" i="13"/>
  <c r="I169" i="13"/>
  <c r="I127" i="13"/>
  <c r="I69" i="13"/>
  <c r="I29" i="13"/>
  <c r="E222" i="13"/>
  <c r="E203" i="13"/>
  <c r="E192" i="13"/>
  <c r="E148" i="13"/>
  <c r="E50" i="13"/>
  <c r="E113" i="13"/>
  <c r="E163" i="13"/>
  <c r="E159" i="13"/>
  <c r="E16" i="13"/>
  <c r="E236" i="13"/>
  <c r="E199" i="13"/>
  <c r="E213" i="13"/>
  <c r="E212" i="13"/>
  <c r="E206" i="13"/>
  <c r="H138" i="13"/>
  <c r="H201" i="13"/>
  <c r="H9" i="13"/>
  <c r="H209" i="13"/>
  <c r="H57" i="13"/>
  <c r="H39" i="13"/>
  <c r="H34" i="13"/>
  <c r="H236" i="13"/>
  <c r="H229" i="13"/>
  <c r="H89" i="13"/>
  <c r="H211" i="13"/>
  <c r="H99" i="13"/>
  <c r="H240" i="13"/>
  <c r="H60" i="13"/>
  <c r="G104" i="13"/>
  <c r="G17" i="13"/>
  <c r="G180" i="13"/>
  <c r="G219" i="13"/>
  <c r="G200" i="13"/>
  <c r="G66" i="13"/>
  <c r="G34" i="13"/>
  <c r="G36" i="13"/>
  <c r="G86" i="13"/>
  <c r="G245" i="13"/>
  <c r="G138" i="13"/>
  <c r="G26" i="13"/>
  <c r="G127" i="13"/>
  <c r="G38" i="13"/>
  <c r="G95" i="13"/>
  <c r="G247" i="13"/>
  <c r="G54" i="13"/>
  <c r="G55" i="13"/>
  <c r="G119" i="13"/>
  <c r="F91" i="13"/>
  <c r="F233" i="13"/>
  <c r="F55" i="13"/>
  <c r="F137" i="13"/>
  <c r="F59" i="13"/>
  <c r="F225" i="13"/>
  <c r="F224" i="13"/>
  <c r="F183" i="13"/>
  <c r="F44" i="13"/>
  <c r="F214" i="13"/>
  <c r="F232" i="13"/>
  <c r="F155" i="13"/>
  <c r="F95" i="13"/>
  <c r="F141" i="13"/>
  <c r="F16" i="13"/>
  <c r="F38" i="13"/>
  <c r="I237" i="13"/>
  <c r="I146" i="13"/>
  <c r="I48" i="13"/>
  <c r="I120" i="13"/>
  <c r="I28" i="13"/>
  <c r="I22" i="13"/>
  <c r="I32" i="13"/>
  <c r="I125" i="13"/>
  <c r="I167" i="13"/>
  <c r="I206" i="13"/>
  <c r="I201" i="13"/>
  <c r="I34" i="13"/>
  <c r="I239" i="13"/>
  <c r="I115" i="13"/>
  <c r="I191" i="13"/>
  <c r="I171" i="13"/>
  <c r="I5" i="13"/>
  <c r="E81" i="13"/>
  <c r="E36" i="13"/>
  <c r="E37" i="13"/>
  <c r="E136" i="13"/>
  <c r="E134" i="13"/>
  <c r="E151" i="13"/>
  <c r="E216" i="13"/>
  <c r="E189" i="13"/>
  <c r="E153" i="13"/>
  <c r="E24" i="13"/>
  <c r="E180" i="13"/>
  <c r="E135" i="13"/>
  <c r="H142" i="13"/>
  <c r="H225" i="13"/>
  <c r="H150" i="13"/>
  <c r="H214" i="13"/>
  <c r="H158" i="13"/>
  <c r="H184" i="13"/>
  <c r="H91" i="13"/>
  <c r="H26" i="13"/>
  <c r="H6" i="13"/>
  <c r="H166" i="13"/>
  <c r="H237" i="13"/>
  <c r="H44" i="13"/>
  <c r="H58" i="13"/>
  <c r="H24" i="13"/>
  <c r="H5" i="13"/>
  <c r="G165" i="13"/>
  <c r="G25" i="13"/>
  <c r="G129" i="13"/>
  <c r="G224" i="13"/>
  <c r="G171" i="13"/>
  <c r="G190" i="13"/>
  <c r="G196" i="13"/>
  <c r="G191" i="13"/>
  <c r="G161" i="13"/>
  <c r="G113" i="13"/>
  <c r="G83" i="13"/>
  <c r="G192" i="13"/>
  <c r="G195" i="13"/>
  <c r="G159" i="13"/>
  <c r="G51" i="13"/>
  <c r="G142" i="13"/>
  <c r="G167" i="13"/>
  <c r="G43" i="13"/>
  <c r="G59" i="13"/>
  <c r="G150" i="13"/>
  <c r="F245" i="13"/>
  <c r="F181" i="13"/>
  <c r="F63" i="13"/>
  <c r="F193" i="13"/>
  <c r="F238" i="13"/>
  <c r="F51" i="13"/>
  <c r="F180" i="13"/>
  <c r="F143" i="13"/>
  <c r="F80" i="13"/>
  <c r="F9" i="13"/>
  <c r="F127" i="13"/>
  <c r="F18" i="13"/>
  <c r="I70" i="13"/>
  <c r="I72" i="13"/>
  <c r="I10" i="13"/>
  <c r="I91" i="13"/>
  <c r="I140" i="13"/>
  <c r="I105" i="13"/>
  <c r="I136" i="13"/>
  <c r="I236" i="13"/>
  <c r="I119" i="13"/>
  <c r="I21" i="13"/>
  <c r="I232" i="13"/>
  <c r="I75" i="13"/>
  <c r="I131" i="13"/>
  <c r="I106" i="13"/>
  <c r="E76" i="13"/>
  <c r="E154" i="13"/>
  <c r="E26" i="13"/>
  <c r="E214" i="13"/>
  <c r="E54" i="13"/>
  <c r="E10" i="13"/>
  <c r="E131" i="13"/>
  <c r="E92" i="13"/>
  <c r="E156" i="13"/>
  <c r="E150" i="13"/>
  <c r="E168" i="13"/>
  <c r="E202" i="13"/>
  <c r="E145" i="13"/>
  <c r="E121" i="13"/>
  <c r="H75" i="13"/>
  <c r="H147" i="13"/>
  <c r="H111" i="13"/>
  <c r="H175" i="13"/>
  <c r="H162" i="13"/>
  <c r="H144" i="13"/>
  <c r="H204" i="13"/>
  <c r="H98" i="13"/>
  <c r="H116" i="13"/>
  <c r="H21" i="13"/>
  <c r="H115" i="13"/>
  <c r="H90" i="13"/>
  <c r="H109" i="13"/>
  <c r="H239" i="13"/>
  <c r="H243" i="13"/>
  <c r="H139" i="13"/>
  <c r="G126" i="13"/>
  <c r="G214" i="13"/>
  <c r="G234" i="13"/>
  <c r="G139" i="13"/>
  <c r="G197" i="13"/>
  <c r="G33" i="13"/>
  <c r="G121" i="13"/>
  <c r="G131" i="13"/>
  <c r="G18" i="13"/>
  <c r="F58" i="13"/>
  <c r="F81" i="13"/>
  <c r="F39" i="13"/>
  <c r="F139" i="13"/>
  <c r="F93" i="13"/>
  <c r="F100" i="13"/>
  <c r="F192" i="13"/>
  <c r="F111" i="13"/>
  <c r="F98" i="13"/>
  <c r="F175" i="13"/>
  <c r="F69" i="13"/>
  <c r="F178" i="13"/>
  <c r="F125" i="13"/>
  <c r="F97" i="13"/>
  <c r="F152" i="13"/>
  <c r="F47" i="13"/>
  <c r="I93" i="13"/>
  <c r="I80" i="13"/>
  <c r="I187" i="13"/>
  <c r="I233" i="13"/>
  <c r="I85" i="13"/>
  <c r="I73" i="13"/>
  <c r="I212" i="13"/>
  <c r="I79" i="13"/>
  <c r="I164" i="13"/>
  <c r="I214" i="13"/>
  <c r="I82" i="13"/>
  <c r="I155" i="13"/>
  <c r="I213" i="13"/>
  <c r="I211" i="13"/>
  <c r="I42" i="13"/>
  <c r="I67" i="13"/>
  <c r="I94" i="13"/>
  <c r="I196" i="13"/>
  <c r="I99" i="13"/>
  <c r="I143" i="13"/>
  <c r="I33" i="13"/>
  <c r="I52" i="13"/>
  <c r="I51" i="13"/>
  <c r="I179" i="13"/>
  <c r="I24" i="13"/>
  <c r="I17" i="13"/>
  <c r="I246" i="13"/>
  <c r="E73" i="13"/>
  <c r="E7" i="13"/>
  <c r="E114" i="13"/>
  <c r="E115" i="13"/>
  <c r="E184" i="13"/>
  <c r="E165" i="13"/>
  <c r="V105" i="13"/>
  <c r="A105" i="13" s="1"/>
  <c r="V133" i="13"/>
  <c r="A133" i="13" s="1"/>
  <c r="V45" i="13"/>
  <c r="A45" i="13" s="1"/>
  <c r="V197" i="13"/>
  <c r="A197" i="13" s="1"/>
  <c r="V193" i="13"/>
  <c r="A193" i="13" s="1"/>
  <c r="V88" i="13"/>
  <c r="A88" i="13" s="1"/>
  <c r="V223" i="13"/>
  <c r="A223" i="13" s="1"/>
  <c r="V56" i="13"/>
  <c r="A56" i="13" s="1"/>
  <c r="V107" i="13"/>
  <c r="A107" i="13" s="1"/>
  <c r="V58" i="13"/>
  <c r="A58" i="13" s="1"/>
  <c r="V229" i="13"/>
  <c r="A229" i="13" s="1"/>
  <c r="V130" i="13"/>
  <c r="A130" i="13" s="1"/>
  <c r="V187" i="13"/>
  <c r="A187" i="13" s="1"/>
  <c r="V38" i="13"/>
  <c r="A38" i="13" s="1"/>
  <c r="V183" i="13"/>
  <c r="A183" i="13" s="1"/>
  <c r="V196" i="13"/>
  <c r="A196" i="13" s="1"/>
  <c r="V83" i="13"/>
  <c r="A83" i="13" s="1"/>
  <c r="V155" i="13"/>
  <c r="A155" i="13" s="1"/>
  <c r="V230" i="13"/>
  <c r="A230" i="13" s="1"/>
  <c r="V195" i="13"/>
  <c r="A195" i="13" s="1"/>
  <c r="V30" i="13"/>
  <c r="A30" i="13" s="1"/>
  <c r="V70" i="13"/>
  <c r="A70" i="13" s="1"/>
  <c r="V35" i="13"/>
  <c r="A35" i="13" s="1"/>
  <c r="V143" i="13"/>
  <c r="A143" i="13" s="1"/>
  <c r="V116" i="13"/>
  <c r="A116" i="13" s="1"/>
  <c r="V141" i="13"/>
  <c r="A141" i="13" s="1"/>
  <c r="V62" i="13"/>
  <c r="A62" i="13" s="1"/>
  <c r="V127" i="13"/>
  <c r="A127" i="13" s="1"/>
  <c r="V181" i="13"/>
  <c r="A181" i="13" s="1"/>
  <c r="V27" i="13"/>
  <c r="A27" i="13" s="1"/>
  <c r="V13" i="13"/>
  <c r="A13" i="13" s="1"/>
  <c r="V207" i="13"/>
  <c r="A207" i="13" s="1"/>
  <c r="V110" i="13"/>
  <c r="A110" i="13" s="1"/>
  <c r="V123" i="13"/>
  <c r="A123" i="13" s="1"/>
  <c r="V211" i="13"/>
  <c r="A211" i="13" s="1"/>
  <c r="V41" i="13"/>
  <c r="A41" i="13" s="1"/>
  <c r="V87" i="13"/>
  <c r="A87" i="13" s="1"/>
  <c r="V219" i="13"/>
  <c r="A219" i="13" s="1"/>
  <c r="V59" i="13"/>
  <c r="A59" i="13" s="1"/>
  <c r="V33" i="13"/>
  <c r="A33" i="13" s="1"/>
  <c r="V25" i="13"/>
  <c r="A25" i="13" s="1"/>
  <c r="V22" i="13"/>
  <c r="A22" i="13" s="1"/>
  <c r="V82" i="13"/>
  <c r="A82" i="13" s="1"/>
  <c r="V47" i="13"/>
  <c r="A47" i="13" s="1"/>
  <c r="V147" i="13"/>
  <c r="A147" i="13" s="1"/>
  <c r="V178" i="13"/>
  <c r="A178" i="13" s="1"/>
  <c r="V95" i="13"/>
  <c r="A95" i="13" s="1"/>
  <c r="V176" i="13"/>
  <c r="A176" i="13" s="1"/>
  <c r="V149" i="13"/>
  <c r="A149" i="13" s="1"/>
  <c r="V93" i="13"/>
  <c r="A93" i="13" s="1"/>
  <c r="V96" i="13"/>
  <c r="A96" i="13" s="1"/>
  <c r="V166" i="13"/>
  <c r="A166" i="13" s="1"/>
  <c r="V85" i="13"/>
  <c r="A85" i="13" s="1"/>
  <c r="V188" i="13"/>
  <c r="A188" i="13" s="1"/>
  <c r="V233" i="13"/>
  <c r="A233" i="13" s="1"/>
  <c r="V232" i="13"/>
  <c r="A232" i="13" s="1"/>
  <c r="V101" i="13"/>
  <c r="A101" i="13" s="1"/>
  <c r="V17" i="13"/>
  <c r="A17" i="13" s="1"/>
  <c r="V142" i="13"/>
  <c r="A142" i="13" s="1"/>
  <c r="V240" i="13"/>
  <c r="A240" i="13" s="1"/>
  <c r="V74" i="13"/>
  <c r="A74" i="13" s="1"/>
  <c r="H121" i="13"/>
  <c r="H196" i="13"/>
  <c r="H220" i="13"/>
  <c r="H40" i="13"/>
  <c r="H79" i="13"/>
  <c r="G94" i="13"/>
  <c r="G198" i="13"/>
  <c r="G10" i="13"/>
  <c r="G5" i="13"/>
  <c r="V89" i="13"/>
  <c r="A89" i="13" s="1"/>
  <c r="V18" i="13"/>
  <c r="A18" i="13" s="1"/>
  <c r="V215" i="13"/>
  <c r="A215" i="13" s="1"/>
  <c r="V94" i="13"/>
  <c r="A94" i="13" s="1"/>
  <c r="V184" i="13"/>
  <c r="A184" i="13" s="1"/>
  <c r="V239" i="13"/>
  <c r="A239" i="13" s="1"/>
  <c r="V34" i="13"/>
  <c r="A34" i="13" s="1"/>
  <c r="V46" i="13"/>
  <c r="A46" i="13" s="1"/>
  <c r="V86" i="13"/>
  <c r="A86" i="13" s="1"/>
  <c r="V64" i="13"/>
  <c r="A64" i="13" s="1"/>
  <c r="V44" i="13"/>
  <c r="A44" i="13" s="1"/>
  <c r="V210" i="13"/>
  <c r="A210" i="13" s="1"/>
  <c r="V106" i="13"/>
  <c r="A106" i="13" s="1"/>
  <c r="V78" i="13"/>
  <c r="A78" i="13" s="1"/>
  <c r="V161" i="13"/>
  <c r="A161" i="13" s="1"/>
  <c r="V71" i="13"/>
  <c r="A71" i="13" s="1"/>
  <c r="V234" i="13"/>
  <c r="A234" i="13" s="1"/>
  <c r="V220" i="13"/>
  <c r="A220" i="13" s="1"/>
  <c r="V126" i="13"/>
  <c r="A126" i="13" s="1"/>
  <c r="V91" i="13"/>
  <c r="A91" i="13" s="1"/>
  <c r="V218" i="13"/>
  <c r="A218" i="13" s="1"/>
  <c r="V179" i="13"/>
  <c r="A179" i="13" s="1"/>
  <c r="V208" i="13"/>
  <c r="A208" i="13" s="1"/>
  <c r="V235" i="13"/>
  <c r="A235" i="13" s="1"/>
  <c r="V108" i="13"/>
  <c r="A108" i="13" s="1"/>
  <c r="V40" i="13"/>
  <c r="A40" i="13" s="1"/>
  <c r="V243" i="13"/>
  <c r="A243" i="13" s="1"/>
  <c r="V157" i="13"/>
  <c r="A157" i="13" s="1"/>
  <c r="V42" i="13"/>
  <c r="A42" i="13" s="1"/>
  <c r="V170" i="13"/>
  <c r="A170" i="13" s="1"/>
  <c r="V111" i="13"/>
  <c r="A111" i="13" s="1"/>
  <c r="V48" i="13"/>
  <c r="A48" i="13" s="1"/>
  <c r="V65" i="13"/>
  <c r="A65" i="13" s="1"/>
  <c r="V103" i="13"/>
  <c r="A103" i="13" s="1"/>
  <c r="V171" i="13"/>
  <c r="A171" i="13" s="1"/>
  <c r="V191" i="13"/>
  <c r="A191" i="13" s="1"/>
  <c r="V77" i="13"/>
  <c r="A77" i="13" s="1"/>
  <c r="V138" i="13"/>
  <c r="A138" i="13" s="1"/>
  <c r="V75" i="13"/>
  <c r="A75" i="13" s="1"/>
  <c r="V21" i="13"/>
  <c r="A21" i="13" s="1"/>
  <c r="V182" i="13"/>
  <c r="A182" i="13" s="1"/>
  <c r="V164" i="13"/>
  <c r="A164" i="13" s="1"/>
  <c r="V118" i="13"/>
  <c r="A118" i="13" s="1"/>
  <c r="V32" i="13"/>
  <c r="A32" i="13" s="1"/>
  <c r="V227" i="13"/>
  <c r="A227" i="13" s="1"/>
  <c r="V228" i="13"/>
  <c r="A228" i="13" s="1"/>
  <c r="V67" i="13"/>
  <c r="A67" i="13" s="1"/>
  <c r="V68" i="13"/>
  <c r="A68" i="13" s="1"/>
  <c r="V173" i="13"/>
  <c r="A173" i="13" s="1"/>
  <c r="V66" i="13"/>
  <c r="A66" i="13" s="1"/>
  <c r="V198" i="13"/>
  <c r="A198" i="13" s="1"/>
  <c r="V97" i="13"/>
  <c r="A97" i="13" s="1"/>
  <c r="V98" i="13"/>
  <c r="A98" i="13" s="1"/>
  <c r="V112" i="13"/>
  <c r="A112" i="13" s="1"/>
  <c r="V245" i="13"/>
  <c r="A245" i="13" s="1"/>
  <c r="V169" i="13"/>
  <c r="A169" i="13" s="1"/>
  <c r="V122" i="13"/>
  <c r="A122" i="13" s="1"/>
  <c r="V39" i="13"/>
  <c r="A39" i="13" s="1"/>
  <c r="V185" i="13"/>
  <c r="A185" i="13" s="1"/>
  <c r="V102" i="13"/>
  <c r="A102" i="13" s="1"/>
  <c r="V52" i="13"/>
  <c r="A52" i="13" s="1"/>
  <c r="I83" i="13"/>
  <c r="I234" i="13"/>
  <c r="I230" i="13"/>
  <c r="I16" i="13"/>
  <c r="I84" i="13"/>
  <c r="I71" i="13"/>
  <c r="I108" i="13"/>
  <c r="I156" i="13"/>
  <c r="I95" i="13"/>
  <c r="I224" i="13"/>
  <c r="I50" i="13"/>
  <c r="I63" i="13"/>
  <c r="I130" i="13"/>
  <c r="I189" i="13"/>
  <c r="I209" i="13"/>
  <c r="V186" i="13"/>
  <c r="A186" i="13" s="1"/>
  <c r="V99" i="13"/>
  <c r="A99" i="13" s="1"/>
  <c r="V199" i="13"/>
  <c r="A199" i="13" s="1"/>
  <c r="V214" i="13"/>
  <c r="A214" i="13" s="1"/>
  <c r="V150" i="13"/>
  <c r="A150" i="13" s="1"/>
  <c r="V115" i="13"/>
  <c r="A115" i="13" s="1"/>
  <c r="V31" i="13"/>
  <c r="A31" i="13" s="1"/>
  <c r="V134" i="13"/>
  <c r="A134" i="13" s="1"/>
  <c r="V76" i="13"/>
  <c r="A76" i="13" s="1"/>
  <c r="V114" i="13"/>
  <c r="A114" i="13" s="1"/>
  <c r="V168" i="13"/>
  <c r="A168" i="13" s="1"/>
  <c r="V73" i="13"/>
  <c r="A73" i="13" s="1"/>
  <c r="V163" i="13"/>
  <c r="A163" i="13" s="1"/>
  <c r="V131" i="13"/>
  <c r="A131" i="13" s="1"/>
  <c r="V216" i="13"/>
  <c r="A216" i="13" s="1"/>
  <c r="V174" i="13"/>
  <c r="A174" i="13" s="1"/>
  <c r="V7" i="13"/>
  <c r="A7" i="13" s="1"/>
  <c r="V16" i="13"/>
  <c r="A16" i="13" s="1"/>
  <c r="V92" i="13"/>
  <c r="A92" i="13" s="1"/>
  <c r="V37" i="13"/>
  <c r="A37" i="13" s="1"/>
  <c r="V222" i="13"/>
  <c r="A222" i="13" s="1"/>
  <c r="V154" i="13"/>
  <c r="A154" i="13" s="1"/>
  <c r="V160" i="13"/>
  <c r="A160" i="13" s="1"/>
  <c r="V26" i="13"/>
  <c r="A26" i="13" s="1"/>
  <c r="V109" i="13"/>
  <c r="A109" i="13" s="1"/>
  <c r="V165" i="13"/>
  <c r="A165" i="13" s="1"/>
  <c r="V121" i="13"/>
  <c r="A121" i="13" s="1"/>
  <c r="V135" i="13"/>
  <c r="A135" i="13" s="1"/>
  <c r="V172" i="13"/>
  <c r="A172" i="13" s="1"/>
  <c r="V217" i="13"/>
  <c r="A217" i="13" s="1"/>
  <c r="V236" i="13"/>
  <c r="A236" i="13" s="1"/>
  <c r="V156" i="13"/>
  <c r="A156" i="13" s="1"/>
  <c r="V189" i="13"/>
  <c r="A189" i="13" s="1"/>
  <c r="V69" i="13"/>
  <c r="A69" i="13" s="1"/>
  <c r="V24" i="13"/>
  <c r="A24" i="13" s="1"/>
  <c r="V139" i="13"/>
  <c r="A139" i="13" s="1"/>
  <c r="V213" i="13"/>
  <c r="A213" i="13" s="1"/>
  <c r="V202" i="13"/>
  <c r="A202" i="13" s="1"/>
  <c r="V50" i="13"/>
  <c r="A50" i="13" s="1"/>
  <c r="V54" i="13"/>
  <c r="A54" i="13" s="1"/>
  <c r="V159" i="13"/>
  <c r="A159" i="13" s="1"/>
  <c r="V148" i="13"/>
  <c r="A148" i="13" s="1"/>
  <c r="V153" i="13"/>
  <c r="A153" i="13" s="1"/>
  <c r="V192" i="13"/>
  <c r="A192" i="13" s="1"/>
  <c r="V203" i="13"/>
  <c r="A203" i="13" s="1"/>
  <c r="V36" i="13"/>
  <c r="A36" i="13" s="1"/>
  <c r="V81" i="13"/>
  <c r="A81" i="13" s="1"/>
  <c r="V238" i="13"/>
  <c r="A238" i="13" s="1"/>
  <c r="V136" i="13"/>
  <c r="A136" i="13" s="1"/>
  <c r="V194" i="13"/>
  <c r="A194" i="13" s="1"/>
  <c r="V206" i="13"/>
  <c r="A206" i="13" s="1"/>
  <c r="V145" i="13"/>
  <c r="A145" i="13" s="1"/>
  <c r="V180" i="13"/>
  <c r="A180" i="13" s="1"/>
  <c r="V132" i="13"/>
  <c r="A132" i="13" s="1"/>
  <c r="V212" i="13"/>
  <c r="A212" i="13" s="1"/>
  <c r="V146" i="13"/>
  <c r="A146" i="13" s="1"/>
  <c r="V113" i="13"/>
  <c r="A113" i="13" s="1"/>
  <c r="V10" i="13"/>
  <c r="A10" i="13" s="1"/>
  <c r="V151" i="13"/>
  <c r="A151" i="13" s="1"/>
  <c r="V15" i="13"/>
  <c r="A15" i="13" s="1"/>
  <c r="F129" i="13"/>
  <c r="F33" i="13"/>
  <c r="I61" i="13"/>
  <c r="I77" i="13"/>
  <c r="I240" i="13"/>
  <c r="I175" i="13"/>
  <c r="I205" i="13"/>
  <c r="I30" i="13"/>
  <c r="I14" i="13"/>
  <c r="I100" i="13"/>
  <c r="I111" i="13"/>
  <c r="I238" i="13"/>
  <c r="I36" i="13"/>
  <c r="I102" i="13"/>
  <c r="I90" i="13"/>
  <c r="I53" i="13"/>
  <c r="I145" i="13"/>
  <c r="I184" i="13"/>
  <c r="I194" i="13"/>
  <c r="I65" i="13"/>
  <c r="I35" i="13"/>
  <c r="I147" i="13"/>
  <c r="I97" i="13"/>
  <c r="I62" i="13"/>
  <c r="I216" i="13"/>
  <c r="I74" i="13"/>
  <c r="E64" i="13"/>
  <c r="V177" i="13"/>
  <c r="A177" i="13" s="1"/>
  <c r="V190" i="13"/>
  <c r="A190" i="13" s="1"/>
  <c r="V9" i="13"/>
  <c r="A9" i="13" s="1"/>
  <c r="V167" i="13"/>
  <c r="A167" i="13" s="1"/>
  <c r="V72" i="13"/>
  <c r="A72" i="13" s="1"/>
  <c r="V137" i="13"/>
  <c r="A137" i="13" s="1"/>
  <c r="V120" i="13"/>
  <c r="A120" i="13" s="1"/>
  <c r="V226" i="13"/>
  <c r="A226" i="13" s="1"/>
  <c r="V51" i="13"/>
  <c r="A51" i="13" s="1"/>
  <c r="V125" i="13"/>
  <c r="A125" i="13" s="1"/>
  <c r="V224" i="13"/>
  <c r="A224" i="13" s="1"/>
  <c r="V201" i="13"/>
  <c r="A201" i="13" s="1"/>
  <c r="V49" i="13"/>
  <c r="A49" i="13" s="1"/>
  <c r="V100" i="13"/>
  <c r="A100" i="13" s="1"/>
  <c r="V53" i="13"/>
  <c r="A53" i="13" s="1"/>
  <c r="V124" i="13"/>
  <c r="A124" i="13" s="1"/>
  <c r="V119" i="13"/>
  <c r="A119" i="13" s="1"/>
  <c r="V241" i="13"/>
  <c r="A241" i="13" s="1"/>
  <c r="V237" i="13"/>
  <c r="A237" i="13" s="1"/>
  <c r="V12" i="13"/>
  <c r="A12" i="13" s="1"/>
  <c r="V61" i="13"/>
  <c r="A61" i="13" s="1"/>
  <c r="V129" i="13"/>
  <c r="A129" i="13" s="1"/>
  <c r="V200" i="13"/>
  <c r="A200" i="13" s="1"/>
  <c r="V63" i="13"/>
  <c r="A63" i="13" s="1"/>
  <c r="V20" i="13"/>
  <c r="A20" i="13" s="1"/>
  <c r="V19" i="13"/>
  <c r="A19" i="13" s="1"/>
  <c r="V29" i="13"/>
  <c r="A29" i="13" s="1"/>
  <c r="V152" i="13"/>
  <c r="A152" i="13" s="1"/>
  <c r="V55" i="13"/>
  <c r="A55" i="13" s="1"/>
  <c r="V158" i="13"/>
  <c r="A158" i="13" s="1"/>
  <c r="V84" i="13"/>
  <c r="A84" i="13" s="1"/>
  <c r="V209" i="13"/>
  <c r="A209" i="13" s="1"/>
  <c r="V221" i="13"/>
  <c r="A221" i="13" s="1"/>
  <c r="V90" i="13"/>
  <c r="A90" i="13" s="1"/>
  <c r="V23" i="13"/>
  <c r="A23" i="13" s="1"/>
  <c r="V231" i="13"/>
  <c r="A231" i="13" s="1"/>
  <c r="V57" i="13"/>
  <c r="A57" i="13" s="1"/>
  <c r="V28" i="13"/>
  <c r="A28" i="13" s="1"/>
  <c r="V14" i="13"/>
  <c r="A14" i="13" s="1"/>
  <c r="V247" i="13"/>
  <c r="A247" i="13" s="1"/>
  <c r="V246" i="13"/>
  <c r="A246" i="13" s="1"/>
  <c r="V204" i="13"/>
  <c r="A204" i="13" s="1"/>
  <c r="V128" i="13"/>
  <c r="A128" i="13" s="1"/>
  <c r="V80" i="13"/>
  <c r="A80" i="13" s="1"/>
  <c r="V11" i="13"/>
  <c r="A11" i="13" s="1"/>
  <c r="V43" i="13"/>
  <c r="A43" i="13" s="1"/>
  <c r="V140" i="13"/>
  <c r="A140" i="13" s="1"/>
  <c r="V175" i="13"/>
  <c r="A175" i="13" s="1"/>
  <c r="V242" i="13"/>
  <c r="A242" i="13" s="1"/>
  <c r="V162" i="13"/>
  <c r="A162" i="13" s="1"/>
  <c r="V117" i="13"/>
  <c r="A117" i="13" s="1"/>
  <c r="V8" i="13"/>
  <c r="A8" i="13" s="1"/>
  <c r="V244" i="13"/>
  <c r="A244" i="13" s="1"/>
  <c r="V6" i="13"/>
  <c r="A6" i="13" s="1"/>
  <c r="V79" i="13"/>
  <c r="A79" i="13" s="1"/>
  <c r="V5" i="13"/>
  <c r="A5" i="13" s="1"/>
  <c r="V205" i="13"/>
  <c r="A205" i="13" s="1"/>
  <c r="V144" i="13"/>
  <c r="A144" i="13" s="1"/>
  <c r="V225" i="13"/>
  <c r="A225" i="13" s="1"/>
  <c r="V104" i="13"/>
  <c r="A104" i="13" s="1"/>
  <c r="V60" i="13"/>
  <c r="A60" i="13" s="1"/>
  <c r="J270" i="13"/>
  <c r="J283" i="13"/>
  <c r="J297" i="13"/>
  <c r="J389" i="13"/>
  <c r="J456" i="13"/>
  <c r="J327" i="13"/>
  <c r="J391" i="13"/>
  <c r="J492" i="13"/>
  <c r="J398" i="13"/>
  <c r="V373" i="13"/>
  <c r="A373" i="13" s="1"/>
  <c r="J471" i="13"/>
  <c r="J381" i="13"/>
  <c r="J462" i="13"/>
  <c r="J263" i="13"/>
  <c r="J489" i="13"/>
  <c r="J379" i="13"/>
  <c r="J472" i="13"/>
  <c r="J454" i="13"/>
  <c r="J288" i="13"/>
  <c r="J432" i="13"/>
  <c r="J277" i="13"/>
  <c r="J291" i="13"/>
  <c r="J311" i="13"/>
  <c r="J400" i="13"/>
  <c r="J310" i="13"/>
  <c r="J271" i="13"/>
  <c r="J439" i="13"/>
  <c r="J357" i="13"/>
  <c r="J265" i="13"/>
  <c r="J396" i="13"/>
  <c r="J461" i="13"/>
  <c r="J465" i="13"/>
  <c r="J373" i="13"/>
  <c r="J272" i="13"/>
  <c r="J483" i="13"/>
  <c r="J289" i="13"/>
  <c r="J281" i="13"/>
  <c r="J299" i="13"/>
  <c r="J469" i="13"/>
  <c r="J274" i="13"/>
  <c r="J323" i="13"/>
  <c r="J305" i="13"/>
  <c r="V396" i="13"/>
  <c r="A396" i="13" s="1"/>
  <c r="V459" i="13"/>
  <c r="A459" i="13" s="1"/>
  <c r="J374" i="13"/>
  <c r="J278" i="13"/>
  <c r="J392" i="13"/>
  <c r="J441" i="13"/>
  <c r="J477" i="13"/>
  <c r="J257" i="13"/>
  <c r="J372" i="13"/>
  <c r="J473" i="13"/>
  <c r="J328" i="13"/>
  <c r="J410" i="13"/>
  <c r="J386" i="13"/>
  <c r="J424" i="13"/>
  <c r="J256" i="13"/>
  <c r="J267" i="13"/>
  <c r="J353" i="13"/>
  <c r="J346" i="13"/>
  <c r="J411" i="13"/>
  <c r="J377" i="13"/>
  <c r="J478" i="13"/>
  <c r="J407" i="13"/>
  <c r="J416" i="13"/>
  <c r="J356" i="13"/>
  <c r="J453" i="13"/>
  <c r="J451" i="13"/>
  <c r="J436" i="13"/>
  <c r="J422" i="13"/>
  <c r="J340" i="13"/>
  <c r="J332" i="13"/>
  <c r="J390" i="13"/>
  <c r="J458" i="13"/>
  <c r="J335" i="13"/>
  <c r="J355" i="13"/>
  <c r="J481" i="13"/>
  <c r="J264" i="13"/>
  <c r="J369" i="13"/>
  <c r="J331" i="13"/>
  <c r="J336" i="13"/>
  <c r="J304" i="13"/>
  <c r="J397" i="13"/>
  <c r="J316" i="13"/>
  <c r="J259" i="13"/>
  <c r="J430" i="13"/>
  <c r="J404" i="13"/>
  <c r="J371" i="13"/>
  <c r="J254" i="13"/>
  <c r="J408" i="13"/>
  <c r="J279" i="13"/>
  <c r="J367" i="13"/>
  <c r="J320" i="13"/>
  <c r="J426" i="13"/>
  <c r="J262" i="13"/>
  <c r="J318" i="13"/>
  <c r="J366" i="13"/>
  <c r="J375" i="13"/>
  <c r="J261" i="13"/>
  <c r="J354" i="13"/>
  <c r="J307" i="13"/>
  <c r="V467" i="13"/>
  <c r="A467" i="13" s="1"/>
  <c r="V342" i="13"/>
  <c r="A342" i="13" s="1"/>
  <c r="V272" i="13"/>
  <c r="A272" i="13" s="1"/>
  <c r="J306" i="13"/>
  <c r="J415" i="13"/>
  <c r="J409" i="13"/>
  <c r="J394" i="13"/>
  <c r="J282" i="13"/>
  <c r="J427" i="13"/>
  <c r="J417" i="13"/>
  <c r="J321" i="13"/>
  <c r="J341" i="13"/>
  <c r="J387" i="13"/>
  <c r="J337" i="13"/>
  <c r="J448" i="13"/>
  <c r="J295" i="13"/>
  <c r="J253" i="13"/>
  <c r="J437" i="13"/>
  <c r="J428" i="13"/>
  <c r="J460" i="13"/>
  <c r="J280" i="13"/>
  <c r="J293" i="13"/>
  <c r="J429" i="13"/>
  <c r="J495" i="13"/>
  <c r="J275" i="13"/>
  <c r="J266" i="13"/>
  <c r="J399" i="13"/>
  <c r="J401" i="13"/>
  <c r="J285" i="13"/>
  <c r="J309" i="13"/>
  <c r="J418" i="13"/>
  <c r="J438" i="13"/>
  <c r="J480" i="13"/>
  <c r="J330" i="13"/>
  <c r="J413" i="13"/>
  <c r="J345" i="13"/>
  <c r="J290" i="13"/>
  <c r="J482" i="13"/>
  <c r="J334" i="13"/>
  <c r="J376" i="13"/>
  <c r="J474" i="13"/>
  <c r="J348" i="13"/>
  <c r="J342" i="13"/>
  <c r="J494" i="13"/>
  <c r="J414" i="13"/>
  <c r="J484" i="13"/>
  <c r="J486" i="13"/>
  <c r="J324" i="13"/>
  <c r="J339" i="13"/>
  <c r="J358" i="13"/>
  <c r="V389" i="13"/>
  <c r="A389" i="13" s="1"/>
  <c r="V357" i="13"/>
  <c r="A357" i="13" s="1"/>
  <c r="V456" i="13"/>
  <c r="A456" i="13" s="1"/>
  <c r="V327" i="13"/>
  <c r="A327" i="13" s="1"/>
  <c r="V391" i="13"/>
  <c r="A391" i="13" s="1"/>
  <c r="V265" i="13"/>
  <c r="A265" i="13" s="1"/>
  <c r="V363" i="13"/>
  <c r="A363" i="13" s="1"/>
  <c r="V492" i="13"/>
  <c r="A492" i="13" s="1"/>
  <c r="V398" i="13"/>
  <c r="A398" i="13" s="1"/>
  <c r="J470" i="13"/>
  <c r="J433" i="13"/>
  <c r="J368" i="13"/>
  <c r="J347" i="13"/>
  <c r="J383" i="13"/>
  <c r="J382" i="13"/>
  <c r="J319" i="13"/>
  <c r="J431" i="13"/>
  <c r="J312" i="13"/>
  <c r="J325" i="13"/>
  <c r="J459" i="13"/>
  <c r="J351" i="13"/>
  <c r="J314" i="13"/>
  <c r="J317" i="13"/>
  <c r="J284" i="13"/>
  <c r="J260" i="13"/>
  <c r="J479" i="13"/>
  <c r="J455" i="13"/>
  <c r="J343" i="13"/>
  <c r="J370" i="13"/>
  <c r="J329" i="13"/>
  <c r="V335" i="13"/>
  <c r="A335" i="13" s="1"/>
  <c r="V471" i="13"/>
  <c r="A471" i="13" s="1"/>
  <c r="V381" i="13"/>
  <c r="A381" i="13" s="1"/>
  <c r="V344" i="13"/>
  <c r="A344" i="13" s="1"/>
  <c r="V476" i="13"/>
  <c r="A476" i="13" s="1"/>
  <c r="V462" i="13"/>
  <c r="A462" i="13" s="1"/>
  <c r="V384" i="13"/>
  <c r="A384" i="13" s="1"/>
  <c r="V293" i="13"/>
  <c r="A293" i="13" s="1"/>
  <c r="V263" i="13"/>
  <c r="A263" i="13" s="1"/>
  <c r="V301" i="13"/>
  <c r="A301" i="13" s="1"/>
  <c r="V440" i="13"/>
  <c r="A440" i="13" s="1"/>
  <c r="V489" i="13"/>
  <c r="A489" i="13" s="1"/>
  <c r="V379" i="13"/>
  <c r="A379" i="13" s="1"/>
  <c r="V355" i="13"/>
  <c r="A355" i="13" s="1"/>
  <c r="V362" i="13"/>
  <c r="A362" i="13" s="1"/>
  <c r="V266" i="13"/>
  <c r="A266" i="13" s="1"/>
  <c r="V454" i="13"/>
  <c r="A454" i="13" s="1"/>
  <c r="V452" i="13"/>
  <c r="A452" i="13" s="1"/>
  <c r="V288" i="13"/>
  <c r="A288" i="13" s="1"/>
  <c r="V290" i="13"/>
  <c r="A290" i="13" s="1"/>
  <c r="V269" i="13"/>
  <c r="A269" i="13" s="1"/>
  <c r="V264" i="13"/>
  <c r="A264" i="13" s="1"/>
  <c r="V466" i="13"/>
  <c r="A466" i="13" s="1"/>
  <c r="V413" i="13"/>
  <c r="A413" i="13" s="1"/>
  <c r="V304" i="13"/>
  <c r="A304" i="13" s="1"/>
  <c r="V300" i="13"/>
  <c r="A300" i="13" s="1"/>
  <c r="V405" i="13"/>
  <c r="A405" i="13" s="1"/>
  <c r="V310" i="13"/>
  <c r="A310" i="13" s="1"/>
  <c r="V397" i="13"/>
  <c r="A397" i="13" s="1"/>
  <c r="V271" i="13"/>
  <c r="A271" i="13" s="1"/>
  <c r="V295" i="13"/>
  <c r="A295" i="13" s="1"/>
  <c r="V490" i="13"/>
  <c r="A490" i="13" s="1"/>
  <c r="V399" i="13"/>
  <c r="A399" i="13" s="1"/>
  <c r="V455" i="13"/>
  <c r="A455" i="13" s="1"/>
  <c r="V434" i="13"/>
  <c r="A434" i="13" s="1"/>
  <c r="V431" i="13"/>
  <c r="A431" i="13" s="1"/>
  <c r="V322" i="13"/>
  <c r="A322" i="13" s="1"/>
  <c r="V371" i="13"/>
  <c r="A371" i="13" s="1"/>
  <c r="V350" i="13"/>
  <c r="A350" i="13" s="1"/>
  <c r="V349" i="13"/>
  <c r="A349" i="13" s="1"/>
  <c r="V435" i="13"/>
  <c r="A435" i="13" s="1"/>
  <c r="V348" i="13"/>
  <c r="A348" i="13" s="1"/>
  <c r="V406" i="13"/>
  <c r="A406" i="13" s="1"/>
  <c r="V255" i="13"/>
  <c r="A255" i="13" s="1"/>
  <c r="V279" i="13"/>
  <c r="A279" i="13" s="1"/>
  <c r="V321" i="13"/>
  <c r="A321" i="13" s="1"/>
  <c r="V298" i="13"/>
  <c r="A298" i="13" s="1"/>
  <c r="V429" i="13"/>
  <c r="A429" i="13" s="1"/>
  <c r="V366" i="13"/>
  <c r="A366" i="13" s="1"/>
  <c r="J467" i="13"/>
  <c r="J363" i="13"/>
  <c r="V353" i="13"/>
  <c r="A353" i="13" s="1"/>
  <c r="V346" i="13"/>
  <c r="A346" i="13" s="1"/>
  <c r="V351" i="13"/>
  <c r="A351" i="13" s="1"/>
  <c r="V411" i="13"/>
  <c r="A411" i="13" s="1"/>
  <c r="V453" i="13"/>
  <c r="A453" i="13" s="1"/>
  <c r="V382" i="13"/>
  <c r="A382" i="13" s="1"/>
  <c r="V281" i="13"/>
  <c r="A281" i="13" s="1"/>
  <c r="J292" i="13"/>
  <c r="J419" i="13"/>
  <c r="J344" i="13"/>
  <c r="J296" i="13"/>
  <c r="J476" i="13"/>
  <c r="J420" i="13"/>
  <c r="J384" i="13"/>
  <c r="J301" i="13"/>
  <c r="J440" i="13"/>
  <c r="J362" i="13"/>
  <c r="J452" i="13"/>
  <c r="J269" i="13"/>
  <c r="J445" i="13"/>
  <c r="J364" i="13"/>
  <c r="J273" i="13"/>
  <c r="J488" i="13"/>
  <c r="J446" i="13"/>
  <c r="J457" i="13"/>
  <c r="J475" i="13"/>
  <c r="J393" i="13"/>
  <c r="J450" i="13"/>
  <c r="J338" i="13"/>
  <c r="J405" i="13"/>
  <c r="J333" i="13"/>
  <c r="J361" i="13"/>
  <c r="J468" i="13"/>
  <c r="J276" i="13"/>
  <c r="J268" i="13"/>
  <c r="J360" i="13"/>
  <c r="J490" i="13"/>
  <c r="J303" i="13"/>
  <c r="J443" i="13"/>
  <c r="J423" i="13"/>
  <c r="J352" i="13"/>
  <c r="J322" i="13"/>
  <c r="J350" i="13"/>
  <c r="J349" i="13"/>
  <c r="J435" i="13"/>
  <c r="J302" i="13"/>
  <c r="J406" i="13"/>
  <c r="J255" i="13"/>
  <c r="J485" i="13"/>
  <c r="J359" i="13"/>
  <c r="J326" i="13"/>
  <c r="J298" i="13"/>
  <c r="J385" i="13"/>
  <c r="J380" i="13"/>
  <c r="J425" i="13"/>
  <c r="J491" i="13"/>
  <c r="J421" i="13"/>
  <c r="V283" i="13"/>
  <c r="A283" i="13" s="1"/>
  <c r="V410" i="13"/>
  <c r="A410" i="13" s="1"/>
  <c r="V386" i="13"/>
  <c r="A386" i="13" s="1"/>
  <c r="V424" i="13"/>
  <c r="A424" i="13" s="1"/>
  <c r="V256" i="13"/>
  <c r="A256" i="13" s="1"/>
  <c r="J287" i="13"/>
  <c r="J300" i="13"/>
  <c r="J258" i="13"/>
  <c r="V423" i="13"/>
  <c r="A423" i="13" s="1"/>
  <c r="V309" i="13"/>
  <c r="A309" i="13" s="1"/>
  <c r="V352" i="13"/>
  <c r="A352" i="13" s="1"/>
  <c r="V404" i="13"/>
  <c r="A404" i="13" s="1"/>
  <c r="V254" i="13"/>
  <c r="A254" i="13" s="1"/>
  <c r="V359" i="13"/>
  <c r="A359" i="13" s="1"/>
  <c r="V385" i="13"/>
  <c r="A385" i="13" s="1"/>
  <c r="V442" i="13"/>
  <c r="A442" i="13" s="1"/>
  <c r="V318" i="13"/>
  <c r="A318" i="13" s="1"/>
  <c r="V292" i="13"/>
  <c r="A292" i="13" s="1"/>
  <c r="V375" i="13"/>
  <c r="A375" i="13" s="1"/>
  <c r="V325" i="13"/>
  <c r="A325" i="13" s="1"/>
  <c r="V268" i="13"/>
  <c r="A268" i="13" s="1"/>
  <c r="V280" i="13"/>
  <c r="A280" i="13" s="1"/>
  <c r="V418" i="13"/>
  <c r="A418" i="13" s="1"/>
  <c r="V480" i="13"/>
  <c r="A480" i="13" s="1"/>
  <c r="V329" i="13"/>
  <c r="A329" i="13" s="1"/>
  <c r="J434" i="13"/>
  <c r="V484" i="13"/>
  <c r="A484" i="13" s="1"/>
  <c r="V482" i="13"/>
  <c r="A482" i="13" s="1"/>
  <c r="V261" i="13"/>
  <c r="A261" i="13" s="1"/>
  <c r="J412" i="13"/>
  <c r="J313" i="13"/>
  <c r="V285" i="13"/>
  <c r="A285" i="13" s="1"/>
  <c r="V369" i="13"/>
  <c r="A369" i="13" s="1"/>
  <c r="V420" i="13"/>
  <c r="A420" i="13" s="1"/>
  <c r="V345" i="13"/>
  <c r="A345" i="13" s="1"/>
  <c r="V486" i="13"/>
  <c r="A486" i="13" s="1"/>
  <c r="V390" i="13"/>
  <c r="A390" i="13" s="1"/>
  <c r="V488" i="13"/>
  <c r="A488" i="13" s="1"/>
  <c r="V270" i="13"/>
  <c r="A270" i="13" s="1"/>
  <c r="V446" i="13"/>
  <c r="A446" i="13" s="1"/>
  <c r="V473" i="13"/>
  <c r="A473" i="13" s="1"/>
  <c r="V475" i="13"/>
  <c r="A475" i="13" s="1"/>
  <c r="V419" i="13"/>
  <c r="A419" i="13" s="1"/>
  <c r="V356" i="13"/>
  <c r="A356" i="13" s="1"/>
  <c r="V478" i="13"/>
  <c r="A478" i="13" s="1"/>
  <c r="V430" i="13"/>
  <c r="A430" i="13" s="1"/>
  <c r="V340" i="13"/>
  <c r="A340" i="13" s="1"/>
  <c r="V307" i="13"/>
  <c r="A307" i="13" s="1"/>
  <c r="V316" i="13"/>
  <c r="A316" i="13" s="1"/>
  <c r="V257" i="13"/>
  <c r="A257" i="13" s="1"/>
  <c r="V360" i="13"/>
  <c r="A360" i="13" s="1"/>
  <c r="V276" i="13"/>
  <c r="A276" i="13" s="1"/>
  <c r="V332" i="13"/>
  <c r="A332" i="13" s="1"/>
  <c r="V451" i="13"/>
  <c r="A451" i="13" s="1"/>
  <c r="V275" i="13"/>
  <c r="A275" i="13" s="1"/>
  <c r="V354" i="13"/>
  <c r="A354" i="13" s="1"/>
  <c r="V468" i="13"/>
  <c r="A468" i="13" s="1"/>
  <c r="V377" i="13"/>
  <c r="A377" i="13" s="1"/>
  <c r="V320" i="13"/>
  <c r="A320" i="13" s="1"/>
  <c r="V393" i="13"/>
  <c r="A393" i="13" s="1"/>
  <c r="V465" i="13"/>
  <c r="A465" i="13" s="1"/>
  <c r="V259" i="13"/>
  <c r="A259" i="13" s="1"/>
  <c r="V427" i="13"/>
  <c r="A427" i="13" s="1"/>
  <c r="V416" i="13"/>
  <c r="A416" i="13" s="1"/>
  <c r="V448" i="13"/>
  <c r="A448" i="13" s="1"/>
  <c r="V417" i="13"/>
  <c r="A417" i="13" s="1"/>
  <c r="V267" i="13"/>
  <c r="A267" i="13" s="1"/>
  <c r="V333" i="13"/>
  <c r="A333" i="13" s="1"/>
  <c r="V311" i="13"/>
  <c r="A311" i="13" s="1"/>
  <c r="V336" i="13"/>
  <c r="A336" i="13" s="1"/>
  <c r="V278" i="13"/>
  <c r="A278" i="13" s="1"/>
  <c r="V436" i="13"/>
  <c r="A436" i="13" s="1"/>
  <c r="V361" i="13"/>
  <c r="A361" i="13" s="1"/>
  <c r="V461" i="13"/>
  <c r="A461" i="13" s="1"/>
  <c r="V287" i="13"/>
  <c r="A287" i="13" s="1"/>
  <c r="V441" i="13"/>
  <c r="A441" i="13" s="1"/>
  <c r="V299" i="13"/>
  <c r="A299" i="13" s="1"/>
  <c r="V469" i="13"/>
  <c r="A469" i="13" s="1"/>
  <c r="V400" i="13"/>
  <c r="A400" i="13" s="1"/>
  <c r="V339" i="13"/>
  <c r="A339" i="13" s="1"/>
  <c r="V444" i="13"/>
  <c r="A444" i="13" s="1"/>
  <c r="V331" i="13"/>
  <c r="A331" i="13" s="1"/>
  <c r="V277" i="13"/>
  <c r="A277" i="13" s="1"/>
  <c r="V343" i="13"/>
  <c r="A343" i="13" s="1"/>
  <c r="V483" i="13"/>
  <c r="A483" i="13" s="1"/>
  <c r="V274" i="13"/>
  <c r="A274" i="13" s="1"/>
  <c r="V262" i="13"/>
  <c r="A262" i="13" s="1"/>
  <c r="V491" i="13"/>
  <c r="A491" i="13" s="1"/>
  <c r="V495" i="13"/>
  <c r="A495" i="13" s="1"/>
  <c r="V392" i="13"/>
  <c r="A392" i="13" s="1"/>
  <c r="V374" i="13"/>
  <c r="A374" i="13" s="1"/>
  <c r="V457" i="13"/>
  <c r="A457" i="13" s="1"/>
  <c r="V291" i="13"/>
  <c r="A291" i="13" s="1"/>
  <c r="V330" i="13"/>
  <c r="A330" i="13" s="1"/>
  <c r="V314" i="13"/>
  <c r="A314" i="13" s="1"/>
  <c r="V341" i="13"/>
  <c r="A341" i="13" s="1"/>
  <c r="V477" i="13"/>
  <c r="A477" i="13" s="1"/>
  <c r="V432" i="13"/>
  <c r="A432" i="13" s="1"/>
  <c r="V445" i="13"/>
  <c r="A445" i="13" s="1"/>
  <c r="V493" i="13"/>
  <c r="A493" i="13" s="1"/>
  <c r="V308" i="13"/>
  <c r="A308" i="13" s="1"/>
  <c r="V323" i="13"/>
  <c r="A323" i="13" s="1"/>
  <c r="V297" i="13"/>
  <c r="A297" i="13" s="1"/>
  <c r="V296" i="13"/>
  <c r="A296" i="13" s="1"/>
  <c r="V407" i="13"/>
  <c r="A407" i="13" s="1"/>
  <c r="V439" i="13"/>
  <c r="A439" i="13" s="1"/>
  <c r="V305" i="13"/>
  <c r="A305" i="13" s="1"/>
  <c r="V319" i="13"/>
  <c r="A319" i="13" s="1"/>
  <c r="V472" i="13"/>
  <c r="A472" i="13" s="1"/>
  <c r="V328" i="13"/>
  <c r="A328" i="13" s="1"/>
  <c r="V372" i="13"/>
  <c r="A372" i="13" s="1"/>
  <c r="V376" i="13"/>
  <c r="A376" i="13" s="1"/>
  <c r="V481" i="13"/>
  <c r="A481" i="13" s="1"/>
  <c r="V338" i="13"/>
  <c r="A338" i="13" s="1"/>
  <c r="V303" i="13"/>
  <c r="A303" i="13" s="1"/>
  <c r="V443" i="13"/>
  <c r="A443" i="13" s="1"/>
  <c r="V302" i="13"/>
  <c r="A302" i="13" s="1"/>
  <c r="V408" i="13"/>
  <c r="A408" i="13" s="1"/>
  <c r="V485" i="13"/>
  <c r="A485" i="13" s="1"/>
  <c r="V326" i="13"/>
  <c r="A326" i="13" s="1"/>
  <c r="V367" i="13"/>
  <c r="A367" i="13" s="1"/>
  <c r="V421" i="13"/>
  <c r="A421" i="13" s="1"/>
  <c r="V364" i="13"/>
  <c r="A364" i="13" s="1"/>
  <c r="V401" i="13"/>
  <c r="A401" i="13" s="1"/>
  <c r="V273" i="13"/>
  <c r="A273" i="13" s="1"/>
  <c r="V450" i="13"/>
  <c r="A450" i="13" s="1"/>
  <c r="V425" i="13"/>
  <c r="A425" i="13" s="1"/>
  <c r="V437" i="13"/>
  <c r="A437" i="13" s="1"/>
  <c r="V383" i="13"/>
  <c r="A383" i="13" s="1"/>
  <c r="V428" i="13"/>
  <c r="A428" i="13" s="1"/>
  <c r="V460" i="13"/>
  <c r="A460" i="13" s="1"/>
  <c r="V334" i="13"/>
  <c r="A334" i="13" s="1"/>
  <c r="V438" i="13"/>
  <c r="A438" i="13" s="1"/>
  <c r="V289" i="13"/>
  <c r="A289" i="13" s="1"/>
  <c r="V324" i="13"/>
  <c r="A324" i="13" s="1"/>
  <c r="V312" i="13"/>
  <c r="A312" i="13" s="1"/>
  <c r="V380" i="13"/>
  <c r="A380" i="13" s="1"/>
  <c r="V414" i="13"/>
  <c r="A414" i="13" s="1"/>
  <c r="V370" i="13"/>
  <c r="A370" i="13" s="1"/>
  <c r="V412" i="13"/>
  <c r="A412" i="13" s="1"/>
  <c r="V358" i="13"/>
  <c r="A358" i="13" s="1"/>
  <c r="V474" i="13"/>
  <c r="A474" i="13" s="1"/>
  <c r="V494" i="13"/>
  <c r="A494" i="13" s="1"/>
  <c r="V470" i="13"/>
  <c r="A470" i="13" s="1"/>
  <c r="V458" i="13"/>
  <c r="A458" i="13" s="1"/>
  <c r="V433" i="13"/>
  <c r="A433" i="13" s="1"/>
  <c r="V306" i="13"/>
  <c r="A306" i="13" s="1"/>
  <c r="V368" i="13"/>
  <c r="A368" i="13" s="1"/>
  <c r="V415" i="13"/>
  <c r="A415" i="13" s="1"/>
  <c r="V347" i="13"/>
  <c r="A347" i="13" s="1"/>
  <c r="V426" i="13"/>
  <c r="A426" i="13" s="1"/>
  <c r="V409" i="13"/>
  <c r="A409" i="13" s="1"/>
  <c r="V394" i="13"/>
  <c r="A394" i="13" s="1"/>
  <c r="V282" i="13"/>
  <c r="A282" i="13" s="1"/>
  <c r="V422" i="13"/>
  <c r="A422" i="13" s="1"/>
  <c r="V387" i="13"/>
  <c r="A387" i="13" s="1"/>
  <c r="V317" i="13"/>
  <c r="A317" i="13" s="1"/>
  <c r="V284" i="13"/>
  <c r="A284" i="13" s="1"/>
  <c r="V260" i="13"/>
  <c r="A260" i="13" s="1"/>
  <c r="V337" i="13"/>
  <c r="A337" i="13" s="1"/>
  <c r="V479" i="13"/>
  <c r="A479" i="13" s="1"/>
  <c r="J466" i="13"/>
  <c r="J444" i="13"/>
  <c r="J493" i="13"/>
  <c r="F102" i="10"/>
  <c r="F103" i="10"/>
  <c r="F104" i="10"/>
  <c r="F105" i="10"/>
  <c r="F106" i="10"/>
  <c r="P28" i="12"/>
  <c r="F107" i="10"/>
  <c r="F108" i="10"/>
  <c r="F109" i="10"/>
  <c r="F110" i="10"/>
  <c r="H12" i="12"/>
  <c r="J152" i="13" l="1"/>
  <c r="J154" i="13"/>
  <c r="J162" i="13"/>
  <c r="J76" i="13"/>
  <c r="J208" i="13"/>
  <c r="J123" i="13"/>
  <c r="J116" i="13"/>
  <c r="J109" i="13"/>
  <c r="J52" i="13"/>
  <c r="J102" i="13"/>
  <c r="J234" i="13"/>
  <c r="J244" i="13"/>
  <c r="J221" i="13"/>
  <c r="J9" i="13"/>
  <c r="J153" i="13"/>
  <c r="J112" i="13"/>
  <c r="J172" i="13"/>
  <c r="J27" i="13"/>
  <c r="J204" i="13"/>
  <c r="J84" i="13"/>
  <c r="J217" i="13"/>
  <c r="J170" i="13"/>
  <c r="J49" i="13"/>
  <c r="J149" i="13"/>
  <c r="J230" i="13"/>
  <c r="J115" i="13"/>
  <c r="J40" i="13"/>
  <c r="J246" i="13"/>
  <c r="J78" i="13"/>
  <c r="J93" i="13"/>
  <c r="J24" i="13"/>
  <c r="J203" i="13"/>
  <c r="J247" i="13"/>
  <c r="J122" i="13"/>
  <c r="J218" i="13"/>
  <c r="J200" i="13"/>
  <c r="J178" i="13"/>
  <c r="J214" i="13"/>
  <c r="J134" i="13"/>
  <c r="J169" i="13"/>
  <c r="J188" i="13"/>
  <c r="J130" i="13"/>
  <c r="J199" i="13"/>
  <c r="J239" i="13"/>
  <c r="J166" i="13"/>
  <c r="J13" i="13"/>
  <c r="J17" i="13"/>
  <c r="J68" i="13"/>
  <c r="J177" i="13"/>
  <c r="J101" i="13"/>
  <c r="J31" i="13"/>
  <c r="J174" i="13"/>
  <c r="J16" i="13"/>
  <c r="J70" i="13"/>
  <c r="J132" i="13"/>
  <c r="J210" i="13"/>
  <c r="J209" i="13"/>
  <c r="J92" i="13"/>
  <c r="J193" i="13"/>
  <c r="J37" i="13"/>
  <c r="J183" i="13"/>
  <c r="J138" i="13"/>
  <c r="J103" i="13"/>
  <c r="J176" i="13"/>
  <c r="J12" i="13"/>
  <c r="J14" i="13"/>
  <c r="J83" i="13"/>
  <c r="J114" i="13"/>
  <c r="J73" i="13"/>
  <c r="J51" i="13"/>
  <c r="J82" i="13"/>
  <c r="J212" i="13"/>
  <c r="J121" i="13"/>
  <c r="J150" i="13"/>
  <c r="J105" i="13"/>
  <c r="J72" i="13"/>
  <c r="J181" i="13"/>
  <c r="J43" i="13"/>
  <c r="J113" i="13"/>
  <c r="J206" i="13"/>
  <c r="J127" i="13"/>
  <c r="J222" i="13"/>
  <c r="J186" i="13"/>
  <c r="J180" i="13"/>
  <c r="J232" i="13"/>
  <c r="J107" i="13"/>
  <c r="J151" i="13"/>
  <c r="J185" i="13"/>
  <c r="J66" i="13"/>
  <c r="J211" i="13"/>
  <c r="J11" i="13"/>
  <c r="J104" i="13"/>
  <c r="J157" i="13"/>
  <c r="J242" i="13"/>
  <c r="J20" i="13"/>
  <c r="J65" i="13"/>
  <c r="J53" i="13"/>
  <c r="J30" i="13"/>
  <c r="J77" i="13"/>
  <c r="J7" i="13"/>
  <c r="J233" i="13"/>
  <c r="J47" i="13"/>
  <c r="J168" i="13"/>
  <c r="J74" i="13"/>
  <c r="J50" i="13"/>
  <c r="J243" i="13"/>
  <c r="J245" i="13"/>
  <c r="J135" i="13"/>
  <c r="J136" i="13"/>
  <c r="J44" i="13"/>
  <c r="J219" i="13"/>
  <c r="J60" i="13"/>
  <c r="J158" i="13"/>
  <c r="J117" i="13"/>
  <c r="J56" i="13"/>
  <c r="J147" i="13"/>
  <c r="J231" i="13"/>
  <c r="J161" i="13"/>
  <c r="J80" i="13"/>
  <c r="J45" i="13"/>
  <c r="J225" i="13"/>
  <c r="J6" i="13"/>
  <c r="J118" i="13"/>
  <c r="J220" i="13"/>
  <c r="J15" i="13"/>
  <c r="J226" i="13"/>
  <c r="J71" i="13"/>
  <c r="J196" i="13"/>
  <c r="J85" i="13"/>
  <c r="J58" i="13"/>
  <c r="J21" i="13"/>
  <c r="J54" i="13"/>
  <c r="J142" i="13"/>
  <c r="J120" i="13"/>
  <c r="J137" i="13"/>
  <c r="J57" i="13"/>
  <c r="J173" i="13"/>
  <c r="J128" i="13"/>
  <c r="J207" i="13"/>
  <c r="J235" i="13"/>
  <c r="J194" i="13"/>
  <c r="J79" i="13"/>
  <c r="J64" i="13"/>
  <c r="J129" i="13"/>
  <c r="J143" i="13"/>
  <c r="J236" i="13"/>
  <c r="J191" i="13"/>
  <c r="J38" i="13"/>
  <c r="J163" i="13"/>
  <c r="J46" i="13"/>
  <c r="J241" i="13"/>
  <c r="J19" i="13"/>
  <c r="J62" i="13"/>
  <c r="J18" i="13"/>
  <c r="J88" i="13"/>
  <c r="J195" i="13"/>
  <c r="J182" i="13"/>
  <c r="J228" i="13"/>
  <c r="J227" i="13"/>
  <c r="J160" i="13"/>
  <c r="J215" i="13"/>
  <c r="J96" i="13"/>
  <c r="J197" i="13"/>
  <c r="J146" i="13"/>
  <c r="J86" i="13"/>
  <c r="J126" i="13"/>
  <c r="J167" i="13"/>
  <c r="J190" i="13"/>
  <c r="J8" i="13"/>
  <c r="J145" i="13"/>
  <c r="J67" i="13"/>
  <c r="J148" i="13"/>
  <c r="J100" i="13"/>
  <c r="J94" i="13"/>
  <c r="J165" i="13"/>
  <c r="J164" i="13"/>
  <c r="J125" i="13"/>
  <c r="J202" i="13"/>
  <c r="J140" i="13"/>
  <c r="J28" i="13"/>
  <c r="J89" i="13"/>
  <c r="J29" i="13"/>
  <c r="J124" i="13"/>
  <c r="J23" i="13"/>
  <c r="J108" i="13"/>
  <c r="J42" i="13"/>
  <c r="J69" i="13"/>
  <c r="J97" i="13"/>
  <c r="J111" i="13"/>
  <c r="J205" i="13"/>
  <c r="J61" i="13"/>
  <c r="J81" i="13"/>
  <c r="J10" i="13"/>
  <c r="J59" i="13"/>
  <c r="J91" i="13"/>
  <c r="J26" i="13"/>
  <c r="J201" i="13"/>
  <c r="J213" i="13"/>
  <c r="J159" i="13"/>
  <c r="J55" i="13"/>
  <c r="J106" i="13"/>
  <c r="J110" i="13"/>
  <c r="J41" i="13"/>
  <c r="J25" i="13"/>
  <c r="J198" i="13"/>
  <c r="J22" i="13"/>
  <c r="J32" i="13"/>
  <c r="J179" i="13"/>
  <c r="J223" i="13"/>
  <c r="J48" i="13"/>
  <c r="J63" i="13"/>
  <c r="J87" i="13"/>
  <c r="J133" i="13"/>
  <c r="J141" i="13"/>
  <c r="J238" i="13"/>
  <c r="J156" i="13"/>
  <c r="J33" i="13"/>
  <c r="J189" i="13"/>
  <c r="J75" i="13"/>
  <c r="J224" i="13"/>
  <c r="J237" i="13"/>
  <c r="J171" i="13"/>
  <c r="J155" i="13"/>
  <c r="J119" i="13"/>
  <c r="J34" i="13"/>
  <c r="J229" i="13"/>
  <c r="J192" i="13"/>
  <c r="J144" i="13"/>
  <c r="J35" i="13"/>
  <c r="J36" i="13"/>
  <c r="J99" i="13"/>
  <c r="J187" i="13"/>
  <c r="J39" i="13"/>
  <c r="J139" i="13"/>
  <c r="J98" i="13"/>
  <c r="J216" i="13"/>
  <c r="J240" i="13"/>
  <c r="J5" i="13"/>
  <c r="J90" i="13"/>
  <c r="J95" i="13"/>
  <c r="J175" i="13"/>
  <c r="J131" i="13"/>
  <c r="J184" i="13"/>
  <c r="AA4" i="13"/>
  <c r="AA5" i="13"/>
  <c r="AD52" i="13"/>
  <c r="Z52" i="13"/>
  <c r="AD56" i="13"/>
  <c r="Z56" i="13"/>
  <c r="AD53" i="13"/>
  <c r="Z53" i="13"/>
  <c r="Z49" i="13"/>
  <c r="AD49" i="13"/>
  <c r="AD54" i="13"/>
  <c r="Z54" i="13"/>
  <c r="AD51" i="13"/>
  <c r="Z51" i="13"/>
  <c r="Z55" i="13"/>
  <c r="AD55" i="13"/>
  <c r="AD57" i="13"/>
  <c r="Z57" i="13"/>
  <c r="AD50" i="13"/>
  <c r="Z50" i="13"/>
  <c r="AP34" i="13"/>
  <c r="AN34" i="13"/>
  <c r="AO34" i="13"/>
  <c r="AL34" i="13"/>
  <c r="AM34" i="13"/>
  <c r="AO31" i="13"/>
  <c r="AM31" i="13"/>
  <c r="AN31" i="13"/>
  <c r="AP31" i="13"/>
  <c r="AL31" i="13"/>
  <c r="AP32" i="13"/>
  <c r="AO32" i="13"/>
  <c r="AL32" i="13"/>
  <c r="AM32" i="13"/>
  <c r="AN32" i="13"/>
  <c r="AP30" i="13"/>
  <c r="AN30" i="13"/>
  <c r="AO30" i="13"/>
  <c r="AL30" i="13"/>
  <c r="AM30" i="13"/>
  <c r="AM35" i="13"/>
  <c r="AN35" i="13"/>
  <c r="AO35" i="13"/>
  <c r="AP35" i="13"/>
  <c r="AL35" i="13"/>
  <c r="AO36" i="13"/>
  <c r="AL36" i="13"/>
  <c r="AP36" i="13"/>
  <c r="AN36" i="13"/>
  <c r="AM36" i="13"/>
  <c r="AM33" i="13"/>
  <c r="AN33" i="13"/>
  <c r="AP33" i="13"/>
  <c r="AL33" i="13"/>
  <c r="AO33" i="13"/>
  <c r="AO29" i="13"/>
  <c r="AM29" i="13"/>
  <c r="AN29" i="13"/>
  <c r="AP29" i="13"/>
  <c r="AL29" i="13"/>
  <c r="AM37" i="13"/>
  <c r="AP37" i="13"/>
  <c r="AL37" i="13"/>
  <c r="AO37" i="13"/>
  <c r="AN37" i="13"/>
  <c r="R9" i="12"/>
  <c r="S9" i="12" s="1"/>
  <c r="I142" i="9" s="1"/>
  <c r="D134" i="10" l="1"/>
  <c r="H154" i="10"/>
  <c r="G134" i="10"/>
  <c r="K154" i="10"/>
  <c r="J134" i="10"/>
  <c r="E134" i="10"/>
  <c r="I134" i="10"/>
  <c r="J154" i="10"/>
  <c r="K153" i="10"/>
  <c r="G133" i="10"/>
  <c r="J153" i="10"/>
  <c r="J133" i="10"/>
  <c r="I133" i="10"/>
  <c r="E133" i="10"/>
  <c r="H153" i="10"/>
  <c r="D133" i="10"/>
  <c r="AB4" i="13"/>
  <c r="AB5" i="13"/>
  <c r="O687" i="13"/>
  <c r="O535" i="13"/>
  <c r="O551" i="13"/>
  <c r="O506" i="13"/>
  <c r="O737" i="13"/>
  <c r="O550" i="13"/>
  <c r="O663" i="13"/>
  <c r="O734" i="13"/>
  <c r="O682" i="13"/>
  <c r="O567" i="13"/>
  <c r="O637" i="13"/>
  <c r="O689" i="13"/>
  <c r="O564" i="13"/>
  <c r="O621" i="13"/>
  <c r="O735" i="13"/>
  <c r="O722" i="13"/>
  <c r="O532" i="13"/>
  <c r="O610" i="13"/>
  <c r="O509" i="13"/>
  <c r="O661" i="13"/>
  <c r="O527" i="13"/>
  <c r="O505" i="13"/>
  <c r="O568" i="13"/>
  <c r="O694" i="13"/>
  <c r="O630" i="13"/>
  <c r="O573" i="13"/>
  <c r="O577" i="13"/>
  <c r="O699" i="13"/>
  <c r="O593" i="13"/>
  <c r="O713" i="13"/>
  <c r="O543" i="13"/>
  <c r="O540" i="13"/>
  <c r="O715" i="13"/>
  <c r="O708" i="13"/>
  <c r="O653" i="13"/>
  <c r="O598" i="13"/>
  <c r="O665" i="13"/>
  <c r="O613" i="13"/>
  <c r="O678" i="13"/>
  <c r="O639" i="13"/>
  <c r="O624" i="13"/>
  <c r="O584" i="13"/>
  <c r="O561" i="13"/>
  <c r="O671" i="13"/>
  <c r="O618" i="13"/>
  <c r="O516" i="13"/>
  <c r="O579" i="13"/>
  <c r="O727" i="13"/>
  <c r="O556" i="13"/>
  <c r="O508" i="13"/>
  <c r="O507" i="13"/>
  <c r="O595" i="13"/>
  <c r="O731" i="13"/>
  <c r="O677" i="13"/>
  <c r="O554" i="13"/>
  <c r="O563" i="13"/>
  <c r="O641" i="13"/>
  <c r="O635" i="13"/>
  <c r="O531" i="13"/>
  <c r="O709" i="13"/>
  <c r="O601" i="13"/>
  <c r="O569" i="13"/>
  <c r="O718" i="13"/>
  <c r="O647" i="13"/>
  <c r="O590" i="13"/>
  <c r="O605" i="13"/>
  <c r="O667" i="13"/>
  <c r="O515" i="13"/>
  <c r="O732" i="13"/>
  <c r="O696" i="13"/>
  <c r="O614" i="13"/>
  <c r="O587" i="13"/>
  <c r="O615" i="13"/>
  <c r="O599" i="13"/>
  <c r="O557" i="13"/>
  <c r="O673" i="13"/>
  <c r="O729" i="13"/>
  <c r="O616" i="13"/>
  <c r="O719" i="13"/>
  <c r="O625" i="13"/>
  <c r="O536" i="13"/>
  <c r="O721" i="13"/>
  <c r="O657" i="13"/>
  <c r="O632" i="13"/>
  <c r="O664" i="13"/>
  <c r="O655" i="13"/>
  <c r="O717" i="13"/>
  <c r="O581" i="13"/>
  <c r="O586" i="13"/>
  <c r="O738" i="13"/>
  <c r="O646" i="13"/>
  <c r="O724" i="13"/>
  <c r="O607" i="13"/>
  <c r="O695" i="13"/>
  <c r="O626" i="13"/>
  <c r="O691" i="13"/>
  <c r="O604" i="13"/>
  <c r="O680" i="13"/>
  <c r="O594" i="13"/>
  <c r="O666" i="13"/>
  <c r="O679" i="13"/>
  <c r="O560" i="13"/>
  <c r="O650" i="13"/>
  <c r="O692" i="13"/>
  <c r="O741" i="13"/>
  <c r="O728" i="13"/>
  <c r="O517" i="13"/>
  <c r="O684" i="13"/>
  <c r="O701" i="13"/>
  <c r="O585" i="13"/>
  <c r="O519" i="13"/>
  <c r="O634" i="13"/>
  <c r="O576" i="13"/>
  <c r="O547" i="13"/>
  <c r="O583" i="13"/>
  <c r="O674" i="13"/>
  <c r="O571" i="13"/>
  <c r="O520" i="13"/>
  <c r="O633" i="13"/>
  <c r="O537" i="13"/>
  <c r="O660" i="13"/>
  <c r="O670" i="13"/>
  <c r="O686" i="13"/>
  <c r="O574" i="13"/>
  <c r="O539" i="13"/>
  <c r="O642" i="13"/>
  <c r="O541" i="13"/>
  <c r="O644" i="13"/>
  <c r="O504" i="13"/>
  <c r="O526" i="13"/>
  <c r="O742" i="13"/>
  <c r="O512" i="13"/>
  <c r="O629" i="13"/>
  <c r="O649" i="13"/>
  <c r="O698" i="13"/>
  <c r="O552" i="13"/>
  <c r="O548" i="13"/>
  <c r="O716" i="13"/>
  <c r="O672" i="13"/>
  <c r="O612" i="13"/>
  <c r="O628" i="13"/>
  <c r="O562" i="13"/>
  <c r="O600" i="13"/>
  <c r="O521" i="13"/>
  <c r="O723" i="13"/>
  <c r="O580" i="13"/>
  <c r="O588" i="13"/>
  <c r="O572" i="13"/>
  <c r="O523" i="13"/>
  <c r="O707" i="13"/>
  <c r="O553" i="13"/>
  <c r="O711" i="13"/>
  <c r="O697" i="13"/>
  <c r="O570" i="13"/>
  <c r="O627" i="13"/>
  <c r="O638" i="13"/>
  <c r="O528" i="13"/>
  <c r="O566" i="13"/>
  <c r="O704" i="13"/>
  <c r="O622" i="13"/>
  <c r="O720" i="13"/>
  <c r="O558" i="13"/>
  <c r="O582" i="13"/>
  <c r="O681" i="13"/>
  <c r="O643" i="13"/>
  <c r="O511" i="13"/>
  <c r="O669" i="13"/>
  <c r="O575" i="13"/>
  <c r="O606" i="13"/>
  <c r="O651" i="13"/>
  <c r="O736" i="13"/>
  <c r="O705" i="13"/>
  <c r="O529" i="13"/>
  <c r="O538" i="13"/>
  <c r="O690" i="13"/>
  <c r="O530" i="13"/>
  <c r="O611" i="13"/>
  <c r="O514" i="13"/>
  <c r="O565" i="13"/>
  <c r="O546" i="13"/>
  <c r="O578" i="13"/>
  <c r="O730" i="13"/>
  <c r="O542" i="13"/>
  <c r="O533" i="13"/>
  <c r="O522" i="13"/>
  <c r="O596" i="13"/>
  <c r="O518" i="13"/>
  <c r="O510" i="13"/>
  <c r="O602" i="13"/>
  <c r="O662" i="13"/>
  <c r="O668" i="13"/>
  <c r="O603" i="13"/>
  <c r="O544" i="13"/>
  <c r="O501" i="13"/>
  <c r="U501" i="13" s="1"/>
  <c r="O534" i="13"/>
  <c r="O656" i="13"/>
  <c r="O706" i="13"/>
  <c r="O688" i="13"/>
  <c r="O725" i="13"/>
  <c r="O659" i="13"/>
  <c r="O726" i="13"/>
  <c r="O559" i="13"/>
  <c r="O712" i="13"/>
  <c r="O620" i="13"/>
  <c r="O597" i="13"/>
  <c r="O549" i="13"/>
  <c r="O525" i="13"/>
  <c r="O502" i="13"/>
  <c r="O675" i="13"/>
  <c r="O619" i="13"/>
  <c r="O652" i="13"/>
  <c r="O617" i="13"/>
  <c r="O592" i="13"/>
  <c r="O740" i="13"/>
  <c r="O623" i="13"/>
  <c r="O608" i="13"/>
  <c r="O524" i="13"/>
  <c r="O739" i="13"/>
  <c r="O654" i="13"/>
  <c r="O631" i="13"/>
  <c r="O589" i="13"/>
  <c r="O703" i="13"/>
  <c r="O609" i="13"/>
  <c r="O513" i="13"/>
  <c r="O676" i="13"/>
  <c r="O733" i="13"/>
  <c r="O702" i="13"/>
  <c r="O683" i="13"/>
  <c r="O648" i="13"/>
  <c r="O591" i="13"/>
  <c r="O636" i="13"/>
  <c r="O700" i="13"/>
  <c r="O710" i="13"/>
  <c r="O645" i="13"/>
  <c r="O555" i="13"/>
  <c r="O714" i="13"/>
  <c r="O640" i="13"/>
  <c r="O658" i="13"/>
  <c r="O693" i="13"/>
  <c r="O503" i="13"/>
  <c r="O743" i="13"/>
  <c r="O685" i="13"/>
  <c r="O545" i="13"/>
  <c r="K2237" i="13"/>
  <c r="Q2237" i="13" s="1"/>
  <c r="K2454" i="13"/>
  <c r="K2370" i="13"/>
  <c r="K2312" i="13"/>
  <c r="K2246" i="13"/>
  <c r="K2459" i="13"/>
  <c r="K2399" i="13"/>
  <c r="K2306" i="13"/>
  <c r="K2477" i="13"/>
  <c r="K2436" i="13"/>
  <c r="K2348" i="13"/>
  <c r="K2279" i="13"/>
  <c r="K2401" i="13"/>
  <c r="K2377" i="13"/>
  <c r="K2337" i="13"/>
  <c r="K2278" i="13"/>
  <c r="K2402" i="13"/>
  <c r="K2372" i="13"/>
  <c r="K2413" i="13"/>
  <c r="K2244" i="13"/>
  <c r="K2273" i="13"/>
  <c r="K2364" i="13"/>
  <c r="K2403" i="13"/>
  <c r="K2310" i="13"/>
  <c r="K2241" i="13"/>
  <c r="K2384" i="13"/>
  <c r="K2331" i="13"/>
  <c r="K2303" i="13"/>
  <c r="K2437" i="13"/>
  <c r="K2381" i="13"/>
  <c r="K2341" i="13"/>
  <c r="K2259" i="13"/>
  <c r="K2475" i="13"/>
  <c r="K2406" i="13"/>
  <c r="K2338" i="13"/>
  <c r="K2247" i="13"/>
  <c r="K2347" i="13"/>
  <c r="K2431" i="13"/>
  <c r="K2428" i="13"/>
  <c r="K2441" i="13"/>
  <c r="K2280" i="13"/>
  <c r="K2479" i="13"/>
  <c r="K2438" i="13"/>
  <c r="K2305" i="13"/>
  <c r="K2296" i="13"/>
  <c r="K2252" i="13"/>
  <c r="K2443" i="13"/>
  <c r="K2383" i="13"/>
  <c r="K2293" i="13"/>
  <c r="K2473" i="13"/>
  <c r="K2408" i="13"/>
  <c r="K2332" i="13"/>
  <c r="K2284" i="13"/>
  <c r="K2474" i="13"/>
  <c r="K2355" i="13"/>
  <c r="K2297" i="13"/>
  <c r="K2267" i="13"/>
  <c r="K2257" i="13"/>
  <c r="K2327" i="13"/>
  <c r="K2349" i="13"/>
  <c r="K2422" i="13"/>
  <c r="K2476" i="13"/>
  <c r="K2447" i="13"/>
  <c r="K2387" i="13"/>
  <c r="K2294" i="13"/>
  <c r="K2409" i="13"/>
  <c r="K2440" i="13"/>
  <c r="K2352" i="13"/>
  <c r="K2286" i="13"/>
  <c r="K2478" i="13"/>
  <c r="K2365" i="13"/>
  <c r="K2313" i="13"/>
  <c r="K2271" i="13"/>
  <c r="K2456" i="13"/>
  <c r="K2390" i="13"/>
  <c r="K2301" i="13"/>
  <c r="K2262" i="13"/>
  <c r="K2334" i="13"/>
  <c r="K2367" i="13"/>
  <c r="K2427" i="13"/>
  <c r="K2442" i="13"/>
  <c r="K2460" i="13"/>
  <c r="K2444" i="13"/>
  <c r="K2356" i="13"/>
  <c r="K2289" i="13"/>
  <c r="K2449" i="13"/>
  <c r="K2385" i="13"/>
  <c r="K2345" i="13"/>
  <c r="K2268" i="13"/>
  <c r="K2463" i="13"/>
  <c r="K2394" i="13"/>
  <c r="K2317" i="13"/>
  <c r="K2266" i="13"/>
  <c r="K2420" i="13"/>
  <c r="K2423" i="13"/>
  <c r="K2276" i="13"/>
  <c r="K2240" i="13"/>
  <c r="K2326" i="13"/>
  <c r="K2346" i="13"/>
  <c r="K2410" i="13"/>
  <c r="K2400" i="13"/>
  <c r="K2457" i="13"/>
  <c r="K2261" i="13"/>
  <c r="K2429" i="13"/>
  <c r="K2371" i="13"/>
  <c r="K2323" i="13"/>
  <c r="K2392" i="13"/>
  <c r="K2416" i="13"/>
  <c r="K2336" i="13"/>
  <c r="K2288" i="13"/>
  <c r="K2461" i="13"/>
  <c r="K2426" i="13"/>
  <c r="K2358" i="13"/>
  <c r="K2239" i="13"/>
  <c r="K2458" i="13"/>
  <c r="K2374" i="13"/>
  <c r="K2316" i="13"/>
  <c r="K2250" i="13"/>
  <c r="K2361" i="13"/>
  <c r="K2417" i="13"/>
  <c r="K2421" i="13"/>
  <c r="K2419" i="13"/>
  <c r="K2452" i="13"/>
  <c r="K2424" i="13"/>
  <c r="K2340" i="13"/>
  <c r="K2292" i="13"/>
  <c r="K2351" i="13"/>
  <c r="K2369" i="13"/>
  <c r="K2329" i="13"/>
  <c r="K2275" i="13"/>
  <c r="K2462" i="13"/>
  <c r="K2378" i="13"/>
  <c r="K2320" i="13"/>
  <c r="K2254" i="13"/>
  <c r="K2380" i="13"/>
  <c r="K2407" i="13"/>
  <c r="K2314" i="13"/>
  <c r="K2245" i="13"/>
  <c r="K2277" i="13"/>
  <c r="K2290" i="13"/>
  <c r="K2342" i="13"/>
  <c r="K2343" i="13"/>
  <c r="K2376" i="13"/>
  <c r="K2373" i="13"/>
  <c r="K2333" i="13"/>
  <c r="K2272" i="13"/>
  <c r="K2467" i="13"/>
  <c r="K2398" i="13"/>
  <c r="K2330" i="13"/>
  <c r="K2270" i="13"/>
  <c r="K2396" i="13"/>
  <c r="K2411" i="13"/>
  <c r="K2318" i="13"/>
  <c r="K2249" i="13"/>
  <c r="K2405" i="13"/>
  <c r="K2362" i="13"/>
  <c r="K2311" i="13"/>
  <c r="K2471" i="13"/>
  <c r="K2274" i="13"/>
  <c r="K2243" i="13"/>
  <c r="K2357" i="13"/>
  <c r="K2375" i="13"/>
  <c r="K2307" i="13"/>
  <c r="K2325" i="13"/>
  <c r="K2388" i="13"/>
  <c r="K2309" i="13"/>
  <c r="K2264" i="13"/>
  <c r="K2466" i="13"/>
  <c r="K2430" i="13"/>
  <c r="K2282" i="13"/>
  <c r="K2255" i="13"/>
  <c r="K2446" i="13"/>
  <c r="K2359" i="13"/>
  <c r="K2304" i="13"/>
  <c r="K2238" i="13"/>
  <c r="K2451" i="13"/>
  <c r="K2391" i="13"/>
  <c r="K2298" i="13"/>
  <c r="K2319" i="13"/>
  <c r="K2335" i="13"/>
  <c r="K2363" i="13"/>
  <c r="K2265" i="13"/>
  <c r="K2435" i="13"/>
  <c r="K2470" i="13"/>
  <c r="K2339" i="13"/>
  <c r="K2291" i="13"/>
  <c r="K2263" i="13"/>
  <c r="K2425" i="13"/>
  <c r="K2382" i="13"/>
  <c r="K2324" i="13"/>
  <c r="K2258" i="13"/>
  <c r="K2455" i="13"/>
  <c r="K2395" i="13"/>
  <c r="K2302" i="13"/>
  <c r="K2469" i="13"/>
  <c r="K2448" i="13"/>
  <c r="K2360" i="13"/>
  <c r="K2295" i="13"/>
  <c r="K2412" i="13"/>
  <c r="K2472" i="13"/>
  <c r="K2468" i="13"/>
  <c r="K2285" i="13"/>
  <c r="K2300" i="13"/>
  <c r="K2433" i="13"/>
  <c r="K2386" i="13"/>
  <c r="K2328" i="13"/>
  <c r="K2251" i="13"/>
  <c r="K2404" i="13"/>
  <c r="K2415" i="13"/>
  <c r="K2322" i="13"/>
  <c r="K2253" i="13"/>
  <c r="K2368" i="13"/>
  <c r="K2321" i="13"/>
  <c r="K2299" i="13"/>
  <c r="K2464" i="13"/>
  <c r="K2393" i="13"/>
  <c r="K2353" i="13"/>
  <c r="K2281" i="13"/>
  <c r="K2389" i="13"/>
  <c r="K2434" i="13"/>
  <c r="K2248" i="13"/>
  <c r="K2315" i="13"/>
  <c r="K2354" i="13"/>
  <c r="K2414" i="13"/>
  <c r="K2445" i="13"/>
  <c r="K2418" i="13"/>
  <c r="K2350" i="13"/>
  <c r="K2269" i="13"/>
  <c r="K2450" i="13"/>
  <c r="K2366" i="13"/>
  <c r="K2308" i="13"/>
  <c r="K2242" i="13"/>
  <c r="K2439" i="13"/>
  <c r="K2379" i="13"/>
  <c r="K2283" i="13"/>
  <c r="K2465" i="13"/>
  <c r="K2432" i="13"/>
  <c r="K2344" i="13"/>
  <c r="K2260" i="13"/>
  <c r="K2397" i="13"/>
  <c r="K2453" i="13"/>
  <c r="K2256" i="13"/>
  <c r="K2287" i="13"/>
  <c r="K749" i="13"/>
  <c r="Q749" i="13" s="1"/>
  <c r="K768" i="13"/>
  <c r="K772" i="13"/>
  <c r="K767" i="13"/>
  <c r="K878" i="13"/>
  <c r="K974" i="13"/>
  <c r="K951" i="13"/>
  <c r="K967" i="13"/>
  <c r="K895" i="13"/>
  <c r="K851" i="13"/>
  <c r="K960" i="13"/>
  <c r="K888" i="13"/>
  <c r="K847" i="13"/>
  <c r="K954" i="13"/>
  <c r="K880" i="13"/>
  <c r="K843" i="13"/>
  <c r="K809" i="13"/>
  <c r="K972" i="13"/>
  <c r="K841" i="13"/>
  <c r="K911" i="13"/>
  <c r="K905" i="13"/>
  <c r="K816" i="13"/>
  <c r="K764" i="13"/>
  <c r="K759" i="13"/>
  <c r="K825" i="13"/>
  <c r="K826" i="13"/>
  <c r="K986" i="13"/>
  <c r="K884" i="13"/>
  <c r="K931" i="13"/>
  <c r="K883" i="13"/>
  <c r="K868" i="13"/>
  <c r="K927" i="13"/>
  <c r="K879" i="13"/>
  <c r="K991" i="13"/>
  <c r="K923" i="13"/>
  <c r="K875" i="13"/>
  <c r="K775" i="13"/>
  <c r="K989" i="13"/>
  <c r="K915" i="13"/>
  <c r="K932" i="13"/>
  <c r="K928" i="13"/>
  <c r="K784" i="13"/>
  <c r="K849" i="13"/>
  <c r="K936" i="13"/>
  <c r="K828" i="13"/>
  <c r="K815" i="13"/>
  <c r="K792" i="13"/>
  <c r="K761" i="13"/>
  <c r="K774" i="13"/>
  <c r="K935" i="13"/>
  <c r="K871" i="13"/>
  <c r="K950" i="13"/>
  <c r="K933" i="13"/>
  <c r="K947" i="13"/>
  <c r="K802" i="13"/>
  <c r="K925" i="13"/>
  <c r="K943" i="13"/>
  <c r="K786" i="13"/>
  <c r="K917" i="13"/>
  <c r="K939" i="13"/>
  <c r="K891" i="13"/>
  <c r="K753" i="13"/>
  <c r="K785" i="13"/>
  <c r="K750" i="13"/>
  <c r="K755" i="13"/>
  <c r="K914" i="13"/>
  <c r="K810" i="13"/>
  <c r="K821" i="13"/>
  <c r="K861" i="13"/>
  <c r="K920" i="13"/>
  <c r="K795" i="13"/>
  <c r="K845" i="13"/>
  <c r="K916" i="13"/>
  <c r="K787" i="13"/>
  <c r="K820" i="13"/>
  <c r="K912" i="13"/>
  <c r="K766" i="13"/>
  <c r="K762" i="13"/>
  <c r="K945" i="13"/>
  <c r="K858" i="13"/>
  <c r="K854" i="13"/>
  <c r="K850" i="13"/>
  <c r="K780" i="13"/>
  <c r="K760" i="13"/>
  <c r="K813" i="13"/>
  <c r="K791" i="13"/>
  <c r="K799" i="13"/>
  <c r="K907" i="13"/>
  <c r="K910" i="13"/>
  <c r="K794" i="13"/>
  <c r="K838" i="13"/>
  <c r="K904" i="13"/>
  <c r="K948" i="13"/>
  <c r="K834" i="13"/>
  <c r="K899" i="13"/>
  <c r="K944" i="13"/>
  <c r="K830" i="13"/>
  <c r="K790" i="13"/>
  <c r="K965" i="13"/>
  <c r="K867" i="13"/>
  <c r="K863" i="13"/>
  <c r="K859" i="13"/>
  <c r="K756" i="13"/>
  <c r="K778" i="13"/>
  <c r="K822" i="13"/>
  <c r="K818" i="13"/>
  <c r="K811" i="13"/>
  <c r="K769" i="13"/>
  <c r="K801" i="13"/>
  <c r="K758" i="13"/>
  <c r="K887" i="13"/>
  <c r="K971" i="13"/>
  <c r="K872" i="13"/>
  <c r="K942" i="13"/>
  <c r="K864" i="13"/>
  <c r="K832" i="13"/>
  <c r="K934" i="13"/>
  <c r="K856" i="13"/>
  <c r="K824" i="13"/>
  <c r="K926" i="13"/>
  <c r="K848" i="13"/>
  <c r="K807" i="13"/>
  <c r="K771" i="13"/>
  <c r="K814" i="13"/>
  <c r="K770" i="13"/>
  <c r="K913" i="13"/>
  <c r="K862" i="13"/>
  <c r="K949" i="13"/>
  <c r="K964" i="13"/>
  <c r="K963" i="13"/>
  <c r="K842" i="13"/>
  <c r="K958" i="13"/>
  <c r="K959" i="13"/>
  <c r="K837" i="13"/>
  <c r="K953" i="13"/>
  <c r="K955" i="13"/>
  <c r="K829" i="13"/>
  <c r="K765" i="13"/>
  <c r="K988" i="13"/>
  <c r="K860" i="13"/>
  <c r="K853" i="13"/>
  <c r="K836" i="13"/>
  <c r="K776" i="13"/>
  <c r="K812" i="13"/>
  <c r="K757" i="13"/>
  <c r="K918" i="13"/>
  <c r="K940" i="13"/>
  <c r="K803" i="13"/>
  <c r="K938" i="13"/>
  <c r="K908" i="13"/>
  <c r="K874" i="13"/>
  <c r="K930" i="13"/>
  <c r="K903" i="13"/>
  <c r="K870" i="13"/>
  <c r="K922" i="13"/>
  <c r="K892" i="13"/>
  <c r="K866" i="13"/>
  <c r="K805" i="13"/>
  <c r="K819" i="13"/>
  <c r="K984" i="13"/>
  <c r="K980" i="13"/>
  <c r="K976" i="13"/>
  <c r="K763" i="13"/>
  <c r="K881" i="13"/>
  <c r="K869" i="13"/>
  <c r="K844" i="13"/>
  <c r="K833" i="13"/>
  <c r="K789" i="13"/>
  <c r="K788" i="13"/>
  <c r="K831" i="13"/>
  <c r="K897" i="13"/>
  <c r="K919" i="13"/>
  <c r="K855" i="13"/>
  <c r="K962" i="13"/>
  <c r="K937" i="13"/>
  <c r="K890" i="13"/>
  <c r="K957" i="13"/>
  <c r="K929" i="13"/>
  <c r="K886" i="13"/>
  <c r="K952" i="13"/>
  <c r="K921" i="13"/>
  <c r="K882" i="13"/>
  <c r="K946" i="13"/>
  <c r="K968" i="13"/>
  <c r="K902" i="13"/>
  <c r="K783" i="13"/>
  <c r="K969" i="13"/>
  <c r="K800" i="13"/>
  <c r="K941" i="13"/>
  <c r="K865" i="13"/>
  <c r="K773" i="13"/>
  <c r="K990" i="13"/>
  <c r="K979" i="13"/>
  <c r="K781" i="13"/>
  <c r="K840" i="13"/>
  <c r="K978" i="13"/>
  <c r="K889" i="13"/>
  <c r="K977" i="13"/>
  <c r="K983" i="13"/>
  <c r="K806" i="13"/>
  <c r="K798" i="13"/>
  <c r="K901" i="13"/>
  <c r="K779" i="13"/>
  <c r="K876" i="13"/>
  <c r="K906" i="13"/>
  <c r="K981" i="13"/>
  <c r="K966" i="13"/>
  <c r="K793" i="13"/>
  <c r="K885" i="13"/>
  <c r="K873" i="13"/>
  <c r="K777" i="13"/>
  <c r="K782" i="13"/>
  <c r="K752" i="13"/>
  <c r="K975" i="13"/>
  <c r="K796" i="13"/>
  <c r="K982" i="13"/>
  <c r="K896" i="13"/>
  <c r="K823" i="13"/>
  <c r="K817" i="13"/>
  <c r="K956" i="13"/>
  <c r="K924" i="13"/>
  <c r="K893" i="13"/>
  <c r="K987" i="13"/>
  <c r="K827" i="13"/>
  <c r="K808" i="13"/>
  <c r="K973" i="13"/>
  <c r="K961" i="13"/>
  <c r="K898" i="13"/>
  <c r="K985" i="13"/>
  <c r="K804" i="13"/>
  <c r="K839" i="13"/>
  <c r="K909" i="13"/>
  <c r="K857" i="13"/>
  <c r="K877" i="13"/>
  <c r="K894" i="13"/>
  <c r="K797" i="13"/>
  <c r="K900" i="13"/>
  <c r="K835" i="13"/>
  <c r="K970" i="13"/>
  <c r="K846" i="13"/>
  <c r="K751" i="13"/>
  <c r="K852" i="13"/>
  <c r="K754" i="13"/>
  <c r="L997" i="13"/>
  <c r="R997" i="13" s="1"/>
  <c r="L1171" i="13"/>
  <c r="L1122" i="13"/>
  <c r="L1063" i="13"/>
  <c r="L1220" i="13"/>
  <c r="L1065" i="13"/>
  <c r="L1111" i="13"/>
  <c r="L1068" i="13"/>
  <c r="L1230" i="13"/>
  <c r="L1148" i="13"/>
  <c r="L1081" i="13"/>
  <c r="L998" i="13"/>
  <c r="L1225" i="13"/>
  <c r="L1185" i="13"/>
  <c r="L1103" i="13"/>
  <c r="L1002" i="13"/>
  <c r="L1004" i="13"/>
  <c r="L1116" i="13"/>
  <c r="L1109" i="13"/>
  <c r="L1215" i="13"/>
  <c r="L1042" i="13"/>
  <c r="L1172" i="13"/>
  <c r="L1154" i="13"/>
  <c r="L1029" i="13"/>
  <c r="L1012" i="13"/>
  <c r="L1135" i="13"/>
  <c r="L1222" i="13"/>
  <c r="L1134" i="13"/>
  <c r="L1106" i="13"/>
  <c r="L1026" i="13"/>
  <c r="L1239" i="13"/>
  <c r="L1161" i="13"/>
  <c r="L1079" i="13"/>
  <c r="L999" i="13"/>
  <c r="L1159" i="13"/>
  <c r="L1085" i="13"/>
  <c r="L1062" i="13"/>
  <c r="L1146" i="13"/>
  <c r="L1208" i="13"/>
  <c r="L1096" i="13"/>
  <c r="L1060" i="13"/>
  <c r="L1229" i="13"/>
  <c r="L1188" i="13"/>
  <c r="L1136" i="13"/>
  <c r="L1040" i="13"/>
  <c r="L1186" i="13"/>
  <c r="L1209" i="13"/>
  <c r="L1086" i="13"/>
  <c r="L1031" i="13"/>
  <c r="L1219" i="13"/>
  <c r="L1137" i="13"/>
  <c r="L1061" i="13"/>
  <c r="L1001" i="13"/>
  <c r="L1155" i="13"/>
  <c r="L1077" i="13"/>
  <c r="L1058" i="13"/>
  <c r="L1133" i="13"/>
  <c r="L1078" i="13"/>
  <c r="L1174" i="13"/>
  <c r="L1033" i="13"/>
  <c r="L1075" i="13"/>
  <c r="L1181" i="13"/>
  <c r="L1118" i="13"/>
  <c r="L1212" i="13"/>
  <c r="L1167" i="13"/>
  <c r="L1105" i="13"/>
  <c r="L1193" i="13"/>
  <c r="L1124" i="13"/>
  <c r="L1176" i="13"/>
  <c r="L1088" i="13"/>
  <c r="L1129" i="13"/>
  <c r="L1235" i="13"/>
  <c r="L1017" i="13"/>
  <c r="L1037" i="13"/>
  <c r="L1074" i="13"/>
  <c r="L1184" i="13"/>
  <c r="L1178" i="13"/>
  <c r="L1231" i="13"/>
  <c r="L1013" i="13"/>
  <c r="L1038" i="13"/>
  <c r="L1236" i="13"/>
  <c r="L1072" i="13"/>
  <c r="L1115" i="13"/>
  <c r="L1024" i="13"/>
  <c r="L1234" i="13"/>
  <c r="L1152" i="13"/>
  <c r="L1089" i="13"/>
  <c r="L1006" i="13"/>
  <c r="L1199" i="13"/>
  <c r="L1173" i="13"/>
  <c r="L1091" i="13"/>
  <c r="L1011" i="13"/>
  <c r="L1179" i="13"/>
  <c r="L1126" i="13"/>
  <c r="L1071" i="13"/>
  <c r="L1162" i="13"/>
  <c r="L1183" i="13"/>
  <c r="L1034" i="13"/>
  <c r="L1130" i="13"/>
  <c r="L1141" i="13"/>
  <c r="L1023" i="13"/>
  <c r="L1131" i="13"/>
  <c r="L1168" i="13"/>
  <c r="L1121" i="13"/>
  <c r="L1010" i="13"/>
  <c r="L1053" i="13"/>
  <c r="L1084" i="13"/>
  <c r="L1165" i="13"/>
  <c r="L1083" i="13"/>
  <c r="L1003" i="13"/>
  <c r="L1041" i="13"/>
  <c r="L1093" i="13"/>
  <c r="L1066" i="13"/>
  <c r="L1198" i="13"/>
  <c r="L1196" i="13"/>
  <c r="L1049" i="13"/>
  <c r="L1048" i="13"/>
  <c r="L1226" i="13"/>
  <c r="L1144" i="13"/>
  <c r="L1051" i="13"/>
  <c r="L1030" i="13"/>
  <c r="L1194" i="13"/>
  <c r="L1213" i="13"/>
  <c r="L1090" i="13"/>
  <c r="L1000" i="13"/>
  <c r="L1223" i="13"/>
  <c r="L1145" i="13"/>
  <c r="L1069" i="13"/>
  <c r="L1005" i="13"/>
  <c r="L1143" i="13"/>
  <c r="L1139" i="13"/>
  <c r="L1046" i="13"/>
  <c r="L1166" i="13"/>
  <c r="L1192" i="13"/>
  <c r="L1140" i="13"/>
  <c r="L1044" i="13"/>
  <c r="L1216" i="13"/>
  <c r="L1108" i="13"/>
  <c r="L1028" i="13"/>
  <c r="L1112" i="13"/>
  <c r="L1189" i="13"/>
  <c r="L1217" i="13"/>
  <c r="L1019" i="13"/>
  <c r="L1163" i="13"/>
  <c r="L1055" i="13"/>
  <c r="L1104" i="13"/>
  <c r="L1160" i="13"/>
  <c r="L1120" i="13"/>
  <c r="L1025" i="13"/>
  <c r="L1020" i="13"/>
  <c r="L1123" i="13"/>
  <c r="L1204" i="13"/>
  <c r="L1218" i="13"/>
  <c r="L1022" i="13"/>
  <c r="L1059" i="13"/>
  <c r="L1110" i="13"/>
  <c r="L1151" i="13"/>
  <c r="L1054" i="13"/>
  <c r="L1132" i="13"/>
  <c r="L1205" i="13"/>
  <c r="L1027" i="13"/>
  <c r="L1043" i="13"/>
  <c r="L1187" i="13"/>
  <c r="L1238" i="13"/>
  <c r="L1156" i="13"/>
  <c r="L1097" i="13"/>
  <c r="L1014" i="13"/>
  <c r="L1207" i="13"/>
  <c r="L1177" i="13"/>
  <c r="L1095" i="13"/>
  <c r="L1015" i="13"/>
  <c r="L1158" i="13"/>
  <c r="L1114" i="13"/>
  <c r="L1047" i="13"/>
  <c r="L1182" i="13"/>
  <c r="L1092" i="13"/>
  <c r="L1119" i="13"/>
  <c r="L1035" i="13"/>
  <c r="L1197" i="13"/>
  <c r="L1195" i="13"/>
  <c r="L1018" i="13"/>
  <c r="L1107" i="13"/>
  <c r="L1201" i="13"/>
  <c r="L1232" i="13"/>
  <c r="L1045" i="13"/>
  <c r="L1076" i="13"/>
  <c r="L1164" i="13"/>
  <c r="L1170" i="13"/>
  <c r="L1228" i="13"/>
  <c r="L1138" i="13"/>
  <c r="L1101" i="13"/>
  <c r="L1070" i="13"/>
  <c r="L1224" i="13"/>
  <c r="L1200" i="13"/>
  <c r="L1080" i="13"/>
  <c r="L1052" i="13"/>
  <c r="L1210" i="13"/>
  <c r="L1113" i="13"/>
  <c r="L1098" i="13"/>
  <c r="L1016" i="13"/>
  <c r="L1150" i="13"/>
  <c r="L1169" i="13"/>
  <c r="L1087" i="13"/>
  <c r="L1007" i="13"/>
  <c r="L1227" i="13"/>
  <c r="L1149" i="13"/>
  <c r="L1073" i="13"/>
  <c r="L1009" i="13"/>
  <c r="L1147" i="13"/>
  <c r="L1067" i="13"/>
  <c r="L1050" i="13"/>
  <c r="L1221" i="13"/>
  <c r="L1180" i="13"/>
  <c r="L1128" i="13"/>
  <c r="L1032" i="13"/>
  <c r="L1202" i="13"/>
  <c r="L1100" i="13"/>
  <c r="L1094" i="13"/>
  <c r="L1008" i="13"/>
  <c r="L1214" i="13"/>
  <c r="L1125" i="13"/>
  <c r="L1191" i="13"/>
  <c r="L1117" i="13"/>
  <c r="L1127" i="13"/>
  <c r="L1099" i="13"/>
  <c r="L1190" i="13"/>
  <c r="L1064" i="13"/>
  <c r="L1021" i="13"/>
  <c r="L1175" i="13"/>
  <c r="L1203" i="13"/>
  <c r="L1057" i="13"/>
  <c r="L1237" i="13"/>
  <c r="L1056" i="13"/>
  <c r="L1102" i="13"/>
  <c r="L1157" i="13"/>
  <c r="L1142" i="13"/>
  <c r="L1206" i="13"/>
  <c r="L1233" i="13"/>
  <c r="L1036" i="13"/>
  <c r="L1082" i="13"/>
  <c r="L1153" i="13"/>
  <c r="L1039" i="13"/>
  <c r="L1211" i="13"/>
  <c r="K661" i="13"/>
  <c r="K527" i="13"/>
  <c r="K510" i="13"/>
  <c r="K556" i="13"/>
  <c r="K534" i="13"/>
  <c r="K539" i="13"/>
  <c r="K694" i="13"/>
  <c r="K552" i="13"/>
  <c r="K693" i="13"/>
  <c r="K543" i="13"/>
  <c r="K676" i="13"/>
  <c r="K664" i="13"/>
  <c r="K736" i="13"/>
  <c r="K562" i="13"/>
  <c r="K659" i="13"/>
  <c r="K733" i="13"/>
  <c r="K721" i="13"/>
  <c r="K696" i="13"/>
  <c r="K571" i="13"/>
  <c r="K567" i="13"/>
  <c r="K636" i="13"/>
  <c r="K667" i="13"/>
  <c r="K675" i="13"/>
  <c r="K732" i="13"/>
  <c r="K599" i="13"/>
  <c r="K520" i="13"/>
  <c r="K712" i="13"/>
  <c r="K588" i="13"/>
  <c r="K665" i="13"/>
  <c r="K706" i="13"/>
  <c r="K708" i="13"/>
  <c r="K559" i="13"/>
  <c r="K683" i="13"/>
  <c r="K680" i="13"/>
  <c r="K692" i="13"/>
  <c r="K741" i="13"/>
  <c r="K728" i="13"/>
  <c r="K570" i="13"/>
  <c r="K657" i="13"/>
  <c r="K525" i="13"/>
  <c r="K685" i="13"/>
  <c r="K684" i="13"/>
  <c r="K735" i="13"/>
  <c r="K610" i="13"/>
  <c r="K528" i="13"/>
  <c r="K709" i="13"/>
  <c r="K654" i="13"/>
  <c r="K558" i="13"/>
  <c r="K502" i="13"/>
  <c r="K673" i="13"/>
  <c r="K729" i="13"/>
  <c r="K629" i="13"/>
  <c r="K529" i="13"/>
  <c r="K688" i="13"/>
  <c r="K698" i="13"/>
  <c r="K625" i="13"/>
  <c r="K630" i="13"/>
  <c r="K603" i="13"/>
  <c r="K672" i="13"/>
  <c r="K687" i="13"/>
  <c r="K623" i="13"/>
  <c r="K655" i="13"/>
  <c r="K717" i="13"/>
  <c r="K600" i="13"/>
  <c r="K521" i="13"/>
  <c r="K703" i="13"/>
  <c r="K723" i="13"/>
  <c r="K545" i="13"/>
  <c r="K550" i="13"/>
  <c r="K647" i="13"/>
  <c r="K605" i="13"/>
  <c r="K631" i="13"/>
  <c r="K651" i="13"/>
  <c r="K652" i="13"/>
  <c r="K682" i="13"/>
  <c r="K637" i="13"/>
  <c r="K598" i="13"/>
  <c r="K607" i="13"/>
  <c r="K523" i="13"/>
  <c r="K611" i="13"/>
  <c r="K553" i="13"/>
  <c r="K705" i="13"/>
  <c r="K604" i="13"/>
  <c r="K591" i="13"/>
  <c r="K743" i="13"/>
  <c r="K681" i="13"/>
  <c r="K615" i="13"/>
  <c r="K511" i="13"/>
  <c r="K524" i="13"/>
  <c r="K739" i="13"/>
  <c r="K594" i="13"/>
  <c r="K519" i="13"/>
  <c r="K596" i="13"/>
  <c r="K547" i="13"/>
  <c r="K640" i="13"/>
  <c r="K617" i="13"/>
  <c r="K718" i="13"/>
  <c r="K544" i="13"/>
  <c r="K501" i="13"/>
  <c r="Q501" i="13" s="1"/>
  <c r="K609" i="13"/>
  <c r="K628" i="13"/>
  <c r="K505" i="13"/>
  <c r="K649" i="13"/>
  <c r="K722" i="13"/>
  <c r="K587" i="13"/>
  <c r="K621" i="13"/>
  <c r="K536" i="13"/>
  <c r="K548" i="13"/>
  <c r="K699" i="13"/>
  <c r="K612" i="13"/>
  <c r="K713" i="13"/>
  <c r="K690" i="13"/>
  <c r="K658" i="13"/>
  <c r="K540" i="13"/>
  <c r="K715" i="13"/>
  <c r="K602" i="13"/>
  <c r="K725" i="13"/>
  <c r="K734" i="13"/>
  <c r="K668" i="13"/>
  <c r="K549" i="13"/>
  <c r="K569" i="13"/>
  <c r="K595" i="13"/>
  <c r="K606" i="13"/>
  <c r="K620" i="13"/>
  <c r="K650" i="13"/>
  <c r="K663" i="13"/>
  <c r="K702" i="13"/>
  <c r="K633" i="13"/>
  <c r="K613" i="13"/>
  <c r="K707" i="13"/>
  <c r="K639" i="13"/>
  <c r="K711" i="13"/>
  <c r="K608" i="13"/>
  <c r="K644" i="13"/>
  <c r="K720" i="13"/>
  <c r="K574" i="13"/>
  <c r="K564" i="13"/>
  <c r="K645" i="13"/>
  <c r="K710" i="13"/>
  <c r="K662" i="13"/>
  <c r="K530" i="13"/>
  <c r="K561" i="13"/>
  <c r="K522" i="13"/>
  <c r="K669" i="13"/>
  <c r="K551" i="13"/>
  <c r="K576" i="13"/>
  <c r="K674" i="13"/>
  <c r="K616" i="13"/>
  <c r="K513" i="13"/>
  <c r="K593" i="13"/>
  <c r="K581" i="13"/>
  <c r="K656" i="13"/>
  <c r="K517" i="13"/>
  <c r="K714" i="13"/>
  <c r="K678" i="13"/>
  <c r="K622" i="13"/>
  <c r="K641" i="13"/>
  <c r="K575" i="13"/>
  <c r="K531" i="13"/>
  <c r="K560" i="13"/>
  <c r="K583" i="13"/>
  <c r="K601" i="13"/>
  <c r="K671" i="13"/>
  <c r="K557" i="13"/>
  <c r="K504" i="13"/>
  <c r="K538" i="13"/>
  <c r="K533" i="13"/>
  <c r="K532" i="13"/>
  <c r="K701" i="13"/>
  <c r="K577" i="13"/>
  <c r="K526" i="13"/>
  <c r="K742" i="13"/>
  <c r="K568" i="13"/>
  <c r="K573" i="13"/>
  <c r="K589" i="13"/>
  <c r="K586" i="13"/>
  <c r="K646" i="13"/>
  <c r="K537" i="13"/>
  <c r="K572" i="13"/>
  <c r="K691" i="13"/>
  <c r="K508" i="13"/>
  <c r="K555" i="13"/>
  <c r="K579" i="13"/>
  <c r="K535" i="13"/>
  <c r="K614" i="13"/>
  <c r="K582" i="13"/>
  <c r="K546" i="13"/>
  <c r="K666" i="13"/>
  <c r="K618" i="13"/>
  <c r="K554" i="13"/>
  <c r="K619" i="13"/>
  <c r="K704" i="13"/>
  <c r="K730" i="13"/>
  <c r="K514" i="13"/>
  <c r="K566" i="13"/>
  <c r="K719" i="13"/>
  <c r="K689" i="13"/>
  <c r="K632" i="13"/>
  <c r="K740" i="13"/>
  <c r="K660" i="13"/>
  <c r="K653" i="13"/>
  <c r="K541" i="13"/>
  <c r="K695" i="13"/>
  <c r="K697" i="13"/>
  <c r="K565" i="13"/>
  <c r="K578" i="13"/>
  <c r="K518" i="13"/>
  <c r="K597" i="13"/>
  <c r="K635" i="13"/>
  <c r="K592" i="13"/>
  <c r="K627" i="13"/>
  <c r="K638" i="13"/>
  <c r="K584" i="13"/>
  <c r="K580" i="13"/>
  <c r="K726" i="13"/>
  <c r="K643" i="13"/>
  <c r="K731" i="13"/>
  <c r="K509" i="13"/>
  <c r="K677" i="13"/>
  <c r="K738" i="13"/>
  <c r="K670" i="13"/>
  <c r="K516" i="13"/>
  <c r="K634" i="13"/>
  <c r="K716" i="13"/>
  <c r="K507" i="13"/>
  <c r="K737" i="13"/>
  <c r="K626" i="13"/>
  <c r="K503" i="13"/>
  <c r="K590" i="13"/>
  <c r="K724" i="13"/>
  <c r="K542" i="13"/>
  <c r="K642" i="13"/>
  <c r="K686" i="13"/>
  <c r="K585" i="13"/>
  <c r="K506" i="13"/>
  <c r="K512" i="13"/>
  <c r="K515" i="13"/>
  <c r="K624" i="13"/>
  <c r="K563" i="13"/>
  <c r="K648" i="13"/>
  <c r="K700" i="13"/>
  <c r="K727" i="13"/>
  <c r="K679" i="13"/>
  <c r="N738" i="13"/>
  <c r="N632" i="13"/>
  <c r="N612" i="13"/>
  <c r="N643" i="13"/>
  <c r="N562" i="13"/>
  <c r="N600" i="13"/>
  <c r="N521" i="13"/>
  <c r="N515" i="13"/>
  <c r="N554" i="13"/>
  <c r="N570" i="13"/>
  <c r="N565" i="13"/>
  <c r="N561" i="13"/>
  <c r="N734" i="13"/>
  <c r="N646" i="13"/>
  <c r="N605" i="13"/>
  <c r="N631" i="13"/>
  <c r="N599" i="13"/>
  <c r="N650" i="13"/>
  <c r="N506" i="13"/>
  <c r="N591" i="13"/>
  <c r="N710" i="13"/>
  <c r="N695" i="13"/>
  <c r="N685" i="13"/>
  <c r="N741" i="13"/>
  <c r="N711" i="13"/>
  <c r="N679" i="13"/>
  <c r="N728" i="13"/>
  <c r="N516" i="13"/>
  <c r="N594" i="13"/>
  <c r="N564" i="13"/>
  <c r="N526" i="13"/>
  <c r="N511" i="13"/>
  <c r="N610" i="13"/>
  <c r="N673" i="13"/>
  <c r="N527" i="13"/>
  <c r="N629" i="13"/>
  <c r="N655" i="13"/>
  <c r="N626" i="13"/>
  <c r="N686" i="13"/>
  <c r="N581" i="13"/>
  <c r="N536" i="13"/>
  <c r="N721" i="13"/>
  <c r="N548" i="13"/>
  <c r="N647" i="13"/>
  <c r="N537" i="13"/>
  <c r="N663" i="13"/>
  <c r="N633" i="13"/>
  <c r="N596" i="13"/>
  <c r="N709" i="13"/>
  <c r="N576" i="13"/>
  <c r="N544" i="13"/>
  <c r="N635" i="13"/>
  <c r="N601" i="13"/>
  <c r="N613" i="13"/>
  <c r="N691" i="13"/>
  <c r="N719" i="13"/>
  <c r="N587" i="13"/>
  <c r="N640" i="13"/>
  <c r="N502" i="13"/>
  <c r="N625" i="13"/>
  <c r="N639" i="13"/>
  <c r="N543" i="13"/>
  <c r="N524" i="13"/>
  <c r="N701" i="13"/>
  <c r="N555" i="13"/>
  <c r="N717" i="13"/>
  <c r="N540" i="13"/>
  <c r="N720" i="13"/>
  <c r="N696" i="13"/>
  <c r="N716" i="13"/>
  <c r="N615" i="13"/>
  <c r="N735" i="13"/>
  <c r="N725" i="13"/>
  <c r="N656" i="13"/>
  <c r="N636" i="13"/>
  <c r="N569" i="13"/>
  <c r="N595" i="13"/>
  <c r="N652" i="13"/>
  <c r="N541" i="13"/>
  <c r="N700" i="13"/>
  <c r="N598" i="13"/>
  <c r="N503" i="13"/>
  <c r="N622" i="13"/>
  <c r="N648" i="13"/>
  <c r="N618" i="13"/>
  <c r="N624" i="13"/>
  <c r="N584" i="13"/>
  <c r="N504" i="13"/>
  <c r="N514" i="13"/>
  <c r="N509" i="13"/>
  <c r="N578" i="13"/>
  <c r="N726" i="13"/>
  <c r="N575" i="13"/>
  <c r="N641" i="13"/>
  <c r="N609" i="13"/>
  <c r="N593" i="13"/>
  <c r="N505" i="13"/>
  <c r="N556" i="13"/>
  <c r="N568" i="13"/>
  <c r="N539" i="13"/>
  <c r="N621" i="13"/>
  <c r="N586" i="13"/>
  <c r="N703" i="13"/>
  <c r="N723" i="13"/>
  <c r="N727" i="13"/>
  <c r="N520" i="13"/>
  <c r="N714" i="13"/>
  <c r="N706" i="13"/>
  <c r="N579" i="13"/>
  <c r="N518" i="13"/>
  <c r="N558" i="13"/>
  <c r="N563" i="13"/>
  <c r="N583" i="13"/>
  <c r="N546" i="13"/>
  <c r="N559" i="13"/>
  <c r="N608" i="13"/>
  <c r="N611" i="13"/>
  <c r="N522" i="13"/>
  <c r="N551" i="13"/>
  <c r="N560" i="13"/>
  <c r="N588" i="13"/>
  <c r="N534" i="13"/>
  <c r="N699" i="13"/>
  <c r="N676" i="13"/>
  <c r="N664" i="13"/>
  <c r="N589" i="13"/>
  <c r="N658" i="13"/>
  <c r="N743" i="13"/>
  <c r="N715" i="13"/>
  <c r="N681" i="13"/>
  <c r="N585" i="13"/>
  <c r="N530" i="13"/>
  <c r="N519" i="13"/>
  <c r="N660" i="13"/>
  <c r="N567" i="13"/>
  <c r="N549" i="13"/>
  <c r="N653" i="13"/>
  <c r="N651" i="13"/>
  <c r="N620" i="13"/>
  <c r="N712" i="13"/>
  <c r="N692" i="13"/>
  <c r="N731" i="13"/>
  <c r="N671" i="13"/>
  <c r="N666" i="13"/>
  <c r="N638" i="13"/>
  <c r="N677" i="13"/>
  <c r="N680" i="13"/>
  <c r="N508" i="13"/>
  <c r="N532" i="13"/>
  <c r="N684" i="13"/>
  <c r="N538" i="13"/>
  <c r="N507" i="13"/>
  <c r="N657" i="13"/>
  <c r="N566" i="13"/>
  <c r="N672" i="13"/>
  <c r="N512" i="13"/>
  <c r="N628" i="13"/>
  <c r="N713" i="13"/>
  <c r="N529" i="13"/>
  <c r="N659" i="13"/>
  <c r="N698" i="13"/>
  <c r="N552" i="13"/>
  <c r="N573" i="13"/>
  <c r="N602" i="13"/>
  <c r="N571" i="13"/>
  <c r="N517" i="13"/>
  <c r="N682" i="13"/>
  <c r="N702" i="13"/>
  <c r="N616" i="13"/>
  <c r="N547" i="13"/>
  <c r="N654" i="13"/>
  <c r="N718" i="13"/>
  <c r="N597" i="13"/>
  <c r="N634" i="13"/>
  <c r="N729" i="13"/>
  <c r="N553" i="13"/>
  <c r="N742" i="13"/>
  <c r="N678" i="13"/>
  <c r="N528" i="13"/>
  <c r="N531" i="13"/>
  <c r="N614" i="13"/>
  <c r="N708" i="13"/>
  <c r="N501" i="13"/>
  <c r="T501" i="13" s="1"/>
  <c r="N690" i="13"/>
  <c r="N662" i="13"/>
  <c r="N545" i="13"/>
  <c r="N606" i="13"/>
  <c r="N572" i="13"/>
  <c r="N705" i="13"/>
  <c r="N580" i="13"/>
  <c r="N645" i="13"/>
  <c r="N736" i="13"/>
  <c r="N630" i="13"/>
  <c r="N732" i="13"/>
  <c r="N590" i="13"/>
  <c r="N592" i="13"/>
  <c r="N688" i="13"/>
  <c r="N683" i="13"/>
  <c r="N525" i="13"/>
  <c r="N740" i="13"/>
  <c r="N642" i="13"/>
  <c r="N668" i="13"/>
  <c r="N670" i="13"/>
  <c r="N644" i="13"/>
  <c r="N604" i="13"/>
  <c r="N619" i="13"/>
  <c r="N661" i="13"/>
  <c r="N649" i="13"/>
  <c r="N693" i="13"/>
  <c r="N637" i="13"/>
  <c r="N617" i="13"/>
  <c r="N523" i="13"/>
  <c r="N669" i="13"/>
  <c r="N623" i="13"/>
  <c r="N739" i="13"/>
  <c r="N577" i="13"/>
  <c r="N675" i="13"/>
  <c r="N724" i="13"/>
  <c r="N557" i="13"/>
  <c r="N574" i="13"/>
  <c r="N533" i="13"/>
  <c r="N510" i="13"/>
  <c r="N689" i="13"/>
  <c r="N550" i="13"/>
  <c r="N513" i="13"/>
  <c r="N737" i="13"/>
  <c r="N665" i="13"/>
  <c r="N582" i="13"/>
  <c r="N733" i="13"/>
  <c r="N707" i="13"/>
  <c r="N722" i="13"/>
  <c r="N694" i="13"/>
  <c r="N687" i="13"/>
  <c r="N730" i="13"/>
  <c r="N697" i="13"/>
  <c r="N603" i="13"/>
  <c r="N674" i="13"/>
  <c r="N704" i="13"/>
  <c r="N667" i="13"/>
  <c r="N542" i="13"/>
  <c r="N607" i="13"/>
  <c r="N627" i="13"/>
  <c r="N535" i="13"/>
  <c r="M1676" i="13"/>
  <c r="M1532" i="13"/>
  <c r="M1525" i="13"/>
  <c r="M1559" i="13"/>
  <c r="M1724" i="13"/>
  <c r="M1663" i="13"/>
  <c r="M1697" i="13"/>
  <c r="M1586" i="13"/>
  <c r="M1695" i="13"/>
  <c r="M1552" i="13"/>
  <c r="M1596" i="13"/>
  <c r="M1641" i="13"/>
  <c r="M1665" i="13"/>
  <c r="M1561" i="13"/>
  <c r="M1601" i="13"/>
  <c r="M1644" i="13"/>
  <c r="M1572" i="13"/>
  <c r="M1498" i="13"/>
  <c r="M1667" i="13"/>
  <c r="M1690" i="13"/>
  <c r="M1653" i="13"/>
  <c r="M1625" i="13"/>
  <c r="M1588" i="13"/>
  <c r="M1733" i="13"/>
  <c r="M1595" i="13"/>
  <c r="M1577" i="13"/>
  <c r="M1534" i="13"/>
  <c r="M1714" i="13"/>
  <c r="M1585" i="13"/>
  <c r="M1683" i="13"/>
  <c r="M1507" i="13"/>
  <c r="M1538" i="13"/>
  <c r="M1698" i="13"/>
  <c r="M1522" i="13"/>
  <c r="M1583" i="13"/>
  <c r="M1658" i="13"/>
  <c r="M1563" i="13"/>
  <c r="M1696" i="13"/>
  <c r="M1568" i="13"/>
  <c r="M1678" i="13"/>
  <c r="M1700" i="13"/>
  <c r="M1569" i="13"/>
  <c r="M1600" i="13"/>
  <c r="M1526" i="13"/>
  <c r="M1608" i="13"/>
  <c r="M1732" i="13"/>
  <c r="M1545" i="13"/>
  <c r="M1548" i="13"/>
  <c r="M1716" i="13"/>
  <c r="M1634" i="13"/>
  <c r="M1627" i="13"/>
  <c r="M1592" i="13"/>
  <c r="M1613" i="13"/>
  <c r="M1533" i="13"/>
  <c r="M1574" i="13"/>
  <c r="M1731" i="13"/>
  <c r="M1651" i="13"/>
  <c r="M1722" i="13"/>
  <c r="M1590" i="13"/>
  <c r="M1618" i="13"/>
  <c r="M1527" i="13"/>
  <c r="M1636" i="13"/>
  <c r="M1635" i="13"/>
  <c r="M1535" i="13"/>
  <c r="M1602" i="13"/>
  <c r="M1550" i="13"/>
  <c r="M1587" i="13"/>
  <c r="M1649" i="13"/>
  <c r="M1513" i="13"/>
  <c r="M1623" i="13"/>
  <c r="M1726" i="13"/>
  <c r="M1528" i="13"/>
  <c r="M1701" i="13"/>
  <c r="M1605" i="13"/>
  <c r="M1616" i="13"/>
  <c r="M1566" i="13"/>
  <c r="M1670" i="13"/>
  <c r="M1497" i="13"/>
  <c r="S1497" i="13" s="1"/>
  <c r="M1502" i="13"/>
  <c r="M1564" i="13"/>
  <c r="M1671" i="13"/>
  <c r="M1715" i="13"/>
  <c r="M1723" i="13"/>
  <c r="M1720" i="13"/>
  <c r="M1689" i="13"/>
  <c r="M1518" i="13"/>
  <c r="M1637" i="13"/>
  <c r="M1523" i="13"/>
  <c r="M1679" i="13"/>
  <c r="M1730" i="13"/>
  <c r="M1661" i="13"/>
  <c r="M1495" i="13"/>
  <c r="M1496" i="13"/>
  <c r="M1662" i="13"/>
  <c r="M1504" i="13"/>
  <c r="M1620" i="13"/>
  <c r="M1598" i="13"/>
  <c r="M1565" i="13"/>
  <c r="M1675" i="13"/>
  <c r="M1712" i="13"/>
  <c r="M1603" i="13"/>
  <c r="M1729" i="13"/>
  <c r="M1560" i="13"/>
  <c r="M1615" i="13"/>
  <c r="M1553" i="13"/>
  <c r="M1508" i="13"/>
  <c r="M1562" i="13"/>
  <c r="M1706" i="13"/>
  <c r="M1626" i="13"/>
  <c r="M1617" i="13"/>
  <c r="M1555" i="13"/>
  <c r="M1657" i="13"/>
  <c r="M1680" i="13"/>
  <c r="M1597" i="13"/>
  <c r="M1521" i="13"/>
  <c r="M1509" i="13"/>
  <c r="M1542" i="13"/>
  <c r="M1536" i="13"/>
  <c r="M1606" i="13"/>
  <c r="M1506" i="13"/>
  <c r="M1537" i="13"/>
  <c r="M1493" i="13"/>
  <c r="M1621" i="13"/>
  <c r="M1629" i="13"/>
  <c r="M1612" i="13"/>
  <c r="M1549" i="13"/>
  <c r="M1517" i="13"/>
  <c r="M1648" i="13"/>
  <c r="M1728" i="13"/>
  <c r="M1519" i="13"/>
  <c r="M1622" i="13"/>
  <c r="M1707" i="13"/>
  <c r="M1719" i="13"/>
  <c r="M1686" i="13"/>
  <c r="M1512" i="13"/>
  <c r="M1573" i="13"/>
  <c r="M1551" i="13"/>
  <c r="M1575" i="13"/>
  <c r="M1529" i="13"/>
  <c r="M1664" i="13"/>
  <c r="M1674" i="13"/>
  <c r="M1638" i="13"/>
  <c r="M1516" i="13"/>
  <c r="M1589" i="13"/>
  <c r="M1721" i="13"/>
  <c r="M1594" i="13"/>
  <c r="M1687" i="13"/>
  <c r="M1558" i="13"/>
  <c r="M1673" i="13"/>
  <c r="M1633" i="13"/>
  <c r="M1704" i="13"/>
  <c r="M1557" i="13"/>
  <c r="M1543" i="13"/>
  <c r="M1650" i="13"/>
  <c r="M1656" i="13"/>
  <c r="M1505" i="13"/>
  <c r="M1659" i="13"/>
  <c r="M1692" i="13"/>
  <c r="M1494" i="13"/>
  <c r="M1666" i="13"/>
  <c r="M1604" i="13"/>
  <c r="M1580" i="13"/>
  <c r="M1681" i="13"/>
  <c r="M1599" i="13"/>
  <c r="M1735" i="13"/>
  <c r="M1691" i="13"/>
  <c r="M1685" i="13"/>
  <c r="M1544" i="13"/>
  <c r="M1705" i="13"/>
  <c r="M1591" i="13"/>
  <c r="M1684" i="13"/>
  <c r="M1699" i="13"/>
  <c r="M1694" i="13"/>
  <c r="M1645" i="13"/>
  <c r="M1531" i="13"/>
  <c r="M1501" i="13"/>
  <c r="M1668" i="13"/>
  <c r="M1503" i="13"/>
  <c r="M1510" i="13"/>
  <c r="M1643" i="13"/>
  <c r="M1640" i="13"/>
  <c r="M1693" i="13"/>
  <c r="M1547" i="13"/>
  <c r="M1660" i="13"/>
  <c r="M1630" i="13"/>
  <c r="M1607" i="13"/>
  <c r="M1631" i="13"/>
  <c r="M1710" i="13"/>
  <c r="M1639" i="13"/>
  <c r="M1541" i="13"/>
  <c r="M1734" i="13"/>
  <c r="M1554" i="13"/>
  <c r="M1579" i="13"/>
  <c r="M1646" i="13"/>
  <c r="M1520" i="13"/>
  <c r="M1539" i="13"/>
  <c r="M1628" i="13"/>
  <c r="M1624" i="13"/>
  <c r="M1727" i="13"/>
  <c r="M1540" i="13"/>
  <c r="M1619" i="13"/>
  <c r="M1703" i="13"/>
  <c r="M1708" i="13"/>
  <c r="M1609" i="13"/>
  <c r="M1725" i="13"/>
  <c r="M1652" i="13"/>
  <c r="M1709" i="13"/>
  <c r="M1576" i="13"/>
  <c r="M1611" i="13"/>
  <c r="M1567" i="13"/>
  <c r="M1524" i="13"/>
  <c r="M1632" i="13"/>
  <c r="M1669" i="13"/>
  <c r="M1677" i="13"/>
  <c r="M1717" i="13"/>
  <c r="M1718" i="13"/>
  <c r="M1647" i="13"/>
  <c r="M1499" i="13"/>
  <c r="M1578" i="13"/>
  <c r="M1610" i="13"/>
  <c r="M1642" i="13"/>
  <c r="M1546" i="13"/>
  <c r="M1654" i="13"/>
  <c r="M1688" i="13"/>
  <c r="M1511" i="13"/>
  <c r="M1584" i="13"/>
  <c r="M1570" i="13"/>
  <c r="M1515" i="13"/>
  <c r="M1614" i="13"/>
  <c r="M1711" i="13"/>
  <c r="M1672" i="13"/>
  <c r="M1713" i="13"/>
  <c r="M1530" i="13"/>
  <c r="M1571" i="13"/>
  <c r="M1556" i="13"/>
  <c r="M1655" i="13"/>
  <c r="M1514" i="13"/>
  <c r="M1682" i="13"/>
  <c r="M1702" i="13"/>
  <c r="M1581" i="13"/>
  <c r="M1593" i="13"/>
  <c r="M1582" i="13"/>
  <c r="M1500" i="13"/>
  <c r="O2296" i="13"/>
  <c r="O2446" i="13"/>
  <c r="O2451" i="13"/>
  <c r="O2323" i="13"/>
  <c r="O2439" i="13"/>
  <c r="O2432" i="13"/>
  <c r="O2269" i="13"/>
  <c r="O2426" i="13"/>
  <c r="O2374" i="13"/>
  <c r="O2298" i="13"/>
  <c r="O2409" i="13"/>
  <c r="O2380" i="13"/>
  <c r="O2284" i="13"/>
  <c r="O2306" i="13"/>
  <c r="O2264" i="13"/>
  <c r="O2246" i="13"/>
  <c r="O2401" i="13"/>
  <c r="O2271" i="13"/>
  <c r="O2405" i="13"/>
  <c r="O2376" i="13"/>
  <c r="O2353" i="13"/>
  <c r="O2395" i="13"/>
  <c r="O2249" i="13"/>
  <c r="O2338" i="13"/>
  <c r="O2397" i="13"/>
  <c r="O2333" i="13"/>
  <c r="O2420" i="13"/>
  <c r="O2287" i="13"/>
  <c r="O2373" i="13"/>
  <c r="O2427" i="13"/>
  <c r="O2253" i="13"/>
  <c r="O2364" i="13"/>
  <c r="O2341" i="13"/>
  <c r="O2390" i="13"/>
  <c r="O2459" i="13"/>
  <c r="O2240" i="13"/>
  <c r="O2367" i="13"/>
  <c r="O2254" i="13"/>
  <c r="O2352" i="13"/>
  <c r="O2478" i="13"/>
  <c r="O2419" i="13"/>
  <c r="O2468" i="13"/>
  <c r="O2345" i="13"/>
  <c r="O2324" i="13"/>
  <c r="O2456" i="13"/>
  <c r="O2299" i="13"/>
  <c r="O2388" i="13"/>
  <c r="O2349" i="13"/>
  <c r="O2252" i="13"/>
  <c r="O2270" i="13"/>
  <c r="O2340" i="13"/>
  <c r="O2421" i="13"/>
  <c r="O2295" i="13"/>
  <c r="O2437" i="13"/>
  <c r="O2277" i="13"/>
  <c r="O2406" i="13"/>
  <c r="O2337" i="13"/>
  <c r="O2381" i="13"/>
  <c r="O2410" i="13"/>
  <c r="O2450" i="13"/>
  <c r="O2286" i="13"/>
  <c r="O2392" i="13"/>
  <c r="O2359" i="13"/>
  <c r="O2344" i="13"/>
  <c r="O2443" i="13"/>
  <c r="O2379" i="13"/>
  <c r="O2316" i="13"/>
  <c r="O2430" i="13"/>
  <c r="O2358" i="13"/>
  <c r="O2250" i="13"/>
  <c r="O2237" i="13"/>
  <c r="U2237" i="13" s="1"/>
  <c r="O2399" i="13"/>
  <c r="O2262" i="13"/>
  <c r="O2454" i="13"/>
  <c r="O2455" i="13"/>
  <c r="O2408" i="13"/>
  <c r="O2382" i="13"/>
  <c r="O2278" i="13"/>
  <c r="O2385" i="13"/>
  <c r="O2248" i="13"/>
  <c r="O2471" i="13"/>
  <c r="O2400" i="13"/>
  <c r="O2467" i="13"/>
  <c r="O2247" i="13"/>
  <c r="O2325" i="13"/>
  <c r="O2259" i="13"/>
  <c r="O2244" i="13"/>
  <c r="O2442" i="13"/>
  <c r="O2329" i="13"/>
  <c r="O2387" i="13"/>
  <c r="O2273" i="13"/>
  <c r="O2251" i="13"/>
  <c r="O2423" i="13"/>
  <c r="O2266" i="13"/>
  <c r="O2403" i="13"/>
  <c r="O2274" i="13"/>
  <c r="O2393" i="13"/>
  <c r="O2413" i="13"/>
  <c r="O2289" i="13"/>
  <c r="O2448" i="13"/>
  <c r="O2428" i="13"/>
  <c r="O2281" i="13"/>
  <c r="O2245" i="13"/>
  <c r="O2318" i="13"/>
  <c r="O2362" i="13"/>
  <c r="O2469" i="13"/>
  <c r="O2265" i="13"/>
  <c r="O2431" i="13"/>
  <c r="O2327" i="13"/>
  <c r="O2261" i="13"/>
  <c r="O2334" i="13"/>
  <c r="O2378" i="13"/>
  <c r="O2418" i="13"/>
  <c r="O2350" i="13"/>
  <c r="O2396" i="13"/>
  <c r="O2475" i="13"/>
  <c r="O2357" i="13"/>
  <c r="O2369" i="13"/>
  <c r="O2407" i="13"/>
  <c r="O2447" i="13"/>
  <c r="O2356" i="13"/>
  <c r="O2366" i="13"/>
  <c r="O2304" i="13"/>
  <c r="O2476" i="13"/>
  <c r="O2383" i="13"/>
  <c r="O2283" i="13"/>
  <c r="O2438" i="13"/>
  <c r="O2282" i="13"/>
  <c r="O2239" i="13"/>
  <c r="O2416" i="13"/>
  <c r="O2470" i="13"/>
  <c r="O2477" i="13"/>
  <c r="O2445" i="13"/>
  <c r="O2312" i="13"/>
  <c r="O2279" i="13"/>
  <c r="O2355" i="13"/>
  <c r="O2258" i="13"/>
  <c r="O2474" i="13"/>
  <c r="O2307" i="13"/>
  <c r="O2425" i="13"/>
  <c r="O2398" i="13"/>
  <c r="O2473" i="13"/>
  <c r="O2326" i="13"/>
  <c r="O2346" i="13"/>
  <c r="O2371" i="13"/>
  <c r="O2361" i="13"/>
  <c r="O2342" i="13"/>
  <c r="O2435" i="13"/>
  <c r="O2365" i="13"/>
  <c r="O2384" i="13"/>
  <c r="O2280" i="13"/>
  <c r="O2444" i="13"/>
  <c r="O2291" i="13"/>
  <c r="O2311" i="13"/>
  <c r="O2440" i="13"/>
  <c r="O2363" i="13"/>
  <c r="O2310" i="13"/>
  <c r="O2319" i="13"/>
  <c r="O2330" i="13"/>
  <c r="O2368" i="13"/>
  <c r="O2335" i="13"/>
  <c r="O2314" i="13"/>
  <c r="O2242" i="13"/>
  <c r="O2315" i="13"/>
  <c r="O2464" i="13"/>
  <c r="O2466" i="13"/>
  <c r="O2402" i="13"/>
  <c r="O2347" i="13"/>
  <c r="O2417" i="13"/>
  <c r="O2263" i="13"/>
  <c r="O2331" i="13"/>
  <c r="O2375" i="13"/>
  <c r="O2415" i="13"/>
  <c r="O2292" i="13"/>
  <c r="O2290" i="13"/>
  <c r="O2354" i="13"/>
  <c r="O2297" i="13"/>
  <c r="O2308" i="13"/>
  <c r="O2404" i="13"/>
  <c r="O2320" i="13"/>
  <c r="O2434" i="13"/>
  <c r="O2429" i="13"/>
  <c r="O2288" i="13"/>
  <c r="O2238" i="13"/>
  <c r="O2305" i="13"/>
  <c r="O2255" i="13"/>
  <c r="O2465" i="13"/>
  <c r="O2309" i="13"/>
  <c r="O2461" i="13"/>
  <c r="O2458" i="13"/>
  <c r="O2332" i="13"/>
  <c r="O2370" i="13"/>
  <c r="O2313" i="13"/>
  <c r="O2336" i="13"/>
  <c r="O2351" i="13"/>
  <c r="O2360" i="13"/>
  <c r="O2339" i="13"/>
  <c r="O2348" i="13"/>
  <c r="O2294" i="13"/>
  <c r="O2411" i="13"/>
  <c r="O2301" i="13"/>
  <c r="O2317" i="13"/>
  <c r="O2424" i="13"/>
  <c r="O2303" i="13"/>
  <c r="O2328" i="13"/>
  <c r="O2275" i="13"/>
  <c r="O2322" i="13"/>
  <c r="O2412" i="13"/>
  <c r="O2257" i="13"/>
  <c r="O2460" i="13"/>
  <c r="O2449" i="13"/>
  <c r="O2441" i="13"/>
  <c r="O2386" i="13"/>
  <c r="O2285" i="13"/>
  <c r="O2272" i="13"/>
  <c r="O2414" i="13"/>
  <c r="O2457" i="13"/>
  <c r="O2300" i="13"/>
  <c r="O2241" i="13"/>
  <c r="O2343" i="13"/>
  <c r="O2433" i="13"/>
  <c r="O2472" i="13"/>
  <c r="O2436" i="13"/>
  <c r="O2267" i="13"/>
  <c r="O2260" i="13"/>
  <c r="O2452" i="13"/>
  <c r="O2463" i="13"/>
  <c r="O2321" i="13"/>
  <c r="O2394" i="13"/>
  <c r="O2268" i="13"/>
  <c r="O2422" i="13"/>
  <c r="O2243" i="13"/>
  <c r="O2276" i="13"/>
  <c r="O2372" i="13"/>
  <c r="O2479" i="13"/>
  <c r="O2462" i="13"/>
  <c r="O2391" i="13"/>
  <c r="O2256" i="13"/>
  <c r="O2377" i="13"/>
  <c r="O2302" i="13"/>
  <c r="O2389" i="13"/>
  <c r="O2453" i="13"/>
  <c r="O2293" i="13"/>
  <c r="O2144" i="13"/>
  <c r="O2172" i="13"/>
  <c r="O2064" i="13"/>
  <c r="O2175" i="13"/>
  <c r="O1995" i="13"/>
  <c r="O2010" i="13"/>
  <c r="O2060" i="13"/>
  <c r="O2187" i="13"/>
  <c r="O2182" i="13"/>
  <c r="O2011" i="13"/>
  <c r="O2146" i="13"/>
  <c r="O2158" i="13"/>
  <c r="O2082" i="13"/>
  <c r="O2012" i="13"/>
  <c r="O2029" i="13"/>
  <c r="O2061" i="13"/>
  <c r="O2119" i="13"/>
  <c r="O2145" i="13"/>
  <c r="O2203" i="13"/>
  <c r="O2132" i="13"/>
  <c r="O2028" i="13"/>
  <c r="O2180" i="13"/>
  <c r="O2114" i="13"/>
  <c r="O2160" i="13"/>
  <c r="O2120" i="13"/>
  <c r="O2080" i="13"/>
  <c r="O2128" i="13"/>
  <c r="O2174" i="13"/>
  <c r="O2086" i="13"/>
  <c r="O2051" i="13"/>
  <c r="O2074" i="13"/>
  <c r="O2185" i="13"/>
  <c r="O2059" i="13"/>
  <c r="O2049" i="13"/>
  <c r="O2068" i="13"/>
  <c r="O2205" i="13"/>
  <c r="O2014" i="13"/>
  <c r="O2017" i="13"/>
  <c r="O2041" i="13"/>
  <c r="O2151" i="13"/>
  <c r="O2206" i="13"/>
  <c r="O1990" i="13"/>
  <c r="O2148" i="13"/>
  <c r="O2208" i="13"/>
  <c r="O2034" i="13"/>
  <c r="O2162" i="13"/>
  <c r="O1993" i="13"/>
  <c r="O2117" i="13"/>
  <c r="O2057" i="13"/>
  <c r="O2007" i="13"/>
  <c r="O2110" i="13"/>
  <c r="O2138" i="13"/>
  <c r="O2183" i="13"/>
  <c r="O2152" i="13"/>
  <c r="O2173" i="13"/>
  <c r="O2094" i="13"/>
  <c r="O2106" i="13"/>
  <c r="O2100" i="13"/>
  <c r="O2161" i="13"/>
  <c r="O2095" i="13"/>
  <c r="O2026" i="13"/>
  <c r="O2032" i="13"/>
  <c r="O2179" i="13"/>
  <c r="O2065" i="13"/>
  <c r="O2027" i="13"/>
  <c r="O2142" i="13"/>
  <c r="O2039" i="13"/>
  <c r="O2104" i="13"/>
  <c r="O2098" i="13"/>
  <c r="O2227" i="13"/>
  <c r="O2157" i="13"/>
  <c r="O2054" i="13"/>
  <c r="O2124" i="13"/>
  <c r="O1994" i="13"/>
  <c r="O2044" i="13"/>
  <c r="O2134" i="13"/>
  <c r="O2225" i="13"/>
  <c r="O2035" i="13"/>
  <c r="O2223" i="13"/>
  <c r="O2178" i="13"/>
  <c r="O2136" i="13"/>
  <c r="O2181" i="13"/>
  <c r="O2210" i="13"/>
  <c r="O2009" i="13"/>
  <c r="O2200" i="13"/>
  <c r="O2204" i="13"/>
  <c r="O1996" i="13"/>
  <c r="O2066" i="13"/>
  <c r="O2125" i="13"/>
  <c r="O2212" i="13"/>
  <c r="O2037" i="13"/>
  <c r="O2149" i="13"/>
  <c r="O2211" i="13"/>
  <c r="O2024" i="13"/>
  <c r="O2062" i="13"/>
  <c r="O2143" i="13"/>
  <c r="O2202" i="13"/>
  <c r="O2087" i="13"/>
  <c r="O2093" i="13"/>
  <c r="O2090" i="13"/>
  <c r="O2201" i="13"/>
  <c r="O2109" i="13"/>
  <c r="O2089" i="13"/>
  <c r="O2084" i="13"/>
  <c r="O2221" i="13"/>
  <c r="O2079" i="13"/>
  <c r="O2207" i="13"/>
  <c r="O2002" i="13"/>
  <c r="O2118" i="13"/>
  <c r="O2209" i="13"/>
  <c r="O2063" i="13"/>
  <c r="O2111" i="13"/>
  <c r="O2188" i="13"/>
  <c r="O2103" i="13"/>
  <c r="O1991" i="13"/>
  <c r="O2214" i="13"/>
  <c r="O2170" i="13"/>
  <c r="O2000" i="13"/>
  <c r="O2129" i="13"/>
  <c r="O2155" i="13"/>
  <c r="O2191" i="13"/>
  <c r="O2077" i="13"/>
  <c r="O2071" i="13"/>
  <c r="O2217" i="13"/>
  <c r="O2130" i="13"/>
  <c r="O2075" i="13"/>
  <c r="O2193" i="13"/>
  <c r="O2230" i="13"/>
  <c r="O2047" i="13"/>
  <c r="O2127" i="13"/>
  <c r="O2198" i="13"/>
  <c r="O2005" i="13"/>
  <c r="O2021" i="13"/>
  <c r="O2192" i="13"/>
  <c r="O2050" i="13"/>
  <c r="O2072" i="13"/>
  <c r="O2140" i="13"/>
  <c r="O2171" i="13"/>
  <c r="O2102" i="13"/>
  <c r="O2070" i="13"/>
  <c r="O2194" i="13"/>
  <c r="O2219" i="13"/>
  <c r="O2226" i="13"/>
  <c r="O2213" i="13"/>
  <c r="O2048" i="13"/>
  <c r="O2159" i="13"/>
  <c r="O2168" i="13"/>
  <c r="O2176" i="13"/>
  <c r="O2016" i="13"/>
  <c r="O2003" i="13"/>
  <c r="O2165" i="13"/>
  <c r="O2055" i="13"/>
  <c r="O2147" i="13"/>
  <c r="O2105" i="13"/>
  <c r="O1997" i="13"/>
  <c r="O2135" i="13"/>
  <c r="O2154" i="13"/>
  <c r="O2199" i="13"/>
  <c r="O2076" i="13"/>
  <c r="O2069" i="13"/>
  <c r="O2091" i="13"/>
  <c r="O2019" i="13"/>
  <c r="O2045" i="13"/>
  <c r="O2078" i="13"/>
  <c r="O2164" i="13"/>
  <c r="O2218" i="13"/>
  <c r="O2038" i="13"/>
  <c r="O2015" i="13"/>
  <c r="O2042" i="13"/>
  <c r="O2169" i="13"/>
  <c r="O2023" i="13"/>
  <c r="O2022" i="13"/>
  <c r="O2052" i="13"/>
  <c r="O2189" i="13"/>
  <c r="O1999" i="13"/>
  <c r="O2006" i="13"/>
  <c r="O2092" i="13"/>
  <c r="O1992" i="13"/>
  <c r="O2122" i="13"/>
  <c r="O2126" i="13"/>
  <c r="O2231" i="13"/>
  <c r="O2139" i="13"/>
  <c r="O2001" i="13"/>
  <c r="O2137" i="13"/>
  <c r="O2220" i="13"/>
  <c r="O2025" i="13"/>
  <c r="O2058" i="13"/>
  <c r="O2222" i="13"/>
  <c r="O2040" i="13"/>
  <c r="O2097" i="13"/>
  <c r="O2197" i="13"/>
  <c r="O1989" i="13"/>
  <c r="O2224" i="13"/>
  <c r="O2153" i="13"/>
  <c r="O2216" i="13"/>
  <c r="O2177" i="13"/>
  <c r="O2123" i="13"/>
  <c r="O2166" i="13"/>
  <c r="O2083" i="13"/>
  <c r="O2163" i="13"/>
  <c r="O2096" i="13"/>
  <c r="O2081" i="13"/>
  <c r="O2141" i="13"/>
  <c r="O2116" i="13"/>
  <c r="O2108" i="13"/>
  <c r="O2115" i="13"/>
  <c r="O2228" i="13"/>
  <c r="O2088" i="13"/>
  <c r="O2053" i="13"/>
  <c r="O2056" i="13"/>
  <c r="O1998" i="13"/>
  <c r="O2067" i="13"/>
  <c r="O2018" i="13"/>
  <c r="O2150" i="13"/>
  <c r="O2190" i="13"/>
  <c r="O2101" i="13"/>
  <c r="O2131" i="13"/>
  <c r="O2156" i="13"/>
  <c r="O2043" i="13"/>
  <c r="O2229" i="13"/>
  <c r="O2085" i="13"/>
  <c r="O2112" i="13"/>
  <c r="O2099" i="13"/>
  <c r="O2013" i="13"/>
  <c r="O2196" i="13"/>
  <c r="O2184" i="13"/>
  <c r="O2215" i="13"/>
  <c r="O2133" i="13"/>
  <c r="O2020" i="13"/>
  <c r="O2121" i="13"/>
  <c r="O2195" i="13"/>
  <c r="O2008" i="13"/>
  <c r="O2046" i="13"/>
  <c r="O2113" i="13"/>
  <c r="O2186" i="13"/>
  <c r="O2073" i="13"/>
  <c r="O2036" i="13"/>
  <c r="O2004" i="13"/>
  <c r="O2030" i="13"/>
  <c r="O2167" i="13"/>
  <c r="O2033" i="13"/>
  <c r="O2031" i="13"/>
  <c r="O2107" i="13"/>
  <c r="L779" i="13"/>
  <c r="L817" i="13"/>
  <c r="L808" i="13"/>
  <c r="L946" i="13"/>
  <c r="L876" i="13"/>
  <c r="L846" i="13"/>
  <c r="L973" i="13"/>
  <c r="L968" i="13"/>
  <c r="L906" i="13"/>
  <c r="L977" i="13"/>
  <c r="L961" i="13"/>
  <c r="L902" i="13"/>
  <c r="L981" i="13"/>
  <c r="L956" i="13"/>
  <c r="L898" i="13"/>
  <c r="L783" i="13"/>
  <c r="L966" i="13"/>
  <c r="L983" i="13"/>
  <c r="L985" i="13"/>
  <c r="L969" i="13"/>
  <c r="L793" i="13"/>
  <c r="L751" i="13"/>
  <c r="L804" i="13"/>
  <c r="L800" i="13"/>
  <c r="L885" i="13"/>
  <c r="L924" i="13"/>
  <c r="L839" i="13"/>
  <c r="L941" i="13"/>
  <c r="L873" i="13"/>
  <c r="L806" i="13"/>
  <c r="L909" i="13"/>
  <c r="L865" i="13"/>
  <c r="L777" i="13"/>
  <c r="L852" i="13"/>
  <c r="L857" i="13"/>
  <c r="L773" i="13"/>
  <c r="L990" i="13"/>
  <c r="L844" i="13"/>
  <c r="L831" i="13"/>
  <c r="L962" i="13"/>
  <c r="L929" i="13"/>
  <c r="L882" i="13"/>
  <c r="L980" i="13"/>
  <c r="L936" i="13"/>
  <c r="L761" i="13"/>
  <c r="L950" i="13"/>
  <c r="L925" i="13"/>
  <c r="L939" i="13"/>
  <c r="L867" i="13"/>
  <c r="L798" i="13"/>
  <c r="L754" i="13"/>
  <c r="L987" i="13"/>
  <c r="L901" i="13"/>
  <c r="L827" i="13"/>
  <c r="L775" i="13"/>
  <c r="L872" i="13"/>
  <c r="L818" i="13"/>
  <c r="L807" i="13"/>
  <c r="L971" i="13"/>
  <c r="L864" i="13"/>
  <c r="L811" i="13"/>
  <c r="L749" i="13"/>
  <c r="R749" i="13" s="1"/>
  <c r="L768" i="13"/>
  <c r="L878" i="13"/>
  <c r="L951" i="13"/>
  <c r="L851" i="13"/>
  <c r="L847" i="13"/>
  <c r="L880" i="13"/>
  <c r="L972" i="13"/>
  <c r="L771" i="13"/>
  <c r="L814" i="13"/>
  <c r="L770" i="13"/>
  <c r="L913" i="13"/>
  <c r="L862" i="13"/>
  <c r="L949" i="13"/>
  <c r="L964" i="13"/>
  <c r="L963" i="13"/>
  <c r="L842" i="13"/>
  <c r="L958" i="13"/>
  <c r="L959" i="13"/>
  <c r="L837" i="13"/>
  <c r="L953" i="13"/>
  <c r="L955" i="13"/>
  <c r="L829" i="13"/>
  <c r="L765" i="13"/>
  <c r="L988" i="13"/>
  <c r="L860" i="13"/>
  <c r="L853" i="13"/>
  <c r="L836" i="13"/>
  <c r="L776" i="13"/>
  <c r="L812" i="13"/>
  <c r="L757" i="13"/>
  <c r="L918" i="13"/>
  <c r="L940" i="13"/>
  <c r="L803" i="13"/>
  <c r="L938" i="13"/>
  <c r="L908" i="13"/>
  <c r="L874" i="13"/>
  <c r="L930" i="13"/>
  <c r="L903" i="13"/>
  <c r="L870" i="13"/>
  <c r="L922" i="13"/>
  <c r="L892" i="13"/>
  <c r="L866" i="13"/>
  <c r="L782" i="13"/>
  <c r="L763" i="13"/>
  <c r="L833" i="13"/>
  <c r="L897" i="13"/>
  <c r="L937" i="13"/>
  <c r="L886" i="13"/>
  <c r="L805" i="13"/>
  <c r="L976" i="13"/>
  <c r="L828" i="13"/>
  <c r="L774" i="13"/>
  <c r="L933" i="13"/>
  <c r="L943" i="13"/>
  <c r="L891" i="13"/>
  <c r="L863" i="13"/>
  <c r="L894" i="13"/>
  <c r="L797" i="13"/>
  <c r="L900" i="13"/>
  <c r="L835" i="13"/>
  <c r="L970" i="13"/>
  <c r="L928" i="13"/>
  <c r="L934" i="13"/>
  <c r="L758" i="13"/>
  <c r="L932" i="13"/>
  <c r="L832" i="13"/>
  <c r="L756" i="13"/>
  <c r="L772" i="13"/>
  <c r="L974" i="13"/>
  <c r="L895" i="13"/>
  <c r="L888" i="13"/>
  <c r="L954" i="13"/>
  <c r="L753" i="13"/>
  <c r="L785" i="13"/>
  <c r="L750" i="13"/>
  <c r="L755" i="13"/>
  <c r="L914" i="13"/>
  <c r="L810" i="13"/>
  <c r="L821" i="13"/>
  <c r="L861" i="13"/>
  <c r="L920" i="13"/>
  <c r="L795" i="13"/>
  <c r="L845" i="13"/>
  <c r="L916" i="13"/>
  <c r="L787" i="13"/>
  <c r="L820" i="13"/>
  <c r="L912" i="13"/>
  <c r="L766" i="13"/>
  <c r="L762" i="13"/>
  <c r="L945" i="13"/>
  <c r="L858" i="13"/>
  <c r="L854" i="13"/>
  <c r="L850" i="13"/>
  <c r="L780" i="13"/>
  <c r="L760" i="13"/>
  <c r="L813" i="13"/>
  <c r="L791" i="13"/>
  <c r="L799" i="13"/>
  <c r="L907" i="13"/>
  <c r="L910" i="13"/>
  <c r="L794" i="13"/>
  <c r="L838" i="13"/>
  <c r="L904" i="13"/>
  <c r="L948" i="13"/>
  <c r="L834" i="13"/>
  <c r="L899" i="13"/>
  <c r="L944" i="13"/>
  <c r="L830" i="13"/>
  <c r="L877" i="13"/>
  <c r="L869" i="13"/>
  <c r="L788" i="13"/>
  <c r="L855" i="13"/>
  <c r="L957" i="13"/>
  <c r="L921" i="13"/>
  <c r="L984" i="13"/>
  <c r="L849" i="13"/>
  <c r="L792" i="13"/>
  <c r="L871" i="13"/>
  <c r="L802" i="13"/>
  <c r="L917" i="13"/>
  <c r="L965" i="13"/>
  <c r="L752" i="13"/>
  <c r="L975" i="13"/>
  <c r="L796" i="13"/>
  <c r="L982" i="13"/>
  <c r="L896" i="13"/>
  <c r="L823" i="13"/>
  <c r="L801" i="13"/>
  <c r="L989" i="13"/>
  <c r="L856" i="13"/>
  <c r="L769" i="13"/>
  <c r="L915" i="13"/>
  <c r="L887" i="13"/>
  <c r="L767" i="13"/>
  <c r="L967" i="13"/>
  <c r="L960" i="13"/>
  <c r="L843" i="13"/>
  <c r="L809" i="13"/>
  <c r="L816" i="13"/>
  <c r="L826" i="13"/>
  <c r="L883" i="13"/>
  <c r="L991" i="13"/>
  <c r="L881" i="13"/>
  <c r="L952" i="13"/>
  <c r="L935" i="13"/>
  <c r="L859" i="13"/>
  <c r="L978" i="13"/>
  <c r="L942" i="13"/>
  <c r="L911" i="13"/>
  <c r="L927" i="13"/>
  <c r="L919" i="13"/>
  <c r="L786" i="13"/>
  <c r="L926" i="13"/>
  <c r="L841" i="13"/>
  <c r="L764" i="13"/>
  <c r="L986" i="13"/>
  <c r="L868" i="13"/>
  <c r="L923" i="13"/>
  <c r="L789" i="13"/>
  <c r="L819" i="13"/>
  <c r="L947" i="13"/>
  <c r="L979" i="13"/>
  <c r="L889" i="13"/>
  <c r="L778" i="13"/>
  <c r="L884" i="13"/>
  <c r="L784" i="13"/>
  <c r="L822" i="13"/>
  <c r="L905" i="13"/>
  <c r="L825" i="13"/>
  <c r="L931" i="13"/>
  <c r="L879" i="13"/>
  <c r="L893" i="13"/>
  <c r="L890" i="13"/>
  <c r="L815" i="13"/>
  <c r="L790" i="13"/>
  <c r="L840" i="13"/>
  <c r="L848" i="13"/>
  <c r="L824" i="13"/>
  <c r="L759" i="13"/>
  <c r="L875" i="13"/>
  <c r="L781" i="13"/>
  <c r="O793" i="13"/>
  <c r="O986" i="13"/>
  <c r="O865" i="13"/>
  <c r="O764" i="13"/>
  <c r="O931" i="13"/>
  <c r="O899" i="13"/>
  <c r="O885" i="13"/>
  <c r="O806" i="13"/>
  <c r="O825" i="13"/>
  <c r="O924" i="13"/>
  <c r="O966" i="13"/>
  <c r="O809" i="13"/>
  <c r="O841" i="13"/>
  <c r="O772" i="13"/>
  <c r="O788" i="13"/>
  <c r="O856" i="13"/>
  <c r="O988" i="13"/>
  <c r="O833" i="13"/>
  <c r="O888" i="13"/>
  <c r="O937" i="13"/>
  <c r="O910" i="13"/>
  <c r="O860" i="13"/>
  <c r="O817" i="13"/>
  <c r="O758" i="13"/>
  <c r="O824" i="13"/>
  <c r="O770" i="13"/>
  <c r="O822" i="13"/>
  <c r="O905" i="13"/>
  <c r="O786" i="13"/>
  <c r="O767" i="13"/>
  <c r="O973" i="13"/>
  <c r="O851" i="13"/>
  <c r="O919" i="13"/>
  <c r="O762" i="13"/>
  <c r="O889" i="13"/>
  <c r="O868" i="13"/>
  <c r="O949" i="13"/>
  <c r="O847" i="13"/>
  <c r="O989" i="13"/>
  <c r="O881" i="13"/>
  <c r="O932" i="13"/>
  <c r="O826" i="13"/>
  <c r="O768" i="13"/>
  <c r="O884" i="13"/>
  <c r="O965" i="13"/>
  <c r="O862" i="13"/>
  <c r="O951" i="13"/>
  <c r="O828" i="13"/>
  <c r="O980" i="13"/>
  <c r="O830" i="13"/>
  <c r="O800" i="13"/>
  <c r="O916" i="13"/>
  <c r="O930" i="13"/>
  <c r="O906" i="13"/>
  <c r="O834" i="13"/>
  <c r="O960" i="13"/>
  <c r="O775" i="13"/>
  <c r="O805" i="13"/>
  <c r="O784" i="13"/>
  <c r="O971" i="13"/>
  <c r="O984" i="13"/>
  <c r="O874" i="13"/>
  <c r="O751" i="13"/>
  <c r="O752" i="13"/>
  <c r="O779" i="13"/>
  <c r="O795" i="13"/>
  <c r="O858" i="13"/>
  <c r="O886" i="13"/>
  <c r="O842" i="13"/>
  <c r="O947" i="13"/>
  <c r="O837" i="13"/>
  <c r="O864" i="13"/>
  <c r="O765" i="13"/>
  <c r="O876" i="13"/>
  <c r="O958" i="13"/>
  <c r="O959" i="13"/>
  <c r="O912" i="13"/>
  <c r="O813" i="13"/>
  <c r="O861" i="13"/>
  <c r="O923" i="13"/>
  <c r="O981" i="13"/>
  <c r="O812" i="13"/>
  <c r="O908" i="13"/>
  <c r="O922" i="13"/>
  <c r="O918" i="13"/>
  <c r="O883" i="13"/>
  <c r="O866" i="13"/>
  <c r="O803" i="13"/>
  <c r="O948" i="13"/>
  <c r="O838" i="13"/>
  <c r="O903" i="13"/>
  <c r="O760" i="13"/>
  <c r="O879" i="13"/>
  <c r="O979" i="13"/>
  <c r="O963" i="13"/>
  <c r="O935" i="13"/>
  <c r="O827" i="13"/>
  <c r="O945" i="13"/>
  <c r="O811" i="13"/>
  <c r="O956" i="13"/>
  <c r="O957" i="13"/>
  <c r="O769" i="13"/>
  <c r="O985" i="13"/>
  <c r="O846" i="13"/>
  <c r="O840" i="13"/>
  <c r="O882" i="13"/>
  <c r="O872" i="13"/>
  <c r="O920" i="13"/>
  <c r="O785" i="13"/>
  <c r="O902" i="13"/>
  <c r="O893" i="13"/>
  <c r="O967" i="13"/>
  <c r="O844" i="13"/>
  <c r="O929" i="13"/>
  <c r="O756" i="13"/>
  <c r="O816" i="13"/>
  <c r="O898" i="13"/>
  <c r="O946" i="13"/>
  <c r="O773" i="13"/>
  <c r="O810" i="13"/>
  <c r="O761" i="13"/>
  <c r="O961" i="13"/>
  <c r="O917" i="13"/>
  <c r="O832" i="13"/>
  <c r="O914" i="13"/>
  <c r="O962" i="13"/>
  <c r="O821" i="13"/>
  <c r="O814" i="13"/>
  <c r="O897" i="13"/>
  <c r="O926" i="13"/>
  <c r="O790" i="13"/>
  <c r="O878" i="13"/>
  <c r="O875" i="13"/>
  <c r="O927" i="13"/>
  <c r="O754" i="13"/>
  <c r="O848" i="13"/>
  <c r="O774" i="13"/>
  <c r="O797" i="13"/>
  <c r="O796" i="13"/>
  <c r="O900" i="13"/>
  <c r="O954" i="13"/>
  <c r="O869" i="13"/>
  <c r="O944" i="13"/>
  <c r="O909" i="13"/>
  <c r="O777" i="13"/>
  <c r="O749" i="13"/>
  <c r="O836" i="13"/>
  <c r="O763" i="13"/>
  <c r="O801" i="13"/>
  <c r="O753" i="13"/>
  <c r="O890" i="13"/>
  <c r="O921" i="13"/>
  <c r="O843" i="13"/>
  <c r="O901" i="13"/>
  <c r="O854" i="13"/>
  <c r="O943" i="13"/>
  <c r="O880" i="13"/>
  <c r="O781" i="13"/>
  <c r="O867" i="13"/>
  <c r="O755" i="13"/>
  <c r="O791" i="13"/>
  <c r="O936" i="13"/>
  <c r="O859" i="13"/>
  <c r="O964" i="13"/>
  <c r="O940" i="13"/>
  <c r="O904" i="13"/>
  <c r="O776" i="13"/>
  <c r="O938" i="13"/>
  <c r="O870" i="13"/>
  <c r="O804" i="13"/>
  <c r="O873" i="13"/>
  <c r="O892" i="13"/>
  <c r="O798" i="13"/>
  <c r="O783" i="13"/>
  <c r="O852" i="13"/>
  <c r="O778" i="13"/>
  <c r="O850" i="13"/>
  <c r="O820" i="13"/>
  <c r="O802" i="13"/>
  <c r="O789" i="13"/>
  <c r="O853" i="13"/>
  <c r="O895" i="13"/>
  <c r="O950" i="13"/>
  <c r="O970" i="13"/>
  <c r="O972" i="13"/>
  <c r="O815" i="13"/>
  <c r="O953" i="13"/>
  <c r="O934" i="13"/>
  <c r="O983" i="13"/>
  <c r="O792" i="13"/>
  <c r="O849" i="13"/>
  <c r="O831" i="13"/>
  <c r="O911" i="13"/>
  <c r="O915" i="13"/>
  <c r="O771" i="13"/>
  <c r="O894" i="13"/>
  <c r="O939" i="13"/>
  <c r="O807" i="13"/>
  <c r="O829" i="13"/>
  <c r="O952" i="13"/>
  <c r="O782" i="13"/>
  <c r="O928" i="13"/>
  <c r="O787" i="13"/>
  <c r="O855" i="13"/>
  <c r="O955" i="13"/>
  <c r="O823" i="13"/>
  <c r="O845" i="13"/>
  <c r="O968" i="13"/>
  <c r="O863" i="13"/>
  <c r="O976" i="13"/>
  <c r="O835" i="13"/>
  <c r="O887" i="13"/>
  <c r="O987" i="13"/>
  <c r="O857" i="13"/>
  <c r="O913" i="13"/>
  <c r="O933" i="13"/>
  <c r="O877" i="13"/>
  <c r="O977" i="13"/>
  <c r="O978" i="13"/>
  <c r="O974" i="13"/>
  <c r="O975" i="13"/>
  <c r="O766" i="13"/>
  <c r="O808" i="13"/>
  <c r="O871" i="13"/>
  <c r="O819" i="13"/>
  <c r="O757" i="13"/>
  <c r="O799" i="13"/>
  <c r="O941" i="13"/>
  <c r="O794" i="13"/>
  <c r="O982" i="13"/>
  <c r="O750" i="13"/>
  <c r="O969" i="13"/>
  <c r="O780" i="13"/>
  <c r="O925" i="13"/>
  <c r="O942" i="13"/>
  <c r="O891" i="13"/>
  <c r="O818" i="13"/>
  <c r="O759" i="13"/>
  <c r="O907" i="13"/>
  <c r="O990" i="13"/>
  <c r="O991" i="13"/>
  <c r="O896" i="13"/>
  <c r="O839" i="13"/>
  <c r="N1384" i="13"/>
  <c r="N1355" i="13"/>
  <c r="N1371" i="13"/>
  <c r="N1400" i="13"/>
  <c r="N1249" i="13"/>
  <c r="N1348" i="13"/>
  <c r="N1338" i="13"/>
  <c r="N1261" i="13"/>
  <c r="N1317" i="13"/>
  <c r="N1278" i="13"/>
  <c r="N1378" i="13"/>
  <c r="N1322" i="13"/>
  <c r="N1296" i="13"/>
  <c r="N1387" i="13"/>
  <c r="N1460" i="13"/>
  <c r="N1339" i="13"/>
  <c r="N1402" i="13"/>
  <c r="N1431" i="13"/>
  <c r="N1480" i="13"/>
  <c r="N1337" i="13"/>
  <c r="N1476" i="13"/>
  <c r="N1445" i="13"/>
  <c r="N1392" i="13"/>
  <c r="N1284" i="13"/>
  <c r="N1308" i="13"/>
  <c r="N1407" i="13"/>
  <c r="N1478" i="13"/>
  <c r="N1399" i="13"/>
  <c r="N1464" i="13"/>
  <c r="N1372" i="13"/>
  <c r="N1293" i="13"/>
  <c r="N1422" i="13"/>
  <c r="N1466" i="13"/>
  <c r="N1439" i="13"/>
  <c r="N1334" i="13"/>
  <c r="N1391" i="13"/>
  <c r="N1327" i="13"/>
  <c r="N1484" i="13"/>
  <c r="N1376" i="13"/>
  <c r="N1434" i="13"/>
  <c r="N1437" i="13"/>
  <c r="N1268" i="13"/>
  <c r="N1409" i="13"/>
  <c r="N1274" i="13"/>
  <c r="N1380" i="13"/>
  <c r="N1325" i="13"/>
  <c r="N1416" i="13"/>
  <c r="N1350" i="13"/>
  <c r="N1396" i="13"/>
  <c r="N1351" i="13"/>
  <c r="N1299" i="13"/>
  <c r="N1354" i="13"/>
  <c r="N1342" i="13"/>
  <c r="N1262" i="13"/>
  <c r="N1272" i="13"/>
  <c r="N1425" i="13"/>
  <c r="N1414" i="13"/>
  <c r="N1332" i="13"/>
  <c r="N1368" i="13"/>
  <c r="N1290" i="13"/>
  <c r="N1382" i="13"/>
  <c r="N1306" i="13"/>
  <c r="N1453" i="13"/>
  <c r="N1248" i="13"/>
  <c r="N1486" i="13"/>
  <c r="N1286" i="13"/>
  <c r="N1309" i="13"/>
  <c r="N1426" i="13"/>
  <c r="N1335" i="13"/>
  <c r="N1394" i="13"/>
  <c r="N1326" i="13"/>
  <c r="N1366" i="13"/>
  <c r="N1280" i="13"/>
  <c r="N1315" i="13"/>
  <c r="N1441" i="13"/>
  <c r="N1305" i="13"/>
  <c r="N1421" i="13"/>
  <c r="N1271" i="13"/>
  <c r="N1461" i="13"/>
  <c r="N1370" i="13"/>
  <c r="N1319" i="13"/>
  <c r="N1462" i="13"/>
  <c r="N1316" i="13"/>
  <c r="N1469" i="13"/>
  <c r="N1269" i="13"/>
  <c r="N1255" i="13"/>
  <c r="N1313" i="13"/>
  <c r="N1303" i="13"/>
  <c r="N1390" i="13"/>
  <c r="N1263" i="13"/>
  <c r="N1307" i="13"/>
  <c r="N1297" i="13"/>
  <c r="N1373" i="13"/>
  <c r="N1295" i="13"/>
  <c r="N1333" i="13"/>
  <c r="N1457" i="13"/>
  <c r="N1298" i="13"/>
  <c r="N1465" i="13"/>
  <c r="N1265" i="13"/>
  <c r="N1386" i="13"/>
  <c r="N1473" i="13"/>
  <c r="N1385" i="13"/>
  <c r="N1423" i="13"/>
  <c r="N1321" i="13"/>
  <c r="N1275" i="13"/>
  <c r="N1349" i="13"/>
  <c r="N1419" i="13"/>
  <c r="N1430" i="13"/>
  <c r="N1257" i="13"/>
  <c r="N1420" i="13"/>
  <c r="N1318" i="13"/>
  <c r="N1472" i="13"/>
  <c r="N1442" i="13"/>
  <c r="N1345" i="13"/>
  <c r="N1323" i="13"/>
  <c r="N1360" i="13"/>
  <c r="N1405" i="13"/>
  <c r="N1283" i="13"/>
  <c r="N1301" i="13"/>
  <c r="N1475" i="13"/>
  <c r="N1482" i="13"/>
  <c r="N1273" i="13"/>
  <c r="N1353" i="13"/>
  <c r="N1251" i="13"/>
  <c r="N1449" i="13"/>
  <c r="N1427" i="13"/>
  <c r="N1267" i="13"/>
  <c r="N1429" i="13"/>
  <c r="N1252" i="13"/>
  <c r="N1398" i="13"/>
  <c r="N1470" i="13"/>
  <c r="N1344" i="13"/>
  <c r="N1329" i="13"/>
  <c r="N1485" i="13"/>
  <c r="N1471" i="13"/>
  <c r="N1477" i="13"/>
  <c r="N1440" i="13"/>
  <c r="N1300" i="13"/>
  <c r="N1443" i="13"/>
  <c r="N1254" i="13"/>
  <c r="N1260" i="13"/>
  <c r="N1410" i="13"/>
  <c r="N1479" i="13"/>
  <c r="N1365" i="13"/>
  <c r="N1447" i="13"/>
  <c r="N1343" i="13"/>
  <c r="N1259" i="13"/>
  <c r="N1356" i="13"/>
  <c r="N1436" i="13"/>
  <c r="N1456" i="13"/>
  <c r="N1433" i="13"/>
  <c r="N1406" i="13"/>
  <c r="N1454" i="13"/>
  <c r="N1358" i="13"/>
  <c r="N1270" i="13"/>
  <c r="N1375" i="13"/>
  <c r="N1328" i="13"/>
  <c r="N1258" i="13"/>
  <c r="N1367" i="13"/>
  <c r="N1314" i="13"/>
  <c r="N1377" i="13"/>
  <c r="N1418" i="13"/>
  <c r="N1341" i="13"/>
  <c r="N1458" i="13"/>
  <c r="N1455" i="13"/>
  <c r="N1287" i="13"/>
  <c r="N1467" i="13"/>
  <c r="N1463" i="13"/>
  <c r="N1247" i="13"/>
  <c r="N1388" i="13"/>
  <c r="N1250" i="13"/>
  <c r="N1483" i="13"/>
  <c r="N1389" i="13"/>
  <c r="N1404" i="13"/>
  <c r="N1374" i="13"/>
  <c r="N1451" i="13"/>
  <c r="N1277" i="13"/>
  <c r="N1452" i="13"/>
  <c r="N1266" i="13"/>
  <c r="N1324" i="13"/>
  <c r="N1291" i="13"/>
  <c r="N1487" i="13"/>
  <c r="N1312" i="13"/>
  <c r="N1403" i="13"/>
  <c r="N1408" i="13"/>
  <c r="N1448" i="13"/>
  <c r="N1346" i="13"/>
  <c r="N1450" i="13"/>
  <c r="N1395" i="13"/>
  <c r="N1294" i="13"/>
  <c r="N1438" i="13"/>
  <c r="N1428" i="13"/>
  <c r="N1397" i="13"/>
  <c r="N1361" i="13"/>
  <c r="N1435" i="13"/>
  <c r="N1417" i="13"/>
  <c r="N1310" i="13"/>
  <c r="N1285" i="13"/>
  <c r="N1246" i="13"/>
  <c r="N1401" i="13"/>
  <c r="N1340" i="13"/>
  <c r="N1481" i="13"/>
  <c r="N1369" i="13"/>
  <c r="N1379" i="13"/>
  <c r="N1253" i="13"/>
  <c r="N1415" i="13"/>
  <c r="N1357" i="13"/>
  <c r="N1289" i="13"/>
  <c r="N1331" i="13"/>
  <c r="N1288" i="13"/>
  <c r="N1393" i="13"/>
  <c r="N1245" i="13"/>
  <c r="T1245" i="13" s="1"/>
  <c r="N1352" i="13"/>
  <c r="N1412" i="13"/>
  <c r="N1292" i="13"/>
  <c r="N1446" i="13"/>
  <c r="N1432" i="13"/>
  <c r="N1282" i="13"/>
  <c r="N1279" i="13"/>
  <c r="N1444" i="13"/>
  <c r="N1424" i="13"/>
  <c r="N1264" i="13"/>
  <c r="N1474" i="13"/>
  <c r="N1359" i="13"/>
  <c r="N1281" i="13"/>
  <c r="N1304" i="13"/>
  <c r="N1468" i="13"/>
  <c r="N1302" i="13"/>
  <c r="N1276" i="13"/>
  <c r="N1411" i="13"/>
  <c r="N1320" i="13"/>
  <c r="N1311" i="13"/>
  <c r="N1364" i="13"/>
  <c r="N1363" i="13"/>
  <c r="N1336" i="13"/>
  <c r="N1347" i="13"/>
  <c r="N1459" i="13"/>
  <c r="N1383" i="13"/>
  <c r="N1413" i="13"/>
  <c r="N1381" i="13"/>
  <c r="N1256" i="13"/>
  <c r="N1362" i="13"/>
  <c r="N1330" i="13"/>
  <c r="M997" i="13"/>
  <c r="S997" i="13" s="1"/>
  <c r="M1038" i="13"/>
  <c r="M1214" i="13"/>
  <c r="M1211" i="13"/>
  <c r="M1238" i="13"/>
  <c r="M1122" i="13"/>
  <c r="M1024" i="13"/>
  <c r="M1190" i="13"/>
  <c r="M1167" i="13"/>
  <c r="M1103" i="13"/>
  <c r="M1120" i="13"/>
  <c r="M1193" i="13"/>
  <c r="M1130" i="13"/>
  <c r="M1042" i="13"/>
  <c r="M1172" i="13"/>
  <c r="M1154" i="13"/>
  <c r="M1170" i="13"/>
  <c r="M1237" i="13"/>
  <c r="M1204" i="13"/>
  <c r="M1026" i="13"/>
  <c r="M1200" i="13"/>
  <c r="M1102" i="13"/>
  <c r="M1198" i="13"/>
  <c r="M1196" i="13"/>
  <c r="M1098" i="13"/>
  <c r="M1016" i="13"/>
  <c r="M1208" i="13"/>
  <c r="M1087" i="13"/>
  <c r="M1108" i="13"/>
  <c r="M1206" i="13"/>
  <c r="M1213" i="13"/>
  <c r="M1000" i="13"/>
  <c r="M1067" i="13"/>
  <c r="M1036" i="13"/>
  <c r="M1219" i="13"/>
  <c r="M1137" i="13"/>
  <c r="M1032" i="13"/>
  <c r="M1192" i="13"/>
  <c r="M1058" i="13"/>
  <c r="M1124" i="13"/>
  <c r="M1089" i="13"/>
  <c r="M1179" i="13"/>
  <c r="M1101" i="13"/>
  <c r="M1040" i="13"/>
  <c r="M1001" i="13"/>
  <c r="M1177" i="13"/>
  <c r="M1114" i="13"/>
  <c r="M1057" i="13"/>
  <c r="M1129" i="13"/>
  <c r="M1145" i="13"/>
  <c r="M1201" i="13"/>
  <c r="M1111" i="13"/>
  <c r="M1081" i="13"/>
  <c r="M1121" i="13"/>
  <c r="M1233" i="13"/>
  <c r="M1043" i="13"/>
  <c r="M1134" i="13"/>
  <c r="M1008" i="13"/>
  <c r="M1060" i="13"/>
  <c r="M1212" i="13"/>
  <c r="M1163" i="13"/>
  <c r="M1191" i="13"/>
  <c r="M1216" i="13"/>
  <c r="M1187" i="13"/>
  <c r="M1117" i="13"/>
  <c r="M1217" i="13"/>
  <c r="M1115" i="13"/>
  <c r="M1234" i="13"/>
  <c r="M1091" i="13"/>
  <c r="M1092" i="13"/>
  <c r="M1021" i="13"/>
  <c r="M1004" i="13"/>
  <c r="M1116" i="13"/>
  <c r="M1107" i="13"/>
  <c r="M1023" i="13"/>
  <c r="M1131" i="13"/>
  <c r="M1029" i="13"/>
  <c r="M1176" i="13"/>
  <c r="M1222" i="13"/>
  <c r="M1165" i="13"/>
  <c r="M1003" i="13"/>
  <c r="M1161" i="13"/>
  <c r="M1079" i="13"/>
  <c r="M1210" i="13"/>
  <c r="M1157" i="13"/>
  <c r="M1059" i="13"/>
  <c r="M1226" i="13"/>
  <c r="M1144" i="13"/>
  <c r="M1037" i="13"/>
  <c r="M1127" i="13"/>
  <c r="M1227" i="13"/>
  <c r="M1149" i="13"/>
  <c r="M1223" i="13"/>
  <c r="M1132" i="13"/>
  <c r="M1005" i="13"/>
  <c r="M1143" i="13"/>
  <c r="M1128" i="13"/>
  <c r="M1166" i="13"/>
  <c r="M1100" i="13"/>
  <c r="M1044" i="13"/>
  <c r="M1236" i="13"/>
  <c r="M1199" i="13"/>
  <c r="M1071" i="13"/>
  <c r="M1113" i="13"/>
  <c r="M1186" i="13"/>
  <c r="M1155" i="13"/>
  <c r="M1095" i="13"/>
  <c r="M1182" i="13"/>
  <c r="M1088" i="13"/>
  <c r="M1017" i="13"/>
  <c r="M1139" i="13"/>
  <c r="M1171" i="13"/>
  <c r="M1068" i="13"/>
  <c r="M998" i="13"/>
  <c r="M1041" i="13"/>
  <c r="M1082" i="13"/>
  <c r="M1162" i="13"/>
  <c r="M1096" i="13"/>
  <c r="M1019" i="13"/>
  <c r="M1009" i="13"/>
  <c r="M1034" i="13"/>
  <c r="M1135" i="13"/>
  <c r="M1133" i="13"/>
  <c r="M1125" i="13"/>
  <c r="M1189" i="13"/>
  <c r="M1078" i="13"/>
  <c r="M1156" i="13"/>
  <c r="M1097" i="13"/>
  <c r="M1118" i="13"/>
  <c r="M1047" i="13"/>
  <c r="M1185" i="13"/>
  <c r="M1002" i="13"/>
  <c r="M1183" i="13"/>
  <c r="M1175" i="13"/>
  <c r="M1215" i="13"/>
  <c r="M1232" i="13"/>
  <c r="M1045" i="13"/>
  <c r="M1123" i="13"/>
  <c r="M1053" i="13"/>
  <c r="M1084" i="13"/>
  <c r="M1083" i="13"/>
  <c r="M1224" i="13"/>
  <c r="M1093" i="13"/>
  <c r="M1052" i="13"/>
  <c r="M1235" i="13"/>
  <c r="M1085" i="13"/>
  <c r="M1062" i="13"/>
  <c r="M1150" i="13"/>
  <c r="M1169" i="13"/>
  <c r="M1030" i="13"/>
  <c r="M1112" i="13"/>
  <c r="M1151" i="13"/>
  <c r="M1074" i="13"/>
  <c r="M1147" i="13"/>
  <c r="M1086" i="13"/>
  <c r="M1221" i="13"/>
  <c r="M1180" i="13"/>
  <c r="M1061" i="13"/>
  <c r="M1202" i="13"/>
  <c r="M1077" i="13"/>
  <c r="M1013" i="13"/>
  <c r="M1072" i="13"/>
  <c r="M1173" i="13"/>
  <c r="M1076" i="13"/>
  <c r="M1229" i="13"/>
  <c r="M1209" i="13"/>
  <c r="M1014" i="13"/>
  <c r="M1015" i="13"/>
  <c r="M1119" i="13"/>
  <c r="M1056" i="13"/>
  <c r="M1194" i="13"/>
  <c r="M1140" i="13"/>
  <c r="M1220" i="13"/>
  <c r="M1230" i="13"/>
  <c r="M1225" i="13"/>
  <c r="M1066" i="13"/>
  <c r="M1027" i="13"/>
  <c r="M1099" i="13"/>
  <c r="M1073" i="13"/>
  <c r="M1012" i="13"/>
  <c r="M1104" i="13"/>
  <c r="M1160" i="13"/>
  <c r="M1146" i="13"/>
  <c r="M1033" i="13"/>
  <c r="M1063" i="13"/>
  <c r="M1197" i="13"/>
  <c r="M1203" i="13"/>
  <c r="M1138" i="13"/>
  <c r="M1022" i="13"/>
  <c r="M1142" i="13"/>
  <c r="M1188" i="13"/>
  <c r="M1178" i="13"/>
  <c r="M1094" i="13"/>
  <c r="M1164" i="13"/>
  <c r="M1158" i="13"/>
  <c r="M1018" i="13"/>
  <c r="M1064" i="13"/>
  <c r="M1109" i="13"/>
  <c r="M1049" i="13"/>
  <c r="M1046" i="13"/>
  <c r="M1148" i="13"/>
  <c r="M1174" i="13"/>
  <c r="M1006" i="13"/>
  <c r="M1195" i="13"/>
  <c r="M1020" i="13"/>
  <c r="M1070" i="13"/>
  <c r="M1159" i="13"/>
  <c r="M1110" i="13"/>
  <c r="M1054" i="13"/>
  <c r="M1205" i="13"/>
  <c r="M1025" i="13"/>
  <c r="M1136" i="13"/>
  <c r="M1035" i="13"/>
  <c r="M1065" i="13"/>
  <c r="M1153" i="13"/>
  <c r="M1105" i="13"/>
  <c r="M1239" i="13"/>
  <c r="M1184" i="13"/>
  <c r="M1031" i="13"/>
  <c r="M1055" i="13"/>
  <c r="M1075" i="13"/>
  <c r="M1181" i="13"/>
  <c r="M1126" i="13"/>
  <c r="M1141" i="13"/>
  <c r="M1228" i="13"/>
  <c r="M1080" i="13"/>
  <c r="M1048" i="13"/>
  <c r="M1039" i="13"/>
  <c r="M1069" i="13"/>
  <c r="M1231" i="13"/>
  <c r="M1011" i="13"/>
  <c r="M1207" i="13"/>
  <c r="M1090" i="13"/>
  <c r="M1168" i="13"/>
  <c r="M1050" i="13"/>
  <c r="M1051" i="13"/>
  <c r="M1106" i="13"/>
  <c r="M1028" i="13"/>
  <c r="M1010" i="13"/>
  <c r="M1007" i="13"/>
  <c r="M1152" i="13"/>
  <c r="M1218" i="13"/>
  <c r="M999" i="13"/>
  <c r="K1777" i="13"/>
  <c r="K1769" i="13"/>
  <c r="K1830" i="13"/>
  <c r="K1841" i="13"/>
  <c r="K1828" i="13"/>
  <c r="K1850" i="13"/>
  <c r="K1852" i="13"/>
  <c r="K1902" i="13"/>
  <c r="K1861" i="13"/>
  <c r="K1897" i="13"/>
  <c r="K1980" i="13"/>
  <c r="K1941" i="13"/>
  <c r="K1924" i="13"/>
  <c r="K1979" i="13"/>
  <c r="K1974" i="13"/>
  <c r="K1866" i="13"/>
  <c r="K1932" i="13"/>
  <c r="K1836" i="13"/>
  <c r="K1898" i="13"/>
  <c r="K1904" i="13"/>
  <c r="K1948" i="13"/>
  <c r="K1856" i="13"/>
  <c r="K1780" i="13"/>
  <c r="K1914" i="13"/>
  <c r="K1903" i="13"/>
  <c r="K1778" i="13"/>
  <c r="K1891" i="13"/>
  <c r="K1827" i="13"/>
  <c r="K1944" i="13"/>
  <c r="K1937" i="13"/>
  <c r="K1750" i="13"/>
  <c r="K1879" i="13"/>
  <c r="K1873" i="13"/>
  <c r="K1975" i="13"/>
  <c r="K1947" i="13"/>
  <c r="K1767" i="13"/>
  <c r="K1746" i="13"/>
  <c r="K1745" i="13"/>
  <c r="K1817" i="13"/>
  <c r="K1843" i="13"/>
  <c r="K1981" i="13"/>
  <c r="K1971" i="13"/>
  <c r="K1744" i="13"/>
  <c r="K1840" i="13"/>
  <c r="K1860" i="13"/>
  <c r="K1808" i="13"/>
  <c r="K1782" i="13"/>
  <c r="K1938" i="13"/>
  <c r="K1844" i="13"/>
  <c r="K1825" i="13"/>
  <c r="K1965" i="13"/>
  <c r="K1770" i="13"/>
  <c r="K1752" i="13"/>
  <c r="K1853" i="13"/>
  <c r="K1976" i="13"/>
  <c r="K1900" i="13"/>
  <c r="K1896" i="13"/>
  <c r="K1760" i="13"/>
  <c r="K1748" i="13"/>
  <c r="K1801" i="13"/>
  <c r="K1741" i="13"/>
  <c r="K1905" i="13"/>
  <c r="K1954" i="13"/>
  <c r="K1747" i="13"/>
  <c r="K1872" i="13"/>
  <c r="K1885" i="13"/>
  <c r="K1835" i="13"/>
  <c r="K1877" i="13"/>
  <c r="K1950" i="13"/>
  <c r="K1961" i="13"/>
  <c r="K1761" i="13"/>
  <c r="K1786" i="13"/>
  <c r="K1779" i="13"/>
  <c r="K1776" i="13"/>
  <c r="K1803" i="13"/>
  <c r="K1800" i="13"/>
  <c r="K1869" i="13"/>
  <c r="K1756" i="13"/>
  <c r="K1870" i="13"/>
  <c r="K1906" i="13"/>
  <c r="K1934" i="13"/>
  <c r="K1824" i="13"/>
  <c r="K1754" i="13"/>
  <c r="K1804" i="13"/>
  <c r="K1901" i="13"/>
  <c r="K1821" i="13"/>
  <c r="K1805" i="13"/>
  <c r="K1851" i="13"/>
  <c r="K1849" i="13"/>
  <c r="K1959" i="13"/>
  <c r="K1953" i="13"/>
  <c r="K1973" i="13"/>
  <c r="K1913" i="13"/>
  <c r="K1890" i="13"/>
  <c r="K1916" i="13"/>
  <c r="K1982" i="13"/>
  <c r="K1892" i="13"/>
  <c r="K1812" i="13"/>
  <c r="K1768" i="13"/>
  <c r="K1816" i="13"/>
  <c r="K1931" i="13"/>
  <c r="K1907" i="13"/>
  <c r="K1918" i="13"/>
  <c r="K1775" i="13"/>
  <c r="K1862" i="13"/>
  <c r="K1764" i="13"/>
  <c r="K1789" i="13"/>
  <c r="K1894" i="13"/>
  <c r="K1772" i="13"/>
  <c r="K1846" i="13"/>
  <c r="K1923" i="13"/>
  <c r="K1963" i="13"/>
  <c r="K1968" i="13"/>
  <c r="K1858" i="13"/>
  <c r="K1762" i="13"/>
  <c r="K1774" i="13"/>
  <c r="K1837" i="13"/>
  <c r="K1978" i="13"/>
  <c r="K1915" i="13"/>
  <c r="K1771" i="13"/>
  <c r="K1743" i="13"/>
  <c r="K1864" i="13"/>
  <c r="K1868" i="13"/>
  <c r="K1842" i="13"/>
  <c r="K1951" i="13"/>
  <c r="K1880" i="13"/>
  <c r="K1952" i="13"/>
  <c r="K1957" i="13"/>
  <c r="K1765" i="13"/>
  <c r="K1758" i="13"/>
  <c r="K1807" i="13"/>
  <c r="K1783" i="13"/>
  <c r="K1811" i="13"/>
  <c r="K1815" i="13"/>
  <c r="K1876" i="13"/>
  <c r="K1859" i="13"/>
  <c r="K1884" i="13"/>
  <c r="K1972" i="13"/>
  <c r="K1791" i="13"/>
  <c r="K1888" i="13"/>
  <c r="K1922" i="13"/>
  <c r="K1893" i="13"/>
  <c r="K1865" i="13"/>
  <c r="K1790" i="13"/>
  <c r="K1838" i="13"/>
  <c r="K1917" i="13"/>
  <c r="K1949" i="13"/>
  <c r="K1809" i="13"/>
  <c r="K1818" i="13"/>
  <c r="K1910" i="13"/>
  <c r="K1946" i="13"/>
  <c r="K1939" i="13"/>
  <c r="K1784" i="13"/>
  <c r="K1845" i="13"/>
  <c r="K1921" i="13"/>
  <c r="K1969" i="13"/>
  <c r="K1757" i="13"/>
  <c r="K1955" i="13"/>
  <c r="K1960" i="13"/>
  <c r="K1781" i="13"/>
  <c r="K1832" i="13"/>
  <c r="K1887" i="13"/>
  <c r="K1895" i="13"/>
  <c r="K1936" i="13"/>
  <c r="K1796" i="13"/>
  <c r="K1878" i="13"/>
  <c r="K1943" i="13"/>
  <c r="K1871" i="13"/>
  <c r="K1911" i="13"/>
  <c r="K1966" i="13"/>
  <c r="K1967" i="13"/>
  <c r="K1755" i="13"/>
  <c r="K1886" i="13"/>
  <c r="K1766" i="13"/>
  <c r="K1751" i="13"/>
  <c r="K1857" i="13"/>
  <c r="K1799" i="13"/>
  <c r="K1794" i="13"/>
  <c r="K1826" i="13"/>
  <c r="K1763" i="13"/>
  <c r="K1942" i="13"/>
  <c r="K1773" i="13"/>
  <c r="K1806" i="13"/>
  <c r="K1813" i="13"/>
  <c r="K1875" i="13"/>
  <c r="K1855" i="13"/>
  <c r="K1823" i="13"/>
  <c r="K1742" i="13"/>
  <c r="K1788" i="13"/>
  <c r="K1820" i="13"/>
  <c r="K1854" i="13"/>
  <c r="K1867" i="13"/>
  <c r="K1883" i="13"/>
  <c r="K1926" i="13"/>
  <c r="K1925" i="13"/>
  <c r="K1919" i="13"/>
  <c r="K1935" i="13"/>
  <c r="K1940" i="13"/>
  <c r="K1882" i="13"/>
  <c r="K1822" i="13"/>
  <c r="K1899" i="13"/>
  <c r="K1792" i="13"/>
  <c r="K1759" i="13"/>
  <c r="K1920" i="13"/>
  <c r="K1834" i="13"/>
  <c r="K1863" i="13"/>
  <c r="K1933" i="13"/>
  <c r="K1970" i="13"/>
  <c r="K1847" i="13"/>
  <c r="K1833" i="13"/>
  <c r="K1909" i="13"/>
  <c r="K1962" i="13"/>
  <c r="K1928" i="13"/>
  <c r="K1797" i="13"/>
  <c r="K1810" i="13"/>
  <c r="K1927" i="13"/>
  <c r="K1881" i="13"/>
  <c r="K1929" i="13"/>
  <c r="K1753" i="13"/>
  <c r="K1983" i="13"/>
  <c r="K1802" i="13"/>
  <c r="K1848" i="13"/>
  <c r="K1889" i="13"/>
  <c r="K1912" i="13"/>
  <c r="K1945" i="13"/>
  <c r="K1829" i="13"/>
  <c r="K1839" i="13"/>
  <c r="K1958" i="13"/>
  <c r="K1977" i="13"/>
  <c r="K1831" i="13"/>
  <c r="K1956" i="13"/>
  <c r="K1795" i="13"/>
  <c r="K1798" i="13"/>
  <c r="K1908" i="13"/>
  <c r="K1749" i="13"/>
  <c r="K1819" i="13"/>
  <c r="K1787" i="13"/>
  <c r="K1785" i="13"/>
  <c r="K1793" i="13"/>
  <c r="K1964" i="13"/>
  <c r="K1930" i="13"/>
  <c r="K1814" i="13"/>
  <c r="K1874" i="13"/>
  <c r="N1582" i="13"/>
  <c r="N1499" i="13"/>
  <c r="N1701" i="13"/>
  <c r="N1540" i="13"/>
  <c r="N1508" i="13"/>
  <c r="N1711" i="13"/>
  <c r="N1685" i="13"/>
  <c r="N1682" i="13"/>
  <c r="N1639" i="13"/>
  <c r="N1539" i="13"/>
  <c r="N1684" i="13"/>
  <c r="N1611" i="13"/>
  <c r="N1655" i="13"/>
  <c r="N1573" i="13"/>
  <c r="T1573" i="13" s="1"/>
  <c r="N1550" i="13"/>
  <c r="N1535" i="13"/>
  <c r="N1728" i="13"/>
  <c r="N1707" i="13"/>
  <c r="N1642" i="13"/>
  <c r="N1672" i="13"/>
  <c r="N1541" i="13"/>
  <c r="N1524" i="13"/>
  <c r="N1593" i="13"/>
  <c r="N1713" i="13"/>
  <c r="N1609" i="13"/>
  <c r="N1621" i="13"/>
  <c r="N1552" i="13"/>
  <c r="N1549" i="13"/>
  <c r="N1660" i="13"/>
  <c r="N1596" i="13"/>
  <c r="N1551" i="13"/>
  <c r="N1575" i="13"/>
  <c r="N1529" i="13"/>
  <c r="N1664" i="13"/>
  <c r="N1674" i="13"/>
  <c r="N1638" i="13"/>
  <c r="N1600" i="13"/>
  <c r="N1646" i="13"/>
  <c r="N1545" i="13"/>
  <c r="N1520" i="13"/>
  <c r="N1705" i="13"/>
  <c r="N1553" i="13"/>
  <c r="N1717" i="13"/>
  <c r="N1703" i="13"/>
  <c r="N1592" i="13"/>
  <c r="N1725" i="13"/>
  <c r="N1494" i="13"/>
  <c r="N1546" i="13"/>
  <c r="N1622" i="13"/>
  <c r="N1554" i="13"/>
  <c r="N1560" i="13"/>
  <c r="N1568" i="13"/>
  <c r="N1643" i="13"/>
  <c r="N1628" i="13"/>
  <c r="N1527" i="13"/>
  <c r="N1500" i="13"/>
  <c r="N1597" i="13"/>
  <c r="N1604" i="13"/>
  <c r="N1501" i="13"/>
  <c r="N1521" i="13"/>
  <c r="N1680" i="13"/>
  <c r="N1687" i="13"/>
  <c r="N1689" i="13"/>
  <c r="N1653" i="13"/>
  <c r="N1715" i="13"/>
  <c r="N1518" i="13"/>
  <c r="N1625" i="13"/>
  <c r="N1637" i="13"/>
  <c r="N1617" i="13"/>
  <c r="N1588" i="13"/>
  <c r="N1523" i="13"/>
  <c r="N1721" i="13"/>
  <c r="N1561" i="13"/>
  <c r="N1567" i="13"/>
  <c r="N1732" i="13"/>
  <c r="N1511" i="13"/>
  <c r="N1663" i="13"/>
  <c r="N1586" i="13"/>
  <c r="N1719" i="13"/>
  <c r="N1585" i="13"/>
  <c r="N1683" i="13"/>
  <c r="N1507" i="13"/>
  <c r="N1538" i="13"/>
  <c r="N1698" i="13"/>
  <c r="N1522" i="13"/>
  <c r="N1578" i="13"/>
  <c r="N1547" i="13"/>
  <c r="N1630" i="13"/>
  <c r="N1676" i="13"/>
  <c r="N1702" i="13"/>
  <c r="N1607" i="13"/>
  <c r="N1709" i="13"/>
  <c r="N1610" i="13"/>
  <c r="N1515" i="13"/>
  <c r="N1631" i="13"/>
  <c r="N1576" i="13"/>
  <c r="N1581" i="13"/>
  <c r="N1544" i="13"/>
  <c r="N1574" i="13"/>
  <c r="N1699" i="13"/>
  <c r="N1526" i="13"/>
  <c r="N1640" i="13"/>
  <c r="N1668" i="13"/>
  <c r="N1618" i="13"/>
  <c r="N1647" i="13"/>
  <c r="N1612" i="13"/>
  <c r="N1623" i="13"/>
  <c r="N1675" i="13"/>
  <c r="N1569" i="13"/>
  <c r="N1659" i="13"/>
  <c r="N1712" i="13"/>
  <c r="N1620" i="13"/>
  <c r="N1669" i="13"/>
  <c r="N1731" i="13"/>
  <c r="N1590" i="13"/>
  <c r="N1506" i="13"/>
  <c r="N1503" i="13"/>
  <c r="N1514" i="13"/>
  <c r="N1571" i="13"/>
  <c r="N1563" i="13"/>
  <c r="N1613" i="13"/>
  <c r="N1493" i="13"/>
  <c r="T1493" i="13" s="1"/>
  <c r="N1665" i="13"/>
  <c r="N1641" i="13"/>
  <c r="N1686" i="13"/>
  <c r="N1599" i="13"/>
  <c r="N1516" i="13"/>
  <c r="N1577" i="13"/>
  <c r="N1605" i="13"/>
  <c r="N1558" i="13"/>
  <c r="N1556" i="13"/>
  <c r="N1512" i="13"/>
  <c r="N1673" i="13"/>
  <c r="N1708" i="13"/>
  <c r="N1616" i="13"/>
  <c r="N1714" i="13"/>
  <c r="N1636" i="13"/>
  <c r="N1648" i="13"/>
  <c r="N1513" i="13"/>
  <c r="N1679" i="13"/>
  <c r="N1730" i="13"/>
  <c r="N1661" i="13"/>
  <c r="N1495" i="13"/>
  <c r="N1496" i="13"/>
  <c r="N1662" i="13"/>
  <c r="N1504" i="13"/>
  <c r="N1517" i="13"/>
  <c r="N1649" i="13"/>
  <c r="N1528" i="13"/>
  <c r="N1635" i="13"/>
  <c r="N1584" i="13"/>
  <c r="N1601" i="13"/>
  <c r="N1644" i="13"/>
  <c r="N1572" i="13"/>
  <c r="N1498" i="13"/>
  <c r="N1667" i="13"/>
  <c r="N1690" i="13"/>
  <c r="N1562" i="13"/>
  <c r="N1722" i="13"/>
  <c r="N1555" i="13"/>
  <c r="N1677" i="13"/>
  <c r="N1706" i="13"/>
  <c r="N1657" i="13"/>
  <c r="N1694" i="13"/>
  <c r="N1548" i="13"/>
  <c r="N1608" i="13"/>
  <c r="N1688" i="13"/>
  <c r="N1734" i="13"/>
  <c r="N1666" i="13"/>
  <c r="N1559" i="13"/>
  <c r="N1619" i="13"/>
  <c r="N1603" i="13"/>
  <c r="N1658" i="13"/>
  <c r="N1580" i="13"/>
  <c r="N1651" i="13"/>
  <c r="N1536" i="13"/>
  <c r="N1542" i="13"/>
  <c r="N1602" i="13"/>
  <c r="N1632" i="13"/>
  <c r="N1654" i="13"/>
  <c r="N1700" i="13"/>
  <c r="N1692" i="13"/>
  <c r="N1591" i="13"/>
  <c r="N1589" i="13"/>
  <c r="N1570" i="13"/>
  <c r="N1629" i="13"/>
  <c r="N1704" i="13"/>
  <c r="N1656" i="13"/>
  <c r="N1652" i="13"/>
  <c r="N1670" i="13"/>
  <c r="N1671" i="13"/>
  <c r="N1509" i="13"/>
  <c r="N1718" i="13"/>
  <c r="N1678" i="13"/>
  <c r="N1565" i="13"/>
  <c r="N1510" i="13"/>
  <c r="N1531" i="13"/>
  <c r="N1614" i="13"/>
  <c r="N1579" i="13"/>
  <c r="N1543" i="13"/>
  <c r="N1502" i="13"/>
  <c r="N1587" i="13"/>
  <c r="N1530" i="13"/>
  <c r="N1727" i="13"/>
  <c r="N1595" i="13"/>
  <c r="N1710" i="13"/>
  <c r="N1733" i="13"/>
  <c r="N1697" i="13"/>
  <c r="N1557" i="13"/>
  <c r="N1505" i="13"/>
  <c r="N1525" i="13"/>
  <c r="N1497" i="13"/>
  <c r="N1634" i="13"/>
  <c r="N1627" i="13"/>
  <c r="N1626" i="13"/>
  <c r="N1532" i="13"/>
  <c r="N1681" i="13"/>
  <c r="N1645" i="13"/>
  <c r="N1583" i="13"/>
  <c r="N1716" i="13"/>
  <c r="N1695" i="13"/>
  <c r="N1726" i="13"/>
  <c r="N1606" i="13"/>
  <c r="N1693" i="13"/>
  <c r="N1594" i="13"/>
  <c r="N1723" i="13"/>
  <c r="N1720" i="13"/>
  <c r="N1724" i="13"/>
  <c r="N1633" i="13"/>
  <c r="N1650" i="13"/>
  <c r="N1519" i="13"/>
  <c r="N1566" i="13"/>
  <c r="N1564" i="13"/>
  <c r="N1735" i="13"/>
  <c r="N1691" i="13"/>
  <c r="N1598" i="13"/>
  <c r="N1729" i="13"/>
  <c r="N1537" i="13"/>
  <c r="N1533" i="13"/>
  <c r="N1534" i="13"/>
  <c r="N1624" i="13"/>
  <c r="N1615" i="13"/>
  <c r="N1696" i="13"/>
  <c r="O1465" i="13"/>
  <c r="O1273" i="13"/>
  <c r="O1369" i="13"/>
  <c r="O1452" i="13"/>
  <c r="O1291" i="13"/>
  <c r="U1291" i="13" s="1"/>
  <c r="O1393" i="13"/>
  <c r="O1379" i="13"/>
  <c r="O1424" i="13"/>
  <c r="O1287" i="13"/>
  <c r="O1326" i="13"/>
  <c r="O1453" i="13"/>
  <c r="O1318" i="13"/>
  <c r="O1394" i="13"/>
  <c r="O1417" i="13"/>
  <c r="O1461" i="13"/>
  <c r="O1317" i="13"/>
  <c r="O1434" i="13"/>
  <c r="O1390" i="13"/>
  <c r="O1249" i="13"/>
  <c r="O1366" i="13"/>
  <c r="O1363" i="13"/>
  <c r="O1375" i="13"/>
  <c r="O1338" i="13"/>
  <c r="O1270" i="13"/>
  <c r="O1477" i="13"/>
  <c r="O1299" i="13"/>
  <c r="O1388" i="13"/>
  <c r="O1445" i="13"/>
  <c r="O1315" i="13"/>
  <c r="O1398" i="13"/>
  <c r="O1483" i="13"/>
  <c r="O1301" i="13"/>
  <c r="O1339" i="13"/>
  <c r="O1412" i="13"/>
  <c r="O1303" i="13"/>
  <c r="O1480" i="13"/>
  <c r="O1446" i="13"/>
  <c r="O1336" i="13"/>
  <c r="O1414" i="13"/>
  <c r="O1267" i="13"/>
  <c r="O1316" i="13"/>
  <c r="O1355" i="13"/>
  <c r="O1448" i="13"/>
  <c r="O1247" i="13"/>
  <c r="O1411" i="13"/>
  <c r="O1384" i="13"/>
  <c r="O1297" i="13"/>
  <c r="O1382" i="13"/>
  <c r="O1467" i="13"/>
  <c r="O1285" i="13"/>
  <c r="O1426" i="13"/>
  <c r="O1396" i="13"/>
  <c r="O1347" i="13"/>
  <c r="O1451" i="13"/>
  <c r="O1439" i="13"/>
  <c r="O1436" i="13"/>
  <c r="O1250" i="13"/>
  <c r="O1351" i="13"/>
  <c r="O1484" i="13"/>
  <c r="O1371" i="13"/>
  <c r="I1291" i="13"/>
  <c r="O1364" i="13"/>
  <c r="O1293" i="13"/>
  <c r="O1295" i="13"/>
  <c r="O1257" i="13"/>
  <c r="O1422" i="13"/>
  <c r="O1389" i="13"/>
  <c r="O1391" i="13"/>
  <c r="O1298" i="13"/>
  <c r="O1311" i="13"/>
  <c r="O1272" i="13"/>
  <c r="O1276" i="13"/>
  <c r="O1474" i="13"/>
  <c r="O1288" i="13"/>
  <c r="O1292" i="13"/>
  <c r="O1423" i="13"/>
  <c r="O1332" i="13"/>
  <c r="O1392" i="13"/>
  <c r="O1386" i="13"/>
  <c r="O1281" i="13"/>
  <c r="O1385" i="13"/>
  <c r="O1428" i="13"/>
  <c r="O1374" i="13"/>
  <c r="O1268" i="13"/>
  <c r="O1397" i="13"/>
  <c r="O1456" i="13"/>
  <c r="O1350" i="13"/>
  <c r="O1482" i="13"/>
  <c r="O1365" i="13"/>
  <c r="O1359" i="13"/>
  <c r="O1466" i="13"/>
  <c r="O1408" i="13"/>
  <c r="O1333" i="13"/>
  <c r="O1331" i="13"/>
  <c r="O1294" i="13"/>
  <c r="O1328" i="13"/>
  <c r="O1469" i="13"/>
  <c r="O1481" i="13"/>
  <c r="O1429" i="13"/>
  <c r="O1348" i="13"/>
  <c r="O1278" i="13"/>
  <c r="O1345" i="13"/>
  <c r="O1334" i="13"/>
  <c r="O1443" i="13"/>
  <c r="O1430" i="13"/>
  <c r="O1420" i="13"/>
  <c r="O1320" i="13"/>
  <c r="O1450" i="13"/>
  <c r="O1255" i="13"/>
  <c r="O1286" i="13"/>
  <c r="O1415" i="13"/>
  <c r="O1279" i="13"/>
  <c r="O1258" i="13"/>
  <c r="O1360" i="13"/>
  <c r="O1457" i="13"/>
  <c r="O1309" i="13"/>
  <c r="O1431" i="13"/>
  <c r="O1263" i="13"/>
  <c r="O1302" i="13"/>
  <c r="O1438" i="13"/>
  <c r="O1325" i="13"/>
  <c r="O1274" i="13"/>
  <c r="O1373" i="13"/>
  <c r="O1473" i="13"/>
  <c r="O1340" i="13"/>
  <c r="O1449" i="13"/>
  <c r="O1251" i="13"/>
  <c r="O1254" i="13"/>
  <c r="O1399" i="13"/>
  <c r="O1275" i="13"/>
  <c r="O1409" i="13"/>
  <c r="O1401" i="13"/>
  <c r="O1441" i="13"/>
  <c r="O1406" i="13"/>
  <c r="O1308" i="13"/>
  <c r="O1472" i="13"/>
  <c r="O1269" i="13"/>
  <c r="O1463" i="13"/>
  <c r="O1485" i="13"/>
  <c r="O1442" i="13"/>
  <c r="O1307" i="13"/>
  <c r="O1459" i="13"/>
  <c r="O1323" i="13"/>
  <c r="O1416" i="13"/>
  <c r="O1370" i="13"/>
  <c r="O1381" i="13"/>
  <c r="O1378" i="13"/>
  <c r="O1337" i="13"/>
  <c r="O1404" i="13"/>
  <c r="O1248" i="13"/>
  <c r="O1296" i="13"/>
  <c r="O1432" i="13"/>
  <c r="O1402" i="13"/>
  <c r="O1335" i="13"/>
  <c r="O1349" i="13"/>
  <c r="O1282" i="13"/>
  <c r="O1342" i="13"/>
  <c r="O1260" i="13"/>
  <c r="O1458" i="13"/>
  <c r="O1427" i="13"/>
  <c r="O1356" i="13"/>
  <c r="O1341" i="13"/>
  <c r="O1344" i="13"/>
  <c r="O1376" i="13"/>
  <c r="O1277" i="13"/>
  <c r="O1464" i="13"/>
  <c r="O1245" i="13"/>
  <c r="U1245" i="13" s="1"/>
  <c r="O1447" i="13"/>
  <c r="O1264" i="13"/>
  <c r="O1407" i="13"/>
  <c r="O1478" i="13"/>
  <c r="O1421" i="13"/>
  <c r="O1352" i="13"/>
  <c r="O1300" i="13"/>
  <c r="O1377" i="13"/>
  <c r="O1284" i="13"/>
  <c r="O1283" i="13"/>
  <c r="O1312" i="13"/>
  <c r="O1367" i="13"/>
  <c r="O1280" i="13"/>
  <c r="O1454" i="13"/>
  <c r="O1400" i="13"/>
  <c r="O1462" i="13"/>
  <c r="O1327" i="13"/>
  <c r="O1289" i="13"/>
  <c r="O1475" i="13"/>
  <c r="O1460" i="13"/>
  <c r="O1476" i="13"/>
  <c r="O1358" i="13"/>
  <c r="O1368" i="13"/>
  <c r="O1310" i="13"/>
  <c r="O1353" i="13"/>
  <c r="O1468" i="13"/>
  <c r="O1486" i="13"/>
  <c r="O1361" i="13"/>
  <c r="O1346" i="13"/>
  <c r="O1419" i="13"/>
  <c r="O1471" i="13"/>
  <c r="O1410" i="13"/>
  <c r="O1357" i="13"/>
  <c r="O1265" i="13"/>
  <c r="O1372" i="13"/>
  <c r="O1435" i="13"/>
  <c r="O1253" i="13"/>
  <c r="O1362" i="13"/>
  <c r="O1444" i="13"/>
  <c r="O1487" i="13"/>
  <c r="O1387" i="13"/>
  <c r="O1262" i="13"/>
  <c r="O1321" i="13"/>
  <c r="O1395" i="13"/>
  <c r="O1470" i="13"/>
  <c r="O1329" i="13"/>
  <c r="O1330" i="13"/>
  <c r="O1403" i="13"/>
  <c r="O1455" i="13"/>
  <c r="O1405" i="13"/>
  <c r="O1440" i="13"/>
  <c r="O1383" i="13"/>
  <c r="O1380" i="13"/>
  <c r="O1304" i="13"/>
  <c r="O1290" i="13"/>
  <c r="O1324" i="13"/>
  <c r="O1425" i="13"/>
  <c r="O1271" i="13"/>
  <c r="O1252" i="13"/>
  <c r="O1266" i="13"/>
  <c r="O1343" i="13"/>
  <c r="O1479" i="13"/>
  <c r="O1259" i="13"/>
  <c r="O1319" i="13"/>
  <c r="O1354" i="13"/>
  <c r="O1261" i="13"/>
  <c r="O1413" i="13"/>
  <c r="O1313" i="13"/>
  <c r="O1322" i="13"/>
  <c r="O1305" i="13"/>
  <c r="O1437" i="13"/>
  <c r="O1418" i="13"/>
  <c r="O1256" i="13"/>
  <c r="O1306" i="13"/>
  <c r="O1314" i="13"/>
  <c r="O1246" i="13"/>
  <c r="O1433" i="13"/>
  <c r="M724" i="13"/>
  <c r="M710" i="13"/>
  <c r="M644" i="13"/>
  <c r="M666" i="13"/>
  <c r="M659" i="13"/>
  <c r="M618" i="13"/>
  <c r="M679" i="13"/>
  <c r="M584" i="13"/>
  <c r="M504" i="13"/>
  <c r="M514" i="13"/>
  <c r="M509" i="13"/>
  <c r="M578" i="13"/>
  <c r="M726" i="13"/>
  <c r="M571" i="13"/>
  <c r="M517" i="13"/>
  <c r="M682" i="13"/>
  <c r="M575" i="13"/>
  <c r="M641" i="13"/>
  <c r="M702" i="13"/>
  <c r="M607" i="13"/>
  <c r="M523" i="13"/>
  <c r="M611" i="13"/>
  <c r="M639" i="13"/>
  <c r="M720" i="13"/>
  <c r="M662" i="13"/>
  <c r="M642" i="13"/>
  <c r="M730" i="13"/>
  <c r="M577" i="13"/>
  <c r="M700" i="13"/>
  <c r="M699" i="13"/>
  <c r="M729" i="13"/>
  <c r="M616" i="13"/>
  <c r="M717" i="13"/>
  <c r="M740" i="13"/>
  <c r="M540" i="13"/>
  <c r="M521" i="13"/>
  <c r="M725" i="13"/>
  <c r="M656" i="13"/>
  <c r="M636" i="13"/>
  <c r="M569" i="13"/>
  <c r="M595" i="13"/>
  <c r="M652" i="13"/>
  <c r="M541" i="13"/>
  <c r="M556" i="13"/>
  <c r="M705" i="13"/>
  <c r="M528" i="13"/>
  <c r="M531" i="13"/>
  <c r="M614" i="13"/>
  <c r="M503" i="13"/>
  <c r="M711" i="13"/>
  <c r="M695" i="13"/>
  <c r="M680" i="13"/>
  <c r="M579" i="13"/>
  <c r="M518" i="13"/>
  <c r="M558" i="13"/>
  <c r="M563" i="13"/>
  <c r="M583" i="13"/>
  <c r="M546" i="13"/>
  <c r="M697" i="13"/>
  <c r="M649" i="13"/>
  <c r="M501" i="13"/>
  <c r="S501" i="13" s="1"/>
  <c r="M591" i="13"/>
  <c r="M593" i="13"/>
  <c r="M736" i="13"/>
  <c r="M626" i="13"/>
  <c r="M638" i="13"/>
  <c r="M581" i="13"/>
  <c r="M721" i="13"/>
  <c r="M508" i="13"/>
  <c r="M532" i="13"/>
  <c r="M684" i="13"/>
  <c r="M538" i="13"/>
  <c r="M507" i="13"/>
  <c r="M657" i="13"/>
  <c r="M550" i="13"/>
  <c r="M732" i="13"/>
  <c r="M637" i="13"/>
  <c r="M566" i="13"/>
  <c r="M588" i="13"/>
  <c r="M627" i="13"/>
  <c r="M633" i="13"/>
  <c r="M613" i="13"/>
  <c r="M678" i="13"/>
  <c r="M691" i="13"/>
  <c r="M739" i="13"/>
  <c r="M554" i="13"/>
  <c r="M570" i="13"/>
  <c r="M565" i="13"/>
  <c r="M561" i="13"/>
  <c r="M742" i="13"/>
  <c r="M632" i="13"/>
  <c r="M664" i="13"/>
  <c r="M589" i="13"/>
  <c r="M534" i="13"/>
  <c r="M600" i="13"/>
  <c r="M625" i="13"/>
  <c r="M715" i="13"/>
  <c r="M660" i="13"/>
  <c r="M567" i="13"/>
  <c r="M549" i="13"/>
  <c r="M653" i="13"/>
  <c r="M651" i="13"/>
  <c r="M620" i="13"/>
  <c r="M712" i="13"/>
  <c r="M568" i="13"/>
  <c r="M604" i="13"/>
  <c r="M669" i="13"/>
  <c r="M674" i="13"/>
  <c r="M582" i="13"/>
  <c r="M529" i="13"/>
  <c r="M536" i="13"/>
  <c r="M686" i="13"/>
  <c r="M693" i="13"/>
  <c r="M547" i="13"/>
  <c r="M654" i="13"/>
  <c r="M718" i="13"/>
  <c r="M597" i="13"/>
  <c r="M634" i="13"/>
  <c r="M722" i="13"/>
  <c r="M598" i="13"/>
  <c r="M552" i="13"/>
  <c r="M672" i="13"/>
  <c r="M687" i="13"/>
  <c r="M713" i="13"/>
  <c r="M622" i="13"/>
  <c r="M648" i="13"/>
  <c r="M741" i="13"/>
  <c r="M586" i="13"/>
  <c r="M602" i="13"/>
  <c r="M728" i="13"/>
  <c r="M516" i="13"/>
  <c r="M594" i="13"/>
  <c r="M564" i="13"/>
  <c r="M526" i="13"/>
  <c r="M511" i="13"/>
  <c r="M727" i="13"/>
  <c r="M520" i="13"/>
  <c r="M714" i="13"/>
  <c r="M610" i="13"/>
  <c r="M524" i="13"/>
  <c r="M701" i="13"/>
  <c r="M706" i="13"/>
  <c r="M708" i="13"/>
  <c r="M553" i="13"/>
  <c r="M683" i="13"/>
  <c r="M681" i="13"/>
  <c r="M585" i="13"/>
  <c r="M530" i="13"/>
  <c r="M519" i="13"/>
  <c r="M506" i="13"/>
  <c r="M543" i="13"/>
  <c r="M612" i="13"/>
  <c r="M623" i="13"/>
  <c r="M562" i="13"/>
  <c r="M658" i="13"/>
  <c r="M694" i="13"/>
  <c r="M733" i="13"/>
  <c r="M696" i="13"/>
  <c r="M734" i="13"/>
  <c r="M646" i="13"/>
  <c r="M605" i="13"/>
  <c r="M631" i="13"/>
  <c r="M599" i="13"/>
  <c r="M650" i="13"/>
  <c r="M510" i="13"/>
  <c r="M689" i="13"/>
  <c r="M522" i="13"/>
  <c r="M551" i="13"/>
  <c r="M560" i="13"/>
  <c r="M572" i="13"/>
  <c r="M698" i="13"/>
  <c r="M673" i="13"/>
  <c r="M630" i="13"/>
  <c r="M596" i="13"/>
  <c r="M709" i="13"/>
  <c r="M576" i="13"/>
  <c r="M544" i="13"/>
  <c r="M635" i="13"/>
  <c r="M601" i="13"/>
  <c r="M629" i="13"/>
  <c r="M628" i="13"/>
  <c r="M505" i="13"/>
  <c r="M671" i="13"/>
  <c r="M677" i="13"/>
  <c r="M580" i="13"/>
  <c r="M647" i="13"/>
  <c r="M525" i="13"/>
  <c r="M559" i="13"/>
  <c r="M615" i="13"/>
  <c r="M676" i="13"/>
  <c r="M587" i="13"/>
  <c r="M668" i="13"/>
  <c r="M670" i="13"/>
  <c r="M640" i="13"/>
  <c r="M661" i="13"/>
  <c r="M617" i="13"/>
  <c r="M624" i="13"/>
  <c r="M731" i="13"/>
  <c r="M533" i="13"/>
  <c r="M716" i="13"/>
  <c r="M545" i="13"/>
  <c r="M707" i="13"/>
  <c r="M655" i="13"/>
  <c r="M703" i="13"/>
  <c r="M619" i="13"/>
  <c r="M537" i="13"/>
  <c r="M665" i="13"/>
  <c r="M743" i="13"/>
  <c r="M735" i="13"/>
  <c r="M719" i="13"/>
  <c r="M513" i="13"/>
  <c r="M667" i="13"/>
  <c r="M527" i="13"/>
  <c r="M502" i="13"/>
  <c r="M621" i="13"/>
  <c r="M535" i="13"/>
  <c r="M512" i="13"/>
  <c r="M574" i="13"/>
  <c r="M555" i="13"/>
  <c r="M688" i="13"/>
  <c r="M548" i="13"/>
  <c r="M592" i="13"/>
  <c r="M692" i="13"/>
  <c r="M685" i="13"/>
  <c r="M723" i="13"/>
  <c r="M542" i="13"/>
  <c r="M663" i="13"/>
  <c r="M643" i="13"/>
  <c r="M608" i="13"/>
  <c r="M704" i="13"/>
  <c r="M690" i="13"/>
  <c r="M515" i="13"/>
  <c r="M675" i="13"/>
  <c r="M539" i="13"/>
  <c r="M609" i="13"/>
  <c r="M603" i="13"/>
  <c r="M737" i="13"/>
  <c r="M573" i="13"/>
  <c r="M557" i="13"/>
  <c r="M645" i="13"/>
  <c r="M738" i="13"/>
  <c r="M606" i="13"/>
  <c r="M590" i="13"/>
  <c r="K1689" i="13"/>
  <c r="K1594" i="13"/>
  <c r="K1549" i="13"/>
  <c r="K1540" i="13"/>
  <c r="K1595" i="13"/>
  <c r="K1518" i="13"/>
  <c r="K1711" i="13"/>
  <c r="K1577" i="13"/>
  <c r="K1637" i="13"/>
  <c r="K1660" i="13"/>
  <c r="K1558" i="13"/>
  <c r="K1639" i="13"/>
  <c r="K1534" i="13"/>
  <c r="K1523" i="13"/>
  <c r="K1702" i="13"/>
  <c r="K1673" i="13"/>
  <c r="K1584" i="13"/>
  <c r="K1726" i="13"/>
  <c r="K1567" i="13"/>
  <c r="K1596" i="13"/>
  <c r="K1714" i="13"/>
  <c r="K1727" i="13"/>
  <c r="K1636" i="13"/>
  <c r="K1665" i="13"/>
  <c r="K1629" i="13"/>
  <c r="K1535" i="13"/>
  <c r="K1583" i="13"/>
  <c r="K1722" i="13"/>
  <c r="K1574" i="13"/>
  <c r="K1632" i="13"/>
  <c r="K1692" i="13"/>
  <c r="K1563" i="13"/>
  <c r="K1509" i="13"/>
  <c r="K1696" i="13"/>
  <c r="K1640" i="13"/>
  <c r="K1606" i="13"/>
  <c r="K1668" i="13"/>
  <c r="K1604" i="13"/>
  <c r="K1618" i="13"/>
  <c r="K1700" i="13"/>
  <c r="K1647" i="13"/>
  <c r="K1571" i="13"/>
  <c r="K1680" i="13"/>
  <c r="K1601" i="13"/>
  <c r="K1730" i="13"/>
  <c r="K1709" i="13"/>
  <c r="K1575" i="13"/>
  <c r="K1541" i="13"/>
  <c r="K1543" i="13"/>
  <c r="K1498" i="13"/>
  <c r="K1664" i="13"/>
  <c r="K1698" i="13"/>
  <c r="K1656" i="13"/>
  <c r="K1690" i="13"/>
  <c r="K1522" i="13"/>
  <c r="K1731" i="13"/>
  <c r="K1645" i="13"/>
  <c r="K1597" i="13"/>
  <c r="K1514" i="13"/>
  <c r="K1542" i="13"/>
  <c r="K1503" i="13"/>
  <c r="K1602" i="13"/>
  <c r="K1508" i="13"/>
  <c r="K1682" i="13"/>
  <c r="K1725" i="13"/>
  <c r="K1684" i="13"/>
  <c r="K1708" i="13"/>
  <c r="K1732" i="13"/>
  <c r="K1687" i="13"/>
  <c r="K1562" i="13"/>
  <c r="K1659" i="13"/>
  <c r="K1619" i="13"/>
  <c r="K1705" i="13"/>
  <c r="K1717" i="13"/>
  <c r="K1729" i="13"/>
  <c r="K1642" i="13"/>
  <c r="K1670" i="13"/>
  <c r="K1641" i="13"/>
  <c r="K1701" i="13"/>
  <c r="K1686" i="13"/>
  <c r="K1724" i="13"/>
  <c r="K1550" i="13"/>
  <c r="K1511" i="13"/>
  <c r="K1663" i="13"/>
  <c r="K1648" i="13"/>
  <c r="K1605" i="13"/>
  <c r="K1697" i="13"/>
  <c r="K1728" i="13"/>
  <c r="K1586" i="13"/>
  <c r="K1513" i="13"/>
  <c r="K1512" i="13"/>
  <c r="K1695" i="13"/>
  <c r="K1570" i="13"/>
  <c r="K1561" i="13"/>
  <c r="K1707" i="13"/>
  <c r="K1616" i="13"/>
  <c r="K1573" i="13"/>
  <c r="K1719" i="13"/>
  <c r="K1624" i="13"/>
  <c r="K1621" i="13"/>
  <c r="K1614" i="13"/>
  <c r="K1547" i="13"/>
  <c r="K1493" i="13"/>
  <c r="K1634" i="13"/>
  <c r="K1620" i="13"/>
  <c r="K1555" i="13"/>
  <c r="K1658" i="13"/>
  <c r="K1699" i="13"/>
  <c r="K1565" i="13"/>
  <c r="K1520" i="13"/>
  <c r="K1627" i="13"/>
  <c r="K1657" i="13"/>
  <c r="K1568" i="13"/>
  <c r="K1694" i="13"/>
  <c r="K1669" i="13"/>
  <c r="K1580" i="13"/>
  <c r="K1718" i="13"/>
  <c r="K1681" i="13"/>
  <c r="K1592" i="13"/>
  <c r="K1607" i="13"/>
  <c r="K1566" i="13"/>
  <c r="K1704" i="13"/>
  <c r="K1644" i="13"/>
  <c r="K1610" i="13"/>
  <c r="K1507" i="13"/>
  <c r="K1524" i="13"/>
  <c r="K1538" i="13"/>
  <c r="K1631" i="13"/>
  <c r="K1667" i="13"/>
  <c r="K1713" i="13"/>
  <c r="K1671" i="13"/>
  <c r="K1504" i="13"/>
  <c r="K1651" i="13"/>
  <c r="K1654" i="13"/>
  <c r="K1536" i="13"/>
  <c r="K1533" i="13"/>
  <c r="K1510" i="13"/>
  <c r="K1501" i="13"/>
  <c r="K1612" i="13"/>
  <c r="K1591" i="13"/>
  <c r="K1716" i="13"/>
  <c r="K1685" i="13"/>
  <c r="K1556" i="13"/>
  <c r="K1623" i="13"/>
  <c r="K1655" i="13"/>
  <c r="K1676" i="13"/>
  <c r="K1525" i="13"/>
  <c r="K1646" i="13"/>
  <c r="K1530" i="13"/>
  <c r="K1712" i="13"/>
  <c r="K1548" i="13"/>
  <c r="K1560" i="13"/>
  <c r="K1683" i="13"/>
  <c r="K1557" i="13"/>
  <c r="K1609" i="13"/>
  <c r="K1653" i="13"/>
  <c r="K1578" i="13"/>
  <c r="K1715" i="13"/>
  <c r="K1517" i="13"/>
  <c r="K1516" i="13"/>
  <c r="K1625" i="13"/>
  <c r="K1723" i="13"/>
  <c r="K1589" i="13"/>
  <c r="K1649" i="13"/>
  <c r="K1710" i="13"/>
  <c r="K1588" i="13"/>
  <c r="K1519" i="13"/>
  <c r="K1720" i="13"/>
  <c r="K1721" i="13"/>
  <c r="K1611" i="13"/>
  <c r="K1552" i="13"/>
  <c r="K1733" i="13"/>
  <c r="K1630" i="13"/>
  <c r="K1528" i="13"/>
  <c r="K1652" i="13"/>
  <c r="K1582" i="13"/>
  <c r="K1688" i="13"/>
  <c r="K1532" i="13"/>
  <c r="K1499" i="13"/>
  <c r="K1734" i="13"/>
  <c r="K1600" i="13"/>
  <c r="K1615" i="13"/>
  <c r="K1735" i="13"/>
  <c r="K1598" i="13"/>
  <c r="K1677" i="13"/>
  <c r="K1494" i="13"/>
  <c r="K1526" i="13"/>
  <c r="K1675" i="13"/>
  <c r="K1666" i="13"/>
  <c r="K1553" i="13"/>
  <c r="K1691" i="13"/>
  <c r="K1678" i="13"/>
  <c r="K1546" i="13"/>
  <c r="K1703" i="13"/>
  <c r="K1608" i="13"/>
  <c r="K1569" i="13"/>
  <c r="K1633" i="13"/>
  <c r="K1585" i="13"/>
  <c r="K1672" i="13"/>
  <c r="K1661" i="13"/>
  <c r="K1572" i="13"/>
  <c r="K1495" i="13"/>
  <c r="K1529" i="13"/>
  <c r="K1502" i="13"/>
  <c r="K1650" i="13"/>
  <c r="K1662" i="13"/>
  <c r="K1674" i="13"/>
  <c r="K1638" i="13"/>
  <c r="K1505" i="13"/>
  <c r="K1693" i="13"/>
  <c r="K1613" i="13"/>
  <c r="K1537" i="13"/>
  <c r="K1527" i="13"/>
  <c r="K1500" i="13"/>
  <c r="K1559" i="13"/>
  <c r="K1599" i="13"/>
  <c r="K1587" i="13"/>
  <c r="K1617" i="13"/>
  <c r="K1539" i="13"/>
  <c r="K1622" i="13"/>
  <c r="K1579" i="13"/>
  <c r="K1679" i="13"/>
  <c r="K1635" i="13"/>
  <c r="K1544" i="13"/>
  <c r="K1545" i="13"/>
  <c r="K1706" i="13"/>
  <c r="K1554" i="13"/>
  <c r="K1603" i="13"/>
  <c r="K1626" i="13"/>
  <c r="K1551" i="13"/>
  <c r="K1497" i="13"/>
  <c r="K1564" i="13"/>
  <c r="K1628" i="13"/>
  <c r="K1521" i="13"/>
  <c r="K1496" i="13"/>
  <c r="K1515" i="13"/>
  <c r="K1576" i="13"/>
  <c r="K1590" i="13"/>
  <c r="K1531" i="13"/>
  <c r="K1593" i="13"/>
  <c r="K1643" i="13"/>
  <c r="K1506" i="13"/>
  <c r="K1581" i="13"/>
  <c r="L2402" i="13"/>
  <c r="L2372" i="13"/>
  <c r="L2413" i="13"/>
  <c r="L2244" i="13"/>
  <c r="L2273" i="13"/>
  <c r="L2364" i="13"/>
  <c r="L2403" i="13"/>
  <c r="L2310" i="13"/>
  <c r="L2241" i="13"/>
  <c r="L2384" i="13"/>
  <c r="L2331" i="13"/>
  <c r="L2303" i="13"/>
  <c r="L2437" i="13"/>
  <c r="L2381" i="13"/>
  <c r="L2341" i="13"/>
  <c r="L2259" i="13"/>
  <c r="L2475" i="13"/>
  <c r="L2406" i="13"/>
  <c r="L2338" i="13"/>
  <c r="L2247" i="13"/>
  <c r="L2347" i="13"/>
  <c r="L2431" i="13"/>
  <c r="L2428" i="13"/>
  <c r="L2441" i="13"/>
  <c r="L2280" i="13"/>
  <c r="L2419" i="13"/>
  <c r="L2417" i="13"/>
  <c r="L2319" i="13"/>
  <c r="L2363" i="13"/>
  <c r="L2435" i="13"/>
  <c r="L2256" i="13"/>
  <c r="L2292" i="13"/>
  <c r="L2275" i="13"/>
  <c r="L2254" i="13"/>
  <c r="L2245" i="13"/>
  <c r="L2436" i="13"/>
  <c r="L2291" i="13"/>
  <c r="L2324" i="13"/>
  <c r="L2302" i="13"/>
  <c r="L2295" i="13"/>
  <c r="L2388" i="13"/>
  <c r="L2309" i="13"/>
  <c r="L2264" i="13"/>
  <c r="L2466" i="13"/>
  <c r="L2430" i="13"/>
  <c r="L2282" i="13"/>
  <c r="L2255" i="13"/>
  <c r="L2446" i="13"/>
  <c r="L2359" i="13"/>
  <c r="L2304" i="13"/>
  <c r="L2238" i="13"/>
  <c r="L2451" i="13"/>
  <c r="L2391" i="13"/>
  <c r="L2298" i="13"/>
  <c r="L2246" i="13"/>
  <c r="L2278" i="13"/>
  <c r="L2409" i="13"/>
  <c r="L2478" i="13"/>
  <c r="L2456" i="13"/>
  <c r="L2370" i="13"/>
  <c r="L2337" i="13"/>
  <c r="L2334" i="13"/>
  <c r="L2367" i="13"/>
  <c r="L2427" i="13"/>
  <c r="L2442" i="13"/>
  <c r="L2460" i="13"/>
  <c r="L2444" i="13"/>
  <c r="L2356" i="13"/>
  <c r="L2289" i="13"/>
  <c r="L2449" i="13"/>
  <c r="L2385" i="13"/>
  <c r="L2345" i="13"/>
  <c r="L2268" i="13"/>
  <c r="L2463" i="13"/>
  <c r="L2394" i="13"/>
  <c r="L2317" i="13"/>
  <c r="L2266" i="13"/>
  <c r="L2420" i="13"/>
  <c r="L2423" i="13"/>
  <c r="L2276" i="13"/>
  <c r="L2240" i="13"/>
  <c r="L2326" i="13"/>
  <c r="L2346" i="13"/>
  <c r="L2410" i="13"/>
  <c r="L2400" i="13"/>
  <c r="L2476" i="13"/>
  <c r="L2349" i="13"/>
  <c r="L2421" i="13"/>
  <c r="L2265" i="13"/>
  <c r="L2287" i="13"/>
  <c r="L2422" i="13"/>
  <c r="L2452" i="13"/>
  <c r="L2351" i="13"/>
  <c r="L2462" i="13"/>
  <c r="L2380" i="13"/>
  <c r="L2454" i="13"/>
  <c r="L2401" i="13"/>
  <c r="L2263" i="13"/>
  <c r="L2258" i="13"/>
  <c r="L2469" i="13"/>
  <c r="L2445" i="13"/>
  <c r="L2418" i="13"/>
  <c r="L2350" i="13"/>
  <c r="L2269" i="13"/>
  <c r="L2450" i="13"/>
  <c r="L2366" i="13"/>
  <c r="L2308" i="13"/>
  <c r="L2242" i="13"/>
  <c r="L2439" i="13"/>
  <c r="L2379" i="13"/>
  <c r="L2283" i="13"/>
  <c r="L2465" i="13"/>
  <c r="L2432" i="13"/>
  <c r="L2344" i="13"/>
  <c r="L2260" i="13"/>
  <c r="L2306" i="13"/>
  <c r="L2447" i="13"/>
  <c r="L2440" i="13"/>
  <c r="L2365" i="13"/>
  <c r="L2390" i="13"/>
  <c r="L2459" i="13"/>
  <c r="L2237" i="13"/>
  <c r="R2237" i="13" s="1"/>
  <c r="L2277" i="13"/>
  <c r="L2290" i="13"/>
  <c r="L2342" i="13"/>
  <c r="L2343" i="13"/>
  <c r="L2376" i="13"/>
  <c r="L2373" i="13"/>
  <c r="L2333" i="13"/>
  <c r="L2272" i="13"/>
  <c r="L2467" i="13"/>
  <c r="L2398" i="13"/>
  <c r="L2330" i="13"/>
  <c r="L2270" i="13"/>
  <c r="L2396" i="13"/>
  <c r="L2411" i="13"/>
  <c r="L2318" i="13"/>
  <c r="L2249" i="13"/>
  <c r="L2405" i="13"/>
  <c r="L2362" i="13"/>
  <c r="L2311" i="13"/>
  <c r="L2471" i="13"/>
  <c r="L2274" i="13"/>
  <c r="L2243" i="13"/>
  <c r="L2357" i="13"/>
  <c r="L2375" i="13"/>
  <c r="L2457" i="13"/>
  <c r="L2307" i="13"/>
  <c r="L2414" i="13"/>
  <c r="L2479" i="13"/>
  <c r="L2261" i="13"/>
  <c r="L2325" i="13"/>
  <c r="L2424" i="13"/>
  <c r="L2369" i="13"/>
  <c r="L2378" i="13"/>
  <c r="L2407" i="13"/>
  <c r="L2312" i="13"/>
  <c r="L2470" i="13"/>
  <c r="L2425" i="13"/>
  <c r="L2455" i="13"/>
  <c r="L2448" i="13"/>
  <c r="L2438" i="13"/>
  <c r="L2305" i="13"/>
  <c r="L2296" i="13"/>
  <c r="L2252" i="13"/>
  <c r="L2443" i="13"/>
  <c r="L2383" i="13"/>
  <c r="L2293" i="13"/>
  <c r="L2473" i="13"/>
  <c r="L2408" i="13"/>
  <c r="L2332" i="13"/>
  <c r="L2284" i="13"/>
  <c r="L2474" i="13"/>
  <c r="L2355" i="13"/>
  <c r="L2297" i="13"/>
  <c r="L2267" i="13"/>
  <c r="L2348" i="13"/>
  <c r="L2387" i="13"/>
  <c r="L2352" i="13"/>
  <c r="L2313" i="13"/>
  <c r="L2301" i="13"/>
  <c r="L2477" i="13"/>
  <c r="L2412" i="13"/>
  <c r="L2472" i="13"/>
  <c r="L2468" i="13"/>
  <c r="L2285" i="13"/>
  <c r="L2300" i="13"/>
  <c r="L2433" i="13"/>
  <c r="L2386" i="13"/>
  <c r="L2328" i="13"/>
  <c r="L2251" i="13"/>
  <c r="L2404" i="13"/>
  <c r="L2415" i="13"/>
  <c r="L2322" i="13"/>
  <c r="L2253" i="13"/>
  <c r="L2368" i="13"/>
  <c r="L2321" i="13"/>
  <c r="L2299" i="13"/>
  <c r="L2464" i="13"/>
  <c r="L2393" i="13"/>
  <c r="L2353" i="13"/>
  <c r="L2281" i="13"/>
  <c r="L2389" i="13"/>
  <c r="L2434" i="13"/>
  <c r="L2248" i="13"/>
  <c r="L2315" i="13"/>
  <c r="L2354" i="13"/>
  <c r="L2397" i="13"/>
  <c r="L2257" i="13"/>
  <c r="L2361" i="13"/>
  <c r="L2335" i="13"/>
  <c r="L2453" i="13"/>
  <c r="L2327" i="13"/>
  <c r="L2340" i="13"/>
  <c r="L2329" i="13"/>
  <c r="L2320" i="13"/>
  <c r="L2314" i="13"/>
  <c r="L2399" i="13"/>
  <c r="L2339" i="13"/>
  <c r="L2382" i="13"/>
  <c r="L2395" i="13"/>
  <c r="L2360" i="13"/>
  <c r="L2429" i="13"/>
  <c r="L2371" i="13"/>
  <c r="L2323" i="13"/>
  <c r="L2392" i="13"/>
  <c r="L2416" i="13"/>
  <c r="L2336" i="13"/>
  <c r="L2288" i="13"/>
  <c r="L2461" i="13"/>
  <c r="L2426" i="13"/>
  <c r="L2358" i="13"/>
  <c r="L2239" i="13"/>
  <c r="L2458" i="13"/>
  <c r="L2374" i="13"/>
  <c r="L2316" i="13"/>
  <c r="L2250" i="13"/>
  <c r="L2377" i="13"/>
  <c r="L2294" i="13"/>
  <c r="L2286" i="13"/>
  <c r="L2271" i="13"/>
  <c r="L2262" i="13"/>
  <c r="L2279" i="13"/>
  <c r="N2237" i="13"/>
  <c r="N2421" i="13"/>
  <c r="N2261" i="13"/>
  <c r="N2454" i="13"/>
  <c r="N2340" i="13"/>
  <c r="N2409" i="13"/>
  <c r="N2329" i="13"/>
  <c r="N2462" i="13"/>
  <c r="N2302" i="13"/>
  <c r="N2448" i="13"/>
  <c r="N2301" i="13"/>
  <c r="N2334" i="13"/>
  <c r="N2468" i="13"/>
  <c r="N2273" i="13"/>
  <c r="N2328" i="13"/>
  <c r="N2415" i="13"/>
  <c r="N2463" i="13"/>
  <c r="N2394" i="13"/>
  <c r="N2249" i="13"/>
  <c r="N2311" i="13"/>
  <c r="N2349" i="13"/>
  <c r="N2335" i="13"/>
  <c r="N2435" i="13"/>
  <c r="N2431" i="13"/>
  <c r="N2400" i="13"/>
  <c r="N2447" i="13"/>
  <c r="N2246" i="13"/>
  <c r="N2369" i="13"/>
  <c r="N2258" i="13"/>
  <c r="N2378" i="13"/>
  <c r="N2401" i="13"/>
  <c r="N2337" i="13"/>
  <c r="N2285" i="13"/>
  <c r="N2253" i="13"/>
  <c r="N2281" i="13"/>
  <c r="N2442" i="13"/>
  <c r="N2441" i="13"/>
  <c r="N2466" i="13"/>
  <c r="N2332" i="13"/>
  <c r="N2413" i="13"/>
  <c r="N2331" i="13"/>
  <c r="N2338" i="13"/>
  <c r="N2315" i="13"/>
  <c r="N2428" i="13"/>
  <c r="N2355" i="13"/>
  <c r="N2342" i="13"/>
  <c r="N2272" i="13"/>
  <c r="N2411" i="13"/>
  <c r="N2326" i="13"/>
  <c r="N2429" i="13"/>
  <c r="N2264" i="13"/>
  <c r="N2416" i="13"/>
  <c r="N2288" i="13"/>
  <c r="N2461" i="13"/>
  <c r="N2359" i="13"/>
  <c r="N2283" i="13"/>
  <c r="N2474" i="13"/>
  <c r="N2374" i="13"/>
  <c r="N2267" i="13"/>
  <c r="N2345" i="13"/>
  <c r="N2443" i="13"/>
  <c r="N2397" i="13"/>
  <c r="N2414" i="13"/>
  <c r="N2325" i="13"/>
  <c r="N2339" i="13"/>
  <c r="N2291" i="13"/>
  <c r="N2351" i="13"/>
  <c r="N2324" i="13"/>
  <c r="N2455" i="13"/>
  <c r="N2271" i="13"/>
  <c r="N2377" i="13"/>
  <c r="N2278" i="13"/>
  <c r="N2277" i="13"/>
  <c r="N2427" i="13"/>
  <c r="N2433" i="13"/>
  <c r="N2251" i="13"/>
  <c r="N2330" i="13"/>
  <c r="N2396" i="13"/>
  <c r="N2321" i="13"/>
  <c r="N2475" i="13"/>
  <c r="N2240" i="13"/>
  <c r="N2257" i="13"/>
  <c r="N2363" i="13"/>
  <c r="N2422" i="13"/>
  <c r="N2346" i="13"/>
  <c r="N2375" i="13"/>
  <c r="N2424" i="13"/>
  <c r="N2425" i="13"/>
  <c r="N2352" i="13"/>
  <c r="N2478" i="13"/>
  <c r="N2348" i="13"/>
  <c r="N2456" i="13"/>
  <c r="N2314" i="13"/>
  <c r="N2386" i="13"/>
  <c r="N2299" i="13"/>
  <c r="N2471" i="13"/>
  <c r="N2356" i="13"/>
  <c r="N2371" i="13"/>
  <c r="N2366" i="13"/>
  <c r="N2316" i="13"/>
  <c r="N2244" i="13"/>
  <c r="N2303" i="13"/>
  <c r="N2247" i="13"/>
  <c r="N2354" i="13"/>
  <c r="N2305" i="13"/>
  <c r="N2344" i="13"/>
  <c r="N2376" i="13"/>
  <c r="N2467" i="13"/>
  <c r="N2318" i="13"/>
  <c r="N2476" i="13"/>
  <c r="N2388" i="13"/>
  <c r="N2252" i="13"/>
  <c r="N2383" i="13"/>
  <c r="N2255" i="13"/>
  <c r="N2446" i="13"/>
  <c r="N2379" i="13"/>
  <c r="N2284" i="13"/>
  <c r="N2458" i="13"/>
  <c r="N2391" i="13"/>
  <c r="N2250" i="13"/>
  <c r="N2317" i="13"/>
  <c r="N2336" i="13"/>
  <c r="N2307" i="13"/>
  <c r="N2361" i="13"/>
  <c r="N2327" i="13"/>
  <c r="N2370" i="13"/>
  <c r="N2294" i="13"/>
  <c r="N2382" i="13"/>
  <c r="N2306" i="13"/>
  <c r="N2395" i="13"/>
  <c r="N2254" i="13"/>
  <c r="N2390" i="13"/>
  <c r="N2262" i="13"/>
  <c r="N2472" i="13"/>
  <c r="N2343" i="13"/>
  <c r="N2364" i="13"/>
  <c r="N2384" i="13"/>
  <c r="N2268" i="13"/>
  <c r="N2368" i="13"/>
  <c r="N2341" i="13"/>
  <c r="N2420" i="13"/>
  <c r="N2457" i="13"/>
  <c r="N2319" i="13"/>
  <c r="N2287" i="13"/>
  <c r="N2256" i="13"/>
  <c r="N2410" i="13"/>
  <c r="N2280" i="13"/>
  <c r="N2312" i="13"/>
  <c r="N2459" i="13"/>
  <c r="N2286" i="13"/>
  <c r="N2436" i="13"/>
  <c r="N2320" i="13"/>
  <c r="N2380" i="13"/>
  <c r="N2295" i="13"/>
  <c r="N2404" i="13"/>
  <c r="N2464" i="13"/>
  <c r="N2274" i="13"/>
  <c r="N2423" i="13"/>
  <c r="N2296" i="13"/>
  <c r="N2282" i="13"/>
  <c r="N2402" i="13"/>
  <c r="N2310" i="13"/>
  <c r="N2259" i="13"/>
  <c r="N2389" i="13"/>
  <c r="N2444" i="13"/>
  <c r="N2350" i="13"/>
  <c r="N2298" i="13"/>
  <c r="N2373" i="13"/>
  <c r="N2398" i="13"/>
  <c r="N2405" i="13"/>
  <c r="N2445" i="13"/>
  <c r="N2309" i="13"/>
  <c r="N2392" i="13"/>
  <c r="N2308" i="13"/>
  <c r="N2242" i="13"/>
  <c r="N2439" i="13"/>
  <c r="N2358" i="13"/>
  <c r="N2239" i="13"/>
  <c r="N2451" i="13"/>
  <c r="N2297" i="13"/>
  <c r="N2460" i="13"/>
  <c r="N2276" i="13"/>
  <c r="N2465" i="13"/>
  <c r="N2417" i="13"/>
  <c r="N2479" i="13"/>
  <c r="N2470" i="13"/>
  <c r="N2387" i="13"/>
  <c r="N2292" i="13"/>
  <c r="N2399" i="13"/>
  <c r="N2477" i="13"/>
  <c r="N2313" i="13"/>
  <c r="N2469" i="13"/>
  <c r="N2360" i="13"/>
  <c r="N2245" i="13"/>
  <c r="N2367" i="13"/>
  <c r="N2300" i="13"/>
  <c r="N2403" i="13"/>
  <c r="N2385" i="13"/>
  <c r="N2437" i="13"/>
  <c r="N2381" i="13"/>
  <c r="N2266" i="13"/>
  <c r="N2353" i="13"/>
  <c r="N2419" i="13"/>
  <c r="N2265" i="13"/>
  <c r="N2453" i="13"/>
  <c r="N2434" i="13"/>
  <c r="N2357" i="13"/>
  <c r="N2452" i="13"/>
  <c r="N2263" i="13"/>
  <c r="N2440" i="13"/>
  <c r="N2275" i="13"/>
  <c r="N2365" i="13"/>
  <c r="N2279" i="13"/>
  <c r="N2407" i="13"/>
  <c r="N2412" i="13"/>
  <c r="N2322" i="13"/>
  <c r="N2393" i="13"/>
  <c r="N2243" i="13"/>
  <c r="N2347" i="13"/>
  <c r="N2269" i="13"/>
  <c r="N2426" i="13"/>
  <c r="N2372" i="13"/>
  <c r="N2241" i="13"/>
  <c r="N2406" i="13"/>
  <c r="N2248" i="13"/>
  <c r="N2449" i="13"/>
  <c r="N2430" i="13"/>
  <c r="N2290" i="13"/>
  <c r="N2333" i="13"/>
  <c r="N2270" i="13"/>
  <c r="N2362" i="13"/>
  <c r="N2438" i="13"/>
  <c r="N2323" i="13"/>
  <c r="N2450" i="13"/>
  <c r="N2293" i="13"/>
  <c r="N2473" i="13"/>
  <c r="N2408" i="13"/>
  <c r="N2304" i="13"/>
  <c r="N2238" i="13"/>
  <c r="N2432" i="13"/>
  <c r="N2260" i="13"/>
  <c r="N2289" i="13"/>
  <c r="N2418" i="13"/>
  <c r="M2049" i="13"/>
  <c r="M2154" i="13"/>
  <c r="M2012" i="13"/>
  <c r="M2072" i="13"/>
  <c r="M2221" i="13"/>
  <c r="M2213" i="13"/>
  <c r="M2026" i="13"/>
  <c r="M2016" i="13"/>
  <c r="M2104" i="13"/>
  <c r="M2217" i="13"/>
  <c r="M2124" i="13"/>
  <c r="M2130" i="13"/>
  <c r="M2182" i="13"/>
  <c r="M2021" i="13"/>
  <c r="M2017" i="13"/>
  <c r="M2093" i="13"/>
  <c r="M2005" i="13"/>
  <c r="M2177" i="13"/>
  <c r="M2224" i="13"/>
  <c r="M1994" i="13"/>
  <c r="M2102" i="13"/>
  <c r="M2041" i="13"/>
  <c r="M2145" i="13"/>
  <c r="M2164" i="13"/>
  <c r="M1993" i="13"/>
  <c r="M2179" i="13"/>
  <c r="M2144" i="13"/>
  <c r="M2032" i="13"/>
  <c r="M2006" i="13"/>
  <c r="M2098" i="13"/>
  <c r="M2138" i="13"/>
  <c r="M2197" i="13"/>
  <c r="M2230" i="13"/>
  <c r="M2027" i="13"/>
  <c r="M2050" i="13"/>
  <c r="M2115" i="13"/>
  <c r="M2074" i="13"/>
  <c r="M2231" i="13"/>
  <c r="M2073" i="13"/>
  <c r="M2043" i="13"/>
  <c r="M2090" i="13"/>
  <c r="M2212" i="13"/>
  <c r="M2078" i="13"/>
  <c r="M2057" i="13"/>
  <c r="M2019" i="13"/>
  <c r="M2024" i="13"/>
  <c r="M2000" i="13"/>
  <c r="M2014" i="13"/>
  <c r="M2087" i="13"/>
  <c r="M2013" i="13"/>
  <c r="M2015" i="13"/>
  <c r="M2229" i="13"/>
  <c r="M2129" i="13"/>
  <c r="M2149" i="13"/>
  <c r="M2059" i="13"/>
  <c r="M2081" i="13"/>
  <c r="M2042" i="13"/>
  <c r="M2114" i="13"/>
  <c r="M2184" i="13"/>
  <c r="M2160" i="13"/>
  <c r="M1989" i="13"/>
  <c r="S1989" i="13" s="1"/>
  <c r="M2135" i="13"/>
  <c r="M2036" i="13"/>
  <c r="M2226" i="13"/>
  <c r="M2088" i="13"/>
  <c r="M1997" i="13"/>
  <c r="M2183" i="13"/>
  <c r="M2206" i="13"/>
  <c r="M2009" i="13"/>
  <c r="M2001" i="13"/>
  <c r="M2168" i="13"/>
  <c r="M2193" i="13"/>
  <c r="M2068" i="13"/>
  <c r="M2173" i="13"/>
  <c r="M2198" i="13"/>
  <c r="M2034" i="13"/>
  <c r="M2216" i="13"/>
  <c r="M2062" i="13"/>
  <c r="M2007" i="13"/>
  <c r="M2158" i="13"/>
  <c r="M2052" i="13"/>
  <c r="M2176" i="13"/>
  <c r="M2116" i="13"/>
  <c r="M2201" i="13"/>
  <c r="M2143" i="13"/>
  <c r="M2210" i="13"/>
  <c r="M2058" i="13"/>
  <c r="M1995" i="13"/>
  <c r="M2220" i="13"/>
  <c r="M2064" i="13"/>
  <c r="M2172" i="13"/>
  <c r="M2222" i="13"/>
  <c r="M2025" i="13"/>
  <c r="M2205" i="13"/>
  <c r="M2022" i="13"/>
  <c r="M2077" i="13"/>
  <c r="M2171" i="13"/>
  <c r="M2092" i="13"/>
  <c r="M2083" i="13"/>
  <c r="M2095" i="13"/>
  <c r="M2219" i="13"/>
  <c r="M2159" i="13"/>
  <c r="M2189" i="13"/>
  <c r="M2020" i="13"/>
  <c r="M2061" i="13"/>
  <c r="M2134" i="13"/>
  <c r="M2155" i="13"/>
  <c r="M2099" i="13"/>
  <c r="M2038" i="13"/>
  <c r="M2120" i="13"/>
  <c r="M2112" i="13"/>
  <c r="M2004" i="13"/>
  <c r="M2079" i="13"/>
  <c r="M2200" i="13"/>
  <c r="M2085" i="13"/>
  <c r="M2031" i="13"/>
  <c r="M2165" i="13"/>
  <c r="M2191" i="13"/>
  <c r="M2018" i="13"/>
  <c r="M2209" i="13"/>
  <c r="M2148" i="13"/>
  <c r="M2028" i="13"/>
  <c r="M1990" i="13"/>
  <c r="M2101" i="13"/>
  <c r="M2107" i="13"/>
  <c r="M2117" i="13"/>
  <c r="M2002" i="13"/>
  <c r="M2108" i="13"/>
  <c r="M2203" i="13"/>
  <c r="M2196" i="13"/>
  <c r="M2131" i="13"/>
  <c r="M2097" i="13"/>
  <c r="M2065" i="13"/>
  <c r="M2141" i="13"/>
  <c r="M2186" i="13"/>
  <c r="M1992" i="13"/>
  <c r="M2105" i="13"/>
  <c r="M2111" i="13"/>
  <c r="M2153" i="13"/>
  <c r="M2082" i="13"/>
  <c r="M2035" i="13"/>
  <c r="M2125" i="13"/>
  <c r="M2044" i="13"/>
  <c r="M2215" i="13"/>
  <c r="M2180" i="13"/>
  <c r="M2223" i="13"/>
  <c r="M2029" i="13"/>
  <c r="M2023" i="13"/>
  <c r="M2094" i="13"/>
  <c r="M2142" i="13"/>
  <c r="M2137" i="13"/>
  <c r="M2218" i="13"/>
  <c r="M2127" i="13"/>
  <c r="M2192" i="13"/>
  <c r="M2157" i="13"/>
  <c r="M2075" i="13"/>
  <c r="M2037" i="13"/>
  <c r="M2132" i="13"/>
  <c r="M2170" i="13"/>
  <c r="M2199" i="13"/>
  <c r="M2151" i="13"/>
  <c r="M2045" i="13"/>
  <c r="M2069" i="13"/>
  <c r="M2126" i="13"/>
  <c r="M2140" i="13"/>
  <c r="M2128" i="13"/>
  <c r="M2096" i="13"/>
  <c r="M2194" i="13"/>
  <c r="M2152" i="13"/>
  <c r="M2056" i="13"/>
  <c r="M2122" i="13"/>
  <c r="M2208" i="13"/>
  <c r="M2133" i="13"/>
  <c r="M2086" i="13"/>
  <c r="M2103" i="13"/>
  <c r="M2178" i="13"/>
  <c r="M2067" i="13"/>
  <c r="M1998" i="13"/>
  <c r="M2053" i="13"/>
  <c r="M2161" i="13"/>
  <c r="M2003" i="13"/>
  <c r="M2214" i="13"/>
  <c r="M2118" i="13"/>
  <c r="M2121" i="13"/>
  <c r="M2100" i="13"/>
  <c r="M2163" i="13"/>
  <c r="M2139" i="13"/>
  <c r="M2008" i="13"/>
  <c r="M2110" i="13"/>
  <c r="M2166" i="13"/>
  <c r="M2048" i="13"/>
  <c r="M2146" i="13"/>
  <c r="M2071" i="13"/>
  <c r="M2054" i="13"/>
  <c r="M2039" i="13"/>
  <c r="M2040" i="13"/>
  <c r="M2113" i="13"/>
  <c r="M2089" i="13"/>
  <c r="M2167" i="13"/>
  <c r="M2051" i="13"/>
  <c r="M2156" i="13"/>
  <c r="M2211" i="13"/>
  <c r="M2181" i="13"/>
  <c r="M2228" i="13"/>
  <c r="M1991" i="13"/>
  <c r="M2123" i="13"/>
  <c r="M2174" i="13"/>
  <c r="M2063" i="13"/>
  <c r="M2047" i="13"/>
  <c r="M2202" i="13"/>
  <c r="M2187" i="13"/>
  <c r="M2011" i="13"/>
  <c r="M2030" i="13"/>
  <c r="M2010" i="13"/>
  <c r="M2175" i="13"/>
  <c r="M2227" i="13"/>
  <c r="M2060" i="13"/>
  <c r="M2204" i="13"/>
  <c r="M2195" i="13"/>
  <c r="M2091" i="13"/>
  <c r="M2185" i="13"/>
  <c r="M2162" i="13"/>
  <c r="M2106" i="13"/>
  <c r="M2207" i="13"/>
  <c r="M2190" i="13"/>
  <c r="M2046" i="13"/>
  <c r="M2070" i="13"/>
  <c r="M2080" i="13"/>
  <c r="M1999" i="13"/>
  <c r="M1996" i="13"/>
  <c r="M2119" i="13"/>
  <c r="M2066" i="13"/>
  <c r="M2169" i="13"/>
  <c r="M2225" i="13"/>
  <c r="M2136" i="13"/>
  <c r="M2076" i="13"/>
  <c r="M2084" i="13"/>
  <c r="M2188" i="13"/>
  <c r="M2033" i="13"/>
  <c r="M2147" i="13"/>
  <c r="M2109" i="13"/>
  <c r="M2055" i="13"/>
  <c r="M2150" i="13"/>
  <c r="N782" i="13"/>
  <c r="N869" i="13"/>
  <c r="N754" i="13"/>
  <c r="N919" i="13"/>
  <c r="N890" i="13"/>
  <c r="N917" i="13"/>
  <c r="N805" i="13"/>
  <c r="N989" i="13"/>
  <c r="N867" i="13"/>
  <c r="N863" i="13"/>
  <c r="N859" i="13"/>
  <c r="N770" i="13"/>
  <c r="N906" i="13"/>
  <c r="N766" i="13"/>
  <c r="N881" i="13"/>
  <c r="N936" i="13"/>
  <c r="N833" i="13"/>
  <c r="N769" i="13"/>
  <c r="N801" i="13"/>
  <c r="N758" i="13"/>
  <c r="N871" i="13"/>
  <c r="N872" i="13"/>
  <c r="N942" i="13"/>
  <c r="N832" i="13"/>
  <c r="N934" i="13"/>
  <c r="N856" i="13"/>
  <c r="N952" i="13"/>
  <c r="N939" i="13"/>
  <c r="N891" i="13"/>
  <c r="N757" i="13"/>
  <c r="N791" i="13"/>
  <c r="N874" i="13"/>
  <c r="N834" i="13"/>
  <c r="N768" i="13"/>
  <c r="N974" i="13"/>
  <c r="N960" i="13"/>
  <c r="N880" i="13"/>
  <c r="N853" i="13"/>
  <c r="N940" i="13"/>
  <c r="N892" i="13"/>
  <c r="N810" i="13"/>
  <c r="N795" i="13"/>
  <c r="N912" i="13"/>
  <c r="N911" i="13"/>
  <c r="N826" i="13"/>
  <c r="N883" i="13"/>
  <c r="N923" i="13"/>
  <c r="N862" i="13"/>
  <c r="N842" i="13"/>
  <c r="N953" i="13"/>
  <c r="N966" i="13"/>
  <c r="N793" i="13"/>
  <c r="N839" i="13"/>
  <c r="N909" i="13"/>
  <c r="N857" i="13"/>
  <c r="N813" i="13"/>
  <c r="N981" i="13"/>
  <c r="N961" i="13"/>
  <c r="N907" i="13"/>
  <c r="N780" i="13"/>
  <c r="N899" i="13"/>
  <c r="N915" i="13"/>
  <c r="N844" i="13"/>
  <c r="N792" i="13"/>
  <c r="N855" i="13"/>
  <c r="N802" i="13"/>
  <c r="N807" i="13"/>
  <c r="N775" i="13"/>
  <c r="N965" i="13"/>
  <c r="N877" i="13"/>
  <c r="N990" i="13"/>
  <c r="N814" i="13"/>
  <c r="N914" i="13"/>
  <c r="N851" i="13"/>
  <c r="N763" i="13"/>
  <c r="N849" i="13"/>
  <c r="N822" i="13"/>
  <c r="N815" i="13"/>
  <c r="N797" i="13"/>
  <c r="N781" i="13"/>
  <c r="N897" i="13"/>
  <c r="N971" i="13"/>
  <c r="N840" i="13"/>
  <c r="N982" i="13"/>
  <c r="N835" i="13"/>
  <c r="N978" i="13"/>
  <c r="N896" i="13"/>
  <c r="N926" i="13"/>
  <c r="N848" i="13"/>
  <c r="N860" i="13"/>
  <c r="N759" i="13"/>
  <c r="N885" i="13"/>
  <c r="N903" i="13"/>
  <c r="N922" i="13"/>
  <c r="N772" i="13"/>
  <c r="N951" i="13"/>
  <c r="N888" i="13"/>
  <c r="N843" i="13"/>
  <c r="N836" i="13"/>
  <c r="N938" i="13"/>
  <c r="N753" i="13"/>
  <c r="N821" i="13"/>
  <c r="N845" i="13"/>
  <c r="N809" i="13"/>
  <c r="N905" i="13"/>
  <c r="N986" i="13"/>
  <c r="N868" i="13"/>
  <c r="N875" i="13"/>
  <c r="N949" i="13"/>
  <c r="N958" i="13"/>
  <c r="N955" i="13"/>
  <c r="N983" i="13"/>
  <c r="N751" i="13"/>
  <c r="N941" i="13"/>
  <c r="N865" i="13"/>
  <c r="N946" i="13"/>
  <c r="N910" i="13"/>
  <c r="N762" i="13"/>
  <c r="N898" i="13"/>
  <c r="N904" i="13"/>
  <c r="N817" i="13"/>
  <c r="N838" i="13"/>
  <c r="N749" i="13"/>
  <c r="T749" i="13" s="1"/>
  <c r="N798" i="13"/>
  <c r="N818" i="13"/>
  <c r="N887" i="13"/>
  <c r="N901" i="13"/>
  <c r="N824" i="13"/>
  <c r="N773" i="13"/>
  <c r="N819" i="13"/>
  <c r="N984" i="13"/>
  <c r="N932" i="13"/>
  <c r="N928" i="13"/>
  <c r="N808" i="13"/>
  <c r="N846" i="13"/>
  <c r="N787" i="13"/>
  <c r="N756" i="13"/>
  <c r="N894" i="13"/>
  <c r="N975" i="13"/>
  <c r="N789" i="13"/>
  <c r="N761" i="13"/>
  <c r="N774" i="13"/>
  <c r="N987" i="13"/>
  <c r="N950" i="13"/>
  <c r="N933" i="13"/>
  <c r="N947" i="13"/>
  <c r="N925" i="13"/>
  <c r="N943" i="13"/>
  <c r="N827" i="13"/>
  <c r="N921" i="13"/>
  <c r="N882" i="13"/>
  <c r="N764" i="13"/>
  <c r="N918" i="13"/>
  <c r="N803" i="13"/>
  <c r="N879" i="13"/>
  <c r="N830" i="13"/>
  <c r="N878" i="13"/>
  <c r="N895" i="13"/>
  <c r="N954" i="13"/>
  <c r="N988" i="13"/>
  <c r="N812" i="13"/>
  <c r="N930" i="13"/>
  <c r="N755" i="13"/>
  <c r="N920" i="13"/>
  <c r="N820" i="13"/>
  <c r="N841" i="13"/>
  <c r="N825" i="13"/>
  <c r="N931" i="13"/>
  <c r="N991" i="13"/>
  <c r="N913" i="13"/>
  <c r="N963" i="13"/>
  <c r="N837" i="13"/>
  <c r="N783" i="13"/>
  <c r="N969" i="13"/>
  <c r="N924" i="13"/>
  <c r="N806" i="13"/>
  <c r="N852" i="13"/>
  <c r="N854" i="13"/>
  <c r="N779" i="13"/>
  <c r="N973" i="13"/>
  <c r="N760" i="13"/>
  <c r="N956" i="13"/>
  <c r="N945" i="13"/>
  <c r="N796" i="13"/>
  <c r="N790" i="13"/>
  <c r="N750" i="13"/>
  <c r="N778" i="13"/>
  <c r="N831" i="13"/>
  <c r="N937" i="13"/>
  <c r="N970" i="13"/>
  <c r="N799" i="13"/>
  <c r="N908" i="13"/>
  <c r="N985" i="13"/>
  <c r="N752" i="13"/>
  <c r="N902" i="13"/>
  <c r="N929" i="13"/>
  <c r="N765" i="13"/>
  <c r="N959" i="13"/>
  <c r="N864" i="13"/>
  <c r="N893" i="13"/>
  <c r="N876" i="13"/>
  <c r="N979" i="13"/>
  <c r="N935" i="13"/>
  <c r="N957" i="13"/>
  <c r="N889" i="13"/>
  <c r="N870" i="13"/>
  <c r="N847" i="13"/>
  <c r="N785" i="13"/>
  <c r="N816" i="13"/>
  <c r="N964" i="13"/>
  <c r="N804" i="13"/>
  <c r="N977" i="13"/>
  <c r="N980" i="13"/>
  <c r="N900" i="13"/>
  <c r="N866" i="13"/>
  <c r="N884" i="13"/>
  <c r="N873" i="13"/>
  <c r="N828" i="13"/>
  <c r="N823" i="13"/>
  <c r="N976" i="13"/>
  <c r="N784" i="13"/>
  <c r="N788" i="13"/>
  <c r="N962" i="13"/>
  <c r="N886" i="13"/>
  <c r="N800" i="13"/>
  <c r="N767" i="13"/>
  <c r="N776" i="13"/>
  <c r="N916" i="13"/>
  <c r="N927" i="13"/>
  <c r="N829" i="13"/>
  <c r="N777" i="13"/>
  <c r="N858" i="13"/>
  <c r="N967" i="13"/>
  <c r="N972" i="13"/>
  <c r="N771" i="13"/>
  <c r="N968" i="13"/>
  <c r="N944" i="13"/>
  <c r="N948" i="13"/>
  <c r="N786" i="13"/>
  <c r="N811" i="13"/>
  <c r="N850" i="13"/>
  <c r="N861" i="13"/>
  <c r="N794" i="13"/>
  <c r="L1471" i="13"/>
  <c r="L1405" i="13"/>
  <c r="L1255" i="13"/>
  <c r="L1311" i="13"/>
  <c r="L1313" i="13"/>
  <c r="L1361" i="13"/>
  <c r="L1274" i="13"/>
  <c r="L1460" i="13"/>
  <c r="L1432" i="13"/>
  <c r="L1283" i="13"/>
  <c r="L1411" i="13"/>
  <c r="L1435" i="13"/>
  <c r="L1380" i="13"/>
  <c r="L1301" i="13"/>
  <c r="L1413" i="13"/>
  <c r="L1417" i="13"/>
  <c r="L1325" i="13"/>
  <c r="L1282" i="13"/>
  <c r="L1475" i="13"/>
  <c r="L1410" i="13"/>
  <c r="L1295" i="13"/>
  <c r="L1250" i="13"/>
  <c r="L1363" i="13"/>
  <c r="L1481" i="13"/>
  <c r="L1354" i="13"/>
  <c r="L1457" i="13"/>
  <c r="L1392" i="13"/>
  <c r="L1427" i="13"/>
  <c r="L1330" i="13"/>
  <c r="L1470" i="13"/>
  <c r="L1383" i="13"/>
  <c r="L1344" i="13"/>
  <c r="L1272" i="13"/>
  <c r="L1365" i="13"/>
  <c r="L1393" i="13"/>
  <c r="L1276" i="13"/>
  <c r="L1277" i="13"/>
  <c r="L1447" i="13"/>
  <c r="L1382" i="13"/>
  <c r="L1331" i="13"/>
  <c r="L1252" i="13"/>
  <c r="L1464" i="13"/>
  <c r="L1324" i="13"/>
  <c r="L1291" i="13"/>
  <c r="L1433" i="13"/>
  <c r="L1371" i="13"/>
  <c r="L1440" i="13"/>
  <c r="L1367" i="13"/>
  <c r="L1377" i="13"/>
  <c r="L1477" i="13"/>
  <c r="L1466" i="13"/>
  <c r="L1453" i="13"/>
  <c r="L1443" i="13"/>
  <c r="L1487" i="13"/>
  <c r="L1419" i="13"/>
  <c r="L1439" i="13"/>
  <c r="L1391" i="13"/>
  <c r="L1348" i="13"/>
  <c r="L1338" i="13"/>
  <c r="L1461" i="13"/>
  <c r="L1259" i="13"/>
  <c r="L1355" i="13"/>
  <c r="L1418" i="13"/>
  <c r="L1262" i="13"/>
  <c r="L1336" i="13"/>
  <c r="L1254" i="13"/>
  <c r="L1362" i="13"/>
  <c r="L1486" i="13"/>
  <c r="L1415" i="13"/>
  <c r="L1368" i="13"/>
  <c r="L1289" i="13"/>
  <c r="L1429" i="13"/>
  <c r="L1425" i="13"/>
  <c r="L1329" i="13"/>
  <c r="L1286" i="13"/>
  <c r="L1463" i="13"/>
  <c r="L1398" i="13"/>
  <c r="L1347" i="13"/>
  <c r="L1247" i="13"/>
  <c r="L1480" i="13"/>
  <c r="L1320" i="13"/>
  <c r="L1288" i="13"/>
  <c r="L1434" i="13"/>
  <c r="L1333" i="13"/>
  <c r="L1483" i="13"/>
  <c r="L1345" i="13"/>
  <c r="L1479" i="13"/>
  <c r="L1315" i="13"/>
  <c r="L1438" i="13"/>
  <c r="L1284" i="13"/>
  <c r="L1465" i="13"/>
  <c r="L1369" i="13"/>
  <c r="L1342" i="13"/>
  <c r="L1267" i="13"/>
  <c r="L1451" i="13"/>
  <c r="L1386" i="13"/>
  <c r="L1335" i="13"/>
  <c r="L1256" i="13"/>
  <c r="L1452" i="13"/>
  <c r="L1424" i="13"/>
  <c r="L1266" i="13"/>
  <c r="L1379" i="13"/>
  <c r="L1423" i="13"/>
  <c r="L1372" i="13"/>
  <c r="L1293" i="13"/>
  <c r="L1305" i="13"/>
  <c r="L1358" i="13"/>
  <c r="L1412" i="13"/>
  <c r="L1317" i="13"/>
  <c r="L1346" i="13"/>
  <c r="L1421" i="13"/>
  <c r="L1375" i="13"/>
  <c r="L1430" i="13"/>
  <c r="L1378" i="13"/>
  <c r="L1422" i="13"/>
  <c r="L1370" i="13"/>
  <c r="L1408" i="13"/>
  <c r="L1356" i="13"/>
  <c r="L1366" i="13"/>
  <c r="L1316" i="13"/>
  <c r="L1403" i="13"/>
  <c r="L1257" i="13"/>
  <c r="L1245" i="13"/>
  <c r="R1245" i="13" s="1"/>
  <c r="L1450" i="13"/>
  <c r="L1322" i="13"/>
  <c r="L1484" i="13"/>
  <c r="L1296" i="13"/>
  <c r="L1387" i="13"/>
  <c r="L1303" i="13"/>
  <c r="L1455" i="13"/>
  <c r="L1390" i="13"/>
  <c r="L1339" i="13"/>
  <c r="L1260" i="13"/>
  <c r="L1472" i="13"/>
  <c r="L1359" i="13"/>
  <c r="L1307" i="13"/>
  <c r="L1395" i="13"/>
  <c r="L1431" i="13"/>
  <c r="L1376" i="13"/>
  <c r="L1297" i="13"/>
  <c r="L1442" i="13"/>
  <c r="L1436" i="13"/>
  <c r="L1337" i="13"/>
  <c r="L1294" i="13"/>
  <c r="L1357" i="13"/>
  <c r="L1290" i="13"/>
  <c r="L1332" i="13"/>
  <c r="L1302" i="13"/>
  <c r="L1414" i="13"/>
  <c r="L1485" i="13"/>
  <c r="L1404" i="13"/>
  <c r="L1253" i="13"/>
  <c r="L1444" i="13"/>
  <c r="L1416" i="13"/>
  <c r="L1308" i="13"/>
  <c r="L1482" i="13"/>
  <c r="L1407" i="13"/>
  <c r="L1364" i="13"/>
  <c r="L1285" i="13"/>
  <c r="L1473" i="13"/>
  <c r="L1385" i="13"/>
  <c r="L1350" i="13"/>
  <c r="L1273" i="13"/>
  <c r="L1459" i="13"/>
  <c r="L1394" i="13"/>
  <c r="L1343" i="13"/>
  <c r="L1264" i="13"/>
  <c r="L1384" i="13"/>
  <c r="L1249" i="13"/>
  <c r="L1462" i="13"/>
  <c r="L1469" i="13"/>
  <c r="L1406" i="13"/>
  <c r="L1271" i="13"/>
  <c r="L1258" i="13"/>
  <c r="L1278" i="13"/>
  <c r="L1248" i="13"/>
  <c r="L1270" i="13"/>
  <c r="L1261" i="13"/>
  <c r="L1474" i="13"/>
  <c r="L1352" i="13"/>
  <c r="L1349" i="13"/>
  <c r="L1454" i="13"/>
  <c r="L1306" i="13"/>
  <c r="L1341" i="13"/>
  <c r="L1401" i="13"/>
  <c r="L1402" i="13"/>
  <c r="L1340" i="13"/>
  <c r="L1388" i="13"/>
  <c r="L1445" i="13"/>
  <c r="L1426" i="13"/>
  <c r="L1323" i="13"/>
  <c r="L1268" i="13"/>
  <c r="L1281" i="13"/>
  <c r="L1275" i="13"/>
  <c r="L1292" i="13"/>
  <c r="L1263" i="13"/>
  <c r="L1476" i="13"/>
  <c r="L1456" i="13"/>
  <c r="L1312" i="13"/>
  <c r="L1420" i="13"/>
  <c r="L1246" i="13"/>
  <c r="L1458" i="13"/>
  <c r="L1287" i="13"/>
  <c r="L1351" i="13"/>
  <c r="L1299" i="13"/>
  <c r="L1309" i="13"/>
  <c r="L1304" i="13"/>
  <c r="L1310" i="13"/>
  <c r="L1265" i="13"/>
  <c r="L1478" i="13"/>
  <c r="L1397" i="13"/>
  <c r="L1441" i="13"/>
  <c r="L1269" i="13"/>
  <c r="L1327" i="13"/>
  <c r="L1280" i="13"/>
  <c r="L1396" i="13"/>
  <c r="L1251" i="13"/>
  <c r="L1389" i="13"/>
  <c r="L1399" i="13"/>
  <c r="L1400" i="13"/>
  <c r="L1446" i="13"/>
  <c r="L1381" i="13"/>
  <c r="L1467" i="13"/>
  <c r="L1468" i="13"/>
  <c r="L1373" i="13"/>
  <c r="L1279" i="13"/>
  <c r="L1298" i="13"/>
  <c r="L1374" i="13"/>
  <c r="L1428" i="13"/>
  <c r="L1360" i="13"/>
  <c r="L1321" i="13"/>
  <c r="L1300" i="13"/>
  <c r="L1328" i="13"/>
  <c r="L1319" i="13"/>
  <c r="L1318" i="13"/>
  <c r="L1314" i="13"/>
  <c r="L1334" i="13"/>
  <c r="L1448" i="13"/>
  <c r="L1353" i="13"/>
  <c r="L1449" i="13"/>
  <c r="L1437" i="13"/>
  <c r="L1409" i="13"/>
  <c r="L1326" i="13"/>
  <c r="K1162" i="13"/>
  <c r="K1183" i="13"/>
  <c r="K1034" i="13"/>
  <c r="K1130" i="13"/>
  <c r="K1141" i="13"/>
  <c r="K1023" i="13"/>
  <c r="K1131" i="13"/>
  <c r="K1168" i="13"/>
  <c r="K1121" i="13"/>
  <c r="K1010" i="13"/>
  <c r="K1053" i="13"/>
  <c r="K1084" i="13"/>
  <c r="K1165" i="13"/>
  <c r="K1083" i="13"/>
  <c r="K1003" i="13"/>
  <c r="K1041" i="13"/>
  <c r="K1093" i="13"/>
  <c r="K1066" i="13"/>
  <c r="K1198" i="13"/>
  <c r="K1196" i="13"/>
  <c r="K1049" i="13"/>
  <c r="K1048" i="13"/>
  <c r="K1226" i="13"/>
  <c r="K1144" i="13"/>
  <c r="K1051" i="13"/>
  <c r="K1030" i="13"/>
  <c r="K1194" i="13"/>
  <c r="K1213" i="13"/>
  <c r="K1090" i="13"/>
  <c r="K1000" i="13"/>
  <c r="K1223" i="13"/>
  <c r="K1145" i="13"/>
  <c r="K1069" i="13"/>
  <c r="K1005" i="13"/>
  <c r="K1143" i="13"/>
  <c r="K1139" i="13"/>
  <c r="K1046" i="13"/>
  <c r="K1166" i="13"/>
  <c r="K1192" i="13"/>
  <c r="K1140" i="13"/>
  <c r="K1044" i="13"/>
  <c r="K1133" i="13"/>
  <c r="K1216" i="13"/>
  <c r="K1214" i="13"/>
  <c r="K1039" i="13"/>
  <c r="K1078" i="13"/>
  <c r="K1217" i="13"/>
  <c r="K1181" i="13"/>
  <c r="K1099" i="13"/>
  <c r="K1019" i="13"/>
  <c r="K1163" i="13"/>
  <c r="K1118" i="13"/>
  <c r="K1055" i="13"/>
  <c r="K1190" i="13"/>
  <c r="K1212" i="13"/>
  <c r="K1104" i="13"/>
  <c r="K1064" i="13"/>
  <c r="K1167" i="13"/>
  <c r="K1160" i="13"/>
  <c r="K1105" i="13"/>
  <c r="K1021" i="13"/>
  <c r="K1116" i="13"/>
  <c r="K1215" i="13"/>
  <c r="K1154" i="13"/>
  <c r="K1012" i="13"/>
  <c r="K1134" i="13"/>
  <c r="K1239" i="13"/>
  <c r="K1159" i="13"/>
  <c r="K1208" i="13"/>
  <c r="K1229" i="13"/>
  <c r="K1040" i="13"/>
  <c r="K1086" i="13"/>
  <c r="K1137" i="13"/>
  <c r="K1155" i="13"/>
  <c r="K1191" i="13"/>
  <c r="K1112" i="13"/>
  <c r="K1156" i="13"/>
  <c r="K1197" i="13"/>
  <c r="K1195" i="13"/>
  <c r="K1018" i="13"/>
  <c r="K1107" i="13"/>
  <c r="K1201" i="13"/>
  <c r="K1232" i="13"/>
  <c r="K1045" i="13"/>
  <c r="K1076" i="13"/>
  <c r="K1164" i="13"/>
  <c r="K1170" i="13"/>
  <c r="K1228" i="13"/>
  <c r="K1138" i="13"/>
  <c r="K1101" i="13"/>
  <c r="K1070" i="13"/>
  <c r="K1224" i="13"/>
  <c r="K1200" i="13"/>
  <c r="K1080" i="13"/>
  <c r="K1052" i="13"/>
  <c r="K1210" i="13"/>
  <c r="K1113" i="13"/>
  <c r="K1098" i="13"/>
  <c r="K1016" i="13"/>
  <c r="K1150" i="13"/>
  <c r="K1169" i="13"/>
  <c r="K1087" i="13"/>
  <c r="K1007" i="13"/>
  <c r="K1227" i="13"/>
  <c r="K1149" i="13"/>
  <c r="K1073" i="13"/>
  <c r="K1009" i="13"/>
  <c r="K1147" i="13"/>
  <c r="K1067" i="13"/>
  <c r="K1050" i="13"/>
  <c r="K1221" i="13"/>
  <c r="K1180" i="13"/>
  <c r="K1128" i="13"/>
  <c r="K1032" i="13"/>
  <c r="K1202" i="13"/>
  <c r="K1100" i="13"/>
  <c r="K1094" i="13"/>
  <c r="K1008" i="13"/>
  <c r="K1108" i="13"/>
  <c r="K1125" i="13"/>
  <c r="K1187" i="13"/>
  <c r="K1174" i="13"/>
  <c r="K1028" i="13"/>
  <c r="K1171" i="13"/>
  <c r="K1122" i="13"/>
  <c r="K1063" i="13"/>
  <c r="K1220" i="13"/>
  <c r="K1065" i="13"/>
  <c r="K1111" i="13"/>
  <c r="K1068" i="13"/>
  <c r="K1230" i="13"/>
  <c r="K1148" i="13"/>
  <c r="K1081" i="13"/>
  <c r="K998" i="13"/>
  <c r="K1225" i="13"/>
  <c r="K1185" i="13"/>
  <c r="K1103" i="13"/>
  <c r="K1002" i="13"/>
  <c r="K997" i="13"/>
  <c r="Q997" i="13" s="1"/>
  <c r="K1109" i="13"/>
  <c r="K1042" i="13"/>
  <c r="K1029" i="13"/>
  <c r="K1222" i="13"/>
  <c r="K1106" i="13"/>
  <c r="K1161" i="13"/>
  <c r="K999" i="13"/>
  <c r="K1085" i="13"/>
  <c r="K1146" i="13"/>
  <c r="K1060" i="13"/>
  <c r="K1136" i="13"/>
  <c r="K1209" i="13"/>
  <c r="K1219" i="13"/>
  <c r="K1001" i="13"/>
  <c r="K1058" i="13"/>
  <c r="K1033" i="13"/>
  <c r="K1238" i="13"/>
  <c r="K1014" i="13"/>
  <c r="K1120" i="13"/>
  <c r="K1193" i="13"/>
  <c r="K1175" i="13"/>
  <c r="K1025" i="13"/>
  <c r="K1124" i="13"/>
  <c r="K1203" i="13"/>
  <c r="K1020" i="13"/>
  <c r="K1057" i="13"/>
  <c r="K1123" i="13"/>
  <c r="K1176" i="13"/>
  <c r="K1237" i="13"/>
  <c r="K1204" i="13"/>
  <c r="K1088" i="13"/>
  <c r="K1056" i="13"/>
  <c r="K1218" i="13"/>
  <c r="K1129" i="13"/>
  <c r="K1102" i="13"/>
  <c r="K1022" i="13"/>
  <c r="K1235" i="13"/>
  <c r="K1157" i="13"/>
  <c r="K1059" i="13"/>
  <c r="K1017" i="13"/>
  <c r="K1142" i="13"/>
  <c r="K1110" i="13"/>
  <c r="K1037" i="13"/>
  <c r="K1206" i="13"/>
  <c r="K1151" i="13"/>
  <c r="K1074" i="13"/>
  <c r="K1054" i="13"/>
  <c r="K1233" i="13"/>
  <c r="K1184" i="13"/>
  <c r="K1132" i="13"/>
  <c r="K1036" i="13"/>
  <c r="K1178" i="13"/>
  <c r="K1205" i="13"/>
  <c r="K1082" i="13"/>
  <c r="K1027" i="13"/>
  <c r="K1231" i="13"/>
  <c r="K1153" i="13"/>
  <c r="K1043" i="13"/>
  <c r="K1013" i="13"/>
  <c r="K1075" i="13"/>
  <c r="K1127" i="13"/>
  <c r="K1189" i="13"/>
  <c r="K1211" i="13"/>
  <c r="K1236" i="13"/>
  <c r="K1072" i="13"/>
  <c r="K1115" i="13"/>
  <c r="K1024" i="13"/>
  <c r="K1234" i="13"/>
  <c r="K1152" i="13"/>
  <c r="K1089" i="13"/>
  <c r="K1006" i="13"/>
  <c r="K1199" i="13"/>
  <c r="K1173" i="13"/>
  <c r="K1091" i="13"/>
  <c r="K1011" i="13"/>
  <c r="K1179" i="13"/>
  <c r="K1126" i="13"/>
  <c r="K1071" i="13"/>
  <c r="K1004" i="13"/>
  <c r="K1172" i="13"/>
  <c r="K1135" i="13"/>
  <c r="K1026" i="13"/>
  <c r="K1079" i="13"/>
  <c r="K1062" i="13"/>
  <c r="K1096" i="13"/>
  <c r="K1188" i="13"/>
  <c r="K1186" i="13"/>
  <c r="K1031" i="13"/>
  <c r="K1061" i="13"/>
  <c r="K1077" i="13"/>
  <c r="K1038" i="13"/>
  <c r="K1117" i="13"/>
  <c r="K1097" i="13"/>
  <c r="K1207" i="13"/>
  <c r="K1158" i="13"/>
  <c r="K1092" i="13"/>
  <c r="K1047" i="13"/>
  <c r="K1177" i="13"/>
  <c r="K1114" i="13"/>
  <c r="K1119" i="13"/>
  <c r="K1035" i="13"/>
  <c r="K1015" i="13"/>
  <c r="K1182" i="13"/>
  <c r="K1095" i="13"/>
  <c r="N1127" i="13"/>
  <c r="N1171" i="13"/>
  <c r="N1019" i="13"/>
  <c r="N1065" i="13"/>
  <c r="N1089" i="13"/>
  <c r="N1015" i="13"/>
  <c r="N1212" i="13"/>
  <c r="N1104" i="13"/>
  <c r="N1182" i="13"/>
  <c r="N1119" i="13"/>
  <c r="N1162" i="13"/>
  <c r="N1201" i="13"/>
  <c r="N1057" i="13"/>
  <c r="N1135" i="13"/>
  <c r="N1106" i="13"/>
  <c r="N1129" i="13"/>
  <c r="N1017" i="13"/>
  <c r="N1060" i="13"/>
  <c r="N1038" i="13"/>
  <c r="N1214" i="13"/>
  <c r="N1211" i="13"/>
  <c r="N1229" i="13"/>
  <c r="N1073" i="13"/>
  <c r="N1186" i="13"/>
  <c r="N1031" i="13"/>
  <c r="N1001" i="13"/>
  <c r="N1043" i="13"/>
  <c r="N1175" i="13"/>
  <c r="N1006" i="13"/>
  <c r="N1045" i="13"/>
  <c r="N1070" i="13"/>
  <c r="N1052" i="13"/>
  <c r="N1150" i="13"/>
  <c r="N1188" i="13"/>
  <c r="N1061" i="13"/>
  <c r="N1116" i="13"/>
  <c r="N1238" i="13"/>
  <c r="N1092" i="13"/>
  <c r="N1176" i="13"/>
  <c r="N1022" i="13"/>
  <c r="N1142" i="13"/>
  <c r="N1000" i="13"/>
  <c r="N1143" i="13"/>
  <c r="N1044" i="13"/>
  <c r="N1122" i="13"/>
  <c r="N1002" i="13"/>
  <c r="N1084" i="13"/>
  <c r="N1093" i="13"/>
  <c r="N1048" i="13"/>
  <c r="N1206" i="13"/>
  <c r="N1184" i="13"/>
  <c r="N1205" i="13"/>
  <c r="N1064" i="13"/>
  <c r="N1085" i="13"/>
  <c r="N1190" i="13"/>
  <c r="N1221" i="13"/>
  <c r="N1118" i="13"/>
  <c r="N1159" i="13"/>
  <c r="N1128" i="13"/>
  <c r="N1227" i="13"/>
  <c r="N1147" i="13"/>
  <c r="N1112" i="13"/>
  <c r="N1072" i="13"/>
  <c r="N1220" i="13"/>
  <c r="N1152" i="13"/>
  <c r="N1095" i="13"/>
  <c r="N1230" i="13"/>
  <c r="N1148" i="13"/>
  <c r="N1081" i="13"/>
  <c r="N1225" i="13"/>
  <c r="N1105" i="13"/>
  <c r="N1034" i="13"/>
  <c r="N1124" i="13"/>
  <c r="N1121" i="13"/>
  <c r="N1134" i="13"/>
  <c r="N1056" i="13"/>
  <c r="N1066" i="13"/>
  <c r="N1146" i="13"/>
  <c r="N1191" i="13"/>
  <c r="N1216" i="13"/>
  <c r="N1187" i="13"/>
  <c r="N1117" i="13"/>
  <c r="N1194" i="13"/>
  <c r="N1040" i="13"/>
  <c r="N1209" i="13"/>
  <c r="N1139" i="13"/>
  <c r="N1155" i="13"/>
  <c r="N1008" i="13"/>
  <c r="N1115" i="13"/>
  <c r="N1091" i="13"/>
  <c r="N1170" i="13"/>
  <c r="N1224" i="13"/>
  <c r="N1210" i="13"/>
  <c r="N1169" i="13"/>
  <c r="N1086" i="13"/>
  <c r="N1077" i="13"/>
  <c r="N1109" i="13"/>
  <c r="N1156" i="13"/>
  <c r="N1203" i="13"/>
  <c r="N1237" i="13"/>
  <c r="N1235" i="13"/>
  <c r="N1110" i="13"/>
  <c r="N1223" i="13"/>
  <c r="N1046" i="13"/>
  <c r="N1197" i="13"/>
  <c r="N1063" i="13"/>
  <c r="N1131" i="13"/>
  <c r="N1165" i="13"/>
  <c r="N1198" i="13"/>
  <c r="N1226" i="13"/>
  <c r="N1151" i="13"/>
  <c r="N1132" i="13"/>
  <c r="N1231" i="13"/>
  <c r="N1021" i="13"/>
  <c r="N1032" i="13"/>
  <c r="N1167" i="13"/>
  <c r="N1202" i="13"/>
  <c r="N1154" i="13"/>
  <c r="N1208" i="13"/>
  <c r="N1094" i="13"/>
  <c r="N1180" i="13"/>
  <c r="N997" i="13"/>
  <c r="N1039" i="13"/>
  <c r="N1099" i="13"/>
  <c r="N1207" i="13"/>
  <c r="N1177" i="13"/>
  <c r="N1055" i="13"/>
  <c r="N1199" i="13"/>
  <c r="N1173" i="13"/>
  <c r="N998" i="13"/>
  <c r="N1179" i="13"/>
  <c r="N1071" i="13"/>
  <c r="N1018" i="13"/>
  <c r="N1168" i="13"/>
  <c r="N1164" i="13"/>
  <c r="N1101" i="13"/>
  <c r="N1218" i="13"/>
  <c r="N999" i="13"/>
  <c r="N1096" i="13"/>
  <c r="N1133" i="13"/>
  <c r="N1125" i="13"/>
  <c r="N1189" i="13"/>
  <c r="N1078" i="13"/>
  <c r="N1136" i="13"/>
  <c r="N1009" i="13"/>
  <c r="N1145" i="13"/>
  <c r="N1082" i="13"/>
  <c r="N1153" i="13"/>
  <c r="N1120" i="13"/>
  <c r="N1024" i="13"/>
  <c r="N1126" i="13"/>
  <c r="N1228" i="13"/>
  <c r="N1200" i="13"/>
  <c r="N1098" i="13"/>
  <c r="N1087" i="13"/>
  <c r="N1219" i="13"/>
  <c r="N1058" i="13"/>
  <c r="N1215" i="13"/>
  <c r="N1097" i="13"/>
  <c r="N1020" i="13"/>
  <c r="N1204" i="13"/>
  <c r="N1157" i="13"/>
  <c r="N1037" i="13"/>
  <c r="N1069" i="13"/>
  <c r="N1166" i="13"/>
  <c r="N1195" i="13"/>
  <c r="N1185" i="13"/>
  <c r="N1010" i="13"/>
  <c r="N1083" i="13"/>
  <c r="N1196" i="13"/>
  <c r="N1144" i="13"/>
  <c r="N1074" i="13"/>
  <c r="N1036" i="13"/>
  <c r="N1013" i="13"/>
  <c r="N1029" i="13"/>
  <c r="N1183" i="13"/>
  <c r="N1079" i="13"/>
  <c r="N1130" i="13"/>
  <c r="N1222" i="13"/>
  <c r="N1149" i="13"/>
  <c r="N1026" i="13"/>
  <c r="N1217" i="13"/>
  <c r="N1236" i="13"/>
  <c r="N1068" i="13"/>
  <c r="N1160" i="13"/>
  <c r="N1012" i="13"/>
  <c r="N1051" i="13"/>
  <c r="N1028" i="13"/>
  <c r="N1027" i="13"/>
  <c r="N1232" i="13"/>
  <c r="N1007" i="13"/>
  <c r="N1047" i="13"/>
  <c r="N1213" i="13"/>
  <c r="N1103" i="13"/>
  <c r="N1030" i="13"/>
  <c r="N1161" i="13"/>
  <c r="N1239" i="13"/>
  <c r="N1025" i="13"/>
  <c r="N1233" i="13"/>
  <c r="N1004" i="13"/>
  <c r="N1192" i="13"/>
  <c r="N1100" i="13"/>
  <c r="N1014" i="13"/>
  <c r="N1158" i="13"/>
  <c r="N1035" i="13"/>
  <c r="N1088" i="13"/>
  <c r="N1075" i="13"/>
  <c r="N1090" i="13"/>
  <c r="N1140" i="13"/>
  <c r="N1138" i="13"/>
  <c r="N1137" i="13"/>
  <c r="N1123" i="13"/>
  <c r="N1005" i="13"/>
  <c r="N1053" i="13"/>
  <c r="N1054" i="13"/>
  <c r="N1023" i="13"/>
  <c r="N1067" i="13"/>
  <c r="N1114" i="13"/>
  <c r="N1033" i="13"/>
  <c r="N1080" i="13"/>
  <c r="N1178" i="13"/>
  <c r="N1108" i="13"/>
  <c r="N1111" i="13"/>
  <c r="N1011" i="13"/>
  <c r="N1076" i="13"/>
  <c r="N1113" i="13"/>
  <c r="N1174" i="13"/>
  <c r="N1050" i="13"/>
  <c r="N1234" i="13"/>
  <c r="N1016" i="13"/>
  <c r="N1042" i="13"/>
  <c r="N1059" i="13"/>
  <c r="N1107" i="13"/>
  <c r="N1049" i="13"/>
  <c r="N1141" i="13"/>
  <c r="N1181" i="13"/>
  <c r="N1172" i="13"/>
  <c r="N1163" i="13"/>
  <c r="N1041" i="13"/>
  <c r="N1193" i="13"/>
  <c r="N1102" i="13"/>
  <c r="N1003" i="13"/>
  <c r="N1062" i="13"/>
  <c r="M1866" i="13"/>
  <c r="M1753" i="13"/>
  <c r="M1812" i="13"/>
  <c r="M1791" i="13"/>
  <c r="M1910" i="13"/>
  <c r="M1802" i="13"/>
  <c r="M1899" i="13"/>
  <c r="M1946" i="13"/>
  <c r="M1848" i="13"/>
  <c r="M1939" i="13"/>
  <c r="M1893" i="13"/>
  <c r="M1907" i="13"/>
  <c r="M1895" i="13"/>
  <c r="M1920" i="13"/>
  <c r="M1913" i="13"/>
  <c r="M1930" i="13"/>
  <c r="M1744" i="13"/>
  <c r="M1908" i="13"/>
  <c r="M1748" i="13"/>
  <c r="M1840" i="13"/>
  <c r="M1969" i="13"/>
  <c r="M1881" i="13"/>
  <c r="M1799" i="13"/>
  <c r="M1764" i="13"/>
  <c r="M1949" i="13"/>
  <c r="M1777" i="13"/>
  <c r="M1747" i="13"/>
  <c r="M1885" i="13"/>
  <c r="M1788" i="13"/>
  <c r="M1950" i="13"/>
  <c r="M1783" i="13"/>
  <c r="M1815" i="13"/>
  <c r="M1979" i="13"/>
  <c r="M1805" i="13"/>
  <c r="M1847" i="13"/>
  <c r="M1851" i="13"/>
  <c r="M1871" i="13"/>
  <c r="M1849" i="13"/>
  <c r="M1909" i="13"/>
  <c r="M1832" i="13"/>
  <c r="M1953" i="13"/>
  <c r="M1934" i="13"/>
  <c r="M1912" i="13"/>
  <c r="M1856" i="13"/>
  <c r="M1810" i="13"/>
  <c r="M1804" i="13"/>
  <c r="M1947" i="13"/>
  <c r="M1942" i="13"/>
  <c r="M1778" i="13"/>
  <c r="M1769" i="13"/>
  <c r="M1872" i="13"/>
  <c r="M1850" i="13"/>
  <c r="M1861" i="13"/>
  <c r="M1980" i="13"/>
  <c r="M1776" i="13"/>
  <c r="M1974" i="13"/>
  <c r="M1749" i="13"/>
  <c r="M1858" i="13"/>
  <c r="M1900" i="13"/>
  <c r="M1846" i="13"/>
  <c r="M1795" i="13"/>
  <c r="M1809" i="13"/>
  <c r="M1891" i="13"/>
  <c r="M1819" i="13"/>
  <c r="M1745" i="13"/>
  <c r="M1781" i="13"/>
  <c r="M1888" i="13"/>
  <c r="M1959" i="13"/>
  <c r="M1906" i="13"/>
  <c r="M1937" i="13"/>
  <c r="M1857" i="13"/>
  <c r="M1750" i="13"/>
  <c r="M1948" i="13"/>
  <c r="M1824" i="13"/>
  <c r="M1879" i="13"/>
  <c r="M1845" i="13"/>
  <c r="M1945" i="13"/>
  <c r="M1780" i="13"/>
  <c r="M1796" i="13"/>
  <c r="M1829" i="13"/>
  <c r="M1916" i="13"/>
  <c r="M1770" i="13"/>
  <c r="M1771" i="13"/>
  <c r="M1860" i="13"/>
  <c r="M1821" i="13"/>
  <c r="M1958" i="13"/>
  <c r="M1905" i="13"/>
  <c r="M1951" i="13"/>
  <c r="M1742" i="13"/>
  <c r="M1877" i="13"/>
  <c r="M1758" i="13"/>
  <c r="M1883" i="13"/>
  <c r="M1925" i="13"/>
  <c r="M1935" i="13"/>
  <c r="M1892" i="13"/>
  <c r="M1972" i="13"/>
  <c r="M1932" i="13"/>
  <c r="M1983" i="13"/>
  <c r="M1768" i="13"/>
  <c r="M1944" i="13"/>
  <c r="M1922" i="13"/>
  <c r="M1915" i="13"/>
  <c r="M1928" i="13"/>
  <c r="M1865" i="13"/>
  <c r="M1831" i="13"/>
  <c r="M1976" i="13"/>
  <c r="M1774" i="13"/>
  <c r="M1903" i="13"/>
  <c r="M1970" i="13"/>
  <c r="M1806" i="13"/>
  <c r="M1954" i="13"/>
  <c r="M1823" i="13"/>
  <c r="M1852" i="13"/>
  <c r="M1961" i="13"/>
  <c r="M1811" i="13"/>
  <c r="M1876" i="13"/>
  <c r="M1884" i="13"/>
  <c r="M1743" i="13"/>
  <c r="M1874" i="13"/>
  <c r="M1956" i="13"/>
  <c r="M1752" i="13"/>
  <c r="M1741" i="13"/>
  <c r="S1741" i="13" s="1"/>
  <c r="M1955" i="13"/>
  <c r="M1825" i="13"/>
  <c r="M1756" i="13"/>
  <c r="M1822" i="13"/>
  <c r="M1870" i="13"/>
  <c r="M1755" i="13"/>
  <c r="M1760" i="13"/>
  <c r="M1962" i="13"/>
  <c r="M1792" i="13"/>
  <c r="M1894" i="13"/>
  <c r="M1965" i="13"/>
  <c r="M1973" i="13"/>
  <c r="M1784" i="13"/>
  <c r="M1787" i="13"/>
  <c r="M1886" i="13"/>
  <c r="M1834" i="13"/>
  <c r="M1775" i="13"/>
  <c r="M1838" i="13"/>
  <c r="M1863" i="13"/>
  <c r="M1772" i="13"/>
  <c r="M1878" i="13"/>
  <c r="M1839" i="13"/>
  <c r="M1982" i="13"/>
  <c r="M1968" i="13"/>
  <c r="M1785" i="13"/>
  <c r="M1842" i="13"/>
  <c r="M1841" i="13"/>
  <c r="M1835" i="13"/>
  <c r="M1820" i="13"/>
  <c r="M1867" i="13"/>
  <c r="M1786" i="13"/>
  <c r="M1924" i="13"/>
  <c r="M1800" i="13"/>
  <c r="M1751" i="13"/>
  <c r="M1746" i="13"/>
  <c r="M1818" i="13"/>
  <c r="M1827" i="13"/>
  <c r="M1836" i="13"/>
  <c r="M1898" i="13"/>
  <c r="M1798" i="13"/>
  <c r="M1931" i="13"/>
  <c r="M1759" i="13"/>
  <c r="M1763" i="13"/>
  <c r="M1754" i="13"/>
  <c r="M1890" i="13"/>
  <c r="M1914" i="13"/>
  <c r="M1757" i="13"/>
  <c r="M1767" i="13"/>
  <c r="M1868" i="13"/>
  <c r="M1830" i="13"/>
  <c r="M1828" i="13"/>
  <c r="M1765" i="13"/>
  <c r="M1807" i="13"/>
  <c r="M1926" i="13"/>
  <c r="M1803" i="13"/>
  <c r="M1766" i="13"/>
  <c r="M1794" i="13"/>
  <c r="M1896" i="13"/>
  <c r="M1801" i="13"/>
  <c r="M1773" i="13"/>
  <c r="M1978" i="13"/>
  <c r="M1789" i="13"/>
  <c r="M1826" i="13"/>
  <c r="M1833" i="13"/>
  <c r="M1964" i="13"/>
  <c r="M1977" i="13"/>
  <c r="M1817" i="13"/>
  <c r="M1816" i="13"/>
  <c r="M1782" i="13"/>
  <c r="M1904" i="13"/>
  <c r="M1889" i="13"/>
  <c r="M1981" i="13"/>
  <c r="M1911" i="13"/>
  <c r="M1797" i="13"/>
  <c r="M1918" i="13"/>
  <c r="M1936" i="13"/>
  <c r="M1873" i="13"/>
  <c r="M1921" i="13"/>
  <c r="M1927" i="13"/>
  <c r="M1975" i="13"/>
  <c r="M1901" i="13"/>
  <c r="M1917" i="13"/>
  <c r="M1933" i="13"/>
  <c r="M1966" i="13"/>
  <c r="M1943" i="13"/>
  <c r="M1864" i="13"/>
  <c r="M1875" i="13"/>
  <c r="M1880" i="13"/>
  <c r="M1957" i="13"/>
  <c r="M1902" i="13"/>
  <c r="M1761" i="13"/>
  <c r="M1941" i="13"/>
  <c r="M1919" i="13"/>
  <c r="M1940" i="13"/>
  <c r="M1869" i="13"/>
  <c r="M1882" i="13"/>
  <c r="M1960" i="13"/>
  <c r="M1923" i="13"/>
  <c r="M1853" i="13"/>
  <c r="M1762" i="13"/>
  <c r="M1843" i="13"/>
  <c r="M1887" i="13"/>
  <c r="M1963" i="13"/>
  <c r="M1971" i="13"/>
  <c r="M1790" i="13"/>
  <c r="M1938" i="13"/>
  <c r="M1862" i="13"/>
  <c r="M1929" i="13"/>
  <c r="M1808" i="13"/>
  <c r="M1813" i="13"/>
  <c r="M1855" i="13"/>
  <c r="M1952" i="13"/>
  <c r="M1854" i="13"/>
  <c r="M1897" i="13"/>
  <c r="M1779" i="13"/>
  <c r="M1859" i="13"/>
  <c r="M1844" i="13"/>
  <c r="M1793" i="13"/>
  <c r="M1814" i="13"/>
  <c r="M1837" i="13"/>
  <c r="M1967" i="13"/>
  <c r="L1727" i="13"/>
  <c r="L1636" i="13"/>
  <c r="L1665" i="13"/>
  <c r="L1629" i="13"/>
  <c r="L1535" i="13"/>
  <c r="L1641" i="13"/>
  <c r="L1701" i="13"/>
  <c r="L1686" i="13"/>
  <c r="L1724" i="13"/>
  <c r="L1550" i="13"/>
  <c r="L1511" i="13"/>
  <c r="L1663" i="13"/>
  <c r="L1648" i="13"/>
  <c r="L1605" i="13"/>
  <c r="L1697" i="13"/>
  <c r="L1728" i="13"/>
  <c r="L1586" i="13"/>
  <c r="L1513" i="13"/>
  <c r="L1512" i="13"/>
  <c r="L1695" i="13"/>
  <c r="L1570" i="13"/>
  <c r="L1561" i="13"/>
  <c r="L1707" i="13"/>
  <c r="L1616" i="13"/>
  <c r="L1573" i="13"/>
  <c r="L1719" i="13"/>
  <c r="L1583" i="13"/>
  <c r="L1722" i="13"/>
  <c r="L1574" i="13"/>
  <c r="L1632" i="13"/>
  <c r="L1692" i="13"/>
  <c r="L1563" i="13"/>
  <c r="L1509" i="13"/>
  <c r="L1696" i="13"/>
  <c r="L1640" i="13"/>
  <c r="L1606" i="13"/>
  <c r="L1668" i="13"/>
  <c r="L1604" i="13"/>
  <c r="L1618" i="13"/>
  <c r="L1700" i="13"/>
  <c r="L1647" i="13"/>
  <c r="L1571" i="13"/>
  <c r="L1680" i="13"/>
  <c r="L1661" i="13"/>
  <c r="L1502" i="13"/>
  <c r="L1671" i="13"/>
  <c r="L1683" i="13"/>
  <c r="L1515" i="13"/>
  <c r="L1674" i="13"/>
  <c r="L1731" i="13"/>
  <c r="L1645" i="13"/>
  <c r="L1597" i="13"/>
  <c r="L1514" i="13"/>
  <c r="L1542" i="13"/>
  <c r="L1503" i="13"/>
  <c r="L1704" i="13"/>
  <c r="L1524" i="13"/>
  <c r="L1656" i="13"/>
  <c r="L1543" i="13"/>
  <c r="L1593" i="13"/>
  <c r="L1564" i="13"/>
  <c r="L1635" i="13"/>
  <c r="L1594" i="13"/>
  <c r="L1595" i="13"/>
  <c r="L1577" i="13"/>
  <c r="L1660" i="13"/>
  <c r="L1534" i="13"/>
  <c r="L1673" i="13"/>
  <c r="L1726" i="13"/>
  <c r="L1714" i="13"/>
  <c r="L1646" i="13"/>
  <c r="L1619" i="13"/>
  <c r="L1705" i="13"/>
  <c r="L1717" i="13"/>
  <c r="L1729" i="13"/>
  <c r="L1672" i="13"/>
  <c r="L1713" i="13"/>
  <c r="L1662" i="13"/>
  <c r="L1590" i="13"/>
  <c r="L1521" i="13"/>
  <c r="L1698" i="13"/>
  <c r="L1576" i="13"/>
  <c r="L1624" i="13"/>
  <c r="L1621" i="13"/>
  <c r="L1614" i="13"/>
  <c r="L1547" i="13"/>
  <c r="L1493" i="13"/>
  <c r="R1493" i="13" s="1"/>
  <c r="L1609" i="13"/>
  <c r="L1653" i="13"/>
  <c r="L1578" i="13"/>
  <c r="L1715" i="13"/>
  <c r="L1517" i="13"/>
  <c r="L1516" i="13"/>
  <c r="L1625" i="13"/>
  <c r="L1723" i="13"/>
  <c r="L1589" i="13"/>
  <c r="L1649" i="13"/>
  <c r="L1710" i="13"/>
  <c r="L1588" i="13"/>
  <c r="L1519" i="13"/>
  <c r="L1720" i="13"/>
  <c r="L1721" i="13"/>
  <c r="L1611" i="13"/>
  <c r="L1552" i="13"/>
  <c r="L1733" i="13"/>
  <c r="L1630" i="13"/>
  <c r="L1528" i="13"/>
  <c r="L1652" i="13"/>
  <c r="L1634" i="13"/>
  <c r="L1620" i="13"/>
  <c r="L1555" i="13"/>
  <c r="L1658" i="13"/>
  <c r="L1699" i="13"/>
  <c r="L1565" i="13"/>
  <c r="L1520" i="13"/>
  <c r="L1627" i="13"/>
  <c r="L1657" i="13"/>
  <c r="L1568" i="13"/>
  <c r="L1694" i="13"/>
  <c r="L1669" i="13"/>
  <c r="L1580" i="13"/>
  <c r="L1718" i="13"/>
  <c r="L1681" i="13"/>
  <c r="L1592" i="13"/>
  <c r="L1633" i="13"/>
  <c r="L1572" i="13"/>
  <c r="L1631" i="13"/>
  <c r="L1504" i="13"/>
  <c r="L1670" i="13"/>
  <c r="L1496" i="13"/>
  <c r="L1638" i="13"/>
  <c r="L1651" i="13"/>
  <c r="L1654" i="13"/>
  <c r="L1536" i="13"/>
  <c r="L1533" i="13"/>
  <c r="L1510" i="13"/>
  <c r="L1501" i="13"/>
  <c r="L1644" i="13"/>
  <c r="L1538" i="13"/>
  <c r="L1690" i="13"/>
  <c r="L1581" i="13"/>
  <c r="L1601" i="13"/>
  <c r="L1575" i="13"/>
  <c r="L1676" i="13"/>
  <c r="L1525" i="13"/>
  <c r="L1540" i="13"/>
  <c r="L1711" i="13"/>
  <c r="L1637" i="13"/>
  <c r="L1639" i="13"/>
  <c r="L1702" i="13"/>
  <c r="L1567" i="13"/>
  <c r="L1544" i="13"/>
  <c r="L1659" i="13"/>
  <c r="L1706" i="13"/>
  <c r="L1712" i="13"/>
  <c r="L1548" i="13"/>
  <c r="L1560" i="13"/>
  <c r="L1551" i="13"/>
  <c r="L1643" i="13"/>
  <c r="L1531" i="13"/>
  <c r="L1566" i="13"/>
  <c r="L1730" i="13"/>
  <c r="L1582" i="13"/>
  <c r="L1688" i="13"/>
  <c r="L1532" i="13"/>
  <c r="L1499" i="13"/>
  <c r="L1612" i="13"/>
  <c r="L1559" i="13"/>
  <c r="L1602" i="13"/>
  <c r="L1591" i="13"/>
  <c r="L1599" i="13"/>
  <c r="L1508" i="13"/>
  <c r="L1716" i="13"/>
  <c r="L1587" i="13"/>
  <c r="L1685" i="13"/>
  <c r="L1682" i="13"/>
  <c r="L1617" i="13"/>
  <c r="L1725" i="13"/>
  <c r="L1556" i="13"/>
  <c r="L1539" i="13"/>
  <c r="L1684" i="13"/>
  <c r="L1623" i="13"/>
  <c r="L1622" i="13"/>
  <c r="L1708" i="13"/>
  <c r="L1655" i="13"/>
  <c r="L1579" i="13"/>
  <c r="L1732" i="13"/>
  <c r="L1734" i="13"/>
  <c r="L1600" i="13"/>
  <c r="L1615" i="13"/>
  <c r="L1735" i="13"/>
  <c r="L1598" i="13"/>
  <c r="L1677" i="13"/>
  <c r="L1494" i="13"/>
  <c r="L1526" i="13"/>
  <c r="L1675" i="13"/>
  <c r="L1666" i="13"/>
  <c r="L1553" i="13"/>
  <c r="L1691" i="13"/>
  <c r="L1678" i="13"/>
  <c r="L1546" i="13"/>
  <c r="L1703" i="13"/>
  <c r="L1608" i="13"/>
  <c r="L1569" i="13"/>
  <c r="L1585" i="13"/>
  <c r="L1495" i="13"/>
  <c r="L1667" i="13"/>
  <c r="L1642" i="13"/>
  <c r="L1557" i="13"/>
  <c r="L1650" i="13"/>
  <c r="L1505" i="13"/>
  <c r="L1693" i="13"/>
  <c r="L1613" i="13"/>
  <c r="L1537" i="13"/>
  <c r="L1527" i="13"/>
  <c r="L1500" i="13"/>
  <c r="L1607" i="13"/>
  <c r="L1610" i="13"/>
  <c r="L1664" i="13"/>
  <c r="L1522" i="13"/>
  <c r="L1709" i="13"/>
  <c r="L1541" i="13"/>
  <c r="L1679" i="13"/>
  <c r="L1687" i="13"/>
  <c r="L1689" i="13"/>
  <c r="L1549" i="13"/>
  <c r="L1518" i="13"/>
  <c r="L1558" i="13"/>
  <c r="L1523" i="13"/>
  <c r="L1584" i="13"/>
  <c r="L1596" i="13"/>
  <c r="L1562" i="13"/>
  <c r="L1545" i="13"/>
  <c r="L1530" i="13"/>
  <c r="L1554" i="13"/>
  <c r="L1603" i="13"/>
  <c r="L1626" i="13"/>
  <c r="L1529" i="13"/>
  <c r="L1497" i="13"/>
  <c r="L1628" i="13"/>
  <c r="L1506" i="13"/>
  <c r="L1507" i="13"/>
  <c r="L1498" i="13"/>
  <c r="N2216" i="13"/>
  <c r="N2062" i="13"/>
  <c r="N2007" i="13"/>
  <c r="N2158" i="13"/>
  <c r="N2052" i="13"/>
  <c r="N2176" i="13"/>
  <c r="N2116" i="13"/>
  <c r="N2201" i="13"/>
  <c r="N2143" i="13"/>
  <c r="N2210" i="13"/>
  <c r="N2134" i="13"/>
  <c r="N2155" i="13"/>
  <c r="N2058" i="13"/>
  <c r="N1995" i="13"/>
  <c r="N2220" i="13"/>
  <c r="N2064" i="13"/>
  <c r="N2172" i="13"/>
  <c r="N2222" i="13"/>
  <c r="N2025" i="13"/>
  <c r="N2205" i="13"/>
  <c r="N2022" i="13"/>
  <c r="N2161" i="13"/>
  <c r="N2109" i="13"/>
  <c r="N2184" i="13"/>
  <c r="N2099" i="13"/>
  <c r="N2118" i="13"/>
  <c r="N2121" i="13"/>
  <c r="N2100" i="13"/>
  <c r="N2163" i="13"/>
  <c r="N2139" i="13"/>
  <c r="N2008" i="13"/>
  <c r="N2146" i="13"/>
  <c r="N2071" i="13"/>
  <c r="N2054" i="13"/>
  <c r="N2039" i="13"/>
  <c r="N2040" i="13"/>
  <c r="N2152" i="13"/>
  <c r="N2055" i="13"/>
  <c r="N2014" i="13"/>
  <c r="N2148" i="13"/>
  <c r="N2129" i="13"/>
  <c r="N2042" i="13"/>
  <c r="N2066" i="13"/>
  <c r="N2191" i="13"/>
  <c r="N2013" i="13"/>
  <c r="N2112" i="13"/>
  <c r="N2084" i="13"/>
  <c r="N2110" i="13"/>
  <c r="N2166" i="13"/>
  <c r="N2048" i="13"/>
  <c r="N2171" i="13"/>
  <c r="N2106" i="13"/>
  <c r="N2046" i="13"/>
  <c r="N2074" i="13"/>
  <c r="N2159" i="13"/>
  <c r="N2185" i="13"/>
  <c r="N2113" i="13"/>
  <c r="N2195" i="13"/>
  <c r="N2045" i="13"/>
  <c r="N2034" i="13"/>
  <c r="N2057" i="13"/>
  <c r="N2111" i="13"/>
  <c r="N2153" i="13"/>
  <c r="N2082" i="13"/>
  <c r="N2035" i="13"/>
  <c r="N2125" i="13"/>
  <c r="N2044" i="13"/>
  <c r="N2215" i="13"/>
  <c r="N2180" i="13"/>
  <c r="N2223" i="13"/>
  <c r="N2029" i="13"/>
  <c r="N2096" i="13"/>
  <c r="N2194" i="13"/>
  <c r="N2023" i="13"/>
  <c r="N2094" i="13"/>
  <c r="N2142" i="13"/>
  <c r="N2137" i="13"/>
  <c r="N2218" i="13"/>
  <c r="N2127" i="13"/>
  <c r="N2192" i="13"/>
  <c r="N2157" i="13"/>
  <c r="N2075" i="13"/>
  <c r="N2031" i="13"/>
  <c r="N2067" i="13"/>
  <c r="N2015" i="13"/>
  <c r="N2004" i="13"/>
  <c r="N2049" i="13"/>
  <c r="N2154" i="13"/>
  <c r="N2012" i="13"/>
  <c r="N2072" i="13"/>
  <c r="N2221" i="13"/>
  <c r="N2104" i="13"/>
  <c r="N2217" i="13"/>
  <c r="N2124" i="13"/>
  <c r="N2130" i="13"/>
  <c r="N2182" i="13"/>
  <c r="N2021" i="13"/>
  <c r="N2225" i="13"/>
  <c r="N2079" i="13"/>
  <c r="N2086" i="13"/>
  <c r="N2136" i="13"/>
  <c r="N2033" i="13"/>
  <c r="N2119" i="13"/>
  <c r="N2087" i="13"/>
  <c r="N2149" i="13"/>
  <c r="N2120" i="13"/>
  <c r="N2114" i="13"/>
  <c r="N2213" i="13"/>
  <c r="N2026" i="13"/>
  <c r="N2016" i="13"/>
  <c r="N2017" i="13"/>
  <c r="N2083" i="13"/>
  <c r="N2207" i="13"/>
  <c r="N2061" i="13"/>
  <c r="N2091" i="13"/>
  <c r="N2078" i="13"/>
  <c r="N2212" i="13"/>
  <c r="N2105" i="13"/>
  <c r="N2170" i="13"/>
  <c r="N2090" i="13"/>
  <c r="N2092" i="13"/>
  <c r="N1989" i="13"/>
  <c r="T1989" i="13" s="1"/>
  <c r="N2167" i="13"/>
  <c r="N2051" i="13"/>
  <c r="N2156" i="13"/>
  <c r="N2211" i="13"/>
  <c r="N2181" i="13"/>
  <c r="N2228" i="13"/>
  <c r="N1991" i="13"/>
  <c r="N2123" i="13"/>
  <c r="N2174" i="13"/>
  <c r="N2070" i="13"/>
  <c r="N2080" i="13"/>
  <c r="N2063" i="13"/>
  <c r="N2047" i="13"/>
  <c r="N2202" i="13"/>
  <c r="N2187" i="13"/>
  <c r="N2011" i="13"/>
  <c r="N2030" i="13"/>
  <c r="N2010" i="13"/>
  <c r="N2175" i="13"/>
  <c r="N2227" i="13"/>
  <c r="N2060" i="13"/>
  <c r="N1999" i="13"/>
  <c r="N2000" i="13"/>
  <c r="N2209" i="13"/>
  <c r="N2133" i="13"/>
  <c r="N2135" i="13"/>
  <c r="N2036" i="13"/>
  <c r="N2226" i="13"/>
  <c r="N2088" i="13"/>
  <c r="N1997" i="13"/>
  <c r="N2001" i="13"/>
  <c r="N2168" i="13"/>
  <c r="N2193" i="13"/>
  <c r="N2068" i="13"/>
  <c r="N2173" i="13"/>
  <c r="N2198" i="13"/>
  <c r="N2081" i="13"/>
  <c r="N1996" i="13"/>
  <c r="N2160" i="13"/>
  <c r="N1998" i="13"/>
  <c r="N2200" i="13"/>
  <c r="N2059" i="13"/>
  <c r="N2150" i="13"/>
  <c r="N2053" i="13"/>
  <c r="N2147" i="13"/>
  <c r="N2178" i="13"/>
  <c r="N2183" i="13"/>
  <c r="N2206" i="13"/>
  <c r="N2009" i="13"/>
  <c r="N2089" i="13"/>
  <c r="N2073" i="13"/>
  <c r="N2189" i="13"/>
  <c r="N2132" i="13"/>
  <c r="N2151" i="13"/>
  <c r="N2140" i="13"/>
  <c r="N2020" i="13"/>
  <c r="N2077" i="13"/>
  <c r="N2231" i="13"/>
  <c r="N2069" i="13"/>
  <c r="N2199" i="13"/>
  <c r="N2093" i="13"/>
  <c r="N2005" i="13"/>
  <c r="N2177" i="13"/>
  <c r="N2224" i="13"/>
  <c r="N1994" i="13"/>
  <c r="N2102" i="13"/>
  <c r="N2041" i="13"/>
  <c r="N2145" i="13"/>
  <c r="N2164" i="13"/>
  <c r="N1993" i="13"/>
  <c r="N2019" i="13"/>
  <c r="N2024" i="13"/>
  <c r="N2179" i="13"/>
  <c r="N2144" i="13"/>
  <c r="N2032" i="13"/>
  <c r="N2006" i="13"/>
  <c r="N2098" i="13"/>
  <c r="N2138" i="13"/>
  <c r="N2197" i="13"/>
  <c r="N2230" i="13"/>
  <c r="N2027" i="13"/>
  <c r="N2050" i="13"/>
  <c r="N2208" i="13"/>
  <c r="N2169" i="13"/>
  <c r="N2188" i="13"/>
  <c r="N2028" i="13"/>
  <c r="N1990" i="13"/>
  <c r="N2101" i="13"/>
  <c r="N2107" i="13"/>
  <c r="N2117" i="13"/>
  <c r="N2002" i="13"/>
  <c r="N2131" i="13"/>
  <c r="N2097" i="13"/>
  <c r="N2065" i="13"/>
  <c r="N2141" i="13"/>
  <c r="N2186" i="13"/>
  <c r="N2003" i="13"/>
  <c r="N2229" i="13"/>
  <c r="N2165" i="13"/>
  <c r="N2038" i="13"/>
  <c r="N2056" i="13"/>
  <c r="N2214" i="13"/>
  <c r="N2103" i="13"/>
  <c r="N2076" i="13"/>
  <c r="N2085" i="13"/>
  <c r="N2122" i="13"/>
  <c r="N2018" i="13"/>
  <c r="N2108" i="13"/>
  <c r="N2203" i="13"/>
  <c r="N2196" i="13"/>
  <c r="N2204" i="13"/>
  <c r="N2095" i="13"/>
  <c r="N2126" i="13"/>
  <c r="N1992" i="13"/>
  <c r="N2219" i="13"/>
  <c r="N2037" i="13"/>
  <c r="N2128" i="13"/>
  <c r="N2115" i="13"/>
  <c r="N2043" i="13"/>
  <c r="N2190" i="13"/>
  <c r="N2162" i="13"/>
  <c r="M1245" i="13"/>
  <c r="S1245" i="13" s="1"/>
  <c r="M1355" i="13"/>
  <c r="M1422" i="13"/>
  <c r="M1466" i="13"/>
  <c r="M1439" i="13"/>
  <c r="M1334" i="13"/>
  <c r="M1391" i="13"/>
  <c r="M1327" i="13"/>
  <c r="M1450" i="13"/>
  <c r="M1484" i="13"/>
  <c r="M1362" i="13"/>
  <c r="M1415" i="13"/>
  <c r="M1289" i="13"/>
  <c r="M1435" i="13"/>
  <c r="M1329" i="13"/>
  <c r="M1395" i="13"/>
  <c r="M1398" i="13"/>
  <c r="M1347" i="13"/>
  <c r="M1475" i="13"/>
  <c r="M1294" i="13"/>
  <c r="M1290" i="13"/>
  <c r="M1345" i="13"/>
  <c r="M1315" i="13"/>
  <c r="M1330" i="13"/>
  <c r="M1437" i="13"/>
  <c r="M1344" i="13"/>
  <c r="M1267" i="13"/>
  <c r="M1428" i="13"/>
  <c r="M1285" i="13"/>
  <c r="M1350" i="13"/>
  <c r="M1252" i="13"/>
  <c r="M1409" i="13"/>
  <c r="M1421" i="13"/>
  <c r="M1271" i="13"/>
  <c r="M1461" i="13"/>
  <c r="M1370" i="13"/>
  <c r="M1319" i="13"/>
  <c r="M1462" i="13"/>
  <c r="M1316" i="13"/>
  <c r="M1469" i="13"/>
  <c r="M1269" i="13"/>
  <c r="M1387" i="13"/>
  <c r="M1339" i="13"/>
  <c r="M1297" i="13"/>
  <c r="M1479" i="13"/>
  <c r="M1478" i="13"/>
  <c r="M1255" i="13"/>
  <c r="M1282" i="13"/>
  <c r="M1476" i="13"/>
  <c r="M1298" i="13"/>
  <c r="M1407" i="13"/>
  <c r="M1343" i="13"/>
  <c r="M1458" i="13"/>
  <c r="M1402" i="13"/>
  <c r="M1457" i="13"/>
  <c r="M1386" i="13"/>
  <c r="M1266" i="13"/>
  <c r="M1486" i="13"/>
  <c r="M1365" i="13"/>
  <c r="M1286" i="13"/>
  <c r="M1305" i="13"/>
  <c r="M1441" i="13"/>
  <c r="M1433" i="13"/>
  <c r="M1349" i="13"/>
  <c r="M1419" i="13"/>
  <c r="M1430" i="13"/>
  <c r="M1257" i="13"/>
  <c r="M1420" i="13"/>
  <c r="M1318" i="13"/>
  <c r="M1405" i="13"/>
  <c r="M1311" i="13"/>
  <c r="M1353" i="13"/>
  <c r="M1401" i="13"/>
  <c r="M1411" i="13"/>
  <c r="M1425" i="13"/>
  <c r="M1351" i="13"/>
  <c r="M1413" i="13"/>
  <c r="M1340" i="13"/>
  <c r="M1299" i="13"/>
  <c r="M1436" i="13"/>
  <c r="M1434" i="13"/>
  <c r="M1481" i="13"/>
  <c r="M1304" i="13"/>
  <c r="M1485" i="13"/>
  <c r="M1310" i="13"/>
  <c r="M1383" i="13"/>
  <c r="M1342" i="13"/>
  <c r="M1482" i="13"/>
  <c r="M1364" i="13"/>
  <c r="M1256" i="13"/>
  <c r="M1331" i="13"/>
  <c r="M1379" i="13"/>
  <c r="M1477" i="13"/>
  <c r="M1352" i="13"/>
  <c r="M1306" i="13"/>
  <c r="M1440" i="13"/>
  <c r="M1412" i="13"/>
  <c r="M1300" i="13"/>
  <c r="M1453" i="13"/>
  <c r="M1292" i="13"/>
  <c r="M1443" i="13"/>
  <c r="M1248" i="13"/>
  <c r="M1303" i="13"/>
  <c r="M1260" i="13"/>
  <c r="M1337" i="13"/>
  <c r="M1284" i="13"/>
  <c r="M1399" i="13"/>
  <c r="M1313" i="13"/>
  <c r="M1410" i="13"/>
  <c r="M1279" i="13"/>
  <c r="M1426" i="13"/>
  <c r="M1473" i="13"/>
  <c r="M1264" i="13"/>
  <c r="M1287" i="13"/>
  <c r="M1373" i="13"/>
  <c r="M1392" i="13"/>
  <c r="M1335" i="13"/>
  <c r="M1423" i="13"/>
  <c r="M1463" i="13"/>
  <c r="M1447" i="13"/>
  <c r="M1247" i="13"/>
  <c r="M1254" i="13"/>
  <c r="M1406" i="13"/>
  <c r="M1487" i="13"/>
  <c r="M1312" i="13"/>
  <c r="M1403" i="13"/>
  <c r="M1408" i="13"/>
  <c r="M1448" i="13"/>
  <c r="M1346" i="13"/>
  <c r="M1246" i="13"/>
  <c r="M1262" i="13"/>
  <c r="M1361" i="13"/>
  <c r="M1381" i="13"/>
  <c r="M1283" i="13"/>
  <c r="M1472" i="13"/>
  <c r="M1380" i="13"/>
  <c r="M1251" i="13"/>
  <c r="M1417" i="13"/>
  <c r="M1325" i="13"/>
  <c r="M1442" i="13"/>
  <c r="M1288" i="13"/>
  <c r="M1363" i="13"/>
  <c r="M1354" i="13"/>
  <c r="M1414" i="13"/>
  <c r="M1438" i="13"/>
  <c r="M1470" i="13"/>
  <c r="M1416" i="13"/>
  <c r="M1272" i="13"/>
  <c r="M1393" i="13"/>
  <c r="M1268" i="13"/>
  <c r="M1360" i="13"/>
  <c r="M1273" i="13"/>
  <c r="M1459" i="13"/>
  <c r="M1371" i="13"/>
  <c r="M1400" i="13"/>
  <c r="M1249" i="13"/>
  <c r="M1348" i="13"/>
  <c r="M1338" i="13"/>
  <c r="M1261" i="13"/>
  <c r="M1317" i="13"/>
  <c r="M1278" i="13"/>
  <c r="M1378" i="13"/>
  <c r="M1296" i="13"/>
  <c r="M1390" i="13"/>
  <c r="M1431" i="13"/>
  <c r="M1483" i="13"/>
  <c r="M1265" i="13"/>
  <c r="M1275" i="13"/>
  <c r="M1432" i="13"/>
  <c r="M1250" i="13"/>
  <c r="M1389" i="13"/>
  <c r="M1308" i="13"/>
  <c r="M1394" i="13"/>
  <c r="M1341" i="13"/>
  <c r="M1467" i="13"/>
  <c r="M1309" i="13"/>
  <c r="M1451" i="13"/>
  <c r="M1424" i="13"/>
  <c r="M1293" i="13"/>
  <c r="M1277" i="13"/>
  <c r="M1418" i="13"/>
  <c r="M1291" i="13"/>
  <c r="M1471" i="13"/>
  <c r="M1366" i="13"/>
  <c r="M1396" i="13"/>
  <c r="M1429" i="13"/>
  <c r="M1376" i="13"/>
  <c r="M1332" i="13"/>
  <c r="M1369" i="13"/>
  <c r="M1382" i="13"/>
  <c r="M1358" i="13"/>
  <c r="M1258" i="13"/>
  <c r="M1322" i="13"/>
  <c r="M1374" i="13"/>
  <c r="M1445" i="13"/>
  <c r="M1263" i="13"/>
  <c r="M1372" i="13"/>
  <c r="M1324" i="13"/>
  <c r="M1326" i="13"/>
  <c r="M1301" i="13"/>
  <c r="M1427" i="13"/>
  <c r="M1375" i="13"/>
  <c r="M1385" i="13"/>
  <c r="M1464" i="13"/>
  <c r="M1384" i="13"/>
  <c r="M1474" i="13"/>
  <c r="M1336" i="13"/>
  <c r="M1359" i="13"/>
  <c r="M1449" i="13"/>
  <c r="M1302" i="13"/>
  <c r="M1323" i="13"/>
  <c r="M1281" i="13"/>
  <c r="M1270" i="13"/>
  <c r="M1367" i="13"/>
  <c r="M1455" i="13"/>
  <c r="M1321" i="13"/>
  <c r="M1444" i="13"/>
  <c r="M1388" i="13"/>
  <c r="M1480" i="13"/>
  <c r="M1356" i="13"/>
  <c r="M1320" i="13"/>
  <c r="M1456" i="13"/>
  <c r="M1314" i="13"/>
  <c r="M1460" i="13"/>
  <c r="M1259" i="13"/>
  <c r="M1280" i="13"/>
  <c r="M1368" i="13"/>
  <c r="M1468" i="13"/>
  <c r="M1357" i="13"/>
  <c r="M1253" i="13"/>
  <c r="M1276" i="13"/>
  <c r="M1454" i="13"/>
  <c r="M1328" i="13"/>
  <c r="M1377" i="13"/>
  <c r="M1333" i="13"/>
  <c r="M1295" i="13"/>
  <c r="M1446" i="13"/>
  <c r="M1452" i="13"/>
  <c r="M1404" i="13"/>
  <c r="M1274" i="13"/>
  <c r="M1397" i="13"/>
  <c r="M1307" i="13"/>
  <c r="M1465" i="13"/>
  <c r="N1741" i="13"/>
  <c r="T1741" i="13" s="1"/>
  <c r="N1869" i="13"/>
  <c r="N1882" i="13"/>
  <c r="N1960" i="13"/>
  <c r="N1923" i="13"/>
  <c r="N1853" i="13"/>
  <c r="N1762" i="13"/>
  <c r="N1843" i="13"/>
  <c r="N1887" i="13"/>
  <c r="N1963" i="13"/>
  <c r="N1971" i="13"/>
  <c r="N1790" i="13"/>
  <c r="N1938" i="13"/>
  <c r="N1862" i="13"/>
  <c r="N1929" i="13"/>
  <c r="N1808" i="13"/>
  <c r="N1813" i="13"/>
  <c r="N1855" i="13"/>
  <c r="N1952" i="13"/>
  <c r="N1854" i="13"/>
  <c r="N1897" i="13"/>
  <c r="N1779" i="13"/>
  <c r="N1859" i="13"/>
  <c r="N1866" i="13"/>
  <c r="N1753" i="13"/>
  <c r="N1812" i="13"/>
  <c r="N1791" i="13"/>
  <c r="N1910" i="13"/>
  <c r="N1802" i="13"/>
  <c r="N1899" i="13"/>
  <c r="N1946" i="13"/>
  <c r="N1848" i="13"/>
  <c r="N1939" i="13"/>
  <c r="N1893" i="13"/>
  <c r="N1907" i="13"/>
  <c r="N1895" i="13"/>
  <c r="N1920" i="13"/>
  <c r="N1913" i="13"/>
  <c r="N1930" i="13"/>
  <c r="N1744" i="13"/>
  <c r="N1908" i="13"/>
  <c r="N1748" i="13"/>
  <c r="N1840" i="13"/>
  <c r="N1969" i="13"/>
  <c r="N1881" i="13"/>
  <c r="N1799" i="13"/>
  <c r="N1764" i="13"/>
  <c r="N1949" i="13"/>
  <c r="N1777" i="13"/>
  <c r="N1747" i="13"/>
  <c r="N1885" i="13"/>
  <c r="N1788" i="13"/>
  <c r="N1950" i="13"/>
  <c r="N1783" i="13"/>
  <c r="N1815" i="13"/>
  <c r="N1979" i="13"/>
  <c r="N1814" i="13"/>
  <c r="N1837" i="13"/>
  <c r="N1967" i="13"/>
  <c r="N1749" i="13"/>
  <c r="N1858" i="13"/>
  <c r="N1805" i="13"/>
  <c r="N1847" i="13"/>
  <c r="N1851" i="13"/>
  <c r="N1871" i="13"/>
  <c r="N1849" i="13"/>
  <c r="N1909" i="13"/>
  <c r="N1832" i="13"/>
  <c r="N1953" i="13"/>
  <c r="N1934" i="13"/>
  <c r="N1912" i="13"/>
  <c r="N1856" i="13"/>
  <c r="N1810" i="13"/>
  <c r="N1804" i="13"/>
  <c r="N1947" i="13"/>
  <c r="N1942" i="13"/>
  <c r="N1778" i="13"/>
  <c r="N1769" i="13"/>
  <c r="N1872" i="13"/>
  <c r="N1850" i="13"/>
  <c r="N1861" i="13"/>
  <c r="N1980" i="13"/>
  <c r="N1776" i="13"/>
  <c r="N1974" i="13"/>
  <c r="N1809" i="13"/>
  <c r="N1891" i="13"/>
  <c r="N1819" i="13"/>
  <c r="N1745" i="13"/>
  <c r="N1781" i="13"/>
  <c r="N1888" i="13"/>
  <c r="N1959" i="13"/>
  <c r="N1906" i="13"/>
  <c r="N1937" i="13"/>
  <c r="N1857" i="13"/>
  <c r="N1750" i="13"/>
  <c r="N1948" i="13"/>
  <c r="N1824" i="13"/>
  <c r="N1879" i="13"/>
  <c r="N1845" i="13"/>
  <c r="N1945" i="13"/>
  <c r="N1780" i="13"/>
  <c r="N1796" i="13"/>
  <c r="N1829" i="13"/>
  <c r="N1916" i="13"/>
  <c r="N1770" i="13"/>
  <c r="N1771" i="13"/>
  <c r="N1860" i="13"/>
  <c r="N1821" i="13"/>
  <c r="N1958" i="13"/>
  <c r="N1905" i="13"/>
  <c r="N1951" i="13"/>
  <c r="N1742" i="13"/>
  <c r="N1877" i="13"/>
  <c r="N1758" i="13"/>
  <c r="N1883" i="13"/>
  <c r="N1925" i="13"/>
  <c r="N1935" i="13"/>
  <c r="N1900" i="13"/>
  <c r="N1846" i="13"/>
  <c r="N1795" i="13"/>
  <c r="N1743" i="13"/>
  <c r="N1874" i="13"/>
  <c r="N1892" i="13"/>
  <c r="N1972" i="13"/>
  <c r="N1932" i="13"/>
  <c r="N1983" i="13"/>
  <c r="N1768" i="13"/>
  <c r="N1944" i="13"/>
  <c r="N1922" i="13"/>
  <c r="N1915" i="13"/>
  <c r="N1928" i="13"/>
  <c r="N1865" i="13"/>
  <c r="N1831" i="13"/>
  <c r="N1976" i="13"/>
  <c r="N1774" i="13"/>
  <c r="N1903" i="13"/>
  <c r="N1970" i="13"/>
  <c r="N1806" i="13"/>
  <c r="N1954" i="13"/>
  <c r="N1823" i="13"/>
  <c r="N1852" i="13"/>
  <c r="N1961" i="13"/>
  <c r="N1811" i="13"/>
  <c r="N1876" i="13"/>
  <c r="N1884" i="13"/>
  <c r="N1955" i="13"/>
  <c r="N1825" i="13"/>
  <c r="N1756" i="13"/>
  <c r="N1822" i="13"/>
  <c r="N1870" i="13"/>
  <c r="N1755" i="13"/>
  <c r="N1760" i="13"/>
  <c r="N1962" i="13"/>
  <c r="N1792" i="13"/>
  <c r="N1894" i="13"/>
  <c r="N1965" i="13"/>
  <c r="N1973" i="13"/>
  <c r="N1784" i="13"/>
  <c r="N1787" i="13"/>
  <c r="N1886" i="13"/>
  <c r="N1834" i="13"/>
  <c r="N1775" i="13"/>
  <c r="N1838" i="13"/>
  <c r="N1863" i="13"/>
  <c r="N1772" i="13"/>
  <c r="N1878" i="13"/>
  <c r="N1839" i="13"/>
  <c r="N1982" i="13"/>
  <c r="N1968" i="13"/>
  <c r="N1785" i="13"/>
  <c r="N1842" i="13"/>
  <c r="N1841" i="13"/>
  <c r="N1835" i="13"/>
  <c r="N1820" i="13"/>
  <c r="N1867" i="13"/>
  <c r="N1786" i="13"/>
  <c r="N1924" i="13"/>
  <c r="N1800" i="13"/>
  <c r="N1956" i="13"/>
  <c r="N1752" i="13"/>
  <c r="N1766" i="13"/>
  <c r="N1794" i="13"/>
  <c r="N1896" i="13"/>
  <c r="N1751" i="13"/>
  <c r="N1746" i="13"/>
  <c r="N1818" i="13"/>
  <c r="N1827" i="13"/>
  <c r="N1836" i="13"/>
  <c r="N1898" i="13"/>
  <c r="N1798" i="13"/>
  <c r="N1931" i="13"/>
  <c r="N1759" i="13"/>
  <c r="N1763" i="13"/>
  <c r="N1754" i="13"/>
  <c r="N1890" i="13"/>
  <c r="N1914" i="13"/>
  <c r="N1757" i="13"/>
  <c r="N1767" i="13"/>
  <c r="N1868" i="13"/>
  <c r="N1830" i="13"/>
  <c r="N1828" i="13"/>
  <c r="N1765" i="13"/>
  <c r="N1807" i="13"/>
  <c r="N1926" i="13"/>
  <c r="N1803" i="13"/>
  <c r="N1978" i="13"/>
  <c r="N1789" i="13"/>
  <c r="N1826" i="13"/>
  <c r="N1833" i="13"/>
  <c r="N1964" i="13"/>
  <c r="N1977" i="13"/>
  <c r="N1817" i="13"/>
  <c r="N1816" i="13"/>
  <c r="N1782" i="13"/>
  <c r="N1904" i="13"/>
  <c r="N1889" i="13"/>
  <c r="N1981" i="13"/>
  <c r="N1911" i="13"/>
  <c r="N1797" i="13"/>
  <c r="N1918" i="13"/>
  <c r="N1936" i="13"/>
  <c r="N1873" i="13"/>
  <c r="N1921" i="13"/>
  <c r="N1927" i="13"/>
  <c r="N1975" i="13"/>
  <c r="N1901" i="13"/>
  <c r="N1917" i="13"/>
  <c r="N1933" i="13"/>
  <c r="N1966" i="13"/>
  <c r="N1943" i="13"/>
  <c r="N1864" i="13"/>
  <c r="N1875" i="13"/>
  <c r="N1880" i="13"/>
  <c r="N1957" i="13"/>
  <c r="N1902" i="13"/>
  <c r="N1761" i="13"/>
  <c r="N1941" i="13"/>
  <c r="N1919" i="13"/>
  <c r="N1940" i="13"/>
  <c r="N1801" i="13"/>
  <c r="N1773" i="13"/>
  <c r="N1844" i="13"/>
  <c r="N1793" i="13"/>
  <c r="L501" i="13"/>
  <c r="R501" i="13" s="1"/>
  <c r="L572" i="13"/>
  <c r="L503" i="13"/>
  <c r="L695" i="13"/>
  <c r="L678" i="13"/>
  <c r="L691" i="13"/>
  <c r="L624" i="13"/>
  <c r="L697" i="13"/>
  <c r="L609" i="13"/>
  <c r="L628" i="13"/>
  <c r="L505" i="13"/>
  <c r="L649" i="13"/>
  <c r="L722" i="13"/>
  <c r="L587" i="13"/>
  <c r="L621" i="13"/>
  <c r="L536" i="13"/>
  <c r="L548" i="13"/>
  <c r="L525" i="13"/>
  <c r="L710" i="13"/>
  <c r="L644" i="13"/>
  <c r="L685" i="13"/>
  <c r="L741" i="13"/>
  <c r="L720" i="13"/>
  <c r="L508" i="13"/>
  <c r="L662" i="13"/>
  <c r="L516" i="13"/>
  <c r="L684" i="13"/>
  <c r="L594" i="13"/>
  <c r="L530" i="13"/>
  <c r="L578" i="13"/>
  <c r="L735" i="13"/>
  <c r="L519" i="13"/>
  <c r="L561" i="13"/>
  <c r="L645" i="13"/>
  <c r="L641" i="13"/>
  <c r="L612" i="13"/>
  <c r="L721" i="13"/>
  <c r="L549" i="13"/>
  <c r="L620" i="13"/>
  <c r="L593" i="13"/>
  <c r="L733" i="13"/>
  <c r="L656" i="13"/>
  <c r="L517" i="13"/>
  <c r="L714" i="13"/>
  <c r="L626" i="13"/>
  <c r="L545" i="13"/>
  <c r="L631" i="13"/>
  <c r="L637" i="13"/>
  <c r="L520" i="13"/>
  <c r="L558" i="13"/>
  <c r="L601" i="13"/>
  <c r="L675" i="13"/>
  <c r="L640" i="13"/>
  <c r="L614" i="13"/>
  <c r="L540" i="13"/>
  <c r="L590" i="13"/>
  <c r="L597" i="13"/>
  <c r="L576" i="13"/>
  <c r="L676" i="13"/>
  <c r="L737" i="13"/>
  <c r="L669" i="13"/>
  <c r="L588" i="13"/>
  <c r="L665" i="13"/>
  <c r="L706" i="13"/>
  <c r="L708" i="13"/>
  <c r="L559" i="13"/>
  <c r="L683" i="13"/>
  <c r="L680" i="13"/>
  <c r="L742" i="13"/>
  <c r="L512" i="13"/>
  <c r="L719" i="13"/>
  <c r="L616" i="13"/>
  <c r="L568" i="13"/>
  <c r="L686" i="13"/>
  <c r="L689" i="13"/>
  <c r="L513" i="13"/>
  <c r="L573" i="13"/>
  <c r="L692" i="13"/>
  <c r="L524" i="13"/>
  <c r="L701" i="13"/>
  <c r="L555" i="13"/>
  <c r="L648" i="13"/>
  <c r="L618" i="13"/>
  <c r="L739" i="13"/>
  <c r="L728" i="13"/>
  <c r="L532" i="13"/>
  <c r="L514" i="13"/>
  <c r="L642" i="13"/>
  <c r="L509" i="13"/>
  <c r="L730" i="13"/>
  <c r="L507" i="13"/>
  <c r="L526" i="13"/>
  <c r="L577" i="13"/>
  <c r="L575" i="13"/>
  <c r="L610" i="13"/>
  <c r="L738" i="13"/>
  <c r="L562" i="13"/>
  <c r="L725" i="13"/>
  <c r="L569" i="13"/>
  <c r="L650" i="13"/>
  <c r="L623" i="13"/>
  <c r="L703" i="13"/>
  <c r="L646" i="13"/>
  <c r="L537" i="13"/>
  <c r="L687" i="13"/>
  <c r="L581" i="13"/>
  <c r="L550" i="13"/>
  <c r="L651" i="13"/>
  <c r="L736" i="13"/>
  <c r="L528" i="13"/>
  <c r="L502" i="13"/>
  <c r="L717" i="13"/>
  <c r="L712" i="13"/>
  <c r="L617" i="13"/>
  <c r="L582" i="13"/>
  <c r="L636" i="13"/>
  <c r="L518" i="13"/>
  <c r="L635" i="13"/>
  <c r="L634" i="13"/>
  <c r="L696" i="13"/>
  <c r="L567" i="13"/>
  <c r="L586" i="13"/>
  <c r="L598" i="13"/>
  <c r="L607" i="13"/>
  <c r="L523" i="13"/>
  <c r="L611" i="13"/>
  <c r="L553" i="13"/>
  <c r="L705" i="13"/>
  <c r="L604" i="13"/>
  <c r="L661" i="13"/>
  <c r="L527" i="13"/>
  <c r="L510" i="13"/>
  <c r="L556" i="13"/>
  <c r="L534" i="13"/>
  <c r="L539" i="13"/>
  <c r="L694" i="13"/>
  <c r="L552" i="13"/>
  <c r="L693" i="13"/>
  <c r="L724" i="13"/>
  <c r="L731" i="13"/>
  <c r="L643" i="13"/>
  <c r="L622" i="13"/>
  <c r="L638" i="13"/>
  <c r="L743" i="13"/>
  <c r="L679" i="13"/>
  <c r="L504" i="13"/>
  <c r="L554" i="13"/>
  <c r="L716" i="13"/>
  <c r="L580" i="13"/>
  <c r="L538" i="13"/>
  <c r="L619" i="13"/>
  <c r="L542" i="13"/>
  <c r="L726" i="13"/>
  <c r="L533" i="13"/>
  <c r="L566" i="13"/>
  <c r="L506" i="13"/>
  <c r="L699" i="13"/>
  <c r="L658" i="13"/>
  <c r="L734" i="13"/>
  <c r="L595" i="13"/>
  <c r="L663" i="13"/>
  <c r="L589" i="13"/>
  <c r="L515" i="13"/>
  <c r="L727" i="13"/>
  <c r="L670" i="13"/>
  <c r="L713" i="13"/>
  <c r="L521" i="13"/>
  <c r="L647" i="13"/>
  <c r="L652" i="13"/>
  <c r="L602" i="13"/>
  <c r="L709" i="13"/>
  <c r="L560" i="13"/>
  <c r="L600" i="13"/>
  <c r="L596" i="13"/>
  <c r="L718" i="13"/>
  <c r="L546" i="13"/>
  <c r="L599" i="13"/>
  <c r="L531" i="13"/>
  <c r="L592" i="13"/>
  <c r="L522" i="13"/>
  <c r="L732" i="13"/>
  <c r="L690" i="13"/>
  <c r="L563" i="13"/>
  <c r="L702" i="13"/>
  <c r="L639" i="13"/>
  <c r="L729" i="13"/>
  <c r="L698" i="13"/>
  <c r="L591" i="13"/>
  <c r="L557" i="13"/>
  <c r="L574" i="13"/>
  <c r="L564" i="13"/>
  <c r="L704" i="13"/>
  <c r="L668" i="13"/>
  <c r="L660" i="13"/>
  <c r="L723" i="13"/>
  <c r="L654" i="13"/>
  <c r="L544" i="13"/>
  <c r="L664" i="13"/>
  <c r="L633" i="13"/>
  <c r="L711" i="13"/>
  <c r="L629" i="13"/>
  <c r="L625" i="13"/>
  <c r="L627" i="13"/>
  <c r="L677" i="13"/>
  <c r="L585" i="13"/>
  <c r="L565" i="13"/>
  <c r="L700" i="13"/>
  <c r="L606" i="13"/>
  <c r="L653" i="13"/>
  <c r="L605" i="13"/>
  <c r="L583" i="13"/>
  <c r="L659" i="13"/>
  <c r="L674" i="13"/>
  <c r="L707" i="13"/>
  <c r="L673" i="13"/>
  <c r="L688" i="13"/>
  <c r="L603" i="13"/>
  <c r="L666" i="13"/>
  <c r="L681" i="13"/>
  <c r="L615" i="13"/>
  <c r="L511" i="13"/>
  <c r="L715" i="13"/>
  <c r="L740" i="13"/>
  <c r="L655" i="13"/>
  <c r="L667" i="13"/>
  <c r="L547" i="13"/>
  <c r="L535" i="13"/>
  <c r="L672" i="13"/>
  <c r="L613" i="13"/>
  <c r="L671" i="13"/>
  <c r="L632" i="13"/>
  <c r="L571" i="13"/>
  <c r="L682" i="13"/>
  <c r="L608" i="13"/>
  <c r="L584" i="13"/>
  <c r="L543" i="13"/>
  <c r="L579" i="13"/>
  <c r="L657" i="13"/>
  <c r="L529" i="13"/>
  <c r="L570" i="13"/>
  <c r="L541" i="13"/>
  <c r="L551" i="13"/>
  <c r="L630" i="13"/>
  <c r="O1690" i="13"/>
  <c r="O1635" i="13"/>
  <c r="O1662" i="13"/>
  <c r="O1629" i="13"/>
  <c r="O1574" i="13"/>
  <c r="O1520" i="13"/>
  <c r="O1719" i="13"/>
  <c r="O1696" i="13"/>
  <c r="O1618" i="13"/>
  <c r="O1562" i="13"/>
  <c r="O1658" i="13"/>
  <c r="O1622" i="13"/>
  <c r="O1704" i="13"/>
  <c r="O1554" i="13"/>
  <c r="O1729" i="13"/>
  <c r="O1620" i="13"/>
  <c r="O1619" i="13"/>
  <c r="O1707" i="13"/>
  <c r="O1644" i="13"/>
  <c r="O1568" i="13"/>
  <c r="O1681" i="13"/>
  <c r="O1616" i="13"/>
  <c r="O1645" i="13"/>
  <c r="O1538" i="13"/>
  <c r="O1528" i="13"/>
  <c r="O1613" i="13"/>
  <c r="O1637" i="13"/>
  <c r="O1606" i="13"/>
  <c r="O1527" i="13"/>
  <c r="O1510" i="13"/>
  <c r="O1720" i="13"/>
  <c r="O1595" i="13"/>
  <c r="O1599" i="13"/>
  <c r="O1551" i="13"/>
  <c r="O1652" i="13"/>
  <c r="O1727" i="13"/>
  <c r="O1525" i="13"/>
  <c r="O1589" i="13"/>
  <c r="O1679" i="13"/>
  <c r="O1570" i="13"/>
  <c r="O1625" i="13"/>
  <c r="O1711" i="13"/>
  <c r="O1724" i="13"/>
  <c r="O1587" i="13"/>
  <c r="O1588" i="13"/>
  <c r="O1706" i="13"/>
  <c r="O1731" i="13"/>
  <c r="O1569" i="13"/>
  <c r="O1561" i="13"/>
  <c r="O1593" i="13"/>
  <c r="O1665" i="13"/>
  <c r="O1623" i="13"/>
  <c r="O1565" i="13"/>
  <c r="O1572" i="13"/>
  <c r="O1674" i="13"/>
  <c r="O1715" i="13"/>
  <c r="O1659" i="13"/>
  <c r="O1503" i="13"/>
  <c r="O1521" i="13"/>
  <c r="O1513" i="13"/>
  <c r="O1609" i="13"/>
  <c r="O1581" i="13"/>
  <c r="O1522" i="13"/>
  <c r="O1532" i="13"/>
  <c r="O1716" i="13"/>
  <c r="O1697" i="13"/>
  <c r="O1702" i="13"/>
  <c r="O1585" i="13"/>
  <c r="O1657" i="13"/>
  <c r="O1703" i="13"/>
  <c r="O1722" i="13"/>
  <c r="O1710" i="13"/>
  <c r="O1567" i="13"/>
  <c r="O1610" i="13"/>
  <c r="O1712" i="13"/>
  <c r="O1571" i="13"/>
  <c r="O1646" i="13"/>
  <c r="O1539" i="13"/>
  <c r="O1579" i="13"/>
  <c r="O1541" i="13"/>
  <c r="O1691" i="13"/>
  <c r="O1560" i="13"/>
  <c r="O1557" i="13"/>
  <c r="O1537" i="13"/>
  <c r="O1667" i="13"/>
  <c r="O1497" i="13"/>
  <c r="O1531" i="13"/>
  <c r="O1494" i="13"/>
  <c r="O1647" i="13"/>
  <c r="O1500" i="13"/>
  <c r="O1550" i="13"/>
  <c r="O1651" i="13"/>
  <c r="O1723" i="13"/>
  <c r="O1518" i="13"/>
  <c r="O1547" i="13"/>
  <c r="O1655" i="13"/>
  <c r="O1676" i="13"/>
  <c r="O1617" i="13"/>
  <c r="O1732" i="13"/>
  <c r="O1582" i="13"/>
  <c r="O1515" i="13"/>
  <c r="O1639" i="13"/>
  <c r="O1631" i="13"/>
  <c r="O1509" i="13"/>
  <c r="O1535" i="13"/>
  <c r="O1688" i="13"/>
  <c r="O1649" i="13"/>
  <c r="O1496" i="13"/>
  <c r="O1598" i="13"/>
  <c r="O1524" i="13"/>
  <c r="O1621" i="13"/>
  <c r="O1693" i="13"/>
  <c r="O1671" i="13"/>
  <c r="O1519" i="13"/>
  <c r="O1634" i="13"/>
  <c r="O1633" i="13"/>
  <c r="O1695" i="13"/>
  <c r="O1699" i="13"/>
  <c r="O1614" i="13"/>
  <c r="O1540" i="13"/>
  <c r="O1529" i="13"/>
  <c r="O1650" i="13"/>
  <c r="O1698" i="13"/>
  <c r="O1493" i="13"/>
  <c r="U1493" i="13" s="1"/>
  <c r="O1638" i="13"/>
  <c r="O1544" i="13"/>
  <c r="O1692" i="13"/>
  <c r="O1733" i="13"/>
  <c r="O1670" i="13"/>
  <c r="O1553" i="13"/>
  <c r="O1608" i="13"/>
  <c r="O1615" i="13"/>
  <c r="O1534" i="13"/>
  <c r="O1573" i="13"/>
  <c r="O1495" i="13"/>
  <c r="O1669" i="13"/>
  <c r="O1576" i="13"/>
  <c r="O1735" i="13"/>
  <c r="O1512" i="13"/>
  <c r="O1714" i="13"/>
  <c r="O1543" i="13"/>
  <c r="O1603" i="13"/>
  <c r="O1682" i="13"/>
  <c r="O1668" i="13"/>
  <c r="O1506" i="13"/>
  <c r="O1663" i="13"/>
  <c r="O1678" i="13"/>
  <c r="O1542" i="13"/>
  <c r="O1708" i="13"/>
  <c r="O1628" i="13"/>
  <c r="O1586" i="13"/>
  <c r="O1612" i="13"/>
  <c r="O1511" i="13"/>
  <c r="O1705" i="13"/>
  <c r="O1653" i="13"/>
  <c r="O1575" i="13"/>
  <c r="O1686" i="13"/>
  <c r="O1597" i="13"/>
  <c r="O1577" i="13"/>
  <c r="O1660" i="13"/>
  <c r="O1713" i="13"/>
  <c r="O1558" i="13"/>
  <c r="O1661" i="13"/>
  <c r="O1687" i="13"/>
  <c r="O1517" i="13"/>
  <c r="O1508" i="13"/>
  <c r="O1666" i="13"/>
  <c r="O1677" i="13"/>
  <c r="O1552" i="13"/>
  <c r="O1530" i="13"/>
  <c r="O1632" i="13"/>
  <c r="O1643" i="13"/>
  <c r="O1683" i="13"/>
  <c r="O1590" i="13"/>
  <c r="O1602" i="13"/>
  <c r="O1626" i="13"/>
  <c r="O1726" i="13"/>
  <c r="O1546" i="13"/>
  <c r="O1516" i="13"/>
  <c r="O1700" i="13"/>
  <c r="O1654" i="13"/>
  <c r="O1578" i="13"/>
  <c r="O1656" i="13"/>
  <c r="O1563" i="13"/>
  <c r="O1504" i="13"/>
  <c r="O1675" i="13"/>
  <c r="O1684" i="13"/>
  <c r="O1526" i="13"/>
  <c r="O1680" i="13"/>
  <c r="O1548" i="13"/>
  <c r="O1601" i="13"/>
  <c r="O1607" i="13"/>
  <c r="O1627" i="13"/>
  <c r="O1559" i="13"/>
  <c r="O1507" i="13"/>
  <c r="O1600" i="13"/>
  <c r="O1672" i="13"/>
  <c r="O1701" i="13"/>
  <c r="O1499" i="13"/>
  <c r="O1624" i="13"/>
  <c r="O1596" i="13"/>
  <c r="O1555" i="13"/>
  <c r="O1580" i="13"/>
  <c r="O1566" i="13"/>
  <c r="O1592" i="13"/>
  <c r="O1502" i="13"/>
  <c r="O1549" i="13"/>
  <c r="O1630" i="13"/>
  <c r="O1673" i="13"/>
  <c r="O1594" i="13"/>
  <c r="O1734" i="13"/>
  <c r="O1664" i="13"/>
  <c r="O1611" i="13"/>
  <c r="O1605" i="13"/>
  <c r="O1505" i="13"/>
  <c r="O1523" i="13"/>
  <c r="O1501" i="13"/>
  <c r="O1730" i="13"/>
  <c r="O1689" i="13"/>
  <c r="O1709" i="13"/>
  <c r="O1564" i="13"/>
  <c r="O1685" i="13"/>
  <c r="O1717" i="13"/>
  <c r="O1642" i="13"/>
  <c r="O1728" i="13"/>
  <c r="O1718" i="13"/>
  <c r="O1545" i="13"/>
  <c r="O1536" i="13"/>
  <c r="O1533" i="13"/>
  <c r="O1636" i="13"/>
  <c r="O1584" i="13"/>
  <c r="O1583" i="13"/>
  <c r="O1648" i="13"/>
  <c r="O1498" i="13"/>
  <c r="O1556" i="13"/>
  <c r="O1694" i="13"/>
  <c r="O1721" i="13"/>
  <c r="O1604" i="13"/>
  <c r="O1591" i="13"/>
  <c r="O1640" i="13"/>
  <c r="O1641" i="13"/>
  <c r="O1514" i="13"/>
  <c r="O1725" i="13"/>
  <c r="M2457" i="13"/>
  <c r="M2319" i="13"/>
  <c r="M2287" i="13"/>
  <c r="M2256" i="13"/>
  <c r="M2312" i="13"/>
  <c r="M2459" i="13"/>
  <c r="M2286" i="13"/>
  <c r="M2436" i="13"/>
  <c r="M2320" i="13"/>
  <c r="M2380" i="13"/>
  <c r="M2295" i="13"/>
  <c r="M2290" i="13"/>
  <c r="M2244" i="13"/>
  <c r="M2444" i="13"/>
  <c r="M2333" i="13"/>
  <c r="M2241" i="13"/>
  <c r="M2398" i="13"/>
  <c r="M2303" i="13"/>
  <c r="M2317" i="13"/>
  <c r="M2464" i="13"/>
  <c r="M2423" i="13"/>
  <c r="M2281" i="13"/>
  <c r="M2417" i="13"/>
  <c r="M2479" i="13"/>
  <c r="M2471" i="13"/>
  <c r="M2274" i="13"/>
  <c r="M2315" i="13"/>
  <c r="M2454" i="13"/>
  <c r="M2340" i="13"/>
  <c r="M2409" i="13"/>
  <c r="M2329" i="13"/>
  <c r="M2462" i="13"/>
  <c r="M2302" i="13"/>
  <c r="M2448" i="13"/>
  <c r="M2301" i="13"/>
  <c r="M2472" i="13"/>
  <c r="M2328" i="13"/>
  <c r="M2321" i="13"/>
  <c r="M2367" i="13"/>
  <c r="M2445" i="13"/>
  <c r="M2473" i="13"/>
  <c r="M2474" i="13"/>
  <c r="M2273" i="13"/>
  <c r="M2437" i="13"/>
  <c r="M2434" i="13"/>
  <c r="M2420" i="13"/>
  <c r="M2264" i="13"/>
  <c r="M2308" i="13"/>
  <c r="M2379" i="13"/>
  <c r="M2250" i="13"/>
  <c r="M2396" i="13"/>
  <c r="M2410" i="13"/>
  <c r="M2371" i="13"/>
  <c r="M2466" i="13"/>
  <c r="M2336" i="13"/>
  <c r="M2465" i="13"/>
  <c r="M2298" i="13"/>
  <c r="M2438" i="13"/>
  <c r="M2293" i="13"/>
  <c r="M2358" i="13"/>
  <c r="M2297" i="13"/>
  <c r="M2419" i="13"/>
  <c r="M2265" i="13"/>
  <c r="M2453" i="13"/>
  <c r="M2452" i="13"/>
  <c r="M2263" i="13"/>
  <c r="M2440" i="13"/>
  <c r="M2275" i="13"/>
  <c r="M2365" i="13"/>
  <c r="M2279" i="13"/>
  <c r="M2407" i="13"/>
  <c r="M2412" i="13"/>
  <c r="M2413" i="13"/>
  <c r="M2442" i="13"/>
  <c r="M2373" i="13"/>
  <c r="M2310" i="13"/>
  <c r="M2449" i="13"/>
  <c r="M2331" i="13"/>
  <c r="M2270" i="13"/>
  <c r="M2318" i="13"/>
  <c r="M2405" i="13"/>
  <c r="M2362" i="13"/>
  <c r="M2247" i="13"/>
  <c r="M2421" i="13"/>
  <c r="M2261" i="13"/>
  <c r="M2389" i="13"/>
  <c r="M2243" i="13"/>
  <c r="M2441" i="13"/>
  <c r="M2339" i="13"/>
  <c r="M2291" i="13"/>
  <c r="M2351" i="13"/>
  <c r="M2324" i="13"/>
  <c r="M2455" i="13"/>
  <c r="M2271" i="13"/>
  <c r="M2377" i="13"/>
  <c r="M2278" i="13"/>
  <c r="M2468" i="13"/>
  <c r="M2251" i="13"/>
  <c r="M2353" i="13"/>
  <c r="M2385" i="13"/>
  <c r="M2388" i="13"/>
  <c r="M2439" i="13"/>
  <c r="M2432" i="13"/>
  <c r="M2364" i="13"/>
  <c r="M2381" i="13"/>
  <c r="M2427" i="13"/>
  <c r="M2240" i="13"/>
  <c r="M2392" i="13"/>
  <c r="M2255" i="13"/>
  <c r="M2304" i="13"/>
  <c r="M2277" i="13"/>
  <c r="M2249" i="13"/>
  <c r="M2400" i="13"/>
  <c r="M2350" i="13"/>
  <c r="M2443" i="13"/>
  <c r="M2282" i="13"/>
  <c r="M2355" i="13"/>
  <c r="M2334" i="13"/>
  <c r="M2309" i="13"/>
  <c r="M2242" i="13"/>
  <c r="M2284" i="13"/>
  <c r="M2260" i="13"/>
  <c r="M2349" i="13"/>
  <c r="M2335" i="13"/>
  <c r="M2435" i="13"/>
  <c r="M2447" i="13"/>
  <c r="M2246" i="13"/>
  <c r="M2369" i="13"/>
  <c r="M2258" i="13"/>
  <c r="M2378" i="13"/>
  <c r="M2401" i="13"/>
  <c r="M2337" i="13"/>
  <c r="M2402" i="13"/>
  <c r="M2342" i="13"/>
  <c r="M2460" i="13"/>
  <c r="M2386" i="13"/>
  <c r="M2289" i="13"/>
  <c r="M2467" i="13"/>
  <c r="M2345" i="13"/>
  <c r="M2253" i="13"/>
  <c r="M2299" i="13"/>
  <c r="M2393" i="13"/>
  <c r="M2338" i="13"/>
  <c r="M2397" i="13"/>
  <c r="M2414" i="13"/>
  <c r="M2325" i="13"/>
  <c r="M2347" i="13"/>
  <c r="M2248" i="13"/>
  <c r="M2354" i="13"/>
  <c r="M2370" i="13"/>
  <c r="M2294" i="13"/>
  <c r="M2382" i="13"/>
  <c r="M2306" i="13"/>
  <c r="M2395" i="13"/>
  <c r="M2254" i="13"/>
  <c r="M2390" i="13"/>
  <c r="M2262" i="13"/>
  <c r="M2300" i="13"/>
  <c r="M2415" i="13"/>
  <c r="M2357" i="13"/>
  <c r="M2463" i="13"/>
  <c r="M2416" i="13"/>
  <c r="M2283" i="13"/>
  <c r="M2391" i="13"/>
  <c r="M2403" i="13"/>
  <c r="M2341" i="13"/>
  <c r="M2268" i="13"/>
  <c r="M2476" i="13"/>
  <c r="M2450" i="13"/>
  <c r="M2461" i="13"/>
  <c r="M2239" i="13"/>
  <c r="M2343" i="13"/>
  <c r="M2311" i="13"/>
  <c r="M2418" i="13"/>
  <c r="M2296" i="13"/>
  <c r="M2430" i="13"/>
  <c r="M2426" i="13"/>
  <c r="M2344" i="13"/>
  <c r="M2431" i="13"/>
  <c r="M2323" i="13"/>
  <c r="M2446" i="13"/>
  <c r="M2451" i="13"/>
  <c r="M2237" i="13"/>
  <c r="S2237" i="13" s="1"/>
  <c r="M2257" i="13"/>
  <c r="M2363" i="13"/>
  <c r="M2422" i="13"/>
  <c r="M2424" i="13"/>
  <c r="M2425" i="13"/>
  <c r="M2352" i="13"/>
  <c r="M2478" i="13"/>
  <c r="M2348" i="13"/>
  <c r="M2456" i="13"/>
  <c r="M2314" i="13"/>
  <c r="M2372" i="13"/>
  <c r="M2285" i="13"/>
  <c r="M2376" i="13"/>
  <c r="M2356" i="13"/>
  <c r="M2272" i="13"/>
  <c r="M2404" i="13"/>
  <c r="M2322" i="13"/>
  <c r="M2411" i="13"/>
  <c r="M2259" i="13"/>
  <c r="M2406" i="13"/>
  <c r="M2276" i="13"/>
  <c r="M2307" i="13"/>
  <c r="M2361" i="13"/>
  <c r="M2327" i="13"/>
  <c r="M2326" i="13"/>
  <c r="M2428" i="13"/>
  <c r="M2470" i="13"/>
  <c r="M2387" i="13"/>
  <c r="M2292" i="13"/>
  <c r="M2399" i="13"/>
  <c r="M2477" i="13"/>
  <c r="M2313" i="13"/>
  <c r="M2469" i="13"/>
  <c r="M2360" i="13"/>
  <c r="M2245" i="13"/>
  <c r="M2433" i="13"/>
  <c r="M2368" i="13"/>
  <c r="M2375" i="13"/>
  <c r="M2266" i="13"/>
  <c r="M2288" i="13"/>
  <c r="M2238" i="13"/>
  <c r="M2267" i="13"/>
  <c r="M2384" i="13"/>
  <c r="M2475" i="13"/>
  <c r="M2394" i="13"/>
  <c r="M2429" i="13"/>
  <c r="M2383" i="13"/>
  <c r="M2408" i="13"/>
  <c r="M2458" i="13"/>
  <c r="M2330" i="13"/>
  <c r="M2346" i="13"/>
  <c r="M2305" i="13"/>
  <c r="M2269" i="13"/>
  <c r="M2366" i="13"/>
  <c r="M2332" i="13"/>
  <c r="M2316" i="13"/>
  <c r="M2280" i="13"/>
  <c r="M2252" i="13"/>
  <c r="M2359" i="13"/>
  <c r="M2374" i="13"/>
  <c r="K1989" i="13"/>
  <c r="Q1989" i="13" s="1"/>
  <c r="K2225" i="13"/>
  <c r="K2229" i="13"/>
  <c r="K2079" i="13"/>
  <c r="K2074" i="13"/>
  <c r="K2086" i="13"/>
  <c r="K2091" i="13"/>
  <c r="K2136" i="13"/>
  <c r="K2129" i="13"/>
  <c r="K2200" i="13"/>
  <c r="K2151" i="13"/>
  <c r="K2219" i="13"/>
  <c r="K2103" i="13"/>
  <c r="K2159" i="13"/>
  <c r="K2076" i="13"/>
  <c r="K2149" i="13"/>
  <c r="K2013" i="13"/>
  <c r="K2020" i="13"/>
  <c r="K2112" i="13"/>
  <c r="K2057" i="13"/>
  <c r="K2128" i="13"/>
  <c r="K2134" i="13"/>
  <c r="K2110" i="13"/>
  <c r="K2080" i="13"/>
  <c r="K2016" i="13"/>
  <c r="K2048" i="13"/>
  <c r="K1999" i="13"/>
  <c r="K2000" i="13"/>
  <c r="K2017" i="13"/>
  <c r="K2099" i="13"/>
  <c r="K2089" i="13"/>
  <c r="K2135" i="13"/>
  <c r="K2211" i="13"/>
  <c r="K1991" i="13"/>
  <c r="K2210" i="13"/>
  <c r="K2094" i="13"/>
  <c r="K2172" i="13"/>
  <c r="K2182" i="13"/>
  <c r="K2118" i="13"/>
  <c r="K2145" i="13"/>
  <c r="K2006" i="13"/>
  <c r="K2216" i="13"/>
  <c r="K2154" i="13"/>
  <c r="K2044" i="13"/>
  <c r="K2164" i="13"/>
  <c r="K2131" i="13"/>
  <c r="K2187" i="13"/>
  <c r="K2010" i="13"/>
  <c r="K2040" i="13"/>
  <c r="K2107" i="13"/>
  <c r="K2142" i="13"/>
  <c r="K2028" i="13"/>
  <c r="K2082" i="13"/>
  <c r="K2176" i="13"/>
  <c r="K2123" i="13"/>
  <c r="K2001" i="13"/>
  <c r="K2071" i="13"/>
  <c r="K2127" i="13"/>
  <c r="K2227" i="13"/>
  <c r="K2052" i="13"/>
  <c r="K2011" i="13"/>
  <c r="K2003" i="13"/>
  <c r="K2037" i="13"/>
  <c r="K2055" i="13"/>
  <c r="K2132" i="13"/>
  <c r="K2092" i="13"/>
  <c r="K2160" i="13"/>
  <c r="K2148" i="13"/>
  <c r="K2199" i="13"/>
  <c r="K2185" i="13"/>
  <c r="K2214" i="13"/>
  <c r="K2162" i="13"/>
  <c r="K2059" i="13"/>
  <c r="K2066" i="13"/>
  <c r="K2150" i="13"/>
  <c r="K2212" i="13"/>
  <c r="K2053" i="13"/>
  <c r="K2190" i="13"/>
  <c r="K2147" i="13"/>
  <c r="K2114" i="13"/>
  <c r="K2018" i="13"/>
  <c r="K2070" i="13"/>
  <c r="K2096" i="13"/>
  <c r="K2026" i="13"/>
  <c r="K2024" i="13"/>
  <c r="K2009" i="13"/>
  <c r="K1992" i="13"/>
  <c r="K2208" i="13"/>
  <c r="K2169" i="13"/>
  <c r="K2015" i="13"/>
  <c r="K2004" i="13"/>
  <c r="K2133" i="13"/>
  <c r="K2121" i="13"/>
  <c r="K2181" i="13"/>
  <c r="K2088" i="13"/>
  <c r="K2063" i="13"/>
  <c r="K2097" i="13"/>
  <c r="K2138" i="13"/>
  <c r="K2205" i="13"/>
  <c r="K2007" i="13"/>
  <c r="K1993" i="13"/>
  <c r="K2030" i="13"/>
  <c r="K2167" i="13"/>
  <c r="K2158" i="13"/>
  <c r="K2041" i="13"/>
  <c r="K2174" i="13"/>
  <c r="K2144" i="13"/>
  <c r="K2193" i="13"/>
  <c r="K2025" i="13"/>
  <c r="K2075" i="13"/>
  <c r="K2180" i="13"/>
  <c r="K2054" i="13"/>
  <c r="K2049" i="13"/>
  <c r="K2101" i="13"/>
  <c r="K2163" i="13"/>
  <c r="K2223" i="13"/>
  <c r="K2023" i="13"/>
  <c r="K2064" i="13"/>
  <c r="K2141" i="13"/>
  <c r="K2198" i="13"/>
  <c r="K2116" i="13"/>
  <c r="K2068" i="13"/>
  <c r="K2077" i="13"/>
  <c r="K2081" i="13"/>
  <c r="K2115" i="13"/>
  <c r="K2195" i="13"/>
  <c r="K2165" i="13"/>
  <c r="K2170" i="13"/>
  <c r="K2231" i="13"/>
  <c r="K1998" i="13"/>
  <c r="K2033" i="13"/>
  <c r="K2042" i="13"/>
  <c r="K2043" i="13"/>
  <c r="K2045" i="13"/>
  <c r="K2090" i="13"/>
  <c r="K2069" i="13"/>
  <c r="K2191" i="13"/>
  <c r="K2126" i="13"/>
  <c r="K2120" i="13"/>
  <c r="K2122" i="13"/>
  <c r="K2046" i="13"/>
  <c r="K2061" i="13"/>
  <c r="K2019" i="13"/>
  <c r="K2183" i="13"/>
  <c r="K2206" i="13"/>
  <c r="K2166" i="13"/>
  <c r="K2196" i="13"/>
  <c r="K2161" i="13"/>
  <c r="K2109" i="13"/>
  <c r="K2184" i="13"/>
  <c r="K2209" i="13"/>
  <c r="K2034" i="13"/>
  <c r="K2093" i="13"/>
  <c r="K2156" i="13"/>
  <c r="K2226" i="13"/>
  <c r="K2139" i="13"/>
  <c r="K2058" i="13"/>
  <c r="K2124" i="13"/>
  <c r="K2130" i="13"/>
  <c r="K2027" i="13"/>
  <c r="K2036" i="13"/>
  <c r="K2179" i="13"/>
  <c r="K2039" i="13"/>
  <c r="K2153" i="13"/>
  <c r="K1994" i="13"/>
  <c r="K2072" i="13"/>
  <c r="K2002" i="13"/>
  <c r="K2168" i="13"/>
  <c r="K2218" i="13"/>
  <c r="K2175" i="13"/>
  <c r="K2005" i="13"/>
  <c r="K2029" i="13"/>
  <c r="K2173" i="13"/>
  <c r="K2062" i="13"/>
  <c r="K2100" i="13"/>
  <c r="K2215" i="13"/>
  <c r="K1997" i="13"/>
  <c r="K1995" i="13"/>
  <c r="K2098" i="13"/>
  <c r="K2192" i="13"/>
  <c r="K2050" i="13"/>
  <c r="K2143" i="13"/>
  <c r="K2186" i="13"/>
  <c r="K2152" i="13"/>
  <c r="K2204" i="13"/>
  <c r="K2171" i="13"/>
  <c r="K1996" i="13"/>
  <c r="K2014" i="13"/>
  <c r="K2038" i="13"/>
  <c r="K2083" i="13"/>
  <c r="K2056" i="13"/>
  <c r="K2073" i="13"/>
  <c r="K2095" i="13"/>
  <c r="K2119" i="13"/>
  <c r="K2106" i="13"/>
  <c r="K2087" i="13"/>
  <c r="K2207" i="13"/>
  <c r="K2189" i="13"/>
  <c r="K2085" i="13"/>
  <c r="K2078" i="13"/>
  <c r="K2140" i="13"/>
  <c r="K2178" i="13"/>
  <c r="K2084" i="13"/>
  <c r="K2213" i="13"/>
  <c r="K2108" i="13"/>
  <c r="K2203" i="13"/>
  <c r="K2155" i="13"/>
  <c r="K2194" i="13"/>
  <c r="K2031" i="13"/>
  <c r="K2067" i="13"/>
  <c r="K2113" i="13"/>
  <c r="K2188" i="13"/>
  <c r="K2105" i="13"/>
  <c r="K2111" i="13"/>
  <c r="K2224" i="13"/>
  <c r="K2228" i="13"/>
  <c r="K2221" i="13"/>
  <c r="K2047" i="13"/>
  <c r="K2137" i="13"/>
  <c r="K2197" i="13"/>
  <c r="K2022" i="13"/>
  <c r="K2102" i="13"/>
  <c r="K2202" i="13"/>
  <c r="K2021" i="13"/>
  <c r="K2177" i="13"/>
  <c r="K2012" i="13"/>
  <c r="K2117" i="13"/>
  <c r="K2104" i="13"/>
  <c r="K2220" i="13"/>
  <c r="K2222" i="13"/>
  <c r="K2157" i="13"/>
  <c r="K2035" i="13"/>
  <c r="K2146" i="13"/>
  <c r="K2060" i="13"/>
  <c r="K2051" i="13"/>
  <c r="K2125" i="13"/>
  <c r="K2201" i="13"/>
  <c r="K2008" i="13"/>
  <c r="K2032" i="13"/>
  <c r="K2065" i="13"/>
  <c r="K2230" i="13"/>
  <c r="K1990" i="13"/>
  <c r="K2217" i="13"/>
  <c r="L1989" i="13"/>
  <c r="L1999" i="13"/>
  <c r="L2000" i="13"/>
  <c r="L2017" i="13"/>
  <c r="L2099" i="13"/>
  <c r="L2089" i="13"/>
  <c r="L2152" i="13"/>
  <c r="L2204" i="13"/>
  <c r="L2171" i="13"/>
  <c r="L1996" i="13"/>
  <c r="L2014" i="13"/>
  <c r="L2038" i="13"/>
  <c r="L2083" i="13"/>
  <c r="L2056" i="13"/>
  <c r="L2073" i="13"/>
  <c r="L2095" i="13"/>
  <c r="L2119" i="13"/>
  <c r="L2106" i="13"/>
  <c r="L2087" i="13"/>
  <c r="L2207" i="13"/>
  <c r="L2189" i="13"/>
  <c r="L2085" i="13"/>
  <c r="L2078" i="13"/>
  <c r="L2140" i="13"/>
  <c r="L2178" i="13"/>
  <c r="L2084" i="13"/>
  <c r="L2216" i="13"/>
  <c r="L2167" i="13"/>
  <c r="L2153" i="13"/>
  <c r="L2177" i="13"/>
  <c r="L2154" i="13"/>
  <c r="L2158" i="13"/>
  <c r="L1994" i="13"/>
  <c r="L2012" i="13"/>
  <c r="L2044" i="13"/>
  <c r="L2041" i="13"/>
  <c r="L2072" i="13"/>
  <c r="L2117" i="13"/>
  <c r="L2164" i="13"/>
  <c r="L2174" i="13"/>
  <c r="L2002" i="13"/>
  <c r="L2104" i="13"/>
  <c r="L2131" i="13"/>
  <c r="L2144" i="13"/>
  <c r="L2168" i="13"/>
  <c r="L2220" i="13"/>
  <c r="L2187" i="13"/>
  <c r="L2193" i="13"/>
  <c r="L2218" i="13"/>
  <c r="L2222" i="13"/>
  <c r="L2010" i="13"/>
  <c r="L2025" i="13"/>
  <c r="L2175" i="13"/>
  <c r="L2157" i="13"/>
  <c r="L2040" i="13"/>
  <c r="L2075" i="13"/>
  <c r="L2108" i="13"/>
  <c r="L2096" i="13"/>
  <c r="L2080" i="13"/>
  <c r="L2009" i="13"/>
  <c r="L2166" i="13"/>
  <c r="L1992" i="13"/>
  <c r="L2208" i="13"/>
  <c r="L2169" i="13"/>
  <c r="L2015" i="13"/>
  <c r="L2004" i="13"/>
  <c r="L2133" i="13"/>
  <c r="L2225" i="13"/>
  <c r="L2229" i="13"/>
  <c r="L2079" i="13"/>
  <c r="L2074" i="13"/>
  <c r="L2086" i="13"/>
  <c r="L2091" i="13"/>
  <c r="L2136" i="13"/>
  <c r="L2129" i="13"/>
  <c r="L2200" i="13"/>
  <c r="L2151" i="13"/>
  <c r="L2219" i="13"/>
  <c r="L2103" i="13"/>
  <c r="L2159" i="13"/>
  <c r="L2076" i="13"/>
  <c r="L2149" i="13"/>
  <c r="L2013" i="13"/>
  <c r="L2020" i="13"/>
  <c r="L2112" i="13"/>
  <c r="L2057" i="13"/>
  <c r="L2128" i="13"/>
  <c r="L2118" i="13"/>
  <c r="L2005" i="13"/>
  <c r="L1990" i="13"/>
  <c r="L2007" i="13"/>
  <c r="L2036" i="13"/>
  <c r="L2035" i="13"/>
  <c r="L2052" i="13"/>
  <c r="L2102" i="13"/>
  <c r="L2107" i="13"/>
  <c r="L2116" i="13"/>
  <c r="L2145" i="13"/>
  <c r="L2180" i="13"/>
  <c r="L2143" i="13"/>
  <c r="L1993" i="13"/>
  <c r="L2029" i="13"/>
  <c r="L2179" i="13"/>
  <c r="L2146" i="13"/>
  <c r="L2217" i="13"/>
  <c r="L2202" i="13"/>
  <c r="L2142" i="13"/>
  <c r="L2006" i="13"/>
  <c r="L2011" i="13"/>
  <c r="L2030" i="13"/>
  <c r="L2054" i="13"/>
  <c r="L2068" i="13"/>
  <c r="L2039" i="13"/>
  <c r="L2173" i="13"/>
  <c r="L2186" i="13"/>
  <c r="L2021" i="13"/>
  <c r="L2060" i="13"/>
  <c r="L2203" i="13"/>
  <c r="L2024" i="13"/>
  <c r="L2016" i="13"/>
  <c r="L2019" i="13"/>
  <c r="L2196" i="13"/>
  <c r="L2161" i="13"/>
  <c r="L2109" i="13"/>
  <c r="L2184" i="13"/>
  <c r="L2209" i="13"/>
  <c r="L2034" i="13"/>
  <c r="L2003" i="13"/>
  <c r="L2037" i="13"/>
  <c r="L2055" i="13"/>
  <c r="L2132" i="13"/>
  <c r="L2092" i="13"/>
  <c r="L2160" i="13"/>
  <c r="L2148" i="13"/>
  <c r="L2199" i="13"/>
  <c r="L2185" i="13"/>
  <c r="L2214" i="13"/>
  <c r="L2162" i="13"/>
  <c r="L2059" i="13"/>
  <c r="L2066" i="13"/>
  <c r="L2150" i="13"/>
  <c r="L2212" i="13"/>
  <c r="L2053" i="13"/>
  <c r="L2190" i="13"/>
  <c r="L2147" i="13"/>
  <c r="L2114" i="13"/>
  <c r="L2018" i="13"/>
  <c r="L2028" i="13"/>
  <c r="L2049" i="13"/>
  <c r="L2062" i="13"/>
  <c r="L2051" i="13"/>
  <c r="L2082" i="13"/>
  <c r="L2101" i="13"/>
  <c r="L2100" i="13"/>
  <c r="L2125" i="13"/>
  <c r="L2176" i="13"/>
  <c r="L2163" i="13"/>
  <c r="L2215" i="13"/>
  <c r="L2201" i="13"/>
  <c r="L2123" i="13"/>
  <c r="L2223" i="13"/>
  <c r="L1997" i="13"/>
  <c r="L2008" i="13"/>
  <c r="L2001" i="13"/>
  <c r="L2023" i="13"/>
  <c r="L1995" i="13"/>
  <c r="L2032" i="13"/>
  <c r="L2071" i="13"/>
  <c r="L2064" i="13"/>
  <c r="L2098" i="13"/>
  <c r="L2065" i="13"/>
  <c r="L2127" i="13"/>
  <c r="L2141" i="13"/>
  <c r="L2192" i="13"/>
  <c r="L2230" i="13"/>
  <c r="L2227" i="13"/>
  <c r="L2198" i="13"/>
  <c r="L2050" i="13"/>
  <c r="L2155" i="13"/>
  <c r="L2134" i="13"/>
  <c r="L2048" i="13"/>
  <c r="L2183" i="13"/>
  <c r="L2026" i="13"/>
  <c r="L2031" i="13"/>
  <c r="L2067" i="13"/>
  <c r="L2113" i="13"/>
  <c r="L2188" i="13"/>
  <c r="L2105" i="13"/>
  <c r="L2077" i="13"/>
  <c r="L2081" i="13"/>
  <c r="L2115" i="13"/>
  <c r="L2195" i="13"/>
  <c r="L2165" i="13"/>
  <c r="L2170" i="13"/>
  <c r="L2231" i="13"/>
  <c r="L1998" i="13"/>
  <c r="L2033" i="13"/>
  <c r="L2042" i="13"/>
  <c r="L2043" i="13"/>
  <c r="L2045" i="13"/>
  <c r="L2090" i="13"/>
  <c r="L2069" i="13"/>
  <c r="L2191" i="13"/>
  <c r="L2126" i="13"/>
  <c r="L2120" i="13"/>
  <c r="L2122" i="13"/>
  <c r="L2046" i="13"/>
  <c r="L2061" i="13"/>
  <c r="L2093" i="13"/>
  <c r="L2111" i="13"/>
  <c r="L2135" i="13"/>
  <c r="L2121" i="13"/>
  <c r="L2156" i="13"/>
  <c r="L2224" i="13"/>
  <c r="L2211" i="13"/>
  <c r="L2181" i="13"/>
  <c r="L2226" i="13"/>
  <c r="L2228" i="13"/>
  <c r="L1991" i="13"/>
  <c r="L2088" i="13"/>
  <c r="L2139" i="13"/>
  <c r="L2221" i="13"/>
  <c r="L2210" i="13"/>
  <c r="L2063" i="13"/>
  <c r="L2058" i="13"/>
  <c r="L2047" i="13"/>
  <c r="L2094" i="13"/>
  <c r="L2097" i="13"/>
  <c r="L2124" i="13"/>
  <c r="L2137" i="13"/>
  <c r="L2172" i="13"/>
  <c r="L2138" i="13"/>
  <c r="L2130" i="13"/>
  <c r="L2197" i="13"/>
  <c r="L2182" i="13"/>
  <c r="L2205" i="13"/>
  <c r="L2027" i="13"/>
  <c r="L2022" i="13"/>
  <c r="L2213" i="13"/>
  <c r="L2194" i="13"/>
  <c r="L2110" i="13"/>
  <c r="L2070" i="13"/>
  <c r="L2206" i="13"/>
  <c r="M775" i="13"/>
  <c r="M965" i="13"/>
  <c r="M877" i="13"/>
  <c r="M990" i="13"/>
  <c r="M763" i="13"/>
  <c r="M849" i="13"/>
  <c r="M822" i="13"/>
  <c r="M815" i="13"/>
  <c r="M797" i="13"/>
  <c r="M781" i="13"/>
  <c r="M897" i="13"/>
  <c r="M971" i="13"/>
  <c r="M840" i="13"/>
  <c r="M982" i="13"/>
  <c r="M835" i="13"/>
  <c r="M978" i="13"/>
  <c r="M896" i="13"/>
  <c r="M926" i="13"/>
  <c r="M848" i="13"/>
  <c r="M782" i="13"/>
  <c r="M771" i="13"/>
  <c r="M772" i="13"/>
  <c r="M913" i="13"/>
  <c r="M810" i="13"/>
  <c r="M973" i="13"/>
  <c r="M968" i="13"/>
  <c r="M842" i="13"/>
  <c r="M960" i="13"/>
  <c r="M888" i="13"/>
  <c r="M981" i="13"/>
  <c r="M956" i="13"/>
  <c r="M898" i="13"/>
  <c r="M798" i="13"/>
  <c r="M818" i="13"/>
  <c r="M887" i="13"/>
  <c r="M901" i="13"/>
  <c r="M824" i="13"/>
  <c r="M783" i="13"/>
  <c r="M966" i="13"/>
  <c r="M983" i="13"/>
  <c r="M853" i="13"/>
  <c r="M836" i="13"/>
  <c r="M816" i="13"/>
  <c r="M760" i="13"/>
  <c r="M940" i="13"/>
  <c r="M907" i="13"/>
  <c r="M910" i="13"/>
  <c r="M794" i="13"/>
  <c r="M806" i="13"/>
  <c r="M909" i="13"/>
  <c r="M777" i="13"/>
  <c r="M892" i="13"/>
  <c r="M875" i="13"/>
  <c r="M918" i="13"/>
  <c r="M870" i="13"/>
  <c r="M914" i="13"/>
  <c r="M759" i="13"/>
  <c r="M800" i="13"/>
  <c r="M876" i="13"/>
  <c r="M834" i="13"/>
  <c r="M749" i="13"/>
  <c r="S749" i="13" s="1"/>
  <c r="M790" i="13"/>
  <c r="M893" i="13"/>
  <c r="M980" i="13"/>
  <c r="M976" i="13"/>
  <c r="M784" i="13"/>
  <c r="M778" i="13"/>
  <c r="M979" i="13"/>
  <c r="M811" i="13"/>
  <c r="M788" i="13"/>
  <c r="M831" i="13"/>
  <c r="M935" i="13"/>
  <c r="M900" i="13"/>
  <c r="M962" i="13"/>
  <c r="M937" i="13"/>
  <c r="M957" i="13"/>
  <c r="M929" i="13"/>
  <c r="M886" i="13"/>
  <c r="M970" i="13"/>
  <c r="M889" i="13"/>
  <c r="M915" i="13"/>
  <c r="M768" i="13"/>
  <c r="M767" i="13"/>
  <c r="M878" i="13"/>
  <c r="M949" i="13"/>
  <c r="M964" i="13"/>
  <c r="M963" i="13"/>
  <c r="M795" i="13"/>
  <c r="M845" i="13"/>
  <c r="M916" i="13"/>
  <c r="M953" i="13"/>
  <c r="M955" i="13"/>
  <c r="M829" i="13"/>
  <c r="M869" i="13"/>
  <c r="M754" i="13"/>
  <c r="M919" i="13"/>
  <c r="M890" i="13"/>
  <c r="M917" i="13"/>
  <c r="M765" i="13"/>
  <c r="M988" i="13"/>
  <c r="M841" i="13"/>
  <c r="M911" i="13"/>
  <c r="M905" i="13"/>
  <c r="M780" i="13"/>
  <c r="M804" i="13"/>
  <c r="M826" i="13"/>
  <c r="M839" i="13"/>
  <c r="M941" i="13"/>
  <c r="M873" i="13"/>
  <c r="M930" i="13"/>
  <c r="M927" i="13"/>
  <c r="M991" i="13"/>
  <c r="M923" i="13"/>
  <c r="M851" i="13"/>
  <c r="M803" i="13"/>
  <c r="M922" i="13"/>
  <c r="M787" i="13"/>
  <c r="M879" i="13"/>
  <c r="M885" i="13"/>
  <c r="M906" i="13"/>
  <c r="M808" i="13"/>
  <c r="M805" i="13"/>
  <c r="M989" i="13"/>
  <c r="M867" i="13"/>
  <c r="M863" i="13"/>
  <c r="M859" i="13"/>
  <c r="M881" i="13"/>
  <c r="M936" i="13"/>
  <c r="M833" i="13"/>
  <c r="M769" i="13"/>
  <c r="M801" i="13"/>
  <c r="M758" i="13"/>
  <c r="M871" i="13"/>
  <c r="M872" i="13"/>
  <c r="M942" i="13"/>
  <c r="M832" i="13"/>
  <c r="M934" i="13"/>
  <c r="M856" i="13"/>
  <c r="M952" i="13"/>
  <c r="M939" i="13"/>
  <c r="M891" i="13"/>
  <c r="M779" i="13"/>
  <c r="M817" i="13"/>
  <c r="M946" i="13"/>
  <c r="M974" i="13"/>
  <c r="M821" i="13"/>
  <c r="M861" i="13"/>
  <c r="M920" i="13"/>
  <c r="M958" i="13"/>
  <c r="M959" i="13"/>
  <c r="M847" i="13"/>
  <c r="M820" i="13"/>
  <c r="M912" i="13"/>
  <c r="M752" i="13"/>
  <c r="M828" i="13"/>
  <c r="M796" i="13"/>
  <c r="M864" i="13"/>
  <c r="M786" i="13"/>
  <c r="M823" i="13"/>
  <c r="M762" i="13"/>
  <c r="M945" i="13"/>
  <c r="M985" i="13"/>
  <c r="M969" i="13"/>
  <c r="M776" i="13"/>
  <c r="M812" i="13"/>
  <c r="M825" i="13"/>
  <c r="M986" i="13"/>
  <c r="M884" i="13"/>
  <c r="M931" i="13"/>
  <c r="M838" i="13"/>
  <c r="M904" i="13"/>
  <c r="M865" i="13"/>
  <c r="M852" i="13"/>
  <c r="M857" i="13"/>
  <c r="M757" i="13"/>
  <c r="M903" i="13"/>
  <c r="M750" i="13"/>
  <c r="M764" i="13"/>
  <c r="M770" i="13"/>
  <c r="M830" i="13"/>
  <c r="M791" i="13"/>
  <c r="M846" i="13"/>
  <c r="M773" i="13"/>
  <c r="M928" i="13"/>
  <c r="M789" i="13"/>
  <c r="M950" i="13"/>
  <c r="M943" i="13"/>
  <c r="M753" i="13"/>
  <c r="M951" i="13"/>
  <c r="M961" i="13"/>
  <c r="M843" i="13"/>
  <c r="M802" i="13"/>
  <c r="M858" i="13"/>
  <c r="M813" i="13"/>
  <c r="M883" i="13"/>
  <c r="M944" i="13"/>
  <c r="M766" i="13"/>
  <c r="M799" i="13"/>
  <c r="M774" i="13"/>
  <c r="M755" i="13"/>
  <c r="M792" i="13"/>
  <c r="M938" i="13"/>
  <c r="M902" i="13"/>
  <c r="M819" i="13"/>
  <c r="M756" i="13"/>
  <c r="M761" i="13"/>
  <c r="M933" i="13"/>
  <c r="M827" i="13"/>
  <c r="M785" i="13"/>
  <c r="M967" i="13"/>
  <c r="M837" i="13"/>
  <c r="M844" i="13"/>
  <c r="M807" i="13"/>
  <c r="M854" i="13"/>
  <c r="M924" i="13"/>
  <c r="M868" i="13"/>
  <c r="M860" i="13"/>
  <c r="M814" i="13"/>
  <c r="M894" i="13"/>
  <c r="M921" i="13"/>
  <c r="M954" i="13"/>
  <c r="M793" i="13"/>
  <c r="M874" i="13"/>
  <c r="M932" i="13"/>
  <c r="M975" i="13"/>
  <c r="M987" i="13"/>
  <c r="M925" i="13"/>
  <c r="M882" i="13"/>
  <c r="M862" i="13"/>
  <c r="M977" i="13"/>
  <c r="M880" i="13"/>
  <c r="M855" i="13"/>
  <c r="M972" i="13"/>
  <c r="M751" i="13"/>
  <c r="M908" i="13"/>
  <c r="M899" i="13"/>
  <c r="M866" i="13"/>
  <c r="M850" i="13"/>
  <c r="M984" i="13"/>
  <c r="M947" i="13"/>
  <c r="M895" i="13"/>
  <c r="M809" i="13"/>
  <c r="M948" i="13"/>
  <c r="K1433" i="13"/>
  <c r="K1305" i="13"/>
  <c r="K1371" i="13"/>
  <c r="K1358" i="13"/>
  <c r="K1312" i="13"/>
  <c r="K1249" i="13"/>
  <c r="K1440" i="13"/>
  <c r="K1412" i="13"/>
  <c r="K1300" i="13"/>
  <c r="K1462" i="13"/>
  <c r="K1367" i="13"/>
  <c r="K1317" i="13"/>
  <c r="K1314" i="13"/>
  <c r="K1469" i="13"/>
  <c r="K1377" i="13"/>
  <c r="K1346" i="13"/>
  <c r="K1269" i="13"/>
  <c r="K1405" i="13"/>
  <c r="K1255" i="13"/>
  <c r="K1311" i="13"/>
  <c r="K1313" i="13"/>
  <c r="K1361" i="13"/>
  <c r="K1274" i="13"/>
  <c r="K1460" i="13"/>
  <c r="K1432" i="13"/>
  <c r="K1283" i="13"/>
  <c r="K1411" i="13"/>
  <c r="K1435" i="13"/>
  <c r="K1380" i="13"/>
  <c r="K1301" i="13"/>
  <c r="K1413" i="13"/>
  <c r="K1417" i="13"/>
  <c r="K1325" i="13"/>
  <c r="K1282" i="13"/>
  <c r="K1475" i="13"/>
  <c r="K1410" i="13"/>
  <c r="K1295" i="13"/>
  <c r="K1250" i="13"/>
  <c r="K1363" i="13"/>
  <c r="K1481" i="13"/>
  <c r="K1354" i="13"/>
  <c r="K1457" i="13"/>
  <c r="K1392" i="13"/>
  <c r="K1427" i="13"/>
  <c r="K1330" i="13"/>
  <c r="K1470" i="13"/>
  <c r="K1383" i="13"/>
  <c r="K1344" i="13"/>
  <c r="K1272" i="13"/>
  <c r="K1365" i="13"/>
  <c r="K1393" i="13"/>
  <c r="K1276" i="13"/>
  <c r="K1277" i="13"/>
  <c r="K1447" i="13"/>
  <c r="K1382" i="13"/>
  <c r="K1331" i="13"/>
  <c r="K1252" i="13"/>
  <c r="K1464" i="13"/>
  <c r="K1324" i="13"/>
  <c r="K1291" i="13"/>
  <c r="K1245" i="13"/>
  <c r="K1406" i="13"/>
  <c r="K1477" i="13"/>
  <c r="K1421" i="13"/>
  <c r="K1400" i="13"/>
  <c r="K1271" i="13"/>
  <c r="K1466" i="13"/>
  <c r="K1375" i="13"/>
  <c r="K1328" i="13"/>
  <c r="K1258" i="13"/>
  <c r="K1453" i="13"/>
  <c r="K1430" i="13"/>
  <c r="K1334" i="13"/>
  <c r="K1278" i="13"/>
  <c r="K1443" i="13"/>
  <c r="K1378" i="13"/>
  <c r="K1327" i="13"/>
  <c r="K1248" i="13"/>
  <c r="K1418" i="13"/>
  <c r="K1262" i="13"/>
  <c r="K1336" i="13"/>
  <c r="K1254" i="13"/>
  <c r="K1362" i="13"/>
  <c r="K1486" i="13"/>
  <c r="K1415" i="13"/>
  <c r="K1368" i="13"/>
  <c r="K1289" i="13"/>
  <c r="K1429" i="13"/>
  <c r="K1425" i="13"/>
  <c r="K1329" i="13"/>
  <c r="K1286" i="13"/>
  <c r="K1463" i="13"/>
  <c r="K1398" i="13"/>
  <c r="K1347" i="13"/>
  <c r="K1247" i="13"/>
  <c r="K1480" i="13"/>
  <c r="K1320" i="13"/>
  <c r="K1288" i="13"/>
  <c r="K1434" i="13"/>
  <c r="K1333" i="13"/>
  <c r="K1483" i="13"/>
  <c r="K1345" i="13"/>
  <c r="K1479" i="13"/>
  <c r="K1315" i="13"/>
  <c r="K1438" i="13"/>
  <c r="K1284" i="13"/>
  <c r="K1465" i="13"/>
  <c r="K1369" i="13"/>
  <c r="K1342" i="13"/>
  <c r="K1267" i="13"/>
  <c r="K1451" i="13"/>
  <c r="K1386" i="13"/>
  <c r="K1335" i="13"/>
  <c r="K1256" i="13"/>
  <c r="K1452" i="13"/>
  <c r="K1424" i="13"/>
  <c r="K1266" i="13"/>
  <c r="K1379" i="13"/>
  <c r="K1423" i="13"/>
  <c r="K1372" i="13"/>
  <c r="K1293" i="13"/>
  <c r="K1471" i="13"/>
  <c r="K1355" i="13"/>
  <c r="K1487" i="13"/>
  <c r="K1422" i="13"/>
  <c r="K1326" i="13"/>
  <c r="K1270" i="13"/>
  <c r="K1419" i="13"/>
  <c r="K1370" i="13"/>
  <c r="K1319" i="13"/>
  <c r="K1261" i="13"/>
  <c r="K1439" i="13"/>
  <c r="K1408" i="13"/>
  <c r="K1292" i="13"/>
  <c r="K1474" i="13"/>
  <c r="K1391" i="13"/>
  <c r="K1356" i="13"/>
  <c r="K1280" i="13"/>
  <c r="K1450" i="13"/>
  <c r="K1322" i="13"/>
  <c r="K1484" i="13"/>
  <c r="K1296" i="13"/>
  <c r="K1387" i="13"/>
  <c r="K1303" i="13"/>
  <c r="K1455" i="13"/>
  <c r="K1390" i="13"/>
  <c r="K1339" i="13"/>
  <c r="K1260" i="13"/>
  <c r="K1472" i="13"/>
  <c r="K1359" i="13"/>
  <c r="K1307" i="13"/>
  <c r="K1395" i="13"/>
  <c r="K1431" i="13"/>
  <c r="K1376" i="13"/>
  <c r="K1297" i="13"/>
  <c r="K1442" i="13"/>
  <c r="K1436" i="13"/>
  <c r="K1337" i="13"/>
  <c r="K1294" i="13"/>
  <c r="K1357" i="13"/>
  <c r="K1290" i="13"/>
  <c r="K1332" i="13"/>
  <c r="K1302" i="13"/>
  <c r="K1414" i="13"/>
  <c r="K1485" i="13"/>
  <c r="K1404" i="13"/>
  <c r="K1253" i="13"/>
  <c r="K1444" i="13"/>
  <c r="K1416" i="13"/>
  <c r="K1308" i="13"/>
  <c r="K1482" i="13"/>
  <c r="K1407" i="13"/>
  <c r="K1364" i="13"/>
  <c r="K1285" i="13"/>
  <c r="K1473" i="13"/>
  <c r="K1385" i="13"/>
  <c r="K1350" i="13"/>
  <c r="K1273" i="13"/>
  <c r="K1459" i="13"/>
  <c r="K1394" i="13"/>
  <c r="K1343" i="13"/>
  <c r="K1264" i="13"/>
  <c r="K1384" i="13"/>
  <c r="K1306" i="13"/>
  <c r="K1259" i="13"/>
  <c r="K1257" i="13"/>
  <c r="K1246" i="13"/>
  <c r="K1458" i="13"/>
  <c r="K1287" i="13"/>
  <c r="K1351" i="13"/>
  <c r="K1299" i="13"/>
  <c r="K1309" i="13"/>
  <c r="K1304" i="13"/>
  <c r="K1310" i="13"/>
  <c r="K1265" i="13"/>
  <c r="K1478" i="13"/>
  <c r="K1397" i="13"/>
  <c r="K1348" i="13"/>
  <c r="K1446" i="13"/>
  <c r="K1468" i="13"/>
  <c r="K1298" i="13"/>
  <c r="K1428" i="13"/>
  <c r="K1454" i="13"/>
  <c r="K1461" i="13"/>
  <c r="K1403" i="13"/>
  <c r="K1448" i="13"/>
  <c r="K1396" i="13"/>
  <c r="K1353" i="13"/>
  <c r="K1263" i="13"/>
  <c r="K1251" i="13"/>
  <c r="K1449" i="13"/>
  <c r="K1476" i="13"/>
  <c r="K1389" i="13"/>
  <c r="K1437" i="13"/>
  <c r="K1456" i="13"/>
  <c r="K1399" i="13"/>
  <c r="K1409" i="13"/>
  <c r="K1352" i="13"/>
  <c r="K1420" i="13"/>
  <c r="K1467" i="13"/>
  <c r="K1279" i="13"/>
  <c r="K1360" i="13"/>
  <c r="K1441" i="13"/>
  <c r="K1349" i="13"/>
  <c r="K1338" i="13"/>
  <c r="K1316" i="13"/>
  <c r="K1318" i="13"/>
  <c r="K1341" i="13"/>
  <c r="K1401" i="13"/>
  <c r="K1402" i="13"/>
  <c r="K1340" i="13"/>
  <c r="K1388" i="13"/>
  <c r="K1445" i="13"/>
  <c r="K1426" i="13"/>
  <c r="K1323" i="13"/>
  <c r="K1268" i="13"/>
  <c r="K1281" i="13"/>
  <c r="K1275" i="13"/>
  <c r="K1366" i="13"/>
  <c r="K1381" i="13"/>
  <c r="K1373" i="13"/>
  <c r="K1374" i="13"/>
  <c r="K1321" i="13"/>
  <c r="O1227" i="13"/>
  <c r="O1069" i="13"/>
  <c r="O1231" i="13"/>
  <c r="O1186" i="13"/>
  <c r="O1202" i="13"/>
  <c r="O1026" i="13"/>
  <c r="O1096" i="13"/>
  <c r="O1219" i="13"/>
  <c r="O1237" i="13"/>
  <c r="O999" i="13"/>
  <c r="O1233" i="13"/>
  <c r="O1166" i="13"/>
  <c r="O1070" i="13"/>
  <c r="O1208" i="13"/>
  <c r="O1224" i="13"/>
  <c r="O1015" i="13"/>
  <c r="O1131" i="13"/>
  <c r="O1170" i="13"/>
  <c r="O1080" i="13"/>
  <c r="O1182" i="13"/>
  <c r="O1076" i="13"/>
  <c r="O1028" i="13"/>
  <c r="O1150" i="13"/>
  <c r="O1091" i="13"/>
  <c r="O1057" i="13"/>
  <c r="O1145" i="13"/>
  <c r="O1100" i="13"/>
  <c r="O1135" i="13"/>
  <c r="O1179" i="13"/>
  <c r="O1004" i="13"/>
  <c r="O1010" i="13"/>
  <c r="O1107" i="13"/>
  <c r="O1200" i="13"/>
  <c r="O998" i="13"/>
  <c r="O1088" i="13"/>
  <c r="O1104" i="13"/>
  <c r="O1178" i="13"/>
  <c r="O1111" i="13"/>
  <c r="O1066" i="13"/>
  <c r="O1141" i="13"/>
  <c r="O1177" i="13"/>
  <c r="O1058" i="13"/>
  <c r="O1115" i="13"/>
  <c r="O1120" i="13"/>
  <c r="O1194" i="13"/>
  <c r="O1099" i="13"/>
  <c r="O1023" i="13"/>
  <c r="O1167" i="13"/>
  <c r="O1203" i="13"/>
  <c r="O1043" i="13"/>
  <c r="O1065" i="13"/>
  <c r="O1192" i="13"/>
  <c r="O1223" i="13"/>
  <c r="O1038" i="13"/>
  <c r="O1064" i="13"/>
  <c r="O1000" i="13"/>
  <c r="O1195" i="13"/>
  <c r="O1089" i="13"/>
  <c r="O1207" i="13"/>
  <c r="O1157" i="13"/>
  <c r="O1151" i="13"/>
  <c r="O1136" i="13"/>
  <c r="O1005" i="13"/>
  <c r="O1077" i="13"/>
  <c r="O1086" i="13"/>
  <c r="O1140" i="13"/>
  <c r="O1041" i="13"/>
  <c r="O1073" i="13"/>
  <c r="O1128" i="13"/>
  <c r="O1106" i="13"/>
  <c r="O1048" i="13"/>
  <c r="O1067" i="13"/>
  <c r="O1153" i="13"/>
  <c r="O1218" i="13"/>
  <c r="O1060" i="13"/>
  <c r="O1037" i="13"/>
  <c r="O1047" i="13"/>
  <c r="O1168" i="13"/>
  <c r="O1053" i="13"/>
  <c r="O1097" i="13"/>
  <c r="O1021" i="13"/>
  <c r="O1121" i="13"/>
  <c r="O1036" i="13"/>
  <c r="O1217" i="13"/>
  <c r="O1092" i="13"/>
  <c r="O1189" i="13"/>
  <c r="O1095" i="13"/>
  <c r="O1138" i="13"/>
  <c r="O1063" i="13"/>
  <c r="O1127" i="13"/>
  <c r="O1035" i="13"/>
  <c r="O1030" i="13"/>
  <c r="O1101" i="13"/>
  <c r="O1190" i="13"/>
  <c r="O1188" i="13"/>
  <c r="O1017" i="13"/>
  <c r="O1130" i="13"/>
  <c r="O1175" i="13"/>
  <c r="O1105" i="13"/>
  <c r="O1119" i="13"/>
  <c r="O1110" i="13"/>
  <c r="O1222" i="13"/>
  <c r="O1011" i="13"/>
  <c r="O1033" i="13"/>
  <c r="O1146" i="13"/>
  <c r="O1191" i="13"/>
  <c r="O1173" i="13"/>
  <c r="O1113" i="13"/>
  <c r="O1142" i="13"/>
  <c r="O1117" i="13"/>
  <c r="O1132" i="13"/>
  <c r="O1098" i="13"/>
  <c r="O1216" i="13"/>
  <c r="O1014" i="13"/>
  <c r="O1056" i="13"/>
  <c r="O1022" i="13"/>
  <c r="O1159" i="13"/>
  <c r="O1199" i="13"/>
  <c r="O1147" i="13"/>
  <c r="O1156" i="13"/>
  <c r="O1162" i="13"/>
  <c r="O1049" i="13"/>
  <c r="O1090" i="13"/>
  <c r="O1009" i="13"/>
  <c r="O1180" i="13"/>
  <c r="O1008" i="13"/>
  <c r="O1221" i="13"/>
  <c r="O1228" i="13"/>
  <c r="O1079" i="13"/>
  <c r="O1184" i="13"/>
  <c r="O1155" i="13"/>
  <c r="O1003" i="13"/>
  <c r="O1051" i="13"/>
  <c r="O1031" i="13"/>
  <c r="O1013" i="13"/>
  <c r="O1102" i="13"/>
  <c r="O1143" i="13"/>
  <c r="O1171" i="13"/>
  <c r="O1185" i="13"/>
  <c r="O1214" i="13"/>
  <c r="O1054" i="13"/>
  <c r="O1118" i="13"/>
  <c r="O1133" i="13"/>
  <c r="O1012" i="13"/>
  <c r="O1044" i="13"/>
  <c r="O1163" i="13"/>
  <c r="O1108" i="13"/>
  <c r="O1174" i="13"/>
  <c r="O1172" i="13"/>
  <c r="O1212" i="13"/>
  <c r="O1187" i="13"/>
  <c r="O1236" i="13"/>
  <c r="O1025" i="13"/>
  <c r="O1055" i="13"/>
  <c r="O1116" i="13"/>
  <c r="O1235" i="13"/>
  <c r="O1059" i="13"/>
  <c r="O1081" i="13"/>
  <c r="O1196" i="13"/>
  <c r="O1239" i="13"/>
  <c r="O1122" i="13"/>
  <c r="O1071" i="13"/>
  <c r="O1161" i="13"/>
  <c r="O1123" i="13"/>
  <c r="O1075" i="13"/>
  <c r="O1109" i="13"/>
  <c r="O1148" i="13"/>
  <c r="O1002" i="13"/>
  <c r="O1215" i="13"/>
  <c r="O1084" i="13"/>
  <c r="O1160" i="13"/>
  <c r="O1103" i="13"/>
  <c r="O1072" i="13"/>
  <c r="O1220" i="13"/>
  <c r="O1229" i="13"/>
  <c r="O1068" i="13"/>
  <c r="O1165" i="13"/>
  <c r="O1029" i="13"/>
  <c r="O1137" i="13"/>
  <c r="O1087" i="13"/>
  <c r="O1164" i="13"/>
  <c r="O1124" i="13"/>
  <c r="O1149" i="13"/>
  <c r="O1139" i="13"/>
  <c r="O1094" i="13"/>
  <c r="O1204" i="13"/>
  <c r="O1232" i="13"/>
  <c r="O1020" i="13"/>
  <c r="O1125" i="13"/>
  <c r="O1198" i="13"/>
  <c r="O1158" i="13"/>
  <c r="O1181" i="13"/>
  <c r="O1176" i="13"/>
  <c r="O1197" i="13"/>
  <c r="O1225" i="13"/>
  <c r="O1226" i="13"/>
  <c r="O1210" i="13"/>
  <c r="O1062" i="13"/>
  <c r="O997" i="13"/>
  <c r="O1039" i="13"/>
  <c r="O1183" i="13"/>
  <c r="O1042" i="13"/>
  <c r="O1238" i="13"/>
  <c r="O1209" i="13"/>
  <c r="O1134" i="13"/>
  <c r="O1093" i="13"/>
  <c r="O1085" i="13"/>
  <c r="O1112" i="13"/>
  <c r="O1211" i="13"/>
  <c r="O1078" i="13"/>
  <c r="O1034" i="13"/>
  <c r="O1018" i="13"/>
  <c r="O1201" i="13"/>
  <c r="O1082" i="13"/>
  <c r="O1019" i="13"/>
  <c r="O1046" i="13"/>
  <c r="O1144" i="13"/>
  <c r="O1126" i="13"/>
  <c r="O1007" i="13"/>
  <c r="O1206" i="13"/>
  <c r="O1083" i="13"/>
  <c r="O1024" i="13"/>
  <c r="O1001" i="13"/>
  <c r="O1074" i="13"/>
  <c r="O1050" i="13"/>
  <c r="O1205" i="13"/>
  <c r="O1152" i="13"/>
  <c r="O1230" i="13"/>
  <c r="O1006" i="13"/>
  <c r="O1154" i="13"/>
  <c r="O1016" i="13"/>
  <c r="O1114" i="13"/>
  <c r="O1052" i="13"/>
  <c r="O1129" i="13"/>
  <c r="O1045" i="13"/>
  <c r="O1169" i="13"/>
  <c r="O1193" i="13"/>
  <c r="O1027" i="13"/>
  <c r="O1061" i="13"/>
  <c r="O1032" i="13"/>
  <c r="O1234" i="13"/>
  <c r="O1040" i="13"/>
  <c r="O1213" i="13"/>
  <c r="L1805" i="13"/>
  <c r="L1809" i="13"/>
  <c r="L1847" i="13"/>
  <c r="L1891" i="13"/>
  <c r="L1851" i="13"/>
  <c r="L1818" i="13"/>
  <c r="L1833" i="13"/>
  <c r="L1827" i="13"/>
  <c r="L1849" i="13"/>
  <c r="L1910" i="13"/>
  <c r="L1909" i="13"/>
  <c r="L1944" i="13"/>
  <c r="L1959" i="13"/>
  <c r="L1946" i="13"/>
  <c r="L1962" i="13"/>
  <c r="L1937" i="13"/>
  <c r="L1953" i="13"/>
  <c r="L1939" i="13"/>
  <c r="L1928" i="13"/>
  <c r="L1750" i="13"/>
  <c r="L1907" i="13"/>
  <c r="L1895" i="13"/>
  <c r="L1912" i="13"/>
  <c r="L1971" i="13"/>
  <c r="L1918" i="13"/>
  <c r="L1754" i="13"/>
  <c r="L1790" i="13"/>
  <c r="L1834" i="13"/>
  <c r="L1780" i="13"/>
  <c r="L1804" i="13"/>
  <c r="L1838" i="13"/>
  <c r="L1863" i="13"/>
  <c r="L1914" i="13"/>
  <c r="L1901" i="13"/>
  <c r="L1917" i="13"/>
  <c r="L1933" i="13"/>
  <c r="L1903" i="13"/>
  <c r="L1821" i="13"/>
  <c r="L1949" i="13"/>
  <c r="L1970" i="13"/>
  <c r="L1778" i="13"/>
  <c r="L1855" i="13"/>
  <c r="L1758" i="13"/>
  <c r="L1815" i="13"/>
  <c r="L1777" i="13"/>
  <c r="L1828" i="13"/>
  <c r="L1854" i="13"/>
  <c r="L1925" i="13"/>
  <c r="L1864" i="13"/>
  <c r="L1880" i="13"/>
  <c r="L1950" i="13"/>
  <c r="L1779" i="13"/>
  <c r="L1814" i="13"/>
  <c r="L1801" i="13"/>
  <c r="L1743" i="13"/>
  <c r="L1773" i="13"/>
  <c r="L1874" i="13"/>
  <c r="L1850" i="13"/>
  <c r="L1852" i="13"/>
  <c r="L1885" i="13"/>
  <c r="L1902" i="13"/>
  <c r="L1978" i="13"/>
  <c r="L1751" i="13"/>
  <c r="L1789" i="13"/>
  <c r="L1825" i="13"/>
  <c r="L1826" i="13"/>
  <c r="L1819" i="13"/>
  <c r="L1871" i="13"/>
  <c r="L1923" i="13"/>
  <c r="L1964" i="13"/>
  <c r="L1853" i="13"/>
  <c r="L1977" i="13"/>
  <c r="L1755" i="13"/>
  <c r="L1760" i="13"/>
  <c r="L1762" i="13"/>
  <c r="L1782" i="13"/>
  <c r="L1798" i="13"/>
  <c r="L1915" i="13"/>
  <c r="L1857" i="13"/>
  <c r="L1894" i="13"/>
  <c r="L1965" i="13"/>
  <c r="L1948" i="13"/>
  <c r="L1824" i="13"/>
  <c r="L1865" i="13"/>
  <c r="L1920" i="13"/>
  <c r="L1856" i="13"/>
  <c r="L1845" i="13"/>
  <c r="L1810" i="13"/>
  <c r="L1873" i="13"/>
  <c r="L1890" i="13"/>
  <c r="L1921" i="13"/>
  <c r="L1927" i="13"/>
  <c r="L1975" i="13"/>
  <c r="L1916" i="13"/>
  <c r="L1969" i="13"/>
  <c r="L1881" i="13"/>
  <c r="L1947" i="13"/>
  <c r="L1982" i="13"/>
  <c r="L1757" i="13"/>
  <c r="L1929" i="13"/>
  <c r="L1767" i="13"/>
  <c r="L1806" i="13"/>
  <c r="L1823" i="13"/>
  <c r="L1807" i="13"/>
  <c r="L1876" i="13"/>
  <c r="L1769" i="13"/>
  <c r="L1742" i="13"/>
  <c r="L1867" i="13"/>
  <c r="L1919" i="13"/>
  <c r="L1868" i="13"/>
  <c r="L1952" i="13"/>
  <c r="L1961" i="13"/>
  <c r="L1776" i="13"/>
  <c r="L1900" i="13"/>
  <c r="L1837" i="13"/>
  <c r="L1794" i="13"/>
  <c r="L1793" i="13"/>
  <c r="L1896" i="13"/>
  <c r="L1897" i="13"/>
  <c r="L1980" i="13"/>
  <c r="L1861" i="13"/>
  <c r="L1941" i="13"/>
  <c r="L1892" i="13"/>
  <c r="L1955" i="13"/>
  <c r="L1753" i="13"/>
  <c r="L1746" i="13"/>
  <c r="L1812" i="13"/>
  <c r="L1960" i="13"/>
  <c r="L1983" i="13"/>
  <c r="L1745" i="13"/>
  <c r="L1768" i="13"/>
  <c r="L1781" i="13"/>
  <c r="L1802" i="13"/>
  <c r="L1817" i="13"/>
  <c r="L1816" i="13"/>
  <c r="L1832" i="13"/>
  <c r="L1848" i="13"/>
  <c r="L1843" i="13"/>
  <c r="L1931" i="13"/>
  <c r="L1887" i="13"/>
  <c r="L1889" i="13"/>
  <c r="L1981" i="13"/>
  <c r="L1973" i="13"/>
  <c r="L1784" i="13"/>
  <c r="L1797" i="13"/>
  <c r="L1879" i="13"/>
  <c r="L1913" i="13"/>
  <c r="L1886" i="13"/>
  <c r="L1930" i="13"/>
  <c r="L1976" i="13"/>
  <c r="L1938" i="13"/>
  <c r="L1908" i="13"/>
  <c r="L1748" i="13"/>
  <c r="L1774" i="13"/>
  <c r="L1772" i="13"/>
  <c r="L1770" i="13"/>
  <c r="L1771" i="13"/>
  <c r="L1799" i="13"/>
  <c r="L1966" i="13"/>
  <c r="L1968" i="13"/>
  <c r="L1942" i="13"/>
  <c r="L1785" i="13"/>
  <c r="L1813" i="13"/>
  <c r="L1957" i="13"/>
  <c r="L1783" i="13"/>
  <c r="L1859" i="13"/>
  <c r="L1830" i="13"/>
  <c r="L1788" i="13"/>
  <c r="L1883" i="13"/>
  <c r="L1935" i="13"/>
  <c r="L1842" i="13"/>
  <c r="L1835" i="13"/>
  <c r="L1761" i="13"/>
  <c r="L1803" i="13"/>
  <c r="L1956" i="13"/>
  <c r="L1844" i="13"/>
  <c r="L1846" i="13"/>
  <c r="L1967" i="13"/>
  <c r="L1795" i="13"/>
  <c r="L1979" i="13"/>
  <c r="L1974" i="13"/>
  <c r="L1924" i="13"/>
  <c r="L1741" i="13"/>
  <c r="L1866" i="13"/>
  <c r="L1869" i="13"/>
  <c r="L1972" i="13"/>
  <c r="L1882" i="13"/>
  <c r="L1932" i="13"/>
  <c r="L1756" i="13"/>
  <c r="L1791" i="13"/>
  <c r="L1822" i="13"/>
  <c r="L1836" i="13"/>
  <c r="L1870" i="13"/>
  <c r="L1888" i="13"/>
  <c r="L1899" i="13"/>
  <c r="L1898" i="13"/>
  <c r="L1906" i="13"/>
  <c r="L1922" i="13"/>
  <c r="L1792" i="13"/>
  <c r="L1904" i="13"/>
  <c r="L1934" i="13"/>
  <c r="L1893" i="13"/>
  <c r="L1759" i="13"/>
  <c r="L1911" i="13"/>
  <c r="L1963" i="13"/>
  <c r="L1763" i="13"/>
  <c r="L1787" i="13"/>
  <c r="L1831" i="13"/>
  <c r="L1936" i="13"/>
  <c r="L1945" i="13"/>
  <c r="L1744" i="13"/>
  <c r="L1775" i="13"/>
  <c r="L1796" i="13"/>
  <c r="L1829" i="13"/>
  <c r="L1840" i="13"/>
  <c r="L1862" i="13"/>
  <c r="L1878" i="13"/>
  <c r="L1839" i="13"/>
  <c r="L1860" i="13"/>
  <c r="L1764" i="13"/>
  <c r="L1943" i="13"/>
  <c r="L1958" i="13"/>
  <c r="L1808" i="13"/>
  <c r="L1875" i="13"/>
  <c r="L1765" i="13"/>
  <c r="L1811" i="13"/>
  <c r="L1884" i="13"/>
  <c r="L1841" i="13"/>
  <c r="L1820" i="13"/>
  <c r="L1926" i="13"/>
  <c r="L1940" i="13"/>
  <c r="L1951" i="13"/>
  <c r="L1877" i="13"/>
  <c r="L1786" i="13"/>
  <c r="L1800" i="13"/>
  <c r="L1766" i="13"/>
  <c r="L1749" i="13"/>
  <c r="L1752" i="13"/>
  <c r="L1858" i="13"/>
  <c r="L1954" i="13"/>
  <c r="L1747" i="13"/>
  <c r="L1905" i="13"/>
  <c r="L1872" i="13"/>
  <c r="O1818" i="13"/>
  <c r="O1833" i="13"/>
  <c r="O1923" i="13"/>
  <c r="O1871" i="13"/>
  <c r="U1871" i="13" s="1"/>
  <c r="O1880" i="13"/>
  <c r="O1868" i="13"/>
  <c r="O1885" i="13"/>
  <c r="O1879" i="13"/>
  <c r="O1806" i="13"/>
  <c r="O1897" i="13"/>
  <c r="O1900" i="13"/>
  <c r="O1936" i="13"/>
  <c r="O1878" i="13"/>
  <c r="O1842" i="13"/>
  <c r="O1761" i="13"/>
  <c r="O1956" i="13"/>
  <c r="O1790" i="13"/>
  <c r="O1917" i="13"/>
  <c r="U1917" i="13" s="1"/>
  <c r="O1872" i="13"/>
  <c r="O1980" i="13"/>
  <c r="O1801" i="13"/>
  <c r="O1945" i="13"/>
  <c r="O1771" i="13"/>
  <c r="O1747" i="13"/>
  <c r="O1930" i="13"/>
  <c r="O1773" i="13"/>
  <c r="O1766" i="13"/>
  <c r="O1884" i="13"/>
  <c r="O1819" i="13"/>
  <c r="O1978" i="13"/>
  <c r="O1916" i="13"/>
  <c r="O1904" i="13"/>
  <c r="O1891" i="13"/>
  <c r="O1894" i="13"/>
  <c r="O1760" i="13"/>
  <c r="O1907" i="13"/>
  <c r="O1982" i="13"/>
  <c r="O1889" i="13"/>
  <c r="O1847" i="13"/>
  <c r="O1895" i="13"/>
  <c r="O1937" i="13"/>
  <c r="O1805" i="13"/>
  <c r="O1862" i="13"/>
  <c r="O1810" i="13"/>
  <c r="O1813" i="13"/>
  <c r="O1957" i="13"/>
  <c r="O1910" i="13"/>
  <c r="O1748" i="13"/>
  <c r="O1858" i="13"/>
  <c r="O1829" i="13"/>
  <c r="O1973" i="13"/>
  <c r="O1753" i="13"/>
  <c r="O1782" i="13"/>
  <c r="O1795" i="13"/>
  <c r="O1861" i="13"/>
  <c r="O1938" i="13"/>
  <c r="O1836" i="13"/>
  <c r="I1917" i="13"/>
  <c r="O1762" i="13"/>
  <c r="I1871" i="13"/>
  <c r="O1870" i="13"/>
  <c r="O1931" i="13"/>
  <c r="O1922" i="13"/>
  <c r="O1822" i="13"/>
  <c r="O1849" i="13"/>
  <c r="O1977" i="13"/>
  <c r="O1777" i="13"/>
  <c r="O1856" i="13"/>
  <c r="O1830" i="13"/>
  <c r="O1948" i="13"/>
  <c r="O1828" i="13"/>
  <c r="O1823" i="13"/>
  <c r="O1786" i="13"/>
  <c r="O1837" i="13"/>
  <c r="O1873" i="13"/>
  <c r="O1933" i="13"/>
  <c r="O1952" i="13"/>
  <c r="O1926" i="13"/>
  <c r="O1844" i="13"/>
  <c r="O1976" i="13"/>
  <c r="O1799" i="13"/>
  <c r="O1835" i="13"/>
  <c r="O1924" i="13"/>
  <c r="O1794" i="13"/>
  <c r="O1890" i="13"/>
  <c r="O1821" i="13"/>
  <c r="O1742" i="13"/>
  <c r="O1881" i="13"/>
  <c r="O1780" i="13"/>
  <c r="O1901" i="13"/>
  <c r="O1863" i="13"/>
  <c r="O1932" i="13"/>
  <c r="O1913" i="13"/>
  <c r="O1848" i="13"/>
  <c r="O1953" i="13"/>
  <c r="O1832" i="13"/>
  <c r="O1981" i="13"/>
  <c r="O1838" i="13"/>
  <c r="O1914" i="13"/>
  <c r="O1769" i="13"/>
  <c r="O1853" i="13"/>
  <c r="O1775" i="13"/>
  <c r="O1825" i="13"/>
  <c r="O1934" i="13"/>
  <c r="O1839" i="13"/>
  <c r="O1814" i="13"/>
  <c r="O1811" i="13"/>
  <c r="O1883" i="13"/>
  <c r="O1954" i="13"/>
  <c r="O1755" i="13"/>
  <c r="O1850" i="13"/>
  <c r="O1827" i="13"/>
  <c r="O1915" i="13"/>
  <c r="O1970" i="13"/>
  <c r="O1774" i="13"/>
  <c r="O1812" i="13"/>
  <c r="O1859" i="13"/>
  <c r="O1886" i="13"/>
  <c r="O1935" i="13"/>
  <c r="O1972" i="13"/>
  <c r="O1781" i="13"/>
  <c r="O1946" i="13"/>
  <c r="O1919" i="13"/>
  <c r="O1764" i="13"/>
  <c r="O1817" i="13"/>
  <c r="O1906" i="13"/>
  <c r="O1939" i="13"/>
  <c r="O1912" i="13"/>
  <c r="O1768" i="13"/>
  <c r="O1841" i="13"/>
  <c r="O1875" i="13"/>
  <c r="O1831" i="13"/>
  <c r="O1788" i="13"/>
  <c r="O1776" i="13"/>
  <c r="O1846" i="13"/>
  <c r="O1804" i="13"/>
  <c r="O1757" i="13"/>
  <c r="O1877" i="13"/>
  <c r="O1876" i="13"/>
  <c r="O1752" i="13"/>
  <c r="O1927" i="13"/>
  <c r="O1943" i="13"/>
  <c r="O1950" i="13"/>
  <c r="O1803" i="13"/>
  <c r="O1793" i="13"/>
  <c r="O1975" i="13"/>
  <c r="O1929" i="13"/>
  <c r="O1815" i="13"/>
  <c r="O1820" i="13"/>
  <c r="O1860" i="13"/>
  <c r="O1767" i="13"/>
  <c r="O1949" i="13"/>
  <c r="O1899" i="13"/>
  <c r="O1744" i="13"/>
  <c r="O1857" i="13"/>
  <c r="O1966" i="13"/>
  <c r="O1851" i="13"/>
  <c r="O1959" i="13"/>
  <c r="O1791" i="13"/>
  <c r="O1944" i="13"/>
  <c r="O1798" i="13"/>
  <c r="O1928" i="13"/>
  <c r="O1745" i="13"/>
  <c r="O1882" i="13"/>
  <c r="O1947" i="13"/>
  <c r="O1921" i="13"/>
  <c r="O1749" i="13"/>
  <c r="O1869" i="13"/>
  <c r="O1902" i="13"/>
  <c r="O1951" i="13"/>
  <c r="O1809" i="13"/>
  <c r="O1765" i="13"/>
  <c r="O1903" i="13"/>
  <c r="O1920" i="13"/>
  <c r="O1967" i="13"/>
  <c r="O1968" i="13"/>
  <c r="O1816" i="13"/>
  <c r="O1852" i="13"/>
  <c r="O1892" i="13"/>
  <c r="O1834" i="13"/>
  <c r="O1983" i="13"/>
  <c r="O1866" i="13"/>
  <c r="O1925" i="13"/>
  <c r="O1751" i="13"/>
  <c r="O1779" i="13"/>
  <c r="O1750" i="13"/>
  <c r="O1759" i="13"/>
  <c r="O1741" i="13"/>
  <c r="O1971" i="13"/>
  <c r="O1864" i="13"/>
  <c r="O1787" i="13"/>
  <c r="O1855" i="13"/>
  <c r="O1792" i="13"/>
  <c r="O1758" i="13"/>
  <c r="O1974" i="13"/>
  <c r="O1874" i="13"/>
  <c r="O1840" i="13"/>
  <c r="O1942" i="13"/>
  <c r="O1961" i="13"/>
  <c r="O1800" i="13"/>
  <c r="O1896" i="13"/>
  <c r="O1772" i="13"/>
  <c r="O1958" i="13"/>
  <c r="O1867" i="13"/>
  <c r="O1940" i="13"/>
  <c r="O1754" i="13"/>
  <c r="O1770" i="13"/>
  <c r="O1785" i="13"/>
  <c r="O1743" i="13"/>
  <c r="O1979" i="13"/>
  <c r="O1783" i="13"/>
  <c r="O1807" i="13"/>
  <c r="O1893" i="13"/>
  <c r="O1965" i="13"/>
  <c r="O1808" i="13"/>
  <c r="O1898" i="13"/>
  <c r="O1963" i="13"/>
  <c r="O1789" i="13"/>
  <c r="O1955" i="13"/>
  <c r="O1964" i="13"/>
  <c r="O1969" i="13"/>
  <c r="O1909" i="13"/>
  <c r="O1962" i="13"/>
  <c r="O1802" i="13"/>
  <c r="O1888" i="13"/>
  <c r="O1911" i="13"/>
  <c r="O1824" i="13"/>
  <c r="O1854" i="13"/>
  <c r="O1865" i="13"/>
  <c r="O1908" i="13"/>
  <c r="O1756" i="13"/>
  <c r="O1918" i="13"/>
  <c r="O1746" i="13"/>
  <c r="O1905" i="13"/>
  <c r="O1960" i="13"/>
  <c r="O1887" i="13"/>
  <c r="O1796" i="13"/>
  <c r="O1778" i="13"/>
  <c r="O1797" i="13"/>
  <c r="O1941" i="13"/>
  <c r="O1784" i="13"/>
  <c r="O1763" i="13"/>
  <c r="O1843" i="13"/>
  <c r="O1826" i="13"/>
  <c r="O1845" i="13"/>
  <c r="M2485" i="13"/>
  <c r="S2485" i="13" s="1"/>
  <c r="M2517" i="13"/>
  <c r="M2631" i="13"/>
  <c r="M2499" i="13"/>
  <c r="M2654" i="13"/>
  <c r="M2639" i="13"/>
  <c r="M2545" i="13"/>
  <c r="M2511" i="13"/>
  <c r="M2536" i="13"/>
  <c r="M2579" i="13"/>
  <c r="M2615" i="13"/>
  <c r="M2712" i="13"/>
  <c r="M2611" i="13"/>
  <c r="M2556" i="13"/>
  <c r="M2626" i="13"/>
  <c r="M2678" i="13"/>
  <c r="M2570" i="13"/>
  <c r="M2630" i="13"/>
  <c r="M2608" i="13"/>
  <c r="M2562" i="13"/>
  <c r="M2591" i="13"/>
  <c r="M2548" i="13"/>
  <c r="M2692" i="13"/>
  <c r="M2642" i="13"/>
  <c r="M2618" i="13"/>
  <c r="M2610" i="13"/>
  <c r="M2572" i="13"/>
  <c r="M2566" i="13"/>
  <c r="M2532" i="13"/>
  <c r="M2680" i="13"/>
  <c r="M2685" i="13"/>
  <c r="M2492" i="13"/>
  <c r="M2695" i="13"/>
  <c r="M2558" i="13"/>
  <c r="M2667" i="13"/>
  <c r="M2573" i="13"/>
  <c r="M2658" i="13"/>
  <c r="M2686" i="13"/>
  <c r="M2640" i="13"/>
  <c r="M2539" i="13"/>
  <c r="M2493" i="13"/>
  <c r="M2721" i="13"/>
  <c r="M2636" i="13"/>
  <c r="M2711" i="13"/>
  <c r="M2646" i="13"/>
  <c r="M2694" i="13"/>
  <c r="M2648" i="13"/>
  <c r="M2613" i="13"/>
  <c r="M2592" i="13"/>
  <c r="M2500" i="13"/>
  <c r="M2490" i="13"/>
  <c r="M2679" i="13"/>
  <c r="M2681" i="13"/>
  <c r="M2706" i="13"/>
  <c r="M2660" i="13"/>
  <c r="M2582" i="13"/>
  <c r="M2625" i="13"/>
  <c r="M2651" i="13"/>
  <c r="M2523" i="13"/>
  <c r="M2502" i="13"/>
  <c r="M2716" i="13"/>
  <c r="M2590" i="13"/>
  <c r="M2709" i="13"/>
  <c r="M2715" i="13"/>
  <c r="M2624" i="13"/>
  <c r="M2653" i="13"/>
  <c r="M2585" i="13"/>
  <c r="M2543" i="13"/>
  <c r="M2487" i="13"/>
  <c r="M2530" i="13"/>
  <c r="M2723" i="13"/>
  <c r="M2705" i="13"/>
  <c r="M2703" i="13"/>
  <c r="M2649" i="13"/>
  <c r="M2581" i="13"/>
  <c r="M2603" i="13"/>
  <c r="M2535" i="13"/>
  <c r="M2526" i="13"/>
  <c r="M2683" i="13"/>
  <c r="M2664" i="13"/>
  <c r="M2655" i="13"/>
  <c r="M2561" i="13"/>
  <c r="M2506" i="13"/>
  <c r="M2722" i="13"/>
  <c r="M2641" i="13"/>
  <c r="M2614" i="13"/>
  <c r="M2602" i="13"/>
  <c r="M2559" i="13"/>
  <c r="M2542" i="13"/>
  <c r="M2665" i="13"/>
  <c r="M2580" i="13"/>
  <c r="M2555" i="13"/>
  <c r="M2717" i="13"/>
  <c r="M2727" i="13"/>
  <c r="M2661" i="13"/>
  <c r="M2576" i="13"/>
  <c r="M2593" i="13"/>
  <c r="M2551" i="13"/>
  <c r="M2538" i="13"/>
  <c r="M2707" i="13"/>
  <c r="M2674" i="13"/>
  <c r="M2638" i="13"/>
  <c r="M2690" i="13"/>
  <c r="M2644" i="13"/>
  <c r="M2673" i="13"/>
  <c r="M2609" i="13"/>
  <c r="M2605" i="13"/>
  <c r="M2541" i="13"/>
  <c r="M2497" i="13"/>
  <c r="M2486" i="13"/>
  <c r="M2691" i="13"/>
  <c r="M2693" i="13"/>
  <c r="M2718" i="13"/>
  <c r="M2672" i="13"/>
  <c r="M2637" i="13"/>
  <c r="M2663" i="13"/>
  <c r="M2569" i="13"/>
  <c r="M2696" i="13"/>
  <c r="M2687" i="13"/>
  <c r="M2689" i="13"/>
  <c r="M2714" i="13"/>
  <c r="M2633" i="13"/>
  <c r="M2659" i="13"/>
  <c r="M2546" i="13"/>
  <c r="M2565" i="13"/>
  <c r="M2587" i="13"/>
  <c r="M2531" i="13"/>
  <c r="M2521" i="13"/>
  <c r="M2510" i="13"/>
  <c r="M2710" i="13"/>
  <c r="M2629" i="13"/>
  <c r="M2527" i="13"/>
  <c r="M2697" i="13"/>
  <c r="M2612" i="13"/>
  <c r="M2578" i="13"/>
  <c r="M2518" i="13"/>
  <c r="M2725" i="13"/>
  <c r="M2669" i="13"/>
  <c r="M2601" i="13"/>
  <c r="M2503" i="13"/>
  <c r="M2682" i="13"/>
  <c r="M2586" i="13"/>
  <c r="M2597" i="13"/>
  <c r="M2708" i="13"/>
  <c r="M2699" i="13"/>
  <c r="M2701" i="13"/>
  <c r="M2726" i="13"/>
  <c r="M2645" i="13"/>
  <c r="M2671" i="13"/>
  <c r="M2594" i="13"/>
  <c r="M2577" i="13"/>
  <c r="M2599" i="13"/>
  <c r="M2533" i="13"/>
  <c r="M2522" i="13"/>
  <c r="M2713" i="13"/>
  <c r="M2719" i="13"/>
  <c r="M2666" i="13"/>
  <c r="M2628" i="13"/>
  <c r="M2657" i="13"/>
  <c r="M2554" i="13"/>
  <c r="M2619" i="13"/>
  <c r="M2589" i="13"/>
  <c r="M2547" i="13"/>
  <c r="M2491" i="13"/>
  <c r="M2534" i="13"/>
  <c r="M2684" i="13"/>
  <c r="M2675" i="13"/>
  <c r="M2677" i="13"/>
  <c r="M2621" i="13"/>
  <c r="M2600" i="13"/>
  <c r="M2553" i="13"/>
  <c r="M2519" i="13"/>
  <c r="M2509" i="13"/>
  <c r="M2498" i="13"/>
  <c r="M2698" i="13"/>
  <c r="M2550" i="13"/>
  <c r="M2617" i="13"/>
  <c r="M2596" i="13"/>
  <c r="M2516" i="13"/>
  <c r="M2571" i="13"/>
  <c r="M2494" i="13"/>
  <c r="M2598" i="13"/>
  <c r="M2583" i="13"/>
  <c r="M2529" i="13"/>
  <c r="M2520" i="13"/>
  <c r="M2676" i="13"/>
  <c r="M2567" i="13"/>
  <c r="M2501" i="13"/>
  <c r="M2688" i="13"/>
  <c r="M2604" i="13"/>
  <c r="M2568" i="13"/>
  <c r="M2607" i="13"/>
  <c r="M2634" i="13"/>
  <c r="M2524" i="13"/>
  <c r="M2537" i="13"/>
  <c r="M2622" i="13"/>
  <c r="M2584" i="13"/>
  <c r="M2724" i="13"/>
  <c r="M2632" i="13"/>
  <c r="M2623" i="13"/>
  <c r="M2504" i="13"/>
  <c r="M2588" i="13"/>
  <c r="M2563" i="13"/>
  <c r="M2552" i="13"/>
  <c r="M2496" i="13"/>
  <c r="M2514" i="13"/>
  <c r="M2606" i="13"/>
  <c r="M2544" i="13"/>
  <c r="M2560" i="13"/>
  <c r="M2528" i="13"/>
  <c r="M2488" i="13"/>
  <c r="M2656" i="13"/>
  <c r="M2575" i="13"/>
  <c r="M2670" i="13"/>
  <c r="M2652" i="13"/>
  <c r="M2515" i="13"/>
  <c r="M2627" i="13"/>
  <c r="M2508" i="13"/>
  <c r="M2557" i="13"/>
  <c r="M2513" i="13"/>
  <c r="M2650" i="13"/>
  <c r="M2540" i="13"/>
  <c r="M2620" i="13"/>
  <c r="M2564" i="13"/>
  <c r="M2512" i="13"/>
  <c r="M2574" i="13"/>
  <c r="M2495" i="13"/>
  <c r="M2635" i="13"/>
  <c r="M2507" i="13"/>
  <c r="M2700" i="13"/>
  <c r="M2525" i="13"/>
  <c r="M2668" i="13"/>
  <c r="M2704" i="13"/>
  <c r="M2595" i="13"/>
  <c r="M2489" i="13"/>
  <c r="M2616" i="13"/>
  <c r="M2720" i="13"/>
  <c r="M2702" i="13"/>
  <c r="M2647" i="13"/>
  <c r="M2662" i="13"/>
  <c r="M2643" i="13"/>
  <c r="M2549" i="13"/>
  <c r="M2505" i="13"/>
  <c r="N2485" i="13"/>
  <c r="T2485" i="13" s="1"/>
  <c r="N2573" i="13"/>
  <c r="N2686" i="13"/>
  <c r="N2721" i="13"/>
  <c r="N2648" i="13"/>
  <c r="N2490" i="13"/>
  <c r="N2681" i="13"/>
  <c r="N2660" i="13"/>
  <c r="N2651" i="13"/>
  <c r="N2502" i="13"/>
  <c r="N2709" i="13"/>
  <c r="N2624" i="13"/>
  <c r="N2543" i="13"/>
  <c r="N2703" i="13"/>
  <c r="N2649" i="13"/>
  <c r="N2603" i="13"/>
  <c r="N2526" i="13"/>
  <c r="N2655" i="13"/>
  <c r="N2506" i="13"/>
  <c r="N2614" i="13"/>
  <c r="N2559" i="13"/>
  <c r="N2542" i="13"/>
  <c r="N2580" i="13"/>
  <c r="N2593" i="13"/>
  <c r="N2551" i="13"/>
  <c r="N2707" i="13"/>
  <c r="N2673" i="13"/>
  <c r="N2541" i="13"/>
  <c r="N2486" i="13"/>
  <c r="N2693" i="13"/>
  <c r="N2696" i="13"/>
  <c r="N2714" i="13"/>
  <c r="N2633" i="13"/>
  <c r="N2531" i="13"/>
  <c r="N2527" i="13"/>
  <c r="N2612" i="13"/>
  <c r="N2518" i="13"/>
  <c r="N2669" i="13"/>
  <c r="N2597" i="13"/>
  <c r="N2699" i="13"/>
  <c r="N2671" i="13"/>
  <c r="N2577" i="13"/>
  <c r="N2533" i="13"/>
  <c r="N2719" i="13"/>
  <c r="N2657" i="13"/>
  <c r="N2547" i="13"/>
  <c r="N2684" i="13"/>
  <c r="N2519" i="13"/>
  <c r="N2698" i="13"/>
  <c r="N2550" i="13"/>
  <c r="N2596" i="13"/>
  <c r="N2571" i="13"/>
  <c r="N2494" i="13"/>
  <c r="N2598" i="13"/>
  <c r="N2583" i="13"/>
  <c r="N2517" i="13"/>
  <c r="N2529" i="13"/>
  <c r="N2631" i="13"/>
  <c r="N2627" i="13"/>
  <c r="N2520" i="13"/>
  <c r="N2499" i="13"/>
  <c r="N2676" i="13"/>
  <c r="N2654" i="13"/>
  <c r="N2508" i="13"/>
  <c r="N2639" i="13"/>
  <c r="N2545" i="13"/>
  <c r="N2567" i="13"/>
  <c r="N2511" i="13"/>
  <c r="N2501" i="13"/>
  <c r="N2688" i="13"/>
  <c r="N2604" i="13"/>
  <c r="N2536" i="13"/>
  <c r="N2557" i="13"/>
  <c r="N2579" i="13"/>
  <c r="N2513" i="13"/>
  <c r="N2650" i="13"/>
  <c r="N2540" i="13"/>
  <c r="N2615" i="13"/>
  <c r="N2568" i="13"/>
  <c r="N2607" i="13"/>
  <c r="N2712" i="13"/>
  <c r="N2634" i="13"/>
  <c r="N2620" i="13"/>
  <c r="N2524" i="13"/>
  <c r="N2611" i="13"/>
  <c r="N2564" i="13"/>
  <c r="N2537" i="13"/>
  <c r="N2556" i="13"/>
  <c r="N2512" i="13"/>
  <c r="N2622" i="13"/>
  <c r="N2584" i="13"/>
  <c r="N2574" i="13"/>
  <c r="N2724" i="13"/>
  <c r="N2626" i="13"/>
  <c r="N2678" i="13"/>
  <c r="N2632" i="13"/>
  <c r="N2570" i="13"/>
  <c r="N2623" i="13"/>
  <c r="N2504" i="13"/>
  <c r="N2495" i="13"/>
  <c r="N2630" i="13"/>
  <c r="N2635" i="13"/>
  <c r="N2588" i="13"/>
  <c r="N2563" i="13"/>
  <c r="N2507" i="13"/>
  <c r="N2700" i="13"/>
  <c r="N2608" i="13"/>
  <c r="N2562" i="13"/>
  <c r="N2552" i="13"/>
  <c r="N2591" i="13"/>
  <c r="N2496" i="13"/>
  <c r="N2525" i="13"/>
  <c r="N2514" i="13"/>
  <c r="N2668" i="13"/>
  <c r="N2606" i="13"/>
  <c r="N2548" i="13"/>
  <c r="N2692" i="13"/>
  <c r="N2544" i="13"/>
  <c r="N2704" i="13"/>
  <c r="N2595" i="13"/>
  <c r="N2642" i="13"/>
  <c r="N2489" i="13"/>
  <c r="N2618" i="13"/>
  <c r="N2616" i="13"/>
  <c r="N2560" i="13"/>
  <c r="N2528" i="13"/>
  <c r="N2720" i="13"/>
  <c r="N2610" i="13"/>
  <c r="N2572" i="13"/>
  <c r="N2488" i="13"/>
  <c r="N2702" i="13"/>
  <c r="N2656" i="13"/>
  <c r="N2566" i="13"/>
  <c r="N2647" i="13"/>
  <c r="N2532" i="13"/>
  <c r="N2575" i="13"/>
  <c r="N2680" i="13"/>
  <c r="N2670" i="13"/>
  <c r="N2662" i="13"/>
  <c r="N2652" i="13"/>
  <c r="N2643" i="13"/>
  <c r="N2549" i="13"/>
  <c r="N2515" i="13"/>
  <c r="N2505" i="13"/>
  <c r="N2685" i="13"/>
  <c r="N2492" i="13"/>
  <c r="N2695" i="13"/>
  <c r="N2667" i="13"/>
  <c r="N2640" i="13"/>
  <c r="N2539" i="13"/>
  <c r="N2636" i="13"/>
  <c r="N2694" i="13"/>
  <c r="N2613" i="13"/>
  <c r="N2500" i="13"/>
  <c r="N2706" i="13"/>
  <c r="N2582" i="13"/>
  <c r="N2523" i="13"/>
  <c r="N2716" i="13"/>
  <c r="N2715" i="13"/>
  <c r="N2653" i="13"/>
  <c r="N2530" i="13"/>
  <c r="N2705" i="13"/>
  <c r="N2581" i="13"/>
  <c r="N2664" i="13"/>
  <c r="N2561" i="13"/>
  <c r="N2641" i="13"/>
  <c r="N2665" i="13"/>
  <c r="N2717" i="13"/>
  <c r="N2538" i="13"/>
  <c r="N2638" i="13"/>
  <c r="N2644" i="13"/>
  <c r="N2609" i="13"/>
  <c r="N2497" i="13"/>
  <c r="N2691" i="13"/>
  <c r="N2672" i="13"/>
  <c r="N2663" i="13"/>
  <c r="N2689" i="13"/>
  <c r="N2659" i="13"/>
  <c r="N2565" i="13"/>
  <c r="N2521" i="13"/>
  <c r="N2710" i="13"/>
  <c r="N2697" i="13"/>
  <c r="N2578" i="13"/>
  <c r="N2725" i="13"/>
  <c r="N2503" i="13"/>
  <c r="N2586" i="13"/>
  <c r="N2708" i="13"/>
  <c r="N2726" i="13"/>
  <c r="N2645" i="13"/>
  <c r="N2522" i="13"/>
  <c r="N2713" i="13"/>
  <c r="N2628" i="13"/>
  <c r="N2619" i="13"/>
  <c r="N2534" i="13"/>
  <c r="N2677" i="13"/>
  <c r="N2621" i="13"/>
  <c r="N2600" i="13"/>
  <c r="N2509" i="13"/>
  <c r="N2617" i="13"/>
  <c r="N2516" i="13"/>
  <c r="N2558" i="13"/>
  <c r="N2658" i="13"/>
  <c r="N2493" i="13"/>
  <c r="N2711" i="13"/>
  <c r="N2646" i="13"/>
  <c r="N2592" i="13"/>
  <c r="N2679" i="13"/>
  <c r="N2625" i="13"/>
  <c r="N2590" i="13"/>
  <c r="N2585" i="13"/>
  <c r="N2487" i="13"/>
  <c r="N2723" i="13"/>
  <c r="N2535" i="13"/>
  <c r="N2683" i="13"/>
  <c r="N2722" i="13"/>
  <c r="N2602" i="13"/>
  <c r="N2555" i="13"/>
  <c r="N2727" i="13"/>
  <c r="N2661" i="13"/>
  <c r="N2576" i="13"/>
  <c r="N2674" i="13"/>
  <c r="N2690" i="13"/>
  <c r="N2605" i="13"/>
  <c r="N2718" i="13"/>
  <c r="N2637" i="13"/>
  <c r="N2569" i="13"/>
  <c r="N2687" i="13"/>
  <c r="N2546" i="13"/>
  <c r="N2587" i="13"/>
  <c r="N2510" i="13"/>
  <c r="N2629" i="13"/>
  <c r="N2601" i="13"/>
  <c r="N2682" i="13"/>
  <c r="N2701" i="13"/>
  <c r="N2594" i="13"/>
  <c r="N2599" i="13"/>
  <c r="N2666" i="13"/>
  <c r="N2554" i="13"/>
  <c r="N2589" i="13"/>
  <c r="N2491" i="13"/>
  <c r="N2675" i="13"/>
  <c r="N2553" i="13"/>
  <c r="N2498" i="13"/>
  <c r="K2485" i="13"/>
  <c r="K2685" i="13"/>
  <c r="K2598" i="13"/>
  <c r="K2492" i="13"/>
  <c r="K2583" i="13"/>
  <c r="K2517" i="13"/>
  <c r="K2695" i="13"/>
  <c r="K2558" i="13"/>
  <c r="K2667" i="13"/>
  <c r="K2573" i="13"/>
  <c r="K2529" i="13"/>
  <c r="K2658" i="13"/>
  <c r="K2686" i="13"/>
  <c r="K2640" i="13"/>
  <c r="K2631" i="13"/>
  <c r="K2539" i="13"/>
  <c r="K2493" i="13"/>
  <c r="K2721" i="13"/>
  <c r="K2636" i="13"/>
  <c r="K2627" i="13"/>
  <c r="K2520" i="13"/>
  <c r="K2499" i="13"/>
  <c r="K2711" i="13"/>
  <c r="K2676" i="13"/>
  <c r="K2654" i="13"/>
  <c r="K2646" i="13"/>
  <c r="K2694" i="13"/>
  <c r="K2648" i="13"/>
  <c r="K2508" i="13"/>
  <c r="K2613" i="13"/>
  <c r="K2639" i="13"/>
  <c r="K2592" i="13"/>
  <c r="K2500" i="13"/>
  <c r="K2545" i="13"/>
  <c r="K2567" i="13"/>
  <c r="K2511" i="13"/>
  <c r="K2501" i="13"/>
  <c r="K2490" i="13"/>
  <c r="K2688" i="13"/>
  <c r="K2679" i="13"/>
  <c r="K2681" i="13"/>
  <c r="K2706" i="13"/>
  <c r="K2660" i="13"/>
  <c r="K2582" i="13"/>
  <c r="K2625" i="13"/>
  <c r="K2651" i="13"/>
  <c r="K2604" i="13"/>
  <c r="K2536" i="13"/>
  <c r="K2557" i="13"/>
  <c r="K2579" i="13"/>
  <c r="K2523" i="13"/>
  <c r="K2513" i="13"/>
  <c r="K2502" i="13"/>
  <c r="K2716" i="13"/>
  <c r="K2590" i="13"/>
  <c r="K2709" i="13"/>
  <c r="K2715" i="13"/>
  <c r="K2650" i="13"/>
  <c r="K2624" i="13"/>
  <c r="K2653" i="13"/>
  <c r="K2540" i="13"/>
  <c r="K2615" i="13"/>
  <c r="K2568" i="13"/>
  <c r="K2585" i="13"/>
  <c r="K2607" i="13"/>
  <c r="K2543" i="13"/>
  <c r="K2487" i="13"/>
  <c r="K2530" i="13"/>
  <c r="K2712" i="13"/>
  <c r="K2723" i="13"/>
  <c r="K2705" i="13"/>
  <c r="K2703" i="13"/>
  <c r="K2634" i="13"/>
  <c r="K2620" i="13"/>
  <c r="K2649" i="13"/>
  <c r="K2524" i="13"/>
  <c r="K2611" i="13"/>
  <c r="K2564" i="13"/>
  <c r="K2581" i="13"/>
  <c r="K2603" i="13"/>
  <c r="K2535" i="13"/>
  <c r="K2537" i="13"/>
  <c r="K2526" i="13"/>
  <c r="K2683" i="13"/>
  <c r="K2664" i="13"/>
  <c r="K2655" i="13"/>
  <c r="K2561" i="13"/>
  <c r="K2506" i="13"/>
  <c r="K2722" i="13"/>
  <c r="K2641" i="13"/>
  <c r="K2556" i="13"/>
  <c r="K2512" i="13"/>
  <c r="K2622" i="13"/>
  <c r="K2614" i="13"/>
  <c r="K2602" i="13"/>
  <c r="K2584" i="13"/>
  <c r="K2559" i="13"/>
  <c r="K2574" i="13"/>
  <c r="K2542" i="13"/>
  <c r="K2665" i="13"/>
  <c r="K2580" i="13"/>
  <c r="K2555" i="13"/>
  <c r="K2724" i="13"/>
  <c r="K2626" i="13"/>
  <c r="K2717" i="13"/>
  <c r="K2727" i="13"/>
  <c r="K2678" i="13"/>
  <c r="K2632" i="13"/>
  <c r="K2661" i="13"/>
  <c r="K2570" i="13"/>
  <c r="K2623" i="13"/>
  <c r="K2576" i="13"/>
  <c r="K2593" i="13"/>
  <c r="K2504" i="13"/>
  <c r="K2551" i="13"/>
  <c r="K2495" i="13"/>
  <c r="K2538" i="13"/>
  <c r="K2707" i="13"/>
  <c r="K2674" i="13"/>
  <c r="K2638" i="13"/>
  <c r="K2630" i="13"/>
  <c r="K2690" i="13"/>
  <c r="K2644" i="13"/>
  <c r="K2673" i="13"/>
  <c r="K2609" i="13"/>
  <c r="K2635" i="13"/>
  <c r="K2588" i="13"/>
  <c r="K2605" i="13"/>
  <c r="K2541" i="13"/>
  <c r="K2563" i="13"/>
  <c r="K2507" i="13"/>
  <c r="K2497" i="13"/>
  <c r="K2486" i="13"/>
  <c r="K2700" i="13"/>
  <c r="K2691" i="13"/>
  <c r="K2693" i="13"/>
  <c r="K2718" i="13"/>
  <c r="K2672" i="13"/>
  <c r="K2608" i="13"/>
  <c r="K2637" i="13"/>
  <c r="K2663" i="13"/>
  <c r="K2562" i="13"/>
  <c r="K2552" i="13"/>
  <c r="K2569" i="13"/>
  <c r="K2591" i="13"/>
  <c r="K2496" i="13"/>
  <c r="K2525" i="13"/>
  <c r="K2514" i="13"/>
  <c r="K2696" i="13"/>
  <c r="K2687" i="13"/>
  <c r="K2689" i="13"/>
  <c r="K2714" i="13"/>
  <c r="K2668" i="13"/>
  <c r="K2606" i="13"/>
  <c r="K2633" i="13"/>
  <c r="K2659" i="13"/>
  <c r="K2546" i="13"/>
  <c r="K2548" i="13"/>
  <c r="K2565" i="13"/>
  <c r="K2587" i="13"/>
  <c r="K2531" i="13"/>
  <c r="K2521" i="13"/>
  <c r="K2510" i="13"/>
  <c r="K2692" i="13"/>
  <c r="K2710" i="13"/>
  <c r="K2629" i="13"/>
  <c r="K2544" i="13"/>
  <c r="K2527" i="13"/>
  <c r="K2704" i="13"/>
  <c r="K2697" i="13"/>
  <c r="K2612" i="13"/>
  <c r="K2578" i="13"/>
  <c r="K2595" i="13"/>
  <c r="K2518" i="13"/>
  <c r="K2725" i="13"/>
  <c r="K2669" i="13"/>
  <c r="K2601" i="13"/>
  <c r="K2503" i="13"/>
  <c r="K2642" i="13"/>
  <c r="K2682" i="13"/>
  <c r="K2586" i="13"/>
  <c r="K2597" i="13"/>
  <c r="K2489" i="13"/>
  <c r="K2708" i="13"/>
  <c r="K2699" i="13"/>
  <c r="K2701" i="13"/>
  <c r="K2726" i="13"/>
  <c r="K2618" i="13"/>
  <c r="K2616" i="13"/>
  <c r="K2645" i="13"/>
  <c r="K2671" i="13"/>
  <c r="K2594" i="13"/>
  <c r="K2560" i="13"/>
  <c r="K2577" i="13"/>
  <c r="K2599" i="13"/>
  <c r="K2528" i="13"/>
  <c r="K2533" i="13"/>
  <c r="K2522" i="13"/>
  <c r="K2720" i="13"/>
  <c r="K2610" i="13"/>
  <c r="K2713" i="13"/>
  <c r="K2719" i="13"/>
  <c r="K2666" i="13"/>
  <c r="K2628" i="13"/>
  <c r="K2657" i="13"/>
  <c r="K2554" i="13"/>
  <c r="K2619" i="13"/>
  <c r="K2572" i="13"/>
  <c r="K2589" i="13"/>
  <c r="K2488" i="13"/>
  <c r="K2547" i="13"/>
  <c r="K2491" i="13"/>
  <c r="K2534" i="13"/>
  <c r="K2684" i="13"/>
  <c r="K2675" i="13"/>
  <c r="K2677" i="13"/>
  <c r="K2702" i="13"/>
  <c r="K2656" i="13"/>
  <c r="K2566" i="13"/>
  <c r="K2621" i="13"/>
  <c r="K2647" i="13"/>
  <c r="K2600" i="13"/>
  <c r="K2532" i="13"/>
  <c r="K2553" i="13"/>
  <c r="K2575" i="13"/>
  <c r="K2519" i="13"/>
  <c r="K2509" i="13"/>
  <c r="K2498" i="13"/>
  <c r="K2680" i="13"/>
  <c r="K2670" i="13"/>
  <c r="K2662" i="13"/>
  <c r="K2698" i="13"/>
  <c r="K2652" i="13"/>
  <c r="K2550" i="13"/>
  <c r="K2617" i="13"/>
  <c r="K2643" i="13"/>
  <c r="K2596" i="13"/>
  <c r="K2516" i="13"/>
  <c r="K2549" i="13"/>
  <c r="K2571" i="13"/>
  <c r="K2515" i="13"/>
  <c r="K2505" i="13"/>
  <c r="K2494" i="13"/>
  <c r="L2485" i="13"/>
  <c r="L2685" i="13"/>
  <c r="L2598" i="13"/>
  <c r="L2492" i="13"/>
  <c r="L2583" i="13"/>
  <c r="L2517" i="13"/>
  <c r="L2695" i="13"/>
  <c r="L2558" i="13"/>
  <c r="L2667" i="13"/>
  <c r="L2573" i="13"/>
  <c r="L2529" i="13"/>
  <c r="L2658" i="13"/>
  <c r="L2686" i="13"/>
  <c r="L2640" i="13"/>
  <c r="L2631" i="13"/>
  <c r="L2539" i="13"/>
  <c r="L2493" i="13"/>
  <c r="L2721" i="13"/>
  <c r="L2636" i="13"/>
  <c r="L2627" i="13"/>
  <c r="L2520" i="13"/>
  <c r="L2499" i="13"/>
  <c r="L2711" i="13"/>
  <c r="L2676" i="13"/>
  <c r="L2654" i="13"/>
  <c r="L2646" i="13"/>
  <c r="L2694" i="13"/>
  <c r="L2648" i="13"/>
  <c r="L2508" i="13"/>
  <c r="L2613" i="13"/>
  <c r="L2639" i="13"/>
  <c r="L2592" i="13"/>
  <c r="L2500" i="13"/>
  <c r="L2545" i="13"/>
  <c r="L2567" i="13"/>
  <c r="L2511" i="13"/>
  <c r="L2501" i="13"/>
  <c r="L2490" i="13"/>
  <c r="L2688" i="13"/>
  <c r="L2679" i="13"/>
  <c r="L2681" i="13"/>
  <c r="L2706" i="13"/>
  <c r="L2660" i="13"/>
  <c r="L2582" i="13"/>
  <c r="L2625" i="13"/>
  <c r="L2651" i="13"/>
  <c r="L2604" i="13"/>
  <c r="L2536" i="13"/>
  <c r="L2557" i="13"/>
  <c r="L2579" i="13"/>
  <c r="L2523" i="13"/>
  <c r="L2513" i="13"/>
  <c r="L2502" i="13"/>
  <c r="L2716" i="13"/>
  <c r="L2590" i="13"/>
  <c r="L2709" i="13"/>
  <c r="L2715" i="13"/>
  <c r="L2650" i="13"/>
  <c r="L2624" i="13"/>
  <c r="L2653" i="13"/>
  <c r="L2540" i="13"/>
  <c r="L2615" i="13"/>
  <c r="L2568" i="13"/>
  <c r="L2585" i="13"/>
  <c r="L2607" i="13"/>
  <c r="L2543" i="13"/>
  <c r="L2487" i="13"/>
  <c r="L2530" i="13"/>
  <c r="L2712" i="13"/>
  <c r="L2723" i="13"/>
  <c r="L2705" i="13"/>
  <c r="L2703" i="13"/>
  <c r="L2634" i="13"/>
  <c r="L2620" i="13"/>
  <c r="L2649" i="13"/>
  <c r="L2524" i="13"/>
  <c r="L2611" i="13"/>
  <c r="L2564" i="13"/>
  <c r="L2581" i="13"/>
  <c r="L2603" i="13"/>
  <c r="L2535" i="13"/>
  <c r="L2537" i="13"/>
  <c r="L2526" i="13"/>
  <c r="L2683" i="13"/>
  <c r="L2664" i="13"/>
  <c r="L2655" i="13"/>
  <c r="L2561" i="13"/>
  <c r="L2506" i="13"/>
  <c r="L2722" i="13"/>
  <c r="L2641" i="13"/>
  <c r="L2556" i="13"/>
  <c r="L2512" i="13"/>
  <c r="L2622" i="13"/>
  <c r="L2614" i="13"/>
  <c r="L2602" i="13"/>
  <c r="L2584" i="13"/>
  <c r="L2559" i="13"/>
  <c r="L2574" i="13"/>
  <c r="L2542" i="13"/>
  <c r="L2665" i="13"/>
  <c r="L2580" i="13"/>
  <c r="L2555" i="13"/>
  <c r="L2724" i="13"/>
  <c r="L2626" i="13"/>
  <c r="L2717" i="13"/>
  <c r="L2727" i="13"/>
  <c r="L2678" i="13"/>
  <c r="L2632" i="13"/>
  <c r="L2661" i="13"/>
  <c r="L2570" i="13"/>
  <c r="L2623" i="13"/>
  <c r="L2576" i="13"/>
  <c r="L2593" i="13"/>
  <c r="L2504" i="13"/>
  <c r="L2551" i="13"/>
  <c r="L2495" i="13"/>
  <c r="L2538" i="13"/>
  <c r="L2707" i="13"/>
  <c r="L2674" i="13"/>
  <c r="L2638" i="13"/>
  <c r="L2630" i="13"/>
  <c r="L2690" i="13"/>
  <c r="L2644" i="13"/>
  <c r="L2673" i="13"/>
  <c r="L2609" i="13"/>
  <c r="L2635" i="13"/>
  <c r="L2588" i="13"/>
  <c r="L2605" i="13"/>
  <c r="L2541" i="13"/>
  <c r="L2563" i="13"/>
  <c r="L2507" i="13"/>
  <c r="L2497" i="13"/>
  <c r="L2486" i="13"/>
  <c r="L2700" i="13"/>
  <c r="L2691" i="13"/>
  <c r="L2693" i="13"/>
  <c r="L2718" i="13"/>
  <c r="L2672" i="13"/>
  <c r="L2608" i="13"/>
  <c r="L2637" i="13"/>
  <c r="L2663" i="13"/>
  <c r="L2562" i="13"/>
  <c r="L2552" i="13"/>
  <c r="L2569" i="13"/>
  <c r="L2591" i="13"/>
  <c r="L2496" i="13"/>
  <c r="L2525" i="13"/>
  <c r="L2514" i="13"/>
  <c r="L2696" i="13"/>
  <c r="L2687" i="13"/>
  <c r="L2689" i="13"/>
  <c r="L2714" i="13"/>
  <c r="L2668" i="13"/>
  <c r="L2606" i="13"/>
  <c r="L2633" i="13"/>
  <c r="L2659" i="13"/>
  <c r="L2546" i="13"/>
  <c r="L2548" i="13"/>
  <c r="L2565" i="13"/>
  <c r="L2587" i="13"/>
  <c r="L2531" i="13"/>
  <c r="L2521" i="13"/>
  <c r="L2510" i="13"/>
  <c r="L2692" i="13"/>
  <c r="L2710" i="13"/>
  <c r="L2629" i="13"/>
  <c r="L2544" i="13"/>
  <c r="L2527" i="13"/>
  <c r="L2704" i="13"/>
  <c r="L2697" i="13"/>
  <c r="L2612" i="13"/>
  <c r="L2578" i="13"/>
  <c r="L2595" i="13"/>
  <c r="L2518" i="13"/>
  <c r="L2725" i="13"/>
  <c r="L2669" i="13"/>
  <c r="L2601" i="13"/>
  <c r="L2503" i="13"/>
  <c r="L2642" i="13"/>
  <c r="L2682" i="13"/>
  <c r="L2586" i="13"/>
  <c r="L2597" i="13"/>
  <c r="L2489" i="13"/>
  <c r="L2708" i="13"/>
  <c r="L2699" i="13"/>
  <c r="L2701" i="13"/>
  <c r="L2726" i="13"/>
  <c r="L2618" i="13"/>
  <c r="L2616" i="13"/>
  <c r="L2645" i="13"/>
  <c r="L2671" i="13"/>
  <c r="L2594" i="13"/>
  <c r="L2560" i="13"/>
  <c r="L2577" i="13"/>
  <c r="L2599" i="13"/>
  <c r="L2528" i="13"/>
  <c r="L2533" i="13"/>
  <c r="L2522" i="13"/>
  <c r="L2720" i="13"/>
  <c r="L2610" i="13"/>
  <c r="L2713" i="13"/>
  <c r="L2719" i="13"/>
  <c r="L2666" i="13"/>
  <c r="L2628" i="13"/>
  <c r="L2657" i="13"/>
  <c r="L2554" i="13"/>
  <c r="L2619" i="13"/>
  <c r="L2572" i="13"/>
  <c r="L2589" i="13"/>
  <c r="L2488" i="13"/>
  <c r="L2547" i="13"/>
  <c r="L2491" i="13"/>
  <c r="L2534" i="13"/>
  <c r="L2684" i="13"/>
  <c r="L2675" i="13"/>
  <c r="L2677" i="13"/>
  <c r="L2702" i="13"/>
  <c r="L2656" i="13"/>
  <c r="L2566" i="13"/>
  <c r="L2621" i="13"/>
  <c r="L2647" i="13"/>
  <c r="L2600" i="13"/>
  <c r="L2532" i="13"/>
  <c r="L2553" i="13"/>
  <c r="L2575" i="13"/>
  <c r="L2519" i="13"/>
  <c r="L2509" i="13"/>
  <c r="L2498" i="13"/>
  <c r="L2680" i="13"/>
  <c r="L2670" i="13"/>
  <c r="L2662" i="13"/>
  <c r="L2698" i="13"/>
  <c r="L2652" i="13"/>
  <c r="L2550" i="13"/>
  <c r="L2617" i="13"/>
  <c r="L2643" i="13"/>
  <c r="L2596" i="13"/>
  <c r="L2516" i="13"/>
  <c r="L2549" i="13"/>
  <c r="L2571" i="13"/>
  <c r="L2515" i="13"/>
  <c r="L2505" i="13"/>
  <c r="L2494" i="13"/>
  <c r="O2726" i="13"/>
  <c r="O2671" i="13"/>
  <c r="O2599" i="13"/>
  <c r="O2720" i="13"/>
  <c r="O2666" i="13"/>
  <c r="U2666" i="13" s="1"/>
  <c r="O2619" i="13"/>
  <c r="U2619" i="13" s="1"/>
  <c r="O2547" i="13"/>
  <c r="O2675" i="13"/>
  <c r="O2566" i="13"/>
  <c r="O2532" i="13"/>
  <c r="O2509" i="13"/>
  <c r="O2662" i="13"/>
  <c r="O2617" i="13"/>
  <c r="O2549" i="13"/>
  <c r="O2494" i="13"/>
  <c r="O2708" i="13"/>
  <c r="U2708" i="13" s="1"/>
  <c r="O2618" i="13"/>
  <c r="O2594" i="13"/>
  <c r="O2528" i="13"/>
  <c r="O2610" i="13"/>
  <c r="O2628" i="13"/>
  <c r="O2572" i="13"/>
  <c r="O2491" i="13"/>
  <c r="O2677" i="13"/>
  <c r="O2621" i="13"/>
  <c r="O2553" i="13"/>
  <c r="O2498" i="13"/>
  <c r="O2698" i="13"/>
  <c r="O2643" i="13"/>
  <c r="O2571" i="13"/>
  <c r="O2701" i="13"/>
  <c r="O2645" i="13"/>
  <c r="O2577" i="13"/>
  <c r="O2522" i="13"/>
  <c r="O2719" i="13"/>
  <c r="O2554" i="13"/>
  <c r="O2488" i="13"/>
  <c r="O2684" i="13"/>
  <c r="O2656" i="13"/>
  <c r="O2600" i="13"/>
  <c r="O2519" i="13"/>
  <c r="O2670" i="13"/>
  <c r="O2550" i="13"/>
  <c r="O2516" i="13"/>
  <c r="O2505" i="13"/>
  <c r="O2485" i="13"/>
  <c r="O2560" i="13"/>
  <c r="O2589" i="13"/>
  <c r="O2575" i="13"/>
  <c r="O2515" i="13"/>
  <c r="O2533" i="13"/>
  <c r="O2534" i="13"/>
  <c r="O2680" i="13"/>
  <c r="O2616" i="13"/>
  <c r="O2657" i="13"/>
  <c r="O2647" i="13"/>
  <c r="O2596" i="13"/>
  <c r="O2702" i="13"/>
  <c r="O2685" i="13"/>
  <c r="O2629" i="13"/>
  <c r="O2561" i="13"/>
  <c r="O2506" i="13"/>
  <c r="O2722" i="13"/>
  <c r="O2667" i="13"/>
  <c r="O2595" i="13"/>
  <c r="O2622" i="13"/>
  <c r="O2686" i="13"/>
  <c r="O2631" i="13"/>
  <c r="O2559" i="13"/>
  <c r="O2642" i="13"/>
  <c r="O2636" i="13"/>
  <c r="O2580" i="13"/>
  <c r="O2499" i="13"/>
  <c r="O2676" i="13"/>
  <c r="O2648" i="13"/>
  <c r="O2592" i="13"/>
  <c r="O2511" i="13"/>
  <c r="O2679" i="13"/>
  <c r="O2582" i="13"/>
  <c r="O2536" i="13"/>
  <c r="O2513" i="13"/>
  <c r="O2709" i="13"/>
  <c r="O2653" i="13"/>
  <c r="O2585" i="13"/>
  <c r="O2530" i="13"/>
  <c r="O2703" i="13"/>
  <c r="O2524" i="13"/>
  <c r="O2603" i="13"/>
  <c r="O2724" i="13"/>
  <c r="O2678" i="13"/>
  <c r="O2623" i="13"/>
  <c r="O2551" i="13"/>
  <c r="O2674" i="13"/>
  <c r="O2644" i="13"/>
  <c r="O2588" i="13"/>
  <c r="O2507" i="13"/>
  <c r="O2691" i="13"/>
  <c r="O2608" i="13"/>
  <c r="O2552" i="13"/>
  <c r="O2525" i="13"/>
  <c r="O2689" i="13"/>
  <c r="O2633" i="13"/>
  <c r="O2565" i="13"/>
  <c r="O2510" i="13"/>
  <c r="O2652" i="13"/>
  <c r="O2710" i="13"/>
  <c r="O2655" i="13"/>
  <c r="O2583" i="13"/>
  <c r="O2704" i="13"/>
  <c r="O2558" i="13"/>
  <c r="O2578" i="13"/>
  <c r="O2512" i="13"/>
  <c r="O2658" i="13"/>
  <c r="O2640" i="13"/>
  <c r="O2584" i="13"/>
  <c r="O2503" i="13"/>
  <c r="O2721" i="13"/>
  <c r="O2665" i="13"/>
  <c r="O2597" i="13"/>
  <c r="O2489" i="13"/>
  <c r="O2654" i="13"/>
  <c r="O2508" i="13"/>
  <c r="O2500" i="13"/>
  <c r="O2501" i="13"/>
  <c r="O2681" i="13"/>
  <c r="O2625" i="13"/>
  <c r="O2557" i="13"/>
  <c r="O2502" i="13"/>
  <c r="O2715" i="13"/>
  <c r="O2540" i="13"/>
  <c r="O2607" i="13"/>
  <c r="O2712" i="13"/>
  <c r="O2634" i="13"/>
  <c r="O2611" i="13"/>
  <c r="O2535" i="13"/>
  <c r="O2626" i="13"/>
  <c r="O2632" i="13"/>
  <c r="O2576" i="13"/>
  <c r="O2495" i="13"/>
  <c r="O2638" i="13"/>
  <c r="O2673" i="13"/>
  <c r="O2605" i="13"/>
  <c r="O2497" i="13"/>
  <c r="O2693" i="13"/>
  <c r="O2637" i="13"/>
  <c r="O2569" i="13"/>
  <c r="O2514" i="13"/>
  <c r="O2714" i="13"/>
  <c r="O2659" i="13"/>
  <c r="O2587" i="13"/>
  <c r="O2713" i="13"/>
  <c r="O2683" i="13"/>
  <c r="O2598" i="13"/>
  <c r="O2544" i="13"/>
  <c r="O2517" i="13"/>
  <c r="O2697" i="13"/>
  <c r="O2641" i="13"/>
  <c r="O2573" i="13"/>
  <c r="O2518" i="13"/>
  <c r="O2614" i="13"/>
  <c r="O2602" i="13"/>
  <c r="O2539" i="13"/>
  <c r="O2574" i="13"/>
  <c r="O2682" i="13"/>
  <c r="O2627" i="13"/>
  <c r="O2555" i="13"/>
  <c r="O2711" i="13"/>
  <c r="O2694" i="13"/>
  <c r="O2639" i="13"/>
  <c r="O2567" i="13"/>
  <c r="O2688" i="13"/>
  <c r="O2660" i="13"/>
  <c r="O2604" i="13"/>
  <c r="O2523" i="13"/>
  <c r="O2590" i="13"/>
  <c r="O2624" i="13"/>
  <c r="O2568" i="13"/>
  <c r="O2487" i="13"/>
  <c r="O2705" i="13"/>
  <c r="O2649" i="13"/>
  <c r="O2581" i="13"/>
  <c r="O2526" i="13"/>
  <c r="O2727" i="13"/>
  <c r="O2570" i="13"/>
  <c r="O2504" i="13"/>
  <c r="O2707" i="13"/>
  <c r="O2690" i="13"/>
  <c r="O2635" i="13"/>
  <c r="O2563" i="13"/>
  <c r="O2700" i="13"/>
  <c r="O2672" i="13"/>
  <c r="O2562" i="13"/>
  <c r="O2496" i="13"/>
  <c r="O2687" i="13"/>
  <c r="O2606" i="13"/>
  <c r="O2548" i="13"/>
  <c r="O2521" i="13"/>
  <c r="O2692" i="13"/>
  <c r="O2695" i="13"/>
  <c r="O2725" i="13"/>
  <c r="O2542" i="13"/>
  <c r="O2646" i="13"/>
  <c r="O2706" i="13"/>
  <c r="O2650" i="13"/>
  <c r="O2620" i="13"/>
  <c r="O2538" i="13"/>
  <c r="O2486" i="13"/>
  <c r="O2696" i="13"/>
  <c r="O2664" i="13"/>
  <c r="O2612" i="13"/>
  <c r="O2669" i="13"/>
  <c r="O2586" i="13"/>
  <c r="O2613" i="13"/>
  <c r="O2651" i="13"/>
  <c r="O2615" i="13"/>
  <c r="O2564" i="13"/>
  <c r="O2717" i="13"/>
  <c r="O2630" i="13"/>
  <c r="O2718" i="13"/>
  <c r="O2668" i="13"/>
  <c r="O2527" i="13"/>
  <c r="O2529" i="13"/>
  <c r="O2493" i="13"/>
  <c r="O2490" i="13"/>
  <c r="O2716" i="13"/>
  <c r="O2723" i="13"/>
  <c r="O2593" i="13"/>
  <c r="O2541" i="13"/>
  <c r="O2591" i="13"/>
  <c r="O2531" i="13"/>
  <c r="O2699" i="13"/>
  <c r="O2492" i="13"/>
  <c r="O2537" i="13"/>
  <c r="O2663" i="13"/>
  <c r="O2556" i="13"/>
  <c r="O2545" i="13"/>
  <c r="O2546" i="13"/>
  <c r="O2520" i="13"/>
  <c r="O2543" i="13"/>
  <c r="O2609" i="13"/>
  <c r="O2661" i="13"/>
  <c r="O2579" i="13"/>
  <c r="O2601" i="13"/>
  <c r="I2708" i="13"/>
  <c r="I2666" i="13"/>
  <c r="I2619" i="13"/>
  <c r="H1573" i="13" l="1"/>
  <c r="G1497" i="13"/>
  <c r="D153" i="10"/>
  <c r="AJ27" i="13" s="1"/>
  <c r="L133" i="10"/>
  <c r="D154" i="10"/>
  <c r="AJ28" i="13" s="1"/>
  <c r="L134" i="10"/>
  <c r="K134" i="10"/>
  <c r="G101" i="10" s="1"/>
  <c r="AA48" i="13" s="1"/>
  <c r="H101" i="10" s="1"/>
  <c r="K133" i="10"/>
  <c r="AD18" i="13"/>
  <c r="AD19" i="13" s="1"/>
  <c r="H501" i="13"/>
  <c r="H1989" i="13"/>
  <c r="G2237" i="13"/>
  <c r="I501" i="13"/>
  <c r="H1245" i="13"/>
  <c r="H749" i="13"/>
  <c r="G749" i="13"/>
  <c r="I2237" i="13"/>
  <c r="F997" i="13"/>
  <c r="F2237" i="13"/>
  <c r="I2546" i="13"/>
  <c r="U2546" i="13"/>
  <c r="I2591" i="13"/>
  <c r="U2591" i="13"/>
  <c r="I2527" i="13"/>
  <c r="U2527" i="13"/>
  <c r="I2613" i="13"/>
  <c r="U2613" i="13"/>
  <c r="I2620" i="13"/>
  <c r="U2620" i="13"/>
  <c r="I2521" i="13"/>
  <c r="U2521" i="13"/>
  <c r="I2563" i="13"/>
  <c r="U2563" i="13"/>
  <c r="I2581" i="13"/>
  <c r="U2581" i="13"/>
  <c r="I2604" i="13"/>
  <c r="U2604" i="13"/>
  <c r="I2627" i="13"/>
  <c r="U2627" i="13"/>
  <c r="I2641" i="13"/>
  <c r="U2641" i="13"/>
  <c r="I2659" i="13"/>
  <c r="U2659" i="13"/>
  <c r="I2673" i="13"/>
  <c r="U2673" i="13"/>
  <c r="I2634" i="13"/>
  <c r="U2634" i="13"/>
  <c r="I2681" i="13"/>
  <c r="U2681" i="13"/>
  <c r="I2721" i="13"/>
  <c r="U2721" i="13"/>
  <c r="I2704" i="13"/>
  <c r="U2704" i="13"/>
  <c r="I2689" i="13"/>
  <c r="U2689" i="13"/>
  <c r="I2674" i="13"/>
  <c r="U2674" i="13"/>
  <c r="I2530" i="13"/>
  <c r="U2530" i="13"/>
  <c r="I2513" i="13"/>
  <c r="U2513" i="13"/>
  <c r="I2499" i="13"/>
  <c r="U2499" i="13"/>
  <c r="I2595" i="13"/>
  <c r="U2595" i="13"/>
  <c r="I2596" i="13"/>
  <c r="U2596" i="13"/>
  <c r="I2505" i="13"/>
  <c r="U2505" i="13"/>
  <c r="I2488" i="13"/>
  <c r="U2488" i="13"/>
  <c r="I2621" i="13"/>
  <c r="U2621" i="13"/>
  <c r="F2571" i="13"/>
  <c r="R2571" i="13"/>
  <c r="F2698" i="13"/>
  <c r="R2698" i="13"/>
  <c r="F2553" i="13"/>
  <c r="R2553" i="13"/>
  <c r="F2677" i="13"/>
  <c r="R2677" i="13"/>
  <c r="F2572" i="13"/>
  <c r="R2572" i="13"/>
  <c r="F2610" i="13"/>
  <c r="R2610" i="13"/>
  <c r="F2594" i="13"/>
  <c r="R2594" i="13"/>
  <c r="F2708" i="13"/>
  <c r="R2708" i="13"/>
  <c r="F2669" i="13"/>
  <c r="R2669" i="13"/>
  <c r="F2527" i="13"/>
  <c r="R2527" i="13"/>
  <c r="F2587" i="13"/>
  <c r="R2587" i="13"/>
  <c r="F2714" i="13"/>
  <c r="R2714" i="13"/>
  <c r="F2569" i="13"/>
  <c r="R2569" i="13"/>
  <c r="F2693" i="13"/>
  <c r="R2693" i="13"/>
  <c r="F2497" i="13"/>
  <c r="R2497" i="13"/>
  <c r="F2673" i="13"/>
  <c r="R2673" i="13"/>
  <c r="F2495" i="13"/>
  <c r="R2495" i="13"/>
  <c r="F2632" i="13"/>
  <c r="R2632" i="13"/>
  <c r="F2665" i="13"/>
  <c r="R2665" i="13"/>
  <c r="F2512" i="13"/>
  <c r="R2512" i="13"/>
  <c r="F2683" i="13"/>
  <c r="R2683" i="13"/>
  <c r="F2524" i="13"/>
  <c r="R2524" i="13"/>
  <c r="F2530" i="13"/>
  <c r="R2530" i="13"/>
  <c r="F2653" i="13"/>
  <c r="R2653" i="13"/>
  <c r="F2513" i="13"/>
  <c r="R2513" i="13"/>
  <c r="F2582" i="13"/>
  <c r="R2582" i="13"/>
  <c r="F2511" i="13"/>
  <c r="R2511" i="13"/>
  <c r="F2648" i="13"/>
  <c r="R2648" i="13"/>
  <c r="F2627" i="13"/>
  <c r="R2627" i="13"/>
  <c r="F2558" i="13"/>
  <c r="R2558" i="13"/>
  <c r="E2494" i="13"/>
  <c r="Q2494" i="13"/>
  <c r="E2617" i="13"/>
  <c r="Q2617" i="13"/>
  <c r="E2509" i="13"/>
  <c r="Q2509" i="13"/>
  <c r="E2566" i="13"/>
  <c r="Q2566" i="13"/>
  <c r="E2547" i="13"/>
  <c r="Q2547" i="13"/>
  <c r="E2666" i="13"/>
  <c r="Q2666" i="13"/>
  <c r="E2720" i="13"/>
  <c r="Q2720" i="13"/>
  <c r="E2671" i="13"/>
  <c r="Q2671" i="13"/>
  <c r="E2642" i="13"/>
  <c r="Q2642" i="13"/>
  <c r="E2612" i="13"/>
  <c r="Q2612" i="13"/>
  <c r="E2510" i="13"/>
  <c r="Q2510" i="13"/>
  <c r="E2633" i="13"/>
  <c r="Q2633" i="13"/>
  <c r="E2525" i="13"/>
  <c r="Q2525" i="13"/>
  <c r="E2608" i="13"/>
  <c r="Q2608" i="13"/>
  <c r="E2507" i="13"/>
  <c r="Q2507" i="13"/>
  <c r="E2644" i="13"/>
  <c r="Q2644" i="13"/>
  <c r="E2674" i="13"/>
  <c r="Q2674" i="13"/>
  <c r="E2623" i="13"/>
  <c r="Q2623" i="13"/>
  <c r="E2724" i="13"/>
  <c r="Q2724" i="13"/>
  <c r="E2602" i="13"/>
  <c r="Q2602" i="13"/>
  <c r="E2561" i="13"/>
  <c r="Q2561" i="13"/>
  <c r="E2581" i="13"/>
  <c r="Q2581" i="13"/>
  <c r="E2705" i="13"/>
  <c r="Q2705" i="13"/>
  <c r="E2568" i="13"/>
  <c r="Q2568" i="13"/>
  <c r="E2590" i="13"/>
  <c r="Q2590" i="13"/>
  <c r="E2523" i="13"/>
  <c r="Q2523" i="13"/>
  <c r="E2660" i="13"/>
  <c r="Q2660" i="13"/>
  <c r="E2567" i="13"/>
  <c r="Q2567" i="13"/>
  <c r="E2694" i="13"/>
  <c r="Q2694" i="13"/>
  <c r="E2636" i="13"/>
  <c r="Q2636" i="13"/>
  <c r="E2695" i="13"/>
  <c r="Q2695" i="13"/>
  <c r="H2554" i="13"/>
  <c r="T2554" i="13"/>
  <c r="H2510" i="13"/>
  <c r="T2510" i="13"/>
  <c r="H2690" i="13"/>
  <c r="T2690" i="13"/>
  <c r="H2727" i="13"/>
  <c r="T2727" i="13"/>
  <c r="H2585" i="13"/>
  <c r="T2585" i="13"/>
  <c r="H2658" i="13"/>
  <c r="T2658" i="13"/>
  <c r="H2534" i="13"/>
  <c r="T2534" i="13"/>
  <c r="H2586" i="13"/>
  <c r="T2586" i="13"/>
  <c r="H2659" i="13"/>
  <c r="T2659" i="13"/>
  <c r="H2638" i="13"/>
  <c r="T2638" i="13"/>
  <c r="H2705" i="13"/>
  <c r="T2705" i="13"/>
  <c r="H2500" i="13"/>
  <c r="T2500" i="13"/>
  <c r="H2492" i="13"/>
  <c r="T2492" i="13"/>
  <c r="H2670" i="13"/>
  <c r="T2670" i="13"/>
  <c r="H2488" i="13"/>
  <c r="T2488" i="13"/>
  <c r="H2489" i="13"/>
  <c r="T2489" i="13"/>
  <c r="H2668" i="13"/>
  <c r="T2668" i="13"/>
  <c r="H2700" i="13"/>
  <c r="T2700" i="13"/>
  <c r="H2626" i="13"/>
  <c r="T2626" i="13"/>
  <c r="H2564" i="13"/>
  <c r="T2564" i="13"/>
  <c r="H2615" i="13"/>
  <c r="T2615" i="13"/>
  <c r="H2688" i="13"/>
  <c r="T2688" i="13"/>
  <c r="H2545" i="13"/>
  <c r="T2545" i="13"/>
  <c r="H2631" i="13"/>
  <c r="T2631" i="13"/>
  <c r="H2550" i="13"/>
  <c r="T2550" i="13"/>
  <c r="H2577" i="13"/>
  <c r="T2577" i="13"/>
  <c r="H2531" i="13"/>
  <c r="T2531" i="13"/>
  <c r="H2707" i="13"/>
  <c r="T2707" i="13"/>
  <c r="H2655" i="13"/>
  <c r="T2655" i="13"/>
  <c r="H2502" i="13"/>
  <c r="T2502" i="13"/>
  <c r="H2573" i="13"/>
  <c r="T2573" i="13"/>
  <c r="G2720" i="13"/>
  <c r="S2720" i="13"/>
  <c r="G2507" i="13"/>
  <c r="S2507" i="13"/>
  <c r="G2512" i="13"/>
  <c r="S2512" i="13"/>
  <c r="G2627" i="13"/>
  <c r="S2627" i="13"/>
  <c r="G2560" i="13"/>
  <c r="S2560" i="13"/>
  <c r="G2504" i="13"/>
  <c r="S2504" i="13"/>
  <c r="G2634" i="13"/>
  <c r="S2634" i="13"/>
  <c r="G2520" i="13"/>
  <c r="S2520" i="13"/>
  <c r="G2617" i="13"/>
  <c r="S2617" i="13"/>
  <c r="G2621" i="13"/>
  <c r="S2621" i="13"/>
  <c r="G2619" i="13"/>
  <c r="S2619" i="13"/>
  <c r="G2533" i="13"/>
  <c r="S2533" i="13"/>
  <c r="G2699" i="13"/>
  <c r="S2699" i="13"/>
  <c r="G2725" i="13"/>
  <c r="S2725" i="13"/>
  <c r="G2697" i="13"/>
  <c r="S2697" i="13"/>
  <c r="G2565" i="13"/>
  <c r="S2565" i="13"/>
  <c r="G2569" i="13"/>
  <c r="S2569" i="13"/>
  <c r="G2497" i="13"/>
  <c r="S2497" i="13"/>
  <c r="G2674" i="13"/>
  <c r="S2674" i="13"/>
  <c r="G2717" i="13"/>
  <c r="S2717" i="13"/>
  <c r="G2641" i="13"/>
  <c r="S2641" i="13"/>
  <c r="G2535" i="13"/>
  <c r="S2535" i="13"/>
  <c r="G2487" i="13"/>
  <c r="S2487" i="13"/>
  <c r="G2716" i="13"/>
  <c r="S2716" i="13"/>
  <c r="G2681" i="13"/>
  <c r="S2681" i="13"/>
  <c r="G2646" i="13"/>
  <c r="S2646" i="13"/>
  <c r="G2493" i="13"/>
  <c r="S2493" i="13"/>
  <c r="G2695" i="13"/>
  <c r="S2695" i="13"/>
  <c r="G2618" i="13"/>
  <c r="S2618" i="13"/>
  <c r="G2591" i="13"/>
  <c r="S2591" i="13"/>
  <c r="G2611" i="13"/>
  <c r="S2611" i="13"/>
  <c r="G2536" i="13"/>
  <c r="S2536" i="13"/>
  <c r="G2654" i="13"/>
  <c r="S2654" i="13"/>
  <c r="I1763" i="13"/>
  <c r="U1763" i="13"/>
  <c r="I1905" i="13"/>
  <c r="U1905" i="13"/>
  <c r="I1911" i="13"/>
  <c r="U1911" i="13"/>
  <c r="I1789" i="13"/>
  <c r="U1789" i="13"/>
  <c r="I1979" i="13"/>
  <c r="U1979" i="13"/>
  <c r="I1772" i="13"/>
  <c r="U1772" i="13"/>
  <c r="I1758" i="13"/>
  <c r="U1758" i="13"/>
  <c r="I1750" i="13"/>
  <c r="U1750" i="13"/>
  <c r="I1852" i="13"/>
  <c r="U1852" i="13"/>
  <c r="I1951" i="13"/>
  <c r="U1951" i="13"/>
  <c r="I1928" i="13"/>
  <c r="U1928" i="13"/>
  <c r="I1744" i="13"/>
  <c r="U1744" i="13"/>
  <c r="I1975" i="13"/>
  <c r="U1975" i="13"/>
  <c r="I1877" i="13"/>
  <c r="U1877" i="13"/>
  <c r="I1841" i="13"/>
  <c r="U1841" i="13"/>
  <c r="I1946" i="13"/>
  <c r="U1946" i="13"/>
  <c r="I1970" i="13"/>
  <c r="U1970" i="13"/>
  <c r="I1814" i="13"/>
  <c r="U1814" i="13"/>
  <c r="I1838" i="13"/>
  <c r="U1838" i="13"/>
  <c r="I1901" i="13"/>
  <c r="U1901" i="13"/>
  <c r="I1835" i="13"/>
  <c r="U1835" i="13"/>
  <c r="I1926" i="13"/>
  <c r="U1926" i="13"/>
  <c r="I1948" i="13"/>
  <c r="U1948" i="13"/>
  <c r="I1977" i="13"/>
  <c r="U1977" i="13"/>
  <c r="I1931" i="13"/>
  <c r="U1931" i="13"/>
  <c r="I1795" i="13"/>
  <c r="U1795" i="13"/>
  <c r="I1805" i="13"/>
  <c r="U1805" i="13"/>
  <c r="I1897" i="13"/>
  <c r="U1897" i="13"/>
  <c r="I1833" i="13"/>
  <c r="U1833" i="13"/>
  <c r="F1749" i="13"/>
  <c r="R1749" i="13"/>
  <c r="F1820" i="13"/>
  <c r="R1820" i="13"/>
  <c r="F1943" i="13"/>
  <c r="R1943" i="13"/>
  <c r="F1796" i="13"/>
  <c r="R1796" i="13"/>
  <c r="F1963" i="13"/>
  <c r="R1963" i="13"/>
  <c r="F1906" i="13"/>
  <c r="R1906" i="13"/>
  <c r="F1756" i="13"/>
  <c r="R1756" i="13"/>
  <c r="F1974" i="13"/>
  <c r="R1974" i="13"/>
  <c r="F1761" i="13"/>
  <c r="R1761" i="13"/>
  <c r="F1783" i="13"/>
  <c r="R1783" i="13"/>
  <c r="F1771" i="13"/>
  <c r="R1771" i="13"/>
  <c r="F1748" i="13"/>
  <c r="R1748" i="13"/>
  <c r="F1797" i="13"/>
  <c r="R1797" i="13"/>
  <c r="F1802" i="13"/>
  <c r="R1802" i="13"/>
  <c r="F1753" i="13"/>
  <c r="R1753" i="13"/>
  <c r="F1793" i="13"/>
  <c r="R1793" i="13"/>
  <c r="F1919" i="13"/>
  <c r="R1919" i="13"/>
  <c r="F1767" i="13"/>
  <c r="R1767" i="13"/>
  <c r="F1947" i="13"/>
  <c r="R1947" i="13"/>
  <c r="F1873" i="13"/>
  <c r="R1873" i="13"/>
  <c r="F1965" i="13"/>
  <c r="R1965" i="13"/>
  <c r="F1755" i="13"/>
  <c r="R1755" i="13"/>
  <c r="F1825" i="13"/>
  <c r="R1825" i="13"/>
  <c r="F1874" i="13"/>
  <c r="R1874" i="13"/>
  <c r="F1864" i="13"/>
  <c r="R1864" i="13"/>
  <c r="F1777" i="13"/>
  <c r="R1777" i="13"/>
  <c r="F1903" i="13"/>
  <c r="R1903" i="13"/>
  <c r="F1780" i="13"/>
  <c r="R1780" i="13"/>
  <c r="F1907" i="13"/>
  <c r="R1907" i="13"/>
  <c r="F1959" i="13"/>
  <c r="R1959" i="13"/>
  <c r="F1851" i="13"/>
  <c r="R1851" i="13"/>
  <c r="I1169" i="13"/>
  <c r="U1169" i="13"/>
  <c r="I1230" i="13"/>
  <c r="U1230" i="13"/>
  <c r="I1206" i="13"/>
  <c r="U1206" i="13"/>
  <c r="I1112" i="13"/>
  <c r="U1112" i="13"/>
  <c r="I1039" i="13"/>
  <c r="U1039" i="13"/>
  <c r="I1181" i="13"/>
  <c r="U1181" i="13"/>
  <c r="I1020" i="13"/>
  <c r="U1020" i="13"/>
  <c r="I1087" i="13"/>
  <c r="U1087" i="13"/>
  <c r="I1103" i="13"/>
  <c r="U1103" i="13"/>
  <c r="I1123" i="13"/>
  <c r="U1123" i="13"/>
  <c r="I1235" i="13"/>
  <c r="U1235" i="13"/>
  <c r="I1174" i="13"/>
  <c r="U1174" i="13"/>
  <c r="I1214" i="13"/>
  <c r="U1214" i="13"/>
  <c r="I1003" i="13"/>
  <c r="U1003" i="13"/>
  <c r="I1009" i="13"/>
  <c r="U1009" i="13"/>
  <c r="I1022" i="13"/>
  <c r="U1022" i="13"/>
  <c r="I1113" i="13"/>
  <c r="U1113" i="13"/>
  <c r="I1119" i="13"/>
  <c r="U1119" i="13"/>
  <c r="I1030" i="13"/>
  <c r="U1030" i="13"/>
  <c r="I1097" i="13"/>
  <c r="U1097" i="13"/>
  <c r="I1067" i="13"/>
  <c r="U1067" i="13"/>
  <c r="I1077" i="13"/>
  <c r="U1077" i="13"/>
  <c r="I1000" i="13"/>
  <c r="U1000" i="13"/>
  <c r="I1167" i="13"/>
  <c r="U1167" i="13"/>
  <c r="I1141" i="13"/>
  <c r="U1141" i="13"/>
  <c r="I1104" i="13"/>
  <c r="U1104" i="13"/>
  <c r="I1135" i="13"/>
  <c r="U1135" i="13"/>
  <c r="I1182" i="13"/>
  <c r="U1182" i="13"/>
  <c r="I1166" i="13"/>
  <c r="U1166" i="13"/>
  <c r="I1186" i="13"/>
  <c r="U1186" i="13"/>
  <c r="E1366" i="13"/>
  <c r="Q1366" i="13"/>
  <c r="E1340" i="13"/>
  <c r="Q1340" i="13"/>
  <c r="E1441" i="13"/>
  <c r="Q1441" i="13"/>
  <c r="E1456" i="13"/>
  <c r="Q1456" i="13"/>
  <c r="E1396" i="13"/>
  <c r="Q1396" i="13"/>
  <c r="E1446" i="13"/>
  <c r="Q1446" i="13"/>
  <c r="E1299" i="13"/>
  <c r="Q1299" i="13"/>
  <c r="E1384" i="13"/>
  <c r="Q1384" i="13"/>
  <c r="E1473" i="13"/>
  <c r="Q1473" i="13"/>
  <c r="E1482" i="13"/>
  <c r="Q1482" i="13"/>
  <c r="E1302" i="13"/>
  <c r="Q1302" i="13"/>
  <c r="E1297" i="13"/>
  <c r="Q1297" i="13"/>
  <c r="E1339" i="13"/>
  <c r="Q1339" i="13"/>
  <c r="E1450" i="13"/>
  <c r="Q1450" i="13"/>
  <c r="E1261" i="13"/>
  <c r="Q1261" i="13"/>
  <c r="E1355" i="13"/>
  <c r="Q1355" i="13"/>
  <c r="E1452" i="13"/>
  <c r="Q1452" i="13"/>
  <c r="E1465" i="13"/>
  <c r="Q1465" i="13"/>
  <c r="E1434" i="13"/>
  <c r="Q1434" i="13"/>
  <c r="E1286" i="13"/>
  <c r="Q1286" i="13"/>
  <c r="E1362" i="13"/>
  <c r="Q1362" i="13"/>
  <c r="E1443" i="13"/>
  <c r="Q1443" i="13"/>
  <c r="E1477" i="13"/>
  <c r="Q1477" i="13"/>
  <c r="E1382" i="13"/>
  <c r="Q1382" i="13"/>
  <c r="E1383" i="13"/>
  <c r="Q1383" i="13"/>
  <c r="E1363" i="13"/>
  <c r="Q1363" i="13"/>
  <c r="E1413" i="13"/>
  <c r="Q1413" i="13"/>
  <c r="E1274" i="13"/>
  <c r="Q1274" i="13"/>
  <c r="E1377" i="13"/>
  <c r="Q1377" i="13"/>
  <c r="E1440" i="13"/>
  <c r="Q1440" i="13"/>
  <c r="G850" i="13"/>
  <c r="S850" i="13"/>
  <c r="G977" i="13"/>
  <c r="S977" i="13"/>
  <c r="G793" i="13"/>
  <c r="S793" i="13"/>
  <c r="G854" i="13"/>
  <c r="S854" i="13"/>
  <c r="G761" i="13"/>
  <c r="S761" i="13"/>
  <c r="G813" i="13"/>
  <c r="S813" i="13"/>
  <c r="G950" i="13"/>
  <c r="S950" i="13"/>
  <c r="G764" i="13"/>
  <c r="S764" i="13"/>
  <c r="G825" i="13"/>
  <c r="S825" i="13"/>
  <c r="G786" i="13"/>
  <c r="S786" i="13"/>
  <c r="G959" i="13"/>
  <c r="S959" i="13"/>
  <c r="G779" i="13"/>
  <c r="S779" i="13"/>
  <c r="G872" i="13"/>
  <c r="S872" i="13"/>
  <c r="G859" i="13"/>
  <c r="S859" i="13"/>
  <c r="G879" i="13"/>
  <c r="S879" i="13"/>
  <c r="G930" i="13"/>
  <c r="S930" i="13"/>
  <c r="G911" i="13"/>
  <c r="S911" i="13"/>
  <c r="G869" i="13"/>
  <c r="S869" i="13"/>
  <c r="G768" i="13"/>
  <c r="S768" i="13"/>
  <c r="G962" i="13"/>
  <c r="S962" i="13"/>
  <c r="G784" i="13"/>
  <c r="S784" i="13"/>
  <c r="G800" i="13"/>
  <c r="S800" i="13"/>
  <c r="G909" i="13"/>
  <c r="S909" i="13"/>
  <c r="G836" i="13"/>
  <c r="S836" i="13"/>
  <c r="G818" i="13"/>
  <c r="S818" i="13"/>
  <c r="G968" i="13"/>
  <c r="S968" i="13"/>
  <c r="G926" i="13"/>
  <c r="S926" i="13"/>
  <c r="G781" i="13"/>
  <c r="S781" i="13"/>
  <c r="G965" i="13"/>
  <c r="S965" i="13"/>
  <c r="F2130" i="13"/>
  <c r="R2130" i="13"/>
  <c r="F2058" i="13"/>
  <c r="R2058" i="13"/>
  <c r="F2139" i="13"/>
  <c r="R2139" i="13"/>
  <c r="F2156" i="13"/>
  <c r="R2156" i="13"/>
  <c r="F2120" i="13"/>
  <c r="R2120" i="13"/>
  <c r="F2033" i="13"/>
  <c r="R2033" i="13"/>
  <c r="F2077" i="13"/>
  <c r="R2077" i="13"/>
  <c r="F2048" i="13"/>
  <c r="R2048" i="13"/>
  <c r="F2141" i="13"/>
  <c r="R2141" i="13"/>
  <c r="F2023" i="13"/>
  <c r="R2023" i="13"/>
  <c r="F2163" i="13"/>
  <c r="R2163" i="13"/>
  <c r="F2049" i="13"/>
  <c r="R2049" i="13"/>
  <c r="F2214" i="13"/>
  <c r="R2214" i="13"/>
  <c r="F2037" i="13"/>
  <c r="R2037" i="13"/>
  <c r="F2019" i="13"/>
  <c r="R2019" i="13"/>
  <c r="F2039" i="13"/>
  <c r="R2039" i="13"/>
  <c r="F1993" i="13"/>
  <c r="R1993" i="13"/>
  <c r="F2035" i="13"/>
  <c r="R2035" i="13"/>
  <c r="F2112" i="13"/>
  <c r="R2112" i="13"/>
  <c r="F2151" i="13"/>
  <c r="R2151" i="13"/>
  <c r="F2229" i="13"/>
  <c r="R2229" i="13"/>
  <c r="F2108" i="13"/>
  <c r="R2108" i="13"/>
  <c r="F2168" i="13"/>
  <c r="R2168" i="13"/>
  <c r="F2153" i="13"/>
  <c r="R2153" i="13"/>
  <c r="E2125" i="13"/>
  <c r="Q2125" i="13"/>
  <c r="E2133" i="13"/>
  <c r="Q2133" i="13"/>
  <c r="I2545" i="13"/>
  <c r="U2545" i="13"/>
  <c r="I2541" i="13"/>
  <c r="U2541" i="13"/>
  <c r="I2668" i="13"/>
  <c r="U2668" i="13"/>
  <c r="I2586" i="13"/>
  <c r="U2586" i="13"/>
  <c r="I2650" i="13"/>
  <c r="U2650" i="13"/>
  <c r="I2548" i="13"/>
  <c r="U2548" i="13"/>
  <c r="I2635" i="13"/>
  <c r="U2635" i="13"/>
  <c r="I2649" i="13"/>
  <c r="U2649" i="13"/>
  <c r="I2660" i="13"/>
  <c r="U2660" i="13"/>
  <c r="I2694" i="13"/>
  <c r="U2694" i="13"/>
  <c r="I2614" i="13"/>
  <c r="U2614" i="13"/>
  <c r="I2683" i="13"/>
  <c r="U2683" i="13"/>
  <c r="I2714" i="13"/>
  <c r="U2714" i="13"/>
  <c r="I2638" i="13"/>
  <c r="U2638" i="13"/>
  <c r="I2712" i="13"/>
  <c r="U2712" i="13"/>
  <c r="I2501" i="13"/>
  <c r="U2501" i="13"/>
  <c r="I2503" i="13"/>
  <c r="U2503" i="13"/>
  <c r="I2583" i="13"/>
  <c r="U2583" i="13"/>
  <c r="I2525" i="13"/>
  <c r="U2525" i="13"/>
  <c r="I2551" i="13"/>
  <c r="U2551" i="13"/>
  <c r="I2536" i="13"/>
  <c r="U2536" i="13"/>
  <c r="I2580" i="13"/>
  <c r="U2580" i="13"/>
  <c r="I2667" i="13"/>
  <c r="U2667" i="13"/>
  <c r="I2629" i="13"/>
  <c r="U2629" i="13"/>
  <c r="I2534" i="13"/>
  <c r="U2534" i="13"/>
  <c r="I2516" i="13"/>
  <c r="U2516" i="13"/>
  <c r="I2600" i="13"/>
  <c r="U2600" i="13"/>
  <c r="I2645" i="13"/>
  <c r="U2645" i="13"/>
  <c r="I2698" i="13"/>
  <c r="U2698" i="13"/>
  <c r="I2677" i="13"/>
  <c r="U2677" i="13"/>
  <c r="I2610" i="13"/>
  <c r="U2610" i="13"/>
  <c r="I2662" i="13"/>
  <c r="U2662" i="13"/>
  <c r="I2720" i="13"/>
  <c r="U2720" i="13"/>
  <c r="F2617" i="13"/>
  <c r="R2617" i="13"/>
  <c r="F2509" i="13"/>
  <c r="R2509" i="13"/>
  <c r="F2566" i="13"/>
  <c r="R2566" i="13"/>
  <c r="F2547" i="13"/>
  <c r="R2547" i="13"/>
  <c r="F2666" i="13"/>
  <c r="R2666" i="13"/>
  <c r="F2599" i="13"/>
  <c r="R2599" i="13"/>
  <c r="F2726" i="13"/>
  <c r="R2726" i="13"/>
  <c r="F2642" i="13"/>
  <c r="R2642" i="13"/>
  <c r="F2612" i="13"/>
  <c r="R2612" i="13"/>
  <c r="F2510" i="13"/>
  <c r="R2510" i="13"/>
  <c r="F2633" i="13"/>
  <c r="R2633" i="13"/>
  <c r="F2552" i="13"/>
  <c r="R2552" i="13"/>
  <c r="F2608" i="13"/>
  <c r="R2608" i="13"/>
  <c r="F2507" i="13"/>
  <c r="R2507" i="13"/>
  <c r="F2644" i="13"/>
  <c r="R2644" i="13"/>
  <c r="F2551" i="13"/>
  <c r="R2551" i="13"/>
  <c r="F2678" i="13"/>
  <c r="R2678" i="13"/>
  <c r="F2724" i="13"/>
  <c r="R2724" i="13"/>
  <c r="F2602" i="13"/>
  <c r="R2602" i="13"/>
  <c r="F2561" i="13"/>
  <c r="R2561" i="13"/>
  <c r="F2581" i="13"/>
  <c r="R2581" i="13"/>
  <c r="F2705" i="13"/>
  <c r="R2705" i="13"/>
  <c r="F2568" i="13"/>
  <c r="R2568" i="13"/>
  <c r="F2590" i="13"/>
  <c r="R2590" i="13"/>
  <c r="F2523" i="13"/>
  <c r="R2523" i="13"/>
  <c r="F2660" i="13"/>
  <c r="R2660" i="13"/>
  <c r="F2567" i="13"/>
  <c r="R2567" i="13"/>
  <c r="F2694" i="13"/>
  <c r="R2694" i="13"/>
  <c r="F2636" i="13"/>
  <c r="R2636" i="13"/>
  <c r="F2529" i="13"/>
  <c r="R2529" i="13"/>
  <c r="F2598" i="13"/>
  <c r="R2598" i="13"/>
  <c r="E2550" i="13"/>
  <c r="Q2550" i="13"/>
  <c r="E2519" i="13"/>
  <c r="Q2519" i="13"/>
  <c r="E2656" i="13"/>
  <c r="Q2656" i="13"/>
  <c r="E2488" i="13"/>
  <c r="Q2488" i="13"/>
  <c r="E2719" i="13"/>
  <c r="Q2719" i="13"/>
  <c r="E2645" i="13"/>
  <c r="Q2645" i="13"/>
  <c r="E2597" i="13"/>
  <c r="Q2597" i="13"/>
  <c r="E2697" i="13"/>
  <c r="Q2697" i="13"/>
  <c r="E2521" i="13"/>
  <c r="Q2521" i="13"/>
  <c r="E2606" i="13"/>
  <c r="Q2606" i="13"/>
  <c r="E2562" i="13"/>
  <c r="Q2562" i="13"/>
  <c r="E2700" i="13"/>
  <c r="Q2700" i="13"/>
  <c r="E2635" i="13"/>
  <c r="Q2635" i="13"/>
  <c r="E2707" i="13"/>
  <c r="Q2707" i="13"/>
  <c r="E2570" i="13"/>
  <c r="Q2570" i="13"/>
  <c r="E2555" i="13"/>
  <c r="Q2555" i="13"/>
  <c r="E2614" i="13"/>
  <c r="Q2614" i="13"/>
  <c r="E2655" i="13"/>
  <c r="Q2655" i="13"/>
  <c r="E2537" i="13"/>
  <c r="Q2537" i="13"/>
  <c r="E2620" i="13"/>
  <c r="Q2620" i="13"/>
  <c r="E2543" i="13"/>
  <c r="Q2543" i="13"/>
  <c r="E2650" i="13"/>
  <c r="Q2650" i="13"/>
  <c r="E2579" i="13"/>
  <c r="Q2579" i="13"/>
  <c r="E2706" i="13"/>
  <c r="Q2706" i="13"/>
  <c r="E2545" i="13"/>
  <c r="Q2545" i="13"/>
  <c r="E2613" i="13"/>
  <c r="Q2613" i="13"/>
  <c r="E2499" i="13"/>
  <c r="Q2499" i="13"/>
  <c r="E2640" i="13"/>
  <c r="Q2640" i="13"/>
  <c r="E2517" i="13"/>
  <c r="Q2517" i="13"/>
  <c r="H2675" i="13"/>
  <c r="T2675" i="13"/>
  <c r="H2682" i="13"/>
  <c r="T2682" i="13"/>
  <c r="H2637" i="13"/>
  <c r="T2637" i="13"/>
  <c r="H2555" i="13"/>
  <c r="T2555" i="13"/>
  <c r="H2590" i="13"/>
  <c r="T2590" i="13"/>
  <c r="H2558" i="13"/>
  <c r="T2558" i="13"/>
  <c r="H2619" i="13"/>
  <c r="T2619" i="13"/>
  <c r="H2645" i="13"/>
  <c r="T2645" i="13"/>
  <c r="H2710" i="13"/>
  <c r="T2710" i="13"/>
  <c r="H2497" i="13"/>
  <c r="T2497" i="13"/>
  <c r="H2561" i="13"/>
  <c r="T2561" i="13"/>
  <c r="H2523" i="13"/>
  <c r="T2523" i="13"/>
  <c r="H2640" i="13"/>
  <c r="T2640" i="13"/>
  <c r="H2643" i="13"/>
  <c r="T2643" i="13"/>
  <c r="H2566" i="13"/>
  <c r="T2566" i="13"/>
  <c r="H2560" i="13"/>
  <c r="T2560" i="13"/>
  <c r="H2692" i="13"/>
  <c r="T2692" i="13"/>
  <c r="H2507" i="13"/>
  <c r="T2507" i="13"/>
  <c r="H2630" i="13"/>
  <c r="T2630" i="13"/>
  <c r="H2724" i="13"/>
  <c r="T2724" i="13"/>
  <c r="H2611" i="13"/>
  <c r="T2611" i="13"/>
  <c r="H2540" i="13"/>
  <c r="T2540" i="13"/>
  <c r="H2501" i="13"/>
  <c r="T2501" i="13"/>
  <c r="H2499" i="13"/>
  <c r="T2499" i="13"/>
  <c r="H2494" i="13"/>
  <c r="T2494" i="13"/>
  <c r="H2657" i="13"/>
  <c r="T2657" i="13"/>
  <c r="H2671" i="13"/>
  <c r="T2671" i="13"/>
  <c r="H2633" i="13"/>
  <c r="T2633" i="13"/>
  <c r="H2551" i="13"/>
  <c r="T2551" i="13"/>
  <c r="H2526" i="13"/>
  <c r="T2526" i="13"/>
  <c r="H2543" i="13"/>
  <c r="T2543" i="13"/>
  <c r="H2651" i="13"/>
  <c r="T2651" i="13"/>
  <c r="H2648" i="13"/>
  <c r="T2648" i="13"/>
  <c r="G2662" i="13"/>
  <c r="S2662" i="13"/>
  <c r="G2668" i="13"/>
  <c r="S2668" i="13"/>
  <c r="G2564" i="13"/>
  <c r="S2564" i="13"/>
  <c r="G2515" i="13"/>
  <c r="S2515" i="13"/>
  <c r="G2544" i="13"/>
  <c r="S2544" i="13"/>
  <c r="G2623" i="13"/>
  <c r="S2623" i="13"/>
  <c r="G2607" i="13"/>
  <c r="S2607" i="13"/>
  <c r="G2529" i="13"/>
  <c r="S2529" i="13"/>
  <c r="G2550" i="13"/>
  <c r="S2550" i="13"/>
  <c r="G2519" i="13"/>
  <c r="S2519" i="13"/>
  <c r="G2491" i="13"/>
  <c r="S2491" i="13"/>
  <c r="G2719" i="13"/>
  <c r="S2719" i="13"/>
  <c r="G2645" i="13"/>
  <c r="S2645" i="13"/>
  <c r="G2503" i="13"/>
  <c r="S2503" i="13"/>
  <c r="G2527" i="13"/>
  <c r="S2527" i="13"/>
  <c r="G2689" i="13"/>
  <c r="S2689" i="13"/>
  <c r="G2693" i="13"/>
  <c r="S2693" i="13"/>
  <c r="G2644" i="13"/>
  <c r="S2644" i="13"/>
  <c r="G2576" i="13"/>
  <c r="S2576" i="13"/>
  <c r="G2559" i="13"/>
  <c r="S2559" i="13"/>
  <c r="G2664" i="13"/>
  <c r="S2664" i="13"/>
  <c r="G2705" i="13"/>
  <c r="S2705" i="13"/>
  <c r="G2715" i="13"/>
  <c r="S2715" i="13"/>
  <c r="G2582" i="13"/>
  <c r="S2582" i="13"/>
  <c r="G2613" i="13"/>
  <c r="S2613" i="13"/>
  <c r="G2539" i="13"/>
  <c r="S2539" i="13"/>
  <c r="G2492" i="13"/>
  <c r="S2492" i="13"/>
  <c r="G2642" i="13"/>
  <c r="S2642" i="13"/>
  <c r="G2678" i="13"/>
  <c r="S2678" i="13"/>
  <c r="G2511" i="13"/>
  <c r="S2511" i="13"/>
  <c r="I1845" i="13"/>
  <c r="U1845" i="13"/>
  <c r="I1796" i="13"/>
  <c r="U1796" i="13"/>
  <c r="I1865" i="13"/>
  <c r="U1865" i="13"/>
  <c r="I1969" i="13"/>
  <c r="U1969" i="13"/>
  <c r="I1743" i="13"/>
  <c r="U1743" i="13"/>
  <c r="I1896" i="13"/>
  <c r="U1896" i="13"/>
  <c r="I1792" i="13"/>
  <c r="U1792" i="13"/>
  <c r="I1779" i="13"/>
  <c r="U1779" i="13"/>
  <c r="I1816" i="13"/>
  <c r="U1816" i="13"/>
  <c r="I1902" i="13"/>
  <c r="U1902" i="13"/>
  <c r="I1798" i="13"/>
  <c r="U1798" i="13"/>
  <c r="I1899" i="13"/>
  <c r="U1899" i="13"/>
  <c r="I1793" i="13"/>
  <c r="U1793" i="13"/>
  <c r="I1757" i="13"/>
  <c r="U1757" i="13"/>
  <c r="I1768" i="13"/>
  <c r="U1768" i="13"/>
  <c r="I1781" i="13"/>
  <c r="U1781" i="13"/>
  <c r="I1915" i="13"/>
  <c r="U1915" i="13"/>
  <c r="I1839" i="13"/>
  <c r="U1839" i="13"/>
  <c r="I1981" i="13"/>
  <c r="U1981" i="13"/>
  <c r="I1780" i="13"/>
  <c r="U1780" i="13"/>
  <c r="I1952" i="13"/>
  <c r="U1952" i="13"/>
  <c r="I1830" i="13"/>
  <c r="U1830" i="13"/>
  <c r="I1870" i="13"/>
  <c r="U1870" i="13"/>
  <c r="I1782" i="13"/>
  <c r="U1782" i="13"/>
  <c r="I1813" i="13"/>
  <c r="U1813" i="13"/>
  <c r="I1982" i="13"/>
  <c r="U1982" i="13"/>
  <c r="I1891" i="13"/>
  <c r="U1891" i="13"/>
  <c r="I1930" i="13"/>
  <c r="U1930" i="13"/>
  <c r="I1790" i="13"/>
  <c r="U1790" i="13"/>
  <c r="I1878" i="13"/>
  <c r="U1878" i="13"/>
  <c r="I1880" i="13"/>
  <c r="U1880" i="13"/>
  <c r="F1954" i="13"/>
  <c r="R1954" i="13"/>
  <c r="F1951" i="13"/>
  <c r="R1951" i="13"/>
  <c r="F1875" i="13"/>
  <c r="R1875" i="13"/>
  <c r="F1862" i="13"/>
  <c r="R1862" i="13"/>
  <c r="F1831" i="13"/>
  <c r="R1831" i="13"/>
  <c r="F1904" i="13"/>
  <c r="R1904" i="13"/>
  <c r="F1836" i="13"/>
  <c r="R1836" i="13"/>
  <c r="F1979" i="13"/>
  <c r="R1979" i="13"/>
  <c r="F1835" i="13"/>
  <c r="R1835" i="13"/>
  <c r="F1957" i="13"/>
  <c r="R1957" i="13"/>
  <c r="F1770" i="13"/>
  <c r="R1770" i="13"/>
  <c r="F1886" i="13"/>
  <c r="R1886" i="13"/>
  <c r="F1887" i="13"/>
  <c r="R1887" i="13"/>
  <c r="F1781" i="13"/>
  <c r="R1781" i="13"/>
  <c r="F1955" i="13"/>
  <c r="R1955" i="13"/>
  <c r="F1794" i="13"/>
  <c r="R1794" i="13"/>
  <c r="F1867" i="13"/>
  <c r="R1867" i="13"/>
  <c r="F1929" i="13"/>
  <c r="R1929" i="13"/>
  <c r="F1927" i="13"/>
  <c r="R1927" i="13"/>
  <c r="F1865" i="13"/>
  <c r="R1865" i="13"/>
  <c r="F1782" i="13"/>
  <c r="R1782" i="13"/>
  <c r="F1871" i="13"/>
  <c r="R1871" i="13"/>
  <c r="F1885" i="13"/>
  <c r="R1885" i="13"/>
  <c r="F1779" i="13"/>
  <c r="R1779" i="13"/>
  <c r="F1815" i="13"/>
  <c r="R1815" i="13"/>
  <c r="F1933" i="13"/>
  <c r="R1933" i="13"/>
  <c r="F1834" i="13"/>
  <c r="R1834" i="13"/>
  <c r="F1750" i="13"/>
  <c r="R1750" i="13"/>
  <c r="F1944" i="13"/>
  <c r="R1944" i="13"/>
  <c r="F1891" i="13"/>
  <c r="R1891" i="13"/>
  <c r="I1045" i="13"/>
  <c r="U1045" i="13"/>
  <c r="I1152" i="13"/>
  <c r="U1152" i="13"/>
  <c r="I1007" i="13"/>
  <c r="U1007" i="13"/>
  <c r="I1085" i="13"/>
  <c r="U1085" i="13"/>
  <c r="U997" i="13"/>
  <c r="I997" i="13"/>
  <c r="I1158" i="13"/>
  <c r="U1158" i="13"/>
  <c r="I1149" i="13"/>
  <c r="U1149" i="13"/>
  <c r="I1229" i="13"/>
  <c r="U1229" i="13"/>
  <c r="I1148" i="13"/>
  <c r="U1148" i="13"/>
  <c r="I1196" i="13"/>
  <c r="U1196" i="13"/>
  <c r="I1108" i="13"/>
  <c r="U1108" i="13"/>
  <c r="I1185" i="13"/>
  <c r="U1185" i="13"/>
  <c r="I1155" i="13"/>
  <c r="U1155" i="13"/>
  <c r="I1090" i="13"/>
  <c r="U1090" i="13"/>
  <c r="I1056" i="13"/>
  <c r="U1056" i="13"/>
  <c r="I1173" i="13"/>
  <c r="U1173" i="13"/>
  <c r="I1105" i="13"/>
  <c r="U1105" i="13"/>
  <c r="I1035" i="13"/>
  <c r="U1035" i="13"/>
  <c r="I1036" i="13"/>
  <c r="U1036" i="13"/>
  <c r="I1060" i="13"/>
  <c r="U1060" i="13"/>
  <c r="I1041" i="13"/>
  <c r="U1041" i="13"/>
  <c r="I1207" i="13"/>
  <c r="U1207" i="13"/>
  <c r="I1023" i="13"/>
  <c r="U1023" i="13"/>
  <c r="I1066" i="13"/>
  <c r="U1066" i="13"/>
  <c r="I1010" i="13"/>
  <c r="U1010" i="13"/>
  <c r="I1150" i="13"/>
  <c r="U1150" i="13"/>
  <c r="I1224" i="13"/>
  <c r="U1224" i="13"/>
  <c r="I1096" i="13"/>
  <c r="U1096" i="13"/>
  <c r="E1374" i="13"/>
  <c r="Q1374" i="13"/>
  <c r="E1426" i="13"/>
  <c r="Q1426" i="13"/>
  <c r="E1316" i="13"/>
  <c r="Q1316" i="13"/>
  <c r="E1352" i="13"/>
  <c r="Q1352" i="13"/>
  <c r="E1251" i="13"/>
  <c r="Q1251" i="13"/>
  <c r="E1428" i="13"/>
  <c r="Q1428" i="13"/>
  <c r="E1310" i="13"/>
  <c r="Q1310" i="13"/>
  <c r="E1257" i="13"/>
  <c r="Q1257" i="13"/>
  <c r="E1273" i="13"/>
  <c r="Q1273" i="13"/>
  <c r="E1308" i="13"/>
  <c r="Q1308" i="13"/>
  <c r="E1332" i="13"/>
  <c r="Q1332" i="13"/>
  <c r="E1376" i="13"/>
  <c r="Q1376" i="13"/>
  <c r="E1390" i="13"/>
  <c r="Q1390" i="13"/>
  <c r="E1280" i="13"/>
  <c r="Q1280" i="13"/>
  <c r="E1319" i="13"/>
  <c r="Q1319" i="13"/>
  <c r="E1471" i="13"/>
  <c r="Q1471" i="13"/>
  <c r="E1256" i="13"/>
  <c r="Q1256" i="13"/>
  <c r="E1284" i="13"/>
  <c r="Q1284" i="13"/>
  <c r="E1288" i="13"/>
  <c r="Q1288" i="13"/>
  <c r="E1329" i="13"/>
  <c r="Q1329" i="13"/>
  <c r="E1254" i="13"/>
  <c r="Q1254" i="13"/>
  <c r="E1278" i="13"/>
  <c r="Q1278" i="13"/>
  <c r="E1271" i="13"/>
  <c r="Q1271" i="13"/>
  <c r="E1464" i="13"/>
  <c r="Q1464" i="13"/>
  <c r="E1365" i="13"/>
  <c r="Q1365" i="13"/>
  <c r="E1457" i="13"/>
  <c r="Q1457" i="13"/>
  <c r="E1282" i="13"/>
  <c r="Q1282" i="13"/>
  <c r="E1361" i="13"/>
  <c r="Q1361" i="13"/>
  <c r="E1469" i="13"/>
  <c r="Q1469" i="13"/>
  <c r="E1249" i="13"/>
  <c r="Q1249" i="13"/>
  <c r="G895" i="13"/>
  <c r="S895" i="13"/>
  <c r="G972" i="13"/>
  <c r="S972" i="13"/>
  <c r="G975" i="13"/>
  <c r="S975" i="13"/>
  <c r="G807" i="13"/>
  <c r="S807" i="13"/>
  <c r="G785" i="13"/>
  <c r="S785" i="13"/>
  <c r="G792" i="13"/>
  <c r="S792" i="13"/>
  <c r="G858" i="13"/>
  <c r="S858" i="13"/>
  <c r="G789" i="13"/>
  <c r="S789" i="13"/>
  <c r="G750" i="13"/>
  <c r="S750" i="13"/>
  <c r="G931" i="13"/>
  <c r="S931" i="13"/>
  <c r="G945" i="13"/>
  <c r="S945" i="13"/>
  <c r="G912" i="13"/>
  <c r="S912" i="13"/>
  <c r="G974" i="13"/>
  <c r="S974" i="13"/>
  <c r="G934" i="13"/>
  <c r="S934" i="13"/>
  <c r="G863" i="13"/>
  <c r="S863" i="13"/>
  <c r="G787" i="13"/>
  <c r="S787" i="13"/>
  <c r="G873" i="13"/>
  <c r="S873" i="13"/>
  <c r="G841" i="13"/>
  <c r="S841" i="13"/>
  <c r="G829" i="13"/>
  <c r="S829" i="13"/>
  <c r="G949" i="13"/>
  <c r="S949" i="13"/>
  <c r="G915" i="13"/>
  <c r="S915" i="13"/>
  <c r="G900" i="13"/>
  <c r="S900" i="13"/>
  <c r="G811" i="13"/>
  <c r="S811" i="13"/>
  <c r="G976" i="13"/>
  <c r="S976" i="13"/>
  <c r="G759" i="13"/>
  <c r="S759" i="13"/>
  <c r="G806" i="13"/>
  <c r="S806" i="13"/>
  <c r="G853" i="13"/>
  <c r="S853" i="13"/>
  <c r="G798" i="13"/>
  <c r="S798" i="13"/>
  <c r="G888" i="13"/>
  <c r="S888" i="13"/>
  <c r="G896" i="13"/>
  <c r="S896" i="13"/>
  <c r="G797" i="13"/>
  <c r="S797" i="13"/>
  <c r="G775" i="13"/>
  <c r="S775" i="13"/>
  <c r="F2205" i="13"/>
  <c r="R2205" i="13"/>
  <c r="F2097" i="13"/>
  <c r="R2097" i="13"/>
  <c r="F2181" i="13"/>
  <c r="R2181" i="13"/>
  <c r="F2061" i="13"/>
  <c r="R2061" i="13"/>
  <c r="F2045" i="13"/>
  <c r="R2045" i="13"/>
  <c r="F2195" i="13"/>
  <c r="R2195" i="13"/>
  <c r="F2031" i="13"/>
  <c r="R2031" i="13"/>
  <c r="F2227" i="13"/>
  <c r="R2227" i="13"/>
  <c r="F2071" i="13"/>
  <c r="R2071" i="13"/>
  <c r="F2176" i="13"/>
  <c r="R2176" i="13"/>
  <c r="F2028" i="13"/>
  <c r="R2028" i="13"/>
  <c r="F2066" i="13"/>
  <c r="R2066" i="13"/>
  <c r="F2092" i="13"/>
  <c r="R2092" i="13"/>
  <c r="F2109" i="13"/>
  <c r="R2109" i="13"/>
  <c r="F2021" i="13"/>
  <c r="R2021" i="13"/>
  <c r="F2146" i="13"/>
  <c r="R2146" i="13"/>
  <c r="F2107" i="13"/>
  <c r="R2107" i="13"/>
  <c r="F2118" i="13"/>
  <c r="R2118" i="13"/>
  <c r="F2159" i="13"/>
  <c r="R2159" i="13"/>
  <c r="F2086" i="13"/>
  <c r="R2086" i="13"/>
  <c r="F2169" i="13"/>
  <c r="R2169" i="13"/>
  <c r="F2075" i="13"/>
  <c r="R2075" i="13"/>
  <c r="F2193" i="13"/>
  <c r="R2193" i="13"/>
  <c r="F2144" i="13"/>
  <c r="R2144" i="13"/>
  <c r="F2041" i="13"/>
  <c r="R2041" i="13"/>
  <c r="F2167" i="13"/>
  <c r="R2167" i="13"/>
  <c r="F2095" i="13"/>
  <c r="R2095" i="13"/>
  <c r="F2204" i="13"/>
  <c r="R2204" i="13"/>
  <c r="E2217" i="13"/>
  <c r="Q2217" i="13"/>
  <c r="E2051" i="13"/>
  <c r="Q2051" i="13"/>
  <c r="E2117" i="13"/>
  <c r="Q2117" i="13"/>
  <c r="E2137" i="13"/>
  <c r="Q2137" i="13"/>
  <c r="E2113" i="13"/>
  <c r="Q2113" i="13"/>
  <c r="E2085" i="13"/>
  <c r="Q2085" i="13"/>
  <c r="E1996" i="13"/>
  <c r="Q1996" i="13"/>
  <c r="E2100" i="13"/>
  <c r="Q2100" i="13"/>
  <c r="E2002" i="13"/>
  <c r="Q2002" i="13"/>
  <c r="E2130" i="13"/>
  <c r="Q2130" i="13"/>
  <c r="E2196" i="13"/>
  <c r="Q2196" i="13"/>
  <c r="E2120" i="13"/>
  <c r="Q2120" i="13"/>
  <c r="E2033" i="13"/>
  <c r="Q2033" i="13"/>
  <c r="E2077" i="13"/>
  <c r="Q2077" i="13"/>
  <c r="E2163" i="13"/>
  <c r="Q2163" i="13"/>
  <c r="E2144" i="13"/>
  <c r="Q2144" i="13"/>
  <c r="E2205" i="13"/>
  <c r="Q2205" i="13"/>
  <c r="E1992" i="13"/>
  <c r="Q1992" i="13"/>
  <c r="E2147" i="13"/>
  <c r="Q2147" i="13"/>
  <c r="E2160" i="13"/>
  <c r="Q2160" i="13"/>
  <c r="E2227" i="13"/>
  <c r="Q2227" i="13"/>
  <c r="E2142" i="13"/>
  <c r="Q2142" i="13"/>
  <c r="E2118" i="13"/>
  <c r="Q2118" i="13"/>
  <c r="E2089" i="13"/>
  <c r="Q2089" i="13"/>
  <c r="E2110" i="13"/>
  <c r="Q2110" i="13"/>
  <c r="E2076" i="13"/>
  <c r="Q2076" i="13"/>
  <c r="E2091" i="13"/>
  <c r="Q2091" i="13"/>
  <c r="G2359" i="13"/>
  <c r="S2359" i="13"/>
  <c r="G2346" i="13"/>
  <c r="S2346" i="13"/>
  <c r="G2384" i="13"/>
  <c r="S2384" i="13"/>
  <c r="G2245" i="13"/>
  <c r="S2245" i="13"/>
  <c r="G2470" i="13"/>
  <c r="S2470" i="13"/>
  <c r="G2259" i="13"/>
  <c r="S2259" i="13"/>
  <c r="G2372" i="13"/>
  <c r="S2372" i="13"/>
  <c r="G2422" i="13"/>
  <c r="S2422" i="13"/>
  <c r="G2344" i="13"/>
  <c r="S2344" i="13"/>
  <c r="G2461" i="13"/>
  <c r="S2461" i="13"/>
  <c r="G2416" i="13"/>
  <c r="S2416" i="13"/>
  <c r="G2395" i="13"/>
  <c r="S2395" i="13"/>
  <c r="G2325" i="13"/>
  <c r="S2325" i="13"/>
  <c r="G2467" i="13"/>
  <c r="S2467" i="13"/>
  <c r="G2378" i="13"/>
  <c r="S2378" i="13"/>
  <c r="G2260" i="13"/>
  <c r="S2260" i="13"/>
  <c r="G2350" i="13"/>
  <c r="S2350" i="13"/>
  <c r="G2427" i="13"/>
  <c r="S2427" i="13"/>
  <c r="G2251" i="13"/>
  <c r="S2251" i="13"/>
  <c r="G2291" i="13"/>
  <c r="S2291" i="13"/>
  <c r="G2362" i="13"/>
  <c r="S2362" i="13"/>
  <c r="G2442" i="13"/>
  <c r="S2442" i="13"/>
  <c r="G2263" i="13"/>
  <c r="S2263" i="13"/>
  <c r="G2419" i="13"/>
  <c r="S2419" i="13"/>
  <c r="G2466" i="13"/>
  <c r="S2466" i="13"/>
  <c r="G2420" i="13"/>
  <c r="S2420" i="13"/>
  <c r="G2321" i="13"/>
  <c r="S2321" i="13"/>
  <c r="G2409" i="13"/>
  <c r="S2409" i="13"/>
  <c r="G2281" i="13"/>
  <c r="S2281" i="13"/>
  <c r="G2444" i="13"/>
  <c r="S2444" i="13"/>
  <c r="G2459" i="13"/>
  <c r="S2459" i="13"/>
  <c r="I1641" i="13"/>
  <c r="U1641" i="13"/>
  <c r="I1648" i="13"/>
  <c r="U1648" i="13"/>
  <c r="I1728" i="13"/>
  <c r="U1728" i="13"/>
  <c r="I1501" i="13"/>
  <c r="U1501" i="13"/>
  <c r="I1673" i="13"/>
  <c r="U1673" i="13"/>
  <c r="I1596" i="13"/>
  <c r="U1596" i="13"/>
  <c r="I1627" i="13"/>
  <c r="U1627" i="13"/>
  <c r="I1504" i="13"/>
  <c r="U1504" i="13"/>
  <c r="I1726" i="13"/>
  <c r="U1726" i="13"/>
  <c r="I1552" i="13"/>
  <c r="U1552" i="13"/>
  <c r="I1713" i="13"/>
  <c r="U1713" i="13"/>
  <c r="I1511" i="13"/>
  <c r="U1511" i="13"/>
  <c r="I1506" i="13"/>
  <c r="U1506" i="13"/>
  <c r="I1534" i="13"/>
  <c r="U1534" i="13"/>
  <c r="I1638" i="13"/>
  <c r="U1638" i="13"/>
  <c r="I1695" i="13"/>
  <c r="U1695" i="13"/>
  <c r="I1598" i="13"/>
  <c r="U1598" i="13"/>
  <c r="I1676" i="13"/>
  <c r="U1676" i="13"/>
  <c r="I1647" i="13"/>
  <c r="U1647" i="13"/>
  <c r="I1691" i="13"/>
  <c r="U1691" i="13"/>
  <c r="I1567" i="13"/>
  <c r="U1567" i="13"/>
  <c r="I1716" i="13"/>
  <c r="U1716" i="13"/>
  <c r="I1609" i="13"/>
  <c r="U1609" i="13"/>
  <c r="I1565" i="13"/>
  <c r="U1565" i="13"/>
  <c r="I1588" i="13"/>
  <c r="U1588" i="13"/>
  <c r="I1525" i="13"/>
  <c r="U1525" i="13"/>
  <c r="I1527" i="13"/>
  <c r="U1527" i="13"/>
  <c r="I1681" i="13"/>
  <c r="U1681" i="13"/>
  <c r="I1618" i="13"/>
  <c r="U1618" i="13"/>
  <c r="I1690" i="13"/>
  <c r="U1690" i="13"/>
  <c r="F543" i="13"/>
  <c r="R543" i="13"/>
  <c r="F672" i="13"/>
  <c r="R672" i="13"/>
  <c r="F615" i="13"/>
  <c r="R615" i="13"/>
  <c r="F659" i="13"/>
  <c r="R659" i="13"/>
  <c r="F711" i="13"/>
  <c r="R711" i="13"/>
  <c r="F704" i="13"/>
  <c r="R704" i="13"/>
  <c r="F702" i="13"/>
  <c r="R702" i="13"/>
  <c r="F546" i="13"/>
  <c r="R546" i="13"/>
  <c r="F647" i="13"/>
  <c r="R647" i="13"/>
  <c r="F595" i="13"/>
  <c r="R595" i="13"/>
  <c r="F716" i="13"/>
  <c r="R716" i="13"/>
  <c r="F731" i="13"/>
  <c r="R731" i="13"/>
  <c r="F510" i="13"/>
  <c r="R510" i="13"/>
  <c r="F607" i="13"/>
  <c r="R607" i="13"/>
  <c r="F636" i="13"/>
  <c r="R636" i="13"/>
  <c r="F717" i="13"/>
  <c r="R717" i="13"/>
  <c r="F537" i="13"/>
  <c r="R537" i="13"/>
  <c r="F738" i="13"/>
  <c r="R738" i="13"/>
  <c r="F642" i="13"/>
  <c r="R642" i="13"/>
  <c r="F701" i="13"/>
  <c r="R701" i="13"/>
  <c r="F616" i="13"/>
  <c r="R616" i="13"/>
  <c r="F706" i="13"/>
  <c r="R706" i="13"/>
  <c r="F590" i="13"/>
  <c r="R590" i="13"/>
  <c r="F637" i="13"/>
  <c r="R637" i="13"/>
  <c r="F612" i="13"/>
  <c r="R612" i="13"/>
  <c r="F594" i="13"/>
  <c r="R594" i="13"/>
  <c r="F644" i="13"/>
  <c r="R644" i="13"/>
  <c r="F649" i="13"/>
  <c r="R649" i="13"/>
  <c r="F695" i="13"/>
  <c r="R695" i="13"/>
  <c r="H1940" i="13"/>
  <c r="T1940" i="13"/>
  <c r="H1864" i="13"/>
  <c r="T1864" i="13"/>
  <c r="H1921" i="13"/>
  <c r="T1921" i="13"/>
  <c r="H1904" i="13"/>
  <c r="T1904" i="13"/>
  <c r="H1789" i="13"/>
  <c r="T1789" i="13"/>
  <c r="H1868" i="13"/>
  <c r="T1868" i="13"/>
  <c r="H1931" i="13"/>
  <c r="T1931" i="13"/>
  <c r="H1896" i="13"/>
  <c r="T1896" i="13"/>
  <c r="H1867" i="13"/>
  <c r="T1867" i="13"/>
  <c r="H1839" i="13"/>
  <c r="T1839" i="13"/>
  <c r="H1787" i="13"/>
  <c r="T1787" i="13"/>
  <c r="H1755" i="13"/>
  <c r="T1755" i="13"/>
  <c r="H1811" i="13"/>
  <c r="T1811" i="13"/>
  <c r="H1774" i="13"/>
  <c r="T1774" i="13"/>
  <c r="H1768" i="13"/>
  <c r="T1768" i="13"/>
  <c r="H1846" i="13"/>
  <c r="T1846" i="13"/>
  <c r="H1951" i="13"/>
  <c r="T1951" i="13"/>
  <c r="H1829" i="13"/>
  <c r="T1829" i="13"/>
  <c r="H1750" i="13"/>
  <c r="T1750" i="13"/>
  <c r="H1819" i="13"/>
  <c r="T1819" i="13"/>
  <c r="H1947" i="13"/>
  <c r="T1947" i="13"/>
  <c r="H1909" i="13"/>
  <c r="T1909" i="13"/>
  <c r="H1967" i="13"/>
  <c r="T1967" i="13"/>
  <c r="H1885" i="13"/>
  <c r="T1885" i="13"/>
  <c r="H1840" i="13"/>
  <c r="T1840" i="13"/>
  <c r="H1907" i="13"/>
  <c r="T1907" i="13"/>
  <c r="H1791" i="13"/>
  <c r="T1791" i="13"/>
  <c r="H1952" i="13"/>
  <c r="T1952" i="13"/>
  <c r="H1762" i="13"/>
  <c r="T1762" i="13"/>
  <c r="G1307" i="13"/>
  <c r="S1307" i="13"/>
  <c r="G1377" i="13"/>
  <c r="S1377" i="13"/>
  <c r="G1280" i="13"/>
  <c r="S1280" i="13"/>
  <c r="G1388" i="13"/>
  <c r="S1388" i="13"/>
  <c r="G1302" i="13"/>
  <c r="S1302" i="13"/>
  <c r="G1375" i="13"/>
  <c r="S1375" i="13"/>
  <c r="G1374" i="13"/>
  <c r="S1374" i="13"/>
  <c r="G1429" i="13"/>
  <c r="S1429" i="13"/>
  <c r="G1341" i="13"/>
  <c r="S1341" i="13"/>
  <c r="G1483" i="13"/>
  <c r="S1483" i="13"/>
  <c r="G1338" i="13"/>
  <c r="S1338" i="13"/>
  <c r="G1268" i="13"/>
  <c r="S1268" i="13"/>
  <c r="G1363" i="13"/>
  <c r="S1363" i="13"/>
  <c r="G1283" i="13"/>
  <c r="S1283" i="13"/>
  <c r="G1254" i="13"/>
  <c r="S1254" i="13"/>
  <c r="G1287" i="13"/>
  <c r="S1287" i="13"/>
  <c r="G1248" i="13"/>
  <c r="S1248" i="13"/>
  <c r="G1352" i="13"/>
  <c r="S1352" i="13"/>
  <c r="G1383" i="13"/>
  <c r="S1383" i="13"/>
  <c r="G1340" i="13"/>
  <c r="S1340" i="13"/>
  <c r="G1405" i="13"/>
  <c r="S1405" i="13"/>
  <c r="G1486" i="13"/>
  <c r="S1486" i="13"/>
  <c r="G1298" i="13"/>
  <c r="S1298" i="13"/>
  <c r="G1387" i="13"/>
  <c r="S1387" i="13"/>
  <c r="G1271" i="13"/>
  <c r="S1271" i="13"/>
  <c r="G1344" i="13"/>
  <c r="S1344" i="13"/>
  <c r="G1347" i="13"/>
  <c r="S1347" i="13"/>
  <c r="G1484" i="13"/>
  <c r="S1484" i="13"/>
  <c r="G1355" i="13"/>
  <c r="S1355" i="13"/>
  <c r="H2204" i="13"/>
  <c r="T2204" i="13"/>
  <c r="H2165" i="13"/>
  <c r="T2165" i="13"/>
  <c r="H2002" i="13"/>
  <c r="T2002" i="13"/>
  <c r="H2208" i="13"/>
  <c r="T2208" i="13"/>
  <c r="H2032" i="13"/>
  <c r="T2032" i="13"/>
  <c r="H2041" i="13"/>
  <c r="T2041" i="13"/>
  <c r="H2069" i="13"/>
  <c r="T2069" i="13"/>
  <c r="H2073" i="13"/>
  <c r="T2073" i="13"/>
  <c r="H2150" i="13"/>
  <c r="T2150" i="13"/>
  <c r="H2173" i="13"/>
  <c r="T2173" i="13"/>
  <c r="H2036" i="13"/>
  <c r="T2036" i="13"/>
  <c r="H2175" i="13"/>
  <c r="T2175" i="13"/>
  <c r="H1991" i="13"/>
  <c r="T1991" i="13"/>
  <c r="H2092" i="13"/>
  <c r="T2092" i="13"/>
  <c r="H2207" i="13"/>
  <c r="T2207" i="13"/>
  <c r="H2149" i="13"/>
  <c r="T2149" i="13"/>
  <c r="H2021" i="13"/>
  <c r="T2021" i="13"/>
  <c r="H2012" i="13"/>
  <c r="T2012" i="13"/>
  <c r="H2157" i="13"/>
  <c r="T2157" i="13"/>
  <c r="H2194" i="13"/>
  <c r="T2194" i="13"/>
  <c r="H2035" i="13"/>
  <c r="T2035" i="13"/>
  <c r="H2113" i="13"/>
  <c r="T2113" i="13"/>
  <c r="H2166" i="13"/>
  <c r="T2166" i="13"/>
  <c r="H2152" i="13"/>
  <c r="T2152" i="13"/>
  <c r="H2163" i="13"/>
  <c r="T2163" i="13"/>
  <c r="H2022" i="13"/>
  <c r="T2022" i="13"/>
  <c r="H2058" i="13"/>
  <c r="T2058" i="13"/>
  <c r="H2052" i="13"/>
  <c r="T2052" i="13"/>
  <c r="F1628" i="13"/>
  <c r="R1628" i="13"/>
  <c r="F1562" i="13"/>
  <c r="R1562" i="13"/>
  <c r="F1522" i="13"/>
  <c r="R1522" i="13"/>
  <c r="F1693" i="13"/>
  <c r="R1693" i="13"/>
  <c r="F1569" i="13"/>
  <c r="R1569" i="13"/>
  <c r="F1675" i="13"/>
  <c r="R1675" i="13"/>
  <c r="F1734" i="13"/>
  <c r="R1734" i="13"/>
  <c r="F1539" i="13"/>
  <c r="R1539" i="13"/>
  <c r="F1559" i="13"/>
  <c r="R1559" i="13"/>
  <c r="F1531" i="13"/>
  <c r="R1531" i="13"/>
  <c r="F1544" i="13"/>
  <c r="R1544" i="13"/>
  <c r="F1676" i="13"/>
  <c r="R1676" i="13"/>
  <c r="F1510" i="13"/>
  <c r="R1510" i="13"/>
  <c r="F1504" i="13"/>
  <c r="R1504" i="13"/>
  <c r="F1669" i="13"/>
  <c r="R1669" i="13"/>
  <c r="F1658" i="13"/>
  <c r="R1658" i="13"/>
  <c r="F1552" i="13"/>
  <c r="R1552" i="13"/>
  <c r="F1589" i="13"/>
  <c r="R1589" i="13"/>
  <c r="F1609" i="13"/>
  <c r="R1609" i="13"/>
  <c r="F1521" i="13"/>
  <c r="R1521" i="13"/>
  <c r="F1619" i="13"/>
  <c r="R1619" i="13"/>
  <c r="F1595" i="13"/>
  <c r="R1595" i="13"/>
  <c r="F1597" i="13"/>
  <c r="R1597" i="13"/>
  <c r="F1661" i="13"/>
  <c r="R1661" i="13"/>
  <c r="F1606" i="13"/>
  <c r="R1606" i="13"/>
  <c r="F1722" i="13"/>
  <c r="R1722" i="13"/>
  <c r="F1695" i="13"/>
  <c r="R1695" i="13"/>
  <c r="F1663" i="13"/>
  <c r="R1663" i="13"/>
  <c r="G1967" i="13"/>
  <c r="S1967" i="13"/>
  <c r="G1854" i="13"/>
  <c r="S1854" i="13"/>
  <c r="G1790" i="13"/>
  <c r="S1790" i="13"/>
  <c r="G1960" i="13"/>
  <c r="S1960" i="13"/>
  <c r="G1957" i="13"/>
  <c r="S1957" i="13"/>
  <c r="G1901" i="13"/>
  <c r="S1901" i="13"/>
  <c r="G1911" i="13"/>
  <c r="S1911" i="13"/>
  <c r="G1964" i="13"/>
  <c r="S1964" i="13"/>
  <c r="G1807" i="13"/>
  <c r="S1807" i="13"/>
  <c r="G1890" i="13"/>
  <c r="S1890" i="13"/>
  <c r="G1827" i="13"/>
  <c r="S1827" i="13"/>
  <c r="G1820" i="13"/>
  <c r="S1820" i="13"/>
  <c r="G1775" i="13"/>
  <c r="S1775" i="13"/>
  <c r="G1792" i="13"/>
  <c r="S1792" i="13"/>
  <c r="G1955" i="13"/>
  <c r="S1955" i="13"/>
  <c r="G1811" i="13"/>
  <c r="S1811" i="13"/>
  <c r="G1774" i="13"/>
  <c r="S1774" i="13"/>
  <c r="G1768" i="13"/>
  <c r="S1768" i="13"/>
  <c r="G1758" i="13"/>
  <c r="S1758" i="13"/>
  <c r="G1771" i="13"/>
  <c r="S1771" i="13"/>
  <c r="G1857" i="13"/>
  <c r="S1857" i="13"/>
  <c r="G1891" i="13"/>
  <c r="S1891" i="13"/>
  <c r="G1776" i="13"/>
  <c r="S1776" i="13"/>
  <c r="G1947" i="13"/>
  <c r="S1947" i="13"/>
  <c r="G1909" i="13"/>
  <c r="S1909" i="13"/>
  <c r="G1783" i="13"/>
  <c r="S1783" i="13"/>
  <c r="G1799" i="13"/>
  <c r="S1799" i="13"/>
  <c r="G1893" i="13"/>
  <c r="S1893" i="13"/>
  <c r="G1812" i="13"/>
  <c r="S1812" i="13"/>
  <c r="H1163" i="13"/>
  <c r="T1163" i="13"/>
  <c r="H1113" i="13"/>
  <c r="T1113" i="13"/>
  <c r="H1114" i="13"/>
  <c r="T1114" i="13"/>
  <c r="H1138" i="13"/>
  <c r="T1138" i="13"/>
  <c r="H1100" i="13"/>
  <c r="T1100" i="13"/>
  <c r="H1103" i="13"/>
  <c r="T1103" i="13"/>
  <c r="H1012" i="13"/>
  <c r="T1012" i="13"/>
  <c r="H1130" i="13"/>
  <c r="T1130" i="13"/>
  <c r="H1196" i="13"/>
  <c r="T1196" i="13"/>
  <c r="H1157" i="13"/>
  <c r="T1157" i="13"/>
  <c r="H1098" i="13"/>
  <c r="T1098" i="13"/>
  <c r="H1145" i="13"/>
  <c r="T1145" i="13"/>
  <c r="H999" i="13"/>
  <c r="T999" i="13"/>
  <c r="H998" i="13"/>
  <c r="T998" i="13"/>
  <c r="T997" i="13"/>
  <c r="V997" i="13" s="1"/>
  <c r="A997" i="13" s="1"/>
  <c r="H997" i="13"/>
  <c r="H1021" i="13"/>
  <c r="T1021" i="13"/>
  <c r="H1063" i="13"/>
  <c r="T1063" i="13"/>
  <c r="H1156" i="13"/>
  <c r="T1156" i="13"/>
  <c r="H1091" i="13"/>
  <c r="T1091" i="13"/>
  <c r="H1117" i="13"/>
  <c r="T1117" i="13"/>
  <c r="H1121" i="13"/>
  <c r="T1121" i="13"/>
  <c r="H1095" i="13"/>
  <c r="T1095" i="13"/>
  <c r="H1159" i="13"/>
  <c r="T1159" i="13"/>
  <c r="H1206" i="13"/>
  <c r="T1206" i="13"/>
  <c r="H1092" i="13"/>
  <c r="T1092" i="13"/>
  <c r="H1045" i="13"/>
  <c r="T1045" i="13"/>
  <c r="H1229" i="13"/>
  <c r="T1229" i="13"/>
  <c r="H1135" i="13"/>
  <c r="T1135" i="13"/>
  <c r="H1015" i="13"/>
  <c r="T1015" i="13"/>
  <c r="E1015" i="13"/>
  <c r="Q1015" i="13"/>
  <c r="E1207" i="13"/>
  <c r="Q1207" i="13"/>
  <c r="E1188" i="13"/>
  <c r="Q1188" i="13"/>
  <c r="E1091" i="13"/>
  <c r="Q1091" i="13"/>
  <c r="E1115" i="13"/>
  <c r="Q1115" i="13"/>
  <c r="E1043" i="13"/>
  <c r="Q1043" i="13"/>
  <c r="E1132" i="13"/>
  <c r="Q1132" i="13"/>
  <c r="E1110" i="13"/>
  <c r="Q1110" i="13"/>
  <c r="E1129" i="13"/>
  <c r="Q1129" i="13"/>
  <c r="E1057" i="13"/>
  <c r="Q1057" i="13"/>
  <c r="E1014" i="13"/>
  <c r="Q1014" i="13"/>
  <c r="E1060" i="13"/>
  <c r="Q1060" i="13"/>
  <c r="E1042" i="13"/>
  <c r="Q1042" i="13"/>
  <c r="E1081" i="13"/>
  <c r="Q1081" i="13"/>
  <c r="E1122" i="13"/>
  <c r="Q1122" i="13"/>
  <c r="E1094" i="13"/>
  <c r="Q1094" i="13"/>
  <c r="E1067" i="13"/>
  <c r="Q1067" i="13"/>
  <c r="E1169" i="13"/>
  <c r="Q1169" i="13"/>
  <c r="E1200" i="13"/>
  <c r="Q1200" i="13"/>
  <c r="E1076" i="13"/>
  <c r="Q1076" i="13"/>
  <c r="E1156" i="13"/>
  <c r="Q1156" i="13"/>
  <c r="E1208" i="13"/>
  <c r="Q1208" i="13"/>
  <c r="E1021" i="13"/>
  <c r="Q1021" i="13"/>
  <c r="E1055" i="13"/>
  <c r="Q1055" i="13"/>
  <c r="E1039" i="13"/>
  <c r="Q1039" i="13"/>
  <c r="E1069" i="13"/>
  <c r="Q1069" i="13"/>
  <c r="E1051" i="13"/>
  <c r="Q1051" i="13"/>
  <c r="E1093" i="13"/>
  <c r="Q1093" i="13"/>
  <c r="E1121" i="13"/>
  <c r="Q1121" i="13"/>
  <c r="E1162" i="13"/>
  <c r="Q1162" i="13"/>
  <c r="F1300" i="13"/>
  <c r="R1300" i="13"/>
  <c r="F1468" i="13"/>
  <c r="R1468" i="13"/>
  <c r="F1396" i="13"/>
  <c r="R1396" i="13"/>
  <c r="F1310" i="13"/>
  <c r="R1310" i="13"/>
  <c r="F1420" i="13"/>
  <c r="R1420" i="13"/>
  <c r="F1388" i="13"/>
  <c r="R1388" i="13"/>
  <c r="F1352" i="13"/>
  <c r="R1352" i="13"/>
  <c r="F1406" i="13"/>
  <c r="R1406" i="13"/>
  <c r="F1459" i="13"/>
  <c r="R1459" i="13"/>
  <c r="F1482" i="13"/>
  <c r="R1482" i="13"/>
  <c r="F1302" i="13"/>
  <c r="R1302" i="13"/>
  <c r="F1297" i="13"/>
  <c r="R1297" i="13"/>
  <c r="F1339" i="13"/>
  <c r="R1339" i="13"/>
  <c r="F1450" i="13"/>
  <c r="R1450" i="13"/>
  <c r="F1370" i="13"/>
  <c r="R1370" i="13"/>
  <c r="F1412" i="13"/>
  <c r="R1412" i="13"/>
  <c r="F1424" i="13"/>
  <c r="R1424" i="13"/>
  <c r="F1369" i="13"/>
  <c r="R1369" i="13"/>
  <c r="F1480" i="13"/>
  <c r="R1480" i="13"/>
  <c r="F1429" i="13"/>
  <c r="R1429" i="13"/>
  <c r="F1262" i="13"/>
  <c r="R1262" i="13"/>
  <c r="F1439" i="13"/>
  <c r="R1439" i="13"/>
  <c r="F1367" i="13"/>
  <c r="R1367" i="13"/>
  <c r="F1331" i="13"/>
  <c r="R1331" i="13"/>
  <c r="F1344" i="13"/>
  <c r="R1344" i="13"/>
  <c r="F1481" i="13"/>
  <c r="R1481" i="13"/>
  <c r="F1417" i="13"/>
  <c r="R1417" i="13"/>
  <c r="F1460" i="13"/>
  <c r="R1460" i="13"/>
  <c r="H794" i="13"/>
  <c r="T794" i="13"/>
  <c r="H771" i="13"/>
  <c r="T771" i="13"/>
  <c r="H776" i="13"/>
  <c r="T776" i="13"/>
  <c r="H823" i="13"/>
  <c r="T823" i="13"/>
  <c r="H804" i="13"/>
  <c r="T804" i="13"/>
  <c r="H864" i="13"/>
  <c r="T864" i="13"/>
  <c r="H799" i="13"/>
  <c r="T799" i="13"/>
  <c r="H945" i="13"/>
  <c r="T945" i="13"/>
  <c r="H924" i="13"/>
  <c r="T924" i="13"/>
  <c r="H825" i="13"/>
  <c r="T825" i="13"/>
  <c r="H954" i="13"/>
  <c r="T954" i="13"/>
  <c r="H925" i="13"/>
  <c r="T925" i="13"/>
  <c r="H865" i="13"/>
  <c r="T865" i="13"/>
  <c r="H868" i="13"/>
  <c r="T868" i="13"/>
  <c r="H836" i="13"/>
  <c r="T836" i="13"/>
  <c r="H759" i="13"/>
  <c r="T759" i="13"/>
  <c r="H840" i="13"/>
  <c r="T840" i="13"/>
  <c r="H763" i="13"/>
  <c r="T763" i="13"/>
  <c r="H807" i="13"/>
  <c r="T807" i="13"/>
  <c r="H907" i="13"/>
  <c r="T907" i="13"/>
  <c r="H966" i="13"/>
  <c r="T966" i="13"/>
  <c r="H912" i="13"/>
  <c r="T912" i="13"/>
  <c r="H974" i="13"/>
  <c r="T974" i="13"/>
  <c r="H952" i="13"/>
  <c r="T952" i="13"/>
  <c r="H801" i="13"/>
  <c r="T801" i="13"/>
  <c r="H881" i="13"/>
  <c r="T881" i="13"/>
  <c r="H805" i="13"/>
  <c r="T805" i="13"/>
  <c r="G2055" i="13"/>
  <c r="S2055" i="13"/>
  <c r="G2225" i="13"/>
  <c r="S2225" i="13"/>
  <c r="G2046" i="13"/>
  <c r="S2046" i="13"/>
  <c r="G2204" i="13"/>
  <c r="S2204" i="13"/>
  <c r="G2202" i="13"/>
  <c r="S2202" i="13"/>
  <c r="G2089" i="13"/>
  <c r="S2089" i="13"/>
  <c r="G2163" i="13"/>
  <c r="S2163" i="13"/>
  <c r="G1998" i="13"/>
  <c r="S1998" i="13"/>
  <c r="G2128" i="13"/>
  <c r="S2128" i="13"/>
  <c r="G2132" i="13"/>
  <c r="S2132" i="13"/>
  <c r="G2142" i="13"/>
  <c r="S2142" i="13"/>
  <c r="G2125" i="13"/>
  <c r="S2125" i="13"/>
  <c r="G2141" i="13"/>
  <c r="S2141" i="13"/>
  <c r="G2117" i="13"/>
  <c r="S2117" i="13"/>
  <c r="G2191" i="13"/>
  <c r="S2191" i="13"/>
  <c r="G2120" i="13"/>
  <c r="S2120" i="13"/>
  <c r="G2092" i="13"/>
  <c r="S2092" i="13"/>
  <c r="G2064" i="13"/>
  <c r="S2064" i="13"/>
  <c r="G2176" i="13"/>
  <c r="S2176" i="13"/>
  <c r="G2173" i="13"/>
  <c r="S2173" i="13"/>
  <c r="G2135" i="13"/>
  <c r="S2135" i="13"/>
  <c r="G2013" i="13"/>
  <c r="S2013" i="13"/>
  <c r="G2212" i="13"/>
  <c r="S2212" i="13"/>
  <c r="G2027" i="13"/>
  <c r="S2027" i="13"/>
  <c r="G2179" i="13"/>
  <c r="S2179" i="13"/>
  <c r="G2177" i="13"/>
  <c r="S2177" i="13"/>
  <c r="G2217" i="13"/>
  <c r="S2217" i="13"/>
  <c r="G2154" i="13"/>
  <c r="S2154" i="13"/>
  <c r="H2323" i="13"/>
  <c r="T2323" i="13"/>
  <c r="H2248" i="13"/>
  <c r="T2248" i="13"/>
  <c r="H2393" i="13"/>
  <c r="T2393" i="13"/>
  <c r="H2263" i="13"/>
  <c r="T2263" i="13"/>
  <c r="H2453" i="13"/>
  <c r="T2453" i="13"/>
  <c r="H2403" i="13"/>
  <c r="T2403" i="13"/>
  <c r="H2399" i="13"/>
  <c r="T2399" i="13"/>
  <c r="H2460" i="13"/>
  <c r="T2460" i="13"/>
  <c r="H2392" i="13"/>
  <c r="T2392" i="13"/>
  <c r="H2444" i="13"/>
  <c r="T2444" i="13"/>
  <c r="H2402" i="13"/>
  <c r="T2402" i="13"/>
  <c r="H2380" i="13"/>
  <c r="T2380" i="13"/>
  <c r="H2256" i="13"/>
  <c r="T2256" i="13"/>
  <c r="H2384" i="13"/>
  <c r="T2384" i="13"/>
  <c r="H2306" i="13"/>
  <c r="T2306" i="13"/>
  <c r="H2317" i="13"/>
  <c r="T2317" i="13"/>
  <c r="H2383" i="13"/>
  <c r="T2383" i="13"/>
  <c r="H2305" i="13"/>
  <c r="T2305" i="13"/>
  <c r="H2314" i="13"/>
  <c r="T2314" i="13"/>
  <c r="H2346" i="13"/>
  <c r="T2346" i="13"/>
  <c r="H2330" i="13"/>
  <c r="T2330" i="13"/>
  <c r="H2455" i="13"/>
  <c r="T2455" i="13"/>
  <c r="H2443" i="13"/>
  <c r="T2443" i="13"/>
  <c r="H2288" i="13"/>
  <c r="T2288" i="13"/>
  <c r="H2355" i="13"/>
  <c r="T2355" i="13"/>
  <c r="H2441" i="13"/>
  <c r="T2441" i="13"/>
  <c r="H2258" i="13"/>
  <c r="T2258" i="13"/>
  <c r="H2349" i="13"/>
  <c r="T2349" i="13"/>
  <c r="H2468" i="13"/>
  <c r="T2468" i="13"/>
  <c r="T2237" i="13"/>
  <c r="V2237" i="13" s="1"/>
  <c r="A2237" i="13" s="1"/>
  <c r="H2237" i="13"/>
  <c r="F2316" i="13"/>
  <c r="R2316" i="13"/>
  <c r="F2336" i="13"/>
  <c r="R2336" i="13"/>
  <c r="F2382" i="13"/>
  <c r="R2382" i="13"/>
  <c r="F2453" i="13"/>
  <c r="R2453" i="13"/>
  <c r="F2434" i="13"/>
  <c r="R2434" i="13"/>
  <c r="F2368" i="13"/>
  <c r="R2368" i="13"/>
  <c r="F2472" i="13"/>
  <c r="R2472" i="13"/>
  <c r="F2267" i="13"/>
  <c r="R2267" i="13"/>
  <c r="F2293" i="13"/>
  <c r="R2293" i="13"/>
  <c r="F2455" i="13"/>
  <c r="R2455" i="13"/>
  <c r="F2325" i="13"/>
  <c r="R2325" i="13"/>
  <c r="F2362" i="13"/>
  <c r="R2362" i="13"/>
  <c r="F2398" i="13"/>
  <c r="R2398" i="13"/>
  <c r="F2290" i="13"/>
  <c r="R2290" i="13"/>
  <c r="F2306" i="13"/>
  <c r="R2306" i="13"/>
  <c r="F2242" i="13"/>
  <c r="R2242" i="13"/>
  <c r="F2454" i="13"/>
  <c r="R2454" i="13"/>
  <c r="F2421" i="13"/>
  <c r="R2421" i="13"/>
  <c r="F2276" i="13"/>
  <c r="R2276" i="13"/>
  <c r="F2345" i="13"/>
  <c r="R2345" i="13"/>
  <c r="F2370" i="13"/>
  <c r="R2370" i="13"/>
  <c r="F2451" i="13"/>
  <c r="R2451" i="13"/>
  <c r="F2466" i="13"/>
  <c r="R2466" i="13"/>
  <c r="F2436" i="13"/>
  <c r="R2436" i="13"/>
  <c r="F2319" i="13"/>
  <c r="R2319" i="13"/>
  <c r="F2247" i="13"/>
  <c r="R2247" i="13"/>
  <c r="F2303" i="13"/>
  <c r="R2303" i="13"/>
  <c r="F2244" i="13"/>
  <c r="R2244" i="13"/>
  <c r="E1531" i="13"/>
  <c r="Q1531" i="13"/>
  <c r="E1497" i="13"/>
  <c r="Q1497" i="13"/>
  <c r="E1635" i="13"/>
  <c r="Q1635" i="13"/>
  <c r="E1559" i="13"/>
  <c r="Q1559" i="13"/>
  <c r="E1674" i="13"/>
  <c r="Q1674" i="13"/>
  <c r="E1672" i="13"/>
  <c r="Q1672" i="13"/>
  <c r="E1691" i="13"/>
  <c r="Q1691" i="13"/>
  <c r="E1735" i="13"/>
  <c r="Q1735" i="13"/>
  <c r="E1552" i="13"/>
  <c r="Q1552" i="13"/>
  <c r="E1517" i="13"/>
  <c r="Q1517" i="13"/>
  <c r="E1548" i="13"/>
  <c r="Q1548" i="13"/>
  <c r="E1556" i="13"/>
  <c r="Q1556" i="13"/>
  <c r="E1612" i="13"/>
  <c r="Q1612" i="13"/>
  <c r="E1671" i="13"/>
  <c r="Q1671" i="13"/>
  <c r="E1644" i="13"/>
  <c r="Q1644" i="13"/>
  <c r="E1669" i="13"/>
  <c r="Q1669" i="13"/>
  <c r="E1658" i="13"/>
  <c r="Q1658" i="13"/>
  <c r="E1624" i="13"/>
  <c r="Q1624" i="13"/>
  <c r="E1697" i="13"/>
  <c r="Q1697" i="13"/>
  <c r="E1701" i="13"/>
  <c r="Q1701" i="13"/>
  <c r="E1659" i="13"/>
  <c r="Q1659" i="13"/>
  <c r="E1508" i="13"/>
  <c r="Q1508" i="13"/>
  <c r="E1522" i="13"/>
  <c r="Q1522" i="13"/>
  <c r="E1664" i="13"/>
  <c r="Q1664" i="13"/>
  <c r="E1680" i="13"/>
  <c r="Q1680" i="13"/>
  <c r="E1640" i="13"/>
  <c r="Q1640" i="13"/>
  <c r="E1692" i="13"/>
  <c r="Q1692" i="13"/>
  <c r="E1636" i="13"/>
  <c r="Q1636" i="13"/>
  <c r="E1702" i="13"/>
  <c r="Q1702" i="13"/>
  <c r="E1711" i="13"/>
  <c r="Q1711" i="13"/>
  <c r="G606" i="13"/>
  <c r="S606" i="13"/>
  <c r="G539" i="13"/>
  <c r="S539" i="13"/>
  <c r="G542" i="13"/>
  <c r="S542" i="13"/>
  <c r="G574" i="13"/>
  <c r="S574" i="13"/>
  <c r="G537" i="13"/>
  <c r="S537" i="13"/>
  <c r="G731" i="13"/>
  <c r="S731" i="13"/>
  <c r="G676" i="13"/>
  <c r="S676" i="13"/>
  <c r="G505" i="13"/>
  <c r="S505" i="13"/>
  <c r="G572" i="13"/>
  <c r="S572" i="13"/>
  <c r="G631" i="13"/>
  <c r="S631" i="13"/>
  <c r="G562" i="13"/>
  <c r="S562" i="13"/>
  <c r="G681" i="13"/>
  <c r="S681" i="13"/>
  <c r="G714" i="13"/>
  <c r="S714" i="13"/>
  <c r="G526" i="13"/>
  <c r="S526" i="13"/>
  <c r="G648" i="13"/>
  <c r="S648" i="13"/>
  <c r="G634" i="13"/>
  <c r="S634" i="13"/>
  <c r="G529" i="13"/>
  <c r="S529" i="13"/>
  <c r="G651" i="13"/>
  <c r="S651" i="13"/>
  <c r="G534" i="13"/>
  <c r="S534" i="13"/>
  <c r="G554" i="13"/>
  <c r="S554" i="13"/>
  <c r="G566" i="13"/>
  <c r="S566" i="13"/>
  <c r="G532" i="13"/>
  <c r="S532" i="13"/>
  <c r="G591" i="13"/>
  <c r="S591" i="13"/>
  <c r="G711" i="13"/>
  <c r="S711" i="13"/>
  <c r="G652" i="13"/>
  <c r="S652" i="13"/>
  <c r="G740" i="13"/>
  <c r="S740" i="13"/>
  <c r="G642" i="13"/>
  <c r="S642" i="13"/>
  <c r="G641" i="13"/>
  <c r="S641" i="13"/>
  <c r="G514" i="13"/>
  <c r="S514" i="13"/>
  <c r="G710" i="13"/>
  <c r="S710" i="13"/>
  <c r="I1437" i="13"/>
  <c r="U1437" i="13"/>
  <c r="I1259" i="13"/>
  <c r="U1259" i="13"/>
  <c r="I1440" i="13"/>
  <c r="U1440" i="13"/>
  <c r="I1321" i="13"/>
  <c r="U1321" i="13"/>
  <c r="I1372" i="13"/>
  <c r="U1372" i="13"/>
  <c r="I1486" i="13"/>
  <c r="U1486" i="13"/>
  <c r="I1475" i="13"/>
  <c r="U1475" i="13"/>
  <c r="I1312" i="13"/>
  <c r="U1312" i="13"/>
  <c r="I1407" i="13"/>
  <c r="U1407" i="13"/>
  <c r="I1341" i="13"/>
  <c r="U1341" i="13"/>
  <c r="I1335" i="13"/>
  <c r="U1335" i="13"/>
  <c r="I1381" i="13"/>
  <c r="U1381" i="13"/>
  <c r="I1463" i="13"/>
  <c r="U1463" i="13"/>
  <c r="I1275" i="13"/>
  <c r="U1275" i="13"/>
  <c r="I1274" i="13"/>
  <c r="U1274" i="13"/>
  <c r="I1360" i="13"/>
  <c r="U1360" i="13"/>
  <c r="I1286" i="13"/>
  <c r="U1286" i="13"/>
  <c r="I1345" i="13"/>
  <c r="U1345" i="13"/>
  <c r="I1331" i="13"/>
  <c r="U1331" i="13"/>
  <c r="I1456" i="13"/>
  <c r="U1456" i="13"/>
  <c r="I1392" i="13"/>
  <c r="U1392" i="13"/>
  <c r="I1311" i="13"/>
  <c r="U1311" i="13"/>
  <c r="I1364" i="13"/>
  <c r="U1364" i="13"/>
  <c r="I1451" i="13"/>
  <c r="U1451" i="13"/>
  <c r="I1384" i="13"/>
  <c r="U1384" i="13"/>
  <c r="I1336" i="13"/>
  <c r="U1336" i="13"/>
  <c r="I1398" i="13"/>
  <c r="U1398" i="13"/>
  <c r="I1375" i="13"/>
  <c r="U1375" i="13"/>
  <c r="I1417" i="13"/>
  <c r="U1417" i="13"/>
  <c r="I1393" i="13"/>
  <c r="U1393" i="13"/>
  <c r="H1624" i="13"/>
  <c r="T1624" i="13"/>
  <c r="H1564" i="13"/>
  <c r="T1564" i="13"/>
  <c r="H1594" i="13"/>
  <c r="T1594" i="13"/>
  <c r="H1634" i="13"/>
  <c r="T1634" i="13"/>
  <c r="H1595" i="13"/>
  <c r="T1595" i="13"/>
  <c r="H1531" i="13"/>
  <c r="T1531" i="13"/>
  <c r="H1570" i="13"/>
  <c r="T1570" i="13"/>
  <c r="H1542" i="13"/>
  <c r="T1542" i="13"/>
  <c r="H1666" i="13"/>
  <c r="T1666" i="13"/>
  <c r="H1677" i="13"/>
  <c r="T1677" i="13"/>
  <c r="H1644" i="13"/>
  <c r="T1644" i="13"/>
  <c r="H1662" i="13"/>
  <c r="T1662" i="13"/>
  <c r="H1636" i="13"/>
  <c r="T1636" i="13"/>
  <c r="H1731" i="13"/>
  <c r="T1731" i="13"/>
  <c r="H1612" i="13"/>
  <c r="T1612" i="13"/>
  <c r="H1544" i="13"/>
  <c r="T1544" i="13"/>
  <c r="H1578" i="13"/>
  <c r="T1578" i="13"/>
  <c r="H1586" i="13"/>
  <c r="T1586" i="13"/>
  <c r="H1588" i="13"/>
  <c r="T1588" i="13"/>
  <c r="H1687" i="13"/>
  <c r="T1687" i="13"/>
  <c r="H1628" i="13"/>
  <c r="T1628" i="13"/>
  <c r="H1553" i="13"/>
  <c r="T1553" i="13"/>
  <c r="H1596" i="13"/>
  <c r="T1596" i="13"/>
  <c r="H1711" i="13"/>
  <c r="T1711" i="13"/>
  <c r="E1930" i="13"/>
  <c r="Q1930" i="13"/>
  <c r="E1798" i="13"/>
  <c r="Q1798" i="13"/>
  <c r="E1945" i="13"/>
  <c r="Q1945" i="13"/>
  <c r="E1881" i="13"/>
  <c r="Q1881" i="13"/>
  <c r="E1834" i="13"/>
  <c r="Q1834" i="13"/>
  <c r="E1935" i="13"/>
  <c r="Q1935" i="13"/>
  <c r="E1788" i="13"/>
  <c r="Q1788" i="13"/>
  <c r="E1799" i="13"/>
  <c r="Q1799" i="13"/>
  <c r="E1911" i="13"/>
  <c r="Q1911" i="13"/>
  <c r="E1832" i="13"/>
  <c r="Q1832" i="13"/>
  <c r="E1784" i="13"/>
  <c r="Q1784" i="13"/>
  <c r="E1838" i="13"/>
  <c r="Q1838" i="13"/>
  <c r="E1884" i="13"/>
  <c r="Q1884" i="13"/>
  <c r="E1765" i="13"/>
  <c r="Q1765" i="13"/>
  <c r="E1837" i="13"/>
  <c r="Q1837" i="13"/>
  <c r="E1772" i="13"/>
  <c r="Q1772" i="13"/>
  <c r="E1931" i="13"/>
  <c r="Q1931" i="13"/>
  <c r="E1913" i="13"/>
  <c r="Q1913" i="13"/>
  <c r="E1901" i="13"/>
  <c r="Q1901" i="13"/>
  <c r="E1869" i="13"/>
  <c r="Q1869" i="13"/>
  <c r="E1950" i="13"/>
  <c r="Q1950" i="13"/>
  <c r="Q1741" i="13"/>
  <c r="E1741" i="13"/>
  <c r="E1844" i="13"/>
  <c r="Q1844" i="13"/>
  <c r="E1981" i="13"/>
  <c r="Q1981" i="13"/>
  <c r="E1873" i="13"/>
  <c r="Q1873" i="13"/>
  <c r="E1944" i="13"/>
  <c r="Q1944" i="13"/>
  <c r="E1948" i="13"/>
  <c r="Q1948" i="13"/>
  <c r="E1924" i="13"/>
  <c r="Q1924" i="13"/>
  <c r="E1828" i="13"/>
  <c r="Q1828" i="13"/>
  <c r="G1007" i="13"/>
  <c r="S1007" i="13"/>
  <c r="G1039" i="13"/>
  <c r="S1039" i="13"/>
  <c r="G1055" i="13"/>
  <c r="S1055" i="13"/>
  <c r="G1136" i="13"/>
  <c r="S1136" i="13"/>
  <c r="G1195" i="13"/>
  <c r="S1195" i="13"/>
  <c r="G1018" i="13"/>
  <c r="S1018" i="13"/>
  <c r="G1138" i="13"/>
  <c r="S1138" i="13"/>
  <c r="G1012" i="13"/>
  <c r="S1012" i="13"/>
  <c r="G1140" i="13"/>
  <c r="S1140" i="13"/>
  <c r="G1076" i="13"/>
  <c r="S1076" i="13"/>
  <c r="G1221" i="13"/>
  <c r="S1221" i="13"/>
  <c r="G1052" i="13"/>
  <c r="S1052" i="13"/>
  <c r="G1232" i="13"/>
  <c r="S1232" i="13"/>
  <c r="G1097" i="13"/>
  <c r="S1097" i="13"/>
  <c r="G1009" i="13"/>
  <c r="S1009" i="13"/>
  <c r="G1171" i="13"/>
  <c r="S1171" i="13"/>
  <c r="G1113" i="13"/>
  <c r="S1113" i="13"/>
  <c r="G1149" i="13"/>
  <c r="S1149" i="13"/>
  <c r="G1210" i="13"/>
  <c r="S1210" i="13"/>
  <c r="G1131" i="13"/>
  <c r="S1131" i="13"/>
  <c r="G1234" i="13"/>
  <c r="S1234" i="13"/>
  <c r="G1212" i="13"/>
  <c r="S1212" i="13"/>
  <c r="G1111" i="13"/>
  <c r="S1111" i="13"/>
  <c r="G1040" i="13"/>
  <c r="S1040" i="13"/>
  <c r="G1137" i="13"/>
  <c r="S1137" i="13"/>
  <c r="G1087" i="13"/>
  <c r="S1087" i="13"/>
  <c r="G1026" i="13"/>
  <c r="S1026" i="13"/>
  <c r="G1193" i="13"/>
  <c r="S1193" i="13"/>
  <c r="G1211" i="13"/>
  <c r="S1211" i="13"/>
  <c r="H1413" i="13"/>
  <c r="T1413" i="13"/>
  <c r="H1320" i="13"/>
  <c r="T1320" i="13"/>
  <c r="H1474" i="13"/>
  <c r="T1474" i="13"/>
  <c r="H1292" i="13"/>
  <c r="T1292" i="13"/>
  <c r="H1357" i="13"/>
  <c r="T1357" i="13"/>
  <c r="H1369" i="13"/>
  <c r="T1369" i="13"/>
  <c r="H1435" i="13"/>
  <c r="T1435" i="13"/>
  <c r="H1346" i="13"/>
  <c r="T1346" i="13"/>
  <c r="H1266" i="13"/>
  <c r="T1266" i="13"/>
  <c r="H1250" i="13"/>
  <c r="T1250" i="13"/>
  <c r="H1367" i="13"/>
  <c r="T1367" i="13"/>
  <c r="H1433" i="13"/>
  <c r="T1433" i="13"/>
  <c r="H1479" i="13"/>
  <c r="T1479" i="13"/>
  <c r="H1471" i="13"/>
  <c r="T1471" i="13"/>
  <c r="H1267" i="13"/>
  <c r="T1267" i="13"/>
  <c r="H1301" i="13"/>
  <c r="T1301" i="13"/>
  <c r="H1318" i="13"/>
  <c r="T1318" i="13"/>
  <c r="H1423" i="13"/>
  <c r="T1423" i="13"/>
  <c r="H1333" i="13"/>
  <c r="T1333" i="13"/>
  <c r="H1316" i="13"/>
  <c r="T1316" i="13"/>
  <c r="H1441" i="13"/>
  <c r="T1441" i="13"/>
  <c r="H1453" i="13"/>
  <c r="T1453" i="13"/>
  <c r="H1272" i="13"/>
  <c r="T1272" i="13"/>
  <c r="H1416" i="13"/>
  <c r="T1416" i="13"/>
  <c r="H1376" i="13"/>
  <c r="T1376" i="13"/>
  <c r="H1293" i="13"/>
  <c r="T1293" i="13"/>
  <c r="H1480" i="13"/>
  <c r="T1480" i="13"/>
  <c r="H1378" i="13"/>
  <c r="T1378" i="13"/>
  <c r="H1371" i="13"/>
  <c r="T1371" i="13"/>
  <c r="I759" i="13"/>
  <c r="U759" i="13"/>
  <c r="I982" i="13"/>
  <c r="U982" i="13"/>
  <c r="I766" i="13"/>
  <c r="U766" i="13"/>
  <c r="I857" i="13"/>
  <c r="U857" i="13"/>
  <c r="I823" i="13"/>
  <c r="U823" i="13"/>
  <c r="I807" i="13"/>
  <c r="U807" i="13"/>
  <c r="I792" i="13"/>
  <c r="U792" i="13"/>
  <c r="I895" i="13"/>
  <c r="U895" i="13"/>
  <c r="I783" i="13"/>
  <c r="U783" i="13"/>
  <c r="I904" i="13"/>
  <c r="U904" i="13"/>
  <c r="I781" i="13"/>
  <c r="U781" i="13"/>
  <c r="U749" i="13"/>
  <c r="V749" i="13" s="1"/>
  <c r="A749" i="13" s="1"/>
  <c r="I749" i="13"/>
  <c r="I797" i="13"/>
  <c r="U797" i="13"/>
  <c r="I926" i="13"/>
  <c r="U926" i="13"/>
  <c r="I961" i="13"/>
  <c r="U961" i="13"/>
  <c r="I929" i="13"/>
  <c r="U929" i="13"/>
  <c r="I882" i="13"/>
  <c r="U882" i="13"/>
  <c r="I945" i="13"/>
  <c r="U945" i="13"/>
  <c r="I838" i="13"/>
  <c r="U838" i="13"/>
  <c r="I813" i="13"/>
  <c r="U813" i="13"/>
  <c r="I947" i="13"/>
  <c r="U947" i="13"/>
  <c r="I805" i="13"/>
  <c r="U805" i="13"/>
  <c r="I830" i="13"/>
  <c r="U830" i="13"/>
  <c r="I826" i="13"/>
  <c r="U826" i="13"/>
  <c r="I762" i="13"/>
  <c r="U762" i="13"/>
  <c r="I770" i="13"/>
  <c r="U770" i="13"/>
  <c r="I833" i="13"/>
  <c r="U833" i="13"/>
  <c r="I924" i="13"/>
  <c r="U924" i="13"/>
  <c r="I986" i="13"/>
  <c r="U986" i="13"/>
  <c r="F790" i="13"/>
  <c r="R790" i="13"/>
  <c r="F822" i="13"/>
  <c r="R822" i="13"/>
  <c r="F789" i="13"/>
  <c r="R789" i="13"/>
  <c r="F919" i="13"/>
  <c r="R919" i="13"/>
  <c r="F881" i="13"/>
  <c r="R881" i="13"/>
  <c r="F967" i="13"/>
  <c r="R967" i="13"/>
  <c r="F823" i="13"/>
  <c r="R823" i="13"/>
  <c r="F802" i="13"/>
  <c r="R802" i="13"/>
  <c r="F788" i="13"/>
  <c r="R788" i="13"/>
  <c r="F904" i="13"/>
  <c r="R904" i="13"/>
  <c r="F858" i="13"/>
  <c r="R858" i="13"/>
  <c r="F845" i="13"/>
  <c r="R845" i="13"/>
  <c r="F750" i="13"/>
  <c r="R750" i="13"/>
  <c r="F756" i="13"/>
  <c r="R756" i="13"/>
  <c r="F934" i="13"/>
  <c r="R934" i="13"/>
  <c r="F891" i="13"/>
  <c r="R891" i="13"/>
  <c r="F937" i="13"/>
  <c r="R937" i="13"/>
  <c r="F870" i="13"/>
  <c r="R870" i="13"/>
  <c r="F918" i="13"/>
  <c r="R918" i="13"/>
  <c r="F765" i="13"/>
  <c r="R765" i="13"/>
  <c r="F963" i="13"/>
  <c r="R963" i="13"/>
  <c r="F951" i="13"/>
  <c r="R951" i="13"/>
  <c r="F818" i="13"/>
  <c r="R818" i="13"/>
  <c r="F867" i="13"/>
  <c r="R867" i="13"/>
  <c r="F929" i="13"/>
  <c r="R929" i="13"/>
  <c r="F777" i="13"/>
  <c r="R777" i="13"/>
  <c r="F885" i="13"/>
  <c r="R885" i="13"/>
  <c r="F966" i="13"/>
  <c r="R966" i="13"/>
  <c r="F906" i="13"/>
  <c r="R906" i="13"/>
  <c r="I2167" i="13"/>
  <c r="U2167" i="13"/>
  <c r="I2008" i="13"/>
  <c r="U2008" i="13"/>
  <c r="I2013" i="13"/>
  <c r="U2013" i="13"/>
  <c r="I2101" i="13"/>
  <c r="U2101" i="13"/>
  <c r="I2088" i="13"/>
  <c r="U2088" i="13"/>
  <c r="I2116" i="13"/>
  <c r="U2116" i="13"/>
  <c r="I2177" i="13"/>
  <c r="U2177" i="13"/>
  <c r="I2137" i="13"/>
  <c r="U2137" i="13"/>
  <c r="I2006" i="13"/>
  <c r="U2006" i="13"/>
  <c r="I2015" i="13"/>
  <c r="U2015" i="13"/>
  <c r="I2069" i="13"/>
  <c r="U2069" i="13"/>
  <c r="I2176" i="13"/>
  <c r="U2176" i="13"/>
  <c r="I2070" i="13"/>
  <c r="U2070" i="13"/>
  <c r="I2005" i="13"/>
  <c r="U2005" i="13"/>
  <c r="I2230" i="13"/>
  <c r="U2230" i="13"/>
  <c r="I2155" i="13"/>
  <c r="U2155" i="13"/>
  <c r="I2002" i="13"/>
  <c r="U2002" i="13"/>
  <c r="I2090" i="13"/>
  <c r="U2090" i="13"/>
  <c r="I2149" i="13"/>
  <c r="U2149" i="13"/>
  <c r="I2009" i="13"/>
  <c r="U2009" i="13"/>
  <c r="I2054" i="13"/>
  <c r="U2054" i="13"/>
  <c r="I2065" i="13"/>
  <c r="U2065" i="13"/>
  <c r="I2094" i="13"/>
  <c r="U2094" i="13"/>
  <c r="I2117" i="13"/>
  <c r="U2117" i="13"/>
  <c r="I2205" i="13"/>
  <c r="U2205" i="13"/>
  <c r="I2174" i="13"/>
  <c r="U2174" i="13"/>
  <c r="I2132" i="13"/>
  <c r="U2132" i="13"/>
  <c r="I2158" i="13"/>
  <c r="U2158" i="13"/>
  <c r="I2175" i="13"/>
  <c r="U2175" i="13"/>
  <c r="I2377" i="13"/>
  <c r="U2377" i="13"/>
  <c r="I2422" i="13"/>
  <c r="U2422" i="13"/>
  <c r="I2436" i="13"/>
  <c r="U2436" i="13"/>
  <c r="I2272" i="13"/>
  <c r="U2272" i="13"/>
  <c r="I2322" i="13"/>
  <c r="U2322" i="13"/>
  <c r="I2294" i="13"/>
  <c r="U2294" i="13"/>
  <c r="I2332" i="13"/>
  <c r="U2332" i="13"/>
  <c r="I2288" i="13"/>
  <c r="U2288" i="13"/>
  <c r="I2331" i="13"/>
  <c r="U2331" i="13"/>
  <c r="I2242" i="13"/>
  <c r="U2242" i="13"/>
  <c r="I2440" i="13"/>
  <c r="U2440" i="13"/>
  <c r="I2342" i="13"/>
  <c r="U2342" i="13"/>
  <c r="I2307" i="13"/>
  <c r="U2307" i="13"/>
  <c r="I2438" i="13"/>
  <c r="U2438" i="13"/>
  <c r="I2407" i="13"/>
  <c r="U2407" i="13"/>
  <c r="I2334" i="13"/>
  <c r="U2334" i="13"/>
  <c r="I2245" i="13"/>
  <c r="U2245" i="13"/>
  <c r="I2273" i="13"/>
  <c r="U2273" i="13"/>
  <c r="I2359" i="13"/>
  <c r="U2359" i="13"/>
  <c r="I2277" i="13"/>
  <c r="U2277" i="13"/>
  <c r="I2388" i="13"/>
  <c r="U2388" i="13"/>
  <c r="I2352" i="13"/>
  <c r="U2352" i="13"/>
  <c r="I2253" i="13"/>
  <c r="U2253" i="13"/>
  <c r="I2249" i="13"/>
  <c r="U2249" i="13"/>
  <c r="I2264" i="13"/>
  <c r="U2264" i="13"/>
  <c r="I2269" i="13"/>
  <c r="U2269" i="13"/>
  <c r="G1682" i="13"/>
  <c r="S1682" i="13"/>
  <c r="G1711" i="13"/>
  <c r="S1711" i="13"/>
  <c r="G1546" i="13"/>
  <c r="S1546" i="13"/>
  <c r="G1567" i="13"/>
  <c r="S1567" i="13"/>
  <c r="G1703" i="13"/>
  <c r="S1703" i="13"/>
  <c r="G1646" i="13"/>
  <c r="S1646" i="13"/>
  <c r="G1607" i="13"/>
  <c r="S1607" i="13"/>
  <c r="G1503" i="13"/>
  <c r="S1503" i="13"/>
  <c r="G1591" i="13"/>
  <c r="S1591" i="13"/>
  <c r="G1692" i="13"/>
  <c r="S1692" i="13"/>
  <c r="G1633" i="13"/>
  <c r="S1633" i="13"/>
  <c r="G1638" i="13"/>
  <c r="S1638" i="13"/>
  <c r="G1686" i="13"/>
  <c r="S1686" i="13"/>
  <c r="S1493" i="13"/>
  <c r="G1493" i="13"/>
  <c r="G1521" i="13"/>
  <c r="S1521" i="13"/>
  <c r="G1562" i="13"/>
  <c r="S1562" i="13"/>
  <c r="G1675" i="13"/>
  <c r="S1675" i="13"/>
  <c r="G1661" i="13"/>
  <c r="S1661" i="13"/>
  <c r="G1723" i="13"/>
  <c r="S1723" i="13"/>
  <c r="G1616" i="13"/>
  <c r="S1616" i="13"/>
  <c r="G1587" i="13"/>
  <c r="S1587" i="13"/>
  <c r="G1635" i="13"/>
  <c r="S1635" i="13"/>
  <c r="G1574" i="13"/>
  <c r="S1574" i="13"/>
  <c r="G1545" i="13"/>
  <c r="S1545" i="13"/>
  <c r="G1568" i="13"/>
  <c r="S1568" i="13"/>
  <c r="G1534" i="13"/>
  <c r="S1534" i="13"/>
  <c r="G1667" i="13"/>
  <c r="S1667" i="13"/>
  <c r="G1601" i="13"/>
  <c r="S1601" i="13"/>
  <c r="G1697" i="13"/>
  <c r="S1697" i="13"/>
  <c r="H627" i="13"/>
  <c r="T627" i="13"/>
  <c r="H730" i="13"/>
  <c r="T730" i="13"/>
  <c r="H737" i="13"/>
  <c r="T737" i="13"/>
  <c r="H724" i="13"/>
  <c r="T724" i="13"/>
  <c r="H619" i="13"/>
  <c r="T619" i="13"/>
  <c r="H683" i="13"/>
  <c r="T683" i="13"/>
  <c r="H580" i="13"/>
  <c r="T580" i="13"/>
  <c r="H708" i="13"/>
  <c r="T708" i="13"/>
  <c r="H634" i="13"/>
  <c r="T634" i="13"/>
  <c r="H517" i="13"/>
  <c r="T517" i="13"/>
  <c r="H713" i="13"/>
  <c r="T713" i="13"/>
  <c r="H677" i="13"/>
  <c r="T677" i="13"/>
  <c r="H660" i="13"/>
  <c r="T660" i="13"/>
  <c r="H589" i="13"/>
  <c r="T589" i="13"/>
  <c r="H522" i="13"/>
  <c r="T522" i="13"/>
  <c r="H518" i="13"/>
  <c r="T518" i="13"/>
  <c r="H586" i="13"/>
  <c r="T586" i="13"/>
  <c r="H641" i="13"/>
  <c r="T641" i="13"/>
  <c r="H624" i="13"/>
  <c r="T624" i="13"/>
  <c r="H652" i="13"/>
  <c r="T652" i="13"/>
  <c r="H716" i="13"/>
  <c r="T716" i="13"/>
  <c r="H543" i="13"/>
  <c r="T543" i="13"/>
  <c r="H613" i="13"/>
  <c r="T613" i="13"/>
  <c r="H663" i="13"/>
  <c r="T663" i="13"/>
  <c r="H673" i="13"/>
  <c r="T673" i="13"/>
  <c r="H679" i="13"/>
  <c r="T679" i="13"/>
  <c r="H650" i="13"/>
  <c r="T650" i="13"/>
  <c r="H570" i="13"/>
  <c r="T570" i="13"/>
  <c r="H632" i="13"/>
  <c r="T632" i="13"/>
  <c r="E515" i="13"/>
  <c r="Q515" i="13"/>
  <c r="E590" i="13"/>
  <c r="Q590" i="13"/>
  <c r="E670" i="13"/>
  <c r="Q670" i="13"/>
  <c r="E584" i="13"/>
  <c r="Q584" i="13"/>
  <c r="E635" i="13"/>
  <c r="Q635" i="13"/>
  <c r="E653" i="13"/>
  <c r="Q653" i="13"/>
  <c r="E730" i="13"/>
  <c r="Q730" i="13"/>
  <c r="E614" i="13"/>
  <c r="Q614" i="13"/>
  <c r="E646" i="13"/>
  <c r="Q646" i="13"/>
  <c r="E701" i="13"/>
  <c r="Q701" i="13"/>
  <c r="E583" i="13"/>
  <c r="Q583" i="13"/>
  <c r="E517" i="13"/>
  <c r="Q517" i="13"/>
  <c r="E551" i="13"/>
  <c r="Q551" i="13"/>
  <c r="E608" i="13"/>
  <c r="Q608" i="13"/>
  <c r="E650" i="13"/>
  <c r="Q650" i="13"/>
  <c r="E725" i="13"/>
  <c r="Q725" i="13"/>
  <c r="E699" i="13"/>
  <c r="Q699" i="13"/>
  <c r="E628" i="13"/>
  <c r="Q628" i="13"/>
  <c r="E596" i="13"/>
  <c r="Q596" i="13"/>
  <c r="E743" i="13"/>
  <c r="Q743" i="13"/>
  <c r="E598" i="13"/>
  <c r="Q598" i="13"/>
  <c r="E550" i="13"/>
  <c r="Q550" i="13"/>
  <c r="E623" i="13"/>
  <c r="Q623" i="13"/>
  <c r="E529" i="13"/>
  <c r="Q529" i="13"/>
  <c r="E528" i="13"/>
  <c r="Q528" i="13"/>
  <c r="E728" i="13"/>
  <c r="Q728" i="13"/>
  <c r="E665" i="13"/>
  <c r="Q665" i="13"/>
  <c r="E636" i="13"/>
  <c r="Q636" i="13"/>
  <c r="E736" i="13"/>
  <c r="Q736" i="13"/>
  <c r="E534" i="13"/>
  <c r="Q534" i="13"/>
  <c r="F1142" i="13"/>
  <c r="R1142" i="13"/>
  <c r="F1021" i="13"/>
  <c r="R1021" i="13"/>
  <c r="F1214" i="13"/>
  <c r="R1214" i="13"/>
  <c r="F1221" i="13"/>
  <c r="R1221" i="13"/>
  <c r="F1016" i="13"/>
  <c r="R1016" i="13"/>
  <c r="F1052" i="13"/>
  <c r="R1052" i="13"/>
  <c r="F1170" i="13"/>
  <c r="R1170" i="13"/>
  <c r="F1092" i="13"/>
  <c r="R1092" i="13"/>
  <c r="F1207" i="13"/>
  <c r="R1207" i="13"/>
  <c r="F1205" i="13"/>
  <c r="R1205" i="13"/>
  <c r="F1204" i="13"/>
  <c r="R1204" i="13"/>
  <c r="F1163" i="13"/>
  <c r="R1163" i="13"/>
  <c r="F1044" i="13"/>
  <c r="R1044" i="13"/>
  <c r="F1069" i="13"/>
  <c r="R1069" i="13"/>
  <c r="F1051" i="13"/>
  <c r="R1051" i="13"/>
  <c r="F1093" i="13"/>
  <c r="R1093" i="13"/>
  <c r="F1165" i="13"/>
  <c r="R1165" i="13"/>
  <c r="F1141" i="13"/>
  <c r="R1141" i="13"/>
  <c r="F1011" i="13"/>
  <c r="R1011" i="13"/>
  <c r="F1024" i="13"/>
  <c r="R1024" i="13"/>
  <c r="F1184" i="13"/>
  <c r="R1184" i="13"/>
  <c r="F1124" i="13"/>
  <c r="R1124" i="13"/>
  <c r="F1033" i="13"/>
  <c r="R1033" i="13"/>
  <c r="F1061" i="13"/>
  <c r="R1061" i="13"/>
  <c r="F1096" i="13"/>
  <c r="R1096" i="13"/>
  <c r="F1161" i="13"/>
  <c r="R1161" i="13"/>
  <c r="F1029" i="13"/>
  <c r="R1029" i="13"/>
  <c r="F1002" i="13"/>
  <c r="R1002" i="13"/>
  <c r="F1068" i="13"/>
  <c r="R1068" i="13"/>
  <c r="E754" i="13"/>
  <c r="Q754" i="13"/>
  <c r="E839" i="13"/>
  <c r="Q839" i="13"/>
  <c r="E987" i="13"/>
  <c r="Q987" i="13"/>
  <c r="E796" i="13"/>
  <c r="Q796" i="13"/>
  <c r="E966" i="13"/>
  <c r="Q966" i="13"/>
  <c r="E983" i="13"/>
  <c r="Q983" i="13"/>
  <c r="E773" i="13"/>
  <c r="Q773" i="13"/>
  <c r="E946" i="13"/>
  <c r="Q946" i="13"/>
  <c r="E937" i="13"/>
  <c r="Q937" i="13"/>
  <c r="E833" i="13"/>
  <c r="Q833" i="13"/>
  <c r="E819" i="13"/>
  <c r="Q819" i="13"/>
  <c r="E874" i="13"/>
  <c r="Q874" i="13"/>
  <c r="E988" i="13"/>
  <c r="Q988" i="13"/>
  <c r="E842" i="13"/>
  <c r="Q842" i="13"/>
  <c r="E771" i="13"/>
  <c r="Q771" i="13"/>
  <c r="E864" i="13"/>
  <c r="Q864" i="13"/>
  <c r="E811" i="13"/>
  <c r="Q811" i="13"/>
  <c r="E965" i="13"/>
  <c r="Q965" i="13"/>
  <c r="E838" i="13"/>
  <c r="Q838" i="13"/>
  <c r="E945" i="13"/>
  <c r="Q945" i="13"/>
  <c r="E795" i="13"/>
  <c r="Q795" i="13"/>
  <c r="E785" i="13"/>
  <c r="Q785" i="13"/>
  <c r="E802" i="13"/>
  <c r="Q802" i="13"/>
  <c r="E871" i="13"/>
  <c r="Q871" i="13"/>
  <c r="E849" i="13"/>
  <c r="Q849" i="13"/>
  <c r="E923" i="13"/>
  <c r="Q923" i="13"/>
  <c r="E986" i="13"/>
  <c r="Q986" i="13"/>
  <c r="E841" i="13"/>
  <c r="Q841" i="13"/>
  <c r="E960" i="13"/>
  <c r="Q960" i="13"/>
  <c r="E951" i="13"/>
  <c r="Q951" i="13"/>
  <c r="E2256" i="13"/>
  <c r="Q2256" i="13"/>
  <c r="E2379" i="13"/>
  <c r="Q2379" i="13"/>
  <c r="E2418" i="13"/>
  <c r="Q2418" i="13"/>
  <c r="E2281" i="13"/>
  <c r="Q2281" i="13"/>
  <c r="E2322" i="13"/>
  <c r="Q2322" i="13"/>
  <c r="E2285" i="13"/>
  <c r="Q2285" i="13"/>
  <c r="E2302" i="13"/>
  <c r="Q2302" i="13"/>
  <c r="E2291" i="13"/>
  <c r="Q2291" i="13"/>
  <c r="E2298" i="13"/>
  <c r="Q2298" i="13"/>
  <c r="E2282" i="13"/>
  <c r="Q2282" i="13"/>
  <c r="E2375" i="13"/>
  <c r="Q2375" i="13"/>
  <c r="E2249" i="13"/>
  <c r="Q2249" i="13"/>
  <c r="E2272" i="13"/>
  <c r="Q2272" i="13"/>
  <c r="E2245" i="13"/>
  <c r="Q2245" i="13"/>
  <c r="E2275" i="13"/>
  <c r="Q2275" i="13"/>
  <c r="E2419" i="13"/>
  <c r="Q2419" i="13"/>
  <c r="E2239" i="13"/>
  <c r="Q2239" i="13"/>
  <c r="E2323" i="13"/>
  <c r="Q2323" i="13"/>
  <c r="E2420" i="13"/>
  <c r="Q2420" i="13"/>
  <c r="E2449" i="13"/>
  <c r="Q2449" i="13"/>
  <c r="E2456" i="13"/>
  <c r="Q2456" i="13"/>
  <c r="E2478" i="13"/>
  <c r="Q2478" i="13"/>
  <c r="E2476" i="13"/>
  <c r="Q2476" i="13"/>
  <c r="E2474" i="13"/>
  <c r="Q2474" i="13"/>
  <c r="E2479" i="13"/>
  <c r="Q2479" i="13"/>
  <c r="E2406" i="13"/>
  <c r="Q2406" i="13"/>
  <c r="E2384" i="13"/>
  <c r="Q2384" i="13"/>
  <c r="E2377" i="13"/>
  <c r="Q2377" i="13"/>
  <c r="E2459" i="13"/>
  <c r="Q2459" i="13"/>
  <c r="I743" i="13"/>
  <c r="U743" i="13"/>
  <c r="I710" i="13"/>
  <c r="U710" i="13"/>
  <c r="I676" i="13"/>
  <c r="U676" i="13"/>
  <c r="I592" i="13"/>
  <c r="U592" i="13"/>
  <c r="I597" i="13"/>
  <c r="U597" i="13"/>
  <c r="I706" i="13"/>
  <c r="U706" i="13"/>
  <c r="I602" i="13"/>
  <c r="U602" i="13"/>
  <c r="I578" i="13"/>
  <c r="U578" i="13"/>
  <c r="I606" i="13"/>
  <c r="U606" i="13"/>
  <c r="I720" i="13"/>
  <c r="U720" i="13"/>
  <c r="I697" i="13"/>
  <c r="U697" i="13"/>
  <c r="I723" i="13"/>
  <c r="U723" i="13"/>
  <c r="I548" i="13"/>
  <c r="U548" i="13"/>
  <c r="I504" i="13"/>
  <c r="U504" i="13"/>
  <c r="I660" i="13"/>
  <c r="U660" i="13"/>
  <c r="I576" i="13"/>
  <c r="U576" i="13"/>
  <c r="I741" i="13"/>
  <c r="U741" i="13"/>
  <c r="I604" i="13"/>
  <c r="U604" i="13"/>
  <c r="I586" i="13"/>
  <c r="U586" i="13"/>
  <c r="I664" i="13"/>
  <c r="U664" i="13"/>
  <c r="I729" i="13"/>
  <c r="U729" i="13"/>
  <c r="I615" i="13"/>
  <c r="U615" i="13"/>
  <c r="I732" i="13"/>
  <c r="U732" i="13"/>
  <c r="I601" i="13"/>
  <c r="U601" i="13"/>
  <c r="I641" i="13"/>
  <c r="U641" i="13"/>
  <c r="I731" i="13"/>
  <c r="U731" i="13"/>
  <c r="I556" i="13"/>
  <c r="U556" i="13"/>
  <c r="I618" i="13"/>
  <c r="U618" i="13"/>
  <c r="I624" i="13"/>
  <c r="U624" i="13"/>
  <c r="I665" i="13"/>
  <c r="U665" i="13"/>
  <c r="I715" i="13"/>
  <c r="U715" i="13"/>
  <c r="I593" i="13"/>
  <c r="U593" i="13"/>
  <c r="I630" i="13"/>
  <c r="U630" i="13"/>
  <c r="I527" i="13"/>
  <c r="U527" i="13"/>
  <c r="I532" i="13"/>
  <c r="U532" i="13"/>
  <c r="I564" i="13"/>
  <c r="U564" i="13"/>
  <c r="I682" i="13"/>
  <c r="U682" i="13"/>
  <c r="I737" i="13"/>
  <c r="U737" i="13"/>
  <c r="I687" i="13"/>
  <c r="U687" i="13"/>
  <c r="I2579" i="13"/>
  <c r="U2579" i="13"/>
  <c r="I2520" i="13"/>
  <c r="U2520" i="13"/>
  <c r="I2663" i="13"/>
  <c r="U2663" i="13"/>
  <c r="I2531" i="13"/>
  <c r="U2531" i="13"/>
  <c r="I2723" i="13"/>
  <c r="U2723" i="13"/>
  <c r="I2529" i="13"/>
  <c r="U2529" i="13"/>
  <c r="I2630" i="13"/>
  <c r="U2630" i="13"/>
  <c r="I2651" i="13"/>
  <c r="U2651" i="13"/>
  <c r="I2612" i="13"/>
  <c r="U2612" i="13"/>
  <c r="I2538" i="13"/>
  <c r="U2538" i="13"/>
  <c r="I2646" i="13"/>
  <c r="U2646" i="13"/>
  <c r="I2692" i="13"/>
  <c r="U2692" i="13"/>
  <c r="I2687" i="13"/>
  <c r="U2687" i="13"/>
  <c r="I2700" i="13"/>
  <c r="U2700" i="13"/>
  <c r="I2707" i="13"/>
  <c r="U2707" i="13"/>
  <c r="I2526" i="13"/>
  <c r="U2526" i="13"/>
  <c r="I2487" i="13"/>
  <c r="U2487" i="13"/>
  <c r="I2523" i="13"/>
  <c r="U2523" i="13"/>
  <c r="I2567" i="13"/>
  <c r="U2567" i="13"/>
  <c r="I2555" i="13"/>
  <c r="U2555" i="13"/>
  <c r="I2539" i="13"/>
  <c r="U2539" i="13"/>
  <c r="I2573" i="13"/>
  <c r="U2573" i="13"/>
  <c r="I2544" i="13"/>
  <c r="U2544" i="13"/>
  <c r="I2587" i="13"/>
  <c r="U2587" i="13"/>
  <c r="I2569" i="13"/>
  <c r="U2569" i="13"/>
  <c r="I2605" i="13"/>
  <c r="U2605" i="13"/>
  <c r="I2576" i="13"/>
  <c r="U2576" i="13"/>
  <c r="I2611" i="13"/>
  <c r="U2611" i="13"/>
  <c r="I2540" i="13"/>
  <c r="U2540" i="13"/>
  <c r="I2625" i="13"/>
  <c r="U2625" i="13"/>
  <c r="I2508" i="13"/>
  <c r="U2508" i="13"/>
  <c r="I2665" i="13"/>
  <c r="U2665" i="13"/>
  <c r="I2640" i="13"/>
  <c r="U2640" i="13"/>
  <c r="I2558" i="13"/>
  <c r="U2558" i="13"/>
  <c r="I2710" i="13"/>
  <c r="U2710" i="13"/>
  <c r="I2633" i="13"/>
  <c r="U2633" i="13"/>
  <c r="I2608" i="13"/>
  <c r="U2608" i="13"/>
  <c r="I2644" i="13"/>
  <c r="U2644" i="13"/>
  <c r="I2678" i="13"/>
  <c r="U2678" i="13"/>
  <c r="I2703" i="13"/>
  <c r="U2703" i="13"/>
  <c r="I2709" i="13"/>
  <c r="U2709" i="13"/>
  <c r="I2679" i="13"/>
  <c r="U2679" i="13"/>
  <c r="I2676" i="13"/>
  <c r="U2676" i="13"/>
  <c r="I2642" i="13"/>
  <c r="U2642" i="13"/>
  <c r="I2622" i="13"/>
  <c r="U2622" i="13"/>
  <c r="I2506" i="13"/>
  <c r="U2506" i="13"/>
  <c r="I2702" i="13"/>
  <c r="U2702" i="13"/>
  <c r="I2616" i="13"/>
  <c r="U2616" i="13"/>
  <c r="I2515" i="13"/>
  <c r="U2515" i="13"/>
  <c r="U2485" i="13"/>
  <c r="I2485" i="13"/>
  <c r="I2670" i="13"/>
  <c r="U2670" i="13"/>
  <c r="I2684" i="13"/>
  <c r="U2684" i="13"/>
  <c r="I2522" i="13"/>
  <c r="U2522" i="13"/>
  <c r="I2571" i="13"/>
  <c r="U2571" i="13"/>
  <c r="I2553" i="13"/>
  <c r="U2553" i="13"/>
  <c r="I2572" i="13"/>
  <c r="U2572" i="13"/>
  <c r="I2594" i="13"/>
  <c r="U2594" i="13"/>
  <c r="I2549" i="13"/>
  <c r="U2549" i="13"/>
  <c r="I2532" i="13"/>
  <c r="U2532" i="13"/>
  <c r="I2671" i="13"/>
  <c r="U2671" i="13"/>
  <c r="F2515" i="13"/>
  <c r="R2515" i="13"/>
  <c r="F2596" i="13"/>
  <c r="R2596" i="13"/>
  <c r="F2652" i="13"/>
  <c r="R2652" i="13"/>
  <c r="F2680" i="13"/>
  <c r="R2680" i="13"/>
  <c r="F2575" i="13"/>
  <c r="R2575" i="13"/>
  <c r="F2647" i="13"/>
  <c r="R2647" i="13"/>
  <c r="F2702" i="13"/>
  <c r="R2702" i="13"/>
  <c r="F2534" i="13"/>
  <c r="R2534" i="13"/>
  <c r="F2589" i="13"/>
  <c r="R2589" i="13"/>
  <c r="F2657" i="13"/>
  <c r="R2657" i="13"/>
  <c r="F2713" i="13"/>
  <c r="R2713" i="13"/>
  <c r="F2533" i="13"/>
  <c r="R2533" i="13"/>
  <c r="F2560" i="13"/>
  <c r="R2560" i="13"/>
  <c r="F2616" i="13"/>
  <c r="R2616" i="13"/>
  <c r="F2699" i="13"/>
  <c r="R2699" i="13"/>
  <c r="F2586" i="13"/>
  <c r="R2586" i="13"/>
  <c r="F2601" i="13"/>
  <c r="R2601" i="13"/>
  <c r="F2595" i="13"/>
  <c r="R2595" i="13"/>
  <c r="F2704" i="13"/>
  <c r="R2704" i="13"/>
  <c r="F2710" i="13"/>
  <c r="R2710" i="13"/>
  <c r="F2531" i="13"/>
  <c r="R2531" i="13"/>
  <c r="F2546" i="13"/>
  <c r="R2546" i="13"/>
  <c r="F2668" i="13"/>
  <c r="R2668" i="13"/>
  <c r="F2696" i="13"/>
  <c r="R2696" i="13"/>
  <c r="F2591" i="13"/>
  <c r="R2591" i="13"/>
  <c r="F2663" i="13"/>
  <c r="R2663" i="13"/>
  <c r="F2718" i="13"/>
  <c r="R2718" i="13"/>
  <c r="F2486" i="13"/>
  <c r="R2486" i="13"/>
  <c r="F2541" i="13"/>
  <c r="R2541" i="13"/>
  <c r="F2609" i="13"/>
  <c r="R2609" i="13"/>
  <c r="F2630" i="13"/>
  <c r="R2630" i="13"/>
  <c r="F2538" i="13"/>
  <c r="R2538" i="13"/>
  <c r="F2593" i="13"/>
  <c r="R2593" i="13"/>
  <c r="F2661" i="13"/>
  <c r="R2661" i="13"/>
  <c r="F2717" i="13"/>
  <c r="R2717" i="13"/>
  <c r="F2580" i="13"/>
  <c r="R2580" i="13"/>
  <c r="F2559" i="13"/>
  <c r="R2559" i="13"/>
  <c r="F2622" i="13"/>
  <c r="R2622" i="13"/>
  <c r="F2722" i="13"/>
  <c r="R2722" i="13"/>
  <c r="F2664" i="13"/>
  <c r="R2664" i="13"/>
  <c r="F2535" i="13"/>
  <c r="R2535" i="13"/>
  <c r="F2611" i="13"/>
  <c r="R2611" i="13"/>
  <c r="F2634" i="13"/>
  <c r="R2634" i="13"/>
  <c r="F2712" i="13"/>
  <c r="R2712" i="13"/>
  <c r="F2607" i="13"/>
  <c r="R2607" i="13"/>
  <c r="F2540" i="13"/>
  <c r="R2540" i="13"/>
  <c r="F2715" i="13"/>
  <c r="R2715" i="13"/>
  <c r="F2502" i="13"/>
  <c r="R2502" i="13"/>
  <c r="F2557" i="13"/>
  <c r="R2557" i="13"/>
  <c r="F2625" i="13"/>
  <c r="R2625" i="13"/>
  <c r="F2681" i="13"/>
  <c r="R2681" i="13"/>
  <c r="F2501" i="13"/>
  <c r="R2501" i="13"/>
  <c r="F2500" i="13"/>
  <c r="R2500" i="13"/>
  <c r="F2508" i="13"/>
  <c r="R2508" i="13"/>
  <c r="F2654" i="13"/>
  <c r="R2654" i="13"/>
  <c r="F2520" i="13"/>
  <c r="R2520" i="13"/>
  <c r="F2493" i="13"/>
  <c r="R2493" i="13"/>
  <c r="F2686" i="13"/>
  <c r="R2686" i="13"/>
  <c r="F2667" i="13"/>
  <c r="R2667" i="13"/>
  <c r="F2583" i="13"/>
  <c r="R2583" i="13"/>
  <c r="R2485" i="13"/>
  <c r="F2485" i="13"/>
  <c r="E2571" i="13"/>
  <c r="Q2571" i="13"/>
  <c r="E2643" i="13"/>
  <c r="Q2643" i="13"/>
  <c r="E2698" i="13"/>
  <c r="Q2698" i="13"/>
  <c r="E2498" i="13"/>
  <c r="Q2498" i="13"/>
  <c r="E2553" i="13"/>
  <c r="Q2553" i="13"/>
  <c r="E2621" i="13"/>
  <c r="Q2621" i="13"/>
  <c r="E2677" i="13"/>
  <c r="Q2677" i="13"/>
  <c r="E2491" i="13"/>
  <c r="Q2491" i="13"/>
  <c r="E2572" i="13"/>
  <c r="Q2572" i="13"/>
  <c r="E2628" i="13"/>
  <c r="Q2628" i="13"/>
  <c r="E2610" i="13"/>
  <c r="Q2610" i="13"/>
  <c r="E2528" i="13"/>
  <c r="Q2528" i="13"/>
  <c r="E2594" i="13"/>
  <c r="Q2594" i="13"/>
  <c r="E2618" i="13"/>
  <c r="Q2618" i="13"/>
  <c r="E2708" i="13"/>
  <c r="Q2708" i="13"/>
  <c r="E2682" i="13"/>
  <c r="Q2682" i="13"/>
  <c r="E2669" i="13"/>
  <c r="Q2669" i="13"/>
  <c r="E2578" i="13"/>
  <c r="Q2578" i="13"/>
  <c r="E2527" i="13"/>
  <c r="Q2527" i="13"/>
  <c r="E2692" i="13"/>
  <c r="Q2692" i="13"/>
  <c r="E2587" i="13"/>
  <c r="Q2587" i="13"/>
  <c r="E2659" i="13"/>
  <c r="Q2659" i="13"/>
  <c r="E2714" i="13"/>
  <c r="Q2714" i="13"/>
  <c r="E2514" i="13"/>
  <c r="Q2514" i="13"/>
  <c r="E2569" i="13"/>
  <c r="Q2569" i="13"/>
  <c r="E2637" i="13"/>
  <c r="Q2637" i="13"/>
  <c r="E2693" i="13"/>
  <c r="Q2693" i="13"/>
  <c r="E2497" i="13"/>
  <c r="Q2497" i="13"/>
  <c r="E2605" i="13"/>
  <c r="Q2605" i="13"/>
  <c r="E2673" i="13"/>
  <c r="Q2673" i="13"/>
  <c r="E2638" i="13"/>
  <c r="Q2638" i="13"/>
  <c r="E2495" i="13"/>
  <c r="Q2495" i="13"/>
  <c r="E2576" i="13"/>
  <c r="Q2576" i="13"/>
  <c r="E2632" i="13"/>
  <c r="Q2632" i="13"/>
  <c r="E2626" i="13"/>
  <c r="Q2626" i="13"/>
  <c r="E2665" i="13"/>
  <c r="Q2665" i="13"/>
  <c r="E2584" i="13"/>
  <c r="Q2584" i="13"/>
  <c r="E2512" i="13"/>
  <c r="Q2512" i="13"/>
  <c r="E2506" i="13"/>
  <c r="Q2506" i="13"/>
  <c r="E2683" i="13"/>
  <c r="Q2683" i="13"/>
  <c r="E2603" i="13"/>
  <c r="Q2603" i="13"/>
  <c r="E2524" i="13"/>
  <c r="Q2524" i="13"/>
  <c r="E2703" i="13"/>
  <c r="Q2703" i="13"/>
  <c r="E2530" i="13"/>
  <c r="Q2530" i="13"/>
  <c r="E2585" i="13"/>
  <c r="Q2585" i="13"/>
  <c r="E2653" i="13"/>
  <c r="Q2653" i="13"/>
  <c r="E2709" i="13"/>
  <c r="Q2709" i="13"/>
  <c r="E2513" i="13"/>
  <c r="Q2513" i="13"/>
  <c r="E2536" i="13"/>
  <c r="Q2536" i="13"/>
  <c r="E2582" i="13"/>
  <c r="Q2582" i="13"/>
  <c r="E2679" i="13"/>
  <c r="Q2679" i="13"/>
  <c r="E2511" i="13"/>
  <c r="Q2511" i="13"/>
  <c r="E2592" i="13"/>
  <c r="Q2592" i="13"/>
  <c r="E2648" i="13"/>
  <c r="Q2648" i="13"/>
  <c r="E2676" i="13"/>
  <c r="Q2676" i="13"/>
  <c r="E2627" i="13"/>
  <c r="Q2627" i="13"/>
  <c r="E2539" i="13"/>
  <c r="Q2539" i="13"/>
  <c r="E2658" i="13"/>
  <c r="Q2658" i="13"/>
  <c r="E2558" i="13"/>
  <c r="Q2558" i="13"/>
  <c r="E2492" i="13"/>
  <c r="Q2492" i="13"/>
  <c r="H2498" i="13"/>
  <c r="T2498" i="13"/>
  <c r="H2589" i="13"/>
  <c r="T2589" i="13"/>
  <c r="H2594" i="13"/>
  <c r="T2594" i="13"/>
  <c r="H2629" i="13"/>
  <c r="T2629" i="13"/>
  <c r="H2687" i="13"/>
  <c r="T2687" i="13"/>
  <c r="H2605" i="13"/>
  <c r="T2605" i="13"/>
  <c r="H2661" i="13"/>
  <c r="T2661" i="13"/>
  <c r="H2722" i="13"/>
  <c r="T2722" i="13"/>
  <c r="H2487" i="13"/>
  <c r="T2487" i="13"/>
  <c r="H2679" i="13"/>
  <c r="T2679" i="13"/>
  <c r="H2493" i="13"/>
  <c r="T2493" i="13"/>
  <c r="H2617" i="13"/>
  <c r="T2617" i="13"/>
  <c r="H2677" i="13"/>
  <c r="T2677" i="13"/>
  <c r="H2713" i="13"/>
  <c r="T2713" i="13"/>
  <c r="H2708" i="13"/>
  <c r="T2708" i="13"/>
  <c r="H2578" i="13"/>
  <c r="T2578" i="13"/>
  <c r="H2565" i="13"/>
  <c r="T2565" i="13"/>
  <c r="H2672" i="13"/>
  <c r="T2672" i="13"/>
  <c r="H2644" i="13"/>
  <c r="T2644" i="13"/>
  <c r="H2665" i="13"/>
  <c r="T2665" i="13"/>
  <c r="H2581" i="13"/>
  <c r="T2581" i="13"/>
  <c r="H2715" i="13"/>
  <c r="T2715" i="13"/>
  <c r="H2706" i="13"/>
  <c r="T2706" i="13"/>
  <c r="H2636" i="13"/>
  <c r="T2636" i="13"/>
  <c r="H2695" i="13"/>
  <c r="T2695" i="13"/>
  <c r="H2515" i="13"/>
  <c r="T2515" i="13"/>
  <c r="H2662" i="13"/>
  <c r="T2662" i="13"/>
  <c r="H2532" i="13"/>
  <c r="T2532" i="13"/>
  <c r="H2702" i="13"/>
  <c r="T2702" i="13"/>
  <c r="H2720" i="13"/>
  <c r="T2720" i="13"/>
  <c r="H2618" i="13"/>
  <c r="T2618" i="13"/>
  <c r="H2704" i="13"/>
  <c r="T2704" i="13"/>
  <c r="H2606" i="13"/>
  <c r="T2606" i="13"/>
  <c r="H2496" i="13"/>
  <c r="T2496" i="13"/>
  <c r="H2608" i="13"/>
  <c r="T2608" i="13"/>
  <c r="H2588" i="13"/>
  <c r="T2588" i="13"/>
  <c r="H2504" i="13"/>
  <c r="T2504" i="13"/>
  <c r="H2678" i="13"/>
  <c r="T2678" i="13"/>
  <c r="H2584" i="13"/>
  <c r="T2584" i="13"/>
  <c r="H2537" i="13"/>
  <c r="T2537" i="13"/>
  <c r="H2620" i="13"/>
  <c r="T2620" i="13"/>
  <c r="H2568" i="13"/>
  <c r="T2568" i="13"/>
  <c r="H2513" i="13"/>
  <c r="T2513" i="13"/>
  <c r="H2604" i="13"/>
  <c r="T2604" i="13"/>
  <c r="H2567" i="13"/>
  <c r="T2567" i="13"/>
  <c r="H2654" i="13"/>
  <c r="T2654" i="13"/>
  <c r="H2627" i="13"/>
  <c r="T2627" i="13"/>
  <c r="H2583" i="13"/>
  <c r="T2583" i="13"/>
  <c r="H2596" i="13"/>
  <c r="T2596" i="13"/>
  <c r="H2684" i="13"/>
  <c r="T2684" i="13"/>
  <c r="H2533" i="13"/>
  <c r="T2533" i="13"/>
  <c r="H2597" i="13"/>
  <c r="T2597" i="13"/>
  <c r="H2527" i="13"/>
  <c r="T2527" i="13"/>
  <c r="H2696" i="13"/>
  <c r="T2696" i="13"/>
  <c r="H2673" i="13"/>
  <c r="T2673" i="13"/>
  <c r="H2580" i="13"/>
  <c r="T2580" i="13"/>
  <c r="H2506" i="13"/>
  <c r="T2506" i="13"/>
  <c r="H2649" i="13"/>
  <c r="T2649" i="13"/>
  <c r="H2709" i="13"/>
  <c r="T2709" i="13"/>
  <c r="H2681" i="13"/>
  <c r="T2681" i="13"/>
  <c r="H2686" i="13"/>
  <c r="T2686" i="13"/>
  <c r="G2549" i="13"/>
  <c r="S2549" i="13"/>
  <c r="G2702" i="13"/>
  <c r="S2702" i="13"/>
  <c r="G2595" i="13"/>
  <c r="S2595" i="13"/>
  <c r="G2700" i="13"/>
  <c r="S2700" i="13"/>
  <c r="G2574" i="13"/>
  <c r="S2574" i="13"/>
  <c r="G2540" i="13"/>
  <c r="S2540" i="13"/>
  <c r="G2508" i="13"/>
  <c r="S2508" i="13"/>
  <c r="G2670" i="13"/>
  <c r="S2670" i="13"/>
  <c r="G2528" i="13"/>
  <c r="S2528" i="13"/>
  <c r="G2514" i="13"/>
  <c r="S2514" i="13"/>
  <c r="G2588" i="13"/>
  <c r="S2588" i="13"/>
  <c r="G2724" i="13"/>
  <c r="S2724" i="13"/>
  <c r="G2524" i="13"/>
  <c r="S2524" i="13"/>
  <c r="G2604" i="13"/>
  <c r="S2604" i="13"/>
  <c r="G2676" i="13"/>
  <c r="S2676" i="13"/>
  <c r="G2598" i="13"/>
  <c r="S2598" i="13"/>
  <c r="G2596" i="13"/>
  <c r="S2596" i="13"/>
  <c r="G2498" i="13"/>
  <c r="S2498" i="13"/>
  <c r="G2600" i="13"/>
  <c r="S2600" i="13"/>
  <c r="G2684" i="13"/>
  <c r="S2684" i="13"/>
  <c r="G2589" i="13"/>
  <c r="S2589" i="13"/>
  <c r="G2628" i="13"/>
  <c r="S2628" i="13"/>
  <c r="G2522" i="13"/>
  <c r="S2522" i="13"/>
  <c r="G2594" i="13"/>
  <c r="S2594" i="13"/>
  <c r="G2701" i="13"/>
  <c r="S2701" i="13"/>
  <c r="G2586" i="13"/>
  <c r="S2586" i="13"/>
  <c r="G2669" i="13"/>
  <c r="S2669" i="13"/>
  <c r="G2612" i="13"/>
  <c r="S2612" i="13"/>
  <c r="G2710" i="13"/>
  <c r="S2710" i="13"/>
  <c r="G2587" i="13"/>
  <c r="S2587" i="13"/>
  <c r="G2633" i="13"/>
  <c r="S2633" i="13"/>
  <c r="G2696" i="13"/>
  <c r="S2696" i="13"/>
  <c r="G2672" i="13"/>
  <c r="S2672" i="13"/>
  <c r="G2486" i="13"/>
  <c r="S2486" i="13"/>
  <c r="G2609" i="13"/>
  <c r="S2609" i="13"/>
  <c r="G2638" i="13"/>
  <c r="S2638" i="13"/>
  <c r="G2551" i="13"/>
  <c r="S2551" i="13"/>
  <c r="G2727" i="13"/>
  <c r="S2727" i="13"/>
  <c r="G2665" i="13"/>
  <c r="S2665" i="13"/>
  <c r="G2614" i="13"/>
  <c r="S2614" i="13"/>
  <c r="G2561" i="13"/>
  <c r="S2561" i="13"/>
  <c r="G2526" i="13"/>
  <c r="S2526" i="13"/>
  <c r="G2649" i="13"/>
  <c r="S2649" i="13"/>
  <c r="G2530" i="13"/>
  <c r="S2530" i="13"/>
  <c r="G2653" i="13"/>
  <c r="S2653" i="13"/>
  <c r="G2590" i="13"/>
  <c r="S2590" i="13"/>
  <c r="G2651" i="13"/>
  <c r="S2651" i="13"/>
  <c r="G2706" i="13"/>
  <c r="S2706" i="13"/>
  <c r="G2500" i="13"/>
  <c r="S2500" i="13"/>
  <c r="G2694" i="13"/>
  <c r="S2694" i="13"/>
  <c r="G2721" i="13"/>
  <c r="S2721" i="13"/>
  <c r="G2686" i="13"/>
  <c r="S2686" i="13"/>
  <c r="G2558" i="13"/>
  <c r="S2558" i="13"/>
  <c r="G2680" i="13"/>
  <c r="S2680" i="13"/>
  <c r="G2610" i="13"/>
  <c r="S2610" i="13"/>
  <c r="G2548" i="13"/>
  <c r="S2548" i="13"/>
  <c r="G2630" i="13"/>
  <c r="S2630" i="13"/>
  <c r="G2556" i="13"/>
  <c r="S2556" i="13"/>
  <c r="G2579" i="13"/>
  <c r="S2579" i="13"/>
  <c r="G2639" i="13"/>
  <c r="S2639" i="13"/>
  <c r="G2517" i="13"/>
  <c r="S2517" i="13"/>
  <c r="I1843" i="13"/>
  <c r="U1843" i="13"/>
  <c r="I1797" i="13"/>
  <c r="U1797" i="13"/>
  <c r="I1960" i="13"/>
  <c r="U1960" i="13"/>
  <c r="I1756" i="13"/>
  <c r="U1756" i="13"/>
  <c r="I1824" i="13"/>
  <c r="U1824" i="13"/>
  <c r="I1962" i="13"/>
  <c r="U1962" i="13"/>
  <c r="I1955" i="13"/>
  <c r="U1955" i="13"/>
  <c r="I1808" i="13"/>
  <c r="U1808" i="13"/>
  <c r="I1783" i="13"/>
  <c r="U1783" i="13"/>
  <c r="I1770" i="13"/>
  <c r="U1770" i="13"/>
  <c r="I1958" i="13"/>
  <c r="U1958" i="13"/>
  <c r="I1961" i="13"/>
  <c r="U1961" i="13"/>
  <c r="I1974" i="13"/>
  <c r="U1974" i="13"/>
  <c r="I1787" i="13"/>
  <c r="U1787" i="13"/>
  <c r="I1759" i="13"/>
  <c r="U1759" i="13"/>
  <c r="I1925" i="13"/>
  <c r="U1925" i="13"/>
  <c r="I1892" i="13"/>
  <c r="U1892" i="13"/>
  <c r="I1967" i="13"/>
  <c r="U1967" i="13"/>
  <c r="I1809" i="13"/>
  <c r="U1809" i="13"/>
  <c r="I1749" i="13"/>
  <c r="U1749" i="13"/>
  <c r="I1745" i="13"/>
  <c r="U1745" i="13"/>
  <c r="I1791" i="13"/>
  <c r="U1791" i="13"/>
  <c r="I1857" i="13"/>
  <c r="U1857" i="13"/>
  <c r="I1767" i="13"/>
  <c r="U1767" i="13"/>
  <c r="I1929" i="13"/>
  <c r="U1929" i="13"/>
  <c r="I1950" i="13"/>
  <c r="U1950" i="13"/>
  <c r="I1876" i="13"/>
  <c r="U1876" i="13"/>
  <c r="I1846" i="13"/>
  <c r="U1846" i="13"/>
  <c r="I1875" i="13"/>
  <c r="U1875" i="13"/>
  <c r="I1939" i="13"/>
  <c r="U1939" i="13"/>
  <c r="I1919" i="13"/>
  <c r="U1919" i="13"/>
  <c r="I1935" i="13"/>
  <c r="U1935" i="13"/>
  <c r="I1774" i="13"/>
  <c r="U1774" i="13"/>
  <c r="I1850" i="13"/>
  <c r="U1850" i="13"/>
  <c r="I1811" i="13"/>
  <c r="U1811" i="13"/>
  <c r="I1825" i="13"/>
  <c r="U1825" i="13"/>
  <c r="I1914" i="13"/>
  <c r="U1914" i="13"/>
  <c r="I1953" i="13"/>
  <c r="U1953" i="13"/>
  <c r="I1863" i="13"/>
  <c r="U1863" i="13"/>
  <c r="I1742" i="13"/>
  <c r="U1742" i="13"/>
  <c r="I1924" i="13"/>
  <c r="U1924" i="13"/>
  <c r="I1844" i="13"/>
  <c r="U1844" i="13"/>
  <c r="I1873" i="13"/>
  <c r="U1873" i="13"/>
  <c r="I1828" i="13"/>
  <c r="U1828" i="13"/>
  <c r="I1777" i="13"/>
  <c r="U1777" i="13"/>
  <c r="I1922" i="13"/>
  <c r="U1922" i="13"/>
  <c r="I1762" i="13"/>
  <c r="U1762" i="13"/>
  <c r="I1861" i="13"/>
  <c r="U1861" i="13"/>
  <c r="I1973" i="13"/>
  <c r="U1973" i="13"/>
  <c r="I1910" i="13"/>
  <c r="U1910" i="13"/>
  <c r="I1862" i="13"/>
  <c r="U1862" i="13"/>
  <c r="I1847" i="13"/>
  <c r="U1847" i="13"/>
  <c r="I1760" i="13"/>
  <c r="U1760" i="13"/>
  <c r="I1916" i="13"/>
  <c r="U1916" i="13"/>
  <c r="I1766" i="13"/>
  <c r="U1766" i="13"/>
  <c r="I1771" i="13"/>
  <c r="U1771" i="13"/>
  <c r="I1872" i="13"/>
  <c r="U1872" i="13"/>
  <c r="I1761" i="13"/>
  <c r="U1761" i="13"/>
  <c r="I1900" i="13"/>
  <c r="U1900" i="13"/>
  <c r="I1885" i="13"/>
  <c r="U1885" i="13"/>
  <c r="I1923" i="13"/>
  <c r="U1923" i="13"/>
  <c r="F1905" i="13"/>
  <c r="R1905" i="13"/>
  <c r="F1752" i="13"/>
  <c r="R1752" i="13"/>
  <c r="F1786" i="13"/>
  <c r="R1786" i="13"/>
  <c r="F1926" i="13"/>
  <c r="R1926" i="13"/>
  <c r="F1811" i="13"/>
  <c r="R1811" i="13"/>
  <c r="F1958" i="13"/>
  <c r="R1958" i="13"/>
  <c r="F1839" i="13"/>
  <c r="R1839" i="13"/>
  <c r="F1829" i="13"/>
  <c r="R1829" i="13"/>
  <c r="F1945" i="13"/>
  <c r="R1945" i="13"/>
  <c r="F1763" i="13"/>
  <c r="R1763" i="13"/>
  <c r="F1893" i="13"/>
  <c r="R1893" i="13"/>
  <c r="F1922" i="13"/>
  <c r="R1922" i="13"/>
  <c r="F1888" i="13"/>
  <c r="R1888" i="13"/>
  <c r="F1791" i="13"/>
  <c r="R1791" i="13"/>
  <c r="F1972" i="13"/>
  <c r="R1972" i="13"/>
  <c r="F1924" i="13"/>
  <c r="R1924" i="13"/>
  <c r="F1967" i="13"/>
  <c r="R1967" i="13"/>
  <c r="F1803" i="13"/>
  <c r="R1803" i="13"/>
  <c r="F1935" i="13"/>
  <c r="R1935" i="13"/>
  <c r="F1859" i="13"/>
  <c r="R1859" i="13"/>
  <c r="F1785" i="13"/>
  <c r="R1785" i="13"/>
  <c r="F1799" i="13"/>
  <c r="R1799" i="13"/>
  <c r="F1774" i="13"/>
  <c r="R1774" i="13"/>
  <c r="F1976" i="13"/>
  <c r="R1976" i="13"/>
  <c r="F1879" i="13"/>
  <c r="R1879" i="13"/>
  <c r="F1981" i="13"/>
  <c r="R1981" i="13"/>
  <c r="F1843" i="13"/>
  <c r="R1843" i="13"/>
  <c r="F1817" i="13"/>
  <c r="R1817" i="13"/>
  <c r="F1745" i="13"/>
  <c r="R1745" i="13"/>
  <c r="F1746" i="13"/>
  <c r="R1746" i="13"/>
  <c r="F1941" i="13"/>
  <c r="R1941" i="13"/>
  <c r="F1896" i="13"/>
  <c r="R1896" i="13"/>
  <c r="F1900" i="13"/>
  <c r="R1900" i="13"/>
  <c r="F1868" i="13"/>
  <c r="R1868" i="13"/>
  <c r="F1769" i="13"/>
  <c r="R1769" i="13"/>
  <c r="F1806" i="13"/>
  <c r="R1806" i="13"/>
  <c r="F1982" i="13"/>
  <c r="R1982" i="13"/>
  <c r="F1916" i="13"/>
  <c r="R1916" i="13"/>
  <c r="F1890" i="13"/>
  <c r="R1890" i="13"/>
  <c r="F1856" i="13"/>
  <c r="R1856" i="13"/>
  <c r="F1948" i="13"/>
  <c r="R1948" i="13"/>
  <c r="F1915" i="13"/>
  <c r="R1915" i="13"/>
  <c r="F1760" i="13"/>
  <c r="R1760" i="13"/>
  <c r="F1964" i="13"/>
  <c r="R1964" i="13"/>
  <c r="F1826" i="13"/>
  <c r="R1826" i="13"/>
  <c r="F1978" i="13"/>
  <c r="R1978" i="13"/>
  <c r="F1850" i="13"/>
  <c r="R1850" i="13"/>
  <c r="F1801" i="13"/>
  <c r="R1801" i="13"/>
  <c r="F1880" i="13"/>
  <c r="R1880" i="13"/>
  <c r="F1828" i="13"/>
  <c r="R1828" i="13"/>
  <c r="F1855" i="13"/>
  <c r="R1855" i="13"/>
  <c r="F1821" i="13"/>
  <c r="R1821" i="13"/>
  <c r="F1901" i="13"/>
  <c r="R1901" i="13"/>
  <c r="F1804" i="13"/>
  <c r="R1804" i="13"/>
  <c r="F1754" i="13"/>
  <c r="R1754" i="13"/>
  <c r="F1895" i="13"/>
  <c r="R1895" i="13"/>
  <c r="F1939" i="13"/>
  <c r="R1939" i="13"/>
  <c r="F1946" i="13"/>
  <c r="R1946" i="13"/>
  <c r="F1910" i="13"/>
  <c r="R1910" i="13"/>
  <c r="F1818" i="13"/>
  <c r="R1818" i="13"/>
  <c r="F1809" i="13"/>
  <c r="R1809" i="13"/>
  <c r="I1234" i="13"/>
  <c r="U1234" i="13"/>
  <c r="I1193" i="13"/>
  <c r="U1193" i="13"/>
  <c r="I1052" i="13"/>
  <c r="U1052" i="13"/>
  <c r="I1006" i="13"/>
  <c r="U1006" i="13"/>
  <c r="I1050" i="13"/>
  <c r="U1050" i="13"/>
  <c r="I1083" i="13"/>
  <c r="U1083" i="13"/>
  <c r="I1144" i="13"/>
  <c r="U1144" i="13"/>
  <c r="I1201" i="13"/>
  <c r="U1201" i="13"/>
  <c r="I1211" i="13"/>
  <c r="U1211" i="13"/>
  <c r="I1134" i="13"/>
  <c r="U1134" i="13"/>
  <c r="I1183" i="13"/>
  <c r="U1183" i="13"/>
  <c r="I1210" i="13"/>
  <c r="U1210" i="13"/>
  <c r="I1176" i="13"/>
  <c r="U1176" i="13"/>
  <c r="I1125" i="13"/>
  <c r="U1125" i="13"/>
  <c r="I1094" i="13"/>
  <c r="U1094" i="13"/>
  <c r="I1164" i="13"/>
  <c r="U1164" i="13"/>
  <c r="I1165" i="13"/>
  <c r="U1165" i="13"/>
  <c r="I1072" i="13"/>
  <c r="U1072" i="13"/>
  <c r="I1215" i="13"/>
  <c r="U1215" i="13"/>
  <c r="I1075" i="13"/>
  <c r="U1075" i="13"/>
  <c r="I1122" i="13"/>
  <c r="U1122" i="13"/>
  <c r="I1059" i="13"/>
  <c r="U1059" i="13"/>
  <c r="I1025" i="13"/>
  <c r="U1025" i="13"/>
  <c r="I1172" i="13"/>
  <c r="U1172" i="13"/>
  <c r="I1044" i="13"/>
  <c r="U1044" i="13"/>
  <c r="I1054" i="13"/>
  <c r="U1054" i="13"/>
  <c r="I1143" i="13"/>
  <c r="U1143" i="13"/>
  <c r="I1051" i="13"/>
  <c r="U1051" i="13"/>
  <c r="I1079" i="13"/>
  <c r="U1079" i="13"/>
  <c r="I1180" i="13"/>
  <c r="U1180" i="13"/>
  <c r="I1162" i="13"/>
  <c r="U1162" i="13"/>
  <c r="I1159" i="13"/>
  <c r="U1159" i="13"/>
  <c r="I1216" i="13"/>
  <c r="U1216" i="13"/>
  <c r="I1142" i="13"/>
  <c r="U1142" i="13"/>
  <c r="I1146" i="13"/>
  <c r="U1146" i="13"/>
  <c r="I1110" i="13"/>
  <c r="U1110" i="13"/>
  <c r="I1130" i="13"/>
  <c r="U1130" i="13"/>
  <c r="I1101" i="13"/>
  <c r="U1101" i="13"/>
  <c r="I1063" i="13"/>
  <c r="U1063" i="13"/>
  <c r="I1092" i="13"/>
  <c r="U1092" i="13"/>
  <c r="I1021" i="13"/>
  <c r="U1021" i="13"/>
  <c r="I1047" i="13"/>
  <c r="U1047" i="13"/>
  <c r="I1153" i="13"/>
  <c r="U1153" i="13"/>
  <c r="I1128" i="13"/>
  <c r="U1128" i="13"/>
  <c r="I1086" i="13"/>
  <c r="U1086" i="13"/>
  <c r="I1151" i="13"/>
  <c r="U1151" i="13"/>
  <c r="I1195" i="13"/>
  <c r="U1195" i="13"/>
  <c r="I1223" i="13"/>
  <c r="U1223" i="13"/>
  <c r="I1203" i="13"/>
  <c r="U1203" i="13"/>
  <c r="I1194" i="13"/>
  <c r="U1194" i="13"/>
  <c r="I1177" i="13"/>
  <c r="U1177" i="13"/>
  <c r="I1178" i="13"/>
  <c r="U1178" i="13"/>
  <c r="I1200" i="13"/>
  <c r="U1200" i="13"/>
  <c r="I1179" i="13"/>
  <c r="U1179" i="13"/>
  <c r="I1057" i="13"/>
  <c r="U1057" i="13"/>
  <c r="I1076" i="13"/>
  <c r="U1076" i="13"/>
  <c r="I1131" i="13"/>
  <c r="U1131" i="13"/>
  <c r="I1070" i="13"/>
  <c r="U1070" i="13"/>
  <c r="I1237" i="13"/>
  <c r="U1237" i="13"/>
  <c r="I1202" i="13"/>
  <c r="U1202" i="13"/>
  <c r="I1227" i="13"/>
  <c r="U1227" i="13"/>
  <c r="E1381" i="13"/>
  <c r="Q1381" i="13"/>
  <c r="E1268" i="13"/>
  <c r="Q1268" i="13"/>
  <c r="E1388" i="13"/>
  <c r="Q1388" i="13"/>
  <c r="E1341" i="13"/>
  <c r="Q1341" i="13"/>
  <c r="E1349" i="13"/>
  <c r="Q1349" i="13"/>
  <c r="E1467" i="13"/>
  <c r="Q1467" i="13"/>
  <c r="E1399" i="13"/>
  <c r="Q1399" i="13"/>
  <c r="E1476" i="13"/>
  <c r="Q1476" i="13"/>
  <c r="E1353" i="13"/>
  <c r="Q1353" i="13"/>
  <c r="E1461" i="13"/>
  <c r="Q1461" i="13"/>
  <c r="E1468" i="13"/>
  <c r="Q1468" i="13"/>
  <c r="E1478" i="13"/>
  <c r="Q1478" i="13"/>
  <c r="E1309" i="13"/>
  <c r="Q1309" i="13"/>
  <c r="E1458" i="13"/>
  <c r="Q1458" i="13"/>
  <c r="E1306" i="13"/>
  <c r="Q1306" i="13"/>
  <c r="E1394" i="13"/>
  <c r="Q1394" i="13"/>
  <c r="E1385" i="13"/>
  <c r="Q1385" i="13"/>
  <c r="E1407" i="13"/>
  <c r="Q1407" i="13"/>
  <c r="E1444" i="13"/>
  <c r="Q1444" i="13"/>
  <c r="E1414" i="13"/>
  <c r="Q1414" i="13"/>
  <c r="E1357" i="13"/>
  <c r="Q1357" i="13"/>
  <c r="E1442" i="13"/>
  <c r="Q1442" i="13"/>
  <c r="E1395" i="13"/>
  <c r="Q1395" i="13"/>
  <c r="E1260" i="13"/>
  <c r="Q1260" i="13"/>
  <c r="E1303" i="13"/>
  <c r="Q1303" i="13"/>
  <c r="E1322" i="13"/>
  <c r="Q1322" i="13"/>
  <c r="E1391" i="13"/>
  <c r="Q1391" i="13"/>
  <c r="E1439" i="13"/>
  <c r="Q1439" i="13"/>
  <c r="E1419" i="13"/>
  <c r="Q1419" i="13"/>
  <c r="E1487" i="13"/>
  <c r="Q1487" i="13"/>
  <c r="E1372" i="13"/>
  <c r="Q1372" i="13"/>
  <c r="E1424" i="13"/>
  <c r="Q1424" i="13"/>
  <c r="E1386" i="13"/>
  <c r="Q1386" i="13"/>
  <c r="E1369" i="13"/>
  <c r="Q1369" i="13"/>
  <c r="E1315" i="13"/>
  <c r="Q1315" i="13"/>
  <c r="E1333" i="13"/>
  <c r="Q1333" i="13"/>
  <c r="E1480" i="13"/>
  <c r="Q1480" i="13"/>
  <c r="E1463" i="13"/>
  <c r="Q1463" i="13"/>
  <c r="E1429" i="13"/>
  <c r="Q1429" i="13"/>
  <c r="E1486" i="13"/>
  <c r="Q1486" i="13"/>
  <c r="E1262" i="13"/>
  <c r="Q1262" i="13"/>
  <c r="E1378" i="13"/>
  <c r="Q1378" i="13"/>
  <c r="E1430" i="13"/>
  <c r="Q1430" i="13"/>
  <c r="E1375" i="13"/>
  <c r="Q1375" i="13"/>
  <c r="E1421" i="13"/>
  <c r="Q1421" i="13"/>
  <c r="E1291" i="13"/>
  <c r="Q1291" i="13"/>
  <c r="E1331" i="13"/>
  <c r="Q1331" i="13"/>
  <c r="E1276" i="13"/>
  <c r="Q1276" i="13"/>
  <c r="E1344" i="13"/>
  <c r="Q1344" i="13"/>
  <c r="E1427" i="13"/>
  <c r="Q1427" i="13"/>
  <c r="E1481" i="13"/>
  <c r="Q1481" i="13"/>
  <c r="E1410" i="13"/>
  <c r="Q1410" i="13"/>
  <c r="E1417" i="13"/>
  <c r="Q1417" i="13"/>
  <c r="E1435" i="13"/>
  <c r="Q1435" i="13"/>
  <c r="E1460" i="13"/>
  <c r="Q1460" i="13"/>
  <c r="E1311" i="13"/>
  <c r="Q1311" i="13"/>
  <c r="E1346" i="13"/>
  <c r="Q1346" i="13"/>
  <c r="E1317" i="13"/>
  <c r="Q1317" i="13"/>
  <c r="E1412" i="13"/>
  <c r="Q1412" i="13"/>
  <c r="E1358" i="13"/>
  <c r="Q1358" i="13"/>
  <c r="G948" i="13"/>
  <c r="S948" i="13"/>
  <c r="G984" i="13"/>
  <c r="S984" i="13"/>
  <c r="G908" i="13"/>
  <c r="S908" i="13"/>
  <c r="G880" i="13"/>
  <c r="S880" i="13"/>
  <c r="G925" i="13"/>
  <c r="S925" i="13"/>
  <c r="G874" i="13"/>
  <c r="S874" i="13"/>
  <c r="G894" i="13"/>
  <c r="S894" i="13"/>
  <c r="G924" i="13"/>
  <c r="S924" i="13"/>
  <c r="G837" i="13"/>
  <c r="S837" i="13"/>
  <c r="G933" i="13"/>
  <c r="S933" i="13"/>
  <c r="G902" i="13"/>
  <c r="S902" i="13"/>
  <c r="G774" i="13"/>
  <c r="S774" i="13"/>
  <c r="G883" i="13"/>
  <c r="S883" i="13"/>
  <c r="G843" i="13"/>
  <c r="S843" i="13"/>
  <c r="G943" i="13"/>
  <c r="S943" i="13"/>
  <c r="G773" i="13"/>
  <c r="S773" i="13"/>
  <c r="G770" i="13"/>
  <c r="S770" i="13"/>
  <c r="G757" i="13"/>
  <c r="S757" i="13"/>
  <c r="G904" i="13"/>
  <c r="S904" i="13"/>
  <c r="G986" i="13"/>
  <c r="S986" i="13"/>
  <c r="G969" i="13"/>
  <c r="S969" i="13"/>
  <c r="G823" i="13"/>
  <c r="S823" i="13"/>
  <c r="G828" i="13"/>
  <c r="S828" i="13"/>
  <c r="G847" i="13"/>
  <c r="S847" i="13"/>
  <c r="G861" i="13"/>
  <c r="S861" i="13"/>
  <c r="G817" i="13"/>
  <c r="S817" i="13"/>
  <c r="G952" i="13"/>
  <c r="S952" i="13"/>
  <c r="G942" i="13"/>
  <c r="S942" i="13"/>
  <c r="G801" i="13"/>
  <c r="S801" i="13"/>
  <c r="G881" i="13"/>
  <c r="S881" i="13"/>
  <c r="G989" i="13"/>
  <c r="S989" i="13"/>
  <c r="G885" i="13"/>
  <c r="S885" i="13"/>
  <c r="G803" i="13"/>
  <c r="S803" i="13"/>
  <c r="G927" i="13"/>
  <c r="S927" i="13"/>
  <c r="G839" i="13"/>
  <c r="S839" i="13"/>
  <c r="G905" i="13"/>
  <c r="S905" i="13"/>
  <c r="G765" i="13"/>
  <c r="S765" i="13"/>
  <c r="G754" i="13"/>
  <c r="S754" i="13"/>
  <c r="G953" i="13"/>
  <c r="S953" i="13"/>
  <c r="G963" i="13"/>
  <c r="S963" i="13"/>
  <c r="G767" i="13"/>
  <c r="S767" i="13"/>
  <c r="G970" i="13"/>
  <c r="S970" i="13"/>
  <c r="G937" i="13"/>
  <c r="S937" i="13"/>
  <c r="G831" i="13"/>
  <c r="S831" i="13"/>
  <c r="G778" i="13"/>
  <c r="S778" i="13"/>
  <c r="G893" i="13"/>
  <c r="S893" i="13"/>
  <c r="G876" i="13"/>
  <c r="S876" i="13"/>
  <c r="G870" i="13"/>
  <c r="S870" i="13"/>
  <c r="G777" i="13"/>
  <c r="S777" i="13"/>
  <c r="G910" i="13"/>
  <c r="S910" i="13"/>
  <c r="G816" i="13"/>
  <c r="S816" i="13"/>
  <c r="G966" i="13"/>
  <c r="S966" i="13"/>
  <c r="G887" i="13"/>
  <c r="S887" i="13"/>
  <c r="G956" i="13"/>
  <c r="S956" i="13"/>
  <c r="G842" i="13"/>
  <c r="S842" i="13"/>
  <c r="G913" i="13"/>
  <c r="S913" i="13"/>
  <c r="G848" i="13"/>
  <c r="S848" i="13"/>
  <c r="G835" i="13"/>
  <c r="S835" i="13"/>
  <c r="G897" i="13"/>
  <c r="S897" i="13"/>
  <c r="G822" i="13"/>
  <c r="S822" i="13"/>
  <c r="G877" i="13"/>
  <c r="S877" i="13"/>
  <c r="F2070" i="13"/>
  <c r="R2070" i="13"/>
  <c r="F2022" i="13"/>
  <c r="R2022" i="13"/>
  <c r="F2197" i="13"/>
  <c r="R2197" i="13"/>
  <c r="F2137" i="13"/>
  <c r="R2137" i="13"/>
  <c r="F2047" i="13"/>
  <c r="R2047" i="13"/>
  <c r="F2221" i="13"/>
  <c r="R2221" i="13"/>
  <c r="F2228" i="13"/>
  <c r="R2228" i="13"/>
  <c r="F2224" i="13"/>
  <c r="R2224" i="13"/>
  <c r="F2111" i="13"/>
  <c r="R2111" i="13"/>
  <c r="F2122" i="13"/>
  <c r="R2122" i="13"/>
  <c r="F2069" i="13"/>
  <c r="R2069" i="13"/>
  <c r="F2042" i="13"/>
  <c r="R2042" i="13"/>
  <c r="F2170" i="13"/>
  <c r="R2170" i="13"/>
  <c r="F2081" i="13"/>
  <c r="R2081" i="13"/>
  <c r="F2113" i="13"/>
  <c r="R2113" i="13"/>
  <c r="F2183" i="13"/>
  <c r="R2183" i="13"/>
  <c r="F2050" i="13"/>
  <c r="R2050" i="13"/>
  <c r="F2192" i="13"/>
  <c r="R2192" i="13"/>
  <c r="F2098" i="13"/>
  <c r="R2098" i="13"/>
  <c r="F1995" i="13"/>
  <c r="R1995" i="13"/>
  <c r="F1997" i="13"/>
  <c r="R1997" i="13"/>
  <c r="F2215" i="13"/>
  <c r="R2215" i="13"/>
  <c r="F2100" i="13"/>
  <c r="R2100" i="13"/>
  <c r="F2062" i="13"/>
  <c r="R2062" i="13"/>
  <c r="F2114" i="13"/>
  <c r="R2114" i="13"/>
  <c r="F2212" i="13"/>
  <c r="R2212" i="13"/>
  <c r="F2162" i="13"/>
  <c r="R2162" i="13"/>
  <c r="F2148" i="13"/>
  <c r="R2148" i="13"/>
  <c r="F2055" i="13"/>
  <c r="R2055" i="13"/>
  <c r="F2209" i="13"/>
  <c r="R2209" i="13"/>
  <c r="F2196" i="13"/>
  <c r="R2196" i="13"/>
  <c r="F2203" i="13"/>
  <c r="R2203" i="13"/>
  <c r="F2173" i="13"/>
  <c r="R2173" i="13"/>
  <c r="F2030" i="13"/>
  <c r="R2030" i="13"/>
  <c r="F2202" i="13"/>
  <c r="R2202" i="13"/>
  <c r="F2029" i="13"/>
  <c r="R2029" i="13"/>
  <c r="F2145" i="13"/>
  <c r="R2145" i="13"/>
  <c r="F2052" i="13"/>
  <c r="R2052" i="13"/>
  <c r="F1990" i="13"/>
  <c r="R1990" i="13"/>
  <c r="F2057" i="13"/>
  <c r="R2057" i="13"/>
  <c r="F2149" i="13"/>
  <c r="R2149" i="13"/>
  <c r="F2219" i="13"/>
  <c r="R2219" i="13"/>
  <c r="F2136" i="13"/>
  <c r="R2136" i="13"/>
  <c r="F2079" i="13"/>
  <c r="R2079" i="13"/>
  <c r="F2004" i="13"/>
  <c r="R2004" i="13"/>
  <c r="F1992" i="13"/>
  <c r="R1992" i="13"/>
  <c r="F2096" i="13"/>
  <c r="R2096" i="13"/>
  <c r="F2157" i="13"/>
  <c r="R2157" i="13"/>
  <c r="F2222" i="13"/>
  <c r="R2222" i="13"/>
  <c r="F2220" i="13"/>
  <c r="R2220" i="13"/>
  <c r="F2104" i="13"/>
  <c r="R2104" i="13"/>
  <c r="F2117" i="13"/>
  <c r="R2117" i="13"/>
  <c r="F2012" i="13"/>
  <c r="R2012" i="13"/>
  <c r="F2177" i="13"/>
  <c r="R2177" i="13"/>
  <c r="F2084" i="13"/>
  <c r="R2084" i="13"/>
  <c r="F2085" i="13"/>
  <c r="R2085" i="13"/>
  <c r="F2106" i="13"/>
  <c r="R2106" i="13"/>
  <c r="F2056" i="13"/>
  <c r="R2056" i="13"/>
  <c r="F1996" i="13"/>
  <c r="R1996" i="13"/>
  <c r="F2089" i="13"/>
  <c r="R2089" i="13"/>
  <c r="F1999" i="13"/>
  <c r="R1999" i="13"/>
  <c r="E2230" i="13"/>
  <c r="Q2230" i="13"/>
  <c r="E2201" i="13"/>
  <c r="Q2201" i="13"/>
  <c r="E2146" i="13"/>
  <c r="Q2146" i="13"/>
  <c r="E2220" i="13"/>
  <c r="Q2220" i="13"/>
  <c r="E2177" i="13"/>
  <c r="Q2177" i="13"/>
  <c r="E2022" i="13"/>
  <c r="Q2022" i="13"/>
  <c r="E2221" i="13"/>
  <c r="Q2221" i="13"/>
  <c r="E2105" i="13"/>
  <c r="Q2105" i="13"/>
  <c r="E2031" i="13"/>
  <c r="Q2031" i="13"/>
  <c r="E2108" i="13"/>
  <c r="Q2108" i="13"/>
  <c r="E2140" i="13"/>
  <c r="Q2140" i="13"/>
  <c r="E2207" i="13"/>
  <c r="Q2207" i="13"/>
  <c r="E2095" i="13"/>
  <c r="Q2095" i="13"/>
  <c r="E2038" i="13"/>
  <c r="Q2038" i="13"/>
  <c r="E2204" i="13"/>
  <c r="Q2204" i="13"/>
  <c r="E2050" i="13"/>
  <c r="Q2050" i="13"/>
  <c r="E1997" i="13"/>
  <c r="Q1997" i="13"/>
  <c r="E2173" i="13"/>
  <c r="Q2173" i="13"/>
  <c r="E2218" i="13"/>
  <c r="Q2218" i="13"/>
  <c r="E1994" i="13"/>
  <c r="Q1994" i="13"/>
  <c r="E2036" i="13"/>
  <c r="Q2036" i="13"/>
  <c r="E2058" i="13"/>
  <c r="Q2058" i="13"/>
  <c r="E2093" i="13"/>
  <c r="Q2093" i="13"/>
  <c r="E2109" i="13"/>
  <c r="Q2109" i="13"/>
  <c r="E2206" i="13"/>
  <c r="Q2206" i="13"/>
  <c r="E2046" i="13"/>
  <c r="Q2046" i="13"/>
  <c r="E2191" i="13"/>
  <c r="Q2191" i="13"/>
  <c r="E2043" i="13"/>
  <c r="Q2043" i="13"/>
  <c r="E2231" i="13"/>
  <c r="Q2231" i="13"/>
  <c r="E2115" i="13"/>
  <c r="Q2115" i="13"/>
  <c r="E2116" i="13"/>
  <c r="Q2116" i="13"/>
  <c r="E2023" i="13"/>
  <c r="Q2023" i="13"/>
  <c r="E2049" i="13"/>
  <c r="Q2049" i="13"/>
  <c r="E2025" i="13"/>
  <c r="Q2025" i="13"/>
  <c r="E2041" i="13"/>
  <c r="Q2041" i="13"/>
  <c r="E1993" i="13"/>
  <c r="Q1993" i="13"/>
  <c r="E2097" i="13"/>
  <c r="Q2097" i="13"/>
  <c r="E2121" i="13"/>
  <c r="Q2121" i="13"/>
  <c r="E2169" i="13"/>
  <c r="Q2169" i="13"/>
  <c r="E2024" i="13"/>
  <c r="Q2024" i="13"/>
  <c r="E2018" i="13"/>
  <c r="Q2018" i="13"/>
  <c r="E2053" i="13"/>
  <c r="Q2053" i="13"/>
  <c r="I2661" i="13"/>
  <c r="U2661" i="13"/>
  <c r="I2537" i="13"/>
  <c r="U2537" i="13"/>
  <c r="I2716" i="13"/>
  <c r="U2716" i="13"/>
  <c r="I2717" i="13"/>
  <c r="U2717" i="13"/>
  <c r="I2664" i="13"/>
  <c r="U2664" i="13"/>
  <c r="I2542" i="13"/>
  <c r="U2542" i="13"/>
  <c r="I2496" i="13"/>
  <c r="U2496" i="13"/>
  <c r="I2504" i="13"/>
  <c r="U2504" i="13"/>
  <c r="I2568" i="13"/>
  <c r="U2568" i="13"/>
  <c r="I2639" i="13"/>
  <c r="U2639" i="13"/>
  <c r="I2602" i="13"/>
  <c r="U2602" i="13"/>
  <c r="I2598" i="13"/>
  <c r="U2598" i="13"/>
  <c r="I2637" i="13"/>
  <c r="U2637" i="13"/>
  <c r="I2632" i="13"/>
  <c r="U2632" i="13"/>
  <c r="I2715" i="13"/>
  <c r="U2715" i="13"/>
  <c r="I2654" i="13"/>
  <c r="U2654" i="13"/>
  <c r="I2658" i="13"/>
  <c r="U2658" i="13"/>
  <c r="I2652" i="13"/>
  <c r="U2652" i="13"/>
  <c r="I2691" i="13"/>
  <c r="U2691" i="13"/>
  <c r="I2724" i="13"/>
  <c r="U2724" i="13"/>
  <c r="I2511" i="13"/>
  <c r="U2511" i="13"/>
  <c r="I2559" i="13"/>
  <c r="U2559" i="13"/>
  <c r="I2561" i="13"/>
  <c r="U2561" i="13"/>
  <c r="I2680" i="13"/>
  <c r="U2680" i="13"/>
  <c r="I2575" i="13"/>
  <c r="U2575" i="13"/>
  <c r="I2519" i="13"/>
  <c r="U2519" i="13"/>
  <c r="I2577" i="13"/>
  <c r="U2577" i="13"/>
  <c r="I2643" i="13"/>
  <c r="U2643" i="13"/>
  <c r="I2628" i="13"/>
  <c r="U2628" i="13"/>
  <c r="I2618" i="13"/>
  <c r="U2618" i="13"/>
  <c r="I2617" i="13"/>
  <c r="U2617" i="13"/>
  <c r="I2566" i="13"/>
  <c r="U2566" i="13"/>
  <c r="I2726" i="13"/>
  <c r="U2726" i="13"/>
  <c r="F2643" i="13"/>
  <c r="R2643" i="13"/>
  <c r="F2498" i="13"/>
  <c r="R2498" i="13"/>
  <c r="F2621" i="13"/>
  <c r="R2621" i="13"/>
  <c r="F2491" i="13"/>
  <c r="R2491" i="13"/>
  <c r="F2628" i="13"/>
  <c r="R2628" i="13"/>
  <c r="F2528" i="13"/>
  <c r="R2528" i="13"/>
  <c r="F2618" i="13"/>
  <c r="R2618" i="13"/>
  <c r="F2682" i="13"/>
  <c r="R2682" i="13"/>
  <c r="F2578" i="13"/>
  <c r="R2578" i="13"/>
  <c r="F2692" i="13"/>
  <c r="R2692" i="13"/>
  <c r="F2659" i="13"/>
  <c r="R2659" i="13"/>
  <c r="F2514" i="13"/>
  <c r="R2514" i="13"/>
  <c r="F2637" i="13"/>
  <c r="R2637" i="13"/>
  <c r="F2605" i="13"/>
  <c r="R2605" i="13"/>
  <c r="F2638" i="13"/>
  <c r="R2638" i="13"/>
  <c r="F2576" i="13"/>
  <c r="R2576" i="13"/>
  <c r="F2626" i="13"/>
  <c r="R2626" i="13"/>
  <c r="F2584" i="13"/>
  <c r="R2584" i="13"/>
  <c r="F2506" i="13"/>
  <c r="R2506" i="13"/>
  <c r="F2603" i="13"/>
  <c r="R2603" i="13"/>
  <c r="F2703" i="13"/>
  <c r="R2703" i="13"/>
  <c r="F2585" i="13"/>
  <c r="R2585" i="13"/>
  <c r="F2709" i="13"/>
  <c r="R2709" i="13"/>
  <c r="F2536" i="13"/>
  <c r="R2536" i="13"/>
  <c r="F2679" i="13"/>
  <c r="R2679" i="13"/>
  <c r="F2592" i="13"/>
  <c r="R2592" i="13"/>
  <c r="F2676" i="13"/>
  <c r="R2676" i="13"/>
  <c r="F2539" i="13"/>
  <c r="R2539" i="13"/>
  <c r="F2658" i="13"/>
  <c r="R2658" i="13"/>
  <c r="F2492" i="13"/>
  <c r="R2492" i="13"/>
  <c r="E2549" i="13"/>
  <c r="Q2549" i="13"/>
  <c r="E2662" i="13"/>
  <c r="Q2662" i="13"/>
  <c r="E2532" i="13"/>
  <c r="Q2532" i="13"/>
  <c r="E2675" i="13"/>
  <c r="Q2675" i="13"/>
  <c r="E2619" i="13"/>
  <c r="Q2619" i="13"/>
  <c r="E2599" i="13"/>
  <c r="Q2599" i="13"/>
  <c r="E2726" i="13"/>
  <c r="Q2726" i="13"/>
  <c r="E2489" i="13"/>
  <c r="Q2489" i="13"/>
  <c r="E2725" i="13"/>
  <c r="Q2725" i="13"/>
  <c r="E2544" i="13"/>
  <c r="Q2544" i="13"/>
  <c r="E2565" i="13"/>
  <c r="Q2565" i="13"/>
  <c r="E2689" i="13"/>
  <c r="Q2689" i="13"/>
  <c r="E2552" i="13"/>
  <c r="Q2552" i="13"/>
  <c r="E2691" i="13"/>
  <c r="Q2691" i="13"/>
  <c r="E2588" i="13"/>
  <c r="Q2588" i="13"/>
  <c r="E2551" i="13"/>
  <c r="Q2551" i="13"/>
  <c r="E2678" i="13"/>
  <c r="Q2678" i="13"/>
  <c r="E2542" i="13"/>
  <c r="Q2542" i="13"/>
  <c r="E2556" i="13"/>
  <c r="Q2556" i="13"/>
  <c r="E2526" i="13"/>
  <c r="Q2526" i="13"/>
  <c r="E2649" i="13"/>
  <c r="Q2649" i="13"/>
  <c r="E2487" i="13"/>
  <c r="Q2487" i="13"/>
  <c r="E2624" i="13"/>
  <c r="Q2624" i="13"/>
  <c r="E2604" i="13"/>
  <c r="Q2604" i="13"/>
  <c r="E2688" i="13"/>
  <c r="Q2688" i="13"/>
  <c r="E2639" i="13"/>
  <c r="Q2639" i="13"/>
  <c r="E2711" i="13"/>
  <c r="Q2711" i="13"/>
  <c r="E2631" i="13"/>
  <c r="Q2631" i="13"/>
  <c r="E2529" i="13"/>
  <c r="Q2529" i="13"/>
  <c r="E2598" i="13"/>
  <c r="Q2598" i="13"/>
  <c r="H2553" i="13"/>
  <c r="T2553" i="13"/>
  <c r="H2701" i="13"/>
  <c r="T2701" i="13"/>
  <c r="H2569" i="13"/>
  <c r="T2569" i="13"/>
  <c r="H2683" i="13"/>
  <c r="T2683" i="13"/>
  <c r="H2592" i="13"/>
  <c r="T2592" i="13"/>
  <c r="H2509" i="13"/>
  <c r="T2509" i="13"/>
  <c r="H2522" i="13"/>
  <c r="T2522" i="13"/>
  <c r="H2697" i="13"/>
  <c r="T2697" i="13"/>
  <c r="H2691" i="13"/>
  <c r="T2691" i="13"/>
  <c r="H2641" i="13"/>
  <c r="T2641" i="13"/>
  <c r="H2716" i="13"/>
  <c r="T2716" i="13"/>
  <c r="H2539" i="13"/>
  <c r="T2539" i="13"/>
  <c r="H2549" i="13"/>
  <c r="T2549" i="13"/>
  <c r="H2647" i="13"/>
  <c r="T2647" i="13"/>
  <c r="H2528" i="13"/>
  <c r="T2528" i="13"/>
  <c r="H2544" i="13"/>
  <c r="T2544" i="13"/>
  <c r="H2591" i="13"/>
  <c r="T2591" i="13"/>
  <c r="H2635" i="13"/>
  <c r="T2635" i="13"/>
  <c r="H2623" i="13"/>
  <c r="T2623" i="13"/>
  <c r="H2622" i="13"/>
  <c r="T2622" i="13"/>
  <c r="H2634" i="13"/>
  <c r="T2634" i="13"/>
  <c r="H2579" i="13"/>
  <c r="T2579" i="13"/>
  <c r="H2676" i="13"/>
  <c r="T2676" i="13"/>
  <c r="H2598" i="13"/>
  <c r="T2598" i="13"/>
  <c r="H2547" i="13"/>
  <c r="T2547" i="13"/>
  <c r="H2669" i="13"/>
  <c r="T2669" i="13"/>
  <c r="H2693" i="13"/>
  <c r="T2693" i="13"/>
  <c r="H2542" i="13"/>
  <c r="T2542" i="13"/>
  <c r="H2703" i="13"/>
  <c r="T2703" i="13"/>
  <c r="H2490" i="13"/>
  <c r="T2490" i="13"/>
  <c r="G2643" i="13"/>
  <c r="S2643" i="13"/>
  <c r="G2704" i="13"/>
  <c r="S2704" i="13"/>
  <c r="G2650" i="13"/>
  <c r="S2650" i="13"/>
  <c r="G2575" i="13"/>
  <c r="S2575" i="13"/>
  <c r="G2496" i="13"/>
  <c r="S2496" i="13"/>
  <c r="G2584" i="13"/>
  <c r="S2584" i="13"/>
  <c r="G2688" i="13"/>
  <c r="S2688" i="13"/>
  <c r="G2494" i="13"/>
  <c r="S2494" i="13"/>
  <c r="G2509" i="13"/>
  <c r="S2509" i="13"/>
  <c r="G2534" i="13"/>
  <c r="S2534" i="13"/>
  <c r="G2666" i="13"/>
  <c r="S2666" i="13"/>
  <c r="G2671" i="13"/>
  <c r="S2671" i="13"/>
  <c r="G2682" i="13"/>
  <c r="S2682" i="13"/>
  <c r="G2510" i="13"/>
  <c r="S2510" i="13"/>
  <c r="G2714" i="13"/>
  <c r="S2714" i="13"/>
  <c r="G2718" i="13"/>
  <c r="S2718" i="13"/>
  <c r="G2673" i="13"/>
  <c r="S2673" i="13"/>
  <c r="G2593" i="13"/>
  <c r="S2593" i="13"/>
  <c r="G2542" i="13"/>
  <c r="S2542" i="13"/>
  <c r="G2655" i="13"/>
  <c r="S2655" i="13"/>
  <c r="G2703" i="13"/>
  <c r="S2703" i="13"/>
  <c r="G2624" i="13"/>
  <c r="S2624" i="13"/>
  <c r="G2625" i="13"/>
  <c r="S2625" i="13"/>
  <c r="G2592" i="13"/>
  <c r="S2592" i="13"/>
  <c r="G2658" i="13"/>
  <c r="S2658" i="13"/>
  <c r="G2532" i="13"/>
  <c r="S2532" i="13"/>
  <c r="G2570" i="13"/>
  <c r="S2570" i="13"/>
  <c r="I1778" i="13"/>
  <c r="U1778" i="13"/>
  <c r="I1908" i="13"/>
  <c r="U1908" i="13"/>
  <c r="I1909" i="13"/>
  <c r="U1909" i="13"/>
  <c r="I1965" i="13"/>
  <c r="U1965" i="13"/>
  <c r="I1754" i="13"/>
  <c r="U1754" i="13"/>
  <c r="I1942" i="13"/>
  <c r="U1942" i="13"/>
  <c r="I1864" i="13"/>
  <c r="U1864" i="13"/>
  <c r="I1866" i="13"/>
  <c r="U1866" i="13"/>
  <c r="I1920" i="13"/>
  <c r="U1920" i="13"/>
  <c r="I1921" i="13"/>
  <c r="U1921" i="13"/>
  <c r="I1959" i="13"/>
  <c r="U1959" i="13"/>
  <c r="I1860" i="13"/>
  <c r="U1860" i="13"/>
  <c r="I1943" i="13"/>
  <c r="U1943" i="13"/>
  <c r="I1776" i="13"/>
  <c r="U1776" i="13"/>
  <c r="I1906" i="13"/>
  <c r="U1906" i="13"/>
  <c r="I1886" i="13"/>
  <c r="U1886" i="13"/>
  <c r="I1755" i="13"/>
  <c r="U1755" i="13"/>
  <c r="I1775" i="13"/>
  <c r="U1775" i="13"/>
  <c r="I1848" i="13"/>
  <c r="U1848" i="13"/>
  <c r="I1821" i="13"/>
  <c r="U1821" i="13"/>
  <c r="I1837" i="13"/>
  <c r="U1837" i="13"/>
  <c r="I1829" i="13"/>
  <c r="U1829" i="13"/>
  <c r="I1957" i="13"/>
  <c r="U1957" i="13"/>
  <c r="I1889" i="13"/>
  <c r="U1889" i="13"/>
  <c r="I1894" i="13"/>
  <c r="U1894" i="13"/>
  <c r="I1978" i="13"/>
  <c r="U1978" i="13"/>
  <c r="I1773" i="13"/>
  <c r="U1773" i="13"/>
  <c r="I1945" i="13"/>
  <c r="U1945" i="13"/>
  <c r="I1842" i="13"/>
  <c r="U1842" i="13"/>
  <c r="I1868" i="13"/>
  <c r="U1868" i="13"/>
  <c r="F1747" i="13"/>
  <c r="R1747" i="13"/>
  <c r="F1877" i="13"/>
  <c r="R1877" i="13"/>
  <c r="F1765" i="13"/>
  <c r="R1765" i="13"/>
  <c r="F1878" i="13"/>
  <c r="R1878" i="13"/>
  <c r="F1936" i="13"/>
  <c r="R1936" i="13"/>
  <c r="F1934" i="13"/>
  <c r="R1934" i="13"/>
  <c r="F1870" i="13"/>
  <c r="R1870" i="13"/>
  <c r="F1869" i="13"/>
  <c r="R1869" i="13"/>
  <c r="F1846" i="13"/>
  <c r="R1846" i="13"/>
  <c r="F1883" i="13"/>
  <c r="R1883" i="13"/>
  <c r="F1942" i="13"/>
  <c r="R1942" i="13"/>
  <c r="F1930" i="13"/>
  <c r="R1930" i="13"/>
  <c r="F1889" i="13"/>
  <c r="R1889" i="13"/>
  <c r="F1848" i="13"/>
  <c r="R1848" i="13"/>
  <c r="F1983" i="13"/>
  <c r="R1983" i="13"/>
  <c r="F1861" i="13"/>
  <c r="R1861" i="13"/>
  <c r="F1776" i="13"/>
  <c r="R1776" i="13"/>
  <c r="F1876" i="13"/>
  <c r="R1876" i="13"/>
  <c r="F1975" i="13"/>
  <c r="R1975" i="13"/>
  <c r="F1920" i="13"/>
  <c r="R1920" i="13"/>
  <c r="F1798" i="13"/>
  <c r="R1798" i="13"/>
  <c r="F1923" i="13"/>
  <c r="R1923" i="13"/>
  <c r="F1902" i="13"/>
  <c r="R1902" i="13"/>
  <c r="F1814" i="13"/>
  <c r="R1814" i="13"/>
  <c r="F1778" i="13"/>
  <c r="R1778" i="13"/>
  <c r="F1914" i="13"/>
  <c r="R1914" i="13"/>
  <c r="F1918" i="13"/>
  <c r="R1918" i="13"/>
  <c r="F1953" i="13"/>
  <c r="R1953" i="13"/>
  <c r="F1849" i="13"/>
  <c r="R1849" i="13"/>
  <c r="F1805" i="13"/>
  <c r="R1805" i="13"/>
  <c r="I1032" i="13"/>
  <c r="U1032" i="13"/>
  <c r="I1114" i="13"/>
  <c r="U1114" i="13"/>
  <c r="I1074" i="13"/>
  <c r="U1074" i="13"/>
  <c r="I1046" i="13"/>
  <c r="U1046" i="13"/>
  <c r="I1018" i="13"/>
  <c r="U1018" i="13"/>
  <c r="I1209" i="13"/>
  <c r="U1209" i="13"/>
  <c r="I1226" i="13"/>
  <c r="U1226" i="13"/>
  <c r="I1139" i="13"/>
  <c r="U1139" i="13"/>
  <c r="I1068" i="13"/>
  <c r="U1068" i="13"/>
  <c r="I1002" i="13"/>
  <c r="U1002" i="13"/>
  <c r="I1239" i="13"/>
  <c r="U1239" i="13"/>
  <c r="I1236" i="13"/>
  <c r="U1236" i="13"/>
  <c r="I1012" i="13"/>
  <c r="U1012" i="13"/>
  <c r="I1102" i="13"/>
  <c r="U1102" i="13"/>
  <c r="I1228" i="13"/>
  <c r="U1228" i="13"/>
  <c r="I1156" i="13"/>
  <c r="U1156" i="13"/>
  <c r="I1098" i="13"/>
  <c r="U1098" i="13"/>
  <c r="I1033" i="13"/>
  <c r="U1033" i="13"/>
  <c r="I1017" i="13"/>
  <c r="U1017" i="13"/>
  <c r="I1138" i="13"/>
  <c r="U1138" i="13"/>
  <c r="I1217" i="13"/>
  <c r="U1217" i="13"/>
  <c r="I1037" i="13"/>
  <c r="U1037" i="13"/>
  <c r="I1073" i="13"/>
  <c r="U1073" i="13"/>
  <c r="I1157" i="13"/>
  <c r="U1157" i="13"/>
  <c r="I1192" i="13"/>
  <c r="U1192" i="13"/>
  <c r="I1120" i="13"/>
  <c r="U1120" i="13"/>
  <c r="I1107" i="13"/>
  <c r="U1107" i="13"/>
  <c r="I1091" i="13"/>
  <c r="U1091" i="13"/>
  <c r="I1015" i="13"/>
  <c r="U1015" i="13"/>
  <c r="I1219" i="13"/>
  <c r="U1219" i="13"/>
  <c r="E1321" i="13"/>
  <c r="Q1321" i="13"/>
  <c r="E1323" i="13"/>
  <c r="Q1323" i="13"/>
  <c r="E1318" i="13"/>
  <c r="Q1318" i="13"/>
  <c r="E1420" i="13"/>
  <c r="Q1420" i="13"/>
  <c r="E1449" i="13"/>
  <c r="Q1449" i="13"/>
  <c r="E1454" i="13"/>
  <c r="Q1454" i="13"/>
  <c r="E1265" i="13"/>
  <c r="Q1265" i="13"/>
  <c r="E1246" i="13"/>
  <c r="Q1246" i="13"/>
  <c r="E1459" i="13"/>
  <c r="Q1459" i="13"/>
  <c r="E1253" i="13"/>
  <c r="Q1253" i="13"/>
  <c r="E1294" i="13"/>
  <c r="Q1294" i="13"/>
  <c r="E1307" i="13"/>
  <c r="Q1307" i="13"/>
  <c r="E1387" i="13"/>
  <c r="Q1387" i="13"/>
  <c r="E1474" i="13"/>
  <c r="Q1474" i="13"/>
  <c r="E1270" i="13"/>
  <c r="Q1270" i="13"/>
  <c r="E1423" i="13"/>
  <c r="Q1423" i="13"/>
  <c r="E1451" i="13"/>
  <c r="Q1451" i="13"/>
  <c r="E1479" i="13"/>
  <c r="Q1479" i="13"/>
  <c r="E1247" i="13"/>
  <c r="Q1247" i="13"/>
  <c r="E1289" i="13"/>
  <c r="Q1289" i="13"/>
  <c r="E1418" i="13"/>
  <c r="Q1418" i="13"/>
  <c r="E1453" i="13"/>
  <c r="Q1453" i="13"/>
  <c r="E1466" i="13"/>
  <c r="Q1466" i="13"/>
  <c r="E1324" i="13"/>
  <c r="Q1324" i="13"/>
  <c r="E1393" i="13"/>
  <c r="Q1393" i="13"/>
  <c r="E1392" i="13"/>
  <c r="Q1392" i="13"/>
  <c r="E1475" i="13"/>
  <c r="Q1475" i="13"/>
  <c r="E1411" i="13"/>
  <c r="Q1411" i="13"/>
  <c r="E1255" i="13"/>
  <c r="Q1255" i="13"/>
  <c r="E1367" i="13"/>
  <c r="Q1367" i="13"/>
  <c r="E1371" i="13"/>
  <c r="Q1371" i="13"/>
  <c r="G809" i="13"/>
  <c r="S809" i="13"/>
  <c r="G751" i="13"/>
  <c r="S751" i="13"/>
  <c r="G987" i="13"/>
  <c r="S987" i="13"/>
  <c r="G814" i="13"/>
  <c r="S814" i="13"/>
  <c r="G967" i="13"/>
  <c r="S967" i="13"/>
  <c r="G938" i="13"/>
  <c r="S938" i="13"/>
  <c r="G799" i="13"/>
  <c r="S799" i="13"/>
  <c r="G961" i="13"/>
  <c r="S961" i="13"/>
  <c r="G846" i="13"/>
  <c r="S846" i="13"/>
  <c r="G857" i="13"/>
  <c r="S857" i="13"/>
  <c r="G838" i="13"/>
  <c r="S838" i="13"/>
  <c r="G985" i="13"/>
  <c r="S985" i="13"/>
  <c r="G752" i="13"/>
  <c r="S752" i="13"/>
  <c r="G821" i="13"/>
  <c r="S821" i="13"/>
  <c r="G856" i="13"/>
  <c r="S856" i="13"/>
  <c r="G769" i="13"/>
  <c r="S769" i="13"/>
  <c r="G805" i="13"/>
  <c r="S805" i="13"/>
  <c r="G851" i="13"/>
  <c r="S851" i="13"/>
  <c r="G826" i="13"/>
  <c r="S826" i="13"/>
  <c r="G917" i="13"/>
  <c r="S917" i="13"/>
  <c r="G916" i="13"/>
  <c r="S916" i="13"/>
  <c r="G964" i="13"/>
  <c r="S964" i="13"/>
  <c r="G886" i="13"/>
  <c r="S886" i="13"/>
  <c r="G788" i="13"/>
  <c r="S788" i="13"/>
  <c r="G790" i="13"/>
  <c r="S790" i="13"/>
  <c r="G918" i="13"/>
  <c r="S918" i="13"/>
  <c r="G907" i="13"/>
  <c r="S907" i="13"/>
  <c r="G783" i="13"/>
  <c r="S783" i="13"/>
  <c r="G981" i="13"/>
  <c r="S981" i="13"/>
  <c r="G772" i="13"/>
  <c r="S772" i="13"/>
  <c r="G982" i="13"/>
  <c r="S982" i="13"/>
  <c r="G849" i="13"/>
  <c r="S849" i="13"/>
  <c r="F2110" i="13"/>
  <c r="R2110" i="13"/>
  <c r="F2027" i="13"/>
  <c r="R2027" i="13"/>
  <c r="F2124" i="13"/>
  <c r="R2124" i="13"/>
  <c r="F2226" i="13"/>
  <c r="R2226" i="13"/>
  <c r="F2093" i="13"/>
  <c r="R2093" i="13"/>
  <c r="F2090" i="13"/>
  <c r="R2090" i="13"/>
  <c r="F2165" i="13"/>
  <c r="R2165" i="13"/>
  <c r="F2067" i="13"/>
  <c r="R2067" i="13"/>
  <c r="F2198" i="13"/>
  <c r="R2198" i="13"/>
  <c r="F2064" i="13"/>
  <c r="R2064" i="13"/>
  <c r="F2223" i="13"/>
  <c r="R2223" i="13"/>
  <c r="F2101" i="13"/>
  <c r="R2101" i="13"/>
  <c r="F2147" i="13"/>
  <c r="R2147" i="13"/>
  <c r="F2150" i="13"/>
  <c r="R2150" i="13"/>
  <c r="F2160" i="13"/>
  <c r="R2160" i="13"/>
  <c r="F2184" i="13"/>
  <c r="R2184" i="13"/>
  <c r="F2060" i="13"/>
  <c r="R2060" i="13"/>
  <c r="F2011" i="13"/>
  <c r="R2011" i="13"/>
  <c r="F2217" i="13"/>
  <c r="R2217" i="13"/>
  <c r="F2116" i="13"/>
  <c r="R2116" i="13"/>
  <c r="F2005" i="13"/>
  <c r="R2005" i="13"/>
  <c r="F2076" i="13"/>
  <c r="R2076" i="13"/>
  <c r="F2091" i="13"/>
  <c r="R2091" i="13"/>
  <c r="F2015" i="13"/>
  <c r="R2015" i="13"/>
  <c r="F2166" i="13"/>
  <c r="R2166" i="13"/>
  <c r="F2175" i="13"/>
  <c r="R2175" i="13"/>
  <c r="F2218" i="13"/>
  <c r="R2218" i="13"/>
  <c r="F2002" i="13"/>
  <c r="R2002" i="13"/>
  <c r="F2072" i="13"/>
  <c r="R2072" i="13"/>
  <c r="F1994" i="13"/>
  <c r="R1994" i="13"/>
  <c r="F2178" i="13"/>
  <c r="R2178" i="13"/>
  <c r="F2189" i="13"/>
  <c r="R2189" i="13"/>
  <c r="F2119" i="13"/>
  <c r="R2119" i="13"/>
  <c r="F2083" i="13"/>
  <c r="R2083" i="13"/>
  <c r="F2171" i="13"/>
  <c r="R2171" i="13"/>
  <c r="F2099" i="13"/>
  <c r="R2099" i="13"/>
  <c r="R1989" i="13"/>
  <c r="F1989" i="13"/>
  <c r="E2065" i="13"/>
  <c r="Q2065" i="13"/>
  <c r="E2035" i="13"/>
  <c r="Q2035" i="13"/>
  <c r="E2104" i="13"/>
  <c r="Q2104" i="13"/>
  <c r="E2021" i="13"/>
  <c r="Q2021" i="13"/>
  <c r="E2197" i="13"/>
  <c r="Q2197" i="13"/>
  <c r="E2228" i="13"/>
  <c r="Q2228" i="13"/>
  <c r="E2188" i="13"/>
  <c r="Q2188" i="13"/>
  <c r="E2194" i="13"/>
  <c r="Q2194" i="13"/>
  <c r="E2213" i="13"/>
  <c r="Q2213" i="13"/>
  <c r="E2078" i="13"/>
  <c r="Q2078" i="13"/>
  <c r="E2087" i="13"/>
  <c r="Q2087" i="13"/>
  <c r="E2073" i="13"/>
  <c r="Q2073" i="13"/>
  <c r="E2014" i="13"/>
  <c r="Q2014" i="13"/>
  <c r="E2152" i="13"/>
  <c r="Q2152" i="13"/>
  <c r="E2192" i="13"/>
  <c r="Q2192" i="13"/>
  <c r="E2215" i="13"/>
  <c r="Q2215" i="13"/>
  <c r="E2029" i="13"/>
  <c r="Q2029" i="13"/>
  <c r="E2168" i="13"/>
  <c r="Q2168" i="13"/>
  <c r="E2153" i="13"/>
  <c r="Q2153" i="13"/>
  <c r="E2027" i="13"/>
  <c r="Q2027" i="13"/>
  <c r="E2139" i="13"/>
  <c r="Q2139" i="13"/>
  <c r="E2034" i="13"/>
  <c r="Q2034" i="13"/>
  <c r="E2161" i="13"/>
  <c r="Q2161" i="13"/>
  <c r="E2183" i="13"/>
  <c r="Q2183" i="13"/>
  <c r="E2122" i="13"/>
  <c r="Q2122" i="13"/>
  <c r="E2069" i="13"/>
  <c r="Q2069" i="13"/>
  <c r="E2042" i="13"/>
  <c r="Q2042" i="13"/>
  <c r="E2170" i="13"/>
  <c r="Q2170" i="13"/>
  <c r="E2081" i="13"/>
  <c r="Q2081" i="13"/>
  <c r="E2198" i="13"/>
  <c r="Q2198" i="13"/>
  <c r="E2223" i="13"/>
  <c r="Q2223" i="13"/>
  <c r="E2054" i="13"/>
  <c r="Q2054" i="13"/>
  <c r="E2193" i="13"/>
  <c r="Q2193" i="13"/>
  <c r="E2158" i="13"/>
  <c r="Q2158" i="13"/>
  <c r="E2007" i="13"/>
  <c r="Q2007" i="13"/>
  <c r="E2063" i="13"/>
  <c r="Q2063" i="13"/>
  <c r="E2208" i="13"/>
  <c r="Q2208" i="13"/>
  <c r="E2026" i="13"/>
  <c r="Q2026" i="13"/>
  <c r="E2114" i="13"/>
  <c r="Q2114" i="13"/>
  <c r="E2212" i="13"/>
  <c r="Q2212" i="13"/>
  <c r="I2609" i="13"/>
  <c r="U2609" i="13"/>
  <c r="I2492" i="13"/>
  <c r="U2492" i="13"/>
  <c r="I2490" i="13"/>
  <c r="U2490" i="13"/>
  <c r="I2564" i="13"/>
  <c r="U2564" i="13"/>
  <c r="I2696" i="13"/>
  <c r="U2696" i="13"/>
  <c r="I2725" i="13"/>
  <c r="U2725" i="13"/>
  <c r="I2562" i="13"/>
  <c r="U2562" i="13"/>
  <c r="I2570" i="13"/>
  <c r="U2570" i="13"/>
  <c r="I2624" i="13"/>
  <c r="U2624" i="13"/>
  <c r="I2682" i="13"/>
  <c r="U2682" i="13"/>
  <c r="I2697" i="13"/>
  <c r="U2697" i="13"/>
  <c r="I2693" i="13"/>
  <c r="U2693" i="13"/>
  <c r="I2626" i="13"/>
  <c r="U2626" i="13"/>
  <c r="I2502" i="13"/>
  <c r="U2502" i="13"/>
  <c r="I2489" i="13"/>
  <c r="U2489" i="13"/>
  <c r="I2512" i="13"/>
  <c r="U2512" i="13"/>
  <c r="I2510" i="13"/>
  <c r="U2510" i="13"/>
  <c r="I2507" i="13"/>
  <c r="U2507" i="13"/>
  <c r="I2603" i="13"/>
  <c r="U2603" i="13"/>
  <c r="I2585" i="13"/>
  <c r="U2585" i="13"/>
  <c r="I2592" i="13"/>
  <c r="U2592" i="13"/>
  <c r="I2631" i="13"/>
  <c r="U2631" i="13"/>
  <c r="I2647" i="13"/>
  <c r="U2647" i="13"/>
  <c r="I2589" i="13"/>
  <c r="U2589" i="13"/>
  <c r="I2554" i="13"/>
  <c r="U2554" i="13"/>
  <c r="I2675" i="13"/>
  <c r="U2675" i="13"/>
  <c r="F2494" i="13"/>
  <c r="R2494" i="13"/>
  <c r="F2549" i="13"/>
  <c r="R2549" i="13"/>
  <c r="F2662" i="13"/>
  <c r="R2662" i="13"/>
  <c r="F2532" i="13"/>
  <c r="R2532" i="13"/>
  <c r="F2675" i="13"/>
  <c r="R2675" i="13"/>
  <c r="F2619" i="13"/>
  <c r="R2619" i="13"/>
  <c r="F2720" i="13"/>
  <c r="R2720" i="13"/>
  <c r="F2671" i="13"/>
  <c r="R2671" i="13"/>
  <c r="F2489" i="13"/>
  <c r="R2489" i="13"/>
  <c r="F2725" i="13"/>
  <c r="R2725" i="13"/>
  <c r="F2544" i="13"/>
  <c r="R2544" i="13"/>
  <c r="F2565" i="13"/>
  <c r="R2565" i="13"/>
  <c r="F2689" i="13"/>
  <c r="R2689" i="13"/>
  <c r="F2525" i="13"/>
  <c r="R2525" i="13"/>
  <c r="F2691" i="13"/>
  <c r="R2691" i="13"/>
  <c r="F2588" i="13"/>
  <c r="R2588" i="13"/>
  <c r="F2674" i="13"/>
  <c r="R2674" i="13"/>
  <c r="F2623" i="13"/>
  <c r="R2623" i="13"/>
  <c r="F2542" i="13"/>
  <c r="R2542" i="13"/>
  <c r="F2556" i="13"/>
  <c r="R2556" i="13"/>
  <c r="F2526" i="13"/>
  <c r="R2526" i="13"/>
  <c r="F2649" i="13"/>
  <c r="R2649" i="13"/>
  <c r="F2487" i="13"/>
  <c r="R2487" i="13"/>
  <c r="F2624" i="13"/>
  <c r="R2624" i="13"/>
  <c r="F2604" i="13"/>
  <c r="R2604" i="13"/>
  <c r="F2688" i="13"/>
  <c r="R2688" i="13"/>
  <c r="F2639" i="13"/>
  <c r="R2639" i="13"/>
  <c r="F2711" i="13"/>
  <c r="R2711" i="13"/>
  <c r="F2631" i="13"/>
  <c r="R2631" i="13"/>
  <c r="F2695" i="13"/>
  <c r="R2695" i="13"/>
  <c r="E2505" i="13"/>
  <c r="Q2505" i="13"/>
  <c r="E2516" i="13"/>
  <c r="Q2516" i="13"/>
  <c r="E2670" i="13"/>
  <c r="Q2670" i="13"/>
  <c r="E2600" i="13"/>
  <c r="Q2600" i="13"/>
  <c r="E2684" i="13"/>
  <c r="Q2684" i="13"/>
  <c r="E2554" i="13"/>
  <c r="Q2554" i="13"/>
  <c r="E2522" i="13"/>
  <c r="Q2522" i="13"/>
  <c r="E2577" i="13"/>
  <c r="Q2577" i="13"/>
  <c r="E2701" i="13"/>
  <c r="Q2701" i="13"/>
  <c r="E2503" i="13"/>
  <c r="Q2503" i="13"/>
  <c r="E2518" i="13"/>
  <c r="Q2518" i="13"/>
  <c r="E2629" i="13"/>
  <c r="Q2629" i="13"/>
  <c r="E2548" i="13"/>
  <c r="Q2548" i="13"/>
  <c r="E2687" i="13"/>
  <c r="Q2687" i="13"/>
  <c r="E2496" i="13"/>
  <c r="Q2496" i="13"/>
  <c r="E2672" i="13"/>
  <c r="Q2672" i="13"/>
  <c r="E2563" i="13"/>
  <c r="Q2563" i="13"/>
  <c r="E2690" i="13"/>
  <c r="Q2690" i="13"/>
  <c r="E2504" i="13"/>
  <c r="Q2504" i="13"/>
  <c r="E2727" i="13"/>
  <c r="Q2727" i="13"/>
  <c r="E2574" i="13"/>
  <c r="Q2574" i="13"/>
  <c r="E2641" i="13"/>
  <c r="Q2641" i="13"/>
  <c r="E2564" i="13"/>
  <c r="Q2564" i="13"/>
  <c r="E2723" i="13"/>
  <c r="Q2723" i="13"/>
  <c r="E2615" i="13"/>
  <c r="Q2615" i="13"/>
  <c r="E2716" i="13"/>
  <c r="Q2716" i="13"/>
  <c r="E2651" i="13"/>
  <c r="Q2651" i="13"/>
  <c r="E2490" i="13"/>
  <c r="Q2490" i="13"/>
  <c r="E2646" i="13"/>
  <c r="Q2646" i="13"/>
  <c r="E2721" i="13"/>
  <c r="Q2721" i="13"/>
  <c r="E2573" i="13"/>
  <c r="Q2573" i="13"/>
  <c r="E2685" i="13"/>
  <c r="Q2685" i="13"/>
  <c r="H2666" i="13"/>
  <c r="T2666" i="13"/>
  <c r="H2587" i="13"/>
  <c r="T2587" i="13"/>
  <c r="H2674" i="13"/>
  <c r="T2674" i="13"/>
  <c r="H2535" i="13"/>
  <c r="T2535" i="13"/>
  <c r="H2646" i="13"/>
  <c r="T2646" i="13"/>
  <c r="H2600" i="13"/>
  <c r="T2600" i="13"/>
  <c r="H2503" i="13"/>
  <c r="T2503" i="13"/>
  <c r="H2689" i="13"/>
  <c r="T2689" i="13"/>
  <c r="H2538" i="13"/>
  <c r="T2538" i="13"/>
  <c r="H2530" i="13"/>
  <c r="T2530" i="13"/>
  <c r="H2613" i="13"/>
  <c r="T2613" i="13"/>
  <c r="H2685" i="13"/>
  <c r="T2685" i="13"/>
  <c r="H2680" i="13"/>
  <c r="T2680" i="13"/>
  <c r="H2572" i="13"/>
  <c r="T2572" i="13"/>
  <c r="H2642" i="13"/>
  <c r="T2642" i="13"/>
  <c r="H2514" i="13"/>
  <c r="T2514" i="13"/>
  <c r="H2552" i="13"/>
  <c r="T2552" i="13"/>
  <c r="H2570" i="13"/>
  <c r="T2570" i="13"/>
  <c r="H2512" i="13"/>
  <c r="T2512" i="13"/>
  <c r="H2712" i="13"/>
  <c r="T2712" i="13"/>
  <c r="H2557" i="13"/>
  <c r="T2557" i="13"/>
  <c r="H2639" i="13"/>
  <c r="T2639" i="13"/>
  <c r="H2529" i="13"/>
  <c r="T2529" i="13"/>
  <c r="H2698" i="13"/>
  <c r="T2698" i="13"/>
  <c r="H2518" i="13"/>
  <c r="T2518" i="13"/>
  <c r="H2486" i="13"/>
  <c r="T2486" i="13"/>
  <c r="H2559" i="13"/>
  <c r="T2559" i="13"/>
  <c r="G2616" i="13"/>
  <c r="S2616" i="13"/>
  <c r="G2635" i="13"/>
  <c r="S2635" i="13"/>
  <c r="G2513" i="13"/>
  <c r="S2513" i="13"/>
  <c r="G2656" i="13"/>
  <c r="S2656" i="13"/>
  <c r="G2552" i="13"/>
  <c r="S2552" i="13"/>
  <c r="G2622" i="13"/>
  <c r="S2622" i="13"/>
  <c r="G2501" i="13"/>
  <c r="S2501" i="13"/>
  <c r="G2571" i="13"/>
  <c r="S2571" i="13"/>
  <c r="G2677" i="13"/>
  <c r="S2677" i="13"/>
  <c r="G2554" i="13"/>
  <c r="S2554" i="13"/>
  <c r="G2599" i="13"/>
  <c r="S2599" i="13"/>
  <c r="G2708" i="13"/>
  <c r="S2708" i="13"/>
  <c r="G2518" i="13"/>
  <c r="S2518" i="13"/>
  <c r="G2521" i="13"/>
  <c r="S2521" i="13"/>
  <c r="G2546" i="13"/>
  <c r="S2546" i="13"/>
  <c r="G2663" i="13"/>
  <c r="S2663" i="13"/>
  <c r="G2541" i="13"/>
  <c r="S2541" i="13"/>
  <c r="G2707" i="13"/>
  <c r="S2707" i="13"/>
  <c r="G2555" i="13"/>
  <c r="S2555" i="13"/>
  <c r="G2722" i="13"/>
  <c r="S2722" i="13"/>
  <c r="G2603" i="13"/>
  <c r="S2603" i="13"/>
  <c r="G2543" i="13"/>
  <c r="S2543" i="13"/>
  <c r="G2502" i="13"/>
  <c r="S2502" i="13"/>
  <c r="G2679" i="13"/>
  <c r="S2679" i="13"/>
  <c r="G2711" i="13"/>
  <c r="S2711" i="13"/>
  <c r="G2573" i="13"/>
  <c r="S2573" i="13"/>
  <c r="G2566" i="13"/>
  <c r="S2566" i="13"/>
  <c r="G2562" i="13"/>
  <c r="S2562" i="13"/>
  <c r="G2712" i="13"/>
  <c r="S2712" i="13"/>
  <c r="G2499" i="13"/>
  <c r="S2499" i="13"/>
  <c r="I1784" i="13"/>
  <c r="U1784" i="13"/>
  <c r="I1746" i="13"/>
  <c r="U1746" i="13"/>
  <c r="I1888" i="13"/>
  <c r="U1888" i="13"/>
  <c r="I1963" i="13"/>
  <c r="U1963" i="13"/>
  <c r="I1893" i="13"/>
  <c r="U1893" i="13"/>
  <c r="I1940" i="13"/>
  <c r="U1940" i="13"/>
  <c r="I1840" i="13"/>
  <c r="U1840" i="13"/>
  <c r="I1971" i="13"/>
  <c r="U1971" i="13"/>
  <c r="I1983" i="13"/>
  <c r="U1983" i="13"/>
  <c r="I1903" i="13"/>
  <c r="U1903" i="13"/>
  <c r="I1947" i="13"/>
  <c r="U1947" i="13"/>
  <c r="I1851" i="13"/>
  <c r="U1851" i="13"/>
  <c r="I1820" i="13"/>
  <c r="U1820" i="13"/>
  <c r="I1927" i="13"/>
  <c r="U1927" i="13"/>
  <c r="I1788" i="13"/>
  <c r="U1788" i="13"/>
  <c r="I1817" i="13"/>
  <c r="U1817" i="13"/>
  <c r="I1859" i="13"/>
  <c r="U1859" i="13"/>
  <c r="I1954" i="13"/>
  <c r="U1954" i="13"/>
  <c r="I1853" i="13"/>
  <c r="U1853" i="13"/>
  <c r="I1913" i="13"/>
  <c r="U1913" i="13"/>
  <c r="I1890" i="13"/>
  <c r="U1890" i="13"/>
  <c r="I1799" i="13"/>
  <c r="U1799" i="13"/>
  <c r="I1786" i="13"/>
  <c r="U1786" i="13"/>
  <c r="I1849" i="13"/>
  <c r="U1849" i="13"/>
  <c r="I1836" i="13"/>
  <c r="U1836" i="13"/>
  <c r="I1858" i="13"/>
  <c r="U1858" i="13"/>
  <c r="I1937" i="13"/>
  <c r="U1937" i="13"/>
  <c r="I1819" i="13"/>
  <c r="U1819" i="13"/>
  <c r="I1801" i="13"/>
  <c r="U1801" i="13"/>
  <c r="I1806" i="13"/>
  <c r="U1806" i="13"/>
  <c r="I1818" i="13"/>
  <c r="U1818" i="13"/>
  <c r="F1766" i="13"/>
  <c r="R1766" i="13"/>
  <c r="F1841" i="13"/>
  <c r="R1841" i="13"/>
  <c r="F1764" i="13"/>
  <c r="R1764" i="13"/>
  <c r="F1775" i="13"/>
  <c r="R1775" i="13"/>
  <c r="F1911" i="13"/>
  <c r="R1911" i="13"/>
  <c r="F1898" i="13"/>
  <c r="R1898" i="13"/>
  <c r="F1932" i="13"/>
  <c r="R1932" i="13"/>
  <c r="F1866" i="13"/>
  <c r="R1866" i="13"/>
  <c r="F1844" i="13"/>
  <c r="R1844" i="13"/>
  <c r="F1788" i="13"/>
  <c r="R1788" i="13"/>
  <c r="F1968" i="13"/>
  <c r="R1968" i="13"/>
  <c r="F1908" i="13"/>
  <c r="R1908" i="13"/>
  <c r="F1784" i="13"/>
  <c r="R1784" i="13"/>
  <c r="F1832" i="13"/>
  <c r="R1832" i="13"/>
  <c r="F1960" i="13"/>
  <c r="R1960" i="13"/>
  <c r="F1980" i="13"/>
  <c r="R1980" i="13"/>
  <c r="F1961" i="13"/>
  <c r="R1961" i="13"/>
  <c r="F1807" i="13"/>
  <c r="R1807" i="13"/>
  <c r="F1881" i="13"/>
  <c r="R1881" i="13"/>
  <c r="F1810" i="13"/>
  <c r="R1810" i="13"/>
  <c r="F1894" i="13"/>
  <c r="R1894" i="13"/>
  <c r="F1977" i="13"/>
  <c r="R1977" i="13"/>
  <c r="F1789" i="13"/>
  <c r="R1789" i="13"/>
  <c r="F1773" i="13"/>
  <c r="R1773" i="13"/>
  <c r="F1925" i="13"/>
  <c r="R1925" i="13"/>
  <c r="F1970" i="13"/>
  <c r="R1970" i="13"/>
  <c r="F1863" i="13"/>
  <c r="R1863" i="13"/>
  <c r="F1971" i="13"/>
  <c r="R1971" i="13"/>
  <c r="F1937" i="13"/>
  <c r="R1937" i="13"/>
  <c r="F1827" i="13"/>
  <c r="R1827" i="13"/>
  <c r="I1213" i="13"/>
  <c r="U1213" i="13"/>
  <c r="I1061" i="13"/>
  <c r="U1061" i="13"/>
  <c r="I1016" i="13"/>
  <c r="U1016" i="13"/>
  <c r="I1001" i="13"/>
  <c r="U1001" i="13"/>
  <c r="I1019" i="13"/>
  <c r="U1019" i="13"/>
  <c r="I1034" i="13"/>
  <c r="U1034" i="13"/>
  <c r="I1238" i="13"/>
  <c r="U1238" i="13"/>
  <c r="I1225" i="13"/>
  <c r="U1225" i="13"/>
  <c r="I1232" i="13"/>
  <c r="U1232" i="13"/>
  <c r="I1137" i="13"/>
  <c r="U1137" i="13"/>
  <c r="I1160" i="13"/>
  <c r="U1160" i="13"/>
  <c r="I1161" i="13"/>
  <c r="U1161" i="13"/>
  <c r="I1116" i="13"/>
  <c r="U1116" i="13"/>
  <c r="I1187" i="13"/>
  <c r="U1187" i="13"/>
  <c r="I1133" i="13"/>
  <c r="U1133" i="13"/>
  <c r="I1013" i="13"/>
  <c r="U1013" i="13"/>
  <c r="I1221" i="13"/>
  <c r="U1221" i="13"/>
  <c r="I1147" i="13"/>
  <c r="U1147" i="13"/>
  <c r="I1132" i="13"/>
  <c r="U1132" i="13"/>
  <c r="I1011" i="13"/>
  <c r="U1011" i="13"/>
  <c r="I1188" i="13"/>
  <c r="U1188" i="13"/>
  <c r="I1095" i="13"/>
  <c r="U1095" i="13"/>
  <c r="I1053" i="13"/>
  <c r="U1053" i="13"/>
  <c r="I1048" i="13"/>
  <c r="U1048" i="13"/>
  <c r="I1005" i="13"/>
  <c r="U1005" i="13"/>
  <c r="I1064" i="13"/>
  <c r="U1064" i="13"/>
  <c r="I1065" i="13"/>
  <c r="U1065" i="13"/>
  <c r="I1115" i="13"/>
  <c r="U1115" i="13"/>
  <c r="I1088" i="13"/>
  <c r="U1088" i="13"/>
  <c r="I1100" i="13"/>
  <c r="U1100" i="13"/>
  <c r="I1080" i="13"/>
  <c r="U1080" i="13"/>
  <c r="I1233" i="13"/>
  <c r="U1233" i="13"/>
  <c r="I1231" i="13"/>
  <c r="U1231" i="13"/>
  <c r="E1275" i="13"/>
  <c r="Q1275" i="13"/>
  <c r="E1402" i="13"/>
  <c r="Q1402" i="13"/>
  <c r="E1360" i="13"/>
  <c r="Q1360" i="13"/>
  <c r="E1437" i="13"/>
  <c r="Q1437" i="13"/>
  <c r="E1448" i="13"/>
  <c r="Q1448" i="13"/>
  <c r="E1348" i="13"/>
  <c r="Q1348" i="13"/>
  <c r="E1351" i="13"/>
  <c r="Q1351" i="13"/>
  <c r="E1264" i="13"/>
  <c r="Q1264" i="13"/>
  <c r="E1285" i="13"/>
  <c r="Q1285" i="13"/>
  <c r="E1404" i="13"/>
  <c r="Q1404" i="13"/>
  <c r="E1337" i="13"/>
  <c r="Q1337" i="13"/>
  <c r="E1359" i="13"/>
  <c r="Q1359" i="13"/>
  <c r="E1296" i="13"/>
  <c r="Q1296" i="13"/>
  <c r="E1292" i="13"/>
  <c r="Q1292" i="13"/>
  <c r="E1326" i="13"/>
  <c r="Q1326" i="13"/>
  <c r="E1379" i="13"/>
  <c r="Q1379" i="13"/>
  <c r="E1267" i="13"/>
  <c r="Q1267" i="13"/>
  <c r="E1345" i="13"/>
  <c r="Q1345" i="13"/>
  <c r="E1347" i="13"/>
  <c r="Q1347" i="13"/>
  <c r="E1368" i="13"/>
  <c r="Q1368" i="13"/>
  <c r="E1248" i="13"/>
  <c r="Q1248" i="13"/>
  <c r="E1258" i="13"/>
  <c r="Q1258" i="13"/>
  <c r="E1406" i="13"/>
  <c r="Q1406" i="13"/>
  <c r="E1447" i="13"/>
  <c r="Q1447" i="13"/>
  <c r="E1470" i="13"/>
  <c r="Q1470" i="13"/>
  <c r="E1250" i="13"/>
  <c r="Q1250" i="13"/>
  <c r="E1301" i="13"/>
  <c r="Q1301" i="13"/>
  <c r="E1283" i="13"/>
  <c r="Q1283" i="13"/>
  <c r="E1405" i="13"/>
  <c r="Q1405" i="13"/>
  <c r="E1462" i="13"/>
  <c r="Q1462" i="13"/>
  <c r="E1305" i="13"/>
  <c r="Q1305" i="13"/>
  <c r="G866" i="13"/>
  <c r="S866" i="13"/>
  <c r="G862" i="13"/>
  <c r="S862" i="13"/>
  <c r="G954" i="13"/>
  <c r="S954" i="13"/>
  <c r="G860" i="13"/>
  <c r="S860" i="13"/>
  <c r="G756" i="13"/>
  <c r="S756" i="13"/>
  <c r="G766" i="13"/>
  <c r="S766" i="13"/>
  <c r="G951" i="13"/>
  <c r="S951" i="13"/>
  <c r="G791" i="13"/>
  <c r="S791" i="13"/>
  <c r="G852" i="13"/>
  <c r="S852" i="13"/>
  <c r="G812" i="13"/>
  <c r="S812" i="13"/>
  <c r="G864" i="13"/>
  <c r="S864" i="13"/>
  <c r="G958" i="13"/>
  <c r="S958" i="13"/>
  <c r="G891" i="13"/>
  <c r="S891" i="13"/>
  <c r="G871" i="13"/>
  <c r="S871" i="13"/>
  <c r="G833" i="13"/>
  <c r="S833" i="13"/>
  <c r="G808" i="13"/>
  <c r="S808" i="13"/>
  <c r="G923" i="13"/>
  <c r="S923" i="13"/>
  <c r="G804" i="13"/>
  <c r="S804" i="13"/>
  <c r="G890" i="13"/>
  <c r="S890" i="13"/>
  <c r="G845" i="13"/>
  <c r="S845" i="13"/>
  <c r="G929" i="13"/>
  <c r="S929" i="13"/>
  <c r="G875" i="13"/>
  <c r="S875" i="13"/>
  <c r="G940" i="13"/>
  <c r="S940" i="13"/>
  <c r="G824" i="13"/>
  <c r="S824" i="13"/>
  <c r="G973" i="13"/>
  <c r="S973" i="13"/>
  <c r="G771" i="13"/>
  <c r="S771" i="13"/>
  <c r="G840" i="13"/>
  <c r="S840" i="13"/>
  <c r="G763" i="13"/>
  <c r="S763" i="13"/>
  <c r="F2194" i="13"/>
  <c r="R2194" i="13"/>
  <c r="F2138" i="13"/>
  <c r="R2138" i="13"/>
  <c r="F2063" i="13"/>
  <c r="R2063" i="13"/>
  <c r="F2088" i="13"/>
  <c r="R2088" i="13"/>
  <c r="F2121" i="13"/>
  <c r="R2121" i="13"/>
  <c r="F2126" i="13"/>
  <c r="R2126" i="13"/>
  <c r="F1998" i="13"/>
  <c r="R1998" i="13"/>
  <c r="F2105" i="13"/>
  <c r="R2105" i="13"/>
  <c r="F2134" i="13"/>
  <c r="R2134" i="13"/>
  <c r="F2127" i="13"/>
  <c r="R2127" i="13"/>
  <c r="F2001" i="13"/>
  <c r="R2001" i="13"/>
  <c r="F2123" i="13"/>
  <c r="R2123" i="13"/>
  <c r="F2082" i="13"/>
  <c r="R2082" i="13"/>
  <c r="F2190" i="13"/>
  <c r="R2190" i="13"/>
  <c r="F2185" i="13"/>
  <c r="R2185" i="13"/>
  <c r="F2003" i="13"/>
  <c r="R2003" i="13"/>
  <c r="F2016" i="13"/>
  <c r="R2016" i="13"/>
  <c r="F2068" i="13"/>
  <c r="R2068" i="13"/>
  <c r="F2006" i="13"/>
  <c r="R2006" i="13"/>
  <c r="F2143" i="13"/>
  <c r="R2143" i="13"/>
  <c r="F2036" i="13"/>
  <c r="R2036" i="13"/>
  <c r="F2020" i="13"/>
  <c r="R2020" i="13"/>
  <c r="F2200" i="13"/>
  <c r="R2200" i="13"/>
  <c r="F2225" i="13"/>
  <c r="R2225" i="13"/>
  <c r="F2009" i="13"/>
  <c r="R2009" i="13"/>
  <c r="F2025" i="13"/>
  <c r="R2025" i="13"/>
  <c r="F2174" i="13"/>
  <c r="R2174" i="13"/>
  <c r="F2158" i="13"/>
  <c r="R2158" i="13"/>
  <c r="F2140" i="13"/>
  <c r="R2140" i="13"/>
  <c r="F2207" i="13"/>
  <c r="R2207" i="13"/>
  <c r="F2038" i="13"/>
  <c r="R2038" i="13"/>
  <c r="F2017" i="13"/>
  <c r="R2017" i="13"/>
  <c r="E2032" i="13"/>
  <c r="Q2032" i="13"/>
  <c r="E2157" i="13"/>
  <c r="Q2157" i="13"/>
  <c r="E2202" i="13"/>
  <c r="Q2202" i="13"/>
  <c r="E2224" i="13"/>
  <c r="Q2224" i="13"/>
  <c r="E2155" i="13"/>
  <c r="Q2155" i="13"/>
  <c r="E2084" i="13"/>
  <c r="Q2084" i="13"/>
  <c r="E2106" i="13"/>
  <c r="Q2106" i="13"/>
  <c r="E2056" i="13"/>
  <c r="Q2056" i="13"/>
  <c r="E2186" i="13"/>
  <c r="Q2186" i="13"/>
  <c r="E2098" i="13"/>
  <c r="Q2098" i="13"/>
  <c r="E2005" i="13"/>
  <c r="Q2005" i="13"/>
  <c r="E2039" i="13"/>
  <c r="Q2039" i="13"/>
  <c r="E2226" i="13"/>
  <c r="Q2226" i="13"/>
  <c r="E2209" i="13"/>
  <c r="Q2209" i="13"/>
  <c r="E2019" i="13"/>
  <c r="Q2019" i="13"/>
  <c r="E2090" i="13"/>
  <c r="Q2090" i="13"/>
  <c r="E2165" i="13"/>
  <c r="Q2165" i="13"/>
  <c r="E2141" i="13"/>
  <c r="Q2141" i="13"/>
  <c r="E2180" i="13"/>
  <c r="Q2180" i="13"/>
  <c r="E2167" i="13"/>
  <c r="Q2167" i="13"/>
  <c r="E2088" i="13"/>
  <c r="Q2088" i="13"/>
  <c r="E2004" i="13"/>
  <c r="Q2004" i="13"/>
  <c r="E2096" i="13"/>
  <c r="Q2096" i="13"/>
  <c r="E2150" i="13"/>
  <c r="Q2150" i="13"/>
  <c r="E2214" i="13"/>
  <c r="Q2214" i="13"/>
  <c r="E2037" i="13"/>
  <c r="Q2037" i="13"/>
  <c r="E2123" i="13"/>
  <c r="Q2123" i="13"/>
  <c r="E2187" i="13"/>
  <c r="Q2187" i="13"/>
  <c r="E2154" i="13"/>
  <c r="Q2154" i="13"/>
  <c r="E2210" i="13"/>
  <c r="Q2210" i="13"/>
  <c r="E1999" i="13"/>
  <c r="Q1999" i="13"/>
  <c r="E2112" i="13"/>
  <c r="Q2112" i="13"/>
  <c r="E2151" i="13"/>
  <c r="Q2151" i="13"/>
  <c r="E2229" i="13"/>
  <c r="Q2229" i="13"/>
  <c r="G2332" i="13"/>
  <c r="S2332" i="13"/>
  <c r="G2383" i="13"/>
  <c r="S2383" i="13"/>
  <c r="G2266" i="13"/>
  <c r="S2266" i="13"/>
  <c r="G2477" i="13"/>
  <c r="S2477" i="13"/>
  <c r="G2361" i="13"/>
  <c r="S2361" i="13"/>
  <c r="G2272" i="13"/>
  <c r="S2272" i="13"/>
  <c r="G2478" i="13"/>
  <c r="S2478" i="13"/>
  <c r="G2451" i="13"/>
  <c r="S2451" i="13"/>
  <c r="G2418" i="13"/>
  <c r="S2418" i="13"/>
  <c r="G2341" i="13"/>
  <c r="S2341" i="13"/>
  <c r="G2300" i="13"/>
  <c r="S2300" i="13"/>
  <c r="G2370" i="13"/>
  <c r="S2370" i="13"/>
  <c r="G2393" i="13"/>
  <c r="S2393" i="13"/>
  <c r="G2342" i="13"/>
  <c r="S2342" i="13"/>
  <c r="G2447" i="13"/>
  <c r="S2447" i="13"/>
  <c r="G2334" i="13"/>
  <c r="S2334" i="13"/>
  <c r="G2304" i="13"/>
  <c r="S2304" i="13"/>
  <c r="G2439" i="13"/>
  <c r="S2439" i="13"/>
  <c r="G2271" i="13"/>
  <c r="S2271" i="13"/>
  <c r="G2389" i="13"/>
  <c r="S2389" i="13"/>
  <c r="G2331" i="13"/>
  <c r="S2331" i="13"/>
  <c r="G2279" i="13"/>
  <c r="S2279" i="13"/>
  <c r="G2438" i="13"/>
  <c r="S2438" i="13"/>
  <c r="G2250" i="13"/>
  <c r="S2250" i="13"/>
  <c r="G2474" i="13"/>
  <c r="S2474" i="13"/>
  <c r="G2448" i="13"/>
  <c r="S2448" i="13"/>
  <c r="G2274" i="13"/>
  <c r="S2274" i="13"/>
  <c r="G2303" i="13"/>
  <c r="S2303" i="13"/>
  <c r="G2380" i="13"/>
  <c r="S2380" i="13"/>
  <c r="G2319" i="13"/>
  <c r="S2319" i="13"/>
  <c r="I1721" i="13"/>
  <c r="U1721" i="13"/>
  <c r="I1533" i="13"/>
  <c r="U1533" i="13"/>
  <c r="I1564" i="13"/>
  <c r="U1564" i="13"/>
  <c r="I1611" i="13"/>
  <c r="U1611" i="13"/>
  <c r="I1592" i="13"/>
  <c r="U1592" i="13"/>
  <c r="I1672" i="13"/>
  <c r="U1672" i="13"/>
  <c r="I1680" i="13"/>
  <c r="U1680" i="13"/>
  <c r="I1654" i="13"/>
  <c r="U1654" i="13"/>
  <c r="I1683" i="13"/>
  <c r="U1683" i="13"/>
  <c r="I1517" i="13"/>
  <c r="U1517" i="13"/>
  <c r="I1686" i="13"/>
  <c r="U1686" i="13"/>
  <c r="I1708" i="13"/>
  <c r="U1708" i="13"/>
  <c r="I1543" i="13"/>
  <c r="U1543" i="13"/>
  <c r="I1576" i="13"/>
  <c r="U1576" i="13"/>
  <c r="I1670" i="13"/>
  <c r="U1670" i="13"/>
  <c r="I1529" i="13"/>
  <c r="U1529" i="13"/>
  <c r="I1671" i="13"/>
  <c r="U1671" i="13"/>
  <c r="I1535" i="13"/>
  <c r="U1535" i="13"/>
  <c r="I1515" i="13"/>
  <c r="U1515" i="13"/>
  <c r="I1723" i="13"/>
  <c r="U1723" i="13"/>
  <c r="I1667" i="13"/>
  <c r="U1667" i="13"/>
  <c r="I1646" i="13"/>
  <c r="U1646" i="13"/>
  <c r="I1657" i="13"/>
  <c r="U1657" i="13"/>
  <c r="I1659" i="13"/>
  <c r="U1659" i="13"/>
  <c r="I1561" i="13"/>
  <c r="U1561" i="13"/>
  <c r="I1625" i="13"/>
  <c r="U1625" i="13"/>
  <c r="I1599" i="13"/>
  <c r="U1599" i="13"/>
  <c r="I1528" i="13"/>
  <c r="U1528" i="13"/>
  <c r="I1619" i="13"/>
  <c r="U1619" i="13"/>
  <c r="I1704" i="13"/>
  <c r="U1704" i="13"/>
  <c r="I1574" i="13"/>
  <c r="U1574" i="13"/>
  <c r="F570" i="13"/>
  <c r="R570" i="13"/>
  <c r="F571" i="13"/>
  <c r="R571" i="13"/>
  <c r="F655" i="13"/>
  <c r="R655" i="13"/>
  <c r="F688" i="13"/>
  <c r="R688" i="13"/>
  <c r="F606" i="13"/>
  <c r="R606" i="13"/>
  <c r="F677" i="13"/>
  <c r="R677" i="13"/>
  <c r="F654" i="13"/>
  <c r="R654" i="13"/>
  <c r="F591" i="13"/>
  <c r="R591" i="13"/>
  <c r="F522" i="13"/>
  <c r="R522" i="13"/>
  <c r="F560" i="13"/>
  <c r="R560" i="13"/>
  <c r="F727" i="13"/>
  <c r="R727" i="13"/>
  <c r="F506" i="13"/>
  <c r="R506" i="13"/>
  <c r="F542" i="13"/>
  <c r="R542" i="13"/>
  <c r="F743" i="13"/>
  <c r="R743" i="13"/>
  <c r="F694" i="13"/>
  <c r="R694" i="13"/>
  <c r="F705" i="13"/>
  <c r="R705" i="13"/>
  <c r="F696" i="13"/>
  <c r="R696" i="13"/>
  <c r="F651" i="13"/>
  <c r="R651" i="13"/>
  <c r="F650" i="13"/>
  <c r="R650" i="13"/>
  <c r="F526" i="13"/>
  <c r="R526" i="13"/>
  <c r="F739" i="13"/>
  <c r="R739" i="13"/>
  <c r="F513" i="13"/>
  <c r="R513" i="13"/>
  <c r="F680" i="13"/>
  <c r="R680" i="13"/>
  <c r="F737" i="13"/>
  <c r="R737" i="13"/>
  <c r="F675" i="13"/>
  <c r="R675" i="13"/>
  <c r="F714" i="13"/>
  <c r="R714" i="13"/>
  <c r="F593" i="13"/>
  <c r="R593" i="13"/>
  <c r="F519" i="13"/>
  <c r="R519" i="13"/>
  <c r="F508" i="13"/>
  <c r="R508" i="13"/>
  <c r="F536" i="13"/>
  <c r="R536" i="13"/>
  <c r="F697" i="13"/>
  <c r="R697" i="13"/>
  <c r="H1793" i="13"/>
  <c r="T1793" i="13"/>
  <c r="H1902" i="13"/>
  <c r="T1902" i="13"/>
  <c r="H1917" i="13"/>
  <c r="T1917" i="13"/>
  <c r="H1797" i="13"/>
  <c r="T1797" i="13"/>
  <c r="H1977" i="13"/>
  <c r="T1977" i="13"/>
  <c r="H1807" i="13"/>
  <c r="T1807" i="13"/>
  <c r="H1890" i="13"/>
  <c r="T1890" i="13"/>
  <c r="H1827" i="13"/>
  <c r="T1827" i="13"/>
  <c r="H1956" i="13"/>
  <c r="T1956" i="13"/>
  <c r="H1842" i="13"/>
  <c r="T1842" i="13"/>
  <c r="H1838" i="13"/>
  <c r="T1838" i="13"/>
  <c r="H1894" i="13"/>
  <c r="T1894" i="13"/>
  <c r="H1825" i="13"/>
  <c r="T1825" i="13"/>
  <c r="H1954" i="13"/>
  <c r="T1954" i="13"/>
  <c r="H1928" i="13"/>
  <c r="T1928" i="13"/>
  <c r="H1892" i="13"/>
  <c r="T1892" i="13"/>
  <c r="H1883" i="13"/>
  <c r="T1883" i="13"/>
  <c r="H1860" i="13"/>
  <c r="T1860" i="13"/>
  <c r="H1845" i="13"/>
  <c r="T1845" i="13"/>
  <c r="H1959" i="13"/>
  <c r="T1959" i="13"/>
  <c r="H1776" i="13"/>
  <c r="T1776" i="13"/>
  <c r="H1872" i="13"/>
  <c r="T1872" i="13"/>
  <c r="H1912" i="13"/>
  <c r="T1912" i="13"/>
  <c r="H1847" i="13"/>
  <c r="T1847" i="13"/>
  <c r="H1815" i="13"/>
  <c r="T1815" i="13"/>
  <c r="H1764" i="13"/>
  <c r="T1764" i="13"/>
  <c r="H1930" i="13"/>
  <c r="T1930" i="13"/>
  <c r="H1946" i="13"/>
  <c r="T1946" i="13"/>
  <c r="H1859" i="13"/>
  <c r="T1859" i="13"/>
  <c r="H1929" i="13"/>
  <c r="T1929" i="13"/>
  <c r="H1971" i="13"/>
  <c r="T1971" i="13"/>
  <c r="H1882" i="13"/>
  <c r="T1882" i="13"/>
  <c r="G1452" i="13"/>
  <c r="S1452" i="13"/>
  <c r="G1253" i="13"/>
  <c r="S1253" i="13"/>
  <c r="G1456" i="13"/>
  <c r="S1456" i="13"/>
  <c r="G1367" i="13"/>
  <c r="S1367" i="13"/>
  <c r="G1474" i="13"/>
  <c r="S1474" i="13"/>
  <c r="G1324" i="13"/>
  <c r="S1324" i="13"/>
  <c r="G1382" i="13"/>
  <c r="S1382" i="13"/>
  <c r="G1291" i="13"/>
  <c r="S1291" i="13"/>
  <c r="G1424" i="13"/>
  <c r="S1424" i="13"/>
  <c r="G1250" i="13"/>
  <c r="S1250" i="13"/>
  <c r="G1378" i="13"/>
  <c r="S1378" i="13"/>
  <c r="G1371" i="13"/>
  <c r="S1371" i="13"/>
  <c r="G1470" i="13"/>
  <c r="S1470" i="13"/>
  <c r="G1417" i="13"/>
  <c r="S1417" i="13"/>
  <c r="G1246" i="13"/>
  <c r="S1246" i="13"/>
  <c r="G1403" i="13"/>
  <c r="S1403" i="13"/>
  <c r="G1423" i="13"/>
  <c r="S1423" i="13"/>
  <c r="G1279" i="13"/>
  <c r="S1279" i="13"/>
  <c r="G1284" i="13"/>
  <c r="S1284" i="13"/>
  <c r="G1300" i="13"/>
  <c r="S1300" i="13"/>
  <c r="G1256" i="13"/>
  <c r="S1256" i="13"/>
  <c r="G1481" i="13"/>
  <c r="S1481" i="13"/>
  <c r="G1411" i="13"/>
  <c r="S1411" i="13"/>
  <c r="G1430" i="13"/>
  <c r="S1430" i="13"/>
  <c r="G1441" i="13"/>
  <c r="S1441" i="13"/>
  <c r="G1402" i="13"/>
  <c r="S1402" i="13"/>
  <c r="G1478" i="13"/>
  <c r="S1478" i="13"/>
  <c r="G1462" i="13"/>
  <c r="S1462" i="13"/>
  <c r="G1350" i="13"/>
  <c r="S1350" i="13"/>
  <c r="G1345" i="13"/>
  <c r="S1345" i="13"/>
  <c r="G1435" i="13"/>
  <c r="S1435" i="13"/>
  <c r="G1334" i="13"/>
  <c r="S1334" i="13"/>
  <c r="H2043" i="13"/>
  <c r="T2043" i="13"/>
  <c r="H2219" i="13"/>
  <c r="T2219" i="13"/>
  <c r="H2018" i="13"/>
  <c r="T2018" i="13"/>
  <c r="H2103" i="13"/>
  <c r="T2103" i="13"/>
  <c r="H2141" i="13"/>
  <c r="T2141" i="13"/>
  <c r="H1990" i="13"/>
  <c r="T1990" i="13"/>
  <c r="H2197" i="13"/>
  <c r="T2197" i="13"/>
  <c r="H2019" i="13"/>
  <c r="T2019" i="13"/>
  <c r="H2177" i="13"/>
  <c r="T2177" i="13"/>
  <c r="H2140" i="13"/>
  <c r="T2140" i="13"/>
  <c r="H2183" i="13"/>
  <c r="T2183" i="13"/>
  <c r="H2160" i="13"/>
  <c r="T2160" i="13"/>
  <c r="H2001" i="13"/>
  <c r="T2001" i="13"/>
  <c r="H2000" i="13"/>
  <c r="T2000" i="13"/>
  <c r="H2187" i="13"/>
  <c r="T2187" i="13"/>
  <c r="H2080" i="13"/>
  <c r="T2080" i="13"/>
  <c r="H2156" i="13"/>
  <c r="T2156" i="13"/>
  <c r="H2212" i="13"/>
  <c r="T2212" i="13"/>
  <c r="H2026" i="13"/>
  <c r="T2026" i="13"/>
  <c r="H2136" i="13"/>
  <c r="T2136" i="13"/>
  <c r="H2217" i="13"/>
  <c r="T2217" i="13"/>
  <c r="H2015" i="13"/>
  <c r="T2015" i="13"/>
  <c r="H2137" i="13"/>
  <c r="T2137" i="13"/>
  <c r="H2180" i="13"/>
  <c r="T2180" i="13"/>
  <c r="H2057" i="13"/>
  <c r="T2057" i="13"/>
  <c r="H2046" i="13"/>
  <c r="T2046" i="13"/>
  <c r="H2013" i="13"/>
  <c r="T2013" i="13"/>
  <c r="H2129" i="13"/>
  <c r="T2129" i="13"/>
  <c r="H2071" i="13"/>
  <c r="T2071" i="13"/>
  <c r="H2099" i="13"/>
  <c r="T2099" i="13"/>
  <c r="H2172" i="13"/>
  <c r="T2172" i="13"/>
  <c r="H2143" i="13"/>
  <c r="T2143" i="13"/>
  <c r="H2216" i="13"/>
  <c r="T2216" i="13"/>
  <c r="F1603" i="13"/>
  <c r="R1603" i="13"/>
  <c r="F1558" i="13"/>
  <c r="R1558" i="13"/>
  <c r="F1687" i="13"/>
  <c r="R1687" i="13"/>
  <c r="F1500" i="13"/>
  <c r="R1500" i="13"/>
  <c r="F1642" i="13"/>
  <c r="R1642" i="13"/>
  <c r="F1678" i="13"/>
  <c r="R1678" i="13"/>
  <c r="F1598" i="13"/>
  <c r="R1598" i="13"/>
  <c r="F1708" i="13"/>
  <c r="R1708" i="13"/>
  <c r="F1682" i="13"/>
  <c r="R1682" i="13"/>
  <c r="F1508" i="13"/>
  <c r="R1508" i="13"/>
  <c r="F1688" i="13"/>
  <c r="R1688" i="13"/>
  <c r="F1548" i="13"/>
  <c r="R1548" i="13"/>
  <c r="F1637" i="13"/>
  <c r="R1637" i="13"/>
  <c r="F1690" i="13"/>
  <c r="R1690" i="13"/>
  <c r="F1651" i="13"/>
  <c r="R1651" i="13"/>
  <c r="F1592" i="13"/>
  <c r="R1592" i="13"/>
  <c r="F1627" i="13"/>
  <c r="R1627" i="13"/>
  <c r="F1652" i="13"/>
  <c r="R1652" i="13"/>
  <c r="F1519" i="13"/>
  <c r="R1519" i="13"/>
  <c r="F1517" i="13"/>
  <c r="R1517" i="13"/>
  <c r="F1621" i="13"/>
  <c r="R1621" i="13"/>
  <c r="F1672" i="13"/>
  <c r="R1672" i="13"/>
  <c r="F1673" i="13"/>
  <c r="R1673" i="13"/>
  <c r="F1593" i="13"/>
  <c r="R1593" i="13"/>
  <c r="F1704" i="13"/>
  <c r="R1704" i="13"/>
  <c r="F1515" i="13"/>
  <c r="R1515" i="13"/>
  <c r="F1700" i="13"/>
  <c r="R1700" i="13"/>
  <c r="F1563" i="13"/>
  <c r="R1563" i="13"/>
  <c r="F1616" i="13"/>
  <c r="R1616" i="13"/>
  <c r="F1728" i="13"/>
  <c r="R1728" i="13"/>
  <c r="F1686" i="13"/>
  <c r="R1686" i="13"/>
  <c r="F1629" i="13"/>
  <c r="R1629" i="13"/>
  <c r="G1844" i="13"/>
  <c r="S1844" i="13"/>
  <c r="G1808" i="13"/>
  <c r="S1808" i="13"/>
  <c r="G1843" i="13"/>
  <c r="S1843" i="13"/>
  <c r="G1919" i="13"/>
  <c r="S1919" i="13"/>
  <c r="G1943" i="13"/>
  <c r="S1943" i="13"/>
  <c r="G1873" i="13"/>
  <c r="S1873" i="13"/>
  <c r="G1782" i="13"/>
  <c r="S1782" i="13"/>
  <c r="G1978" i="13"/>
  <c r="S1978" i="13"/>
  <c r="G1794" i="13"/>
  <c r="S1794" i="13"/>
  <c r="G1868" i="13"/>
  <c r="S1868" i="13"/>
  <c r="G1931" i="13"/>
  <c r="S1931" i="13"/>
  <c r="G1800" i="13"/>
  <c r="S1800" i="13"/>
  <c r="G1785" i="13"/>
  <c r="S1785" i="13"/>
  <c r="G1878" i="13"/>
  <c r="S1878" i="13"/>
  <c r="G1784" i="13"/>
  <c r="S1784" i="13"/>
  <c r="G1870" i="13"/>
  <c r="S1870" i="13"/>
  <c r="G1874" i="13"/>
  <c r="S1874" i="13"/>
  <c r="G1954" i="13"/>
  <c r="S1954" i="13"/>
  <c r="G1928" i="13"/>
  <c r="S1928" i="13"/>
  <c r="G1892" i="13"/>
  <c r="S1892" i="13"/>
  <c r="G1905" i="13"/>
  <c r="S1905" i="13"/>
  <c r="G1796" i="13"/>
  <c r="S1796" i="13"/>
  <c r="G1879" i="13"/>
  <c r="S1879" i="13"/>
  <c r="G1888" i="13"/>
  <c r="S1888" i="13"/>
  <c r="G1900" i="13"/>
  <c r="S1900" i="13"/>
  <c r="G1872" i="13"/>
  <c r="S1872" i="13"/>
  <c r="G1912" i="13"/>
  <c r="S1912" i="13"/>
  <c r="G1847" i="13"/>
  <c r="S1847" i="13"/>
  <c r="G1747" i="13"/>
  <c r="S1747" i="13"/>
  <c r="G1748" i="13"/>
  <c r="S1748" i="13"/>
  <c r="G1913" i="13"/>
  <c r="S1913" i="13"/>
  <c r="G1899" i="13"/>
  <c r="S1899" i="13"/>
  <c r="H1003" i="13"/>
  <c r="T1003" i="13"/>
  <c r="H1049" i="13"/>
  <c r="T1049" i="13"/>
  <c r="H1016" i="13"/>
  <c r="T1016" i="13"/>
  <c r="H1108" i="13"/>
  <c r="T1108" i="13"/>
  <c r="H1053" i="13"/>
  <c r="T1053" i="13"/>
  <c r="H1088" i="13"/>
  <c r="T1088" i="13"/>
  <c r="H1025" i="13"/>
  <c r="T1025" i="13"/>
  <c r="H1232" i="13"/>
  <c r="T1232" i="13"/>
  <c r="H1217" i="13"/>
  <c r="T1217" i="13"/>
  <c r="H1013" i="13"/>
  <c r="T1013" i="13"/>
  <c r="H1195" i="13"/>
  <c r="T1195" i="13"/>
  <c r="H1215" i="13"/>
  <c r="T1215" i="13"/>
  <c r="H1024" i="13"/>
  <c r="T1024" i="13"/>
  <c r="H1189" i="13"/>
  <c r="T1189" i="13"/>
  <c r="H1168" i="13"/>
  <c r="T1168" i="13"/>
  <c r="H1177" i="13"/>
  <c r="T1177" i="13"/>
  <c r="H1154" i="13"/>
  <c r="T1154" i="13"/>
  <c r="H1226" i="13"/>
  <c r="T1226" i="13"/>
  <c r="H1110" i="13"/>
  <c r="T1110" i="13"/>
  <c r="H1169" i="13"/>
  <c r="T1169" i="13"/>
  <c r="H1139" i="13"/>
  <c r="T1139" i="13"/>
  <c r="H1146" i="13"/>
  <c r="T1146" i="13"/>
  <c r="H1225" i="13"/>
  <c r="T1225" i="13"/>
  <c r="H1112" i="13"/>
  <c r="T1112" i="13"/>
  <c r="H1085" i="13"/>
  <c r="T1085" i="13"/>
  <c r="H1002" i="13"/>
  <c r="T1002" i="13"/>
  <c r="H1000" i="13"/>
  <c r="T1000" i="13"/>
  <c r="H1188" i="13"/>
  <c r="T1188" i="13"/>
  <c r="H1001" i="13"/>
  <c r="T1001" i="13"/>
  <c r="H1060" i="13"/>
  <c r="T1060" i="13"/>
  <c r="H1119" i="13"/>
  <c r="T1119" i="13"/>
  <c r="H1171" i="13"/>
  <c r="T1171" i="13"/>
  <c r="E1177" i="13"/>
  <c r="Q1177" i="13"/>
  <c r="E1077" i="13"/>
  <c r="Q1077" i="13"/>
  <c r="E1026" i="13"/>
  <c r="Q1026" i="13"/>
  <c r="E1071" i="13"/>
  <c r="Q1071" i="13"/>
  <c r="E1089" i="13"/>
  <c r="Q1089" i="13"/>
  <c r="E1189" i="13"/>
  <c r="Q1189" i="13"/>
  <c r="E1082" i="13"/>
  <c r="Q1082" i="13"/>
  <c r="E1074" i="13"/>
  <c r="Q1074" i="13"/>
  <c r="E1157" i="13"/>
  <c r="Q1157" i="13"/>
  <c r="E1204" i="13"/>
  <c r="Q1204" i="13"/>
  <c r="E1025" i="13"/>
  <c r="Q1025" i="13"/>
  <c r="E1001" i="13"/>
  <c r="Q1001" i="13"/>
  <c r="E1161" i="13"/>
  <c r="Q1161" i="13"/>
  <c r="E1103" i="13"/>
  <c r="Q1103" i="13"/>
  <c r="E1111" i="13"/>
  <c r="Q1111" i="13"/>
  <c r="E1187" i="13"/>
  <c r="Q1187" i="13"/>
  <c r="E1128" i="13"/>
  <c r="Q1128" i="13"/>
  <c r="E1149" i="13"/>
  <c r="Q1149" i="13"/>
  <c r="E1113" i="13"/>
  <c r="Q1113" i="13"/>
  <c r="E1138" i="13"/>
  <c r="Q1138" i="13"/>
  <c r="E1107" i="13"/>
  <c r="Q1107" i="13"/>
  <c r="E1137" i="13"/>
  <c r="Q1137" i="13"/>
  <c r="E1012" i="13"/>
  <c r="Q1012" i="13"/>
  <c r="E1064" i="13"/>
  <c r="Q1064" i="13"/>
  <c r="E1099" i="13"/>
  <c r="Q1099" i="13"/>
  <c r="E1044" i="13"/>
  <c r="Q1044" i="13"/>
  <c r="E1046" i="13"/>
  <c r="Q1046" i="13"/>
  <c r="E1090" i="13"/>
  <c r="Q1090" i="13"/>
  <c r="E1049" i="13"/>
  <c r="Q1049" i="13"/>
  <c r="E1165" i="13"/>
  <c r="Q1165" i="13"/>
  <c r="E1141" i="13"/>
  <c r="Q1141" i="13"/>
  <c r="F1449" i="13"/>
  <c r="R1449" i="13"/>
  <c r="F1314" i="13"/>
  <c r="R1314" i="13"/>
  <c r="F1374" i="13"/>
  <c r="R1374" i="13"/>
  <c r="F1400" i="13"/>
  <c r="R1400" i="13"/>
  <c r="F1441" i="13"/>
  <c r="R1441" i="13"/>
  <c r="F1351" i="13"/>
  <c r="R1351" i="13"/>
  <c r="F1263" i="13"/>
  <c r="R1263" i="13"/>
  <c r="F1268" i="13"/>
  <c r="R1268" i="13"/>
  <c r="F1341" i="13"/>
  <c r="R1341" i="13"/>
  <c r="F1248" i="13"/>
  <c r="R1248" i="13"/>
  <c r="F1384" i="13"/>
  <c r="R1384" i="13"/>
  <c r="F1473" i="13"/>
  <c r="R1473" i="13"/>
  <c r="F1253" i="13"/>
  <c r="R1253" i="13"/>
  <c r="F1294" i="13"/>
  <c r="R1294" i="13"/>
  <c r="F1307" i="13"/>
  <c r="R1307" i="13"/>
  <c r="F1387" i="13"/>
  <c r="R1387" i="13"/>
  <c r="F1316" i="13"/>
  <c r="R1316" i="13"/>
  <c r="F1375" i="13"/>
  <c r="R1375" i="13"/>
  <c r="F1372" i="13"/>
  <c r="R1372" i="13"/>
  <c r="F1386" i="13"/>
  <c r="R1386" i="13"/>
  <c r="F1315" i="13"/>
  <c r="R1315" i="13"/>
  <c r="F1333" i="13"/>
  <c r="R1333" i="13"/>
  <c r="F1463" i="13"/>
  <c r="R1463" i="13"/>
  <c r="F1486" i="13"/>
  <c r="R1486" i="13"/>
  <c r="F1461" i="13"/>
  <c r="R1461" i="13"/>
  <c r="F1453" i="13"/>
  <c r="R1453" i="13"/>
  <c r="F1291" i="13"/>
  <c r="R1291" i="13"/>
  <c r="F1276" i="13"/>
  <c r="R1276" i="13"/>
  <c r="F1427" i="13"/>
  <c r="R1427" i="13"/>
  <c r="F1410" i="13"/>
  <c r="R1410" i="13"/>
  <c r="F1435" i="13"/>
  <c r="R1435" i="13"/>
  <c r="F1311" i="13"/>
  <c r="R1311" i="13"/>
  <c r="H786" i="13"/>
  <c r="T786" i="13"/>
  <c r="H777" i="13"/>
  <c r="T777" i="13"/>
  <c r="H962" i="13"/>
  <c r="T962" i="13"/>
  <c r="H866" i="13"/>
  <c r="T866" i="13"/>
  <c r="H847" i="13"/>
  <c r="T847" i="13"/>
  <c r="H935" i="13"/>
  <c r="T935" i="13"/>
  <c r="H902" i="13"/>
  <c r="T902" i="13"/>
  <c r="H778" i="13"/>
  <c r="T778" i="13"/>
  <c r="H779" i="13"/>
  <c r="T779" i="13"/>
  <c r="H963" i="13"/>
  <c r="T963" i="13"/>
  <c r="H755" i="13"/>
  <c r="T755" i="13"/>
  <c r="H879" i="13"/>
  <c r="T879" i="13"/>
  <c r="H882" i="13"/>
  <c r="T882" i="13"/>
  <c r="H987" i="13"/>
  <c r="T987" i="13"/>
  <c r="H975" i="13"/>
  <c r="T975" i="13"/>
  <c r="H846" i="13"/>
  <c r="T846" i="13"/>
  <c r="H984" i="13"/>
  <c r="T984" i="13"/>
  <c r="H901" i="13"/>
  <c r="T901" i="13"/>
  <c r="H898" i="13"/>
  <c r="T898" i="13"/>
  <c r="H955" i="13"/>
  <c r="T955" i="13"/>
  <c r="H845" i="13"/>
  <c r="T845" i="13"/>
  <c r="H772" i="13"/>
  <c r="T772" i="13"/>
  <c r="H896" i="13"/>
  <c r="T896" i="13"/>
  <c r="H797" i="13"/>
  <c r="T797" i="13"/>
  <c r="H990" i="13"/>
  <c r="T990" i="13"/>
  <c r="H844" i="13"/>
  <c r="T844" i="13"/>
  <c r="H857" i="13"/>
  <c r="T857" i="13"/>
  <c r="H923" i="13"/>
  <c r="T923" i="13"/>
  <c r="H940" i="13"/>
  <c r="T940" i="13"/>
  <c r="H791" i="13"/>
  <c r="T791" i="13"/>
  <c r="H942" i="13"/>
  <c r="T942" i="13"/>
  <c r="H859" i="13"/>
  <c r="T859" i="13"/>
  <c r="H754" i="13"/>
  <c r="T754" i="13"/>
  <c r="G2188" i="13"/>
  <c r="S2188" i="13"/>
  <c r="G1996" i="13"/>
  <c r="S1996" i="13"/>
  <c r="G2162" i="13"/>
  <c r="S2162" i="13"/>
  <c r="G2010" i="13"/>
  <c r="S2010" i="13"/>
  <c r="G2123" i="13"/>
  <c r="S2123" i="13"/>
  <c r="G2211" i="13"/>
  <c r="S2211" i="13"/>
  <c r="G2054" i="13"/>
  <c r="S2054" i="13"/>
  <c r="G2166" i="13"/>
  <c r="S2166" i="13"/>
  <c r="G2214" i="13"/>
  <c r="S2214" i="13"/>
  <c r="G2086" i="13"/>
  <c r="S2086" i="13"/>
  <c r="G2056" i="13"/>
  <c r="S2056" i="13"/>
  <c r="G2045" i="13"/>
  <c r="S2045" i="13"/>
  <c r="G2192" i="13"/>
  <c r="S2192" i="13"/>
  <c r="G2223" i="13"/>
  <c r="S2223" i="13"/>
  <c r="G2111" i="13"/>
  <c r="S2111" i="13"/>
  <c r="G2196" i="13"/>
  <c r="S2196" i="13"/>
  <c r="G2028" i="13"/>
  <c r="S2028" i="13"/>
  <c r="G2200" i="13"/>
  <c r="S2200" i="13"/>
  <c r="G2134" i="13"/>
  <c r="S2134" i="13"/>
  <c r="G2159" i="13"/>
  <c r="S2159" i="13"/>
  <c r="G2205" i="13"/>
  <c r="S2205" i="13"/>
  <c r="G2210" i="13"/>
  <c r="S2210" i="13"/>
  <c r="G2062" i="13"/>
  <c r="S2062" i="13"/>
  <c r="G2001" i="13"/>
  <c r="S2001" i="13"/>
  <c r="G1997" i="13"/>
  <c r="S1997" i="13"/>
  <c r="G2114" i="13"/>
  <c r="S2114" i="13"/>
  <c r="G2149" i="13"/>
  <c r="S2149" i="13"/>
  <c r="G2024" i="13"/>
  <c r="S2024" i="13"/>
  <c r="G2231" i="13"/>
  <c r="S2231" i="13"/>
  <c r="G2098" i="13"/>
  <c r="S2098" i="13"/>
  <c r="G2041" i="13"/>
  <c r="S2041" i="13"/>
  <c r="G2021" i="13"/>
  <c r="S2021" i="13"/>
  <c r="G2213" i="13"/>
  <c r="S2213" i="13"/>
  <c r="H2260" i="13"/>
  <c r="T2260" i="13"/>
  <c r="H2408" i="13"/>
  <c r="T2408" i="13"/>
  <c r="H2333" i="13"/>
  <c r="T2333" i="13"/>
  <c r="H2426" i="13"/>
  <c r="T2426" i="13"/>
  <c r="H2279" i="13"/>
  <c r="T2279" i="13"/>
  <c r="H2266" i="13"/>
  <c r="T2266" i="13"/>
  <c r="H2360" i="13"/>
  <c r="T2360" i="13"/>
  <c r="H2479" i="13"/>
  <c r="T2479" i="13"/>
  <c r="H2358" i="13"/>
  <c r="T2358" i="13"/>
  <c r="H2398" i="13"/>
  <c r="T2398" i="13"/>
  <c r="H2274" i="13"/>
  <c r="T2274" i="13"/>
  <c r="H2459" i="13"/>
  <c r="T2459" i="13"/>
  <c r="H2420" i="13"/>
  <c r="T2420" i="13"/>
  <c r="H2262" i="13"/>
  <c r="T2262" i="13"/>
  <c r="H2327" i="13"/>
  <c r="T2327" i="13"/>
  <c r="H2284" i="13"/>
  <c r="T2284" i="13"/>
  <c r="H2318" i="13"/>
  <c r="T2318" i="13"/>
  <c r="H2244" i="13"/>
  <c r="T2244" i="13"/>
  <c r="H2356" i="13"/>
  <c r="T2356" i="13"/>
  <c r="H2352" i="13"/>
  <c r="T2352" i="13"/>
  <c r="H2240" i="13"/>
  <c r="T2240" i="13"/>
  <c r="H2277" i="13"/>
  <c r="T2277" i="13"/>
  <c r="H2339" i="13"/>
  <c r="T2339" i="13"/>
  <c r="H2474" i="13"/>
  <c r="T2474" i="13"/>
  <c r="H2326" i="13"/>
  <c r="T2326" i="13"/>
  <c r="H2331" i="13"/>
  <c r="T2331" i="13"/>
  <c r="H2285" i="13"/>
  <c r="T2285" i="13"/>
  <c r="H2400" i="13"/>
  <c r="T2400" i="13"/>
  <c r="H2463" i="13"/>
  <c r="T2463" i="13"/>
  <c r="H2302" i="13"/>
  <c r="T2302" i="13"/>
  <c r="H2340" i="13"/>
  <c r="T2340" i="13"/>
  <c r="F2286" i="13"/>
  <c r="R2286" i="13"/>
  <c r="F2358" i="13"/>
  <c r="R2358" i="13"/>
  <c r="F2371" i="13"/>
  <c r="R2371" i="13"/>
  <c r="F2320" i="13"/>
  <c r="R2320" i="13"/>
  <c r="F2397" i="13"/>
  <c r="R2397" i="13"/>
  <c r="F2393" i="13"/>
  <c r="R2393" i="13"/>
  <c r="F2404" i="13"/>
  <c r="R2404" i="13"/>
  <c r="F2433" i="13"/>
  <c r="R2433" i="13"/>
  <c r="F2313" i="13"/>
  <c r="R2313" i="13"/>
  <c r="F2284" i="13"/>
  <c r="R2284" i="13"/>
  <c r="F2296" i="13"/>
  <c r="R2296" i="13"/>
  <c r="F2407" i="13"/>
  <c r="R2407" i="13"/>
  <c r="F2307" i="13"/>
  <c r="R2307" i="13"/>
  <c r="F2243" i="13"/>
  <c r="R2243" i="13"/>
  <c r="F2411" i="13"/>
  <c r="R2411" i="13"/>
  <c r="F2373" i="13"/>
  <c r="R2373" i="13"/>
  <c r="F2390" i="13"/>
  <c r="R2390" i="13"/>
  <c r="F2465" i="13"/>
  <c r="R2465" i="13"/>
  <c r="F2269" i="13"/>
  <c r="R2269" i="13"/>
  <c r="F2469" i="13"/>
  <c r="R2469" i="13"/>
  <c r="F2452" i="13"/>
  <c r="R2452" i="13"/>
  <c r="F2410" i="13"/>
  <c r="R2410" i="13"/>
  <c r="F2317" i="13"/>
  <c r="R2317" i="13"/>
  <c r="F2356" i="13"/>
  <c r="R2356" i="13"/>
  <c r="F2427" i="13"/>
  <c r="R2427" i="13"/>
  <c r="F2278" i="13"/>
  <c r="R2278" i="13"/>
  <c r="F2446" i="13"/>
  <c r="R2446" i="13"/>
  <c r="F2295" i="13"/>
  <c r="R2295" i="13"/>
  <c r="F2292" i="13"/>
  <c r="R2292" i="13"/>
  <c r="F2441" i="13"/>
  <c r="R2441" i="13"/>
  <c r="F2259" i="13"/>
  <c r="R2259" i="13"/>
  <c r="F2310" i="13"/>
  <c r="R2310" i="13"/>
  <c r="E1581" i="13"/>
  <c r="Q1581" i="13"/>
  <c r="E1496" i="13"/>
  <c r="Q1496" i="13"/>
  <c r="E1554" i="13"/>
  <c r="Q1554" i="13"/>
  <c r="E1539" i="13"/>
  <c r="Q1539" i="13"/>
  <c r="E1613" i="13"/>
  <c r="Q1613" i="13"/>
  <c r="E1529" i="13"/>
  <c r="Q1529" i="13"/>
  <c r="E1608" i="13"/>
  <c r="Q1608" i="13"/>
  <c r="E1526" i="13"/>
  <c r="Q1526" i="13"/>
  <c r="E1499" i="13"/>
  <c r="Q1499" i="13"/>
  <c r="E1652" i="13"/>
  <c r="Q1652" i="13"/>
  <c r="E1519" i="13"/>
  <c r="Q1519" i="13"/>
  <c r="E1589" i="13"/>
  <c r="Q1589" i="13"/>
  <c r="E1609" i="13"/>
  <c r="Q1609" i="13"/>
  <c r="E1525" i="13"/>
  <c r="Q1525" i="13"/>
  <c r="E1536" i="13"/>
  <c r="Q1536" i="13"/>
  <c r="E1538" i="13"/>
  <c r="Q1538" i="13"/>
  <c r="E1592" i="13"/>
  <c r="Q1592" i="13"/>
  <c r="E1627" i="13"/>
  <c r="Q1627" i="13"/>
  <c r="Q1493" i="13"/>
  <c r="E1493" i="13"/>
  <c r="E1707" i="13"/>
  <c r="Q1707" i="13"/>
  <c r="E1512" i="13"/>
  <c r="Q1512" i="13"/>
  <c r="E1511" i="13"/>
  <c r="Q1511" i="13"/>
  <c r="E1729" i="13"/>
  <c r="Q1729" i="13"/>
  <c r="E1708" i="13"/>
  <c r="Q1708" i="13"/>
  <c r="E1514" i="13"/>
  <c r="Q1514" i="13"/>
  <c r="E1575" i="13"/>
  <c r="Q1575" i="13"/>
  <c r="E1618" i="13"/>
  <c r="Q1618" i="13"/>
  <c r="E1583" i="13"/>
  <c r="Q1583" i="13"/>
  <c r="E1567" i="13"/>
  <c r="Q1567" i="13"/>
  <c r="E1558" i="13"/>
  <c r="Q1558" i="13"/>
  <c r="E1549" i="13"/>
  <c r="Q1549" i="13"/>
  <c r="G573" i="13"/>
  <c r="S573" i="13"/>
  <c r="G704" i="13"/>
  <c r="S704" i="13"/>
  <c r="G592" i="13"/>
  <c r="S592" i="13"/>
  <c r="G502" i="13"/>
  <c r="S502" i="13"/>
  <c r="G719" i="13"/>
  <c r="S719" i="13"/>
  <c r="G707" i="13"/>
  <c r="S707" i="13"/>
  <c r="G640" i="13"/>
  <c r="S640" i="13"/>
  <c r="G647" i="13"/>
  <c r="S647" i="13"/>
  <c r="G635" i="13"/>
  <c r="S635" i="13"/>
  <c r="G596" i="13"/>
  <c r="S596" i="13"/>
  <c r="G689" i="13"/>
  <c r="S689" i="13"/>
  <c r="G696" i="13"/>
  <c r="S696" i="13"/>
  <c r="G506" i="13"/>
  <c r="S506" i="13"/>
  <c r="G706" i="13"/>
  <c r="S706" i="13"/>
  <c r="G728" i="13"/>
  <c r="S728" i="13"/>
  <c r="G672" i="13"/>
  <c r="S672" i="13"/>
  <c r="G547" i="13"/>
  <c r="S547" i="13"/>
  <c r="G604" i="13"/>
  <c r="S604" i="13"/>
  <c r="G660" i="13"/>
  <c r="S660" i="13"/>
  <c r="G742" i="13"/>
  <c r="S742" i="13"/>
  <c r="G613" i="13"/>
  <c r="S613" i="13"/>
  <c r="G657" i="13"/>
  <c r="S657" i="13"/>
  <c r="G638" i="13"/>
  <c r="S638" i="13"/>
  <c r="G546" i="13"/>
  <c r="S546" i="13"/>
  <c r="G518" i="13"/>
  <c r="S518" i="13"/>
  <c r="G528" i="13"/>
  <c r="S528" i="13"/>
  <c r="G656" i="13"/>
  <c r="S656" i="13"/>
  <c r="G699" i="13"/>
  <c r="S699" i="13"/>
  <c r="G611" i="13"/>
  <c r="S611" i="13"/>
  <c r="G571" i="13"/>
  <c r="S571" i="13"/>
  <c r="G618" i="13"/>
  <c r="S618" i="13"/>
  <c r="I1314" i="13"/>
  <c r="U1314" i="13"/>
  <c r="I1413" i="13"/>
  <c r="U1413" i="13"/>
  <c r="I1252" i="13"/>
  <c r="U1252" i="13"/>
  <c r="I1290" i="13"/>
  <c r="U1290" i="13"/>
  <c r="I1330" i="13"/>
  <c r="U1330" i="13"/>
  <c r="I1444" i="13"/>
  <c r="U1444" i="13"/>
  <c r="I1471" i="13"/>
  <c r="U1471" i="13"/>
  <c r="I1368" i="13"/>
  <c r="U1368" i="13"/>
  <c r="I1400" i="13"/>
  <c r="U1400" i="13"/>
  <c r="I1300" i="13"/>
  <c r="U1300" i="13"/>
  <c r="I1464" i="13"/>
  <c r="U1464" i="13"/>
  <c r="I1260" i="13"/>
  <c r="U1260" i="13"/>
  <c r="I1248" i="13"/>
  <c r="U1248" i="13"/>
  <c r="I1459" i="13"/>
  <c r="U1459" i="13"/>
  <c r="I1406" i="13"/>
  <c r="U1406" i="13"/>
  <c r="I1449" i="13"/>
  <c r="U1449" i="13"/>
  <c r="I1263" i="13"/>
  <c r="U1263" i="13"/>
  <c r="I1420" i="13"/>
  <c r="U1420" i="13"/>
  <c r="I1481" i="13"/>
  <c r="U1481" i="13"/>
  <c r="I1359" i="13"/>
  <c r="U1359" i="13"/>
  <c r="I1428" i="13"/>
  <c r="U1428" i="13"/>
  <c r="I1288" i="13"/>
  <c r="U1288" i="13"/>
  <c r="I1422" i="13"/>
  <c r="U1422" i="13"/>
  <c r="I1351" i="13"/>
  <c r="U1351" i="13"/>
  <c r="I1285" i="13"/>
  <c r="U1285" i="13"/>
  <c r="I1355" i="13"/>
  <c r="U1355" i="13"/>
  <c r="I1412" i="13"/>
  <c r="U1412" i="13"/>
  <c r="I1299" i="13"/>
  <c r="U1299" i="13"/>
  <c r="I1390" i="13"/>
  <c r="U1390" i="13"/>
  <c r="I1326" i="13"/>
  <c r="U1326" i="13"/>
  <c r="I1273" i="13"/>
  <c r="U1273" i="13"/>
  <c r="H1729" i="13"/>
  <c r="T1729" i="13"/>
  <c r="H1633" i="13"/>
  <c r="T1633" i="13"/>
  <c r="H1695" i="13"/>
  <c r="T1695" i="13"/>
  <c r="H1681" i="13"/>
  <c r="T1681" i="13"/>
  <c r="H1557" i="13"/>
  <c r="T1557" i="13"/>
  <c r="H1502" i="13"/>
  <c r="T1502" i="13"/>
  <c r="H1718" i="13"/>
  <c r="T1718" i="13"/>
  <c r="H1652" i="13"/>
  <c r="T1652" i="13"/>
  <c r="H1700" i="13"/>
  <c r="T1700" i="13"/>
  <c r="H1658" i="13"/>
  <c r="T1658" i="13"/>
  <c r="H1548" i="13"/>
  <c r="T1548" i="13"/>
  <c r="H1690" i="13"/>
  <c r="T1690" i="13"/>
  <c r="H1528" i="13"/>
  <c r="T1528" i="13"/>
  <c r="H1730" i="13"/>
  <c r="T1730" i="13"/>
  <c r="H1673" i="13"/>
  <c r="T1673" i="13"/>
  <c r="H1605" i="13"/>
  <c r="T1605" i="13"/>
  <c r="H1686" i="13"/>
  <c r="T1686" i="13"/>
  <c r="H1514" i="13"/>
  <c r="T1514" i="13"/>
  <c r="H1659" i="13"/>
  <c r="T1659" i="13"/>
  <c r="H1640" i="13"/>
  <c r="T1640" i="13"/>
  <c r="H1515" i="13"/>
  <c r="T1515" i="13"/>
  <c r="H1702" i="13"/>
  <c r="T1702" i="13"/>
  <c r="H1507" i="13"/>
  <c r="T1507" i="13"/>
  <c r="H1567" i="13"/>
  <c r="T1567" i="13"/>
  <c r="H1518" i="13"/>
  <c r="T1518" i="13"/>
  <c r="H1604" i="13"/>
  <c r="T1604" i="13"/>
  <c r="H1554" i="13"/>
  <c r="T1554" i="13"/>
  <c r="H1725" i="13"/>
  <c r="T1725" i="13"/>
  <c r="H1646" i="13"/>
  <c r="T1646" i="13"/>
  <c r="H1664" i="13"/>
  <c r="T1664" i="13"/>
  <c r="H1621" i="13"/>
  <c r="T1621" i="13"/>
  <c r="H1524" i="13"/>
  <c r="T1524" i="13"/>
  <c r="H1707" i="13"/>
  <c r="T1707" i="13"/>
  <c r="H1539" i="13"/>
  <c r="T1539" i="13"/>
  <c r="H1499" i="13"/>
  <c r="T1499" i="13"/>
  <c r="E1787" i="13"/>
  <c r="Q1787" i="13"/>
  <c r="E1977" i="13"/>
  <c r="Q1977" i="13"/>
  <c r="E1802" i="13"/>
  <c r="Q1802" i="13"/>
  <c r="E1928" i="13"/>
  <c r="Q1928" i="13"/>
  <c r="E1847" i="13"/>
  <c r="Q1847" i="13"/>
  <c r="E1899" i="13"/>
  <c r="Q1899" i="13"/>
  <c r="E1883" i="13"/>
  <c r="Q1883" i="13"/>
  <c r="E1875" i="13"/>
  <c r="Q1875" i="13"/>
  <c r="E1942" i="13"/>
  <c r="Q1942" i="13"/>
  <c r="E1886" i="13"/>
  <c r="Q1886" i="13"/>
  <c r="E1796" i="13"/>
  <c r="Q1796" i="13"/>
  <c r="E1757" i="13"/>
  <c r="Q1757" i="13"/>
  <c r="E1818" i="13"/>
  <c r="Q1818" i="13"/>
  <c r="E1922" i="13"/>
  <c r="Q1922" i="13"/>
  <c r="E1811" i="13"/>
  <c r="Q1811" i="13"/>
  <c r="E1951" i="13"/>
  <c r="Q1951" i="13"/>
  <c r="E1743" i="13"/>
  <c r="Q1743" i="13"/>
  <c r="E1968" i="13"/>
  <c r="Q1968" i="13"/>
  <c r="E1862" i="13"/>
  <c r="Q1862" i="13"/>
  <c r="E1892" i="13"/>
  <c r="Q1892" i="13"/>
  <c r="E1849" i="13"/>
  <c r="Q1849" i="13"/>
  <c r="E1934" i="13"/>
  <c r="Q1934" i="13"/>
  <c r="E1779" i="13"/>
  <c r="Q1779" i="13"/>
  <c r="E1872" i="13"/>
  <c r="Q1872" i="13"/>
  <c r="E1896" i="13"/>
  <c r="Q1896" i="13"/>
  <c r="E1752" i="13"/>
  <c r="Q1752" i="13"/>
  <c r="E1860" i="13"/>
  <c r="Q1860" i="13"/>
  <c r="E1746" i="13"/>
  <c r="Q1746" i="13"/>
  <c r="E1903" i="13"/>
  <c r="Q1903" i="13"/>
  <c r="E1932" i="13"/>
  <c r="Q1932" i="13"/>
  <c r="E1861" i="13"/>
  <c r="Q1861" i="13"/>
  <c r="E1777" i="13"/>
  <c r="Q1777" i="13"/>
  <c r="G1051" i="13"/>
  <c r="S1051" i="13"/>
  <c r="G1207" i="13"/>
  <c r="S1207" i="13"/>
  <c r="G1141" i="13"/>
  <c r="S1141" i="13"/>
  <c r="G1105" i="13"/>
  <c r="S1105" i="13"/>
  <c r="G1110" i="13"/>
  <c r="S1110" i="13"/>
  <c r="G1046" i="13"/>
  <c r="S1046" i="13"/>
  <c r="G1178" i="13"/>
  <c r="S1178" i="13"/>
  <c r="G1033" i="13"/>
  <c r="S1033" i="13"/>
  <c r="G1066" i="13"/>
  <c r="S1066" i="13"/>
  <c r="G1015" i="13"/>
  <c r="S1015" i="13"/>
  <c r="G1077" i="13"/>
  <c r="S1077" i="13"/>
  <c r="G1151" i="13"/>
  <c r="S1151" i="13"/>
  <c r="G1150" i="13"/>
  <c r="S1150" i="13"/>
  <c r="G1084" i="13"/>
  <c r="S1084" i="13"/>
  <c r="G1002" i="13"/>
  <c r="S1002" i="13"/>
  <c r="G1125" i="13"/>
  <c r="S1125" i="13"/>
  <c r="G1082" i="13"/>
  <c r="S1082" i="13"/>
  <c r="G1182" i="13"/>
  <c r="S1182" i="13"/>
  <c r="G1044" i="13"/>
  <c r="S1044" i="13"/>
  <c r="G1143" i="13"/>
  <c r="S1143" i="13"/>
  <c r="G1144" i="13"/>
  <c r="S1144" i="13"/>
  <c r="G1165" i="13"/>
  <c r="S1165" i="13"/>
  <c r="G1004" i="13"/>
  <c r="S1004" i="13"/>
  <c r="G1187" i="13"/>
  <c r="S1187" i="13"/>
  <c r="G1043" i="13"/>
  <c r="S1043" i="13"/>
  <c r="G1057" i="13"/>
  <c r="S1057" i="13"/>
  <c r="G1124" i="13"/>
  <c r="S1124" i="13"/>
  <c r="G1000" i="13"/>
  <c r="S1000" i="13"/>
  <c r="G1196" i="13"/>
  <c r="S1196" i="13"/>
  <c r="G1154" i="13"/>
  <c r="S1154" i="13"/>
  <c r="G1190" i="13"/>
  <c r="S1190" i="13"/>
  <c r="H1330" i="13"/>
  <c r="T1330" i="13"/>
  <c r="H1336" i="13"/>
  <c r="T1336" i="13"/>
  <c r="H1468" i="13"/>
  <c r="T1468" i="13"/>
  <c r="H1279" i="13"/>
  <c r="T1279" i="13"/>
  <c r="H1393" i="13"/>
  <c r="T1393" i="13"/>
  <c r="H1246" i="13"/>
  <c r="T1246" i="13"/>
  <c r="H1438" i="13"/>
  <c r="T1438" i="13"/>
  <c r="H1312" i="13"/>
  <c r="T1312" i="13"/>
  <c r="H1374" i="13"/>
  <c r="T1374" i="13"/>
  <c r="H1467" i="13"/>
  <c r="T1467" i="13"/>
  <c r="H1341" i="13"/>
  <c r="T1341" i="13"/>
  <c r="H1270" i="13"/>
  <c r="T1270" i="13"/>
  <c r="H1259" i="13"/>
  <c r="T1259" i="13"/>
  <c r="H1443" i="13"/>
  <c r="T1443" i="13"/>
  <c r="H1470" i="13"/>
  <c r="T1470" i="13"/>
  <c r="H1353" i="13"/>
  <c r="T1353" i="13"/>
  <c r="H1323" i="13"/>
  <c r="T1323" i="13"/>
  <c r="H1419" i="13"/>
  <c r="T1419" i="13"/>
  <c r="H1265" i="13"/>
  <c r="T1265" i="13"/>
  <c r="H1307" i="13"/>
  <c r="T1307" i="13"/>
  <c r="H1313" i="13"/>
  <c r="T1313" i="13"/>
  <c r="H1461" i="13"/>
  <c r="T1461" i="13"/>
  <c r="H1326" i="13"/>
  <c r="T1326" i="13"/>
  <c r="H1309" i="13"/>
  <c r="T1309" i="13"/>
  <c r="H1368" i="13"/>
  <c r="T1368" i="13"/>
  <c r="H1299" i="13"/>
  <c r="T1299" i="13"/>
  <c r="H1409" i="13"/>
  <c r="T1409" i="13"/>
  <c r="H1334" i="13"/>
  <c r="T1334" i="13"/>
  <c r="H1478" i="13"/>
  <c r="T1478" i="13"/>
  <c r="H1392" i="13"/>
  <c r="T1392" i="13"/>
  <c r="H1460" i="13"/>
  <c r="T1460" i="13"/>
  <c r="H1338" i="13"/>
  <c r="T1338" i="13"/>
  <c r="I896" i="13"/>
  <c r="U896" i="13"/>
  <c r="I925" i="13"/>
  <c r="U925" i="13"/>
  <c r="I757" i="13"/>
  <c r="U757" i="13"/>
  <c r="I977" i="13"/>
  <c r="U977" i="13"/>
  <c r="I976" i="13"/>
  <c r="U976" i="13"/>
  <c r="I928" i="13"/>
  <c r="U928" i="13"/>
  <c r="I915" i="13"/>
  <c r="U915" i="13"/>
  <c r="I815" i="13"/>
  <c r="U815" i="13"/>
  <c r="I820" i="13"/>
  <c r="U820" i="13"/>
  <c r="I804" i="13"/>
  <c r="U804" i="13"/>
  <c r="I936" i="13"/>
  <c r="U936" i="13"/>
  <c r="I901" i="13"/>
  <c r="U901" i="13"/>
  <c r="I753" i="13"/>
  <c r="U753" i="13"/>
  <c r="I869" i="13"/>
  <c r="U869" i="13"/>
  <c r="I927" i="13"/>
  <c r="U927" i="13"/>
  <c r="I962" i="13"/>
  <c r="U962" i="13"/>
  <c r="I946" i="13"/>
  <c r="U946" i="13"/>
  <c r="I902" i="13"/>
  <c r="U902" i="13"/>
  <c r="I769" i="13"/>
  <c r="U769" i="13"/>
  <c r="I979" i="13"/>
  <c r="U979" i="13"/>
  <c r="I883" i="13"/>
  <c r="U883" i="13"/>
  <c r="I812" i="13"/>
  <c r="U812" i="13"/>
  <c r="I876" i="13"/>
  <c r="U876" i="13"/>
  <c r="I795" i="13"/>
  <c r="U795" i="13"/>
  <c r="I874" i="13"/>
  <c r="U874" i="13"/>
  <c r="I906" i="13"/>
  <c r="U906" i="13"/>
  <c r="I862" i="13"/>
  <c r="U862" i="13"/>
  <c r="I847" i="13"/>
  <c r="U847" i="13"/>
  <c r="I767" i="13"/>
  <c r="U767" i="13"/>
  <c r="I860" i="13"/>
  <c r="U860" i="13"/>
  <c r="I772" i="13"/>
  <c r="U772" i="13"/>
  <c r="I899" i="13"/>
  <c r="U899" i="13"/>
  <c r="F759" i="13"/>
  <c r="R759" i="13"/>
  <c r="F879" i="13"/>
  <c r="R879" i="13"/>
  <c r="F889" i="13"/>
  <c r="R889" i="13"/>
  <c r="F764" i="13"/>
  <c r="R764" i="13"/>
  <c r="F978" i="13"/>
  <c r="R978" i="13"/>
  <c r="F816" i="13"/>
  <c r="R816" i="13"/>
  <c r="F769" i="13"/>
  <c r="R769" i="13"/>
  <c r="F975" i="13"/>
  <c r="R975" i="13"/>
  <c r="F984" i="13"/>
  <c r="R984" i="13"/>
  <c r="F944" i="13"/>
  <c r="R944" i="13"/>
  <c r="F907" i="13"/>
  <c r="R907" i="13"/>
  <c r="F760" i="13"/>
  <c r="R760" i="13"/>
  <c r="F912" i="13"/>
  <c r="R912" i="13"/>
  <c r="F821" i="13"/>
  <c r="R821" i="13"/>
  <c r="F888" i="13"/>
  <c r="R888" i="13"/>
  <c r="F900" i="13"/>
  <c r="R900" i="13"/>
  <c r="F828" i="13"/>
  <c r="R828" i="13"/>
  <c r="F782" i="13"/>
  <c r="R782" i="13"/>
  <c r="F908" i="13"/>
  <c r="R908" i="13"/>
  <c r="F836" i="13"/>
  <c r="R836" i="13"/>
  <c r="F837" i="13"/>
  <c r="R837" i="13"/>
  <c r="F913" i="13"/>
  <c r="R913" i="13"/>
  <c r="F972" i="13"/>
  <c r="R972" i="13"/>
  <c r="F811" i="13"/>
  <c r="R811" i="13"/>
  <c r="F901" i="13"/>
  <c r="R901" i="13"/>
  <c r="F761" i="13"/>
  <c r="R761" i="13"/>
  <c r="F990" i="13"/>
  <c r="R990" i="13"/>
  <c r="F873" i="13"/>
  <c r="R873" i="13"/>
  <c r="F793" i="13"/>
  <c r="R793" i="13"/>
  <c r="F981" i="13"/>
  <c r="R981" i="13"/>
  <c r="F876" i="13"/>
  <c r="R876" i="13"/>
  <c r="F779" i="13"/>
  <c r="R779" i="13"/>
  <c r="I2073" i="13"/>
  <c r="U2073" i="13"/>
  <c r="I2133" i="13"/>
  <c r="U2133" i="13"/>
  <c r="I2229" i="13"/>
  <c r="U2229" i="13"/>
  <c r="I2067" i="13"/>
  <c r="U2067" i="13"/>
  <c r="I2163" i="13"/>
  <c r="U2163" i="13"/>
  <c r="U1989" i="13"/>
  <c r="I1989" i="13"/>
  <c r="I2222" i="13"/>
  <c r="U2222" i="13"/>
  <c r="I2126" i="13"/>
  <c r="U2126" i="13"/>
  <c r="I2022" i="13"/>
  <c r="U2022" i="13"/>
  <c r="I2078" i="13"/>
  <c r="U2078" i="13"/>
  <c r="I2135" i="13"/>
  <c r="U2135" i="13"/>
  <c r="I2055" i="13"/>
  <c r="U2055" i="13"/>
  <c r="I2213" i="13"/>
  <c r="U2213" i="13"/>
  <c r="I2072" i="13"/>
  <c r="U2072" i="13"/>
  <c r="I2217" i="13"/>
  <c r="U2217" i="13"/>
  <c r="I2214" i="13"/>
  <c r="U2214" i="13"/>
  <c r="I2111" i="13"/>
  <c r="U2111" i="13"/>
  <c r="I2084" i="13"/>
  <c r="U2084" i="13"/>
  <c r="I2143" i="13"/>
  <c r="U2143" i="13"/>
  <c r="I2066" i="13"/>
  <c r="U2066" i="13"/>
  <c r="I2178" i="13"/>
  <c r="U2178" i="13"/>
  <c r="I2134" i="13"/>
  <c r="U2134" i="13"/>
  <c r="I2104" i="13"/>
  <c r="U2104" i="13"/>
  <c r="I2095" i="13"/>
  <c r="U2095" i="13"/>
  <c r="I2138" i="13"/>
  <c r="U2138" i="13"/>
  <c r="I2208" i="13"/>
  <c r="U2208" i="13"/>
  <c r="I2151" i="13"/>
  <c r="U2151" i="13"/>
  <c r="I2185" i="13"/>
  <c r="U2185" i="13"/>
  <c r="I2160" i="13"/>
  <c r="U2160" i="13"/>
  <c r="I2061" i="13"/>
  <c r="U2061" i="13"/>
  <c r="I2187" i="13"/>
  <c r="U2187" i="13"/>
  <c r="I2293" i="13"/>
  <c r="U2293" i="13"/>
  <c r="I2479" i="13"/>
  <c r="U2479" i="13"/>
  <c r="I2463" i="13"/>
  <c r="U2463" i="13"/>
  <c r="I2241" i="13"/>
  <c r="U2241" i="13"/>
  <c r="I2449" i="13"/>
  <c r="U2449" i="13"/>
  <c r="I2424" i="13"/>
  <c r="U2424" i="13"/>
  <c r="I2351" i="13"/>
  <c r="U2351" i="13"/>
  <c r="I2465" i="13"/>
  <c r="U2465" i="13"/>
  <c r="I2404" i="13"/>
  <c r="U2404" i="13"/>
  <c r="I2290" i="13"/>
  <c r="U2290" i="13"/>
  <c r="I2402" i="13"/>
  <c r="U2402" i="13"/>
  <c r="I2330" i="13"/>
  <c r="U2330" i="13"/>
  <c r="I2280" i="13"/>
  <c r="U2280" i="13"/>
  <c r="I2326" i="13"/>
  <c r="U2326" i="13"/>
  <c r="I2279" i="13"/>
  <c r="U2279" i="13"/>
  <c r="I2470" i="13"/>
  <c r="U2470" i="13"/>
  <c r="I2304" i="13"/>
  <c r="U2304" i="13"/>
  <c r="I2396" i="13"/>
  <c r="U2396" i="13"/>
  <c r="I2265" i="13"/>
  <c r="U2265" i="13"/>
  <c r="I2289" i="13"/>
  <c r="U2289" i="13"/>
  <c r="I2403" i="13"/>
  <c r="U2403" i="13"/>
  <c r="I2244" i="13"/>
  <c r="U2244" i="13"/>
  <c r="I2467" i="13"/>
  <c r="U2467" i="13"/>
  <c r="I2385" i="13"/>
  <c r="U2385" i="13"/>
  <c r="I2455" i="13"/>
  <c r="U2455" i="13"/>
  <c r="I2316" i="13"/>
  <c r="U2316" i="13"/>
  <c r="I2410" i="13"/>
  <c r="U2410" i="13"/>
  <c r="I2340" i="13"/>
  <c r="U2340" i="13"/>
  <c r="I2345" i="13"/>
  <c r="U2345" i="13"/>
  <c r="I2459" i="13"/>
  <c r="U2459" i="13"/>
  <c r="I2420" i="13"/>
  <c r="U2420" i="13"/>
  <c r="I2405" i="13"/>
  <c r="U2405" i="13"/>
  <c r="I2409" i="13"/>
  <c r="U2409" i="13"/>
  <c r="I2451" i="13"/>
  <c r="U2451" i="13"/>
  <c r="G1582" i="13"/>
  <c r="S1582" i="13"/>
  <c r="G1571" i="13"/>
  <c r="S1571" i="13"/>
  <c r="G1584" i="13"/>
  <c r="S1584" i="13"/>
  <c r="G1499" i="13"/>
  <c r="S1499" i="13"/>
  <c r="G1677" i="13"/>
  <c r="S1677" i="13"/>
  <c r="G1652" i="13"/>
  <c r="S1652" i="13"/>
  <c r="G1624" i="13"/>
  <c r="S1624" i="13"/>
  <c r="G1541" i="13"/>
  <c r="S1541" i="13"/>
  <c r="G1693" i="13"/>
  <c r="S1693" i="13"/>
  <c r="G1645" i="13"/>
  <c r="S1645" i="13"/>
  <c r="G1691" i="13"/>
  <c r="S1691" i="13"/>
  <c r="G1580" i="13"/>
  <c r="S1580" i="13"/>
  <c r="G1650" i="13"/>
  <c r="S1650" i="13"/>
  <c r="G1594" i="13"/>
  <c r="S1594" i="13"/>
  <c r="G1575" i="13"/>
  <c r="S1575" i="13"/>
  <c r="G1519" i="13"/>
  <c r="S1519" i="13"/>
  <c r="G1549" i="13"/>
  <c r="S1549" i="13"/>
  <c r="G1606" i="13"/>
  <c r="S1606" i="13"/>
  <c r="G1555" i="13"/>
  <c r="S1555" i="13"/>
  <c r="G1560" i="13"/>
  <c r="S1560" i="13"/>
  <c r="G1504" i="13"/>
  <c r="S1504" i="13"/>
  <c r="G1637" i="13"/>
  <c r="S1637" i="13"/>
  <c r="G1502" i="13"/>
  <c r="S1502" i="13"/>
  <c r="G1726" i="13"/>
  <c r="S1726" i="13"/>
  <c r="G1590" i="13"/>
  <c r="S1590" i="13"/>
  <c r="G1627" i="13"/>
  <c r="S1627" i="13"/>
  <c r="G1600" i="13"/>
  <c r="S1600" i="13"/>
  <c r="G1583" i="13"/>
  <c r="S1583" i="13"/>
  <c r="G1507" i="13"/>
  <c r="S1507" i="13"/>
  <c r="G1588" i="13"/>
  <c r="S1588" i="13"/>
  <c r="G1596" i="13"/>
  <c r="S1596" i="13"/>
  <c r="G1525" i="13"/>
  <c r="S1525" i="13"/>
  <c r="H704" i="13"/>
  <c r="T704" i="13"/>
  <c r="H707" i="13"/>
  <c r="T707" i="13"/>
  <c r="H510" i="13"/>
  <c r="T510" i="13"/>
  <c r="H623" i="13"/>
  <c r="T623" i="13"/>
  <c r="H637" i="13"/>
  <c r="T637" i="13"/>
  <c r="H668" i="13"/>
  <c r="T668" i="13"/>
  <c r="H732" i="13"/>
  <c r="T732" i="13"/>
  <c r="H545" i="13"/>
  <c r="T545" i="13"/>
  <c r="H678" i="13"/>
  <c r="T678" i="13"/>
  <c r="H547" i="13"/>
  <c r="T547" i="13"/>
  <c r="H552" i="13"/>
  <c r="T552" i="13"/>
  <c r="H566" i="13"/>
  <c r="T566" i="13"/>
  <c r="H684" i="13"/>
  <c r="T684" i="13"/>
  <c r="H731" i="13"/>
  <c r="T731" i="13"/>
  <c r="H651" i="13"/>
  <c r="T651" i="13"/>
  <c r="H681" i="13"/>
  <c r="T681" i="13"/>
  <c r="H534" i="13"/>
  <c r="T534" i="13"/>
  <c r="H546" i="13"/>
  <c r="T546" i="13"/>
  <c r="H520" i="13"/>
  <c r="T520" i="13"/>
  <c r="H556" i="13"/>
  <c r="T556" i="13"/>
  <c r="H509" i="13"/>
  <c r="T509" i="13"/>
  <c r="H503" i="13"/>
  <c r="T503" i="13"/>
  <c r="H656" i="13"/>
  <c r="T656" i="13"/>
  <c r="H717" i="13"/>
  <c r="T717" i="13"/>
  <c r="H640" i="13"/>
  <c r="T640" i="13"/>
  <c r="H576" i="13"/>
  <c r="T576" i="13"/>
  <c r="H721" i="13"/>
  <c r="T721" i="13"/>
  <c r="H626" i="13"/>
  <c r="T626" i="13"/>
  <c r="H564" i="13"/>
  <c r="T564" i="13"/>
  <c r="H695" i="13"/>
  <c r="T695" i="13"/>
  <c r="H646" i="13"/>
  <c r="T646" i="13"/>
  <c r="H600" i="13"/>
  <c r="T600" i="13"/>
  <c r="E700" i="13"/>
  <c r="Q700" i="13"/>
  <c r="E686" i="13"/>
  <c r="Q686" i="13"/>
  <c r="E507" i="13"/>
  <c r="Q507" i="13"/>
  <c r="E731" i="13"/>
  <c r="Q731" i="13"/>
  <c r="E565" i="13"/>
  <c r="Q565" i="13"/>
  <c r="E689" i="13"/>
  <c r="Q689" i="13"/>
  <c r="E618" i="13"/>
  <c r="Q618" i="13"/>
  <c r="E508" i="13"/>
  <c r="Q508" i="13"/>
  <c r="E568" i="13"/>
  <c r="Q568" i="13"/>
  <c r="E504" i="13"/>
  <c r="Q504" i="13"/>
  <c r="E641" i="13"/>
  <c r="Q641" i="13"/>
  <c r="E513" i="13"/>
  <c r="Q513" i="13"/>
  <c r="E530" i="13"/>
  <c r="Q530" i="13"/>
  <c r="E564" i="13"/>
  <c r="Q564" i="13"/>
  <c r="E613" i="13"/>
  <c r="Q613" i="13"/>
  <c r="E569" i="13"/>
  <c r="Q569" i="13"/>
  <c r="E658" i="13"/>
  <c r="Q658" i="13"/>
  <c r="E587" i="13"/>
  <c r="Q587" i="13"/>
  <c r="E718" i="13"/>
  <c r="Q718" i="13"/>
  <c r="E524" i="13"/>
  <c r="Q524" i="13"/>
  <c r="E553" i="13"/>
  <c r="Q553" i="13"/>
  <c r="E651" i="13"/>
  <c r="Q651" i="13"/>
  <c r="E521" i="13"/>
  <c r="Q521" i="13"/>
  <c r="E630" i="13"/>
  <c r="Q630" i="13"/>
  <c r="E502" i="13"/>
  <c r="Q502" i="13"/>
  <c r="E685" i="13"/>
  <c r="Q685" i="13"/>
  <c r="E683" i="13"/>
  <c r="Q683" i="13"/>
  <c r="E599" i="13"/>
  <c r="Q599" i="13"/>
  <c r="E721" i="13"/>
  <c r="Q721" i="13"/>
  <c r="E693" i="13"/>
  <c r="Q693" i="13"/>
  <c r="E661" i="13"/>
  <c r="Q661" i="13"/>
  <c r="F1082" i="13"/>
  <c r="R1082" i="13"/>
  <c r="F1237" i="13"/>
  <c r="R1237" i="13"/>
  <c r="F1127" i="13"/>
  <c r="R1127" i="13"/>
  <c r="F1202" i="13"/>
  <c r="R1202" i="13"/>
  <c r="F1009" i="13"/>
  <c r="R1009" i="13"/>
  <c r="F1007" i="13"/>
  <c r="R1007" i="13"/>
  <c r="F1070" i="13"/>
  <c r="R1070" i="13"/>
  <c r="F1232" i="13"/>
  <c r="R1232" i="13"/>
  <c r="F1195" i="13"/>
  <c r="R1195" i="13"/>
  <c r="F1158" i="13"/>
  <c r="R1158" i="13"/>
  <c r="F1238" i="13"/>
  <c r="R1238" i="13"/>
  <c r="F1110" i="13"/>
  <c r="R1110" i="13"/>
  <c r="F1120" i="13"/>
  <c r="R1120" i="13"/>
  <c r="F1112" i="13"/>
  <c r="R1112" i="13"/>
  <c r="F1046" i="13"/>
  <c r="R1046" i="13"/>
  <c r="F1090" i="13"/>
  <c r="R1090" i="13"/>
  <c r="F1049" i="13"/>
  <c r="R1049" i="13"/>
  <c r="F1121" i="13"/>
  <c r="R1121" i="13"/>
  <c r="F1162" i="13"/>
  <c r="R1162" i="13"/>
  <c r="F1006" i="13"/>
  <c r="R1006" i="13"/>
  <c r="F1038" i="13"/>
  <c r="R1038" i="13"/>
  <c r="F1235" i="13"/>
  <c r="R1235" i="13"/>
  <c r="F1212" i="13"/>
  <c r="R1212" i="13"/>
  <c r="F1058" i="13"/>
  <c r="R1058" i="13"/>
  <c r="F1086" i="13"/>
  <c r="R1086" i="13"/>
  <c r="F1136" i="13"/>
  <c r="R1136" i="13"/>
  <c r="F1085" i="13"/>
  <c r="R1085" i="13"/>
  <c r="F1134" i="13"/>
  <c r="R1134" i="13"/>
  <c r="F1215" i="13"/>
  <c r="R1215" i="13"/>
  <c r="F998" i="13"/>
  <c r="R998" i="13"/>
  <c r="F1063" i="13"/>
  <c r="R1063" i="13"/>
  <c r="E970" i="13"/>
  <c r="Q970" i="13"/>
  <c r="E894" i="13"/>
  <c r="Q894" i="13"/>
  <c r="E961" i="13"/>
  <c r="Q961" i="13"/>
  <c r="E817" i="13"/>
  <c r="Q817" i="13"/>
  <c r="E777" i="13"/>
  <c r="Q777" i="13"/>
  <c r="E779" i="13"/>
  <c r="Q779" i="13"/>
  <c r="E840" i="13"/>
  <c r="Q840" i="13"/>
  <c r="E969" i="13"/>
  <c r="Q969" i="13"/>
  <c r="E886" i="13"/>
  <c r="Q886" i="13"/>
  <c r="E897" i="13"/>
  <c r="Q897" i="13"/>
  <c r="E763" i="13"/>
  <c r="Q763" i="13"/>
  <c r="E922" i="13"/>
  <c r="Q922" i="13"/>
  <c r="E940" i="13"/>
  <c r="Q940" i="13"/>
  <c r="E776" i="13"/>
  <c r="Q776" i="13"/>
  <c r="E953" i="13"/>
  <c r="Q953" i="13"/>
  <c r="E862" i="13"/>
  <c r="Q862" i="13"/>
  <c r="E824" i="13"/>
  <c r="Q824" i="13"/>
  <c r="E887" i="13"/>
  <c r="Q887" i="13"/>
  <c r="E756" i="13"/>
  <c r="Q756" i="13"/>
  <c r="E899" i="13"/>
  <c r="Q899" i="13"/>
  <c r="E799" i="13"/>
  <c r="Q799" i="13"/>
  <c r="E780" i="13"/>
  <c r="Q780" i="13"/>
  <c r="E820" i="13"/>
  <c r="Q820" i="13"/>
  <c r="E810" i="13"/>
  <c r="Q810" i="13"/>
  <c r="E917" i="13"/>
  <c r="Q917" i="13"/>
  <c r="E792" i="13"/>
  <c r="Q792" i="13"/>
  <c r="E915" i="13"/>
  <c r="Q915" i="13"/>
  <c r="E868" i="13"/>
  <c r="Q868" i="13"/>
  <c r="E764" i="13"/>
  <c r="Q764" i="13"/>
  <c r="E880" i="13"/>
  <c r="Q880" i="13"/>
  <c r="E772" i="13"/>
  <c r="Q772" i="13"/>
  <c r="E2344" i="13"/>
  <c r="Q2344" i="13"/>
  <c r="E2366" i="13"/>
  <c r="Q2366" i="13"/>
  <c r="E2315" i="13"/>
  <c r="Q2315" i="13"/>
  <c r="E2299" i="13"/>
  <c r="Q2299" i="13"/>
  <c r="E2328" i="13"/>
  <c r="Q2328" i="13"/>
  <c r="E2295" i="13"/>
  <c r="Q2295" i="13"/>
  <c r="E2324" i="13"/>
  <c r="Q2324" i="13"/>
  <c r="E2265" i="13"/>
  <c r="Q2265" i="13"/>
  <c r="E2304" i="13"/>
  <c r="Q2304" i="13"/>
  <c r="E2309" i="13"/>
  <c r="Q2309" i="13"/>
  <c r="E2471" i="13"/>
  <c r="Q2471" i="13"/>
  <c r="E2270" i="13"/>
  <c r="Q2270" i="13"/>
  <c r="E2343" i="13"/>
  <c r="Q2343" i="13"/>
  <c r="E2254" i="13"/>
  <c r="Q2254" i="13"/>
  <c r="E2292" i="13"/>
  <c r="Q2292" i="13"/>
  <c r="E2250" i="13"/>
  <c r="Q2250" i="13"/>
  <c r="E2288" i="13"/>
  <c r="Q2288" i="13"/>
  <c r="E2457" i="13"/>
  <c r="Q2457" i="13"/>
  <c r="E2326" i="13"/>
  <c r="Q2326" i="13"/>
  <c r="E2463" i="13"/>
  <c r="Q2463" i="13"/>
  <c r="E2460" i="13"/>
  <c r="Q2460" i="13"/>
  <c r="E2334" i="13"/>
  <c r="Q2334" i="13"/>
  <c r="E2409" i="13"/>
  <c r="Q2409" i="13"/>
  <c r="E2257" i="13"/>
  <c r="Q2257" i="13"/>
  <c r="E2473" i="13"/>
  <c r="Q2473" i="13"/>
  <c r="E2252" i="13"/>
  <c r="Q2252" i="13"/>
  <c r="E2431" i="13"/>
  <c r="Q2431" i="13"/>
  <c r="E2381" i="13"/>
  <c r="Q2381" i="13"/>
  <c r="E2364" i="13"/>
  <c r="Q2364" i="13"/>
  <c r="E2372" i="13"/>
  <c r="Q2372" i="13"/>
  <c r="E2436" i="13"/>
  <c r="Q2436" i="13"/>
  <c r="E2454" i="13"/>
  <c r="Q2454" i="13"/>
  <c r="I640" i="13"/>
  <c r="U640" i="13"/>
  <c r="I648" i="13"/>
  <c r="U648" i="13"/>
  <c r="I589" i="13"/>
  <c r="U589" i="13"/>
  <c r="I524" i="13"/>
  <c r="U524" i="13"/>
  <c r="I675" i="13"/>
  <c r="U675" i="13"/>
  <c r="I726" i="13"/>
  <c r="U726" i="13"/>
  <c r="I544" i="13"/>
  <c r="U544" i="13"/>
  <c r="I522" i="13"/>
  <c r="U522" i="13"/>
  <c r="I611" i="13"/>
  <c r="U611" i="13"/>
  <c r="I529" i="13"/>
  <c r="U529" i="13"/>
  <c r="I643" i="13"/>
  <c r="U643" i="13"/>
  <c r="I528" i="13"/>
  <c r="U528" i="13"/>
  <c r="I523" i="13"/>
  <c r="U523" i="13"/>
  <c r="I628" i="13"/>
  <c r="U628" i="13"/>
  <c r="I629" i="13"/>
  <c r="U629" i="13"/>
  <c r="I539" i="13"/>
  <c r="U539" i="13"/>
  <c r="I571" i="13"/>
  <c r="U571" i="13"/>
  <c r="I701" i="13"/>
  <c r="U701" i="13"/>
  <c r="I679" i="13"/>
  <c r="U679" i="13"/>
  <c r="I607" i="13"/>
  <c r="U607" i="13"/>
  <c r="I536" i="13"/>
  <c r="U536" i="13"/>
  <c r="I590" i="13"/>
  <c r="U590" i="13"/>
  <c r="G2485" i="13"/>
  <c r="I2601" i="13"/>
  <c r="U2601" i="13"/>
  <c r="I2543" i="13"/>
  <c r="U2543" i="13"/>
  <c r="I2556" i="13"/>
  <c r="U2556" i="13"/>
  <c r="I2699" i="13"/>
  <c r="U2699" i="13"/>
  <c r="I2593" i="13"/>
  <c r="U2593" i="13"/>
  <c r="I2493" i="13"/>
  <c r="U2493" i="13"/>
  <c r="I2718" i="13"/>
  <c r="U2718" i="13"/>
  <c r="I2615" i="13"/>
  <c r="U2615" i="13"/>
  <c r="I2669" i="13"/>
  <c r="U2669" i="13"/>
  <c r="I2486" i="13"/>
  <c r="U2486" i="13"/>
  <c r="I2706" i="13"/>
  <c r="U2706" i="13"/>
  <c r="I2695" i="13"/>
  <c r="U2695" i="13"/>
  <c r="I2606" i="13"/>
  <c r="U2606" i="13"/>
  <c r="I2672" i="13"/>
  <c r="U2672" i="13"/>
  <c r="I2690" i="13"/>
  <c r="U2690" i="13"/>
  <c r="I2727" i="13"/>
  <c r="U2727" i="13"/>
  <c r="I2705" i="13"/>
  <c r="U2705" i="13"/>
  <c r="I2590" i="13"/>
  <c r="U2590" i="13"/>
  <c r="I2688" i="13"/>
  <c r="U2688" i="13"/>
  <c r="I2711" i="13"/>
  <c r="U2711" i="13"/>
  <c r="I2574" i="13"/>
  <c r="U2574" i="13"/>
  <c r="I2518" i="13"/>
  <c r="U2518" i="13"/>
  <c r="I2517" i="13"/>
  <c r="U2517" i="13"/>
  <c r="I2713" i="13"/>
  <c r="U2713" i="13"/>
  <c r="I2514" i="13"/>
  <c r="U2514" i="13"/>
  <c r="I2497" i="13"/>
  <c r="U2497" i="13"/>
  <c r="I2495" i="13"/>
  <c r="U2495" i="13"/>
  <c r="I2535" i="13"/>
  <c r="U2535" i="13"/>
  <c r="I2607" i="13"/>
  <c r="U2607" i="13"/>
  <c r="I2557" i="13"/>
  <c r="U2557" i="13"/>
  <c r="I2500" i="13"/>
  <c r="U2500" i="13"/>
  <c r="I2597" i="13"/>
  <c r="U2597" i="13"/>
  <c r="I2584" i="13"/>
  <c r="U2584" i="13"/>
  <c r="I2578" i="13"/>
  <c r="U2578" i="13"/>
  <c r="I2655" i="13"/>
  <c r="U2655" i="13"/>
  <c r="I2565" i="13"/>
  <c r="U2565" i="13"/>
  <c r="I2552" i="13"/>
  <c r="U2552" i="13"/>
  <c r="I2588" i="13"/>
  <c r="U2588" i="13"/>
  <c r="I2623" i="13"/>
  <c r="U2623" i="13"/>
  <c r="I2524" i="13"/>
  <c r="U2524" i="13"/>
  <c r="I2653" i="13"/>
  <c r="U2653" i="13"/>
  <c r="I2582" i="13"/>
  <c r="U2582" i="13"/>
  <c r="I2648" i="13"/>
  <c r="U2648" i="13"/>
  <c r="I2636" i="13"/>
  <c r="U2636" i="13"/>
  <c r="I2686" i="13"/>
  <c r="U2686" i="13"/>
  <c r="I2722" i="13"/>
  <c r="U2722" i="13"/>
  <c r="I2685" i="13"/>
  <c r="U2685" i="13"/>
  <c r="I2657" i="13"/>
  <c r="U2657" i="13"/>
  <c r="I2533" i="13"/>
  <c r="U2533" i="13"/>
  <c r="I2560" i="13"/>
  <c r="U2560" i="13"/>
  <c r="I2550" i="13"/>
  <c r="U2550" i="13"/>
  <c r="I2656" i="13"/>
  <c r="U2656" i="13"/>
  <c r="I2719" i="13"/>
  <c r="U2719" i="13"/>
  <c r="I2701" i="13"/>
  <c r="U2701" i="13"/>
  <c r="I2498" i="13"/>
  <c r="U2498" i="13"/>
  <c r="I2491" i="13"/>
  <c r="U2491" i="13"/>
  <c r="I2528" i="13"/>
  <c r="U2528" i="13"/>
  <c r="I2494" i="13"/>
  <c r="U2494" i="13"/>
  <c r="I2509" i="13"/>
  <c r="U2509" i="13"/>
  <c r="I2547" i="13"/>
  <c r="U2547" i="13"/>
  <c r="I2599" i="13"/>
  <c r="U2599" i="13"/>
  <c r="F2505" i="13"/>
  <c r="R2505" i="13"/>
  <c r="F2516" i="13"/>
  <c r="R2516" i="13"/>
  <c r="F2550" i="13"/>
  <c r="R2550" i="13"/>
  <c r="F2670" i="13"/>
  <c r="R2670" i="13"/>
  <c r="F2519" i="13"/>
  <c r="R2519" i="13"/>
  <c r="F2600" i="13"/>
  <c r="R2600" i="13"/>
  <c r="F2656" i="13"/>
  <c r="R2656" i="13"/>
  <c r="F2684" i="13"/>
  <c r="R2684" i="13"/>
  <c r="F2488" i="13"/>
  <c r="R2488" i="13"/>
  <c r="F2554" i="13"/>
  <c r="R2554" i="13"/>
  <c r="F2719" i="13"/>
  <c r="R2719" i="13"/>
  <c r="F2522" i="13"/>
  <c r="R2522" i="13"/>
  <c r="F2577" i="13"/>
  <c r="R2577" i="13"/>
  <c r="F2645" i="13"/>
  <c r="R2645" i="13"/>
  <c r="F2701" i="13"/>
  <c r="R2701" i="13"/>
  <c r="F2597" i="13"/>
  <c r="R2597" i="13"/>
  <c r="F2503" i="13"/>
  <c r="R2503" i="13"/>
  <c r="F2518" i="13"/>
  <c r="R2518" i="13"/>
  <c r="F2697" i="13"/>
  <c r="R2697" i="13"/>
  <c r="F2629" i="13"/>
  <c r="R2629" i="13"/>
  <c r="F2521" i="13"/>
  <c r="R2521" i="13"/>
  <c r="F2548" i="13"/>
  <c r="R2548" i="13"/>
  <c r="F2606" i="13"/>
  <c r="R2606" i="13"/>
  <c r="F2687" i="13"/>
  <c r="R2687" i="13"/>
  <c r="F2496" i="13"/>
  <c r="R2496" i="13"/>
  <c r="F2562" i="13"/>
  <c r="R2562" i="13"/>
  <c r="F2672" i="13"/>
  <c r="R2672" i="13"/>
  <c r="F2700" i="13"/>
  <c r="R2700" i="13"/>
  <c r="F2563" i="13"/>
  <c r="R2563" i="13"/>
  <c r="F2635" i="13"/>
  <c r="R2635" i="13"/>
  <c r="F2690" i="13"/>
  <c r="R2690" i="13"/>
  <c r="F2707" i="13"/>
  <c r="R2707" i="13"/>
  <c r="F2504" i="13"/>
  <c r="R2504" i="13"/>
  <c r="F2570" i="13"/>
  <c r="R2570" i="13"/>
  <c r="F2727" i="13"/>
  <c r="R2727" i="13"/>
  <c r="F2555" i="13"/>
  <c r="R2555" i="13"/>
  <c r="F2574" i="13"/>
  <c r="R2574" i="13"/>
  <c r="F2614" i="13"/>
  <c r="R2614" i="13"/>
  <c r="F2641" i="13"/>
  <c r="R2641" i="13"/>
  <c r="F2655" i="13"/>
  <c r="R2655" i="13"/>
  <c r="F2537" i="13"/>
  <c r="R2537" i="13"/>
  <c r="F2564" i="13"/>
  <c r="R2564" i="13"/>
  <c r="F2620" i="13"/>
  <c r="R2620" i="13"/>
  <c r="F2723" i="13"/>
  <c r="R2723" i="13"/>
  <c r="F2543" i="13"/>
  <c r="R2543" i="13"/>
  <c r="F2615" i="13"/>
  <c r="R2615" i="13"/>
  <c r="F2650" i="13"/>
  <c r="R2650" i="13"/>
  <c r="F2716" i="13"/>
  <c r="R2716" i="13"/>
  <c r="F2579" i="13"/>
  <c r="R2579" i="13"/>
  <c r="F2651" i="13"/>
  <c r="R2651" i="13"/>
  <c r="F2706" i="13"/>
  <c r="R2706" i="13"/>
  <c r="F2490" i="13"/>
  <c r="R2490" i="13"/>
  <c r="F2545" i="13"/>
  <c r="R2545" i="13"/>
  <c r="F2613" i="13"/>
  <c r="R2613" i="13"/>
  <c r="F2646" i="13"/>
  <c r="R2646" i="13"/>
  <c r="F2499" i="13"/>
  <c r="R2499" i="13"/>
  <c r="F2721" i="13"/>
  <c r="R2721" i="13"/>
  <c r="F2640" i="13"/>
  <c r="R2640" i="13"/>
  <c r="F2573" i="13"/>
  <c r="R2573" i="13"/>
  <c r="F2517" i="13"/>
  <c r="R2517" i="13"/>
  <c r="F2685" i="13"/>
  <c r="R2685" i="13"/>
  <c r="E2515" i="13"/>
  <c r="Q2515" i="13"/>
  <c r="E2596" i="13"/>
  <c r="Q2596" i="13"/>
  <c r="E2652" i="13"/>
  <c r="Q2652" i="13"/>
  <c r="E2680" i="13"/>
  <c r="Q2680" i="13"/>
  <c r="E2575" i="13"/>
  <c r="Q2575" i="13"/>
  <c r="E2647" i="13"/>
  <c r="Q2647" i="13"/>
  <c r="E2702" i="13"/>
  <c r="Q2702" i="13"/>
  <c r="E2534" i="13"/>
  <c r="Q2534" i="13"/>
  <c r="E2589" i="13"/>
  <c r="Q2589" i="13"/>
  <c r="E2657" i="13"/>
  <c r="Q2657" i="13"/>
  <c r="E2713" i="13"/>
  <c r="Q2713" i="13"/>
  <c r="E2533" i="13"/>
  <c r="Q2533" i="13"/>
  <c r="E2560" i="13"/>
  <c r="Q2560" i="13"/>
  <c r="E2616" i="13"/>
  <c r="Q2616" i="13"/>
  <c r="E2699" i="13"/>
  <c r="Q2699" i="13"/>
  <c r="E2586" i="13"/>
  <c r="Q2586" i="13"/>
  <c r="E2601" i="13"/>
  <c r="Q2601" i="13"/>
  <c r="E2595" i="13"/>
  <c r="Q2595" i="13"/>
  <c r="E2704" i="13"/>
  <c r="Q2704" i="13"/>
  <c r="E2710" i="13"/>
  <c r="Q2710" i="13"/>
  <c r="E2531" i="13"/>
  <c r="Q2531" i="13"/>
  <c r="E2546" i="13"/>
  <c r="Q2546" i="13"/>
  <c r="E2668" i="13"/>
  <c r="Q2668" i="13"/>
  <c r="E2696" i="13"/>
  <c r="Q2696" i="13"/>
  <c r="E2591" i="13"/>
  <c r="Q2591" i="13"/>
  <c r="E2663" i="13"/>
  <c r="Q2663" i="13"/>
  <c r="E2718" i="13"/>
  <c r="Q2718" i="13"/>
  <c r="E2486" i="13"/>
  <c r="Q2486" i="13"/>
  <c r="E2541" i="13"/>
  <c r="Q2541" i="13"/>
  <c r="E2609" i="13"/>
  <c r="Q2609" i="13"/>
  <c r="E2630" i="13"/>
  <c r="Q2630" i="13"/>
  <c r="E2538" i="13"/>
  <c r="Q2538" i="13"/>
  <c r="E2593" i="13"/>
  <c r="Q2593" i="13"/>
  <c r="E2661" i="13"/>
  <c r="Q2661" i="13"/>
  <c r="E2717" i="13"/>
  <c r="Q2717" i="13"/>
  <c r="E2580" i="13"/>
  <c r="Q2580" i="13"/>
  <c r="E2559" i="13"/>
  <c r="Q2559" i="13"/>
  <c r="E2622" i="13"/>
  <c r="Q2622" i="13"/>
  <c r="E2722" i="13"/>
  <c r="Q2722" i="13"/>
  <c r="E2664" i="13"/>
  <c r="Q2664" i="13"/>
  <c r="E2535" i="13"/>
  <c r="Q2535" i="13"/>
  <c r="E2611" i="13"/>
  <c r="Q2611" i="13"/>
  <c r="E2634" i="13"/>
  <c r="Q2634" i="13"/>
  <c r="E2712" i="13"/>
  <c r="Q2712" i="13"/>
  <c r="E2607" i="13"/>
  <c r="Q2607" i="13"/>
  <c r="E2540" i="13"/>
  <c r="Q2540" i="13"/>
  <c r="E2715" i="13"/>
  <c r="Q2715" i="13"/>
  <c r="E2502" i="13"/>
  <c r="Q2502" i="13"/>
  <c r="E2557" i="13"/>
  <c r="Q2557" i="13"/>
  <c r="E2625" i="13"/>
  <c r="Q2625" i="13"/>
  <c r="E2681" i="13"/>
  <c r="Q2681" i="13"/>
  <c r="E2501" i="13"/>
  <c r="Q2501" i="13"/>
  <c r="E2500" i="13"/>
  <c r="Q2500" i="13"/>
  <c r="E2508" i="13"/>
  <c r="Q2508" i="13"/>
  <c r="E2654" i="13"/>
  <c r="Q2654" i="13"/>
  <c r="E2520" i="13"/>
  <c r="Q2520" i="13"/>
  <c r="E2493" i="13"/>
  <c r="Q2493" i="13"/>
  <c r="E2686" i="13"/>
  <c r="Q2686" i="13"/>
  <c r="E2667" i="13"/>
  <c r="Q2667" i="13"/>
  <c r="E2583" i="13"/>
  <c r="Q2583" i="13"/>
  <c r="Q2485" i="13"/>
  <c r="E2485" i="13"/>
  <c r="H2491" i="13"/>
  <c r="T2491" i="13"/>
  <c r="H2599" i="13"/>
  <c r="T2599" i="13"/>
  <c r="H2601" i="13"/>
  <c r="T2601" i="13"/>
  <c r="H2546" i="13"/>
  <c r="T2546" i="13"/>
  <c r="H2718" i="13"/>
  <c r="T2718" i="13"/>
  <c r="H2576" i="13"/>
  <c r="T2576" i="13"/>
  <c r="H2602" i="13"/>
  <c r="T2602" i="13"/>
  <c r="H2723" i="13"/>
  <c r="T2723" i="13"/>
  <c r="H2625" i="13"/>
  <c r="T2625" i="13"/>
  <c r="H2711" i="13"/>
  <c r="T2711" i="13"/>
  <c r="H2516" i="13"/>
  <c r="T2516" i="13"/>
  <c r="H2621" i="13"/>
  <c r="T2621" i="13"/>
  <c r="H2628" i="13"/>
  <c r="T2628" i="13"/>
  <c r="H2726" i="13"/>
  <c r="T2726" i="13"/>
  <c r="H2725" i="13"/>
  <c r="T2725" i="13"/>
  <c r="H2521" i="13"/>
  <c r="T2521" i="13"/>
  <c r="H2663" i="13"/>
  <c r="T2663" i="13"/>
  <c r="H2609" i="13"/>
  <c r="T2609" i="13"/>
  <c r="H2717" i="13"/>
  <c r="T2717" i="13"/>
  <c r="H2664" i="13"/>
  <c r="T2664" i="13"/>
  <c r="H2653" i="13"/>
  <c r="T2653" i="13"/>
  <c r="H2582" i="13"/>
  <c r="T2582" i="13"/>
  <c r="H2694" i="13"/>
  <c r="T2694" i="13"/>
  <c r="H2667" i="13"/>
  <c r="T2667" i="13"/>
  <c r="H2505" i="13"/>
  <c r="T2505" i="13"/>
  <c r="H2652" i="13"/>
  <c r="T2652" i="13"/>
  <c r="H2575" i="13"/>
  <c r="T2575" i="13"/>
  <c r="H2656" i="13"/>
  <c r="T2656" i="13"/>
  <c r="H2610" i="13"/>
  <c r="T2610" i="13"/>
  <c r="H2616" i="13"/>
  <c r="T2616" i="13"/>
  <c r="H2595" i="13"/>
  <c r="T2595" i="13"/>
  <c r="H2548" i="13"/>
  <c r="T2548" i="13"/>
  <c r="H2525" i="13"/>
  <c r="T2525" i="13"/>
  <c r="H2562" i="13"/>
  <c r="T2562" i="13"/>
  <c r="H2563" i="13"/>
  <c r="T2563" i="13"/>
  <c r="H2495" i="13"/>
  <c r="T2495" i="13"/>
  <c r="H2632" i="13"/>
  <c r="T2632" i="13"/>
  <c r="H2574" i="13"/>
  <c r="T2574" i="13"/>
  <c r="H2556" i="13"/>
  <c r="T2556" i="13"/>
  <c r="H2524" i="13"/>
  <c r="T2524" i="13"/>
  <c r="H2607" i="13"/>
  <c r="T2607" i="13"/>
  <c r="H2650" i="13"/>
  <c r="T2650" i="13"/>
  <c r="H2536" i="13"/>
  <c r="T2536" i="13"/>
  <c r="H2511" i="13"/>
  <c r="T2511" i="13"/>
  <c r="H2508" i="13"/>
  <c r="T2508" i="13"/>
  <c r="H2520" i="13"/>
  <c r="T2520" i="13"/>
  <c r="H2517" i="13"/>
  <c r="T2517" i="13"/>
  <c r="H2571" i="13"/>
  <c r="T2571" i="13"/>
  <c r="H2519" i="13"/>
  <c r="T2519" i="13"/>
  <c r="H2719" i="13"/>
  <c r="T2719" i="13"/>
  <c r="H2699" i="13"/>
  <c r="T2699" i="13"/>
  <c r="H2612" i="13"/>
  <c r="T2612" i="13"/>
  <c r="H2714" i="13"/>
  <c r="T2714" i="13"/>
  <c r="H2541" i="13"/>
  <c r="T2541" i="13"/>
  <c r="H2593" i="13"/>
  <c r="T2593" i="13"/>
  <c r="H2614" i="13"/>
  <c r="T2614" i="13"/>
  <c r="H2603" i="13"/>
  <c r="T2603" i="13"/>
  <c r="H2624" i="13"/>
  <c r="T2624" i="13"/>
  <c r="H2660" i="13"/>
  <c r="T2660" i="13"/>
  <c r="H2721" i="13"/>
  <c r="T2721" i="13"/>
  <c r="G2505" i="13"/>
  <c r="S2505" i="13"/>
  <c r="G2647" i="13"/>
  <c r="S2647" i="13"/>
  <c r="G2489" i="13"/>
  <c r="S2489" i="13"/>
  <c r="G2525" i="13"/>
  <c r="S2525" i="13"/>
  <c r="G2495" i="13"/>
  <c r="S2495" i="13"/>
  <c r="G2620" i="13"/>
  <c r="S2620" i="13"/>
  <c r="G2557" i="13"/>
  <c r="S2557" i="13"/>
  <c r="G2652" i="13"/>
  <c r="S2652" i="13"/>
  <c r="G2488" i="13"/>
  <c r="S2488" i="13"/>
  <c r="G2606" i="13"/>
  <c r="S2606" i="13"/>
  <c r="G2563" i="13"/>
  <c r="S2563" i="13"/>
  <c r="G2632" i="13"/>
  <c r="S2632" i="13"/>
  <c r="G2537" i="13"/>
  <c r="S2537" i="13"/>
  <c r="G2568" i="13"/>
  <c r="S2568" i="13"/>
  <c r="G2567" i="13"/>
  <c r="S2567" i="13"/>
  <c r="G2583" i="13"/>
  <c r="S2583" i="13"/>
  <c r="G2516" i="13"/>
  <c r="S2516" i="13"/>
  <c r="G2698" i="13"/>
  <c r="S2698" i="13"/>
  <c r="G2553" i="13"/>
  <c r="S2553" i="13"/>
  <c r="G2675" i="13"/>
  <c r="S2675" i="13"/>
  <c r="G2547" i="13"/>
  <c r="S2547" i="13"/>
  <c r="G2657" i="13"/>
  <c r="S2657" i="13"/>
  <c r="G2713" i="13"/>
  <c r="S2713" i="13"/>
  <c r="G2577" i="13"/>
  <c r="S2577" i="13"/>
  <c r="G2726" i="13"/>
  <c r="S2726" i="13"/>
  <c r="G2597" i="13"/>
  <c r="S2597" i="13"/>
  <c r="G2601" i="13"/>
  <c r="S2601" i="13"/>
  <c r="G2578" i="13"/>
  <c r="S2578" i="13"/>
  <c r="G2629" i="13"/>
  <c r="S2629" i="13"/>
  <c r="G2531" i="13"/>
  <c r="S2531" i="13"/>
  <c r="G2659" i="13"/>
  <c r="S2659" i="13"/>
  <c r="G2687" i="13"/>
  <c r="S2687" i="13"/>
  <c r="G2637" i="13"/>
  <c r="S2637" i="13"/>
  <c r="G2691" i="13"/>
  <c r="S2691" i="13"/>
  <c r="G2605" i="13"/>
  <c r="S2605" i="13"/>
  <c r="G2690" i="13"/>
  <c r="S2690" i="13"/>
  <c r="G2538" i="13"/>
  <c r="S2538" i="13"/>
  <c r="G2661" i="13"/>
  <c r="S2661" i="13"/>
  <c r="G2580" i="13"/>
  <c r="S2580" i="13"/>
  <c r="G2602" i="13"/>
  <c r="S2602" i="13"/>
  <c r="G2506" i="13"/>
  <c r="S2506" i="13"/>
  <c r="G2683" i="13"/>
  <c r="S2683" i="13"/>
  <c r="G2581" i="13"/>
  <c r="S2581" i="13"/>
  <c r="G2723" i="13"/>
  <c r="S2723" i="13"/>
  <c r="G2585" i="13"/>
  <c r="S2585" i="13"/>
  <c r="G2709" i="13"/>
  <c r="S2709" i="13"/>
  <c r="G2523" i="13"/>
  <c r="S2523" i="13"/>
  <c r="G2660" i="13"/>
  <c r="S2660" i="13"/>
  <c r="G2490" i="13"/>
  <c r="S2490" i="13"/>
  <c r="G2648" i="13"/>
  <c r="S2648" i="13"/>
  <c r="G2636" i="13"/>
  <c r="S2636" i="13"/>
  <c r="G2640" i="13"/>
  <c r="S2640" i="13"/>
  <c r="G2667" i="13"/>
  <c r="S2667" i="13"/>
  <c r="G2685" i="13"/>
  <c r="S2685" i="13"/>
  <c r="G2572" i="13"/>
  <c r="S2572" i="13"/>
  <c r="G2692" i="13"/>
  <c r="S2692" i="13"/>
  <c r="G2608" i="13"/>
  <c r="S2608" i="13"/>
  <c r="G2626" i="13"/>
  <c r="S2626" i="13"/>
  <c r="G2615" i="13"/>
  <c r="S2615" i="13"/>
  <c r="G2545" i="13"/>
  <c r="S2545" i="13"/>
  <c r="G2631" i="13"/>
  <c r="S2631" i="13"/>
  <c r="I1826" i="13"/>
  <c r="U1826" i="13"/>
  <c r="I1941" i="13"/>
  <c r="U1941" i="13"/>
  <c r="I1887" i="13"/>
  <c r="U1887" i="13"/>
  <c r="I1918" i="13"/>
  <c r="U1918" i="13"/>
  <c r="I1854" i="13"/>
  <c r="U1854" i="13"/>
  <c r="I1802" i="13"/>
  <c r="U1802" i="13"/>
  <c r="I1964" i="13"/>
  <c r="U1964" i="13"/>
  <c r="I1898" i="13"/>
  <c r="U1898" i="13"/>
  <c r="I1807" i="13"/>
  <c r="U1807" i="13"/>
  <c r="I1785" i="13"/>
  <c r="U1785" i="13"/>
  <c r="I1867" i="13"/>
  <c r="U1867" i="13"/>
  <c r="I1800" i="13"/>
  <c r="U1800" i="13"/>
  <c r="I1874" i="13"/>
  <c r="U1874" i="13"/>
  <c r="I1855" i="13"/>
  <c r="U1855" i="13"/>
  <c r="U1741" i="13"/>
  <c r="I1741" i="13"/>
  <c r="I1751" i="13"/>
  <c r="U1751" i="13"/>
  <c r="I1834" i="13"/>
  <c r="U1834" i="13"/>
  <c r="I1968" i="13"/>
  <c r="U1968" i="13"/>
  <c r="I1765" i="13"/>
  <c r="U1765" i="13"/>
  <c r="I1869" i="13"/>
  <c r="U1869" i="13"/>
  <c r="I1882" i="13"/>
  <c r="U1882" i="13"/>
  <c r="I1944" i="13"/>
  <c r="U1944" i="13"/>
  <c r="I1966" i="13"/>
  <c r="U1966" i="13"/>
  <c r="I1949" i="13"/>
  <c r="U1949" i="13"/>
  <c r="I1815" i="13"/>
  <c r="U1815" i="13"/>
  <c r="I1803" i="13"/>
  <c r="U1803" i="13"/>
  <c r="I1752" i="13"/>
  <c r="U1752" i="13"/>
  <c r="I1804" i="13"/>
  <c r="U1804" i="13"/>
  <c r="I1831" i="13"/>
  <c r="U1831" i="13"/>
  <c r="I1912" i="13"/>
  <c r="U1912" i="13"/>
  <c r="I1764" i="13"/>
  <c r="U1764" i="13"/>
  <c r="I1972" i="13"/>
  <c r="U1972" i="13"/>
  <c r="I1812" i="13"/>
  <c r="U1812" i="13"/>
  <c r="I1827" i="13"/>
  <c r="U1827" i="13"/>
  <c r="I1883" i="13"/>
  <c r="U1883" i="13"/>
  <c r="I1934" i="13"/>
  <c r="U1934" i="13"/>
  <c r="I1769" i="13"/>
  <c r="U1769" i="13"/>
  <c r="I1832" i="13"/>
  <c r="U1832" i="13"/>
  <c r="I1932" i="13"/>
  <c r="U1932" i="13"/>
  <c r="I1881" i="13"/>
  <c r="U1881" i="13"/>
  <c r="I1794" i="13"/>
  <c r="U1794" i="13"/>
  <c r="I1976" i="13"/>
  <c r="U1976" i="13"/>
  <c r="I1933" i="13"/>
  <c r="U1933" i="13"/>
  <c r="I1823" i="13"/>
  <c r="U1823" i="13"/>
  <c r="I1856" i="13"/>
  <c r="U1856" i="13"/>
  <c r="I1822" i="13"/>
  <c r="U1822" i="13"/>
  <c r="I1938" i="13"/>
  <c r="U1938" i="13"/>
  <c r="I1753" i="13"/>
  <c r="U1753" i="13"/>
  <c r="I1748" i="13"/>
  <c r="U1748" i="13"/>
  <c r="I1810" i="13"/>
  <c r="U1810" i="13"/>
  <c r="I1895" i="13"/>
  <c r="U1895" i="13"/>
  <c r="I1907" i="13"/>
  <c r="U1907" i="13"/>
  <c r="I1904" i="13"/>
  <c r="U1904" i="13"/>
  <c r="I1884" i="13"/>
  <c r="U1884" i="13"/>
  <c r="I1747" i="13"/>
  <c r="U1747" i="13"/>
  <c r="I1980" i="13"/>
  <c r="U1980" i="13"/>
  <c r="I1956" i="13"/>
  <c r="U1956" i="13"/>
  <c r="I1936" i="13"/>
  <c r="U1936" i="13"/>
  <c r="I1879" i="13"/>
  <c r="U1879" i="13"/>
  <c r="F1872" i="13"/>
  <c r="R1872" i="13"/>
  <c r="F1858" i="13"/>
  <c r="R1858" i="13"/>
  <c r="F1800" i="13"/>
  <c r="R1800" i="13"/>
  <c r="F1940" i="13"/>
  <c r="R1940" i="13"/>
  <c r="F1884" i="13"/>
  <c r="R1884" i="13"/>
  <c r="F1808" i="13"/>
  <c r="R1808" i="13"/>
  <c r="F1860" i="13"/>
  <c r="R1860" i="13"/>
  <c r="F1840" i="13"/>
  <c r="R1840" i="13"/>
  <c r="F1744" i="13"/>
  <c r="R1744" i="13"/>
  <c r="F1787" i="13"/>
  <c r="R1787" i="13"/>
  <c r="F1759" i="13"/>
  <c r="R1759" i="13"/>
  <c r="F1792" i="13"/>
  <c r="R1792" i="13"/>
  <c r="F1899" i="13"/>
  <c r="R1899" i="13"/>
  <c r="F1822" i="13"/>
  <c r="R1822" i="13"/>
  <c r="F1882" i="13"/>
  <c r="R1882" i="13"/>
  <c r="R1741" i="13"/>
  <c r="F1741" i="13"/>
  <c r="F1795" i="13"/>
  <c r="R1795" i="13"/>
  <c r="F1956" i="13"/>
  <c r="R1956" i="13"/>
  <c r="F1842" i="13"/>
  <c r="R1842" i="13"/>
  <c r="F1830" i="13"/>
  <c r="R1830" i="13"/>
  <c r="F1813" i="13"/>
  <c r="R1813" i="13"/>
  <c r="F1966" i="13"/>
  <c r="R1966" i="13"/>
  <c r="F1772" i="13"/>
  <c r="R1772" i="13"/>
  <c r="F1938" i="13"/>
  <c r="R1938" i="13"/>
  <c r="F1913" i="13"/>
  <c r="R1913" i="13"/>
  <c r="F1973" i="13"/>
  <c r="R1973" i="13"/>
  <c r="F1931" i="13"/>
  <c r="R1931" i="13"/>
  <c r="F1816" i="13"/>
  <c r="R1816" i="13"/>
  <c r="F1768" i="13"/>
  <c r="R1768" i="13"/>
  <c r="F1812" i="13"/>
  <c r="R1812" i="13"/>
  <c r="F1892" i="13"/>
  <c r="R1892" i="13"/>
  <c r="F1897" i="13"/>
  <c r="R1897" i="13"/>
  <c r="F1837" i="13"/>
  <c r="R1837" i="13"/>
  <c r="F1952" i="13"/>
  <c r="R1952" i="13"/>
  <c r="F1742" i="13"/>
  <c r="R1742" i="13"/>
  <c r="F1823" i="13"/>
  <c r="R1823" i="13"/>
  <c r="F1757" i="13"/>
  <c r="R1757" i="13"/>
  <c r="F1969" i="13"/>
  <c r="R1969" i="13"/>
  <c r="F1921" i="13"/>
  <c r="R1921" i="13"/>
  <c r="F1845" i="13"/>
  <c r="R1845" i="13"/>
  <c r="F1824" i="13"/>
  <c r="R1824" i="13"/>
  <c r="F1857" i="13"/>
  <c r="R1857" i="13"/>
  <c r="F1762" i="13"/>
  <c r="R1762" i="13"/>
  <c r="F1853" i="13"/>
  <c r="R1853" i="13"/>
  <c r="F1819" i="13"/>
  <c r="R1819" i="13"/>
  <c r="F1751" i="13"/>
  <c r="R1751" i="13"/>
  <c r="F1852" i="13"/>
  <c r="R1852" i="13"/>
  <c r="F1743" i="13"/>
  <c r="R1743" i="13"/>
  <c r="F1950" i="13"/>
  <c r="R1950" i="13"/>
  <c r="F1854" i="13"/>
  <c r="R1854" i="13"/>
  <c r="F1758" i="13"/>
  <c r="R1758" i="13"/>
  <c r="F1949" i="13"/>
  <c r="R1949" i="13"/>
  <c r="F1917" i="13"/>
  <c r="R1917" i="13"/>
  <c r="F1838" i="13"/>
  <c r="R1838" i="13"/>
  <c r="F1790" i="13"/>
  <c r="R1790" i="13"/>
  <c r="F1912" i="13"/>
  <c r="R1912" i="13"/>
  <c r="F1928" i="13"/>
  <c r="R1928" i="13"/>
  <c r="F1962" i="13"/>
  <c r="R1962" i="13"/>
  <c r="F1909" i="13"/>
  <c r="R1909" i="13"/>
  <c r="F1833" i="13"/>
  <c r="R1833" i="13"/>
  <c r="F1847" i="13"/>
  <c r="R1847" i="13"/>
  <c r="I1040" i="13"/>
  <c r="U1040" i="13"/>
  <c r="I1027" i="13"/>
  <c r="U1027" i="13"/>
  <c r="I1129" i="13"/>
  <c r="U1129" i="13"/>
  <c r="I1154" i="13"/>
  <c r="U1154" i="13"/>
  <c r="I1205" i="13"/>
  <c r="U1205" i="13"/>
  <c r="I1024" i="13"/>
  <c r="U1024" i="13"/>
  <c r="I1126" i="13"/>
  <c r="U1126" i="13"/>
  <c r="I1082" i="13"/>
  <c r="U1082" i="13"/>
  <c r="I1078" i="13"/>
  <c r="U1078" i="13"/>
  <c r="I1093" i="13"/>
  <c r="U1093" i="13"/>
  <c r="I1042" i="13"/>
  <c r="U1042" i="13"/>
  <c r="I1062" i="13"/>
  <c r="U1062" i="13"/>
  <c r="I1197" i="13"/>
  <c r="U1197" i="13"/>
  <c r="I1198" i="13"/>
  <c r="U1198" i="13"/>
  <c r="I1204" i="13"/>
  <c r="U1204" i="13"/>
  <c r="I1124" i="13"/>
  <c r="U1124" i="13"/>
  <c r="I1029" i="13"/>
  <c r="U1029" i="13"/>
  <c r="I1220" i="13"/>
  <c r="U1220" i="13"/>
  <c r="I1084" i="13"/>
  <c r="U1084" i="13"/>
  <c r="I1109" i="13"/>
  <c r="U1109" i="13"/>
  <c r="I1071" i="13"/>
  <c r="U1071" i="13"/>
  <c r="I1081" i="13"/>
  <c r="U1081" i="13"/>
  <c r="I1055" i="13"/>
  <c r="U1055" i="13"/>
  <c r="I1212" i="13"/>
  <c r="U1212" i="13"/>
  <c r="I1163" i="13"/>
  <c r="U1163" i="13"/>
  <c r="I1118" i="13"/>
  <c r="U1118" i="13"/>
  <c r="I1171" i="13"/>
  <c r="U1171" i="13"/>
  <c r="I1031" i="13"/>
  <c r="U1031" i="13"/>
  <c r="I1184" i="13"/>
  <c r="U1184" i="13"/>
  <c r="I1008" i="13"/>
  <c r="U1008" i="13"/>
  <c r="I1049" i="13"/>
  <c r="U1049" i="13"/>
  <c r="I1199" i="13"/>
  <c r="U1199" i="13"/>
  <c r="I1014" i="13"/>
  <c r="U1014" i="13"/>
  <c r="I1117" i="13"/>
  <c r="U1117" i="13"/>
  <c r="I1191" i="13"/>
  <c r="U1191" i="13"/>
  <c r="I1222" i="13"/>
  <c r="U1222" i="13"/>
  <c r="I1175" i="13"/>
  <c r="U1175" i="13"/>
  <c r="I1190" i="13"/>
  <c r="U1190" i="13"/>
  <c r="I1127" i="13"/>
  <c r="U1127" i="13"/>
  <c r="I1189" i="13"/>
  <c r="U1189" i="13"/>
  <c r="I1121" i="13"/>
  <c r="U1121" i="13"/>
  <c r="I1168" i="13"/>
  <c r="U1168" i="13"/>
  <c r="I1218" i="13"/>
  <c r="U1218" i="13"/>
  <c r="I1106" i="13"/>
  <c r="U1106" i="13"/>
  <c r="I1140" i="13"/>
  <c r="U1140" i="13"/>
  <c r="I1136" i="13"/>
  <c r="U1136" i="13"/>
  <c r="I1089" i="13"/>
  <c r="U1089" i="13"/>
  <c r="I1038" i="13"/>
  <c r="U1038" i="13"/>
  <c r="I1043" i="13"/>
  <c r="U1043" i="13"/>
  <c r="I1099" i="13"/>
  <c r="U1099" i="13"/>
  <c r="I1058" i="13"/>
  <c r="U1058" i="13"/>
  <c r="I1111" i="13"/>
  <c r="U1111" i="13"/>
  <c r="I998" i="13"/>
  <c r="U998" i="13"/>
  <c r="I1004" i="13"/>
  <c r="U1004" i="13"/>
  <c r="I1145" i="13"/>
  <c r="U1145" i="13"/>
  <c r="I1028" i="13"/>
  <c r="U1028" i="13"/>
  <c r="I1170" i="13"/>
  <c r="U1170" i="13"/>
  <c r="I1208" i="13"/>
  <c r="U1208" i="13"/>
  <c r="I999" i="13"/>
  <c r="U999" i="13"/>
  <c r="I1026" i="13"/>
  <c r="U1026" i="13"/>
  <c r="I1069" i="13"/>
  <c r="U1069" i="13"/>
  <c r="E1373" i="13"/>
  <c r="Q1373" i="13"/>
  <c r="E1281" i="13"/>
  <c r="Q1281" i="13"/>
  <c r="E1445" i="13"/>
  <c r="Q1445" i="13"/>
  <c r="E1401" i="13"/>
  <c r="Q1401" i="13"/>
  <c r="E1338" i="13"/>
  <c r="Q1338" i="13"/>
  <c r="E1279" i="13"/>
  <c r="Q1279" i="13"/>
  <c r="E1409" i="13"/>
  <c r="Q1409" i="13"/>
  <c r="E1389" i="13"/>
  <c r="Q1389" i="13"/>
  <c r="E1263" i="13"/>
  <c r="Q1263" i="13"/>
  <c r="E1403" i="13"/>
  <c r="Q1403" i="13"/>
  <c r="E1298" i="13"/>
  <c r="Q1298" i="13"/>
  <c r="E1397" i="13"/>
  <c r="Q1397" i="13"/>
  <c r="E1304" i="13"/>
  <c r="Q1304" i="13"/>
  <c r="E1287" i="13"/>
  <c r="Q1287" i="13"/>
  <c r="E1259" i="13"/>
  <c r="Q1259" i="13"/>
  <c r="E1343" i="13"/>
  <c r="Q1343" i="13"/>
  <c r="E1350" i="13"/>
  <c r="Q1350" i="13"/>
  <c r="E1364" i="13"/>
  <c r="Q1364" i="13"/>
  <c r="E1416" i="13"/>
  <c r="Q1416" i="13"/>
  <c r="E1485" i="13"/>
  <c r="Q1485" i="13"/>
  <c r="E1290" i="13"/>
  <c r="Q1290" i="13"/>
  <c r="E1436" i="13"/>
  <c r="Q1436" i="13"/>
  <c r="E1431" i="13"/>
  <c r="Q1431" i="13"/>
  <c r="E1472" i="13"/>
  <c r="Q1472" i="13"/>
  <c r="E1455" i="13"/>
  <c r="Q1455" i="13"/>
  <c r="E1484" i="13"/>
  <c r="Q1484" i="13"/>
  <c r="E1356" i="13"/>
  <c r="Q1356" i="13"/>
  <c r="E1408" i="13"/>
  <c r="Q1408" i="13"/>
  <c r="E1370" i="13"/>
  <c r="Q1370" i="13"/>
  <c r="E1422" i="13"/>
  <c r="Q1422" i="13"/>
  <c r="E1293" i="13"/>
  <c r="Q1293" i="13"/>
  <c r="E1266" i="13"/>
  <c r="Q1266" i="13"/>
  <c r="E1335" i="13"/>
  <c r="Q1335" i="13"/>
  <c r="E1342" i="13"/>
  <c r="Q1342" i="13"/>
  <c r="E1438" i="13"/>
  <c r="Q1438" i="13"/>
  <c r="E1483" i="13"/>
  <c r="Q1483" i="13"/>
  <c r="E1320" i="13"/>
  <c r="Q1320" i="13"/>
  <c r="E1398" i="13"/>
  <c r="Q1398" i="13"/>
  <c r="E1425" i="13"/>
  <c r="Q1425" i="13"/>
  <c r="E1415" i="13"/>
  <c r="Q1415" i="13"/>
  <c r="E1336" i="13"/>
  <c r="Q1336" i="13"/>
  <c r="E1327" i="13"/>
  <c r="Q1327" i="13"/>
  <c r="E1334" i="13"/>
  <c r="Q1334" i="13"/>
  <c r="E1328" i="13"/>
  <c r="Q1328" i="13"/>
  <c r="E1400" i="13"/>
  <c r="Q1400" i="13"/>
  <c r="Q1245" i="13"/>
  <c r="V1245" i="13" s="1"/>
  <c r="A1245" i="13" s="1"/>
  <c r="E1245" i="13"/>
  <c r="E1252" i="13"/>
  <c r="Q1252" i="13"/>
  <c r="E1277" i="13"/>
  <c r="Q1277" i="13"/>
  <c r="E1272" i="13"/>
  <c r="Q1272" i="13"/>
  <c r="E1330" i="13"/>
  <c r="Q1330" i="13"/>
  <c r="E1354" i="13"/>
  <c r="Q1354" i="13"/>
  <c r="E1295" i="13"/>
  <c r="Q1295" i="13"/>
  <c r="E1325" i="13"/>
  <c r="Q1325" i="13"/>
  <c r="E1380" i="13"/>
  <c r="Q1380" i="13"/>
  <c r="E1432" i="13"/>
  <c r="Q1432" i="13"/>
  <c r="E1313" i="13"/>
  <c r="Q1313" i="13"/>
  <c r="E1269" i="13"/>
  <c r="Q1269" i="13"/>
  <c r="E1314" i="13"/>
  <c r="Q1314" i="13"/>
  <c r="E1300" i="13"/>
  <c r="Q1300" i="13"/>
  <c r="E1312" i="13"/>
  <c r="Q1312" i="13"/>
  <c r="E1433" i="13"/>
  <c r="Q1433" i="13"/>
  <c r="G947" i="13"/>
  <c r="S947" i="13"/>
  <c r="G899" i="13"/>
  <c r="S899" i="13"/>
  <c r="G855" i="13"/>
  <c r="S855" i="13"/>
  <c r="G882" i="13"/>
  <c r="S882" i="13"/>
  <c r="G932" i="13"/>
  <c r="S932" i="13"/>
  <c r="G921" i="13"/>
  <c r="S921" i="13"/>
  <c r="G868" i="13"/>
  <c r="S868" i="13"/>
  <c r="G844" i="13"/>
  <c r="S844" i="13"/>
  <c r="G827" i="13"/>
  <c r="S827" i="13"/>
  <c r="G819" i="13"/>
  <c r="S819" i="13"/>
  <c r="G755" i="13"/>
  <c r="S755" i="13"/>
  <c r="G944" i="13"/>
  <c r="S944" i="13"/>
  <c r="G802" i="13"/>
  <c r="S802" i="13"/>
  <c r="G753" i="13"/>
  <c r="S753" i="13"/>
  <c r="G928" i="13"/>
  <c r="S928" i="13"/>
  <c r="G830" i="13"/>
  <c r="S830" i="13"/>
  <c r="G903" i="13"/>
  <c r="S903" i="13"/>
  <c r="G865" i="13"/>
  <c r="S865" i="13"/>
  <c r="G884" i="13"/>
  <c r="S884" i="13"/>
  <c r="G776" i="13"/>
  <c r="S776" i="13"/>
  <c r="G762" i="13"/>
  <c r="S762" i="13"/>
  <c r="G796" i="13"/>
  <c r="S796" i="13"/>
  <c r="G820" i="13"/>
  <c r="S820" i="13"/>
  <c r="G920" i="13"/>
  <c r="S920" i="13"/>
  <c r="G946" i="13"/>
  <c r="S946" i="13"/>
  <c r="G939" i="13"/>
  <c r="S939" i="13"/>
  <c r="G832" i="13"/>
  <c r="S832" i="13"/>
  <c r="G758" i="13"/>
  <c r="S758" i="13"/>
  <c r="G936" i="13"/>
  <c r="S936" i="13"/>
  <c r="G867" i="13"/>
  <c r="S867" i="13"/>
  <c r="G906" i="13"/>
  <c r="S906" i="13"/>
  <c r="G922" i="13"/>
  <c r="S922" i="13"/>
  <c r="G991" i="13"/>
  <c r="S991" i="13"/>
  <c r="G941" i="13"/>
  <c r="S941" i="13"/>
  <c r="G780" i="13"/>
  <c r="S780" i="13"/>
  <c r="G988" i="13"/>
  <c r="S988" i="13"/>
  <c r="G919" i="13"/>
  <c r="S919" i="13"/>
  <c r="G955" i="13"/>
  <c r="S955" i="13"/>
  <c r="G795" i="13"/>
  <c r="S795" i="13"/>
  <c r="G878" i="13"/>
  <c r="S878" i="13"/>
  <c r="G889" i="13"/>
  <c r="S889" i="13"/>
  <c r="G957" i="13"/>
  <c r="S957" i="13"/>
  <c r="G935" i="13"/>
  <c r="S935" i="13"/>
  <c r="G979" i="13"/>
  <c r="S979" i="13"/>
  <c r="G980" i="13"/>
  <c r="S980" i="13"/>
  <c r="G834" i="13"/>
  <c r="S834" i="13"/>
  <c r="G914" i="13"/>
  <c r="S914" i="13"/>
  <c r="G892" i="13"/>
  <c r="S892" i="13"/>
  <c r="G794" i="13"/>
  <c r="S794" i="13"/>
  <c r="G760" i="13"/>
  <c r="S760" i="13"/>
  <c r="G983" i="13"/>
  <c r="S983" i="13"/>
  <c r="G901" i="13"/>
  <c r="S901" i="13"/>
  <c r="G898" i="13"/>
  <c r="S898" i="13"/>
  <c r="G960" i="13"/>
  <c r="S960" i="13"/>
  <c r="G810" i="13"/>
  <c r="S810" i="13"/>
  <c r="G782" i="13"/>
  <c r="S782" i="13"/>
  <c r="G978" i="13"/>
  <c r="S978" i="13"/>
  <c r="G971" i="13"/>
  <c r="S971" i="13"/>
  <c r="G815" i="13"/>
  <c r="S815" i="13"/>
  <c r="G990" i="13"/>
  <c r="S990" i="13"/>
  <c r="F2206" i="13"/>
  <c r="R2206" i="13"/>
  <c r="F2213" i="13"/>
  <c r="R2213" i="13"/>
  <c r="F2182" i="13"/>
  <c r="R2182" i="13"/>
  <c r="F2172" i="13"/>
  <c r="R2172" i="13"/>
  <c r="F2094" i="13"/>
  <c r="R2094" i="13"/>
  <c r="F2210" i="13"/>
  <c r="R2210" i="13"/>
  <c r="F1991" i="13"/>
  <c r="R1991" i="13"/>
  <c r="F2211" i="13"/>
  <c r="R2211" i="13"/>
  <c r="F2135" i="13"/>
  <c r="R2135" i="13"/>
  <c r="F2046" i="13"/>
  <c r="R2046" i="13"/>
  <c r="F2191" i="13"/>
  <c r="R2191" i="13"/>
  <c r="F2043" i="13"/>
  <c r="R2043" i="13"/>
  <c r="F2231" i="13"/>
  <c r="R2231" i="13"/>
  <c r="F2115" i="13"/>
  <c r="R2115" i="13"/>
  <c r="F2188" i="13"/>
  <c r="R2188" i="13"/>
  <c r="F2026" i="13"/>
  <c r="R2026" i="13"/>
  <c r="F2155" i="13"/>
  <c r="R2155" i="13"/>
  <c r="F2230" i="13"/>
  <c r="R2230" i="13"/>
  <c r="F2065" i="13"/>
  <c r="R2065" i="13"/>
  <c r="F2032" i="13"/>
  <c r="R2032" i="13"/>
  <c r="F2008" i="13"/>
  <c r="R2008" i="13"/>
  <c r="F2201" i="13"/>
  <c r="R2201" i="13"/>
  <c r="F2125" i="13"/>
  <c r="R2125" i="13"/>
  <c r="F2051" i="13"/>
  <c r="R2051" i="13"/>
  <c r="F2018" i="13"/>
  <c r="R2018" i="13"/>
  <c r="F2053" i="13"/>
  <c r="R2053" i="13"/>
  <c r="F2059" i="13"/>
  <c r="R2059" i="13"/>
  <c r="F2199" i="13"/>
  <c r="R2199" i="13"/>
  <c r="F2132" i="13"/>
  <c r="R2132" i="13"/>
  <c r="F2034" i="13"/>
  <c r="R2034" i="13"/>
  <c r="F2161" i="13"/>
  <c r="R2161" i="13"/>
  <c r="F2024" i="13"/>
  <c r="R2024" i="13"/>
  <c r="F2186" i="13"/>
  <c r="R2186" i="13"/>
  <c r="F2054" i="13"/>
  <c r="R2054" i="13"/>
  <c r="F2142" i="13"/>
  <c r="R2142" i="13"/>
  <c r="F2179" i="13"/>
  <c r="R2179" i="13"/>
  <c r="F2180" i="13"/>
  <c r="R2180" i="13"/>
  <c r="F2102" i="13"/>
  <c r="R2102" i="13"/>
  <c r="F2007" i="13"/>
  <c r="R2007" i="13"/>
  <c r="F2128" i="13"/>
  <c r="R2128" i="13"/>
  <c r="F2013" i="13"/>
  <c r="R2013" i="13"/>
  <c r="F2103" i="13"/>
  <c r="R2103" i="13"/>
  <c r="F2129" i="13"/>
  <c r="R2129" i="13"/>
  <c r="F2074" i="13"/>
  <c r="R2074" i="13"/>
  <c r="F2133" i="13"/>
  <c r="R2133" i="13"/>
  <c r="F2208" i="13"/>
  <c r="R2208" i="13"/>
  <c r="F2080" i="13"/>
  <c r="R2080" i="13"/>
  <c r="F2040" i="13"/>
  <c r="R2040" i="13"/>
  <c r="F2010" i="13"/>
  <c r="R2010" i="13"/>
  <c r="F2187" i="13"/>
  <c r="R2187" i="13"/>
  <c r="F2131" i="13"/>
  <c r="R2131" i="13"/>
  <c r="F2164" i="13"/>
  <c r="R2164" i="13"/>
  <c r="F2044" i="13"/>
  <c r="R2044" i="13"/>
  <c r="F2154" i="13"/>
  <c r="R2154" i="13"/>
  <c r="F2216" i="13"/>
  <c r="R2216" i="13"/>
  <c r="F2078" i="13"/>
  <c r="R2078" i="13"/>
  <c r="F2087" i="13"/>
  <c r="R2087" i="13"/>
  <c r="F2073" i="13"/>
  <c r="R2073" i="13"/>
  <c r="F2014" i="13"/>
  <c r="R2014" i="13"/>
  <c r="F2152" i="13"/>
  <c r="R2152" i="13"/>
  <c r="F2000" i="13"/>
  <c r="R2000" i="13"/>
  <c r="E1990" i="13"/>
  <c r="Q1990" i="13"/>
  <c r="E2008" i="13"/>
  <c r="Q2008" i="13"/>
  <c r="E2060" i="13"/>
  <c r="Q2060" i="13"/>
  <c r="E2222" i="13"/>
  <c r="Q2222" i="13"/>
  <c r="E2012" i="13"/>
  <c r="Q2012" i="13"/>
  <c r="E2102" i="13"/>
  <c r="Q2102" i="13"/>
  <c r="E2047" i="13"/>
  <c r="Q2047" i="13"/>
  <c r="E2111" i="13"/>
  <c r="Q2111" i="13"/>
  <c r="E2067" i="13"/>
  <c r="Q2067" i="13"/>
  <c r="E2203" i="13"/>
  <c r="Q2203" i="13"/>
  <c r="E2178" i="13"/>
  <c r="Q2178" i="13"/>
  <c r="E2189" i="13"/>
  <c r="Q2189" i="13"/>
  <c r="E2119" i="13"/>
  <c r="Q2119" i="13"/>
  <c r="E2083" i="13"/>
  <c r="Q2083" i="13"/>
  <c r="E2171" i="13"/>
  <c r="Q2171" i="13"/>
  <c r="E2143" i="13"/>
  <c r="Q2143" i="13"/>
  <c r="E1995" i="13"/>
  <c r="Q1995" i="13"/>
  <c r="E2062" i="13"/>
  <c r="Q2062" i="13"/>
  <c r="E2175" i="13"/>
  <c r="Q2175" i="13"/>
  <c r="E2072" i="13"/>
  <c r="Q2072" i="13"/>
  <c r="E2179" i="13"/>
  <c r="Q2179" i="13"/>
  <c r="E2124" i="13"/>
  <c r="Q2124" i="13"/>
  <c r="E2156" i="13"/>
  <c r="Q2156" i="13"/>
  <c r="E2184" i="13"/>
  <c r="Q2184" i="13"/>
  <c r="E2166" i="13"/>
  <c r="Q2166" i="13"/>
  <c r="E2061" i="13"/>
  <c r="Q2061" i="13"/>
  <c r="E2126" i="13"/>
  <c r="Q2126" i="13"/>
  <c r="E2045" i="13"/>
  <c r="Q2045" i="13"/>
  <c r="E1998" i="13"/>
  <c r="Q1998" i="13"/>
  <c r="E2195" i="13"/>
  <c r="Q2195" i="13"/>
  <c r="E2068" i="13"/>
  <c r="Q2068" i="13"/>
  <c r="E2064" i="13"/>
  <c r="Q2064" i="13"/>
  <c r="E2101" i="13"/>
  <c r="Q2101" i="13"/>
  <c r="E2075" i="13"/>
  <c r="Q2075" i="13"/>
  <c r="E2174" i="13"/>
  <c r="Q2174" i="13"/>
  <c r="E2030" i="13"/>
  <c r="Q2030" i="13"/>
  <c r="E2138" i="13"/>
  <c r="Q2138" i="13"/>
  <c r="E2181" i="13"/>
  <c r="Q2181" i="13"/>
  <c r="E2015" i="13"/>
  <c r="Q2015" i="13"/>
  <c r="E2009" i="13"/>
  <c r="Q2009" i="13"/>
  <c r="E2070" i="13"/>
  <c r="Q2070" i="13"/>
  <c r="E2190" i="13"/>
  <c r="Q2190" i="13"/>
  <c r="H2485" i="13"/>
  <c r="E2162" i="13"/>
  <c r="Q2162" i="13"/>
  <c r="E2148" i="13"/>
  <c r="Q2148" i="13"/>
  <c r="E2055" i="13"/>
  <c r="Q2055" i="13"/>
  <c r="E2052" i="13"/>
  <c r="Q2052" i="13"/>
  <c r="E2001" i="13"/>
  <c r="Q2001" i="13"/>
  <c r="E2028" i="13"/>
  <c r="Q2028" i="13"/>
  <c r="E2010" i="13"/>
  <c r="Q2010" i="13"/>
  <c r="E2044" i="13"/>
  <c r="Q2044" i="13"/>
  <c r="E2145" i="13"/>
  <c r="Q2145" i="13"/>
  <c r="E2094" i="13"/>
  <c r="Q2094" i="13"/>
  <c r="E2135" i="13"/>
  <c r="Q2135" i="13"/>
  <c r="E2000" i="13"/>
  <c r="Q2000" i="13"/>
  <c r="E2080" i="13"/>
  <c r="Q2080" i="13"/>
  <c r="E2057" i="13"/>
  <c r="Q2057" i="13"/>
  <c r="E2149" i="13"/>
  <c r="Q2149" i="13"/>
  <c r="E2219" i="13"/>
  <c r="Q2219" i="13"/>
  <c r="E2136" i="13"/>
  <c r="Q2136" i="13"/>
  <c r="E2079" i="13"/>
  <c r="Q2079" i="13"/>
  <c r="G2374" i="13"/>
  <c r="S2374" i="13"/>
  <c r="G2316" i="13"/>
  <c r="S2316" i="13"/>
  <c r="G2305" i="13"/>
  <c r="S2305" i="13"/>
  <c r="G2408" i="13"/>
  <c r="S2408" i="13"/>
  <c r="G2475" i="13"/>
  <c r="S2475" i="13"/>
  <c r="G2288" i="13"/>
  <c r="S2288" i="13"/>
  <c r="G2433" i="13"/>
  <c r="S2433" i="13"/>
  <c r="G2313" i="13"/>
  <c r="S2313" i="13"/>
  <c r="G2387" i="13"/>
  <c r="S2387" i="13"/>
  <c r="G2327" i="13"/>
  <c r="S2327" i="13"/>
  <c r="G2406" i="13"/>
  <c r="S2406" i="13"/>
  <c r="G2404" i="13"/>
  <c r="S2404" i="13"/>
  <c r="G2285" i="13"/>
  <c r="S2285" i="13"/>
  <c r="G2348" i="13"/>
  <c r="S2348" i="13"/>
  <c r="G2424" i="13"/>
  <c r="S2424" i="13"/>
  <c r="G2431" i="13"/>
  <c r="S2431" i="13"/>
  <c r="G2296" i="13"/>
  <c r="S2296" i="13"/>
  <c r="G2239" i="13"/>
  <c r="S2239" i="13"/>
  <c r="G2268" i="13"/>
  <c r="S2268" i="13"/>
  <c r="G2283" i="13"/>
  <c r="S2283" i="13"/>
  <c r="G2415" i="13"/>
  <c r="S2415" i="13"/>
  <c r="G2254" i="13"/>
  <c r="S2254" i="13"/>
  <c r="G2294" i="13"/>
  <c r="S2294" i="13"/>
  <c r="G2347" i="13"/>
  <c r="S2347" i="13"/>
  <c r="G2338" i="13"/>
  <c r="S2338" i="13"/>
  <c r="G2345" i="13"/>
  <c r="S2345" i="13"/>
  <c r="G2460" i="13"/>
  <c r="S2460" i="13"/>
  <c r="G2401" i="13"/>
  <c r="S2401" i="13"/>
  <c r="G2246" i="13"/>
  <c r="S2246" i="13"/>
  <c r="G2349" i="13"/>
  <c r="S2349" i="13"/>
  <c r="G2309" i="13"/>
  <c r="S2309" i="13"/>
  <c r="G2443" i="13"/>
  <c r="S2443" i="13"/>
  <c r="G2277" i="13"/>
  <c r="S2277" i="13"/>
  <c r="G2240" i="13"/>
  <c r="S2240" i="13"/>
  <c r="G2432" i="13"/>
  <c r="S2432" i="13"/>
  <c r="G2353" i="13"/>
  <c r="S2353" i="13"/>
  <c r="G2377" i="13"/>
  <c r="S2377" i="13"/>
  <c r="G2351" i="13"/>
  <c r="S2351" i="13"/>
  <c r="G2243" i="13"/>
  <c r="S2243" i="13"/>
  <c r="G2247" i="13"/>
  <c r="S2247" i="13"/>
  <c r="G2270" i="13"/>
  <c r="S2270" i="13"/>
  <c r="G2373" i="13"/>
  <c r="S2373" i="13"/>
  <c r="G2407" i="13"/>
  <c r="S2407" i="13"/>
  <c r="G2440" i="13"/>
  <c r="S2440" i="13"/>
  <c r="G2265" i="13"/>
  <c r="S2265" i="13"/>
  <c r="G2293" i="13"/>
  <c r="S2293" i="13"/>
  <c r="G2336" i="13"/>
  <c r="S2336" i="13"/>
  <c r="G2396" i="13"/>
  <c r="S2396" i="13"/>
  <c r="G2264" i="13"/>
  <c r="S2264" i="13"/>
  <c r="G2273" i="13"/>
  <c r="S2273" i="13"/>
  <c r="G2367" i="13"/>
  <c r="S2367" i="13"/>
  <c r="G2301" i="13"/>
  <c r="S2301" i="13"/>
  <c r="G2329" i="13"/>
  <c r="S2329" i="13"/>
  <c r="G2315" i="13"/>
  <c r="S2315" i="13"/>
  <c r="G2417" i="13"/>
  <c r="S2417" i="13"/>
  <c r="G2317" i="13"/>
  <c r="S2317" i="13"/>
  <c r="G2333" i="13"/>
  <c r="S2333" i="13"/>
  <c r="G2295" i="13"/>
  <c r="S2295" i="13"/>
  <c r="G2286" i="13"/>
  <c r="S2286" i="13"/>
  <c r="G2287" i="13"/>
  <c r="S2287" i="13"/>
  <c r="I1514" i="13"/>
  <c r="U1514" i="13"/>
  <c r="I1604" i="13"/>
  <c r="U1604" i="13"/>
  <c r="I1498" i="13"/>
  <c r="U1498" i="13"/>
  <c r="I1636" i="13"/>
  <c r="U1636" i="13"/>
  <c r="I1718" i="13"/>
  <c r="U1718" i="13"/>
  <c r="I1685" i="13"/>
  <c r="U1685" i="13"/>
  <c r="I1730" i="13"/>
  <c r="U1730" i="13"/>
  <c r="I1605" i="13"/>
  <c r="U1605" i="13"/>
  <c r="I1594" i="13"/>
  <c r="U1594" i="13"/>
  <c r="I1502" i="13"/>
  <c r="U1502" i="13"/>
  <c r="I1555" i="13"/>
  <c r="U1555" i="13"/>
  <c r="I1701" i="13"/>
  <c r="U1701" i="13"/>
  <c r="I1559" i="13"/>
  <c r="U1559" i="13"/>
  <c r="I1548" i="13"/>
  <c r="U1548" i="13"/>
  <c r="I1675" i="13"/>
  <c r="U1675" i="13"/>
  <c r="I1578" i="13"/>
  <c r="U1578" i="13"/>
  <c r="I1546" i="13"/>
  <c r="U1546" i="13"/>
  <c r="I1590" i="13"/>
  <c r="U1590" i="13"/>
  <c r="I1530" i="13"/>
  <c r="U1530" i="13"/>
  <c r="I1508" i="13"/>
  <c r="U1508" i="13"/>
  <c r="I1558" i="13"/>
  <c r="U1558" i="13"/>
  <c r="I1597" i="13"/>
  <c r="U1597" i="13"/>
  <c r="I1705" i="13"/>
  <c r="U1705" i="13"/>
  <c r="I1628" i="13"/>
  <c r="U1628" i="13"/>
  <c r="I1663" i="13"/>
  <c r="U1663" i="13"/>
  <c r="I1603" i="13"/>
  <c r="U1603" i="13"/>
  <c r="I1735" i="13"/>
  <c r="U1735" i="13"/>
  <c r="I1573" i="13"/>
  <c r="U1573" i="13"/>
  <c r="I1553" i="13"/>
  <c r="U1553" i="13"/>
  <c r="I1544" i="13"/>
  <c r="U1544" i="13"/>
  <c r="I1650" i="13"/>
  <c r="U1650" i="13"/>
  <c r="I1699" i="13"/>
  <c r="U1699" i="13"/>
  <c r="I1519" i="13"/>
  <c r="U1519" i="13"/>
  <c r="I1524" i="13"/>
  <c r="U1524" i="13"/>
  <c r="I1688" i="13"/>
  <c r="U1688" i="13"/>
  <c r="I1639" i="13"/>
  <c r="U1639" i="13"/>
  <c r="I1617" i="13"/>
  <c r="U1617" i="13"/>
  <c r="I1518" i="13"/>
  <c r="U1518" i="13"/>
  <c r="I1500" i="13"/>
  <c r="U1500" i="13"/>
  <c r="I1497" i="13"/>
  <c r="U1497" i="13"/>
  <c r="I1560" i="13"/>
  <c r="U1560" i="13"/>
  <c r="I1539" i="13"/>
  <c r="U1539" i="13"/>
  <c r="I1610" i="13"/>
  <c r="U1610" i="13"/>
  <c r="I1703" i="13"/>
  <c r="U1703" i="13"/>
  <c r="I1697" i="13"/>
  <c r="U1697" i="13"/>
  <c r="I1581" i="13"/>
  <c r="U1581" i="13"/>
  <c r="I1503" i="13"/>
  <c r="U1503" i="13"/>
  <c r="I1572" i="13"/>
  <c r="U1572" i="13"/>
  <c r="I1593" i="13"/>
  <c r="U1593" i="13"/>
  <c r="I1706" i="13"/>
  <c r="U1706" i="13"/>
  <c r="I1711" i="13"/>
  <c r="U1711" i="13"/>
  <c r="I1589" i="13"/>
  <c r="U1589" i="13"/>
  <c r="I1551" i="13"/>
  <c r="U1551" i="13"/>
  <c r="I1510" i="13"/>
  <c r="U1510" i="13"/>
  <c r="I1613" i="13"/>
  <c r="U1613" i="13"/>
  <c r="I1616" i="13"/>
  <c r="U1616" i="13"/>
  <c r="I1707" i="13"/>
  <c r="U1707" i="13"/>
  <c r="I1554" i="13"/>
  <c r="U1554" i="13"/>
  <c r="I1562" i="13"/>
  <c r="U1562" i="13"/>
  <c r="I1520" i="13"/>
  <c r="U1520" i="13"/>
  <c r="I1635" i="13"/>
  <c r="U1635" i="13"/>
  <c r="F541" i="13"/>
  <c r="R541" i="13"/>
  <c r="F579" i="13"/>
  <c r="R579" i="13"/>
  <c r="F682" i="13"/>
  <c r="R682" i="13"/>
  <c r="F613" i="13"/>
  <c r="R613" i="13"/>
  <c r="F667" i="13"/>
  <c r="R667" i="13"/>
  <c r="F511" i="13"/>
  <c r="R511" i="13"/>
  <c r="F603" i="13"/>
  <c r="R603" i="13"/>
  <c r="F674" i="13"/>
  <c r="R674" i="13"/>
  <c r="F653" i="13"/>
  <c r="R653" i="13"/>
  <c r="F585" i="13"/>
  <c r="R585" i="13"/>
  <c r="F629" i="13"/>
  <c r="R629" i="13"/>
  <c r="F544" i="13"/>
  <c r="R544" i="13"/>
  <c r="F668" i="13"/>
  <c r="R668" i="13"/>
  <c r="F557" i="13"/>
  <c r="R557" i="13"/>
  <c r="F639" i="13"/>
  <c r="R639" i="13"/>
  <c r="F732" i="13"/>
  <c r="R732" i="13"/>
  <c r="F599" i="13"/>
  <c r="R599" i="13"/>
  <c r="F600" i="13"/>
  <c r="R600" i="13"/>
  <c r="F652" i="13"/>
  <c r="R652" i="13"/>
  <c r="F670" i="13"/>
  <c r="R670" i="13"/>
  <c r="F663" i="13"/>
  <c r="R663" i="13"/>
  <c r="F699" i="13"/>
  <c r="R699" i="13"/>
  <c r="F726" i="13"/>
  <c r="R726" i="13"/>
  <c r="F580" i="13"/>
  <c r="R580" i="13"/>
  <c r="F679" i="13"/>
  <c r="R679" i="13"/>
  <c r="F643" i="13"/>
  <c r="R643" i="13"/>
  <c r="F552" i="13"/>
  <c r="R552" i="13"/>
  <c r="F556" i="13"/>
  <c r="R556" i="13"/>
  <c r="F604" i="13"/>
  <c r="R604" i="13"/>
  <c r="F523" i="13"/>
  <c r="R523" i="13"/>
  <c r="F567" i="13"/>
  <c r="R567" i="13"/>
  <c r="F518" i="13"/>
  <c r="R518" i="13"/>
  <c r="F712" i="13"/>
  <c r="R712" i="13"/>
  <c r="F736" i="13"/>
  <c r="R736" i="13"/>
  <c r="F687" i="13"/>
  <c r="R687" i="13"/>
  <c r="F623" i="13"/>
  <c r="R623" i="13"/>
  <c r="F562" i="13"/>
  <c r="R562" i="13"/>
  <c r="F577" i="13"/>
  <c r="R577" i="13"/>
  <c r="F509" i="13"/>
  <c r="R509" i="13"/>
  <c r="F728" i="13"/>
  <c r="R728" i="13"/>
  <c r="F555" i="13"/>
  <c r="R555" i="13"/>
  <c r="F573" i="13"/>
  <c r="R573" i="13"/>
  <c r="F568" i="13"/>
  <c r="R568" i="13"/>
  <c r="F742" i="13"/>
  <c r="R742" i="13"/>
  <c r="F708" i="13"/>
  <c r="R708" i="13"/>
  <c r="F669" i="13"/>
  <c r="R669" i="13"/>
  <c r="F597" i="13"/>
  <c r="R597" i="13"/>
  <c r="F640" i="13"/>
  <c r="R640" i="13"/>
  <c r="F520" i="13"/>
  <c r="R520" i="13"/>
  <c r="F626" i="13"/>
  <c r="R626" i="13"/>
  <c r="F733" i="13"/>
  <c r="R733" i="13"/>
  <c r="F721" i="13"/>
  <c r="R721" i="13"/>
  <c r="F561" i="13"/>
  <c r="R561" i="13"/>
  <c r="F530" i="13"/>
  <c r="R530" i="13"/>
  <c r="F662" i="13"/>
  <c r="R662" i="13"/>
  <c r="F685" i="13"/>
  <c r="R685" i="13"/>
  <c r="F548" i="13"/>
  <c r="R548" i="13"/>
  <c r="F722" i="13"/>
  <c r="R722" i="13"/>
  <c r="F609" i="13"/>
  <c r="R609" i="13"/>
  <c r="F678" i="13"/>
  <c r="R678" i="13"/>
  <c r="H1801" i="13"/>
  <c r="T1801" i="13"/>
  <c r="H1761" i="13"/>
  <c r="T1761" i="13"/>
  <c r="H1875" i="13"/>
  <c r="T1875" i="13"/>
  <c r="H1933" i="13"/>
  <c r="T1933" i="13"/>
  <c r="H1927" i="13"/>
  <c r="T1927" i="13"/>
  <c r="H1918" i="13"/>
  <c r="T1918" i="13"/>
  <c r="H1889" i="13"/>
  <c r="T1889" i="13"/>
  <c r="H1817" i="13"/>
  <c r="T1817" i="13"/>
  <c r="H1826" i="13"/>
  <c r="T1826" i="13"/>
  <c r="H1926" i="13"/>
  <c r="T1926" i="13"/>
  <c r="H1830" i="13"/>
  <c r="T1830" i="13"/>
  <c r="H1914" i="13"/>
  <c r="T1914" i="13"/>
  <c r="H1759" i="13"/>
  <c r="T1759" i="13"/>
  <c r="H1836" i="13"/>
  <c r="T1836" i="13"/>
  <c r="H1751" i="13"/>
  <c r="T1751" i="13"/>
  <c r="H1752" i="13"/>
  <c r="T1752" i="13"/>
  <c r="H1786" i="13"/>
  <c r="T1786" i="13"/>
  <c r="H1841" i="13"/>
  <c r="T1841" i="13"/>
  <c r="H1982" i="13"/>
  <c r="T1982" i="13"/>
  <c r="H1863" i="13"/>
  <c r="T1863" i="13"/>
  <c r="H1886" i="13"/>
  <c r="T1886" i="13"/>
  <c r="H1965" i="13"/>
  <c r="T1965" i="13"/>
  <c r="H1760" i="13"/>
  <c r="T1760" i="13"/>
  <c r="H1756" i="13"/>
  <c r="T1756" i="13"/>
  <c r="H1876" i="13"/>
  <c r="T1876" i="13"/>
  <c r="H1823" i="13"/>
  <c r="T1823" i="13"/>
  <c r="H1903" i="13"/>
  <c r="T1903" i="13"/>
  <c r="H1865" i="13"/>
  <c r="T1865" i="13"/>
  <c r="H1944" i="13"/>
  <c r="T1944" i="13"/>
  <c r="H1972" i="13"/>
  <c r="T1972" i="13"/>
  <c r="H1795" i="13"/>
  <c r="T1795" i="13"/>
  <c r="H1925" i="13"/>
  <c r="T1925" i="13"/>
  <c r="H1742" i="13"/>
  <c r="T1742" i="13"/>
  <c r="H1821" i="13"/>
  <c r="T1821" i="13"/>
  <c r="H1916" i="13"/>
  <c r="T1916" i="13"/>
  <c r="H1945" i="13"/>
  <c r="T1945" i="13"/>
  <c r="H1948" i="13"/>
  <c r="T1948" i="13"/>
  <c r="H1906" i="13"/>
  <c r="T1906" i="13"/>
  <c r="H1745" i="13"/>
  <c r="T1745" i="13"/>
  <c r="H1974" i="13"/>
  <c r="T1974" i="13"/>
  <c r="H1850" i="13"/>
  <c r="T1850" i="13"/>
  <c r="H1942" i="13"/>
  <c r="T1942" i="13"/>
  <c r="H1856" i="13"/>
  <c r="T1856" i="13"/>
  <c r="H1832" i="13"/>
  <c r="T1832" i="13"/>
  <c r="H1851" i="13"/>
  <c r="T1851" i="13"/>
  <c r="H1749" i="13"/>
  <c r="T1749" i="13"/>
  <c r="H1979" i="13"/>
  <c r="T1979" i="13"/>
  <c r="H1788" i="13"/>
  <c r="T1788" i="13"/>
  <c r="H1949" i="13"/>
  <c r="T1949" i="13"/>
  <c r="H1969" i="13"/>
  <c r="T1969" i="13"/>
  <c r="H1744" i="13"/>
  <c r="T1744" i="13"/>
  <c r="H1895" i="13"/>
  <c r="T1895" i="13"/>
  <c r="H1848" i="13"/>
  <c r="T1848" i="13"/>
  <c r="H1910" i="13"/>
  <c r="T1910" i="13"/>
  <c r="H1866" i="13"/>
  <c r="T1866" i="13"/>
  <c r="H1854" i="13"/>
  <c r="T1854" i="13"/>
  <c r="H1808" i="13"/>
  <c r="T1808" i="13"/>
  <c r="H1790" i="13"/>
  <c r="T1790" i="13"/>
  <c r="H1843" i="13"/>
  <c r="T1843" i="13"/>
  <c r="H1960" i="13"/>
  <c r="T1960" i="13"/>
  <c r="G1465" i="13"/>
  <c r="S1465" i="13"/>
  <c r="G1404" i="13"/>
  <c r="S1404" i="13"/>
  <c r="G1333" i="13"/>
  <c r="S1333" i="13"/>
  <c r="G1276" i="13"/>
  <c r="S1276" i="13"/>
  <c r="G1368" i="13"/>
  <c r="S1368" i="13"/>
  <c r="G1314" i="13"/>
  <c r="S1314" i="13"/>
  <c r="G1480" i="13"/>
  <c r="S1480" i="13"/>
  <c r="G1455" i="13"/>
  <c r="S1455" i="13"/>
  <c r="G1323" i="13"/>
  <c r="S1323" i="13"/>
  <c r="G1336" i="13"/>
  <c r="S1336" i="13"/>
  <c r="G1385" i="13"/>
  <c r="S1385" i="13"/>
  <c r="G1326" i="13"/>
  <c r="S1326" i="13"/>
  <c r="G1445" i="13"/>
  <c r="S1445" i="13"/>
  <c r="G1358" i="13"/>
  <c r="S1358" i="13"/>
  <c r="G1376" i="13"/>
  <c r="S1376" i="13"/>
  <c r="G1471" i="13"/>
  <c r="S1471" i="13"/>
  <c r="G1293" i="13"/>
  <c r="S1293" i="13"/>
  <c r="G1467" i="13"/>
  <c r="S1467" i="13"/>
  <c r="G1389" i="13"/>
  <c r="S1389" i="13"/>
  <c r="G1265" i="13"/>
  <c r="S1265" i="13"/>
  <c r="G1296" i="13"/>
  <c r="S1296" i="13"/>
  <c r="G1261" i="13"/>
  <c r="S1261" i="13"/>
  <c r="G1400" i="13"/>
  <c r="S1400" i="13"/>
  <c r="G1360" i="13"/>
  <c r="S1360" i="13"/>
  <c r="G1416" i="13"/>
  <c r="S1416" i="13"/>
  <c r="G1354" i="13"/>
  <c r="S1354" i="13"/>
  <c r="G1325" i="13"/>
  <c r="S1325" i="13"/>
  <c r="G1472" i="13"/>
  <c r="S1472" i="13"/>
  <c r="G1262" i="13"/>
  <c r="S1262" i="13"/>
  <c r="G1408" i="13"/>
  <c r="S1408" i="13"/>
  <c r="G1406" i="13"/>
  <c r="S1406" i="13"/>
  <c r="G1463" i="13"/>
  <c r="S1463" i="13"/>
  <c r="G1373" i="13"/>
  <c r="S1373" i="13"/>
  <c r="G1426" i="13"/>
  <c r="S1426" i="13"/>
  <c r="G1399" i="13"/>
  <c r="S1399" i="13"/>
  <c r="G1303" i="13"/>
  <c r="S1303" i="13"/>
  <c r="G1453" i="13"/>
  <c r="S1453" i="13"/>
  <c r="G1306" i="13"/>
  <c r="S1306" i="13"/>
  <c r="G1331" i="13"/>
  <c r="S1331" i="13"/>
  <c r="G1342" i="13"/>
  <c r="S1342" i="13"/>
  <c r="G1304" i="13"/>
  <c r="S1304" i="13"/>
  <c r="G1299" i="13"/>
  <c r="S1299" i="13"/>
  <c r="G1425" i="13"/>
  <c r="S1425" i="13"/>
  <c r="G1311" i="13"/>
  <c r="S1311" i="13"/>
  <c r="G1257" i="13"/>
  <c r="S1257" i="13"/>
  <c r="G1433" i="13"/>
  <c r="S1433" i="13"/>
  <c r="G1365" i="13"/>
  <c r="S1365" i="13"/>
  <c r="G1457" i="13"/>
  <c r="S1457" i="13"/>
  <c r="G1407" i="13"/>
  <c r="S1407" i="13"/>
  <c r="G1255" i="13"/>
  <c r="S1255" i="13"/>
  <c r="G1339" i="13"/>
  <c r="S1339" i="13"/>
  <c r="G1316" i="13"/>
  <c r="S1316" i="13"/>
  <c r="G1461" i="13"/>
  <c r="S1461" i="13"/>
  <c r="G1252" i="13"/>
  <c r="S1252" i="13"/>
  <c r="G1267" i="13"/>
  <c r="S1267" i="13"/>
  <c r="G1315" i="13"/>
  <c r="S1315" i="13"/>
  <c r="G1475" i="13"/>
  <c r="S1475" i="13"/>
  <c r="G1329" i="13"/>
  <c r="S1329" i="13"/>
  <c r="G1362" i="13"/>
  <c r="S1362" i="13"/>
  <c r="G1391" i="13"/>
  <c r="S1391" i="13"/>
  <c r="G1422" i="13"/>
  <c r="S1422" i="13"/>
  <c r="H2190" i="13"/>
  <c r="T2190" i="13"/>
  <c r="H2037" i="13"/>
  <c r="T2037" i="13"/>
  <c r="H2095" i="13"/>
  <c r="T2095" i="13"/>
  <c r="H2108" i="13"/>
  <c r="T2108" i="13"/>
  <c r="H2076" i="13"/>
  <c r="T2076" i="13"/>
  <c r="H2038" i="13"/>
  <c r="T2038" i="13"/>
  <c r="H2186" i="13"/>
  <c r="T2186" i="13"/>
  <c r="H2131" i="13"/>
  <c r="T2131" i="13"/>
  <c r="H2101" i="13"/>
  <c r="T2101" i="13"/>
  <c r="H2169" i="13"/>
  <c r="T2169" i="13"/>
  <c r="H2230" i="13"/>
  <c r="T2230" i="13"/>
  <c r="H2006" i="13"/>
  <c r="T2006" i="13"/>
  <c r="H2024" i="13"/>
  <c r="T2024" i="13"/>
  <c r="H2145" i="13"/>
  <c r="T2145" i="13"/>
  <c r="H2224" i="13"/>
  <c r="T2224" i="13"/>
  <c r="H2199" i="13"/>
  <c r="T2199" i="13"/>
  <c r="H2020" i="13"/>
  <c r="T2020" i="13"/>
  <c r="H2189" i="13"/>
  <c r="T2189" i="13"/>
  <c r="H2206" i="13"/>
  <c r="T2206" i="13"/>
  <c r="H2053" i="13"/>
  <c r="T2053" i="13"/>
  <c r="H1998" i="13"/>
  <c r="T1998" i="13"/>
  <c r="H2198" i="13"/>
  <c r="T2198" i="13"/>
  <c r="H2168" i="13"/>
  <c r="T2168" i="13"/>
  <c r="H2226" i="13"/>
  <c r="T2226" i="13"/>
  <c r="H2209" i="13"/>
  <c r="T2209" i="13"/>
  <c r="H2227" i="13"/>
  <c r="T2227" i="13"/>
  <c r="H2011" i="13"/>
  <c r="T2011" i="13"/>
  <c r="H2063" i="13"/>
  <c r="T2063" i="13"/>
  <c r="H2123" i="13"/>
  <c r="T2123" i="13"/>
  <c r="H2211" i="13"/>
  <c r="T2211" i="13"/>
  <c r="H2105" i="13"/>
  <c r="T2105" i="13"/>
  <c r="H2061" i="13"/>
  <c r="T2061" i="13"/>
  <c r="H2016" i="13"/>
  <c r="T2016" i="13"/>
  <c r="H2120" i="13"/>
  <c r="T2120" i="13"/>
  <c r="H2033" i="13"/>
  <c r="T2033" i="13"/>
  <c r="H2225" i="13"/>
  <c r="T2225" i="13"/>
  <c r="H2124" i="13"/>
  <c r="T2124" i="13"/>
  <c r="H2072" i="13"/>
  <c r="T2072" i="13"/>
  <c r="H2004" i="13"/>
  <c r="T2004" i="13"/>
  <c r="H2075" i="13"/>
  <c r="T2075" i="13"/>
  <c r="H2218" i="13"/>
  <c r="T2218" i="13"/>
  <c r="H2023" i="13"/>
  <c r="T2023" i="13"/>
  <c r="H2223" i="13"/>
  <c r="T2223" i="13"/>
  <c r="H2125" i="13"/>
  <c r="T2125" i="13"/>
  <c r="H2111" i="13"/>
  <c r="T2111" i="13"/>
  <c r="H2195" i="13"/>
  <c r="T2195" i="13"/>
  <c r="H2074" i="13"/>
  <c r="T2074" i="13"/>
  <c r="H2048" i="13"/>
  <c r="T2048" i="13"/>
  <c r="H2112" i="13"/>
  <c r="T2112" i="13"/>
  <c r="H2042" i="13"/>
  <c r="T2042" i="13"/>
  <c r="H2055" i="13"/>
  <c r="T2055" i="13"/>
  <c r="H2054" i="13"/>
  <c r="T2054" i="13"/>
  <c r="H2139" i="13"/>
  <c r="T2139" i="13"/>
  <c r="H2118" i="13"/>
  <c r="T2118" i="13"/>
  <c r="H2161" i="13"/>
  <c r="T2161" i="13"/>
  <c r="H2222" i="13"/>
  <c r="T2222" i="13"/>
  <c r="H1995" i="13"/>
  <c r="T1995" i="13"/>
  <c r="H2210" i="13"/>
  <c r="T2210" i="13"/>
  <c r="H2176" i="13"/>
  <c r="T2176" i="13"/>
  <c r="H2062" i="13"/>
  <c r="T2062" i="13"/>
  <c r="F1506" i="13"/>
  <c r="R1506" i="13"/>
  <c r="F1626" i="13"/>
  <c r="R1626" i="13"/>
  <c r="F1545" i="13"/>
  <c r="R1545" i="13"/>
  <c r="F1523" i="13"/>
  <c r="R1523" i="13"/>
  <c r="F1689" i="13"/>
  <c r="R1689" i="13"/>
  <c r="F1709" i="13"/>
  <c r="R1709" i="13"/>
  <c r="F1607" i="13"/>
  <c r="R1607" i="13"/>
  <c r="F1613" i="13"/>
  <c r="R1613" i="13"/>
  <c r="F1557" i="13"/>
  <c r="R1557" i="13"/>
  <c r="F1585" i="13"/>
  <c r="R1585" i="13"/>
  <c r="F1546" i="13"/>
  <c r="R1546" i="13"/>
  <c r="F1666" i="13"/>
  <c r="R1666" i="13"/>
  <c r="F1677" i="13"/>
  <c r="R1677" i="13"/>
  <c r="F1600" i="13"/>
  <c r="R1600" i="13"/>
  <c r="F1655" i="13"/>
  <c r="R1655" i="13"/>
  <c r="F1684" i="13"/>
  <c r="R1684" i="13"/>
  <c r="F1617" i="13"/>
  <c r="R1617" i="13"/>
  <c r="F1716" i="13"/>
  <c r="R1716" i="13"/>
  <c r="F1602" i="13"/>
  <c r="R1602" i="13"/>
  <c r="F1532" i="13"/>
  <c r="R1532" i="13"/>
  <c r="F1566" i="13"/>
  <c r="R1566" i="13"/>
  <c r="F1560" i="13"/>
  <c r="R1560" i="13"/>
  <c r="F1659" i="13"/>
  <c r="R1659" i="13"/>
  <c r="F1639" i="13"/>
  <c r="R1639" i="13"/>
  <c r="F1525" i="13"/>
  <c r="R1525" i="13"/>
  <c r="F1581" i="13"/>
  <c r="R1581" i="13"/>
  <c r="F1501" i="13"/>
  <c r="R1501" i="13"/>
  <c r="F1654" i="13"/>
  <c r="R1654" i="13"/>
  <c r="F1670" i="13"/>
  <c r="R1670" i="13"/>
  <c r="F1633" i="13"/>
  <c r="R1633" i="13"/>
  <c r="F1580" i="13"/>
  <c r="R1580" i="13"/>
  <c r="F1657" i="13"/>
  <c r="R1657" i="13"/>
  <c r="F1699" i="13"/>
  <c r="R1699" i="13"/>
  <c r="F1634" i="13"/>
  <c r="R1634" i="13"/>
  <c r="F1733" i="13"/>
  <c r="R1733" i="13"/>
  <c r="F1720" i="13"/>
  <c r="R1720" i="13"/>
  <c r="F1649" i="13"/>
  <c r="R1649" i="13"/>
  <c r="F1516" i="13"/>
  <c r="R1516" i="13"/>
  <c r="F1653" i="13"/>
  <c r="R1653" i="13"/>
  <c r="F1614" i="13"/>
  <c r="R1614" i="13"/>
  <c r="F1698" i="13"/>
  <c r="R1698" i="13"/>
  <c r="F1713" i="13"/>
  <c r="R1713" i="13"/>
  <c r="F1705" i="13"/>
  <c r="R1705" i="13"/>
  <c r="F1726" i="13"/>
  <c r="R1726" i="13"/>
  <c r="F1577" i="13"/>
  <c r="R1577" i="13"/>
  <c r="F1564" i="13"/>
  <c r="R1564" i="13"/>
  <c r="F1524" i="13"/>
  <c r="R1524" i="13"/>
  <c r="F1514" i="13"/>
  <c r="R1514" i="13"/>
  <c r="F1674" i="13"/>
  <c r="R1674" i="13"/>
  <c r="F1502" i="13"/>
  <c r="R1502" i="13"/>
  <c r="F1647" i="13"/>
  <c r="R1647" i="13"/>
  <c r="F1668" i="13"/>
  <c r="R1668" i="13"/>
  <c r="F1509" i="13"/>
  <c r="R1509" i="13"/>
  <c r="F1574" i="13"/>
  <c r="R1574" i="13"/>
  <c r="F1573" i="13"/>
  <c r="R1573" i="13"/>
  <c r="F1570" i="13"/>
  <c r="R1570" i="13"/>
  <c r="F1586" i="13"/>
  <c r="R1586" i="13"/>
  <c r="F1648" i="13"/>
  <c r="R1648" i="13"/>
  <c r="F1724" i="13"/>
  <c r="R1724" i="13"/>
  <c r="F1535" i="13"/>
  <c r="R1535" i="13"/>
  <c r="F1727" i="13"/>
  <c r="R1727" i="13"/>
  <c r="G1793" i="13"/>
  <c r="S1793" i="13"/>
  <c r="G1897" i="13"/>
  <c r="S1897" i="13"/>
  <c r="G1813" i="13"/>
  <c r="S1813" i="13"/>
  <c r="G1938" i="13"/>
  <c r="S1938" i="13"/>
  <c r="G1887" i="13"/>
  <c r="S1887" i="13"/>
  <c r="G1923" i="13"/>
  <c r="S1923" i="13"/>
  <c r="G1940" i="13"/>
  <c r="S1940" i="13"/>
  <c r="G1902" i="13"/>
  <c r="S1902" i="13"/>
  <c r="G1864" i="13"/>
  <c r="S1864" i="13"/>
  <c r="G1917" i="13"/>
  <c r="S1917" i="13"/>
  <c r="G1921" i="13"/>
  <c r="S1921" i="13"/>
  <c r="G1797" i="13"/>
  <c r="S1797" i="13"/>
  <c r="G1904" i="13"/>
  <c r="S1904" i="13"/>
  <c r="G1977" i="13"/>
  <c r="S1977" i="13"/>
  <c r="G1789" i="13"/>
  <c r="S1789" i="13"/>
  <c r="G1896" i="13"/>
  <c r="S1896" i="13"/>
  <c r="G1926" i="13"/>
  <c r="S1926" i="13"/>
  <c r="G1830" i="13"/>
  <c r="S1830" i="13"/>
  <c r="G1914" i="13"/>
  <c r="S1914" i="13"/>
  <c r="G1759" i="13"/>
  <c r="S1759" i="13"/>
  <c r="G1836" i="13"/>
  <c r="S1836" i="13"/>
  <c r="G1751" i="13"/>
  <c r="S1751" i="13"/>
  <c r="G1867" i="13"/>
  <c r="S1867" i="13"/>
  <c r="G1842" i="13"/>
  <c r="S1842" i="13"/>
  <c r="G1839" i="13"/>
  <c r="S1839" i="13"/>
  <c r="G1838" i="13"/>
  <c r="S1838" i="13"/>
  <c r="G1787" i="13"/>
  <c r="S1787" i="13"/>
  <c r="G1894" i="13"/>
  <c r="S1894" i="13"/>
  <c r="G1755" i="13"/>
  <c r="S1755" i="13"/>
  <c r="G1825" i="13"/>
  <c r="S1825" i="13"/>
  <c r="G1956" i="13"/>
  <c r="S1956" i="13"/>
  <c r="G1876" i="13"/>
  <c r="S1876" i="13"/>
  <c r="G1823" i="13"/>
  <c r="S1823" i="13"/>
  <c r="G1903" i="13"/>
  <c r="S1903" i="13"/>
  <c r="G1865" i="13"/>
  <c r="S1865" i="13"/>
  <c r="G1944" i="13"/>
  <c r="S1944" i="13"/>
  <c r="G1972" i="13"/>
  <c r="S1972" i="13"/>
  <c r="G1883" i="13"/>
  <c r="S1883" i="13"/>
  <c r="G1951" i="13"/>
  <c r="S1951" i="13"/>
  <c r="G1860" i="13"/>
  <c r="S1860" i="13"/>
  <c r="G1829" i="13"/>
  <c r="S1829" i="13"/>
  <c r="G1845" i="13"/>
  <c r="S1845" i="13"/>
  <c r="G1750" i="13"/>
  <c r="S1750" i="13"/>
  <c r="G1959" i="13"/>
  <c r="S1959" i="13"/>
  <c r="G1819" i="13"/>
  <c r="S1819" i="13"/>
  <c r="G1846" i="13"/>
  <c r="S1846" i="13"/>
  <c r="G1974" i="13"/>
  <c r="S1974" i="13"/>
  <c r="G1850" i="13"/>
  <c r="S1850" i="13"/>
  <c r="G1942" i="13"/>
  <c r="S1942" i="13"/>
  <c r="G1856" i="13"/>
  <c r="S1856" i="13"/>
  <c r="G1832" i="13"/>
  <c r="S1832" i="13"/>
  <c r="G1851" i="13"/>
  <c r="S1851" i="13"/>
  <c r="G1815" i="13"/>
  <c r="S1815" i="13"/>
  <c r="G1885" i="13"/>
  <c r="S1885" i="13"/>
  <c r="G1764" i="13"/>
  <c r="S1764" i="13"/>
  <c r="G1840" i="13"/>
  <c r="S1840" i="13"/>
  <c r="G1930" i="13"/>
  <c r="S1930" i="13"/>
  <c r="G1907" i="13"/>
  <c r="S1907" i="13"/>
  <c r="G1946" i="13"/>
  <c r="S1946" i="13"/>
  <c r="G1791" i="13"/>
  <c r="S1791" i="13"/>
  <c r="H1062" i="13"/>
  <c r="T1062" i="13"/>
  <c r="H1041" i="13"/>
  <c r="T1041" i="13"/>
  <c r="H1141" i="13"/>
  <c r="T1141" i="13"/>
  <c r="H1042" i="13"/>
  <c r="T1042" i="13"/>
  <c r="H1174" i="13"/>
  <c r="T1174" i="13"/>
  <c r="H1111" i="13"/>
  <c r="T1111" i="13"/>
  <c r="H1033" i="13"/>
  <c r="T1033" i="13"/>
  <c r="H1054" i="13"/>
  <c r="T1054" i="13"/>
  <c r="H1137" i="13"/>
  <c r="T1137" i="13"/>
  <c r="H1075" i="13"/>
  <c r="T1075" i="13"/>
  <c r="H1014" i="13"/>
  <c r="T1014" i="13"/>
  <c r="H1233" i="13"/>
  <c r="T1233" i="13"/>
  <c r="H1030" i="13"/>
  <c r="T1030" i="13"/>
  <c r="H1007" i="13"/>
  <c r="T1007" i="13"/>
  <c r="H1051" i="13"/>
  <c r="T1051" i="13"/>
  <c r="H1236" i="13"/>
  <c r="T1236" i="13"/>
  <c r="H1222" i="13"/>
  <c r="T1222" i="13"/>
  <c r="H1029" i="13"/>
  <c r="T1029" i="13"/>
  <c r="H1144" i="13"/>
  <c r="T1144" i="13"/>
  <c r="H1185" i="13"/>
  <c r="T1185" i="13"/>
  <c r="H1037" i="13"/>
  <c r="T1037" i="13"/>
  <c r="H1097" i="13"/>
  <c r="T1097" i="13"/>
  <c r="H1087" i="13"/>
  <c r="T1087" i="13"/>
  <c r="H1126" i="13"/>
  <c r="T1126" i="13"/>
  <c r="H1082" i="13"/>
  <c r="T1082" i="13"/>
  <c r="H1078" i="13"/>
  <c r="T1078" i="13"/>
  <c r="H1096" i="13"/>
  <c r="T1096" i="13"/>
  <c r="H1164" i="13"/>
  <c r="T1164" i="13"/>
  <c r="H1179" i="13"/>
  <c r="T1179" i="13"/>
  <c r="H1055" i="13"/>
  <c r="T1055" i="13"/>
  <c r="H1039" i="13"/>
  <c r="T1039" i="13"/>
  <c r="H1208" i="13"/>
  <c r="T1208" i="13"/>
  <c r="H1032" i="13"/>
  <c r="T1032" i="13"/>
  <c r="H1151" i="13"/>
  <c r="T1151" i="13"/>
  <c r="H1131" i="13"/>
  <c r="T1131" i="13"/>
  <c r="H1223" i="13"/>
  <c r="T1223" i="13"/>
  <c r="H1203" i="13"/>
  <c r="T1203" i="13"/>
  <c r="H1086" i="13"/>
  <c r="T1086" i="13"/>
  <c r="H1170" i="13"/>
  <c r="T1170" i="13"/>
  <c r="H1155" i="13"/>
  <c r="T1155" i="13"/>
  <c r="H1194" i="13"/>
  <c r="T1194" i="13"/>
  <c r="H1191" i="13"/>
  <c r="T1191" i="13"/>
  <c r="H1134" i="13"/>
  <c r="T1134" i="13"/>
  <c r="H1105" i="13"/>
  <c r="T1105" i="13"/>
  <c r="H1230" i="13"/>
  <c r="T1230" i="13"/>
  <c r="H1072" i="13"/>
  <c r="T1072" i="13"/>
  <c r="H1128" i="13"/>
  <c r="T1128" i="13"/>
  <c r="H1190" i="13"/>
  <c r="T1190" i="13"/>
  <c r="H1184" i="13"/>
  <c r="T1184" i="13"/>
  <c r="H1084" i="13"/>
  <c r="T1084" i="13"/>
  <c r="H1143" i="13"/>
  <c r="T1143" i="13"/>
  <c r="H1176" i="13"/>
  <c r="T1176" i="13"/>
  <c r="H1061" i="13"/>
  <c r="T1061" i="13"/>
  <c r="H1070" i="13"/>
  <c r="T1070" i="13"/>
  <c r="H1043" i="13"/>
  <c r="T1043" i="13"/>
  <c r="H1073" i="13"/>
  <c r="T1073" i="13"/>
  <c r="H1038" i="13"/>
  <c r="T1038" i="13"/>
  <c r="H1106" i="13"/>
  <c r="T1106" i="13"/>
  <c r="H1162" i="13"/>
  <c r="T1162" i="13"/>
  <c r="H1212" i="13"/>
  <c r="T1212" i="13"/>
  <c r="H1019" i="13"/>
  <c r="T1019" i="13"/>
  <c r="E1182" i="13"/>
  <c r="Q1182" i="13"/>
  <c r="E1114" i="13"/>
  <c r="Q1114" i="13"/>
  <c r="E1158" i="13"/>
  <c r="Q1158" i="13"/>
  <c r="E1038" i="13"/>
  <c r="Q1038" i="13"/>
  <c r="E1186" i="13"/>
  <c r="Q1186" i="13"/>
  <c r="E1079" i="13"/>
  <c r="Q1079" i="13"/>
  <c r="E1004" i="13"/>
  <c r="Q1004" i="13"/>
  <c r="E1011" i="13"/>
  <c r="Q1011" i="13"/>
  <c r="E1006" i="13"/>
  <c r="Q1006" i="13"/>
  <c r="E1024" i="13"/>
  <c r="Q1024" i="13"/>
  <c r="E1211" i="13"/>
  <c r="Q1211" i="13"/>
  <c r="E1013" i="13"/>
  <c r="Q1013" i="13"/>
  <c r="E1027" i="13"/>
  <c r="Q1027" i="13"/>
  <c r="E1036" i="13"/>
  <c r="Q1036" i="13"/>
  <c r="E1054" i="13"/>
  <c r="Q1054" i="13"/>
  <c r="E1037" i="13"/>
  <c r="Q1037" i="13"/>
  <c r="E1059" i="13"/>
  <c r="Q1059" i="13"/>
  <c r="E1102" i="13"/>
  <c r="Q1102" i="13"/>
  <c r="E1088" i="13"/>
  <c r="Q1088" i="13"/>
  <c r="E1123" i="13"/>
  <c r="Q1123" i="13"/>
  <c r="E1124" i="13"/>
  <c r="Q1124" i="13"/>
  <c r="E1120" i="13"/>
  <c r="Q1120" i="13"/>
  <c r="E1058" i="13"/>
  <c r="Q1058" i="13"/>
  <c r="E1136" i="13"/>
  <c r="Q1136" i="13"/>
  <c r="E999" i="13"/>
  <c r="Q999" i="13"/>
  <c r="E1029" i="13"/>
  <c r="Q1029" i="13"/>
  <c r="E1002" i="13"/>
  <c r="Q1002" i="13"/>
  <c r="E998" i="13"/>
  <c r="Q998" i="13"/>
  <c r="E1068" i="13"/>
  <c r="Q1068" i="13"/>
  <c r="E1063" i="13"/>
  <c r="Q1063" i="13"/>
  <c r="E1174" i="13"/>
  <c r="Q1174" i="13"/>
  <c r="E1008" i="13"/>
  <c r="Q1008" i="13"/>
  <c r="E1032" i="13"/>
  <c r="Q1032" i="13"/>
  <c r="E1050" i="13"/>
  <c r="Q1050" i="13"/>
  <c r="E1073" i="13"/>
  <c r="Q1073" i="13"/>
  <c r="E1087" i="13"/>
  <c r="Q1087" i="13"/>
  <c r="E1098" i="13"/>
  <c r="Q1098" i="13"/>
  <c r="E1080" i="13"/>
  <c r="Q1080" i="13"/>
  <c r="E1101" i="13"/>
  <c r="Q1101" i="13"/>
  <c r="E1164" i="13"/>
  <c r="Q1164" i="13"/>
  <c r="E1201" i="13"/>
  <c r="Q1201" i="13"/>
  <c r="E1197" i="13"/>
  <c r="Q1197" i="13"/>
  <c r="E1155" i="13"/>
  <c r="Q1155" i="13"/>
  <c r="E1229" i="13"/>
  <c r="Q1229" i="13"/>
  <c r="E1134" i="13"/>
  <c r="Q1134" i="13"/>
  <c r="E1116" i="13"/>
  <c r="Q1116" i="13"/>
  <c r="E1167" i="13"/>
  <c r="Q1167" i="13"/>
  <c r="E1190" i="13"/>
  <c r="Q1190" i="13"/>
  <c r="E1019" i="13"/>
  <c r="Q1019" i="13"/>
  <c r="E1078" i="13"/>
  <c r="Q1078" i="13"/>
  <c r="E1133" i="13"/>
  <c r="Q1133" i="13"/>
  <c r="E1166" i="13"/>
  <c r="Q1166" i="13"/>
  <c r="E1005" i="13"/>
  <c r="Q1005" i="13"/>
  <c r="E1000" i="13"/>
  <c r="Q1000" i="13"/>
  <c r="E1030" i="13"/>
  <c r="Q1030" i="13"/>
  <c r="E1048" i="13"/>
  <c r="Q1048" i="13"/>
  <c r="E1066" i="13"/>
  <c r="Q1066" i="13"/>
  <c r="E1083" i="13"/>
  <c r="Q1083" i="13"/>
  <c r="E1010" i="13"/>
  <c r="Q1010" i="13"/>
  <c r="E1023" i="13"/>
  <c r="Q1023" i="13"/>
  <c r="E1183" i="13"/>
  <c r="Q1183" i="13"/>
  <c r="F1437" i="13"/>
  <c r="R1437" i="13"/>
  <c r="F1334" i="13"/>
  <c r="R1334" i="13"/>
  <c r="F1328" i="13"/>
  <c r="R1328" i="13"/>
  <c r="F1428" i="13"/>
  <c r="R1428" i="13"/>
  <c r="F1373" i="13"/>
  <c r="R1373" i="13"/>
  <c r="F1446" i="13"/>
  <c r="R1446" i="13"/>
  <c r="F1251" i="13"/>
  <c r="R1251" i="13"/>
  <c r="F1269" i="13"/>
  <c r="R1269" i="13"/>
  <c r="F1265" i="13"/>
  <c r="R1265" i="13"/>
  <c r="F1299" i="13"/>
  <c r="R1299" i="13"/>
  <c r="F1246" i="13"/>
  <c r="R1246" i="13"/>
  <c r="F1476" i="13"/>
  <c r="R1476" i="13"/>
  <c r="F1281" i="13"/>
  <c r="R1281" i="13"/>
  <c r="F1445" i="13"/>
  <c r="R1445" i="13"/>
  <c r="F1401" i="13"/>
  <c r="R1401" i="13"/>
  <c r="F1349" i="13"/>
  <c r="R1349" i="13"/>
  <c r="F1270" i="13"/>
  <c r="R1270" i="13"/>
  <c r="F1271" i="13"/>
  <c r="R1271" i="13"/>
  <c r="F1249" i="13"/>
  <c r="R1249" i="13"/>
  <c r="F1394" i="13"/>
  <c r="R1394" i="13"/>
  <c r="F1385" i="13"/>
  <c r="R1385" i="13"/>
  <c r="F1407" i="13"/>
  <c r="R1407" i="13"/>
  <c r="F1444" i="13"/>
  <c r="R1444" i="13"/>
  <c r="F1414" i="13"/>
  <c r="R1414" i="13"/>
  <c r="F1357" i="13"/>
  <c r="R1357" i="13"/>
  <c r="F1442" i="13"/>
  <c r="R1442" i="13"/>
  <c r="F1395" i="13"/>
  <c r="R1395" i="13"/>
  <c r="F1260" i="13"/>
  <c r="R1260" i="13"/>
  <c r="F1303" i="13"/>
  <c r="R1303" i="13"/>
  <c r="F1322" i="13"/>
  <c r="R1322" i="13"/>
  <c r="F1403" i="13"/>
  <c r="R1403" i="13"/>
  <c r="F1408" i="13"/>
  <c r="R1408" i="13"/>
  <c r="F1430" i="13"/>
  <c r="R1430" i="13"/>
  <c r="F1317" i="13"/>
  <c r="R1317" i="13"/>
  <c r="F1293" i="13"/>
  <c r="R1293" i="13"/>
  <c r="F1266" i="13"/>
  <c r="R1266" i="13"/>
  <c r="F1335" i="13"/>
  <c r="R1335" i="13"/>
  <c r="F1342" i="13"/>
  <c r="R1342" i="13"/>
  <c r="F1438" i="13"/>
  <c r="R1438" i="13"/>
  <c r="F1483" i="13"/>
  <c r="R1483" i="13"/>
  <c r="F1320" i="13"/>
  <c r="R1320" i="13"/>
  <c r="F1398" i="13"/>
  <c r="R1398" i="13"/>
  <c r="F1425" i="13"/>
  <c r="R1425" i="13"/>
  <c r="F1415" i="13"/>
  <c r="R1415" i="13"/>
  <c r="F1336" i="13"/>
  <c r="R1336" i="13"/>
  <c r="F1259" i="13"/>
  <c r="R1259" i="13"/>
  <c r="F1391" i="13"/>
  <c r="R1391" i="13"/>
  <c r="F1443" i="13"/>
  <c r="R1443" i="13"/>
  <c r="F1377" i="13"/>
  <c r="R1377" i="13"/>
  <c r="F1433" i="13"/>
  <c r="R1433" i="13"/>
  <c r="F1252" i="13"/>
  <c r="R1252" i="13"/>
  <c r="F1277" i="13"/>
  <c r="R1277" i="13"/>
  <c r="F1272" i="13"/>
  <c r="R1272" i="13"/>
  <c r="F1330" i="13"/>
  <c r="R1330" i="13"/>
  <c r="F1354" i="13"/>
  <c r="R1354" i="13"/>
  <c r="F1295" i="13"/>
  <c r="R1295" i="13"/>
  <c r="F1325" i="13"/>
  <c r="R1325" i="13"/>
  <c r="F1380" i="13"/>
  <c r="R1380" i="13"/>
  <c r="F1432" i="13"/>
  <c r="R1432" i="13"/>
  <c r="F1313" i="13"/>
  <c r="R1313" i="13"/>
  <c r="F1471" i="13"/>
  <c r="R1471" i="13"/>
  <c r="H811" i="13"/>
  <c r="T811" i="13"/>
  <c r="H968" i="13"/>
  <c r="T968" i="13"/>
  <c r="H858" i="13"/>
  <c r="T858" i="13"/>
  <c r="H916" i="13"/>
  <c r="T916" i="13"/>
  <c r="H886" i="13"/>
  <c r="T886" i="13"/>
  <c r="H976" i="13"/>
  <c r="T976" i="13"/>
  <c r="H884" i="13"/>
  <c r="T884" i="13"/>
  <c r="H977" i="13"/>
  <c r="T977" i="13"/>
  <c r="H785" i="13"/>
  <c r="T785" i="13"/>
  <c r="H957" i="13"/>
  <c r="T957" i="13"/>
  <c r="H893" i="13"/>
  <c r="T893" i="13"/>
  <c r="H929" i="13"/>
  <c r="T929" i="13"/>
  <c r="H908" i="13"/>
  <c r="T908" i="13"/>
  <c r="H831" i="13"/>
  <c r="T831" i="13"/>
  <c r="H796" i="13"/>
  <c r="T796" i="13"/>
  <c r="H973" i="13"/>
  <c r="T973" i="13"/>
  <c r="H806" i="13"/>
  <c r="T806" i="13"/>
  <c r="H837" i="13"/>
  <c r="T837" i="13"/>
  <c r="H931" i="13"/>
  <c r="T931" i="13"/>
  <c r="H920" i="13"/>
  <c r="T920" i="13"/>
  <c r="H988" i="13"/>
  <c r="T988" i="13"/>
  <c r="H830" i="13"/>
  <c r="T830" i="13"/>
  <c r="H764" i="13"/>
  <c r="T764" i="13"/>
  <c r="H943" i="13"/>
  <c r="T943" i="13"/>
  <c r="H950" i="13"/>
  <c r="T950" i="13"/>
  <c r="H789" i="13"/>
  <c r="T789" i="13"/>
  <c r="H787" i="13"/>
  <c r="T787" i="13"/>
  <c r="H932" i="13"/>
  <c r="T932" i="13"/>
  <c r="H824" i="13"/>
  <c r="T824" i="13"/>
  <c r="H798" i="13"/>
  <c r="T798" i="13"/>
  <c r="H904" i="13"/>
  <c r="T904" i="13"/>
  <c r="H946" i="13"/>
  <c r="T946" i="13"/>
  <c r="H983" i="13"/>
  <c r="T983" i="13"/>
  <c r="H875" i="13"/>
  <c r="T875" i="13"/>
  <c r="H809" i="13"/>
  <c r="T809" i="13"/>
  <c r="H938" i="13"/>
  <c r="T938" i="13"/>
  <c r="H951" i="13"/>
  <c r="T951" i="13"/>
  <c r="H885" i="13"/>
  <c r="T885" i="13"/>
  <c r="H926" i="13"/>
  <c r="T926" i="13"/>
  <c r="H982" i="13"/>
  <c r="T982" i="13"/>
  <c r="H781" i="13"/>
  <c r="T781" i="13"/>
  <c r="H849" i="13"/>
  <c r="T849" i="13"/>
  <c r="H814" i="13"/>
  <c r="T814" i="13"/>
  <c r="H775" i="13"/>
  <c r="T775" i="13"/>
  <c r="H792" i="13"/>
  <c r="T792" i="13"/>
  <c r="H780" i="13"/>
  <c r="T780" i="13"/>
  <c r="H813" i="13"/>
  <c r="T813" i="13"/>
  <c r="H793" i="13"/>
  <c r="T793" i="13"/>
  <c r="H862" i="13"/>
  <c r="T862" i="13"/>
  <c r="H911" i="13"/>
  <c r="T911" i="13"/>
  <c r="H892" i="13"/>
  <c r="T892" i="13"/>
  <c r="H960" i="13"/>
  <c r="T960" i="13"/>
  <c r="H874" i="13"/>
  <c r="T874" i="13"/>
  <c r="H939" i="13"/>
  <c r="T939" i="13"/>
  <c r="H832" i="13"/>
  <c r="T832" i="13"/>
  <c r="H758" i="13"/>
  <c r="T758" i="13"/>
  <c r="H936" i="13"/>
  <c r="T936" i="13"/>
  <c r="H770" i="13"/>
  <c r="T770" i="13"/>
  <c r="H989" i="13"/>
  <c r="T989" i="13"/>
  <c r="H919" i="13"/>
  <c r="T919" i="13"/>
  <c r="G2150" i="13"/>
  <c r="S2150" i="13"/>
  <c r="G2033" i="13"/>
  <c r="S2033" i="13"/>
  <c r="G2136" i="13"/>
  <c r="S2136" i="13"/>
  <c r="G2119" i="13"/>
  <c r="S2119" i="13"/>
  <c r="G2070" i="13"/>
  <c r="S2070" i="13"/>
  <c r="G2106" i="13"/>
  <c r="S2106" i="13"/>
  <c r="G2195" i="13"/>
  <c r="S2195" i="13"/>
  <c r="G2175" i="13"/>
  <c r="S2175" i="13"/>
  <c r="G2187" i="13"/>
  <c r="S2187" i="13"/>
  <c r="G2174" i="13"/>
  <c r="S2174" i="13"/>
  <c r="G2181" i="13"/>
  <c r="S2181" i="13"/>
  <c r="G2167" i="13"/>
  <c r="S2167" i="13"/>
  <c r="G2039" i="13"/>
  <c r="S2039" i="13"/>
  <c r="G2048" i="13"/>
  <c r="S2048" i="13"/>
  <c r="G2139" i="13"/>
  <c r="S2139" i="13"/>
  <c r="G2118" i="13"/>
  <c r="S2118" i="13"/>
  <c r="G2053" i="13"/>
  <c r="S2053" i="13"/>
  <c r="G2103" i="13"/>
  <c r="S2103" i="13"/>
  <c r="G2122" i="13"/>
  <c r="S2122" i="13"/>
  <c r="G2096" i="13"/>
  <c r="S2096" i="13"/>
  <c r="G2069" i="13"/>
  <c r="S2069" i="13"/>
  <c r="G2170" i="13"/>
  <c r="S2170" i="13"/>
  <c r="G2157" i="13"/>
  <c r="S2157" i="13"/>
  <c r="G2137" i="13"/>
  <c r="S2137" i="13"/>
  <c r="G2029" i="13"/>
  <c r="S2029" i="13"/>
  <c r="G2044" i="13"/>
  <c r="S2044" i="13"/>
  <c r="G2153" i="13"/>
  <c r="S2153" i="13"/>
  <c r="G2186" i="13"/>
  <c r="S2186" i="13"/>
  <c r="G2131" i="13"/>
  <c r="S2131" i="13"/>
  <c r="G2002" i="13"/>
  <c r="S2002" i="13"/>
  <c r="G1990" i="13"/>
  <c r="S1990" i="13"/>
  <c r="G2018" i="13"/>
  <c r="S2018" i="13"/>
  <c r="G2085" i="13"/>
  <c r="S2085" i="13"/>
  <c r="G2112" i="13"/>
  <c r="S2112" i="13"/>
  <c r="G2155" i="13"/>
  <c r="S2155" i="13"/>
  <c r="G2189" i="13"/>
  <c r="S2189" i="13"/>
  <c r="G2083" i="13"/>
  <c r="S2083" i="13"/>
  <c r="G2022" i="13"/>
  <c r="S2022" i="13"/>
  <c r="G2172" i="13"/>
  <c r="S2172" i="13"/>
  <c r="G2058" i="13"/>
  <c r="S2058" i="13"/>
  <c r="G2116" i="13"/>
  <c r="S2116" i="13"/>
  <c r="G2007" i="13"/>
  <c r="S2007" i="13"/>
  <c r="G2198" i="13"/>
  <c r="S2198" i="13"/>
  <c r="G2168" i="13"/>
  <c r="S2168" i="13"/>
  <c r="G2183" i="13"/>
  <c r="S2183" i="13"/>
  <c r="G2036" i="13"/>
  <c r="S2036" i="13"/>
  <c r="G2184" i="13"/>
  <c r="S2184" i="13"/>
  <c r="G2059" i="13"/>
  <c r="S2059" i="13"/>
  <c r="G2015" i="13"/>
  <c r="S2015" i="13"/>
  <c r="G2000" i="13"/>
  <c r="S2000" i="13"/>
  <c r="G2078" i="13"/>
  <c r="S2078" i="13"/>
  <c r="G2073" i="13"/>
  <c r="S2073" i="13"/>
  <c r="G2050" i="13"/>
  <c r="S2050" i="13"/>
  <c r="G2138" i="13"/>
  <c r="S2138" i="13"/>
  <c r="G2144" i="13"/>
  <c r="S2144" i="13"/>
  <c r="G2145" i="13"/>
  <c r="S2145" i="13"/>
  <c r="G2224" i="13"/>
  <c r="S2224" i="13"/>
  <c r="G2017" i="13"/>
  <c r="S2017" i="13"/>
  <c r="G2124" i="13"/>
  <c r="S2124" i="13"/>
  <c r="G2026" i="13"/>
  <c r="S2026" i="13"/>
  <c r="G2012" i="13"/>
  <c r="S2012" i="13"/>
  <c r="H2289" i="13"/>
  <c r="T2289" i="13"/>
  <c r="H2304" i="13"/>
  <c r="T2304" i="13"/>
  <c r="H2450" i="13"/>
  <c r="T2450" i="13"/>
  <c r="H2270" i="13"/>
  <c r="T2270" i="13"/>
  <c r="H2449" i="13"/>
  <c r="T2449" i="13"/>
  <c r="H2372" i="13"/>
  <c r="T2372" i="13"/>
  <c r="H2243" i="13"/>
  <c r="T2243" i="13"/>
  <c r="H2407" i="13"/>
  <c r="T2407" i="13"/>
  <c r="H2440" i="13"/>
  <c r="T2440" i="13"/>
  <c r="H2434" i="13"/>
  <c r="T2434" i="13"/>
  <c r="H2353" i="13"/>
  <c r="T2353" i="13"/>
  <c r="H2385" i="13"/>
  <c r="T2385" i="13"/>
  <c r="H2245" i="13"/>
  <c r="T2245" i="13"/>
  <c r="H2477" i="13"/>
  <c r="T2477" i="13"/>
  <c r="H2470" i="13"/>
  <c r="T2470" i="13"/>
  <c r="H2276" i="13"/>
  <c r="T2276" i="13"/>
  <c r="H2239" i="13"/>
  <c r="T2239" i="13"/>
  <c r="H2308" i="13"/>
  <c r="T2308" i="13"/>
  <c r="H2405" i="13"/>
  <c r="T2405" i="13"/>
  <c r="H2350" i="13"/>
  <c r="T2350" i="13"/>
  <c r="H2310" i="13"/>
  <c r="T2310" i="13"/>
  <c r="H2423" i="13"/>
  <c r="T2423" i="13"/>
  <c r="H2295" i="13"/>
  <c r="T2295" i="13"/>
  <c r="H2286" i="13"/>
  <c r="T2286" i="13"/>
  <c r="H2410" i="13"/>
  <c r="T2410" i="13"/>
  <c r="H2457" i="13"/>
  <c r="T2457" i="13"/>
  <c r="H2268" i="13"/>
  <c r="T2268" i="13"/>
  <c r="H2472" i="13"/>
  <c r="T2472" i="13"/>
  <c r="H2395" i="13"/>
  <c r="T2395" i="13"/>
  <c r="H2370" i="13"/>
  <c r="T2370" i="13"/>
  <c r="H2336" i="13"/>
  <c r="T2336" i="13"/>
  <c r="H2458" i="13"/>
  <c r="T2458" i="13"/>
  <c r="H2255" i="13"/>
  <c r="T2255" i="13"/>
  <c r="H2476" i="13"/>
  <c r="T2476" i="13"/>
  <c r="H2344" i="13"/>
  <c r="T2344" i="13"/>
  <c r="H2303" i="13"/>
  <c r="T2303" i="13"/>
  <c r="H2371" i="13"/>
  <c r="T2371" i="13"/>
  <c r="H2386" i="13"/>
  <c r="T2386" i="13"/>
  <c r="H2478" i="13"/>
  <c r="T2478" i="13"/>
  <c r="H2375" i="13"/>
  <c r="T2375" i="13"/>
  <c r="H2257" i="13"/>
  <c r="T2257" i="13"/>
  <c r="H2396" i="13"/>
  <c r="T2396" i="13"/>
  <c r="H2427" i="13"/>
  <c r="T2427" i="13"/>
  <c r="H2271" i="13"/>
  <c r="T2271" i="13"/>
  <c r="H2291" i="13"/>
  <c r="T2291" i="13"/>
  <c r="H2397" i="13"/>
  <c r="T2397" i="13"/>
  <c r="H2374" i="13"/>
  <c r="T2374" i="13"/>
  <c r="H2461" i="13"/>
  <c r="T2461" i="13"/>
  <c r="H2429" i="13"/>
  <c r="T2429" i="13"/>
  <c r="H2342" i="13"/>
  <c r="T2342" i="13"/>
  <c r="H2338" i="13"/>
  <c r="T2338" i="13"/>
  <c r="H2466" i="13"/>
  <c r="T2466" i="13"/>
  <c r="H2253" i="13"/>
  <c r="T2253" i="13"/>
  <c r="H2378" i="13"/>
  <c r="T2378" i="13"/>
  <c r="H2447" i="13"/>
  <c r="T2447" i="13"/>
  <c r="H2335" i="13"/>
  <c r="T2335" i="13"/>
  <c r="H2394" i="13"/>
  <c r="T2394" i="13"/>
  <c r="H2273" i="13"/>
  <c r="T2273" i="13"/>
  <c r="H2448" i="13"/>
  <c r="T2448" i="13"/>
  <c r="H2409" i="13"/>
  <c r="T2409" i="13"/>
  <c r="H2421" i="13"/>
  <c r="T2421" i="13"/>
  <c r="F2271" i="13"/>
  <c r="R2271" i="13"/>
  <c r="F2250" i="13"/>
  <c r="R2250" i="13"/>
  <c r="F2239" i="13"/>
  <c r="R2239" i="13"/>
  <c r="F2288" i="13"/>
  <c r="R2288" i="13"/>
  <c r="F2323" i="13"/>
  <c r="R2323" i="13"/>
  <c r="F2395" i="13"/>
  <c r="R2395" i="13"/>
  <c r="F2314" i="13"/>
  <c r="R2314" i="13"/>
  <c r="F2327" i="13"/>
  <c r="R2327" i="13"/>
  <c r="F2257" i="13"/>
  <c r="R2257" i="13"/>
  <c r="F2248" i="13"/>
  <c r="R2248" i="13"/>
  <c r="F2353" i="13"/>
  <c r="R2353" i="13"/>
  <c r="F2321" i="13"/>
  <c r="R2321" i="13"/>
  <c r="F2415" i="13"/>
  <c r="R2415" i="13"/>
  <c r="F2386" i="13"/>
  <c r="R2386" i="13"/>
  <c r="F2468" i="13"/>
  <c r="R2468" i="13"/>
  <c r="F2301" i="13"/>
  <c r="R2301" i="13"/>
  <c r="F2348" i="13"/>
  <c r="R2348" i="13"/>
  <c r="F2474" i="13"/>
  <c r="R2474" i="13"/>
  <c r="F2473" i="13"/>
  <c r="R2473" i="13"/>
  <c r="F2252" i="13"/>
  <c r="R2252" i="13"/>
  <c r="F2448" i="13"/>
  <c r="R2448" i="13"/>
  <c r="F2312" i="13"/>
  <c r="R2312" i="13"/>
  <c r="F2424" i="13"/>
  <c r="R2424" i="13"/>
  <c r="F2414" i="13"/>
  <c r="R2414" i="13"/>
  <c r="F2357" i="13"/>
  <c r="R2357" i="13"/>
  <c r="F2311" i="13"/>
  <c r="R2311" i="13"/>
  <c r="F2318" i="13"/>
  <c r="R2318" i="13"/>
  <c r="F2330" i="13"/>
  <c r="R2330" i="13"/>
  <c r="F2333" i="13"/>
  <c r="R2333" i="13"/>
  <c r="F2342" i="13"/>
  <c r="R2342" i="13"/>
  <c r="F2459" i="13"/>
  <c r="R2459" i="13"/>
  <c r="F2447" i="13"/>
  <c r="R2447" i="13"/>
  <c r="F2432" i="13"/>
  <c r="R2432" i="13"/>
  <c r="F2439" i="13"/>
  <c r="R2439" i="13"/>
  <c r="F2450" i="13"/>
  <c r="R2450" i="13"/>
  <c r="F2445" i="13"/>
  <c r="R2445" i="13"/>
  <c r="F2401" i="13"/>
  <c r="R2401" i="13"/>
  <c r="F2351" i="13"/>
  <c r="R2351" i="13"/>
  <c r="F2265" i="13"/>
  <c r="R2265" i="13"/>
  <c r="F2400" i="13"/>
  <c r="R2400" i="13"/>
  <c r="F2240" i="13"/>
  <c r="R2240" i="13"/>
  <c r="F2266" i="13"/>
  <c r="R2266" i="13"/>
  <c r="F2268" i="13"/>
  <c r="R2268" i="13"/>
  <c r="F2289" i="13"/>
  <c r="R2289" i="13"/>
  <c r="F2442" i="13"/>
  <c r="R2442" i="13"/>
  <c r="F2337" i="13"/>
  <c r="R2337" i="13"/>
  <c r="F2409" i="13"/>
  <c r="R2409" i="13"/>
  <c r="F2391" i="13"/>
  <c r="R2391" i="13"/>
  <c r="F2359" i="13"/>
  <c r="R2359" i="13"/>
  <c r="F2430" i="13"/>
  <c r="R2430" i="13"/>
  <c r="F2388" i="13"/>
  <c r="R2388" i="13"/>
  <c r="F2291" i="13"/>
  <c r="R2291" i="13"/>
  <c r="F2275" i="13"/>
  <c r="R2275" i="13"/>
  <c r="F2363" i="13"/>
  <c r="R2363" i="13"/>
  <c r="F2280" i="13"/>
  <c r="R2280" i="13"/>
  <c r="F2347" i="13"/>
  <c r="R2347" i="13"/>
  <c r="F2475" i="13"/>
  <c r="R2475" i="13"/>
  <c r="F2437" i="13"/>
  <c r="R2437" i="13"/>
  <c r="F2241" i="13"/>
  <c r="R2241" i="13"/>
  <c r="F2273" i="13"/>
  <c r="R2273" i="13"/>
  <c r="F2402" i="13"/>
  <c r="R2402" i="13"/>
  <c r="E1593" i="13"/>
  <c r="Q1593" i="13"/>
  <c r="E1515" i="13"/>
  <c r="Q1515" i="13"/>
  <c r="E1564" i="13"/>
  <c r="Q1564" i="13"/>
  <c r="E1603" i="13"/>
  <c r="Q1603" i="13"/>
  <c r="E1544" i="13"/>
  <c r="Q1544" i="13"/>
  <c r="E1622" i="13"/>
  <c r="Q1622" i="13"/>
  <c r="E1599" i="13"/>
  <c r="Q1599" i="13"/>
  <c r="E1537" i="13"/>
  <c r="Q1537" i="13"/>
  <c r="E1638" i="13"/>
  <c r="Q1638" i="13"/>
  <c r="E1502" i="13"/>
  <c r="Q1502" i="13"/>
  <c r="E1661" i="13"/>
  <c r="Q1661" i="13"/>
  <c r="E1569" i="13"/>
  <c r="Q1569" i="13"/>
  <c r="E1678" i="13"/>
  <c r="Q1678" i="13"/>
  <c r="E1675" i="13"/>
  <c r="Q1675" i="13"/>
  <c r="E1598" i="13"/>
  <c r="Q1598" i="13"/>
  <c r="E1734" i="13"/>
  <c r="Q1734" i="13"/>
  <c r="E1582" i="13"/>
  <c r="Q1582" i="13"/>
  <c r="E1733" i="13"/>
  <c r="Q1733" i="13"/>
  <c r="E1720" i="13"/>
  <c r="Q1720" i="13"/>
  <c r="E1649" i="13"/>
  <c r="Q1649" i="13"/>
  <c r="E1516" i="13"/>
  <c r="Q1516" i="13"/>
  <c r="E1653" i="13"/>
  <c r="Q1653" i="13"/>
  <c r="E1560" i="13"/>
  <c r="Q1560" i="13"/>
  <c r="E1646" i="13"/>
  <c r="Q1646" i="13"/>
  <c r="E1623" i="13"/>
  <c r="Q1623" i="13"/>
  <c r="E1591" i="13"/>
  <c r="Q1591" i="13"/>
  <c r="E1533" i="13"/>
  <c r="Q1533" i="13"/>
  <c r="E1504" i="13"/>
  <c r="Q1504" i="13"/>
  <c r="E1631" i="13"/>
  <c r="Q1631" i="13"/>
  <c r="E1610" i="13"/>
  <c r="Q1610" i="13"/>
  <c r="E1607" i="13"/>
  <c r="Q1607" i="13"/>
  <c r="E1580" i="13"/>
  <c r="Q1580" i="13"/>
  <c r="E1657" i="13"/>
  <c r="Q1657" i="13"/>
  <c r="E1699" i="13"/>
  <c r="Q1699" i="13"/>
  <c r="E1634" i="13"/>
  <c r="Q1634" i="13"/>
  <c r="E1621" i="13"/>
  <c r="Q1621" i="13"/>
  <c r="E1616" i="13"/>
  <c r="Q1616" i="13"/>
  <c r="E1695" i="13"/>
  <c r="Q1695" i="13"/>
  <c r="E1728" i="13"/>
  <c r="Q1728" i="13"/>
  <c r="E1663" i="13"/>
  <c r="Q1663" i="13"/>
  <c r="E1686" i="13"/>
  <c r="Q1686" i="13"/>
  <c r="E1642" i="13"/>
  <c r="Q1642" i="13"/>
  <c r="E1619" i="13"/>
  <c r="Q1619" i="13"/>
  <c r="E1732" i="13"/>
  <c r="Q1732" i="13"/>
  <c r="E1682" i="13"/>
  <c r="Q1682" i="13"/>
  <c r="E1542" i="13"/>
  <c r="Q1542" i="13"/>
  <c r="E1731" i="13"/>
  <c r="Q1731" i="13"/>
  <c r="E1698" i="13"/>
  <c r="Q1698" i="13"/>
  <c r="E1541" i="13"/>
  <c r="Q1541" i="13"/>
  <c r="E1601" i="13"/>
  <c r="Q1601" i="13"/>
  <c r="E1700" i="13"/>
  <c r="Q1700" i="13"/>
  <c r="E1606" i="13"/>
  <c r="Q1606" i="13"/>
  <c r="E1563" i="13"/>
  <c r="Q1563" i="13"/>
  <c r="E1722" i="13"/>
  <c r="Q1722" i="13"/>
  <c r="E1665" i="13"/>
  <c r="Q1665" i="13"/>
  <c r="E1596" i="13"/>
  <c r="Q1596" i="13"/>
  <c r="E1673" i="13"/>
  <c r="Q1673" i="13"/>
  <c r="E1639" i="13"/>
  <c r="Q1639" i="13"/>
  <c r="E1577" i="13"/>
  <c r="Q1577" i="13"/>
  <c r="E1540" i="13"/>
  <c r="Q1540" i="13"/>
  <c r="G590" i="13"/>
  <c r="S590" i="13"/>
  <c r="G557" i="13"/>
  <c r="S557" i="13"/>
  <c r="G609" i="13"/>
  <c r="S609" i="13"/>
  <c r="G690" i="13"/>
  <c r="S690" i="13"/>
  <c r="G663" i="13"/>
  <c r="S663" i="13"/>
  <c r="G692" i="13"/>
  <c r="S692" i="13"/>
  <c r="G555" i="13"/>
  <c r="S555" i="13"/>
  <c r="G621" i="13"/>
  <c r="S621" i="13"/>
  <c r="G513" i="13"/>
  <c r="S513" i="13"/>
  <c r="G665" i="13"/>
  <c r="S665" i="13"/>
  <c r="G655" i="13"/>
  <c r="S655" i="13"/>
  <c r="G533" i="13"/>
  <c r="S533" i="13"/>
  <c r="G661" i="13"/>
  <c r="S661" i="13"/>
  <c r="G587" i="13"/>
  <c r="S587" i="13"/>
  <c r="G525" i="13"/>
  <c r="S525" i="13"/>
  <c r="G671" i="13"/>
  <c r="S671" i="13"/>
  <c r="G601" i="13"/>
  <c r="S601" i="13"/>
  <c r="G709" i="13"/>
  <c r="S709" i="13"/>
  <c r="G698" i="13"/>
  <c r="S698" i="13"/>
  <c r="G522" i="13"/>
  <c r="S522" i="13"/>
  <c r="G599" i="13"/>
  <c r="S599" i="13"/>
  <c r="G734" i="13"/>
  <c r="S734" i="13"/>
  <c r="G658" i="13"/>
  <c r="S658" i="13"/>
  <c r="G543" i="13"/>
  <c r="S543" i="13"/>
  <c r="G585" i="13"/>
  <c r="S585" i="13"/>
  <c r="G708" i="13"/>
  <c r="S708" i="13"/>
  <c r="G610" i="13"/>
  <c r="S610" i="13"/>
  <c r="G511" i="13"/>
  <c r="S511" i="13"/>
  <c r="G516" i="13"/>
  <c r="S516" i="13"/>
  <c r="G741" i="13"/>
  <c r="S741" i="13"/>
  <c r="G687" i="13"/>
  <c r="S687" i="13"/>
  <c r="G722" i="13"/>
  <c r="S722" i="13"/>
  <c r="G654" i="13"/>
  <c r="S654" i="13"/>
  <c r="G536" i="13"/>
  <c r="S536" i="13"/>
  <c r="G669" i="13"/>
  <c r="S669" i="13"/>
  <c r="G620" i="13"/>
  <c r="S620" i="13"/>
  <c r="G567" i="13"/>
  <c r="S567" i="13"/>
  <c r="G600" i="13"/>
  <c r="S600" i="13"/>
  <c r="G632" i="13"/>
  <c r="S632" i="13"/>
  <c r="G570" i="13"/>
  <c r="S570" i="13"/>
  <c r="G678" i="13"/>
  <c r="S678" i="13"/>
  <c r="G588" i="13"/>
  <c r="S588" i="13"/>
  <c r="G550" i="13"/>
  <c r="S550" i="13"/>
  <c r="G684" i="13"/>
  <c r="S684" i="13"/>
  <c r="G581" i="13"/>
  <c r="S581" i="13"/>
  <c r="G593" i="13"/>
  <c r="S593" i="13"/>
  <c r="G697" i="13"/>
  <c r="S697" i="13"/>
  <c r="G558" i="13"/>
  <c r="S558" i="13"/>
  <c r="G695" i="13"/>
  <c r="S695" i="13"/>
  <c r="G531" i="13"/>
  <c r="S531" i="13"/>
  <c r="G541" i="13"/>
  <c r="S541" i="13"/>
  <c r="G636" i="13"/>
  <c r="S636" i="13"/>
  <c r="G540" i="13"/>
  <c r="S540" i="13"/>
  <c r="G729" i="13"/>
  <c r="S729" i="13"/>
  <c r="G730" i="13"/>
  <c r="S730" i="13"/>
  <c r="G639" i="13"/>
  <c r="S639" i="13"/>
  <c r="G702" i="13"/>
  <c r="S702" i="13"/>
  <c r="G517" i="13"/>
  <c r="S517" i="13"/>
  <c r="G509" i="13"/>
  <c r="S509" i="13"/>
  <c r="G679" i="13"/>
  <c r="S679" i="13"/>
  <c r="G644" i="13"/>
  <c r="S644" i="13"/>
  <c r="I1246" i="13"/>
  <c r="U1246" i="13"/>
  <c r="I1418" i="13"/>
  <c r="U1418" i="13"/>
  <c r="I1313" i="13"/>
  <c r="U1313" i="13"/>
  <c r="I1319" i="13"/>
  <c r="U1319" i="13"/>
  <c r="I1266" i="13"/>
  <c r="U1266" i="13"/>
  <c r="I1324" i="13"/>
  <c r="U1324" i="13"/>
  <c r="I1383" i="13"/>
  <c r="U1383" i="13"/>
  <c r="I1403" i="13"/>
  <c r="U1403" i="13"/>
  <c r="I1395" i="13"/>
  <c r="U1395" i="13"/>
  <c r="I1487" i="13"/>
  <c r="U1487" i="13"/>
  <c r="I1435" i="13"/>
  <c r="U1435" i="13"/>
  <c r="I1410" i="13"/>
  <c r="U1410" i="13"/>
  <c r="I1361" i="13"/>
  <c r="U1361" i="13"/>
  <c r="I1310" i="13"/>
  <c r="U1310" i="13"/>
  <c r="I1460" i="13"/>
  <c r="U1460" i="13"/>
  <c r="I1462" i="13"/>
  <c r="U1462" i="13"/>
  <c r="I1367" i="13"/>
  <c r="U1367" i="13"/>
  <c r="I1377" i="13"/>
  <c r="U1377" i="13"/>
  <c r="I1478" i="13"/>
  <c r="U1478" i="13"/>
  <c r="I1344" i="13"/>
  <c r="U1344" i="13"/>
  <c r="I1458" i="13"/>
  <c r="U1458" i="13"/>
  <c r="I1349" i="13"/>
  <c r="U1349" i="13"/>
  <c r="I1296" i="13"/>
  <c r="U1296" i="13"/>
  <c r="I1378" i="13"/>
  <c r="U1378" i="13"/>
  <c r="I1323" i="13"/>
  <c r="U1323" i="13"/>
  <c r="I1485" i="13"/>
  <c r="U1485" i="13"/>
  <c r="I1308" i="13"/>
  <c r="U1308" i="13"/>
  <c r="I1409" i="13"/>
  <c r="U1409" i="13"/>
  <c r="I1251" i="13"/>
  <c r="U1251" i="13"/>
  <c r="I1373" i="13"/>
  <c r="U1373" i="13"/>
  <c r="I1302" i="13"/>
  <c r="U1302" i="13"/>
  <c r="I1457" i="13"/>
  <c r="U1457" i="13"/>
  <c r="I1415" i="13"/>
  <c r="U1415" i="13"/>
  <c r="I1320" i="13"/>
  <c r="U1320" i="13"/>
  <c r="I1334" i="13"/>
  <c r="U1334" i="13"/>
  <c r="I1429" i="13"/>
  <c r="U1429" i="13"/>
  <c r="I1294" i="13"/>
  <c r="U1294" i="13"/>
  <c r="I1466" i="13"/>
  <c r="U1466" i="13"/>
  <c r="I1350" i="13"/>
  <c r="U1350" i="13"/>
  <c r="I1374" i="13"/>
  <c r="U1374" i="13"/>
  <c r="I1386" i="13"/>
  <c r="U1386" i="13"/>
  <c r="I1292" i="13"/>
  <c r="U1292" i="13"/>
  <c r="I1272" i="13"/>
  <c r="U1272" i="13"/>
  <c r="I1389" i="13"/>
  <c r="U1389" i="13"/>
  <c r="I1293" i="13"/>
  <c r="U1293" i="13"/>
  <c r="I1484" i="13"/>
  <c r="U1484" i="13"/>
  <c r="I1439" i="13"/>
  <c r="U1439" i="13"/>
  <c r="I1426" i="13"/>
  <c r="U1426" i="13"/>
  <c r="I1297" i="13"/>
  <c r="U1297" i="13"/>
  <c r="I1448" i="13"/>
  <c r="U1448" i="13"/>
  <c r="I1414" i="13"/>
  <c r="U1414" i="13"/>
  <c r="I1303" i="13"/>
  <c r="U1303" i="13"/>
  <c r="I1483" i="13"/>
  <c r="U1483" i="13"/>
  <c r="I1388" i="13"/>
  <c r="U1388" i="13"/>
  <c r="I1338" i="13"/>
  <c r="U1338" i="13"/>
  <c r="I1249" i="13"/>
  <c r="U1249" i="13"/>
  <c r="I1461" i="13"/>
  <c r="U1461" i="13"/>
  <c r="I1453" i="13"/>
  <c r="U1453" i="13"/>
  <c r="I1379" i="13"/>
  <c r="U1379" i="13"/>
  <c r="I1369" i="13"/>
  <c r="U1369" i="13"/>
  <c r="H1615" i="13"/>
  <c r="T1615" i="13"/>
  <c r="H1537" i="13"/>
  <c r="T1537" i="13"/>
  <c r="H1735" i="13"/>
  <c r="T1735" i="13"/>
  <c r="H1650" i="13"/>
  <c r="T1650" i="13"/>
  <c r="H1723" i="13"/>
  <c r="T1723" i="13"/>
  <c r="H1726" i="13"/>
  <c r="T1726" i="13"/>
  <c r="H1645" i="13"/>
  <c r="T1645" i="13"/>
  <c r="H1627" i="13"/>
  <c r="T1627" i="13"/>
  <c r="H1505" i="13"/>
  <c r="T1505" i="13"/>
  <c r="H1710" i="13"/>
  <c r="T1710" i="13"/>
  <c r="H1587" i="13"/>
  <c r="T1587" i="13"/>
  <c r="H1614" i="13"/>
  <c r="T1614" i="13"/>
  <c r="H1678" i="13"/>
  <c r="T1678" i="13"/>
  <c r="H1670" i="13"/>
  <c r="T1670" i="13"/>
  <c r="H1629" i="13"/>
  <c r="T1629" i="13"/>
  <c r="H1692" i="13"/>
  <c r="T1692" i="13"/>
  <c r="H1602" i="13"/>
  <c r="T1602" i="13"/>
  <c r="H1580" i="13"/>
  <c r="T1580" i="13"/>
  <c r="H1559" i="13"/>
  <c r="T1559" i="13"/>
  <c r="H1608" i="13"/>
  <c r="T1608" i="13"/>
  <c r="H1706" i="13"/>
  <c r="T1706" i="13"/>
  <c r="H1562" i="13"/>
  <c r="T1562" i="13"/>
  <c r="H1572" i="13"/>
  <c r="T1572" i="13"/>
  <c r="H1635" i="13"/>
  <c r="T1635" i="13"/>
  <c r="H1504" i="13"/>
  <c r="T1504" i="13"/>
  <c r="H1661" i="13"/>
  <c r="T1661" i="13"/>
  <c r="H1648" i="13"/>
  <c r="T1648" i="13"/>
  <c r="H1708" i="13"/>
  <c r="T1708" i="13"/>
  <c r="H1558" i="13"/>
  <c r="T1558" i="13"/>
  <c r="H1599" i="13"/>
  <c r="T1599" i="13"/>
  <c r="H1571" i="13"/>
  <c r="T1571" i="13"/>
  <c r="H1590" i="13"/>
  <c r="T1590" i="13"/>
  <c r="H1712" i="13"/>
  <c r="T1712" i="13"/>
  <c r="H1623" i="13"/>
  <c r="T1623" i="13"/>
  <c r="H1668" i="13"/>
  <c r="T1668" i="13"/>
  <c r="H1574" i="13"/>
  <c r="T1574" i="13"/>
  <c r="H1631" i="13"/>
  <c r="T1631" i="13"/>
  <c r="H1607" i="13"/>
  <c r="T1607" i="13"/>
  <c r="H1547" i="13"/>
  <c r="T1547" i="13"/>
  <c r="H1538" i="13"/>
  <c r="T1538" i="13"/>
  <c r="H1719" i="13"/>
  <c r="T1719" i="13"/>
  <c r="H1732" i="13"/>
  <c r="T1732" i="13"/>
  <c r="H1523" i="13"/>
  <c r="T1523" i="13"/>
  <c r="H1625" i="13"/>
  <c r="T1625" i="13"/>
  <c r="H1689" i="13"/>
  <c r="T1689" i="13"/>
  <c r="H1501" i="13"/>
  <c r="T1501" i="13"/>
  <c r="H1527" i="13"/>
  <c r="T1527" i="13"/>
  <c r="H1560" i="13"/>
  <c r="T1560" i="13"/>
  <c r="H1494" i="13"/>
  <c r="T1494" i="13"/>
  <c r="H1717" i="13"/>
  <c r="T1717" i="13"/>
  <c r="H1545" i="13"/>
  <c r="T1545" i="13"/>
  <c r="H1674" i="13"/>
  <c r="T1674" i="13"/>
  <c r="H1551" i="13"/>
  <c r="T1551" i="13"/>
  <c r="H1552" i="13"/>
  <c r="T1552" i="13"/>
  <c r="H1593" i="13"/>
  <c r="T1593" i="13"/>
  <c r="H1642" i="13"/>
  <c r="T1642" i="13"/>
  <c r="H1550" i="13"/>
  <c r="T1550" i="13"/>
  <c r="H1684" i="13"/>
  <c r="T1684" i="13"/>
  <c r="H1685" i="13"/>
  <c r="T1685" i="13"/>
  <c r="H1701" i="13"/>
  <c r="T1701" i="13"/>
  <c r="E1814" i="13"/>
  <c r="Q1814" i="13"/>
  <c r="E1785" i="13"/>
  <c r="Q1785" i="13"/>
  <c r="E1908" i="13"/>
  <c r="Q1908" i="13"/>
  <c r="E1831" i="13"/>
  <c r="Q1831" i="13"/>
  <c r="E1829" i="13"/>
  <c r="Q1829" i="13"/>
  <c r="E1848" i="13"/>
  <c r="Q1848" i="13"/>
  <c r="E1929" i="13"/>
  <c r="Q1929" i="13"/>
  <c r="E1797" i="13"/>
  <c r="Q1797" i="13"/>
  <c r="E1833" i="13"/>
  <c r="Q1833" i="13"/>
  <c r="E1863" i="13"/>
  <c r="Q1863" i="13"/>
  <c r="E1792" i="13"/>
  <c r="Q1792" i="13"/>
  <c r="E1940" i="13"/>
  <c r="Q1940" i="13"/>
  <c r="E1926" i="13"/>
  <c r="Q1926" i="13"/>
  <c r="E1820" i="13"/>
  <c r="Q1820" i="13"/>
  <c r="E1855" i="13"/>
  <c r="Q1855" i="13"/>
  <c r="E1773" i="13"/>
  <c r="Q1773" i="13"/>
  <c r="E1794" i="13"/>
  <c r="Q1794" i="13"/>
  <c r="E1766" i="13"/>
  <c r="Q1766" i="13"/>
  <c r="E1966" i="13"/>
  <c r="Q1966" i="13"/>
  <c r="E1878" i="13"/>
  <c r="Q1878" i="13"/>
  <c r="E1887" i="13"/>
  <c r="Q1887" i="13"/>
  <c r="E1955" i="13"/>
  <c r="Q1955" i="13"/>
  <c r="E1845" i="13"/>
  <c r="Q1845" i="13"/>
  <c r="E1910" i="13"/>
  <c r="Q1910" i="13"/>
  <c r="E1917" i="13"/>
  <c r="Q1917" i="13"/>
  <c r="E1893" i="13"/>
  <c r="Q1893" i="13"/>
  <c r="E1972" i="13"/>
  <c r="Q1972" i="13"/>
  <c r="E1815" i="13"/>
  <c r="Q1815" i="13"/>
  <c r="E1758" i="13"/>
  <c r="Q1758" i="13"/>
  <c r="E1880" i="13"/>
  <c r="Q1880" i="13"/>
  <c r="E1864" i="13"/>
  <c r="Q1864" i="13"/>
  <c r="E1978" i="13"/>
  <c r="Q1978" i="13"/>
  <c r="E1858" i="13"/>
  <c r="Q1858" i="13"/>
  <c r="E1846" i="13"/>
  <c r="Q1846" i="13"/>
  <c r="E1764" i="13"/>
  <c r="Q1764" i="13"/>
  <c r="E1907" i="13"/>
  <c r="Q1907" i="13"/>
  <c r="E1812" i="13"/>
  <c r="Q1812" i="13"/>
  <c r="E1890" i="13"/>
  <c r="Q1890" i="13"/>
  <c r="E1959" i="13"/>
  <c r="Q1959" i="13"/>
  <c r="E1821" i="13"/>
  <c r="Q1821" i="13"/>
  <c r="E1824" i="13"/>
  <c r="Q1824" i="13"/>
  <c r="E1756" i="13"/>
  <c r="Q1756" i="13"/>
  <c r="E1776" i="13"/>
  <c r="Q1776" i="13"/>
  <c r="E1961" i="13"/>
  <c r="Q1961" i="13"/>
  <c r="E1885" i="13"/>
  <c r="Q1885" i="13"/>
  <c r="E1905" i="13"/>
  <c r="Q1905" i="13"/>
  <c r="E1760" i="13"/>
  <c r="Q1760" i="13"/>
  <c r="E1853" i="13"/>
  <c r="Q1853" i="13"/>
  <c r="E1825" i="13"/>
  <c r="Q1825" i="13"/>
  <c r="E1808" i="13"/>
  <c r="Q1808" i="13"/>
  <c r="E1971" i="13"/>
  <c r="Q1971" i="13"/>
  <c r="E1745" i="13"/>
  <c r="Q1745" i="13"/>
  <c r="E1975" i="13"/>
  <c r="Q1975" i="13"/>
  <c r="E1937" i="13"/>
  <c r="Q1937" i="13"/>
  <c r="E1778" i="13"/>
  <c r="Q1778" i="13"/>
  <c r="E1856" i="13"/>
  <c r="Q1856" i="13"/>
  <c r="E1836" i="13"/>
  <c r="Q1836" i="13"/>
  <c r="E1979" i="13"/>
  <c r="Q1979" i="13"/>
  <c r="E1897" i="13"/>
  <c r="Q1897" i="13"/>
  <c r="E1850" i="13"/>
  <c r="Q1850" i="13"/>
  <c r="E1769" i="13"/>
  <c r="Q1769" i="13"/>
  <c r="G1152" i="13"/>
  <c r="S1152" i="13"/>
  <c r="G1106" i="13"/>
  <c r="S1106" i="13"/>
  <c r="G1090" i="13"/>
  <c r="S1090" i="13"/>
  <c r="G1069" i="13"/>
  <c r="S1069" i="13"/>
  <c r="G1228" i="13"/>
  <c r="S1228" i="13"/>
  <c r="G1075" i="13"/>
  <c r="S1075" i="13"/>
  <c r="G1239" i="13"/>
  <c r="S1239" i="13"/>
  <c r="G1035" i="13"/>
  <c r="S1035" i="13"/>
  <c r="G1054" i="13"/>
  <c r="S1054" i="13"/>
  <c r="G1020" i="13"/>
  <c r="S1020" i="13"/>
  <c r="G1148" i="13"/>
  <c r="S1148" i="13"/>
  <c r="G1064" i="13"/>
  <c r="S1064" i="13"/>
  <c r="G1094" i="13"/>
  <c r="S1094" i="13"/>
  <c r="G1022" i="13"/>
  <c r="S1022" i="13"/>
  <c r="G1063" i="13"/>
  <c r="S1063" i="13"/>
  <c r="G1104" i="13"/>
  <c r="S1104" i="13"/>
  <c r="G1027" i="13"/>
  <c r="S1027" i="13"/>
  <c r="G1220" i="13"/>
  <c r="S1220" i="13"/>
  <c r="G1119" i="13"/>
  <c r="S1119" i="13"/>
  <c r="G1229" i="13"/>
  <c r="S1229" i="13"/>
  <c r="G1013" i="13"/>
  <c r="S1013" i="13"/>
  <c r="G1180" i="13"/>
  <c r="S1180" i="13"/>
  <c r="G1074" i="13"/>
  <c r="S1074" i="13"/>
  <c r="G1169" i="13"/>
  <c r="S1169" i="13"/>
  <c r="G1235" i="13"/>
  <c r="S1235" i="13"/>
  <c r="G1083" i="13"/>
  <c r="S1083" i="13"/>
  <c r="G1045" i="13"/>
  <c r="S1045" i="13"/>
  <c r="G1183" i="13"/>
  <c r="S1183" i="13"/>
  <c r="G1118" i="13"/>
  <c r="S1118" i="13"/>
  <c r="G1189" i="13"/>
  <c r="S1189" i="13"/>
  <c r="G1034" i="13"/>
  <c r="S1034" i="13"/>
  <c r="G1162" i="13"/>
  <c r="S1162" i="13"/>
  <c r="G1068" i="13"/>
  <c r="S1068" i="13"/>
  <c r="G1088" i="13"/>
  <c r="S1088" i="13"/>
  <c r="G1186" i="13"/>
  <c r="S1186" i="13"/>
  <c r="G1236" i="13"/>
  <c r="S1236" i="13"/>
  <c r="G1128" i="13"/>
  <c r="S1128" i="13"/>
  <c r="G1223" i="13"/>
  <c r="S1223" i="13"/>
  <c r="G1037" i="13"/>
  <c r="S1037" i="13"/>
  <c r="G1157" i="13"/>
  <c r="S1157" i="13"/>
  <c r="G1003" i="13"/>
  <c r="S1003" i="13"/>
  <c r="G1029" i="13"/>
  <c r="S1029" i="13"/>
  <c r="G1116" i="13"/>
  <c r="S1116" i="13"/>
  <c r="G1091" i="13"/>
  <c r="S1091" i="13"/>
  <c r="G1117" i="13"/>
  <c r="S1117" i="13"/>
  <c r="G1163" i="13"/>
  <c r="S1163" i="13"/>
  <c r="G1134" i="13"/>
  <c r="S1134" i="13"/>
  <c r="G1081" i="13"/>
  <c r="S1081" i="13"/>
  <c r="G1129" i="13"/>
  <c r="S1129" i="13"/>
  <c r="G1001" i="13"/>
  <c r="S1001" i="13"/>
  <c r="G1089" i="13"/>
  <c r="S1089" i="13"/>
  <c r="G1032" i="13"/>
  <c r="S1032" i="13"/>
  <c r="G1067" i="13"/>
  <c r="S1067" i="13"/>
  <c r="G1108" i="13"/>
  <c r="S1108" i="13"/>
  <c r="G1098" i="13"/>
  <c r="S1098" i="13"/>
  <c r="G1200" i="13"/>
  <c r="S1200" i="13"/>
  <c r="G1170" i="13"/>
  <c r="S1170" i="13"/>
  <c r="G1130" i="13"/>
  <c r="S1130" i="13"/>
  <c r="G1167" i="13"/>
  <c r="S1167" i="13"/>
  <c r="G1238" i="13"/>
  <c r="S1238" i="13"/>
  <c r="H1381" i="13"/>
  <c r="T1381" i="13"/>
  <c r="H1347" i="13"/>
  <c r="T1347" i="13"/>
  <c r="H1311" i="13"/>
  <c r="T1311" i="13"/>
  <c r="H1302" i="13"/>
  <c r="T1302" i="13"/>
  <c r="H1359" i="13"/>
  <c r="T1359" i="13"/>
  <c r="H1444" i="13"/>
  <c r="T1444" i="13"/>
  <c r="H1446" i="13"/>
  <c r="T1446" i="13"/>
  <c r="H1289" i="13"/>
  <c r="T1289" i="13"/>
  <c r="H1379" i="13"/>
  <c r="T1379" i="13"/>
  <c r="H1401" i="13"/>
  <c r="T1401" i="13"/>
  <c r="H1417" i="13"/>
  <c r="T1417" i="13"/>
  <c r="H1428" i="13"/>
  <c r="T1428" i="13"/>
  <c r="H1450" i="13"/>
  <c r="T1450" i="13"/>
  <c r="H1403" i="13"/>
  <c r="T1403" i="13"/>
  <c r="H1324" i="13"/>
  <c r="T1324" i="13"/>
  <c r="H1451" i="13"/>
  <c r="T1451" i="13"/>
  <c r="H1483" i="13"/>
  <c r="T1483" i="13"/>
  <c r="H1463" i="13"/>
  <c r="T1463" i="13"/>
  <c r="H1458" i="13"/>
  <c r="T1458" i="13"/>
  <c r="H1314" i="13"/>
  <c r="T1314" i="13"/>
  <c r="H1375" i="13"/>
  <c r="T1375" i="13"/>
  <c r="H1406" i="13"/>
  <c r="T1406" i="13"/>
  <c r="H1356" i="13"/>
  <c r="T1356" i="13"/>
  <c r="H1365" i="13"/>
  <c r="T1365" i="13"/>
  <c r="H1254" i="13"/>
  <c r="T1254" i="13"/>
  <c r="H1477" i="13"/>
  <c r="T1477" i="13"/>
  <c r="H1344" i="13"/>
  <c r="T1344" i="13"/>
  <c r="H1429" i="13"/>
  <c r="T1429" i="13"/>
  <c r="H1251" i="13"/>
  <c r="T1251" i="13"/>
  <c r="H1475" i="13"/>
  <c r="T1475" i="13"/>
  <c r="H1360" i="13"/>
  <c r="T1360" i="13"/>
  <c r="H1472" i="13"/>
  <c r="T1472" i="13"/>
  <c r="H1430" i="13"/>
  <c r="T1430" i="13"/>
  <c r="H1321" i="13"/>
  <c r="T1321" i="13"/>
  <c r="H1386" i="13"/>
  <c r="T1386" i="13"/>
  <c r="H1457" i="13"/>
  <c r="T1457" i="13"/>
  <c r="H1297" i="13"/>
  <c r="T1297" i="13"/>
  <c r="H1303" i="13"/>
  <c r="T1303" i="13"/>
  <c r="H1469" i="13"/>
  <c r="T1469" i="13"/>
  <c r="H1370" i="13"/>
  <c r="T1370" i="13"/>
  <c r="H1305" i="13"/>
  <c r="T1305" i="13"/>
  <c r="H1366" i="13"/>
  <c r="T1366" i="13"/>
  <c r="H1426" i="13"/>
  <c r="T1426" i="13"/>
  <c r="H1248" i="13"/>
  <c r="T1248" i="13"/>
  <c r="H1290" i="13"/>
  <c r="T1290" i="13"/>
  <c r="H1425" i="13"/>
  <c r="T1425" i="13"/>
  <c r="H1354" i="13"/>
  <c r="T1354" i="13"/>
  <c r="H1350" i="13"/>
  <c r="T1350" i="13"/>
  <c r="H1274" i="13"/>
  <c r="T1274" i="13"/>
  <c r="H1434" i="13"/>
  <c r="T1434" i="13"/>
  <c r="H1391" i="13"/>
  <c r="T1391" i="13"/>
  <c r="H1422" i="13"/>
  <c r="T1422" i="13"/>
  <c r="H1399" i="13"/>
  <c r="T1399" i="13"/>
  <c r="H1284" i="13"/>
  <c r="T1284" i="13"/>
  <c r="H1337" i="13"/>
  <c r="T1337" i="13"/>
  <c r="H1339" i="13"/>
  <c r="T1339" i="13"/>
  <c r="H1322" i="13"/>
  <c r="T1322" i="13"/>
  <c r="H1261" i="13"/>
  <c r="T1261" i="13"/>
  <c r="H1400" i="13"/>
  <c r="T1400" i="13"/>
  <c r="I839" i="13"/>
  <c r="U839" i="13"/>
  <c r="I907" i="13"/>
  <c r="U907" i="13"/>
  <c r="I942" i="13"/>
  <c r="U942" i="13"/>
  <c r="I750" i="13"/>
  <c r="U750" i="13"/>
  <c r="I799" i="13"/>
  <c r="U799" i="13"/>
  <c r="I808" i="13"/>
  <c r="U808" i="13"/>
  <c r="I978" i="13"/>
  <c r="U978" i="13"/>
  <c r="I913" i="13"/>
  <c r="U913" i="13"/>
  <c r="I835" i="13"/>
  <c r="U835" i="13"/>
  <c r="I845" i="13"/>
  <c r="U845" i="13"/>
  <c r="I787" i="13"/>
  <c r="U787" i="13"/>
  <c r="I829" i="13"/>
  <c r="U829" i="13"/>
  <c r="I771" i="13"/>
  <c r="U771" i="13"/>
  <c r="I849" i="13"/>
  <c r="U849" i="13"/>
  <c r="I953" i="13"/>
  <c r="U953" i="13"/>
  <c r="I950" i="13"/>
  <c r="U950" i="13"/>
  <c r="I802" i="13"/>
  <c r="U802" i="13"/>
  <c r="I852" i="13"/>
  <c r="U852" i="13"/>
  <c r="I873" i="13"/>
  <c r="U873" i="13"/>
  <c r="I776" i="13"/>
  <c r="U776" i="13"/>
  <c r="I859" i="13"/>
  <c r="U859" i="13"/>
  <c r="I867" i="13"/>
  <c r="U867" i="13"/>
  <c r="I854" i="13"/>
  <c r="U854" i="13"/>
  <c r="I890" i="13"/>
  <c r="U890" i="13"/>
  <c r="I836" i="13"/>
  <c r="U836" i="13"/>
  <c r="I944" i="13"/>
  <c r="U944" i="13"/>
  <c r="I796" i="13"/>
  <c r="U796" i="13"/>
  <c r="I754" i="13"/>
  <c r="U754" i="13"/>
  <c r="I790" i="13"/>
  <c r="U790" i="13"/>
  <c r="I821" i="13"/>
  <c r="U821" i="13"/>
  <c r="I917" i="13"/>
  <c r="U917" i="13"/>
  <c r="I773" i="13"/>
  <c r="U773" i="13"/>
  <c r="I756" i="13"/>
  <c r="U756" i="13"/>
  <c r="I893" i="13"/>
  <c r="U893" i="13"/>
  <c r="I872" i="13"/>
  <c r="U872" i="13"/>
  <c r="I985" i="13"/>
  <c r="U985" i="13"/>
  <c r="I811" i="13"/>
  <c r="U811" i="13"/>
  <c r="I963" i="13"/>
  <c r="U963" i="13"/>
  <c r="I903" i="13"/>
  <c r="U903" i="13"/>
  <c r="I866" i="13"/>
  <c r="U866" i="13"/>
  <c r="I908" i="13"/>
  <c r="U908" i="13"/>
  <c r="I861" i="13"/>
  <c r="U861" i="13"/>
  <c r="I958" i="13"/>
  <c r="U958" i="13"/>
  <c r="I837" i="13"/>
  <c r="U837" i="13"/>
  <c r="I858" i="13"/>
  <c r="U858" i="13"/>
  <c r="I751" i="13"/>
  <c r="U751" i="13"/>
  <c r="I784" i="13"/>
  <c r="U784" i="13"/>
  <c r="I834" i="13"/>
  <c r="U834" i="13"/>
  <c r="I800" i="13"/>
  <c r="U800" i="13"/>
  <c r="I951" i="13"/>
  <c r="U951" i="13"/>
  <c r="I768" i="13"/>
  <c r="U768" i="13"/>
  <c r="I989" i="13"/>
  <c r="U989" i="13"/>
  <c r="I889" i="13"/>
  <c r="U889" i="13"/>
  <c r="I973" i="13"/>
  <c r="U973" i="13"/>
  <c r="I822" i="13"/>
  <c r="U822" i="13"/>
  <c r="I817" i="13"/>
  <c r="U817" i="13"/>
  <c r="I888" i="13"/>
  <c r="U888" i="13"/>
  <c r="I788" i="13"/>
  <c r="U788" i="13"/>
  <c r="I966" i="13"/>
  <c r="U966" i="13"/>
  <c r="I885" i="13"/>
  <c r="U885" i="13"/>
  <c r="I865" i="13"/>
  <c r="U865" i="13"/>
  <c r="F875" i="13"/>
  <c r="R875" i="13"/>
  <c r="F840" i="13"/>
  <c r="R840" i="13"/>
  <c r="F893" i="13"/>
  <c r="R893" i="13"/>
  <c r="F905" i="13"/>
  <c r="R905" i="13"/>
  <c r="F778" i="13"/>
  <c r="R778" i="13"/>
  <c r="F819" i="13"/>
  <c r="R819" i="13"/>
  <c r="F986" i="13"/>
  <c r="R986" i="13"/>
  <c r="F786" i="13"/>
  <c r="R786" i="13"/>
  <c r="F942" i="13"/>
  <c r="R942" i="13"/>
  <c r="F952" i="13"/>
  <c r="R952" i="13"/>
  <c r="F826" i="13"/>
  <c r="R826" i="13"/>
  <c r="F960" i="13"/>
  <c r="R960" i="13"/>
  <c r="F915" i="13"/>
  <c r="R915" i="13"/>
  <c r="F801" i="13"/>
  <c r="R801" i="13"/>
  <c r="F796" i="13"/>
  <c r="R796" i="13"/>
  <c r="F917" i="13"/>
  <c r="R917" i="13"/>
  <c r="F849" i="13"/>
  <c r="R849" i="13"/>
  <c r="F855" i="13"/>
  <c r="R855" i="13"/>
  <c r="F830" i="13"/>
  <c r="R830" i="13"/>
  <c r="F948" i="13"/>
  <c r="R948" i="13"/>
  <c r="F910" i="13"/>
  <c r="R910" i="13"/>
  <c r="F813" i="13"/>
  <c r="R813" i="13"/>
  <c r="F854" i="13"/>
  <c r="R854" i="13"/>
  <c r="F766" i="13"/>
  <c r="R766" i="13"/>
  <c r="F916" i="13"/>
  <c r="R916" i="13"/>
  <c r="F861" i="13"/>
  <c r="R861" i="13"/>
  <c r="F755" i="13"/>
  <c r="R755" i="13"/>
  <c r="F954" i="13"/>
  <c r="R954" i="13"/>
  <c r="F772" i="13"/>
  <c r="R772" i="13"/>
  <c r="F758" i="13"/>
  <c r="R758" i="13"/>
  <c r="F835" i="13"/>
  <c r="R835" i="13"/>
  <c r="F863" i="13"/>
  <c r="R863" i="13"/>
  <c r="F774" i="13"/>
  <c r="R774" i="13"/>
  <c r="F886" i="13"/>
  <c r="R886" i="13"/>
  <c r="F763" i="13"/>
  <c r="R763" i="13"/>
  <c r="F922" i="13"/>
  <c r="R922" i="13"/>
  <c r="F874" i="13"/>
  <c r="R874" i="13"/>
  <c r="F940" i="13"/>
  <c r="R940" i="13"/>
  <c r="F776" i="13"/>
  <c r="R776" i="13"/>
  <c r="F988" i="13"/>
  <c r="R988" i="13"/>
  <c r="F953" i="13"/>
  <c r="R953" i="13"/>
  <c r="F842" i="13"/>
  <c r="R842" i="13"/>
  <c r="F862" i="13"/>
  <c r="R862" i="13"/>
  <c r="F771" i="13"/>
  <c r="R771" i="13"/>
  <c r="F851" i="13"/>
  <c r="R851" i="13"/>
  <c r="F807" i="13"/>
  <c r="R807" i="13"/>
  <c r="F827" i="13"/>
  <c r="R827" i="13"/>
  <c r="F798" i="13"/>
  <c r="R798" i="13"/>
  <c r="F950" i="13"/>
  <c r="R950" i="13"/>
  <c r="F882" i="13"/>
  <c r="R882" i="13"/>
  <c r="F844" i="13"/>
  <c r="R844" i="13"/>
  <c r="F852" i="13"/>
  <c r="R852" i="13"/>
  <c r="F806" i="13"/>
  <c r="R806" i="13"/>
  <c r="F924" i="13"/>
  <c r="R924" i="13"/>
  <c r="F751" i="13"/>
  <c r="R751" i="13"/>
  <c r="F983" i="13"/>
  <c r="R983" i="13"/>
  <c r="F956" i="13"/>
  <c r="R956" i="13"/>
  <c r="F977" i="13"/>
  <c r="R977" i="13"/>
  <c r="F846" i="13"/>
  <c r="R846" i="13"/>
  <c r="F817" i="13"/>
  <c r="R817" i="13"/>
  <c r="I2033" i="13"/>
  <c r="U2033" i="13"/>
  <c r="I2036" i="13"/>
  <c r="U2036" i="13"/>
  <c r="I2046" i="13"/>
  <c r="U2046" i="13"/>
  <c r="I2020" i="13"/>
  <c r="U2020" i="13"/>
  <c r="I2196" i="13"/>
  <c r="U2196" i="13"/>
  <c r="I2085" i="13"/>
  <c r="U2085" i="13"/>
  <c r="I2131" i="13"/>
  <c r="U2131" i="13"/>
  <c r="I2018" i="13"/>
  <c r="U2018" i="13"/>
  <c r="I2053" i="13"/>
  <c r="U2053" i="13"/>
  <c r="I2108" i="13"/>
  <c r="U2108" i="13"/>
  <c r="I2096" i="13"/>
  <c r="U2096" i="13"/>
  <c r="I2123" i="13"/>
  <c r="U2123" i="13"/>
  <c r="I2224" i="13"/>
  <c r="U2224" i="13"/>
  <c r="I2040" i="13"/>
  <c r="U2040" i="13"/>
  <c r="I2220" i="13"/>
  <c r="U2220" i="13"/>
  <c r="I2231" i="13"/>
  <c r="U2231" i="13"/>
  <c r="I2092" i="13"/>
  <c r="U2092" i="13"/>
  <c r="I2052" i="13"/>
  <c r="U2052" i="13"/>
  <c r="I2042" i="13"/>
  <c r="U2042" i="13"/>
  <c r="I2164" i="13"/>
  <c r="U2164" i="13"/>
  <c r="I2091" i="13"/>
  <c r="U2091" i="13"/>
  <c r="I2154" i="13"/>
  <c r="U2154" i="13"/>
  <c r="I2147" i="13"/>
  <c r="U2147" i="13"/>
  <c r="I2016" i="13"/>
  <c r="U2016" i="13"/>
  <c r="I2048" i="13"/>
  <c r="U2048" i="13"/>
  <c r="I2194" i="13"/>
  <c r="U2194" i="13"/>
  <c r="I2140" i="13"/>
  <c r="U2140" i="13"/>
  <c r="I2021" i="13"/>
  <c r="U2021" i="13"/>
  <c r="I2047" i="13"/>
  <c r="U2047" i="13"/>
  <c r="I2130" i="13"/>
  <c r="U2130" i="13"/>
  <c r="I2191" i="13"/>
  <c r="U2191" i="13"/>
  <c r="I2170" i="13"/>
  <c r="U2170" i="13"/>
  <c r="I2188" i="13"/>
  <c r="U2188" i="13"/>
  <c r="I2118" i="13"/>
  <c r="U2118" i="13"/>
  <c r="I2221" i="13"/>
  <c r="U2221" i="13"/>
  <c r="I2201" i="13"/>
  <c r="U2201" i="13"/>
  <c r="I2202" i="13"/>
  <c r="U2202" i="13"/>
  <c r="I2211" i="13"/>
  <c r="U2211" i="13"/>
  <c r="I2125" i="13"/>
  <c r="U2125" i="13"/>
  <c r="I2200" i="13"/>
  <c r="U2200" i="13"/>
  <c r="I2136" i="13"/>
  <c r="U2136" i="13"/>
  <c r="I2225" i="13"/>
  <c r="U2225" i="13"/>
  <c r="I2124" i="13"/>
  <c r="U2124" i="13"/>
  <c r="I2098" i="13"/>
  <c r="U2098" i="13"/>
  <c r="I2027" i="13"/>
  <c r="U2027" i="13"/>
  <c r="I2026" i="13"/>
  <c r="U2026" i="13"/>
  <c r="I2106" i="13"/>
  <c r="U2106" i="13"/>
  <c r="I2183" i="13"/>
  <c r="U2183" i="13"/>
  <c r="I2057" i="13"/>
  <c r="U2057" i="13"/>
  <c r="I2034" i="13"/>
  <c r="U2034" i="13"/>
  <c r="I2206" i="13"/>
  <c r="U2206" i="13"/>
  <c r="I2014" i="13"/>
  <c r="U2014" i="13"/>
  <c r="I2059" i="13"/>
  <c r="U2059" i="13"/>
  <c r="I2086" i="13"/>
  <c r="U2086" i="13"/>
  <c r="I2120" i="13"/>
  <c r="U2120" i="13"/>
  <c r="I2028" i="13"/>
  <c r="U2028" i="13"/>
  <c r="I2119" i="13"/>
  <c r="U2119" i="13"/>
  <c r="I2082" i="13"/>
  <c r="U2082" i="13"/>
  <c r="I2182" i="13"/>
  <c r="U2182" i="13"/>
  <c r="I1995" i="13"/>
  <c r="U1995" i="13"/>
  <c r="I2144" i="13"/>
  <c r="U2144" i="13"/>
  <c r="I2302" i="13"/>
  <c r="U2302" i="13"/>
  <c r="I2462" i="13"/>
  <c r="U2462" i="13"/>
  <c r="I2243" i="13"/>
  <c r="U2243" i="13"/>
  <c r="I2321" i="13"/>
  <c r="U2321" i="13"/>
  <c r="I2267" i="13"/>
  <c r="U2267" i="13"/>
  <c r="I2343" i="13"/>
  <c r="U2343" i="13"/>
  <c r="I2414" i="13"/>
  <c r="U2414" i="13"/>
  <c r="I2441" i="13"/>
  <c r="U2441" i="13"/>
  <c r="I2412" i="13"/>
  <c r="U2412" i="13"/>
  <c r="I2303" i="13"/>
  <c r="U2303" i="13"/>
  <c r="I2411" i="13"/>
  <c r="U2411" i="13"/>
  <c r="I2360" i="13"/>
  <c r="U2360" i="13"/>
  <c r="I2370" i="13"/>
  <c r="U2370" i="13"/>
  <c r="I2309" i="13"/>
  <c r="U2309" i="13"/>
  <c r="I2238" i="13"/>
  <c r="U2238" i="13"/>
  <c r="I2320" i="13"/>
  <c r="U2320" i="13"/>
  <c r="I2354" i="13"/>
  <c r="U2354" i="13"/>
  <c r="I2375" i="13"/>
  <c r="U2375" i="13"/>
  <c r="I2347" i="13"/>
  <c r="U2347" i="13"/>
  <c r="I2315" i="13"/>
  <c r="U2315" i="13"/>
  <c r="I2368" i="13"/>
  <c r="U2368" i="13"/>
  <c r="I2363" i="13"/>
  <c r="U2363" i="13"/>
  <c r="I2444" i="13"/>
  <c r="U2444" i="13"/>
  <c r="I2435" i="13"/>
  <c r="U2435" i="13"/>
  <c r="I2346" i="13"/>
  <c r="U2346" i="13"/>
  <c r="I2425" i="13"/>
  <c r="U2425" i="13"/>
  <c r="I2355" i="13"/>
  <c r="U2355" i="13"/>
  <c r="I2477" i="13"/>
  <c r="U2477" i="13"/>
  <c r="I2282" i="13"/>
  <c r="U2282" i="13"/>
  <c r="I2476" i="13"/>
  <c r="U2476" i="13"/>
  <c r="I2447" i="13"/>
  <c r="U2447" i="13"/>
  <c r="I2475" i="13"/>
  <c r="U2475" i="13"/>
  <c r="I2378" i="13"/>
  <c r="U2378" i="13"/>
  <c r="I2431" i="13"/>
  <c r="U2431" i="13"/>
  <c r="I2318" i="13"/>
  <c r="U2318" i="13"/>
  <c r="I2448" i="13"/>
  <c r="U2448" i="13"/>
  <c r="I2274" i="13"/>
  <c r="U2274" i="13"/>
  <c r="I2251" i="13"/>
  <c r="U2251" i="13"/>
  <c r="I2442" i="13"/>
  <c r="U2442" i="13"/>
  <c r="I2247" i="13"/>
  <c r="U2247" i="13"/>
  <c r="I2248" i="13"/>
  <c r="U2248" i="13"/>
  <c r="I2408" i="13"/>
  <c r="U2408" i="13"/>
  <c r="I2399" i="13"/>
  <c r="U2399" i="13"/>
  <c r="I2430" i="13"/>
  <c r="U2430" i="13"/>
  <c r="I2344" i="13"/>
  <c r="U2344" i="13"/>
  <c r="I2450" i="13"/>
  <c r="U2450" i="13"/>
  <c r="I2406" i="13"/>
  <c r="U2406" i="13"/>
  <c r="I2421" i="13"/>
  <c r="U2421" i="13"/>
  <c r="I2349" i="13"/>
  <c r="U2349" i="13"/>
  <c r="I2324" i="13"/>
  <c r="U2324" i="13"/>
  <c r="I2478" i="13"/>
  <c r="U2478" i="13"/>
  <c r="I2240" i="13"/>
  <c r="U2240" i="13"/>
  <c r="I2364" i="13"/>
  <c r="U2364" i="13"/>
  <c r="I2287" i="13"/>
  <c r="U2287" i="13"/>
  <c r="I2338" i="13"/>
  <c r="U2338" i="13"/>
  <c r="I2376" i="13"/>
  <c r="U2376" i="13"/>
  <c r="I2246" i="13"/>
  <c r="U2246" i="13"/>
  <c r="I2380" i="13"/>
  <c r="U2380" i="13"/>
  <c r="I2426" i="13"/>
  <c r="U2426" i="13"/>
  <c r="I2323" i="13"/>
  <c r="U2323" i="13"/>
  <c r="G1500" i="13"/>
  <c r="S1500" i="13"/>
  <c r="G1702" i="13"/>
  <c r="S1702" i="13"/>
  <c r="G1556" i="13"/>
  <c r="S1556" i="13"/>
  <c r="G1672" i="13"/>
  <c r="S1672" i="13"/>
  <c r="G1570" i="13"/>
  <c r="S1570" i="13"/>
  <c r="G1654" i="13"/>
  <c r="S1654" i="13"/>
  <c r="G1578" i="13"/>
  <c r="S1578" i="13"/>
  <c r="G1717" i="13"/>
  <c r="S1717" i="13"/>
  <c r="G1524" i="13"/>
  <c r="S1524" i="13"/>
  <c r="G1709" i="13"/>
  <c r="S1709" i="13"/>
  <c r="G1708" i="13"/>
  <c r="S1708" i="13"/>
  <c r="G1727" i="13"/>
  <c r="S1727" i="13"/>
  <c r="G1520" i="13"/>
  <c r="S1520" i="13"/>
  <c r="G1734" i="13"/>
  <c r="S1734" i="13"/>
  <c r="G1631" i="13"/>
  <c r="S1631" i="13"/>
  <c r="G1547" i="13"/>
  <c r="S1547" i="13"/>
  <c r="G1510" i="13"/>
  <c r="S1510" i="13"/>
  <c r="G1531" i="13"/>
  <c r="S1531" i="13"/>
  <c r="G1684" i="13"/>
  <c r="S1684" i="13"/>
  <c r="G1685" i="13"/>
  <c r="S1685" i="13"/>
  <c r="G1681" i="13"/>
  <c r="S1681" i="13"/>
  <c r="G1494" i="13"/>
  <c r="S1494" i="13"/>
  <c r="G1656" i="13"/>
  <c r="S1656" i="13"/>
  <c r="G1704" i="13"/>
  <c r="S1704" i="13"/>
  <c r="G1687" i="13"/>
  <c r="S1687" i="13"/>
  <c r="G1516" i="13"/>
  <c r="S1516" i="13"/>
  <c r="G1529" i="13"/>
  <c r="S1529" i="13"/>
  <c r="G1512" i="13"/>
  <c r="S1512" i="13"/>
  <c r="G1622" i="13"/>
  <c r="S1622" i="13"/>
  <c r="G1517" i="13"/>
  <c r="S1517" i="13"/>
  <c r="G1621" i="13"/>
  <c r="S1621" i="13"/>
  <c r="G1506" i="13"/>
  <c r="S1506" i="13"/>
  <c r="G1509" i="13"/>
  <c r="S1509" i="13"/>
  <c r="G1657" i="13"/>
  <c r="S1657" i="13"/>
  <c r="G1706" i="13"/>
  <c r="S1706" i="13"/>
  <c r="G1615" i="13"/>
  <c r="S1615" i="13"/>
  <c r="G1712" i="13"/>
  <c r="S1712" i="13"/>
  <c r="G1620" i="13"/>
  <c r="S1620" i="13"/>
  <c r="G1495" i="13"/>
  <c r="S1495" i="13"/>
  <c r="G1523" i="13"/>
  <c r="S1523" i="13"/>
  <c r="G1720" i="13"/>
  <c r="S1720" i="13"/>
  <c r="G1564" i="13"/>
  <c r="S1564" i="13"/>
  <c r="G1566" i="13"/>
  <c r="S1566" i="13"/>
  <c r="G1528" i="13"/>
  <c r="S1528" i="13"/>
  <c r="G1649" i="13"/>
  <c r="S1649" i="13"/>
  <c r="G1535" i="13"/>
  <c r="S1535" i="13"/>
  <c r="G1618" i="13"/>
  <c r="S1618" i="13"/>
  <c r="G1731" i="13"/>
  <c r="S1731" i="13"/>
  <c r="G1592" i="13"/>
  <c r="S1592" i="13"/>
  <c r="G1548" i="13"/>
  <c r="S1548" i="13"/>
  <c r="G1526" i="13"/>
  <c r="S1526" i="13"/>
  <c r="G1678" i="13"/>
  <c r="S1678" i="13"/>
  <c r="G1658" i="13"/>
  <c r="S1658" i="13"/>
  <c r="G1538" i="13"/>
  <c r="S1538" i="13"/>
  <c r="G1714" i="13"/>
  <c r="S1714" i="13"/>
  <c r="G1733" i="13"/>
  <c r="S1733" i="13"/>
  <c r="G1690" i="13"/>
  <c r="S1690" i="13"/>
  <c r="G1644" i="13"/>
  <c r="S1644" i="13"/>
  <c r="G1641" i="13"/>
  <c r="S1641" i="13"/>
  <c r="G1586" i="13"/>
  <c r="S1586" i="13"/>
  <c r="G1559" i="13"/>
  <c r="J1559" i="13" s="1"/>
  <c r="S1559" i="13"/>
  <c r="H535" i="13"/>
  <c r="T535" i="13"/>
  <c r="H667" i="13"/>
  <c r="T667" i="13"/>
  <c r="H697" i="13"/>
  <c r="T697" i="13"/>
  <c r="H722" i="13"/>
  <c r="T722" i="13"/>
  <c r="H665" i="13"/>
  <c r="T665" i="13"/>
  <c r="H689" i="13"/>
  <c r="T689" i="13"/>
  <c r="H557" i="13"/>
  <c r="T557" i="13"/>
  <c r="H739" i="13"/>
  <c r="T739" i="13"/>
  <c r="H617" i="13"/>
  <c r="T617" i="13"/>
  <c r="H661" i="13"/>
  <c r="T661" i="13"/>
  <c r="H670" i="13"/>
  <c r="T670" i="13"/>
  <c r="H525" i="13"/>
  <c r="T525" i="13"/>
  <c r="H590" i="13"/>
  <c r="T590" i="13"/>
  <c r="H645" i="13"/>
  <c r="T645" i="13"/>
  <c r="H606" i="13"/>
  <c r="T606" i="13"/>
  <c r="H528" i="13"/>
  <c r="T528" i="13"/>
  <c r="H729" i="13"/>
  <c r="T729" i="13"/>
  <c r="H654" i="13"/>
  <c r="T654" i="13"/>
  <c r="H682" i="13"/>
  <c r="T682" i="13"/>
  <c r="H573" i="13"/>
  <c r="T573" i="13"/>
  <c r="H529" i="13"/>
  <c r="T529" i="13"/>
  <c r="H672" i="13"/>
  <c r="T672" i="13"/>
  <c r="H538" i="13"/>
  <c r="T538" i="13"/>
  <c r="H680" i="13"/>
  <c r="T680" i="13"/>
  <c r="H671" i="13"/>
  <c r="T671" i="13"/>
  <c r="H620" i="13"/>
  <c r="T620" i="13"/>
  <c r="H567" i="13"/>
  <c r="T567" i="13"/>
  <c r="H585" i="13"/>
  <c r="T585" i="13"/>
  <c r="H658" i="13"/>
  <c r="T658" i="13"/>
  <c r="H699" i="13"/>
  <c r="T699" i="13"/>
  <c r="H551" i="13"/>
  <c r="T551" i="13"/>
  <c r="H559" i="13"/>
  <c r="T559" i="13"/>
  <c r="H558" i="13"/>
  <c r="T558" i="13"/>
  <c r="H714" i="13"/>
  <c r="T714" i="13"/>
  <c r="H703" i="13"/>
  <c r="T703" i="13"/>
  <c r="H568" i="13"/>
  <c r="T568" i="13"/>
  <c r="H609" i="13"/>
  <c r="T609" i="13"/>
  <c r="H578" i="13"/>
  <c r="T578" i="13"/>
  <c r="H584" i="13"/>
  <c r="T584" i="13"/>
  <c r="H622" i="13"/>
  <c r="T622" i="13"/>
  <c r="H541" i="13"/>
  <c r="T541" i="13"/>
  <c r="H636" i="13"/>
  <c r="T636" i="13"/>
  <c r="H615" i="13"/>
  <c r="T615" i="13"/>
  <c r="H540" i="13"/>
  <c r="T540" i="13"/>
  <c r="H524" i="13"/>
  <c r="T524" i="13"/>
  <c r="H502" i="13"/>
  <c r="T502" i="13"/>
  <c r="H691" i="13"/>
  <c r="T691" i="13"/>
  <c r="H544" i="13"/>
  <c r="T544" i="13"/>
  <c r="H633" i="13"/>
  <c r="T633" i="13"/>
  <c r="H548" i="13"/>
  <c r="T548" i="13"/>
  <c r="H686" i="13"/>
  <c r="T686" i="13"/>
  <c r="H527" i="13"/>
  <c r="T527" i="13"/>
  <c r="H526" i="13"/>
  <c r="T526" i="13"/>
  <c r="H728" i="13"/>
  <c r="T728" i="13"/>
  <c r="H685" i="13"/>
  <c r="T685" i="13"/>
  <c r="H506" i="13"/>
  <c r="T506" i="13"/>
  <c r="H605" i="13"/>
  <c r="T605" i="13"/>
  <c r="H565" i="13"/>
  <c r="T565" i="13"/>
  <c r="H521" i="13"/>
  <c r="T521" i="13"/>
  <c r="H612" i="13"/>
  <c r="T612" i="13"/>
  <c r="E727" i="13"/>
  <c r="Q727" i="13"/>
  <c r="E624" i="13"/>
  <c r="Q624" i="13"/>
  <c r="E585" i="13"/>
  <c r="Q585" i="13"/>
  <c r="E724" i="13"/>
  <c r="Q724" i="13"/>
  <c r="E737" i="13"/>
  <c r="Q737" i="13"/>
  <c r="E516" i="13"/>
  <c r="Q516" i="13"/>
  <c r="E509" i="13"/>
  <c r="Q509" i="13"/>
  <c r="E580" i="13"/>
  <c r="Q580" i="13"/>
  <c r="E592" i="13"/>
  <c r="Q592" i="13"/>
  <c r="E578" i="13"/>
  <c r="Q578" i="13"/>
  <c r="E541" i="13"/>
  <c r="Q541" i="13"/>
  <c r="E632" i="13"/>
  <c r="Q632" i="13"/>
  <c r="E514" i="13"/>
  <c r="Q514" i="13"/>
  <c r="E554" i="13"/>
  <c r="Q554" i="13"/>
  <c r="E582" i="13"/>
  <c r="Q582" i="13"/>
  <c r="E555" i="13"/>
  <c r="Q555" i="13"/>
  <c r="E537" i="13"/>
  <c r="Q537" i="13"/>
  <c r="E573" i="13"/>
  <c r="Q573" i="13"/>
  <c r="E577" i="13"/>
  <c r="Q577" i="13"/>
  <c r="E538" i="13"/>
  <c r="Q538" i="13"/>
  <c r="E601" i="13"/>
  <c r="Q601" i="13"/>
  <c r="E575" i="13"/>
  <c r="Q575" i="13"/>
  <c r="E714" i="13"/>
  <c r="Q714" i="13"/>
  <c r="E593" i="13"/>
  <c r="Q593" i="13"/>
  <c r="E576" i="13"/>
  <c r="Q576" i="13"/>
  <c r="E561" i="13"/>
  <c r="Q561" i="13"/>
  <c r="E645" i="13"/>
  <c r="Q645" i="13"/>
  <c r="E644" i="13"/>
  <c r="Q644" i="13"/>
  <c r="E707" i="13"/>
  <c r="Q707" i="13"/>
  <c r="E663" i="13"/>
  <c r="Q663" i="13"/>
  <c r="E595" i="13"/>
  <c r="Q595" i="13"/>
  <c r="E734" i="13"/>
  <c r="Q734" i="13"/>
  <c r="E540" i="13"/>
  <c r="Q540" i="13"/>
  <c r="E612" i="13"/>
  <c r="Q612" i="13"/>
  <c r="E621" i="13"/>
  <c r="Q621" i="13"/>
  <c r="E505" i="13"/>
  <c r="Q505" i="13"/>
  <c r="E544" i="13"/>
  <c r="Q544" i="13"/>
  <c r="E547" i="13"/>
  <c r="Q547" i="13"/>
  <c r="E739" i="13"/>
  <c r="Q739" i="13"/>
  <c r="E681" i="13"/>
  <c r="Q681" i="13"/>
  <c r="E705" i="13"/>
  <c r="Q705" i="13"/>
  <c r="E607" i="13"/>
  <c r="Q607" i="13"/>
  <c r="E652" i="13"/>
  <c r="Q652" i="13"/>
  <c r="E647" i="13"/>
  <c r="Q647" i="13"/>
  <c r="E703" i="13"/>
  <c r="Q703" i="13"/>
  <c r="E655" i="13"/>
  <c r="Q655" i="13"/>
  <c r="E603" i="13"/>
  <c r="Q603" i="13"/>
  <c r="E688" i="13"/>
  <c r="Q688" i="13"/>
  <c r="E673" i="13"/>
  <c r="Q673" i="13"/>
  <c r="E709" i="13"/>
  <c r="Q709" i="13"/>
  <c r="E684" i="13"/>
  <c r="Q684" i="13"/>
  <c r="E570" i="13"/>
  <c r="Q570" i="13"/>
  <c r="E680" i="13"/>
  <c r="Q680" i="13"/>
  <c r="E706" i="13"/>
  <c r="Q706" i="13"/>
  <c r="E520" i="13"/>
  <c r="Q520" i="13"/>
  <c r="E667" i="13"/>
  <c r="Q667" i="13"/>
  <c r="E696" i="13"/>
  <c r="Q696" i="13"/>
  <c r="E562" i="13"/>
  <c r="Q562" i="13"/>
  <c r="E543" i="13"/>
  <c r="Q543" i="13"/>
  <c r="E539" i="13"/>
  <c r="Q539" i="13"/>
  <c r="E527" i="13"/>
  <c r="Q527" i="13"/>
  <c r="F1153" i="13"/>
  <c r="R1153" i="13"/>
  <c r="F1206" i="13"/>
  <c r="R1206" i="13"/>
  <c r="F1056" i="13"/>
  <c r="R1056" i="13"/>
  <c r="F1175" i="13"/>
  <c r="R1175" i="13"/>
  <c r="F1099" i="13"/>
  <c r="R1099" i="13"/>
  <c r="F1125" i="13"/>
  <c r="R1125" i="13"/>
  <c r="F1100" i="13"/>
  <c r="R1100" i="13"/>
  <c r="F1180" i="13"/>
  <c r="R1180" i="13"/>
  <c r="F1147" i="13"/>
  <c r="R1147" i="13"/>
  <c r="F1227" i="13"/>
  <c r="R1227" i="13"/>
  <c r="F1150" i="13"/>
  <c r="R1150" i="13"/>
  <c r="F1210" i="13"/>
  <c r="R1210" i="13"/>
  <c r="F1224" i="13"/>
  <c r="R1224" i="13"/>
  <c r="F1228" i="13"/>
  <c r="R1228" i="13"/>
  <c r="F1045" i="13"/>
  <c r="R1045" i="13"/>
  <c r="F1018" i="13"/>
  <c r="R1018" i="13"/>
  <c r="F1119" i="13"/>
  <c r="R1119" i="13"/>
  <c r="F1114" i="13"/>
  <c r="R1114" i="13"/>
  <c r="F1177" i="13"/>
  <c r="R1177" i="13"/>
  <c r="F1156" i="13"/>
  <c r="R1156" i="13"/>
  <c r="F1027" i="13"/>
  <c r="R1027" i="13"/>
  <c r="F1151" i="13"/>
  <c r="R1151" i="13"/>
  <c r="F1218" i="13"/>
  <c r="R1218" i="13"/>
  <c r="F1025" i="13"/>
  <c r="R1025" i="13"/>
  <c r="F1055" i="13"/>
  <c r="R1055" i="13"/>
  <c r="F1189" i="13"/>
  <c r="R1189" i="13"/>
  <c r="F1216" i="13"/>
  <c r="R1216" i="13"/>
  <c r="F1166" i="13"/>
  <c r="R1166" i="13"/>
  <c r="F1005" i="13"/>
  <c r="R1005" i="13"/>
  <c r="F1000" i="13"/>
  <c r="R1000" i="13"/>
  <c r="F1030" i="13"/>
  <c r="R1030" i="13"/>
  <c r="F1048" i="13"/>
  <c r="R1048" i="13"/>
  <c r="F1066" i="13"/>
  <c r="R1066" i="13"/>
  <c r="F1083" i="13"/>
  <c r="R1083" i="13"/>
  <c r="F1010" i="13"/>
  <c r="R1010" i="13"/>
  <c r="F1023" i="13"/>
  <c r="R1023" i="13"/>
  <c r="F1183" i="13"/>
  <c r="R1183" i="13"/>
  <c r="F1179" i="13"/>
  <c r="R1179" i="13"/>
  <c r="F1199" i="13"/>
  <c r="R1199" i="13"/>
  <c r="F1234" i="13"/>
  <c r="R1234" i="13"/>
  <c r="F1236" i="13"/>
  <c r="R1236" i="13"/>
  <c r="F1178" i="13"/>
  <c r="R1178" i="13"/>
  <c r="F1017" i="13"/>
  <c r="R1017" i="13"/>
  <c r="F1176" i="13"/>
  <c r="R1176" i="13"/>
  <c r="F1167" i="13"/>
  <c r="R1167" i="13"/>
  <c r="F1075" i="13"/>
  <c r="R1075" i="13"/>
  <c r="F1133" i="13"/>
  <c r="R1133" i="13"/>
  <c r="F1001" i="13"/>
  <c r="R1001" i="13"/>
  <c r="F1031" i="13"/>
  <c r="R1031" i="13"/>
  <c r="F1040" i="13"/>
  <c r="R1040" i="13"/>
  <c r="F1060" i="13"/>
  <c r="R1060" i="13"/>
  <c r="F1062" i="13"/>
  <c r="R1062" i="13"/>
  <c r="F1079" i="13"/>
  <c r="R1079" i="13"/>
  <c r="F1106" i="13"/>
  <c r="R1106" i="13"/>
  <c r="F1012" i="13"/>
  <c r="R1012" i="13"/>
  <c r="F1042" i="13"/>
  <c r="R1042" i="13"/>
  <c r="F1004" i="13"/>
  <c r="R1004" i="13"/>
  <c r="F1225" i="13"/>
  <c r="R1225" i="13"/>
  <c r="F1230" i="13"/>
  <c r="R1230" i="13"/>
  <c r="F1220" i="13"/>
  <c r="R1220" i="13"/>
  <c r="E846" i="13"/>
  <c r="Q846" i="13"/>
  <c r="E797" i="13"/>
  <c r="Q797" i="13"/>
  <c r="E909" i="13"/>
  <c r="Q909" i="13"/>
  <c r="E898" i="13"/>
  <c r="Q898" i="13"/>
  <c r="E827" i="13"/>
  <c r="Q827" i="13"/>
  <c r="E956" i="13"/>
  <c r="Q956" i="13"/>
  <c r="E982" i="13"/>
  <c r="Q982" i="13"/>
  <c r="E782" i="13"/>
  <c r="Q782" i="13"/>
  <c r="E793" i="13"/>
  <c r="Q793" i="13"/>
  <c r="E876" i="13"/>
  <c r="Q876" i="13"/>
  <c r="E806" i="13"/>
  <c r="Q806" i="13"/>
  <c r="E978" i="13"/>
  <c r="Q978" i="13"/>
  <c r="E990" i="13"/>
  <c r="Q990" i="13"/>
  <c r="E800" i="13"/>
  <c r="Q800" i="13"/>
  <c r="E968" i="13"/>
  <c r="Q968" i="13"/>
  <c r="E952" i="13"/>
  <c r="Q952" i="13"/>
  <c r="E890" i="13"/>
  <c r="Q890" i="13"/>
  <c r="E919" i="13"/>
  <c r="Q919" i="13"/>
  <c r="E789" i="13"/>
  <c r="Q789" i="13"/>
  <c r="E881" i="13"/>
  <c r="Q881" i="13"/>
  <c r="E984" i="13"/>
  <c r="Q984" i="13"/>
  <c r="E892" i="13"/>
  <c r="Q892" i="13"/>
  <c r="E930" i="13"/>
  <c r="Q930" i="13"/>
  <c r="E803" i="13"/>
  <c r="Q803" i="13"/>
  <c r="E812" i="13"/>
  <c r="Q812" i="13"/>
  <c r="E860" i="13"/>
  <c r="Q860" i="13"/>
  <c r="E955" i="13"/>
  <c r="Q955" i="13"/>
  <c r="E958" i="13"/>
  <c r="Q958" i="13"/>
  <c r="E949" i="13"/>
  <c r="Q949" i="13"/>
  <c r="E814" i="13"/>
  <c r="Q814" i="13"/>
  <c r="E926" i="13"/>
  <c r="Q926" i="13"/>
  <c r="E832" i="13"/>
  <c r="Q832" i="13"/>
  <c r="E971" i="13"/>
  <c r="Q971" i="13"/>
  <c r="E769" i="13"/>
  <c r="Q769" i="13"/>
  <c r="E778" i="13"/>
  <c r="Q778" i="13"/>
  <c r="E867" i="13"/>
  <c r="Q867" i="13"/>
  <c r="E944" i="13"/>
  <c r="Q944" i="13"/>
  <c r="E904" i="13"/>
  <c r="Q904" i="13"/>
  <c r="E907" i="13"/>
  <c r="Q907" i="13"/>
  <c r="E760" i="13"/>
  <c r="Q760" i="13"/>
  <c r="E858" i="13"/>
  <c r="Q858" i="13"/>
  <c r="E912" i="13"/>
  <c r="Q912" i="13"/>
  <c r="E845" i="13"/>
  <c r="Q845" i="13"/>
  <c r="E821" i="13"/>
  <c r="Q821" i="13"/>
  <c r="E750" i="13"/>
  <c r="Q750" i="13"/>
  <c r="E939" i="13"/>
  <c r="Q939" i="13"/>
  <c r="E925" i="13"/>
  <c r="Q925" i="13"/>
  <c r="E950" i="13"/>
  <c r="Q950" i="13"/>
  <c r="E761" i="13"/>
  <c r="Q761" i="13"/>
  <c r="E936" i="13"/>
  <c r="Q936" i="13"/>
  <c r="E932" i="13"/>
  <c r="Q932" i="13"/>
  <c r="E875" i="13"/>
  <c r="Q875" i="13"/>
  <c r="E927" i="13"/>
  <c r="Q927" i="13"/>
  <c r="E884" i="13"/>
  <c r="Q884" i="13"/>
  <c r="E759" i="13"/>
  <c r="Q759" i="13"/>
  <c r="E911" i="13"/>
  <c r="Q911" i="13"/>
  <c r="E843" i="13"/>
  <c r="Q843" i="13"/>
  <c r="E888" i="13"/>
  <c r="Q888" i="13"/>
  <c r="E967" i="13"/>
  <c r="Q967" i="13"/>
  <c r="E767" i="13"/>
  <c r="Q767" i="13"/>
  <c r="E2287" i="13"/>
  <c r="Q2287" i="13"/>
  <c r="E2260" i="13"/>
  <c r="Q2260" i="13"/>
  <c r="E2283" i="13"/>
  <c r="Q2283" i="13"/>
  <c r="E2308" i="13"/>
  <c r="Q2308" i="13"/>
  <c r="E2350" i="13"/>
  <c r="Q2350" i="13"/>
  <c r="E2354" i="13"/>
  <c r="Q2354" i="13"/>
  <c r="E2389" i="13"/>
  <c r="Q2389" i="13"/>
  <c r="E2464" i="13"/>
  <c r="Q2464" i="13"/>
  <c r="E2253" i="13"/>
  <c r="Q2253" i="13"/>
  <c r="E2251" i="13"/>
  <c r="Q2251" i="13"/>
  <c r="E2300" i="13"/>
  <c r="Q2300" i="13"/>
  <c r="E2412" i="13"/>
  <c r="Q2412" i="13"/>
  <c r="E2469" i="13"/>
  <c r="Q2469" i="13"/>
  <c r="E2258" i="13"/>
  <c r="Q2258" i="13"/>
  <c r="E2263" i="13"/>
  <c r="Q2263" i="13"/>
  <c r="E2435" i="13"/>
  <c r="Q2435" i="13"/>
  <c r="E2319" i="13"/>
  <c r="Q2319" i="13"/>
  <c r="E2238" i="13"/>
  <c r="Q2238" i="13"/>
  <c r="E2255" i="13"/>
  <c r="Q2255" i="13"/>
  <c r="E2264" i="13"/>
  <c r="Q2264" i="13"/>
  <c r="E2307" i="13"/>
  <c r="Q2307" i="13"/>
  <c r="E2274" i="13"/>
  <c r="Q2274" i="13"/>
  <c r="E2405" i="13"/>
  <c r="Q2405" i="13"/>
  <c r="E2396" i="13"/>
  <c r="Q2396" i="13"/>
  <c r="E2467" i="13"/>
  <c r="Q2467" i="13"/>
  <c r="E2376" i="13"/>
  <c r="Q2376" i="13"/>
  <c r="E2277" i="13"/>
  <c r="Q2277" i="13"/>
  <c r="E2380" i="13"/>
  <c r="Q2380" i="13"/>
  <c r="E2462" i="13"/>
  <c r="Q2462" i="13"/>
  <c r="E2351" i="13"/>
  <c r="Q2351" i="13"/>
  <c r="E2452" i="13"/>
  <c r="Q2452" i="13"/>
  <c r="E2361" i="13"/>
  <c r="Q2361" i="13"/>
  <c r="E2458" i="13"/>
  <c r="Q2458" i="13"/>
  <c r="E2461" i="13"/>
  <c r="Q2461" i="13"/>
  <c r="E2392" i="13"/>
  <c r="Q2392" i="13"/>
  <c r="E2261" i="13"/>
  <c r="Q2261" i="13"/>
  <c r="E2346" i="13"/>
  <c r="Q2346" i="13"/>
  <c r="E2423" i="13"/>
  <c r="Q2423" i="13"/>
  <c r="E2394" i="13"/>
  <c r="Q2394" i="13"/>
  <c r="E2385" i="13"/>
  <c r="Q2385" i="13"/>
  <c r="E2444" i="13"/>
  <c r="Q2444" i="13"/>
  <c r="E2367" i="13"/>
  <c r="Q2367" i="13"/>
  <c r="E2390" i="13"/>
  <c r="Q2390" i="13"/>
  <c r="E2365" i="13"/>
  <c r="Q2365" i="13"/>
  <c r="E2440" i="13"/>
  <c r="Q2440" i="13"/>
  <c r="E2447" i="13"/>
  <c r="Q2447" i="13"/>
  <c r="E2327" i="13"/>
  <c r="Q2327" i="13"/>
  <c r="E2355" i="13"/>
  <c r="Q2355" i="13"/>
  <c r="E2408" i="13"/>
  <c r="Q2408" i="13"/>
  <c r="E2443" i="13"/>
  <c r="Q2443" i="13"/>
  <c r="E2438" i="13"/>
  <c r="Q2438" i="13"/>
  <c r="E2428" i="13"/>
  <c r="Q2428" i="13"/>
  <c r="E2338" i="13"/>
  <c r="Q2338" i="13"/>
  <c r="E2341" i="13"/>
  <c r="Q2341" i="13"/>
  <c r="E2331" i="13"/>
  <c r="Q2331" i="13"/>
  <c r="E2403" i="13"/>
  <c r="Q2403" i="13"/>
  <c r="E2413" i="13"/>
  <c r="Q2413" i="13"/>
  <c r="E2337" i="13"/>
  <c r="Q2337" i="13"/>
  <c r="E2348" i="13"/>
  <c r="Q2348" i="13"/>
  <c r="E2399" i="13"/>
  <c r="Q2399" i="13"/>
  <c r="E2370" i="13"/>
  <c r="Q2370" i="13"/>
  <c r="I685" i="13"/>
  <c r="U685" i="13"/>
  <c r="I658" i="13"/>
  <c r="U658" i="13"/>
  <c r="I645" i="13"/>
  <c r="U645" i="13"/>
  <c r="I591" i="13"/>
  <c r="U591" i="13"/>
  <c r="I733" i="13"/>
  <c r="U733" i="13"/>
  <c r="I703" i="13"/>
  <c r="U703" i="13"/>
  <c r="I739" i="13"/>
  <c r="U739" i="13"/>
  <c r="I740" i="13"/>
  <c r="U740" i="13"/>
  <c r="I619" i="13"/>
  <c r="U619" i="13"/>
  <c r="I549" i="13"/>
  <c r="U549" i="13"/>
  <c r="I559" i="13"/>
  <c r="U559" i="13"/>
  <c r="I688" i="13"/>
  <c r="U688" i="13"/>
  <c r="I662" i="13"/>
  <c r="U662" i="13"/>
  <c r="I596" i="13"/>
  <c r="U596" i="13"/>
  <c r="I730" i="13"/>
  <c r="U730" i="13"/>
  <c r="I514" i="13"/>
  <c r="U514" i="13"/>
  <c r="I538" i="13"/>
  <c r="U538" i="13"/>
  <c r="I651" i="13"/>
  <c r="U651" i="13"/>
  <c r="I511" i="13"/>
  <c r="U511" i="13"/>
  <c r="I558" i="13"/>
  <c r="U558" i="13"/>
  <c r="I566" i="13"/>
  <c r="U566" i="13"/>
  <c r="I570" i="13"/>
  <c r="U570" i="13"/>
  <c r="I707" i="13"/>
  <c r="U707" i="13"/>
  <c r="I580" i="13"/>
  <c r="U580" i="13"/>
  <c r="I562" i="13"/>
  <c r="U562" i="13"/>
  <c r="I716" i="13"/>
  <c r="U716" i="13"/>
  <c r="I649" i="13"/>
  <c r="U649" i="13"/>
  <c r="I526" i="13"/>
  <c r="U526" i="13"/>
  <c r="I642" i="13"/>
  <c r="U642" i="13"/>
  <c r="I670" i="13"/>
  <c r="U670" i="13"/>
  <c r="I520" i="13"/>
  <c r="U520" i="13"/>
  <c r="I547" i="13"/>
  <c r="U547" i="13"/>
  <c r="I585" i="13"/>
  <c r="U585" i="13"/>
  <c r="I728" i="13"/>
  <c r="U728" i="13"/>
  <c r="I560" i="13"/>
  <c r="U560" i="13"/>
  <c r="I680" i="13"/>
  <c r="U680" i="13"/>
  <c r="I695" i="13"/>
  <c r="U695" i="13"/>
  <c r="I738" i="13"/>
  <c r="U738" i="13"/>
  <c r="I655" i="13"/>
  <c r="U655" i="13"/>
  <c r="I721" i="13"/>
  <c r="U721" i="13"/>
  <c r="I616" i="13"/>
  <c r="U616" i="13"/>
  <c r="I599" i="13"/>
  <c r="U599" i="13"/>
  <c r="I696" i="13"/>
  <c r="U696" i="13"/>
  <c r="I605" i="13"/>
  <c r="U605" i="13"/>
  <c r="I569" i="13"/>
  <c r="U569" i="13"/>
  <c r="I635" i="13"/>
  <c r="U635" i="13"/>
  <c r="I677" i="13"/>
  <c r="U677" i="13"/>
  <c r="I508" i="13"/>
  <c r="U508" i="13"/>
  <c r="I516" i="13"/>
  <c r="U516" i="13"/>
  <c r="I584" i="13"/>
  <c r="U584" i="13"/>
  <c r="I613" i="13"/>
  <c r="U613" i="13"/>
  <c r="I708" i="13"/>
  <c r="U708" i="13"/>
  <c r="I713" i="13"/>
  <c r="U713" i="13"/>
  <c r="I573" i="13"/>
  <c r="U573" i="13"/>
  <c r="I505" i="13"/>
  <c r="U505" i="13"/>
  <c r="I610" i="13"/>
  <c r="U610" i="13"/>
  <c r="I621" i="13"/>
  <c r="U621" i="13"/>
  <c r="I567" i="13"/>
  <c r="U567" i="13"/>
  <c r="I550" i="13"/>
  <c r="U550" i="13"/>
  <c r="I535" i="13"/>
  <c r="U535" i="13"/>
  <c r="G997" i="13"/>
  <c r="E501" i="13"/>
  <c r="F1245" i="13"/>
  <c r="H1741" i="13"/>
  <c r="E749" i="13"/>
  <c r="H1493" i="13"/>
  <c r="F501" i="13"/>
  <c r="G1989" i="13"/>
  <c r="E2066" i="13"/>
  <c r="Q2066" i="13"/>
  <c r="E2185" i="13"/>
  <c r="Q2185" i="13"/>
  <c r="E2092" i="13"/>
  <c r="Q2092" i="13"/>
  <c r="E2003" i="13"/>
  <c r="Q2003" i="13"/>
  <c r="E2127" i="13"/>
  <c r="Q2127" i="13"/>
  <c r="E2176" i="13"/>
  <c r="Q2176" i="13"/>
  <c r="E2107" i="13"/>
  <c r="Q2107" i="13"/>
  <c r="E2131" i="13"/>
  <c r="Q2131" i="13"/>
  <c r="E2216" i="13"/>
  <c r="Q2216" i="13"/>
  <c r="E2182" i="13"/>
  <c r="Q2182" i="13"/>
  <c r="E1991" i="13"/>
  <c r="Q1991" i="13"/>
  <c r="E2099" i="13"/>
  <c r="Q2099" i="13"/>
  <c r="E2048" i="13"/>
  <c r="Q2048" i="13"/>
  <c r="E2134" i="13"/>
  <c r="Q2134" i="13"/>
  <c r="E2020" i="13"/>
  <c r="Q2020" i="13"/>
  <c r="E2159" i="13"/>
  <c r="Q2159" i="13"/>
  <c r="E2200" i="13"/>
  <c r="Q2200" i="13"/>
  <c r="E2086" i="13"/>
  <c r="Q2086" i="13"/>
  <c r="E2225" i="13"/>
  <c r="Q2225" i="13"/>
  <c r="G2252" i="13"/>
  <c r="S2252" i="13"/>
  <c r="G2366" i="13"/>
  <c r="S2366" i="13"/>
  <c r="G2330" i="13"/>
  <c r="S2330" i="13"/>
  <c r="G2429" i="13"/>
  <c r="S2429" i="13"/>
  <c r="G2267" i="13"/>
  <c r="S2267" i="13"/>
  <c r="G2375" i="13"/>
  <c r="S2375" i="13"/>
  <c r="G2360" i="13"/>
  <c r="S2360" i="13"/>
  <c r="G2399" i="13"/>
  <c r="S2399" i="13"/>
  <c r="G2428" i="13"/>
  <c r="S2428" i="13"/>
  <c r="G2307" i="13"/>
  <c r="S2307" i="13"/>
  <c r="G2411" i="13"/>
  <c r="S2411" i="13"/>
  <c r="G2356" i="13"/>
  <c r="S2356" i="13"/>
  <c r="G2314" i="13"/>
  <c r="S2314" i="13"/>
  <c r="G2352" i="13"/>
  <c r="S2352" i="13"/>
  <c r="G2363" i="13"/>
  <c r="S2363" i="13"/>
  <c r="G2446" i="13"/>
  <c r="S2446" i="13"/>
  <c r="G2426" i="13"/>
  <c r="S2426" i="13"/>
  <c r="G2311" i="13"/>
  <c r="S2311" i="13"/>
  <c r="G2450" i="13"/>
  <c r="S2450" i="13"/>
  <c r="G2403" i="13"/>
  <c r="S2403" i="13"/>
  <c r="G2463" i="13"/>
  <c r="S2463" i="13"/>
  <c r="G2262" i="13"/>
  <c r="S2262" i="13"/>
  <c r="G2306" i="13"/>
  <c r="S2306" i="13"/>
  <c r="G2354" i="13"/>
  <c r="S2354" i="13"/>
  <c r="G2414" i="13"/>
  <c r="S2414" i="13"/>
  <c r="G2299" i="13"/>
  <c r="S2299" i="13"/>
  <c r="G2289" i="13"/>
  <c r="S2289" i="13"/>
  <c r="G2402" i="13"/>
  <c r="S2402" i="13"/>
  <c r="G2258" i="13"/>
  <c r="S2258" i="13"/>
  <c r="G2435" i="13"/>
  <c r="S2435" i="13"/>
  <c r="G2284" i="13"/>
  <c r="S2284" i="13"/>
  <c r="G2355" i="13"/>
  <c r="S2355" i="13"/>
  <c r="G2400" i="13"/>
  <c r="S2400" i="13"/>
  <c r="G2255" i="13"/>
  <c r="S2255" i="13"/>
  <c r="G2381" i="13"/>
  <c r="S2381" i="13"/>
  <c r="G2388" i="13"/>
  <c r="S2388" i="13"/>
  <c r="G2468" i="13"/>
  <c r="S2468" i="13"/>
  <c r="G2455" i="13"/>
  <c r="S2455" i="13"/>
  <c r="G2339" i="13"/>
  <c r="S2339" i="13"/>
  <c r="G2261" i="13"/>
  <c r="S2261" i="13"/>
  <c r="G2405" i="13"/>
  <c r="S2405" i="13"/>
  <c r="G2449" i="13"/>
  <c r="S2449" i="13"/>
  <c r="G2413" i="13"/>
  <c r="S2413" i="13"/>
  <c r="G2365" i="13"/>
  <c r="S2365" i="13"/>
  <c r="G2452" i="13"/>
  <c r="S2452" i="13"/>
  <c r="G2297" i="13"/>
  <c r="S2297" i="13"/>
  <c r="G2298" i="13"/>
  <c r="S2298" i="13"/>
  <c r="G2371" i="13"/>
  <c r="S2371" i="13"/>
  <c r="G2379" i="13"/>
  <c r="S2379" i="13"/>
  <c r="G2434" i="13"/>
  <c r="S2434" i="13"/>
  <c r="G2473" i="13"/>
  <c r="S2473" i="13"/>
  <c r="G2328" i="13"/>
  <c r="S2328" i="13"/>
  <c r="G2302" i="13"/>
  <c r="S2302" i="13"/>
  <c r="G2340" i="13"/>
  <c r="S2340" i="13"/>
  <c r="G2471" i="13"/>
  <c r="S2471" i="13"/>
  <c r="G2423" i="13"/>
  <c r="S2423" i="13"/>
  <c r="G2398" i="13"/>
  <c r="S2398" i="13"/>
  <c r="G2244" i="13"/>
  <c r="S2244" i="13"/>
  <c r="G2320" i="13"/>
  <c r="S2320" i="13"/>
  <c r="G2312" i="13"/>
  <c r="S2312" i="13"/>
  <c r="G2457" i="13"/>
  <c r="S2457" i="13"/>
  <c r="I1640" i="13"/>
  <c r="U1640" i="13"/>
  <c r="I1694" i="13"/>
  <c r="U1694" i="13"/>
  <c r="I1583" i="13"/>
  <c r="U1583" i="13"/>
  <c r="I1536" i="13"/>
  <c r="U1536" i="13"/>
  <c r="I1642" i="13"/>
  <c r="U1642" i="13"/>
  <c r="I1709" i="13"/>
  <c r="U1709" i="13"/>
  <c r="I1523" i="13"/>
  <c r="U1523" i="13"/>
  <c r="I1664" i="13"/>
  <c r="U1664" i="13"/>
  <c r="I1630" i="13"/>
  <c r="U1630" i="13"/>
  <c r="I1566" i="13"/>
  <c r="U1566" i="13"/>
  <c r="I1624" i="13"/>
  <c r="U1624" i="13"/>
  <c r="I1600" i="13"/>
  <c r="U1600" i="13"/>
  <c r="I1607" i="13"/>
  <c r="U1607" i="13"/>
  <c r="I1526" i="13"/>
  <c r="U1526" i="13"/>
  <c r="I1563" i="13"/>
  <c r="U1563" i="13"/>
  <c r="I1700" i="13"/>
  <c r="U1700" i="13"/>
  <c r="I1626" i="13"/>
  <c r="U1626" i="13"/>
  <c r="I1643" i="13"/>
  <c r="U1643" i="13"/>
  <c r="I1677" i="13"/>
  <c r="U1677" i="13"/>
  <c r="I1687" i="13"/>
  <c r="U1687" i="13"/>
  <c r="I1660" i="13"/>
  <c r="U1660" i="13"/>
  <c r="I1575" i="13"/>
  <c r="U1575" i="13"/>
  <c r="I1612" i="13"/>
  <c r="U1612" i="13"/>
  <c r="I1542" i="13"/>
  <c r="U1542" i="13"/>
  <c r="I1668" i="13"/>
  <c r="U1668" i="13"/>
  <c r="I1714" i="13"/>
  <c r="U1714" i="13"/>
  <c r="I1669" i="13"/>
  <c r="U1669" i="13"/>
  <c r="I1615" i="13"/>
  <c r="U1615" i="13"/>
  <c r="I1733" i="13"/>
  <c r="U1733" i="13"/>
  <c r="I1540" i="13"/>
  <c r="U1540" i="13"/>
  <c r="I1633" i="13"/>
  <c r="U1633" i="13"/>
  <c r="I1693" i="13"/>
  <c r="U1693" i="13"/>
  <c r="I1496" i="13"/>
  <c r="U1496" i="13"/>
  <c r="I1509" i="13"/>
  <c r="U1509" i="13"/>
  <c r="I1582" i="13"/>
  <c r="U1582" i="13"/>
  <c r="I1655" i="13"/>
  <c r="U1655" i="13"/>
  <c r="I1651" i="13"/>
  <c r="U1651" i="13"/>
  <c r="I1494" i="13"/>
  <c r="U1494" i="13"/>
  <c r="I1537" i="13"/>
  <c r="U1537" i="13"/>
  <c r="I1541" i="13"/>
  <c r="U1541" i="13"/>
  <c r="I1571" i="13"/>
  <c r="U1571" i="13"/>
  <c r="I1710" i="13"/>
  <c r="U1710" i="13"/>
  <c r="I1585" i="13"/>
  <c r="U1585" i="13"/>
  <c r="I1532" i="13"/>
  <c r="U1532" i="13"/>
  <c r="I1513" i="13"/>
  <c r="U1513" i="13"/>
  <c r="I1715" i="13"/>
  <c r="U1715" i="13"/>
  <c r="I1623" i="13"/>
  <c r="U1623" i="13"/>
  <c r="I1569" i="13"/>
  <c r="U1569" i="13"/>
  <c r="I1587" i="13"/>
  <c r="U1587" i="13"/>
  <c r="I1570" i="13"/>
  <c r="U1570" i="13"/>
  <c r="I1727" i="13"/>
  <c r="U1727" i="13"/>
  <c r="I1595" i="13"/>
  <c r="U1595" i="13"/>
  <c r="I1606" i="13"/>
  <c r="U1606" i="13"/>
  <c r="I1538" i="13"/>
  <c r="U1538" i="13"/>
  <c r="I1568" i="13"/>
  <c r="U1568" i="13"/>
  <c r="I1620" i="13"/>
  <c r="U1620" i="13"/>
  <c r="I1622" i="13"/>
  <c r="U1622" i="13"/>
  <c r="I1696" i="13"/>
  <c r="U1696" i="13"/>
  <c r="I1629" i="13"/>
  <c r="U1629" i="13"/>
  <c r="F630" i="13"/>
  <c r="R630" i="13"/>
  <c r="F529" i="13"/>
  <c r="R529" i="13"/>
  <c r="F584" i="13"/>
  <c r="R584" i="13"/>
  <c r="F632" i="13"/>
  <c r="R632" i="13"/>
  <c r="F535" i="13"/>
  <c r="R535" i="13"/>
  <c r="F740" i="13"/>
  <c r="R740" i="13"/>
  <c r="F681" i="13"/>
  <c r="R681" i="13"/>
  <c r="F673" i="13"/>
  <c r="R673" i="13"/>
  <c r="F583" i="13"/>
  <c r="R583" i="13"/>
  <c r="F700" i="13"/>
  <c r="R700" i="13"/>
  <c r="F627" i="13"/>
  <c r="R627" i="13"/>
  <c r="F633" i="13"/>
  <c r="R633" i="13"/>
  <c r="F723" i="13"/>
  <c r="R723" i="13"/>
  <c r="F564" i="13"/>
  <c r="R564" i="13"/>
  <c r="F698" i="13"/>
  <c r="R698" i="13"/>
  <c r="F563" i="13"/>
  <c r="R563" i="13"/>
  <c r="F592" i="13"/>
  <c r="R592" i="13"/>
  <c r="F718" i="13"/>
  <c r="R718" i="13"/>
  <c r="F709" i="13"/>
  <c r="R709" i="13"/>
  <c r="F521" i="13"/>
  <c r="R521" i="13"/>
  <c r="F515" i="13"/>
  <c r="R515" i="13"/>
  <c r="F734" i="13"/>
  <c r="R734" i="13"/>
  <c r="F566" i="13"/>
  <c r="R566" i="13"/>
  <c r="F619" i="13"/>
  <c r="R619" i="13"/>
  <c r="F554" i="13"/>
  <c r="R554" i="13"/>
  <c r="F638" i="13"/>
  <c r="R638" i="13"/>
  <c r="F724" i="13"/>
  <c r="R724" i="13"/>
  <c r="F539" i="13"/>
  <c r="R539" i="13"/>
  <c r="F527" i="13"/>
  <c r="R527" i="13"/>
  <c r="F553" i="13"/>
  <c r="R553" i="13"/>
  <c r="F598" i="13"/>
  <c r="R598" i="13"/>
  <c r="F634" i="13"/>
  <c r="R634" i="13"/>
  <c r="F582" i="13"/>
  <c r="R582" i="13"/>
  <c r="F502" i="13"/>
  <c r="R502" i="13"/>
  <c r="F550" i="13"/>
  <c r="R550" i="13"/>
  <c r="F646" i="13"/>
  <c r="R646" i="13"/>
  <c r="F569" i="13"/>
  <c r="R569" i="13"/>
  <c r="F610" i="13"/>
  <c r="R610" i="13"/>
  <c r="F507" i="13"/>
  <c r="R507" i="13"/>
  <c r="F514" i="13"/>
  <c r="R514" i="13"/>
  <c r="F618" i="13"/>
  <c r="R618" i="13"/>
  <c r="F524" i="13"/>
  <c r="R524" i="13"/>
  <c r="F689" i="13"/>
  <c r="R689" i="13"/>
  <c r="F719" i="13"/>
  <c r="R719" i="13"/>
  <c r="F683" i="13"/>
  <c r="R683" i="13"/>
  <c r="F665" i="13"/>
  <c r="R665" i="13"/>
  <c r="F676" i="13"/>
  <c r="R676" i="13"/>
  <c r="F540" i="13"/>
  <c r="R540" i="13"/>
  <c r="F601" i="13"/>
  <c r="R601" i="13"/>
  <c r="F631" i="13"/>
  <c r="R631" i="13"/>
  <c r="F517" i="13"/>
  <c r="R517" i="13"/>
  <c r="F620" i="13"/>
  <c r="R620" i="13"/>
  <c r="F641" i="13"/>
  <c r="R641" i="13"/>
  <c r="F735" i="13"/>
  <c r="R735" i="13"/>
  <c r="F684" i="13"/>
  <c r="R684" i="13"/>
  <c r="F720" i="13"/>
  <c r="R720" i="13"/>
  <c r="F710" i="13"/>
  <c r="R710" i="13"/>
  <c r="F621" i="13"/>
  <c r="R621" i="13"/>
  <c r="F505" i="13"/>
  <c r="R505" i="13"/>
  <c r="F624" i="13"/>
  <c r="R624" i="13"/>
  <c r="F503" i="13"/>
  <c r="R503" i="13"/>
  <c r="H1844" i="13"/>
  <c r="T1844" i="13"/>
  <c r="H1919" i="13"/>
  <c r="T1919" i="13"/>
  <c r="H1957" i="13"/>
  <c r="T1957" i="13"/>
  <c r="H1943" i="13"/>
  <c r="T1943" i="13"/>
  <c r="H1901" i="13"/>
  <c r="T1901" i="13"/>
  <c r="H1873" i="13"/>
  <c r="T1873" i="13"/>
  <c r="H1911" i="13"/>
  <c r="T1911" i="13"/>
  <c r="H1782" i="13"/>
  <c r="T1782" i="13"/>
  <c r="H1964" i="13"/>
  <c r="T1964" i="13"/>
  <c r="H1978" i="13"/>
  <c r="T1978" i="13"/>
  <c r="H1765" i="13"/>
  <c r="T1765" i="13"/>
  <c r="H1767" i="13"/>
  <c r="T1767" i="13"/>
  <c r="H1754" i="13"/>
  <c r="T1754" i="13"/>
  <c r="H1798" i="13"/>
  <c r="T1798" i="13"/>
  <c r="H1818" i="13"/>
  <c r="T1818" i="13"/>
  <c r="H1794" i="13"/>
  <c r="T1794" i="13"/>
  <c r="H1800" i="13"/>
  <c r="T1800" i="13"/>
  <c r="H1820" i="13"/>
  <c r="T1820" i="13"/>
  <c r="H1785" i="13"/>
  <c r="T1785" i="13"/>
  <c r="H1878" i="13"/>
  <c r="T1878" i="13"/>
  <c r="H1775" i="13"/>
  <c r="T1775" i="13"/>
  <c r="H1784" i="13"/>
  <c r="T1784" i="13"/>
  <c r="H1792" i="13"/>
  <c r="T1792" i="13"/>
  <c r="H1870" i="13"/>
  <c r="T1870" i="13"/>
  <c r="H1955" i="13"/>
  <c r="T1955" i="13"/>
  <c r="H1961" i="13"/>
  <c r="T1961" i="13"/>
  <c r="H1806" i="13"/>
  <c r="T1806" i="13"/>
  <c r="H1976" i="13"/>
  <c r="T1976" i="13"/>
  <c r="H1915" i="13"/>
  <c r="T1915" i="13"/>
  <c r="H1983" i="13"/>
  <c r="T1983" i="13"/>
  <c r="H1874" i="13"/>
  <c r="T1874" i="13"/>
  <c r="H1900" i="13"/>
  <c r="T1900" i="13"/>
  <c r="H1758" i="13"/>
  <c r="T1758" i="13"/>
  <c r="H1905" i="13"/>
  <c r="T1905" i="13"/>
  <c r="H1771" i="13"/>
  <c r="T1771" i="13"/>
  <c r="H1796" i="13"/>
  <c r="T1796" i="13"/>
  <c r="H1879" i="13"/>
  <c r="T1879" i="13"/>
  <c r="H1857" i="13"/>
  <c r="T1857" i="13"/>
  <c r="H1888" i="13"/>
  <c r="T1888" i="13"/>
  <c r="H1891" i="13"/>
  <c r="T1891" i="13"/>
  <c r="H1980" i="13"/>
  <c r="T1980" i="13"/>
  <c r="H1769" i="13"/>
  <c r="T1769" i="13"/>
  <c r="H1804" i="13"/>
  <c r="T1804" i="13"/>
  <c r="H1934" i="13"/>
  <c r="T1934" i="13"/>
  <c r="H1849" i="13"/>
  <c r="T1849" i="13"/>
  <c r="H1805" i="13"/>
  <c r="T1805" i="13"/>
  <c r="H1837" i="13"/>
  <c r="T1837" i="13"/>
  <c r="H1783" i="13"/>
  <c r="T1783" i="13"/>
  <c r="H1747" i="13"/>
  <c r="T1747" i="13"/>
  <c r="H1799" i="13"/>
  <c r="T1799" i="13"/>
  <c r="H1748" i="13"/>
  <c r="T1748" i="13"/>
  <c r="H1913" i="13"/>
  <c r="T1913" i="13"/>
  <c r="H1893" i="13"/>
  <c r="T1893" i="13"/>
  <c r="H1899" i="13"/>
  <c r="T1899" i="13"/>
  <c r="H1812" i="13"/>
  <c r="T1812" i="13"/>
  <c r="H1779" i="13"/>
  <c r="T1779" i="13"/>
  <c r="H1855" i="13"/>
  <c r="T1855" i="13"/>
  <c r="H1862" i="13"/>
  <c r="T1862" i="13"/>
  <c r="H1963" i="13"/>
  <c r="T1963" i="13"/>
  <c r="H1853" i="13"/>
  <c r="T1853" i="13"/>
  <c r="H1869" i="13"/>
  <c r="T1869" i="13"/>
  <c r="G1397" i="13"/>
  <c r="S1397" i="13"/>
  <c r="G1446" i="13"/>
  <c r="S1446" i="13"/>
  <c r="G1328" i="13"/>
  <c r="S1328" i="13"/>
  <c r="G1357" i="13"/>
  <c r="S1357" i="13"/>
  <c r="G1259" i="13"/>
  <c r="S1259" i="13"/>
  <c r="G1320" i="13"/>
  <c r="S1320" i="13"/>
  <c r="G1444" i="13"/>
  <c r="S1444" i="13"/>
  <c r="G1270" i="13"/>
  <c r="S1270" i="13"/>
  <c r="G1449" i="13"/>
  <c r="S1449" i="13"/>
  <c r="G1384" i="13"/>
  <c r="S1384" i="13"/>
  <c r="G1427" i="13"/>
  <c r="S1427" i="13"/>
  <c r="G1372" i="13"/>
  <c r="S1372" i="13"/>
  <c r="G1322" i="13"/>
  <c r="S1322" i="13"/>
  <c r="G1369" i="13"/>
  <c r="S1369" i="13"/>
  <c r="G1396" i="13"/>
  <c r="S1396" i="13"/>
  <c r="G1418" i="13"/>
  <c r="S1418" i="13"/>
  <c r="G1451" i="13"/>
  <c r="S1451" i="13"/>
  <c r="G1394" i="13"/>
  <c r="S1394" i="13"/>
  <c r="G1432" i="13"/>
  <c r="S1432" i="13"/>
  <c r="G1431" i="13"/>
  <c r="S1431" i="13"/>
  <c r="G1278" i="13"/>
  <c r="S1278" i="13"/>
  <c r="G1348" i="13"/>
  <c r="S1348" i="13"/>
  <c r="G1459" i="13"/>
  <c r="S1459" i="13"/>
  <c r="G1393" i="13"/>
  <c r="S1393" i="13"/>
  <c r="G1438" i="13"/>
  <c r="S1438" i="13"/>
  <c r="G1288" i="13"/>
  <c r="S1288" i="13"/>
  <c r="G1251" i="13"/>
  <c r="S1251" i="13"/>
  <c r="G1381" i="13"/>
  <c r="S1381" i="13"/>
  <c r="G1346" i="13"/>
  <c r="S1346" i="13"/>
  <c r="G1312" i="13"/>
  <c r="S1312" i="13"/>
  <c r="G1247" i="13"/>
  <c r="S1247" i="13"/>
  <c r="G1335" i="13"/>
  <c r="S1335" i="13"/>
  <c r="G1264" i="13"/>
  <c r="S1264" i="13"/>
  <c r="G1410" i="13"/>
  <c r="S1410" i="13"/>
  <c r="G1337" i="13"/>
  <c r="S1337" i="13"/>
  <c r="G1443" i="13"/>
  <c r="S1443" i="13"/>
  <c r="G1412" i="13"/>
  <c r="S1412" i="13"/>
  <c r="G1477" i="13"/>
  <c r="S1477" i="13"/>
  <c r="G1364" i="13"/>
  <c r="S1364" i="13"/>
  <c r="G1310" i="13"/>
  <c r="S1310" i="13"/>
  <c r="G1434" i="13"/>
  <c r="S1434" i="13"/>
  <c r="G1413" i="13"/>
  <c r="S1413" i="13"/>
  <c r="G1401" i="13"/>
  <c r="S1401" i="13"/>
  <c r="G1318" i="13"/>
  <c r="S1318" i="13"/>
  <c r="G1419" i="13"/>
  <c r="S1419" i="13"/>
  <c r="G1305" i="13"/>
  <c r="S1305" i="13"/>
  <c r="G1266" i="13"/>
  <c r="S1266" i="13"/>
  <c r="G1458" i="13"/>
  <c r="S1458" i="13"/>
  <c r="G1476" i="13"/>
  <c r="S1476" i="13"/>
  <c r="G1479" i="13"/>
  <c r="S1479" i="13"/>
  <c r="G1269" i="13"/>
  <c r="S1269" i="13"/>
  <c r="G1319" i="13"/>
  <c r="S1319" i="13"/>
  <c r="G1421" i="13"/>
  <c r="S1421" i="13"/>
  <c r="G1285" i="13"/>
  <c r="S1285" i="13"/>
  <c r="G1437" i="13"/>
  <c r="S1437" i="13"/>
  <c r="G1290" i="13"/>
  <c r="S1290" i="13"/>
  <c r="G1398" i="13"/>
  <c r="S1398" i="13"/>
  <c r="G1289" i="13"/>
  <c r="S1289" i="13"/>
  <c r="G1450" i="13"/>
  <c r="S1450" i="13"/>
  <c r="G1439" i="13"/>
  <c r="S1439" i="13"/>
  <c r="H2115" i="13"/>
  <c r="T2115" i="13"/>
  <c r="H1992" i="13"/>
  <c r="T1992" i="13"/>
  <c r="H2196" i="13"/>
  <c r="T2196" i="13"/>
  <c r="H2122" i="13"/>
  <c r="T2122" i="13"/>
  <c r="H2214" i="13"/>
  <c r="T2214" i="13"/>
  <c r="H2229" i="13"/>
  <c r="T2229" i="13"/>
  <c r="H2065" i="13"/>
  <c r="T2065" i="13"/>
  <c r="H2117" i="13"/>
  <c r="T2117" i="13"/>
  <c r="H2028" i="13"/>
  <c r="T2028" i="13"/>
  <c r="H2050" i="13"/>
  <c r="T2050" i="13"/>
  <c r="H2138" i="13"/>
  <c r="T2138" i="13"/>
  <c r="H2144" i="13"/>
  <c r="T2144" i="13"/>
  <c r="H1993" i="13"/>
  <c r="T1993" i="13"/>
  <c r="H2102" i="13"/>
  <c r="T2102" i="13"/>
  <c r="H2005" i="13"/>
  <c r="T2005" i="13"/>
  <c r="H2231" i="13"/>
  <c r="T2231" i="13"/>
  <c r="H2151" i="13"/>
  <c r="T2151" i="13"/>
  <c r="H2089" i="13"/>
  <c r="T2089" i="13"/>
  <c r="H2178" i="13"/>
  <c r="T2178" i="13"/>
  <c r="H2059" i="13"/>
  <c r="T2059" i="13"/>
  <c r="H1996" i="13"/>
  <c r="T1996" i="13"/>
  <c r="H2068" i="13"/>
  <c r="T2068" i="13"/>
  <c r="H1997" i="13"/>
  <c r="T1997" i="13"/>
  <c r="H2135" i="13"/>
  <c r="T2135" i="13"/>
  <c r="H1999" i="13"/>
  <c r="T1999" i="13"/>
  <c r="H2010" i="13"/>
  <c r="T2010" i="13"/>
  <c r="H2202" i="13"/>
  <c r="T2202" i="13"/>
  <c r="H2070" i="13"/>
  <c r="T2070" i="13"/>
  <c r="H2228" i="13"/>
  <c r="T2228" i="13"/>
  <c r="H2051" i="13"/>
  <c r="T2051" i="13"/>
  <c r="H2090" i="13"/>
  <c r="T2090" i="13"/>
  <c r="H2078" i="13"/>
  <c r="T2078" i="13"/>
  <c r="H2083" i="13"/>
  <c r="T2083" i="13"/>
  <c r="H2213" i="13"/>
  <c r="T2213" i="13"/>
  <c r="H2087" i="13"/>
  <c r="T2087" i="13"/>
  <c r="H2086" i="13"/>
  <c r="T2086" i="13"/>
  <c r="H2182" i="13"/>
  <c r="T2182" i="13"/>
  <c r="H2104" i="13"/>
  <c r="T2104" i="13"/>
  <c r="H2154" i="13"/>
  <c r="T2154" i="13"/>
  <c r="H2067" i="13"/>
  <c r="T2067" i="13"/>
  <c r="H2192" i="13"/>
  <c r="T2192" i="13"/>
  <c r="H2142" i="13"/>
  <c r="T2142" i="13"/>
  <c r="H2096" i="13"/>
  <c r="T2096" i="13"/>
  <c r="H2215" i="13"/>
  <c r="T2215" i="13"/>
  <c r="H2082" i="13"/>
  <c r="T2082" i="13"/>
  <c r="H2034" i="13"/>
  <c r="T2034" i="13"/>
  <c r="H2185" i="13"/>
  <c r="T2185" i="13"/>
  <c r="H2106" i="13"/>
  <c r="T2106" i="13"/>
  <c r="H2110" i="13"/>
  <c r="T2110" i="13"/>
  <c r="H2191" i="13"/>
  <c r="T2191" i="13"/>
  <c r="H2148" i="13"/>
  <c r="T2148" i="13"/>
  <c r="H2040" i="13"/>
  <c r="T2040" i="13"/>
  <c r="H2146" i="13"/>
  <c r="T2146" i="13"/>
  <c r="H2100" i="13"/>
  <c r="T2100" i="13"/>
  <c r="H2184" i="13"/>
  <c r="T2184" i="13"/>
  <c r="H2205" i="13"/>
  <c r="T2205" i="13"/>
  <c r="H2064" i="13"/>
  <c r="T2064" i="13"/>
  <c r="H2155" i="13"/>
  <c r="T2155" i="13"/>
  <c r="H2201" i="13"/>
  <c r="T2201" i="13"/>
  <c r="H2158" i="13"/>
  <c r="T2158" i="13"/>
  <c r="F1498" i="13"/>
  <c r="R1498" i="13"/>
  <c r="F1497" i="13"/>
  <c r="R1497" i="13"/>
  <c r="F1554" i="13"/>
  <c r="R1554" i="13"/>
  <c r="F1596" i="13"/>
  <c r="R1596" i="13"/>
  <c r="F1518" i="13"/>
  <c r="R1518" i="13"/>
  <c r="F1679" i="13"/>
  <c r="R1679" i="13"/>
  <c r="F1664" i="13"/>
  <c r="R1664" i="13"/>
  <c r="F1527" i="13"/>
  <c r="R1527" i="13"/>
  <c r="F1505" i="13"/>
  <c r="R1505" i="13"/>
  <c r="F1667" i="13"/>
  <c r="R1667" i="13"/>
  <c r="F1608" i="13"/>
  <c r="R1608" i="13"/>
  <c r="F1691" i="13"/>
  <c r="R1691" i="13"/>
  <c r="F1526" i="13"/>
  <c r="R1526" i="13"/>
  <c r="F1735" i="13"/>
  <c r="R1735" i="13"/>
  <c r="F1732" i="13"/>
  <c r="R1732" i="13"/>
  <c r="F1622" i="13"/>
  <c r="R1622" i="13"/>
  <c r="F1556" i="13"/>
  <c r="R1556" i="13"/>
  <c r="F1685" i="13"/>
  <c r="R1685" i="13"/>
  <c r="F1599" i="13"/>
  <c r="R1599" i="13"/>
  <c r="F1612" i="13"/>
  <c r="R1612" i="13"/>
  <c r="F1582" i="13"/>
  <c r="R1582" i="13"/>
  <c r="F1643" i="13"/>
  <c r="R1643" i="13"/>
  <c r="F1712" i="13"/>
  <c r="R1712" i="13"/>
  <c r="F1567" i="13"/>
  <c r="R1567" i="13"/>
  <c r="F1711" i="13"/>
  <c r="R1711" i="13"/>
  <c r="F1575" i="13"/>
  <c r="R1575" i="13"/>
  <c r="F1538" i="13"/>
  <c r="R1538" i="13"/>
  <c r="F1533" i="13"/>
  <c r="R1533" i="13"/>
  <c r="F1638" i="13"/>
  <c r="R1638" i="13"/>
  <c r="F1631" i="13"/>
  <c r="R1631" i="13"/>
  <c r="F1681" i="13"/>
  <c r="R1681" i="13"/>
  <c r="F1694" i="13"/>
  <c r="R1694" i="13"/>
  <c r="F1520" i="13"/>
  <c r="R1520" i="13"/>
  <c r="F1555" i="13"/>
  <c r="R1555" i="13"/>
  <c r="F1528" i="13"/>
  <c r="R1528" i="13"/>
  <c r="F1611" i="13"/>
  <c r="R1611" i="13"/>
  <c r="F1588" i="13"/>
  <c r="R1588" i="13"/>
  <c r="F1723" i="13"/>
  <c r="R1723" i="13"/>
  <c r="F1715" i="13"/>
  <c r="R1715" i="13"/>
  <c r="F1624" i="13"/>
  <c r="R1624" i="13"/>
  <c r="F1590" i="13"/>
  <c r="R1590" i="13"/>
  <c r="F1729" i="13"/>
  <c r="R1729" i="13"/>
  <c r="F1646" i="13"/>
  <c r="R1646" i="13"/>
  <c r="F1534" i="13"/>
  <c r="R1534" i="13"/>
  <c r="F1594" i="13"/>
  <c r="R1594" i="13"/>
  <c r="F1543" i="13"/>
  <c r="R1543" i="13"/>
  <c r="F1503" i="13"/>
  <c r="R1503" i="13"/>
  <c r="F1645" i="13"/>
  <c r="R1645" i="13"/>
  <c r="F1683" i="13"/>
  <c r="R1683" i="13"/>
  <c r="F1680" i="13"/>
  <c r="R1680" i="13"/>
  <c r="F1618" i="13"/>
  <c r="R1618" i="13"/>
  <c r="F1640" i="13"/>
  <c r="R1640" i="13"/>
  <c r="F1692" i="13"/>
  <c r="R1692" i="13"/>
  <c r="F1583" i="13"/>
  <c r="R1583" i="13"/>
  <c r="F1707" i="13"/>
  <c r="R1707" i="13"/>
  <c r="F1512" i="13"/>
  <c r="R1512" i="13"/>
  <c r="F1697" i="13"/>
  <c r="R1697" i="13"/>
  <c r="F1511" i="13"/>
  <c r="R1511" i="13"/>
  <c r="F1701" i="13"/>
  <c r="R1701" i="13"/>
  <c r="F1665" i="13"/>
  <c r="R1665" i="13"/>
  <c r="G1837" i="13"/>
  <c r="S1837" i="13"/>
  <c r="G1859" i="13"/>
  <c r="S1859" i="13"/>
  <c r="G1952" i="13"/>
  <c r="S1952" i="13"/>
  <c r="G1929" i="13"/>
  <c r="S1929" i="13"/>
  <c r="G1971" i="13"/>
  <c r="S1971" i="13"/>
  <c r="G1762" i="13"/>
  <c r="S1762" i="13"/>
  <c r="G1882" i="13"/>
  <c r="S1882" i="13"/>
  <c r="G1941" i="13"/>
  <c r="S1941" i="13"/>
  <c r="G1880" i="13"/>
  <c r="S1880" i="13"/>
  <c r="G1966" i="13"/>
  <c r="S1966" i="13"/>
  <c r="G1975" i="13"/>
  <c r="S1975" i="13"/>
  <c r="G1936" i="13"/>
  <c r="S1936" i="13"/>
  <c r="G1981" i="13"/>
  <c r="S1981" i="13"/>
  <c r="G1816" i="13"/>
  <c r="S1816" i="13"/>
  <c r="G1833" i="13"/>
  <c r="S1833" i="13"/>
  <c r="G1773" i="13"/>
  <c r="S1773" i="13"/>
  <c r="G1766" i="13"/>
  <c r="S1766" i="13"/>
  <c r="G1765" i="13"/>
  <c r="S1765" i="13"/>
  <c r="G1767" i="13"/>
  <c r="S1767" i="13"/>
  <c r="G1754" i="13"/>
  <c r="S1754" i="13"/>
  <c r="G1798" i="13"/>
  <c r="J1798" i="13" s="1"/>
  <c r="S1798" i="13"/>
  <c r="G1818" i="13"/>
  <c r="J1818" i="13" s="1"/>
  <c r="S1818" i="13"/>
  <c r="G1924" i="13"/>
  <c r="S1924" i="13"/>
  <c r="G1835" i="13"/>
  <c r="S1835" i="13"/>
  <c r="G1968" i="13"/>
  <c r="S1968" i="13"/>
  <c r="G1772" i="13"/>
  <c r="S1772" i="13"/>
  <c r="G1834" i="13"/>
  <c r="S1834" i="13"/>
  <c r="G1973" i="13"/>
  <c r="S1973" i="13"/>
  <c r="G1962" i="13"/>
  <c r="S1962" i="13"/>
  <c r="G1822" i="13"/>
  <c r="S1822" i="13"/>
  <c r="G1743" i="13"/>
  <c r="S1743" i="13"/>
  <c r="G1961" i="13"/>
  <c r="S1961" i="13"/>
  <c r="G1806" i="13"/>
  <c r="S1806" i="13"/>
  <c r="G1976" i="13"/>
  <c r="S1976" i="13"/>
  <c r="G1915" i="13"/>
  <c r="S1915" i="13"/>
  <c r="G1983" i="13"/>
  <c r="S1983" i="13"/>
  <c r="G1935" i="13"/>
  <c r="S1935" i="13"/>
  <c r="G1877" i="13"/>
  <c r="S1877" i="13"/>
  <c r="G1958" i="13"/>
  <c r="S1958" i="13"/>
  <c r="G1770" i="13"/>
  <c r="S1770" i="13"/>
  <c r="G1780" i="13"/>
  <c r="S1780" i="13"/>
  <c r="G1824" i="13"/>
  <c r="S1824" i="13"/>
  <c r="G1937" i="13"/>
  <c r="S1937" i="13"/>
  <c r="G1781" i="13"/>
  <c r="S1781" i="13"/>
  <c r="G1809" i="13"/>
  <c r="S1809" i="13"/>
  <c r="G1858" i="13"/>
  <c r="S1858" i="13"/>
  <c r="G1980" i="13"/>
  <c r="S1980" i="13"/>
  <c r="G1769" i="13"/>
  <c r="S1769" i="13"/>
  <c r="G1804" i="13"/>
  <c r="S1804" i="13"/>
  <c r="G1934" i="13"/>
  <c r="S1934" i="13"/>
  <c r="G1849" i="13"/>
  <c r="S1849" i="13"/>
  <c r="G1805" i="13"/>
  <c r="S1805" i="13"/>
  <c r="G1950" i="13"/>
  <c r="S1950" i="13"/>
  <c r="G1777" i="13"/>
  <c r="S1777" i="13"/>
  <c r="G1881" i="13"/>
  <c r="S1881" i="13"/>
  <c r="G1908" i="13"/>
  <c r="S1908" i="13"/>
  <c r="G1920" i="13"/>
  <c r="S1920" i="13"/>
  <c r="G1939" i="13"/>
  <c r="S1939" i="13"/>
  <c r="G1802" i="13"/>
  <c r="S1802" i="13"/>
  <c r="G1753" i="13"/>
  <c r="S1753" i="13"/>
  <c r="H1102" i="13"/>
  <c r="T1102" i="13"/>
  <c r="H1172" i="13"/>
  <c r="T1172" i="13"/>
  <c r="H1107" i="13"/>
  <c r="T1107" i="13"/>
  <c r="H1234" i="13"/>
  <c r="T1234" i="13"/>
  <c r="H1076" i="13"/>
  <c r="T1076" i="13"/>
  <c r="H1178" i="13"/>
  <c r="T1178" i="13"/>
  <c r="H1067" i="13"/>
  <c r="T1067" i="13"/>
  <c r="H1005" i="13"/>
  <c r="T1005" i="13"/>
  <c r="H1140" i="13"/>
  <c r="T1140" i="13"/>
  <c r="H1035" i="13"/>
  <c r="T1035" i="13"/>
  <c r="H1192" i="13"/>
  <c r="T1192" i="13"/>
  <c r="H1239" i="13"/>
  <c r="T1239" i="13"/>
  <c r="H1213" i="13"/>
  <c r="T1213" i="13"/>
  <c r="H1027" i="13"/>
  <c r="T1027" i="13"/>
  <c r="H1160" i="13"/>
  <c r="T1160" i="13"/>
  <c r="H1026" i="13"/>
  <c r="T1026" i="13"/>
  <c r="H1079" i="13"/>
  <c r="T1079" i="13"/>
  <c r="H1036" i="13"/>
  <c r="T1036" i="13"/>
  <c r="H1083" i="13"/>
  <c r="T1083" i="13"/>
  <c r="H1166" i="13"/>
  <c r="T1166" i="13"/>
  <c r="H1204" i="13"/>
  <c r="T1204" i="13"/>
  <c r="H1058" i="13"/>
  <c r="T1058" i="13"/>
  <c r="H1200" i="13"/>
  <c r="T1200" i="13"/>
  <c r="H1120" i="13"/>
  <c r="T1120" i="13"/>
  <c r="H1009" i="13"/>
  <c r="T1009" i="13"/>
  <c r="H1125" i="13"/>
  <c r="T1125" i="13"/>
  <c r="H1218" i="13"/>
  <c r="T1218" i="13"/>
  <c r="H1018" i="13"/>
  <c r="T1018" i="13"/>
  <c r="H1173" i="13"/>
  <c r="T1173" i="13"/>
  <c r="H1207" i="13"/>
  <c r="T1207" i="13"/>
  <c r="H1180" i="13"/>
  <c r="T1180" i="13"/>
  <c r="H1202" i="13"/>
  <c r="T1202" i="13"/>
  <c r="H1231" i="13"/>
  <c r="T1231" i="13"/>
  <c r="H1198" i="13"/>
  <c r="T1198" i="13"/>
  <c r="H1197" i="13"/>
  <c r="T1197" i="13"/>
  <c r="H1235" i="13"/>
  <c r="T1235" i="13"/>
  <c r="H1109" i="13"/>
  <c r="T1109" i="13"/>
  <c r="H1210" i="13"/>
  <c r="T1210" i="13"/>
  <c r="H1115" i="13"/>
  <c r="T1115" i="13"/>
  <c r="H1209" i="13"/>
  <c r="T1209" i="13"/>
  <c r="H1187" i="13"/>
  <c r="T1187" i="13"/>
  <c r="H1066" i="13"/>
  <c r="T1066" i="13"/>
  <c r="H1124" i="13"/>
  <c r="T1124" i="13"/>
  <c r="H1081" i="13"/>
  <c r="T1081" i="13"/>
  <c r="H1152" i="13"/>
  <c r="T1152" i="13"/>
  <c r="H1147" i="13"/>
  <c r="T1147" i="13"/>
  <c r="H1118" i="13"/>
  <c r="T1118" i="13"/>
  <c r="H1064" i="13"/>
  <c r="T1064" i="13"/>
  <c r="H1048" i="13"/>
  <c r="T1048" i="13"/>
  <c r="H1122" i="13"/>
  <c r="T1122" i="13"/>
  <c r="H1142" i="13"/>
  <c r="T1142" i="13"/>
  <c r="H1238" i="13"/>
  <c r="T1238" i="13"/>
  <c r="H1150" i="13"/>
  <c r="T1150" i="13"/>
  <c r="H1006" i="13"/>
  <c r="T1006" i="13"/>
  <c r="H1031" i="13"/>
  <c r="T1031" i="13"/>
  <c r="H1211" i="13"/>
  <c r="T1211" i="13"/>
  <c r="H1017" i="13"/>
  <c r="T1017" i="13"/>
  <c r="H1057" i="13"/>
  <c r="T1057" i="13"/>
  <c r="H1182" i="13"/>
  <c r="T1182" i="13"/>
  <c r="H1089" i="13"/>
  <c r="T1089" i="13"/>
  <c r="H1127" i="13"/>
  <c r="T1127" i="13"/>
  <c r="E1035" i="13"/>
  <c r="Q1035" i="13"/>
  <c r="E1047" i="13"/>
  <c r="Q1047" i="13"/>
  <c r="E1097" i="13"/>
  <c r="Q1097" i="13"/>
  <c r="E1061" i="13"/>
  <c r="Q1061" i="13"/>
  <c r="E1096" i="13"/>
  <c r="Q1096" i="13"/>
  <c r="E1135" i="13"/>
  <c r="Q1135" i="13"/>
  <c r="E1126" i="13"/>
  <c r="Q1126" i="13"/>
  <c r="E1173" i="13"/>
  <c r="Q1173" i="13"/>
  <c r="E1152" i="13"/>
  <c r="Q1152" i="13"/>
  <c r="E1072" i="13"/>
  <c r="Q1072" i="13"/>
  <c r="E1127" i="13"/>
  <c r="Q1127" i="13"/>
  <c r="E1153" i="13"/>
  <c r="Q1153" i="13"/>
  <c r="E1205" i="13"/>
  <c r="Q1205" i="13"/>
  <c r="E1184" i="13"/>
  <c r="Q1184" i="13"/>
  <c r="E1151" i="13"/>
  <c r="Q1151" i="13"/>
  <c r="E1142" i="13"/>
  <c r="Q1142" i="13"/>
  <c r="E1235" i="13"/>
  <c r="Q1235" i="13"/>
  <c r="E1218" i="13"/>
  <c r="Q1218" i="13"/>
  <c r="E1237" i="13"/>
  <c r="Q1237" i="13"/>
  <c r="E1020" i="13"/>
  <c r="Q1020" i="13"/>
  <c r="E1175" i="13"/>
  <c r="Q1175" i="13"/>
  <c r="E1238" i="13"/>
  <c r="Q1238" i="13"/>
  <c r="E1219" i="13"/>
  <c r="Q1219" i="13"/>
  <c r="E1146" i="13"/>
  <c r="Q1146" i="13"/>
  <c r="E1106" i="13"/>
  <c r="Q1106" i="13"/>
  <c r="E1109" i="13"/>
  <c r="Q1109" i="13"/>
  <c r="E1185" i="13"/>
  <c r="Q1185" i="13"/>
  <c r="E1148" i="13"/>
  <c r="Q1148" i="13"/>
  <c r="E1065" i="13"/>
  <c r="Q1065" i="13"/>
  <c r="E1171" i="13"/>
  <c r="Q1171" i="13"/>
  <c r="E1125" i="13"/>
  <c r="Q1125" i="13"/>
  <c r="E1100" i="13"/>
  <c r="Q1100" i="13"/>
  <c r="E1180" i="13"/>
  <c r="Q1180" i="13"/>
  <c r="E1147" i="13"/>
  <c r="Q1147" i="13"/>
  <c r="E1227" i="13"/>
  <c r="Q1227" i="13"/>
  <c r="E1150" i="13"/>
  <c r="Q1150" i="13"/>
  <c r="E1210" i="13"/>
  <c r="Q1210" i="13"/>
  <c r="E1224" i="13"/>
  <c r="Q1224" i="13"/>
  <c r="E1228" i="13"/>
  <c r="Q1228" i="13"/>
  <c r="E1045" i="13"/>
  <c r="Q1045" i="13"/>
  <c r="E1018" i="13"/>
  <c r="Q1018" i="13"/>
  <c r="E1112" i="13"/>
  <c r="Q1112" i="13"/>
  <c r="E1086" i="13"/>
  <c r="Q1086" i="13"/>
  <c r="E1159" i="13"/>
  <c r="Q1159" i="13"/>
  <c r="E1154" i="13"/>
  <c r="Q1154" i="13"/>
  <c r="E1105" i="13"/>
  <c r="Q1105" i="13"/>
  <c r="E1104" i="13"/>
  <c r="Q1104" i="13"/>
  <c r="E1118" i="13"/>
  <c r="Q1118" i="13"/>
  <c r="E1181" i="13"/>
  <c r="Q1181" i="13"/>
  <c r="E1214" i="13"/>
  <c r="Q1214" i="13"/>
  <c r="E1140" i="13"/>
  <c r="Q1140" i="13"/>
  <c r="E1139" i="13"/>
  <c r="Q1139" i="13"/>
  <c r="E1145" i="13"/>
  <c r="Q1145" i="13"/>
  <c r="E1213" i="13"/>
  <c r="Q1213" i="13"/>
  <c r="E1144" i="13"/>
  <c r="Q1144" i="13"/>
  <c r="E1196" i="13"/>
  <c r="Q1196" i="13"/>
  <c r="E1041" i="13"/>
  <c r="Q1041" i="13"/>
  <c r="E1084" i="13"/>
  <c r="Q1084" i="13"/>
  <c r="E1168" i="13"/>
  <c r="Q1168" i="13"/>
  <c r="E1130" i="13"/>
  <c r="Q1130" i="13"/>
  <c r="F1326" i="13"/>
  <c r="R1326" i="13"/>
  <c r="F1353" i="13"/>
  <c r="R1353" i="13"/>
  <c r="F1318" i="13"/>
  <c r="R1318" i="13"/>
  <c r="F1321" i="13"/>
  <c r="R1321" i="13"/>
  <c r="F1298" i="13"/>
  <c r="R1298" i="13"/>
  <c r="F1467" i="13"/>
  <c r="R1467" i="13"/>
  <c r="F1399" i="13"/>
  <c r="R1399" i="13"/>
  <c r="F1280" i="13"/>
  <c r="R1280" i="13"/>
  <c r="F1397" i="13"/>
  <c r="R1397" i="13"/>
  <c r="F1304" i="13"/>
  <c r="R1304" i="13"/>
  <c r="F1287" i="13"/>
  <c r="R1287" i="13"/>
  <c r="F1312" i="13"/>
  <c r="R1312" i="13"/>
  <c r="F1292" i="13"/>
  <c r="R1292" i="13"/>
  <c r="F1323" i="13"/>
  <c r="R1323" i="13"/>
  <c r="F1340" i="13"/>
  <c r="R1340" i="13"/>
  <c r="F1306" i="13"/>
  <c r="R1306" i="13"/>
  <c r="F1474" i="13"/>
  <c r="R1474" i="13"/>
  <c r="F1278" i="13"/>
  <c r="R1278" i="13"/>
  <c r="F1469" i="13"/>
  <c r="R1469" i="13"/>
  <c r="F1264" i="13"/>
  <c r="R1264" i="13"/>
  <c r="F1273" i="13"/>
  <c r="R1273" i="13"/>
  <c r="F1285" i="13"/>
  <c r="R1285" i="13"/>
  <c r="F1308" i="13"/>
  <c r="R1308" i="13"/>
  <c r="F1404" i="13"/>
  <c r="R1404" i="13"/>
  <c r="F1332" i="13"/>
  <c r="R1332" i="13"/>
  <c r="F1337" i="13"/>
  <c r="R1337" i="13"/>
  <c r="F1376" i="13"/>
  <c r="R1376" i="13"/>
  <c r="F1359" i="13"/>
  <c r="R1359" i="13"/>
  <c r="F1390" i="13"/>
  <c r="R1390" i="13"/>
  <c r="F1296" i="13"/>
  <c r="R1296" i="13"/>
  <c r="F1366" i="13"/>
  <c r="R1366" i="13"/>
  <c r="F1422" i="13"/>
  <c r="R1422" i="13"/>
  <c r="F1421" i="13"/>
  <c r="R1421" i="13"/>
  <c r="F1358" i="13"/>
  <c r="R1358" i="13"/>
  <c r="F1423" i="13"/>
  <c r="R1423" i="13"/>
  <c r="F1452" i="13"/>
  <c r="R1452" i="13"/>
  <c r="F1451" i="13"/>
  <c r="R1451" i="13"/>
  <c r="F1465" i="13"/>
  <c r="R1465" i="13"/>
  <c r="F1479" i="13"/>
  <c r="R1479" i="13"/>
  <c r="F1434" i="13"/>
  <c r="R1434" i="13"/>
  <c r="F1247" i="13"/>
  <c r="R1247" i="13"/>
  <c r="F1286" i="13"/>
  <c r="R1286" i="13"/>
  <c r="F1289" i="13"/>
  <c r="R1289" i="13"/>
  <c r="F1362" i="13"/>
  <c r="R1362" i="13"/>
  <c r="F1418" i="13"/>
  <c r="R1418" i="13"/>
  <c r="F1338" i="13"/>
  <c r="R1338" i="13"/>
  <c r="F1419" i="13"/>
  <c r="R1419" i="13"/>
  <c r="F1466" i="13"/>
  <c r="R1466" i="13"/>
  <c r="F1440" i="13"/>
  <c r="R1440" i="13"/>
  <c r="F1324" i="13"/>
  <c r="R1324" i="13"/>
  <c r="F1382" i="13"/>
  <c r="R1382" i="13"/>
  <c r="F1393" i="13"/>
  <c r="R1393" i="13"/>
  <c r="F1383" i="13"/>
  <c r="R1383" i="13"/>
  <c r="F1392" i="13"/>
  <c r="R1392" i="13"/>
  <c r="F1363" i="13"/>
  <c r="R1363" i="13"/>
  <c r="F1475" i="13"/>
  <c r="R1475" i="13"/>
  <c r="F1413" i="13"/>
  <c r="R1413" i="13"/>
  <c r="F1411" i="13"/>
  <c r="R1411" i="13"/>
  <c r="F1274" i="13"/>
  <c r="R1274" i="13"/>
  <c r="F1255" i="13"/>
  <c r="R1255" i="13"/>
  <c r="H861" i="13"/>
  <c r="T861" i="13"/>
  <c r="H948" i="13"/>
  <c r="T948" i="13"/>
  <c r="H972" i="13"/>
  <c r="T972" i="13"/>
  <c r="H829" i="13"/>
  <c r="T829" i="13"/>
  <c r="H767" i="13"/>
  <c r="T767" i="13"/>
  <c r="H788" i="13"/>
  <c r="T788" i="13"/>
  <c r="H828" i="13"/>
  <c r="T828" i="13"/>
  <c r="H900" i="13"/>
  <c r="T900" i="13"/>
  <c r="H964" i="13"/>
  <c r="T964" i="13"/>
  <c r="H870" i="13"/>
  <c r="T870" i="13"/>
  <c r="H979" i="13"/>
  <c r="T979" i="13"/>
  <c r="H959" i="13"/>
  <c r="T959" i="13"/>
  <c r="H752" i="13"/>
  <c r="T752" i="13"/>
  <c r="H970" i="13"/>
  <c r="T970" i="13"/>
  <c r="H750" i="13"/>
  <c r="T750" i="13"/>
  <c r="H956" i="13"/>
  <c r="T956" i="13"/>
  <c r="H854" i="13"/>
  <c r="T854" i="13"/>
  <c r="H969" i="13"/>
  <c r="T969" i="13"/>
  <c r="H913" i="13"/>
  <c r="T913" i="13"/>
  <c r="H841" i="13"/>
  <c r="T841" i="13"/>
  <c r="H930" i="13"/>
  <c r="T930" i="13"/>
  <c r="H895" i="13"/>
  <c r="T895" i="13"/>
  <c r="H803" i="13"/>
  <c r="T803" i="13"/>
  <c r="H921" i="13"/>
  <c r="T921" i="13"/>
  <c r="H947" i="13"/>
  <c r="T947" i="13"/>
  <c r="H774" i="13"/>
  <c r="T774" i="13"/>
  <c r="H894" i="13"/>
  <c r="T894" i="13"/>
  <c r="H808" i="13"/>
  <c r="T808" i="13"/>
  <c r="H819" i="13"/>
  <c r="T819" i="13"/>
  <c r="H887" i="13"/>
  <c r="T887" i="13"/>
  <c r="H838" i="13"/>
  <c r="T838" i="13"/>
  <c r="H762" i="13"/>
  <c r="T762" i="13"/>
  <c r="H941" i="13"/>
  <c r="T941" i="13"/>
  <c r="H958" i="13"/>
  <c r="T958" i="13"/>
  <c r="H986" i="13"/>
  <c r="T986" i="13"/>
  <c r="H821" i="13"/>
  <c r="T821" i="13"/>
  <c r="H843" i="13"/>
  <c r="T843" i="13"/>
  <c r="H922" i="13"/>
  <c r="T922" i="13"/>
  <c r="H860" i="13"/>
  <c r="T860" i="13"/>
  <c r="H978" i="13"/>
  <c r="T978" i="13"/>
  <c r="H971" i="13"/>
  <c r="T971" i="13"/>
  <c r="H815" i="13"/>
  <c r="T815" i="13"/>
  <c r="H851" i="13"/>
  <c r="T851" i="13"/>
  <c r="H877" i="13"/>
  <c r="T877" i="13"/>
  <c r="H802" i="13"/>
  <c r="T802" i="13"/>
  <c r="H915" i="13"/>
  <c r="T915" i="13"/>
  <c r="H961" i="13"/>
  <c r="T961" i="13"/>
  <c r="H909" i="13"/>
  <c r="T909" i="13"/>
  <c r="H953" i="13"/>
  <c r="T953" i="13"/>
  <c r="H883" i="13"/>
  <c r="T883" i="13"/>
  <c r="H795" i="13"/>
  <c r="T795" i="13"/>
  <c r="H853" i="13"/>
  <c r="T853" i="13"/>
  <c r="H768" i="13"/>
  <c r="T768" i="13"/>
  <c r="H757" i="13"/>
  <c r="T757" i="13"/>
  <c r="H856" i="13"/>
  <c r="T856" i="13"/>
  <c r="H872" i="13"/>
  <c r="T872" i="13"/>
  <c r="H769" i="13"/>
  <c r="T769" i="13"/>
  <c r="H766" i="13"/>
  <c r="T766" i="13"/>
  <c r="H863" i="13"/>
  <c r="T863" i="13"/>
  <c r="H917" i="13"/>
  <c r="T917" i="13"/>
  <c r="H869" i="13"/>
  <c r="T869" i="13"/>
  <c r="G2109" i="13"/>
  <c r="S2109" i="13"/>
  <c r="G2084" i="13"/>
  <c r="S2084" i="13"/>
  <c r="G2169" i="13"/>
  <c r="S2169" i="13"/>
  <c r="G1999" i="13"/>
  <c r="S1999" i="13"/>
  <c r="G2190" i="13"/>
  <c r="S2190" i="13"/>
  <c r="G2185" i="13"/>
  <c r="S2185" i="13"/>
  <c r="G2060" i="13"/>
  <c r="S2060" i="13"/>
  <c r="G2030" i="13"/>
  <c r="S2030" i="13"/>
  <c r="G2047" i="13"/>
  <c r="S2047" i="13"/>
  <c r="G1991" i="13"/>
  <c r="S1991" i="13"/>
  <c r="G2156" i="13"/>
  <c r="S2156" i="13"/>
  <c r="G2113" i="13"/>
  <c r="S2113" i="13"/>
  <c r="G2071" i="13"/>
  <c r="S2071" i="13"/>
  <c r="G2110" i="13"/>
  <c r="S2110" i="13"/>
  <c r="G2100" i="13"/>
  <c r="S2100" i="13"/>
  <c r="G2003" i="13"/>
  <c r="S2003" i="13"/>
  <c r="G2067" i="13"/>
  <c r="S2067" i="13"/>
  <c r="G2133" i="13"/>
  <c r="S2133" i="13"/>
  <c r="G2152" i="13"/>
  <c r="S2152" i="13"/>
  <c r="G2140" i="13"/>
  <c r="S2140" i="13"/>
  <c r="G2151" i="13"/>
  <c r="S2151" i="13"/>
  <c r="G2037" i="13"/>
  <c r="S2037" i="13"/>
  <c r="G2127" i="13"/>
  <c r="S2127" i="13"/>
  <c r="G2094" i="13"/>
  <c r="S2094" i="13"/>
  <c r="G2180" i="13"/>
  <c r="S2180" i="13"/>
  <c r="G2035" i="13"/>
  <c r="S2035" i="13"/>
  <c r="G2105" i="13"/>
  <c r="S2105" i="13"/>
  <c r="G2065" i="13"/>
  <c r="S2065" i="13"/>
  <c r="G2203" i="13"/>
  <c r="S2203" i="13"/>
  <c r="G2107" i="13"/>
  <c r="S2107" i="13"/>
  <c r="G2148" i="13"/>
  <c r="S2148" i="13"/>
  <c r="G2165" i="13"/>
  <c r="S2165" i="13"/>
  <c r="G2079" i="13"/>
  <c r="S2079" i="13"/>
  <c r="G2038" i="13"/>
  <c r="S2038" i="13"/>
  <c r="G2061" i="13"/>
  <c r="S2061" i="13"/>
  <c r="G2219" i="13"/>
  <c r="S2219" i="13"/>
  <c r="G2171" i="13"/>
  <c r="S2171" i="13"/>
  <c r="G2025" i="13"/>
  <c r="S2025" i="13"/>
  <c r="G2220" i="13"/>
  <c r="S2220" i="13"/>
  <c r="G2143" i="13"/>
  <c r="S2143" i="13"/>
  <c r="G2052" i="13"/>
  <c r="S2052" i="13"/>
  <c r="G2216" i="13"/>
  <c r="S2216" i="13"/>
  <c r="G2068" i="13"/>
  <c r="S2068" i="13"/>
  <c r="G2009" i="13"/>
  <c r="S2009" i="13"/>
  <c r="G2088" i="13"/>
  <c r="S2088" i="13"/>
  <c r="G2042" i="13"/>
  <c r="S2042" i="13"/>
  <c r="G2129" i="13"/>
  <c r="S2129" i="13"/>
  <c r="G2087" i="13"/>
  <c r="S2087" i="13"/>
  <c r="G2019" i="13"/>
  <c r="S2019" i="13"/>
  <c r="G2090" i="13"/>
  <c r="S2090" i="13"/>
  <c r="G2074" i="13"/>
  <c r="S2074" i="13"/>
  <c r="G2230" i="13"/>
  <c r="S2230" i="13"/>
  <c r="G2006" i="13"/>
  <c r="S2006" i="13"/>
  <c r="G1993" i="13"/>
  <c r="S1993" i="13"/>
  <c r="G2102" i="13"/>
  <c r="S2102" i="13"/>
  <c r="G2005" i="13"/>
  <c r="S2005" i="13"/>
  <c r="G2182" i="13"/>
  <c r="S2182" i="13"/>
  <c r="G2104" i="13"/>
  <c r="S2104" i="13"/>
  <c r="G2221" i="13"/>
  <c r="S2221" i="13"/>
  <c r="G2049" i="13"/>
  <c r="S2049" i="13"/>
  <c r="H2432" i="13"/>
  <c r="T2432" i="13"/>
  <c r="H2473" i="13"/>
  <c r="T2473" i="13"/>
  <c r="H2438" i="13"/>
  <c r="T2438" i="13"/>
  <c r="H2290" i="13"/>
  <c r="T2290" i="13"/>
  <c r="H2406" i="13"/>
  <c r="T2406" i="13"/>
  <c r="H2269" i="13"/>
  <c r="T2269" i="13"/>
  <c r="H2322" i="13"/>
  <c r="T2322" i="13"/>
  <c r="H2365" i="13"/>
  <c r="T2365" i="13"/>
  <c r="H2452" i="13"/>
  <c r="T2452" i="13"/>
  <c r="H2265" i="13"/>
  <c r="T2265" i="13"/>
  <c r="H2381" i="13"/>
  <c r="T2381" i="13"/>
  <c r="H2300" i="13"/>
  <c r="T2300" i="13"/>
  <c r="H2469" i="13"/>
  <c r="T2469" i="13"/>
  <c r="H2292" i="13"/>
  <c r="T2292" i="13"/>
  <c r="H2417" i="13"/>
  <c r="T2417" i="13"/>
  <c r="H2297" i="13"/>
  <c r="T2297" i="13"/>
  <c r="H2439" i="13"/>
  <c r="T2439" i="13"/>
  <c r="H2309" i="13"/>
  <c r="T2309" i="13"/>
  <c r="H2373" i="13"/>
  <c r="T2373" i="13"/>
  <c r="H2389" i="13"/>
  <c r="T2389" i="13"/>
  <c r="H2282" i="13"/>
  <c r="T2282" i="13"/>
  <c r="H2464" i="13"/>
  <c r="T2464" i="13"/>
  <c r="H2320" i="13"/>
  <c r="T2320" i="13"/>
  <c r="H2312" i="13"/>
  <c r="T2312" i="13"/>
  <c r="H2287" i="13"/>
  <c r="T2287" i="13"/>
  <c r="H2341" i="13"/>
  <c r="T2341" i="13"/>
  <c r="H2364" i="13"/>
  <c r="T2364" i="13"/>
  <c r="H2390" i="13"/>
  <c r="T2390" i="13"/>
  <c r="H2382" i="13"/>
  <c r="T2382" i="13"/>
  <c r="H2361" i="13"/>
  <c r="T2361" i="13"/>
  <c r="H2250" i="13"/>
  <c r="T2250" i="13"/>
  <c r="H2379" i="13"/>
  <c r="T2379" i="13"/>
  <c r="H2252" i="13"/>
  <c r="T2252" i="13"/>
  <c r="H2467" i="13"/>
  <c r="T2467" i="13"/>
  <c r="H2354" i="13"/>
  <c r="T2354" i="13"/>
  <c r="H2316" i="13"/>
  <c r="T2316" i="13"/>
  <c r="H2471" i="13"/>
  <c r="T2471" i="13"/>
  <c r="H2456" i="13"/>
  <c r="T2456" i="13"/>
  <c r="H2425" i="13"/>
  <c r="T2425" i="13"/>
  <c r="H2422" i="13"/>
  <c r="T2422" i="13"/>
  <c r="H2475" i="13"/>
  <c r="T2475" i="13"/>
  <c r="H2251" i="13"/>
  <c r="T2251" i="13"/>
  <c r="H2278" i="13"/>
  <c r="T2278" i="13"/>
  <c r="H2324" i="13"/>
  <c r="T2324" i="13"/>
  <c r="H2325" i="13"/>
  <c r="T2325" i="13"/>
  <c r="H2345" i="13"/>
  <c r="T2345" i="13"/>
  <c r="H2283" i="13"/>
  <c r="T2283" i="13"/>
  <c r="H2416" i="13"/>
  <c r="T2416" i="13"/>
  <c r="H2411" i="13"/>
  <c r="T2411" i="13"/>
  <c r="H2428" i="13"/>
  <c r="T2428" i="13"/>
  <c r="H2413" i="13"/>
  <c r="T2413" i="13"/>
  <c r="H2442" i="13"/>
  <c r="T2442" i="13"/>
  <c r="H2337" i="13"/>
  <c r="T2337" i="13"/>
  <c r="H2369" i="13"/>
  <c r="T2369" i="13"/>
  <c r="H2431" i="13"/>
  <c r="T2431" i="13"/>
  <c r="H2311" i="13"/>
  <c r="T2311" i="13"/>
  <c r="H2415" i="13"/>
  <c r="T2415" i="13"/>
  <c r="H2334" i="13"/>
  <c r="T2334" i="13"/>
  <c r="H2462" i="13"/>
  <c r="T2462" i="13"/>
  <c r="H2454" i="13"/>
  <c r="T2454" i="13"/>
  <c r="F2279" i="13"/>
  <c r="R2279" i="13"/>
  <c r="F2294" i="13"/>
  <c r="R2294" i="13"/>
  <c r="F2374" i="13"/>
  <c r="R2374" i="13"/>
  <c r="F2426" i="13"/>
  <c r="R2426" i="13"/>
  <c r="F2416" i="13"/>
  <c r="R2416" i="13"/>
  <c r="F2429" i="13"/>
  <c r="R2429" i="13"/>
  <c r="F2339" i="13"/>
  <c r="R2339" i="13"/>
  <c r="F2329" i="13"/>
  <c r="R2329" i="13"/>
  <c r="F2335" i="13"/>
  <c r="R2335" i="13"/>
  <c r="F2354" i="13"/>
  <c r="R2354" i="13"/>
  <c r="F2389" i="13"/>
  <c r="R2389" i="13"/>
  <c r="F2464" i="13"/>
  <c r="R2464" i="13"/>
  <c r="F2253" i="13"/>
  <c r="R2253" i="13"/>
  <c r="F2251" i="13"/>
  <c r="R2251" i="13"/>
  <c r="F2300" i="13"/>
  <c r="R2300" i="13"/>
  <c r="F2412" i="13"/>
  <c r="R2412" i="13"/>
  <c r="F2352" i="13"/>
  <c r="R2352" i="13"/>
  <c r="F2297" i="13"/>
  <c r="R2297" i="13"/>
  <c r="F2332" i="13"/>
  <c r="R2332" i="13"/>
  <c r="F2383" i="13"/>
  <c r="R2383" i="13"/>
  <c r="F2305" i="13"/>
  <c r="R2305" i="13"/>
  <c r="F2425" i="13"/>
  <c r="R2425" i="13"/>
  <c r="F2378" i="13"/>
  <c r="R2378" i="13"/>
  <c r="F2261" i="13"/>
  <c r="R2261" i="13"/>
  <c r="F2457" i="13"/>
  <c r="R2457" i="13"/>
  <c r="F2274" i="13"/>
  <c r="R2274" i="13"/>
  <c r="F2405" i="13"/>
  <c r="R2405" i="13"/>
  <c r="F2396" i="13"/>
  <c r="R2396" i="13"/>
  <c r="F2467" i="13"/>
  <c r="R2467" i="13"/>
  <c r="F2376" i="13"/>
  <c r="R2376" i="13"/>
  <c r="F2277" i="13"/>
  <c r="R2277" i="13"/>
  <c r="F2365" i="13"/>
  <c r="R2365" i="13"/>
  <c r="F2260" i="13"/>
  <c r="R2260" i="13"/>
  <c r="F2283" i="13"/>
  <c r="R2283" i="13"/>
  <c r="F2308" i="13"/>
  <c r="R2308" i="13"/>
  <c r="F2350" i="13"/>
  <c r="R2350" i="13"/>
  <c r="F2258" i="13"/>
  <c r="R2258" i="13"/>
  <c r="F2380" i="13"/>
  <c r="R2380" i="13"/>
  <c r="F2422" i="13"/>
  <c r="R2422" i="13"/>
  <c r="F2349" i="13"/>
  <c r="R2349" i="13"/>
  <c r="F2346" i="13"/>
  <c r="R2346" i="13"/>
  <c r="F2423" i="13"/>
  <c r="R2423" i="13"/>
  <c r="F2394" i="13"/>
  <c r="R2394" i="13"/>
  <c r="F2385" i="13"/>
  <c r="R2385" i="13"/>
  <c r="F2444" i="13"/>
  <c r="R2444" i="13"/>
  <c r="F2367" i="13"/>
  <c r="R2367" i="13"/>
  <c r="F2456" i="13"/>
  <c r="R2456" i="13"/>
  <c r="F2246" i="13"/>
  <c r="R2246" i="13"/>
  <c r="F2238" i="13"/>
  <c r="R2238" i="13"/>
  <c r="F2255" i="13"/>
  <c r="R2255" i="13"/>
  <c r="F2264" i="13"/>
  <c r="R2264" i="13"/>
  <c r="F2302" i="13"/>
  <c r="R2302" i="13"/>
  <c r="F2245" i="13"/>
  <c r="R2245" i="13"/>
  <c r="F2256" i="13"/>
  <c r="R2256" i="13"/>
  <c r="F2417" i="13"/>
  <c r="R2417" i="13"/>
  <c r="F2428" i="13"/>
  <c r="R2428" i="13"/>
  <c r="F2338" i="13"/>
  <c r="R2338" i="13"/>
  <c r="F2341" i="13"/>
  <c r="R2341" i="13"/>
  <c r="F2331" i="13"/>
  <c r="R2331" i="13"/>
  <c r="F2403" i="13"/>
  <c r="R2403" i="13"/>
  <c r="F2413" i="13"/>
  <c r="R2413" i="13"/>
  <c r="E1506" i="13"/>
  <c r="Q1506" i="13"/>
  <c r="E1590" i="13"/>
  <c r="Q1590" i="13"/>
  <c r="E1521" i="13"/>
  <c r="Q1521" i="13"/>
  <c r="E1551" i="13"/>
  <c r="Q1551" i="13"/>
  <c r="E1706" i="13"/>
  <c r="Q1706" i="13"/>
  <c r="E1679" i="13"/>
  <c r="Q1679" i="13"/>
  <c r="E1617" i="13"/>
  <c r="Q1617" i="13"/>
  <c r="E1500" i="13"/>
  <c r="Q1500" i="13"/>
  <c r="E1693" i="13"/>
  <c r="Q1693" i="13"/>
  <c r="E1662" i="13"/>
  <c r="Q1662" i="13"/>
  <c r="E1495" i="13"/>
  <c r="Q1495" i="13"/>
  <c r="E1585" i="13"/>
  <c r="Q1585" i="13"/>
  <c r="E1703" i="13"/>
  <c r="Q1703" i="13"/>
  <c r="E1553" i="13"/>
  <c r="Q1553" i="13"/>
  <c r="E1494" i="13"/>
  <c r="Q1494" i="13"/>
  <c r="E1615" i="13"/>
  <c r="Q1615" i="13"/>
  <c r="E1532" i="13"/>
  <c r="Q1532" i="13"/>
  <c r="E1528" i="13"/>
  <c r="Q1528" i="13"/>
  <c r="E1611" i="13"/>
  <c r="Q1611" i="13"/>
  <c r="E1588" i="13"/>
  <c r="Q1588" i="13"/>
  <c r="E1723" i="13"/>
  <c r="Q1723" i="13"/>
  <c r="E1715" i="13"/>
  <c r="Q1715" i="13"/>
  <c r="E1557" i="13"/>
  <c r="Q1557" i="13"/>
  <c r="E1712" i="13"/>
  <c r="Q1712" i="13"/>
  <c r="E1676" i="13"/>
  <c r="Q1676" i="13"/>
  <c r="E1685" i="13"/>
  <c r="Q1685" i="13"/>
  <c r="E1501" i="13"/>
  <c r="Q1501" i="13"/>
  <c r="E1654" i="13"/>
  <c r="Q1654" i="13"/>
  <c r="E1713" i="13"/>
  <c r="Q1713" i="13"/>
  <c r="E1524" i="13"/>
  <c r="Q1524" i="13"/>
  <c r="E1704" i="13"/>
  <c r="Q1704" i="13"/>
  <c r="E1681" i="13"/>
  <c r="Q1681" i="13"/>
  <c r="E1694" i="13"/>
  <c r="Q1694" i="13"/>
  <c r="E1520" i="13"/>
  <c r="Q1520" i="13"/>
  <c r="E1555" i="13"/>
  <c r="Q1555" i="13"/>
  <c r="E1547" i="13"/>
  <c r="Q1547" i="13"/>
  <c r="E1719" i="13"/>
  <c r="Q1719" i="13"/>
  <c r="E1561" i="13"/>
  <c r="Q1561" i="13"/>
  <c r="E1513" i="13"/>
  <c r="Q1513" i="13"/>
  <c r="E1605" i="13"/>
  <c r="Q1605" i="13"/>
  <c r="E1550" i="13"/>
  <c r="Q1550" i="13"/>
  <c r="E1641" i="13"/>
  <c r="Q1641" i="13"/>
  <c r="E1717" i="13"/>
  <c r="Q1717" i="13"/>
  <c r="E1562" i="13"/>
  <c r="Q1562" i="13"/>
  <c r="E1684" i="13"/>
  <c r="Q1684" i="13"/>
  <c r="E1602" i="13"/>
  <c r="Q1602" i="13"/>
  <c r="E1597" i="13"/>
  <c r="Q1597" i="13"/>
  <c r="E1690" i="13"/>
  <c r="Q1690" i="13"/>
  <c r="E1498" i="13"/>
  <c r="Q1498" i="13"/>
  <c r="E1709" i="13"/>
  <c r="Q1709" i="13"/>
  <c r="E1571" i="13"/>
  <c r="Q1571" i="13"/>
  <c r="E1604" i="13"/>
  <c r="Q1604" i="13"/>
  <c r="E1696" i="13"/>
  <c r="Q1696" i="13"/>
  <c r="E1632" i="13"/>
  <c r="Q1632" i="13"/>
  <c r="E1535" i="13"/>
  <c r="Q1535" i="13"/>
  <c r="E1727" i="13"/>
  <c r="Q1727" i="13"/>
  <c r="E1726" i="13"/>
  <c r="Q1726" i="13"/>
  <c r="E1523" i="13"/>
  <c r="Q1523" i="13"/>
  <c r="E1660" i="13"/>
  <c r="Q1660" i="13"/>
  <c r="E1518" i="13"/>
  <c r="Q1518" i="13"/>
  <c r="E1594" i="13"/>
  <c r="Q1594" i="13"/>
  <c r="G738" i="13"/>
  <c r="S738" i="13"/>
  <c r="G737" i="13"/>
  <c r="S737" i="13"/>
  <c r="G675" i="13"/>
  <c r="S675" i="13"/>
  <c r="G608" i="13"/>
  <c r="S608" i="13"/>
  <c r="G723" i="13"/>
  <c r="S723" i="13"/>
  <c r="G548" i="13"/>
  <c r="S548" i="13"/>
  <c r="G512" i="13"/>
  <c r="S512" i="13"/>
  <c r="G527" i="13"/>
  <c r="S527" i="13"/>
  <c r="G735" i="13"/>
  <c r="S735" i="13"/>
  <c r="G619" i="13"/>
  <c r="S619" i="13"/>
  <c r="G545" i="13"/>
  <c r="S545" i="13"/>
  <c r="G624" i="13"/>
  <c r="S624" i="13"/>
  <c r="G670" i="13"/>
  <c r="S670" i="13"/>
  <c r="G615" i="13"/>
  <c r="S615" i="13"/>
  <c r="G580" i="13"/>
  <c r="S580" i="13"/>
  <c r="G628" i="13"/>
  <c r="S628" i="13"/>
  <c r="G544" i="13"/>
  <c r="S544" i="13"/>
  <c r="G630" i="13"/>
  <c r="S630" i="13"/>
  <c r="G560" i="13"/>
  <c r="S560" i="13"/>
  <c r="G510" i="13"/>
  <c r="S510" i="13"/>
  <c r="G605" i="13"/>
  <c r="S605" i="13"/>
  <c r="G733" i="13"/>
  <c r="S733" i="13"/>
  <c r="G623" i="13"/>
  <c r="S623" i="13"/>
  <c r="G519" i="13"/>
  <c r="S519" i="13"/>
  <c r="G683" i="13"/>
  <c r="S683" i="13"/>
  <c r="G701" i="13"/>
  <c r="S701" i="13"/>
  <c r="G520" i="13"/>
  <c r="S520" i="13"/>
  <c r="G564" i="13"/>
  <c r="S564" i="13"/>
  <c r="G602" i="13"/>
  <c r="S602" i="13"/>
  <c r="G622" i="13"/>
  <c r="S622" i="13"/>
  <c r="G552" i="13"/>
  <c r="S552" i="13"/>
  <c r="G597" i="13"/>
  <c r="S597" i="13"/>
  <c r="G693" i="13"/>
  <c r="S693" i="13"/>
  <c r="G582" i="13"/>
  <c r="S582" i="13"/>
  <c r="G568" i="13"/>
  <c r="S568" i="13"/>
  <c r="G653" i="13"/>
  <c r="S653" i="13"/>
  <c r="G715" i="13"/>
  <c r="S715" i="13"/>
  <c r="G589" i="13"/>
  <c r="S589" i="13"/>
  <c r="G561" i="13"/>
  <c r="S561" i="13"/>
  <c r="G739" i="13"/>
  <c r="S739" i="13"/>
  <c r="G633" i="13"/>
  <c r="S633" i="13"/>
  <c r="G637" i="13"/>
  <c r="S637" i="13"/>
  <c r="G507" i="13"/>
  <c r="S507" i="13"/>
  <c r="G508" i="13"/>
  <c r="S508" i="13"/>
  <c r="G626" i="13"/>
  <c r="S626" i="13"/>
  <c r="G583" i="13"/>
  <c r="S583" i="13"/>
  <c r="G579" i="13"/>
  <c r="S579" i="13"/>
  <c r="G503" i="13"/>
  <c r="S503" i="13"/>
  <c r="G705" i="13"/>
  <c r="S705" i="13"/>
  <c r="G595" i="13"/>
  <c r="S595" i="13"/>
  <c r="G725" i="13"/>
  <c r="S725" i="13"/>
  <c r="G717" i="13"/>
  <c r="S717" i="13"/>
  <c r="G700" i="13"/>
  <c r="S700" i="13"/>
  <c r="G662" i="13"/>
  <c r="S662" i="13"/>
  <c r="G523" i="13"/>
  <c r="S523" i="13"/>
  <c r="G575" i="13"/>
  <c r="S575" i="13"/>
  <c r="G726" i="13"/>
  <c r="S726" i="13"/>
  <c r="G504" i="13"/>
  <c r="S504" i="13"/>
  <c r="G659" i="13"/>
  <c r="S659" i="13"/>
  <c r="G724" i="13"/>
  <c r="S724" i="13"/>
  <c r="I1306" i="13"/>
  <c r="U1306" i="13"/>
  <c r="I1305" i="13"/>
  <c r="U1305" i="13"/>
  <c r="I1261" i="13"/>
  <c r="U1261" i="13"/>
  <c r="I1479" i="13"/>
  <c r="U1479" i="13"/>
  <c r="I1271" i="13"/>
  <c r="U1271" i="13"/>
  <c r="I1304" i="13"/>
  <c r="U1304" i="13"/>
  <c r="I1405" i="13"/>
  <c r="U1405" i="13"/>
  <c r="I1329" i="13"/>
  <c r="U1329" i="13"/>
  <c r="I1262" i="13"/>
  <c r="U1262" i="13"/>
  <c r="I1362" i="13"/>
  <c r="U1362" i="13"/>
  <c r="I1265" i="13"/>
  <c r="U1265" i="13"/>
  <c r="I1419" i="13"/>
  <c r="U1419" i="13"/>
  <c r="I1468" i="13"/>
  <c r="U1468" i="13"/>
  <c r="I1358" i="13"/>
  <c r="U1358" i="13"/>
  <c r="I1289" i="13"/>
  <c r="U1289" i="13"/>
  <c r="I1454" i="13"/>
  <c r="U1454" i="13"/>
  <c r="I1283" i="13"/>
  <c r="U1283" i="13"/>
  <c r="I1352" i="13"/>
  <c r="U1352" i="13"/>
  <c r="I1264" i="13"/>
  <c r="U1264" i="13"/>
  <c r="I1277" i="13"/>
  <c r="U1277" i="13"/>
  <c r="I1356" i="13"/>
  <c r="U1356" i="13"/>
  <c r="I1342" i="13"/>
  <c r="U1342" i="13"/>
  <c r="I1402" i="13"/>
  <c r="U1402" i="13"/>
  <c r="I1404" i="13"/>
  <c r="U1404" i="13"/>
  <c r="I1370" i="13"/>
  <c r="U1370" i="13"/>
  <c r="I1307" i="13"/>
  <c r="U1307" i="13"/>
  <c r="I1269" i="13"/>
  <c r="U1269" i="13"/>
  <c r="I1441" i="13"/>
  <c r="U1441" i="13"/>
  <c r="I1399" i="13"/>
  <c r="U1399" i="13"/>
  <c r="I1340" i="13"/>
  <c r="U1340" i="13"/>
  <c r="I1325" i="13"/>
  <c r="U1325" i="13"/>
  <c r="I1431" i="13"/>
  <c r="U1431" i="13"/>
  <c r="I1258" i="13"/>
  <c r="U1258" i="13"/>
  <c r="I1255" i="13"/>
  <c r="U1255" i="13"/>
  <c r="I1430" i="13"/>
  <c r="U1430" i="13"/>
  <c r="I1278" i="13"/>
  <c r="U1278" i="13"/>
  <c r="I1469" i="13"/>
  <c r="U1469" i="13"/>
  <c r="I1333" i="13"/>
  <c r="U1333" i="13"/>
  <c r="I1365" i="13"/>
  <c r="U1365" i="13"/>
  <c r="I1397" i="13"/>
  <c r="U1397" i="13"/>
  <c r="I1385" i="13"/>
  <c r="U1385" i="13"/>
  <c r="I1332" i="13"/>
  <c r="U1332" i="13"/>
  <c r="I1474" i="13"/>
  <c r="U1474" i="13"/>
  <c r="I1298" i="13"/>
  <c r="U1298" i="13"/>
  <c r="I1257" i="13"/>
  <c r="U1257" i="13"/>
  <c r="I1250" i="13"/>
  <c r="U1250" i="13"/>
  <c r="I1347" i="13"/>
  <c r="U1347" i="13"/>
  <c r="I1467" i="13"/>
  <c r="U1467" i="13"/>
  <c r="I1411" i="13"/>
  <c r="U1411" i="13"/>
  <c r="I1316" i="13"/>
  <c r="U1316" i="13"/>
  <c r="I1446" i="13"/>
  <c r="U1446" i="13"/>
  <c r="I1339" i="13"/>
  <c r="U1339" i="13"/>
  <c r="I1315" i="13"/>
  <c r="U1315" i="13"/>
  <c r="I1477" i="13"/>
  <c r="U1477" i="13"/>
  <c r="I1363" i="13"/>
  <c r="U1363" i="13"/>
  <c r="I1434" i="13"/>
  <c r="U1434" i="13"/>
  <c r="I1394" i="13"/>
  <c r="U1394" i="13"/>
  <c r="I1287" i="13"/>
  <c r="U1287" i="13"/>
  <c r="I1465" i="13"/>
  <c r="U1465" i="13"/>
  <c r="H1534" i="13"/>
  <c r="T1534" i="13"/>
  <c r="H1598" i="13"/>
  <c r="T1598" i="13"/>
  <c r="H1566" i="13"/>
  <c r="T1566" i="13"/>
  <c r="H1724" i="13"/>
  <c r="T1724" i="13"/>
  <c r="H1693" i="13"/>
  <c r="T1693" i="13"/>
  <c r="H1716" i="13"/>
  <c r="T1716" i="13"/>
  <c r="H1532" i="13"/>
  <c r="T1532" i="13"/>
  <c r="H1497" i="13"/>
  <c r="T1497" i="13"/>
  <c r="H1697" i="13"/>
  <c r="T1697" i="13"/>
  <c r="H1727" i="13"/>
  <c r="T1727" i="13"/>
  <c r="H1543" i="13"/>
  <c r="T1543" i="13"/>
  <c r="H1510" i="13"/>
  <c r="T1510" i="13"/>
  <c r="H1509" i="13"/>
  <c r="T1509" i="13"/>
  <c r="H1656" i="13"/>
  <c r="T1656" i="13"/>
  <c r="H1589" i="13"/>
  <c r="T1589" i="13"/>
  <c r="H1654" i="13"/>
  <c r="T1654" i="13"/>
  <c r="H1536" i="13"/>
  <c r="T1536" i="13"/>
  <c r="H1603" i="13"/>
  <c r="T1603" i="13"/>
  <c r="H1734" i="13"/>
  <c r="T1734" i="13"/>
  <c r="H1694" i="13"/>
  <c r="T1694" i="13"/>
  <c r="H1555" i="13"/>
  <c r="T1555" i="13"/>
  <c r="H1667" i="13"/>
  <c r="T1667" i="13"/>
  <c r="H1601" i="13"/>
  <c r="T1601" i="13"/>
  <c r="H1649" i="13"/>
  <c r="T1649" i="13"/>
  <c r="H1496" i="13"/>
  <c r="T1496" i="13"/>
  <c r="H1679" i="13"/>
  <c r="T1679" i="13"/>
  <c r="H1714" i="13"/>
  <c r="T1714" i="13"/>
  <c r="H1512" i="13"/>
  <c r="T1512" i="13"/>
  <c r="H1577" i="13"/>
  <c r="T1577" i="13"/>
  <c r="H1641" i="13"/>
  <c r="T1641" i="13"/>
  <c r="H1613" i="13"/>
  <c r="T1613" i="13"/>
  <c r="H1503" i="13"/>
  <c r="T1503" i="13"/>
  <c r="H1669" i="13"/>
  <c r="T1669" i="13"/>
  <c r="H1569" i="13"/>
  <c r="T1569" i="13"/>
  <c r="H1647" i="13"/>
  <c r="T1647" i="13"/>
  <c r="H1526" i="13"/>
  <c r="T1526" i="13"/>
  <c r="H1581" i="13"/>
  <c r="T1581" i="13"/>
  <c r="H1610" i="13"/>
  <c r="T1610" i="13"/>
  <c r="H1676" i="13"/>
  <c r="T1676" i="13"/>
  <c r="H1522" i="13"/>
  <c r="T1522" i="13"/>
  <c r="H1683" i="13"/>
  <c r="T1683" i="13"/>
  <c r="H1663" i="13"/>
  <c r="T1663" i="13"/>
  <c r="H1561" i="13"/>
  <c r="T1561" i="13"/>
  <c r="H1617" i="13"/>
  <c r="T1617" i="13"/>
  <c r="H1715" i="13"/>
  <c r="T1715" i="13"/>
  <c r="H1680" i="13"/>
  <c r="T1680" i="13"/>
  <c r="H1597" i="13"/>
  <c r="T1597" i="13"/>
  <c r="H1643" i="13"/>
  <c r="T1643" i="13"/>
  <c r="H1622" i="13"/>
  <c r="T1622" i="13"/>
  <c r="H1592" i="13"/>
  <c r="T1592" i="13"/>
  <c r="H1705" i="13"/>
  <c r="T1705" i="13"/>
  <c r="H1600" i="13"/>
  <c r="T1600" i="13"/>
  <c r="H1529" i="13"/>
  <c r="T1529" i="13"/>
  <c r="H1660" i="13"/>
  <c r="T1660" i="13"/>
  <c r="H1609" i="13"/>
  <c r="T1609" i="13"/>
  <c r="H1541" i="13"/>
  <c r="T1541" i="13"/>
  <c r="H1728" i="13"/>
  <c r="T1728" i="13"/>
  <c r="H1655" i="13"/>
  <c r="T1655" i="13"/>
  <c r="H1639" i="13"/>
  <c r="T1639" i="13"/>
  <c r="H1508" i="13"/>
  <c r="T1508" i="13"/>
  <c r="H1582" i="13"/>
  <c r="T1582" i="13"/>
  <c r="E1964" i="13"/>
  <c r="Q1964" i="13"/>
  <c r="E1819" i="13"/>
  <c r="Q1819" i="13"/>
  <c r="E1795" i="13"/>
  <c r="Q1795" i="13"/>
  <c r="E1958" i="13"/>
  <c r="Q1958" i="13"/>
  <c r="E1912" i="13"/>
  <c r="Q1912" i="13"/>
  <c r="E1983" i="13"/>
  <c r="Q1983" i="13"/>
  <c r="E1927" i="13"/>
  <c r="Q1927" i="13"/>
  <c r="E1962" i="13"/>
  <c r="Q1962" i="13"/>
  <c r="E1970" i="13"/>
  <c r="Q1970" i="13"/>
  <c r="E1920" i="13"/>
  <c r="Q1920" i="13"/>
  <c r="E1822" i="13"/>
  <c r="Q1822" i="13"/>
  <c r="E1919" i="13"/>
  <c r="Q1919" i="13"/>
  <c r="E1867" i="13"/>
  <c r="Q1867" i="13"/>
  <c r="E1742" i="13"/>
  <c r="Q1742" i="13"/>
  <c r="E1813" i="13"/>
  <c r="Q1813" i="13"/>
  <c r="E1763" i="13"/>
  <c r="Q1763" i="13"/>
  <c r="E1857" i="13"/>
  <c r="Q1857" i="13"/>
  <c r="E1755" i="13"/>
  <c r="Q1755" i="13"/>
  <c r="E1871" i="13"/>
  <c r="Q1871" i="13"/>
  <c r="E1936" i="13"/>
  <c r="Q1936" i="13"/>
  <c r="E1781" i="13"/>
  <c r="Q1781" i="13"/>
  <c r="E1969" i="13"/>
  <c r="Q1969" i="13"/>
  <c r="E1939" i="13"/>
  <c r="Q1939" i="13"/>
  <c r="E1809" i="13"/>
  <c r="Q1809" i="13"/>
  <c r="E1790" i="13"/>
  <c r="Q1790" i="13"/>
  <c r="E1888" i="13"/>
  <c r="Q1888" i="13"/>
  <c r="E1859" i="13"/>
  <c r="Q1859" i="13"/>
  <c r="E1783" i="13"/>
  <c r="Q1783" i="13"/>
  <c r="E1957" i="13"/>
  <c r="Q1957" i="13"/>
  <c r="E1842" i="13"/>
  <c r="Q1842" i="13"/>
  <c r="E1771" i="13"/>
  <c r="Q1771" i="13"/>
  <c r="E1774" i="13"/>
  <c r="Q1774" i="13"/>
  <c r="E1963" i="13"/>
  <c r="Q1963" i="13"/>
  <c r="E1894" i="13"/>
  <c r="Q1894" i="13"/>
  <c r="E1775" i="13"/>
  <c r="Q1775" i="13"/>
  <c r="E1816" i="13"/>
  <c r="Q1816" i="13"/>
  <c r="E1982" i="13"/>
  <c r="Q1982" i="13"/>
  <c r="E1973" i="13"/>
  <c r="Q1973" i="13"/>
  <c r="E1851" i="13"/>
  <c r="Q1851" i="13"/>
  <c r="E1804" i="13"/>
  <c r="Q1804" i="13"/>
  <c r="E1906" i="13"/>
  <c r="Q1906" i="13"/>
  <c r="E1800" i="13"/>
  <c r="Q1800" i="13"/>
  <c r="E1786" i="13"/>
  <c r="Q1786" i="13"/>
  <c r="E1877" i="13"/>
  <c r="Q1877" i="13"/>
  <c r="E1747" i="13"/>
  <c r="Q1747" i="13"/>
  <c r="E1801" i="13"/>
  <c r="Q1801" i="13"/>
  <c r="E1900" i="13"/>
  <c r="Q1900" i="13"/>
  <c r="E1770" i="13"/>
  <c r="Q1770" i="13"/>
  <c r="E1938" i="13"/>
  <c r="Q1938" i="13"/>
  <c r="E1840" i="13"/>
  <c r="Q1840" i="13"/>
  <c r="E1843" i="13"/>
  <c r="Q1843" i="13"/>
  <c r="E1767" i="13"/>
  <c r="Q1767" i="13"/>
  <c r="E1879" i="13"/>
  <c r="Q1879" i="13"/>
  <c r="E1827" i="13"/>
  <c r="Q1827" i="13"/>
  <c r="E1914" i="13"/>
  <c r="Q1914" i="13"/>
  <c r="E1904" i="13"/>
  <c r="Q1904" i="13"/>
  <c r="E1866" i="13"/>
  <c r="Q1866" i="13"/>
  <c r="E1941" i="13"/>
  <c r="Q1941" i="13"/>
  <c r="E1902" i="13"/>
  <c r="Q1902" i="13"/>
  <c r="E1841" i="13"/>
  <c r="Q1841" i="13"/>
  <c r="G999" i="13"/>
  <c r="S999" i="13"/>
  <c r="G1010" i="13"/>
  <c r="S1010" i="13"/>
  <c r="G1050" i="13"/>
  <c r="S1050" i="13"/>
  <c r="G1011" i="13"/>
  <c r="S1011" i="13"/>
  <c r="G1048" i="13"/>
  <c r="S1048" i="13"/>
  <c r="G1126" i="13"/>
  <c r="S1126" i="13"/>
  <c r="G1031" i="13"/>
  <c r="S1031" i="13"/>
  <c r="G1153" i="13"/>
  <c r="S1153" i="13"/>
  <c r="G1025" i="13"/>
  <c r="S1025" i="13"/>
  <c r="G1159" i="13"/>
  <c r="S1159" i="13"/>
  <c r="G1006" i="13"/>
  <c r="S1006" i="13"/>
  <c r="G1049" i="13"/>
  <c r="S1049" i="13"/>
  <c r="G1158" i="13"/>
  <c r="S1158" i="13"/>
  <c r="G1188" i="13"/>
  <c r="S1188" i="13"/>
  <c r="G1203" i="13"/>
  <c r="S1203" i="13"/>
  <c r="G1146" i="13"/>
  <c r="S1146" i="13"/>
  <c r="G1073" i="13"/>
  <c r="S1073" i="13"/>
  <c r="G1225" i="13"/>
  <c r="S1225" i="13"/>
  <c r="G1194" i="13"/>
  <c r="S1194" i="13"/>
  <c r="G1014" i="13"/>
  <c r="S1014" i="13"/>
  <c r="G1173" i="13"/>
  <c r="S1173" i="13"/>
  <c r="G1202" i="13"/>
  <c r="S1202" i="13"/>
  <c r="G1086" i="13"/>
  <c r="S1086" i="13"/>
  <c r="G1112" i="13"/>
  <c r="S1112" i="13"/>
  <c r="G1062" i="13"/>
  <c r="S1062" i="13"/>
  <c r="G1093" i="13"/>
  <c r="S1093" i="13"/>
  <c r="G1053" i="13"/>
  <c r="S1053" i="13"/>
  <c r="G1215" i="13"/>
  <c r="S1215" i="13"/>
  <c r="G1185" i="13"/>
  <c r="S1185" i="13"/>
  <c r="G1156" i="13"/>
  <c r="S1156" i="13"/>
  <c r="G1133" i="13"/>
  <c r="S1133" i="13"/>
  <c r="G1019" i="13"/>
  <c r="S1019" i="13"/>
  <c r="G1041" i="13"/>
  <c r="S1041" i="13"/>
  <c r="G1139" i="13"/>
  <c r="S1139" i="13"/>
  <c r="G1095" i="13"/>
  <c r="S1095" i="13"/>
  <c r="G1071" i="13"/>
  <c r="S1071" i="13"/>
  <c r="G1100" i="13"/>
  <c r="S1100" i="13"/>
  <c r="G1005" i="13"/>
  <c r="S1005" i="13"/>
  <c r="G1227" i="13"/>
  <c r="S1227" i="13"/>
  <c r="G1226" i="13"/>
  <c r="S1226" i="13"/>
  <c r="G1079" i="13"/>
  <c r="S1079" i="13"/>
  <c r="G1222" i="13"/>
  <c r="S1222" i="13"/>
  <c r="G1023" i="13"/>
  <c r="S1023" i="13"/>
  <c r="G1021" i="13"/>
  <c r="S1021" i="13"/>
  <c r="G1115" i="13"/>
  <c r="S1115" i="13"/>
  <c r="G1216" i="13"/>
  <c r="S1216" i="13"/>
  <c r="G1060" i="13"/>
  <c r="S1060" i="13"/>
  <c r="G1233" i="13"/>
  <c r="S1233" i="13"/>
  <c r="G1201" i="13"/>
  <c r="S1201" i="13"/>
  <c r="G1114" i="13"/>
  <c r="S1114" i="13"/>
  <c r="G1101" i="13"/>
  <c r="S1101" i="13"/>
  <c r="G1058" i="13"/>
  <c r="S1058" i="13"/>
  <c r="G1219" i="13"/>
  <c r="S1219" i="13"/>
  <c r="G1213" i="13"/>
  <c r="S1213" i="13"/>
  <c r="G1208" i="13"/>
  <c r="S1208" i="13"/>
  <c r="G1198" i="13"/>
  <c r="S1198" i="13"/>
  <c r="G1204" i="13"/>
  <c r="S1204" i="13"/>
  <c r="G1172" i="13"/>
  <c r="S1172" i="13"/>
  <c r="G1120" i="13"/>
  <c r="S1120" i="13"/>
  <c r="G1024" i="13"/>
  <c r="S1024" i="13"/>
  <c r="G1214" i="13"/>
  <c r="S1214" i="13"/>
  <c r="H1362" i="13"/>
  <c r="T1362" i="13"/>
  <c r="H1383" i="13"/>
  <c r="T1383" i="13"/>
  <c r="H1363" i="13"/>
  <c r="T1363" i="13"/>
  <c r="H1411" i="13"/>
  <c r="T1411" i="13"/>
  <c r="H1304" i="13"/>
  <c r="T1304" i="13"/>
  <c r="H1264" i="13"/>
  <c r="T1264" i="13"/>
  <c r="H1282" i="13"/>
  <c r="T1282" i="13"/>
  <c r="H1412" i="13"/>
  <c r="T1412" i="13"/>
  <c r="H1288" i="13"/>
  <c r="T1288" i="13"/>
  <c r="H1415" i="13"/>
  <c r="T1415" i="13"/>
  <c r="H1481" i="13"/>
  <c r="T1481" i="13"/>
  <c r="H1285" i="13"/>
  <c r="T1285" i="13"/>
  <c r="H1361" i="13"/>
  <c r="T1361" i="13"/>
  <c r="H1294" i="13"/>
  <c r="T1294" i="13"/>
  <c r="H1448" i="13"/>
  <c r="T1448" i="13"/>
  <c r="H1487" i="13"/>
  <c r="T1487" i="13"/>
  <c r="H1452" i="13"/>
  <c r="T1452" i="13"/>
  <c r="H1404" i="13"/>
  <c r="T1404" i="13"/>
  <c r="H1388" i="13"/>
  <c r="T1388" i="13"/>
  <c r="H1287" i="13"/>
  <c r="T1287" i="13"/>
  <c r="H1418" i="13"/>
  <c r="T1418" i="13"/>
  <c r="H1258" i="13"/>
  <c r="T1258" i="13"/>
  <c r="H1358" i="13"/>
  <c r="T1358" i="13"/>
  <c r="H1456" i="13"/>
  <c r="T1456" i="13"/>
  <c r="H1343" i="13"/>
  <c r="T1343" i="13"/>
  <c r="H1410" i="13"/>
  <c r="T1410" i="13"/>
  <c r="H1300" i="13"/>
  <c r="T1300" i="13"/>
  <c r="H1485" i="13"/>
  <c r="T1485" i="13"/>
  <c r="H1398" i="13"/>
  <c r="T1398" i="13"/>
  <c r="H1427" i="13"/>
  <c r="T1427" i="13"/>
  <c r="H1273" i="13"/>
  <c r="T1273" i="13"/>
  <c r="H1283" i="13"/>
  <c r="T1283" i="13"/>
  <c r="H1345" i="13"/>
  <c r="T1345" i="13"/>
  <c r="H1420" i="13"/>
  <c r="T1420" i="13"/>
  <c r="H1349" i="13"/>
  <c r="T1349" i="13"/>
  <c r="H1385" i="13"/>
  <c r="T1385" i="13"/>
  <c r="H1465" i="13"/>
  <c r="T1465" i="13"/>
  <c r="H1295" i="13"/>
  <c r="T1295" i="13"/>
  <c r="H1263" i="13"/>
  <c r="T1263" i="13"/>
  <c r="H1255" i="13"/>
  <c r="T1255" i="13"/>
  <c r="H1462" i="13"/>
  <c r="T1462" i="13"/>
  <c r="H1271" i="13"/>
  <c r="T1271" i="13"/>
  <c r="H1315" i="13"/>
  <c r="T1315" i="13"/>
  <c r="H1394" i="13"/>
  <c r="T1394" i="13"/>
  <c r="H1286" i="13"/>
  <c r="T1286" i="13"/>
  <c r="H1306" i="13"/>
  <c r="T1306" i="13"/>
  <c r="H1332" i="13"/>
  <c r="T1332" i="13"/>
  <c r="H1262" i="13"/>
  <c r="T1262" i="13"/>
  <c r="H1351" i="13"/>
  <c r="T1351" i="13"/>
  <c r="H1325" i="13"/>
  <c r="T1325" i="13"/>
  <c r="H1268" i="13"/>
  <c r="T1268" i="13"/>
  <c r="H1484" i="13"/>
  <c r="T1484" i="13"/>
  <c r="H1439" i="13"/>
  <c r="T1439" i="13"/>
  <c r="H1372" i="13"/>
  <c r="T1372" i="13"/>
  <c r="H1407" i="13"/>
  <c r="T1407" i="13"/>
  <c r="H1445" i="13"/>
  <c r="T1445" i="13"/>
  <c r="H1431" i="13"/>
  <c r="T1431" i="13"/>
  <c r="H1387" i="13"/>
  <c r="T1387" i="13"/>
  <c r="H1278" i="13"/>
  <c r="T1278" i="13"/>
  <c r="H1348" i="13"/>
  <c r="T1348" i="13"/>
  <c r="H1355" i="13"/>
  <c r="T1355" i="13"/>
  <c r="I991" i="13"/>
  <c r="U991" i="13"/>
  <c r="I818" i="13"/>
  <c r="U818" i="13"/>
  <c r="I780" i="13"/>
  <c r="U780" i="13"/>
  <c r="I794" i="13"/>
  <c r="U794" i="13"/>
  <c r="I819" i="13"/>
  <c r="U819" i="13"/>
  <c r="I975" i="13"/>
  <c r="U975" i="13"/>
  <c r="I877" i="13"/>
  <c r="U877" i="13"/>
  <c r="I987" i="13"/>
  <c r="U987" i="13"/>
  <c r="I863" i="13"/>
  <c r="U863" i="13"/>
  <c r="I955" i="13"/>
  <c r="U955" i="13"/>
  <c r="I782" i="13"/>
  <c r="U782" i="13"/>
  <c r="I939" i="13"/>
  <c r="U939" i="13"/>
  <c r="I911" i="13"/>
  <c r="U911" i="13"/>
  <c r="I983" i="13"/>
  <c r="U983" i="13"/>
  <c r="I972" i="13"/>
  <c r="U972" i="13"/>
  <c r="I853" i="13"/>
  <c r="U853" i="13"/>
  <c r="I850" i="13"/>
  <c r="U850" i="13"/>
  <c r="I798" i="13"/>
  <c r="U798" i="13"/>
  <c r="I870" i="13"/>
  <c r="U870" i="13"/>
  <c r="I940" i="13"/>
  <c r="U940" i="13"/>
  <c r="I791" i="13"/>
  <c r="U791" i="13"/>
  <c r="I880" i="13"/>
  <c r="U880" i="13"/>
  <c r="I843" i="13"/>
  <c r="U843" i="13"/>
  <c r="I801" i="13"/>
  <c r="U801" i="13"/>
  <c r="I777" i="13"/>
  <c r="U777" i="13"/>
  <c r="I954" i="13"/>
  <c r="U954" i="13"/>
  <c r="I774" i="13"/>
  <c r="U774" i="13"/>
  <c r="I875" i="13"/>
  <c r="U875" i="13"/>
  <c r="I897" i="13"/>
  <c r="U897" i="13"/>
  <c r="I914" i="13"/>
  <c r="U914" i="13"/>
  <c r="I761" i="13"/>
  <c r="U761" i="13"/>
  <c r="I898" i="13"/>
  <c r="U898" i="13"/>
  <c r="I844" i="13"/>
  <c r="U844" i="13"/>
  <c r="I785" i="13"/>
  <c r="U785" i="13"/>
  <c r="I840" i="13"/>
  <c r="U840" i="13"/>
  <c r="I957" i="13"/>
  <c r="U957" i="13"/>
  <c r="I827" i="13"/>
  <c r="U827" i="13"/>
  <c r="I879" i="13"/>
  <c r="U879" i="13"/>
  <c r="I948" i="13"/>
  <c r="U948" i="13"/>
  <c r="I918" i="13"/>
  <c r="U918" i="13"/>
  <c r="I981" i="13"/>
  <c r="U981" i="13"/>
  <c r="I912" i="13"/>
  <c r="U912" i="13"/>
  <c r="I765" i="13"/>
  <c r="U765" i="13"/>
  <c r="I842" i="13"/>
  <c r="U842" i="13"/>
  <c r="I779" i="13"/>
  <c r="U779" i="13"/>
  <c r="I984" i="13"/>
  <c r="U984" i="13"/>
  <c r="I775" i="13"/>
  <c r="U775" i="13"/>
  <c r="I930" i="13"/>
  <c r="U930" i="13"/>
  <c r="I980" i="13"/>
  <c r="U980" i="13"/>
  <c r="I965" i="13"/>
  <c r="U965" i="13"/>
  <c r="I932" i="13"/>
  <c r="U932" i="13"/>
  <c r="I949" i="13"/>
  <c r="U949" i="13"/>
  <c r="I919" i="13"/>
  <c r="U919" i="13"/>
  <c r="I786" i="13"/>
  <c r="U786" i="13"/>
  <c r="I824" i="13"/>
  <c r="U824" i="13"/>
  <c r="I910" i="13"/>
  <c r="U910" i="13"/>
  <c r="I988" i="13"/>
  <c r="U988" i="13"/>
  <c r="I841" i="13"/>
  <c r="U841" i="13"/>
  <c r="I825" i="13"/>
  <c r="U825" i="13"/>
  <c r="I931" i="13"/>
  <c r="U931" i="13"/>
  <c r="I793" i="13"/>
  <c r="U793" i="13"/>
  <c r="F824" i="13"/>
  <c r="R824" i="13"/>
  <c r="F815" i="13"/>
  <c r="R815" i="13"/>
  <c r="F931" i="13"/>
  <c r="R931" i="13"/>
  <c r="F784" i="13"/>
  <c r="R784" i="13"/>
  <c r="F979" i="13"/>
  <c r="R979" i="13"/>
  <c r="F923" i="13"/>
  <c r="R923" i="13"/>
  <c r="F841" i="13"/>
  <c r="R841" i="13"/>
  <c r="F927" i="13"/>
  <c r="R927" i="13"/>
  <c r="F859" i="13"/>
  <c r="R859" i="13"/>
  <c r="F991" i="13"/>
  <c r="R991" i="13"/>
  <c r="F809" i="13"/>
  <c r="R809" i="13"/>
  <c r="F767" i="13"/>
  <c r="R767" i="13"/>
  <c r="F856" i="13"/>
  <c r="R856" i="13"/>
  <c r="F896" i="13"/>
  <c r="R896" i="13"/>
  <c r="F752" i="13"/>
  <c r="R752" i="13"/>
  <c r="F871" i="13"/>
  <c r="R871" i="13"/>
  <c r="F921" i="13"/>
  <c r="R921" i="13"/>
  <c r="F869" i="13"/>
  <c r="R869" i="13"/>
  <c r="F899" i="13"/>
  <c r="R899" i="13"/>
  <c r="F838" i="13"/>
  <c r="R838" i="13"/>
  <c r="F799" i="13"/>
  <c r="R799" i="13"/>
  <c r="F780" i="13"/>
  <c r="R780" i="13"/>
  <c r="F945" i="13"/>
  <c r="J945" i="13" s="1"/>
  <c r="R945" i="13"/>
  <c r="F820" i="13"/>
  <c r="R820" i="13"/>
  <c r="F795" i="13"/>
  <c r="R795" i="13"/>
  <c r="F810" i="13"/>
  <c r="R810" i="13"/>
  <c r="F785" i="13"/>
  <c r="R785" i="13"/>
  <c r="F895" i="13"/>
  <c r="R895" i="13"/>
  <c r="F832" i="13"/>
  <c r="R832" i="13"/>
  <c r="F928" i="13"/>
  <c r="R928" i="13"/>
  <c r="F797" i="13"/>
  <c r="R797" i="13"/>
  <c r="F943" i="13"/>
  <c r="R943" i="13"/>
  <c r="F976" i="13"/>
  <c r="R976" i="13"/>
  <c r="F897" i="13"/>
  <c r="R897" i="13"/>
  <c r="F866" i="13"/>
  <c r="R866" i="13"/>
  <c r="F903" i="13"/>
  <c r="R903" i="13"/>
  <c r="F938" i="13"/>
  <c r="R938" i="13"/>
  <c r="F757" i="13"/>
  <c r="R757" i="13"/>
  <c r="F853" i="13"/>
  <c r="R853" i="13"/>
  <c r="F829" i="13"/>
  <c r="R829" i="13"/>
  <c r="F959" i="13"/>
  <c r="R959" i="13"/>
  <c r="F964" i="13"/>
  <c r="R964" i="13"/>
  <c r="F770" i="13"/>
  <c r="R770" i="13"/>
  <c r="F880" i="13"/>
  <c r="R880" i="13"/>
  <c r="F878" i="13"/>
  <c r="R878" i="13"/>
  <c r="F864" i="13"/>
  <c r="R864" i="13"/>
  <c r="F872" i="13"/>
  <c r="R872" i="13"/>
  <c r="F987" i="13"/>
  <c r="R987" i="13"/>
  <c r="F939" i="13"/>
  <c r="R939" i="13"/>
  <c r="F936" i="13"/>
  <c r="R936" i="13"/>
  <c r="F962" i="13"/>
  <c r="R962" i="13"/>
  <c r="F773" i="13"/>
  <c r="R773" i="13"/>
  <c r="F865" i="13"/>
  <c r="R865" i="13"/>
  <c r="F941" i="13"/>
  <c r="R941" i="13"/>
  <c r="F800" i="13"/>
  <c r="R800" i="13"/>
  <c r="F969" i="13"/>
  <c r="R969" i="13"/>
  <c r="F783" i="13"/>
  <c r="R783" i="13"/>
  <c r="F902" i="13"/>
  <c r="R902" i="13"/>
  <c r="F968" i="13"/>
  <c r="R968" i="13"/>
  <c r="F946" i="13"/>
  <c r="R946" i="13"/>
  <c r="I2107" i="13"/>
  <c r="U2107" i="13"/>
  <c r="I2030" i="13"/>
  <c r="U2030" i="13"/>
  <c r="I2186" i="13"/>
  <c r="U2186" i="13"/>
  <c r="I2195" i="13"/>
  <c r="U2195" i="13"/>
  <c r="I2215" i="13"/>
  <c r="U2215" i="13"/>
  <c r="I2099" i="13"/>
  <c r="U2099" i="13"/>
  <c r="I2043" i="13"/>
  <c r="U2043" i="13"/>
  <c r="I2190" i="13"/>
  <c r="U2190" i="13"/>
  <c r="I1998" i="13"/>
  <c r="U1998" i="13"/>
  <c r="I2228" i="13"/>
  <c r="U2228" i="13"/>
  <c r="I2141" i="13"/>
  <c r="U2141" i="13"/>
  <c r="I2083" i="13"/>
  <c r="U2083" i="13"/>
  <c r="I2216" i="13"/>
  <c r="U2216" i="13"/>
  <c r="I2197" i="13"/>
  <c r="U2197" i="13"/>
  <c r="I2058" i="13"/>
  <c r="U2058" i="13"/>
  <c r="I2001" i="13"/>
  <c r="J2001" i="13" s="1"/>
  <c r="U2001" i="13"/>
  <c r="I2122" i="13"/>
  <c r="U2122" i="13"/>
  <c r="I1999" i="13"/>
  <c r="U1999" i="13"/>
  <c r="I2023" i="13"/>
  <c r="U2023" i="13"/>
  <c r="I2038" i="13"/>
  <c r="U2038" i="13"/>
  <c r="I2045" i="13"/>
  <c r="U2045" i="13"/>
  <c r="I2076" i="13"/>
  <c r="U2076" i="13"/>
  <c r="I1997" i="13"/>
  <c r="U1997" i="13"/>
  <c r="I2165" i="13"/>
  <c r="U2165" i="13"/>
  <c r="I2168" i="13"/>
  <c r="U2168" i="13"/>
  <c r="I2226" i="13"/>
  <c r="U2226" i="13"/>
  <c r="I2102" i="13"/>
  <c r="U2102" i="13"/>
  <c r="I2050" i="13"/>
  <c r="U2050" i="13"/>
  <c r="I2198" i="13"/>
  <c r="U2198" i="13"/>
  <c r="I2193" i="13"/>
  <c r="U2193" i="13"/>
  <c r="I2071" i="13"/>
  <c r="U2071" i="13"/>
  <c r="I2129" i="13"/>
  <c r="U2129" i="13"/>
  <c r="I1991" i="13"/>
  <c r="U1991" i="13"/>
  <c r="I2063" i="13"/>
  <c r="U2063" i="13"/>
  <c r="I2207" i="13"/>
  <c r="U2207" i="13"/>
  <c r="I2089" i="13"/>
  <c r="U2089" i="13"/>
  <c r="I2093" i="13"/>
  <c r="U2093" i="13"/>
  <c r="I2062" i="13"/>
  <c r="U2062" i="13"/>
  <c r="I2037" i="13"/>
  <c r="U2037" i="13"/>
  <c r="I1996" i="13"/>
  <c r="U1996" i="13"/>
  <c r="I2210" i="13"/>
  <c r="U2210" i="13"/>
  <c r="I2223" i="13"/>
  <c r="U2223" i="13"/>
  <c r="I2044" i="13"/>
  <c r="U2044" i="13"/>
  <c r="I2157" i="13"/>
  <c r="U2157" i="13"/>
  <c r="I2039" i="13"/>
  <c r="U2039" i="13"/>
  <c r="I2179" i="13"/>
  <c r="U2179" i="13"/>
  <c r="I2161" i="13"/>
  <c r="U2161" i="13"/>
  <c r="I2173" i="13"/>
  <c r="U2173" i="13"/>
  <c r="I2110" i="13"/>
  <c r="U2110" i="13"/>
  <c r="I1993" i="13"/>
  <c r="U1993" i="13"/>
  <c r="I2148" i="13"/>
  <c r="U2148" i="13"/>
  <c r="I2041" i="13"/>
  <c r="U2041" i="13"/>
  <c r="I2068" i="13"/>
  <c r="U2068" i="13"/>
  <c r="I2074" i="13"/>
  <c r="U2074" i="13"/>
  <c r="I2128" i="13"/>
  <c r="U2128" i="13"/>
  <c r="I2114" i="13"/>
  <c r="U2114" i="13"/>
  <c r="I2203" i="13"/>
  <c r="U2203" i="13"/>
  <c r="I2029" i="13"/>
  <c r="U2029" i="13"/>
  <c r="I2146" i="13"/>
  <c r="U2146" i="13"/>
  <c r="I2060" i="13"/>
  <c r="U2060" i="13"/>
  <c r="I2064" i="13"/>
  <c r="U2064" i="13"/>
  <c r="I2453" i="13"/>
  <c r="U2453" i="13"/>
  <c r="I2256" i="13"/>
  <c r="U2256" i="13"/>
  <c r="I2372" i="13"/>
  <c r="U2372" i="13"/>
  <c r="I2268" i="13"/>
  <c r="U2268" i="13"/>
  <c r="I2452" i="13"/>
  <c r="U2452" i="13"/>
  <c r="I2472" i="13"/>
  <c r="U2472" i="13"/>
  <c r="I2300" i="13"/>
  <c r="U2300" i="13"/>
  <c r="I2285" i="13"/>
  <c r="U2285" i="13"/>
  <c r="I2460" i="13"/>
  <c r="U2460" i="13"/>
  <c r="I2275" i="13"/>
  <c r="U2275" i="13"/>
  <c r="I2317" i="13"/>
  <c r="U2317" i="13"/>
  <c r="I2348" i="13"/>
  <c r="U2348" i="13"/>
  <c r="I2336" i="13"/>
  <c r="U2336" i="13"/>
  <c r="I2458" i="13"/>
  <c r="U2458" i="13"/>
  <c r="I2255" i="13"/>
  <c r="U2255" i="13"/>
  <c r="I2429" i="13"/>
  <c r="U2429" i="13"/>
  <c r="I2308" i="13"/>
  <c r="U2308" i="13"/>
  <c r="I2292" i="13"/>
  <c r="U2292" i="13"/>
  <c r="I2263" i="13"/>
  <c r="U2263" i="13"/>
  <c r="I2466" i="13"/>
  <c r="U2466" i="13"/>
  <c r="I2314" i="13"/>
  <c r="U2314" i="13"/>
  <c r="I2319" i="13"/>
  <c r="U2319" i="13"/>
  <c r="I2311" i="13"/>
  <c r="U2311" i="13"/>
  <c r="I2384" i="13"/>
  <c r="U2384" i="13"/>
  <c r="I2361" i="13"/>
  <c r="U2361" i="13"/>
  <c r="I2473" i="13"/>
  <c r="U2473" i="13"/>
  <c r="I2474" i="13"/>
  <c r="U2474" i="13"/>
  <c r="I2312" i="13"/>
  <c r="U2312" i="13"/>
  <c r="I2416" i="13"/>
  <c r="U2416" i="13"/>
  <c r="I2283" i="13"/>
  <c r="U2283" i="13"/>
  <c r="I2366" i="13"/>
  <c r="U2366" i="13"/>
  <c r="I2369" i="13"/>
  <c r="U2369" i="13"/>
  <c r="I2350" i="13"/>
  <c r="U2350" i="13"/>
  <c r="I2261" i="13"/>
  <c r="U2261" i="13"/>
  <c r="I2469" i="13"/>
  <c r="U2469" i="13"/>
  <c r="I2281" i="13"/>
  <c r="U2281" i="13"/>
  <c r="I2413" i="13"/>
  <c r="U2413" i="13"/>
  <c r="I2266" i="13"/>
  <c r="U2266" i="13"/>
  <c r="I2387" i="13"/>
  <c r="U2387" i="13"/>
  <c r="I2259" i="13"/>
  <c r="U2259" i="13"/>
  <c r="I2400" i="13"/>
  <c r="U2400" i="13"/>
  <c r="I2278" i="13"/>
  <c r="U2278" i="13"/>
  <c r="I2454" i="13"/>
  <c r="U2454" i="13"/>
  <c r="I2250" i="13"/>
  <c r="U2250" i="13"/>
  <c r="I2379" i="13"/>
  <c r="U2379" i="13"/>
  <c r="I2392" i="13"/>
  <c r="U2392" i="13"/>
  <c r="I2381" i="13"/>
  <c r="U2381" i="13"/>
  <c r="I2437" i="13"/>
  <c r="U2437" i="13"/>
  <c r="I2270" i="13"/>
  <c r="U2270" i="13"/>
  <c r="I2299" i="13"/>
  <c r="U2299" i="13"/>
  <c r="I2468" i="13"/>
  <c r="U2468" i="13"/>
  <c r="I2254" i="13"/>
  <c r="U2254" i="13"/>
  <c r="I2390" i="13"/>
  <c r="U2390" i="13"/>
  <c r="I2427" i="13"/>
  <c r="U2427" i="13"/>
  <c r="I2333" i="13"/>
  <c r="U2333" i="13"/>
  <c r="I2395" i="13"/>
  <c r="U2395" i="13"/>
  <c r="I2271" i="13"/>
  <c r="U2271" i="13"/>
  <c r="I2306" i="13"/>
  <c r="U2306" i="13"/>
  <c r="I2298" i="13"/>
  <c r="U2298" i="13"/>
  <c r="I2432" i="13"/>
  <c r="U2432" i="13"/>
  <c r="I2446" i="13"/>
  <c r="U2446" i="13"/>
  <c r="G1593" i="13"/>
  <c r="S1593" i="13"/>
  <c r="G1514" i="13"/>
  <c r="S1514" i="13"/>
  <c r="G1530" i="13"/>
  <c r="S1530" i="13"/>
  <c r="G1614" i="13"/>
  <c r="S1614" i="13"/>
  <c r="G1511" i="13"/>
  <c r="S1511" i="13"/>
  <c r="G1642" i="13"/>
  <c r="S1642" i="13"/>
  <c r="G1647" i="13"/>
  <c r="S1647" i="13"/>
  <c r="G1669" i="13"/>
  <c r="S1669" i="13"/>
  <c r="G1611" i="13"/>
  <c r="S1611" i="13"/>
  <c r="G1725" i="13"/>
  <c r="S1725" i="13"/>
  <c r="G1619" i="13"/>
  <c r="S1619" i="13"/>
  <c r="G1628" i="13"/>
  <c r="S1628" i="13"/>
  <c r="G1579" i="13"/>
  <c r="S1579" i="13"/>
  <c r="G1639" i="13"/>
  <c r="S1639" i="13"/>
  <c r="G1630" i="13"/>
  <c r="S1630" i="13"/>
  <c r="G1640" i="13"/>
  <c r="S1640" i="13"/>
  <c r="G1668" i="13"/>
  <c r="S1668" i="13"/>
  <c r="G1694" i="13"/>
  <c r="S1694" i="13"/>
  <c r="G1705" i="13"/>
  <c r="S1705" i="13"/>
  <c r="G1735" i="13"/>
  <c r="S1735" i="13"/>
  <c r="G1604" i="13"/>
  <c r="S1604" i="13"/>
  <c r="G1659" i="13"/>
  <c r="S1659" i="13"/>
  <c r="G1543" i="13"/>
  <c r="S1543" i="13"/>
  <c r="G1673" i="13"/>
  <c r="S1673" i="13"/>
  <c r="G1721" i="13"/>
  <c r="S1721" i="13"/>
  <c r="G1674" i="13"/>
  <c r="S1674" i="13"/>
  <c r="G1551" i="13"/>
  <c r="S1551" i="13"/>
  <c r="G1719" i="13"/>
  <c r="S1719" i="13"/>
  <c r="G1728" i="13"/>
  <c r="S1728" i="13"/>
  <c r="G1612" i="13"/>
  <c r="S1612" i="13"/>
  <c r="G1536" i="13"/>
  <c r="S1536" i="13"/>
  <c r="G1597" i="13"/>
  <c r="S1597" i="13"/>
  <c r="G1617" i="13"/>
  <c r="S1617" i="13"/>
  <c r="G1508" i="13"/>
  <c r="S1508" i="13"/>
  <c r="G1729" i="13"/>
  <c r="S1729" i="13"/>
  <c r="G1565" i="13"/>
  <c r="S1565" i="13"/>
  <c r="G1662" i="13"/>
  <c r="S1662" i="13"/>
  <c r="G1730" i="13"/>
  <c r="S1730" i="13"/>
  <c r="G1518" i="13"/>
  <c r="S1518" i="13"/>
  <c r="G1715" i="13"/>
  <c r="S1715" i="13"/>
  <c r="G1605" i="13"/>
  <c r="S1605" i="13"/>
  <c r="G1623" i="13"/>
  <c r="S1623" i="13"/>
  <c r="G1550" i="13"/>
  <c r="S1550" i="13"/>
  <c r="G1636" i="13"/>
  <c r="S1636" i="13"/>
  <c r="G1722" i="13"/>
  <c r="S1722" i="13"/>
  <c r="G1533" i="13"/>
  <c r="S1533" i="13"/>
  <c r="G1634" i="13"/>
  <c r="S1634" i="13"/>
  <c r="G1732" i="13"/>
  <c r="S1732" i="13"/>
  <c r="G1569" i="13"/>
  <c r="S1569" i="13"/>
  <c r="G1696" i="13"/>
  <c r="S1696" i="13"/>
  <c r="G1522" i="13"/>
  <c r="S1522" i="13"/>
  <c r="G1683" i="13"/>
  <c r="S1683" i="13"/>
  <c r="G1577" i="13"/>
  <c r="S1577" i="13"/>
  <c r="G1625" i="13"/>
  <c r="S1625" i="13"/>
  <c r="G1498" i="13"/>
  <c r="S1498" i="13"/>
  <c r="G1561" i="13"/>
  <c r="S1561" i="13"/>
  <c r="G1552" i="13"/>
  <c r="S1552" i="13"/>
  <c r="G1663" i="13"/>
  <c r="S1663" i="13"/>
  <c r="G1532" i="13"/>
  <c r="S1532" i="13"/>
  <c r="H607" i="13"/>
  <c r="T607" i="13"/>
  <c r="H674" i="13"/>
  <c r="T674" i="13"/>
  <c r="H687" i="13"/>
  <c r="T687" i="13"/>
  <c r="H733" i="13"/>
  <c r="T733" i="13"/>
  <c r="H513" i="13"/>
  <c r="T513" i="13"/>
  <c r="H533" i="13"/>
  <c r="T533" i="13"/>
  <c r="H675" i="13"/>
  <c r="T675" i="13"/>
  <c r="H669" i="13"/>
  <c r="T669" i="13"/>
  <c r="H693" i="13"/>
  <c r="T693" i="13"/>
  <c r="H604" i="13"/>
  <c r="T604" i="13"/>
  <c r="H642" i="13"/>
  <c r="T642" i="13"/>
  <c r="H688" i="13"/>
  <c r="T688" i="13"/>
  <c r="H630" i="13"/>
  <c r="T630" i="13"/>
  <c r="H705" i="13"/>
  <c r="T705" i="13"/>
  <c r="H662" i="13"/>
  <c r="T662" i="13"/>
  <c r="H614" i="13"/>
  <c r="T614" i="13"/>
  <c r="H742" i="13"/>
  <c r="T742" i="13"/>
  <c r="H597" i="13"/>
  <c r="T597" i="13"/>
  <c r="H616" i="13"/>
  <c r="T616" i="13"/>
  <c r="H571" i="13"/>
  <c r="T571" i="13"/>
  <c r="H698" i="13"/>
  <c r="T698" i="13"/>
  <c r="H628" i="13"/>
  <c r="T628" i="13"/>
  <c r="H657" i="13"/>
  <c r="T657" i="13"/>
  <c r="H532" i="13"/>
  <c r="T532" i="13"/>
  <c r="H638" i="13"/>
  <c r="T638" i="13"/>
  <c r="H692" i="13"/>
  <c r="T692" i="13"/>
  <c r="H653" i="13"/>
  <c r="T653" i="13"/>
  <c r="H519" i="13"/>
  <c r="T519" i="13"/>
  <c r="H715" i="13"/>
  <c r="T715" i="13"/>
  <c r="H664" i="13"/>
  <c r="T664" i="13"/>
  <c r="H588" i="13"/>
  <c r="T588" i="13"/>
  <c r="H611" i="13"/>
  <c r="T611" i="13"/>
  <c r="H583" i="13"/>
  <c r="T583" i="13"/>
  <c r="H579" i="13"/>
  <c r="T579" i="13"/>
  <c r="H727" i="13"/>
  <c r="T727" i="13"/>
  <c r="H621" i="13"/>
  <c r="T621" i="13"/>
  <c r="H505" i="13"/>
  <c r="T505" i="13"/>
  <c r="H575" i="13"/>
  <c r="T575" i="13"/>
  <c r="H514" i="13"/>
  <c r="T514" i="13"/>
  <c r="H618" i="13"/>
  <c r="T618" i="13"/>
  <c r="H598" i="13"/>
  <c r="T598" i="13"/>
  <c r="H595" i="13"/>
  <c r="T595" i="13"/>
  <c r="H725" i="13"/>
  <c r="T725" i="13"/>
  <c r="H696" i="13"/>
  <c r="T696" i="13"/>
  <c r="H555" i="13"/>
  <c r="T555" i="13"/>
  <c r="H639" i="13"/>
  <c r="T639" i="13"/>
  <c r="H587" i="13"/>
  <c r="T587" i="13"/>
  <c r="H601" i="13"/>
  <c r="T601" i="13"/>
  <c r="H709" i="13"/>
  <c r="T709" i="13"/>
  <c r="H537" i="13"/>
  <c r="T537" i="13"/>
  <c r="H536" i="13"/>
  <c r="T536" i="13"/>
  <c r="H655" i="13"/>
  <c r="T655" i="13"/>
  <c r="H610" i="13"/>
  <c r="T610" i="13"/>
  <c r="H594" i="13"/>
  <c r="T594" i="13"/>
  <c r="H711" i="13"/>
  <c r="T711" i="13"/>
  <c r="H710" i="13"/>
  <c r="T710" i="13"/>
  <c r="H599" i="13"/>
  <c r="T599" i="13"/>
  <c r="H734" i="13"/>
  <c r="T734" i="13"/>
  <c r="H554" i="13"/>
  <c r="T554" i="13"/>
  <c r="H562" i="13"/>
  <c r="T562" i="13"/>
  <c r="H738" i="13"/>
  <c r="T738" i="13"/>
  <c r="E648" i="13"/>
  <c r="Q648" i="13"/>
  <c r="E512" i="13"/>
  <c r="Q512" i="13"/>
  <c r="E642" i="13"/>
  <c r="Q642" i="13"/>
  <c r="E503" i="13"/>
  <c r="Q503" i="13"/>
  <c r="E716" i="13"/>
  <c r="Q716" i="13"/>
  <c r="E738" i="13"/>
  <c r="Q738" i="13"/>
  <c r="E643" i="13"/>
  <c r="Q643" i="13"/>
  <c r="E638" i="13"/>
  <c r="Q638" i="13"/>
  <c r="E597" i="13"/>
  <c r="Q597" i="13"/>
  <c r="E697" i="13"/>
  <c r="Q697" i="13"/>
  <c r="E660" i="13"/>
  <c r="Q660" i="13"/>
  <c r="E719" i="13"/>
  <c r="Q719" i="13"/>
  <c r="E704" i="13"/>
  <c r="Q704" i="13"/>
  <c r="E666" i="13"/>
  <c r="Q666" i="13"/>
  <c r="E535" i="13"/>
  <c r="Q535" i="13"/>
  <c r="E691" i="13"/>
  <c r="Q691" i="13"/>
  <c r="E586" i="13"/>
  <c r="Q586" i="13"/>
  <c r="E742" i="13"/>
  <c r="Q742" i="13"/>
  <c r="E532" i="13"/>
  <c r="Q532" i="13"/>
  <c r="E557" i="13"/>
  <c r="Q557" i="13"/>
  <c r="E560" i="13"/>
  <c r="Q560" i="13"/>
  <c r="E622" i="13"/>
  <c r="Q622" i="13"/>
  <c r="E656" i="13"/>
  <c r="Q656" i="13"/>
  <c r="E616" i="13"/>
  <c r="Q616" i="13"/>
  <c r="E669" i="13"/>
  <c r="Q669" i="13"/>
  <c r="E662" i="13"/>
  <c r="Q662" i="13"/>
  <c r="E574" i="13"/>
  <c r="Q574" i="13"/>
  <c r="E711" i="13"/>
  <c r="Q711" i="13"/>
  <c r="E633" i="13"/>
  <c r="Q633" i="13"/>
  <c r="E620" i="13"/>
  <c r="Q620" i="13"/>
  <c r="E549" i="13"/>
  <c r="Q549" i="13"/>
  <c r="E602" i="13"/>
  <c r="Q602" i="13"/>
  <c r="E690" i="13"/>
  <c r="Q690" i="13"/>
  <c r="E548" i="13"/>
  <c r="Q548" i="13"/>
  <c r="E722" i="13"/>
  <c r="Q722" i="13"/>
  <c r="E609" i="13"/>
  <c r="Q609" i="13"/>
  <c r="E617" i="13"/>
  <c r="Q617" i="13"/>
  <c r="E519" i="13"/>
  <c r="Q519" i="13"/>
  <c r="E511" i="13"/>
  <c r="Q511" i="13"/>
  <c r="E591" i="13"/>
  <c r="Q591" i="13"/>
  <c r="E611" i="13"/>
  <c r="Q611" i="13"/>
  <c r="E637" i="13"/>
  <c r="Q637" i="13"/>
  <c r="E631" i="13"/>
  <c r="Q631" i="13"/>
  <c r="E545" i="13"/>
  <c r="Q545" i="13"/>
  <c r="E600" i="13"/>
  <c r="Q600" i="13"/>
  <c r="E687" i="13"/>
  <c r="Q687" i="13"/>
  <c r="E625" i="13"/>
  <c r="Q625" i="13"/>
  <c r="E629" i="13"/>
  <c r="Q629" i="13"/>
  <c r="E558" i="13"/>
  <c r="Q558" i="13"/>
  <c r="E610" i="13"/>
  <c r="Q610" i="13"/>
  <c r="E525" i="13"/>
  <c r="Q525" i="13"/>
  <c r="E741" i="13"/>
  <c r="Q741" i="13"/>
  <c r="E559" i="13"/>
  <c r="Q559" i="13"/>
  <c r="E588" i="13"/>
  <c r="Q588" i="13"/>
  <c r="E732" i="13"/>
  <c r="Q732" i="13"/>
  <c r="E567" i="13"/>
  <c r="Q567" i="13"/>
  <c r="E733" i="13"/>
  <c r="Q733" i="13"/>
  <c r="E664" i="13"/>
  <c r="Q664" i="13"/>
  <c r="E552" i="13"/>
  <c r="Q552" i="13"/>
  <c r="E556" i="13"/>
  <c r="Q556" i="13"/>
  <c r="F1211" i="13"/>
  <c r="R1211" i="13"/>
  <c r="F1036" i="13"/>
  <c r="R1036" i="13"/>
  <c r="F1157" i="13"/>
  <c r="R1157" i="13"/>
  <c r="F1057" i="13"/>
  <c r="R1057" i="13"/>
  <c r="F1064" i="13"/>
  <c r="R1064" i="13"/>
  <c r="F1117" i="13"/>
  <c r="R1117" i="13"/>
  <c r="F1008" i="13"/>
  <c r="R1008" i="13"/>
  <c r="F1032" i="13"/>
  <c r="R1032" i="13"/>
  <c r="F1050" i="13"/>
  <c r="R1050" i="13"/>
  <c r="F1073" i="13"/>
  <c r="R1073" i="13"/>
  <c r="F1087" i="13"/>
  <c r="R1087" i="13"/>
  <c r="F1098" i="13"/>
  <c r="R1098" i="13"/>
  <c r="F1080" i="13"/>
  <c r="R1080" i="13"/>
  <c r="F1101" i="13"/>
  <c r="R1101" i="13"/>
  <c r="F1164" i="13"/>
  <c r="R1164" i="13"/>
  <c r="F1201" i="13"/>
  <c r="R1201" i="13"/>
  <c r="F1197" i="13"/>
  <c r="R1197" i="13"/>
  <c r="F1182" i="13"/>
  <c r="R1182" i="13"/>
  <c r="F1015" i="13"/>
  <c r="R1015" i="13"/>
  <c r="F1014" i="13"/>
  <c r="R1014" i="13"/>
  <c r="F1187" i="13"/>
  <c r="R1187" i="13"/>
  <c r="F1132" i="13"/>
  <c r="R1132" i="13"/>
  <c r="F1059" i="13"/>
  <c r="R1059" i="13"/>
  <c r="F1123" i="13"/>
  <c r="R1123" i="13"/>
  <c r="F1160" i="13"/>
  <c r="R1160" i="13"/>
  <c r="F1019" i="13"/>
  <c r="R1019" i="13"/>
  <c r="F1028" i="13"/>
  <c r="R1028" i="13"/>
  <c r="F1140" i="13"/>
  <c r="R1140" i="13"/>
  <c r="F1139" i="13"/>
  <c r="R1139" i="13"/>
  <c r="F1145" i="13"/>
  <c r="R1145" i="13"/>
  <c r="F1213" i="13"/>
  <c r="R1213" i="13"/>
  <c r="F1144" i="13"/>
  <c r="R1144" i="13"/>
  <c r="F1196" i="13"/>
  <c r="R1196" i="13"/>
  <c r="F1041" i="13"/>
  <c r="R1041" i="13"/>
  <c r="F1084" i="13"/>
  <c r="R1084" i="13"/>
  <c r="F1168" i="13"/>
  <c r="R1168" i="13"/>
  <c r="F1130" i="13"/>
  <c r="R1130" i="13"/>
  <c r="F1071" i="13"/>
  <c r="R1071" i="13"/>
  <c r="F1091" i="13"/>
  <c r="R1091" i="13"/>
  <c r="F1089" i="13"/>
  <c r="R1089" i="13"/>
  <c r="F1115" i="13"/>
  <c r="R1115" i="13"/>
  <c r="F1013" i="13"/>
  <c r="R1013" i="13"/>
  <c r="F1074" i="13"/>
  <c r="R1074" i="13"/>
  <c r="F1129" i="13"/>
  <c r="R1129" i="13"/>
  <c r="F1193" i="13"/>
  <c r="R1193" i="13"/>
  <c r="F1118" i="13"/>
  <c r="R1118" i="13"/>
  <c r="F1174" i="13"/>
  <c r="R1174" i="13"/>
  <c r="F1077" i="13"/>
  <c r="R1077" i="13"/>
  <c r="F1137" i="13"/>
  <c r="R1137" i="13"/>
  <c r="F1209" i="13"/>
  <c r="R1209" i="13"/>
  <c r="F1188" i="13"/>
  <c r="R1188" i="13"/>
  <c r="F1208" i="13"/>
  <c r="R1208" i="13"/>
  <c r="F1159" i="13"/>
  <c r="R1159" i="13"/>
  <c r="F1239" i="13"/>
  <c r="R1239" i="13"/>
  <c r="F1222" i="13"/>
  <c r="R1222" i="13"/>
  <c r="F1154" i="13"/>
  <c r="R1154" i="13"/>
  <c r="F1109" i="13"/>
  <c r="R1109" i="13"/>
  <c r="F1103" i="13"/>
  <c r="R1103" i="13"/>
  <c r="F1081" i="13"/>
  <c r="R1081" i="13"/>
  <c r="F1111" i="13"/>
  <c r="R1111" i="13"/>
  <c r="F1122" i="13"/>
  <c r="R1122" i="13"/>
  <c r="E852" i="13"/>
  <c r="Q852" i="13"/>
  <c r="E835" i="13"/>
  <c r="Q835" i="13"/>
  <c r="E877" i="13"/>
  <c r="Q877" i="13"/>
  <c r="E804" i="13"/>
  <c r="Q804" i="13"/>
  <c r="E973" i="13"/>
  <c r="Q973" i="13"/>
  <c r="E893" i="13"/>
  <c r="Q893" i="13"/>
  <c r="E823" i="13"/>
  <c r="Q823" i="13"/>
  <c r="E975" i="13"/>
  <c r="Q975" i="13"/>
  <c r="E873" i="13"/>
  <c r="Q873" i="13"/>
  <c r="E981" i="13"/>
  <c r="Q981" i="13"/>
  <c r="E901" i="13"/>
  <c r="Q901" i="13"/>
  <c r="E977" i="13"/>
  <c r="Q977" i="13"/>
  <c r="E781" i="13"/>
  <c r="Q781" i="13"/>
  <c r="E865" i="13"/>
  <c r="Q865" i="13"/>
  <c r="E783" i="13"/>
  <c r="Q783" i="13"/>
  <c r="E882" i="13"/>
  <c r="Q882" i="13"/>
  <c r="E929" i="13"/>
  <c r="Q929" i="13"/>
  <c r="E962" i="13"/>
  <c r="Q962" i="13"/>
  <c r="E831" i="13"/>
  <c r="Q831" i="13"/>
  <c r="E844" i="13"/>
  <c r="Q844" i="13"/>
  <c r="E976" i="13"/>
  <c r="Q976" i="13"/>
  <c r="E805" i="13"/>
  <c r="Q805" i="13"/>
  <c r="E870" i="13"/>
  <c r="Q870" i="13"/>
  <c r="E908" i="13"/>
  <c r="Q908" i="13"/>
  <c r="E918" i="13"/>
  <c r="Q918" i="13"/>
  <c r="E836" i="13"/>
  <c r="Q836" i="13"/>
  <c r="E765" i="13"/>
  <c r="Q765" i="13"/>
  <c r="E837" i="13"/>
  <c r="Q837" i="13"/>
  <c r="E963" i="13"/>
  <c r="Q963" i="13"/>
  <c r="E913" i="13"/>
  <c r="Q913" i="13"/>
  <c r="E807" i="13"/>
  <c r="Q807" i="13"/>
  <c r="E856" i="13"/>
  <c r="Q856" i="13"/>
  <c r="E942" i="13"/>
  <c r="Q942" i="13"/>
  <c r="E758" i="13"/>
  <c r="Q758" i="13"/>
  <c r="E818" i="13"/>
  <c r="Q818" i="13"/>
  <c r="E859" i="13"/>
  <c r="Q859" i="13"/>
  <c r="E790" i="13"/>
  <c r="Q790" i="13"/>
  <c r="E834" i="13"/>
  <c r="Q834" i="13"/>
  <c r="E794" i="13"/>
  <c r="Q794" i="13"/>
  <c r="E791" i="13"/>
  <c r="Q791" i="13"/>
  <c r="E850" i="13"/>
  <c r="Q850" i="13"/>
  <c r="E762" i="13"/>
  <c r="Q762" i="13"/>
  <c r="E787" i="13"/>
  <c r="Q787" i="13"/>
  <c r="E920" i="13"/>
  <c r="Q920" i="13"/>
  <c r="E914" i="13"/>
  <c r="Q914" i="13"/>
  <c r="E753" i="13"/>
  <c r="Q753" i="13"/>
  <c r="E786" i="13"/>
  <c r="Q786" i="13"/>
  <c r="E947" i="13"/>
  <c r="Q947" i="13"/>
  <c r="E935" i="13"/>
  <c r="Q935" i="13"/>
  <c r="E815" i="13"/>
  <c r="Q815" i="13"/>
  <c r="E784" i="13"/>
  <c r="Q784" i="13"/>
  <c r="E989" i="13"/>
  <c r="Q989" i="13"/>
  <c r="E991" i="13"/>
  <c r="Q991" i="13"/>
  <c r="E883" i="13"/>
  <c r="Q883" i="13"/>
  <c r="E826" i="13"/>
  <c r="Q826" i="13"/>
  <c r="E816" i="13"/>
  <c r="Q816" i="13"/>
  <c r="E972" i="13"/>
  <c r="Q972" i="13"/>
  <c r="E954" i="13"/>
  <c r="Q954" i="13"/>
  <c r="E851" i="13"/>
  <c r="Q851" i="13"/>
  <c r="E974" i="13"/>
  <c r="Q974" i="13"/>
  <c r="E768" i="13"/>
  <c r="Q768" i="13"/>
  <c r="E2453" i="13"/>
  <c r="Q2453" i="13"/>
  <c r="E2432" i="13"/>
  <c r="Q2432" i="13"/>
  <c r="E2439" i="13"/>
  <c r="Q2439" i="13"/>
  <c r="E2450" i="13"/>
  <c r="Q2450" i="13"/>
  <c r="E2445" i="13"/>
  <c r="Q2445" i="13"/>
  <c r="E2248" i="13"/>
  <c r="Q2248" i="13"/>
  <c r="E2353" i="13"/>
  <c r="Q2353" i="13"/>
  <c r="E2321" i="13"/>
  <c r="Q2321" i="13"/>
  <c r="E2415" i="13"/>
  <c r="Q2415" i="13"/>
  <c r="E2386" i="13"/>
  <c r="Q2386" i="13"/>
  <c r="E2468" i="13"/>
  <c r="Q2468" i="13"/>
  <c r="E2360" i="13"/>
  <c r="Q2360" i="13"/>
  <c r="E2395" i="13"/>
  <c r="Q2395" i="13"/>
  <c r="E2382" i="13"/>
  <c r="Q2382" i="13"/>
  <c r="E2339" i="13"/>
  <c r="Q2339" i="13"/>
  <c r="E2363" i="13"/>
  <c r="Q2363" i="13"/>
  <c r="E2391" i="13"/>
  <c r="Q2391" i="13"/>
  <c r="E2359" i="13"/>
  <c r="Q2359" i="13"/>
  <c r="E2430" i="13"/>
  <c r="Q2430" i="13"/>
  <c r="E2388" i="13"/>
  <c r="Q2388" i="13"/>
  <c r="E2357" i="13"/>
  <c r="Q2357" i="13"/>
  <c r="E2311" i="13"/>
  <c r="Q2311" i="13"/>
  <c r="E2318" i="13"/>
  <c r="Q2318" i="13"/>
  <c r="E2330" i="13"/>
  <c r="Q2330" i="13"/>
  <c r="E2333" i="13"/>
  <c r="Q2333" i="13"/>
  <c r="E2342" i="13"/>
  <c r="Q2342" i="13"/>
  <c r="E2314" i="13"/>
  <c r="Q2314" i="13"/>
  <c r="E2320" i="13"/>
  <c r="Q2320" i="13"/>
  <c r="E2329" i="13"/>
  <c r="Q2329" i="13"/>
  <c r="E2340" i="13"/>
  <c r="Q2340" i="13"/>
  <c r="E2421" i="13"/>
  <c r="Q2421" i="13"/>
  <c r="E2316" i="13"/>
  <c r="Q2316" i="13"/>
  <c r="E2358" i="13"/>
  <c r="Q2358" i="13"/>
  <c r="E2336" i="13"/>
  <c r="Q2336" i="13"/>
  <c r="E2371" i="13"/>
  <c r="Q2371" i="13"/>
  <c r="E2400" i="13"/>
  <c r="Q2400" i="13"/>
  <c r="E2240" i="13"/>
  <c r="Q2240" i="13"/>
  <c r="E2266" i="13"/>
  <c r="Q2266" i="13"/>
  <c r="E2268" i="13"/>
  <c r="Q2268" i="13"/>
  <c r="E2289" i="13"/>
  <c r="Q2289" i="13"/>
  <c r="E2442" i="13"/>
  <c r="Q2442" i="13"/>
  <c r="E2262" i="13"/>
  <c r="Q2262" i="13"/>
  <c r="E2271" i="13"/>
  <c r="Q2271" i="13"/>
  <c r="E2286" i="13"/>
  <c r="Q2286" i="13"/>
  <c r="E2294" i="13"/>
  <c r="Q2294" i="13"/>
  <c r="E2422" i="13"/>
  <c r="Q2422" i="13"/>
  <c r="E2267" i="13"/>
  <c r="Q2267" i="13"/>
  <c r="E2284" i="13"/>
  <c r="Q2284" i="13"/>
  <c r="E2293" i="13"/>
  <c r="Q2293" i="13"/>
  <c r="E2296" i="13"/>
  <c r="Q2296" i="13"/>
  <c r="E2280" i="13"/>
  <c r="Q2280" i="13"/>
  <c r="E2347" i="13"/>
  <c r="Q2347" i="13"/>
  <c r="E2475" i="13"/>
  <c r="Q2475" i="13"/>
  <c r="E2437" i="13"/>
  <c r="Q2437" i="13"/>
  <c r="E2241" i="13"/>
  <c r="Q2241" i="13"/>
  <c r="E2273" i="13"/>
  <c r="Q2273" i="13"/>
  <c r="E2402" i="13"/>
  <c r="Q2402" i="13"/>
  <c r="E2401" i="13"/>
  <c r="Q2401" i="13"/>
  <c r="E2477" i="13"/>
  <c r="Q2477" i="13"/>
  <c r="E2246" i="13"/>
  <c r="Q2246" i="13"/>
  <c r="I503" i="13"/>
  <c r="U503" i="13"/>
  <c r="I714" i="13"/>
  <c r="U714" i="13"/>
  <c r="I700" i="13"/>
  <c r="U700" i="13"/>
  <c r="I683" i="13"/>
  <c r="U683" i="13"/>
  <c r="I513" i="13"/>
  <c r="U513" i="13"/>
  <c r="I631" i="13"/>
  <c r="U631" i="13"/>
  <c r="I608" i="13"/>
  <c r="U608" i="13"/>
  <c r="I617" i="13"/>
  <c r="U617" i="13"/>
  <c r="I502" i="13"/>
  <c r="U502" i="13"/>
  <c r="I620" i="13"/>
  <c r="U620" i="13"/>
  <c r="I659" i="13"/>
  <c r="U659" i="13"/>
  <c r="I656" i="13"/>
  <c r="U656" i="13"/>
  <c r="I603" i="13"/>
  <c r="U603" i="13"/>
  <c r="I510" i="13"/>
  <c r="U510" i="13"/>
  <c r="I533" i="13"/>
  <c r="U533" i="13"/>
  <c r="I546" i="13"/>
  <c r="U546" i="13"/>
  <c r="I530" i="13"/>
  <c r="U530" i="13"/>
  <c r="I705" i="13"/>
  <c r="U705" i="13"/>
  <c r="I575" i="13"/>
  <c r="U575" i="13"/>
  <c r="I681" i="13"/>
  <c r="U681" i="13"/>
  <c r="I622" i="13"/>
  <c r="U622" i="13"/>
  <c r="I638" i="13"/>
  <c r="U638" i="13"/>
  <c r="I711" i="13"/>
  <c r="U711" i="13"/>
  <c r="I572" i="13"/>
  <c r="U572" i="13"/>
  <c r="I521" i="13"/>
  <c r="U521" i="13"/>
  <c r="I612" i="13"/>
  <c r="U612" i="13"/>
  <c r="I552" i="13"/>
  <c r="U552" i="13"/>
  <c r="I512" i="13"/>
  <c r="U512" i="13"/>
  <c r="I644" i="13"/>
  <c r="U644" i="13"/>
  <c r="I574" i="13"/>
  <c r="U574" i="13"/>
  <c r="I537" i="13"/>
  <c r="U537" i="13"/>
  <c r="I674" i="13"/>
  <c r="U674" i="13"/>
  <c r="I634" i="13"/>
  <c r="U634" i="13"/>
  <c r="I684" i="13"/>
  <c r="U684" i="13"/>
  <c r="I692" i="13"/>
  <c r="U692" i="13"/>
  <c r="I666" i="13"/>
  <c r="U666" i="13"/>
  <c r="I691" i="13"/>
  <c r="U691" i="13"/>
  <c r="I724" i="13"/>
  <c r="U724" i="13"/>
  <c r="I581" i="13"/>
  <c r="U581" i="13"/>
  <c r="I632" i="13"/>
  <c r="U632" i="13"/>
  <c r="I625" i="13"/>
  <c r="U625" i="13"/>
  <c r="I673" i="13"/>
  <c r="U673" i="13"/>
  <c r="I587" i="13"/>
  <c r="U587" i="13"/>
  <c r="I515" i="13"/>
  <c r="U515" i="13"/>
  <c r="I647" i="13"/>
  <c r="U647" i="13"/>
  <c r="I709" i="13"/>
  <c r="U709" i="13"/>
  <c r="I563" i="13"/>
  <c r="U563" i="13"/>
  <c r="I595" i="13"/>
  <c r="U595" i="13"/>
  <c r="I727" i="13"/>
  <c r="U727" i="13"/>
  <c r="I671" i="13"/>
  <c r="U671" i="13"/>
  <c r="I639" i="13"/>
  <c r="U639" i="13"/>
  <c r="I598" i="13"/>
  <c r="U598" i="13"/>
  <c r="I540" i="13"/>
  <c r="U540" i="13"/>
  <c r="I699" i="13"/>
  <c r="U699" i="13"/>
  <c r="I694" i="13"/>
  <c r="U694" i="13"/>
  <c r="I661" i="13"/>
  <c r="U661" i="13"/>
  <c r="I722" i="13"/>
  <c r="U722" i="13"/>
  <c r="I689" i="13"/>
  <c r="U689" i="13"/>
  <c r="I734" i="13"/>
  <c r="U734" i="13"/>
  <c r="I506" i="13"/>
  <c r="U506" i="13"/>
  <c r="I1245" i="13"/>
  <c r="E2237" i="13"/>
  <c r="E1989" i="13"/>
  <c r="G1741" i="13"/>
  <c r="G501" i="13"/>
  <c r="E2059" i="13"/>
  <c r="Q2059" i="13"/>
  <c r="E2199" i="13"/>
  <c r="Q2199" i="13"/>
  <c r="E2132" i="13"/>
  <c r="Q2132" i="13"/>
  <c r="E2011" i="13"/>
  <c r="Q2011" i="13"/>
  <c r="E2071" i="13"/>
  <c r="Q2071" i="13"/>
  <c r="E2082" i="13"/>
  <c r="Q2082" i="13"/>
  <c r="E2040" i="13"/>
  <c r="Q2040" i="13"/>
  <c r="E2164" i="13"/>
  <c r="Q2164" i="13"/>
  <c r="E2006" i="13"/>
  <c r="Q2006" i="13"/>
  <c r="E2172" i="13"/>
  <c r="Q2172" i="13"/>
  <c r="E2211" i="13"/>
  <c r="Q2211" i="13"/>
  <c r="E2017" i="13"/>
  <c r="Q2017" i="13"/>
  <c r="E2016" i="13"/>
  <c r="Q2016" i="13"/>
  <c r="E2128" i="13"/>
  <c r="Q2128" i="13"/>
  <c r="E2013" i="13"/>
  <c r="Q2013" i="13"/>
  <c r="E2103" i="13"/>
  <c r="Q2103" i="13"/>
  <c r="E2129" i="13"/>
  <c r="Q2129" i="13"/>
  <c r="E2074" i="13"/>
  <c r="Q2074" i="13"/>
  <c r="G2280" i="13"/>
  <c r="S2280" i="13"/>
  <c r="G2269" i="13"/>
  <c r="S2269" i="13"/>
  <c r="G2458" i="13"/>
  <c r="S2458" i="13"/>
  <c r="G2394" i="13"/>
  <c r="S2394" i="13"/>
  <c r="G2238" i="13"/>
  <c r="S2238" i="13"/>
  <c r="G2368" i="13"/>
  <c r="S2368" i="13"/>
  <c r="G2469" i="13"/>
  <c r="S2469" i="13"/>
  <c r="G2292" i="13"/>
  <c r="S2292" i="13"/>
  <c r="G2326" i="13"/>
  <c r="S2326" i="13"/>
  <c r="G2276" i="13"/>
  <c r="S2276" i="13"/>
  <c r="G2322" i="13"/>
  <c r="S2322" i="13"/>
  <c r="G2376" i="13"/>
  <c r="S2376" i="13"/>
  <c r="G2456" i="13"/>
  <c r="S2456" i="13"/>
  <c r="G2425" i="13"/>
  <c r="S2425" i="13"/>
  <c r="G2257" i="13"/>
  <c r="S2257" i="13"/>
  <c r="G2323" i="13"/>
  <c r="S2323" i="13"/>
  <c r="G2430" i="13"/>
  <c r="S2430" i="13"/>
  <c r="G2343" i="13"/>
  <c r="S2343" i="13"/>
  <c r="G2476" i="13"/>
  <c r="S2476" i="13"/>
  <c r="G2391" i="13"/>
  <c r="S2391" i="13"/>
  <c r="G2357" i="13"/>
  <c r="S2357" i="13"/>
  <c r="G2390" i="13"/>
  <c r="S2390" i="13"/>
  <c r="G2382" i="13"/>
  <c r="S2382" i="13"/>
  <c r="G2248" i="13"/>
  <c r="S2248" i="13"/>
  <c r="G2397" i="13"/>
  <c r="S2397" i="13"/>
  <c r="G2253" i="13"/>
  <c r="S2253" i="13"/>
  <c r="G2386" i="13"/>
  <c r="S2386" i="13"/>
  <c r="G2337" i="13"/>
  <c r="S2337" i="13"/>
  <c r="G2369" i="13"/>
  <c r="S2369" i="13"/>
  <c r="G2335" i="13"/>
  <c r="S2335" i="13"/>
  <c r="G2242" i="13"/>
  <c r="S2242" i="13"/>
  <c r="G2282" i="13"/>
  <c r="S2282" i="13"/>
  <c r="G2249" i="13"/>
  <c r="S2249" i="13"/>
  <c r="G2392" i="13"/>
  <c r="S2392" i="13"/>
  <c r="G2364" i="13"/>
  <c r="S2364" i="13"/>
  <c r="G2385" i="13"/>
  <c r="S2385" i="13"/>
  <c r="G2278" i="13"/>
  <c r="S2278" i="13"/>
  <c r="G2324" i="13"/>
  <c r="S2324" i="13"/>
  <c r="G2441" i="13"/>
  <c r="S2441" i="13"/>
  <c r="G2421" i="13"/>
  <c r="S2421" i="13"/>
  <c r="G2318" i="13"/>
  <c r="S2318" i="13"/>
  <c r="G2310" i="13"/>
  <c r="S2310" i="13"/>
  <c r="G2412" i="13"/>
  <c r="S2412" i="13"/>
  <c r="G2275" i="13"/>
  <c r="S2275" i="13"/>
  <c r="G2453" i="13"/>
  <c r="S2453" i="13"/>
  <c r="G2358" i="13"/>
  <c r="S2358" i="13"/>
  <c r="G2465" i="13"/>
  <c r="S2465" i="13"/>
  <c r="G2410" i="13"/>
  <c r="S2410" i="13"/>
  <c r="G2308" i="13"/>
  <c r="S2308" i="13"/>
  <c r="G2437" i="13"/>
  <c r="S2437" i="13"/>
  <c r="G2445" i="13"/>
  <c r="S2445" i="13"/>
  <c r="G2472" i="13"/>
  <c r="S2472" i="13"/>
  <c r="G2462" i="13"/>
  <c r="S2462" i="13"/>
  <c r="G2454" i="13"/>
  <c r="S2454" i="13"/>
  <c r="G2479" i="13"/>
  <c r="S2479" i="13"/>
  <c r="G2464" i="13"/>
  <c r="S2464" i="13"/>
  <c r="G2241" i="13"/>
  <c r="S2241" i="13"/>
  <c r="G2290" i="13"/>
  <c r="S2290" i="13"/>
  <c r="G2436" i="13"/>
  <c r="S2436" i="13"/>
  <c r="G2256" i="13"/>
  <c r="S2256" i="13"/>
  <c r="I1725" i="13"/>
  <c r="U1725" i="13"/>
  <c r="I1591" i="13"/>
  <c r="U1591" i="13"/>
  <c r="I1556" i="13"/>
  <c r="U1556" i="13"/>
  <c r="I1584" i="13"/>
  <c r="U1584" i="13"/>
  <c r="I1545" i="13"/>
  <c r="U1545" i="13"/>
  <c r="I1717" i="13"/>
  <c r="U1717" i="13"/>
  <c r="I1689" i="13"/>
  <c r="U1689" i="13"/>
  <c r="I1505" i="13"/>
  <c r="U1505" i="13"/>
  <c r="I1734" i="13"/>
  <c r="U1734" i="13"/>
  <c r="I1549" i="13"/>
  <c r="U1549" i="13"/>
  <c r="I1580" i="13"/>
  <c r="U1580" i="13"/>
  <c r="I1499" i="13"/>
  <c r="U1499" i="13"/>
  <c r="I1507" i="13"/>
  <c r="U1507" i="13"/>
  <c r="I1601" i="13"/>
  <c r="U1601" i="13"/>
  <c r="I1684" i="13"/>
  <c r="U1684" i="13"/>
  <c r="I1656" i="13"/>
  <c r="U1656" i="13"/>
  <c r="I1516" i="13"/>
  <c r="U1516" i="13"/>
  <c r="I1602" i="13"/>
  <c r="U1602" i="13"/>
  <c r="I1632" i="13"/>
  <c r="U1632" i="13"/>
  <c r="I1666" i="13"/>
  <c r="U1666" i="13"/>
  <c r="I1661" i="13"/>
  <c r="U1661" i="13"/>
  <c r="I1577" i="13"/>
  <c r="U1577" i="13"/>
  <c r="I1653" i="13"/>
  <c r="U1653" i="13"/>
  <c r="I1586" i="13"/>
  <c r="U1586" i="13"/>
  <c r="I1678" i="13"/>
  <c r="U1678" i="13"/>
  <c r="I1682" i="13"/>
  <c r="U1682" i="13"/>
  <c r="I1512" i="13"/>
  <c r="U1512" i="13"/>
  <c r="I1495" i="13"/>
  <c r="U1495" i="13"/>
  <c r="I1608" i="13"/>
  <c r="U1608" i="13"/>
  <c r="I1692" i="13"/>
  <c r="U1692" i="13"/>
  <c r="I1698" i="13"/>
  <c r="U1698" i="13"/>
  <c r="I1614" i="13"/>
  <c r="U1614" i="13"/>
  <c r="I1634" i="13"/>
  <c r="U1634" i="13"/>
  <c r="I1621" i="13"/>
  <c r="U1621" i="13"/>
  <c r="I1649" i="13"/>
  <c r="U1649" i="13"/>
  <c r="I1631" i="13"/>
  <c r="U1631" i="13"/>
  <c r="I1732" i="13"/>
  <c r="U1732" i="13"/>
  <c r="I1547" i="13"/>
  <c r="U1547" i="13"/>
  <c r="I1550" i="13"/>
  <c r="U1550" i="13"/>
  <c r="I1531" i="13"/>
  <c r="U1531" i="13"/>
  <c r="I1557" i="13"/>
  <c r="U1557" i="13"/>
  <c r="I1579" i="13"/>
  <c r="U1579" i="13"/>
  <c r="I1712" i="13"/>
  <c r="U1712" i="13"/>
  <c r="I1722" i="13"/>
  <c r="U1722" i="13"/>
  <c r="I1702" i="13"/>
  <c r="U1702" i="13"/>
  <c r="I1522" i="13"/>
  <c r="U1522" i="13"/>
  <c r="I1521" i="13"/>
  <c r="U1521" i="13"/>
  <c r="I1674" i="13"/>
  <c r="U1674" i="13"/>
  <c r="I1665" i="13"/>
  <c r="U1665" i="13"/>
  <c r="I1731" i="13"/>
  <c r="U1731" i="13"/>
  <c r="I1724" i="13"/>
  <c r="U1724" i="13"/>
  <c r="I1679" i="13"/>
  <c r="U1679" i="13"/>
  <c r="I1652" i="13"/>
  <c r="U1652" i="13"/>
  <c r="I1720" i="13"/>
  <c r="U1720" i="13"/>
  <c r="I1637" i="13"/>
  <c r="U1637" i="13"/>
  <c r="I1645" i="13"/>
  <c r="U1645" i="13"/>
  <c r="I1644" i="13"/>
  <c r="U1644" i="13"/>
  <c r="I1729" i="13"/>
  <c r="U1729" i="13"/>
  <c r="I1658" i="13"/>
  <c r="U1658" i="13"/>
  <c r="I1719" i="13"/>
  <c r="U1719" i="13"/>
  <c r="I1662" i="13"/>
  <c r="U1662" i="13"/>
  <c r="F551" i="13"/>
  <c r="R551" i="13"/>
  <c r="F657" i="13"/>
  <c r="R657" i="13"/>
  <c r="F608" i="13"/>
  <c r="R608" i="13"/>
  <c r="F671" i="13"/>
  <c r="R671" i="13"/>
  <c r="F547" i="13"/>
  <c r="R547" i="13"/>
  <c r="F715" i="13"/>
  <c r="R715" i="13"/>
  <c r="F666" i="13"/>
  <c r="R666" i="13"/>
  <c r="F707" i="13"/>
  <c r="R707" i="13"/>
  <c r="F605" i="13"/>
  <c r="R605" i="13"/>
  <c r="F565" i="13"/>
  <c r="R565" i="13"/>
  <c r="F625" i="13"/>
  <c r="R625" i="13"/>
  <c r="F664" i="13"/>
  <c r="R664" i="13"/>
  <c r="F660" i="13"/>
  <c r="R660" i="13"/>
  <c r="F574" i="13"/>
  <c r="R574" i="13"/>
  <c r="F729" i="13"/>
  <c r="R729" i="13"/>
  <c r="F690" i="13"/>
  <c r="R690" i="13"/>
  <c r="F531" i="13"/>
  <c r="R531" i="13"/>
  <c r="F596" i="13"/>
  <c r="R596" i="13"/>
  <c r="F602" i="13"/>
  <c r="R602" i="13"/>
  <c r="F713" i="13"/>
  <c r="R713" i="13"/>
  <c r="F589" i="13"/>
  <c r="R589" i="13"/>
  <c r="F658" i="13"/>
  <c r="R658" i="13"/>
  <c r="F533" i="13"/>
  <c r="R533" i="13"/>
  <c r="F538" i="13"/>
  <c r="R538" i="13"/>
  <c r="F504" i="13"/>
  <c r="R504" i="13"/>
  <c r="F622" i="13"/>
  <c r="R622" i="13"/>
  <c r="F693" i="13"/>
  <c r="R693" i="13"/>
  <c r="F534" i="13"/>
  <c r="R534" i="13"/>
  <c r="F661" i="13"/>
  <c r="R661" i="13"/>
  <c r="F611" i="13"/>
  <c r="R611" i="13"/>
  <c r="F586" i="13"/>
  <c r="R586" i="13"/>
  <c r="F635" i="13"/>
  <c r="R635" i="13"/>
  <c r="F617" i="13"/>
  <c r="R617" i="13"/>
  <c r="F528" i="13"/>
  <c r="R528" i="13"/>
  <c r="F581" i="13"/>
  <c r="R581" i="13"/>
  <c r="F703" i="13"/>
  <c r="R703" i="13"/>
  <c r="F725" i="13"/>
  <c r="R725" i="13"/>
  <c r="F575" i="13"/>
  <c r="R575" i="13"/>
  <c r="F730" i="13"/>
  <c r="R730" i="13"/>
  <c r="F532" i="13"/>
  <c r="R532" i="13"/>
  <c r="F648" i="13"/>
  <c r="R648" i="13"/>
  <c r="F692" i="13"/>
  <c r="R692" i="13"/>
  <c r="F686" i="13"/>
  <c r="R686" i="13"/>
  <c r="F512" i="13"/>
  <c r="R512" i="13"/>
  <c r="F559" i="13"/>
  <c r="R559" i="13"/>
  <c r="F588" i="13"/>
  <c r="R588" i="13"/>
  <c r="F576" i="13"/>
  <c r="R576" i="13"/>
  <c r="F614" i="13"/>
  <c r="R614" i="13"/>
  <c r="F558" i="13"/>
  <c r="R558" i="13"/>
  <c r="F545" i="13"/>
  <c r="R545" i="13"/>
  <c r="F656" i="13"/>
  <c r="R656" i="13"/>
  <c r="F549" i="13"/>
  <c r="R549" i="13"/>
  <c r="F645" i="13"/>
  <c r="R645" i="13"/>
  <c r="F578" i="13"/>
  <c r="R578" i="13"/>
  <c r="F516" i="13"/>
  <c r="R516" i="13"/>
  <c r="F741" i="13"/>
  <c r="R741" i="13"/>
  <c r="F525" i="13"/>
  <c r="R525" i="13"/>
  <c r="F587" i="13"/>
  <c r="R587" i="13"/>
  <c r="F628" i="13"/>
  <c r="R628" i="13"/>
  <c r="F691" i="13"/>
  <c r="R691" i="13"/>
  <c r="F572" i="13"/>
  <c r="R572" i="13"/>
  <c r="H1773" i="13"/>
  <c r="T1773" i="13"/>
  <c r="H1941" i="13"/>
  <c r="T1941" i="13"/>
  <c r="H1880" i="13"/>
  <c r="T1880" i="13"/>
  <c r="H1966" i="13"/>
  <c r="T1966" i="13"/>
  <c r="H1975" i="13"/>
  <c r="T1975" i="13"/>
  <c r="H1936" i="13"/>
  <c r="T1936" i="13"/>
  <c r="H1981" i="13"/>
  <c r="T1981" i="13"/>
  <c r="H1816" i="13"/>
  <c r="T1816" i="13"/>
  <c r="H1833" i="13"/>
  <c r="T1833" i="13"/>
  <c r="H1803" i="13"/>
  <c r="T1803" i="13"/>
  <c r="H1828" i="13"/>
  <c r="T1828" i="13"/>
  <c r="H1757" i="13"/>
  <c r="T1757" i="13"/>
  <c r="H1763" i="13"/>
  <c r="T1763" i="13"/>
  <c r="H1898" i="13"/>
  <c r="T1898" i="13"/>
  <c r="H1746" i="13"/>
  <c r="T1746" i="13"/>
  <c r="H1766" i="13"/>
  <c r="T1766" i="13"/>
  <c r="H1924" i="13"/>
  <c r="T1924" i="13"/>
  <c r="H1835" i="13"/>
  <c r="T1835" i="13"/>
  <c r="H1968" i="13"/>
  <c r="T1968" i="13"/>
  <c r="H1772" i="13"/>
  <c r="T1772" i="13"/>
  <c r="H1834" i="13"/>
  <c r="T1834" i="13"/>
  <c r="H1973" i="13"/>
  <c r="T1973" i="13"/>
  <c r="H1962" i="13"/>
  <c r="T1962" i="13"/>
  <c r="H1822" i="13"/>
  <c r="T1822" i="13"/>
  <c r="H1884" i="13"/>
  <c r="T1884" i="13"/>
  <c r="H1852" i="13"/>
  <c r="T1852" i="13"/>
  <c r="H1970" i="13"/>
  <c r="T1970" i="13"/>
  <c r="H1831" i="13"/>
  <c r="T1831" i="13"/>
  <c r="H1922" i="13"/>
  <c r="T1922" i="13"/>
  <c r="H1932" i="13"/>
  <c r="T1932" i="13"/>
  <c r="H1743" i="13"/>
  <c r="T1743" i="13"/>
  <c r="H1935" i="13"/>
  <c r="T1935" i="13"/>
  <c r="H1877" i="13"/>
  <c r="T1877" i="13"/>
  <c r="H1958" i="13"/>
  <c r="T1958" i="13"/>
  <c r="H1770" i="13"/>
  <c r="T1770" i="13"/>
  <c r="H1780" i="13"/>
  <c r="T1780" i="13"/>
  <c r="H1824" i="13"/>
  <c r="T1824" i="13"/>
  <c r="H1937" i="13"/>
  <c r="T1937" i="13"/>
  <c r="H1781" i="13"/>
  <c r="T1781" i="13"/>
  <c r="H1809" i="13"/>
  <c r="T1809" i="13"/>
  <c r="H1861" i="13"/>
  <c r="T1861" i="13"/>
  <c r="H1778" i="13"/>
  <c r="T1778" i="13"/>
  <c r="H1810" i="13"/>
  <c r="T1810" i="13"/>
  <c r="H1953" i="13"/>
  <c r="T1953" i="13"/>
  <c r="H1871" i="13"/>
  <c r="T1871" i="13"/>
  <c r="H1858" i="13"/>
  <c r="T1858" i="13"/>
  <c r="H1814" i="13"/>
  <c r="T1814" i="13"/>
  <c r="H1950" i="13"/>
  <c r="T1950" i="13"/>
  <c r="H1777" i="13"/>
  <c r="T1777" i="13"/>
  <c r="H1881" i="13"/>
  <c r="T1881" i="13"/>
  <c r="H1908" i="13"/>
  <c r="T1908" i="13"/>
  <c r="H1920" i="13"/>
  <c r="T1920" i="13"/>
  <c r="H1939" i="13"/>
  <c r="T1939" i="13"/>
  <c r="H1802" i="13"/>
  <c r="T1802" i="13"/>
  <c r="H1753" i="13"/>
  <c r="T1753" i="13"/>
  <c r="H1897" i="13"/>
  <c r="T1897" i="13"/>
  <c r="H1813" i="13"/>
  <c r="T1813" i="13"/>
  <c r="H1938" i="13"/>
  <c r="T1938" i="13"/>
  <c r="H1887" i="13"/>
  <c r="T1887" i="13"/>
  <c r="H1923" i="13"/>
  <c r="T1923" i="13"/>
  <c r="G1274" i="13"/>
  <c r="S1274" i="13"/>
  <c r="G1295" i="13"/>
  <c r="S1295" i="13"/>
  <c r="G1454" i="13"/>
  <c r="S1454" i="13"/>
  <c r="G1468" i="13"/>
  <c r="S1468" i="13"/>
  <c r="G1460" i="13"/>
  <c r="S1460" i="13"/>
  <c r="G1356" i="13"/>
  <c r="S1356" i="13"/>
  <c r="G1321" i="13"/>
  <c r="S1321" i="13"/>
  <c r="G1281" i="13"/>
  <c r="S1281" i="13"/>
  <c r="G1359" i="13"/>
  <c r="S1359" i="13"/>
  <c r="G1464" i="13"/>
  <c r="S1464" i="13"/>
  <c r="G1301" i="13"/>
  <c r="S1301" i="13"/>
  <c r="G1263" i="13"/>
  <c r="S1263" i="13"/>
  <c r="G1258" i="13"/>
  <c r="S1258" i="13"/>
  <c r="G1332" i="13"/>
  <c r="S1332" i="13"/>
  <c r="G1366" i="13"/>
  <c r="S1366" i="13"/>
  <c r="G1277" i="13"/>
  <c r="S1277" i="13"/>
  <c r="G1309" i="13"/>
  <c r="S1309" i="13"/>
  <c r="G1308" i="13"/>
  <c r="S1308" i="13"/>
  <c r="G1275" i="13"/>
  <c r="S1275" i="13"/>
  <c r="G1390" i="13"/>
  <c r="S1390" i="13"/>
  <c r="G1317" i="13"/>
  <c r="S1317" i="13"/>
  <c r="G1249" i="13"/>
  <c r="S1249" i="13"/>
  <c r="G1273" i="13"/>
  <c r="S1273" i="13"/>
  <c r="G1272" i="13"/>
  <c r="S1272" i="13"/>
  <c r="G1414" i="13"/>
  <c r="S1414" i="13"/>
  <c r="G1442" i="13"/>
  <c r="S1442" i="13"/>
  <c r="G1380" i="13"/>
  <c r="S1380" i="13"/>
  <c r="G1361" i="13"/>
  <c r="S1361" i="13"/>
  <c r="G1448" i="13"/>
  <c r="S1448" i="13"/>
  <c r="G1487" i="13"/>
  <c r="S1487" i="13"/>
  <c r="G1447" i="13"/>
  <c r="S1447" i="13"/>
  <c r="G1392" i="13"/>
  <c r="S1392" i="13"/>
  <c r="G1473" i="13"/>
  <c r="S1473" i="13"/>
  <c r="G1313" i="13"/>
  <c r="S1313" i="13"/>
  <c r="G1260" i="13"/>
  <c r="S1260" i="13"/>
  <c r="G1292" i="13"/>
  <c r="S1292" i="13"/>
  <c r="G1440" i="13"/>
  <c r="S1440" i="13"/>
  <c r="G1379" i="13"/>
  <c r="S1379" i="13"/>
  <c r="G1482" i="13"/>
  <c r="S1482" i="13"/>
  <c r="G1485" i="13"/>
  <c r="S1485" i="13"/>
  <c r="G1436" i="13"/>
  <c r="S1436" i="13"/>
  <c r="G1351" i="13"/>
  <c r="S1351" i="13"/>
  <c r="G1353" i="13"/>
  <c r="S1353" i="13"/>
  <c r="G1420" i="13"/>
  <c r="S1420" i="13"/>
  <c r="G1349" i="13"/>
  <c r="S1349" i="13"/>
  <c r="G1286" i="13"/>
  <c r="S1286" i="13"/>
  <c r="G1386" i="13"/>
  <c r="S1386" i="13"/>
  <c r="G1343" i="13"/>
  <c r="S1343" i="13"/>
  <c r="G1282" i="13"/>
  <c r="S1282" i="13"/>
  <c r="G1297" i="13"/>
  <c r="S1297" i="13"/>
  <c r="G1469" i="13"/>
  <c r="S1469" i="13"/>
  <c r="G1370" i="13"/>
  <c r="S1370" i="13"/>
  <c r="G1409" i="13"/>
  <c r="S1409" i="13"/>
  <c r="G1428" i="13"/>
  <c r="S1428" i="13"/>
  <c r="G1330" i="13"/>
  <c r="S1330" i="13"/>
  <c r="G1294" i="13"/>
  <c r="S1294" i="13"/>
  <c r="G1395" i="13"/>
  <c r="S1395" i="13"/>
  <c r="G1415" i="13"/>
  <c r="S1415" i="13"/>
  <c r="G1327" i="13"/>
  <c r="S1327" i="13"/>
  <c r="G1466" i="13"/>
  <c r="S1466" i="13"/>
  <c r="H2162" i="13"/>
  <c r="T2162" i="13"/>
  <c r="H2128" i="13"/>
  <c r="T2128" i="13"/>
  <c r="H2126" i="13"/>
  <c r="T2126" i="13"/>
  <c r="H2203" i="13"/>
  <c r="T2203" i="13"/>
  <c r="H2085" i="13"/>
  <c r="T2085" i="13"/>
  <c r="H2056" i="13"/>
  <c r="T2056" i="13"/>
  <c r="H2003" i="13"/>
  <c r="T2003" i="13"/>
  <c r="H2097" i="13"/>
  <c r="T2097" i="13"/>
  <c r="H2107" i="13"/>
  <c r="T2107" i="13"/>
  <c r="H2188" i="13"/>
  <c r="T2188" i="13"/>
  <c r="H2027" i="13"/>
  <c r="T2027" i="13"/>
  <c r="H2098" i="13"/>
  <c r="T2098" i="13"/>
  <c r="H2179" i="13"/>
  <c r="T2179" i="13"/>
  <c r="H2164" i="13"/>
  <c r="T2164" i="13"/>
  <c r="H1994" i="13"/>
  <c r="T1994" i="13"/>
  <c r="H2093" i="13"/>
  <c r="T2093" i="13"/>
  <c r="H2077" i="13"/>
  <c r="T2077" i="13"/>
  <c r="H2132" i="13"/>
  <c r="T2132" i="13"/>
  <c r="H2009" i="13"/>
  <c r="T2009" i="13"/>
  <c r="H2147" i="13"/>
  <c r="T2147" i="13"/>
  <c r="H2200" i="13"/>
  <c r="T2200" i="13"/>
  <c r="H2081" i="13"/>
  <c r="T2081" i="13"/>
  <c r="H2193" i="13"/>
  <c r="T2193" i="13"/>
  <c r="H2088" i="13"/>
  <c r="T2088" i="13"/>
  <c r="H2133" i="13"/>
  <c r="T2133" i="13"/>
  <c r="H2060" i="13"/>
  <c r="T2060" i="13"/>
  <c r="H2030" i="13"/>
  <c r="T2030" i="13"/>
  <c r="H2047" i="13"/>
  <c r="T2047" i="13"/>
  <c r="H2174" i="13"/>
  <c r="T2174" i="13"/>
  <c r="H2181" i="13"/>
  <c r="T2181" i="13"/>
  <c r="H2167" i="13"/>
  <c r="T2167" i="13"/>
  <c r="H2170" i="13"/>
  <c r="T2170" i="13"/>
  <c r="H2091" i="13"/>
  <c r="T2091" i="13"/>
  <c r="H2017" i="13"/>
  <c r="T2017" i="13"/>
  <c r="H2114" i="13"/>
  <c r="T2114" i="13"/>
  <c r="H2119" i="13"/>
  <c r="T2119" i="13"/>
  <c r="H2079" i="13"/>
  <c r="T2079" i="13"/>
  <c r="H2130" i="13"/>
  <c r="T2130" i="13"/>
  <c r="H2221" i="13"/>
  <c r="T2221" i="13"/>
  <c r="H2049" i="13"/>
  <c r="T2049" i="13"/>
  <c r="H2031" i="13"/>
  <c r="T2031" i="13"/>
  <c r="H2127" i="13"/>
  <c r="T2127" i="13"/>
  <c r="H2094" i="13"/>
  <c r="T2094" i="13"/>
  <c r="H2029" i="13"/>
  <c r="T2029" i="13"/>
  <c r="H2044" i="13"/>
  <c r="T2044" i="13"/>
  <c r="H2153" i="13"/>
  <c r="T2153" i="13"/>
  <c r="H2045" i="13"/>
  <c r="T2045" i="13"/>
  <c r="H2159" i="13"/>
  <c r="T2159" i="13"/>
  <c r="H2171" i="13"/>
  <c r="T2171" i="13"/>
  <c r="H2084" i="13"/>
  <c r="T2084" i="13"/>
  <c r="H2066" i="13"/>
  <c r="T2066" i="13"/>
  <c r="H2014" i="13"/>
  <c r="T2014" i="13"/>
  <c r="H2039" i="13"/>
  <c r="T2039" i="13"/>
  <c r="H2008" i="13"/>
  <c r="T2008" i="13"/>
  <c r="H2121" i="13"/>
  <c r="T2121" i="13"/>
  <c r="H2109" i="13"/>
  <c r="T2109" i="13"/>
  <c r="H2025" i="13"/>
  <c r="T2025" i="13"/>
  <c r="H2220" i="13"/>
  <c r="T2220" i="13"/>
  <c r="H2134" i="13"/>
  <c r="T2134" i="13"/>
  <c r="H2116" i="13"/>
  <c r="T2116" i="13"/>
  <c r="H2007" i="13"/>
  <c r="T2007" i="13"/>
  <c r="F1507" i="13"/>
  <c r="R1507" i="13"/>
  <c r="F1529" i="13"/>
  <c r="R1529" i="13"/>
  <c r="F1530" i="13"/>
  <c r="R1530" i="13"/>
  <c r="F1584" i="13"/>
  <c r="R1584" i="13"/>
  <c r="F1549" i="13"/>
  <c r="R1549" i="13"/>
  <c r="F1541" i="13"/>
  <c r="R1541" i="13"/>
  <c r="F1610" i="13"/>
  <c r="R1610" i="13"/>
  <c r="F1537" i="13"/>
  <c r="R1537" i="13"/>
  <c r="F1650" i="13"/>
  <c r="R1650" i="13"/>
  <c r="F1495" i="13"/>
  <c r="R1495" i="13"/>
  <c r="F1703" i="13"/>
  <c r="R1703" i="13"/>
  <c r="F1553" i="13"/>
  <c r="R1553" i="13"/>
  <c r="F1494" i="13"/>
  <c r="R1494" i="13"/>
  <c r="F1615" i="13"/>
  <c r="R1615" i="13"/>
  <c r="F1579" i="13"/>
  <c r="R1579" i="13"/>
  <c r="F1623" i="13"/>
  <c r="R1623" i="13"/>
  <c r="F1725" i="13"/>
  <c r="R1725" i="13"/>
  <c r="F1587" i="13"/>
  <c r="R1587" i="13"/>
  <c r="F1591" i="13"/>
  <c r="R1591" i="13"/>
  <c r="F1499" i="13"/>
  <c r="R1499" i="13"/>
  <c r="F1730" i="13"/>
  <c r="R1730" i="13"/>
  <c r="F1551" i="13"/>
  <c r="R1551" i="13"/>
  <c r="F1706" i="13"/>
  <c r="R1706" i="13"/>
  <c r="F1702" i="13"/>
  <c r="R1702" i="13"/>
  <c r="F1540" i="13"/>
  <c r="R1540" i="13"/>
  <c r="F1601" i="13"/>
  <c r="R1601" i="13"/>
  <c r="F1644" i="13"/>
  <c r="R1644" i="13"/>
  <c r="F1536" i="13"/>
  <c r="R1536" i="13"/>
  <c r="F1496" i="13"/>
  <c r="R1496" i="13"/>
  <c r="F1572" i="13"/>
  <c r="R1572" i="13"/>
  <c r="F1718" i="13"/>
  <c r="R1718" i="13"/>
  <c r="F1568" i="13"/>
  <c r="R1568" i="13"/>
  <c r="F1565" i="13"/>
  <c r="R1565" i="13"/>
  <c r="F1620" i="13"/>
  <c r="R1620" i="13"/>
  <c r="F1630" i="13"/>
  <c r="R1630" i="13"/>
  <c r="F1721" i="13"/>
  <c r="R1721" i="13"/>
  <c r="F1710" i="13"/>
  <c r="R1710" i="13"/>
  <c r="F1625" i="13"/>
  <c r="R1625" i="13"/>
  <c r="F1578" i="13"/>
  <c r="R1578" i="13"/>
  <c r="F1547" i="13"/>
  <c r="R1547" i="13"/>
  <c r="F1576" i="13"/>
  <c r="R1576" i="13"/>
  <c r="F1662" i="13"/>
  <c r="R1662" i="13"/>
  <c r="F1717" i="13"/>
  <c r="R1717" i="13"/>
  <c r="F1714" i="13"/>
  <c r="R1714" i="13"/>
  <c r="F1660" i="13"/>
  <c r="R1660" i="13"/>
  <c r="F1635" i="13"/>
  <c r="R1635" i="13"/>
  <c r="F1656" i="13"/>
  <c r="R1656" i="13"/>
  <c r="F1542" i="13"/>
  <c r="R1542" i="13"/>
  <c r="F1731" i="13"/>
  <c r="R1731" i="13"/>
  <c r="F1671" i="13"/>
  <c r="R1671" i="13"/>
  <c r="F1571" i="13"/>
  <c r="R1571" i="13"/>
  <c r="F1604" i="13"/>
  <c r="R1604" i="13"/>
  <c r="F1696" i="13"/>
  <c r="R1696" i="13"/>
  <c r="F1632" i="13"/>
  <c r="R1632" i="13"/>
  <c r="F1719" i="13"/>
  <c r="R1719" i="13"/>
  <c r="F1561" i="13"/>
  <c r="R1561" i="13"/>
  <c r="F1513" i="13"/>
  <c r="R1513" i="13"/>
  <c r="F1605" i="13"/>
  <c r="R1605" i="13"/>
  <c r="F1550" i="13"/>
  <c r="R1550" i="13"/>
  <c r="F1641" i="13"/>
  <c r="R1641" i="13"/>
  <c r="F1636" i="13"/>
  <c r="R1636" i="13"/>
  <c r="G1814" i="13"/>
  <c r="S1814" i="13"/>
  <c r="G1779" i="13"/>
  <c r="S1779" i="13"/>
  <c r="G1855" i="13"/>
  <c r="S1855" i="13"/>
  <c r="G1862" i="13"/>
  <c r="S1862" i="13"/>
  <c r="G1963" i="13"/>
  <c r="S1963" i="13"/>
  <c r="G1853" i="13"/>
  <c r="S1853" i="13"/>
  <c r="G1869" i="13"/>
  <c r="S1869" i="13"/>
  <c r="G1761" i="13"/>
  <c r="S1761" i="13"/>
  <c r="G1875" i="13"/>
  <c r="S1875" i="13"/>
  <c r="G1933" i="13"/>
  <c r="S1933" i="13"/>
  <c r="G1927" i="13"/>
  <c r="S1927" i="13"/>
  <c r="G1918" i="13"/>
  <c r="S1918" i="13"/>
  <c r="G1889" i="13"/>
  <c r="S1889" i="13"/>
  <c r="G1817" i="13"/>
  <c r="S1817" i="13"/>
  <c r="G1826" i="13"/>
  <c r="S1826" i="13"/>
  <c r="G1801" i="13"/>
  <c r="S1801" i="13"/>
  <c r="G1803" i="13"/>
  <c r="S1803" i="13"/>
  <c r="G1828" i="13"/>
  <c r="S1828" i="13"/>
  <c r="G1757" i="13"/>
  <c r="S1757" i="13"/>
  <c r="G1763" i="13"/>
  <c r="S1763" i="13"/>
  <c r="G1898" i="13"/>
  <c r="S1898" i="13"/>
  <c r="G1746" i="13"/>
  <c r="S1746" i="13"/>
  <c r="G1786" i="13"/>
  <c r="S1786" i="13"/>
  <c r="G1841" i="13"/>
  <c r="S1841" i="13"/>
  <c r="G1982" i="13"/>
  <c r="S1982" i="13"/>
  <c r="G1863" i="13"/>
  <c r="S1863" i="13"/>
  <c r="G1886" i="13"/>
  <c r="S1886" i="13"/>
  <c r="G1965" i="13"/>
  <c r="S1965" i="13"/>
  <c r="G1760" i="13"/>
  <c r="S1760" i="13"/>
  <c r="G1756" i="13"/>
  <c r="S1756" i="13"/>
  <c r="G1752" i="13"/>
  <c r="S1752" i="13"/>
  <c r="G1884" i="13"/>
  <c r="S1884" i="13"/>
  <c r="G1852" i="13"/>
  <c r="S1852" i="13"/>
  <c r="G1970" i="13"/>
  <c r="S1970" i="13"/>
  <c r="G1831" i="13"/>
  <c r="S1831" i="13"/>
  <c r="G1922" i="13"/>
  <c r="S1922" i="13"/>
  <c r="G1932" i="13"/>
  <c r="S1932" i="13"/>
  <c r="G1925" i="13"/>
  <c r="S1925" i="13"/>
  <c r="G1742" i="13"/>
  <c r="S1742" i="13"/>
  <c r="G1821" i="13"/>
  <c r="S1821" i="13"/>
  <c r="G1916" i="13"/>
  <c r="S1916" i="13"/>
  <c r="G1945" i="13"/>
  <c r="S1945" i="13"/>
  <c r="G1948" i="13"/>
  <c r="S1948" i="13"/>
  <c r="G1906" i="13"/>
  <c r="S1906" i="13"/>
  <c r="G1745" i="13"/>
  <c r="S1745" i="13"/>
  <c r="G1795" i="13"/>
  <c r="S1795" i="13"/>
  <c r="G1749" i="13"/>
  <c r="S1749" i="13"/>
  <c r="G1861" i="13"/>
  <c r="S1861" i="13"/>
  <c r="G1778" i="13"/>
  <c r="S1778" i="13"/>
  <c r="G1810" i="13"/>
  <c r="S1810" i="13"/>
  <c r="G1953" i="13"/>
  <c r="S1953" i="13"/>
  <c r="G1871" i="13"/>
  <c r="S1871" i="13"/>
  <c r="G1979" i="13"/>
  <c r="S1979" i="13"/>
  <c r="G1788" i="13"/>
  <c r="S1788" i="13"/>
  <c r="G1949" i="13"/>
  <c r="S1949" i="13"/>
  <c r="G1969" i="13"/>
  <c r="S1969" i="13"/>
  <c r="G1744" i="13"/>
  <c r="S1744" i="13"/>
  <c r="G1895" i="13"/>
  <c r="S1895" i="13"/>
  <c r="G1848" i="13"/>
  <c r="S1848" i="13"/>
  <c r="G1910" i="13"/>
  <c r="S1910" i="13"/>
  <c r="G1866" i="13"/>
  <c r="S1866" i="13"/>
  <c r="H1193" i="13"/>
  <c r="T1193" i="13"/>
  <c r="H1181" i="13"/>
  <c r="T1181" i="13"/>
  <c r="H1059" i="13"/>
  <c r="T1059" i="13"/>
  <c r="H1050" i="13"/>
  <c r="T1050" i="13"/>
  <c r="H1011" i="13"/>
  <c r="T1011" i="13"/>
  <c r="H1080" i="13"/>
  <c r="T1080" i="13"/>
  <c r="H1023" i="13"/>
  <c r="T1023" i="13"/>
  <c r="H1123" i="13"/>
  <c r="T1123" i="13"/>
  <c r="H1090" i="13"/>
  <c r="T1090" i="13"/>
  <c r="H1158" i="13"/>
  <c r="T1158" i="13"/>
  <c r="H1004" i="13"/>
  <c r="T1004" i="13"/>
  <c r="H1161" i="13"/>
  <c r="T1161" i="13"/>
  <c r="H1047" i="13"/>
  <c r="T1047" i="13"/>
  <c r="H1028" i="13"/>
  <c r="T1028" i="13"/>
  <c r="H1068" i="13"/>
  <c r="T1068" i="13"/>
  <c r="H1149" i="13"/>
  <c r="T1149" i="13"/>
  <c r="H1183" i="13"/>
  <c r="T1183" i="13"/>
  <c r="H1074" i="13"/>
  <c r="T1074" i="13"/>
  <c r="H1010" i="13"/>
  <c r="T1010" i="13"/>
  <c r="H1069" i="13"/>
  <c r="T1069" i="13"/>
  <c r="H1020" i="13"/>
  <c r="T1020" i="13"/>
  <c r="H1219" i="13"/>
  <c r="T1219" i="13"/>
  <c r="H1228" i="13"/>
  <c r="T1228" i="13"/>
  <c r="H1153" i="13"/>
  <c r="T1153" i="13"/>
  <c r="H1136" i="13"/>
  <c r="T1136" i="13"/>
  <c r="H1133" i="13"/>
  <c r="T1133" i="13"/>
  <c r="H1101" i="13"/>
  <c r="T1101" i="13"/>
  <c r="H1071" i="13"/>
  <c r="T1071" i="13"/>
  <c r="H1199" i="13"/>
  <c r="T1199" i="13"/>
  <c r="H1099" i="13"/>
  <c r="T1099" i="13"/>
  <c r="H1094" i="13"/>
  <c r="T1094" i="13"/>
  <c r="H1167" i="13"/>
  <c r="T1167" i="13"/>
  <c r="H1132" i="13"/>
  <c r="T1132" i="13"/>
  <c r="H1165" i="13"/>
  <c r="T1165" i="13"/>
  <c r="H1046" i="13"/>
  <c r="T1046" i="13"/>
  <c r="H1237" i="13"/>
  <c r="T1237" i="13"/>
  <c r="H1077" i="13"/>
  <c r="T1077" i="13"/>
  <c r="H1224" i="13"/>
  <c r="T1224" i="13"/>
  <c r="H1008" i="13"/>
  <c r="T1008" i="13"/>
  <c r="H1040" i="13"/>
  <c r="T1040" i="13"/>
  <c r="H1216" i="13"/>
  <c r="T1216" i="13"/>
  <c r="H1056" i="13"/>
  <c r="T1056" i="13"/>
  <c r="H1034" i="13"/>
  <c r="T1034" i="13"/>
  <c r="H1148" i="13"/>
  <c r="T1148" i="13"/>
  <c r="H1220" i="13"/>
  <c r="T1220" i="13"/>
  <c r="H1227" i="13"/>
  <c r="T1227" i="13"/>
  <c r="H1221" i="13"/>
  <c r="T1221" i="13"/>
  <c r="H1205" i="13"/>
  <c r="T1205" i="13"/>
  <c r="H1093" i="13"/>
  <c r="T1093" i="13"/>
  <c r="H1044" i="13"/>
  <c r="T1044" i="13"/>
  <c r="H1022" i="13"/>
  <c r="T1022" i="13"/>
  <c r="H1116" i="13"/>
  <c r="T1116" i="13"/>
  <c r="H1052" i="13"/>
  <c r="T1052" i="13"/>
  <c r="H1175" i="13"/>
  <c r="T1175" i="13"/>
  <c r="H1186" i="13"/>
  <c r="T1186" i="13"/>
  <c r="H1214" i="13"/>
  <c r="T1214" i="13"/>
  <c r="H1129" i="13"/>
  <c r="T1129" i="13"/>
  <c r="H1201" i="13"/>
  <c r="T1201" i="13"/>
  <c r="H1104" i="13"/>
  <c r="T1104" i="13"/>
  <c r="H1065" i="13"/>
  <c r="T1065" i="13"/>
  <c r="E1095" i="13"/>
  <c r="Q1095" i="13"/>
  <c r="E1119" i="13"/>
  <c r="Q1119" i="13"/>
  <c r="E1092" i="13"/>
  <c r="Q1092" i="13"/>
  <c r="E1117" i="13"/>
  <c r="Q1117" i="13"/>
  <c r="E1031" i="13"/>
  <c r="Q1031" i="13"/>
  <c r="E1062" i="13"/>
  <c r="Q1062" i="13"/>
  <c r="E1172" i="13"/>
  <c r="Q1172" i="13"/>
  <c r="E1179" i="13"/>
  <c r="Q1179" i="13"/>
  <c r="E1199" i="13"/>
  <c r="Q1199" i="13"/>
  <c r="E1234" i="13"/>
  <c r="Q1234" i="13"/>
  <c r="E1236" i="13"/>
  <c r="Q1236" i="13"/>
  <c r="E1075" i="13"/>
  <c r="Q1075" i="13"/>
  <c r="E1231" i="13"/>
  <c r="Q1231" i="13"/>
  <c r="E1178" i="13"/>
  <c r="Q1178" i="13"/>
  <c r="E1233" i="13"/>
  <c r="Q1233" i="13"/>
  <c r="E1206" i="13"/>
  <c r="Q1206" i="13"/>
  <c r="E1017" i="13"/>
  <c r="Q1017" i="13"/>
  <c r="E1022" i="13"/>
  <c r="Q1022" i="13"/>
  <c r="E1056" i="13"/>
  <c r="Q1056" i="13"/>
  <c r="E1176" i="13"/>
  <c r="Q1176" i="13"/>
  <c r="E1203" i="13"/>
  <c r="Q1203" i="13"/>
  <c r="E1193" i="13"/>
  <c r="Q1193" i="13"/>
  <c r="E1033" i="13"/>
  <c r="Q1033" i="13"/>
  <c r="E1209" i="13"/>
  <c r="Q1209" i="13"/>
  <c r="E1085" i="13"/>
  <c r="Q1085" i="13"/>
  <c r="E1222" i="13"/>
  <c r="Q1222" i="13"/>
  <c r="E1225" i="13"/>
  <c r="Q1225" i="13"/>
  <c r="E1230" i="13"/>
  <c r="Q1230" i="13"/>
  <c r="E1220" i="13"/>
  <c r="Q1220" i="13"/>
  <c r="E1028" i="13"/>
  <c r="Q1028" i="13"/>
  <c r="E1108" i="13"/>
  <c r="Q1108" i="13"/>
  <c r="E1202" i="13"/>
  <c r="Q1202" i="13"/>
  <c r="E1221" i="13"/>
  <c r="Q1221" i="13"/>
  <c r="E1009" i="13"/>
  <c r="Q1009" i="13"/>
  <c r="E1007" i="13"/>
  <c r="Q1007" i="13"/>
  <c r="E1016" i="13"/>
  <c r="Q1016" i="13"/>
  <c r="E1052" i="13"/>
  <c r="Q1052" i="13"/>
  <c r="E1070" i="13"/>
  <c r="Q1070" i="13"/>
  <c r="E1170" i="13"/>
  <c r="Q1170" i="13"/>
  <c r="E1232" i="13"/>
  <c r="Q1232" i="13"/>
  <c r="E1195" i="13"/>
  <c r="Q1195" i="13"/>
  <c r="E1191" i="13"/>
  <c r="Q1191" i="13"/>
  <c r="E1040" i="13"/>
  <c r="Q1040" i="13"/>
  <c r="E1239" i="13"/>
  <c r="Q1239" i="13"/>
  <c r="E1215" i="13"/>
  <c r="Q1215" i="13"/>
  <c r="E1160" i="13"/>
  <c r="Q1160" i="13"/>
  <c r="E1212" i="13"/>
  <c r="Q1212" i="13"/>
  <c r="E1163" i="13"/>
  <c r="Q1163" i="13"/>
  <c r="E1217" i="13"/>
  <c r="Q1217" i="13"/>
  <c r="E1216" i="13"/>
  <c r="Q1216" i="13"/>
  <c r="E1192" i="13"/>
  <c r="Q1192" i="13"/>
  <c r="E1143" i="13"/>
  <c r="Q1143" i="13"/>
  <c r="E1223" i="13"/>
  <c r="Q1223" i="13"/>
  <c r="E1194" i="13"/>
  <c r="Q1194" i="13"/>
  <c r="E1226" i="13"/>
  <c r="Q1226" i="13"/>
  <c r="E1198" i="13"/>
  <c r="Q1198" i="13"/>
  <c r="E1003" i="13"/>
  <c r="Q1003" i="13"/>
  <c r="E1053" i="13"/>
  <c r="Q1053" i="13"/>
  <c r="E1131" i="13"/>
  <c r="Q1131" i="13"/>
  <c r="E1034" i="13"/>
  <c r="Q1034" i="13"/>
  <c r="F1409" i="13"/>
  <c r="R1409" i="13"/>
  <c r="F1448" i="13"/>
  <c r="R1448" i="13"/>
  <c r="F1319" i="13"/>
  <c r="R1319" i="13"/>
  <c r="F1360" i="13"/>
  <c r="R1360" i="13"/>
  <c r="F1279" i="13"/>
  <c r="R1279" i="13"/>
  <c r="F1381" i="13"/>
  <c r="R1381" i="13"/>
  <c r="F1389" i="13"/>
  <c r="R1389" i="13"/>
  <c r="F1327" i="13"/>
  <c r="R1327" i="13"/>
  <c r="F1478" i="13"/>
  <c r="R1478" i="13"/>
  <c r="F1309" i="13"/>
  <c r="R1309" i="13"/>
  <c r="F1458" i="13"/>
  <c r="R1458" i="13"/>
  <c r="F1456" i="13"/>
  <c r="R1456" i="13"/>
  <c r="F1275" i="13"/>
  <c r="R1275" i="13"/>
  <c r="F1426" i="13"/>
  <c r="R1426" i="13"/>
  <c r="F1402" i="13"/>
  <c r="R1402" i="13"/>
  <c r="F1454" i="13"/>
  <c r="R1454" i="13"/>
  <c r="F1261" i="13"/>
  <c r="R1261" i="13"/>
  <c r="F1258" i="13"/>
  <c r="R1258" i="13"/>
  <c r="F1462" i="13"/>
  <c r="R1462" i="13"/>
  <c r="F1343" i="13"/>
  <c r="R1343" i="13"/>
  <c r="F1350" i="13"/>
  <c r="R1350" i="13"/>
  <c r="F1364" i="13"/>
  <c r="R1364" i="13"/>
  <c r="F1416" i="13"/>
  <c r="R1416" i="13"/>
  <c r="F1485" i="13"/>
  <c r="R1485" i="13"/>
  <c r="F1290" i="13"/>
  <c r="R1290" i="13"/>
  <c r="F1436" i="13"/>
  <c r="R1436" i="13"/>
  <c r="F1431" i="13"/>
  <c r="R1431" i="13"/>
  <c r="F1472" i="13"/>
  <c r="R1472" i="13"/>
  <c r="F1455" i="13"/>
  <c r="R1455" i="13"/>
  <c r="F1484" i="13"/>
  <c r="R1484" i="13"/>
  <c r="F1257" i="13"/>
  <c r="R1257" i="13"/>
  <c r="F1356" i="13"/>
  <c r="R1356" i="13"/>
  <c r="F1378" i="13"/>
  <c r="R1378" i="13"/>
  <c r="F1346" i="13"/>
  <c r="R1346" i="13"/>
  <c r="F1305" i="13"/>
  <c r="R1305" i="13"/>
  <c r="F1379" i="13"/>
  <c r="R1379" i="13"/>
  <c r="F1256" i="13"/>
  <c r="R1256" i="13"/>
  <c r="F1267" i="13"/>
  <c r="R1267" i="13"/>
  <c r="F1284" i="13"/>
  <c r="R1284" i="13"/>
  <c r="F1345" i="13"/>
  <c r="R1345" i="13"/>
  <c r="F1288" i="13"/>
  <c r="R1288" i="13"/>
  <c r="F1347" i="13"/>
  <c r="R1347" i="13"/>
  <c r="F1329" i="13"/>
  <c r="R1329" i="13"/>
  <c r="F1368" i="13"/>
  <c r="R1368" i="13"/>
  <c r="F1254" i="13"/>
  <c r="R1254" i="13"/>
  <c r="F1355" i="13"/>
  <c r="R1355" i="13"/>
  <c r="F1348" i="13"/>
  <c r="R1348" i="13"/>
  <c r="F1487" i="13"/>
  <c r="R1487" i="13"/>
  <c r="F1477" i="13"/>
  <c r="R1477" i="13"/>
  <c r="F1371" i="13"/>
  <c r="R1371" i="13"/>
  <c r="F1464" i="13"/>
  <c r="R1464" i="13"/>
  <c r="F1447" i="13"/>
  <c r="R1447" i="13"/>
  <c r="F1365" i="13"/>
  <c r="R1365" i="13"/>
  <c r="F1470" i="13"/>
  <c r="R1470" i="13"/>
  <c r="F1457" i="13"/>
  <c r="R1457" i="13"/>
  <c r="F1250" i="13"/>
  <c r="R1250" i="13"/>
  <c r="F1282" i="13"/>
  <c r="R1282" i="13"/>
  <c r="F1301" i="13"/>
  <c r="R1301" i="13"/>
  <c r="F1283" i="13"/>
  <c r="R1283" i="13"/>
  <c r="F1361" i="13"/>
  <c r="R1361" i="13"/>
  <c r="F1405" i="13"/>
  <c r="R1405" i="13"/>
  <c r="H850" i="13"/>
  <c r="T850" i="13"/>
  <c r="H944" i="13"/>
  <c r="T944" i="13"/>
  <c r="H967" i="13"/>
  <c r="T967" i="13"/>
  <c r="H927" i="13"/>
  <c r="T927" i="13"/>
  <c r="H800" i="13"/>
  <c r="T800" i="13"/>
  <c r="H784" i="13"/>
  <c r="T784" i="13"/>
  <c r="H873" i="13"/>
  <c r="T873" i="13"/>
  <c r="H980" i="13"/>
  <c r="T980" i="13"/>
  <c r="H816" i="13"/>
  <c r="T816" i="13"/>
  <c r="H889" i="13"/>
  <c r="T889" i="13"/>
  <c r="H876" i="13"/>
  <c r="T876" i="13"/>
  <c r="H765" i="13"/>
  <c r="T765" i="13"/>
  <c r="H985" i="13"/>
  <c r="T985" i="13"/>
  <c r="H937" i="13"/>
  <c r="T937" i="13"/>
  <c r="H790" i="13"/>
  <c r="T790" i="13"/>
  <c r="H760" i="13"/>
  <c r="T760" i="13"/>
  <c r="H852" i="13"/>
  <c r="T852" i="13"/>
  <c r="H783" i="13"/>
  <c r="T783" i="13"/>
  <c r="H991" i="13"/>
  <c r="T991" i="13"/>
  <c r="H820" i="13"/>
  <c r="T820" i="13"/>
  <c r="H812" i="13"/>
  <c r="T812" i="13"/>
  <c r="H878" i="13"/>
  <c r="T878" i="13"/>
  <c r="H918" i="13"/>
  <c r="T918" i="13"/>
  <c r="H827" i="13"/>
  <c r="T827" i="13"/>
  <c r="H933" i="13"/>
  <c r="T933" i="13"/>
  <c r="H761" i="13"/>
  <c r="T761" i="13"/>
  <c r="H756" i="13"/>
  <c r="T756" i="13"/>
  <c r="H928" i="13"/>
  <c r="T928" i="13"/>
  <c r="H773" i="13"/>
  <c r="T773" i="13"/>
  <c r="H818" i="13"/>
  <c r="T818" i="13"/>
  <c r="H817" i="13"/>
  <c r="T817" i="13"/>
  <c r="H910" i="13"/>
  <c r="T910" i="13"/>
  <c r="H751" i="13"/>
  <c r="T751" i="13"/>
  <c r="H949" i="13"/>
  <c r="T949" i="13"/>
  <c r="H905" i="13"/>
  <c r="T905" i="13"/>
  <c r="H753" i="13"/>
  <c r="T753" i="13"/>
  <c r="H888" i="13"/>
  <c r="T888" i="13"/>
  <c r="H903" i="13"/>
  <c r="T903" i="13"/>
  <c r="H848" i="13"/>
  <c r="T848" i="13"/>
  <c r="H835" i="13"/>
  <c r="T835" i="13"/>
  <c r="H897" i="13"/>
  <c r="T897" i="13"/>
  <c r="H822" i="13"/>
  <c r="T822" i="13"/>
  <c r="H914" i="13"/>
  <c r="T914" i="13"/>
  <c r="H965" i="13"/>
  <c r="T965" i="13"/>
  <c r="H855" i="13"/>
  <c r="T855" i="13"/>
  <c r="H899" i="13"/>
  <c r="T899" i="13"/>
  <c r="H981" i="13"/>
  <c r="T981" i="13"/>
  <c r="H839" i="13"/>
  <c r="T839" i="13"/>
  <c r="H842" i="13"/>
  <c r="T842" i="13"/>
  <c r="H826" i="13"/>
  <c r="T826" i="13"/>
  <c r="H810" i="13"/>
  <c r="T810" i="13"/>
  <c r="H880" i="13"/>
  <c r="T880" i="13"/>
  <c r="H834" i="13"/>
  <c r="T834" i="13"/>
  <c r="H891" i="13"/>
  <c r="T891" i="13"/>
  <c r="H934" i="13"/>
  <c r="T934" i="13"/>
  <c r="H871" i="13"/>
  <c r="T871" i="13"/>
  <c r="H833" i="13"/>
  <c r="T833" i="13"/>
  <c r="H906" i="13"/>
  <c r="T906" i="13"/>
  <c r="H867" i="13"/>
  <c r="T867" i="13"/>
  <c r="H890" i="13"/>
  <c r="T890" i="13"/>
  <c r="H782" i="13"/>
  <c r="T782" i="13"/>
  <c r="G2147" i="13"/>
  <c r="S2147" i="13"/>
  <c r="G2076" i="13"/>
  <c r="S2076" i="13"/>
  <c r="G2066" i="13"/>
  <c r="S2066" i="13"/>
  <c r="G2080" i="13"/>
  <c r="S2080" i="13"/>
  <c r="G2207" i="13"/>
  <c r="S2207" i="13"/>
  <c r="G2091" i="13"/>
  <c r="S2091" i="13"/>
  <c r="G2227" i="13"/>
  <c r="S2227" i="13"/>
  <c r="G2011" i="13"/>
  <c r="S2011" i="13"/>
  <c r="G2063" i="13"/>
  <c r="S2063" i="13"/>
  <c r="G2228" i="13"/>
  <c r="S2228" i="13"/>
  <c r="G2051" i="13"/>
  <c r="S2051" i="13"/>
  <c r="G2040" i="13"/>
  <c r="S2040" i="13"/>
  <c r="G2146" i="13"/>
  <c r="S2146" i="13"/>
  <c r="G2008" i="13"/>
  <c r="S2008" i="13"/>
  <c r="G2121" i="13"/>
  <c r="S2121" i="13"/>
  <c r="G2161" i="13"/>
  <c r="S2161" i="13"/>
  <c r="G2178" i="13"/>
  <c r="S2178" i="13"/>
  <c r="G2208" i="13"/>
  <c r="S2208" i="13"/>
  <c r="G2194" i="13"/>
  <c r="S2194" i="13"/>
  <c r="G2126" i="13"/>
  <c r="S2126" i="13"/>
  <c r="G2199" i="13"/>
  <c r="S2199" i="13"/>
  <c r="G2075" i="13"/>
  <c r="S2075" i="13"/>
  <c r="G2218" i="13"/>
  <c r="S2218" i="13"/>
  <c r="G2023" i="13"/>
  <c r="S2023" i="13"/>
  <c r="G2215" i="13"/>
  <c r="S2215" i="13"/>
  <c r="G2082" i="13"/>
  <c r="S2082" i="13"/>
  <c r="G1992" i="13"/>
  <c r="S1992" i="13"/>
  <c r="G2097" i="13"/>
  <c r="S2097" i="13"/>
  <c r="G2108" i="13"/>
  <c r="S2108" i="13"/>
  <c r="G2101" i="13"/>
  <c r="S2101" i="13"/>
  <c r="G2209" i="13"/>
  <c r="S2209" i="13"/>
  <c r="G2031" i="13"/>
  <c r="S2031" i="13"/>
  <c r="G2004" i="13"/>
  <c r="S2004" i="13"/>
  <c r="G2099" i="13"/>
  <c r="S2099" i="13"/>
  <c r="G2020" i="13"/>
  <c r="S2020" i="13"/>
  <c r="G2095" i="13"/>
  <c r="S2095" i="13"/>
  <c r="G2077" i="13"/>
  <c r="S2077" i="13"/>
  <c r="G2222" i="13"/>
  <c r="S2222" i="13"/>
  <c r="G1995" i="13"/>
  <c r="S1995" i="13"/>
  <c r="G2201" i="13"/>
  <c r="S2201" i="13"/>
  <c r="G2158" i="13"/>
  <c r="S2158" i="13"/>
  <c r="G2034" i="13"/>
  <c r="S2034" i="13"/>
  <c r="G2193" i="13"/>
  <c r="S2193" i="13"/>
  <c r="G2206" i="13"/>
  <c r="S2206" i="13"/>
  <c r="G2226" i="13"/>
  <c r="S2226" i="13"/>
  <c r="G2160" i="13"/>
  <c r="S2160" i="13"/>
  <c r="G2081" i="13"/>
  <c r="S2081" i="13"/>
  <c r="G2229" i="13"/>
  <c r="S2229" i="13"/>
  <c r="G2014" i="13"/>
  <c r="S2014" i="13"/>
  <c r="G2057" i="13"/>
  <c r="S2057" i="13"/>
  <c r="G2043" i="13"/>
  <c r="S2043" i="13"/>
  <c r="G2115" i="13"/>
  <c r="S2115" i="13"/>
  <c r="G2197" i="13"/>
  <c r="S2197" i="13"/>
  <c r="G2032" i="13"/>
  <c r="S2032" i="13"/>
  <c r="G2164" i="13"/>
  <c r="S2164" i="13"/>
  <c r="G1994" i="13"/>
  <c r="S1994" i="13"/>
  <c r="G2093" i="13"/>
  <c r="S2093" i="13"/>
  <c r="G2130" i="13"/>
  <c r="S2130" i="13"/>
  <c r="G2016" i="13"/>
  <c r="S2016" i="13"/>
  <c r="G2072" i="13"/>
  <c r="S2072" i="13"/>
  <c r="H2418" i="13"/>
  <c r="T2418" i="13"/>
  <c r="H2238" i="13"/>
  <c r="T2238" i="13"/>
  <c r="H2293" i="13"/>
  <c r="T2293" i="13"/>
  <c r="H2362" i="13"/>
  <c r="T2362" i="13"/>
  <c r="H2430" i="13"/>
  <c r="T2430" i="13"/>
  <c r="H2241" i="13"/>
  <c r="T2241" i="13"/>
  <c r="H2347" i="13"/>
  <c r="T2347" i="13"/>
  <c r="H2412" i="13"/>
  <c r="T2412" i="13"/>
  <c r="H2275" i="13"/>
  <c r="T2275" i="13"/>
  <c r="H2357" i="13"/>
  <c r="T2357" i="13"/>
  <c r="H2419" i="13"/>
  <c r="T2419" i="13"/>
  <c r="H2437" i="13"/>
  <c r="T2437" i="13"/>
  <c r="H2367" i="13"/>
  <c r="T2367" i="13"/>
  <c r="H2313" i="13"/>
  <c r="T2313" i="13"/>
  <c r="H2387" i="13"/>
  <c r="T2387" i="13"/>
  <c r="H2465" i="13"/>
  <c r="T2465" i="13"/>
  <c r="H2451" i="13"/>
  <c r="T2451" i="13"/>
  <c r="H2242" i="13"/>
  <c r="T2242" i="13"/>
  <c r="H2445" i="13"/>
  <c r="T2445" i="13"/>
  <c r="H2298" i="13"/>
  <c r="T2298" i="13"/>
  <c r="H2259" i="13"/>
  <c r="T2259" i="13"/>
  <c r="H2296" i="13"/>
  <c r="T2296" i="13"/>
  <c r="H2404" i="13"/>
  <c r="T2404" i="13"/>
  <c r="H2436" i="13"/>
  <c r="T2436" i="13"/>
  <c r="H2280" i="13"/>
  <c r="T2280" i="13"/>
  <c r="H2319" i="13"/>
  <c r="T2319" i="13"/>
  <c r="H2368" i="13"/>
  <c r="T2368" i="13"/>
  <c r="H2343" i="13"/>
  <c r="T2343" i="13"/>
  <c r="H2254" i="13"/>
  <c r="T2254" i="13"/>
  <c r="H2294" i="13"/>
  <c r="T2294" i="13"/>
  <c r="H2307" i="13"/>
  <c r="T2307" i="13"/>
  <c r="H2391" i="13"/>
  <c r="T2391" i="13"/>
  <c r="H2446" i="13"/>
  <c r="T2446" i="13"/>
  <c r="H2388" i="13"/>
  <c r="T2388" i="13"/>
  <c r="H2376" i="13"/>
  <c r="T2376" i="13"/>
  <c r="H2247" i="13"/>
  <c r="T2247" i="13"/>
  <c r="H2366" i="13"/>
  <c r="T2366" i="13"/>
  <c r="H2299" i="13"/>
  <c r="T2299" i="13"/>
  <c r="H2348" i="13"/>
  <c r="T2348" i="13"/>
  <c r="H2424" i="13"/>
  <c r="T2424" i="13"/>
  <c r="H2363" i="13"/>
  <c r="T2363" i="13"/>
  <c r="H2321" i="13"/>
  <c r="T2321" i="13"/>
  <c r="H2433" i="13"/>
  <c r="T2433" i="13"/>
  <c r="H2377" i="13"/>
  <c r="T2377" i="13"/>
  <c r="H2351" i="13"/>
  <c r="T2351" i="13"/>
  <c r="H2414" i="13"/>
  <c r="T2414" i="13"/>
  <c r="H2267" i="13"/>
  <c r="T2267" i="13"/>
  <c r="H2359" i="13"/>
  <c r="T2359" i="13"/>
  <c r="H2264" i="13"/>
  <c r="T2264" i="13"/>
  <c r="H2272" i="13"/>
  <c r="T2272" i="13"/>
  <c r="H2315" i="13"/>
  <c r="T2315" i="13"/>
  <c r="H2332" i="13"/>
  <c r="T2332" i="13"/>
  <c r="H2281" i="13"/>
  <c r="T2281" i="13"/>
  <c r="H2401" i="13"/>
  <c r="T2401" i="13"/>
  <c r="H2246" i="13"/>
  <c r="T2246" i="13"/>
  <c r="H2435" i="13"/>
  <c r="T2435" i="13"/>
  <c r="H2249" i="13"/>
  <c r="T2249" i="13"/>
  <c r="H2328" i="13"/>
  <c r="T2328" i="13"/>
  <c r="H2301" i="13"/>
  <c r="T2301" i="13"/>
  <c r="H2329" i="13"/>
  <c r="T2329" i="13"/>
  <c r="H2261" i="13"/>
  <c r="T2261" i="13"/>
  <c r="F2262" i="13"/>
  <c r="R2262" i="13"/>
  <c r="F2377" i="13"/>
  <c r="R2377" i="13"/>
  <c r="F2458" i="13"/>
  <c r="R2458" i="13"/>
  <c r="F2461" i="13"/>
  <c r="R2461" i="13"/>
  <c r="F2392" i="13"/>
  <c r="R2392" i="13"/>
  <c r="F2360" i="13"/>
  <c r="R2360" i="13"/>
  <c r="F2399" i="13"/>
  <c r="R2399" i="13"/>
  <c r="F2340" i="13"/>
  <c r="R2340" i="13"/>
  <c r="F2361" i="13"/>
  <c r="R2361" i="13"/>
  <c r="F2315" i="13"/>
  <c r="R2315" i="13"/>
  <c r="F2281" i="13"/>
  <c r="R2281" i="13"/>
  <c r="F2299" i="13"/>
  <c r="R2299" i="13"/>
  <c r="F2322" i="13"/>
  <c r="R2322" i="13"/>
  <c r="F2328" i="13"/>
  <c r="R2328" i="13"/>
  <c r="F2285" i="13"/>
  <c r="R2285" i="13"/>
  <c r="F2477" i="13"/>
  <c r="R2477" i="13"/>
  <c r="F2387" i="13"/>
  <c r="R2387" i="13"/>
  <c r="F2355" i="13"/>
  <c r="R2355" i="13"/>
  <c r="F2408" i="13"/>
  <c r="R2408" i="13"/>
  <c r="F2443" i="13"/>
  <c r="R2443" i="13"/>
  <c r="F2438" i="13"/>
  <c r="R2438" i="13"/>
  <c r="F2470" i="13"/>
  <c r="R2470" i="13"/>
  <c r="F2369" i="13"/>
  <c r="R2369" i="13"/>
  <c r="F2479" i="13"/>
  <c r="R2479" i="13"/>
  <c r="F2375" i="13"/>
  <c r="R2375" i="13"/>
  <c r="F2471" i="13"/>
  <c r="R2471" i="13"/>
  <c r="F2249" i="13"/>
  <c r="R2249" i="13"/>
  <c r="F2270" i="13"/>
  <c r="R2270" i="13"/>
  <c r="F2272" i="13"/>
  <c r="R2272" i="13"/>
  <c r="F2343" i="13"/>
  <c r="R2343" i="13"/>
  <c r="F2440" i="13"/>
  <c r="R2440" i="13"/>
  <c r="F2344" i="13"/>
  <c r="R2344" i="13"/>
  <c r="F2379" i="13"/>
  <c r="R2379" i="13"/>
  <c r="F2366" i="13"/>
  <c r="R2366" i="13"/>
  <c r="F2418" i="13"/>
  <c r="R2418" i="13"/>
  <c r="F2263" i="13"/>
  <c r="R2263" i="13"/>
  <c r="F2462" i="13"/>
  <c r="R2462" i="13"/>
  <c r="F2287" i="13"/>
  <c r="R2287" i="13"/>
  <c r="F2476" i="13"/>
  <c r="R2476" i="13"/>
  <c r="F2326" i="13"/>
  <c r="R2326" i="13"/>
  <c r="F2420" i="13"/>
  <c r="R2420" i="13"/>
  <c r="F2463" i="13"/>
  <c r="R2463" i="13"/>
  <c r="F2449" i="13"/>
  <c r="R2449" i="13"/>
  <c r="F2460" i="13"/>
  <c r="R2460" i="13"/>
  <c r="F2334" i="13"/>
  <c r="R2334" i="13"/>
  <c r="F2478" i="13"/>
  <c r="R2478" i="13"/>
  <c r="F2298" i="13"/>
  <c r="R2298" i="13"/>
  <c r="F2304" i="13"/>
  <c r="R2304" i="13"/>
  <c r="F2282" i="13"/>
  <c r="R2282" i="13"/>
  <c r="F2309" i="13"/>
  <c r="R2309" i="13"/>
  <c r="F2324" i="13"/>
  <c r="R2324" i="13"/>
  <c r="F2254" i="13"/>
  <c r="R2254" i="13"/>
  <c r="F2435" i="13"/>
  <c r="R2435" i="13"/>
  <c r="F2419" i="13"/>
  <c r="R2419" i="13"/>
  <c r="F2431" i="13"/>
  <c r="R2431" i="13"/>
  <c r="F2406" i="13"/>
  <c r="R2406" i="13"/>
  <c r="F2381" i="13"/>
  <c r="R2381" i="13"/>
  <c r="F2384" i="13"/>
  <c r="R2384" i="13"/>
  <c r="F2364" i="13"/>
  <c r="R2364" i="13"/>
  <c r="F2372" i="13"/>
  <c r="R2372" i="13"/>
  <c r="E1643" i="13"/>
  <c r="Q1643" i="13"/>
  <c r="E1576" i="13"/>
  <c r="Q1576" i="13"/>
  <c r="E1628" i="13"/>
  <c r="Q1628" i="13"/>
  <c r="E1626" i="13"/>
  <c r="Q1626" i="13"/>
  <c r="E1545" i="13"/>
  <c r="Q1545" i="13"/>
  <c r="E1579" i="13"/>
  <c r="Q1579" i="13"/>
  <c r="E1587" i="13"/>
  <c r="Q1587" i="13"/>
  <c r="E1527" i="13"/>
  <c r="Q1527" i="13"/>
  <c r="E1505" i="13"/>
  <c r="Q1505" i="13"/>
  <c r="E1650" i="13"/>
  <c r="Q1650" i="13"/>
  <c r="E1572" i="13"/>
  <c r="Q1572" i="13"/>
  <c r="E1633" i="13"/>
  <c r="Q1633" i="13"/>
  <c r="E1546" i="13"/>
  <c r="Q1546" i="13"/>
  <c r="E1666" i="13"/>
  <c r="Q1666" i="13"/>
  <c r="E1677" i="13"/>
  <c r="Q1677" i="13"/>
  <c r="E1600" i="13"/>
  <c r="Q1600" i="13"/>
  <c r="E1688" i="13"/>
  <c r="Q1688" i="13"/>
  <c r="E1630" i="13"/>
  <c r="Q1630" i="13"/>
  <c r="E1721" i="13"/>
  <c r="Q1721" i="13"/>
  <c r="E1710" i="13"/>
  <c r="Q1710" i="13"/>
  <c r="E1625" i="13"/>
  <c r="Q1625" i="13"/>
  <c r="E1578" i="13"/>
  <c r="Q1578" i="13"/>
  <c r="E1683" i="13"/>
  <c r="Q1683" i="13"/>
  <c r="E1530" i="13"/>
  <c r="Q1530" i="13"/>
  <c r="E1655" i="13"/>
  <c r="Q1655" i="13"/>
  <c r="E1716" i="13"/>
  <c r="Q1716" i="13"/>
  <c r="E1510" i="13"/>
  <c r="Q1510" i="13"/>
  <c r="E1651" i="13"/>
  <c r="Q1651" i="13"/>
  <c r="E1667" i="13"/>
  <c r="Q1667" i="13"/>
  <c r="E1507" i="13"/>
  <c r="Q1507" i="13"/>
  <c r="E1566" i="13"/>
  <c r="Q1566" i="13"/>
  <c r="E1718" i="13"/>
  <c r="Q1718" i="13"/>
  <c r="E1568" i="13"/>
  <c r="Q1568" i="13"/>
  <c r="E1565" i="13"/>
  <c r="Q1565" i="13"/>
  <c r="E1620" i="13"/>
  <c r="Q1620" i="13"/>
  <c r="E1614" i="13"/>
  <c r="Q1614" i="13"/>
  <c r="E1573" i="13"/>
  <c r="Q1573" i="13"/>
  <c r="E1570" i="13"/>
  <c r="Q1570" i="13"/>
  <c r="E1586" i="13"/>
  <c r="Q1586" i="13"/>
  <c r="E1648" i="13"/>
  <c r="Q1648" i="13"/>
  <c r="E1724" i="13"/>
  <c r="Q1724" i="13"/>
  <c r="E1670" i="13"/>
  <c r="Q1670" i="13"/>
  <c r="E1705" i="13"/>
  <c r="Q1705" i="13"/>
  <c r="E1687" i="13"/>
  <c r="Q1687" i="13"/>
  <c r="E1725" i="13"/>
  <c r="Q1725" i="13"/>
  <c r="E1503" i="13"/>
  <c r="Q1503" i="13"/>
  <c r="E1645" i="13"/>
  <c r="Q1645" i="13"/>
  <c r="E1656" i="13"/>
  <c r="Q1656" i="13"/>
  <c r="E1543" i="13"/>
  <c r="Q1543" i="13"/>
  <c r="E1730" i="13"/>
  <c r="Q1730" i="13"/>
  <c r="E1647" i="13"/>
  <c r="Q1647" i="13"/>
  <c r="E1668" i="13"/>
  <c r="Q1668" i="13"/>
  <c r="E1509" i="13"/>
  <c r="Q1509" i="13"/>
  <c r="E1574" i="13"/>
  <c r="Q1574" i="13"/>
  <c r="E1629" i="13"/>
  <c r="Q1629" i="13"/>
  <c r="E1714" i="13"/>
  <c r="Q1714" i="13"/>
  <c r="E1584" i="13"/>
  <c r="Q1584" i="13"/>
  <c r="E1534" i="13"/>
  <c r="Q1534" i="13"/>
  <c r="E1637" i="13"/>
  <c r="Q1637" i="13"/>
  <c r="E1595" i="13"/>
  <c r="Q1595" i="13"/>
  <c r="E1689" i="13"/>
  <c r="Q1689" i="13"/>
  <c r="G645" i="13"/>
  <c r="S645" i="13"/>
  <c r="G603" i="13"/>
  <c r="S603" i="13"/>
  <c r="G515" i="13"/>
  <c r="S515" i="13"/>
  <c r="G643" i="13"/>
  <c r="S643" i="13"/>
  <c r="G685" i="13"/>
  <c r="S685" i="13"/>
  <c r="G688" i="13"/>
  <c r="S688" i="13"/>
  <c r="G535" i="13"/>
  <c r="S535" i="13"/>
  <c r="G667" i="13"/>
  <c r="S667" i="13"/>
  <c r="G743" i="13"/>
  <c r="S743" i="13"/>
  <c r="G703" i="13"/>
  <c r="S703" i="13"/>
  <c r="G716" i="13"/>
  <c r="S716" i="13"/>
  <c r="G617" i="13"/>
  <c r="S617" i="13"/>
  <c r="G668" i="13"/>
  <c r="S668" i="13"/>
  <c r="G559" i="13"/>
  <c r="S559" i="13"/>
  <c r="G677" i="13"/>
  <c r="S677" i="13"/>
  <c r="G629" i="13"/>
  <c r="S629" i="13"/>
  <c r="G576" i="13"/>
  <c r="S576" i="13"/>
  <c r="G673" i="13"/>
  <c r="S673" i="13"/>
  <c r="G551" i="13"/>
  <c r="S551" i="13"/>
  <c r="G650" i="13"/>
  <c r="S650" i="13"/>
  <c r="G646" i="13"/>
  <c r="S646" i="13"/>
  <c r="G694" i="13"/>
  <c r="S694" i="13"/>
  <c r="G612" i="13"/>
  <c r="S612" i="13"/>
  <c r="G530" i="13"/>
  <c r="S530" i="13"/>
  <c r="G553" i="13"/>
  <c r="S553" i="13"/>
  <c r="G524" i="13"/>
  <c r="S524" i="13"/>
  <c r="G727" i="13"/>
  <c r="S727" i="13"/>
  <c r="G594" i="13"/>
  <c r="S594" i="13"/>
  <c r="G586" i="13"/>
  <c r="S586" i="13"/>
  <c r="G713" i="13"/>
  <c r="S713" i="13"/>
  <c r="G598" i="13"/>
  <c r="S598" i="13"/>
  <c r="G718" i="13"/>
  <c r="S718" i="13"/>
  <c r="G686" i="13"/>
  <c r="S686" i="13"/>
  <c r="G674" i="13"/>
  <c r="S674" i="13"/>
  <c r="G712" i="13"/>
  <c r="S712" i="13"/>
  <c r="G549" i="13"/>
  <c r="S549" i="13"/>
  <c r="G625" i="13"/>
  <c r="S625" i="13"/>
  <c r="G664" i="13"/>
  <c r="S664" i="13"/>
  <c r="G565" i="13"/>
  <c r="S565" i="13"/>
  <c r="G691" i="13"/>
  <c r="S691" i="13"/>
  <c r="G627" i="13"/>
  <c r="S627" i="13"/>
  <c r="G732" i="13"/>
  <c r="S732" i="13"/>
  <c r="G538" i="13"/>
  <c r="S538" i="13"/>
  <c r="G721" i="13"/>
  <c r="S721" i="13"/>
  <c r="G736" i="13"/>
  <c r="S736" i="13"/>
  <c r="G649" i="13"/>
  <c r="S649" i="13"/>
  <c r="G563" i="13"/>
  <c r="S563" i="13"/>
  <c r="G680" i="13"/>
  <c r="S680" i="13"/>
  <c r="G614" i="13"/>
  <c r="S614" i="13"/>
  <c r="G556" i="13"/>
  <c r="S556" i="13"/>
  <c r="G569" i="13"/>
  <c r="S569" i="13"/>
  <c r="G521" i="13"/>
  <c r="S521" i="13"/>
  <c r="G616" i="13"/>
  <c r="S616" i="13"/>
  <c r="G577" i="13"/>
  <c r="S577" i="13"/>
  <c r="G720" i="13"/>
  <c r="S720" i="13"/>
  <c r="G607" i="13"/>
  <c r="S607" i="13"/>
  <c r="G682" i="13"/>
  <c r="S682" i="13"/>
  <c r="G578" i="13"/>
  <c r="S578" i="13"/>
  <c r="G584" i="13"/>
  <c r="S584" i="13"/>
  <c r="G666" i="13"/>
  <c r="S666" i="13"/>
  <c r="I1433" i="13"/>
  <c r="U1433" i="13"/>
  <c r="I1256" i="13"/>
  <c r="U1256" i="13"/>
  <c r="I1322" i="13"/>
  <c r="U1322" i="13"/>
  <c r="I1354" i="13"/>
  <c r="U1354" i="13"/>
  <c r="I1343" i="13"/>
  <c r="U1343" i="13"/>
  <c r="I1425" i="13"/>
  <c r="U1425" i="13"/>
  <c r="I1380" i="13"/>
  <c r="U1380" i="13"/>
  <c r="I1455" i="13"/>
  <c r="U1455" i="13"/>
  <c r="I1470" i="13"/>
  <c r="U1470" i="13"/>
  <c r="I1387" i="13"/>
  <c r="U1387" i="13"/>
  <c r="I1253" i="13"/>
  <c r="U1253" i="13"/>
  <c r="I1357" i="13"/>
  <c r="U1357" i="13"/>
  <c r="I1346" i="13"/>
  <c r="U1346" i="13"/>
  <c r="I1353" i="13"/>
  <c r="U1353" i="13"/>
  <c r="I1476" i="13"/>
  <c r="U1476" i="13"/>
  <c r="I1327" i="13"/>
  <c r="U1327" i="13"/>
  <c r="I1280" i="13"/>
  <c r="U1280" i="13"/>
  <c r="I1284" i="13"/>
  <c r="U1284" i="13"/>
  <c r="I1421" i="13"/>
  <c r="U1421" i="13"/>
  <c r="I1447" i="13"/>
  <c r="U1447" i="13"/>
  <c r="I1376" i="13"/>
  <c r="U1376" i="13"/>
  <c r="I1427" i="13"/>
  <c r="U1427" i="13"/>
  <c r="I1282" i="13"/>
  <c r="U1282" i="13"/>
  <c r="I1432" i="13"/>
  <c r="U1432" i="13"/>
  <c r="I1337" i="13"/>
  <c r="U1337" i="13"/>
  <c r="I1416" i="13"/>
  <c r="U1416" i="13"/>
  <c r="I1442" i="13"/>
  <c r="U1442" i="13"/>
  <c r="I1472" i="13"/>
  <c r="U1472" i="13"/>
  <c r="I1401" i="13"/>
  <c r="U1401" i="13"/>
  <c r="I1254" i="13"/>
  <c r="U1254" i="13"/>
  <c r="I1473" i="13"/>
  <c r="U1473" i="13"/>
  <c r="I1438" i="13"/>
  <c r="U1438" i="13"/>
  <c r="I1309" i="13"/>
  <c r="U1309" i="13"/>
  <c r="I1279" i="13"/>
  <c r="U1279" i="13"/>
  <c r="I1450" i="13"/>
  <c r="U1450" i="13"/>
  <c r="I1443" i="13"/>
  <c r="U1443" i="13"/>
  <c r="I1348" i="13"/>
  <c r="U1348" i="13"/>
  <c r="I1328" i="13"/>
  <c r="U1328" i="13"/>
  <c r="I1408" i="13"/>
  <c r="U1408" i="13"/>
  <c r="I1482" i="13"/>
  <c r="U1482" i="13"/>
  <c r="I1268" i="13"/>
  <c r="U1268" i="13"/>
  <c r="I1281" i="13"/>
  <c r="U1281" i="13"/>
  <c r="I1423" i="13"/>
  <c r="U1423" i="13"/>
  <c r="I1276" i="13"/>
  <c r="U1276" i="13"/>
  <c r="I1391" i="13"/>
  <c r="U1391" i="13"/>
  <c r="I1295" i="13"/>
  <c r="U1295" i="13"/>
  <c r="I1371" i="13"/>
  <c r="U1371" i="13"/>
  <c r="I1436" i="13"/>
  <c r="U1436" i="13"/>
  <c r="I1396" i="13"/>
  <c r="U1396" i="13"/>
  <c r="I1382" i="13"/>
  <c r="U1382" i="13"/>
  <c r="I1247" i="13"/>
  <c r="U1247" i="13"/>
  <c r="I1267" i="13"/>
  <c r="U1267" i="13"/>
  <c r="I1480" i="13"/>
  <c r="U1480" i="13"/>
  <c r="I1301" i="13"/>
  <c r="U1301" i="13"/>
  <c r="I1445" i="13"/>
  <c r="U1445" i="13"/>
  <c r="I1270" i="13"/>
  <c r="U1270" i="13"/>
  <c r="I1366" i="13"/>
  <c r="U1366" i="13"/>
  <c r="I1317" i="13"/>
  <c r="U1317" i="13"/>
  <c r="I1318" i="13"/>
  <c r="U1318" i="13"/>
  <c r="I1424" i="13"/>
  <c r="U1424" i="13"/>
  <c r="I1452" i="13"/>
  <c r="U1452" i="13"/>
  <c r="H1696" i="13"/>
  <c r="T1696" i="13"/>
  <c r="H1533" i="13"/>
  <c r="T1533" i="13"/>
  <c r="H1691" i="13"/>
  <c r="T1691" i="13"/>
  <c r="H1519" i="13"/>
  <c r="T1519" i="13"/>
  <c r="H1720" i="13"/>
  <c r="T1720" i="13"/>
  <c r="H1606" i="13"/>
  <c r="T1606" i="13"/>
  <c r="H1583" i="13"/>
  <c r="T1583" i="13"/>
  <c r="H1626" i="13"/>
  <c r="T1626" i="13"/>
  <c r="H1525" i="13"/>
  <c r="T1525" i="13"/>
  <c r="H1733" i="13"/>
  <c r="T1733" i="13"/>
  <c r="H1530" i="13"/>
  <c r="T1530" i="13"/>
  <c r="H1579" i="13"/>
  <c r="T1579" i="13"/>
  <c r="H1565" i="13"/>
  <c r="T1565" i="13"/>
  <c r="H1671" i="13"/>
  <c r="T1671" i="13"/>
  <c r="H1704" i="13"/>
  <c r="T1704" i="13"/>
  <c r="H1591" i="13"/>
  <c r="T1591" i="13"/>
  <c r="H1632" i="13"/>
  <c r="T1632" i="13"/>
  <c r="H1651" i="13"/>
  <c r="T1651" i="13"/>
  <c r="H1619" i="13"/>
  <c r="T1619" i="13"/>
  <c r="H1688" i="13"/>
  <c r="T1688" i="13"/>
  <c r="H1657" i="13"/>
  <c r="T1657" i="13"/>
  <c r="H1722" i="13"/>
  <c r="T1722" i="13"/>
  <c r="H1498" i="13"/>
  <c r="T1498" i="13"/>
  <c r="H1584" i="13"/>
  <c r="T1584" i="13"/>
  <c r="H1517" i="13"/>
  <c r="T1517" i="13"/>
  <c r="H1495" i="13"/>
  <c r="T1495" i="13"/>
  <c r="H1513" i="13"/>
  <c r="T1513" i="13"/>
  <c r="H1616" i="13"/>
  <c r="T1616" i="13"/>
  <c r="H1556" i="13"/>
  <c r="T1556" i="13"/>
  <c r="H1516" i="13"/>
  <c r="T1516" i="13"/>
  <c r="H1665" i="13"/>
  <c r="T1665" i="13"/>
  <c r="H1563" i="13"/>
  <c r="T1563" i="13"/>
  <c r="H1506" i="13"/>
  <c r="T1506" i="13"/>
  <c r="H1620" i="13"/>
  <c r="T1620" i="13"/>
  <c r="H1675" i="13"/>
  <c r="T1675" i="13"/>
  <c r="H1618" i="13"/>
  <c r="T1618" i="13"/>
  <c r="H1699" i="13"/>
  <c r="T1699" i="13"/>
  <c r="H1576" i="13"/>
  <c r="T1576" i="13"/>
  <c r="H1709" i="13"/>
  <c r="T1709" i="13"/>
  <c r="H1630" i="13"/>
  <c r="T1630" i="13"/>
  <c r="H1698" i="13"/>
  <c r="T1698" i="13"/>
  <c r="H1585" i="13"/>
  <c r="T1585" i="13"/>
  <c r="H1511" i="13"/>
  <c r="T1511" i="13"/>
  <c r="H1721" i="13"/>
  <c r="T1721" i="13"/>
  <c r="H1637" i="13"/>
  <c r="T1637" i="13"/>
  <c r="H1653" i="13"/>
  <c r="T1653" i="13"/>
  <c r="H1521" i="13"/>
  <c r="T1521" i="13"/>
  <c r="H1500" i="13"/>
  <c r="T1500" i="13"/>
  <c r="H1568" i="13"/>
  <c r="T1568" i="13"/>
  <c r="H1546" i="13"/>
  <c r="T1546" i="13"/>
  <c r="H1703" i="13"/>
  <c r="T1703" i="13"/>
  <c r="H1520" i="13"/>
  <c r="T1520" i="13"/>
  <c r="H1638" i="13"/>
  <c r="T1638" i="13"/>
  <c r="H1575" i="13"/>
  <c r="T1575" i="13"/>
  <c r="H1549" i="13"/>
  <c r="T1549" i="13"/>
  <c r="H1713" i="13"/>
  <c r="T1713" i="13"/>
  <c r="H1672" i="13"/>
  <c r="T1672" i="13"/>
  <c r="H1535" i="13"/>
  <c r="T1535" i="13"/>
  <c r="H1611" i="13"/>
  <c r="T1611" i="13"/>
  <c r="H1682" i="13"/>
  <c r="T1682" i="13"/>
  <c r="H1540" i="13"/>
  <c r="T1540" i="13"/>
  <c r="E1874" i="13"/>
  <c r="Q1874" i="13"/>
  <c r="E1793" i="13"/>
  <c r="Q1793" i="13"/>
  <c r="E1749" i="13"/>
  <c r="Q1749" i="13"/>
  <c r="E1956" i="13"/>
  <c r="Q1956" i="13"/>
  <c r="E1839" i="13"/>
  <c r="Q1839" i="13"/>
  <c r="E1889" i="13"/>
  <c r="Q1889" i="13"/>
  <c r="E1753" i="13"/>
  <c r="Q1753" i="13"/>
  <c r="E1810" i="13"/>
  <c r="Q1810" i="13"/>
  <c r="E1909" i="13"/>
  <c r="Q1909" i="13"/>
  <c r="E1933" i="13"/>
  <c r="Q1933" i="13"/>
  <c r="E1759" i="13"/>
  <c r="Q1759" i="13"/>
  <c r="E1882" i="13"/>
  <c r="Q1882" i="13"/>
  <c r="E1925" i="13"/>
  <c r="Q1925" i="13"/>
  <c r="E1854" i="13"/>
  <c r="Q1854" i="13"/>
  <c r="E1823" i="13"/>
  <c r="Q1823" i="13"/>
  <c r="E1806" i="13"/>
  <c r="Q1806" i="13"/>
  <c r="E1826" i="13"/>
  <c r="Q1826" i="13"/>
  <c r="E1751" i="13"/>
  <c r="Q1751" i="13"/>
  <c r="E1967" i="13"/>
  <c r="Q1967" i="13"/>
  <c r="E1943" i="13"/>
  <c r="Q1943" i="13"/>
  <c r="E1895" i="13"/>
  <c r="Q1895" i="13"/>
  <c r="E1960" i="13"/>
  <c r="Q1960" i="13"/>
  <c r="E1921" i="13"/>
  <c r="Q1921" i="13"/>
  <c r="E1946" i="13"/>
  <c r="Q1946" i="13"/>
  <c r="E1949" i="13"/>
  <c r="Q1949" i="13"/>
  <c r="E1865" i="13"/>
  <c r="Q1865" i="13"/>
  <c r="E1791" i="13"/>
  <c r="Q1791" i="13"/>
  <c r="E1876" i="13"/>
  <c r="Q1876" i="13"/>
  <c r="E1807" i="13"/>
  <c r="Q1807" i="13"/>
  <c r="E1952" i="13"/>
  <c r="Q1952" i="13"/>
  <c r="E1868" i="13"/>
  <c r="Q1868" i="13"/>
  <c r="E1915" i="13"/>
  <c r="Q1915" i="13"/>
  <c r="E1762" i="13"/>
  <c r="Q1762" i="13"/>
  <c r="E1923" i="13"/>
  <c r="Q1923" i="13"/>
  <c r="E1789" i="13"/>
  <c r="Q1789" i="13"/>
  <c r="E1918" i="13"/>
  <c r="Q1918" i="13"/>
  <c r="E1768" i="13"/>
  <c r="Q1768" i="13"/>
  <c r="E1916" i="13"/>
  <c r="Q1916" i="13"/>
  <c r="E1953" i="13"/>
  <c r="Q1953" i="13"/>
  <c r="E1805" i="13"/>
  <c r="Q1805" i="13"/>
  <c r="E1754" i="13"/>
  <c r="Q1754" i="13"/>
  <c r="E1870" i="13"/>
  <c r="Q1870" i="13"/>
  <c r="E1803" i="13"/>
  <c r="Q1803" i="13"/>
  <c r="E1761" i="13"/>
  <c r="Q1761" i="13"/>
  <c r="E1835" i="13"/>
  <c r="Q1835" i="13"/>
  <c r="E1954" i="13"/>
  <c r="Q1954" i="13"/>
  <c r="E1748" i="13"/>
  <c r="Q1748" i="13"/>
  <c r="E1976" i="13"/>
  <c r="Q1976" i="13"/>
  <c r="E1965" i="13"/>
  <c r="Q1965" i="13"/>
  <c r="E1782" i="13"/>
  <c r="Q1782" i="13"/>
  <c r="E1744" i="13"/>
  <c r="Q1744" i="13"/>
  <c r="E1817" i="13"/>
  <c r="Q1817" i="13"/>
  <c r="E1947" i="13"/>
  <c r="Q1947" i="13"/>
  <c r="E1750" i="13"/>
  <c r="Q1750" i="13"/>
  <c r="E1891" i="13"/>
  <c r="Q1891" i="13"/>
  <c r="E1780" i="13"/>
  <c r="Q1780" i="13"/>
  <c r="E1898" i="13"/>
  <c r="Q1898" i="13"/>
  <c r="E1974" i="13"/>
  <c r="Q1974" i="13"/>
  <c r="E1980" i="13"/>
  <c r="Q1980" i="13"/>
  <c r="E1852" i="13"/>
  <c r="Q1852" i="13"/>
  <c r="E1830" i="13"/>
  <c r="Q1830" i="13"/>
  <c r="G1218" i="13"/>
  <c r="S1218" i="13"/>
  <c r="G1028" i="13"/>
  <c r="S1028" i="13"/>
  <c r="G1168" i="13"/>
  <c r="S1168" i="13"/>
  <c r="G1231" i="13"/>
  <c r="S1231" i="13"/>
  <c r="G1080" i="13"/>
  <c r="S1080" i="13"/>
  <c r="G1181" i="13"/>
  <c r="S1181" i="13"/>
  <c r="G1184" i="13"/>
  <c r="S1184" i="13"/>
  <c r="G1065" i="13"/>
  <c r="S1065" i="13"/>
  <c r="G1205" i="13"/>
  <c r="S1205" i="13"/>
  <c r="G1070" i="13"/>
  <c r="S1070" i="13"/>
  <c r="G1174" i="13"/>
  <c r="S1174" i="13"/>
  <c r="G1109" i="13"/>
  <c r="S1109" i="13"/>
  <c r="G1164" i="13"/>
  <c r="S1164" i="13"/>
  <c r="G1142" i="13"/>
  <c r="S1142" i="13"/>
  <c r="G1197" i="13"/>
  <c r="S1197" i="13"/>
  <c r="G1160" i="13"/>
  <c r="S1160" i="13"/>
  <c r="G1099" i="13"/>
  <c r="S1099" i="13"/>
  <c r="G1230" i="13"/>
  <c r="S1230" i="13"/>
  <c r="G1056" i="13"/>
  <c r="S1056" i="13"/>
  <c r="G1209" i="13"/>
  <c r="S1209" i="13"/>
  <c r="G1072" i="13"/>
  <c r="S1072" i="13"/>
  <c r="G1061" i="13"/>
  <c r="S1061" i="13"/>
  <c r="G1147" i="13"/>
  <c r="S1147" i="13"/>
  <c r="G1030" i="13"/>
  <c r="S1030" i="13"/>
  <c r="G1085" i="13"/>
  <c r="S1085" i="13"/>
  <c r="G1224" i="13"/>
  <c r="S1224" i="13"/>
  <c r="G1123" i="13"/>
  <c r="S1123" i="13"/>
  <c r="G1175" i="13"/>
  <c r="S1175" i="13"/>
  <c r="G1047" i="13"/>
  <c r="S1047" i="13"/>
  <c r="G1078" i="13"/>
  <c r="S1078" i="13"/>
  <c r="G1135" i="13"/>
  <c r="S1135" i="13"/>
  <c r="G1096" i="13"/>
  <c r="S1096" i="13"/>
  <c r="G998" i="13"/>
  <c r="S998" i="13"/>
  <c r="G1017" i="13"/>
  <c r="S1017" i="13"/>
  <c r="G1155" i="13"/>
  <c r="S1155" i="13"/>
  <c r="G1199" i="13"/>
  <c r="S1199" i="13"/>
  <c r="G1166" i="13"/>
  <c r="S1166" i="13"/>
  <c r="G1132" i="13"/>
  <c r="S1132" i="13"/>
  <c r="G1127" i="13"/>
  <c r="S1127" i="13"/>
  <c r="G1059" i="13"/>
  <c r="S1059" i="13"/>
  <c r="G1161" i="13"/>
  <c r="S1161" i="13"/>
  <c r="G1176" i="13"/>
  <c r="S1176" i="13"/>
  <c r="G1107" i="13"/>
  <c r="S1107" i="13"/>
  <c r="G1092" i="13"/>
  <c r="S1092" i="13"/>
  <c r="G1217" i="13"/>
  <c r="S1217" i="13"/>
  <c r="G1191" i="13"/>
  <c r="S1191" i="13"/>
  <c r="G1008" i="13"/>
  <c r="S1008" i="13"/>
  <c r="G1121" i="13"/>
  <c r="S1121" i="13"/>
  <c r="G1145" i="13"/>
  <c r="S1145" i="13"/>
  <c r="G1177" i="13"/>
  <c r="S1177" i="13"/>
  <c r="G1179" i="13"/>
  <c r="S1179" i="13"/>
  <c r="G1192" i="13"/>
  <c r="S1192" i="13"/>
  <c r="G1036" i="13"/>
  <c r="S1036" i="13"/>
  <c r="G1206" i="13"/>
  <c r="S1206" i="13"/>
  <c r="G1016" i="13"/>
  <c r="S1016" i="13"/>
  <c r="G1102" i="13"/>
  <c r="S1102" i="13"/>
  <c r="G1237" i="13"/>
  <c r="S1237" i="13"/>
  <c r="G1042" i="13"/>
  <c r="S1042" i="13"/>
  <c r="G1103" i="13"/>
  <c r="S1103" i="13"/>
  <c r="G1122" i="13"/>
  <c r="S1122" i="13"/>
  <c r="G1038" i="13"/>
  <c r="S1038" i="13"/>
  <c r="H1256" i="13"/>
  <c r="T1256" i="13"/>
  <c r="H1459" i="13"/>
  <c r="T1459" i="13"/>
  <c r="H1364" i="13"/>
  <c r="T1364" i="13"/>
  <c r="H1276" i="13"/>
  <c r="T1276" i="13"/>
  <c r="H1281" i="13"/>
  <c r="T1281" i="13"/>
  <c r="H1424" i="13"/>
  <c r="T1424" i="13"/>
  <c r="H1432" i="13"/>
  <c r="T1432" i="13"/>
  <c r="H1352" i="13"/>
  <c r="T1352" i="13"/>
  <c r="H1331" i="13"/>
  <c r="T1331" i="13"/>
  <c r="H1253" i="13"/>
  <c r="T1253" i="13"/>
  <c r="H1340" i="13"/>
  <c r="T1340" i="13"/>
  <c r="H1310" i="13"/>
  <c r="T1310" i="13"/>
  <c r="H1397" i="13"/>
  <c r="T1397" i="13"/>
  <c r="H1395" i="13"/>
  <c r="T1395" i="13"/>
  <c r="H1408" i="13"/>
  <c r="T1408" i="13"/>
  <c r="H1291" i="13"/>
  <c r="T1291" i="13"/>
  <c r="H1277" i="13"/>
  <c r="T1277" i="13"/>
  <c r="H1389" i="13"/>
  <c r="T1389" i="13"/>
  <c r="H1247" i="13"/>
  <c r="T1247" i="13"/>
  <c r="H1455" i="13"/>
  <c r="T1455" i="13"/>
  <c r="H1377" i="13"/>
  <c r="T1377" i="13"/>
  <c r="H1328" i="13"/>
  <c r="T1328" i="13"/>
  <c r="H1454" i="13"/>
  <c r="T1454" i="13"/>
  <c r="H1436" i="13"/>
  <c r="T1436" i="13"/>
  <c r="H1447" i="13"/>
  <c r="T1447" i="13"/>
  <c r="H1260" i="13"/>
  <c r="T1260" i="13"/>
  <c r="H1440" i="13"/>
  <c r="T1440" i="13"/>
  <c r="H1329" i="13"/>
  <c r="T1329" i="13"/>
  <c r="H1252" i="13"/>
  <c r="T1252" i="13"/>
  <c r="H1449" i="13"/>
  <c r="T1449" i="13"/>
  <c r="H1482" i="13"/>
  <c r="T1482" i="13"/>
  <c r="H1405" i="13"/>
  <c r="T1405" i="13"/>
  <c r="H1442" i="13"/>
  <c r="T1442" i="13"/>
  <c r="H1257" i="13"/>
  <c r="T1257" i="13"/>
  <c r="H1275" i="13"/>
  <c r="T1275" i="13"/>
  <c r="H1473" i="13"/>
  <c r="T1473" i="13"/>
  <c r="H1298" i="13"/>
  <c r="T1298" i="13"/>
  <c r="H1373" i="13"/>
  <c r="T1373" i="13"/>
  <c r="H1390" i="13"/>
  <c r="T1390" i="13"/>
  <c r="H1269" i="13"/>
  <c r="T1269" i="13"/>
  <c r="H1319" i="13"/>
  <c r="T1319" i="13"/>
  <c r="H1421" i="13"/>
  <c r="T1421" i="13"/>
  <c r="H1280" i="13"/>
  <c r="T1280" i="13"/>
  <c r="H1335" i="13"/>
  <c r="T1335" i="13"/>
  <c r="H1486" i="13"/>
  <c r="T1486" i="13"/>
  <c r="H1382" i="13"/>
  <c r="T1382" i="13"/>
  <c r="H1414" i="13"/>
  <c r="T1414" i="13"/>
  <c r="H1342" i="13"/>
  <c r="T1342" i="13"/>
  <c r="H1396" i="13"/>
  <c r="T1396" i="13"/>
  <c r="H1380" i="13"/>
  <c r="T1380" i="13"/>
  <c r="H1437" i="13"/>
  <c r="T1437" i="13"/>
  <c r="H1327" i="13"/>
  <c r="T1327" i="13"/>
  <c r="H1466" i="13"/>
  <c r="T1466" i="13"/>
  <c r="H1464" i="13"/>
  <c r="T1464" i="13"/>
  <c r="H1308" i="13"/>
  <c r="T1308" i="13"/>
  <c r="H1476" i="13"/>
  <c r="T1476" i="13"/>
  <c r="H1402" i="13"/>
  <c r="T1402" i="13"/>
  <c r="H1296" i="13"/>
  <c r="T1296" i="13"/>
  <c r="H1317" i="13"/>
  <c r="T1317" i="13"/>
  <c r="H1249" i="13"/>
  <c r="T1249" i="13"/>
  <c r="H1384" i="13"/>
  <c r="T1384" i="13"/>
  <c r="I990" i="13"/>
  <c r="U990" i="13"/>
  <c r="I891" i="13"/>
  <c r="U891" i="13"/>
  <c r="I969" i="13"/>
  <c r="U969" i="13"/>
  <c r="I941" i="13"/>
  <c r="U941" i="13"/>
  <c r="I871" i="13"/>
  <c r="U871" i="13"/>
  <c r="I974" i="13"/>
  <c r="U974" i="13"/>
  <c r="I933" i="13"/>
  <c r="U933" i="13"/>
  <c r="I887" i="13"/>
  <c r="U887" i="13"/>
  <c r="I968" i="13"/>
  <c r="U968" i="13"/>
  <c r="I855" i="13"/>
  <c r="U855" i="13"/>
  <c r="I952" i="13"/>
  <c r="U952" i="13"/>
  <c r="I894" i="13"/>
  <c r="U894" i="13"/>
  <c r="I831" i="13"/>
  <c r="U831" i="13"/>
  <c r="I934" i="13"/>
  <c r="U934" i="13"/>
  <c r="I970" i="13"/>
  <c r="U970" i="13"/>
  <c r="I789" i="13"/>
  <c r="U789" i="13"/>
  <c r="I778" i="13"/>
  <c r="U778" i="13"/>
  <c r="I892" i="13"/>
  <c r="U892" i="13"/>
  <c r="I938" i="13"/>
  <c r="U938" i="13"/>
  <c r="I964" i="13"/>
  <c r="U964" i="13"/>
  <c r="I755" i="13"/>
  <c r="U755" i="13"/>
  <c r="I943" i="13"/>
  <c r="U943" i="13"/>
  <c r="I921" i="13"/>
  <c r="U921" i="13"/>
  <c r="I763" i="13"/>
  <c r="U763" i="13"/>
  <c r="I909" i="13"/>
  <c r="U909" i="13"/>
  <c r="I900" i="13"/>
  <c r="U900" i="13"/>
  <c r="I848" i="13"/>
  <c r="U848" i="13"/>
  <c r="I878" i="13"/>
  <c r="U878" i="13"/>
  <c r="I814" i="13"/>
  <c r="U814" i="13"/>
  <c r="I832" i="13"/>
  <c r="U832" i="13"/>
  <c r="I810" i="13"/>
  <c r="U810" i="13"/>
  <c r="I816" i="13"/>
  <c r="U816" i="13"/>
  <c r="I967" i="13"/>
  <c r="U967" i="13"/>
  <c r="I920" i="13"/>
  <c r="U920" i="13"/>
  <c r="I846" i="13"/>
  <c r="U846" i="13"/>
  <c r="I956" i="13"/>
  <c r="U956" i="13"/>
  <c r="I935" i="13"/>
  <c r="U935" i="13"/>
  <c r="I760" i="13"/>
  <c r="U760" i="13"/>
  <c r="I803" i="13"/>
  <c r="U803" i="13"/>
  <c r="I922" i="13"/>
  <c r="U922" i="13"/>
  <c r="I923" i="13"/>
  <c r="U923" i="13"/>
  <c r="I959" i="13"/>
  <c r="U959" i="13"/>
  <c r="I864" i="13"/>
  <c r="U864" i="13"/>
  <c r="I886" i="13"/>
  <c r="U886" i="13"/>
  <c r="I752" i="13"/>
  <c r="U752" i="13"/>
  <c r="I971" i="13"/>
  <c r="U971" i="13"/>
  <c r="I960" i="13"/>
  <c r="U960" i="13"/>
  <c r="I916" i="13"/>
  <c r="U916" i="13"/>
  <c r="I828" i="13"/>
  <c r="U828" i="13"/>
  <c r="I884" i="13"/>
  <c r="U884" i="13"/>
  <c r="I881" i="13"/>
  <c r="U881" i="13"/>
  <c r="I868" i="13"/>
  <c r="U868" i="13"/>
  <c r="I851" i="13"/>
  <c r="U851" i="13"/>
  <c r="I905" i="13"/>
  <c r="U905" i="13"/>
  <c r="I758" i="13"/>
  <c r="U758" i="13"/>
  <c r="I937" i="13"/>
  <c r="U937" i="13"/>
  <c r="I856" i="13"/>
  <c r="U856" i="13"/>
  <c r="I809" i="13"/>
  <c r="U809" i="13"/>
  <c r="I806" i="13"/>
  <c r="U806" i="13"/>
  <c r="I764" i="13"/>
  <c r="U764" i="13"/>
  <c r="F781" i="13"/>
  <c r="R781" i="13"/>
  <c r="F848" i="13"/>
  <c r="R848" i="13"/>
  <c r="F890" i="13"/>
  <c r="R890" i="13"/>
  <c r="F825" i="13"/>
  <c r="R825" i="13"/>
  <c r="F884" i="13"/>
  <c r="R884" i="13"/>
  <c r="F947" i="13"/>
  <c r="R947" i="13"/>
  <c r="F868" i="13"/>
  <c r="R868" i="13"/>
  <c r="F926" i="13"/>
  <c r="R926" i="13"/>
  <c r="F911" i="13"/>
  <c r="R911" i="13"/>
  <c r="F935" i="13"/>
  <c r="R935" i="13"/>
  <c r="F883" i="13"/>
  <c r="R883" i="13"/>
  <c r="F843" i="13"/>
  <c r="R843" i="13"/>
  <c r="F887" i="13"/>
  <c r="R887" i="13"/>
  <c r="F989" i="13"/>
  <c r="R989" i="13"/>
  <c r="F982" i="13"/>
  <c r="R982" i="13"/>
  <c r="F965" i="13"/>
  <c r="R965" i="13"/>
  <c r="F792" i="13"/>
  <c r="R792" i="13"/>
  <c r="F957" i="13"/>
  <c r="R957" i="13"/>
  <c r="F877" i="13"/>
  <c r="R877" i="13"/>
  <c r="F834" i="13"/>
  <c r="R834" i="13"/>
  <c r="F794" i="13"/>
  <c r="R794" i="13"/>
  <c r="F791" i="13"/>
  <c r="R791" i="13"/>
  <c r="F850" i="13"/>
  <c r="R850" i="13"/>
  <c r="F762" i="13"/>
  <c r="R762" i="13"/>
  <c r="F787" i="13"/>
  <c r="R787" i="13"/>
  <c r="F920" i="13"/>
  <c r="R920" i="13"/>
  <c r="F914" i="13"/>
  <c r="R914" i="13"/>
  <c r="F753" i="13"/>
  <c r="R753" i="13"/>
  <c r="F974" i="13"/>
  <c r="R974" i="13"/>
  <c r="F932" i="13"/>
  <c r="R932" i="13"/>
  <c r="F970" i="13"/>
  <c r="R970" i="13"/>
  <c r="F894" i="13"/>
  <c r="R894" i="13"/>
  <c r="F933" i="13"/>
  <c r="R933" i="13"/>
  <c r="F805" i="13"/>
  <c r="R805" i="13"/>
  <c r="F833" i="13"/>
  <c r="R833" i="13"/>
  <c r="F892" i="13"/>
  <c r="R892" i="13"/>
  <c r="F930" i="13"/>
  <c r="R930" i="13"/>
  <c r="F803" i="13"/>
  <c r="R803" i="13"/>
  <c r="F812" i="13"/>
  <c r="R812" i="13"/>
  <c r="F860" i="13"/>
  <c r="R860" i="13"/>
  <c r="F955" i="13"/>
  <c r="R955" i="13"/>
  <c r="F958" i="13"/>
  <c r="R958" i="13"/>
  <c r="F949" i="13"/>
  <c r="R949" i="13"/>
  <c r="F814" i="13"/>
  <c r="R814" i="13"/>
  <c r="F847" i="13"/>
  <c r="R847" i="13"/>
  <c r="F768" i="13"/>
  <c r="R768" i="13"/>
  <c r="F971" i="13"/>
  <c r="R971" i="13"/>
  <c r="F775" i="13"/>
  <c r="R775" i="13"/>
  <c r="F754" i="13"/>
  <c r="R754" i="13"/>
  <c r="F925" i="13"/>
  <c r="R925" i="13"/>
  <c r="F980" i="13"/>
  <c r="R980" i="13"/>
  <c r="F831" i="13"/>
  <c r="R831" i="13"/>
  <c r="F857" i="13"/>
  <c r="R857" i="13"/>
  <c r="F909" i="13"/>
  <c r="R909" i="13"/>
  <c r="F839" i="13"/>
  <c r="R839" i="13"/>
  <c r="F804" i="13"/>
  <c r="R804" i="13"/>
  <c r="F985" i="13"/>
  <c r="R985" i="13"/>
  <c r="F898" i="13"/>
  <c r="R898" i="13"/>
  <c r="F961" i="13"/>
  <c r="R961" i="13"/>
  <c r="F973" i="13"/>
  <c r="R973" i="13"/>
  <c r="F808" i="13"/>
  <c r="R808" i="13"/>
  <c r="I2031" i="13"/>
  <c r="U2031" i="13"/>
  <c r="I2004" i="13"/>
  <c r="U2004" i="13"/>
  <c r="I2113" i="13"/>
  <c r="U2113" i="13"/>
  <c r="I2121" i="13"/>
  <c r="U2121" i="13"/>
  <c r="I2184" i="13"/>
  <c r="U2184" i="13"/>
  <c r="I2112" i="13"/>
  <c r="U2112" i="13"/>
  <c r="I2156" i="13"/>
  <c r="U2156" i="13"/>
  <c r="I2150" i="13"/>
  <c r="U2150" i="13"/>
  <c r="I2056" i="13"/>
  <c r="U2056" i="13"/>
  <c r="I2115" i="13"/>
  <c r="U2115" i="13"/>
  <c r="I2081" i="13"/>
  <c r="U2081" i="13"/>
  <c r="I2166" i="13"/>
  <c r="U2166" i="13"/>
  <c r="I2153" i="13"/>
  <c r="U2153" i="13"/>
  <c r="I2097" i="13"/>
  <c r="U2097" i="13"/>
  <c r="I2025" i="13"/>
  <c r="U2025" i="13"/>
  <c r="I2139" i="13"/>
  <c r="U2139" i="13"/>
  <c r="I1992" i="13"/>
  <c r="U1992" i="13"/>
  <c r="I2189" i="13"/>
  <c r="U2189" i="13"/>
  <c r="I2169" i="13"/>
  <c r="U2169" i="13"/>
  <c r="I2218" i="13"/>
  <c r="U2218" i="13"/>
  <c r="I2019" i="13"/>
  <c r="U2019" i="13"/>
  <c r="I2199" i="13"/>
  <c r="U2199" i="13"/>
  <c r="I2105" i="13"/>
  <c r="U2105" i="13"/>
  <c r="I2003" i="13"/>
  <c r="U2003" i="13"/>
  <c r="I2159" i="13"/>
  <c r="U2159" i="13"/>
  <c r="I2219" i="13"/>
  <c r="U2219" i="13"/>
  <c r="I2171" i="13"/>
  <c r="U2171" i="13"/>
  <c r="I2192" i="13"/>
  <c r="U2192" i="13"/>
  <c r="I2127" i="13"/>
  <c r="U2127" i="13"/>
  <c r="I2075" i="13"/>
  <c r="U2075" i="13"/>
  <c r="I2077" i="13"/>
  <c r="U2077" i="13"/>
  <c r="I2000" i="13"/>
  <c r="U2000" i="13"/>
  <c r="I2103" i="13"/>
  <c r="U2103" i="13"/>
  <c r="I2209" i="13"/>
  <c r="U2209" i="13"/>
  <c r="I2079" i="13"/>
  <c r="U2079" i="13"/>
  <c r="I2109" i="13"/>
  <c r="U2109" i="13"/>
  <c r="I2087" i="13"/>
  <c r="U2087" i="13"/>
  <c r="I2024" i="13"/>
  <c r="U2024" i="13"/>
  <c r="I2212" i="13"/>
  <c r="U2212" i="13"/>
  <c r="I2204" i="13"/>
  <c r="U2204" i="13"/>
  <c r="I2181" i="13"/>
  <c r="U2181" i="13"/>
  <c r="I2035" i="13"/>
  <c r="U2035" i="13"/>
  <c r="I1994" i="13"/>
  <c r="U1994" i="13"/>
  <c r="I2227" i="13"/>
  <c r="U2227" i="13"/>
  <c r="I2142" i="13"/>
  <c r="U2142" i="13"/>
  <c r="I2032" i="13"/>
  <c r="U2032" i="13"/>
  <c r="I2100" i="13"/>
  <c r="U2100" i="13"/>
  <c r="I2152" i="13"/>
  <c r="U2152" i="13"/>
  <c r="I2007" i="13"/>
  <c r="U2007" i="13"/>
  <c r="I2162" i="13"/>
  <c r="U2162" i="13"/>
  <c r="I1990" i="13"/>
  <c r="U1990" i="13"/>
  <c r="I2017" i="13"/>
  <c r="U2017" i="13"/>
  <c r="I2049" i="13"/>
  <c r="U2049" i="13"/>
  <c r="I2051" i="13"/>
  <c r="U2051" i="13"/>
  <c r="I2080" i="13"/>
  <c r="U2080" i="13"/>
  <c r="I2180" i="13"/>
  <c r="U2180" i="13"/>
  <c r="I2145" i="13"/>
  <c r="U2145" i="13"/>
  <c r="I2012" i="13"/>
  <c r="U2012" i="13"/>
  <c r="I2011" i="13"/>
  <c r="U2011" i="13"/>
  <c r="I2010" i="13"/>
  <c r="U2010" i="13"/>
  <c r="I2172" i="13"/>
  <c r="U2172" i="13"/>
  <c r="I2389" i="13"/>
  <c r="U2389" i="13"/>
  <c r="I2391" i="13"/>
  <c r="U2391" i="13"/>
  <c r="I2276" i="13"/>
  <c r="U2276" i="13"/>
  <c r="I2394" i="13"/>
  <c r="U2394" i="13"/>
  <c r="I2260" i="13"/>
  <c r="U2260" i="13"/>
  <c r="I2433" i="13"/>
  <c r="U2433" i="13"/>
  <c r="I2457" i="13"/>
  <c r="U2457" i="13"/>
  <c r="I2386" i="13"/>
  <c r="U2386" i="13"/>
  <c r="I2257" i="13"/>
  <c r="U2257" i="13"/>
  <c r="I2328" i="13"/>
  <c r="U2328" i="13"/>
  <c r="I2301" i="13"/>
  <c r="U2301" i="13"/>
  <c r="I2339" i="13"/>
  <c r="U2339" i="13"/>
  <c r="I2313" i="13"/>
  <c r="U2313" i="13"/>
  <c r="I2461" i="13"/>
  <c r="U2461" i="13"/>
  <c r="I2305" i="13"/>
  <c r="U2305" i="13"/>
  <c r="I2434" i="13"/>
  <c r="U2434" i="13"/>
  <c r="I2297" i="13"/>
  <c r="U2297" i="13"/>
  <c r="I2415" i="13"/>
  <c r="U2415" i="13"/>
  <c r="I2417" i="13"/>
  <c r="U2417" i="13"/>
  <c r="I2464" i="13"/>
  <c r="U2464" i="13"/>
  <c r="I2335" i="13"/>
  <c r="U2335" i="13"/>
  <c r="I2310" i="13"/>
  <c r="U2310" i="13"/>
  <c r="I2291" i="13"/>
  <c r="U2291" i="13"/>
  <c r="I2365" i="13"/>
  <c r="U2365" i="13"/>
  <c r="I2371" i="13"/>
  <c r="U2371" i="13"/>
  <c r="I2398" i="13"/>
  <c r="U2398" i="13"/>
  <c r="I2258" i="13"/>
  <c r="U2258" i="13"/>
  <c r="I2445" i="13"/>
  <c r="U2445" i="13"/>
  <c r="I2239" i="13"/>
  <c r="U2239" i="13"/>
  <c r="I2383" i="13"/>
  <c r="U2383" i="13"/>
  <c r="I2356" i="13"/>
  <c r="U2356" i="13"/>
  <c r="I2357" i="13"/>
  <c r="U2357" i="13"/>
  <c r="I2418" i="13"/>
  <c r="U2418" i="13"/>
  <c r="I2327" i="13"/>
  <c r="U2327" i="13"/>
  <c r="I2362" i="13"/>
  <c r="U2362" i="13"/>
  <c r="I2428" i="13"/>
  <c r="U2428" i="13"/>
  <c r="I2393" i="13"/>
  <c r="U2393" i="13"/>
  <c r="I2423" i="13"/>
  <c r="U2423" i="13"/>
  <c r="I2329" i="13"/>
  <c r="U2329" i="13"/>
  <c r="I2325" i="13"/>
  <c r="U2325" i="13"/>
  <c r="I2471" i="13"/>
  <c r="U2471" i="13"/>
  <c r="I2382" i="13"/>
  <c r="U2382" i="13"/>
  <c r="I2262" i="13"/>
  <c r="U2262" i="13"/>
  <c r="I2358" i="13"/>
  <c r="U2358" i="13"/>
  <c r="I2443" i="13"/>
  <c r="U2443" i="13"/>
  <c r="I2286" i="13"/>
  <c r="U2286" i="13"/>
  <c r="I2337" i="13"/>
  <c r="U2337" i="13"/>
  <c r="I2295" i="13"/>
  <c r="U2295" i="13"/>
  <c r="I2252" i="13"/>
  <c r="U2252" i="13"/>
  <c r="I2456" i="13"/>
  <c r="U2456" i="13"/>
  <c r="I2419" i="13"/>
  <c r="U2419" i="13"/>
  <c r="I2367" i="13"/>
  <c r="U2367" i="13"/>
  <c r="I2341" i="13"/>
  <c r="U2341" i="13"/>
  <c r="I2373" i="13"/>
  <c r="U2373" i="13"/>
  <c r="I2397" i="13"/>
  <c r="U2397" i="13"/>
  <c r="I2353" i="13"/>
  <c r="U2353" i="13"/>
  <c r="I2401" i="13"/>
  <c r="U2401" i="13"/>
  <c r="I2284" i="13"/>
  <c r="U2284" i="13"/>
  <c r="I2374" i="13"/>
  <c r="U2374" i="13"/>
  <c r="I2439" i="13"/>
  <c r="U2439" i="13"/>
  <c r="I2296" i="13"/>
  <c r="U2296" i="13"/>
  <c r="G1581" i="13"/>
  <c r="S1581" i="13"/>
  <c r="G1655" i="13"/>
  <c r="S1655" i="13"/>
  <c r="G1713" i="13"/>
  <c r="S1713" i="13"/>
  <c r="G1515" i="13"/>
  <c r="S1515" i="13"/>
  <c r="G1688" i="13"/>
  <c r="S1688" i="13"/>
  <c r="G1610" i="13"/>
  <c r="S1610" i="13"/>
  <c r="G1718" i="13"/>
  <c r="S1718" i="13"/>
  <c r="G1632" i="13"/>
  <c r="S1632" i="13"/>
  <c r="G1576" i="13"/>
  <c r="S1576" i="13"/>
  <c r="G1609" i="13"/>
  <c r="S1609" i="13"/>
  <c r="G1540" i="13"/>
  <c r="S1540" i="13"/>
  <c r="G1539" i="13"/>
  <c r="S1539" i="13"/>
  <c r="G1554" i="13"/>
  <c r="S1554" i="13"/>
  <c r="G1710" i="13"/>
  <c r="S1710" i="13"/>
  <c r="G1660" i="13"/>
  <c r="S1660" i="13"/>
  <c r="G1643" i="13"/>
  <c r="S1643" i="13"/>
  <c r="G1501" i="13"/>
  <c r="S1501" i="13"/>
  <c r="G1699" i="13"/>
  <c r="S1699" i="13"/>
  <c r="G1544" i="13"/>
  <c r="S1544" i="13"/>
  <c r="G1599" i="13"/>
  <c r="S1599" i="13"/>
  <c r="G1666" i="13"/>
  <c r="S1666" i="13"/>
  <c r="G1505" i="13"/>
  <c r="S1505" i="13"/>
  <c r="G1557" i="13"/>
  <c r="S1557" i="13"/>
  <c r="G1558" i="13"/>
  <c r="S1558" i="13"/>
  <c r="G1589" i="13"/>
  <c r="S1589" i="13"/>
  <c r="G1664" i="13"/>
  <c r="S1664" i="13"/>
  <c r="G1573" i="13"/>
  <c r="S1573" i="13"/>
  <c r="G1707" i="13"/>
  <c r="S1707" i="13"/>
  <c r="G1648" i="13"/>
  <c r="S1648" i="13"/>
  <c r="G1629" i="13"/>
  <c r="S1629" i="13"/>
  <c r="G1537" i="13"/>
  <c r="S1537" i="13"/>
  <c r="G1542" i="13"/>
  <c r="S1542" i="13"/>
  <c r="G1680" i="13"/>
  <c r="S1680" i="13"/>
  <c r="G1626" i="13"/>
  <c r="S1626" i="13"/>
  <c r="G1553" i="13"/>
  <c r="S1553" i="13"/>
  <c r="G1603" i="13"/>
  <c r="S1603" i="13"/>
  <c r="G1598" i="13"/>
  <c r="S1598" i="13"/>
  <c r="G1496" i="13"/>
  <c r="S1496" i="13"/>
  <c r="G1679" i="13"/>
  <c r="S1679" i="13"/>
  <c r="G1689" i="13"/>
  <c r="S1689" i="13"/>
  <c r="G1671" i="13"/>
  <c r="S1671" i="13"/>
  <c r="G1670" i="13"/>
  <c r="S1670" i="13"/>
  <c r="G1701" i="13"/>
  <c r="S1701" i="13"/>
  <c r="G1513" i="13"/>
  <c r="S1513" i="13"/>
  <c r="G1602" i="13"/>
  <c r="S1602" i="13"/>
  <c r="G1527" i="13"/>
  <c r="S1527" i="13"/>
  <c r="G1651" i="13"/>
  <c r="S1651" i="13"/>
  <c r="G1613" i="13"/>
  <c r="S1613" i="13"/>
  <c r="G1716" i="13"/>
  <c r="S1716" i="13"/>
  <c r="G1608" i="13"/>
  <c r="S1608" i="13"/>
  <c r="G1700" i="13"/>
  <c r="S1700" i="13"/>
  <c r="G1563" i="13"/>
  <c r="S1563" i="13"/>
  <c r="G1698" i="13"/>
  <c r="S1698" i="13"/>
  <c r="G1585" i="13"/>
  <c r="S1585" i="13"/>
  <c r="G1595" i="13"/>
  <c r="S1595" i="13"/>
  <c r="G1653" i="13"/>
  <c r="S1653" i="13"/>
  <c r="G1572" i="13"/>
  <c r="S1572" i="13"/>
  <c r="G1665" i="13"/>
  <c r="S1665" i="13"/>
  <c r="G1695" i="13"/>
  <c r="S1695" i="13"/>
  <c r="G1724" i="13"/>
  <c r="S1724" i="13"/>
  <c r="G1676" i="13"/>
  <c r="S1676" i="13"/>
  <c r="H542" i="13"/>
  <c r="T542" i="13"/>
  <c r="H603" i="13"/>
  <c r="T603" i="13"/>
  <c r="H694" i="13"/>
  <c r="T694" i="13"/>
  <c r="H582" i="13"/>
  <c r="T582" i="13"/>
  <c r="H550" i="13"/>
  <c r="T550" i="13"/>
  <c r="H574" i="13"/>
  <c r="T574" i="13"/>
  <c r="H577" i="13"/>
  <c r="T577" i="13"/>
  <c r="H523" i="13"/>
  <c r="T523" i="13"/>
  <c r="H649" i="13"/>
  <c r="T649" i="13"/>
  <c r="H644" i="13"/>
  <c r="T644" i="13"/>
  <c r="H740" i="13"/>
  <c r="T740" i="13"/>
  <c r="H592" i="13"/>
  <c r="T592" i="13"/>
  <c r="H736" i="13"/>
  <c r="T736" i="13"/>
  <c r="H572" i="13"/>
  <c r="T572" i="13"/>
  <c r="H690" i="13"/>
  <c r="T690" i="13"/>
  <c r="H531" i="13"/>
  <c r="T531" i="13"/>
  <c r="H553" i="13"/>
  <c r="T553" i="13"/>
  <c r="H718" i="13"/>
  <c r="T718" i="13"/>
  <c r="H702" i="13"/>
  <c r="T702" i="13"/>
  <c r="H602" i="13"/>
  <c r="T602" i="13"/>
  <c r="H659" i="13"/>
  <c r="T659" i="13"/>
  <c r="H512" i="13"/>
  <c r="T512" i="13"/>
  <c r="H507" i="13"/>
  <c r="T507" i="13"/>
  <c r="H508" i="13"/>
  <c r="T508" i="13"/>
  <c r="H666" i="13"/>
  <c r="T666" i="13"/>
  <c r="H712" i="13"/>
  <c r="T712" i="13"/>
  <c r="H549" i="13"/>
  <c r="T549" i="13"/>
  <c r="H530" i="13"/>
  <c r="T530" i="13"/>
  <c r="H743" i="13"/>
  <c r="T743" i="13"/>
  <c r="H676" i="13"/>
  <c r="T676" i="13"/>
  <c r="H560" i="13"/>
  <c r="T560" i="13"/>
  <c r="H608" i="13"/>
  <c r="T608" i="13"/>
  <c r="H563" i="13"/>
  <c r="T563" i="13"/>
  <c r="H706" i="13"/>
  <c r="T706" i="13"/>
  <c r="H723" i="13"/>
  <c r="T723" i="13"/>
  <c r="H539" i="13"/>
  <c r="T539" i="13"/>
  <c r="H593" i="13"/>
  <c r="T593" i="13"/>
  <c r="H726" i="13"/>
  <c r="T726" i="13"/>
  <c r="H504" i="13"/>
  <c r="T504" i="13"/>
  <c r="H648" i="13"/>
  <c r="T648" i="13"/>
  <c r="H700" i="13"/>
  <c r="T700" i="13"/>
  <c r="H569" i="13"/>
  <c r="T569" i="13"/>
  <c r="H735" i="13"/>
  <c r="T735" i="13"/>
  <c r="H720" i="13"/>
  <c r="T720" i="13"/>
  <c r="H701" i="13"/>
  <c r="T701" i="13"/>
  <c r="H625" i="13"/>
  <c r="T625" i="13"/>
  <c r="H719" i="13"/>
  <c r="T719" i="13"/>
  <c r="H635" i="13"/>
  <c r="T635" i="13"/>
  <c r="H596" i="13"/>
  <c r="T596" i="13"/>
  <c r="H647" i="13"/>
  <c r="T647" i="13"/>
  <c r="H581" i="13"/>
  <c r="T581" i="13"/>
  <c r="H629" i="13"/>
  <c r="T629" i="13"/>
  <c r="H511" i="13"/>
  <c r="T511" i="13"/>
  <c r="H516" i="13"/>
  <c r="T516" i="13"/>
  <c r="H741" i="13"/>
  <c r="T741" i="13"/>
  <c r="H591" i="13"/>
  <c r="T591" i="13"/>
  <c r="H631" i="13"/>
  <c r="T631" i="13"/>
  <c r="H561" i="13"/>
  <c r="T561" i="13"/>
  <c r="H515" i="13"/>
  <c r="T515" i="13"/>
  <c r="H643" i="13"/>
  <c r="T643" i="13"/>
  <c r="E679" i="13"/>
  <c r="Q679" i="13"/>
  <c r="E563" i="13"/>
  <c r="Q563" i="13"/>
  <c r="E506" i="13"/>
  <c r="Q506" i="13"/>
  <c r="E542" i="13"/>
  <c r="Q542" i="13"/>
  <c r="E626" i="13"/>
  <c r="Q626" i="13"/>
  <c r="E634" i="13"/>
  <c r="Q634" i="13"/>
  <c r="E677" i="13"/>
  <c r="Q677" i="13"/>
  <c r="E726" i="13"/>
  <c r="Q726" i="13"/>
  <c r="E627" i="13"/>
  <c r="Q627" i="13"/>
  <c r="E518" i="13"/>
  <c r="Q518" i="13"/>
  <c r="E695" i="13"/>
  <c r="Q695" i="13"/>
  <c r="E740" i="13"/>
  <c r="Q740" i="13"/>
  <c r="E566" i="13"/>
  <c r="Q566" i="13"/>
  <c r="E619" i="13"/>
  <c r="Q619" i="13"/>
  <c r="E546" i="13"/>
  <c r="Q546" i="13"/>
  <c r="E579" i="13"/>
  <c r="Q579" i="13"/>
  <c r="E572" i="13"/>
  <c r="Q572" i="13"/>
  <c r="E589" i="13"/>
  <c r="Q589" i="13"/>
  <c r="E526" i="13"/>
  <c r="Q526" i="13"/>
  <c r="E533" i="13"/>
  <c r="Q533" i="13"/>
  <c r="E671" i="13"/>
  <c r="Q671" i="13"/>
  <c r="E531" i="13"/>
  <c r="Q531" i="13"/>
  <c r="E678" i="13"/>
  <c r="Q678" i="13"/>
  <c r="E581" i="13"/>
  <c r="Q581" i="13"/>
  <c r="E674" i="13"/>
  <c r="Q674" i="13"/>
  <c r="E522" i="13"/>
  <c r="Q522" i="13"/>
  <c r="E710" i="13"/>
  <c r="Q710" i="13"/>
  <c r="E720" i="13"/>
  <c r="Q720" i="13"/>
  <c r="E639" i="13"/>
  <c r="Q639" i="13"/>
  <c r="E702" i="13"/>
  <c r="Q702" i="13"/>
  <c r="E606" i="13"/>
  <c r="Q606" i="13"/>
  <c r="E668" i="13"/>
  <c r="Q668" i="13"/>
  <c r="E715" i="13"/>
  <c r="Q715" i="13"/>
  <c r="E713" i="13"/>
  <c r="Q713" i="13"/>
  <c r="E536" i="13"/>
  <c r="Q536" i="13"/>
  <c r="E649" i="13"/>
  <c r="Q649" i="13"/>
  <c r="V501" i="13"/>
  <c r="A501" i="13" s="1"/>
  <c r="E640" i="13"/>
  <c r="Q640" i="13"/>
  <c r="E594" i="13"/>
  <c r="Q594" i="13"/>
  <c r="E615" i="13"/>
  <c r="Q615" i="13"/>
  <c r="E604" i="13"/>
  <c r="Q604" i="13"/>
  <c r="E523" i="13"/>
  <c r="Q523" i="13"/>
  <c r="E682" i="13"/>
  <c r="Q682" i="13"/>
  <c r="E605" i="13"/>
  <c r="Q605" i="13"/>
  <c r="E723" i="13"/>
  <c r="Q723" i="13"/>
  <c r="E717" i="13"/>
  <c r="Q717" i="13"/>
  <c r="E672" i="13"/>
  <c r="Q672" i="13"/>
  <c r="E698" i="13"/>
  <c r="Q698" i="13"/>
  <c r="E729" i="13"/>
  <c r="Q729" i="13"/>
  <c r="E654" i="13"/>
  <c r="Q654" i="13"/>
  <c r="E735" i="13"/>
  <c r="Q735" i="13"/>
  <c r="E657" i="13"/>
  <c r="Q657" i="13"/>
  <c r="E692" i="13"/>
  <c r="Q692" i="13"/>
  <c r="E708" i="13"/>
  <c r="Q708" i="13"/>
  <c r="E712" i="13"/>
  <c r="Q712" i="13"/>
  <c r="E675" i="13"/>
  <c r="Q675" i="13"/>
  <c r="E571" i="13"/>
  <c r="Q571" i="13"/>
  <c r="E659" i="13"/>
  <c r="Q659" i="13"/>
  <c r="E676" i="13"/>
  <c r="Q676" i="13"/>
  <c r="E694" i="13"/>
  <c r="Q694" i="13"/>
  <c r="E510" i="13"/>
  <c r="Q510" i="13"/>
  <c r="F1039" i="13"/>
  <c r="R1039" i="13"/>
  <c r="F1233" i="13"/>
  <c r="R1233" i="13"/>
  <c r="F1102" i="13"/>
  <c r="R1102" i="13"/>
  <c r="F1203" i="13"/>
  <c r="R1203" i="13"/>
  <c r="F1190" i="13"/>
  <c r="R1190" i="13"/>
  <c r="F1191" i="13"/>
  <c r="R1191" i="13"/>
  <c r="F1094" i="13"/>
  <c r="R1094" i="13"/>
  <c r="F1128" i="13"/>
  <c r="R1128" i="13"/>
  <c r="F1067" i="13"/>
  <c r="R1067" i="13"/>
  <c r="F1149" i="13"/>
  <c r="R1149" i="13"/>
  <c r="F1169" i="13"/>
  <c r="R1169" i="13"/>
  <c r="F1113" i="13"/>
  <c r="R1113" i="13"/>
  <c r="F1200" i="13"/>
  <c r="R1200" i="13"/>
  <c r="F1138" i="13"/>
  <c r="R1138" i="13"/>
  <c r="F1076" i="13"/>
  <c r="R1076" i="13"/>
  <c r="F1107" i="13"/>
  <c r="R1107" i="13"/>
  <c r="F1035" i="13"/>
  <c r="R1035" i="13"/>
  <c r="F1047" i="13"/>
  <c r="R1047" i="13"/>
  <c r="F1095" i="13"/>
  <c r="R1095" i="13"/>
  <c r="F1097" i="13"/>
  <c r="R1097" i="13"/>
  <c r="F1043" i="13"/>
  <c r="R1043" i="13"/>
  <c r="F1054" i="13"/>
  <c r="R1054" i="13"/>
  <c r="F1022" i="13"/>
  <c r="R1022" i="13"/>
  <c r="F1020" i="13"/>
  <c r="R1020" i="13"/>
  <c r="F1104" i="13"/>
  <c r="R1104" i="13"/>
  <c r="F1217" i="13"/>
  <c r="R1217" i="13"/>
  <c r="F1108" i="13"/>
  <c r="R1108" i="13"/>
  <c r="F1192" i="13"/>
  <c r="R1192" i="13"/>
  <c r="F1143" i="13"/>
  <c r="R1143" i="13"/>
  <c r="F1223" i="13"/>
  <c r="R1223" i="13"/>
  <c r="F1194" i="13"/>
  <c r="R1194" i="13"/>
  <c r="F1226" i="13"/>
  <c r="R1226" i="13"/>
  <c r="F1198" i="13"/>
  <c r="R1198" i="13"/>
  <c r="F1003" i="13"/>
  <c r="R1003" i="13"/>
  <c r="F1053" i="13"/>
  <c r="R1053" i="13"/>
  <c r="F1131" i="13"/>
  <c r="R1131" i="13"/>
  <c r="F1034" i="13"/>
  <c r="R1034" i="13"/>
  <c r="F1126" i="13"/>
  <c r="R1126" i="13"/>
  <c r="F1173" i="13"/>
  <c r="R1173" i="13"/>
  <c r="F1152" i="13"/>
  <c r="R1152" i="13"/>
  <c r="F1072" i="13"/>
  <c r="R1072" i="13"/>
  <c r="F1231" i="13"/>
  <c r="R1231" i="13"/>
  <c r="F1037" i="13"/>
  <c r="R1037" i="13"/>
  <c r="F1088" i="13"/>
  <c r="R1088" i="13"/>
  <c r="F1105" i="13"/>
  <c r="R1105" i="13"/>
  <c r="F1181" i="13"/>
  <c r="R1181" i="13"/>
  <c r="F1078" i="13"/>
  <c r="R1078" i="13"/>
  <c r="F1155" i="13"/>
  <c r="R1155" i="13"/>
  <c r="F1219" i="13"/>
  <c r="R1219" i="13"/>
  <c r="F1186" i="13"/>
  <c r="R1186" i="13"/>
  <c r="F1229" i="13"/>
  <c r="R1229" i="13"/>
  <c r="F1146" i="13"/>
  <c r="R1146" i="13"/>
  <c r="F999" i="13"/>
  <c r="R999" i="13"/>
  <c r="F1026" i="13"/>
  <c r="R1026" i="13"/>
  <c r="F1135" i="13"/>
  <c r="R1135" i="13"/>
  <c r="F1172" i="13"/>
  <c r="R1172" i="13"/>
  <c r="F1116" i="13"/>
  <c r="R1116" i="13"/>
  <c r="F1185" i="13"/>
  <c r="R1185" i="13"/>
  <c r="F1148" i="13"/>
  <c r="R1148" i="13"/>
  <c r="F1065" i="13"/>
  <c r="R1065" i="13"/>
  <c r="F1171" i="13"/>
  <c r="R1171" i="13"/>
  <c r="E751" i="13"/>
  <c r="Q751" i="13"/>
  <c r="E900" i="13"/>
  <c r="Q900" i="13"/>
  <c r="E857" i="13"/>
  <c r="Q857" i="13"/>
  <c r="E985" i="13"/>
  <c r="Q985" i="13"/>
  <c r="E808" i="13"/>
  <c r="Q808" i="13"/>
  <c r="E924" i="13"/>
  <c r="Q924" i="13"/>
  <c r="E896" i="13"/>
  <c r="Q896" i="13"/>
  <c r="E752" i="13"/>
  <c r="Q752" i="13"/>
  <c r="E885" i="13"/>
  <c r="Q885" i="13"/>
  <c r="E906" i="13"/>
  <c r="Q906" i="13"/>
  <c r="E798" i="13"/>
  <c r="Q798" i="13"/>
  <c r="E889" i="13"/>
  <c r="Q889" i="13"/>
  <c r="E979" i="13"/>
  <c r="Q979" i="13"/>
  <c r="E941" i="13"/>
  <c r="Q941" i="13"/>
  <c r="E902" i="13"/>
  <c r="Q902" i="13"/>
  <c r="E921" i="13"/>
  <c r="Q921" i="13"/>
  <c r="E957" i="13"/>
  <c r="Q957" i="13"/>
  <c r="E855" i="13"/>
  <c r="Q855" i="13"/>
  <c r="E788" i="13"/>
  <c r="Q788" i="13"/>
  <c r="E869" i="13"/>
  <c r="Q869" i="13"/>
  <c r="E980" i="13"/>
  <c r="Q980" i="13"/>
  <c r="E866" i="13"/>
  <c r="Q866" i="13"/>
  <c r="E903" i="13"/>
  <c r="Q903" i="13"/>
  <c r="E938" i="13"/>
  <c r="Q938" i="13"/>
  <c r="E757" i="13"/>
  <c r="Q757" i="13"/>
  <c r="E853" i="13"/>
  <c r="Q853" i="13"/>
  <c r="E829" i="13"/>
  <c r="Q829" i="13"/>
  <c r="E959" i="13"/>
  <c r="Q959" i="13"/>
  <c r="E964" i="13"/>
  <c r="Q964" i="13"/>
  <c r="E770" i="13"/>
  <c r="Q770" i="13"/>
  <c r="E848" i="13"/>
  <c r="Q848" i="13"/>
  <c r="E934" i="13"/>
  <c r="Q934" i="13"/>
  <c r="E872" i="13"/>
  <c r="Q872" i="13"/>
  <c r="E801" i="13"/>
  <c r="Q801" i="13"/>
  <c r="E822" i="13"/>
  <c r="Q822" i="13"/>
  <c r="E863" i="13"/>
  <c r="Q863" i="13"/>
  <c r="E830" i="13"/>
  <c r="Q830" i="13"/>
  <c r="E948" i="13"/>
  <c r="Q948" i="13"/>
  <c r="E910" i="13"/>
  <c r="Q910" i="13"/>
  <c r="E813" i="13"/>
  <c r="Q813" i="13"/>
  <c r="E854" i="13"/>
  <c r="Q854" i="13"/>
  <c r="E766" i="13"/>
  <c r="Q766" i="13"/>
  <c r="E916" i="13"/>
  <c r="Q916" i="13"/>
  <c r="E861" i="13"/>
  <c r="Q861" i="13"/>
  <c r="E755" i="13"/>
  <c r="Q755" i="13"/>
  <c r="E891" i="13"/>
  <c r="Q891" i="13"/>
  <c r="E943" i="13"/>
  <c r="Q943" i="13"/>
  <c r="E933" i="13"/>
  <c r="Q933" i="13"/>
  <c r="E774" i="13"/>
  <c r="Q774" i="13"/>
  <c r="E828" i="13"/>
  <c r="Q828" i="13"/>
  <c r="E928" i="13"/>
  <c r="Q928" i="13"/>
  <c r="E775" i="13"/>
  <c r="Q775" i="13"/>
  <c r="E879" i="13"/>
  <c r="Q879" i="13"/>
  <c r="E931" i="13"/>
  <c r="Q931" i="13"/>
  <c r="E825" i="13"/>
  <c r="Q825" i="13"/>
  <c r="E905" i="13"/>
  <c r="Q905" i="13"/>
  <c r="E809" i="13"/>
  <c r="Q809" i="13"/>
  <c r="E847" i="13"/>
  <c r="Q847" i="13"/>
  <c r="E895" i="13"/>
  <c r="Q895" i="13"/>
  <c r="E878" i="13"/>
  <c r="Q878" i="13"/>
  <c r="E2397" i="13"/>
  <c r="Q2397" i="13"/>
  <c r="E2465" i="13"/>
  <c r="Q2465" i="13"/>
  <c r="E2242" i="13"/>
  <c r="Q2242" i="13"/>
  <c r="E2269" i="13"/>
  <c r="Q2269" i="13"/>
  <c r="E2414" i="13"/>
  <c r="Q2414" i="13"/>
  <c r="E2434" i="13"/>
  <c r="Q2434" i="13"/>
  <c r="E2393" i="13"/>
  <c r="Q2393" i="13"/>
  <c r="E2368" i="13"/>
  <c r="Q2368" i="13"/>
  <c r="E2404" i="13"/>
  <c r="Q2404" i="13"/>
  <c r="E2433" i="13"/>
  <c r="Q2433" i="13"/>
  <c r="E2472" i="13"/>
  <c r="Q2472" i="13"/>
  <c r="E2448" i="13"/>
  <c r="Q2448" i="13"/>
  <c r="E2455" i="13"/>
  <c r="Q2455" i="13"/>
  <c r="E2425" i="13"/>
  <c r="Q2425" i="13"/>
  <c r="E2470" i="13"/>
  <c r="Q2470" i="13"/>
  <c r="E2335" i="13"/>
  <c r="Q2335" i="13"/>
  <c r="E2451" i="13"/>
  <c r="Q2451" i="13"/>
  <c r="E2446" i="13"/>
  <c r="Q2446" i="13"/>
  <c r="E2466" i="13"/>
  <c r="Q2466" i="13"/>
  <c r="E2325" i="13"/>
  <c r="Q2325" i="13"/>
  <c r="E2243" i="13"/>
  <c r="Q2243" i="13"/>
  <c r="E2362" i="13"/>
  <c r="Q2362" i="13"/>
  <c r="E2411" i="13"/>
  <c r="Q2411" i="13"/>
  <c r="E2398" i="13"/>
  <c r="Q2398" i="13"/>
  <c r="E2373" i="13"/>
  <c r="Q2373" i="13"/>
  <c r="E2290" i="13"/>
  <c r="Q2290" i="13"/>
  <c r="E2407" i="13"/>
  <c r="Q2407" i="13"/>
  <c r="E2378" i="13"/>
  <c r="Q2378" i="13"/>
  <c r="E2369" i="13"/>
  <c r="Q2369" i="13"/>
  <c r="E2424" i="13"/>
  <c r="Q2424" i="13"/>
  <c r="E2417" i="13"/>
  <c r="Q2417" i="13"/>
  <c r="E2374" i="13"/>
  <c r="Q2374" i="13"/>
  <c r="E2426" i="13"/>
  <c r="Q2426" i="13"/>
  <c r="E2416" i="13"/>
  <c r="Q2416" i="13"/>
  <c r="E2429" i="13"/>
  <c r="Q2429" i="13"/>
  <c r="E2410" i="13"/>
  <c r="Q2410" i="13"/>
  <c r="E2276" i="13"/>
  <c r="Q2276" i="13"/>
  <c r="E2317" i="13"/>
  <c r="Q2317" i="13"/>
  <c r="E2345" i="13"/>
  <c r="Q2345" i="13"/>
  <c r="E2356" i="13"/>
  <c r="Q2356" i="13"/>
  <c r="E2427" i="13"/>
  <c r="Q2427" i="13"/>
  <c r="E2301" i="13"/>
  <c r="Q2301" i="13"/>
  <c r="E2313" i="13"/>
  <c r="Q2313" i="13"/>
  <c r="E2352" i="13"/>
  <c r="Q2352" i="13"/>
  <c r="E2387" i="13"/>
  <c r="Q2387" i="13"/>
  <c r="E2349" i="13"/>
  <c r="Q2349" i="13"/>
  <c r="E2297" i="13"/>
  <c r="Q2297" i="13"/>
  <c r="E2332" i="13"/>
  <c r="Q2332" i="13"/>
  <c r="E2383" i="13"/>
  <c r="Q2383" i="13"/>
  <c r="E2305" i="13"/>
  <c r="Q2305" i="13"/>
  <c r="E2441" i="13"/>
  <c r="Q2441" i="13"/>
  <c r="E2247" i="13"/>
  <c r="Q2247" i="13"/>
  <c r="E2259" i="13"/>
  <c r="Q2259" i="13"/>
  <c r="E2303" i="13"/>
  <c r="Q2303" i="13"/>
  <c r="E2310" i="13"/>
  <c r="Q2310" i="13"/>
  <c r="E2244" i="13"/>
  <c r="Q2244" i="13"/>
  <c r="E2278" i="13"/>
  <c r="Q2278" i="13"/>
  <c r="E2279" i="13"/>
  <c r="Q2279" i="13"/>
  <c r="E2306" i="13"/>
  <c r="Q2306" i="13"/>
  <c r="E2312" i="13"/>
  <c r="Q2312" i="13"/>
  <c r="I545" i="13"/>
  <c r="U545" i="13"/>
  <c r="I693" i="13"/>
  <c r="U693" i="13"/>
  <c r="I555" i="13"/>
  <c r="U555" i="13"/>
  <c r="I636" i="13"/>
  <c r="U636" i="13"/>
  <c r="I702" i="13"/>
  <c r="U702" i="13"/>
  <c r="I609" i="13"/>
  <c r="U609" i="13"/>
  <c r="I654" i="13"/>
  <c r="U654" i="13"/>
  <c r="I623" i="13"/>
  <c r="U623" i="13"/>
  <c r="I652" i="13"/>
  <c r="U652" i="13"/>
  <c r="I525" i="13"/>
  <c r="U525" i="13"/>
  <c r="I712" i="13"/>
  <c r="U712" i="13"/>
  <c r="I725" i="13"/>
  <c r="U725" i="13"/>
  <c r="I534" i="13"/>
  <c r="U534" i="13"/>
  <c r="I668" i="13"/>
  <c r="U668" i="13"/>
  <c r="I518" i="13"/>
  <c r="U518" i="13"/>
  <c r="I542" i="13"/>
  <c r="U542" i="13"/>
  <c r="I565" i="13"/>
  <c r="U565" i="13"/>
  <c r="I690" i="13"/>
  <c r="U690" i="13"/>
  <c r="I736" i="13"/>
  <c r="U736" i="13"/>
  <c r="I669" i="13"/>
  <c r="U669" i="13"/>
  <c r="I582" i="13"/>
  <c r="U582" i="13"/>
  <c r="I704" i="13"/>
  <c r="U704" i="13"/>
  <c r="I627" i="13"/>
  <c r="U627" i="13"/>
  <c r="I553" i="13"/>
  <c r="U553" i="13"/>
  <c r="I588" i="13"/>
  <c r="U588" i="13"/>
  <c r="I600" i="13"/>
  <c r="U600" i="13"/>
  <c r="I672" i="13"/>
  <c r="U672" i="13"/>
  <c r="I698" i="13"/>
  <c r="U698" i="13"/>
  <c r="I742" i="13"/>
  <c r="U742" i="13"/>
  <c r="I541" i="13"/>
  <c r="U541" i="13"/>
  <c r="I686" i="13"/>
  <c r="U686" i="13"/>
  <c r="I633" i="13"/>
  <c r="U633" i="13"/>
  <c r="I583" i="13"/>
  <c r="U583" i="13"/>
  <c r="I519" i="13"/>
  <c r="U519" i="13"/>
  <c r="I517" i="13"/>
  <c r="U517" i="13"/>
  <c r="I650" i="13"/>
  <c r="U650" i="13"/>
  <c r="I594" i="13"/>
  <c r="U594" i="13"/>
  <c r="I626" i="13"/>
  <c r="U626" i="13"/>
  <c r="I646" i="13"/>
  <c r="U646" i="13"/>
  <c r="I717" i="13"/>
  <c r="U717" i="13"/>
  <c r="I657" i="13"/>
  <c r="U657" i="13"/>
  <c r="I719" i="13"/>
  <c r="U719" i="13"/>
  <c r="I557" i="13"/>
  <c r="U557" i="13"/>
  <c r="I614" i="13"/>
  <c r="U614" i="13"/>
  <c r="I667" i="13"/>
  <c r="U667" i="13"/>
  <c r="I718" i="13"/>
  <c r="U718" i="13"/>
  <c r="I531" i="13"/>
  <c r="U531" i="13"/>
  <c r="I554" i="13"/>
  <c r="U554" i="13"/>
  <c r="I507" i="13"/>
  <c r="U507" i="13"/>
  <c r="I579" i="13"/>
  <c r="U579" i="13"/>
  <c r="I561" i="13"/>
  <c r="U561" i="13"/>
  <c r="I678" i="13"/>
  <c r="U678" i="13"/>
  <c r="I653" i="13"/>
  <c r="U653" i="13"/>
  <c r="I543" i="13"/>
  <c r="U543" i="13"/>
  <c r="I577" i="13"/>
  <c r="U577" i="13"/>
  <c r="I568" i="13"/>
  <c r="U568" i="13"/>
  <c r="I509" i="13"/>
  <c r="U509" i="13"/>
  <c r="I735" i="13"/>
  <c r="U735" i="13"/>
  <c r="I637" i="13"/>
  <c r="U637" i="13"/>
  <c r="I663" i="13"/>
  <c r="U663" i="13"/>
  <c r="I551" i="13"/>
  <c r="U551" i="13"/>
  <c r="F749" i="13"/>
  <c r="G1245" i="13"/>
  <c r="F1493" i="13"/>
  <c r="I1493" i="13"/>
  <c r="E997" i="13"/>
  <c r="AB48" i="13" l="1"/>
  <c r="J913" i="13"/>
  <c r="V1825" i="13"/>
  <c r="A1825" i="13" s="1"/>
  <c r="J597" i="13"/>
  <c r="J875" i="13"/>
  <c r="J1114" i="13"/>
  <c r="J1333" i="13"/>
  <c r="J1235" i="13"/>
  <c r="J2092" i="13"/>
  <c r="J696" i="13"/>
  <c r="J2048" i="13"/>
  <c r="V733" i="13"/>
  <c r="A733" i="13" s="1"/>
  <c r="V597" i="13"/>
  <c r="A597" i="13" s="1"/>
  <c r="V2092" i="13"/>
  <c r="A2092" i="13" s="1"/>
  <c r="J1073" i="13"/>
  <c r="V2395" i="13"/>
  <c r="A2395" i="13" s="1"/>
  <c r="V913" i="13"/>
  <c r="A913" i="13" s="1"/>
  <c r="V2048" i="13"/>
  <c r="A2048" i="13" s="1"/>
  <c r="V731" i="13"/>
  <c r="A731" i="13" s="1"/>
  <c r="J1711" i="13"/>
  <c r="J573" i="13"/>
  <c r="J2510" i="13"/>
  <c r="J731" i="13"/>
  <c r="J738" i="13"/>
  <c r="J733" i="13"/>
  <c r="J2720" i="13"/>
  <c r="J2644" i="13"/>
  <c r="J2566" i="13"/>
  <c r="J1588" i="13"/>
  <c r="J1460" i="13"/>
  <c r="V1235" i="13"/>
  <c r="A1235" i="13" s="1"/>
  <c r="V807" i="13"/>
  <c r="A807" i="13" s="1"/>
  <c r="V1588" i="13"/>
  <c r="A1588" i="13" s="1"/>
  <c r="V1885" i="13"/>
  <c r="A1885" i="13" s="1"/>
  <c r="V759" i="13"/>
  <c r="A759" i="13" s="1"/>
  <c r="V858" i="13"/>
  <c r="A858" i="13" s="1"/>
  <c r="J2708" i="13"/>
  <c r="J2679" i="13"/>
  <c r="I101" i="10"/>
  <c r="G100" i="10"/>
  <c r="I100" i="10" s="1"/>
  <c r="J2204" i="13"/>
  <c r="J2618" i="13"/>
  <c r="J1195" i="13"/>
  <c r="J1525" i="13"/>
  <c r="J728" i="13"/>
  <c r="J1558" i="13"/>
  <c r="J2417" i="13"/>
  <c r="J570" i="13"/>
  <c r="J2619" i="13"/>
  <c r="J2532" i="13"/>
  <c r="J2549" i="13"/>
  <c r="J2149" i="13"/>
  <c r="J1341" i="13"/>
  <c r="J2604" i="13"/>
  <c r="J2724" i="13"/>
  <c r="J2487" i="13"/>
  <c r="J2539" i="13"/>
  <c r="J2569" i="13"/>
  <c r="J2587" i="13"/>
  <c r="J2594" i="13"/>
  <c r="J2666" i="13"/>
  <c r="J2673" i="13"/>
  <c r="J1707" i="13"/>
  <c r="J1515" i="13"/>
  <c r="J2139" i="13"/>
  <c r="J969" i="13"/>
  <c r="J1449" i="13"/>
  <c r="J1459" i="13"/>
  <c r="J1456" i="13"/>
  <c r="J1037" i="13"/>
  <c r="J1094" i="13"/>
  <c r="J615" i="13"/>
  <c r="J730" i="13"/>
  <c r="J770" i="13"/>
  <c r="J866" i="13"/>
  <c r="J2393" i="13"/>
  <c r="J593" i="13"/>
  <c r="J1291" i="13"/>
  <c r="J1424" i="13"/>
  <c r="J1103" i="13"/>
  <c r="J1675" i="13"/>
  <c r="J1427" i="13"/>
  <c r="J556" i="13"/>
  <c r="J1009" i="13"/>
  <c r="J807" i="13"/>
  <c r="J2041" i="13"/>
  <c r="J2223" i="13"/>
  <c r="J1271" i="13"/>
  <c r="J1873" i="13"/>
  <c r="J759" i="13"/>
  <c r="J2123" i="13"/>
  <c r="J771" i="13"/>
  <c r="J966" i="13"/>
  <c r="J1302" i="13"/>
  <c r="J1885" i="13"/>
  <c r="J1367" i="13"/>
  <c r="J1435" i="13"/>
  <c r="J2163" i="13"/>
  <c r="J2617" i="13"/>
  <c r="J2561" i="13"/>
  <c r="J1039" i="13"/>
  <c r="J1138" i="13"/>
  <c r="J1113" i="13"/>
  <c r="J1149" i="13"/>
  <c r="J2501" i="13"/>
  <c r="J1681" i="13"/>
  <c r="J1299" i="13"/>
  <c r="J2592" i="13"/>
  <c r="J1283" i="13"/>
  <c r="J1411" i="13"/>
  <c r="J1264" i="13"/>
  <c r="J1100" i="13"/>
  <c r="J505" i="13"/>
  <c r="J580" i="13"/>
  <c r="J1663" i="13"/>
  <c r="J1646" i="13"/>
  <c r="J1463" i="13"/>
  <c r="J1110" i="13"/>
  <c r="J858" i="13"/>
  <c r="J636" i="13"/>
  <c r="J2433" i="13"/>
  <c r="J1695" i="13"/>
  <c r="J1500" i="13"/>
  <c r="J1503" i="13"/>
  <c r="J861" i="13"/>
  <c r="J813" i="13"/>
  <c r="J869" i="13"/>
  <c r="J924" i="13"/>
  <c r="J1200" i="13"/>
  <c r="J1169" i="13"/>
  <c r="J1067" i="13"/>
  <c r="J708" i="13"/>
  <c r="J640" i="13"/>
  <c r="J1033" i="13"/>
  <c r="J1236" i="13"/>
  <c r="J1046" i="13"/>
  <c r="J823" i="13"/>
  <c r="J1182" i="13"/>
  <c r="J895" i="13"/>
  <c r="J757" i="13"/>
  <c r="J896" i="13"/>
  <c r="J1088" i="13"/>
  <c r="J1201" i="13"/>
  <c r="J1165" i="13"/>
  <c r="J2085" i="13"/>
  <c r="J1712" i="13"/>
  <c r="J1649" i="13"/>
  <c r="J870" i="13"/>
  <c r="J2325" i="13"/>
  <c r="J591" i="13"/>
  <c r="J926" i="13"/>
  <c r="J1396" i="13"/>
  <c r="J1280" i="13"/>
  <c r="J1433" i="13"/>
  <c r="J1350" i="13"/>
  <c r="J1261" i="13"/>
  <c r="J1478" i="13"/>
  <c r="J1212" i="13"/>
  <c r="J689" i="13"/>
  <c r="J681" i="13"/>
  <c r="V1790" i="13"/>
  <c r="A1790" i="13" s="1"/>
  <c r="V1917" i="13"/>
  <c r="A1917" i="13" s="1"/>
  <c r="J2500" i="13"/>
  <c r="J2491" i="13"/>
  <c r="J1183" i="13"/>
  <c r="J1788" i="13"/>
  <c r="J1945" i="13"/>
  <c r="J1821" i="13"/>
  <c r="J1863" i="13"/>
  <c r="J2116" i="13"/>
  <c r="J1428" i="13"/>
  <c r="J1297" i="13"/>
  <c r="J1621" i="13"/>
  <c r="J2323" i="13"/>
  <c r="J2402" i="13"/>
  <c r="J2268" i="13"/>
  <c r="J2240" i="13"/>
  <c r="J954" i="13"/>
  <c r="J837" i="13"/>
  <c r="J962" i="13"/>
  <c r="J977" i="13"/>
  <c r="J975" i="13"/>
  <c r="J893" i="13"/>
  <c r="J1137" i="13"/>
  <c r="J1091" i="13"/>
  <c r="J1064" i="13"/>
  <c r="J1157" i="13"/>
  <c r="J1211" i="13"/>
  <c r="J562" i="13"/>
  <c r="J655" i="13"/>
  <c r="J621" i="13"/>
  <c r="J1552" i="13"/>
  <c r="J1728" i="13"/>
  <c r="J1593" i="13"/>
  <c r="J2198" i="13"/>
  <c r="J2168" i="13"/>
  <c r="J2122" i="13"/>
  <c r="J2058" i="13"/>
  <c r="J2141" i="13"/>
  <c r="J785" i="13"/>
  <c r="J912" i="13"/>
  <c r="J940" i="13"/>
  <c r="J1407" i="13"/>
  <c r="J1439" i="13"/>
  <c r="J1388" i="13"/>
  <c r="J1481" i="13"/>
  <c r="J1021" i="13"/>
  <c r="J1156" i="13"/>
  <c r="J1774" i="13"/>
  <c r="J1888" i="13"/>
  <c r="J1555" i="13"/>
  <c r="J1339" i="13"/>
  <c r="J1316" i="13"/>
  <c r="J1441" i="13"/>
  <c r="J1307" i="13"/>
  <c r="J564" i="13"/>
  <c r="J1726" i="13"/>
  <c r="J1723" i="13"/>
  <c r="J2403" i="13"/>
  <c r="J2380" i="13"/>
  <c r="J2251" i="13"/>
  <c r="J2265" i="13"/>
  <c r="J2042" i="13"/>
  <c r="J2140" i="13"/>
  <c r="J1413" i="13"/>
  <c r="J1326" i="13"/>
  <c r="J1624" i="13"/>
  <c r="J1567" i="13"/>
  <c r="J2106" i="13"/>
  <c r="J2117" i="13"/>
  <c r="J1369" i="13"/>
  <c r="J1955" i="13"/>
  <c r="J1911" i="13"/>
  <c r="J529" i="13"/>
  <c r="J1607" i="13"/>
  <c r="J613" i="13"/>
  <c r="J1000" i="13"/>
  <c r="J1548" i="13"/>
  <c r="J849" i="13"/>
  <c r="J1344" i="13"/>
  <c r="J1375" i="13"/>
  <c r="J1417" i="13"/>
  <c r="J1890" i="13"/>
  <c r="J1627" i="13"/>
  <c r="J1374" i="13"/>
  <c r="J1686" i="13"/>
  <c r="J1141" i="13"/>
  <c r="J2693" i="13"/>
  <c r="J833" i="13"/>
  <c r="J787" i="13"/>
  <c r="J877" i="13"/>
  <c r="J792" i="13"/>
  <c r="J897" i="13"/>
  <c r="J1142" i="13"/>
  <c r="J863" i="13"/>
  <c r="J1229" i="13"/>
  <c r="J1173" i="13"/>
  <c r="J1068" i="13"/>
  <c r="J1090" i="13"/>
  <c r="J859" i="13"/>
  <c r="J836" i="13"/>
  <c r="J908" i="13"/>
  <c r="J1188" i="13"/>
  <c r="J1015" i="13"/>
  <c r="J1087" i="13"/>
  <c r="J797" i="13"/>
  <c r="J799" i="13"/>
  <c r="J986" i="13"/>
  <c r="J1018" i="13"/>
  <c r="J1210" i="13"/>
  <c r="J1125" i="13"/>
  <c r="J1151" i="13"/>
  <c r="J1207" i="13"/>
  <c r="J772" i="13"/>
  <c r="J1051" i="13"/>
  <c r="J2459" i="13"/>
  <c r="J2603" i="13"/>
  <c r="J2628" i="13"/>
  <c r="J2658" i="13"/>
  <c r="J2496" i="13"/>
  <c r="J2676" i="13"/>
  <c r="J2678" i="13"/>
  <c r="J2544" i="13"/>
  <c r="J2530" i="13"/>
  <c r="J2689" i="13"/>
  <c r="J2627" i="13"/>
  <c r="J2242" i="13"/>
  <c r="J2438" i="13"/>
  <c r="J2406" i="13"/>
  <c r="J2460" i="13"/>
  <c r="J2263" i="13"/>
  <c r="J2581" i="13"/>
  <c r="J2659" i="13"/>
  <c r="J2553" i="13"/>
  <c r="J2489" i="13"/>
  <c r="J2540" i="13"/>
  <c r="J2378" i="13"/>
  <c r="J2442" i="13"/>
  <c r="J2396" i="13"/>
  <c r="J2288" i="13"/>
  <c r="J2715" i="13"/>
  <c r="J2579" i="13"/>
  <c r="J2701" i="13"/>
  <c r="J2507" i="13"/>
  <c r="J2069" i="13"/>
  <c r="V738" i="13"/>
  <c r="A738" i="13" s="1"/>
  <c r="J1959" i="13"/>
  <c r="J2137" i="13"/>
  <c r="J1930" i="13"/>
  <c r="J2114" i="13"/>
  <c r="J2151" i="13"/>
  <c r="J1799" i="13"/>
  <c r="J1971" i="13"/>
  <c r="J1825" i="13"/>
  <c r="J2177" i="13"/>
  <c r="J1977" i="13"/>
  <c r="J1910" i="13"/>
  <c r="J1756" i="13"/>
  <c r="J2098" i="13"/>
  <c r="J1935" i="13"/>
  <c r="J1894" i="13"/>
  <c r="J1755" i="13"/>
  <c r="J2104" i="13"/>
  <c r="J2205" i="13"/>
  <c r="J1901" i="13"/>
  <c r="J1844" i="13"/>
  <c r="J2022" i="13"/>
  <c r="J2002" i="13"/>
  <c r="J1951" i="13"/>
  <c r="J1954" i="13"/>
  <c r="J1891" i="13"/>
  <c r="J1768" i="13"/>
  <c r="J1791" i="13"/>
  <c r="J1967" i="13"/>
  <c r="J1909" i="13"/>
  <c r="J2197" i="13"/>
  <c r="J1995" i="13"/>
  <c r="J2178" i="13"/>
  <c r="J988" i="13"/>
  <c r="J1338" i="13"/>
  <c r="J2663" i="13"/>
  <c r="J2488" i="13"/>
  <c r="J1950" i="13"/>
  <c r="J1311" i="13"/>
  <c r="J1134" i="13"/>
  <c r="J1850" i="13"/>
  <c r="J1846" i="13"/>
  <c r="J1797" i="13"/>
  <c r="J1471" i="13"/>
  <c r="J1942" i="13"/>
  <c r="J2682" i="13"/>
  <c r="J2492" i="13"/>
  <c r="J2499" i="13"/>
  <c r="J2635" i="13"/>
  <c r="J2512" i="13"/>
  <c r="J2598" i="13"/>
  <c r="J2633" i="13"/>
  <c r="J2665" i="13"/>
  <c r="J2695" i="13"/>
  <c r="J2547" i="13"/>
  <c r="J2727" i="13"/>
  <c r="J2680" i="13"/>
  <c r="J2642" i="13"/>
  <c r="V2551" i="13"/>
  <c r="A2551" i="13" s="1"/>
  <c r="J2187" i="13"/>
  <c r="J2157" i="13"/>
  <c r="J2643" i="13"/>
  <c r="J2639" i="13"/>
  <c r="J2542" i="13"/>
  <c r="J2671" i="13"/>
  <c r="J2703" i="13"/>
  <c r="J2558" i="13"/>
  <c r="J2523" i="13"/>
  <c r="J2526" i="13"/>
  <c r="J2529" i="13"/>
  <c r="J1996" i="13"/>
  <c r="J2217" i="13"/>
  <c r="J2662" i="13"/>
  <c r="J2677" i="13"/>
  <c r="J2551" i="13"/>
  <c r="J2638" i="13"/>
  <c r="J2694" i="13"/>
  <c r="J2649" i="13"/>
  <c r="J2586" i="13"/>
  <c r="J2513" i="13"/>
  <c r="J2674" i="13"/>
  <c r="J2527" i="13"/>
  <c r="J2395" i="13"/>
  <c r="J2407" i="13"/>
  <c r="J2212" i="13"/>
  <c r="J2194" i="13"/>
  <c r="J2150" i="13"/>
  <c r="J2016" i="13"/>
  <c r="J765" i="13"/>
  <c r="J784" i="13"/>
  <c r="J711" i="13"/>
  <c r="J1906" i="13"/>
  <c r="J1294" i="13"/>
  <c r="J1468" i="13"/>
  <c r="J2271" i="13"/>
  <c r="J2314" i="13"/>
  <c r="J2468" i="13"/>
  <c r="J1159" i="13"/>
  <c r="J1115" i="13"/>
  <c r="J1130" i="13"/>
  <c r="J1196" i="13"/>
  <c r="J1139" i="13"/>
  <c r="J1187" i="13"/>
  <c r="J642" i="13"/>
  <c r="J1569" i="13"/>
  <c r="J1518" i="13"/>
  <c r="J1617" i="13"/>
  <c r="J984" i="13"/>
  <c r="J1278" i="13"/>
  <c r="J1315" i="13"/>
  <c r="J1465" i="13"/>
  <c r="J1005" i="13"/>
  <c r="J1767" i="13"/>
  <c r="J1783" i="13"/>
  <c r="J1919" i="13"/>
  <c r="J1582" i="13"/>
  <c r="J739" i="13"/>
  <c r="J2005" i="13"/>
  <c r="J2090" i="13"/>
  <c r="J2185" i="13"/>
  <c r="J953" i="13"/>
  <c r="J750" i="13"/>
  <c r="J1066" i="13"/>
  <c r="J1929" i="13"/>
  <c r="J1596" i="13"/>
  <c r="J2086" i="13"/>
  <c r="J2144" i="13"/>
  <c r="J665" i="13"/>
  <c r="J2225" i="13"/>
  <c r="J2447" i="13"/>
  <c r="J950" i="13"/>
  <c r="J904" i="13"/>
  <c r="J1001" i="13"/>
  <c r="J2136" i="13"/>
  <c r="J2224" i="13"/>
  <c r="J862" i="13"/>
  <c r="J874" i="13"/>
  <c r="J951" i="13"/>
  <c r="J917" i="13"/>
  <c r="J1504" i="13"/>
  <c r="J2409" i="13"/>
  <c r="J779" i="13"/>
  <c r="J811" i="13"/>
  <c r="J1334" i="13"/>
  <c r="J1044" i="13"/>
  <c r="J1002" i="13"/>
  <c r="J1150" i="13"/>
  <c r="J1847" i="13"/>
  <c r="J1690" i="13"/>
  <c r="J1248" i="13"/>
  <c r="J2452" i="13"/>
  <c r="J2331" i="13"/>
  <c r="J2277" i="13"/>
  <c r="J1556" i="13"/>
  <c r="J2359" i="13"/>
  <c r="J2279" i="13"/>
  <c r="J2398" i="13"/>
  <c r="J647" i="13"/>
  <c r="J706" i="13"/>
  <c r="J2411" i="13"/>
  <c r="J902" i="13"/>
  <c r="J845" i="13"/>
  <c r="J2006" i="13"/>
  <c r="J1903" i="13"/>
  <c r="J522" i="13"/>
  <c r="J925" i="13"/>
  <c r="J764" i="13"/>
  <c r="J886" i="13"/>
  <c r="J1486" i="13"/>
  <c r="J1177" i="13"/>
  <c r="J1519" i="13"/>
  <c r="J1574" i="13"/>
  <c r="J1687" i="13"/>
  <c r="J1570" i="13"/>
  <c r="J2372" i="13"/>
  <c r="J2304" i="13"/>
  <c r="J2463" i="13"/>
  <c r="J2270" i="13"/>
  <c r="J761" i="13"/>
  <c r="J1007" i="13"/>
  <c r="J2636" i="13"/>
  <c r="J2646" i="13"/>
  <c r="J2543" i="13"/>
  <c r="J2697" i="13"/>
  <c r="J2494" i="13"/>
  <c r="J2497" i="13"/>
  <c r="J2243" i="13"/>
  <c r="J550" i="13"/>
  <c r="J1664" i="13"/>
  <c r="J2258" i="13"/>
  <c r="J812" i="13"/>
  <c r="J1276" i="13"/>
  <c r="J1943" i="13"/>
  <c r="J721" i="13"/>
  <c r="J2381" i="13"/>
  <c r="J2420" i="13"/>
  <c r="J2272" i="13"/>
  <c r="J2160" i="13"/>
  <c r="J756" i="13"/>
  <c r="J1426" i="13"/>
  <c r="J1232" i="13"/>
  <c r="J2668" i="13"/>
  <c r="J2704" i="13"/>
  <c r="J1832" i="13"/>
  <c r="J2631" i="13"/>
  <c r="J2608" i="13"/>
  <c r="J2572" i="13"/>
  <c r="J2585" i="13"/>
  <c r="J2506" i="13"/>
  <c r="J2605" i="13"/>
  <c r="J2637" i="13"/>
  <c r="J2567" i="13"/>
  <c r="J2714" i="13"/>
  <c r="J2536" i="13"/>
  <c r="J2610" i="13"/>
  <c r="J2725" i="13"/>
  <c r="J2502" i="13"/>
  <c r="J2712" i="13"/>
  <c r="J2611" i="13"/>
  <c r="J2622" i="13"/>
  <c r="J2486" i="13"/>
  <c r="J2696" i="13"/>
  <c r="J2710" i="13"/>
  <c r="J2534" i="13"/>
  <c r="J2596" i="13"/>
  <c r="J2573" i="13"/>
  <c r="J2641" i="13"/>
  <c r="J2504" i="13"/>
  <c r="J2672" i="13"/>
  <c r="J2503" i="13"/>
  <c r="J2588" i="13"/>
  <c r="J2565" i="13"/>
  <c r="J2590" i="13"/>
  <c r="J2214" i="13"/>
  <c r="J2612" i="13"/>
  <c r="J2571" i="13"/>
  <c r="J2700" i="13"/>
  <c r="J2684" i="13"/>
  <c r="J2670" i="13"/>
  <c r="J2688" i="13"/>
  <c r="J2055" i="13"/>
  <c r="J1776" i="13"/>
  <c r="J1860" i="13"/>
  <c r="J1811" i="13"/>
  <c r="J2176" i="13"/>
  <c r="J2015" i="13"/>
  <c r="J1896" i="13"/>
  <c r="J1796" i="13"/>
  <c r="J1947" i="13"/>
  <c r="J1868" i="13"/>
  <c r="J1928" i="13"/>
  <c r="J1892" i="13"/>
  <c r="J1931" i="13"/>
  <c r="J1872" i="13"/>
  <c r="J1960" i="13"/>
  <c r="J2095" i="13"/>
  <c r="V2176" i="13"/>
  <c r="A2176" i="13" s="1"/>
  <c r="J1402" i="13"/>
  <c r="J501" i="13"/>
  <c r="J2179" i="13"/>
  <c r="J1990" i="13"/>
  <c r="J2154" i="13"/>
  <c r="J901" i="13"/>
  <c r="J922" i="13"/>
  <c r="J1259" i="13"/>
  <c r="J1445" i="13"/>
  <c r="J1124" i="13"/>
  <c r="J1062" i="13"/>
  <c r="J1790" i="13"/>
  <c r="J1917" i="13"/>
  <c r="J2508" i="13"/>
  <c r="J2625" i="13"/>
  <c r="J2580" i="13"/>
  <c r="J2538" i="13"/>
  <c r="J2595" i="13"/>
  <c r="J2537" i="13"/>
  <c r="J2563" i="13"/>
  <c r="J2519" i="13"/>
  <c r="J2505" i="13"/>
  <c r="V2297" i="13"/>
  <c r="A2297" i="13" s="1"/>
  <c r="V2313" i="13"/>
  <c r="A2313" i="13" s="1"/>
  <c r="V2427" i="13"/>
  <c r="A2427" i="13" s="1"/>
  <c r="V2429" i="13"/>
  <c r="A2429" i="13" s="1"/>
  <c r="J1190" i="13"/>
  <c r="V606" i="13"/>
  <c r="A606" i="13" s="1"/>
  <c r="J1136" i="13"/>
  <c r="J1370" i="13"/>
  <c r="J1772" i="13"/>
  <c r="J2074" i="13"/>
  <c r="J844" i="13"/>
  <c r="J882" i="13"/>
  <c r="J865" i="13"/>
  <c r="J1081" i="13"/>
  <c r="J2210" i="13"/>
  <c r="J1998" i="13"/>
  <c r="J1300" i="13"/>
  <c r="J1304" i="13"/>
  <c r="J1024" i="13"/>
  <c r="J1827" i="13"/>
  <c r="J1800" i="13"/>
  <c r="J1804" i="13"/>
  <c r="J1842" i="13"/>
  <c r="J1819" i="13"/>
  <c r="J2230" i="13"/>
  <c r="J1106" i="13"/>
  <c r="J1027" i="13"/>
  <c r="J1934" i="13"/>
  <c r="J2213" i="13"/>
  <c r="J2078" i="13"/>
  <c r="J2070" i="13"/>
  <c r="J1320" i="13"/>
  <c r="J1758" i="13"/>
  <c r="J1785" i="13"/>
  <c r="J1189" i="13"/>
  <c r="J2046" i="13"/>
  <c r="J776" i="13"/>
  <c r="J796" i="13"/>
  <c r="J1907" i="13"/>
  <c r="J2073" i="13"/>
  <c r="J2175" i="13"/>
  <c r="J1336" i="13"/>
  <c r="J1082" i="13"/>
  <c r="J2054" i="13"/>
  <c r="J518" i="13"/>
  <c r="V879" i="13"/>
  <c r="A879" i="13" s="1"/>
  <c r="V979" i="13"/>
  <c r="A979" i="13" s="1"/>
  <c r="V885" i="13"/>
  <c r="A885" i="13" s="1"/>
  <c r="J743" i="13"/>
  <c r="J2419" i="13"/>
  <c r="J2471" i="13"/>
  <c r="J2012" i="13"/>
  <c r="J2024" i="13"/>
  <c r="J2209" i="13"/>
  <c r="J2218" i="13"/>
  <c r="J2166" i="13"/>
  <c r="J2004" i="13"/>
  <c r="J839" i="13"/>
  <c r="J990" i="13"/>
  <c r="J1476" i="13"/>
  <c r="J1455" i="13"/>
  <c r="J2201" i="13"/>
  <c r="J2101" i="13"/>
  <c r="J2208" i="13"/>
  <c r="J867" i="13"/>
  <c r="V2211" i="13"/>
  <c r="A2211" i="13" s="1"/>
  <c r="V2006" i="13"/>
  <c r="A2006" i="13" s="1"/>
  <c r="V2071" i="13"/>
  <c r="A2071" i="13" s="1"/>
  <c r="J1989" i="13"/>
  <c r="V2273" i="13"/>
  <c r="A2273" i="13" s="1"/>
  <c r="V2422" i="13"/>
  <c r="A2422" i="13" s="1"/>
  <c r="V2289" i="13"/>
  <c r="A2289" i="13" s="1"/>
  <c r="V2266" i="13"/>
  <c r="A2266" i="13" s="1"/>
  <c r="V2400" i="13"/>
  <c r="A2400" i="13" s="1"/>
  <c r="V2336" i="13"/>
  <c r="A2336" i="13" s="1"/>
  <c r="V2316" i="13"/>
  <c r="A2316" i="13" s="1"/>
  <c r="V2320" i="13"/>
  <c r="A2320" i="13" s="1"/>
  <c r="V2342" i="13"/>
  <c r="A2342" i="13" s="1"/>
  <c r="V2330" i="13"/>
  <c r="A2330" i="13" s="1"/>
  <c r="V2311" i="13"/>
  <c r="A2311" i="13" s="1"/>
  <c r="V2450" i="13"/>
  <c r="A2450" i="13" s="1"/>
  <c r="V2432" i="13"/>
  <c r="A2432" i="13" s="1"/>
  <c r="V972" i="13"/>
  <c r="A972" i="13" s="1"/>
  <c r="V786" i="13"/>
  <c r="A786" i="13" s="1"/>
  <c r="V942" i="13"/>
  <c r="A942" i="13" s="1"/>
  <c r="V963" i="13"/>
  <c r="A963" i="13" s="1"/>
  <c r="V870" i="13"/>
  <c r="A870" i="13" s="1"/>
  <c r="V976" i="13"/>
  <c r="A976" i="13" s="1"/>
  <c r="V929" i="13"/>
  <c r="A929" i="13" s="1"/>
  <c r="V901" i="13"/>
  <c r="A901" i="13" s="1"/>
  <c r="V823" i="13"/>
  <c r="A823" i="13" s="1"/>
  <c r="V567" i="13"/>
  <c r="A567" i="13" s="1"/>
  <c r="V610" i="13"/>
  <c r="A610" i="13" s="1"/>
  <c r="V687" i="13"/>
  <c r="A687" i="13" s="1"/>
  <c r="V548" i="13"/>
  <c r="A548" i="13" s="1"/>
  <c r="V662" i="13"/>
  <c r="A662" i="13" s="1"/>
  <c r="V697" i="13"/>
  <c r="A697" i="13" s="1"/>
  <c r="V1902" i="13"/>
  <c r="A1902" i="13" s="1"/>
  <c r="V1914" i="13"/>
  <c r="A1914" i="13" s="1"/>
  <c r="V1843" i="13"/>
  <c r="A1843" i="13" s="1"/>
  <c r="V1900" i="13"/>
  <c r="A1900" i="13" s="1"/>
  <c r="V1851" i="13"/>
  <c r="A1851" i="13" s="1"/>
  <c r="V1775" i="13"/>
  <c r="A1775" i="13" s="1"/>
  <c r="V1771" i="13"/>
  <c r="A1771" i="13" s="1"/>
  <c r="V1957" i="13"/>
  <c r="A1957" i="13" s="1"/>
  <c r="V1859" i="13"/>
  <c r="A1859" i="13" s="1"/>
  <c r="V1523" i="13"/>
  <c r="A1523" i="13" s="1"/>
  <c r="V1690" i="13"/>
  <c r="A1690" i="13" s="1"/>
  <c r="V1562" i="13"/>
  <c r="A1562" i="13" s="1"/>
  <c r="V1681" i="13"/>
  <c r="A1681" i="13" s="1"/>
  <c r="V1524" i="13"/>
  <c r="A1524" i="13" s="1"/>
  <c r="V1685" i="13"/>
  <c r="A1685" i="13" s="1"/>
  <c r="V1528" i="13"/>
  <c r="A1528" i="13" s="1"/>
  <c r="V1590" i="13"/>
  <c r="A1590" i="13" s="1"/>
  <c r="V1045" i="13"/>
  <c r="A1045" i="13" s="1"/>
  <c r="V1150" i="13"/>
  <c r="A1150" i="13" s="1"/>
  <c r="V2370" i="13"/>
  <c r="A2370" i="13" s="1"/>
  <c r="V1836" i="13"/>
  <c r="A1836" i="13" s="1"/>
  <c r="V1776" i="13"/>
  <c r="A1776" i="13" s="1"/>
  <c r="V1959" i="13"/>
  <c r="A1959" i="13" s="1"/>
  <c r="V1864" i="13"/>
  <c r="A1864" i="13" s="1"/>
  <c r="V1972" i="13"/>
  <c r="A1972" i="13" s="1"/>
  <c r="V1926" i="13"/>
  <c r="A1926" i="13" s="1"/>
  <c r="V1829" i="13"/>
  <c r="A1829" i="13" s="1"/>
  <c r="V1002" i="13"/>
  <c r="A1002" i="13" s="1"/>
  <c r="V2149" i="13"/>
  <c r="A2149" i="13" s="1"/>
  <c r="J2582" i="13"/>
  <c r="J2711" i="13"/>
  <c r="J2535" i="13"/>
  <c r="V2312" i="13"/>
  <c r="A2312" i="13" s="1"/>
  <c r="J830" i="13"/>
  <c r="V1835" i="13"/>
  <c r="A1835" i="13" s="1"/>
  <c r="V1633" i="13"/>
  <c r="A1633" i="13" s="1"/>
  <c r="V1225" i="13"/>
  <c r="A1225" i="13" s="1"/>
  <c r="J1968" i="13"/>
  <c r="J587" i="13"/>
  <c r="J1208" i="13"/>
  <c r="V2501" i="13"/>
  <c r="A2501" i="13" s="1"/>
  <c r="V2486" i="13"/>
  <c r="A2486" i="13" s="1"/>
  <c r="J1314" i="13"/>
  <c r="J2597" i="13"/>
  <c r="J2485" i="13"/>
  <c r="V720" i="13"/>
  <c r="A720" i="13" s="1"/>
  <c r="J860" i="13"/>
  <c r="V619" i="13"/>
  <c r="A619" i="13" s="1"/>
  <c r="V634" i="13"/>
  <c r="A634" i="13" s="1"/>
  <c r="V1947" i="13"/>
  <c r="A1947" i="13" s="1"/>
  <c r="V1768" i="13"/>
  <c r="A1768" i="13" s="1"/>
  <c r="V1762" i="13"/>
  <c r="A1762" i="13" s="1"/>
  <c r="V1921" i="13"/>
  <c r="A1921" i="13" s="1"/>
  <c r="J2655" i="13"/>
  <c r="J2606" i="13"/>
  <c r="J2706" i="13"/>
  <c r="V2269" i="13"/>
  <c r="A2269" i="13" s="1"/>
  <c r="J2354" i="13"/>
  <c r="J775" i="13"/>
  <c r="J1102" i="13"/>
  <c r="J523" i="13"/>
  <c r="J2332" i="13"/>
  <c r="J1070" i="13"/>
  <c r="J2111" i="13"/>
  <c r="J2129" i="13"/>
  <c r="J1266" i="13"/>
  <c r="J1912" i="13"/>
  <c r="J2726" i="13"/>
  <c r="J2601" i="13"/>
  <c r="J2575" i="13"/>
  <c r="J2629" i="13"/>
  <c r="J2550" i="13"/>
  <c r="J2533" i="13"/>
  <c r="J2556" i="13"/>
  <c r="J1688" i="13"/>
  <c r="J1546" i="13"/>
  <c r="J825" i="13"/>
  <c r="J822" i="13"/>
  <c r="J1223" i="13"/>
  <c r="J676" i="13"/>
  <c r="J702" i="13"/>
  <c r="J820" i="13"/>
  <c r="J1752" i="13"/>
  <c r="J905" i="13"/>
  <c r="J828" i="13"/>
  <c r="J934" i="13"/>
  <c r="J938" i="13"/>
  <c r="J889" i="13"/>
  <c r="J985" i="13"/>
  <c r="J1198" i="13"/>
  <c r="J1129" i="13"/>
  <c r="J2188" i="13"/>
  <c r="J1938" i="13"/>
  <c r="J2186" i="13"/>
  <c r="J983" i="13"/>
  <c r="J1904" i="13"/>
  <c r="J2143" i="13"/>
  <c r="J802" i="13"/>
  <c r="J1765" i="13"/>
  <c r="J1792" i="13"/>
  <c r="V2279" i="13"/>
  <c r="A2279" i="13" s="1"/>
  <c r="V2244" i="13"/>
  <c r="A2244" i="13" s="1"/>
  <c r="V2303" i="13"/>
  <c r="A2303" i="13" s="1"/>
  <c r="V2349" i="13"/>
  <c r="A2349" i="13" s="1"/>
  <c r="V2352" i="13"/>
  <c r="A2352" i="13" s="1"/>
  <c r="V2317" i="13"/>
  <c r="A2317" i="13" s="1"/>
  <c r="V2410" i="13"/>
  <c r="A2410" i="13" s="1"/>
  <c r="V2416" i="13"/>
  <c r="A2416" i="13" s="1"/>
  <c r="V2378" i="13"/>
  <c r="A2378" i="13" s="1"/>
  <c r="V2290" i="13"/>
  <c r="A2290" i="13" s="1"/>
  <c r="V2398" i="13"/>
  <c r="A2398" i="13" s="1"/>
  <c r="V2325" i="13"/>
  <c r="A2325" i="13" s="1"/>
  <c r="V2446" i="13"/>
  <c r="A2446" i="13" s="1"/>
  <c r="V2425" i="13"/>
  <c r="A2425" i="13" s="1"/>
  <c r="V2448" i="13"/>
  <c r="A2448" i="13" s="1"/>
  <c r="V2433" i="13"/>
  <c r="A2433" i="13" s="1"/>
  <c r="V2368" i="13"/>
  <c r="A2368" i="13" s="1"/>
  <c r="V2434" i="13"/>
  <c r="A2434" i="13" s="1"/>
  <c r="J928" i="13"/>
  <c r="J903" i="13"/>
  <c r="V522" i="13"/>
  <c r="A522" i="13" s="1"/>
  <c r="V533" i="13"/>
  <c r="A533" i="13" s="1"/>
  <c r="V589" i="13"/>
  <c r="A589" i="13" s="1"/>
  <c r="V726" i="13"/>
  <c r="A726" i="13" s="1"/>
  <c r="V1980" i="13"/>
  <c r="A1980" i="13" s="1"/>
  <c r="V1891" i="13"/>
  <c r="A1891" i="13" s="1"/>
  <c r="V1965" i="13"/>
  <c r="A1965" i="13" s="1"/>
  <c r="V1754" i="13"/>
  <c r="A1754" i="13" s="1"/>
  <c r="V1789" i="13"/>
  <c r="A1789" i="13" s="1"/>
  <c r="V1868" i="13"/>
  <c r="A1868" i="13" s="1"/>
  <c r="V1791" i="13"/>
  <c r="A1791" i="13" s="1"/>
  <c r="V1967" i="13"/>
  <c r="A1967" i="13" s="1"/>
  <c r="V1925" i="13"/>
  <c r="A1925" i="13" s="1"/>
  <c r="V1759" i="13"/>
  <c r="A1759" i="13" s="1"/>
  <c r="V1909" i="13"/>
  <c r="A1909" i="13" s="1"/>
  <c r="V1839" i="13"/>
  <c r="A1839" i="13" s="1"/>
  <c r="V1534" i="13"/>
  <c r="A1534" i="13" s="1"/>
  <c r="V1574" i="13"/>
  <c r="A1574" i="13" s="1"/>
  <c r="V1668" i="13"/>
  <c r="A1668" i="13" s="1"/>
  <c r="V1730" i="13"/>
  <c r="A1730" i="13" s="1"/>
  <c r="V1656" i="13"/>
  <c r="A1656" i="13" s="1"/>
  <c r="V1503" i="13"/>
  <c r="A1503" i="13" s="1"/>
  <c r="V1687" i="13"/>
  <c r="A1687" i="13" s="1"/>
  <c r="V1570" i="13"/>
  <c r="A1570" i="13" s="1"/>
  <c r="V1614" i="13"/>
  <c r="A1614" i="13" s="1"/>
  <c r="V1578" i="13"/>
  <c r="A1578" i="13" s="1"/>
  <c r="V1600" i="13"/>
  <c r="A1600" i="13" s="1"/>
  <c r="V1650" i="13"/>
  <c r="A1650" i="13" s="1"/>
  <c r="V1212" i="13"/>
  <c r="A1212" i="13" s="1"/>
  <c r="V1215" i="13"/>
  <c r="A1215" i="13" s="1"/>
  <c r="V1195" i="13"/>
  <c r="A1195" i="13" s="1"/>
  <c r="V1052" i="13"/>
  <c r="A1052" i="13" s="1"/>
  <c r="V1007" i="13"/>
  <c r="A1007" i="13" s="1"/>
  <c r="V1221" i="13"/>
  <c r="A1221" i="13" s="1"/>
  <c r="V1220" i="13"/>
  <c r="A1220" i="13" s="1"/>
  <c r="J1069" i="13"/>
  <c r="J2237" i="13"/>
  <c r="V770" i="13"/>
  <c r="A770" i="13" s="1"/>
  <c r="J824" i="13"/>
  <c r="J1092" i="13"/>
  <c r="J1052" i="13"/>
  <c r="J1221" i="13"/>
  <c r="J1132" i="13"/>
  <c r="J1895" i="13"/>
  <c r="J1925" i="13"/>
  <c r="J1965" i="13"/>
  <c r="J1817" i="13"/>
  <c r="J1576" i="13"/>
  <c r="J1578" i="13"/>
  <c r="J1730" i="13"/>
  <c r="J1725" i="13"/>
  <c r="J1650" i="13"/>
  <c r="J1549" i="13"/>
  <c r="J2109" i="13"/>
  <c r="J2014" i="13"/>
  <c r="J2153" i="13"/>
  <c r="J2130" i="13"/>
  <c r="J1442" i="13"/>
  <c r="J1932" i="13"/>
  <c r="J645" i="13"/>
  <c r="J602" i="13"/>
  <c r="J531" i="13"/>
  <c r="J1499" i="13"/>
  <c r="J2410" i="13"/>
  <c r="J2368" i="13"/>
  <c r="J2394" i="13"/>
  <c r="J2172" i="13"/>
  <c r="J2477" i="13"/>
  <c r="J2241" i="13"/>
  <c r="J2294" i="13"/>
  <c r="J2371" i="13"/>
  <c r="J2329" i="13"/>
  <c r="J2353" i="13"/>
  <c r="J1122" i="13"/>
  <c r="J1160" i="13"/>
  <c r="J692" i="13"/>
  <c r="J1551" i="13"/>
  <c r="J1705" i="13"/>
  <c r="J1619" i="13"/>
  <c r="J2306" i="13"/>
  <c r="J2348" i="13"/>
  <c r="J2207" i="13"/>
  <c r="J2071" i="13"/>
  <c r="J2023" i="13"/>
  <c r="J809" i="13"/>
  <c r="J1355" i="13"/>
  <c r="J1877" i="13"/>
  <c r="J1250" i="13"/>
  <c r="J1535" i="13"/>
  <c r="J1704" i="13"/>
  <c r="J1501" i="13"/>
  <c r="J1557" i="13"/>
  <c r="J1506" i="13"/>
  <c r="J2255" i="13"/>
  <c r="J2423" i="13"/>
  <c r="J2334" i="13"/>
  <c r="J2345" i="13"/>
  <c r="J2422" i="13"/>
  <c r="J2300" i="13"/>
  <c r="J1993" i="13"/>
  <c r="J838" i="13"/>
  <c r="J1423" i="13"/>
  <c r="J1399" i="13"/>
  <c r="J1144" i="13"/>
  <c r="J1140" i="13"/>
  <c r="J1086" i="13"/>
  <c r="J1127" i="13"/>
  <c r="J1120" i="13"/>
  <c r="J1754" i="13"/>
  <c r="J1762" i="13"/>
  <c r="J1640" i="13"/>
  <c r="J1575" i="13"/>
  <c r="J1667" i="13"/>
  <c r="J2034" i="13"/>
  <c r="J2067" i="13"/>
  <c r="J2050" i="13"/>
  <c r="J1285" i="13"/>
  <c r="J1458" i="13"/>
  <c r="J1410" i="13"/>
  <c r="J1393" i="13"/>
  <c r="J1372" i="13"/>
  <c r="J1357" i="13"/>
  <c r="J1837" i="13"/>
  <c r="J1957" i="13"/>
  <c r="J502" i="13"/>
  <c r="J1606" i="13"/>
  <c r="J1727" i="13"/>
  <c r="J2340" i="13"/>
  <c r="J2020" i="13"/>
  <c r="J2351" i="13"/>
  <c r="J888" i="13"/>
  <c r="J684" i="13"/>
  <c r="J714" i="13"/>
  <c r="J1538" i="13"/>
  <c r="J1615" i="13"/>
  <c r="J2182" i="13"/>
  <c r="J915" i="13"/>
  <c r="J907" i="13"/>
  <c r="J1098" i="13"/>
  <c r="J1118" i="13"/>
  <c r="J1045" i="13"/>
  <c r="J1905" i="13"/>
  <c r="J1820" i="13"/>
  <c r="J1708" i="13"/>
  <c r="J1562" i="13"/>
  <c r="J1429" i="13"/>
  <c r="J1673" i="13"/>
  <c r="J2405" i="13"/>
  <c r="J2245" i="13"/>
  <c r="J2138" i="13"/>
  <c r="J2036" i="13"/>
  <c r="J2118" i="13"/>
  <c r="J1325" i="13"/>
  <c r="J1293" i="13"/>
  <c r="J1385" i="13"/>
  <c r="J1246" i="13"/>
  <c r="J1079" i="13"/>
  <c r="J1162" i="13"/>
  <c r="J1764" i="13"/>
  <c r="J1829" i="13"/>
  <c r="J1972" i="13"/>
  <c r="J1867" i="13"/>
  <c r="J1836" i="13"/>
  <c r="J1926" i="13"/>
  <c r="J1864" i="13"/>
  <c r="J1502" i="13"/>
  <c r="J1422" i="13"/>
  <c r="J1461" i="13"/>
  <c r="J1406" i="13"/>
  <c r="J1944" i="13"/>
  <c r="J930" i="13"/>
  <c r="J1097" i="13"/>
  <c r="J1992" i="13"/>
  <c r="J634" i="13"/>
  <c r="J539" i="13"/>
  <c r="J734" i="13"/>
  <c r="J1629" i="13"/>
  <c r="J2244" i="13"/>
  <c r="J2328" i="13"/>
  <c r="J2455" i="13"/>
  <c r="J749" i="13"/>
  <c r="J997" i="13"/>
  <c r="J616" i="13"/>
  <c r="J566" i="13"/>
  <c r="J2399" i="13"/>
  <c r="J2367" i="13"/>
  <c r="J2461" i="13"/>
  <c r="J2274" i="13"/>
  <c r="J939" i="13"/>
  <c r="J769" i="13"/>
  <c r="J814" i="13"/>
  <c r="J892" i="13"/>
  <c r="J956" i="13"/>
  <c r="J1042" i="13"/>
  <c r="J520" i="13"/>
  <c r="J603" i="13"/>
  <c r="J540" i="13"/>
  <c r="J737" i="13"/>
  <c r="J585" i="13"/>
  <c r="J584" i="13"/>
  <c r="J557" i="13"/>
  <c r="J826" i="13"/>
  <c r="J817" i="13"/>
  <c r="J1322" i="13"/>
  <c r="J1003" i="13"/>
  <c r="J1979" i="13"/>
  <c r="J1937" i="13"/>
  <c r="J1848" i="13"/>
  <c r="J1701" i="13"/>
  <c r="J644" i="13"/>
  <c r="J513" i="13"/>
  <c r="J1616" i="13"/>
  <c r="J1544" i="13"/>
  <c r="J2342" i="13"/>
  <c r="J2386" i="13"/>
  <c r="J2248" i="13"/>
  <c r="J2327" i="13"/>
  <c r="J2344" i="13"/>
  <c r="J2336" i="13"/>
  <c r="J2112" i="13"/>
  <c r="J2119" i="13"/>
  <c r="J789" i="13"/>
  <c r="J831" i="13"/>
  <c r="J1303" i="13"/>
  <c r="J1061" i="13"/>
  <c r="J1032" i="13"/>
  <c r="J1839" i="13"/>
  <c r="J1654" i="13"/>
  <c r="J1716" i="13"/>
  <c r="J1666" i="13"/>
  <c r="J2063" i="13"/>
  <c r="J2226" i="13"/>
  <c r="J2053" i="13"/>
  <c r="J2169" i="13"/>
  <c r="J2108" i="13"/>
  <c r="J1365" i="13"/>
  <c r="J1262" i="13"/>
  <c r="J1400" i="13"/>
  <c r="J1982" i="13"/>
  <c r="J555" i="13"/>
  <c r="J1554" i="13"/>
  <c r="J1573" i="13"/>
  <c r="J1508" i="13"/>
  <c r="J2052" i="13"/>
  <c r="J1245" i="13"/>
  <c r="J1146" i="13"/>
  <c r="J2093" i="13"/>
  <c r="J1717" i="13"/>
  <c r="J1495" i="13"/>
  <c r="J1706" i="13"/>
  <c r="J1292" i="13"/>
  <c r="J1893" i="13"/>
  <c r="J1674" i="13"/>
  <c r="J590" i="13"/>
  <c r="J1682" i="13"/>
  <c r="J2033" i="13"/>
  <c r="J1272" i="13"/>
  <c r="J1063" i="13"/>
  <c r="J1630" i="13"/>
  <c r="J2437" i="13"/>
  <c r="J1494" i="13"/>
  <c r="J2283" i="13"/>
  <c r="J2390" i="13"/>
  <c r="J2292" i="13"/>
  <c r="J1531" i="13"/>
  <c r="J1766" i="13"/>
  <c r="J1692" i="13"/>
  <c r="J1731" i="13"/>
  <c r="J1560" i="13"/>
  <c r="J1564" i="13"/>
  <c r="J1377" i="13"/>
  <c r="J1251" i="13"/>
  <c r="J567" i="13"/>
  <c r="J2315" i="13"/>
  <c r="J2017" i="13"/>
  <c r="J595" i="13"/>
  <c r="J589" i="13"/>
  <c r="J1660" i="13"/>
  <c r="J1571" i="13"/>
  <c r="J2385" i="13"/>
  <c r="J2376" i="13"/>
  <c r="J1835" i="13"/>
  <c r="J1631" i="13"/>
  <c r="J1083" i="13"/>
  <c r="J2120" i="13"/>
  <c r="J1453" i="13"/>
  <c r="J663" i="13"/>
  <c r="J725" i="13"/>
  <c r="J2303" i="13"/>
  <c r="J2317" i="13"/>
  <c r="J726" i="13"/>
  <c r="J1700" i="13"/>
  <c r="J1598" i="13"/>
  <c r="J2295" i="13"/>
  <c r="J2145" i="13"/>
  <c r="J2056" i="13"/>
  <c r="J1252" i="13"/>
  <c r="J1331" i="13"/>
  <c r="J1789" i="13"/>
  <c r="J1921" i="13"/>
  <c r="J1759" i="13"/>
  <c r="J1591" i="13"/>
  <c r="J1480" i="13"/>
  <c r="J1656" i="13"/>
  <c r="J551" i="13"/>
  <c r="J509" i="13"/>
  <c r="J2310" i="13"/>
  <c r="J2441" i="13"/>
  <c r="J2313" i="13"/>
  <c r="J2276" i="13"/>
  <c r="J2470" i="13"/>
  <c r="J572" i="13"/>
  <c r="J679" i="13"/>
  <c r="J1670" i="13"/>
  <c r="J1603" i="13"/>
  <c r="J1699" i="13"/>
  <c r="J1539" i="13"/>
  <c r="J2252" i="13"/>
  <c r="J2239" i="13"/>
  <c r="J2291" i="13"/>
  <c r="J2227" i="13"/>
  <c r="J2097" i="13"/>
  <c r="J982" i="13"/>
  <c r="J960" i="13"/>
  <c r="J1464" i="13"/>
  <c r="J1328" i="13"/>
  <c r="J1038" i="13"/>
  <c r="J1974" i="13"/>
  <c r="J1780" i="13"/>
  <c r="J1750" i="13"/>
  <c r="J1761" i="13"/>
  <c r="J1923" i="13"/>
  <c r="J1876" i="13"/>
  <c r="J1865" i="13"/>
  <c r="J1946" i="13"/>
  <c r="J1793" i="13"/>
  <c r="J1565" i="13"/>
  <c r="J1416" i="13"/>
  <c r="J1425" i="13"/>
  <c r="J2282" i="13"/>
  <c r="V1238" i="13"/>
  <c r="A1238" i="13" s="1"/>
  <c r="V845" i="13"/>
  <c r="A845" i="13" s="1"/>
  <c r="V907" i="13"/>
  <c r="A907" i="13" s="1"/>
  <c r="V1502" i="13"/>
  <c r="A1502" i="13" s="1"/>
  <c r="J2660" i="13"/>
  <c r="J2574" i="13"/>
  <c r="J2656" i="13"/>
  <c r="J2521" i="13"/>
  <c r="J2722" i="13"/>
  <c r="J2560" i="13"/>
  <c r="J774" i="13"/>
  <c r="J943" i="13"/>
  <c r="J916" i="13"/>
  <c r="J829" i="13"/>
  <c r="J788" i="13"/>
  <c r="J885" i="13"/>
  <c r="J1054" i="13"/>
  <c r="J1128" i="13"/>
  <c r="V1830" i="13"/>
  <c r="A1830" i="13" s="1"/>
  <c r="V1748" i="13"/>
  <c r="A1748" i="13" s="1"/>
  <c r="V1807" i="13"/>
  <c r="A1807" i="13" s="1"/>
  <c r="V1895" i="13"/>
  <c r="A1895" i="13" s="1"/>
  <c r="V1823" i="13"/>
  <c r="A1823" i="13" s="1"/>
  <c r="V1874" i="13"/>
  <c r="A1874" i="13" s="1"/>
  <c r="V1170" i="13"/>
  <c r="A1170" i="13" s="1"/>
  <c r="J1778" i="13"/>
  <c r="J1757" i="13"/>
  <c r="J1216" i="13"/>
  <c r="J628" i="13"/>
  <c r="J1104" i="13"/>
  <c r="J1228" i="13"/>
  <c r="J1035" i="13"/>
  <c r="J1511" i="13"/>
  <c r="J1543" i="13"/>
  <c r="J624" i="13"/>
  <c r="J619" i="13"/>
  <c r="J1220" i="13"/>
  <c r="J1178" i="13"/>
  <c r="J543" i="13"/>
  <c r="J541" i="13"/>
  <c r="J609" i="13"/>
  <c r="J2352" i="13"/>
  <c r="J2446" i="13"/>
  <c r="J2448" i="13"/>
  <c r="J2434" i="13"/>
  <c r="V847" i="13"/>
  <c r="A847" i="13" s="1"/>
  <c r="V828" i="13"/>
  <c r="A828" i="13" s="1"/>
  <c r="V933" i="13"/>
  <c r="A933" i="13" s="1"/>
  <c r="V752" i="13"/>
  <c r="A752" i="13" s="1"/>
  <c r="V694" i="13"/>
  <c r="A694" i="13" s="1"/>
  <c r="J763" i="13"/>
  <c r="J1600" i="13"/>
  <c r="J2478" i="13"/>
  <c r="V1989" i="13"/>
  <c r="A1989" i="13" s="1"/>
  <c r="J646" i="13"/>
  <c r="J582" i="13"/>
  <c r="J652" i="13"/>
  <c r="J654" i="13"/>
  <c r="J2297" i="13"/>
  <c r="J2427" i="13"/>
  <c r="J2429" i="13"/>
  <c r="J2466" i="13"/>
  <c r="J2472" i="13"/>
  <c r="V510" i="13"/>
  <c r="A510" i="13" s="1"/>
  <c r="J606" i="13"/>
  <c r="J639" i="13"/>
  <c r="J674" i="13"/>
  <c r="J695" i="13"/>
  <c r="J701" i="13"/>
  <c r="J700" i="13"/>
  <c r="J563" i="13"/>
  <c r="J1585" i="13"/>
  <c r="J1563" i="13"/>
  <c r="J1613" i="13"/>
  <c r="J1513" i="13"/>
  <c r="J1496" i="13"/>
  <c r="J1643" i="13"/>
  <c r="J1609" i="13"/>
  <c r="J2341" i="13"/>
  <c r="J2337" i="13"/>
  <c r="J2443" i="13"/>
  <c r="J2260" i="13"/>
  <c r="J2389" i="13"/>
  <c r="J2010" i="13"/>
  <c r="J2051" i="13"/>
  <c r="J2219" i="13"/>
  <c r="J2199" i="13"/>
  <c r="J961" i="13"/>
  <c r="J754" i="13"/>
  <c r="J955" i="13"/>
  <c r="J806" i="13"/>
  <c r="J881" i="13"/>
  <c r="J846" i="13"/>
  <c r="J778" i="13"/>
  <c r="J952" i="13"/>
  <c r="J1249" i="13"/>
  <c r="J1335" i="13"/>
  <c r="J1373" i="13"/>
  <c r="J1329" i="13"/>
  <c r="J1310" i="13"/>
  <c r="J1352" i="13"/>
  <c r="J1036" i="13"/>
  <c r="J1166" i="13"/>
  <c r="J1085" i="13"/>
  <c r="J1168" i="13"/>
  <c r="J1976" i="13"/>
  <c r="J1805" i="13"/>
  <c r="J1918" i="13"/>
  <c r="J1915" i="13"/>
  <c r="J1806" i="13"/>
  <c r="J1672" i="13"/>
  <c r="J1638" i="13"/>
  <c r="J1703" i="13"/>
  <c r="J1517" i="13"/>
  <c r="J1657" i="13"/>
  <c r="J1583" i="13"/>
  <c r="J1691" i="13"/>
  <c r="J1270" i="13"/>
  <c r="J1443" i="13"/>
  <c r="J1354" i="13"/>
  <c r="J521" i="13"/>
  <c r="J524" i="13"/>
  <c r="J688" i="13"/>
  <c r="J1509" i="13"/>
  <c r="J1647" i="13"/>
  <c r="J1645" i="13"/>
  <c r="J1586" i="13"/>
  <c r="J1677" i="13"/>
  <c r="J2435" i="13"/>
  <c r="J2324" i="13"/>
  <c r="J2449" i="13"/>
  <c r="J2379" i="13"/>
  <c r="J2375" i="13"/>
  <c r="J2285" i="13"/>
  <c r="J2281" i="13"/>
  <c r="J2392" i="13"/>
  <c r="J2057" i="13"/>
  <c r="J2229" i="13"/>
  <c r="J2091" i="13"/>
  <c r="J842" i="13"/>
  <c r="J876" i="13"/>
  <c r="J1361" i="13"/>
  <c r="J1368" i="13"/>
  <c r="J1345" i="13"/>
  <c r="J1379" i="13"/>
  <c r="J1484" i="13"/>
  <c r="J1381" i="13"/>
  <c r="J1360" i="13"/>
  <c r="J1202" i="13"/>
  <c r="V2247" i="13"/>
  <c r="A2247" i="13" s="1"/>
  <c r="V2305" i="13"/>
  <c r="A2305" i="13" s="1"/>
  <c r="V2332" i="13"/>
  <c r="A2332" i="13" s="1"/>
  <c r="V2301" i="13"/>
  <c r="A2301" i="13" s="1"/>
  <c r="V2356" i="13"/>
  <c r="A2356" i="13" s="1"/>
  <c r="V2374" i="13"/>
  <c r="A2374" i="13" s="1"/>
  <c r="V2424" i="13"/>
  <c r="A2424" i="13" s="1"/>
  <c r="V2362" i="13"/>
  <c r="A2362" i="13" s="1"/>
  <c r="V2335" i="13"/>
  <c r="A2335" i="13" s="1"/>
  <c r="J1186" i="13"/>
  <c r="J1231" i="13"/>
  <c r="J1020" i="13"/>
  <c r="J1203" i="13"/>
  <c r="J729" i="13"/>
  <c r="J682" i="13"/>
  <c r="V649" i="13"/>
  <c r="A649" i="13" s="1"/>
  <c r="V581" i="13"/>
  <c r="A581" i="13" s="1"/>
  <c r="V740" i="13"/>
  <c r="A740" i="13" s="1"/>
  <c r="V563" i="13"/>
  <c r="A563" i="13" s="1"/>
  <c r="J1866" i="13"/>
  <c r="J1948" i="13"/>
  <c r="J1760" i="13"/>
  <c r="J1886" i="13"/>
  <c r="J1875" i="13"/>
  <c r="J1814" i="13"/>
  <c r="J2134" i="13"/>
  <c r="J1887" i="13"/>
  <c r="J528" i="13"/>
  <c r="J1652" i="13"/>
  <c r="V2129" i="13"/>
  <c r="A2129" i="13" s="1"/>
  <c r="V2013" i="13"/>
  <c r="A2013" i="13" s="1"/>
  <c r="V2059" i="13"/>
  <c r="A2059" i="13" s="1"/>
  <c r="J683" i="13"/>
  <c r="V1879" i="13"/>
  <c r="A1879" i="13" s="1"/>
  <c r="V1747" i="13"/>
  <c r="A1747" i="13" s="1"/>
  <c r="V1857" i="13"/>
  <c r="A1857" i="13" s="1"/>
  <c r="V1867" i="13"/>
  <c r="A1867" i="13" s="1"/>
  <c r="V1912" i="13"/>
  <c r="A1912" i="13" s="1"/>
  <c r="V1964" i="13"/>
  <c r="A1964" i="13" s="1"/>
  <c r="J2545" i="13"/>
  <c r="J2626" i="13"/>
  <c r="J2692" i="13"/>
  <c r="J2685" i="13"/>
  <c r="J2648" i="13"/>
  <c r="J2709" i="13"/>
  <c r="J2683" i="13"/>
  <c r="J2602" i="13"/>
  <c r="J2661" i="13"/>
  <c r="J2690" i="13"/>
  <c r="J2691" i="13"/>
  <c r="J2578" i="13"/>
  <c r="J2577" i="13"/>
  <c r="J2657" i="13"/>
  <c r="J2675" i="13"/>
  <c r="J2698" i="13"/>
  <c r="J2583" i="13"/>
  <c r="J2568" i="13"/>
  <c r="J2632" i="13"/>
  <c r="J2620" i="13"/>
  <c r="J2525" i="13"/>
  <c r="J2647" i="13"/>
  <c r="J2721" i="13"/>
  <c r="J2624" i="13"/>
  <c r="J2719" i="13"/>
  <c r="J2520" i="13"/>
  <c r="J2511" i="13"/>
  <c r="J2650" i="13"/>
  <c r="J2524" i="13"/>
  <c r="J2495" i="13"/>
  <c r="J2616" i="13"/>
  <c r="J2664" i="13"/>
  <c r="J2609" i="13"/>
  <c r="J2621" i="13"/>
  <c r="J2576" i="13"/>
  <c r="J2546" i="13"/>
  <c r="J2599" i="13"/>
  <c r="V2485" i="13"/>
  <c r="A2485" i="13" s="1"/>
  <c r="J2493" i="13"/>
  <c r="J2654" i="13"/>
  <c r="J2681" i="13"/>
  <c r="J2634" i="13"/>
  <c r="J2559" i="13"/>
  <c r="J2630" i="13"/>
  <c r="J2591" i="13"/>
  <c r="J2589" i="13"/>
  <c r="J2702" i="13"/>
  <c r="J2515" i="13"/>
  <c r="J2613" i="13"/>
  <c r="J2651" i="13"/>
  <c r="J2716" i="13"/>
  <c r="J2564" i="13"/>
  <c r="J2555" i="13"/>
  <c r="J2570" i="13"/>
  <c r="J2707" i="13"/>
  <c r="J2518" i="13"/>
  <c r="J2645" i="13"/>
  <c r="J2522" i="13"/>
  <c r="J2554" i="13"/>
  <c r="J2600" i="13"/>
  <c r="J2509" i="13"/>
  <c r="J2528" i="13"/>
  <c r="J2498" i="13"/>
  <c r="J2623" i="13"/>
  <c r="J2552" i="13"/>
  <c r="J2584" i="13"/>
  <c r="J2514" i="13"/>
  <c r="J2705" i="13"/>
  <c r="J2669" i="13"/>
  <c r="J2211" i="13"/>
  <c r="J1111" i="13"/>
  <c r="J1659" i="13"/>
  <c r="J1514" i="13"/>
  <c r="J2173" i="13"/>
  <c r="J840" i="13"/>
  <c r="J777" i="13"/>
  <c r="J1902" i="13"/>
  <c r="J1914" i="13"/>
  <c r="J1843" i="13"/>
  <c r="J1900" i="13"/>
  <c r="J1851" i="13"/>
  <c r="J1524" i="13"/>
  <c r="J1475" i="13"/>
  <c r="J1323" i="13"/>
  <c r="J2028" i="13"/>
  <c r="J1899" i="13"/>
  <c r="J1913" i="13"/>
  <c r="J1784" i="13"/>
  <c r="J641" i="13"/>
  <c r="J651" i="13"/>
  <c r="J2370" i="13"/>
  <c r="J1012" i="13"/>
  <c r="J2183" i="13"/>
  <c r="J2021" i="13"/>
  <c r="J627" i="13"/>
  <c r="J723" i="13"/>
  <c r="J659" i="13"/>
  <c r="J553" i="13"/>
  <c r="J694" i="13"/>
  <c r="J2335" i="13"/>
  <c r="J808" i="13"/>
  <c r="J847" i="13"/>
  <c r="J933" i="13"/>
  <c r="J752" i="13"/>
  <c r="J909" i="13"/>
  <c r="J755" i="13"/>
  <c r="J1540" i="13"/>
  <c r="J1281" i="13"/>
  <c r="J1256" i="13"/>
  <c r="J577" i="13"/>
  <c r="J629" i="13"/>
  <c r="J667" i="13"/>
  <c r="J1568" i="13"/>
  <c r="J1655" i="13"/>
  <c r="J1505" i="13"/>
  <c r="J2262" i="13"/>
  <c r="J2401" i="13"/>
  <c r="J2377" i="13"/>
  <c r="J2343" i="13"/>
  <c r="J2296" i="13"/>
  <c r="J967" i="13"/>
  <c r="J1346" i="13"/>
  <c r="J1034" i="13"/>
  <c r="J1053" i="13"/>
  <c r="J1194" i="13"/>
  <c r="J1143" i="13"/>
  <c r="J1016" i="13"/>
  <c r="J2128" i="13"/>
  <c r="J2082" i="13"/>
  <c r="J2267" i="13"/>
  <c r="J2421" i="13"/>
  <c r="J2318" i="13"/>
  <c r="J2339" i="13"/>
  <c r="J2439" i="13"/>
  <c r="J974" i="13"/>
  <c r="J989" i="13"/>
  <c r="J947" i="13"/>
  <c r="J920" i="13"/>
  <c r="J791" i="13"/>
  <c r="J804" i="13"/>
  <c r="J1193" i="13"/>
  <c r="J1059" i="13"/>
  <c r="J552" i="13"/>
  <c r="J732" i="13"/>
  <c r="J525" i="13"/>
  <c r="J625" i="13"/>
  <c r="J631" i="13"/>
  <c r="J722" i="13"/>
  <c r="J574" i="13"/>
  <c r="J532" i="13"/>
  <c r="J535" i="13"/>
  <c r="J660" i="13"/>
  <c r="J537" i="13"/>
  <c r="J1577" i="13"/>
  <c r="J1729" i="13"/>
  <c r="J1579" i="13"/>
  <c r="J1611" i="13"/>
  <c r="J2432" i="13"/>
  <c r="J2266" i="13"/>
  <c r="J2384" i="13"/>
  <c r="J2043" i="13"/>
  <c r="J968" i="13"/>
  <c r="J783" i="13"/>
  <c r="J800" i="13"/>
  <c r="J878" i="13"/>
  <c r="J959" i="13"/>
  <c r="J921" i="13"/>
  <c r="J931" i="13"/>
  <c r="J786" i="13"/>
  <c r="J801" i="13"/>
  <c r="J818" i="13"/>
  <c r="J1268" i="13"/>
  <c r="J1351" i="13"/>
  <c r="J1286" i="13"/>
  <c r="J1263" i="13"/>
  <c r="J1019" i="13"/>
  <c r="J1215" i="13"/>
  <c r="J1093" i="13"/>
  <c r="J1011" i="13"/>
  <c r="J1841" i="13"/>
  <c r="J1941" i="13"/>
  <c r="J1801" i="13"/>
  <c r="J1809" i="13"/>
  <c r="J1936" i="13"/>
  <c r="J1958" i="13"/>
  <c r="J1597" i="13"/>
  <c r="J1581" i="13"/>
  <c r="J1669" i="13"/>
  <c r="J1589" i="13"/>
  <c r="J1534" i="13"/>
  <c r="J1477" i="13"/>
  <c r="J1298" i="13"/>
  <c r="J1255" i="13"/>
  <c r="J1305" i="13"/>
  <c r="J503" i="13"/>
  <c r="J508" i="13"/>
  <c r="J608" i="13"/>
  <c r="J2311" i="13"/>
  <c r="J2456" i="13"/>
  <c r="J1999" i="13"/>
  <c r="J2084" i="13"/>
  <c r="J894" i="13"/>
  <c r="J1383" i="13"/>
  <c r="J1376" i="13"/>
  <c r="J1474" i="13"/>
  <c r="J1318" i="13"/>
  <c r="J1006" i="13"/>
  <c r="J2158" i="13"/>
  <c r="J2032" i="13"/>
  <c r="J1267" i="13"/>
  <c r="J1327" i="13"/>
  <c r="J816" i="13"/>
  <c r="J758" i="13"/>
  <c r="J856" i="13"/>
  <c r="J1174" i="13"/>
  <c r="J1164" i="13"/>
  <c r="J1080" i="13"/>
  <c r="J1008" i="13"/>
  <c r="J511" i="13"/>
  <c r="J643" i="13"/>
  <c r="J504" i="13"/>
  <c r="J583" i="13"/>
  <c r="J2256" i="13"/>
  <c r="J2035" i="13"/>
  <c r="J2037" i="13"/>
  <c r="J2110" i="13"/>
  <c r="J851" i="13"/>
  <c r="J1382" i="13"/>
  <c r="J1418" i="13"/>
  <c r="J1479" i="13"/>
  <c r="J1421" i="13"/>
  <c r="J1332" i="13"/>
  <c r="J507" i="13"/>
  <c r="V2369" i="13"/>
  <c r="A2369" i="13" s="1"/>
  <c r="V2465" i="13"/>
  <c r="A2465" i="13" s="1"/>
  <c r="J879" i="13"/>
  <c r="J854" i="13"/>
  <c r="J910" i="13"/>
  <c r="J872" i="13"/>
  <c r="J848" i="13"/>
  <c r="J964" i="13"/>
  <c r="J980" i="13"/>
  <c r="J957" i="13"/>
  <c r="J979" i="13"/>
  <c r="J798" i="13"/>
  <c r="J857" i="13"/>
  <c r="J751" i="13"/>
  <c r="J1065" i="13"/>
  <c r="J1185" i="13"/>
  <c r="J1172" i="13"/>
  <c r="J1026" i="13"/>
  <c r="J1155" i="13"/>
  <c r="J1181" i="13"/>
  <c r="J1152" i="13"/>
  <c r="J1126" i="13"/>
  <c r="J1217" i="13"/>
  <c r="J1107" i="13"/>
  <c r="J1191" i="13"/>
  <c r="J1233" i="13"/>
  <c r="J510" i="13"/>
  <c r="J571" i="13"/>
  <c r="J712" i="13"/>
  <c r="J735" i="13"/>
  <c r="J672" i="13"/>
  <c r="J604" i="13"/>
  <c r="J594" i="13"/>
  <c r="V713" i="13"/>
  <c r="A713" i="13" s="1"/>
  <c r="V702" i="13"/>
  <c r="A702" i="13" s="1"/>
  <c r="V531" i="13"/>
  <c r="A531" i="13" s="1"/>
  <c r="V518" i="13"/>
  <c r="A518" i="13" s="1"/>
  <c r="V1898" i="13"/>
  <c r="A1898" i="13" s="1"/>
  <c r="V1744" i="13"/>
  <c r="A1744" i="13" s="1"/>
  <c r="V1803" i="13"/>
  <c r="A1803" i="13" s="1"/>
  <c r="V1953" i="13"/>
  <c r="A1953" i="13" s="1"/>
  <c r="V1949" i="13"/>
  <c r="A1949" i="13" s="1"/>
  <c r="V1826" i="13"/>
  <c r="A1826" i="13" s="1"/>
  <c r="V1753" i="13"/>
  <c r="A1753" i="13" s="1"/>
  <c r="V1749" i="13"/>
  <c r="A1749" i="13" s="1"/>
  <c r="V1714" i="13"/>
  <c r="A1714" i="13" s="1"/>
  <c r="V1670" i="13"/>
  <c r="A1670" i="13" s="1"/>
  <c r="V1565" i="13"/>
  <c r="A1565" i="13" s="1"/>
  <c r="V1507" i="13"/>
  <c r="A1507" i="13" s="1"/>
  <c r="V1530" i="13"/>
  <c r="A1530" i="13" s="1"/>
  <c r="V1710" i="13"/>
  <c r="A1710" i="13" s="1"/>
  <c r="V1527" i="13"/>
  <c r="A1527" i="13" s="1"/>
  <c r="V1131" i="13"/>
  <c r="A1131" i="13" s="1"/>
  <c r="V1003" i="13"/>
  <c r="A1003" i="13" s="1"/>
  <c r="V1226" i="13"/>
  <c r="A1226" i="13" s="1"/>
  <c r="V1223" i="13"/>
  <c r="A1223" i="13" s="1"/>
  <c r="V1217" i="13"/>
  <c r="A1217" i="13" s="1"/>
  <c r="V1040" i="13"/>
  <c r="A1040" i="13" s="1"/>
  <c r="V1108" i="13"/>
  <c r="A1108" i="13" s="1"/>
  <c r="J1222" i="13"/>
  <c r="J1209" i="13"/>
  <c r="J1176" i="13"/>
  <c r="J1022" i="13"/>
  <c r="J1206" i="13"/>
  <c r="J1075" i="13"/>
  <c r="J1234" i="13"/>
  <c r="J1179" i="13"/>
  <c r="J1117" i="13"/>
  <c r="J1119" i="13"/>
  <c r="J1116" i="13"/>
  <c r="J1205" i="13"/>
  <c r="J1227" i="13"/>
  <c r="J1148" i="13"/>
  <c r="J1056" i="13"/>
  <c r="J1237" i="13"/>
  <c r="J678" i="13"/>
  <c r="J718" i="13"/>
  <c r="J719" i="13"/>
  <c r="J717" i="13"/>
  <c r="J626" i="13"/>
  <c r="J650" i="13"/>
  <c r="J600" i="13"/>
  <c r="J704" i="13"/>
  <c r="J669" i="13"/>
  <c r="J2312" i="13"/>
  <c r="J2247" i="13"/>
  <c r="J2305" i="13"/>
  <c r="J2349" i="13"/>
  <c r="J2301" i="13"/>
  <c r="J2356" i="13"/>
  <c r="J2416" i="13"/>
  <c r="J2374" i="13"/>
  <c r="J2424" i="13"/>
  <c r="J2290" i="13"/>
  <c r="J2362" i="13"/>
  <c r="J2425" i="13"/>
  <c r="J2269" i="13"/>
  <c r="J649" i="13"/>
  <c r="J720" i="13"/>
  <c r="J581" i="13"/>
  <c r="J533" i="13"/>
  <c r="J740" i="13"/>
  <c r="J516" i="13"/>
  <c r="J648" i="13"/>
  <c r="J530" i="13"/>
  <c r="J1676" i="13"/>
  <c r="J1680" i="13"/>
  <c r="J1713" i="13"/>
  <c r="J2358" i="13"/>
  <c r="J2383" i="13"/>
  <c r="J2365" i="13"/>
  <c r="J2464" i="13"/>
  <c r="J2391" i="13"/>
  <c r="J2011" i="13"/>
  <c r="J2049" i="13"/>
  <c r="J2103" i="13"/>
  <c r="J2113" i="13"/>
  <c r="J958" i="13"/>
  <c r="J803" i="13"/>
  <c r="J805" i="13"/>
  <c r="J753" i="13"/>
  <c r="J834" i="13"/>
  <c r="J965" i="13"/>
  <c r="J843" i="13"/>
  <c r="J971" i="13"/>
  <c r="J1384" i="13"/>
  <c r="J1308" i="13"/>
  <c r="J1390" i="13"/>
  <c r="J1340" i="13"/>
  <c r="J1096" i="13"/>
  <c r="J1980" i="13"/>
  <c r="J1722" i="13"/>
  <c r="J1733" i="13"/>
  <c r="J1371" i="13"/>
  <c r="J1391" i="13"/>
  <c r="J1253" i="13"/>
  <c r="J1470" i="13"/>
  <c r="J736" i="13"/>
  <c r="J686" i="13"/>
  <c r="J586" i="13"/>
  <c r="J727" i="13"/>
  <c r="J576" i="13"/>
  <c r="J677" i="13"/>
  <c r="J716" i="13"/>
  <c r="J685" i="13"/>
  <c r="J1595" i="13"/>
  <c r="J1668" i="13"/>
  <c r="J1648" i="13"/>
  <c r="J1614" i="13"/>
  <c r="J1718" i="13"/>
  <c r="J1651" i="13"/>
  <c r="J1530" i="13"/>
  <c r="J1710" i="13"/>
  <c r="J1633" i="13"/>
  <c r="J1527" i="13"/>
  <c r="J1626" i="13"/>
  <c r="J2254" i="13"/>
  <c r="J2309" i="13"/>
  <c r="J2287" i="13"/>
  <c r="J2366" i="13"/>
  <c r="J2355" i="13"/>
  <c r="J2299" i="13"/>
  <c r="J2261" i="13"/>
  <c r="J2404" i="13"/>
  <c r="J2259" i="13"/>
  <c r="J2451" i="13"/>
  <c r="J2387" i="13"/>
  <c r="J2275" i="13"/>
  <c r="J2293" i="13"/>
  <c r="J2418" i="13"/>
  <c r="J2164" i="13"/>
  <c r="J2081" i="13"/>
  <c r="J2215" i="13"/>
  <c r="J2146" i="13"/>
  <c r="J2147" i="13"/>
  <c r="J890" i="13"/>
  <c r="J891" i="13"/>
  <c r="J899" i="13"/>
  <c r="J835" i="13"/>
  <c r="J949" i="13"/>
  <c r="J760" i="13"/>
  <c r="J937" i="13"/>
  <c r="J944" i="13"/>
  <c r="J1405" i="13"/>
  <c r="J1457" i="13"/>
  <c r="J1348" i="13"/>
  <c r="J1254" i="13"/>
  <c r="J1288" i="13"/>
  <c r="J1284" i="13"/>
  <c r="J1378" i="13"/>
  <c r="J1257" i="13"/>
  <c r="J1431" i="13"/>
  <c r="J1290" i="13"/>
  <c r="J1462" i="13"/>
  <c r="J1319" i="13"/>
  <c r="J1071" i="13"/>
  <c r="J1153" i="13"/>
  <c r="J1219" i="13"/>
  <c r="J1074" i="13"/>
  <c r="J1028" i="13"/>
  <c r="J1161" i="13"/>
  <c r="J1050" i="13"/>
  <c r="J1745" i="13"/>
  <c r="J1916" i="13"/>
  <c r="J1742" i="13"/>
  <c r="J1831" i="13"/>
  <c r="J1852" i="13"/>
  <c r="J1898" i="13"/>
  <c r="J1826" i="13"/>
  <c r="J1889" i="13"/>
  <c r="J1869" i="13"/>
  <c r="J1963" i="13"/>
  <c r="J1855" i="13"/>
  <c r="J1605" i="13"/>
  <c r="J1604" i="13"/>
  <c r="J1671" i="13"/>
  <c r="J1542" i="13"/>
  <c r="J1635" i="13"/>
  <c r="J1547" i="13"/>
  <c r="J1625" i="13"/>
  <c r="J1721" i="13"/>
  <c r="J1620" i="13"/>
  <c r="J1572" i="13"/>
  <c r="J1536" i="13"/>
  <c r="J1601" i="13"/>
  <c r="J1702" i="13"/>
  <c r="J1587" i="13"/>
  <c r="J1623" i="13"/>
  <c r="J1537" i="13"/>
  <c r="J1541" i="13"/>
  <c r="J1584" i="13"/>
  <c r="J1529" i="13"/>
  <c r="J2025" i="13"/>
  <c r="J2039" i="13"/>
  <c r="J2031" i="13"/>
  <c r="J2221" i="13"/>
  <c r="J2167" i="13"/>
  <c r="J2174" i="13"/>
  <c r="J2193" i="13"/>
  <c r="J2200" i="13"/>
  <c r="J2077" i="13"/>
  <c r="J1994" i="13"/>
  <c r="J2027" i="13"/>
  <c r="J2107" i="13"/>
  <c r="J2126" i="13"/>
  <c r="J2162" i="13"/>
  <c r="J1395" i="13"/>
  <c r="J1469" i="13"/>
  <c r="J1282" i="13"/>
  <c r="J1386" i="13"/>
  <c r="J1349" i="13"/>
  <c r="J1482" i="13"/>
  <c r="J1440" i="13"/>
  <c r="J1260" i="13"/>
  <c r="J1473" i="13"/>
  <c r="J1447" i="13"/>
  <c r="J1448" i="13"/>
  <c r="J1414" i="13"/>
  <c r="J1273" i="13"/>
  <c r="J1317" i="13"/>
  <c r="J1309" i="13"/>
  <c r="J1366" i="13"/>
  <c r="J1258" i="13"/>
  <c r="J1301" i="13"/>
  <c r="J1359" i="13"/>
  <c r="J1454" i="13"/>
  <c r="J1274" i="13"/>
  <c r="J1908" i="13"/>
  <c r="J1777" i="13"/>
  <c r="J1810" i="13"/>
  <c r="J1861" i="13"/>
  <c r="J1781" i="13"/>
  <c r="J1824" i="13"/>
  <c r="J1770" i="13"/>
  <c r="J1922" i="13"/>
  <c r="J1970" i="13"/>
  <c r="J1884" i="13"/>
  <c r="J1746" i="13"/>
  <c r="J1763" i="13"/>
  <c r="J1828" i="13"/>
  <c r="J1880" i="13"/>
  <c r="J1773" i="13"/>
  <c r="J691" i="13"/>
  <c r="J741" i="13"/>
  <c r="J578" i="13"/>
  <c r="J549" i="13"/>
  <c r="J545" i="13"/>
  <c r="J614" i="13"/>
  <c r="J575" i="13"/>
  <c r="J703" i="13"/>
  <c r="J635" i="13"/>
  <c r="J611" i="13"/>
  <c r="J534" i="13"/>
  <c r="J538" i="13"/>
  <c r="J658" i="13"/>
  <c r="J713" i="13"/>
  <c r="J596" i="13"/>
  <c r="J690" i="13"/>
  <c r="J565" i="13"/>
  <c r="J707" i="13"/>
  <c r="J715" i="13"/>
  <c r="J671" i="13"/>
  <c r="J657" i="13"/>
  <c r="J1644" i="13"/>
  <c r="J1637" i="13"/>
  <c r="J1724" i="13"/>
  <c r="J1665" i="13"/>
  <c r="J1521" i="13"/>
  <c r="J1550" i="13"/>
  <c r="J1732" i="13"/>
  <c r="J1634" i="13"/>
  <c r="J1698" i="13"/>
  <c r="J1608" i="13"/>
  <c r="J1678" i="13"/>
  <c r="J1661" i="13"/>
  <c r="J1516" i="13"/>
  <c r="J1684" i="13"/>
  <c r="J1507" i="13"/>
  <c r="J1580" i="13"/>
  <c r="J1734" i="13"/>
  <c r="J1689" i="13"/>
  <c r="J1545" i="13"/>
  <c r="J2436" i="13"/>
  <c r="J2479" i="13"/>
  <c r="J2445" i="13"/>
  <c r="J2453" i="13"/>
  <c r="J2412" i="13"/>
  <c r="J2278" i="13"/>
  <c r="J2364" i="13"/>
  <c r="J2249" i="13"/>
  <c r="J2369" i="13"/>
  <c r="J2397" i="13"/>
  <c r="J2382" i="13"/>
  <c r="J2357" i="13"/>
  <c r="J2476" i="13"/>
  <c r="J2430" i="13"/>
  <c r="J2257" i="13"/>
  <c r="J2322" i="13"/>
  <c r="J2238" i="13"/>
  <c r="J2280" i="13"/>
  <c r="V2040" i="13"/>
  <c r="A2040" i="13" s="1"/>
  <c r="V2132" i="13"/>
  <c r="A2132" i="13" s="1"/>
  <c r="J506" i="13"/>
  <c r="J661" i="13"/>
  <c r="J673" i="13"/>
  <c r="J632" i="13"/>
  <c r="J724" i="13"/>
  <c r="J638" i="13"/>
  <c r="J546" i="13"/>
  <c r="J656" i="13"/>
  <c r="J617" i="13"/>
  <c r="V2401" i="13"/>
  <c r="A2401" i="13" s="1"/>
  <c r="V2437" i="13"/>
  <c r="A2437" i="13" s="1"/>
  <c r="V2296" i="13"/>
  <c r="A2296" i="13" s="1"/>
  <c r="V2262" i="13"/>
  <c r="A2262" i="13" s="1"/>
  <c r="V2388" i="13"/>
  <c r="A2388" i="13" s="1"/>
  <c r="V2359" i="13"/>
  <c r="A2359" i="13" s="1"/>
  <c r="V2321" i="13"/>
  <c r="A2321" i="13" s="1"/>
  <c r="V2248" i="13"/>
  <c r="A2248" i="13" s="1"/>
  <c r="V851" i="13"/>
  <c r="A851" i="13" s="1"/>
  <c r="V991" i="13"/>
  <c r="A991" i="13" s="1"/>
  <c r="V914" i="13"/>
  <c r="A914" i="13" s="1"/>
  <c r="V787" i="13"/>
  <c r="A787" i="13" s="1"/>
  <c r="V850" i="13"/>
  <c r="A850" i="13" s="1"/>
  <c r="V794" i="13"/>
  <c r="A794" i="13" s="1"/>
  <c r="V790" i="13"/>
  <c r="A790" i="13" s="1"/>
  <c r="V918" i="13"/>
  <c r="A918" i="13" s="1"/>
  <c r="V781" i="13"/>
  <c r="A781" i="13" s="1"/>
  <c r="V873" i="13"/>
  <c r="A873" i="13" s="1"/>
  <c r="V877" i="13"/>
  <c r="A877" i="13" s="1"/>
  <c r="V852" i="13"/>
  <c r="A852" i="13" s="1"/>
  <c r="V556" i="13"/>
  <c r="A556" i="13" s="1"/>
  <c r="V664" i="13"/>
  <c r="A664" i="13" s="1"/>
  <c r="V588" i="13"/>
  <c r="A588" i="13" s="1"/>
  <c r="V741" i="13"/>
  <c r="A741" i="13" s="1"/>
  <c r="V545" i="13"/>
  <c r="A545" i="13" s="1"/>
  <c r="V637" i="13"/>
  <c r="A637" i="13" s="1"/>
  <c r="V620" i="13"/>
  <c r="A620" i="13" s="1"/>
  <c r="V711" i="13"/>
  <c r="A711" i="13" s="1"/>
  <c r="V622" i="13"/>
  <c r="A622" i="13" s="1"/>
  <c r="V557" i="13"/>
  <c r="A557" i="13" s="1"/>
  <c r="V742" i="13"/>
  <c r="A742" i="13" s="1"/>
  <c r="V691" i="13"/>
  <c r="A691" i="13" s="1"/>
  <c r="V666" i="13"/>
  <c r="A666" i="13" s="1"/>
  <c r="V638" i="13"/>
  <c r="A638" i="13" s="1"/>
  <c r="V503" i="13"/>
  <c r="A503" i="13" s="1"/>
  <c r="V1866" i="13"/>
  <c r="A1866" i="13" s="1"/>
  <c r="V1938" i="13"/>
  <c r="A1938" i="13" s="1"/>
  <c r="V1786" i="13"/>
  <c r="A1786" i="13" s="1"/>
  <c r="V1906" i="13"/>
  <c r="A1906" i="13" s="1"/>
  <c r="V1982" i="13"/>
  <c r="A1982" i="13" s="1"/>
  <c r="V1963" i="13"/>
  <c r="A1963" i="13" s="1"/>
  <c r="V1939" i="13"/>
  <c r="A1939" i="13" s="1"/>
  <c r="V1781" i="13"/>
  <c r="A1781" i="13" s="1"/>
  <c r="V1871" i="13"/>
  <c r="A1871" i="13" s="1"/>
  <c r="V1813" i="13"/>
  <c r="A1813" i="13" s="1"/>
  <c r="V1822" i="13"/>
  <c r="A1822" i="13" s="1"/>
  <c r="V1970" i="13"/>
  <c r="A1970" i="13" s="1"/>
  <c r="V1927" i="13"/>
  <c r="A1927" i="13" s="1"/>
  <c r="V1795" i="13"/>
  <c r="A1795" i="13" s="1"/>
  <c r="V1518" i="13"/>
  <c r="A1518" i="13" s="1"/>
  <c r="V1632" i="13"/>
  <c r="A1632" i="13" s="1"/>
  <c r="V1604" i="13"/>
  <c r="A1604" i="13" s="1"/>
  <c r="V1709" i="13"/>
  <c r="A1709" i="13" s="1"/>
  <c r="V1605" i="13"/>
  <c r="A1605" i="13" s="1"/>
  <c r="V1547" i="13"/>
  <c r="A1547" i="13" s="1"/>
  <c r="V1712" i="13"/>
  <c r="A1712" i="13" s="1"/>
  <c r="V1615" i="13"/>
  <c r="A1615" i="13" s="1"/>
  <c r="V1662" i="13"/>
  <c r="A1662" i="13" s="1"/>
  <c r="V1551" i="13"/>
  <c r="A1551" i="13" s="1"/>
  <c r="V1130" i="13"/>
  <c r="A1130" i="13" s="1"/>
  <c r="V1084" i="13"/>
  <c r="A1084" i="13" s="1"/>
  <c r="V1196" i="13"/>
  <c r="A1196" i="13" s="1"/>
  <c r="V1213" i="13"/>
  <c r="A1213" i="13" s="1"/>
  <c r="V1139" i="13"/>
  <c r="A1139" i="13" s="1"/>
  <c r="V1105" i="13"/>
  <c r="A1105" i="13" s="1"/>
  <c r="V1159" i="13"/>
  <c r="A1159" i="13" s="1"/>
  <c r="V1112" i="13"/>
  <c r="A1112" i="13" s="1"/>
  <c r="V1147" i="13"/>
  <c r="A1147" i="13" s="1"/>
  <c r="V1171" i="13"/>
  <c r="A1171" i="13" s="1"/>
  <c r="V1148" i="13"/>
  <c r="A1148" i="13" s="1"/>
  <c r="V1146" i="13"/>
  <c r="A1146" i="13" s="1"/>
  <c r="V1020" i="13"/>
  <c r="A1020" i="13" s="1"/>
  <c r="V1218" i="13"/>
  <c r="A1218" i="13" s="1"/>
  <c r="V1184" i="13"/>
  <c r="A1184" i="13" s="1"/>
  <c r="V1153" i="13"/>
  <c r="A1153" i="13" s="1"/>
  <c r="V1072" i="13"/>
  <c r="A1072" i="13" s="1"/>
  <c r="V1135" i="13"/>
  <c r="A1135" i="13" s="1"/>
  <c r="V1047" i="13"/>
  <c r="A1047" i="13" s="1"/>
  <c r="J1108" i="13"/>
  <c r="J1225" i="13"/>
  <c r="J2040" i="13"/>
  <c r="J2246" i="13"/>
  <c r="J2273" i="13"/>
  <c r="J2347" i="13"/>
  <c r="J2284" i="13"/>
  <c r="J2286" i="13"/>
  <c r="J2289" i="13"/>
  <c r="J2400" i="13"/>
  <c r="J2316" i="13"/>
  <c r="J2320" i="13"/>
  <c r="J2330" i="13"/>
  <c r="J2388" i="13"/>
  <c r="J2363" i="13"/>
  <c r="J2360" i="13"/>
  <c r="J2321" i="13"/>
  <c r="J2450" i="13"/>
  <c r="J768" i="13"/>
  <c r="J972" i="13"/>
  <c r="J850" i="13"/>
  <c r="J790" i="13"/>
  <c r="J942" i="13"/>
  <c r="J963" i="13"/>
  <c r="J918" i="13"/>
  <c r="J976" i="13"/>
  <c r="J929" i="13"/>
  <c r="J781" i="13"/>
  <c r="J873" i="13"/>
  <c r="J973" i="13"/>
  <c r="J852" i="13"/>
  <c r="J1154" i="13"/>
  <c r="J1239" i="13"/>
  <c r="J1077" i="13"/>
  <c r="J1013" i="13"/>
  <c r="J1041" i="13"/>
  <c r="J1101" i="13"/>
  <c r="J1057" i="13"/>
  <c r="J610" i="13"/>
  <c r="J687" i="13"/>
  <c r="J637" i="13"/>
  <c r="J548" i="13"/>
  <c r="J662" i="13"/>
  <c r="J742" i="13"/>
  <c r="J697" i="13"/>
  <c r="J599" i="13"/>
  <c r="J536" i="13"/>
  <c r="J514" i="13"/>
  <c r="J653" i="13"/>
  <c r="J607" i="13"/>
  <c r="J1696" i="13"/>
  <c r="J1533" i="13"/>
  <c r="J1636" i="13"/>
  <c r="J1612" i="13"/>
  <c r="J1719" i="13"/>
  <c r="J1735" i="13"/>
  <c r="J1694" i="13"/>
  <c r="J1639" i="13"/>
  <c r="J1628" i="13"/>
  <c r="J1642" i="13"/>
  <c r="J2333" i="13"/>
  <c r="J2454" i="13"/>
  <c r="J2474" i="13"/>
  <c r="J2361" i="13"/>
  <c r="J2029" i="13"/>
  <c r="J2089" i="13"/>
  <c r="J2165" i="13"/>
  <c r="J2076" i="13"/>
  <c r="J2038" i="13"/>
  <c r="J941" i="13"/>
  <c r="J773" i="13"/>
  <c r="J987" i="13"/>
  <c r="J864" i="13"/>
  <c r="J880" i="13"/>
  <c r="J871" i="13"/>
  <c r="J767" i="13"/>
  <c r="J927" i="13"/>
  <c r="J923" i="13"/>
  <c r="J793" i="13"/>
  <c r="J981" i="13"/>
  <c r="J911" i="13"/>
  <c r="J782" i="13"/>
  <c r="J819" i="13"/>
  <c r="J1387" i="13"/>
  <c r="J1394" i="13"/>
  <c r="J1420" i="13"/>
  <c r="J1487" i="13"/>
  <c r="J1023" i="13"/>
  <c r="J1095" i="13"/>
  <c r="J1025" i="13"/>
  <c r="J1048" i="13"/>
  <c r="J1775" i="13"/>
  <c r="J1771" i="13"/>
  <c r="J1859" i="13"/>
  <c r="J1795" i="13"/>
  <c r="J1522" i="13"/>
  <c r="J1610" i="13"/>
  <c r="J1510" i="13"/>
  <c r="J1497" i="13"/>
  <c r="J1363" i="13"/>
  <c r="J1446" i="13"/>
  <c r="J1347" i="13"/>
  <c r="J1430" i="13"/>
  <c r="J1356" i="13"/>
  <c r="J1289" i="13"/>
  <c r="J1265" i="13"/>
  <c r="J561" i="13"/>
  <c r="J605" i="13"/>
  <c r="J560" i="13"/>
  <c r="J544" i="13"/>
  <c r="J670" i="13"/>
  <c r="J675" i="13"/>
  <c r="J1523" i="13"/>
  <c r="J1709" i="13"/>
  <c r="J1602" i="13"/>
  <c r="J1520" i="13"/>
  <c r="J1685" i="13"/>
  <c r="J1715" i="13"/>
  <c r="J1528" i="13"/>
  <c r="J1679" i="13"/>
  <c r="J1590" i="13"/>
  <c r="J2264" i="13"/>
  <c r="J2457" i="13"/>
  <c r="J2415" i="13"/>
  <c r="J2431" i="13"/>
  <c r="J2475" i="13"/>
  <c r="J2250" i="13"/>
  <c r="J2373" i="13"/>
  <c r="J2019" i="13"/>
  <c r="J2088" i="13"/>
  <c r="J2068" i="13"/>
  <c r="J2220" i="13"/>
  <c r="J2148" i="13"/>
  <c r="J2105" i="13"/>
  <c r="J2127" i="13"/>
  <c r="J2152" i="13"/>
  <c r="J2100" i="13"/>
  <c r="J2156" i="13"/>
  <c r="J2047" i="13"/>
  <c r="J2060" i="13"/>
  <c r="J766" i="13"/>
  <c r="J853" i="13"/>
  <c r="J883" i="13"/>
  <c r="J821" i="13"/>
  <c r="J887" i="13"/>
  <c r="J841" i="13"/>
  <c r="J970" i="13"/>
  <c r="J900" i="13"/>
  <c r="J948" i="13"/>
  <c r="J1392" i="13"/>
  <c r="J1324" i="13"/>
  <c r="J1466" i="13"/>
  <c r="J1362" i="13"/>
  <c r="J1434" i="13"/>
  <c r="J1452" i="13"/>
  <c r="J1358" i="13"/>
  <c r="J1296" i="13"/>
  <c r="J1337" i="13"/>
  <c r="J1404" i="13"/>
  <c r="J1306" i="13"/>
  <c r="J1467" i="13"/>
  <c r="J1213" i="13"/>
  <c r="J1105" i="13"/>
  <c r="J1112" i="13"/>
  <c r="J1147" i="13"/>
  <c r="J1109" i="13"/>
  <c r="J1238" i="13"/>
  <c r="J1072" i="13"/>
  <c r="J1135" i="13"/>
  <c r="J1180" i="13"/>
  <c r="V2086" i="13"/>
  <c r="A2086" i="13" s="1"/>
  <c r="V2134" i="13"/>
  <c r="A2134" i="13" s="1"/>
  <c r="V2131" i="13"/>
  <c r="A2131" i="13" s="1"/>
  <c r="V2003" i="13"/>
  <c r="A2003" i="13" s="1"/>
  <c r="V2408" i="13"/>
  <c r="A2408" i="13" s="1"/>
  <c r="V2440" i="13"/>
  <c r="A2440" i="13" s="1"/>
  <c r="V2392" i="13"/>
  <c r="A2392" i="13" s="1"/>
  <c r="V2458" i="13"/>
  <c r="A2458" i="13" s="1"/>
  <c r="V2319" i="13"/>
  <c r="A2319" i="13" s="1"/>
  <c r="V967" i="13"/>
  <c r="A967" i="13" s="1"/>
  <c r="V750" i="13"/>
  <c r="A750" i="13" s="1"/>
  <c r="V778" i="13"/>
  <c r="A778" i="13" s="1"/>
  <c r="V955" i="13"/>
  <c r="A955" i="13" s="1"/>
  <c r="V812" i="13"/>
  <c r="A812" i="13" s="1"/>
  <c r="V930" i="13"/>
  <c r="A930" i="13" s="1"/>
  <c r="V984" i="13"/>
  <c r="A984" i="13" s="1"/>
  <c r="V968" i="13"/>
  <c r="A968" i="13" s="1"/>
  <c r="V990" i="13"/>
  <c r="A990" i="13" s="1"/>
  <c r="V806" i="13"/>
  <c r="A806" i="13" s="1"/>
  <c r="V982" i="13"/>
  <c r="A982" i="13" s="1"/>
  <c r="V846" i="13"/>
  <c r="A846" i="13" s="1"/>
  <c r="V562" i="13"/>
  <c r="A562" i="13" s="1"/>
  <c r="V667" i="13"/>
  <c r="A667" i="13" s="1"/>
  <c r="V655" i="13"/>
  <c r="A655" i="13" s="1"/>
  <c r="V734" i="13"/>
  <c r="A734" i="13" s="1"/>
  <c r="V593" i="13"/>
  <c r="A593" i="13" s="1"/>
  <c r="V575" i="13"/>
  <c r="A575" i="13" s="1"/>
  <c r="V632" i="13"/>
  <c r="A632" i="13" s="1"/>
  <c r="V578" i="13"/>
  <c r="A578" i="13" s="1"/>
  <c r="V624" i="13"/>
  <c r="A624" i="13" s="1"/>
  <c r="V1897" i="13"/>
  <c r="A1897" i="13" s="1"/>
  <c r="V1778" i="13"/>
  <c r="A1778" i="13" s="1"/>
  <c r="V1760" i="13"/>
  <c r="A1760" i="13" s="1"/>
  <c r="V1824" i="13"/>
  <c r="A1824" i="13" s="1"/>
  <c r="V1812" i="13"/>
  <c r="A1812" i="13" s="1"/>
  <c r="V1764" i="13"/>
  <c r="A1764" i="13" s="1"/>
  <c r="J1076" i="13"/>
  <c r="J1802" i="13"/>
  <c r="J1920" i="13"/>
  <c r="J1881" i="13"/>
  <c r="J1849" i="13"/>
  <c r="J1697" i="13"/>
  <c r="J1618" i="13"/>
  <c r="J1683" i="13"/>
  <c r="J1594" i="13"/>
  <c r="J1599" i="13"/>
  <c r="J1526" i="13"/>
  <c r="J1498" i="13"/>
  <c r="J2096" i="13"/>
  <c r="J2192" i="13"/>
  <c r="J2228" i="13"/>
  <c r="J2202" i="13"/>
  <c r="J1997" i="13"/>
  <c r="J2196" i="13"/>
  <c r="J2115" i="13"/>
  <c r="J1450" i="13"/>
  <c r="J1437" i="13"/>
  <c r="J1269" i="13"/>
  <c r="J1419" i="13"/>
  <c r="J1412" i="13"/>
  <c r="J1247" i="13"/>
  <c r="J1438" i="13"/>
  <c r="J1432" i="13"/>
  <c r="J1451" i="13"/>
  <c r="J1444" i="13"/>
  <c r="J1862" i="13"/>
  <c r="J1779" i="13"/>
  <c r="J1983" i="13"/>
  <c r="J1961" i="13"/>
  <c r="J1870" i="13"/>
  <c r="J1878" i="13"/>
  <c r="J1978" i="13"/>
  <c r="J1782" i="13"/>
  <c r="J710" i="13"/>
  <c r="J517" i="13"/>
  <c r="J601" i="13"/>
  <c r="J618" i="13"/>
  <c r="J569" i="13"/>
  <c r="J527" i="13"/>
  <c r="J592" i="13"/>
  <c r="J630" i="13"/>
  <c r="J1532" i="13"/>
  <c r="J1693" i="13"/>
  <c r="J1566" i="13"/>
  <c r="J2302" i="13"/>
  <c r="J2473" i="13"/>
  <c r="J2298" i="13"/>
  <c r="J2414" i="13"/>
  <c r="J2426" i="13"/>
  <c r="J2428" i="13"/>
  <c r="J2159" i="13"/>
  <c r="J2099" i="13"/>
  <c r="J680" i="13"/>
  <c r="J547" i="13"/>
  <c r="J526" i="13"/>
  <c r="J558" i="13"/>
  <c r="J2413" i="13"/>
  <c r="J2338" i="13"/>
  <c r="J2408" i="13"/>
  <c r="J2440" i="13"/>
  <c r="J2444" i="13"/>
  <c r="J2346" i="13"/>
  <c r="J2467" i="13"/>
  <c r="J2307" i="13"/>
  <c r="J2319" i="13"/>
  <c r="J2253" i="13"/>
  <c r="J2350" i="13"/>
  <c r="J1230" i="13"/>
  <c r="J1004" i="13"/>
  <c r="J1060" i="13"/>
  <c r="J1031" i="13"/>
  <c r="J1017" i="13"/>
  <c r="J1199" i="13"/>
  <c r="J1010" i="13"/>
  <c r="J1030" i="13"/>
  <c r="J559" i="13"/>
  <c r="J1592" i="13"/>
  <c r="J1720" i="13"/>
  <c r="J1622" i="13"/>
  <c r="J2026" i="13"/>
  <c r="J2170" i="13"/>
  <c r="V1858" i="13"/>
  <c r="A1858" i="13" s="1"/>
  <c r="V1758" i="13"/>
  <c r="A1758" i="13" s="1"/>
  <c r="V1845" i="13"/>
  <c r="A1845" i="13" s="1"/>
  <c r="V1887" i="13"/>
  <c r="A1887" i="13" s="1"/>
  <c r="V1966" i="13"/>
  <c r="A1966" i="13" s="1"/>
  <c r="V1855" i="13"/>
  <c r="A1855" i="13" s="1"/>
  <c r="V1792" i="13"/>
  <c r="A1792" i="13" s="1"/>
  <c r="V1929" i="13"/>
  <c r="A1929" i="13" s="1"/>
  <c r="V1908" i="13"/>
  <c r="A1908" i="13" s="1"/>
  <c r="V1814" i="13"/>
  <c r="A1814" i="13" s="1"/>
  <c r="V1596" i="13"/>
  <c r="A1596" i="13" s="1"/>
  <c r="V1601" i="13"/>
  <c r="A1601" i="13" s="1"/>
  <c r="V1699" i="13"/>
  <c r="A1699" i="13" s="1"/>
  <c r="V1580" i="13"/>
  <c r="A1580" i="13" s="1"/>
  <c r="V1734" i="13"/>
  <c r="A1734" i="13" s="1"/>
  <c r="V1675" i="13"/>
  <c r="A1675" i="13" s="1"/>
  <c r="V1515" i="13"/>
  <c r="A1515" i="13" s="1"/>
  <c r="V1134" i="13"/>
  <c r="A1134" i="13" s="1"/>
  <c r="V1155" i="13"/>
  <c r="A1155" i="13" s="1"/>
  <c r="V1174" i="13"/>
  <c r="A1174" i="13" s="1"/>
  <c r="V1068" i="13"/>
  <c r="A1068" i="13" s="1"/>
  <c r="V1058" i="13"/>
  <c r="A1058" i="13" s="1"/>
  <c r="V1054" i="13"/>
  <c r="A1054" i="13" s="1"/>
  <c r="V1211" i="13"/>
  <c r="A1211" i="13" s="1"/>
  <c r="V1186" i="13"/>
  <c r="A1186" i="13" s="1"/>
  <c r="V2135" i="13"/>
  <c r="A2135" i="13" s="1"/>
  <c r="V2010" i="13"/>
  <c r="A2010" i="13" s="1"/>
  <c r="V2162" i="13"/>
  <c r="A2162" i="13" s="1"/>
  <c r="J2190" i="13"/>
  <c r="J2009" i="13"/>
  <c r="J2181" i="13"/>
  <c r="J2030" i="13"/>
  <c r="J2075" i="13"/>
  <c r="J2064" i="13"/>
  <c r="J2195" i="13"/>
  <c r="J2045" i="13"/>
  <c r="J2061" i="13"/>
  <c r="J2184" i="13"/>
  <c r="J2124" i="13"/>
  <c r="J2072" i="13"/>
  <c r="J2062" i="13"/>
  <c r="J2083" i="13"/>
  <c r="J2189" i="13"/>
  <c r="J2203" i="13"/>
  <c r="J2102" i="13"/>
  <c r="J2222" i="13"/>
  <c r="J2008" i="13"/>
  <c r="J2000" i="13"/>
  <c r="J2087" i="13"/>
  <c r="J2216" i="13"/>
  <c r="J2044" i="13"/>
  <c r="J2080" i="13"/>
  <c r="J2133" i="13"/>
  <c r="J2180" i="13"/>
  <c r="J2142" i="13"/>
  <c r="J2161" i="13"/>
  <c r="J2059" i="13"/>
  <c r="J2018" i="13"/>
  <c r="J2125" i="13"/>
  <c r="J2065" i="13"/>
  <c r="J2155" i="13"/>
  <c r="J2231" i="13"/>
  <c r="J2191" i="13"/>
  <c r="J2135" i="13"/>
  <c r="J1991" i="13"/>
  <c r="J2206" i="13"/>
  <c r="J978" i="13"/>
  <c r="J794" i="13"/>
  <c r="J795" i="13"/>
  <c r="J919" i="13"/>
  <c r="J906" i="13"/>
  <c r="J936" i="13"/>
  <c r="J832" i="13"/>
  <c r="J946" i="13"/>
  <c r="J884" i="13"/>
  <c r="J827" i="13"/>
  <c r="J868" i="13"/>
  <c r="J932" i="13"/>
  <c r="J855" i="13"/>
  <c r="J1312" i="13"/>
  <c r="J1313" i="13"/>
  <c r="J1295" i="13"/>
  <c r="J1277" i="13"/>
  <c r="J1415" i="13"/>
  <c r="J1398" i="13"/>
  <c r="J1483" i="13"/>
  <c r="J1342" i="13"/>
  <c r="J1408" i="13"/>
  <c r="J1472" i="13"/>
  <c r="J1485" i="13"/>
  <c r="J1364" i="13"/>
  <c r="J1343" i="13"/>
  <c r="J1287" i="13"/>
  <c r="J1397" i="13"/>
  <c r="J1403" i="13"/>
  <c r="J1389" i="13"/>
  <c r="J1279" i="13"/>
  <c r="J1401" i="13"/>
  <c r="J999" i="13"/>
  <c r="J998" i="13"/>
  <c r="J1058" i="13"/>
  <c r="J1043" i="13"/>
  <c r="J1121" i="13"/>
  <c r="J1014" i="13"/>
  <c r="J1049" i="13"/>
  <c r="J1163" i="13"/>
  <c r="J1029" i="13"/>
  <c r="J1204" i="13"/>
  <c r="J1197" i="13"/>
  <c r="J1078" i="13"/>
  <c r="J1962" i="13"/>
  <c r="J1838" i="13"/>
  <c r="J1949" i="13"/>
  <c r="J1854" i="13"/>
  <c r="J1751" i="13"/>
  <c r="J1853" i="13"/>
  <c r="J1857" i="13"/>
  <c r="J1845" i="13"/>
  <c r="J1969" i="13"/>
  <c r="J1952" i="13"/>
  <c r="J1897" i="13"/>
  <c r="J1812" i="13"/>
  <c r="J1816" i="13"/>
  <c r="J1973" i="13"/>
  <c r="J1966" i="13"/>
  <c r="J1830" i="13"/>
  <c r="J1956" i="13"/>
  <c r="J1787" i="13"/>
  <c r="J1840" i="13"/>
  <c r="J1808" i="13"/>
  <c r="J1940" i="13"/>
  <c r="J1858" i="13"/>
  <c r="J1879" i="13"/>
  <c r="J1747" i="13"/>
  <c r="J1856" i="13"/>
  <c r="J1933" i="13"/>
  <c r="J1883" i="13"/>
  <c r="J1815" i="13"/>
  <c r="J1882" i="13"/>
  <c r="J1874" i="13"/>
  <c r="J1807" i="13"/>
  <c r="J1964" i="13"/>
  <c r="J2557" i="13"/>
  <c r="J2607" i="13"/>
  <c r="J2717" i="13"/>
  <c r="J2593" i="13"/>
  <c r="J2541" i="13"/>
  <c r="J2718" i="13"/>
  <c r="J2699" i="13"/>
  <c r="J2713" i="13"/>
  <c r="J2652" i="13"/>
  <c r="J2517" i="13"/>
  <c r="J2490" i="13"/>
  <c r="J2615" i="13"/>
  <c r="J2723" i="13"/>
  <c r="J2687" i="13"/>
  <c r="J2516" i="13"/>
  <c r="J2686" i="13"/>
  <c r="J2653" i="13"/>
  <c r="V2436" i="13"/>
  <c r="A2436" i="13" s="1"/>
  <c r="V2288" i="13"/>
  <c r="A2288" i="13" s="1"/>
  <c r="V2292" i="13"/>
  <c r="A2292" i="13" s="1"/>
  <c r="V2324" i="13"/>
  <c r="A2324" i="13" s="1"/>
  <c r="V776" i="13"/>
  <c r="A776" i="13" s="1"/>
  <c r="V524" i="13"/>
  <c r="A524" i="13" s="1"/>
  <c r="V564" i="13"/>
  <c r="A564" i="13" s="1"/>
  <c r="V504" i="13"/>
  <c r="A504" i="13" s="1"/>
  <c r="V1777" i="13"/>
  <c r="A1777" i="13" s="1"/>
  <c r="V1932" i="13"/>
  <c r="A1932" i="13" s="1"/>
  <c r="V1746" i="13"/>
  <c r="A1746" i="13" s="1"/>
  <c r="V2126" i="13"/>
  <c r="A2126" i="13" s="1"/>
  <c r="V1400" i="13"/>
  <c r="A1400" i="13" s="1"/>
  <c r="V2686" i="13"/>
  <c r="A2686" i="13" s="1"/>
  <c r="V2520" i="13"/>
  <c r="A2520" i="13" s="1"/>
  <c r="V2546" i="13"/>
  <c r="A2546" i="13" s="1"/>
  <c r="V2616" i="13"/>
  <c r="A2616" i="13" s="1"/>
  <c r="V2533" i="13"/>
  <c r="A2533" i="13" s="1"/>
  <c r="V1872" i="13"/>
  <c r="A1872" i="13" s="1"/>
  <c r="V1892" i="13"/>
  <c r="A1892" i="13" s="1"/>
  <c r="V1951" i="13"/>
  <c r="A1951" i="13" s="1"/>
  <c r="V1922" i="13"/>
  <c r="A1922" i="13" s="1"/>
  <c r="V1757" i="13"/>
  <c r="A1757" i="13" s="1"/>
  <c r="V1886" i="13"/>
  <c r="A1886" i="13" s="1"/>
  <c r="V1875" i="13"/>
  <c r="A1875" i="13" s="1"/>
  <c r="V1928" i="13"/>
  <c r="A1928" i="13" s="1"/>
  <c r="V1511" i="13"/>
  <c r="A1511" i="13" s="1"/>
  <c r="V1539" i="13"/>
  <c r="A1539" i="13" s="1"/>
  <c r="V1496" i="13"/>
  <c r="A1496" i="13" s="1"/>
  <c r="V1090" i="13"/>
  <c r="A1090" i="13" s="1"/>
  <c r="V1044" i="13"/>
  <c r="A1044" i="13" s="1"/>
  <c r="V1137" i="13"/>
  <c r="A1137" i="13" s="1"/>
  <c r="V1138" i="13"/>
  <c r="A1138" i="13" s="1"/>
  <c r="V1149" i="13"/>
  <c r="A1149" i="13" s="1"/>
  <c r="V1074" i="13"/>
  <c r="A1074" i="13" s="1"/>
  <c r="V2106" i="13"/>
  <c r="A2106" i="13" s="1"/>
  <c r="V2032" i="13"/>
  <c r="A2032" i="13" s="1"/>
  <c r="V1250" i="13"/>
  <c r="A1250" i="13" s="1"/>
  <c r="V1345" i="13"/>
  <c r="A1345" i="13" s="1"/>
  <c r="V1292" i="13"/>
  <c r="A1292" i="13" s="1"/>
  <c r="V2651" i="13"/>
  <c r="A2651" i="13" s="1"/>
  <c r="V2615" i="13"/>
  <c r="A2615" i="13" s="1"/>
  <c r="V2564" i="13"/>
  <c r="A2564" i="13" s="1"/>
  <c r="V2574" i="13"/>
  <c r="A2574" i="13" s="1"/>
  <c r="V2504" i="13"/>
  <c r="A2504" i="13" s="1"/>
  <c r="V2563" i="13"/>
  <c r="A2563" i="13" s="1"/>
  <c r="V2496" i="13"/>
  <c r="A2496" i="13" s="1"/>
  <c r="V2548" i="13"/>
  <c r="A2548" i="13" s="1"/>
  <c r="V2701" i="13"/>
  <c r="A2701" i="13" s="1"/>
  <c r="V2522" i="13"/>
  <c r="A2522" i="13" s="1"/>
  <c r="V2684" i="13"/>
  <c r="A2684" i="13" s="1"/>
  <c r="V2670" i="13"/>
  <c r="A2670" i="13" s="1"/>
  <c r="V2505" i="13"/>
  <c r="A2505" i="13" s="1"/>
  <c r="V2208" i="13"/>
  <c r="A2208" i="13" s="1"/>
  <c r="V2042" i="13"/>
  <c r="A2042" i="13" s="1"/>
  <c r="V2188" i="13"/>
  <c r="A2188" i="13" s="1"/>
  <c r="V1418" i="13"/>
  <c r="A1418" i="13" s="1"/>
  <c r="V1270" i="13"/>
  <c r="A1270" i="13" s="1"/>
  <c r="V2599" i="13"/>
  <c r="A2599" i="13" s="1"/>
  <c r="V2097" i="13"/>
  <c r="A2097" i="13" s="1"/>
  <c r="V2191" i="13"/>
  <c r="A2191" i="13" s="1"/>
  <c r="V2204" i="13"/>
  <c r="A2204" i="13" s="1"/>
  <c r="V1417" i="13"/>
  <c r="A1417" i="13" s="1"/>
  <c r="V1481" i="13"/>
  <c r="A1481" i="13" s="1"/>
  <c r="V1344" i="13"/>
  <c r="A1344" i="13" s="1"/>
  <c r="V1357" i="13"/>
  <c r="A1357" i="13" s="1"/>
  <c r="V1388" i="13"/>
  <c r="A1388" i="13" s="1"/>
  <c r="V1381" i="13"/>
  <c r="A1381" i="13" s="1"/>
  <c r="V2627" i="13"/>
  <c r="A2627" i="13" s="1"/>
  <c r="V2648" i="13"/>
  <c r="A2648" i="13" s="1"/>
  <c r="V2582" i="13"/>
  <c r="A2582" i="13" s="1"/>
  <c r="V2513" i="13"/>
  <c r="A2513" i="13" s="1"/>
  <c r="V2530" i="13"/>
  <c r="A2530" i="13" s="1"/>
  <c r="V2632" i="13"/>
  <c r="A2632" i="13" s="1"/>
  <c r="V2495" i="13"/>
  <c r="A2495" i="13" s="1"/>
  <c r="V2673" i="13"/>
  <c r="A2673" i="13" s="1"/>
  <c r="V2497" i="13"/>
  <c r="A2497" i="13" s="1"/>
  <c r="V2659" i="13"/>
  <c r="A2659" i="13" s="1"/>
  <c r="V2618" i="13"/>
  <c r="A2618" i="13" s="1"/>
  <c r="V2621" i="13"/>
  <c r="A2621" i="13" s="1"/>
  <c r="V2643" i="13"/>
  <c r="A2643" i="13" s="1"/>
  <c r="V2272" i="13"/>
  <c r="A2272" i="13" s="1"/>
  <c r="V2256" i="13"/>
  <c r="A2256" i="13" s="1"/>
  <c r="V986" i="13"/>
  <c r="A986" i="13" s="1"/>
  <c r="V795" i="13"/>
  <c r="A795" i="13" s="1"/>
  <c r="V534" i="13"/>
  <c r="A534" i="13" s="1"/>
  <c r="V529" i="13"/>
  <c r="A529" i="13" s="1"/>
  <c r="V628" i="13"/>
  <c r="A628" i="13" s="1"/>
  <c r="V701" i="13"/>
  <c r="A701" i="13" s="1"/>
  <c r="V590" i="13"/>
  <c r="A590" i="13" s="1"/>
  <c r="J1493" i="13"/>
  <c r="V1869" i="13"/>
  <c r="A1869" i="13" s="1"/>
  <c r="V1772" i="13"/>
  <c r="A1772" i="13" s="1"/>
  <c r="V1624" i="13"/>
  <c r="A1624" i="13" s="1"/>
  <c r="V1039" i="13"/>
  <c r="A1039" i="13" s="1"/>
  <c r="V1156" i="13"/>
  <c r="A1156" i="13" s="1"/>
  <c r="V1249" i="13"/>
  <c r="A1249" i="13" s="1"/>
  <c r="V2545" i="13"/>
  <c r="A2545" i="13" s="1"/>
  <c r="V2614" i="13"/>
  <c r="A2614" i="13" s="1"/>
  <c r="V2570" i="13"/>
  <c r="A2570" i="13" s="1"/>
  <c r="V2719" i="13"/>
  <c r="A2719" i="13" s="1"/>
  <c r="V1274" i="13"/>
  <c r="A1274" i="13" s="1"/>
  <c r="V2695" i="13"/>
  <c r="A2695" i="13" s="1"/>
  <c r="V579" i="13"/>
  <c r="A579" i="13" s="1"/>
  <c r="V1595" i="13"/>
  <c r="A1595" i="13" s="1"/>
  <c r="V1718" i="13"/>
  <c r="A1718" i="13" s="1"/>
  <c r="V1716" i="13"/>
  <c r="A1716" i="13" s="1"/>
  <c r="V1666" i="13"/>
  <c r="A1666" i="13" s="1"/>
  <c r="V1576" i="13"/>
  <c r="A1576" i="13" s="1"/>
  <c r="V2286" i="13"/>
  <c r="A2286" i="13" s="1"/>
  <c r="V2363" i="13"/>
  <c r="A2363" i="13" s="1"/>
  <c r="V2386" i="13"/>
  <c r="A2386" i="13" s="1"/>
  <c r="V818" i="13"/>
  <c r="A818" i="13" s="1"/>
  <c r="V973" i="13"/>
  <c r="A973" i="13" s="1"/>
  <c r="V629" i="13"/>
  <c r="A629" i="13" s="1"/>
  <c r="V609" i="13"/>
  <c r="A609" i="13" s="1"/>
  <c r="V1602" i="13"/>
  <c r="A1602" i="13" s="1"/>
  <c r="V1520" i="13"/>
  <c r="A1520" i="13" s="1"/>
  <c r="V1715" i="13"/>
  <c r="A1715" i="13" s="1"/>
  <c r="V1118" i="13"/>
  <c r="A1118" i="13" s="1"/>
  <c r="V1109" i="13"/>
  <c r="A1109" i="13" s="1"/>
  <c r="V1173" i="13"/>
  <c r="A1173" i="13" s="1"/>
  <c r="V2185" i="13"/>
  <c r="A2185" i="13" s="1"/>
  <c r="V2348" i="13"/>
  <c r="A2348" i="13" s="1"/>
  <c r="V2438" i="13"/>
  <c r="A2438" i="13" s="1"/>
  <c r="V2462" i="13"/>
  <c r="A2462" i="13" s="1"/>
  <c r="V2405" i="13"/>
  <c r="A2405" i="13" s="1"/>
  <c r="V2389" i="13"/>
  <c r="A2389" i="13" s="1"/>
  <c r="V927" i="13"/>
  <c r="A927" i="13" s="1"/>
  <c r="V971" i="13"/>
  <c r="A971" i="13" s="1"/>
  <c r="V890" i="13"/>
  <c r="A890" i="13" s="1"/>
  <c r="V793" i="13"/>
  <c r="A793" i="13" s="1"/>
  <c r="V570" i="13"/>
  <c r="A570" i="13" s="1"/>
  <c r="V681" i="13"/>
  <c r="A681" i="13" s="1"/>
  <c r="V612" i="13"/>
  <c r="A612" i="13" s="1"/>
  <c r="V644" i="13"/>
  <c r="A644" i="13" s="1"/>
  <c r="V573" i="13"/>
  <c r="A573" i="13" s="1"/>
  <c r="V554" i="13"/>
  <c r="A554" i="13" s="1"/>
  <c r="V580" i="13"/>
  <c r="A580" i="13" s="1"/>
  <c r="V1769" i="13"/>
  <c r="A1769" i="13" s="1"/>
  <c r="V1971" i="13"/>
  <c r="A1971" i="13" s="1"/>
  <c r="V1833" i="13"/>
  <c r="A1833" i="13" s="1"/>
  <c r="V1639" i="13"/>
  <c r="A1639" i="13" s="1"/>
  <c r="V1606" i="13"/>
  <c r="A1606" i="13" s="1"/>
  <c r="V1542" i="13"/>
  <c r="A1542" i="13" s="1"/>
  <c r="V1642" i="13"/>
  <c r="A1642" i="13" s="1"/>
  <c r="V1504" i="13"/>
  <c r="A1504" i="13" s="1"/>
  <c r="V1653" i="13"/>
  <c r="A1653" i="13" s="1"/>
  <c r="V1569" i="13"/>
  <c r="A1569" i="13" s="1"/>
  <c r="V1622" i="13"/>
  <c r="A1622" i="13" s="1"/>
  <c r="V1066" i="13"/>
  <c r="A1066" i="13" s="1"/>
  <c r="V1019" i="13"/>
  <c r="A1019" i="13" s="1"/>
  <c r="V1073" i="13"/>
  <c r="A1073" i="13" s="1"/>
  <c r="V1059" i="13"/>
  <c r="A1059" i="13" s="1"/>
  <c r="V2080" i="13"/>
  <c r="A2080" i="13" s="1"/>
  <c r="V2055" i="13"/>
  <c r="A2055" i="13" s="1"/>
  <c r="J2094" i="13"/>
  <c r="J1380" i="13"/>
  <c r="J1330" i="13"/>
  <c r="J1436" i="13"/>
  <c r="J1833" i="13"/>
  <c r="J1743" i="13"/>
  <c r="J2667" i="13"/>
  <c r="J2531" i="13"/>
  <c r="J2640" i="13"/>
  <c r="J2614" i="13"/>
  <c r="J2562" i="13"/>
  <c r="J2548" i="13"/>
  <c r="V2364" i="13"/>
  <c r="A2364" i="13" s="1"/>
  <c r="V2431" i="13"/>
  <c r="A2431" i="13" s="1"/>
  <c r="V2473" i="13"/>
  <c r="A2473" i="13" s="1"/>
  <c r="V2409" i="13"/>
  <c r="A2409" i="13" s="1"/>
  <c r="V2460" i="13"/>
  <c r="A2460" i="13" s="1"/>
  <c r="V2326" i="13"/>
  <c r="A2326" i="13" s="1"/>
  <c r="V2343" i="13"/>
  <c r="A2343" i="13" s="1"/>
  <c r="V2471" i="13"/>
  <c r="A2471" i="13" s="1"/>
  <c r="V2304" i="13"/>
  <c r="A2304" i="13" s="1"/>
  <c r="V2328" i="13"/>
  <c r="A2328" i="13" s="1"/>
  <c r="V2315" i="13"/>
  <c r="A2315" i="13" s="1"/>
  <c r="V2344" i="13"/>
  <c r="A2344" i="13" s="1"/>
  <c r="V880" i="13"/>
  <c r="A880" i="13" s="1"/>
  <c r="V868" i="13"/>
  <c r="A868" i="13" s="1"/>
  <c r="V792" i="13"/>
  <c r="A792" i="13" s="1"/>
  <c r="V810" i="13"/>
  <c r="A810" i="13" s="1"/>
  <c r="V780" i="13"/>
  <c r="A780" i="13" s="1"/>
  <c r="V899" i="13"/>
  <c r="A899" i="13" s="1"/>
  <c r="V887" i="13"/>
  <c r="A887" i="13" s="1"/>
  <c r="V862" i="13"/>
  <c r="A862" i="13" s="1"/>
  <c r="V922" i="13"/>
  <c r="A922" i="13" s="1"/>
  <c r="V897" i="13"/>
  <c r="A897" i="13" s="1"/>
  <c r="V969" i="13"/>
  <c r="A969" i="13" s="1"/>
  <c r="V779" i="13"/>
  <c r="A779" i="13" s="1"/>
  <c r="V817" i="13"/>
  <c r="A817" i="13" s="1"/>
  <c r="V894" i="13"/>
  <c r="A894" i="13" s="1"/>
  <c r="V693" i="13"/>
  <c r="A693" i="13" s="1"/>
  <c r="V599" i="13"/>
  <c r="A599" i="13" s="1"/>
  <c r="V685" i="13"/>
  <c r="A685" i="13" s="1"/>
  <c r="V630" i="13"/>
  <c r="A630" i="13" s="1"/>
  <c r="V651" i="13"/>
  <c r="A651" i="13" s="1"/>
  <c r="V587" i="13"/>
  <c r="A587" i="13" s="1"/>
  <c r="V569" i="13"/>
  <c r="A569" i="13" s="1"/>
  <c r="V513" i="13"/>
  <c r="A513" i="13" s="1"/>
  <c r="V508" i="13"/>
  <c r="A508" i="13" s="1"/>
  <c r="V689" i="13"/>
  <c r="A689" i="13" s="1"/>
  <c r="V686" i="13"/>
  <c r="A686" i="13" s="1"/>
  <c r="V1752" i="13"/>
  <c r="A1752" i="13" s="1"/>
  <c r="V1934" i="13"/>
  <c r="A1934" i="13" s="1"/>
  <c r="V1968" i="13"/>
  <c r="A1968" i="13" s="1"/>
  <c r="V1899" i="13"/>
  <c r="A1899" i="13" s="1"/>
  <c r="V1977" i="13"/>
  <c r="A1977" i="13" s="1"/>
  <c r="V1558" i="13"/>
  <c r="A1558" i="13" s="1"/>
  <c r="V1583" i="13"/>
  <c r="A1583" i="13" s="1"/>
  <c r="V1575" i="13"/>
  <c r="A1575" i="13" s="1"/>
  <c r="V1708" i="13"/>
  <c r="A1708" i="13" s="1"/>
  <c r="V1707" i="13"/>
  <c r="A1707" i="13" s="1"/>
  <c r="V1627" i="13"/>
  <c r="A1627" i="13" s="1"/>
  <c r="V1538" i="13"/>
  <c r="A1538" i="13" s="1"/>
  <c r="V1525" i="13"/>
  <c r="A1525" i="13" s="1"/>
  <c r="V1589" i="13"/>
  <c r="A1589" i="13" s="1"/>
  <c r="V1652" i="13"/>
  <c r="A1652" i="13" s="1"/>
  <c r="V1526" i="13"/>
  <c r="A1526" i="13" s="1"/>
  <c r="V1529" i="13"/>
  <c r="A1529" i="13" s="1"/>
  <c r="V1165" i="13"/>
  <c r="A1165" i="13" s="1"/>
  <c r="V1064" i="13"/>
  <c r="A1064" i="13" s="1"/>
  <c r="V1187" i="13"/>
  <c r="A1187" i="13" s="1"/>
  <c r="V1103" i="13"/>
  <c r="A1103" i="13" s="1"/>
  <c r="V1001" i="13"/>
  <c r="A1001" i="13" s="1"/>
  <c r="V1204" i="13"/>
  <c r="A1204" i="13" s="1"/>
  <c r="V1189" i="13"/>
  <c r="A1189" i="13" s="1"/>
  <c r="V1071" i="13"/>
  <c r="A1071" i="13" s="1"/>
  <c r="V1077" i="13"/>
  <c r="A1077" i="13" s="1"/>
  <c r="V2151" i="13"/>
  <c r="A2151" i="13" s="1"/>
  <c r="V1999" i="13"/>
  <c r="A1999" i="13" s="1"/>
  <c r="V2154" i="13"/>
  <c r="A2154" i="13" s="1"/>
  <c r="V2123" i="13"/>
  <c r="A2123" i="13" s="1"/>
  <c r="V2214" i="13"/>
  <c r="A2214" i="13" s="1"/>
  <c r="V2096" i="13"/>
  <c r="A2096" i="13" s="1"/>
  <c r="V2088" i="13"/>
  <c r="A2088" i="13" s="1"/>
  <c r="V2180" i="13"/>
  <c r="A2180" i="13" s="1"/>
  <c r="V2165" i="13"/>
  <c r="A2165" i="13" s="1"/>
  <c r="V2019" i="13"/>
  <c r="A2019" i="13" s="1"/>
  <c r="V2226" i="13"/>
  <c r="A2226" i="13" s="1"/>
  <c r="V2005" i="13"/>
  <c r="A2005" i="13" s="1"/>
  <c r="V2186" i="13"/>
  <c r="A2186" i="13" s="1"/>
  <c r="V2155" i="13"/>
  <c r="A2155" i="13" s="1"/>
  <c r="V2202" i="13"/>
  <c r="A2202" i="13" s="1"/>
  <c r="V1462" i="13"/>
  <c r="A1462" i="13" s="1"/>
  <c r="V1283" i="13"/>
  <c r="A1283" i="13" s="1"/>
  <c r="V1447" i="13"/>
  <c r="A1447" i="13" s="1"/>
  <c r="V1258" i="13"/>
  <c r="A1258" i="13" s="1"/>
  <c r="V1368" i="13"/>
  <c r="A1368" i="13" s="1"/>
  <c r="V1379" i="13"/>
  <c r="A1379" i="13" s="1"/>
  <c r="V1359" i="13"/>
  <c r="A1359" i="13" s="1"/>
  <c r="V1404" i="13"/>
  <c r="A1404" i="13" s="1"/>
  <c r="V1264" i="13"/>
  <c r="A1264" i="13" s="1"/>
  <c r="V1348" i="13"/>
  <c r="A1348" i="13" s="1"/>
  <c r="V1437" i="13"/>
  <c r="A1437" i="13" s="1"/>
  <c r="V1402" i="13"/>
  <c r="A1402" i="13" s="1"/>
  <c r="V2573" i="13"/>
  <c r="A2573" i="13" s="1"/>
  <c r="V2646" i="13"/>
  <c r="A2646" i="13" s="1"/>
  <c r="V2518" i="13"/>
  <c r="A2518" i="13" s="1"/>
  <c r="V2114" i="13"/>
  <c r="A2114" i="13" s="1"/>
  <c r="V2007" i="13"/>
  <c r="A2007" i="13" s="1"/>
  <c r="V2193" i="13"/>
  <c r="A2193" i="13" s="1"/>
  <c r="V2223" i="13"/>
  <c r="A2223" i="13" s="1"/>
  <c r="V2081" i="13"/>
  <c r="A2081" i="13" s="1"/>
  <c r="V2122" i="13"/>
  <c r="A2122" i="13" s="1"/>
  <c r="V2161" i="13"/>
  <c r="A2161" i="13" s="1"/>
  <c r="V2139" i="13"/>
  <c r="A2139" i="13" s="1"/>
  <c r="V2153" i="13"/>
  <c r="A2153" i="13" s="1"/>
  <c r="V2029" i="13"/>
  <c r="A2029" i="13" s="1"/>
  <c r="V2192" i="13"/>
  <c r="A2192" i="13" s="1"/>
  <c r="V2014" i="13"/>
  <c r="A2014" i="13" s="1"/>
  <c r="V2087" i="13"/>
  <c r="A2087" i="13" s="1"/>
  <c r="V2213" i="13"/>
  <c r="A2213" i="13" s="1"/>
  <c r="V2197" i="13"/>
  <c r="A2197" i="13" s="1"/>
  <c r="V2104" i="13"/>
  <c r="A2104" i="13" s="1"/>
  <c r="V2065" i="13"/>
  <c r="A2065" i="13" s="1"/>
  <c r="V1371" i="13"/>
  <c r="A1371" i="13" s="1"/>
  <c r="V1255" i="13"/>
  <c r="A1255" i="13" s="1"/>
  <c r="V1475" i="13"/>
  <c r="A1475" i="13" s="1"/>
  <c r="V1393" i="13"/>
  <c r="A1393" i="13" s="1"/>
  <c r="V1466" i="13"/>
  <c r="A1466" i="13" s="1"/>
  <c r="V1247" i="13"/>
  <c r="A1247" i="13" s="1"/>
  <c r="V1451" i="13"/>
  <c r="A1451" i="13" s="1"/>
  <c r="V1387" i="13"/>
  <c r="A1387" i="13" s="1"/>
  <c r="V1294" i="13"/>
  <c r="A1294" i="13" s="1"/>
  <c r="V1459" i="13"/>
  <c r="A1459" i="13" s="1"/>
  <c r="V1265" i="13"/>
  <c r="A1265" i="13" s="1"/>
  <c r="V1449" i="13"/>
  <c r="A1449" i="13" s="1"/>
  <c r="V1318" i="13"/>
  <c r="A1318" i="13" s="1"/>
  <c r="V1321" i="13"/>
  <c r="A1321" i="13" s="1"/>
  <c r="V2598" i="13"/>
  <c r="A2598" i="13" s="1"/>
  <c r="V2631" i="13"/>
  <c r="A2631" i="13" s="1"/>
  <c r="V2639" i="13"/>
  <c r="A2639" i="13" s="1"/>
  <c r="V2604" i="13"/>
  <c r="A2604" i="13" s="1"/>
  <c r="V2487" i="13"/>
  <c r="A2487" i="13" s="1"/>
  <c r="V2526" i="13"/>
  <c r="A2526" i="13" s="1"/>
  <c r="V2542" i="13"/>
  <c r="A2542" i="13" s="1"/>
  <c r="V2691" i="13"/>
  <c r="A2691" i="13" s="1"/>
  <c r="V2689" i="13"/>
  <c r="A2689" i="13" s="1"/>
  <c r="V2544" i="13"/>
  <c r="A2544" i="13" s="1"/>
  <c r="V2489" i="13"/>
  <c r="A2489" i="13" s="1"/>
  <c r="V2675" i="13"/>
  <c r="A2675" i="13" s="1"/>
  <c r="V2662" i="13"/>
  <c r="A2662" i="13" s="1"/>
  <c r="V2018" i="13"/>
  <c r="A2018" i="13" s="1"/>
  <c r="V2169" i="13"/>
  <c r="A2169" i="13" s="1"/>
  <c r="V2041" i="13"/>
  <c r="A2041" i="13" s="1"/>
  <c r="V2049" i="13"/>
  <c r="A2049" i="13" s="1"/>
  <c r="V2116" i="13"/>
  <c r="A2116" i="13" s="1"/>
  <c r="V2231" i="13"/>
  <c r="A2231" i="13" s="1"/>
  <c r="V2206" i="13"/>
  <c r="A2206" i="13" s="1"/>
  <c r="V2093" i="13"/>
  <c r="A2093" i="13" s="1"/>
  <c r="V2036" i="13"/>
  <c r="A2036" i="13" s="1"/>
  <c r="V2218" i="13"/>
  <c r="A2218" i="13" s="1"/>
  <c r="V1997" i="13"/>
  <c r="A1997" i="13" s="1"/>
  <c r="V2095" i="13"/>
  <c r="A2095" i="13" s="1"/>
  <c r="V2140" i="13"/>
  <c r="A2140" i="13" s="1"/>
  <c r="V2031" i="13"/>
  <c r="A2031" i="13" s="1"/>
  <c r="V2221" i="13"/>
  <c r="A2221" i="13" s="1"/>
  <c r="V2177" i="13"/>
  <c r="A2177" i="13" s="1"/>
  <c r="V2146" i="13"/>
  <c r="A2146" i="13" s="1"/>
  <c r="V2230" i="13"/>
  <c r="A2230" i="13" s="1"/>
  <c r="V1412" i="13"/>
  <c r="A1412" i="13" s="1"/>
  <c r="V1346" i="13"/>
  <c r="A1346" i="13" s="1"/>
  <c r="V1460" i="13"/>
  <c r="A1460" i="13" s="1"/>
  <c r="V1331" i="13"/>
  <c r="A1331" i="13" s="1"/>
  <c r="V1421" i="13"/>
  <c r="A1421" i="13" s="1"/>
  <c r="V1430" i="13"/>
  <c r="A1430" i="13" s="1"/>
  <c r="V1262" i="13"/>
  <c r="A1262" i="13" s="1"/>
  <c r="V1429" i="13"/>
  <c r="A1429" i="13" s="1"/>
  <c r="V1480" i="13"/>
  <c r="A1480" i="13" s="1"/>
  <c r="V1315" i="13"/>
  <c r="A1315" i="13" s="1"/>
  <c r="V1386" i="13"/>
  <c r="A1386" i="13" s="1"/>
  <c r="V1372" i="13"/>
  <c r="A1372" i="13" s="1"/>
  <c r="V1419" i="13"/>
  <c r="A1419" i="13" s="1"/>
  <c r="V1391" i="13"/>
  <c r="A1391" i="13" s="1"/>
  <c r="V1303" i="13"/>
  <c r="A1303" i="13" s="1"/>
  <c r="V1395" i="13"/>
  <c r="A1395" i="13" s="1"/>
  <c r="V1444" i="13"/>
  <c r="A1444" i="13" s="1"/>
  <c r="V1385" i="13"/>
  <c r="A1385" i="13" s="1"/>
  <c r="V1306" i="13"/>
  <c r="A1306" i="13" s="1"/>
  <c r="V1309" i="13"/>
  <c r="A1309" i="13" s="1"/>
  <c r="V1468" i="13"/>
  <c r="A1468" i="13" s="1"/>
  <c r="V1353" i="13"/>
  <c r="A1353" i="13" s="1"/>
  <c r="V1399" i="13"/>
  <c r="A1399" i="13" s="1"/>
  <c r="V1349" i="13"/>
  <c r="A1349" i="13" s="1"/>
  <c r="V2492" i="13"/>
  <c r="A2492" i="13" s="1"/>
  <c r="V2658" i="13"/>
  <c r="A2658" i="13" s="1"/>
  <c r="V2511" i="13"/>
  <c r="A2511" i="13" s="1"/>
  <c r="V2653" i="13"/>
  <c r="A2653" i="13" s="1"/>
  <c r="V2524" i="13"/>
  <c r="A2524" i="13" s="1"/>
  <c r="V2683" i="13"/>
  <c r="A2683" i="13" s="1"/>
  <c r="V2512" i="13"/>
  <c r="A2512" i="13" s="1"/>
  <c r="V2665" i="13"/>
  <c r="A2665" i="13" s="1"/>
  <c r="V2637" i="13"/>
  <c r="A2637" i="13" s="1"/>
  <c r="V2514" i="13"/>
  <c r="A2514" i="13" s="1"/>
  <c r="V2692" i="13"/>
  <c r="A2692" i="13" s="1"/>
  <c r="V2578" i="13"/>
  <c r="A2578" i="13" s="1"/>
  <c r="V2682" i="13"/>
  <c r="A2682" i="13" s="1"/>
  <c r="V2528" i="13"/>
  <c r="A2528" i="13" s="1"/>
  <c r="V2628" i="13"/>
  <c r="A2628" i="13" s="1"/>
  <c r="V2491" i="13"/>
  <c r="A2491" i="13" s="1"/>
  <c r="V2498" i="13"/>
  <c r="A2498" i="13" s="1"/>
  <c r="V2459" i="13"/>
  <c r="A2459" i="13" s="1"/>
  <c r="V2384" i="13"/>
  <c r="A2384" i="13" s="1"/>
  <c r="V2479" i="13"/>
  <c r="A2479" i="13" s="1"/>
  <c r="V2476" i="13"/>
  <c r="A2476" i="13" s="1"/>
  <c r="V2456" i="13"/>
  <c r="A2456" i="13" s="1"/>
  <c r="V2420" i="13"/>
  <c r="A2420" i="13" s="1"/>
  <c r="V2239" i="13"/>
  <c r="A2239" i="13" s="1"/>
  <c r="V2275" i="13"/>
  <c r="A2275" i="13" s="1"/>
  <c r="V2375" i="13"/>
  <c r="A2375" i="13" s="1"/>
  <c r="V2298" i="13"/>
  <c r="A2298" i="13" s="1"/>
  <c r="V2302" i="13"/>
  <c r="A2302" i="13" s="1"/>
  <c r="V2322" i="13"/>
  <c r="A2322" i="13" s="1"/>
  <c r="V2418" i="13"/>
  <c r="A2418" i="13" s="1"/>
  <c r="V960" i="13"/>
  <c r="A960" i="13" s="1"/>
  <c r="V849" i="13"/>
  <c r="A849" i="13" s="1"/>
  <c r="V802" i="13"/>
  <c r="A802" i="13" s="1"/>
  <c r="V838" i="13"/>
  <c r="A838" i="13" s="1"/>
  <c r="V811" i="13"/>
  <c r="A811" i="13" s="1"/>
  <c r="V771" i="13"/>
  <c r="A771" i="13" s="1"/>
  <c r="V988" i="13"/>
  <c r="A988" i="13" s="1"/>
  <c r="V819" i="13"/>
  <c r="A819" i="13" s="1"/>
  <c r="V937" i="13"/>
  <c r="A937" i="13" s="1"/>
  <c r="V773" i="13"/>
  <c r="A773" i="13" s="1"/>
  <c r="V966" i="13"/>
  <c r="A966" i="13" s="1"/>
  <c r="V987" i="13"/>
  <c r="A987" i="13" s="1"/>
  <c r="V754" i="13"/>
  <c r="A754" i="13" s="1"/>
  <c r="V636" i="13"/>
  <c r="A636" i="13" s="1"/>
  <c r="V728" i="13"/>
  <c r="A728" i="13" s="1"/>
  <c r="V550" i="13"/>
  <c r="A550" i="13" s="1"/>
  <c r="V743" i="13"/>
  <c r="A743" i="13" s="1"/>
  <c r="V725" i="13"/>
  <c r="A725" i="13" s="1"/>
  <c r="V608" i="13"/>
  <c r="A608" i="13" s="1"/>
  <c r="V517" i="13"/>
  <c r="A517" i="13" s="1"/>
  <c r="V614" i="13"/>
  <c r="A614" i="13" s="1"/>
  <c r="V653" i="13"/>
  <c r="A653" i="13" s="1"/>
  <c r="V584" i="13"/>
  <c r="A584" i="13" s="1"/>
  <c r="V1924" i="13"/>
  <c r="A1924" i="13" s="1"/>
  <c r="V1944" i="13"/>
  <c r="A1944" i="13" s="1"/>
  <c r="V1981" i="13"/>
  <c r="A1981" i="13" s="1"/>
  <c r="J1741" i="13"/>
  <c r="V1913" i="13"/>
  <c r="A1913" i="13" s="1"/>
  <c r="V1765" i="13"/>
  <c r="A1765" i="13" s="1"/>
  <c r="V1838" i="13"/>
  <c r="A1838" i="13" s="1"/>
  <c r="V1832" i="13"/>
  <c r="A1832" i="13" s="1"/>
  <c r="V1799" i="13"/>
  <c r="A1799" i="13" s="1"/>
  <c r="V1935" i="13"/>
  <c r="A1935" i="13" s="1"/>
  <c r="V1881" i="13"/>
  <c r="A1881" i="13" s="1"/>
  <c r="V1798" i="13"/>
  <c r="A1798" i="13" s="1"/>
  <c r="V1711" i="13"/>
  <c r="A1711" i="13" s="1"/>
  <c r="V1636" i="13"/>
  <c r="A1636" i="13" s="1"/>
  <c r="V1640" i="13"/>
  <c r="A1640" i="13" s="1"/>
  <c r="V1664" i="13"/>
  <c r="A1664" i="13" s="1"/>
  <c r="V1508" i="13"/>
  <c r="A1508" i="13" s="1"/>
  <c r="V1701" i="13"/>
  <c r="A1701" i="13" s="1"/>
  <c r="V1669" i="13"/>
  <c r="A1669" i="13" s="1"/>
  <c r="V1671" i="13"/>
  <c r="A1671" i="13" s="1"/>
  <c r="V1556" i="13"/>
  <c r="A1556" i="13" s="1"/>
  <c r="V1517" i="13"/>
  <c r="A1517" i="13" s="1"/>
  <c r="V1735" i="13"/>
  <c r="A1735" i="13" s="1"/>
  <c r="V1672" i="13"/>
  <c r="A1672" i="13" s="1"/>
  <c r="V1559" i="13"/>
  <c r="A1559" i="13" s="1"/>
  <c r="V1497" i="13"/>
  <c r="A1497" i="13" s="1"/>
  <c r="V1121" i="13"/>
  <c r="A1121" i="13" s="1"/>
  <c r="V1051" i="13"/>
  <c r="A1051" i="13" s="1"/>
  <c r="V1021" i="13"/>
  <c r="A1021" i="13" s="1"/>
  <c r="V1200" i="13"/>
  <c r="A1200" i="13" s="1"/>
  <c r="V1067" i="13"/>
  <c r="A1067" i="13" s="1"/>
  <c r="V1122" i="13"/>
  <c r="A1122" i="13" s="1"/>
  <c r="V1042" i="13"/>
  <c r="A1042" i="13" s="1"/>
  <c r="V1014" i="13"/>
  <c r="A1014" i="13" s="1"/>
  <c r="V1129" i="13"/>
  <c r="A1129" i="13" s="1"/>
  <c r="V1132" i="13"/>
  <c r="A1132" i="13" s="1"/>
  <c r="V1115" i="13"/>
  <c r="A1115" i="13" s="1"/>
  <c r="V1188" i="13"/>
  <c r="A1188" i="13" s="1"/>
  <c r="V1015" i="13"/>
  <c r="A1015" i="13" s="1"/>
  <c r="V2076" i="13"/>
  <c r="A2076" i="13" s="1"/>
  <c r="V2089" i="13"/>
  <c r="A2089" i="13" s="1"/>
  <c r="V2142" i="13"/>
  <c r="A2142" i="13" s="1"/>
  <c r="V2160" i="13"/>
  <c r="A2160" i="13" s="1"/>
  <c r="V1992" i="13"/>
  <c r="A1992" i="13" s="1"/>
  <c r="V2144" i="13"/>
  <c r="A2144" i="13" s="1"/>
  <c r="V2077" i="13"/>
  <c r="A2077" i="13" s="1"/>
  <c r="V2120" i="13"/>
  <c r="A2120" i="13" s="1"/>
  <c r="V2130" i="13"/>
  <c r="A2130" i="13" s="1"/>
  <c r="V2100" i="13"/>
  <c r="A2100" i="13" s="1"/>
  <c r="V2085" i="13"/>
  <c r="A2085" i="13" s="1"/>
  <c r="V2137" i="13"/>
  <c r="A2137" i="13" s="1"/>
  <c r="V2051" i="13"/>
  <c r="A2051" i="13" s="1"/>
  <c r="V1361" i="13"/>
  <c r="A1361" i="13" s="1"/>
  <c r="V1457" i="13"/>
  <c r="A1457" i="13" s="1"/>
  <c r="V1464" i="13"/>
  <c r="A1464" i="13" s="1"/>
  <c r="V1278" i="13"/>
  <c r="A1278" i="13" s="1"/>
  <c r="V1329" i="13"/>
  <c r="A1329" i="13" s="1"/>
  <c r="V1284" i="13"/>
  <c r="A1284" i="13" s="1"/>
  <c r="V1471" i="13"/>
  <c r="A1471" i="13" s="1"/>
  <c r="V1280" i="13"/>
  <c r="A1280" i="13" s="1"/>
  <c r="V1376" i="13"/>
  <c r="A1376" i="13" s="1"/>
  <c r="V1308" i="13"/>
  <c r="A1308" i="13" s="1"/>
  <c r="V1257" i="13"/>
  <c r="A1257" i="13" s="1"/>
  <c r="V1428" i="13"/>
  <c r="A1428" i="13" s="1"/>
  <c r="V1352" i="13"/>
  <c r="A1352" i="13" s="1"/>
  <c r="V1426" i="13"/>
  <c r="A1426" i="13" s="1"/>
  <c r="V2517" i="13"/>
  <c r="A2517" i="13" s="1"/>
  <c r="V2499" i="13"/>
  <c r="A2499" i="13" s="1"/>
  <c r="V2579" i="13"/>
  <c r="A2579" i="13" s="1"/>
  <c r="V2543" i="13"/>
  <c r="A2543" i="13" s="1"/>
  <c r="V2537" i="13"/>
  <c r="A2537" i="13" s="1"/>
  <c r="V2635" i="13"/>
  <c r="A2635" i="13" s="1"/>
  <c r="V2562" i="13"/>
  <c r="A2562" i="13" s="1"/>
  <c r="V2521" i="13"/>
  <c r="A2521" i="13" s="1"/>
  <c r="V2597" i="13"/>
  <c r="A2597" i="13" s="1"/>
  <c r="V2656" i="13"/>
  <c r="A2656" i="13" s="1"/>
  <c r="V2550" i="13"/>
  <c r="A2550" i="13" s="1"/>
  <c r="V2125" i="13"/>
  <c r="A2125" i="13" s="1"/>
  <c r="V1440" i="13"/>
  <c r="A1440" i="13" s="1"/>
  <c r="V1363" i="13"/>
  <c r="A1363" i="13" s="1"/>
  <c r="V1382" i="13"/>
  <c r="A1382" i="13" s="1"/>
  <c r="V1443" i="13"/>
  <c r="A1443" i="13" s="1"/>
  <c r="V1286" i="13"/>
  <c r="A1286" i="13" s="1"/>
  <c r="V1465" i="13"/>
  <c r="A1465" i="13" s="1"/>
  <c r="V1355" i="13"/>
  <c r="A1355" i="13" s="1"/>
  <c r="V1450" i="13"/>
  <c r="A1450" i="13" s="1"/>
  <c r="V1297" i="13"/>
  <c r="A1297" i="13" s="1"/>
  <c r="V1482" i="13"/>
  <c r="A1482" i="13" s="1"/>
  <c r="V1384" i="13"/>
  <c r="A1384" i="13" s="1"/>
  <c r="V1446" i="13"/>
  <c r="A1446" i="13" s="1"/>
  <c r="V1456" i="13"/>
  <c r="A1456" i="13" s="1"/>
  <c r="V1340" i="13"/>
  <c r="A1340" i="13" s="1"/>
  <c r="V2694" i="13"/>
  <c r="A2694" i="13" s="1"/>
  <c r="V2660" i="13"/>
  <c r="A2660" i="13" s="1"/>
  <c r="V2590" i="13"/>
  <c r="A2590" i="13" s="1"/>
  <c r="V2705" i="13"/>
  <c r="A2705" i="13" s="1"/>
  <c r="V2561" i="13"/>
  <c r="A2561" i="13" s="1"/>
  <c r="V2724" i="13"/>
  <c r="A2724" i="13" s="1"/>
  <c r="V2674" i="13"/>
  <c r="A2674" i="13" s="1"/>
  <c r="V2507" i="13"/>
  <c r="A2507" i="13" s="1"/>
  <c r="V2525" i="13"/>
  <c r="A2525" i="13" s="1"/>
  <c r="V2510" i="13"/>
  <c r="A2510" i="13" s="1"/>
  <c r="V2642" i="13"/>
  <c r="A2642" i="13" s="1"/>
  <c r="V2720" i="13"/>
  <c r="A2720" i="13" s="1"/>
  <c r="V2547" i="13"/>
  <c r="A2547" i="13" s="1"/>
  <c r="V2509" i="13"/>
  <c r="A2509" i="13" s="1"/>
  <c r="V2494" i="13"/>
  <c r="A2494" i="13" s="1"/>
  <c r="V668" i="13"/>
  <c r="A668" i="13" s="1"/>
  <c r="V1630" i="13"/>
  <c r="A1630" i="13" s="1"/>
  <c r="V1579" i="13"/>
  <c r="A1579" i="13" s="1"/>
  <c r="V1192" i="13"/>
  <c r="A1192" i="13" s="1"/>
  <c r="V2016" i="13"/>
  <c r="A2016" i="13" s="1"/>
  <c r="V2347" i="13"/>
  <c r="A2347" i="13" s="1"/>
  <c r="V2382" i="13"/>
  <c r="A2382" i="13" s="1"/>
  <c r="V935" i="13"/>
  <c r="A935" i="13" s="1"/>
  <c r="V831" i="13"/>
  <c r="A831" i="13" s="1"/>
  <c r="V591" i="13"/>
  <c r="A591" i="13" s="1"/>
  <c r="V616" i="13"/>
  <c r="A616" i="13" s="1"/>
  <c r="V719" i="13"/>
  <c r="A719" i="13" s="1"/>
  <c r="V1727" i="13"/>
  <c r="A1727" i="13" s="1"/>
  <c r="V1641" i="13"/>
  <c r="A1641" i="13" s="1"/>
  <c r="V1585" i="13"/>
  <c r="A1585" i="13" s="1"/>
  <c r="V1679" i="13"/>
  <c r="A1679" i="13" s="1"/>
  <c r="V1142" i="13"/>
  <c r="A1142" i="13" s="1"/>
  <c r="V1061" i="13"/>
  <c r="A1061" i="13" s="1"/>
  <c r="V2182" i="13"/>
  <c r="A2182" i="13" s="1"/>
  <c r="V2331" i="13"/>
  <c r="A2331" i="13" s="1"/>
  <c r="V2390" i="13"/>
  <c r="A2390" i="13" s="1"/>
  <c r="V2394" i="13"/>
  <c r="A2394" i="13" s="1"/>
  <c r="V2467" i="13"/>
  <c r="A2467" i="13" s="1"/>
  <c r="V2255" i="13"/>
  <c r="A2255" i="13" s="1"/>
  <c r="V2469" i="13"/>
  <c r="A2469" i="13" s="1"/>
  <c r="V2253" i="13"/>
  <c r="A2253" i="13" s="1"/>
  <c r="V2283" i="13"/>
  <c r="A2283" i="13" s="1"/>
  <c r="V843" i="13"/>
  <c r="A843" i="13" s="1"/>
  <c r="V932" i="13"/>
  <c r="A932" i="13" s="1"/>
  <c r="V925" i="13"/>
  <c r="A925" i="13" s="1"/>
  <c r="V949" i="13"/>
  <c r="A949" i="13" s="1"/>
  <c r="V827" i="13"/>
  <c r="A827" i="13" s="1"/>
  <c r="V709" i="13"/>
  <c r="A709" i="13" s="1"/>
  <c r="V647" i="13"/>
  <c r="A647" i="13" s="1"/>
  <c r="V547" i="13"/>
  <c r="A547" i="13" s="1"/>
  <c r="V561" i="13"/>
  <c r="A561" i="13" s="1"/>
  <c r="V538" i="13"/>
  <c r="A538" i="13" s="1"/>
  <c r="V516" i="13"/>
  <c r="A516" i="13" s="1"/>
  <c r="V1732" i="13"/>
  <c r="A1732" i="13" s="1"/>
  <c r="V1663" i="13"/>
  <c r="A1663" i="13" s="1"/>
  <c r="V1621" i="13"/>
  <c r="A1621" i="13" s="1"/>
  <c r="V1610" i="13"/>
  <c r="A1610" i="13" s="1"/>
  <c r="V1646" i="13"/>
  <c r="A1646" i="13" s="1"/>
  <c r="V1733" i="13"/>
  <c r="A1733" i="13" s="1"/>
  <c r="V1603" i="13"/>
  <c r="A1603" i="13" s="1"/>
  <c r="V1183" i="13"/>
  <c r="A1183" i="13" s="1"/>
  <c r="V1030" i="13"/>
  <c r="A1030" i="13" s="1"/>
  <c r="V1133" i="13"/>
  <c r="A1133" i="13" s="1"/>
  <c r="V1101" i="13"/>
  <c r="A1101" i="13" s="1"/>
  <c r="V1032" i="13"/>
  <c r="A1032" i="13" s="1"/>
  <c r="V1124" i="13"/>
  <c r="A1124" i="13" s="1"/>
  <c r="V1006" i="13"/>
  <c r="A1006" i="13" s="1"/>
  <c r="V1182" i="13"/>
  <c r="A1182" i="13" s="1"/>
  <c r="V2001" i="13"/>
  <c r="A2001" i="13" s="1"/>
  <c r="J2007" i="13"/>
  <c r="V878" i="13"/>
  <c r="A878" i="13" s="1"/>
  <c r="V905" i="13"/>
  <c r="A905" i="13" s="1"/>
  <c r="V775" i="13"/>
  <c r="A775" i="13" s="1"/>
  <c r="V861" i="13"/>
  <c r="A861" i="13" s="1"/>
  <c r="V766" i="13"/>
  <c r="A766" i="13" s="1"/>
  <c r="V948" i="13"/>
  <c r="A948" i="13" s="1"/>
  <c r="V934" i="13"/>
  <c r="A934" i="13" s="1"/>
  <c r="V853" i="13"/>
  <c r="A853" i="13" s="1"/>
  <c r="J579" i="13"/>
  <c r="J542" i="13"/>
  <c r="J762" i="13"/>
  <c r="J1175" i="13"/>
  <c r="J1748" i="13"/>
  <c r="J1953" i="13"/>
  <c r="J1823" i="13"/>
  <c r="J1753" i="13"/>
  <c r="J1653" i="13"/>
  <c r="J612" i="13"/>
  <c r="J1409" i="13"/>
  <c r="J1226" i="13"/>
  <c r="J1192" i="13"/>
  <c r="J1170" i="13"/>
  <c r="J991" i="13"/>
  <c r="J935" i="13"/>
  <c r="J1089" i="13"/>
  <c r="J1145" i="13"/>
  <c r="J588" i="13"/>
  <c r="J620" i="13"/>
  <c r="J512" i="13"/>
  <c r="J810" i="13"/>
  <c r="J815" i="13"/>
  <c r="J1158" i="13"/>
  <c r="J1939" i="13"/>
  <c r="J1813" i="13"/>
  <c r="J1927" i="13"/>
  <c r="J633" i="13"/>
  <c r="J693" i="13"/>
  <c r="J623" i="13"/>
  <c r="J1632" i="13"/>
  <c r="J1641" i="13"/>
  <c r="J1561" i="13"/>
  <c r="J1662" i="13"/>
  <c r="J2079" i="13"/>
  <c r="J1353" i="13"/>
  <c r="J1224" i="13"/>
  <c r="J1218" i="13"/>
  <c r="J1184" i="13"/>
  <c r="J1975" i="13"/>
  <c r="J1769" i="13"/>
  <c r="J1794" i="13"/>
  <c r="J598" i="13"/>
  <c r="J515" i="13"/>
  <c r="J709" i="13"/>
  <c r="J2003" i="13"/>
  <c r="J2462" i="13"/>
  <c r="J1133" i="13"/>
  <c r="J1055" i="13"/>
  <c r="J1658" i="13"/>
  <c r="V542" i="13"/>
  <c r="A542" i="13" s="1"/>
  <c r="V1648" i="13"/>
  <c r="A1648" i="13" s="1"/>
  <c r="V1651" i="13"/>
  <c r="A1651" i="13" s="1"/>
  <c r="V1626" i="13"/>
  <c r="A1626" i="13" s="1"/>
  <c r="V2246" i="13"/>
  <c r="A2246" i="13" s="1"/>
  <c r="V2284" i="13"/>
  <c r="A2284" i="13" s="1"/>
  <c r="V2340" i="13"/>
  <c r="A2340" i="13" s="1"/>
  <c r="V2360" i="13"/>
  <c r="A2360" i="13" s="1"/>
  <c r="V768" i="13"/>
  <c r="A768" i="13" s="1"/>
  <c r="V826" i="13"/>
  <c r="A826" i="13" s="1"/>
  <c r="V784" i="13"/>
  <c r="A784" i="13" s="1"/>
  <c r="V765" i="13"/>
  <c r="A765" i="13" s="1"/>
  <c r="V783" i="13"/>
  <c r="A783" i="13" s="1"/>
  <c r="V519" i="13"/>
  <c r="A519" i="13" s="1"/>
  <c r="V602" i="13"/>
  <c r="A602" i="13" s="1"/>
  <c r="V512" i="13"/>
  <c r="A512" i="13" s="1"/>
  <c r="V1561" i="13"/>
  <c r="A1561" i="13" s="1"/>
  <c r="V1654" i="13"/>
  <c r="A1654" i="13" s="1"/>
  <c r="V1553" i="13"/>
  <c r="A1553" i="13" s="1"/>
  <c r="V1500" i="13"/>
  <c r="A1500" i="13" s="1"/>
  <c r="V1214" i="13"/>
  <c r="A1214" i="13" s="1"/>
  <c r="V1224" i="13"/>
  <c r="A1224" i="13" s="1"/>
  <c r="V1100" i="13"/>
  <c r="A1100" i="13" s="1"/>
  <c r="V2159" i="13"/>
  <c r="A2159" i="13" s="1"/>
  <c r="V2099" i="13"/>
  <c r="A2099" i="13" s="1"/>
  <c r="V2413" i="13"/>
  <c r="A2413" i="13" s="1"/>
  <c r="V2338" i="13"/>
  <c r="A2338" i="13" s="1"/>
  <c r="V2327" i="13"/>
  <c r="A2327" i="13" s="1"/>
  <c r="V2444" i="13"/>
  <c r="A2444" i="13" s="1"/>
  <c r="V2346" i="13"/>
  <c r="A2346" i="13" s="1"/>
  <c r="V2452" i="13"/>
  <c r="A2452" i="13" s="1"/>
  <c r="V2277" i="13"/>
  <c r="A2277" i="13" s="1"/>
  <c r="V2307" i="13"/>
  <c r="A2307" i="13" s="1"/>
  <c r="V2263" i="13"/>
  <c r="A2263" i="13" s="1"/>
  <c r="V2300" i="13"/>
  <c r="A2300" i="13" s="1"/>
  <c r="V2350" i="13"/>
  <c r="A2350" i="13" s="1"/>
  <c r="V2287" i="13"/>
  <c r="A2287" i="13" s="1"/>
  <c r="V761" i="13"/>
  <c r="A761" i="13" s="1"/>
  <c r="V944" i="13"/>
  <c r="A944" i="13" s="1"/>
  <c r="V926" i="13"/>
  <c r="A926" i="13" s="1"/>
  <c r="V789" i="13"/>
  <c r="A789" i="13" s="1"/>
  <c r="V909" i="13"/>
  <c r="A909" i="13" s="1"/>
  <c r="V539" i="13"/>
  <c r="A539" i="13" s="1"/>
  <c r="V706" i="13"/>
  <c r="A706" i="13" s="1"/>
  <c r="V688" i="13"/>
  <c r="A688" i="13" s="1"/>
  <c r="V607" i="13"/>
  <c r="A607" i="13" s="1"/>
  <c r="V505" i="13"/>
  <c r="A505" i="13" s="1"/>
  <c r="V663" i="13"/>
  <c r="A663" i="13" s="1"/>
  <c r="V555" i="13"/>
  <c r="A555" i="13" s="1"/>
  <c r="V724" i="13"/>
  <c r="A724" i="13" s="1"/>
  <c r="V1975" i="13"/>
  <c r="A1975" i="13" s="1"/>
  <c r="V1794" i="13"/>
  <c r="A1794" i="13" s="1"/>
  <c r="V1540" i="13"/>
  <c r="A1540" i="13" s="1"/>
  <c r="V1722" i="13"/>
  <c r="A1722" i="13" s="1"/>
  <c r="V1698" i="13"/>
  <c r="A1698" i="13" s="1"/>
  <c r="V1695" i="13"/>
  <c r="A1695" i="13" s="1"/>
  <c r="V1591" i="13"/>
  <c r="A1591" i="13" s="1"/>
  <c r="V1649" i="13"/>
  <c r="A1649" i="13" s="1"/>
  <c r="V1537" i="13"/>
  <c r="A1537" i="13" s="1"/>
  <c r="V1010" i="13"/>
  <c r="A1010" i="13" s="1"/>
  <c r="V1005" i="13"/>
  <c r="A1005" i="13" s="1"/>
  <c r="V1167" i="13"/>
  <c r="A1167" i="13" s="1"/>
  <c r="V1201" i="13"/>
  <c r="A1201" i="13" s="1"/>
  <c r="V1098" i="13"/>
  <c r="A1098" i="13" s="1"/>
  <c r="V999" i="13"/>
  <c r="A999" i="13" s="1"/>
  <c r="V1088" i="13"/>
  <c r="A1088" i="13" s="1"/>
  <c r="V1027" i="13"/>
  <c r="A1027" i="13" s="1"/>
  <c r="V1004" i="13"/>
  <c r="A1004" i="13" s="1"/>
  <c r="V1158" i="13"/>
  <c r="A1158" i="13" s="1"/>
  <c r="V2136" i="13"/>
  <c r="A2136" i="13" s="1"/>
  <c r="V2145" i="13"/>
  <c r="A2145" i="13" s="1"/>
  <c r="J2465" i="13"/>
  <c r="V931" i="13"/>
  <c r="A931" i="13" s="1"/>
  <c r="V891" i="13"/>
  <c r="A891" i="13" s="1"/>
  <c r="V813" i="13"/>
  <c r="A813" i="13" s="1"/>
  <c r="V863" i="13"/>
  <c r="A863" i="13" s="1"/>
  <c r="V801" i="13"/>
  <c r="A801" i="13" s="1"/>
  <c r="V959" i="13"/>
  <c r="A959" i="13" s="1"/>
  <c r="J668" i="13"/>
  <c r="J898" i="13"/>
  <c r="J1744" i="13"/>
  <c r="J1803" i="13"/>
  <c r="J1749" i="13"/>
  <c r="J1714" i="13"/>
  <c r="J2326" i="13"/>
  <c r="J2121" i="13"/>
  <c r="J2066" i="13"/>
  <c r="J1275" i="13"/>
  <c r="J1131" i="13"/>
  <c r="J1040" i="13"/>
  <c r="J2013" i="13"/>
  <c r="J2132" i="13"/>
  <c r="J914" i="13"/>
  <c r="J1123" i="13"/>
  <c r="J664" i="13"/>
  <c r="J519" i="13"/>
  <c r="J622" i="13"/>
  <c r="J666" i="13"/>
  <c r="J780" i="13"/>
  <c r="J1786" i="13"/>
  <c r="J1871" i="13"/>
  <c r="J1822" i="13"/>
  <c r="J1512" i="13"/>
  <c r="J705" i="13"/>
  <c r="J568" i="13"/>
  <c r="J1553" i="13"/>
  <c r="J2308" i="13"/>
  <c r="J2171" i="13"/>
  <c r="J1321" i="13"/>
  <c r="J1084" i="13"/>
  <c r="J1214" i="13"/>
  <c r="J1171" i="13"/>
  <c r="J1047" i="13"/>
  <c r="J1834" i="13"/>
  <c r="J1924" i="13"/>
  <c r="J1981" i="13"/>
  <c r="J554" i="13"/>
  <c r="J698" i="13"/>
  <c r="J2131" i="13"/>
  <c r="J2458" i="13"/>
  <c r="J2469" i="13"/>
  <c r="J1167" i="13"/>
  <c r="J1099" i="13"/>
  <c r="J699" i="13"/>
  <c r="V938" i="13"/>
  <c r="A938" i="13" s="1"/>
  <c r="V855" i="13"/>
  <c r="A855" i="13" s="1"/>
  <c r="V889" i="13"/>
  <c r="A889" i="13" s="1"/>
  <c r="V924" i="13"/>
  <c r="A924" i="13" s="1"/>
  <c r="V708" i="13"/>
  <c r="A708" i="13" s="1"/>
  <c r="V698" i="13"/>
  <c r="A698" i="13" s="1"/>
  <c r="V615" i="13"/>
  <c r="A615" i="13" s="1"/>
  <c r="V1033" i="13"/>
  <c r="A1033" i="13" s="1"/>
  <c r="V1017" i="13"/>
  <c r="A1017" i="13" s="1"/>
  <c r="V1236" i="13"/>
  <c r="A1236" i="13" s="1"/>
  <c r="V1092" i="13"/>
  <c r="A1092" i="13" s="1"/>
  <c r="V2070" i="13"/>
  <c r="A2070" i="13" s="1"/>
  <c r="V2015" i="13"/>
  <c r="A2015" i="13" s="1"/>
  <c r="V2138" i="13"/>
  <c r="A2138" i="13" s="1"/>
  <c r="V2174" i="13"/>
  <c r="A2174" i="13" s="1"/>
  <c r="V2101" i="13"/>
  <c r="A2101" i="13" s="1"/>
  <c r="V2068" i="13"/>
  <c r="A2068" i="13" s="1"/>
  <c r="V1998" i="13"/>
  <c r="A1998" i="13" s="1"/>
  <c r="V2166" i="13"/>
  <c r="A2166" i="13" s="1"/>
  <c r="V2156" i="13"/>
  <c r="A2156" i="13" s="1"/>
  <c r="V2179" i="13"/>
  <c r="A2179" i="13" s="1"/>
  <c r="V2175" i="13"/>
  <c r="A2175" i="13" s="1"/>
  <c r="V1995" i="13"/>
  <c r="A1995" i="13" s="1"/>
  <c r="V2171" i="13"/>
  <c r="A2171" i="13" s="1"/>
  <c r="V2119" i="13"/>
  <c r="A2119" i="13" s="1"/>
  <c r="V2178" i="13"/>
  <c r="A2178" i="13" s="1"/>
  <c r="V2067" i="13"/>
  <c r="A2067" i="13" s="1"/>
  <c r="V2047" i="13"/>
  <c r="A2047" i="13" s="1"/>
  <c r="V2012" i="13"/>
  <c r="A2012" i="13" s="1"/>
  <c r="V2060" i="13"/>
  <c r="A2060" i="13" s="1"/>
  <c r="V1990" i="13"/>
  <c r="A1990" i="13" s="1"/>
  <c r="V1433" i="13"/>
  <c r="A1433" i="13" s="1"/>
  <c r="V1300" i="13"/>
  <c r="A1300" i="13" s="1"/>
  <c r="V1269" i="13"/>
  <c r="A1269" i="13" s="1"/>
  <c r="V1432" i="13"/>
  <c r="A1432" i="13" s="1"/>
  <c r="V1325" i="13"/>
  <c r="A1325" i="13" s="1"/>
  <c r="V1354" i="13"/>
  <c r="A1354" i="13" s="1"/>
  <c r="V1272" i="13"/>
  <c r="A1272" i="13" s="1"/>
  <c r="V1252" i="13"/>
  <c r="A1252" i="13" s="1"/>
  <c r="V1334" i="13"/>
  <c r="A1334" i="13" s="1"/>
  <c r="V1336" i="13"/>
  <c r="A1336" i="13" s="1"/>
  <c r="V1425" i="13"/>
  <c r="A1425" i="13" s="1"/>
  <c r="V1320" i="13"/>
  <c r="A1320" i="13" s="1"/>
  <c r="V1438" i="13"/>
  <c r="A1438" i="13" s="1"/>
  <c r="V1335" i="13"/>
  <c r="A1335" i="13" s="1"/>
  <c r="V1293" i="13"/>
  <c r="A1293" i="13" s="1"/>
  <c r="V1370" i="13"/>
  <c r="A1370" i="13" s="1"/>
  <c r="V1356" i="13"/>
  <c r="A1356" i="13" s="1"/>
  <c r="V1455" i="13"/>
  <c r="A1455" i="13" s="1"/>
  <c r="V1431" i="13"/>
  <c r="A1431" i="13" s="1"/>
  <c r="V1290" i="13"/>
  <c r="A1290" i="13" s="1"/>
  <c r="V1416" i="13"/>
  <c r="A1416" i="13" s="1"/>
  <c r="V1350" i="13"/>
  <c r="A1350" i="13" s="1"/>
  <c r="V1259" i="13"/>
  <c r="A1259" i="13" s="1"/>
  <c r="V1304" i="13"/>
  <c r="A1304" i="13" s="1"/>
  <c r="V1298" i="13"/>
  <c r="A1298" i="13" s="1"/>
  <c r="V1263" i="13"/>
  <c r="A1263" i="13" s="1"/>
  <c r="V1409" i="13"/>
  <c r="A1409" i="13" s="1"/>
  <c r="V1338" i="13"/>
  <c r="A1338" i="13" s="1"/>
  <c r="V1445" i="13"/>
  <c r="A1445" i="13" s="1"/>
  <c r="V1373" i="13"/>
  <c r="A1373" i="13" s="1"/>
  <c r="V2583" i="13"/>
  <c r="A2583" i="13" s="1"/>
  <c r="V2508" i="13"/>
  <c r="A2508" i="13" s="1"/>
  <c r="V2625" i="13"/>
  <c r="A2625" i="13" s="1"/>
  <c r="V2502" i="13"/>
  <c r="A2502" i="13" s="1"/>
  <c r="V2540" i="13"/>
  <c r="A2540" i="13" s="1"/>
  <c r="V2712" i="13"/>
  <c r="A2712" i="13" s="1"/>
  <c r="V2611" i="13"/>
  <c r="A2611" i="13" s="1"/>
  <c r="V2664" i="13"/>
  <c r="A2664" i="13" s="1"/>
  <c r="V2622" i="13"/>
  <c r="A2622" i="13" s="1"/>
  <c r="V2580" i="13"/>
  <c r="A2580" i="13" s="1"/>
  <c r="V2661" i="13"/>
  <c r="A2661" i="13" s="1"/>
  <c r="V2538" i="13"/>
  <c r="A2538" i="13" s="1"/>
  <c r="V2609" i="13"/>
  <c r="A2609" i="13" s="1"/>
  <c r="V2663" i="13"/>
  <c r="A2663" i="13" s="1"/>
  <c r="V2696" i="13"/>
  <c r="A2696" i="13" s="1"/>
  <c r="V2710" i="13"/>
  <c r="A2710" i="13" s="1"/>
  <c r="V2595" i="13"/>
  <c r="A2595" i="13" s="1"/>
  <c r="V2586" i="13"/>
  <c r="A2586" i="13" s="1"/>
  <c r="V2657" i="13"/>
  <c r="A2657" i="13" s="1"/>
  <c r="V2534" i="13"/>
  <c r="A2534" i="13" s="1"/>
  <c r="V2647" i="13"/>
  <c r="A2647" i="13" s="1"/>
  <c r="V2680" i="13"/>
  <c r="A2680" i="13" s="1"/>
  <c r="V2596" i="13"/>
  <c r="A2596" i="13" s="1"/>
  <c r="V1741" i="13"/>
  <c r="A1741" i="13" s="1"/>
  <c r="V869" i="13"/>
  <c r="A869" i="13" s="1"/>
  <c r="V941" i="13"/>
  <c r="A941" i="13" s="1"/>
  <c r="V906" i="13"/>
  <c r="A906" i="13" s="1"/>
  <c r="V985" i="13"/>
  <c r="A985" i="13" s="1"/>
  <c r="V659" i="13"/>
  <c r="A659" i="13" s="1"/>
  <c r="V657" i="13"/>
  <c r="A657" i="13" s="1"/>
  <c r="V717" i="13"/>
  <c r="A717" i="13" s="1"/>
  <c r="V523" i="13"/>
  <c r="A523" i="13" s="1"/>
  <c r="V1203" i="13"/>
  <c r="A1203" i="13" s="1"/>
  <c r="V1233" i="13"/>
  <c r="A1233" i="13" s="1"/>
  <c r="V1199" i="13"/>
  <c r="A1199" i="13" s="1"/>
  <c r="V1031" i="13"/>
  <c r="A1031" i="13" s="1"/>
  <c r="V2306" i="13"/>
  <c r="A2306" i="13" s="1"/>
  <c r="V2278" i="13"/>
  <c r="A2278" i="13" s="1"/>
  <c r="V2310" i="13"/>
  <c r="A2310" i="13" s="1"/>
  <c r="V2259" i="13"/>
  <c r="A2259" i="13" s="1"/>
  <c r="V2441" i="13"/>
  <c r="A2441" i="13" s="1"/>
  <c r="V2383" i="13"/>
  <c r="A2383" i="13" s="1"/>
  <c r="V2387" i="13"/>
  <c r="A2387" i="13" s="1"/>
  <c r="V2345" i="13"/>
  <c r="A2345" i="13" s="1"/>
  <c r="V2276" i="13"/>
  <c r="A2276" i="13" s="1"/>
  <c r="V2426" i="13"/>
  <c r="A2426" i="13" s="1"/>
  <c r="V2417" i="13"/>
  <c r="A2417" i="13" s="1"/>
  <c r="V2407" i="13"/>
  <c r="A2407" i="13" s="1"/>
  <c r="V2373" i="13"/>
  <c r="A2373" i="13" s="1"/>
  <c r="V2411" i="13"/>
  <c r="A2411" i="13" s="1"/>
  <c r="V2243" i="13"/>
  <c r="A2243" i="13" s="1"/>
  <c r="V2466" i="13"/>
  <c r="A2466" i="13" s="1"/>
  <c r="V2451" i="13"/>
  <c r="A2451" i="13" s="1"/>
  <c r="V2470" i="13"/>
  <c r="A2470" i="13" s="1"/>
  <c r="V2455" i="13"/>
  <c r="A2455" i="13" s="1"/>
  <c r="V2472" i="13"/>
  <c r="A2472" i="13" s="1"/>
  <c r="V2404" i="13"/>
  <c r="A2404" i="13" s="1"/>
  <c r="V2393" i="13"/>
  <c r="A2393" i="13" s="1"/>
  <c r="V2414" i="13"/>
  <c r="A2414" i="13" s="1"/>
  <c r="V2242" i="13"/>
  <c r="A2242" i="13" s="1"/>
  <c r="V2397" i="13"/>
  <c r="A2397" i="13" s="1"/>
  <c r="V536" i="13"/>
  <c r="A536" i="13" s="1"/>
  <c r="V715" i="13"/>
  <c r="A715" i="13" s="1"/>
  <c r="V639" i="13"/>
  <c r="A639" i="13" s="1"/>
  <c r="V710" i="13"/>
  <c r="A710" i="13" s="1"/>
  <c r="V674" i="13"/>
  <c r="A674" i="13" s="1"/>
  <c r="V678" i="13"/>
  <c r="A678" i="13" s="1"/>
  <c r="V671" i="13"/>
  <c r="A671" i="13" s="1"/>
  <c r="V526" i="13"/>
  <c r="A526" i="13" s="1"/>
  <c r="V572" i="13"/>
  <c r="A572" i="13" s="1"/>
  <c r="V546" i="13"/>
  <c r="A546" i="13" s="1"/>
  <c r="V566" i="13"/>
  <c r="A566" i="13" s="1"/>
  <c r="V695" i="13"/>
  <c r="A695" i="13" s="1"/>
  <c r="V627" i="13"/>
  <c r="A627" i="13" s="1"/>
  <c r="V677" i="13"/>
  <c r="A677" i="13" s="1"/>
  <c r="V626" i="13"/>
  <c r="A626" i="13" s="1"/>
  <c r="V506" i="13"/>
  <c r="A506" i="13" s="1"/>
  <c r="V679" i="13"/>
  <c r="A679" i="13" s="1"/>
  <c r="V1852" i="13"/>
  <c r="A1852" i="13" s="1"/>
  <c r="V1974" i="13"/>
  <c r="A1974" i="13" s="1"/>
  <c r="V1780" i="13"/>
  <c r="A1780" i="13" s="1"/>
  <c r="V1750" i="13"/>
  <c r="A1750" i="13" s="1"/>
  <c r="V1817" i="13"/>
  <c r="A1817" i="13" s="1"/>
  <c r="V1782" i="13"/>
  <c r="A1782" i="13" s="1"/>
  <c r="V1976" i="13"/>
  <c r="A1976" i="13" s="1"/>
  <c r="V1954" i="13"/>
  <c r="A1954" i="13" s="1"/>
  <c r="V1761" i="13"/>
  <c r="A1761" i="13" s="1"/>
  <c r="V1870" i="13"/>
  <c r="A1870" i="13" s="1"/>
  <c r="V1805" i="13"/>
  <c r="A1805" i="13" s="1"/>
  <c r="V1916" i="13"/>
  <c r="A1916" i="13" s="1"/>
  <c r="V1918" i="13"/>
  <c r="A1918" i="13" s="1"/>
  <c r="V1923" i="13"/>
  <c r="A1923" i="13" s="1"/>
  <c r="V1915" i="13"/>
  <c r="A1915" i="13" s="1"/>
  <c r="V1952" i="13"/>
  <c r="A1952" i="13" s="1"/>
  <c r="V1876" i="13"/>
  <c r="A1876" i="13" s="1"/>
  <c r="V1865" i="13"/>
  <c r="A1865" i="13" s="1"/>
  <c r="V1946" i="13"/>
  <c r="A1946" i="13" s="1"/>
  <c r="V1960" i="13"/>
  <c r="A1960" i="13" s="1"/>
  <c r="V1943" i="13"/>
  <c r="A1943" i="13" s="1"/>
  <c r="V1751" i="13"/>
  <c r="A1751" i="13" s="1"/>
  <c r="V1806" i="13"/>
  <c r="A1806" i="13" s="1"/>
  <c r="V1854" i="13"/>
  <c r="A1854" i="13" s="1"/>
  <c r="V1882" i="13"/>
  <c r="A1882" i="13" s="1"/>
  <c r="V1933" i="13"/>
  <c r="A1933" i="13" s="1"/>
  <c r="V1810" i="13"/>
  <c r="A1810" i="13" s="1"/>
  <c r="V1889" i="13"/>
  <c r="A1889" i="13" s="1"/>
  <c r="V1956" i="13"/>
  <c r="A1956" i="13" s="1"/>
  <c r="V1793" i="13"/>
  <c r="A1793" i="13" s="1"/>
  <c r="V1689" i="13"/>
  <c r="A1689" i="13" s="1"/>
  <c r="V1637" i="13"/>
  <c r="A1637" i="13" s="1"/>
  <c r="V1584" i="13"/>
  <c r="A1584" i="13" s="1"/>
  <c r="V1629" i="13"/>
  <c r="A1629" i="13" s="1"/>
  <c r="V1509" i="13"/>
  <c r="A1509" i="13" s="1"/>
  <c r="V1647" i="13"/>
  <c r="A1647" i="13" s="1"/>
  <c r="V1543" i="13"/>
  <c r="A1543" i="13" s="1"/>
  <c r="V1645" i="13"/>
  <c r="A1645" i="13" s="1"/>
  <c r="V1725" i="13"/>
  <c r="A1725" i="13" s="1"/>
  <c r="V1705" i="13"/>
  <c r="A1705" i="13" s="1"/>
  <c r="V1724" i="13"/>
  <c r="A1724" i="13" s="1"/>
  <c r="V1586" i="13"/>
  <c r="A1586" i="13" s="1"/>
  <c r="V1573" i="13"/>
  <c r="A1573" i="13" s="1"/>
  <c r="V1620" i="13"/>
  <c r="A1620" i="13" s="1"/>
  <c r="V1568" i="13"/>
  <c r="A1568" i="13" s="1"/>
  <c r="V1566" i="13"/>
  <c r="A1566" i="13" s="1"/>
  <c r="V1667" i="13"/>
  <c r="A1667" i="13" s="1"/>
  <c r="V1510" i="13"/>
  <c r="A1510" i="13" s="1"/>
  <c r="V1655" i="13"/>
  <c r="A1655" i="13" s="1"/>
  <c r="V1683" i="13"/>
  <c r="A1683" i="13" s="1"/>
  <c r="V1625" i="13"/>
  <c r="A1625" i="13" s="1"/>
  <c r="V1721" i="13"/>
  <c r="A1721" i="13" s="1"/>
  <c r="V1688" i="13"/>
  <c r="A1688" i="13" s="1"/>
  <c r="V1677" i="13"/>
  <c r="A1677" i="13" s="1"/>
  <c r="V1546" i="13"/>
  <c r="A1546" i="13" s="1"/>
  <c r="V1572" i="13"/>
  <c r="A1572" i="13" s="1"/>
  <c r="V1505" i="13"/>
  <c r="A1505" i="13" s="1"/>
  <c r="V1587" i="13"/>
  <c r="A1587" i="13" s="1"/>
  <c r="V1545" i="13"/>
  <c r="A1545" i="13" s="1"/>
  <c r="V1628" i="13"/>
  <c r="A1628" i="13" s="1"/>
  <c r="V1643" i="13"/>
  <c r="A1643" i="13" s="1"/>
  <c r="V1034" i="13"/>
  <c r="A1034" i="13" s="1"/>
  <c r="V1053" i="13"/>
  <c r="A1053" i="13" s="1"/>
  <c r="V1198" i="13"/>
  <c r="A1198" i="13" s="1"/>
  <c r="V1194" i="13"/>
  <c r="A1194" i="13" s="1"/>
  <c r="V1143" i="13"/>
  <c r="A1143" i="13" s="1"/>
  <c r="V1216" i="13"/>
  <c r="A1216" i="13" s="1"/>
  <c r="V1163" i="13"/>
  <c r="A1163" i="13" s="1"/>
  <c r="V1160" i="13"/>
  <c r="A1160" i="13" s="1"/>
  <c r="V1239" i="13"/>
  <c r="A1239" i="13" s="1"/>
  <c r="V1191" i="13"/>
  <c r="A1191" i="13" s="1"/>
  <c r="V1232" i="13"/>
  <c r="A1232" i="13" s="1"/>
  <c r="V1070" i="13"/>
  <c r="A1070" i="13" s="1"/>
  <c r="V1016" i="13"/>
  <c r="A1016" i="13" s="1"/>
  <c r="V1009" i="13"/>
  <c r="A1009" i="13" s="1"/>
  <c r="V1202" i="13"/>
  <c r="A1202" i="13" s="1"/>
  <c r="V1028" i="13"/>
  <c r="A1028" i="13" s="1"/>
  <c r="V1230" i="13"/>
  <c r="A1230" i="13" s="1"/>
  <c r="V2074" i="13"/>
  <c r="A2074" i="13" s="1"/>
  <c r="V2103" i="13"/>
  <c r="A2103" i="13" s="1"/>
  <c r="V2128" i="13"/>
  <c r="A2128" i="13" s="1"/>
  <c r="V2017" i="13"/>
  <c r="A2017" i="13" s="1"/>
  <c r="V2172" i="13"/>
  <c r="A2172" i="13" s="1"/>
  <c r="V2164" i="13"/>
  <c r="A2164" i="13" s="1"/>
  <c r="V2082" i="13"/>
  <c r="A2082" i="13" s="1"/>
  <c r="V2011" i="13"/>
  <c r="A2011" i="13" s="1"/>
  <c r="V2199" i="13"/>
  <c r="A2199" i="13" s="1"/>
  <c r="V2477" i="13"/>
  <c r="A2477" i="13" s="1"/>
  <c r="V2402" i="13"/>
  <c r="A2402" i="13" s="1"/>
  <c r="V2241" i="13"/>
  <c r="A2241" i="13" s="1"/>
  <c r="V2475" i="13"/>
  <c r="A2475" i="13" s="1"/>
  <c r="V2280" i="13"/>
  <c r="A2280" i="13" s="1"/>
  <c r="V2293" i="13"/>
  <c r="A2293" i="13" s="1"/>
  <c r="V2267" i="13"/>
  <c r="A2267" i="13" s="1"/>
  <c r="V2294" i="13"/>
  <c r="A2294" i="13" s="1"/>
  <c r="V2271" i="13"/>
  <c r="A2271" i="13" s="1"/>
  <c r="V2442" i="13"/>
  <c r="A2442" i="13" s="1"/>
  <c r="V2268" i="13"/>
  <c r="A2268" i="13" s="1"/>
  <c r="V2240" i="13"/>
  <c r="A2240" i="13" s="1"/>
  <c r="V2371" i="13"/>
  <c r="A2371" i="13" s="1"/>
  <c r="V2358" i="13"/>
  <c r="A2358" i="13" s="1"/>
  <c r="V2421" i="13"/>
  <c r="A2421" i="13" s="1"/>
  <c r="V2329" i="13"/>
  <c r="A2329" i="13" s="1"/>
  <c r="V2314" i="13"/>
  <c r="A2314" i="13" s="1"/>
  <c r="V2333" i="13"/>
  <c r="A2333" i="13" s="1"/>
  <c r="V2318" i="13"/>
  <c r="A2318" i="13" s="1"/>
  <c r="V2357" i="13"/>
  <c r="A2357" i="13" s="1"/>
  <c r="V2430" i="13"/>
  <c r="A2430" i="13" s="1"/>
  <c r="V2391" i="13"/>
  <c r="A2391" i="13" s="1"/>
  <c r="V2339" i="13"/>
  <c r="A2339" i="13" s="1"/>
  <c r="V2468" i="13"/>
  <c r="A2468" i="13" s="1"/>
  <c r="V2415" i="13"/>
  <c r="A2415" i="13" s="1"/>
  <c r="V2353" i="13"/>
  <c r="A2353" i="13" s="1"/>
  <c r="V2445" i="13"/>
  <c r="A2445" i="13" s="1"/>
  <c r="V2439" i="13"/>
  <c r="A2439" i="13" s="1"/>
  <c r="V2453" i="13"/>
  <c r="A2453" i="13" s="1"/>
  <c r="V974" i="13"/>
  <c r="A974" i="13" s="1"/>
  <c r="V954" i="13"/>
  <c r="A954" i="13" s="1"/>
  <c r="V816" i="13"/>
  <c r="A816" i="13" s="1"/>
  <c r="V883" i="13"/>
  <c r="A883" i="13" s="1"/>
  <c r="V989" i="13"/>
  <c r="A989" i="13" s="1"/>
  <c r="V815" i="13"/>
  <c r="A815" i="13" s="1"/>
  <c r="V947" i="13"/>
  <c r="A947" i="13" s="1"/>
  <c r="V753" i="13"/>
  <c r="A753" i="13" s="1"/>
  <c r="V920" i="13"/>
  <c r="A920" i="13" s="1"/>
  <c r="V762" i="13"/>
  <c r="A762" i="13" s="1"/>
  <c r="V791" i="13"/>
  <c r="A791" i="13" s="1"/>
  <c r="V834" i="13"/>
  <c r="A834" i="13" s="1"/>
  <c r="V859" i="13"/>
  <c r="A859" i="13" s="1"/>
  <c r="V758" i="13"/>
  <c r="A758" i="13" s="1"/>
  <c r="V856" i="13"/>
  <c r="A856" i="13" s="1"/>
  <c r="V837" i="13"/>
  <c r="A837" i="13" s="1"/>
  <c r="V836" i="13"/>
  <c r="A836" i="13" s="1"/>
  <c r="V908" i="13"/>
  <c r="A908" i="13" s="1"/>
  <c r="V805" i="13"/>
  <c r="A805" i="13" s="1"/>
  <c r="V844" i="13"/>
  <c r="A844" i="13" s="1"/>
  <c r="V962" i="13"/>
  <c r="A962" i="13" s="1"/>
  <c r="V882" i="13"/>
  <c r="A882" i="13" s="1"/>
  <c r="V865" i="13"/>
  <c r="A865" i="13" s="1"/>
  <c r="V977" i="13"/>
  <c r="A977" i="13" s="1"/>
  <c r="V981" i="13"/>
  <c r="A981" i="13" s="1"/>
  <c r="V975" i="13"/>
  <c r="A975" i="13" s="1"/>
  <c r="V893" i="13"/>
  <c r="A893" i="13" s="1"/>
  <c r="V804" i="13"/>
  <c r="A804" i="13" s="1"/>
  <c r="V835" i="13"/>
  <c r="A835" i="13" s="1"/>
  <c r="V552" i="13"/>
  <c r="A552" i="13" s="1"/>
  <c r="V732" i="13"/>
  <c r="A732" i="13" s="1"/>
  <c r="V559" i="13"/>
  <c r="A559" i="13" s="1"/>
  <c r="V525" i="13"/>
  <c r="A525" i="13" s="1"/>
  <c r="V558" i="13"/>
  <c r="A558" i="13" s="1"/>
  <c r="V625" i="13"/>
  <c r="A625" i="13" s="1"/>
  <c r="V600" i="13"/>
  <c r="A600" i="13" s="1"/>
  <c r="V631" i="13"/>
  <c r="A631" i="13" s="1"/>
  <c r="V611" i="13"/>
  <c r="A611" i="13" s="1"/>
  <c r="V511" i="13"/>
  <c r="A511" i="13" s="1"/>
  <c r="V617" i="13"/>
  <c r="A617" i="13" s="1"/>
  <c r="V722" i="13"/>
  <c r="A722" i="13" s="1"/>
  <c r="V690" i="13"/>
  <c r="A690" i="13" s="1"/>
  <c r="V549" i="13"/>
  <c r="A549" i="13" s="1"/>
  <c r="V633" i="13"/>
  <c r="A633" i="13" s="1"/>
  <c r="V574" i="13"/>
  <c r="A574" i="13" s="1"/>
  <c r="V669" i="13"/>
  <c r="A669" i="13" s="1"/>
  <c r="V656" i="13"/>
  <c r="A656" i="13" s="1"/>
  <c r="V560" i="13"/>
  <c r="A560" i="13" s="1"/>
  <c r="V532" i="13"/>
  <c r="A532" i="13" s="1"/>
  <c r="V586" i="13"/>
  <c r="A586" i="13" s="1"/>
  <c r="V535" i="13"/>
  <c r="A535" i="13" s="1"/>
  <c r="V704" i="13"/>
  <c r="A704" i="13" s="1"/>
  <c r="V660" i="13"/>
  <c r="A660" i="13" s="1"/>
  <c r="V643" i="13"/>
  <c r="A643" i="13" s="1"/>
  <c r="V716" i="13"/>
  <c r="A716" i="13" s="1"/>
  <c r="V642" i="13"/>
  <c r="A642" i="13" s="1"/>
  <c r="V648" i="13"/>
  <c r="A648" i="13" s="1"/>
  <c r="V1841" i="13"/>
  <c r="A1841" i="13" s="1"/>
  <c r="V1941" i="13"/>
  <c r="A1941" i="13" s="1"/>
  <c r="V1904" i="13"/>
  <c r="A1904" i="13" s="1"/>
  <c r="V1827" i="13"/>
  <c r="A1827" i="13" s="1"/>
  <c r="V1767" i="13"/>
  <c r="A1767" i="13" s="1"/>
  <c r="V1840" i="13"/>
  <c r="A1840" i="13" s="1"/>
  <c r="V1770" i="13"/>
  <c r="A1770" i="13" s="1"/>
  <c r="V1801" i="13"/>
  <c r="A1801" i="13" s="1"/>
  <c r="V1877" i="13"/>
  <c r="A1877" i="13" s="1"/>
  <c r="V1800" i="13"/>
  <c r="A1800" i="13" s="1"/>
  <c r="V1804" i="13"/>
  <c r="A1804" i="13" s="1"/>
  <c r="V1973" i="13"/>
  <c r="A1973" i="13" s="1"/>
  <c r="V1816" i="13"/>
  <c r="A1816" i="13" s="1"/>
  <c r="V1894" i="13"/>
  <c r="A1894" i="13" s="1"/>
  <c r="V1774" i="13"/>
  <c r="A1774" i="13" s="1"/>
  <c r="V1842" i="13"/>
  <c r="A1842" i="13" s="1"/>
  <c r="V1783" i="13"/>
  <c r="A1783" i="13" s="1"/>
  <c r="V1888" i="13"/>
  <c r="A1888" i="13" s="1"/>
  <c r="V1809" i="13"/>
  <c r="A1809" i="13" s="1"/>
  <c r="V1969" i="13"/>
  <c r="A1969" i="13" s="1"/>
  <c r="V1936" i="13"/>
  <c r="A1936" i="13" s="1"/>
  <c r="V1755" i="13"/>
  <c r="A1755" i="13" s="1"/>
  <c r="V1763" i="13"/>
  <c r="A1763" i="13" s="1"/>
  <c r="V1742" i="13"/>
  <c r="A1742" i="13" s="1"/>
  <c r="V1919" i="13"/>
  <c r="A1919" i="13" s="1"/>
  <c r="V1920" i="13"/>
  <c r="A1920" i="13" s="1"/>
  <c r="V1962" i="13"/>
  <c r="A1962" i="13" s="1"/>
  <c r="V1983" i="13"/>
  <c r="A1983" i="13" s="1"/>
  <c r="V1958" i="13"/>
  <c r="A1958" i="13" s="1"/>
  <c r="V1819" i="13"/>
  <c r="A1819" i="13" s="1"/>
  <c r="V1594" i="13"/>
  <c r="A1594" i="13" s="1"/>
  <c r="V1660" i="13"/>
  <c r="A1660" i="13" s="1"/>
  <c r="V1726" i="13"/>
  <c r="A1726" i="13" s="1"/>
  <c r="V1535" i="13"/>
  <c r="A1535" i="13" s="1"/>
  <c r="V1696" i="13"/>
  <c r="A1696" i="13" s="1"/>
  <c r="V1571" i="13"/>
  <c r="A1571" i="13" s="1"/>
  <c r="V1498" i="13"/>
  <c r="A1498" i="13" s="1"/>
  <c r="V1597" i="13"/>
  <c r="A1597" i="13" s="1"/>
  <c r="V1684" i="13"/>
  <c r="A1684" i="13" s="1"/>
  <c r="V1717" i="13"/>
  <c r="A1717" i="13" s="1"/>
  <c r="V1550" i="13"/>
  <c r="A1550" i="13" s="1"/>
  <c r="V1513" i="13"/>
  <c r="A1513" i="13" s="1"/>
  <c r="V1719" i="13"/>
  <c r="A1719" i="13" s="1"/>
  <c r="V1555" i="13"/>
  <c r="A1555" i="13" s="1"/>
  <c r="V1694" i="13"/>
  <c r="A1694" i="13" s="1"/>
  <c r="V1704" i="13"/>
  <c r="A1704" i="13" s="1"/>
  <c r="V1713" i="13"/>
  <c r="A1713" i="13" s="1"/>
  <c r="V1501" i="13"/>
  <c r="A1501" i="13" s="1"/>
  <c r="V1676" i="13"/>
  <c r="A1676" i="13" s="1"/>
  <c r="V1557" i="13"/>
  <c r="A1557" i="13" s="1"/>
  <c r="V1723" i="13"/>
  <c r="A1723" i="13" s="1"/>
  <c r="V1611" i="13"/>
  <c r="A1611" i="13" s="1"/>
  <c r="V1532" i="13"/>
  <c r="A1532" i="13" s="1"/>
  <c r="V1494" i="13"/>
  <c r="A1494" i="13" s="1"/>
  <c r="V1703" i="13"/>
  <c r="A1703" i="13" s="1"/>
  <c r="V1495" i="13"/>
  <c r="A1495" i="13" s="1"/>
  <c r="V1693" i="13"/>
  <c r="A1693" i="13" s="1"/>
  <c r="V1617" i="13"/>
  <c r="A1617" i="13" s="1"/>
  <c r="V1706" i="13"/>
  <c r="A1706" i="13" s="1"/>
  <c r="V1521" i="13"/>
  <c r="A1521" i="13" s="1"/>
  <c r="V1506" i="13"/>
  <c r="A1506" i="13" s="1"/>
  <c r="V1168" i="13"/>
  <c r="A1168" i="13" s="1"/>
  <c r="V1041" i="13"/>
  <c r="A1041" i="13" s="1"/>
  <c r="V1144" i="13"/>
  <c r="A1144" i="13" s="1"/>
  <c r="V1145" i="13"/>
  <c r="A1145" i="13" s="1"/>
  <c r="V1140" i="13"/>
  <c r="A1140" i="13" s="1"/>
  <c r="V1181" i="13"/>
  <c r="A1181" i="13" s="1"/>
  <c r="V1104" i="13"/>
  <c r="A1104" i="13" s="1"/>
  <c r="V1154" i="13"/>
  <c r="A1154" i="13" s="1"/>
  <c r="V1086" i="13"/>
  <c r="A1086" i="13" s="1"/>
  <c r="V1018" i="13"/>
  <c r="A1018" i="13" s="1"/>
  <c r="V1228" i="13"/>
  <c r="A1228" i="13" s="1"/>
  <c r="V1210" i="13"/>
  <c r="A1210" i="13" s="1"/>
  <c r="V1227" i="13"/>
  <c r="A1227" i="13" s="1"/>
  <c r="V1180" i="13"/>
  <c r="A1180" i="13" s="1"/>
  <c r="V1125" i="13"/>
  <c r="A1125" i="13" s="1"/>
  <c r="V1065" i="13"/>
  <c r="A1065" i="13" s="1"/>
  <c r="V1185" i="13"/>
  <c r="A1185" i="13" s="1"/>
  <c r="V1106" i="13"/>
  <c r="A1106" i="13" s="1"/>
  <c r="V1219" i="13"/>
  <c r="A1219" i="13" s="1"/>
  <c r="V1175" i="13"/>
  <c r="A1175" i="13" s="1"/>
  <c r="V1237" i="13"/>
  <c r="A1237" i="13" s="1"/>
  <c r="V1151" i="13"/>
  <c r="A1151" i="13" s="1"/>
  <c r="V1205" i="13"/>
  <c r="A1205" i="13" s="1"/>
  <c r="V1127" i="13"/>
  <c r="A1127" i="13" s="1"/>
  <c r="V1152" i="13"/>
  <c r="A1152" i="13" s="1"/>
  <c r="V1126" i="13"/>
  <c r="A1126" i="13" s="1"/>
  <c r="V1096" i="13"/>
  <c r="A1096" i="13" s="1"/>
  <c r="V1097" i="13"/>
  <c r="A1097" i="13" s="1"/>
  <c r="V1035" i="13"/>
  <c r="A1035" i="13" s="1"/>
  <c r="V2225" i="13"/>
  <c r="A2225" i="13" s="1"/>
  <c r="V2200" i="13"/>
  <c r="A2200" i="13" s="1"/>
  <c r="V2020" i="13"/>
  <c r="A2020" i="13" s="1"/>
  <c r="V1991" i="13"/>
  <c r="A1991" i="13" s="1"/>
  <c r="V2216" i="13"/>
  <c r="A2216" i="13" s="1"/>
  <c r="V2107" i="13"/>
  <c r="A2107" i="13" s="1"/>
  <c r="V2127" i="13"/>
  <c r="A2127" i="13" s="1"/>
  <c r="V2066" i="13"/>
  <c r="A2066" i="13" s="1"/>
  <c r="V2399" i="13"/>
  <c r="A2399" i="13" s="1"/>
  <c r="V2337" i="13"/>
  <c r="A2337" i="13" s="1"/>
  <c r="V2403" i="13"/>
  <c r="A2403" i="13" s="1"/>
  <c r="V2341" i="13"/>
  <c r="A2341" i="13" s="1"/>
  <c r="V2428" i="13"/>
  <c r="A2428" i="13" s="1"/>
  <c r="V2443" i="13"/>
  <c r="A2443" i="13" s="1"/>
  <c r="V2355" i="13"/>
  <c r="A2355" i="13" s="1"/>
  <c r="V2447" i="13"/>
  <c r="A2447" i="13" s="1"/>
  <c r="V2365" i="13"/>
  <c r="A2365" i="13" s="1"/>
  <c r="V2367" i="13"/>
  <c r="A2367" i="13" s="1"/>
  <c r="V2385" i="13"/>
  <c r="A2385" i="13" s="1"/>
  <c r="V2423" i="13"/>
  <c r="A2423" i="13" s="1"/>
  <c r="V2261" i="13"/>
  <c r="A2261" i="13" s="1"/>
  <c r="V2461" i="13"/>
  <c r="A2461" i="13" s="1"/>
  <c r="V2361" i="13"/>
  <c r="A2361" i="13" s="1"/>
  <c r="V2351" i="13"/>
  <c r="A2351" i="13" s="1"/>
  <c r="V2380" i="13"/>
  <c r="A2380" i="13" s="1"/>
  <c r="V2376" i="13"/>
  <c r="A2376" i="13" s="1"/>
  <c r="V2396" i="13"/>
  <c r="A2396" i="13" s="1"/>
  <c r="V2274" i="13"/>
  <c r="A2274" i="13" s="1"/>
  <c r="V2264" i="13"/>
  <c r="A2264" i="13" s="1"/>
  <c r="V2238" i="13"/>
  <c r="A2238" i="13" s="1"/>
  <c r="V2435" i="13"/>
  <c r="A2435" i="13" s="1"/>
  <c r="V2258" i="13"/>
  <c r="A2258" i="13" s="1"/>
  <c r="V2412" i="13"/>
  <c r="A2412" i="13" s="1"/>
  <c r="V2251" i="13"/>
  <c r="A2251" i="13" s="1"/>
  <c r="V2464" i="13"/>
  <c r="A2464" i="13" s="1"/>
  <c r="V2354" i="13"/>
  <c r="A2354" i="13" s="1"/>
  <c r="V2308" i="13"/>
  <c r="A2308" i="13" s="1"/>
  <c r="V2260" i="13"/>
  <c r="A2260" i="13" s="1"/>
  <c r="V767" i="13"/>
  <c r="A767" i="13" s="1"/>
  <c r="V888" i="13"/>
  <c r="A888" i="13" s="1"/>
  <c r="V911" i="13"/>
  <c r="A911" i="13" s="1"/>
  <c r="V884" i="13"/>
  <c r="A884" i="13" s="1"/>
  <c r="V875" i="13"/>
  <c r="A875" i="13" s="1"/>
  <c r="V936" i="13"/>
  <c r="A936" i="13" s="1"/>
  <c r="V950" i="13"/>
  <c r="A950" i="13" s="1"/>
  <c r="V939" i="13"/>
  <c r="A939" i="13" s="1"/>
  <c r="V821" i="13"/>
  <c r="A821" i="13" s="1"/>
  <c r="V912" i="13"/>
  <c r="A912" i="13" s="1"/>
  <c r="V760" i="13"/>
  <c r="A760" i="13" s="1"/>
  <c r="V904" i="13"/>
  <c r="A904" i="13" s="1"/>
  <c r="V867" i="13"/>
  <c r="A867" i="13" s="1"/>
  <c r="V769" i="13"/>
  <c r="A769" i="13" s="1"/>
  <c r="V832" i="13"/>
  <c r="A832" i="13" s="1"/>
  <c r="V814" i="13"/>
  <c r="A814" i="13" s="1"/>
  <c r="V958" i="13"/>
  <c r="A958" i="13" s="1"/>
  <c r="V860" i="13"/>
  <c r="A860" i="13" s="1"/>
  <c r="V803" i="13"/>
  <c r="A803" i="13" s="1"/>
  <c r="V892" i="13"/>
  <c r="A892" i="13" s="1"/>
  <c r="V881" i="13"/>
  <c r="A881" i="13" s="1"/>
  <c r="V919" i="13"/>
  <c r="A919" i="13" s="1"/>
  <c r="V952" i="13"/>
  <c r="A952" i="13" s="1"/>
  <c r="V800" i="13"/>
  <c r="A800" i="13" s="1"/>
  <c r="V978" i="13"/>
  <c r="A978" i="13" s="1"/>
  <c r="V876" i="13"/>
  <c r="A876" i="13" s="1"/>
  <c r="V782" i="13"/>
  <c r="A782" i="13" s="1"/>
  <c r="V956" i="13"/>
  <c r="A956" i="13" s="1"/>
  <c r="V898" i="13"/>
  <c r="A898" i="13" s="1"/>
  <c r="V797" i="13"/>
  <c r="A797" i="13" s="1"/>
  <c r="V527" i="13"/>
  <c r="A527" i="13" s="1"/>
  <c r="V543" i="13"/>
  <c r="A543" i="13" s="1"/>
  <c r="V696" i="13"/>
  <c r="A696" i="13" s="1"/>
  <c r="V520" i="13"/>
  <c r="A520" i="13" s="1"/>
  <c r="V680" i="13"/>
  <c r="A680" i="13" s="1"/>
  <c r="V684" i="13"/>
  <c r="A684" i="13" s="1"/>
  <c r="V673" i="13"/>
  <c r="A673" i="13" s="1"/>
  <c r="V603" i="13"/>
  <c r="A603" i="13" s="1"/>
  <c r="V703" i="13"/>
  <c r="A703" i="13" s="1"/>
  <c r="V652" i="13"/>
  <c r="A652" i="13" s="1"/>
  <c r="V705" i="13"/>
  <c r="A705" i="13" s="1"/>
  <c r="V739" i="13"/>
  <c r="A739" i="13" s="1"/>
  <c r="V544" i="13"/>
  <c r="A544" i="13" s="1"/>
  <c r="V621" i="13"/>
  <c r="A621" i="13" s="1"/>
  <c r="V540" i="13"/>
  <c r="A540" i="13" s="1"/>
  <c r="V595" i="13"/>
  <c r="A595" i="13" s="1"/>
  <c r="V707" i="13"/>
  <c r="A707" i="13" s="1"/>
  <c r="V645" i="13"/>
  <c r="A645" i="13" s="1"/>
  <c r="V576" i="13"/>
  <c r="A576" i="13" s="1"/>
  <c r="V714" i="13"/>
  <c r="A714" i="13" s="1"/>
  <c r="V601" i="13"/>
  <c r="A601" i="13" s="1"/>
  <c r="V577" i="13"/>
  <c r="A577" i="13" s="1"/>
  <c r="V537" i="13"/>
  <c r="A537" i="13" s="1"/>
  <c r="V582" i="13"/>
  <c r="A582" i="13" s="1"/>
  <c r="V514" i="13"/>
  <c r="A514" i="13" s="1"/>
  <c r="V541" i="13"/>
  <c r="A541" i="13" s="1"/>
  <c r="V592" i="13"/>
  <c r="A592" i="13" s="1"/>
  <c r="V509" i="13"/>
  <c r="A509" i="13" s="1"/>
  <c r="V737" i="13"/>
  <c r="A737" i="13" s="1"/>
  <c r="V585" i="13"/>
  <c r="A585" i="13" s="1"/>
  <c r="V727" i="13"/>
  <c r="A727" i="13" s="1"/>
  <c r="V1850" i="13"/>
  <c r="A1850" i="13" s="1"/>
  <c r="V1979" i="13"/>
  <c r="A1979" i="13" s="1"/>
  <c r="V1856" i="13"/>
  <c r="A1856" i="13" s="1"/>
  <c r="V1937" i="13"/>
  <c r="A1937" i="13" s="1"/>
  <c r="V1745" i="13"/>
  <c r="A1745" i="13" s="1"/>
  <c r="V1808" i="13"/>
  <c r="A1808" i="13" s="1"/>
  <c r="V1853" i="13"/>
  <c r="A1853" i="13" s="1"/>
  <c r="V1905" i="13"/>
  <c r="A1905" i="13" s="1"/>
  <c r="V1961" i="13"/>
  <c r="A1961" i="13" s="1"/>
  <c r="V1756" i="13"/>
  <c r="A1756" i="13" s="1"/>
  <c r="V1821" i="13"/>
  <c r="A1821" i="13" s="1"/>
  <c r="V1890" i="13"/>
  <c r="A1890" i="13" s="1"/>
  <c r="V1907" i="13"/>
  <c r="A1907" i="13" s="1"/>
  <c r="V1846" i="13"/>
  <c r="A1846" i="13" s="1"/>
  <c r="V1978" i="13"/>
  <c r="A1978" i="13" s="1"/>
  <c r="V1880" i="13"/>
  <c r="A1880" i="13" s="1"/>
  <c r="V1815" i="13"/>
  <c r="A1815" i="13" s="1"/>
  <c r="V1893" i="13"/>
  <c r="A1893" i="13" s="1"/>
  <c r="V1910" i="13"/>
  <c r="A1910" i="13" s="1"/>
  <c r="V1955" i="13"/>
  <c r="A1955" i="13" s="1"/>
  <c r="V1878" i="13"/>
  <c r="A1878" i="13" s="1"/>
  <c r="V1766" i="13"/>
  <c r="A1766" i="13" s="1"/>
  <c r="V1773" i="13"/>
  <c r="A1773" i="13" s="1"/>
  <c r="V1820" i="13"/>
  <c r="A1820" i="13" s="1"/>
  <c r="V1940" i="13"/>
  <c r="A1940" i="13" s="1"/>
  <c r="V1863" i="13"/>
  <c r="A1863" i="13" s="1"/>
  <c r="V1797" i="13"/>
  <c r="A1797" i="13" s="1"/>
  <c r="V1848" i="13"/>
  <c r="A1848" i="13" s="1"/>
  <c r="V1831" i="13"/>
  <c r="A1831" i="13" s="1"/>
  <c r="V1785" i="13"/>
  <c r="A1785" i="13" s="1"/>
  <c r="V1577" i="13"/>
  <c r="A1577" i="13" s="1"/>
  <c r="V1673" i="13"/>
  <c r="A1673" i="13" s="1"/>
  <c r="V1665" i="13"/>
  <c r="A1665" i="13" s="1"/>
  <c r="V1563" i="13"/>
  <c r="A1563" i="13" s="1"/>
  <c r="V1700" i="13"/>
  <c r="A1700" i="13" s="1"/>
  <c r="V1541" i="13"/>
  <c r="A1541" i="13" s="1"/>
  <c r="V1731" i="13"/>
  <c r="A1731" i="13" s="1"/>
  <c r="V1682" i="13"/>
  <c r="A1682" i="13" s="1"/>
  <c r="V1619" i="13"/>
  <c r="A1619" i="13" s="1"/>
  <c r="V1686" i="13"/>
  <c r="A1686" i="13" s="1"/>
  <c r="V1728" i="13"/>
  <c r="A1728" i="13" s="1"/>
  <c r="V1616" i="13"/>
  <c r="A1616" i="13" s="1"/>
  <c r="V1634" i="13"/>
  <c r="A1634" i="13" s="1"/>
  <c r="V1657" i="13"/>
  <c r="A1657" i="13" s="1"/>
  <c r="V1607" i="13"/>
  <c r="A1607" i="13" s="1"/>
  <c r="V1631" i="13"/>
  <c r="A1631" i="13" s="1"/>
  <c r="V1533" i="13"/>
  <c r="A1533" i="13" s="1"/>
  <c r="V1623" i="13"/>
  <c r="A1623" i="13" s="1"/>
  <c r="V1560" i="13"/>
  <c r="A1560" i="13" s="1"/>
  <c r="V1516" i="13"/>
  <c r="A1516" i="13" s="1"/>
  <c r="V1720" i="13"/>
  <c r="A1720" i="13" s="1"/>
  <c r="V1582" i="13"/>
  <c r="A1582" i="13" s="1"/>
  <c r="V1598" i="13"/>
  <c r="A1598" i="13" s="1"/>
  <c r="V1678" i="13"/>
  <c r="A1678" i="13" s="1"/>
  <c r="V1661" i="13"/>
  <c r="A1661" i="13" s="1"/>
  <c r="V1638" i="13"/>
  <c r="A1638" i="13" s="1"/>
  <c r="V1599" i="13"/>
  <c r="A1599" i="13" s="1"/>
  <c r="V1544" i="13"/>
  <c r="A1544" i="13" s="1"/>
  <c r="V1564" i="13"/>
  <c r="A1564" i="13" s="1"/>
  <c r="V1593" i="13"/>
  <c r="A1593" i="13" s="1"/>
  <c r="V1023" i="13"/>
  <c r="A1023" i="13" s="1"/>
  <c r="V1083" i="13"/>
  <c r="A1083" i="13" s="1"/>
  <c r="V1048" i="13"/>
  <c r="A1048" i="13" s="1"/>
  <c r="V1000" i="13"/>
  <c r="A1000" i="13" s="1"/>
  <c r="V1166" i="13"/>
  <c r="A1166" i="13" s="1"/>
  <c r="V1078" i="13"/>
  <c r="A1078" i="13" s="1"/>
  <c r="V1190" i="13"/>
  <c r="A1190" i="13" s="1"/>
  <c r="V1116" i="13"/>
  <c r="A1116" i="13" s="1"/>
  <c r="V1229" i="13"/>
  <c r="A1229" i="13" s="1"/>
  <c r="V1197" i="13"/>
  <c r="A1197" i="13" s="1"/>
  <c r="V1164" i="13"/>
  <c r="A1164" i="13" s="1"/>
  <c r="V1080" i="13"/>
  <c r="A1080" i="13" s="1"/>
  <c r="V1087" i="13"/>
  <c r="A1087" i="13" s="1"/>
  <c r="V1050" i="13"/>
  <c r="A1050" i="13" s="1"/>
  <c r="V1008" i="13"/>
  <c r="A1008" i="13" s="1"/>
  <c r="V1063" i="13"/>
  <c r="A1063" i="13" s="1"/>
  <c r="V998" i="13"/>
  <c r="A998" i="13" s="1"/>
  <c r="V1029" i="13"/>
  <c r="A1029" i="13" s="1"/>
  <c r="V1136" i="13"/>
  <c r="A1136" i="13" s="1"/>
  <c r="V1120" i="13"/>
  <c r="A1120" i="13" s="1"/>
  <c r="V1123" i="13"/>
  <c r="A1123" i="13" s="1"/>
  <c r="V1102" i="13"/>
  <c r="A1102" i="13" s="1"/>
  <c r="V1037" i="13"/>
  <c r="A1037" i="13" s="1"/>
  <c r="V1036" i="13"/>
  <c r="A1036" i="13" s="1"/>
  <c r="V1013" i="13"/>
  <c r="A1013" i="13" s="1"/>
  <c r="V1024" i="13"/>
  <c r="A1024" i="13" s="1"/>
  <c r="V1011" i="13"/>
  <c r="A1011" i="13" s="1"/>
  <c r="V1079" i="13"/>
  <c r="A1079" i="13" s="1"/>
  <c r="V1038" i="13"/>
  <c r="A1038" i="13" s="1"/>
  <c r="V1114" i="13"/>
  <c r="A1114" i="13" s="1"/>
  <c r="V2079" i="13"/>
  <c r="A2079" i="13" s="1"/>
  <c r="V2219" i="13"/>
  <c r="A2219" i="13" s="1"/>
  <c r="V2057" i="13"/>
  <c r="A2057" i="13" s="1"/>
  <c r="V2000" i="13"/>
  <c r="A2000" i="13" s="1"/>
  <c r="V2094" i="13"/>
  <c r="A2094" i="13" s="1"/>
  <c r="V2044" i="13"/>
  <c r="A2044" i="13" s="1"/>
  <c r="V2028" i="13"/>
  <c r="A2028" i="13" s="1"/>
  <c r="V2052" i="13"/>
  <c r="A2052" i="13" s="1"/>
  <c r="V2148" i="13"/>
  <c r="A2148" i="13" s="1"/>
  <c r="V2454" i="13"/>
  <c r="A2454" i="13" s="1"/>
  <c r="V2372" i="13"/>
  <c r="A2372" i="13" s="1"/>
  <c r="V2381" i="13"/>
  <c r="A2381" i="13" s="1"/>
  <c r="V2252" i="13"/>
  <c r="A2252" i="13" s="1"/>
  <c r="V2257" i="13"/>
  <c r="A2257" i="13" s="1"/>
  <c r="V2334" i="13"/>
  <c r="A2334" i="13" s="1"/>
  <c r="V2463" i="13"/>
  <c r="A2463" i="13" s="1"/>
  <c r="V2457" i="13"/>
  <c r="A2457" i="13" s="1"/>
  <c r="V2250" i="13"/>
  <c r="A2250" i="13" s="1"/>
  <c r="V2254" i="13"/>
  <c r="A2254" i="13" s="1"/>
  <c r="V2270" i="13"/>
  <c r="A2270" i="13" s="1"/>
  <c r="V2309" i="13"/>
  <c r="A2309" i="13" s="1"/>
  <c r="V2265" i="13"/>
  <c r="A2265" i="13" s="1"/>
  <c r="V2295" i="13"/>
  <c r="A2295" i="13" s="1"/>
  <c r="V2299" i="13"/>
  <c r="A2299" i="13" s="1"/>
  <c r="V2366" i="13"/>
  <c r="A2366" i="13" s="1"/>
  <c r="V772" i="13"/>
  <c r="A772" i="13" s="1"/>
  <c r="V764" i="13"/>
  <c r="A764" i="13" s="1"/>
  <c r="V915" i="13"/>
  <c r="A915" i="13" s="1"/>
  <c r="V917" i="13"/>
  <c r="A917" i="13" s="1"/>
  <c r="V820" i="13"/>
  <c r="A820" i="13" s="1"/>
  <c r="V799" i="13"/>
  <c r="A799" i="13" s="1"/>
  <c r="V756" i="13"/>
  <c r="A756" i="13" s="1"/>
  <c r="V824" i="13"/>
  <c r="A824" i="13" s="1"/>
  <c r="V953" i="13"/>
  <c r="A953" i="13" s="1"/>
  <c r="V940" i="13"/>
  <c r="A940" i="13" s="1"/>
  <c r="V763" i="13"/>
  <c r="A763" i="13" s="1"/>
  <c r="V886" i="13"/>
  <c r="A886" i="13" s="1"/>
  <c r="V840" i="13"/>
  <c r="A840" i="13" s="1"/>
  <c r="V777" i="13"/>
  <c r="A777" i="13" s="1"/>
  <c r="V961" i="13"/>
  <c r="A961" i="13" s="1"/>
  <c r="V970" i="13"/>
  <c r="A970" i="13" s="1"/>
  <c r="V661" i="13"/>
  <c r="A661" i="13" s="1"/>
  <c r="V721" i="13"/>
  <c r="A721" i="13" s="1"/>
  <c r="V683" i="13"/>
  <c r="A683" i="13" s="1"/>
  <c r="V502" i="13"/>
  <c r="A502" i="13" s="1"/>
  <c r="V521" i="13"/>
  <c r="A521" i="13" s="1"/>
  <c r="V553" i="13"/>
  <c r="A553" i="13" s="1"/>
  <c r="V718" i="13"/>
  <c r="A718" i="13" s="1"/>
  <c r="V658" i="13"/>
  <c r="A658" i="13" s="1"/>
  <c r="V613" i="13"/>
  <c r="A613" i="13" s="1"/>
  <c r="V530" i="13"/>
  <c r="A530" i="13" s="1"/>
  <c r="V641" i="13"/>
  <c r="A641" i="13" s="1"/>
  <c r="V568" i="13"/>
  <c r="A568" i="13" s="1"/>
  <c r="V618" i="13"/>
  <c r="A618" i="13" s="1"/>
  <c r="V565" i="13"/>
  <c r="A565" i="13" s="1"/>
  <c r="V507" i="13"/>
  <c r="A507" i="13" s="1"/>
  <c r="V700" i="13"/>
  <c r="A700" i="13" s="1"/>
  <c r="V1861" i="13"/>
  <c r="A1861" i="13" s="1"/>
  <c r="V1903" i="13"/>
  <c r="A1903" i="13" s="1"/>
  <c r="V1860" i="13"/>
  <c r="A1860" i="13" s="1"/>
  <c r="V1896" i="13"/>
  <c r="A1896" i="13" s="1"/>
  <c r="V1779" i="13"/>
  <c r="A1779" i="13" s="1"/>
  <c r="V1849" i="13"/>
  <c r="A1849" i="13" s="1"/>
  <c r="V1862" i="13"/>
  <c r="A1862" i="13" s="1"/>
  <c r="V1743" i="13"/>
  <c r="A1743" i="13" s="1"/>
  <c r="V1811" i="13"/>
  <c r="A1811" i="13" s="1"/>
  <c r="V1818" i="13"/>
  <c r="A1818" i="13" s="1"/>
  <c r="V1796" i="13"/>
  <c r="A1796" i="13" s="1"/>
  <c r="V1942" i="13"/>
  <c r="A1942" i="13" s="1"/>
  <c r="V1883" i="13"/>
  <c r="A1883" i="13" s="1"/>
  <c r="V1847" i="13"/>
  <c r="A1847" i="13" s="1"/>
  <c r="V1802" i="13"/>
  <c r="A1802" i="13" s="1"/>
  <c r="V1787" i="13"/>
  <c r="A1787" i="13" s="1"/>
  <c r="V1549" i="13"/>
  <c r="A1549" i="13" s="1"/>
  <c r="V1567" i="13"/>
  <c r="A1567" i="13" s="1"/>
  <c r="V1618" i="13"/>
  <c r="A1618" i="13" s="1"/>
  <c r="V1514" i="13"/>
  <c r="A1514" i="13" s="1"/>
  <c r="V1729" i="13"/>
  <c r="A1729" i="13" s="1"/>
  <c r="V1512" i="13"/>
  <c r="A1512" i="13" s="1"/>
  <c r="V1592" i="13"/>
  <c r="A1592" i="13" s="1"/>
  <c r="V1536" i="13"/>
  <c r="A1536" i="13" s="1"/>
  <c r="V1609" i="13"/>
  <c r="A1609" i="13" s="1"/>
  <c r="V1519" i="13"/>
  <c r="A1519" i="13" s="1"/>
  <c r="V1499" i="13"/>
  <c r="A1499" i="13" s="1"/>
  <c r="V1608" i="13"/>
  <c r="A1608" i="13" s="1"/>
  <c r="V1613" i="13"/>
  <c r="A1613" i="13" s="1"/>
  <c r="V1554" i="13"/>
  <c r="A1554" i="13" s="1"/>
  <c r="V1581" i="13"/>
  <c r="A1581" i="13" s="1"/>
  <c r="V1141" i="13"/>
  <c r="A1141" i="13" s="1"/>
  <c r="V1049" i="13"/>
  <c r="A1049" i="13" s="1"/>
  <c r="V1046" i="13"/>
  <c r="A1046" i="13" s="1"/>
  <c r="V1099" i="13"/>
  <c r="A1099" i="13" s="1"/>
  <c r="V1012" i="13"/>
  <c r="A1012" i="13" s="1"/>
  <c r="V1107" i="13"/>
  <c r="A1107" i="13" s="1"/>
  <c r="V1113" i="13"/>
  <c r="A1113" i="13" s="1"/>
  <c r="V1128" i="13"/>
  <c r="A1128" i="13" s="1"/>
  <c r="V1111" i="13"/>
  <c r="A1111" i="13" s="1"/>
  <c r="V1161" i="13"/>
  <c r="A1161" i="13" s="1"/>
  <c r="V1025" i="13"/>
  <c r="A1025" i="13" s="1"/>
  <c r="V1157" i="13"/>
  <c r="A1157" i="13" s="1"/>
  <c r="V1082" i="13"/>
  <c r="A1082" i="13" s="1"/>
  <c r="V1089" i="13"/>
  <c r="A1089" i="13" s="1"/>
  <c r="V1026" i="13"/>
  <c r="A1026" i="13" s="1"/>
  <c r="V1177" i="13"/>
  <c r="A1177" i="13" s="1"/>
  <c r="V2229" i="13"/>
  <c r="A2229" i="13" s="1"/>
  <c r="V2112" i="13"/>
  <c r="A2112" i="13" s="1"/>
  <c r="V2210" i="13"/>
  <c r="A2210" i="13" s="1"/>
  <c r="V2187" i="13"/>
  <c r="A2187" i="13" s="1"/>
  <c r="V2037" i="13"/>
  <c r="A2037" i="13" s="1"/>
  <c r="V2150" i="13"/>
  <c r="A2150" i="13" s="1"/>
  <c r="V2004" i="13"/>
  <c r="A2004" i="13" s="1"/>
  <c r="V2167" i="13"/>
  <c r="A2167" i="13" s="1"/>
  <c r="V2141" i="13"/>
  <c r="A2141" i="13" s="1"/>
  <c r="V2090" i="13"/>
  <c r="A2090" i="13" s="1"/>
  <c r="V2209" i="13"/>
  <c r="A2209" i="13" s="1"/>
  <c r="V2039" i="13"/>
  <c r="A2039" i="13" s="1"/>
  <c r="V2098" i="13"/>
  <c r="A2098" i="13" s="1"/>
  <c r="V2056" i="13"/>
  <c r="A2056" i="13" s="1"/>
  <c r="V2084" i="13"/>
  <c r="A2084" i="13" s="1"/>
  <c r="V2224" i="13"/>
  <c r="A2224" i="13" s="1"/>
  <c r="V2157" i="13"/>
  <c r="A2157" i="13" s="1"/>
  <c r="V1305" i="13"/>
  <c r="A1305" i="13" s="1"/>
  <c r="V1405" i="13"/>
  <c r="A1405" i="13" s="1"/>
  <c r="V1301" i="13"/>
  <c r="A1301" i="13" s="1"/>
  <c r="V1470" i="13"/>
  <c r="A1470" i="13" s="1"/>
  <c r="V1406" i="13"/>
  <c r="A1406" i="13" s="1"/>
  <c r="V1248" i="13"/>
  <c r="A1248" i="13" s="1"/>
  <c r="V1347" i="13"/>
  <c r="A1347" i="13" s="1"/>
  <c r="V1267" i="13"/>
  <c r="A1267" i="13" s="1"/>
  <c r="V1326" i="13"/>
  <c r="A1326" i="13" s="1"/>
  <c r="V1296" i="13"/>
  <c r="A1296" i="13" s="1"/>
  <c r="V1337" i="13"/>
  <c r="A1337" i="13" s="1"/>
  <c r="V1285" i="13"/>
  <c r="A1285" i="13" s="1"/>
  <c r="V1351" i="13"/>
  <c r="A1351" i="13" s="1"/>
  <c r="V1448" i="13"/>
  <c r="A1448" i="13" s="1"/>
  <c r="V1360" i="13"/>
  <c r="A1360" i="13" s="1"/>
  <c r="V1275" i="13"/>
  <c r="A1275" i="13" s="1"/>
  <c r="V2685" i="13"/>
  <c r="A2685" i="13" s="1"/>
  <c r="V2721" i="13"/>
  <c r="A2721" i="13" s="1"/>
  <c r="V2490" i="13"/>
  <c r="A2490" i="13" s="1"/>
  <c r="V2716" i="13"/>
  <c r="A2716" i="13" s="1"/>
  <c r="V2723" i="13"/>
  <c r="A2723" i="13" s="1"/>
  <c r="V2641" i="13"/>
  <c r="A2641" i="13" s="1"/>
  <c r="V2727" i="13"/>
  <c r="A2727" i="13" s="1"/>
  <c r="V2690" i="13"/>
  <c r="A2690" i="13" s="1"/>
  <c r="V2672" i="13"/>
  <c r="A2672" i="13" s="1"/>
  <c r="V2687" i="13"/>
  <c r="A2687" i="13" s="1"/>
  <c r="V2629" i="13"/>
  <c r="A2629" i="13" s="1"/>
  <c r="V2503" i="13"/>
  <c r="A2503" i="13" s="1"/>
  <c r="V2577" i="13"/>
  <c r="A2577" i="13" s="1"/>
  <c r="V2554" i="13"/>
  <c r="A2554" i="13" s="1"/>
  <c r="V2600" i="13"/>
  <c r="A2600" i="13" s="1"/>
  <c r="V2516" i="13"/>
  <c r="A2516" i="13" s="1"/>
  <c r="V2212" i="13"/>
  <c r="A2212" i="13" s="1"/>
  <c r="V2026" i="13"/>
  <c r="A2026" i="13" s="1"/>
  <c r="V2063" i="13"/>
  <c r="A2063" i="13" s="1"/>
  <c r="V2158" i="13"/>
  <c r="A2158" i="13" s="1"/>
  <c r="V2054" i="13"/>
  <c r="A2054" i="13" s="1"/>
  <c r="V2198" i="13"/>
  <c r="A2198" i="13" s="1"/>
  <c r="V2170" i="13"/>
  <c r="A2170" i="13" s="1"/>
  <c r="V2069" i="13"/>
  <c r="A2069" i="13" s="1"/>
  <c r="V2183" i="13"/>
  <c r="A2183" i="13" s="1"/>
  <c r="V2034" i="13"/>
  <c r="A2034" i="13" s="1"/>
  <c r="V2027" i="13"/>
  <c r="A2027" i="13" s="1"/>
  <c r="V2168" i="13"/>
  <c r="A2168" i="13" s="1"/>
  <c r="V2215" i="13"/>
  <c r="A2215" i="13" s="1"/>
  <c r="V2152" i="13"/>
  <c r="A2152" i="13" s="1"/>
  <c r="V2073" i="13"/>
  <c r="A2073" i="13" s="1"/>
  <c r="V2078" i="13"/>
  <c r="A2078" i="13" s="1"/>
  <c r="V2194" i="13"/>
  <c r="A2194" i="13" s="1"/>
  <c r="V2228" i="13"/>
  <c r="A2228" i="13" s="1"/>
  <c r="V2021" i="13"/>
  <c r="A2021" i="13" s="1"/>
  <c r="V2035" i="13"/>
  <c r="A2035" i="13" s="1"/>
  <c r="V1367" i="13"/>
  <c r="A1367" i="13" s="1"/>
  <c r="V1411" i="13"/>
  <c r="A1411" i="13" s="1"/>
  <c r="V1392" i="13"/>
  <c r="A1392" i="13" s="1"/>
  <c r="V1324" i="13"/>
  <c r="A1324" i="13" s="1"/>
  <c r="V1453" i="13"/>
  <c r="A1453" i="13" s="1"/>
  <c r="V1289" i="13"/>
  <c r="A1289" i="13" s="1"/>
  <c r="V1479" i="13"/>
  <c r="A1479" i="13" s="1"/>
  <c r="V1423" i="13"/>
  <c r="A1423" i="13" s="1"/>
  <c r="V1474" i="13"/>
  <c r="A1474" i="13" s="1"/>
  <c r="V1307" i="13"/>
  <c r="A1307" i="13" s="1"/>
  <c r="V1253" i="13"/>
  <c r="A1253" i="13" s="1"/>
  <c r="V1246" i="13"/>
  <c r="A1246" i="13" s="1"/>
  <c r="V1454" i="13"/>
  <c r="A1454" i="13" s="1"/>
  <c r="V1420" i="13"/>
  <c r="A1420" i="13" s="1"/>
  <c r="V1323" i="13"/>
  <c r="A1323" i="13" s="1"/>
  <c r="V2529" i="13"/>
  <c r="A2529" i="13" s="1"/>
  <c r="V2711" i="13"/>
  <c r="A2711" i="13" s="1"/>
  <c r="V2688" i="13"/>
  <c r="A2688" i="13" s="1"/>
  <c r="V2624" i="13"/>
  <c r="A2624" i="13" s="1"/>
  <c r="V2649" i="13"/>
  <c r="A2649" i="13" s="1"/>
  <c r="V2556" i="13"/>
  <c r="A2556" i="13" s="1"/>
  <c r="V2678" i="13"/>
  <c r="A2678" i="13" s="1"/>
  <c r="V2588" i="13"/>
  <c r="A2588" i="13" s="1"/>
  <c r="V2552" i="13"/>
  <c r="A2552" i="13" s="1"/>
  <c r="V2565" i="13"/>
  <c r="A2565" i="13" s="1"/>
  <c r="V2725" i="13"/>
  <c r="A2725" i="13" s="1"/>
  <c r="V2726" i="13"/>
  <c r="A2726" i="13" s="1"/>
  <c r="V2619" i="13"/>
  <c r="A2619" i="13" s="1"/>
  <c r="V2532" i="13"/>
  <c r="A2532" i="13" s="1"/>
  <c r="V2549" i="13"/>
  <c r="A2549" i="13" s="1"/>
  <c r="V2053" i="13"/>
  <c r="A2053" i="13" s="1"/>
  <c r="V2024" i="13"/>
  <c r="A2024" i="13" s="1"/>
  <c r="V2121" i="13"/>
  <c r="A2121" i="13" s="1"/>
  <c r="V1993" i="13"/>
  <c r="A1993" i="13" s="1"/>
  <c r="V2025" i="13"/>
  <c r="A2025" i="13" s="1"/>
  <c r="V2023" i="13"/>
  <c r="A2023" i="13" s="1"/>
  <c r="V2115" i="13"/>
  <c r="A2115" i="13" s="1"/>
  <c r="V2043" i="13"/>
  <c r="A2043" i="13" s="1"/>
  <c r="V2046" i="13"/>
  <c r="A2046" i="13" s="1"/>
  <c r="V2109" i="13"/>
  <c r="A2109" i="13" s="1"/>
  <c r="V2058" i="13"/>
  <c r="A2058" i="13" s="1"/>
  <c r="V1994" i="13"/>
  <c r="A1994" i="13" s="1"/>
  <c r="V2173" i="13"/>
  <c r="A2173" i="13" s="1"/>
  <c r="V2050" i="13"/>
  <c r="A2050" i="13" s="1"/>
  <c r="V2038" i="13"/>
  <c r="A2038" i="13" s="1"/>
  <c r="V2207" i="13"/>
  <c r="A2207" i="13" s="1"/>
  <c r="V2108" i="13"/>
  <c r="A2108" i="13" s="1"/>
  <c r="V2105" i="13"/>
  <c r="A2105" i="13" s="1"/>
  <c r="V2022" i="13"/>
  <c r="A2022" i="13" s="1"/>
  <c r="V2220" i="13"/>
  <c r="A2220" i="13" s="1"/>
  <c r="V2201" i="13"/>
  <c r="A2201" i="13" s="1"/>
  <c r="V1358" i="13"/>
  <c r="A1358" i="13" s="1"/>
  <c r="V1317" i="13"/>
  <c r="A1317" i="13" s="1"/>
  <c r="V1311" i="13"/>
  <c r="A1311" i="13" s="1"/>
  <c r="V1435" i="13"/>
  <c r="A1435" i="13" s="1"/>
  <c r="V1410" i="13"/>
  <c r="A1410" i="13" s="1"/>
  <c r="V1427" i="13"/>
  <c r="A1427" i="13" s="1"/>
  <c r="V1276" i="13"/>
  <c r="A1276" i="13" s="1"/>
  <c r="V1291" i="13"/>
  <c r="A1291" i="13" s="1"/>
  <c r="V1375" i="13"/>
  <c r="A1375" i="13" s="1"/>
  <c r="V1378" i="13"/>
  <c r="A1378" i="13" s="1"/>
  <c r="V1486" i="13"/>
  <c r="A1486" i="13" s="1"/>
  <c r="V1463" i="13"/>
  <c r="A1463" i="13" s="1"/>
  <c r="V1333" i="13"/>
  <c r="A1333" i="13" s="1"/>
  <c r="V1369" i="13"/>
  <c r="A1369" i="13" s="1"/>
  <c r="V1424" i="13"/>
  <c r="A1424" i="13" s="1"/>
  <c r="V1487" i="13"/>
  <c r="A1487" i="13" s="1"/>
  <c r="V1439" i="13"/>
  <c r="A1439" i="13" s="1"/>
  <c r="V1322" i="13"/>
  <c r="A1322" i="13" s="1"/>
  <c r="V1260" i="13"/>
  <c r="A1260" i="13" s="1"/>
  <c r="V1442" i="13"/>
  <c r="A1442" i="13" s="1"/>
  <c r="V1414" i="13"/>
  <c r="A1414" i="13" s="1"/>
  <c r="V1407" i="13"/>
  <c r="A1407" i="13" s="1"/>
  <c r="V1394" i="13"/>
  <c r="A1394" i="13" s="1"/>
  <c r="V1458" i="13"/>
  <c r="A1458" i="13" s="1"/>
  <c r="V1478" i="13"/>
  <c r="A1478" i="13" s="1"/>
  <c r="V1461" i="13"/>
  <c r="A1461" i="13" s="1"/>
  <c r="V1476" i="13"/>
  <c r="A1476" i="13" s="1"/>
  <c r="V1467" i="13"/>
  <c r="A1467" i="13" s="1"/>
  <c r="V1341" i="13"/>
  <c r="A1341" i="13" s="1"/>
  <c r="V1268" i="13"/>
  <c r="A1268" i="13" s="1"/>
  <c r="V2558" i="13"/>
  <c r="A2558" i="13" s="1"/>
  <c r="V2539" i="13"/>
  <c r="A2539" i="13" s="1"/>
  <c r="V2676" i="13"/>
  <c r="A2676" i="13" s="1"/>
  <c r="V2592" i="13"/>
  <c r="A2592" i="13" s="1"/>
  <c r="V2679" i="13"/>
  <c r="A2679" i="13" s="1"/>
  <c r="V2536" i="13"/>
  <c r="A2536" i="13" s="1"/>
  <c r="V2709" i="13"/>
  <c r="A2709" i="13" s="1"/>
  <c r="V2585" i="13"/>
  <c r="A2585" i="13" s="1"/>
  <c r="V2703" i="13"/>
  <c r="A2703" i="13" s="1"/>
  <c r="V2603" i="13"/>
  <c r="A2603" i="13" s="1"/>
  <c r="V2506" i="13"/>
  <c r="A2506" i="13" s="1"/>
  <c r="V2584" i="13"/>
  <c r="A2584" i="13" s="1"/>
  <c r="V2626" i="13"/>
  <c r="A2626" i="13" s="1"/>
  <c r="V2576" i="13"/>
  <c r="A2576" i="13" s="1"/>
  <c r="V2638" i="13"/>
  <c r="A2638" i="13" s="1"/>
  <c r="V2605" i="13"/>
  <c r="A2605" i="13" s="1"/>
  <c r="V2693" i="13"/>
  <c r="A2693" i="13" s="1"/>
  <c r="V2569" i="13"/>
  <c r="A2569" i="13" s="1"/>
  <c r="V2714" i="13"/>
  <c r="A2714" i="13" s="1"/>
  <c r="V2587" i="13"/>
  <c r="A2587" i="13" s="1"/>
  <c r="V2527" i="13"/>
  <c r="A2527" i="13" s="1"/>
  <c r="V2669" i="13"/>
  <c r="A2669" i="13" s="1"/>
  <c r="V2708" i="13"/>
  <c r="A2708" i="13" s="1"/>
  <c r="V2594" i="13"/>
  <c r="A2594" i="13" s="1"/>
  <c r="V2610" i="13"/>
  <c r="A2610" i="13" s="1"/>
  <c r="V2572" i="13"/>
  <c r="A2572" i="13" s="1"/>
  <c r="V2677" i="13"/>
  <c r="A2677" i="13" s="1"/>
  <c r="V2553" i="13"/>
  <c r="A2553" i="13" s="1"/>
  <c r="V2698" i="13"/>
  <c r="A2698" i="13" s="1"/>
  <c r="V2571" i="13"/>
  <c r="A2571" i="13" s="1"/>
  <c r="V2377" i="13"/>
  <c r="A2377" i="13" s="1"/>
  <c r="V2406" i="13"/>
  <c r="A2406" i="13" s="1"/>
  <c r="V2474" i="13"/>
  <c r="A2474" i="13" s="1"/>
  <c r="V2478" i="13"/>
  <c r="A2478" i="13" s="1"/>
  <c r="V2449" i="13"/>
  <c r="A2449" i="13" s="1"/>
  <c r="V2323" i="13"/>
  <c r="A2323" i="13" s="1"/>
  <c r="V2419" i="13"/>
  <c r="A2419" i="13" s="1"/>
  <c r="V2245" i="13"/>
  <c r="A2245" i="13" s="1"/>
  <c r="V2249" i="13"/>
  <c r="A2249" i="13" s="1"/>
  <c r="V2282" i="13"/>
  <c r="A2282" i="13" s="1"/>
  <c r="V2291" i="13"/>
  <c r="A2291" i="13" s="1"/>
  <c r="V2285" i="13"/>
  <c r="A2285" i="13" s="1"/>
  <c r="V2281" i="13"/>
  <c r="A2281" i="13" s="1"/>
  <c r="V2379" i="13"/>
  <c r="A2379" i="13" s="1"/>
  <c r="V951" i="13"/>
  <c r="A951" i="13" s="1"/>
  <c r="V841" i="13"/>
  <c r="A841" i="13" s="1"/>
  <c r="V923" i="13"/>
  <c r="A923" i="13" s="1"/>
  <c r="V871" i="13"/>
  <c r="A871" i="13" s="1"/>
  <c r="V785" i="13"/>
  <c r="A785" i="13" s="1"/>
  <c r="V945" i="13"/>
  <c r="A945" i="13" s="1"/>
  <c r="V965" i="13"/>
  <c r="A965" i="13" s="1"/>
  <c r="V864" i="13"/>
  <c r="A864" i="13" s="1"/>
  <c r="V842" i="13"/>
  <c r="A842" i="13" s="1"/>
  <c r="V874" i="13"/>
  <c r="A874" i="13" s="1"/>
  <c r="V833" i="13"/>
  <c r="A833" i="13" s="1"/>
  <c r="V946" i="13"/>
  <c r="A946" i="13" s="1"/>
  <c r="V983" i="13"/>
  <c r="A983" i="13" s="1"/>
  <c r="V796" i="13"/>
  <c r="A796" i="13" s="1"/>
  <c r="V839" i="13"/>
  <c r="A839" i="13" s="1"/>
  <c r="V736" i="13"/>
  <c r="A736" i="13" s="1"/>
  <c r="V665" i="13"/>
  <c r="A665" i="13" s="1"/>
  <c r="V528" i="13"/>
  <c r="A528" i="13" s="1"/>
  <c r="V623" i="13"/>
  <c r="A623" i="13" s="1"/>
  <c r="V598" i="13"/>
  <c r="A598" i="13" s="1"/>
  <c r="V596" i="13"/>
  <c r="A596" i="13" s="1"/>
  <c r="V699" i="13"/>
  <c r="A699" i="13" s="1"/>
  <c r="V650" i="13"/>
  <c r="A650" i="13" s="1"/>
  <c r="V551" i="13"/>
  <c r="A551" i="13" s="1"/>
  <c r="V583" i="13"/>
  <c r="A583" i="13" s="1"/>
  <c r="V646" i="13"/>
  <c r="A646" i="13" s="1"/>
  <c r="V730" i="13"/>
  <c r="A730" i="13" s="1"/>
  <c r="V635" i="13"/>
  <c r="A635" i="13" s="1"/>
  <c r="V670" i="13"/>
  <c r="A670" i="13" s="1"/>
  <c r="V515" i="13"/>
  <c r="A515" i="13" s="1"/>
  <c r="V1828" i="13"/>
  <c r="A1828" i="13" s="1"/>
  <c r="V1948" i="13"/>
  <c r="A1948" i="13" s="1"/>
  <c r="V1873" i="13"/>
  <c r="A1873" i="13" s="1"/>
  <c r="V1844" i="13"/>
  <c r="A1844" i="13" s="1"/>
  <c r="V1950" i="13"/>
  <c r="A1950" i="13" s="1"/>
  <c r="V1901" i="13"/>
  <c r="A1901" i="13" s="1"/>
  <c r="V1931" i="13"/>
  <c r="A1931" i="13" s="1"/>
  <c r="V1837" i="13"/>
  <c r="A1837" i="13" s="1"/>
  <c r="V1884" i="13"/>
  <c r="A1884" i="13" s="1"/>
  <c r="V1784" i="13"/>
  <c r="A1784" i="13" s="1"/>
  <c r="V1911" i="13"/>
  <c r="A1911" i="13" s="1"/>
  <c r="V1788" i="13"/>
  <c r="A1788" i="13" s="1"/>
  <c r="V1834" i="13"/>
  <c r="A1834" i="13" s="1"/>
  <c r="V1945" i="13"/>
  <c r="A1945" i="13" s="1"/>
  <c r="V1930" i="13"/>
  <c r="A1930" i="13" s="1"/>
  <c r="V1702" i="13"/>
  <c r="A1702" i="13" s="1"/>
  <c r="V1692" i="13"/>
  <c r="A1692" i="13" s="1"/>
  <c r="V1680" i="13"/>
  <c r="A1680" i="13" s="1"/>
  <c r="V1522" i="13"/>
  <c r="A1522" i="13" s="1"/>
  <c r="V1659" i="13"/>
  <c r="A1659" i="13" s="1"/>
  <c r="V1697" i="13"/>
  <c r="A1697" i="13" s="1"/>
  <c r="V1658" i="13"/>
  <c r="A1658" i="13" s="1"/>
  <c r="V1644" i="13"/>
  <c r="A1644" i="13" s="1"/>
  <c r="V1612" i="13"/>
  <c r="A1612" i="13" s="1"/>
  <c r="V1548" i="13"/>
  <c r="A1548" i="13" s="1"/>
  <c r="V1552" i="13"/>
  <c r="A1552" i="13" s="1"/>
  <c r="V1691" i="13"/>
  <c r="A1691" i="13" s="1"/>
  <c r="V1674" i="13"/>
  <c r="A1674" i="13" s="1"/>
  <c r="V1635" i="13"/>
  <c r="A1635" i="13" s="1"/>
  <c r="V1531" i="13"/>
  <c r="A1531" i="13" s="1"/>
  <c r="V1162" i="13"/>
  <c r="A1162" i="13" s="1"/>
  <c r="V1093" i="13"/>
  <c r="A1093" i="13" s="1"/>
  <c r="V1069" i="13"/>
  <c r="A1069" i="13" s="1"/>
  <c r="V1055" i="13"/>
  <c r="A1055" i="13" s="1"/>
  <c r="V1208" i="13"/>
  <c r="A1208" i="13" s="1"/>
  <c r="V1076" i="13"/>
  <c r="A1076" i="13" s="1"/>
  <c r="V1169" i="13"/>
  <c r="A1169" i="13" s="1"/>
  <c r="V1094" i="13"/>
  <c r="A1094" i="13" s="1"/>
  <c r="V1081" i="13"/>
  <c r="A1081" i="13" s="1"/>
  <c r="V1060" i="13"/>
  <c r="A1060" i="13" s="1"/>
  <c r="V1057" i="13"/>
  <c r="A1057" i="13" s="1"/>
  <c r="V1110" i="13"/>
  <c r="A1110" i="13" s="1"/>
  <c r="V1043" i="13"/>
  <c r="A1043" i="13" s="1"/>
  <c r="V1091" i="13"/>
  <c r="A1091" i="13" s="1"/>
  <c r="V1207" i="13"/>
  <c r="A1207" i="13" s="1"/>
  <c r="V2091" i="13"/>
  <c r="A2091" i="13" s="1"/>
  <c r="V2110" i="13"/>
  <c r="A2110" i="13" s="1"/>
  <c r="V2118" i="13"/>
  <c r="A2118" i="13" s="1"/>
  <c r="V2227" i="13"/>
  <c r="A2227" i="13" s="1"/>
  <c r="V2147" i="13"/>
  <c r="A2147" i="13" s="1"/>
  <c r="V2205" i="13"/>
  <c r="A2205" i="13" s="1"/>
  <c r="V2163" i="13"/>
  <c r="A2163" i="13" s="1"/>
  <c r="V2033" i="13"/>
  <c r="A2033" i="13" s="1"/>
  <c r="V2196" i="13"/>
  <c r="A2196" i="13" s="1"/>
  <c r="V2002" i="13"/>
  <c r="A2002" i="13" s="1"/>
  <c r="V1996" i="13"/>
  <c r="A1996" i="13" s="1"/>
  <c r="V2113" i="13"/>
  <c r="A2113" i="13" s="1"/>
  <c r="V2117" i="13"/>
  <c r="A2117" i="13" s="1"/>
  <c r="V2217" i="13"/>
  <c r="A2217" i="13" s="1"/>
  <c r="V1469" i="13"/>
  <c r="A1469" i="13" s="1"/>
  <c r="V1282" i="13"/>
  <c r="A1282" i="13" s="1"/>
  <c r="V1365" i="13"/>
  <c r="A1365" i="13" s="1"/>
  <c r="V1271" i="13"/>
  <c r="A1271" i="13" s="1"/>
  <c r="V1254" i="13"/>
  <c r="A1254" i="13" s="1"/>
  <c r="V1288" i="13"/>
  <c r="A1288" i="13" s="1"/>
  <c r="V1256" i="13"/>
  <c r="A1256" i="13" s="1"/>
  <c r="V1319" i="13"/>
  <c r="A1319" i="13" s="1"/>
  <c r="V1390" i="13"/>
  <c r="A1390" i="13" s="1"/>
  <c r="V1332" i="13"/>
  <c r="A1332" i="13" s="1"/>
  <c r="V1273" i="13"/>
  <c r="A1273" i="13" s="1"/>
  <c r="V1310" i="13"/>
  <c r="A1310" i="13" s="1"/>
  <c r="V1251" i="13"/>
  <c r="A1251" i="13" s="1"/>
  <c r="V1316" i="13"/>
  <c r="A1316" i="13" s="1"/>
  <c r="V1374" i="13"/>
  <c r="A1374" i="13" s="1"/>
  <c r="V2640" i="13"/>
  <c r="A2640" i="13" s="1"/>
  <c r="V2613" i="13"/>
  <c r="A2613" i="13" s="1"/>
  <c r="V2706" i="13"/>
  <c r="A2706" i="13" s="1"/>
  <c r="V2650" i="13"/>
  <c r="A2650" i="13" s="1"/>
  <c r="V2620" i="13"/>
  <c r="A2620" i="13" s="1"/>
  <c r="V2655" i="13"/>
  <c r="A2655" i="13" s="1"/>
  <c r="V2555" i="13"/>
  <c r="A2555" i="13" s="1"/>
  <c r="V2707" i="13"/>
  <c r="A2707" i="13" s="1"/>
  <c r="V2700" i="13"/>
  <c r="A2700" i="13" s="1"/>
  <c r="V2606" i="13"/>
  <c r="A2606" i="13" s="1"/>
  <c r="V2697" i="13"/>
  <c r="A2697" i="13" s="1"/>
  <c r="V2645" i="13"/>
  <c r="A2645" i="13" s="1"/>
  <c r="V2488" i="13"/>
  <c r="A2488" i="13" s="1"/>
  <c r="V2519" i="13"/>
  <c r="A2519" i="13" s="1"/>
  <c r="V2133" i="13"/>
  <c r="A2133" i="13" s="1"/>
  <c r="V1377" i="13"/>
  <c r="A1377" i="13" s="1"/>
  <c r="V1413" i="13"/>
  <c r="A1413" i="13" s="1"/>
  <c r="V1383" i="13"/>
  <c r="A1383" i="13" s="1"/>
  <c r="V1477" i="13"/>
  <c r="A1477" i="13" s="1"/>
  <c r="V1362" i="13"/>
  <c r="A1362" i="13" s="1"/>
  <c r="V1434" i="13"/>
  <c r="A1434" i="13" s="1"/>
  <c r="V1452" i="13"/>
  <c r="A1452" i="13" s="1"/>
  <c r="V1261" i="13"/>
  <c r="A1261" i="13" s="1"/>
  <c r="V1339" i="13"/>
  <c r="A1339" i="13" s="1"/>
  <c r="V1302" i="13"/>
  <c r="A1302" i="13" s="1"/>
  <c r="V1473" i="13"/>
  <c r="A1473" i="13" s="1"/>
  <c r="V1299" i="13"/>
  <c r="A1299" i="13" s="1"/>
  <c r="V1396" i="13"/>
  <c r="A1396" i="13" s="1"/>
  <c r="V1441" i="13"/>
  <c r="A1441" i="13" s="1"/>
  <c r="V1366" i="13"/>
  <c r="A1366" i="13" s="1"/>
  <c r="V2636" i="13"/>
  <c r="A2636" i="13" s="1"/>
  <c r="V2567" i="13"/>
  <c r="A2567" i="13" s="1"/>
  <c r="V2523" i="13"/>
  <c r="A2523" i="13" s="1"/>
  <c r="V2568" i="13"/>
  <c r="A2568" i="13" s="1"/>
  <c r="V2581" i="13"/>
  <c r="A2581" i="13" s="1"/>
  <c r="V2602" i="13"/>
  <c r="A2602" i="13" s="1"/>
  <c r="V2623" i="13"/>
  <c r="A2623" i="13" s="1"/>
  <c r="V2644" i="13"/>
  <c r="A2644" i="13" s="1"/>
  <c r="V2608" i="13"/>
  <c r="A2608" i="13" s="1"/>
  <c r="V2633" i="13"/>
  <c r="A2633" i="13" s="1"/>
  <c r="V2612" i="13"/>
  <c r="A2612" i="13" s="1"/>
  <c r="V2671" i="13"/>
  <c r="A2671" i="13" s="1"/>
  <c r="V2666" i="13"/>
  <c r="A2666" i="13" s="1"/>
  <c r="V2566" i="13"/>
  <c r="A2566" i="13" s="1"/>
  <c r="V2617" i="13"/>
  <c r="A2617" i="13" s="1"/>
  <c r="V866" i="13"/>
  <c r="A866" i="13" s="1"/>
  <c r="V921" i="13"/>
  <c r="A921" i="13" s="1"/>
  <c r="V900" i="13"/>
  <c r="A900" i="13" s="1"/>
  <c r="V675" i="13"/>
  <c r="A675" i="13" s="1"/>
  <c r="V654" i="13"/>
  <c r="A654" i="13" s="1"/>
  <c r="V605" i="13"/>
  <c r="A605" i="13" s="1"/>
  <c r="V640" i="13"/>
  <c r="A640" i="13" s="1"/>
  <c r="V1085" i="13"/>
  <c r="A1085" i="13" s="1"/>
  <c r="V1056" i="13"/>
  <c r="A1056" i="13" s="1"/>
  <c r="V1231" i="13"/>
  <c r="A1231" i="13" s="1"/>
  <c r="V1172" i="13"/>
  <c r="A1172" i="13" s="1"/>
  <c r="V1095" i="13"/>
  <c r="A1095" i="13" s="1"/>
  <c r="V895" i="13"/>
  <c r="A895" i="13" s="1"/>
  <c r="V809" i="13"/>
  <c r="A809" i="13" s="1"/>
  <c r="V825" i="13"/>
  <c r="A825" i="13" s="1"/>
  <c r="V928" i="13"/>
  <c r="A928" i="13" s="1"/>
  <c r="V774" i="13"/>
  <c r="A774" i="13" s="1"/>
  <c r="V943" i="13"/>
  <c r="A943" i="13" s="1"/>
  <c r="V755" i="13"/>
  <c r="A755" i="13" s="1"/>
  <c r="V916" i="13"/>
  <c r="A916" i="13" s="1"/>
  <c r="V854" i="13"/>
  <c r="A854" i="13" s="1"/>
  <c r="V910" i="13"/>
  <c r="A910" i="13" s="1"/>
  <c r="V830" i="13"/>
  <c r="A830" i="13" s="1"/>
  <c r="V822" i="13"/>
  <c r="A822" i="13" s="1"/>
  <c r="V872" i="13"/>
  <c r="A872" i="13" s="1"/>
  <c r="V848" i="13"/>
  <c r="A848" i="13" s="1"/>
  <c r="V964" i="13"/>
  <c r="A964" i="13" s="1"/>
  <c r="V829" i="13"/>
  <c r="A829" i="13" s="1"/>
  <c r="V757" i="13"/>
  <c r="A757" i="13" s="1"/>
  <c r="V903" i="13"/>
  <c r="A903" i="13" s="1"/>
  <c r="V980" i="13"/>
  <c r="A980" i="13" s="1"/>
  <c r="V788" i="13"/>
  <c r="A788" i="13" s="1"/>
  <c r="V957" i="13"/>
  <c r="A957" i="13" s="1"/>
  <c r="V902" i="13"/>
  <c r="A902" i="13" s="1"/>
  <c r="V798" i="13"/>
  <c r="A798" i="13" s="1"/>
  <c r="V896" i="13"/>
  <c r="A896" i="13" s="1"/>
  <c r="V808" i="13"/>
  <c r="A808" i="13" s="1"/>
  <c r="V857" i="13"/>
  <c r="A857" i="13" s="1"/>
  <c r="V751" i="13"/>
  <c r="A751" i="13" s="1"/>
  <c r="V676" i="13"/>
  <c r="A676" i="13" s="1"/>
  <c r="V571" i="13"/>
  <c r="A571" i="13" s="1"/>
  <c r="V712" i="13"/>
  <c r="A712" i="13" s="1"/>
  <c r="V692" i="13"/>
  <c r="A692" i="13" s="1"/>
  <c r="V735" i="13"/>
  <c r="A735" i="13" s="1"/>
  <c r="V729" i="13"/>
  <c r="A729" i="13" s="1"/>
  <c r="V672" i="13"/>
  <c r="A672" i="13" s="1"/>
  <c r="V723" i="13"/>
  <c r="A723" i="13" s="1"/>
  <c r="V682" i="13"/>
  <c r="A682" i="13" s="1"/>
  <c r="V604" i="13"/>
  <c r="A604" i="13" s="1"/>
  <c r="V594" i="13"/>
  <c r="A594" i="13" s="1"/>
  <c r="V1222" i="13"/>
  <c r="A1222" i="13" s="1"/>
  <c r="V1209" i="13"/>
  <c r="A1209" i="13" s="1"/>
  <c r="V1193" i="13"/>
  <c r="A1193" i="13" s="1"/>
  <c r="V1176" i="13"/>
  <c r="A1176" i="13" s="1"/>
  <c r="V1022" i="13"/>
  <c r="A1022" i="13" s="1"/>
  <c r="V1206" i="13"/>
  <c r="A1206" i="13" s="1"/>
  <c r="V1178" i="13"/>
  <c r="A1178" i="13" s="1"/>
  <c r="V1075" i="13"/>
  <c r="A1075" i="13" s="1"/>
  <c r="V1234" i="13"/>
  <c r="A1234" i="13" s="1"/>
  <c r="V1179" i="13"/>
  <c r="A1179" i="13" s="1"/>
  <c r="V1062" i="13"/>
  <c r="A1062" i="13" s="1"/>
  <c r="V1117" i="13"/>
  <c r="A1117" i="13" s="1"/>
  <c r="V1119" i="13"/>
  <c r="A1119" i="13" s="1"/>
  <c r="V2190" i="13"/>
  <c r="A2190" i="13" s="1"/>
  <c r="V2009" i="13"/>
  <c r="A2009" i="13" s="1"/>
  <c r="V2181" i="13"/>
  <c r="A2181" i="13" s="1"/>
  <c r="V2030" i="13"/>
  <c r="A2030" i="13" s="1"/>
  <c r="V2075" i="13"/>
  <c r="A2075" i="13" s="1"/>
  <c r="V2064" i="13"/>
  <c r="A2064" i="13" s="1"/>
  <c r="V2195" i="13"/>
  <c r="A2195" i="13" s="1"/>
  <c r="V2045" i="13"/>
  <c r="A2045" i="13" s="1"/>
  <c r="V2061" i="13"/>
  <c r="A2061" i="13" s="1"/>
  <c r="V2184" i="13"/>
  <c r="A2184" i="13" s="1"/>
  <c r="V2124" i="13"/>
  <c r="A2124" i="13" s="1"/>
  <c r="V2072" i="13"/>
  <c r="A2072" i="13" s="1"/>
  <c r="V2062" i="13"/>
  <c r="A2062" i="13" s="1"/>
  <c r="V2143" i="13"/>
  <c r="A2143" i="13" s="1"/>
  <c r="V2083" i="13"/>
  <c r="A2083" i="13" s="1"/>
  <c r="V2189" i="13"/>
  <c r="A2189" i="13" s="1"/>
  <c r="V2203" i="13"/>
  <c r="A2203" i="13" s="1"/>
  <c r="V2111" i="13"/>
  <c r="A2111" i="13" s="1"/>
  <c r="V2102" i="13"/>
  <c r="A2102" i="13" s="1"/>
  <c r="V2222" i="13"/>
  <c r="A2222" i="13" s="1"/>
  <c r="V2008" i="13"/>
  <c r="A2008" i="13" s="1"/>
  <c r="V1312" i="13"/>
  <c r="A1312" i="13" s="1"/>
  <c r="V1314" i="13"/>
  <c r="A1314" i="13" s="1"/>
  <c r="V1313" i="13"/>
  <c r="A1313" i="13" s="1"/>
  <c r="V1380" i="13"/>
  <c r="A1380" i="13" s="1"/>
  <c r="V1295" i="13"/>
  <c r="A1295" i="13" s="1"/>
  <c r="V1330" i="13"/>
  <c r="A1330" i="13" s="1"/>
  <c r="V1277" i="13"/>
  <c r="A1277" i="13" s="1"/>
  <c r="V1328" i="13"/>
  <c r="A1328" i="13" s="1"/>
  <c r="V1327" i="13"/>
  <c r="A1327" i="13" s="1"/>
  <c r="V1415" i="13"/>
  <c r="A1415" i="13" s="1"/>
  <c r="V1398" i="13"/>
  <c r="A1398" i="13" s="1"/>
  <c r="V1483" i="13"/>
  <c r="A1483" i="13" s="1"/>
  <c r="V1342" i="13"/>
  <c r="A1342" i="13" s="1"/>
  <c r="V1266" i="13"/>
  <c r="A1266" i="13" s="1"/>
  <c r="V1422" i="13"/>
  <c r="A1422" i="13" s="1"/>
  <c r="V1408" i="13"/>
  <c r="A1408" i="13" s="1"/>
  <c r="V1484" i="13"/>
  <c r="A1484" i="13" s="1"/>
  <c r="V1472" i="13"/>
  <c r="A1472" i="13" s="1"/>
  <c r="V1436" i="13"/>
  <c r="A1436" i="13" s="1"/>
  <c r="V1485" i="13"/>
  <c r="A1485" i="13" s="1"/>
  <c r="V1364" i="13"/>
  <c r="A1364" i="13" s="1"/>
  <c r="V1343" i="13"/>
  <c r="A1343" i="13" s="1"/>
  <c r="V1287" i="13"/>
  <c r="A1287" i="13" s="1"/>
  <c r="V1397" i="13"/>
  <c r="A1397" i="13" s="1"/>
  <c r="V1403" i="13"/>
  <c r="A1403" i="13" s="1"/>
  <c r="V1389" i="13"/>
  <c r="A1389" i="13" s="1"/>
  <c r="V1279" i="13"/>
  <c r="A1279" i="13" s="1"/>
  <c r="V1401" i="13"/>
  <c r="A1401" i="13" s="1"/>
  <c r="V1281" i="13"/>
  <c r="A1281" i="13" s="1"/>
  <c r="V2667" i="13"/>
  <c r="A2667" i="13" s="1"/>
  <c r="V2493" i="13"/>
  <c r="A2493" i="13" s="1"/>
  <c r="V2654" i="13"/>
  <c r="A2654" i="13" s="1"/>
  <c r="V2500" i="13"/>
  <c r="A2500" i="13" s="1"/>
  <c r="V2681" i="13"/>
  <c r="A2681" i="13" s="1"/>
  <c r="V2557" i="13"/>
  <c r="A2557" i="13" s="1"/>
  <c r="V2715" i="13"/>
  <c r="A2715" i="13" s="1"/>
  <c r="V2607" i="13"/>
  <c r="A2607" i="13" s="1"/>
  <c r="V2634" i="13"/>
  <c r="A2634" i="13" s="1"/>
  <c r="V2535" i="13"/>
  <c r="A2535" i="13" s="1"/>
  <c r="V2722" i="13"/>
  <c r="A2722" i="13" s="1"/>
  <c r="V2559" i="13"/>
  <c r="A2559" i="13" s="1"/>
  <c r="V2717" i="13"/>
  <c r="A2717" i="13" s="1"/>
  <c r="V2593" i="13"/>
  <c r="A2593" i="13" s="1"/>
  <c r="V2630" i="13"/>
  <c r="A2630" i="13" s="1"/>
  <c r="V2541" i="13"/>
  <c r="A2541" i="13" s="1"/>
  <c r="V2718" i="13"/>
  <c r="A2718" i="13" s="1"/>
  <c r="V2591" i="13"/>
  <c r="A2591" i="13" s="1"/>
  <c r="V2668" i="13"/>
  <c r="A2668" i="13" s="1"/>
  <c r="V2531" i="13"/>
  <c r="A2531" i="13" s="1"/>
  <c r="V2704" i="13"/>
  <c r="A2704" i="13" s="1"/>
  <c r="V2601" i="13"/>
  <c r="A2601" i="13" s="1"/>
  <c r="V2699" i="13"/>
  <c r="A2699" i="13" s="1"/>
  <c r="V2560" i="13"/>
  <c r="A2560" i="13" s="1"/>
  <c r="V2713" i="13"/>
  <c r="A2713" i="13" s="1"/>
  <c r="V2589" i="13"/>
  <c r="A2589" i="13" s="1"/>
  <c r="V2702" i="13"/>
  <c r="A2702" i="13" s="1"/>
  <c r="V2575" i="13"/>
  <c r="A2575" i="13" s="1"/>
  <c r="V2652" i="13"/>
  <c r="A2652" i="13" s="1"/>
  <c r="V2515" i="13"/>
  <c r="A2515" i="13" s="1"/>
  <c r="V1493" i="13"/>
  <c r="A1493" i="13" s="1"/>
  <c r="AB47" i="13" l="1"/>
  <c r="AA47" i="13"/>
  <c r="H100" i="10" s="1"/>
  <c r="AA14" i="13"/>
  <c r="AA8" i="13"/>
  <c r="AA10" i="13"/>
  <c r="AA9" i="13"/>
  <c r="AA11" i="13"/>
  <c r="AA12" i="13"/>
  <c r="AA13" i="13"/>
  <c r="AA6" i="13"/>
  <c r="AA7" i="13"/>
  <c r="K159" i="10" l="1"/>
  <c r="I139" i="10"/>
  <c r="E139" i="10"/>
  <c r="J159" i="10"/>
  <c r="D139" i="10"/>
  <c r="G139" i="10"/>
  <c r="J139" i="10"/>
  <c r="H159" i="10"/>
  <c r="K161" i="10"/>
  <c r="G141" i="10"/>
  <c r="J161" i="10"/>
  <c r="J141" i="10"/>
  <c r="I141" i="10"/>
  <c r="E141" i="10"/>
  <c r="H161" i="10"/>
  <c r="D141" i="10"/>
  <c r="K157" i="10"/>
  <c r="G137" i="10"/>
  <c r="J157" i="10"/>
  <c r="J137" i="10"/>
  <c r="I137" i="10"/>
  <c r="E137" i="10"/>
  <c r="H157" i="10"/>
  <c r="D137" i="10"/>
  <c r="D142" i="10"/>
  <c r="H162" i="10"/>
  <c r="G142" i="10"/>
  <c r="K162" i="10"/>
  <c r="J142" i="10"/>
  <c r="E142" i="10"/>
  <c r="I142" i="10"/>
  <c r="J162" i="10"/>
  <c r="J140" i="10"/>
  <c r="H160" i="10"/>
  <c r="I140" i="10"/>
  <c r="E140" i="10"/>
  <c r="K160" i="10"/>
  <c r="D140" i="10"/>
  <c r="J160" i="10"/>
  <c r="G140" i="10"/>
  <c r="K163" i="10"/>
  <c r="I143" i="10"/>
  <c r="E143" i="10"/>
  <c r="J163" i="10"/>
  <c r="D143" i="10"/>
  <c r="G143" i="10"/>
  <c r="H163" i="10"/>
  <c r="J143" i="10"/>
  <c r="J136" i="10"/>
  <c r="H156" i="10"/>
  <c r="I136" i="10"/>
  <c r="E136" i="10"/>
  <c r="K156" i="10"/>
  <c r="D136" i="10"/>
  <c r="G136" i="10"/>
  <c r="J156" i="10"/>
  <c r="K155" i="10"/>
  <c r="I135" i="10"/>
  <c r="E135" i="10"/>
  <c r="J155" i="10"/>
  <c r="D135" i="10"/>
  <c r="G135" i="10"/>
  <c r="H155" i="10"/>
  <c r="J135" i="10"/>
  <c r="D138" i="10"/>
  <c r="H158" i="10"/>
  <c r="G138" i="10"/>
  <c r="K158" i="10"/>
  <c r="J138" i="10"/>
  <c r="J158" i="10"/>
  <c r="E138" i="10"/>
  <c r="I138" i="10"/>
  <c r="AB13" i="13"/>
  <c r="AB9" i="13"/>
  <c r="AB8" i="13"/>
  <c r="AB6" i="13"/>
  <c r="AB12" i="13"/>
  <c r="AB11" i="13"/>
  <c r="AB7" i="13"/>
  <c r="AB14" i="13"/>
  <c r="AB10" i="13"/>
  <c r="K140" i="10" l="1"/>
  <c r="G107" i="10" s="1"/>
  <c r="I107" i="10" s="1"/>
  <c r="D157" i="10"/>
  <c r="AJ31" i="13" s="1"/>
  <c r="L137" i="10"/>
  <c r="D161" i="10"/>
  <c r="AJ35" i="13" s="1"/>
  <c r="L141" i="10"/>
  <c r="D156" i="10"/>
  <c r="AJ30" i="13" s="1"/>
  <c r="L136" i="10"/>
  <c r="D160" i="10"/>
  <c r="AJ34" i="13" s="1"/>
  <c r="L140" i="10"/>
  <c r="D158" i="10"/>
  <c r="AJ32" i="13" s="1"/>
  <c r="L138" i="10"/>
  <c r="D155" i="10"/>
  <c r="AJ29" i="13" s="1"/>
  <c r="L135" i="10"/>
  <c r="D163" i="10"/>
  <c r="AJ37" i="13" s="1"/>
  <c r="L143" i="10"/>
  <c r="D162" i="10"/>
  <c r="AJ36" i="13" s="1"/>
  <c r="L142" i="10"/>
  <c r="D159" i="10"/>
  <c r="AJ33" i="13" s="1"/>
  <c r="L139" i="10"/>
  <c r="K139" i="10"/>
  <c r="G106" i="10" s="1"/>
  <c r="I106" i="10" s="1"/>
  <c r="K138" i="10"/>
  <c r="G105" i="10" s="1"/>
  <c r="I105" i="10" s="1"/>
  <c r="K136" i="10"/>
  <c r="G103" i="10" s="1"/>
  <c r="I103" i="10" s="1"/>
  <c r="K142" i="10"/>
  <c r="G109" i="10" s="1"/>
  <c r="I109" i="10" s="1"/>
  <c r="K135" i="10"/>
  <c r="G102" i="10" s="1"/>
  <c r="I102" i="10" s="1"/>
  <c r="K143" i="10"/>
  <c r="G110" i="10" s="1"/>
  <c r="I110" i="10" s="1"/>
  <c r="K137" i="10"/>
  <c r="G104" i="10" s="1"/>
  <c r="I104" i="10" s="1"/>
  <c r="K141" i="10"/>
  <c r="G108" i="10" s="1"/>
  <c r="I108" i="10" s="1"/>
  <c r="AA18" i="13"/>
  <c r="AA19" i="13" s="1"/>
  <c r="AB53" i="13" l="1"/>
  <c r="AA52" i="13"/>
  <c r="H105" i="10" s="1"/>
  <c r="AA55" i="13"/>
  <c r="H108" i="10" s="1"/>
  <c r="AB51" i="13"/>
  <c r="AA50" i="13"/>
  <c r="H103" i="10" s="1"/>
  <c r="AA51" i="13"/>
  <c r="H104" i="10" s="1"/>
  <c r="AA53" i="13"/>
  <c r="H106" i="10" s="1"/>
  <c r="AB55" i="13"/>
  <c r="AA57" i="13"/>
  <c r="H110" i="10" s="1"/>
  <c r="AB57" i="13"/>
  <c r="AB52" i="13"/>
  <c r="AB50" i="13"/>
  <c r="AB54" i="13"/>
  <c r="AA54" i="13"/>
  <c r="H107" i="10" s="1"/>
  <c r="AB56" i="13"/>
  <c r="AA56" i="13"/>
  <c r="H109" i="10" s="1"/>
  <c r="AA49" i="13"/>
  <c r="H102" i="10" s="1"/>
  <c r="AB49" i="13"/>
</calcChain>
</file>

<file path=xl/comments1.xml><?xml version="1.0" encoding="utf-8"?>
<comments xmlns="http://schemas.openxmlformats.org/spreadsheetml/2006/main">
  <authors>
    <author>Davide Cicchini</author>
    <author>DELL1</author>
  </authors>
  <commentList>
    <comment ref="E32" authorId="0" guid="{50174EEE-EEB1-438D-9309-CE80839575AD}" shapeId="0">
      <text>
        <r>
          <rPr>
            <b/>
            <sz val="9"/>
            <color indexed="81"/>
            <rFont val="Tahoma"/>
            <family val="2"/>
          </rPr>
          <t>Davide Cicchini:</t>
        </r>
        <r>
          <rPr>
            <sz val="9"/>
            <color indexed="81"/>
            <rFont val="Tahoma"/>
            <family val="2"/>
          </rPr>
          <t xml:space="preserve">
Bisogna inserire l'accelerazione non ag/g            (ad esempio ag/g =0.261 -&gt;</t>
        </r>
        <r>
          <rPr>
            <b/>
            <sz val="9"/>
            <color indexed="81"/>
            <rFont val="Tahoma"/>
            <family val="2"/>
          </rPr>
          <t xml:space="preserve"> ag=2,559</t>
        </r>
        <r>
          <rPr>
            <sz val="9"/>
            <color indexed="81"/>
            <rFont val="Tahoma"/>
            <family val="2"/>
          </rPr>
          <t>)</t>
        </r>
      </text>
    </comment>
    <comment ref="E54" authorId="1" guid="{703F8768-A188-4B4C-A068-4E31FAF00E1F}" shapeId="0">
      <text>
        <r>
          <rPr>
            <b/>
            <sz val="9"/>
            <color indexed="81"/>
            <rFont val="Tahoma"/>
            <family val="2"/>
          </rPr>
          <t>Davide Cicchini:</t>
        </r>
        <r>
          <rPr>
            <sz val="9"/>
            <color indexed="81"/>
            <rFont val="Tahoma"/>
            <family val="2"/>
          </rPr>
          <t xml:space="preserve">
Si deve inserire il valore bm unitario quando il muro ha spostamento impedito. (caso tipico di pareti di fabbricati seminterrati)</t>
        </r>
      </text>
    </comment>
    <comment ref="E63" authorId="1" guid="{AF27A52B-66FD-4679-91DD-8F979CD69368}" shapeId="0">
      <text>
        <r>
          <rPr>
            <b/>
            <sz val="9"/>
            <color indexed="81"/>
            <rFont val="Tahoma"/>
            <family val="2"/>
          </rPr>
          <t>Davide Cicchini:</t>
        </r>
        <r>
          <rPr>
            <sz val="9"/>
            <color indexed="81"/>
            <rFont val="Tahoma"/>
            <family val="2"/>
          </rPr>
          <t xml:space="preserve">
disposizione simmetrica
delle costole.</t>
        </r>
      </text>
    </comment>
    <comment ref="E64" authorId="1" guid="{04B3B8BB-7A36-46AA-AFD2-2A6484233819}" shapeId="0">
      <text>
        <r>
          <rPr>
            <b/>
            <sz val="9"/>
            <color indexed="81"/>
            <rFont val="Tahoma"/>
            <family val="2"/>
          </rPr>
          <t>Davide Cicchini:</t>
        </r>
        <r>
          <rPr>
            <sz val="9"/>
            <color indexed="81"/>
            <rFont val="Tahoma"/>
            <family val="2"/>
          </rPr>
          <t xml:space="preserve">
L'inclinazione viene eseguita sempre sul lato destro del paramento</t>
        </r>
      </text>
    </comment>
    <comment ref="E88" authorId="1" guid="{A5EE86E8-C590-47BF-9CAF-1979293D3E96}" shapeId="0">
      <text>
        <r>
          <rPr>
            <b/>
            <sz val="9"/>
            <color indexed="81"/>
            <rFont val="Tahoma"/>
            <family val="2"/>
          </rPr>
          <t>Davide Cicchini:</t>
        </r>
        <r>
          <rPr>
            <sz val="9"/>
            <color indexed="81"/>
            <rFont val="Tahoma"/>
            <family val="2"/>
          </rPr>
          <t xml:space="preserve">
Questo valore non viene considerato nel calcolo della spinta.</t>
        </r>
      </text>
    </comment>
    <comment ref="E195" authorId="1" guid="{6FFD6327-D559-4FA4-B86F-893A47CD02ED}" shapeId="0">
      <text>
        <r>
          <rPr>
            <b/>
            <sz val="9"/>
            <color indexed="81"/>
            <rFont val="Tahoma"/>
            <family val="2"/>
          </rPr>
          <t>Davide Cicchini:</t>
        </r>
        <r>
          <rPr>
            <sz val="9"/>
            <color indexed="81"/>
            <rFont val="Tahoma"/>
            <family val="2"/>
          </rPr>
          <t xml:space="preserve">
Se si inserisce zero la falda si trova sul piano campagna del lato di monte</t>
        </r>
      </text>
    </comment>
    <comment ref="C204" authorId="1" guid="{8AF5A3A9-17D4-47A9-9A2E-446F88FFCE8F}" shapeId="0">
      <text>
        <r>
          <rPr>
            <b/>
            <sz val="9"/>
            <color indexed="81"/>
            <rFont val="Tahoma"/>
            <family val="2"/>
          </rPr>
          <t>Davide Cicchini:</t>
        </r>
        <r>
          <rPr>
            <sz val="9"/>
            <color indexed="81"/>
            <rFont val="Tahoma"/>
            <family val="2"/>
          </rPr>
          <t xml:space="preserve">
La scelta di questo parametro modifica solo la spinta dinamica dell'acqua. In particolare qunado il terreno ha permeabilità elevata allora Ewd&gt;0; altrimenti si trascura</t>
        </r>
      </text>
    </comment>
    <comment ref="E258" authorId="1" guid="{610C392D-8A08-4A50-9ED3-D81FDAD62AEF}" shapeId="0">
      <text>
        <r>
          <rPr>
            <b/>
            <sz val="9"/>
            <color indexed="81"/>
            <rFont val="Tahoma"/>
            <family val="2"/>
          </rPr>
          <t>Davide Cicchini:</t>
        </r>
        <r>
          <rPr>
            <sz val="9"/>
            <color indexed="81"/>
            <rFont val="Tahoma"/>
            <family val="2"/>
          </rPr>
          <t xml:space="preserve">
Riferito all'intradosso della fondazione</t>
        </r>
      </text>
    </comment>
    <comment ref="E259" authorId="1" guid="{E13613FB-1AED-4CD0-9EDA-6E8B8EF39C83}" shapeId="0">
      <text>
        <r>
          <rPr>
            <b/>
            <sz val="9"/>
            <color indexed="81"/>
            <rFont val="Tahoma"/>
            <family val="2"/>
          </rPr>
          <t>Davide Cicchini:</t>
        </r>
        <r>
          <rPr>
            <sz val="9"/>
            <color indexed="81"/>
            <rFont val="Tahoma"/>
            <family val="2"/>
          </rPr>
          <t xml:space="preserve">
Se si ha zero la falda si trova sul piano campagna del lato libero.
Questo valore dipende dalla quota della falda del lato di monte.</t>
        </r>
      </text>
    </comment>
    <comment ref="E260" authorId="0" guid="{CBA552B3-5227-4F47-9E8B-15C362DA174E}" shapeId="0">
      <text>
        <r>
          <rPr>
            <b/>
            <sz val="9"/>
            <color indexed="81"/>
            <rFont val="Tahoma"/>
            <family val="2"/>
          </rPr>
          <t>Davide Cicchini:</t>
        </r>
        <r>
          <rPr>
            <sz val="9"/>
            <color indexed="81"/>
            <rFont val="Tahoma"/>
            <family val="2"/>
          </rPr>
          <t xml:space="preserve">
Se si vogliono considerare i carichi a metro lineare di una fondazione nastriforme, allora si inseresce "si".
In questo modo i coefficienti "s" saranno tutti unitari.</t>
        </r>
      </text>
    </comment>
    <comment ref="E261" authorId="0" guid="{7C7F85EC-5DE4-4D2D-A76C-3EB65A010172}" shapeId="0">
      <text>
        <r>
          <rPr>
            <b/>
            <sz val="9"/>
            <color indexed="81"/>
            <rFont val="Tahoma"/>
            <family val="2"/>
          </rPr>
          <t>Davide Cicchini:</t>
        </r>
        <r>
          <rPr>
            <sz val="9"/>
            <color indexed="81"/>
            <rFont val="Tahoma"/>
            <family val="2"/>
          </rPr>
          <t xml:space="preserve">
I coefficienti correttivi legati alla profondità si possono considerare unitari, per ottenere risultati a vantaggio di sicurezza.</t>
        </r>
      </text>
    </comment>
  </commentList>
</comments>
</file>

<file path=xl/comments10.xml><?xml version="1.0" encoding="utf-8"?>
<comments xmlns="http://schemas.openxmlformats.org/spreadsheetml/2006/main">
  <authors>
    <author>Davide Cicchini</author>
    <author>Nicla</author>
    <author>DELL1</author>
  </authors>
  <commentList>
    <comment ref="C10" authorId="0" guid="{C96ABF55-F36E-427B-88F3-0164A9A5621A}" shapeId="0">
      <text>
        <r>
          <rPr>
            <b/>
            <sz val="9"/>
            <color indexed="81"/>
            <rFont val="Tahoma"/>
            <family val="2"/>
          </rPr>
          <t>Davide Cicchini:</t>
        </r>
        <r>
          <rPr>
            <sz val="9"/>
            <color indexed="81"/>
            <rFont val="Tahoma"/>
            <family val="2"/>
          </rPr>
          <t xml:space="preserve">
Inserisci N, per fondazioni nastriformi, altrimenti Q per fondazioni quadrate o circolari.
Questa scelta modifica i coefficienti di forma "s"</t>
        </r>
      </text>
    </comment>
    <comment ref="D84" authorId="0" guid="{30953BE2-5209-4627-9E2A-D88B32EADF57}" shapeId="0">
      <text>
        <r>
          <rPr>
            <b/>
            <sz val="9"/>
            <color indexed="81"/>
            <rFont val="Tahoma"/>
            <family val="2"/>
          </rPr>
          <t xml:space="preserve">Davide Cicchini:
</t>
        </r>
        <r>
          <rPr>
            <sz val="9"/>
            <color indexed="81"/>
            <rFont val="Tahoma"/>
            <family val="2"/>
          </rPr>
          <t>Nel caso di fondazione nastriforme inserire 1 per avere valori riferiti a metro lineare.</t>
        </r>
      </text>
    </comment>
    <comment ref="I100" authorId="0" guid="{C94DAF8C-0E5C-42BF-A710-EADE540BD72E}" shapeId="0">
      <text>
        <r>
          <rPr>
            <b/>
            <sz val="9"/>
            <color indexed="81"/>
            <rFont val="Tahoma"/>
            <family val="2"/>
          </rPr>
          <t>Davide Cicchini:</t>
        </r>
        <r>
          <rPr>
            <sz val="9"/>
            <color indexed="81"/>
            <rFont val="Tahoma"/>
            <family val="2"/>
          </rPr>
          <t xml:space="preserve">
Se si inserisce 0 la falda si trova sul piano campagna.</t>
        </r>
      </text>
    </comment>
    <comment ref="C119" authorId="0" guid="{883EF40D-D484-49E6-9931-38FB0B20A615}" shapeId="0">
      <text>
        <r>
          <rPr>
            <b/>
            <sz val="9"/>
            <color indexed="81"/>
            <rFont val="Tahoma"/>
            <family val="2"/>
          </rPr>
          <t>Davide Cicchini:</t>
        </r>
        <r>
          <rPr>
            <sz val="9"/>
            <color indexed="81"/>
            <rFont val="Tahoma"/>
            <family val="2"/>
          </rPr>
          <t xml:space="preserve">
a destra dell'asse muro</t>
        </r>
      </text>
    </comment>
    <comment ref="C120" authorId="0" guid="{D7766081-403C-4E8C-B70C-306640FADD2C}" shapeId="0">
      <text>
        <r>
          <rPr>
            <b/>
            <sz val="9"/>
            <color indexed="81"/>
            <rFont val="Tahoma"/>
            <family val="2"/>
          </rPr>
          <t>Davide Cicchini:</t>
        </r>
        <r>
          <rPr>
            <sz val="9"/>
            <color indexed="81"/>
            <rFont val="Tahoma"/>
            <family val="2"/>
          </rPr>
          <t xml:space="preserve">
a sinistra dell'asse del muro lato terreno</t>
        </r>
      </text>
    </comment>
    <comment ref="D121" authorId="0" guid="{F878121A-B092-4B4C-80AE-43141E7C5113}" shapeId="0">
      <text>
        <r>
          <rPr>
            <b/>
            <sz val="9"/>
            <color indexed="81"/>
            <rFont val="Tahoma"/>
            <family val="2"/>
          </rPr>
          <t>Davide Cicchini:</t>
        </r>
        <r>
          <rPr>
            <sz val="9"/>
            <color indexed="81"/>
            <rFont val="Tahoma"/>
            <family val="2"/>
          </rPr>
          <t xml:space="preserve">
lo strato di magrone non va conteggiato nell'altezza della zattera</t>
        </r>
      </text>
    </comment>
    <comment ref="F131" authorId="0" guid="{AA2293F9-8CCE-47FA-91E7-33CDFE1A3B03}" shapeId="0">
      <text>
        <r>
          <rPr>
            <b/>
            <sz val="9"/>
            <color indexed="81"/>
            <rFont val="Tahoma"/>
            <family val="2"/>
          </rPr>
          <t>Davide Cicchini:</t>
        </r>
        <r>
          <rPr>
            <sz val="9"/>
            <color indexed="81"/>
            <rFont val="Tahoma"/>
            <family val="2"/>
          </rPr>
          <t xml:space="preserve">
si moltiplica per la profondità di un metro</t>
        </r>
      </text>
    </comment>
    <comment ref="G131" authorId="0" guid="{13E6AA95-03B0-4627-974A-E972BB51C461}" shapeId="0">
      <text>
        <r>
          <rPr>
            <b/>
            <sz val="9"/>
            <color indexed="81"/>
            <rFont val="Tahoma"/>
            <family val="2"/>
          </rPr>
          <t>Davide Cicchini:</t>
        </r>
        <r>
          <rPr>
            <sz val="9"/>
            <color indexed="81"/>
            <rFont val="Tahoma"/>
            <family val="2"/>
          </rPr>
          <t xml:space="preserve">
il massimo si ha in corrispondenza del polo, preso sempre dal lato libero.</t>
        </r>
      </text>
    </comment>
    <comment ref="K141" authorId="1" guid="{30E78A2B-0615-46BD-BF0D-642A4E603E4D}" shapeId="0">
      <text>
        <r>
          <rPr>
            <b/>
            <sz val="9"/>
            <color indexed="81"/>
            <rFont val="Tahoma"/>
            <family val="2"/>
          </rPr>
          <t>Davide Cicchini:</t>
        </r>
        <r>
          <rPr>
            <sz val="9"/>
            <color indexed="81"/>
            <rFont val="Tahoma"/>
            <family val="2"/>
          </rPr>
          <t xml:space="preserve">
Eccentricità riferita al polo di riduzione</t>
        </r>
      </text>
    </comment>
    <comment ref="K142" authorId="1" guid="{D7171261-1BC4-48F7-9F21-C43E8042BC28}" shapeId="0">
      <text>
        <r>
          <rPr>
            <b/>
            <sz val="9"/>
            <color indexed="81"/>
            <rFont val="Tahoma"/>
            <family val="2"/>
          </rPr>
          <t>Davide Cicchini:</t>
        </r>
        <r>
          <rPr>
            <sz val="9"/>
            <color indexed="81"/>
            <rFont val="Tahoma"/>
            <family val="2"/>
          </rPr>
          <t xml:space="preserve">
Eccentricità riferita al baricentro della zattera</t>
        </r>
      </text>
    </comment>
    <comment ref="K143" authorId="1" guid="{B13779F0-6942-4F1F-8388-E37463C6740B}" shapeId="0">
      <text>
        <r>
          <rPr>
            <b/>
            <sz val="9"/>
            <color indexed="81"/>
            <rFont val="Tahoma"/>
            <family val="2"/>
          </rPr>
          <t>Davide Cicchini:</t>
        </r>
        <r>
          <rPr>
            <sz val="9"/>
            <color indexed="81"/>
            <rFont val="Tahoma"/>
            <family val="2"/>
          </rPr>
          <t xml:space="preserve">
Ampiezza del nocciolo centrale d'inerzia</t>
        </r>
      </text>
    </comment>
    <comment ref="F144" authorId="0" guid="{5ACDA28A-874F-4CD9-9DC8-24703388DA67}" shapeId="0">
      <text>
        <r>
          <rPr>
            <b/>
            <sz val="9"/>
            <color indexed="81"/>
            <rFont val="Tahoma"/>
            <family val="2"/>
          </rPr>
          <t>Davide Cicchini:</t>
        </r>
        <r>
          <rPr>
            <sz val="9"/>
            <color indexed="81"/>
            <rFont val="Tahoma"/>
            <family val="2"/>
          </rPr>
          <t xml:space="preserve">
si moltiplica per la profondità di un metro</t>
        </r>
      </text>
    </comment>
    <comment ref="G144" authorId="0" guid="{71FBC100-2D49-44E0-80EA-D70B41CBFBBF}" shapeId="0">
      <text>
        <r>
          <rPr>
            <b/>
            <sz val="9"/>
            <color indexed="81"/>
            <rFont val="Tahoma"/>
            <family val="2"/>
          </rPr>
          <t>Davide Cicchini:</t>
        </r>
        <r>
          <rPr>
            <sz val="9"/>
            <color indexed="81"/>
            <rFont val="Tahoma"/>
            <family val="2"/>
          </rPr>
          <t xml:space="preserve">
il massimo si ha in corrispondenza del polo, preso sempre dal lato libero.</t>
        </r>
      </text>
    </comment>
    <comment ref="G150" authorId="2" guid="{5475C7EA-BCBF-4F89-A7EC-296793ECE310}" shapeId="0">
      <text>
        <r>
          <rPr>
            <b/>
            <sz val="9"/>
            <color indexed="81"/>
            <rFont val="Tahoma"/>
            <family val="2"/>
          </rPr>
          <t xml:space="preserve">Davide Cicchini:
</t>
        </r>
        <r>
          <rPr>
            <sz val="9"/>
            <color indexed="81"/>
            <rFont val="Tahoma"/>
            <family val="2"/>
          </rPr>
          <t>Di solito il valore è positivo, ossia diretto verso l'alto il peso della mensola non sovrasta la reazione del terreno</t>
        </r>
      </text>
    </comment>
    <comment ref="E152" authorId="0" guid="{743ECDAC-9DBC-4963-8519-2D69CD95D4B0}" shapeId="0">
      <text>
        <r>
          <rPr>
            <b/>
            <sz val="9"/>
            <color indexed="81"/>
            <rFont val="Tahoma"/>
            <family val="2"/>
          </rPr>
          <t>Davide Cicchini:</t>
        </r>
        <r>
          <rPr>
            <sz val="9"/>
            <color indexed="81"/>
            <rFont val="Tahoma"/>
            <family val="2"/>
          </rPr>
          <t xml:space="preserve">
Di solito il valore è positivo, ossia diretto verso l'alto il peso della mensola non sovrasta la reazione del terreno</t>
        </r>
      </text>
    </comment>
    <comment ref="F157" authorId="0" guid="{69967A0E-B541-472C-AAAE-16445F6E0266}" shapeId="0">
      <text>
        <r>
          <rPr>
            <b/>
            <sz val="9"/>
            <color indexed="81"/>
            <rFont val="Tahoma"/>
            <family val="2"/>
          </rPr>
          <t>Davide Cicchini:</t>
        </r>
        <r>
          <rPr>
            <sz val="9"/>
            <color indexed="81"/>
            <rFont val="Tahoma"/>
            <family val="2"/>
          </rPr>
          <t xml:space="preserve">
se il valore è negativo vuol dire che è diretto verso il basso. (il peso del terreno, della mensola e del carico variabile sovrastano la reazione diretta verso l'alto del terreno)</t>
        </r>
      </text>
    </comment>
    <comment ref="C159" authorId="2" guid="{F2AFC23A-6A08-4AB1-82DE-1B6CD05B4267}" shapeId="0">
      <text>
        <r>
          <rPr>
            <b/>
            <sz val="9"/>
            <color indexed="81"/>
            <rFont val="Tahoma"/>
            <family val="2"/>
          </rPr>
          <t xml:space="preserve">Davide Cicchini:
</t>
        </r>
        <r>
          <rPr>
            <sz val="9"/>
            <color indexed="81"/>
            <rFont val="Tahoma"/>
            <family val="2"/>
          </rPr>
          <t>se il valore è negativo vuol dire che è diretto verso il basso. (il peso del terreno, della mensola e del carico variabile sovrastano la reazione diretta verso l'alto del terreno)</t>
        </r>
      </text>
    </comment>
    <comment ref="B222" authorId="2" guid="{9480A184-7DEA-4060-9AB5-5D85DB4B8B97}" shapeId="0">
      <text>
        <r>
          <rPr>
            <b/>
            <sz val="9"/>
            <color indexed="81"/>
            <rFont val="Tahoma"/>
            <family val="2"/>
          </rPr>
          <t>Davide Cicchini:</t>
        </r>
        <r>
          <rPr>
            <sz val="9"/>
            <color indexed="81"/>
            <rFont val="Tahoma"/>
            <family val="2"/>
          </rPr>
          <t xml:space="preserve">
In condizione sismica tutti i coefficienti della tabella A, vengono posti uguali ad 1.</t>
        </r>
      </text>
    </comment>
    <comment ref="W223" authorId="0" guid="{C27AF625-CED4-44EC-9479-49EF62223369}" shapeId="0">
      <text>
        <r>
          <rPr>
            <b/>
            <sz val="9"/>
            <color indexed="81"/>
            <rFont val="Tahoma"/>
            <family val="2"/>
          </rPr>
          <t>Davide Cicchini:</t>
        </r>
        <r>
          <rPr>
            <sz val="9"/>
            <color indexed="81"/>
            <rFont val="Tahoma"/>
            <family val="2"/>
          </rPr>
          <t xml:space="preserve">
Se si inserisce 0, sono abilitate solo le condizioni non drenate.</t>
        </r>
      </text>
    </comment>
    <comment ref="W229" authorId="0" guid="{1FC4FA24-CEBD-4918-AAD0-FE6BAF7168BF}" shapeId="0">
      <text>
        <r>
          <rPr>
            <b/>
            <sz val="9"/>
            <color indexed="81"/>
            <rFont val="Tahoma"/>
            <family val="2"/>
          </rPr>
          <t>Davide Cicchini:</t>
        </r>
        <r>
          <rPr>
            <sz val="9"/>
            <color indexed="81"/>
            <rFont val="Tahoma"/>
            <family val="2"/>
          </rPr>
          <t xml:space="preserve">
Se si inserisce 0, sono abilitate solo le condizioni non drenate.</t>
        </r>
      </text>
    </comment>
    <comment ref="W235" authorId="0" guid="{531570AA-68D7-4985-B06C-4AA817D3F584}" shapeId="0">
      <text>
        <r>
          <rPr>
            <b/>
            <sz val="9"/>
            <color indexed="81"/>
            <rFont val="Tahoma"/>
            <family val="2"/>
          </rPr>
          <t>Davide Cicchini:</t>
        </r>
        <r>
          <rPr>
            <sz val="9"/>
            <color indexed="81"/>
            <rFont val="Tahoma"/>
            <family val="2"/>
          </rPr>
          <t xml:space="preserve">
Se si inserisce 0, sono abilitate solo le condizioni non drenate.</t>
        </r>
      </text>
    </comment>
  </commentList>
</comments>
</file>

<file path=xl/comments11.xml><?xml version="1.0" encoding="utf-8"?>
<comments xmlns="http://schemas.openxmlformats.org/spreadsheetml/2006/main">
  <authors>
    <author>Nicla</author>
    <author>DELL1</author>
  </authors>
  <commentList>
    <comment ref="M8" authorId="0" guid="{91D4FFBF-29F1-4423-8C4C-D17C6C12BFBC}" shapeId="0">
      <text>
        <r>
          <rPr>
            <b/>
            <sz val="9"/>
            <color indexed="81"/>
            <rFont val="Tahoma"/>
            <family val="2"/>
          </rPr>
          <t>Davide Cicchini:</t>
        </r>
        <r>
          <rPr>
            <sz val="9"/>
            <color indexed="81"/>
            <rFont val="Tahoma"/>
            <family val="2"/>
          </rPr>
          <t xml:space="preserve">
Valore stimato, diventa esatto sole se la distribuzione è prefettmente trapezioidale</t>
        </r>
      </text>
    </comment>
    <comment ref="B11" authorId="1" guid="{AE82A99A-8742-41AD-9B36-91F83216DF41}" shapeId="0">
      <text>
        <r>
          <rPr>
            <b/>
            <sz val="9"/>
            <color indexed="81"/>
            <rFont val="Tahoma"/>
            <family val="2"/>
          </rPr>
          <t>DELL1:</t>
        </r>
        <r>
          <rPr>
            <sz val="9"/>
            <color indexed="81"/>
            <rFont val="Tahoma"/>
            <family val="2"/>
          </rPr>
          <t xml:space="preserve">
disposizione simmetrica
delle costole</t>
        </r>
      </text>
    </comment>
  </commentList>
</comments>
</file>

<file path=xl/comments12.xml><?xml version="1.0" encoding="utf-8"?>
<comments xmlns="http://schemas.openxmlformats.org/spreadsheetml/2006/main">
  <authors>
    <author>DELL1</author>
  </authors>
  <commentList>
    <comment ref="AB2" authorId="0" guid="{36FFE5F8-AEBE-4A2A-98B3-6B58DCA63381}" shapeId="0">
      <text>
        <r>
          <rPr>
            <b/>
            <sz val="9"/>
            <color indexed="81"/>
            <rFont val="Tahoma"/>
            <family val="2"/>
          </rPr>
          <t>Davide Cicchini:</t>
        </r>
        <r>
          <rPr>
            <sz val="9"/>
            <color indexed="81"/>
            <rFont val="Tahoma"/>
            <family val="2"/>
          </rPr>
          <t xml:space="preserve">
Posizione dell'asse neutro</t>
        </r>
      </text>
    </comment>
    <comment ref="AJ25" authorId="0" guid="{29E754B9-B1AB-4424-8271-9F84EF5B937E}" shapeId="0">
      <text>
        <r>
          <rPr>
            <b/>
            <sz val="9"/>
            <color indexed="81"/>
            <rFont val="Tahoma"/>
            <family val="2"/>
          </rPr>
          <t>Davide Cicchini:</t>
        </r>
        <r>
          <rPr>
            <sz val="9"/>
            <color indexed="81"/>
            <rFont val="Tahoma"/>
            <family val="2"/>
          </rPr>
          <t xml:space="preserve">
Posizione dell'asse neutro</t>
        </r>
      </text>
    </comment>
    <comment ref="AL25" authorId="0" guid="{8BE62A0A-6506-44D5-811D-E17EDD6F1EA8}" shapeId="0">
      <text>
        <r>
          <rPr>
            <b/>
            <sz val="9"/>
            <color indexed="81"/>
            <rFont val="Tahoma"/>
            <family val="2"/>
          </rPr>
          <t>Davide Cicchini:</t>
        </r>
        <r>
          <rPr>
            <sz val="9"/>
            <color indexed="81"/>
            <rFont val="Tahoma"/>
            <family val="2"/>
          </rPr>
          <t xml:space="preserve">
Dal lembo compresso</t>
        </r>
      </text>
    </comment>
    <comment ref="AM25" authorId="0" guid="{77E2ED33-8DFE-4477-AC45-719EF78BC913}" shapeId="0">
      <text>
        <r>
          <rPr>
            <b/>
            <sz val="9"/>
            <color indexed="81"/>
            <rFont val="Tahoma"/>
            <family val="2"/>
          </rPr>
          <t>Davide Cicchini:</t>
        </r>
        <r>
          <rPr>
            <sz val="9"/>
            <color indexed="81"/>
            <rFont val="Tahoma"/>
            <family val="2"/>
          </rPr>
          <t xml:space="preserve">
Dal lembo compresso</t>
        </r>
      </text>
    </comment>
    <comment ref="AN25" authorId="0" guid="{7E1166C5-682D-4864-9D51-69EB3D72B564}" shapeId="0">
      <text>
        <r>
          <rPr>
            <b/>
            <sz val="9"/>
            <color indexed="81"/>
            <rFont val="Tahoma"/>
            <family val="2"/>
          </rPr>
          <t>Davide Cicchini:</t>
        </r>
        <r>
          <rPr>
            <sz val="9"/>
            <color indexed="81"/>
            <rFont val="Tahoma"/>
            <family val="2"/>
          </rPr>
          <t xml:space="preserve">
Dal lembo compresso</t>
        </r>
      </text>
    </comment>
    <comment ref="AO25" authorId="0" guid="{06894B87-D27D-477A-AB11-A384B2FDAB4C}" shapeId="0">
      <text>
        <r>
          <rPr>
            <b/>
            <sz val="9"/>
            <color indexed="81"/>
            <rFont val="Tahoma"/>
            <family val="2"/>
          </rPr>
          <t xml:space="preserve">Davide Cicchini:
</t>
        </r>
        <r>
          <rPr>
            <sz val="9"/>
            <color indexed="81"/>
            <rFont val="Tahoma"/>
            <family val="2"/>
          </rPr>
          <t xml:space="preserve">Dal lembo compresso
</t>
        </r>
      </text>
    </comment>
    <comment ref="AP25" authorId="0" guid="{092C846A-DDE4-4580-877E-68B5FCB87E4F}" shapeId="0">
      <text>
        <r>
          <rPr>
            <b/>
            <sz val="9"/>
            <color indexed="81"/>
            <rFont val="Tahoma"/>
            <family val="2"/>
          </rPr>
          <t xml:space="preserve">Davide Cicchini:
</t>
        </r>
        <r>
          <rPr>
            <sz val="9"/>
            <color indexed="81"/>
            <rFont val="Tahoma"/>
            <family val="2"/>
          </rPr>
          <t xml:space="preserve">Dal lembo compresso
</t>
        </r>
      </text>
    </comment>
  </commentList>
</comments>
</file>

<file path=xl/comments13.xml><?xml version="1.0" encoding="utf-8"?>
<comments xmlns="http://schemas.openxmlformats.org/spreadsheetml/2006/main">
  <authors>
    <author>Nicla</author>
  </authors>
  <commentList>
    <comment ref="D70" authorId="0" guid="{A885773C-F947-45ED-A10D-46C405E760C1}" shapeId="0">
      <text>
        <r>
          <rPr>
            <b/>
            <sz val="9"/>
            <color indexed="81"/>
            <rFont val="Tahoma"/>
            <family val="2"/>
          </rPr>
          <t>Davide Cicchini:</t>
        </r>
        <r>
          <rPr>
            <sz val="9"/>
            <color indexed="81"/>
            <rFont val="Tahoma"/>
            <family val="2"/>
          </rPr>
          <t xml:space="preserve">
E' gia stato amplificato</t>
        </r>
      </text>
    </comment>
    <comment ref="F126" authorId="0" guid="{0BDABFC2-CE84-4819-8B7A-6B42B239B234}" shapeId="0">
      <text>
        <r>
          <rPr>
            <b/>
            <sz val="9"/>
            <color indexed="81"/>
            <rFont val="Tahoma"/>
            <family val="2"/>
          </rPr>
          <t>Davide Cicchini:</t>
        </r>
        <r>
          <rPr>
            <sz val="9"/>
            <color indexed="81"/>
            <rFont val="Tahoma"/>
            <family val="2"/>
          </rPr>
          <t xml:space="preserve">
Eccentricità riferita al baricentro della zattera</t>
        </r>
      </text>
    </comment>
    <comment ref="F127" authorId="0" guid="{EEA4F6AE-A415-4A1E-A86C-ADEE4A7CE558}" shapeId="0">
      <text>
        <r>
          <rPr>
            <b/>
            <sz val="9"/>
            <color indexed="81"/>
            <rFont val="Tahoma"/>
            <family val="2"/>
          </rPr>
          <t>Davide Cicchini:</t>
        </r>
        <r>
          <rPr>
            <sz val="9"/>
            <color indexed="81"/>
            <rFont val="Tahoma"/>
            <family val="2"/>
          </rPr>
          <t xml:space="preserve">
Ampiezza del nocciolo centrale d'inerzia</t>
        </r>
      </text>
    </comment>
  </commentList>
</comments>
</file>

<file path=xl/comments2.xml><?xml version="1.0" encoding="utf-8"?>
<comments xmlns="http://schemas.openxmlformats.org/spreadsheetml/2006/main">
  <authors>
    <author>DELL1</author>
    <author>Nicla</author>
  </authors>
  <commentList>
    <comment ref="O86" authorId="0" guid="{32BFEC9D-87EF-4FCD-9EDB-F261A380C491}" shapeId="0">
      <text>
        <r>
          <rPr>
            <b/>
            <sz val="9"/>
            <color indexed="81"/>
            <rFont val="Tahoma"/>
            <family val="2"/>
          </rPr>
          <t>Davide Cicchini:</t>
        </r>
        <r>
          <rPr>
            <sz val="9"/>
            <color indexed="81"/>
            <rFont val="Tahoma"/>
            <family val="2"/>
          </rPr>
          <t xml:space="preserve">
Si include la spinta dell'acqua</t>
        </r>
      </text>
    </comment>
    <comment ref="AC87" authorId="1" guid="{D1ED0219-038D-4BAD-9618-1AE8515A544A}" shapeId="0">
      <text>
        <r>
          <rPr>
            <b/>
            <sz val="9"/>
            <color indexed="81"/>
            <rFont val="Tahoma"/>
            <family val="2"/>
          </rPr>
          <t>Davide Cicchini:</t>
        </r>
        <r>
          <rPr>
            <sz val="9"/>
            <color indexed="81"/>
            <rFont val="Tahoma"/>
            <family val="2"/>
          </rPr>
          <t xml:space="preserve">
Per semplicità si considera una distribuzione rettangolare, anziché quella parabolica.</t>
        </r>
      </text>
    </comment>
    <comment ref="AH87" authorId="1" guid="{B47C0EE5-8A54-44FF-9E97-8E37D25020D5}" shapeId="0">
      <text>
        <r>
          <rPr>
            <b/>
            <sz val="9"/>
            <color indexed="81"/>
            <rFont val="Tahoma"/>
            <family val="2"/>
          </rPr>
          <t>Davide Cicchini:</t>
        </r>
        <r>
          <rPr>
            <sz val="9"/>
            <color indexed="81"/>
            <rFont val="Tahoma"/>
            <family val="2"/>
          </rPr>
          <t xml:space="preserve">
Spinta sismica secondo la teoria di Wood</t>
        </r>
      </text>
    </comment>
    <comment ref="AG96" authorId="1" guid="{CAADBF59-273F-4BEA-A447-CE14E6042E5A}" shapeId="0">
      <text>
        <r>
          <rPr>
            <b/>
            <sz val="9"/>
            <color indexed="81"/>
            <rFont val="Tahoma"/>
            <family val="2"/>
          </rPr>
          <t>Davide Cicchini:</t>
        </r>
        <r>
          <rPr>
            <sz val="9"/>
            <color indexed="81"/>
            <rFont val="Tahoma"/>
            <family val="2"/>
          </rPr>
          <t xml:space="preserve">
Coordinata "z" della posizione del baricentro del sistema globale terra-muro.</t>
        </r>
      </text>
    </comment>
    <comment ref="O103" authorId="0" guid="{E5F1E451-8036-404C-A795-963CF2655D17}" shapeId="0">
      <text>
        <r>
          <rPr>
            <b/>
            <sz val="9"/>
            <color indexed="81"/>
            <rFont val="Tahoma"/>
            <family val="2"/>
          </rPr>
          <t>Davide Cicchini:</t>
        </r>
        <r>
          <rPr>
            <sz val="9"/>
            <color indexed="81"/>
            <rFont val="Tahoma"/>
            <family val="2"/>
          </rPr>
          <t xml:space="preserve">
Si include la spinta dell'acqua</t>
        </r>
      </text>
    </comment>
    <comment ref="AC104" authorId="1" guid="{A8DD8E9A-408B-43AC-B0F5-0164547C360F}" shapeId="0">
      <text>
        <r>
          <rPr>
            <b/>
            <sz val="9"/>
            <color indexed="81"/>
            <rFont val="Tahoma"/>
            <family val="2"/>
          </rPr>
          <t>Davide Cicchini:</t>
        </r>
        <r>
          <rPr>
            <sz val="9"/>
            <color indexed="81"/>
            <rFont val="Tahoma"/>
            <family val="2"/>
          </rPr>
          <t xml:space="preserve">
Per semplicità si considera una distribuzione rettangolare, anziché quella parabolica.</t>
        </r>
      </text>
    </comment>
    <comment ref="AG113" authorId="1" guid="{0A008931-C22A-445F-88AD-E9E340D818B3}" shapeId="0">
      <text>
        <r>
          <rPr>
            <b/>
            <sz val="9"/>
            <color indexed="81"/>
            <rFont val="Tahoma"/>
            <family val="2"/>
          </rPr>
          <t>Davide Cicchini:</t>
        </r>
        <r>
          <rPr>
            <sz val="9"/>
            <color indexed="81"/>
            <rFont val="Tahoma"/>
            <family val="2"/>
          </rPr>
          <t xml:space="preserve">
Coordinata "z" della posizione del baricentro del sistema globale terra-muro.</t>
        </r>
      </text>
    </comment>
    <comment ref="B120" authorId="0" guid="{55647175-8632-464C-BA71-764490EEF6FF}" shapeId="0">
      <text>
        <r>
          <rPr>
            <b/>
            <sz val="9"/>
            <color indexed="81"/>
            <rFont val="Tahoma"/>
            <family val="2"/>
          </rPr>
          <t>Davide Cicchini:</t>
        </r>
        <r>
          <rPr>
            <sz val="9"/>
            <color indexed="81"/>
            <rFont val="Tahoma"/>
            <family val="2"/>
          </rPr>
          <t xml:space="preserve">
Se si vogliono visualizzare i grafici puri delle pressioni litostatiche occorre inserire nelle combinazioni di calcolo, la combinazione unitaria.</t>
        </r>
      </text>
    </comment>
  </commentList>
</comments>
</file>

<file path=xl/comments3.xml><?xml version="1.0" encoding="utf-8"?>
<comments xmlns="http://schemas.openxmlformats.org/spreadsheetml/2006/main">
  <authors>
    <author>DELL1</author>
    <author>Davide Cicchini</author>
    <author>Nicla</author>
  </authors>
  <commentList>
    <comment ref="B78" authorId="0" guid="{D5AA6064-2941-4A70-B35B-EF0EA33E68B9}" shapeId="0">
      <text>
        <r>
          <rPr>
            <b/>
            <sz val="9"/>
            <color indexed="81"/>
            <rFont val="Tahoma"/>
            <family val="2"/>
          </rPr>
          <t>Davide Cicchini:</t>
        </r>
        <r>
          <rPr>
            <sz val="9"/>
            <color indexed="81"/>
            <rFont val="Tahoma"/>
            <family val="2"/>
          </rPr>
          <t xml:space="preserve">
Media pesata sui pesi specifici</t>
        </r>
      </text>
    </comment>
    <comment ref="G115" authorId="1" guid="{8BAC669D-84E1-4FD1-AA82-1470AC112E00}" shapeId="0">
      <text>
        <r>
          <rPr>
            <b/>
            <sz val="9"/>
            <color indexed="81"/>
            <rFont val="Tahoma"/>
            <family val="2"/>
          </rPr>
          <t>Davide Cicchini:</t>
        </r>
        <r>
          <rPr>
            <sz val="9"/>
            <color indexed="81"/>
            <rFont val="Tahoma"/>
            <family val="2"/>
          </rPr>
          <t xml:space="preserve">
il momento resistente viene calcolato con i coefficienti favorevoli (minorativi)</t>
        </r>
      </text>
    </comment>
    <comment ref="B120" authorId="2" guid="{53A81362-CCEF-4DCE-9A93-97A94C91E722}" shapeId="0">
      <text>
        <r>
          <rPr>
            <b/>
            <sz val="9"/>
            <color indexed="81"/>
            <rFont val="Tahoma"/>
            <family val="2"/>
          </rPr>
          <t>Davide Cicchini:</t>
        </r>
        <r>
          <rPr>
            <sz val="9"/>
            <color indexed="81"/>
            <rFont val="Tahoma"/>
            <family val="2"/>
          </rPr>
          <t xml:space="preserve">
E' causato dall'angolo di attrito muro-terreno</t>
        </r>
      </text>
    </comment>
    <comment ref="D120" authorId="2" guid="{A75C98DA-E5C4-4E47-8AD7-0BE9B69DF9E8}" shapeId="0">
      <text>
        <r>
          <rPr>
            <b/>
            <sz val="9"/>
            <color indexed="81"/>
            <rFont val="Tahoma"/>
            <family val="2"/>
          </rPr>
          <t>Davide Cicchini:</t>
        </r>
        <r>
          <rPr>
            <sz val="9"/>
            <color indexed="81"/>
            <rFont val="Tahoma"/>
            <family val="2"/>
          </rPr>
          <t xml:space="preserve">
0,9/1,35</t>
        </r>
      </text>
    </comment>
  </commentList>
</comments>
</file>

<file path=xl/comments4.xml><?xml version="1.0" encoding="utf-8"?>
<comments xmlns="http://schemas.openxmlformats.org/spreadsheetml/2006/main">
  <authors>
    <author>DELL1</author>
    <author>Davide Cicchini</author>
    <author>Nicla</author>
  </authors>
  <commentList>
    <comment ref="B78" authorId="0" guid="{8F6FFE76-A386-487E-A639-C6591BCF3600}" shapeId="0">
      <text>
        <r>
          <rPr>
            <b/>
            <sz val="9"/>
            <color indexed="81"/>
            <rFont val="Tahoma"/>
            <family val="2"/>
          </rPr>
          <t>Davide Cicchini:</t>
        </r>
        <r>
          <rPr>
            <sz val="9"/>
            <color indexed="81"/>
            <rFont val="Tahoma"/>
            <family val="2"/>
          </rPr>
          <t xml:space="preserve">
Media pesata sui pesi specifici</t>
        </r>
      </text>
    </comment>
    <comment ref="G115" authorId="1" guid="{7E90388E-2C8A-4255-A1B2-B65E2C728023}" shapeId="0">
      <text>
        <r>
          <rPr>
            <b/>
            <sz val="9"/>
            <color indexed="81"/>
            <rFont val="Tahoma"/>
            <family val="2"/>
          </rPr>
          <t>Davide Cicchini:</t>
        </r>
        <r>
          <rPr>
            <sz val="9"/>
            <color indexed="81"/>
            <rFont val="Tahoma"/>
            <family val="2"/>
          </rPr>
          <t xml:space="preserve">
il momento resistente viene calcolato con i coefficienti favorevoli (minorativi)</t>
        </r>
      </text>
    </comment>
    <comment ref="B120" authorId="2" guid="{5ACFD857-11A1-46E1-91E2-B2D37FA95A41}" shapeId="0">
      <text>
        <r>
          <rPr>
            <b/>
            <sz val="9"/>
            <color indexed="81"/>
            <rFont val="Tahoma"/>
            <family val="2"/>
          </rPr>
          <t>Davide Cicchini:</t>
        </r>
        <r>
          <rPr>
            <sz val="9"/>
            <color indexed="81"/>
            <rFont val="Tahoma"/>
            <family val="2"/>
          </rPr>
          <t xml:space="preserve">
E' causato dall'angolo di attrito muro-terreno</t>
        </r>
      </text>
    </comment>
    <comment ref="D120" authorId="2" guid="{BF160B56-970F-448B-944B-4BC2373B2EAB}" shapeId="0">
      <text>
        <r>
          <rPr>
            <b/>
            <sz val="9"/>
            <color indexed="81"/>
            <rFont val="Tahoma"/>
            <family val="2"/>
          </rPr>
          <t>Davide Cicchini:</t>
        </r>
        <r>
          <rPr>
            <sz val="9"/>
            <color indexed="81"/>
            <rFont val="Tahoma"/>
            <family val="2"/>
          </rPr>
          <t xml:space="preserve">
0,9/1,35</t>
        </r>
      </text>
    </comment>
  </commentList>
</comments>
</file>

<file path=xl/comments5.xml><?xml version="1.0" encoding="utf-8"?>
<comments xmlns="http://schemas.openxmlformats.org/spreadsheetml/2006/main">
  <authors>
    <author>DELL1</author>
  </authors>
  <commentList>
    <comment ref="I91" authorId="0" guid="{DE8AD6F2-8990-421A-83EE-46A76C3FEFCE}" shapeId="0">
      <text>
        <r>
          <rPr>
            <b/>
            <sz val="9"/>
            <color indexed="81"/>
            <rFont val="Tahoma"/>
            <family val="2"/>
          </rPr>
          <t>Davide Cicchini:</t>
        </r>
        <r>
          <rPr>
            <sz val="9"/>
            <color indexed="81"/>
            <rFont val="Tahoma"/>
            <family val="2"/>
          </rPr>
          <t xml:space="preserve">
Inserendo "NO" si considera come angolo di attrito 2/3 phi; altrimenti l'angolo definito da utente.
Nel calcolo della spinta passiva viene sempre trascurata un'altezza pari all'altezza della zattera. Questo proprio per tener conto della perdita delle caratterisitche meccaniche del terreno a valle del muro, in seguito ai lavori di realizzazione dello stesso.</t>
        </r>
      </text>
    </comment>
  </commentList>
</comments>
</file>

<file path=xl/comments6.xml><?xml version="1.0" encoding="utf-8"?>
<comments xmlns="http://schemas.openxmlformats.org/spreadsheetml/2006/main">
  <authors>
    <author>Nicla</author>
    <author>Davide Cicchini</author>
    <author>DELL1</author>
  </authors>
  <commentList>
    <comment ref="N38" authorId="0" guid="{C190B94D-6568-4BE1-B499-896AB2F7A7C4}" shapeId="0">
      <text>
        <r>
          <rPr>
            <b/>
            <sz val="9"/>
            <color indexed="81"/>
            <rFont val="Tahoma"/>
            <family val="2"/>
          </rPr>
          <t>Davide Cicchini:</t>
        </r>
        <r>
          <rPr>
            <sz val="9"/>
            <color indexed="81"/>
            <rFont val="Tahoma"/>
            <family val="2"/>
          </rPr>
          <t xml:space="preserve">
Viene considerato il peso del magrone</t>
        </r>
      </text>
    </comment>
    <comment ref="R58" authorId="1" guid="{4AA647F9-6781-47C9-8338-50D0A6D4ABFD}" shapeId="0">
      <text>
        <r>
          <rPr>
            <b/>
            <sz val="9"/>
            <color indexed="81"/>
            <rFont val="Tahoma"/>
            <family val="2"/>
          </rPr>
          <t>Davide Cicchini:</t>
        </r>
        <r>
          <rPr>
            <sz val="9"/>
            <color indexed="81"/>
            <rFont val="Tahoma"/>
            <family val="2"/>
          </rPr>
          <t xml:space="preserve">
Tengono conto della rottura per punzonamento del terreno</t>
        </r>
      </text>
    </comment>
    <comment ref="I94" authorId="2" guid="{5720A936-A01D-45ED-B559-367E37817A12}" shapeId="0">
      <text>
        <r>
          <rPr>
            <b/>
            <sz val="9"/>
            <color indexed="81"/>
            <rFont val="Tahoma"/>
            <family val="2"/>
          </rPr>
          <t>Davide Cicchini:</t>
        </r>
        <r>
          <rPr>
            <sz val="9"/>
            <color indexed="81"/>
            <rFont val="Tahoma"/>
            <family val="2"/>
          </rPr>
          <t xml:space="preserve">
Inserendo "NO" si considera come angolo di attrito 2/3 phi; altrimenti l'angolo definito da utente.
Nel calcolo della spinta passiva viene sempre trascurata un'altezza pari all'altezza della zattera. Questo proprio per tener conto della perdita delle caratterisitche meccaniche del terreno a valle del muro, in seguito ai lavori di realizzazione dello stesso.</t>
        </r>
      </text>
    </comment>
    <comment ref="I96" authorId="2" guid="{9EF47D6C-698B-49DB-8354-54AFF6457689}" shapeId="0">
      <text>
        <r>
          <rPr>
            <b/>
            <sz val="9"/>
            <color indexed="81"/>
            <rFont val="Tahoma"/>
            <family val="2"/>
          </rPr>
          <t>Davide Cicchini:</t>
        </r>
        <r>
          <rPr>
            <sz val="9"/>
            <color indexed="81"/>
            <rFont val="Tahoma"/>
            <family val="2"/>
          </rPr>
          <t xml:space="preserve">
Nel calcolo della spinta passiva viene sempre trascurata un'altezza pari all'altezza della zattera. Questo proprio per tener conto della perdita delle caratterisitche meccaniche del terreno a valle del muro, in seguito ai lavori di realizzazione dello stesso.</t>
        </r>
      </text>
    </comment>
  </commentList>
</comments>
</file>

<file path=xl/comments7.xml><?xml version="1.0" encoding="utf-8"?>
<comments xmlns="http://schemas.openxmlformats.org/spreadsheetml/2006/main">
  <authors>
    <author>DELL1</author>
    <author>Davide Cicchini</author>
    <author>Nicla</author>
  </authors>
  <commentList>
    <comment ref="E3" authorId="0" guid="{660D62CE-9596-437A-8183-D136EDA0301D}" shapeId="0">
      <text>
        <r>
          <rPr>
            <b/>
            <sz val="9"/>
            <color indexed="81"/>
            <rFont val="Tahoma"/>
            <family val="2"/>
          </rPr>
          <t>DELL1:</t>
        </r>
        <r>
          <rPr>
            <sz val="9"/>
            <color indexed="81"/>
            <rFont val="Tahoma"/>
            <family val="2"/>
          </rPr>
          <t xml:space="preserve">
Altezza sezione</t>
        </r>
      </text>
    </comment>
    <comment ref="F3" authorId="0" guid="{00CA00F0-6F35-49B0-A5E3-11E9A89F1915}" shapeId="0">
      <text>
        <r>
          <rPr>
            <b/>
            <sz val="9"/>
            <color indexed="81"/>
            <rFont val="Tahoma"/>
            <family val="2"/>
          </rPr>
          <t>DELL1:</t>
        </r>
        <r>
          <rPr>
            <sz val="9"/>
            <color indexed="81"/>
            <rFont val="Tahoma"/>
            <family val="2"/>
          </rPr>
          <t xml:space="preserve">
Altezza costola
</t>
        </r>
      </text>
    </comment>
    <comment ref="R48" authorId="0" guid="{D915B596-442A-4513-99A7-13C7E591BD4C}" shapeId="0">
      <text>
        <r>
          <rPr>
            <b/>
            <sz val="9"/>
            <color indexed="81"/>
            <rFont val="Tahoma"/>
            <family val="2"/>
          </rPr>
          <t>DELL1:</t>
        </r>
        <r>
          <rPr>
            <sz val="9"/>
            <color indexed="81"/>
            <rFont val="Tahoma"/>
            <family val="2"/>
          </rPr>
          <t xml:space="preserve">
disposizione simmetrica
delle costole</t>
        </r>
      </text>
    </comment>
    <comment ref="R58" authorId="1" guid="{187DA015-AF10-446B-A2F1-19DB19AEFA49}" shapeId="0">
      <text>
        <r>
          <rPr>
            <b/>
            <sz val="9"/>
            <color indexed="81"/>
            <rFont val="Tahoma"/>
            <family val="2"/>
          </rPr>
          <t>Davide Cicchini:</t>
        </r>
        <r>
          <rPr>
            <sz val="9"/>
            <color indexed="81"/>
            <rFont val="Tahoma"/>
            <family val="2"/>
          </rPr>
          <t xml:space="preserve">
a destra dell'asse muro</t>
        </r>
      </text>
    </comment>
    <comment ref="Q59" authorId="2" guid="{D557A5D9-EA93-4469-AC18-1493DF8D4AA9}" shapeId="0">
      <text>
        <r>
          <rPr>
            <b/>
            <sz val="9"/>
            <color indexed="81"/>
            <rFont val="Tahoma"/>
            <family val="2"/>
          </rPr>
          <t>Nicla:</t>
        </r>
        <r>
          <rPr>
            <sz val="9"/>
            <color indexed="81"/>
            <rFont val="Tahoma"/>
            <family val="2"/>
          </rPr>
          <t xml:space="preserve">
Dalla fine della costola</t>
        </r>
      </text>
    </comment>
    <comment ref="Q68" authorId="2" guid="{6787B6CE-B185-48A3-8D3F-5250E83DD2A4}" shapeId="0">
      <text>
        <r>
          <rPr>
            <b/>
            <sz val="9"/>
            <color indexed="81"/>
            <rFont val="Tahoma"/>
            <family val="2"/>
          </rPr>
          <t>Davide Cicchini:</t>
        </r>
        <r>
          <rPr>
            <sz val="9"/>
            <color indexed="81"/>
            <rFont val="Tahoma"/>
            <family val="2"/>
          </rPr>
          <t xml:space="preserve">
Questo valore non viene considerato nel calcolo della spinta.</t>
        </r>
      </text>
    </comment>
  </commentList>
</comments>
</file>

<file path=xl/comments8.xml><?xml version="1.0" encoding="utf-8"?>
<comments xmlns="http://schemas.openxmlformats.org/spreadsheetml/2006/main">
  <authors>
    <author>Nicla</author>
    <author>DELL1</author>
  </authors>
  <commentList>
    <comment ref="F101" authorId="0" guid="{0A05E8C3-D825-4DC9-968C-AB760A561133}" shapeId="0">
      <text>
        <r>
          <rPr>
            <b/>
            <sz val="9"/>
            <color indexed="81"/>
            <rFont val="Tahoma"/>
            <family val="2"/>
          </rPr>
          <t>Davide Cicchini:</t>
        </r>
        <r>
          <rPr>
            <sz val="9"/>
            <color indexed="81"/>
            <rFont val="Tahoma"/>
            <family val="2"/>
          </rPr>
          <t xml:space="preserve">
Si fa l'ipotesi semplificativa che la distribuzione sia rettangolare</t>
        </r>
      </text>
    </comment>
    <comment ref="G101" authorId="0" guid="{065C4260-3340-460F-BD4A-11C4FBC4BAF2}" shapeId="0">
      <text>
        <r>
          <rPr>
            <b/>
            <sz val="9"/>
            <color indexed="81"/>
            <rFont val="Tahoma"/>
            <family val="2"/>
          </rPr>
          <t>Davide Cicchini:</t>
        </r>
        <r>
          <rPr>
            <sz val="9"/>
            <color indexed="81"/>
            <rFont val="Tahoma"/>
            <family val="2"/>
          </rPr>
          <t xml:space="preserve">
Sono le tensioni orizzontali moltiplicate per la larghezza del muro. A queste si aggiungono le distribuzioni di forze d'inerzia e il carico dinamico dell'acqua.</t>
        </r>
      </text>
    </comment>
    <comment ref="B116" authorId="1" guid="{16148E3F-2E23-4323-BCD4-9E05AECF9BAD}" shapeId="0">
      <text>
        <r>
          <rPr>
            <b/>
            <sz val="9"/>
            <color indexed="81"/>
            <rFont val="Tahoma"/>
            <family val="2"/>
          </rPr>
          <t>Davide Cicchini:</t>
        </r>
        <r>
          <rPr>
            <sz val="9"/>
            <color indexed="81"/>
            <rFont val="Tahoma"/>
            <family val="2"/>
          </rPr>
          <t xml:space="preserve">
Nel caso di terreno inclinato a tergo, le caratteristiche della sollecitazione offrono un valore di taglio e momento diverso da zero sull'estremo libero. Questo succede perché si fa l'ipotesi che il paramento sia virtualmente alto come la massima quota del terreno. Assumere questa altezza virtuale produce delle sollecitazioni non nulle in testa al paramento, questo accade perchè ai fini del calcolo la testa non è un punto estremo, bensì è interna al dominio.  Il calcolo delle armature sarà poi riferito alla reale estensione del paramento.
</t>
        </r>
      </text>
    </comment>
    <comment ref="D152" authorId="0" guid="{5D61B0F9-4B16-4D4E-B263-78349CAF2BE6}" shapeId="0">
      <text>
        <r>
          <rPr>
            <b/>
            <sz val="9"/>
            <color indexed="81"/>
            <rFont val="Tahoma"/>
            <family val="2"/>
          </rPr>
          <t>Davide Cicchini:</t>
        </r>
        <r>
          <rPr>
            <sz val="9"/>
            <color indexed="81"/>
            <rFont val="Tahoma"/>
            <family val="2"/>
          </rPr>
          <t xml:space="preserve">
Altezza della sezione al variare della quota</t>
        </r>
      </text>
    </comment>
  </commentList>
</comments>
</file>

<file path=xl/comments9.xml><?xml version="1.0" encoding="utf-8"?>
<comments xmlns="http://schemas.openxmlformats.org/spreadsheetml/2006/main">
  <authors>
    <author>DELL1</author>
    <author>Nicla</author>
    <author>Davide Cicchini</author>
  </authors>
  <commentList>
    <comment ref="D40" authorId="0" guid="{CA753CFB-A48A-4514-9959-BB9B9EDB1CB4}" shapeId="0">
      <text>
        <r>
          <rPr>
            <b/>
            <sz val="9"/>
            <color indexed="81"/>
            <rFont val="Tahoma"/>
            <family val="2"/>
          </rPr>
          <t>Davide Cicchini:</t>
        </r>
        <r>
          <rPr>
            <sz val="9"/>
            <color indexed="81"/>
            <rFont val="Tahoma"/>
            <family val="2"/>
          </rPr>
          <t xml:space="preserve">
Spessore del copriferro dall'asse del ferro longitudinale</t>
        </r>
      </text>
    </comment>
    <comment ref="D98" authorId="1" guid="{E6E2395A-2C38-4374-A79A-92441A9F6ADB}" shapeId="0">
      <text>
        <r>
          <rPr>
            <b/>
            <sz val="9"/>
            <color indexed="81"/>
            <rFont val="Tahoma"/>
            <family val="2"/>
          </rPr>
          <t>Davide Cicchini:</t>
        </r>
        <r>
          <rPr>
            <sz val="9"/>
            <color indexed="81"/>
            <rFont val="Tahoma"/>
            <family val="2"/>
          </rPr>
          <t xml:space="preserve">
Altezza della sezione</t>
        </r>
      </text>
    </comment>
    <comment ref="D131" authorId="0" guid="{5F267B8C-C066-4BC4-802B-8A64D3D2CCA8}" shapeId="0">
      <text>
        <r>
          <rPr>
            <b/>
            <sz val="9"/>
            <color indexed="81"/>
            <rFont val="Tahoma"/>
            <family val="2"/>
          </rPr>
          <t>Davide Cicchini:</t>
        </r>
        <r>
          <rPr>
            <sz val="9"/>
            <color indexed="81"/>
            <rFont val="Tahoma"/>
            <family val="2"/>
          </rPr>
          <t xml:space="preserve">
Posizione dell'asse neutro</t>
        </r>
      </text>
    </comment>
    <comment ref="D151" authorId="0" guid="{4F115589-B5B1-44D9-AC1E-3EA344CEA385}" shapeId="0">
      <text>
        <r>
          <rPr>
            <b/>
            <sz val="9"/>
            <color indexed="81"/>
            <rFont val="Tahoma"/>
            <family val="2"/>
          </rPr>
          <t>Davide Cicchini:</t>
        </r>
        <r>
          <rPr>
            <sz val="9"/>
            <color indexed="81"/>
            <rFont val="Tahoma"/>
            <family val="2"/>
          </rPr>
          <t xml:space="preserve">
Posizione dell'asse neutro</t>
        </r>
      </text>
    </comment>
    <comment ref="E151" authorId="1" guid="{CDC89D34-396A-4FDF-9C6A-1D6EF4637A91}" shapeId="0">
      <text>
        <r>
          <rPr>
            <b/>
            <sz val="9"/>
            <color indexed="81"/>
            <rFont val="Tahoma"/>
            <family val="2"/>
          </rPr>
          <t>Davide Cicchini:</t>
        </r>
        <r>
          <rPr>
            <sz val="9"/>
            <color indexed="81"/>
            <rFont val="Tahoma"/>
            <family val="2"/>
          </rPr>
          <t xml:space="preserve">
Altezza della sezione</t>
        </r>
      </text>
    </comment>
    <comment ref="G151" authorId="1" guid="{FC437556-500E-469F-851F-77A9D661609F}" shapeId="0">
      <text>
        <r>
          <rPr>
            <b/>
            <sz val="9"/>
            <color indexed="81"/>
            <rFont val="Tahoma"/>
            <family val="2"/>
          </rPr>
          <t>Davide Cicchini:</t>
        </r>
        <r>
          <rPr>
            <sz val="9"/>
            <color indexed="81"/>
            <rFont val="Tahoma"/>
            <family val="2"/>
          </rPr>
          <t xml:space="preserve">
Si fa l'ipotesi che il calcestruzzo raggiunga sempre la condizione di collasso. Quindi i valori εs sono ricavati imponendo che εc sia fisso a 0,35%</t>
        </r>
      </text>
    </comment>
    <comment ref="D198" authorId="1" guid="{BBDB987D-2E21-4027-80B7-6585BB3B310A}" shapeId="0">
      <text>
        <r>
          <rPr>
            <b/>
            <sz val="9"/>
            <color indexed="81"/>
            <rFont val="Tahoma"/>
            <family val="2"/>
          </rPr>
          <t>Davide Cicchini:</t>
        </r>
        <r>
          <rPr>
            <sz val="9"/>
            <color indexed="81"/>
            <rFont val="Tahoma"/>
            <family val="2"/>
          </rPr>
          <t xml:space="preserve">
Altezza della sezione al variare della quota</t>
        </r>
      </text>
    </comment>
    <comment ref="E198" authorId="1" guid="{9ECA550F-DB45-4AC2-B5DA-D4641E092819}" shapeId="0">
      <text>
        <r>
          <rPr>
            <b/>
            <sz val="9"/>
            <color indexed="81"/>
            <rFont val="Tahoma"/>
            <family val="2"/>
          </rPr>
          <t>Davide Cicchini:</t>
        </r>
        <r>
          <rPr>
            <sz val="9"/>
            <color indexed="81"/>
            <rFont val="Tahoma"/>
            <family val="2"/>
          </rPr>
          <t xml:space="preserve">
Altezza della sezione al variare della quota</t>
        </r>
      </text>
    </comment>
    <comment ref="H200" authorId="2" guid="{D6649D1B-F49C-4FE3-916F-03519686A406}" shapeId="0">
      <text>
        <r>
          <rPr>
            <b/>
            <sz val="9"/>
            <color indexed="81"/>
            <rFont val="Tahoma"/>
            <family val="2"/>
          </rPr>
          <t>Davide Cicchini:</t>
        </r>
        <r>
          <rPr>
            <sz val="9"/>
            <color indexed="81"/>
            <rFont val="Tahoma"/>
            <family val="2"/>
          </rPr>
          <t xml:space="preserve">
≤ 0,02</t>
        </r>
      </text>
    </comment>
    <comment ref="L200" authorId="2" guid="{817C2B98-2F34-4744-AE49-A66F233A5372}" shapeId="0">
      <text>
        <r>
          <rPr>
            <b/>
            <sz val="9"/>
            <color indexed="81"/>
            <rFont val="Tahoma"/>
            <family val="2"/>
          </rPr>
          <t>Davide Cicchini:</t>
        </r>
        <r>
          <rPr>
            <sz val="9"/>
            <color indexed="81"/>
            <rFont val="Tahoma"/>
            <family val="2"/>
          </rPr>
          <t xml:space="preserve">
Se verifica non occorre l'armatura a taglio</t>
        </r>
      </text>
    </comment>
    <comment ref="C232" authorId="0" guid="{6145FF18-A6F2-4FB7-AEEA-9DCE770AF59A}" shapeId="0">
      <text>
        <r>
          <rPr>
            <b/>
            <sz val="9"/>
            <color indexed="81"/>
            <rFont val="Tahoma"/>
            <family val="2"/>
          </rPr>
          <t>Davide Cicchini:</t>
        </r>
        <r>
          <rPr>
            <sz val="9"/>
            <color indexed="81"/>
            <rFont val="Tahoma"/>
            <family val="2"/>
          </rPr>
          <t xml:space="preserve">
Si inserisce il 20% dell'armatura longitudinale</t>
        </r>
      </text>
    </comment>
    <comment ref="B285" authorId="0" guid="{193B39BD-C748-4AA0-92AF-FDB4CE670B21}" shapeId="0">
      <text>
        <r>
          <rPr>
            <b/>
            <sz val="9"/>
            <color indexed="81"/>
            <rFont val="Tahoma"/>
            <family val="2"/>
          </rPr>
          <t>Davide Cicchini:</t>
        </r>
        <r>
          <rPr>
            <sz val="9"/>
            <color indexed="81"/>
            <rFont val="Tahoma"/>
            <family val="2"/>
          </rPr>
          <t xml:space="preserve">
Spessore del copriferro dall'asse del ferro longitudinale</t>
        </r>
      </text>
    </comment>
    <comment ref="C300" authorId="0" guid="{7CFD52BA-A252-4685-B110-3A8DF5BE1103}" shapeId="0">
      <text>
        <r>
          <rPr>
            <b/>
            <sz val="9"/>
            <color indexed="81"/>
            <rFont val="Tahoma"/>
            <family val="2"/>
          </rPr>
          <t>Davide Cicchini:</t>
        </r>
        <r>
          <rPr>
            <sz val="9"/>
            <color indexed="81"/>
            <rFont val="Tahoma"/>
            <family val="2"/>
          </rPr>
          <t xml:space="preserve">
Si inserisce il 20% dell'armatura longitudinale</t>
        </r>
      </text>
    </comment>
    <comment ref="C312" authorId="2" guid="{3EC41932-1851-4862-A481-303926F51701}" shapeId="0">
      <text>
        <r>
          <rPr>
            <b/>
            <sz val="9"/>
            <color indexed="81"/>
            <rFont val="Tahoma"/>
            <family val="2"/>
          </rPr>
          <t>Davide Cicchini:</t>
        </r>
        <r>
          <rPr>
            <sz val="9"/>
            <color indexed="81"/>
            <rFont val="Tahoma"/>
            <family val="2"/>
          </rPr>
          <t xml:space="preserve">
Se verifica non occorre l'armatura a taglio</t>
        </r>
      </text>
    </comment>
    <comment ref="C313" authorId="2" guid="{9108E8F6-E1B1-4050-8783-5E2718504A84}" shapeId="0">
      <text>
        <r>
          <rPr>
            <b/>
            <sz val="9"/>
            <color indexed="81"/>
            <rFont val="Tahoma"/>
            <family val="2"/>
          </rPr>
          <t>Davide Cicchini:</t>
        </r>
        <r>
          <rPr>
            <sz val="9"/>
            <color indexed="81"/>
            <rFont val="Tahoma"/>
            <family val="2"/>
          </rPr>
          <t xml:space="preserve">
≤ 0,02</t>
        </r>
      </text>
    </comment>
    <comment ref="C330" authorId="0" guid="{27B012BD-6913-4CF4-A1B9-141AF0F4A60A}" shapeId="0">
      <text>
        <r>
          <rPr>
            <b/>
            <sz val="9"/>
            <color indexed="81"/>
            <rFont val="Tahoma"/>
            <family val="2"/>
          </rPr>
          <t>Davide Cicchini:</t>
        </r>
        <r>
          <rPr>
            <sz val="9"/>
            <color indexed="81"/>
            <rFont val="Tahoma"/>
            <family val="2"/>
          </rPr>
          <t xml:space="preserve">
Si inserisce il 20% dell'armatura longitudinale</t>
        </r>
      </text>
    </comment>
    <comment ref="C342" authorId="2" guid="{6C0EB819-EB43-4DCD-82DA-FB3E440FFDD9}" shapeId="0">
      <text>
        <r>
          <rPr>
            <b/>
            <sz val="9"/>
            <color indexed="81"/>
            <rFont val="Tahoma"/>
            <family val="2"/>
          </rPr>
          <t>Davide Cicchini:</t>
        </r>
        <r>
          <rPr>
            <sz val="9"/>
            <color indexed="81"/>
            <rFont val="Tahoma"/>
            <family val="2"/>
          </rPr>
          <t xml:space="preserve">
Se verifica non occorre l'armatura a taglio</t>
        </r>
      </text>
    </comment>
    <comment ref="C343" authorId="2" guid="{9D41A8CF-5101-4262-9D58-B785CC2365DB}" shapeId="0">
      <text>
        <r>
          <rPr>
            <b/>
            <sz val="9"/>
            <color indexed="81"/>
            <rFont val="Tahoma"/>
            <family val="2"/>
          </rPr>
          <t>Davide Cicchini:</t>
        </r>
        <r>
          <rPr>
            <sz val="9"/>
            <color indexed="81"/>
            <rFont val="Tahoma"/>
            <family val="2"/>
          </rPr>
          <t xml:space="preserve">
≤ 0,02</t>
        </r>
      </text>
    </comment>
  </commentList>
</comments>
</file>

<file path=xl/sharedStrings.xml><?xml version="1.0" encoding="utf-8"?>
<sst xmlns="http://schemas.openxmlformats.org/spreadsheetml/2006/main" count="2353" uniqueCount="1108">
  <si>
    <t>paramento</t>
  </si>
  <si>
    <t>h,par</t>
  </si>
  <si>
    <t>[m]</t>
  </si>
  <si>
    <t>b</t>
  </si>
  <si>
    <t>L</t>
  </si>
  <si>
    <t>sb</t>
  </si>
  <si>
    <t>P,rett</t>
  </si>
  <si>
    <t>[kN/m]</t>
  </si>
  <si>
    <t>P,triang</t>
  </si>
  <si>
    <t>nc</t>
  </si>
  <si>
    <t>[-]</t>
  </si>
  <si>
    <t>sc</t>
  </si>
  <si>
    <t>[kN]</t>
  </si>
  <si>
    <t>distanza dal bordo laterale</t>
  </si>
  <si>
    <t>[kNm]</t>
  </si>
  <si>
    <t>hc(iniziale)</t>
  </si>
  <si>
    <t>a</t>
  </si>
  <si>
    <t>[deg]</t>
  </si>
  <si>
    <t>tan(a)</t>
  </si>
  <si>
    <t>-</t>
  </si>
  <si>
    <t>PARAMENTO CON CONTRAFFORTI</t>
  </si>
  <si>
    <t>step</t>
  </si>
  <si>
    <t>z</t>
  </si>
  <si>
    <t>h(z)</t>
  </si>
  <si>
    <t>hc(z)</t>
  </si>
  <si>
    <t>A</t>
  </si>
  <si>
    <t>Sx</t>
  </si>
  <si>
    <t>Sy</t>
  </si>
  <si>
    <t>xg</t>
  </si>
  <si>
    <t>yg</t>
  </si>
  <si>
    <t>Ix,trasv(z)</t>
  </si>
  <si>
    <t>T,ed(z)</t>
  </si>
  <si>
    <t>M,ed(z)</t>
  </si>
  <si>
    <r>
      <t>[m</t>
    </r>
    <r>
      <rPr>
        <sz val="11"/>
        <color theme="1"/>
        <rFont val="Calibri"/>
        <family val="2"/>
      </rPr>
      <t>²</t>
    </r>
    <r>
      <rPr>
        <sz val="11"/>
        <color theme="1"/>
        <rFont val="Calibri"/>
        <family val="2"/>
        <scheme val="minor"/>
      </rPr>
      <t>]</t>
    </r>
  </si>
  <si>
    <r>
      <t>[m</t>
    </r>
    <r>
      <rPr>
        <sz val="11"/>
        <color theme="1"/>
        <rFont val="Calibri"/>
        <family val="2"/>
      </rPr>
      <t>³</t>
    </r>
    <r>
      <rPr>
        <sz val="11"/>
        <color theme="1"/>
        <rFont val="Calibri"/>
        <family val="2"/>
        <scheme val="minor"/>
      </rPr>
      <t>]</t>
    </r>
  </si>
  <si>
    <r>
      <t>[m</t>
    </r>
    <r>
      <rPr>
        <sz val="11"/>
        <color theme="1"/>
        <rFont val="Calibri"/>
        <family val="2"/>
      </rPr>
      <t>⁴</t>
    </r>
    <r>
      <rPr>
        <sz val="11"/>
        <color theme="1"/>
        <rFont val="Calibri"/>
        <family val="2"/>
        <scheme val="minor"/>
      </rPr>
      <t>]</t>
    </r>
  </si>
  <si>
    <t>zattera</t>
  </si>
  <si>
    <t>Il foglio esegue il calcolo della capacità portante del terreno di fondazione</t>
  </si>
  <si>
    <t xml:space="preserve">la possibilità di scegliere i diversi approcci e le diverse combinazioni, sia </t>
  </si>
  <si>
    <t>in condizioni drenate che non drenate.</t>
  </si>
  <si>
    <t xml:space="preserve">Nel caso di terreni saturi poco permeabili l'incremento delle tensioni totali </t>
  </si>
  <si>
    <t xml:space="preserve">dovuto al carico trasmesso dalla fondazione nel terreno genera a breve </t>
  </si>
  <si>
    <t xml:space="preserve">termine ΔU˃0, A lungo termnine le tensioni efficaci crescono e di </t>
  </si>
  <si>
    <t xml:space="preserve"> conseguenza il carico limite. La condizione più sfavorevole per la stabilità </t>
  </si>
  <si>
    <t xml:space="preserve">della fondazione si ha perciò al termine della costruzione. Pertanto, il </t>
  </si>
  <si>
    <t xml:space="preserve">calcolo del carico limite viene eseguito in termini di tensioni totali a breve </t>
  </si>
  <si>
    <t xml:space="preserve">termine. Nel caso di terreni molto permeabili, la verifica di stabilità deve </t>
  </si>
  <si>
    <t>essere eseguita in tensioni efficaci, tenendo conto della posizione della</t>
  </si>
  <si>
    <t xml:space="preserve"> falda e dei valori delle pressioni neutre nel terreno.</t>
  </si>
  <si>
    <t>Si trascura a vantaggio di sicurezza la sottospinta idraulica dovuta alla falda.</t>
  </si>
  <si>
    <t>CONDIZIONI DRENATE</t>
  </si>
  <si>
    <t>CONDIZIONI NON DRENATE</t>
  </si>
  <si>
    <t>TERRENI</t>
  </si>
  <si>
    <t>Terreni a grana grossa</t>
  </si>
  <si>
    <t xml:space="preserve">Terreni a grana fina a lungo termine </t>
  </si>
  <si>
    <t>Terreni a grana fina a breve termine</t>
  </si>
  <si>
    <t>PARAMETRI DI RESISTENZA AL TAGLIO</t>
  </si>
  <si>
    <t xml:space="preserve">c' </t>
  </si>
  <si>
    <t>ϕ'</t>
  </si>
  <si>
    <r>
      <t>c</t>
    </r>
    <r>
      <rPr>
        <b/>
        <sz val="10"/>
        <color theme="1"/>
        <rFont val="Calibri"/>
        <family val="2"/>
        <scheme val="minor"/>
      </rPr>
      <t>u</t>
    </r>
  </si>
  <si>
    <t>Di seguito si dispongono dei fogli per la progettazione delle armature sia</t>
  </si>
  <si>
    <t>per il paramento che per la zattera; nonché le tabelle prese dalla normativa.</t>
  </si>
  <si>
    <t>Ing. Davide Cicchini</t>
  </si>
  <si>
    <t>www.davidecicchini.it</t>
  </si>
  <si>
    <t>BARICENTRO MURO</t>
  </si>
  <si>
    <t>A,trasv(z)</t>
  </si>
  <si>
    <t>V(z)</t>
  </si>
  <si>
    <t>Syz</t>
  </si>
  <si>
    <t>Sxz</t>
  </si>
  <si>
    <t>Sxy</t>
  </si>
  <si>
    <t>Xg</t>
  </si>
  <si>
    <t>Yg</t>
  </si>
  <si>
    <t>Zg</t>
  </si>
  <si>
    <t>proprio sotto il muretto di colmo</t>
  </si>
  <si>
    <t>sez iniziale</t>
  </si>
  <si>
    <t>sezione finale</t>
  </si>
  <si>
    <t>totale</t>
  </si>
  <si>
    <t>ZATTERA</t>
  </si>
  <si>
    <t>lato libero</t>
  </si>
  <si>
    <t>lato terra</t>
  </si>
  <si>
    <t>DENTE</t>
  </si>
  <si>
    <t>TERRA</t>
  </si>
  <si>
    <t>rettangolo</t>
  </si>
  <si>
    <t>triangolo sup</t>
  </si>
  <si>
    <t>triangolo inf</t>
  </si>
  <si>
    <t>terra+muro</t>
  </si>
  <si>
    <t>muro</t>
  </si>
  <si>
    <t>terra</t>
  </si>
  <si>
    <t>terra media pesata</t>
  </si>
  <si>
    <t>muro media pesata</t>
  </si>
  <si>
    <t>sezione trasv iniziale</t>
  </si>
  <si>
    <t>sezione trasv finale</t>
  </si>
  <si>
    <t>sezione long</t>
  </si>
  <si>
    <t>ALTEZZA DEL PARAMENTO DALL'ESTRADOSSO DELLA ZATTERA</t>
  </si>
  <si>
    <r>
      <t>h</t>
    </r>
    <r>
      <rPr>
        <b/>
        <vertAlign val="subscript"/>
        <sz val="11"/>
        <rFont val="Calibri"/>
        <family val="2"/>
      </rPr>
      <t>p</t>
    </r>
    <r>
      <rPr>
        <b/>
        <sz val="11"/>
        <rFont val="Calibri"/>
        <family val="2"/>
      </rPr>
      <t xml:space="preserve"> </t>
    </r>
  </si>
  <si>
    <t>LUNGHEZZA DEL PARAMENTO DEL PARAMENTO</t>
  </si>
  <si>
    <t xml:space="preserve">L </t>
  </si>
  <si>
    <t>SPESSORE DEL PARAMENTO</t>
  </si>
  <si>
    <r>
      <t>s</t>
    </r>
    <r>
      <rPr>
        <b/>
        <vertAlign val="subscript"/>
        <sz val="11"/>
        <rFont val="Calibri"/>
        <family val="2"/>
      </rPr>
      <t xml:space="preserve">p </t>
    </r>
  </si>
  <si>
    <t>NUMERO DI COSTOLE</t>
  </si>
  <si>
    <t>pos dente lato sx</t>
  </si>
  <si>
    <t>SPESSORE DELLE COSTOLE</t>
  </si>
  <si>
    <r>
      <t>S</t>
    </r>
    <r>
      <rPr>
        <b/>
        <vertAlign val="subscript"/>
        <sz val="11"/>
        <rFont val="Calibri"/>
        <family val="2"/>
      </rPr>
      <t>c</t>
    </r>
    <r>
      <rPr>
        <b/>
        <sz val="11"/>
        <rFont val="Calibri"/>
        <family val="2"/>
      </rPr>
      <t xml:space="preserve"> </t>
    </r>
  </si>
  <si>
    <t>DISTANZA DAL BORDO DELLE COSTOLE ESTERNE</t>
  </si>
  <si>
    <r>
      <t>D</t>
    </r>
    <r>
      <rPr>
        <b/>
        <vertAlign val="subscript"/>
        <sz val="11"/>
        <rFont val="Calibri"/>
        <family val="2"/>
      </rPr>
      <t>c</t>
    </r>
    <r>
      <rPr>
        <b/>
        <sz val="11"/>
        <rFont val="Calibri"/>
        <family val="2"/>
      </rPr>
      <t xml:space="preserve"> </t>
    </r>
  </si>
  <si>
    <t>ALTEZZA INIZIALE DELLA COSTOLA</t>
  </si>
  <si>
    <r>
      <t>h</t>
    </r>
    <r>
      <rPr>
        <b/>
        <vertAlign val="subscript"/>
        <sz val="11"/>
        <rFont val="Calibri"/>
        <family val="2"/>
      </rPr>
      <t>ic</t>
    </r>
    <r>
      <rPr>
        <b/>
        <sz val="11"/>
        <rFont val="Calibri"/>
        <family val="2"/>
      </rPr>
      <t xml:space="preserve"> </t>
    </r>
  </si>
  <si>
    <t>INCLINAZIONE DELLE COSTOLE</t>
  </si>
  <si>
    <t>α</t>
  </si>
  <si>
    <r>
      <t>tan(</t>
    </r>
    <r>
      <rPr>
        <b/>
        <sz val="11"/>
        <color theme="1"/>
        <rFont val="Calibri"/>
        <family val="2"/>
      </rPr>
      <t>α</t>
    </r>
    <r>
      <rPr>
        <b/>
        <sz val="11"/>
        <color theme="1"/>
        <rFont val="Calibri"/>
        <family val="2"/>
        <scheme val="minor"/>
      </rPr>
      <t>)</t>
    </r>
  </si>
  <si>
    <t>ALTEZZADEL ZATTERA</t>
  </si>
  <si>
    <r>
      <t>h</t>
    </r>
    <r>
      <rPr>
        <b/>
        <vertAlign val="subscript"/>
        <sz val="11"/>
        <rFont val="Calibri"/>
        <family val="2"/>
      </rPr>
      <t>z</t>
    </r>
    <r>
      <rPr>
        <b/>
        <sz val="11"/>
        <rFont val="Calibri"/>
        <family val="2"/>
      </rPr>
      <t xml:space="preserve"> [m]</t>
    </r>
  </si>
  <si>
    <t>LUNGHEZZA DELLA ZATTERA sx</t>
  </si>
  <si>
    <r>
      <t>s</t>
    </r>
    <r>
      <rPr>
        <b/>
        <vertAlign val="subscript"/>
        <sz val="11"/>
        <rFont val="Calibri"/>
        <family val="2"/>
      </rPr>
      <t xml:space="preserve">z,dx </t>
    </r>
    <r>
      <rPr>
        <b/>
        <sz val="11"/>
        <rFont val="Calibri"/>
        <family val="2"/>
      </rPr>
      <t>[m]</t>
    </r>
  </si>
  <si>
    <t>LUNGHEZZA DELLA ZATTERA dx</t>
  </si>
  <si>
    <r>
      <t>s</t>
    </r>
    <r>
      <rPr>
        <b/>
        <vertAlign val="subscript"/>
        <sz val="11"/>
        <rFont val="Calibri"/>
        <family val="2"/>
      </rPr>
      <t xml:space="preserve">z,sx </t>
    </r>
    <r>
      <rPr>
        <b/>
        <sz val="11"/>
        <rFont val="Calibri"/>
        <family val="2"/>
      </rPr>
      <t>[m]</t>
    </r>
  </si>
  <si>
    <t>dente</t>
  </si>
  <si>
    <t>SPESSORE DEL DENTE</t>
  </si>
  <si>
    <t>S,dente</t>
  </si>
  <si>
    <t>ALTEZZA DEL DENTE</t>
  </si>
  <si>
    <t>h,dente</t>
  </si>
  <si>
    <t>muretto di colmo</t>
  </si>
  <si>
    <t>ALTEZZA DEL MURETTO DI COLMO</t>
  </si>
  <si>
    <r>
      <t>h</t>
    </r>
    <r>
      <rPr>
        <b/>
        <vertAlign val="subscript"/>
        <sz val="11"/>
        <rFont val="Calibri"/>
        <family val="2"/>
      </rPr>
      <t>m</t>
    </r>
    <r>
      <rPr>
        <b/>
        <sz val="11"/>
        <rFont val="Calibri"/>
        <family val="2"/>
      </rPr>
      <t xml:space="preserve"> [m]</t>
    </r>
  </si>
  <si>
    <t>tensioni terreno</t>
  </si>
  <si>
    <t>sigma lato terra</t>
  </si>
  <si>
    <t>carico muro</t>
  </si>
  <si>
    <t>sx</t>
  </si>
  <si>
    <t>tratteggio mezzeria</t>
  </si>
  <si>
    <t>dx</t>
  </si>
  <si>
    <t>sigma zattera</t>
  </si>
  <si>
    <t>STRATI</t>
  </si>
  <si>
    <t>non drenato</t>
  </si>
  <si>
    <t>S1</t>
  </si>
  <si>
    <t>x</t>
  </si>
  <si>
    <t>y</t>
  </si>
  <si>
    <t>S2</t>
  </si>
  <si>
    <t>DX</t>
  </si>
  <si>
    <t>S3</t>
  </si>
  <si>
    <t>TOT</t>
  </si>
  <si>
    <t>sigma sovraccarico</t>
  </si>
  <si>
    <t>SX</t>
  </si>
  <si>
    <t>drenato</t>
  </si>
  <si>
    <t>sigma variabile</t>
  </si>
  <si>
    <t>FALDA</t>
  </si>
  <si>
    <t>coefficienti s presi dagli appunti della monaco</t>
  </si>
  <si>
    <t>allineato</t>
  </si>
  <si>
    <r>
      <rPr>
        <sz val="18"/>
        <color theme="1"/>
        <rFont val="Calibri"/>
        <family val="2"/>
        <scheme val="minor"/>
      </rPr>
      <t>s</t>
    </r>
    <r>
      <rPr>
        <sz val="11"/>
        <color theme="1"/>
        <rFont val="Calibri"/>
        <family val="2"/>
      </rPr>
      <t>γ</t>
    </r>
  </si>
  <si>
    <t>SE(DATI!C4="Q";0,6;SE(DATI!C10="si";1;1+0,1*(1+SEN($C$4*PI.GRECO()/180)*$G$4)/(1-SEN($C$4*PI.GRECO()/180*$G$5))))</t>
  </si>
  <si>
    <r>
      <rPr>
        <sz val="18"/>
        <color theme="1"/>
        <rFont val="Calibri"/>
        <family val="2"/>
        <scheme val="minor"/>
      </rPr>
      <t>s</t>
    </r>
    <r>
      <rPr>
        <sz val="11"/>
        <color theme="1"/>
        <rFont val="Calibri"/>
        <family val="2"/>
        <scheme val="minor"/>
      </rPr>
      <t>c</t>
    </r>
  </si>
  <si>
    <t>SE(DATI!C4="Q";1+C20/C18;SE(DATI!C10="si";1;1+0,2*(1+SEN($C$4*PI.GRECO()/180)*$G$4)/(1-SEN($C$4*PI.GRECO()/180*$G$5))))</t>
  </si>
  <si>
    <r>
      <rPr>
        <sz val="18"/>
        <color theme="1"/>
        <rFont val="Calibri"/>
        <family val="2"/>
        <scheme val="minor"/>
      </rPr>
      <t>s</t>
    </r>
    <r>
      <rPr>
        <sz val="11"/>
        <color theme="1"/>
        <rFont val="Calibri"/>
        <family val="2"/>
        <scheme val="minor"/>
      </rPr>
      <t>q</t>
    </r>
  </si>
  <si>
    <t>SE(DATI!C4="Q";1+TAN($C$4*PI.GRECO()/180);C24)</t>
  </si>
  <si>
    <t>Tipo fondazione: N per nastri; Q per quadrate o circolari</t>
  </si>
  <si>
    <t>N</t>
  </si>
  <si>
    <t>no</t>
  </si>
  <si>
    <t>Condizioni drenate</t>
  </si>
  <si>
    <t>secondo Meyerhof, 1963</t>
  </si>
  <si>
    <t>si</t>
  </si>
  <si>
    <t>Condizioni non drenate</t>
  </si>
  <si>
    <t>secondo Hansen, 1970</t>
  </si>
  <si>
    <t>Secondo Vesic, 1973</t>
  </si>
  <si>
    <t>2.SOLLECITAZIONI SULLA FONDAZIONE</t>
  </si>
  <si>
    <t>Bisogna inserire le sollecitazioni affioranti dai pilastri in combinazione "caratteristica".</t>
  </si>
  <si>
    <t>Questi campi possono essere lasciati anche vuoti, naturalmente il coefficiente correttivo "i" sarà unitario.</t>
  </si>
  <si>
    <t>Il peso proprio della fondazione viene inserito di default in questa sezione, perché deve essere moltiplicato</t>
  </si>
  <si>
    <t>per il coefficiente amplificativo.</t>
  </si>
  <si>
    <r>
      <t>G</t>
    </r>
    <r>
      <rPr>
        <b/>
        <sz val="8"/>
        <color theme="1"/>
        <rFont val="Calibri"/>
        <family val="2"/>
        <scheme val="minor"/>
      </rPr>
      <t>K1</t>
    </r>
  </si>
  <si>
    <r>
      <t>G</t>
    </r>
    <r>
      <rPr>
        <b/>
        <sz val="8"/>
        <color theme="1"/>
        <rFont val="Calibri"/>
        <family val="2"/>
        <scheme val="minor"/>
      </rPr>
      <t>K2</t>
    </r>
  </si>
  <si>
    <r>
      <t>Q</t>
    </r>
    <r>
      <rPr>
        <b/>
        <sz val="8"/>
        <color theme="1"/>
        <rFont val="Calibri"/>
        <family val="2"/>
        <scheme val="minor"/>
      </rPr>
      <t>K</t>
    </r>
  </si>
  <si>
    <t>Forza normale alla base</t>
  </si>
  <si>
    <t>V</t>
  </si>
  <si>
    <t>Forza parallela al lato lungo</t>
  </si>
  <si>
    <t>Hx</t>
  </si>
  <si>
    <t>Forza parallela al lato corto</t>
  </si>
  <si>
    <t>Hy</t>
  </si>
  <si>
    <t>Momento che arrotola attorna al lato corto</t>
  </si>
  <si>
    <t>Mx</t>
  </si>
  <si>
    <t>Momento che arrotola attorno al lato lungo</t>
  </si>
  <si>
    <t>My</t>
  </si>
  <si>
    <t>Forza tagliante combinata</t>
  </si>
  <si>
    <t>H</t>
  </si>
  <si>
    <t>OSSERVAZIONE</t>
  </si>
  <si>
    <t xml:space="preserve">La verifica sulla capacità portante della fondazione è riferita solo alla risultante verticale "V". </t>
  </si>
  <si>
    <t xml:space="preserve">L'introduzione delle forze orizzontali produce modifiche sui coefficienti "i" e sulle dimensioni </t>
  </si>
  <si>
    <t>B* e L* ricavate dalla regola di Meyerhof. A sua volta queste modifiche ripercuotono i propri</t>
  </si>
  <si>
    <t>effetti sul carico limite del terreno.</t>
  </si>
  <si>
    <t xml:space="preserve">RIEPILOGO DEI COEFFICIENTI </t>
  </si>
  <si>
    <t>STR</t>
  </si>
  <si>
    <t>GEO</t>
  </si>
  <si>
    <t>A1</t>
  </si>
  <si>
    <t>A2</t>
  </si>
  <si>
    <t>APPROCCIO 1 --- Combinazione (A1+M1+R1)</t>
  </si>
  <si>
    <t>APPROCCIO 1 --- Combinazione (A2+M2+R2)</t>
  </si>
  <si>
    <t xml:space="preserve"> APPROCCIO 2 --- Combinazione (A1+M1+R3)</t>
  </si>
  <si>
    <t>UNITARIA</t>
  </si>
  <si>
    <t>M1</t>
  </si>
  <si>
    <t>M2</t>
  </si>
  <si>
    <r>
      <t>Tan(ϕ')</t>
    </r>
    <r>
      <rPr>
        <b/>
        <sz val="8"/>
        <color theme="1"/>
        <rFont val="Calibri"/>
        <family val="2"/>
        <scheme val="minor"/>
      </rPr>
      <t>,k</t>
    </r>
  </si>
  <si>
    <r>
      <t>c'</t>
    </r>
    <r>
      <rPr>
        <b/>
        <sz val="8"/>
        <color theme="1"/>
        <rFont val="Calibri"/>
        <family val="2"/>
        <scheme val="minor"/>
      </rPr>
      <t>,k</t>
    </r>
  </si>
  <si>
    <t xml:space="preserve">SISMICA </t>
  </si>
  <si>
    <r>
      <t>cu</t>
    </r>
    <r>
      <rPr>
        <b/>
        <sz val="8"/>
        <color theme="1"/>
        <rFont val="Calibri"/>
        <family val="2"/>
        <scheme val="minor"/>
      </rPr>
      <t>,k</t>
    </r>
  </si>
  <si>
    <r>
      <t>ϒ</t>
    </r>
    <r>
      <rPr>
        <b/>
        <sz val="8"/>
        <color theme="1"/>
        <rFont val="Calibri"/>
        <family val="2"/>
      </rPr>
      <t>,k</t>
    </r>
  </si>
  <si>
    <t>R1</t>
  </si>
  <si>
    <t>R2</t>
  </si>
  <si>
    <t>R3</t>
  </si>
  <si>
    <t>capacità portante</t>
  </si>
  <si>
    <t>scorrimento</t>
  </si>
  <si>
    <t>2.DATI FONDAZIONE</t>
  </si>
  <si>
    <t>Lato corto</t>
  </si>
  <si>
    <t>B</t>
  </si>
  <si>
    <t>Lato lungo</t>
  </si>
  <si>
    <t>Altezza del fondazione</t>
  </si>
  <si>
    <r>
      <t>Mx</t>
    </r>
    <r>
      <rPr>
        <b/>
        <sz val="9"/>
        <color theme="1"/>
        <rFont val="Calibri"/>
        <family val="2"/>
        <scheme val="minor"/>
      </rPr>
      <t>,d</t>
    </r>
  </si>
  <si>
    <r>
      <rPr>
        <b/>
        <sz val="11"/>
        <color theme="1"/>
        <rFont val="Calibri"/>
        <family val="2"/>
        <scheme val="minor"/>
      </rPr>
      <t xml:space="preserve">NB --&gt; </t>
    </r>
    <r>
      <rPr>
        <sz val="11"/>
        <color theme="1"/>
        <rFont val="Calibri"/>
        <family val="2"/>
        <scheme val="minor"/>
      </rPr>
      <t>Nel caso di assenza di falda inserire un valore maggiore di Hscorrimento =</t>
    </r>
  </si>
  <si>
    <t>L*</t>
  </si>
  <si>
    <r>
      <rPr>
        <sz val="16"/>
        <color theme="1"/>
        <rFont val="Calibri"/>
        <family val="2"/>
        <scheme val="minor"/>
      </rPr>
      <t>e</t>
    </r>
    <r>
      <rPr>
        <sz val="11"/>
        <color theme="1"/>
        <rFont val="Calibri"/>
        <family val="2"/>
      </rPr>
      <t>L</t>
    </r>
  </si>
  <si>
    <t>LUNGHEZZA DELLA ZATTERA DALL'ASSE DEL MURO- LATO LIBERO</t>
  </si>
  <si>
    <t>LUNGHEZZA DELLA ZATTERA DALL'ASSE DEL MURO- LATO TERRENO</t>
  </si>
  <si>
    <r>
      <t>σ</t>
    </r>
    <r>
      <rPr>
        <b/>
        <sz val="8"/>
        <rFont val="Calibri"/>
        <family val="2"/>
      </rPr>
      <t>(inc)</t>
    </r>
    <r>
      <rPr>
        <b/>
        <sz val="11"/>
        <rFont val="Calibri"/>
        <family val="2"/>
      </rPr>
      <t xml:space="preserve"> [kN/m²]</t>
    </r>
  </si>
  <si>
    <r>
      <t>σ</t>
    </r>
    <r>
      <rPr>
        <b/>
        <vertAlign val="subscript"/>
        <sz val="11"/>
        <rFont val="Calibri"/>
        <family val="2"/>
      </rPr>
      <t>tmax</t>
    </r>
    <r>
      <rPr>
        <b/>
        <sz val="11"/>
        <rFont val="Calibri"/>
        <family val="2"/>
      </rPr>
      <t xml:space="preserve"> [kN/m²]</t>
    </r>
  </si>
  <si>
    <t>Reazione del terreno</t>
  </si>
  <si>
    <r>
      <t>U</t>
    </r>
    <r>
      <rPr>
        <b/>
        <sz val="8"/>
        <rFont val="Calibri"/>
        <family val="2"/>
        <scheme val="minor"/>
      </rPr>
      <t>d</t>
    </r>
    <r>
      <rPr>
        <b/>
        <sz val="8"/>
        <rFont val="Calibri"/>
        <family val="2"/>
      </rPr>
      <t xml:space="preserve"> </t>
    </r>
    <r>
      <rPr>
        <b/>
        <sz val="11"/>
        <rFont val="Calibri"/>
        <family val="2"/>
      </rPr>
      <t>[m]</t>
    </r>
  </si>
  <si>
    <t>e [m]</t>
  </si>
  <si>
    <t>B/6 [m]</t>
  </si>
  <si>
    <r>
      <t>q</t>
    </r>
    <r>
      <rPr>
        <b/>
        <vertAlign val="subscript"/>
        <sz val="11"/>
        <rFont val="Calibri"/>
        <family val="2"/>
      </rPr>
      <t>lato,libero</t>
    </r>
    <r>
      <rPr>
        <b/>
        <sz val="11"/>
        <rFont val="Calibri"/>
        <family val="2"/>
      </rPr>
      <t xml:space="preserve"> [kN/m]</t>
    </r>
  </si>
  <si>
    <t>CARICO INDOTTO DA SOPRA, escluso zattera</t>
  </si>
  <si>
    <t>SOLLECITAZIONI SLU:</t>
  </si>
  <si>
    <r>
      <t>q</t>
    </r>
    <r>
      <rPr>
        <b/>
        <vertAlign val="subscript"/>
        <sz val="11"/>
        <rFont val="Calibri"/>
        <family val="2"/>
      </rPr>
      <t>incastro</t>
    </r>
    <r>
      <rPr>
        <b/>
        <sz val="11"/>
        <rFont val="Calibri"/>
        <family val="2"/>
      </rPr>
      <t xml:space="preserve"> [kN/m]</t>
    </r>
  </si>
  <si>
    <t>CARICO INDOTTO zattera+muro</t>
  </si>
  <si>
    <t xml:space="preserve"> sollecitazioni mensola lato libero</t>
  </si>
  <si>
    <t>sollecitazioni</t>
  </si>
  <si>
    <t>LUNG PAR</t>
  </si>
  <si>
    <t>m</t>
  </si>
  <si>
    <t>mensola lato terra</t>
  </si>
  <si>
    <t>Tensione media</t>
  </si>
  <si>
    <r>
      <t>σ</t>
    </r>
    <r>
      <rPr>
        <b/>
        <sz val="9"/>
        <color theme="1"/>
        <rFont val="Calibri"/>
        <family val="2"/>
      </rPr>
      <t>medio</t>
    </r>
  </si>
  <si>
    <t>Tensione lato di valle</t>
  </si>
  <si>
    <r>
      <t>σ</t>
    </r>
    <r>
      <rPr>
        <b/>
        <sz val="9"/>
        <color theme="1"/>
        <rFont val="Calibri"/>
        <family val="2"/>
      </rPr>
      <t>monte</t>
    </r>
  </si>
  <si>
    <t>Tensione lato terreno</t>
  </si>
  <si>
    <r>
      <t>σ</t>
    </r>
    <r>
      <rPr>
        <b/>
        <sz val="9"/>
        <color theme="1"/>
        <rFont val="Calibri"/>
        <family val="2"/>
      </rPr>
      <t>valle</t>
    </r>
  </si>
  <si>
    <t>NON DRENATE</t>
  </si>
  <si>
    <t>con sovraspinta dell'acqua</t>
  </si>
  <si>
    <t>fess traz</t>
  </si>
  <si>
    <t>grafici tensioni terreno</t>
  </si>
  <si>
    <t>z0</t>
  </si>
  <si>
    <r>
      <t>σ</t>
    </r>
    <r>
      <rPr>
        <b/>
        <vertAlign val="subscript"/>
        <sz val="12"/>
        <rFont val="Calibri"/>
        <family val="2"/>
      </rPr>
      <t>h</t>
    </r>
  </si>
  <si>
    <t>DRENATE</t>
  </si>
  <si>
    <r>
      <t xml:space="preserve">Grafico condizioni non drenate: </t>
    </r>
    <r>
      <rPr>
        <b/>
        <u/>
        <sz val="11"/>
        <color theme="1"/>
        <rFont val="Calibri"/>
        <family val="2"/>
        <scheme val="minor"/>
      </rPr>
      <t>Acceso</t>
    </r>
  </si>
  <si>
    <t>1° strato:    limi-argille</t>
  </si>
  <si>
    <r>
      <t>σ</t>
    </r>
    <r>
      <rPr>
        <b/>
        <vertAlign val="subscript"/>
        <sz val="12"/>
        <rFont val="Calibri"/>
        <family val="2"/>
      </rPr>
      <t>v</t>
    </r>
  </si>
  <si>
    <r>
      <t xml:space="preserve">Grafico condizioni non drenate: </t>
    </r>
    <r>
      <rPr>
        <b/>
        <u/>
        <sz val="11"/>
        <color theme="1"/>
        <rFont val="Calibri"/>
        <family val="2"/>
        <scheme val="minor"/>
      </rPr>
      <t>Spento</t>
    </r>
  </si>
  <si>
    <t>1°strato: ghiaia-sabbie</t>
  </si>
  <si>
    <t>Grafico condizioni drenate: Acceso</t>
  </si>
  <si>
    <t>2° strato:    limi-argille</t>
  </si>
  <si>
    <t>Grafico condizioni drenate: Spento</t>
  </si>
  <si>
    <t>2°strato: ghiaia-sabbie</t>
  </si>
  <si>
    <t>Grafico condizioni non drenate con sovraspinta acqua nelle fessure di trazione:  Acceso</t>
  </si>
  <si>
    <t>3° strato:    limi-argille</t>
  </si>
  <si>
    <t>Grafico condizioni non drenate con sovraspinta acqua nelle fessure di trazione: Spento</t>
  </si>
  <si>
    <t>3°strato: ghiaia-sabbie</t>
  </si>
  <si>
    <t>Grafico condizioni drenate con sovraspinta acqua nelle fessure di trazione: Acceso</t>
  </si>
  <si>
    <t>Strato di fondazione:        limi-argille</t>
  </si>
  <si>
    <t>Grafico condizioni drenate con sovraspinta acqua nelle fessure di trazione: Spento</t>
  </si>
  <si>
    <t>Strato di fondazione:      ghiaia-sabbie</t>
  </si>
  <si>
    <t>Rankine</t>
  </si>
  <si>
    <t>kv</t>
  </si>
  <si>
    <t>Muller-Breslau</t>
  </si>
  <si>
    <t>Terreno a permeabilità elevata</t>
  </si>
  <si>
    <t>Lancellotta</t>
  </si>
  <si>
    <t>Terreno a bassa permeabilità</t>
  </si>
  <si>
    <t>Mononobe Okabe K(kv+)</t>
  </si>
  <si>
    <t>Mononobe Okabe K(kv-)</t>
  </si>
  <si>
    <t>Mononobe Okabe</t>
  </si>
  <si>
    <t>K(kv+)</t>
  </si>
  <si>
    <t>K(kv-)</t>
  </si>
  <si>
    <r>
      <rPr>
        <b/>
        <sz val="11"/>
        <color theme="1"/>
        <rFont val="Calibri"/>
        <family val="2"/>
      </rPr>
      <t>ϑ</t>
    </r>
    <r>
      <rPr>
        <b/>
        <sz val="11"/>
        <color theme="1"/>
        <rFont val="Calibri"/>
        <family val="2"/>
        <scheme val="minor"/>
      </rPr>
      <t>(kv+)</t>
    </r>
  </si>
  <si>
    <r>
      <rPr>
        <b/>
        <sz val="11"/>
        <color theme="1"/>
        <rFont val="Calibri"/>
        <family val="2"/>
      </rPr>
      <t>ϑ</t>
    </r>
    <r>
      <rPr>
        <b/>
        <sz val="11"/>
        <color theme="1"/>
        <rFont val="Calibri"/>
        <family val="2"/>
        <scheme val="minor"/>
      </rPr>
      <t>(kv-)</t>
    </r>
  </si>
  <si>
    <t>Kh</t>
  </si>
  <si>
    <t>Kv</t>
  </si>
  <si>
    <t>parametri sismici</t>
  </si>
  <si>
    <t>β</t>
  </si>
  <si>
    <t>C8/10</t>
  </si>
  <si>
    <t>Fe B450C</t>
  </si>
  <si>
    <t>SS</t>
  </si>
  <si>
    <t>CC</t>
  </si>
  <si>
    <t>ST</t>
  </si>
  <si>
    <t>T1</t>
  </si>
  <si>
    <t>PENDENZA DELLA COSTOLA</t>
  </si>
  <si>
    <t>C12/15</t>
  </si>
  <si>
    <t>Fe B44k</t>
  </si>
  <si>
    <t>T2</t>
  </si>
  <si>
    <t>C16/20</t>
  </si>
  <si>
    <t>C</t>
  </si>
  <si>
    <t>T3</t>
  </si>
  <si>
    <t>C20/25</t>
  </si>
  <si>
    <t>D</t>
  </si>
  <si>
    <t>T4</t>
  </si>
  <si>
    <t>INCLINAZIONE DELLE COSTOLE / PARAMENTO</t>
  </si>
  <si>
    <t>ψ</t>
  </si>
  <si>
    <t>C25/30</t>
  </si>
  <si>
    <t>E</t>
  </si>
  <si>
    <t>C35/45</t>
  </si>
  <si>
    <t>Asse del paramento</t>
  </si>
  <si>
    <t>C40/50</t>
  </si>
  <si>
    <t>Ewd</t>
  </si>
  <si>
    <t>Filo dx del paramento</t>
  </si>
  <si>
    <t>C45/55</t>
  </si>
  <si>
    <t>Fine del tratto inclinato</t>
  </si>
  <si>
    <t>C50/60</t>
  </si>
  <si>
    <t>ALTEZZA FINALE DELLA COSTOLA</t>
  </si>
  <si>
    <r>
      <t>h</t>
    </r>
    <r>
      <rPr>
        <b/>
        <vertAlign val="subscript"/>
        <sz val="11"/>
        <rFont val="Calibri"/>
        <family val="2"/>
      </rPr>
      <t>fc</t>
    </r>
    <r>
      <rPr>
        <b/>
        <sz val="11"/>
        <rFont val="Calibri"/>
        <family val="2"/>
      </rPr>
      <t xml:space="preserve"> </t>
    </r>
  </si>
  <si>
    <t>categoria di sottosuolo</t>
  </si>
  <si>
    <t>ALTEZZA FINALE DELLA SEZIONE</t>
  </si>
  <si>
    <t>B,C,D,E</t>
  </si>
  <si>
    <r>
      <t>γ</t>
    </r>
    <r>
      <rPr>
        <b/>
        <i/>
        <sz val="8"/>
        <color theme="1"/>
        <rFont val="Calibri"/>
        <family val="2"/>
        <scheme val="minor"/>
      </rPr>
      <t>G1</t>
    </r>
  </si>
  <si>
    <t>lunghezza netta zattera</t>
  </si>
  <si>
    <t>bm</t>
  </si>
  <si>
    <r>
      <t>γ</t>
    </r>
    <r>
      <rPr>
        <b/>
        <i/>
        <sz val="8"/>
        <color theme="1"/>
        <rFont val="Calibri"/>
        <family val="2"/>
        <scheme val="minor"/>
      </rPr>
      <t>G2</t>
    </r>
  </si>
  <si>
    <t>grandezze geometriche derivate</t>
  </si>
  <si>
    <t>0.2&lt;ag&lt;=0.4</t>
  </si>
  <si>
    <r>
      <t>γ</t>
    </r>
    <r>
      <rPr>
        <b/>
        <i/>
        <sz val="8"/>
        <color theme="1"/>
        <rFont val="Calibri"/>
        <family val="2"/>
        <scheme val="minor"/>
      </rPr>
      <t>Qk</t>
    </r>
  </si>
  <si>
    <t>0.1&lt;ag&lt;=0.2</t>
  </si>
  <si>
    <t>MOLTIPLICATORE PER LE SPINTE</t>
  </si>
  <si>
    <t>ag&lt;=0.1</t>
  </si>
  <si>
    <r>
      <t>β</t>
    </r>
    <r>
      <rPr>
        <sz val="8"/>
        <color theme="1"/>
        <rFont val="Calibri"/>
        <family val="2"/>
      </rPr>
      <t>m</t>
    </r>
  </si>
  <si>
    <t>Condizione di verifica:</t>
  </si>
  <si>
    <t>STATICA</t>
  </si>
  <si>
    <t>Quota della falda</t>
  </si>
  <si>
    <t>1 CARATTERISITCHE DEI MATERIALI</t>
  </si>
  <si>
    <t>1.1 Calcestruzzo</t>
  </si>
  <si>
    <t>Classe del calcestruzzo</t>
  </si>
  <si>
    <t>Peso specifico del calcestruzzo</t>
  </si>
  <si>
    <r>
      <rPr>
        <b/>
        <sz val="11"/>
        <rFont val="Times New Roman"/>
        <family val="1"/>
      </rPr>
      <t>γ</t>
    </r>
    <r>
      <rPr>
        <b/>
        <vertAlign val="subscript"/>
        <sz val="11"/>
        <rFont val="Calibri"/>
        <family val="2"/>
      </rPr>
      <t>cls</t>
    </r>
    <r>
      <rPr>
        <b/>
        <sz val="11"/>
        <rFont val="Calibri"/>
        <family val="2"/>
      </rPr>
      <t xml:space="preserve"> </t>
    </r>
  </si>
  <si>
    <t>Altezza del sottofondo in magrone</t>
  </si>
  <si>
    <r>
      <t>H</t>
    </r>
    <r>
      <rPr>
        <b/>
        <sz val="8"/>
        <color theme="1"/>
        <rFont val="Calibri"/>
        <family val="2"/>
        <scheme val="minor"/>
      </rPr>
      <t>mag</t>
    </r>
  </si>
  <si>
    <t>Resistenza cubica caratteristica</t>
  </si>
  <si>
    <r>
      <t>R</t>
    </r>
    <r>
      <rPr>
        <b/>
        <sz val="8"/>
        <color theme="1"/>
        <rFont val="Calibri"/>
        <family val="2"/>
        <scheme val="minor"/>
      </rPr>
      <t>c,k</t>
    </r>
  </si>
  <si>
    <t>Resistenza cilindrica media</t>
  </si>
  <si>
    <r>
      <t>f</t>
    </r>
    <r>
      <rPr>
        <b/>
        <sz val="8"/>
        <color theme="1"/>
        <rFont val="Calibri"/>
        <family val="2"/>
        <scheme val="minor"/>
      </rPr>
      <t>c,m</t>
    </r>
  </si>
  <si>
    <t>Resistenza cilindrica caratteristica</t>
  </si>
  <si>
    <r>
      <t>f</t>
    </r>
    <r>
      <rPr>
        <b/>
        <sz val="8"/>
        <color theme="1"/>
        <rFont val="Calibri"/>
        <family val="2"/>
        <scheme val="minor"/>
      </rPr>
      <t>c,k</t>
    </r>
  </si>
  <si>
    <t>Resistenza cilindrica di calcolo</t>
  </si>
  <si>
    <r>
      <t>f</t>
    </r>
    <r>
      <rPr>
        <b/>
        <sz val="8"/>
        <color theme="1"/>
        <rFont val="Calibri"/>
        <family val="2"/>
        <scheme val="minor"/>
      </rPr>
      <t>c,d</t>
    </r>
  </si>
  <si>
    <t>Resistenza a trazione caratteristica</t>
  </si>
  <si>
    <r>
      <t>f</t>
    </r>
    <r>
      <rPr>
        <b/>
        <sz val="8"/>
        <color theme="1"/>
        <rFont val="Calibri"/>
        <family val="2"/>
        <scheme val="minor"/>
      </rPr>
      <t>ct,m</t>
    </r>
  </si>
  <si>
    <t>Resistenza a trazione media</t>
  </si>
  <si>
    <r>
      <t>f</t>
    </r>
    <r>
      <rPr>
        <b/>
        <sz val="8"/>
        <color theme="1"/>
        <rFont val="Calibri"/>
        <family val="2"/>
        <scheme val="minor"/>
      </rPr>
      <t>ct,k</t>
    </r>
  </si>
  <si>
    <t>Resistenza a trazione di calcolo</t>
  </si>
  <si>
    <r>
      <t>f</t>
    </r>
    <r>
      <rPr>
        <b/>
        <sz val="8"/>
        <color theme="1"/>
        <rFont val="Calibri"/>
        <family val="2"/>
        <scheme val="minor"/>
      </rPr>
      <t>ct,d</t>
    </r>
  </si>
  <si>
    <t>Resistenza tangenziale di calcolo</t>
  </si>
  <si>
    <r>
      <t>f</t>
    </r>
    <r>
      <rPr>
        <b/>
        <sz val="9"/>
        <color theme="1"/>
        <rFont val="Calibri"/>
        <family val="2"/>
        <scheme val="minor"/>
      </rPr>
      <t>b,d</t>
    </r>
  </si>
  <si>
    <t xml:space="preserve">Modulo di Young </t>
  </si>
  <si>
    <r>
      <t>E</t>
    </r>
    <r>
      <rPr>
        <b/>
        <sz val="9"/>
        <color theme="1"/>
        <rFont val="Calibri"/>
        <family val="2"/>
        <scheme val="minor"/>
      </rPr>
      <t>c</t>
    </r>
  </si>
  <si>
    <t>1.2 Acciaio</t>
  </si>
  <si>
    <t>Tipo di acciaio</t>
  </si>
  <si>
    <r>
      <t>f</t>
    </r>
    <r>
      <rPr>
        <b/>
        <sz val="8"/>
        <color theme="1"/>
        <rFont val="Calibri"/>
        <family val="2"/>
        <scheme val="minor"/>
      </rPr>
      <t>y,d</t>
    </r>
  </si>
  <si>
    <t>TROVA I PARAMETRI SISMICI (ag; F0;TC*)</t>
  </si>
  <si>
    <t>Accelerazione massima su suolo rigido</t>
  </si>
  <si>
    <r>
      <t>a</t>
    </r>
    <r>
      <rPr>
        <b/>
        <vertAlign val="subscript"/>
        <sz val="11"/>
        <color theme="1"/>
        <rFont val="Calibri"/>
        <family val="2"/>
        <scheme val="minor"/>
      </rPr>
      <t>g</t>
    </r>
  </si>
  <si>
    <t>Coefficiente di amplificazione spettrale</t>
  </si>
  <si>
    <r>
      <t>F</t>
    </r>
    <r>
      <rPr>
        <b/>
        <vertAlign val="subscript"/>
        <sz val="11"/>
        <color theme="1"/>
        <rFont val="Calibri"/>
        <family val="2"/>
        <scheme val="minor"/>
      </rPr>
      <t>O</t>
    </r>
  </si>
  <si>
    <t>Periodo di inizio tratto a velocità costante</t>
  </si>
  <si>
    <r>
      <t>T</t>
    </r>
    <r>
      <rPr>
        <b/>
        <vertAlign val="subscript"/>
        <sz val="11"/>
        <color theme="1"/>
        <rFont val="Calibri"/>
        <family val="2"/>
        <scheme val="minor"/>
      </rPr>
      <t>c</t>
    </r>
    <r>
      <rPr>
        <b/>
        <vertAlign val="superscript"/>
        <sz val="11"/>
        <color theme="1"/>
        <rFont val="Calibri"/>
        <family val="2"/>
        <scheme val="minor"/>
      </rPr>
      <t>*</t>
    </r>
  </si>
  <si>
    <t>Categoria di sottosuolo</t>
  </si>
  <si>
    <t>Categoria topografica</t>
  </si>
  <si>
    <t>Accelerazione di gravità</t>
  </si>
  <si>
    <t>g</t>
  </si>
  <si>
    <t>Accelerazione orizzontale  riferita al suolo rigido adimensionale</t>
  </si>
  <si>
    <r>
      <t>a</t>
    </r>
    <r>
      <rPr>
        <b/>
        <sz val="8"/>
        <color theme="1"/>
        <rFont val="Calibri"/>
        <family val="2"/>
        <scheme val="minor"/>
      </rPr>
      <t>g</t>
    </r>
    <r>
      <rPr>
        <b/>
        <sz val="11"/>
        <color theme="1"/>
        <rFont val="Calibri"/>
        <family val="2"/>
        <scheme val="minor"/>
      </rPr>
      <t>/g</t>
    </r>
  </si>
  <si>
    <t>Coefficiente di amplificazione topografica</t>
  </si>
  <si>
    <r>
      <t>S</t>
    </r>
    <r>
      <rPr>
        <b/>
        <vertAlign val="subscript"/>
        <sz val="11"/>
        <color theme="1"/>
        <rFont val="Calibri"/>
        <family val="2"/>
        <scheme val="minor"/>
      </rPr>
      <t>T</t>
    </r>
  </si>
  <si>
    <t>Coefficiente di amplificazione stratigrafica</t>
  </si>
  <si>
    <r>
      <t>S</t>
    </r>
    <r>
      <rPr>
        <b/>
        <vertAlign val="subscript"/>
        <sz val="11"/>
        <color theme="1"/>
        <rFont val="Calibri"/>
        <family val="2"/>
        <scheme val="minor"/>
      </rPr>
      <t>S</t>
    </r>
  </si>
  <si>
    <r>
      <t>Prodotto S</t>
    </r>
    <r>
      <rPr>
        <sz val="8"/>
        <color theme="1"/>
        <rFont val="Calibri"/>
        <family val="2"/>
        <scheme val="minor"/>
      </rPr>
      <t>S</t>
    </r>
    <r>
      <rPr>
        <sz val="11"/>
        <color theme="1"/>
        <rFont val="Calibri"/>
        <family val="2"/>
        <scheme val="minor"/>
      </rPr>
      <t>*S</t>
    </r>
    <r>
      <rPr>
        <sz val="8"/>
        <color theme="1"/>
        <rFont val="Calibri"/>
        <family val="2"/>
        <scheme val="minor"/>
      </rPr>
      <t>T</t>
    </r>
  </si>
  <si>
    <t>S</t>
  </si>
  <si>
    <t>Accelerazione orizzontale  riferita al sito adimensionale</t>
  </si>
  <si>
    <r>
      <t>a</t>
    </r>
    <r>
      <rPr>
        <b/>
        <sz val="8"/>
        <color theme="1"/>
        <rFont val="Calibri"/>
        <family val="2"/>
        <scheme val="minor"/>
      </rPr>
      <t>(max)</t>
    </r>
    <r>
      <rPr>
        <b/>
        <sz val="11"/>
        <color theme="1"/>
        <rFont val="Calibri"/>
        <family val="2"/>
        <scheme val="minor"/>
      </rPr>
      <t>/g</t>
    </r>
  </si>
  <si>
    <t>Coefficiente funzione della categoria di sottosuolo</t>
  </si>
  <si>
    <r>
      <t>C</t>
    </r>
    <r>
      <rPr>
        <b/>
        <vertAlign val="subscript"/>
        <sz val="11"/>
        <color theme="1"/>
        <rFont val="Calibri"/>
        <family val="2"/>
        <scheme val="minor"/>
      </rPr>
      <t>c</t>
    </r>
  </si>
  <si>
    <t>Periodo del tratto ad accelerazione costante</t>
  </si>
  <si>
    <r>
      <t>T</t>
    </r>
    <r>
      <rPr>
        <b/>
        <vertAlign val="subscript"/>
        <sz val="11"/>
        <color theme="1"/>
        <rFont val="Calibri"/>
        <family val="2"/>
        <scheme val="minor"/>
      </rPr>
      <t>B</t>
    </r>
  </si>
  <si>
    <t>Periodo del tratto a velocità costante</t>
  </si>
  <si>
    <r>
      <t>T</t>
    </r>
    <r>
      <rPr>
        <b/>
        <vertAlign val="subscript"/>
        <sz val="11"/>
        <color theme="1"/>
        <rFont val="Calibri"/>
        <family val="2"/>
        <scheme val="minor"/>
      </rPr>
      <t>C</t>
    </r>
  </si>
  <si>
    <t>Periodo del tratto a spostamento costante</t>
  </si>
  <si>
    <r>
      <t>T</t>
    </r>
    <r>
      <rPr>
        <b/>
        <vertAlign val="subscript"/>
        <sz val="11"/>
        <color theme="1"/>
        <rFont val="Calibri"/>
        <family val="2"/>
        <scheme val="minor"/>
      </rPr>
      <t>D</t>
    </r>
  </si>
  <si>
    <t>Coefficiente di smorzamento viscoso</t>
  </si>
  <si>
    <t>Coefficiente di correzione per smorzamento viscoso diverso dal 5%</t>
  </si>
  <si>
    <t>h</t>
  </si>
  <si>
    <t>Coefficiente di riduzione dell’accelerazione massima attesa al sito</t>
  </si>
  <si>
    <r>
      <t>β</t>
    </r>
    <r>
      <rPr>
        <b/>
        <sz val="8"/>
        <color theme="1"/>
        <rFont val="Calibri"/>
        <family val="2"/>
      </rPr>
      <t>m</t>
    </r>
  </si>
  <si>
    <t>Coefficiente sismico orizzontale</t>
  </si>
  <si>
    <t>Coefficiente sismico verticale</t>
  </si>
  <si>
    <r>
      <t xml:space="preserve">Imporre </t>
    </r>
    <r>
      <rPr>
        <b/>
        <sz val="11"/>
        <color theme="1"/>
        <rFont val="Calibri"/>
        <family val="2"/>
        <scheme val="minor"/>
      </rPr>
      <t xml:space="preserve">βm </t>
    </r>
    <r>
      <rPr>
        <sz val="11"/>
        <color theme="1"/>
        <rFont val="Calibri"/>
        <family val="2"/>
        <scheme val="minor"/>
      </rPr>
      <t>unitario?</t>
    </r>
  </si>
  <si>
    <t>3 GEOMETRIA DEL MURO</t>
  </si>
  <si>
    <t>Altezza del paramento dall'estradosso della zattera</t>
  </si>
  <si>
    <t>Spessore del paramento</t>
  </si>
  <si>
    <t>Numero di costole</t>
  </si>
  <si>
    <t>Spessore delle costole</t>
  </si>
  <si>
    <t>Distanza delle costole dal bordo esterno.</t>
  </si>
  <si>
    <t>Altezza iniziale della sezione (alla testa del paramento)</t>
  </si>
  <si>
    <r>
      <t>h</t>
    </r>
    <r>
      <rPr>
        <b/>
        <vertAlign val="subscript"/>
        <sz val="11"/>
        <rFont val="Calibri"/>
        <family val="2"/>
      </rPr>
      <t>iS</t>
    </r>
  </si>
  <si>
    <t>Altezza finale della sezione (alla base del paramento)</t>
  </si>
  <si>
    <r>
      <t>h</t>
    </r>
    <r>
      <rPr>
        <b/>
        <vertAlign val="subscript"/>
        <sz val="11"/>
        <rFont val="Calibri"/>
        <family val="2"/>
      </rPr>
      <t>fs</t>
    </r>
  </si>
  <si>
    <t>Altezza della zattera</t>
  </si>
  <si>
    <r>
      <t>h</t>
    </r>
    <r>
      <rPr>
        <b/>
        <vertAlign val="subscript"/>
        <sz val="11"/>
        <rFont val="Calibri"/>
        <family val="2"/>
      </rPr>
      <t>z</t>
    </r>
    <r>
      <rPr>
        <b/>
        <sz val="11"/>
        <rFont val="Calibri"/>
        <family val="2"/>
      </rPr>
      <t xml:space="preserve"> </t>
    </r>
  </si>
  <si>
    <t>Lunghezza netta della zattera lato SX</t>
  </si>
  <si>
    <r>
      <t>s</t>
    </r>
    <r>
      <rPr>
        <b/>
        <vertAlign val="subscript"/>
        <sz val="11"/>
        <rFont val="Calibri"/>
        <family val="2"/>
      </rPr>
      <t xml:space="preserve">z,sx </t>
    </r>
  </si>
  <si>
    <t>Lunghezza netta della zattera lato DX</t>
  </si>
  <si>
    <r>
      <t>s</t>
    </r>
    <r>
      <rPr>
        <b/>
        <vertAlign val="subscript"/>
        <sz val="11"/>
        <rFont val="Calibri"/>
        <family val="2"/>
      </rPr>
      <t xml:space="preserve">z,dx </t>
    </r>
  </si>
  <si>
    <t>Riferimento per definire la lunghezza netta di destra della zattera</t>
  </si>
  <si>
    <t>Spessore del dente</t>
  </si>
  <si>
    <r>
      <t>s</t>
    </r>
    <r>
      <rPr>
        <b/>
        <vertAlign val="subscript"/>
        <sz val="11"/>
        <rFont val="Calibri"/>
        <family val="2"/>
      </rPr>
      <t xml:space="preserve">d </t>
    </r>
  </si>
  <si>
    <t>Altezza del dente</t>
  </si>
  <si>
    <r>
      <t>h</t>
    </r>
    <r>
      <rPr>
        <b/>
        <vertAlign val="subscript"/>
        <sz val="11"/>
        <rFont val="Calibri"/>
        <family val="2"/>
      </rPr>
      <t>d</t>
    </r>
    <r>
      <rPr>
        <b/>
        <sz val="11"/>
        <rFont val="Calibri"/>
        <family val="2"/>
      </rPr>
      <t xml:space="preserve"> </t>
    </r>
  </si>
  <si>
    <t>Spostamento percentuale del dente rispetto all'origine degli assi</t>
  </si>
  <si>
    <r>
      <t>S</t>
    </r>
    <r>
      <rPr>
        <b/>
        <sz val="8"/>
        <rFont val="Calibri"/>
        <family val="2"/>
        <scheme val="minor"/>
      </rPr>
      <t>%</t>
    </r>
  </si>
  <si>
    <t>Posizione del baricentro del dente</t>
  </si>
  <si>
    <r>
      <t>X</t>
    </r>
    <r>
      <rPr>
        <b/>
        <sz val="8"/>
        <rFont val="Calibri"/>
        <family val="2"/>
        <scheme val="minor"/>
      </rPr>
      <t>g,dente</t>
    </r>
  </si>
  <si>
    <r>
      <t>h</t>
    </r>
    <r>
      <rPr>
        <b/>
        <vertAlign val="subscript"/>
        <sz val="11"/>
        <rFont val="Calibri"/>
        <family val="2"/>
      </rPr>
      <t>m</t>
    </r>
    <r>
      <rPr>
        <b/>
        <sz val="11"/>
        <rFont val="Calibri"/>
        <family val="2"/>
      </rPr>
      <t xml:space="preserve"> </t>
    </r>
  </si>
  <si>
    <t>4 CARICHI AGGIUNTIVI</t>
  </si>
  <si>
    <t>Carico permanente non strutturale sul terreno</t>
  </si>
  <si>
    <r>
      <t>G</t>
    </r>
    <r>
      <rPr>
        <b/>
        <vertAlign val="subscript"/>
        <sz val="11"/>
        <rFont val="Calibri"/>
        <family val="2"/>
      </rPr>
      <t>qp</t>
    </r>
  </si>
  <si>
    <t>Carico varibile sul terreno</t>
  </si>
  <si>
    <r>
      <t>q</t>
    </r>
    <r>
      <rPr>
        <b/>
        <vertAlign val="subscript"/>
        <sz val="11"/>
        <rFont val="Calibri"/>
        <family val="2"/>
      </rPr>
      <t>qp</t>
    </r>
  </si>
  <si>
    <t>5 GEOTECNICA</t>
  </si>
  <si>
    <t>5.1 TERRAPIENO</t>
  </si>
  <si>
    <t>5.1.1 Inclinazione terreno</t>
  </si>
  <si>
    <t>Inclinazione del terreno a tergo del muro</t>
  </si>
  <si>
    <r>
      <t>ω</t>
    </r>
    <r>
      <rPr>
        <b/>
        <sz val="8"/>
        <color theme="1"/>
        <rFont val="Calibri"/>
        <family val="2"/>
      </rPr>
      <t>m</t>
    </r>
  </si>
  <si>
    <r>
      <t>ω</t>
    </r>
    <r>
      <rPr>
        <b/>
        <sz val="8"/>
        <color theme="1"/>
        <rFont val="Calibri"/>
        <family val="2"/>
      </rPr>
      <t>m%</t>
    </r>
  </si>
  <si>
    <t>5.1.2 Stratigrafia terreno</t>
  </si>
  <si>
    <t>Bisogna sempre partire dal primo strato</t>
  </si>
  <si>
    <t>Angolo di attrito</t>
  </si>
  <si>
    <t>Peso specifico del terreno a tergo del muro</t>
  </si>
  <si>
    <t>ϒ</t>
  </si>
  <si>
    <t>Coesione non drenata</t>
  </si>
  <si>
    <t>cu</t>
  </si>
  <si>
    <t>Coesione</t>
  </si>
  <si>
    <t>c'</t>
  </si>
  <si>
    <t>Altezza dello strato</t>
  </si>
  <si>
    <t>Z</t>
  </si>
  <si>
    <t>5.1.3 Falda</t>
  </si>
  <si>
    <t>Attiva la falda:</t>
  </si>
  <si>
    <t>Quota della falda dal p.c. di monte</t>
  </si>
  <si>
    <r>
      <rPr>
        <b/>
        <sz val="14"/>
        <color theme="1"/>
        <rFont val="Calibri"/>
        <family val="2"/>
      </rPr>
      <t>H</t>
    </r>
    <r>
      <rPr>
        <b/>
        <sz val="9"/>
        <color theme="1"/>
        <rFont val="Calibri"/>
        <family val="2"/>
      </rPr>
      <t>falda</t>
    </r>
  </si>
  <si>
    <t>Peso specifico acqua</t>
  </si>
  <si>
    <r>
      <t>ϒ</t>
    </r>
    <r>
      <rPr>
        <b/>
        <sz val="8"/>
        <color theme="1"/>
        <rFont val="Calibri"/>
        <family val="2"/>
      </rPr>
      <t>w</t>
    </r>
  </si>
  <si>
    <t>5.1.4 Attrito</t>
  </si>
  <si>
    <t>Attiva attrito muro terreno</t>
  </si>
  <si>
    <t>5.1.5 Permeabilità del terreno</t>
  </si>
  <si>
    <t>5.2 Output grafico</t>
  </si>
  <si>
    <t>quota max terreno</t>
  </si>
  <si>
    <t>Posizione del terreno</t>
  </si>
  <si>
    <t>5.3 FONDAZIONE</t>
  </si>
  <si>
    <t>Inclinazione piano posa</t>
  </si>
  <si>
    <t>Inclinazione piano campagna</t>
  </si>
  <si>
    <r>
      <t>ω</t>
    </r>
    <r>
      <rPr>
        <b/>
        <sz val="8"/>
        <color theme="1"/>
        <rFont val="Calibri"/>
        <family val="2"/>
      </rPr>
      <t>v</t>
    </r>
  </si>
  <si>
    <t>Resistenza a taglio non drenata</t>
  </si>
  <si>
    <t>Peso specifico del terreno sotto il piano di posa.</t>
  </si>
  <si>
    <t>Quota della falda dal piano campagna del lato libero</t>
  </si>
  <si>
    <t>6 SELEZIONE DELLA COMBINAZIONE</t>
  </si>
  <si>
    <t>Approccio e combinazione utilizzata:</t>
  </si>
  <si>
    <t>AZIONI</t>
  </si>
  <si>
    <t>GEOTECNICA</t>
  </si>
  <si>
    <t>M</t>
  </si>
  <si>
    <t>RESISTENZE</t>
  </si>
  <si>
    <t>R</t>
  </si>
  <si>
    <t xml:space="preserve">capacità portante </t>
  </si>
  <si>
    <t>Secondo la combinazione:</t>
  </si>
  <si>
    <t>2 TERRAPIENO</t>
  </si>
  <si>
    <t>Dati utilizzati nel calcolo</t>
  </si>
  <si>
    <r>
      <t>ϕ'</t>
    </r>
    <r>
      <rPr>
        <b/>
        <sz val="8"/>
        <color theme="1"/>
        <rFont val="Calibri"/>
        <family val="2"/>
      </rPr>
      <t>,d</t>
    </r>
  </si>
  <si>
    <r>
      <t>ϒ</t>
    </r>
    <r>
      <rPr>
        <b/>
        <sz val="8"/>
        <color theme="1"/>
        <rFont val="Calibri"/>
        <family val="2"/>
      </rPr>
      <t>,d</t>
    </r>
  </si>
  <si>
    <t>cu,d</t>
  </si>
  <si>
    <t>c',d</t>
  </si>
  <si>
    <t>Angolo di attrito muro terreno</t>
  </si>
  <si>
    <t>δ,d</t>
  </si>
  <si>
    <t xml:space="preserve">Quota della falda </t>
  </si>
  <si>
    <t>ω</t>
  </si>
  <si>
    <r>
      <t>ω</t>
    </r>
    <r>
      <rPr>
        <b/>
        <sz val="8"/>
        <color theme="1"/>
        <rFont val="Calibri"/>
        <family val="2"/>
      </rPr>
      <t>%</t>
    </r>
  </si>
  <si>
    <t>Altezza paramento+zattera</t>
  </si>
  <si>
    <r>
      <t>H</t>
    </r>
    <r>
      <rPr>
        <b/>
        <sz val="8"/>
        <color theme="1"/>
        <rFont val="Calibri"/>
        <family val="2"/>
      </rPr>
      <t>tot</t>
    </r>
  </si>
  <si>
    <t>Altezza di calcolo del terreno</t>
  </si>
  <si>
    <t xml:space="preserve">Inclinazione del paramento </t>
  </si>
  <si>
    <t>Inserisci drenaggio a tergo del paramento</t>
  </si>
  <si>
    <t>3 CARICHI AGGIUNTIVI</t>
  </si>
  <si>
    <t>Carico variabile sul terreno</t>
  </si>
  <si>
    <t>4 TEORIA DI CALCOLO</t>
  </si>
  <si>
    <t>5 TENSIONI E SPINTE DI CALCOLO</t>
  </si>
  <si>
    <t>tensioni orizzontali</t>
  </si>
  <si>
    <t>Fessure di trazione</t>
  </si>
  <si>
    <r>
      <t>z</t>
    </r>
    <r>
      <rPr>
        <b/>
        <sz val="8"/>
        <color theme="1"/>
        <rFont val="Calibri"/>
        <family val="2"/>
        <scheme val="minor"/>
      </rPr>
      <t>,par</t>
    </r>
  </si>
  <si>
    <t>u</t>
  </si>
  <si>
    <t>γ z</t>
  </si>
  <si>
    <r>
      <t>σ</t>
    </r>
    <r>
      <rPr>
        <b/>
        <vertAlign val="subscript"/>
        <sz val="12"/>
        <rFont val="Calibri"/>
        <family val="2"/>
      </rPr>
      <t>v,terra</t>
    </r>
  </si>
  <si>
    <r>
      <t>σ</t>
    </r>
    <r>
      <rPr>
        <b/>
        <vertAlign val="subscript"/>
        <sz val="12"/>
        <rFont val="Calibri"/>
        <family val="2"/>
      </rPr>
      <t>v,G2</t>
    </r>
  </si>
  <si>
    <r>
      <t>σ</t>
    </r>
    <r>
      <rPr>
        <b/>
        <vertAlign val="subscript"/>
        <sz val="12"/>
        <rFont val="Calibri"/>
        <family val="2"/>
      </rPr>
      <t>v,Qk</t>
    </r>
  </si>
  <si>
    <r>
      <t>γ</t>
    </r>
    <r>
      <rPr>
        <b/>
        <sz val="8"/>
        <color rgb="FFFF0000"/>
        <rFont val="Calibri"/>
        <family val="2"/>
      </rPr>
      <t>G1</t>
    </r>
    <r>
      <rPr>
        <b/>
        <sz val="12"/>
        <color rgb="FFFF0000"/>
        <rFont val="Calibri"/>
        <family val="2"/>
      </rPr>
      <t xml:space="preserve"> x σ</t>
    </r>
    <r>
      <rPr>
        <b/>
        <vertAlign val="subscript"/>
        <sz val="12"/>
        <color rgb="FFFF0000"/>
        <rFont val="Calibri"/>
        <family val="2"/>
      </rPr>
      <t xml:space="preserve">h,terra </t>
    </r>
  </si>
  <si>
    <r>
      <t>γ</t>
    </r>
    <r>
      <rPr>
        <b/>
        <sz val="8"/>
        <color rgb="FFFF0000"/>
        <rFont val="Calibri"/>
        <family val="2"/>
      </rPr>
      <t>G2</t>
    </r>
    <r>
      <rPr>
        <b/>
        <sz val="12"/>
        <color rgb="FFFF0000"/>
        <rFont val="Calibri"/>
        <family val="2"/>
      </rPr>
      <t xml:space="preserve"> x σ</t>
    </r>
    <r>
      <rPr>
        <b/>
        <vertAlign val="subscript"/>
        <sz val="12"/>
        <color rgb="FFFF0000"/>
        <rFont val="Calibri"/>
        <family val="2"/>
      </rPr>
      <t>h,G2</t>
    </r>
  </si>
  <si>
    <r>
      <t>γ</t>
    </r>
    <r>
      <rPr>
        <b/>
        <sz val="8"/>
        <color rgb="FFFF0000"/>
        <rFont val="Calibri"/>
        <family val="2"/>
      </rPr>
      <t>Qk</t>
    </r>
    <r>
      <rPr>
        <b/>
        <sz val="12"/>
        <color rgb="FFFF0000"/>
        <rFont val="Calibri"/>
        <family val="2"/>
      </rPr>
      <t xml:space="preserve"> x σ</t>
    </r>
    <r>
      <rPr>
        <b/>
        <vertAlign val="subscript"/>
        <sz val="12"/>
        <color rgb="FFFF0000"/>
        <rFont val="Calibri"/>
        <family val="2"/>
      </rPr>
      <t>h,Qk</t>
    </r>
  </si>
  <si>
    <r>
      <t>∑σ</t>
    </r>
    <r>
      <rPr>
        <b/>
        <vertAlign val="subscript"/>
        <sz val="12"/>
        <rFont val="Calibri"/>
        <family val="2"/>
      </rPr>
      <t>v</t>
    </r>
  </si>
  <si>
    <r>
      <t>∑σ</t>
    </r>
    <r>
      <rPr>
        <b/>
        <vertAlign val="subscript"/>
        <sz val="12"/>
        <rFont val="Calibri"/>
        <family val="2"/>
      </rPr>
      <t>h</t>
    </r>
  </si>
  <si>
    <r>
      <t>M</t>
    </r>
    <r>
      <rPr>
        <b/>
        <sz val="8"/>
        <color rgb="FFFF0000"/>
        <rFont val="Calibri"/>
        <family val="2"/>
      </rPr>
      <t>r</t>
    </r>
  </si>
  <si>
    <t>Profondità</t>
  </si>
  <si>
    <t>Pressione dell'acqua</t>
  </si>
  <si>
    <t>2 c' √KA</t>
  </si>
  <si>
    <t>PANNELLO DI COMANDO PER GRAFICO TENSIONI ORIZZONTALI</t>
  </si>
  <si>
    <t>CARATTERISTICHE DEL MURO</t>
  </si>
  <si>
    <t>P</t>
  </si>
  <si>
    <r>
      <t>H</t>
    </r>
    <r>
      <rPr>
        <b/>
        <sz val="8"/>
        <color theme="1"/>
        <rFont val="Calibri"/>
        <family val="2"/>
        <scheme val="minor"/>
      </rPr>
      <t>,tot</t>
    </r>
  </si>
  <si>
    <t>Peso totale calcestruzzo</t>
  </si>
  <si>
    <r>
      <rPr>
        <b/>
        <sz val="11"/>
        <color theme="1"/>
        <rFont val="Times New Roman"/>
        <family val="1"/>
      </rPr>
      <t>Σ</t>
    </r>
    <r>
      <rPr>
        <b/>
        <sz val="11"/>
        <color theme="1"/>
        <rFont val="Calibri"/>
        <family val="2"/>
      </rPr>
      <t xml:space="preserve">W </t>
    </r>
  </si>
  <si>
    <t>Braccio della forza risultante, dovuto al peso del muro</t>
  </si>
  <si>
    <r>
      <t>x</t>
    </r>
    <r>
      <rPr>
        <b/>
        <vertAlign val="subscript"/>
        <sz val="11"/>
        <color theme="1"/>
        <rFont val="Calibri"/>
        <family val="2"/>
      </rPr>
      <t>0</t>
    </r>
    <r>
      <rPr>
        <b/>
        <sz val="11"/>
        <color theme="1"/>
        <rFont val="Calibri"/>
        <family val="2"/>
      </rPr>
      <t xml:space="preserve"> </t>
    </r>
  </si>
  <si>
    <t>Paramento</t>
  </si>
  <si>
    <t>Zattera</t>
  </si>
  <si>
    <t>Dente</t>
  </si>
  <si>
    <t>Peso del terreno che grava sulla zattera</t>
  </si>
  <si>
    <r>
      <t>W</t>
    </r>
    <r>
      <rPr>
        <b/>
        <vertAlign val="subscript"/>
        <sz val="11"/>
        <color theme="1"/>
        <rFont val="Calibri"/>
        <family val="2"/>
      </rPr>
      <t>t</t>
    </r>
    <r>
      <rPr>
        <b/>
        <sz val="11"/>
        <color theme="1"/>
        <rFont val="Calibri"/>
        <family val="2"/>
      </rPr>
      <t xml:space="preserve"> </t>
    </r>
  </si>
  <si>
    <t>Braccio della forza risultante, dovuto al peso del terreno</t>
  </si>
  <si>
    <r>
      <t>x</t>
    </r>
    <r>
      <rPr>
        <b/>
        <vertAlign val="subscript"/>
        <sz val="11"/>
        <color theme="1"/>
        <rFont val="Calibri"/>
        <family val="2"/>
      </rPr>
      <t>t</t>
    </r>
    <r>
      <rPr>
        <b/>
        <sz val="11"/>
        <color theme="1"/>
        <rFont val="Calibri"/>
        <family val="2"/>
      </rPr>
      <t xml:space="preserve"> </t>
    </r>
  </si>
  <si>
    <t>Peso specifico        (media pesata)</t>
  </si>
  <si>
    <r>
      <t>γ</t>
    </r>
    <r>
      <rPr>
        <b/>
        <sz val="8"/>
        <color theme="1"/>
        <rFont val="Calibri"/>
        <family val="2"/>
      </rPr>
      <t>m</t>
    </r>
  </si>
  <si>
    <t>baricentro terra muro</t>
  </si>
  <si>
    <r>
      <t>X</t>
    </r>
    <r>
      <rPr>
        <b/>
        <sz val="8"/>
        <color theme="1"/>
        <rFont val="Calibri"/>
        <family val="2"/>
        <scheme val="minor"/>
      </rPr>
      <t>g,t+m</t>
    </r>
  </si>
  <si>
    <r>
      <t>Y</t>
    </r>
    <r>
      <rPr>
        <b/>
        <sz val="8"/>
        <color theme="1"/>
        <rFont val="Calibri"/>
        <family val="2"/>
        <scheme val="minor"/>
      </rPr>
      <t>g,t+m</t>
    </r>
  </si>
  <si>
    <r>
      <t>Z</t>
    </r>
    <r>
      <rPr>
        <b/>
        <sz val="8"/>
        <color theme="1"/>
        <rFont val="Calibri"/>
        <family val="2"/>
        <scheme val="minor"/>
      </rPr>
      <t>g,t+m</t>
    </r>
  </si>
  <si>
    <t>baricentro terra</t>
  </si>
  <si>
    <r>
      <t>X</t>
    </r>
    <r>
      <rPr>
        <b/>
        <sz val="8"/>
        <color theme="1"/>
        <rFont val="Calibri"/>
        <family val="2"/>
        <scheme val="minor"/>
      </rPr>
      <t>g,t</t>
    </r>
  </si>
  <si>
    <r>
      <t>Y</t>
    </r>
    <r>
      <rPr>
        <b/>
        <sz val="8"/>
        <color theme="1"/>
        <rFont val="Calibri"/>
        <family val="2"/>
        <scheme val="minor"/>
      </rPr>
      <t>g,t</t>
    </r>
  </si>
  <si>
    <r>
      <t>Z</t>
    </r>
    <r>
      <rPr>
        <b/>
        <sz val="8"/>
        <color theme="1"/>
        <rFont val="Calibri"/>
        <family val="2"/>
        <scheme val="minor"/>
      </rPr>
      <t>g,t</t>
    </r>
  </si>
  <si>
    <t>baricentro muro</t>
  </si>
  <si>
    <t>CARICHI DESTABILIZZANTI</t>
  </si>
  <si>
    <r>
      <t>M</t>
    </r>
    <r>
      <rPr>
        <b/>
        <sz val="8"/>
        <color theme="1" tint="4.9989318521683403E-2"/>
        <rFont val="Calibri"/>
        <family val="2"/>
      </rPr>
      <t>r</t>
    </r>
  </si>
  <si>
    <r>
      <t>γ</t>
    </r>
    <r>
      <rPr>
        <b/>
        <sz val="9"/>
        <color theme="1"/>
        <rFont val="Calibri"/>
        <family val="2"/>
        <scheme val="minor"/>
      </rPr>
      <t>G1</t>
    </r>
  </si>
  <si>
    <r>
      <t>Me</t>
    </r>
    <r>
      <rPr>
        <b/>
        <sz val="8"/>
        <color theme="1" tint="4.9989318521683403E-2"/>
        <rFont val="Calibri"/>
        <family val="2"/>
      </rPr>
      <t>d</t>
    </r>
  </si>
  <si>
    <t>Analisi delle Spinte Cond. non drenate</t>
  </si>
  <si>
    <t>Ed</t>
  </si>
  <si>
    <t>CARICHI STABILIZZANTI</t>
  </si>
  <si>
    <t>Peso</t>
  </si>
  <si>
    <r>
      <t>γ</t>
    </r>
    <r>
      <rPr>
        <b/>
        <sz val="8"/>
        <color theme="1"/>
        <rFont val="Calibri"/>
        <family val="2"/>
        <scheme val="minor"/>
      </rPr>
      <t>g</t>
    </r>
  </si>
  <si>
    <r>
      <t>Peso</t>
    </r>
    <r>
      <rPr>
        <b/>
        <sz val="8"/>
        <color theme="1"/>
        <rFont val="Calibri"/>
        <family val="2"/>
        <scheme val="minor"/>
      </rPr>
      <t>,d</t>
    </r>
    <r>
      <rPr>
        <b/>
        <sz val="11"/>
        <color theme="1"/>
        <rFont val="Calibri"/>
        <family val="2"/>
        <scheme val="minor"/>
      </rPr>
      <t xml:space="preserve">  </t>
    </r>
  </si>
  <si>
    <t>dist dal c.r.</t>
  </si>
  <si>
    <t xml:space="preserve">Mrd </t>
  </si>
  <si>
    <t xml:space="preserve">Muro </t>
  </si>
  <si>
    <t>Terra</t>
  </si>
  <si>
    <r>
      <t>G</t>
    </r>
    <r>
      <rPr>
        <b/>
        <sz val="8"/>
        <color theme="1"/>
        <rFont val="calibrian"/>
      </rPr>
      <t>2</t>
    </r>
  </si>
  <si>
    <r>
      <t>Q</t>
    </r>
    <r>
      <rPr>
        <b/>
        <sz val="8"/>
        <color theme="1"/>
        <rFont val="calibrian"/>
      </rPr>
      <t>k</t>
    </r>
  </si>
  <si>
    <r>
      <t>S</t>
    </r>
    <r>
      <rPr>
        <b/>
        <sz val="8"/>
        <color theme="1"/>
        <rFont val="Calibri"/>
        <family val="2"/>
      </rPr>
      <t>h,tot Y</t>
    </r>
  </si>
  <si>
    <t>Rd</t>
  </si>
  <si>
    <t>Rd/Ed</t>
  </si>
  <si>
    <t>PROGETTO DELLA ZATTERA</t>
  </si>
  <si>
    <r>
      <t>γ</t>
    </r>
    <r>
      <rPr>
        <b/>
        <sz val="9"/>
        <color theme="1"/>
        <rFont val="Calibri"/>
        <family val="2"/>
        <scheme val="minor"/>
      </rPr>
      <t>G2</t>
    </r>
  </si>
  <si>
    <r>
      <t>γ</t>
    </r>
    <r>
      <rPr>
        <b/>
        <sz val="9"/>
        <color theme="1"/>
        <rFont val="Calibri"/>
        <family val="2"/>
        <scheme val="minor"/>
      </rPr>
      <t>Qk</t>
    </r>
  </si>
  <si>
    <t xml:space="preserve">2-Sollecitazioni </t>
  </si>
  <si>
    <t>CARICHI ORIZZONTALI</t>
  </si>
  <si>
    <r>
      <t>S</t>
    </r>
    <r>
      <rPr>
        <b/>
        <sz val="8"/>
        <color theme="1"/>
        <rFont val="Calibri"/>
        <family val="2"/>
      </rPr>
      <t>h,tot X</t>
    </r>
  </si>
  <si>
    <t>Mr</t>
  </si>
  <si>
    <t>Analisi delle Spinte (Max tra condizione drenate e non drenate)</t>
  </si>
  <si>
    <t>CARICHI VERTICALI</t>
  </si>
  <si>
    <t>Ved</t>
  </si>
  <si>
    <t>3-Tensioni sul terreno</t>
  </si>
  <si>
    <t>3.1 Tensioni indotte dai carichi</t>
  </si>
  <si>
    <t>Carico variabile</t>
  </si>
  <si>
    <r>
      <t>σ</t>
    </r>
    <r>
      <rPr>
        <b/>
        <vertAlign val="subscript"/>
        <sz val="12"/>
        <rFont val="Calibri"/>
        <family val="2"/>
      </rPr>
      <t>Qk</t>
    </r>
  </si>
  <si>
    <t>Carico permanente non strutturale</t>
  </si>
  <si>
    <r>
      <t>σ</t>
    </r>
    <r>
      <rPr>
        <b/>
        <vertAlign val="subscript"/>
        <sz val="12"/>
        <rFont val="Calibri"/>
        <family val="2"/>
      </rPr>
      <t>G2</t>
    </r>
    <r>
      <rPr>
        <b/>
        <sz val="12"/>
        <rFont val="Calibri"/>
        <family val="2"/>
      </rPr>
      <t xml:space="preserve"> </t>
    </r>
  </si>
  <si>
    <t>Carico terra a tergo del paramento</t>
  </si>
  <si>
    <t>Carico zattera e paramento</t>
  </si>
  <si>
    <r>
      <t>σ</t>
    </r>
    <r>
      <rPr>
        <b/>
        <vertAlign val="subscript"/>
        <sz val="12"/>
        <rFont val="Calibri"/>
        <family val="2"/>
      </rPr>
      <t>zatt+param</t>
    </r>
    <r>
      <rPr>
        <b/>
        <sz val="12"/>
        <rFont val="Calibri"/>
        <family val="2"/>
      </rPr>
      <t xml:space="preserve"> </t>
    </r>
  </si>
  <si>
    <t>3.2 Tensioni indotte sul terreno</t>
  </si>
  <si>
    <t>Eccentricità riferita alcentro di rotazione</t>
  </si>
  <si>
    <r>
      <t>U</t>
    </r>
    <r>
      <rPr>
        <b/>
        <sz val="9"/>
        <rFont val="Calibri"/>
        <family val="2"/>
        <scheme val="minor"/>
      </rPr>
      <t>d</t>
    </r>
  </si>
  <si>
    <t>Eccentricità riferita al baricentro della zattera</t>
  </si>
  <si>
    <t xml:space="preserve">e </t>
  </si>
  <si>
    <t>Ampiezza del nocciolo centrale d'inerzia della zattera</t>
  </si>
  <si>
    <t xml:space="preserve">Lz/6 </t>
  </si>
  <si>
    <t xml:space="preserve">Lunghezza totale della zattera </t>
  </si>
  <si>
    <r>
      <t>L</t>
    </r>
    <r>
      <rPr>
        <sz val="8"/>
        <color theme="1"/>
        <rFont val="Calibri"/>
        <family val="2"/>
        <scheme val="minor"/>
      </rPr>
      <t>z</t>
    </r>
  </si>
  <si>
    <t>Larghezza totale della zattera</t>
  </si>
  <si>
    <r>
      <t>B</t>
    </r>
    <r>
      <rPr>
        <b/>
        <sz val="8"/>
        <color theme="1"/>
        <rFont val="Calibri"/>
        <family val="2"/>
        <scheme val="minor"/>
      </rPr>
      <t>z</t>
    </r>
  </si>
  <si>
    <t>Area d'impronta della zattera</t>
  </si>
  <si>
    <r>
      <t>A</t>
    </r>
    <r>
      <rPr>
        <sz val="8"/>
        <color theme="1"/>
        <rFont val="Calibri"/>
        <family val="2"/>
        <scheme val="minor"/>
      </rPr>
      <t>z</t>
    </r>
  </si>
  <si>
    <t>incastro</t>
  </si>
  <si>
    <t>estremo</t>
  </si>
  <si>
    <t>angolo di attrito</t>
  </si>
  <si>
    <r>
      <t>ϕ'</t>
    </r>
    <r>
      <rPr>
        <b/>
        <sz val="9"/>
        <color theme="1"/>
        <rFont val="Calibri"/>
        <family val="2"/>
      </rPr>
      <t>,d</t>
    </r>
  </si>
  <si>
    <r>
      <t>V</t>
    </r>
    <r>
      <rPr>
        <b/>
        <sz val="9"/>
        <color theme="1"/>
        <rFont val="Calibri"/>
        <family val="2"/>
        <scheme val="minor"/>
      </rPr>
      <t>,d</t>
    </r>
  </si>
  <si>
    <t>coesione</t>
  </si>
  <si>
    <r>
      <t>c'</t>
    </r>
    <r>
      <rPr>
        <b/>
        <sz val="9"/>
        <color theme="1"/>
        <rFont val="Calibri"/>
        <family val="2"/>
        <scheme val="minor"/>
      </rPr>
      <t>,d</t>
    </r>
  </si>
  <si>
    <r>
      <t>H</t>
    </r>
    <r>
      <rPr>
        <b/>
        <sz val="9"/>
        <color theme="1"/>
        <rFont val="Calibri"/>
        <family val="2"/>
        <scheme val="minor"/>
      </rPr>
      <t>,d</t>
    </r>
  </si>
  <si>
    <t>B*</t>
  </si>
  <si>
    <r>
      <t>M</t>
    </r>
    <r>
      <rPr>
        <b/>
        <sz val="9"/>
        <color theme="1"/>
        <rFont val="Calibri"/>
        <family val="2"/>
        <scheme val="minor"/>
      </rPr>
      <t>,d</t>
    </r>
  </si>
  <si>
    <t>inclinazione piano posa</t>
  </si>
  <si>
    <t>inclinazione piano campagna</t>
  </si>
  <si>
    <t>Hm</t>
  </si>
  <si>
    <t>Profondità della curva di scorrimento</t>
  </si>
  <si>
    <r>
      <rPr>
        <b/>
        <sz val="14"/>
        <color theme="1"/>
        <rFont val="Calibri"/>
        <family val="2"/>
      </rPr>
      <t>H</t>
    </r>
    <r>
      <rPr>
        <b/>
        <sz val="11"/>
        <color theme="1"/>
        <rFont val="Calibri"/>
        <family val="2"/>
      </rPr>
      <t>scor.</t>
    </r>
  </si>
  <si>
    <r>
      <rPr>
        <sz val="16"/>
        <color theme="1"/>
        <rFont val="Calibri"/>
        <family val="2"/>
        <scheme val="minor"/>
      </rPr>
      <t>N</t>
    </r>
    <r>
      <rPr>
        <sz val="11"/>
        <color theme="1"/>
        <rFont val="Calibri"/>
        <family val="2"/>
      </rPr>
      <t>γ</t>
    </r>
  </si>
  <si>
    <t>Secondo Vesic (1970)</t>
  </si>
  <si>
    <r>
      <rPr>
        <sz val="16"/>
        <color theme="1"/>
        <rFont val="Calibri"/>
        <family val="2"/>
        <scheme val="minor"/>
      </rPr>
      <t>N</t>
    </r>
    <r>
      <rPr>
        <sz val="11"/>
        <color theme="1"/>
        <rFont val="Calibri"/>
        <family val="2"/>
        <scheme val="minor"/>
      </rPr>
      <t>c</t>
    </r>
  </si>
  <si>
    <t>Secondo Prandtl (1921)</t>
  </si>
  <si>
    <r>
      <rPr>
        <sz val="16"/>
        <color theme="1"/>
        <rFont val="Calibri"/>
        <family val="2"/>
        <scheme val="minor"/>
      </rPr>
      <t>N</t>
    </r>
    <r>
      <rPr>
        <sz val="11"/>
        <color theme="1"/>
        <rFont val="Calibri"/>
        <family val="2"/>
        <scheme val="minor"/>
      </rPr>
      <t>q</t>
    </r>
  </si>
  <si>
    <r>
      <rPr>
        <sz val="16"/>
        <color theme="1"/>
        <rFont val="Calibri"/>
        <family val="2"/>
        <scheme val="minor"/>
      </rPr>
      <t>d</t>
    </r>
    <r>
      <rPr>
        <sz val="11"/>
        <color theme="1"/>
        <rFont val="Calibri"/>
        <family val="2"/>
      </rPr>
      <t>γ</t>
    </r>
  </si>
  <si>
    <r>
      <rPr>
        <sz val="16"/>
        <color theme="1"/>
        <rFont val="Calibri"/>
        <family val="2"/>
        <scheme val="minor"/>
      </rPr>
      <t>i</t>
    </r>
    <r>
      <rPr>
        <sz val="11"/>
        <color theme="1"/>
        <rFont val="Calibri"/>
        <family val="2"/>
      </rPr>
      <t>γ</t>
    </r>
  </si>
  <si>
    <r>
      <rPr>
        <sz val="16"/>
        <color theme="1"/>
        <rFont val="Calibri"/>
        <family val="2"/>
        <scheme val="minor"/>
      </rPr>
      <t>b</t>
    </r>
    <r>
      <rPr>
        <sz val="11"/>
        <color theme="1"/>
        <rFont val="Calibri"/>
        <family val="2"/>
      </rPr>
      <t>γ</t>
    </r>
  </si>
  <si>
    <r>
      <rPr>
        <sz val="16"/>
        <color theme="1"/>
        <rFont val="Calibri"/>
        <family val="2"/>
        <scheme val="minor"/>
      </rPr>
      <t>g</t>
    </r>
    <r>
      <rPr>
        <sz val="11"/>
        <color theme="1"/>
        <rFont val="Calibri"/>
        <family val="2"/>
      </rPr>
      <t>γ</t>
    </r>
  </si>
  <si>
    <r>
      <rPr>
        <sz val="11"/>
        <color theme="1"/>
        <rFont val="Calibri"/>
        <family val="2"/>
      </rPr>
      <t>Ψ</t>
    </r>
    <r>
      <rPr>
        <sz val="11"/>
        <color theme="1"/>
        <rFont val="Calibri"/>
        <family val="2"/>
      </rPr>
      <t>γ</t>
    </r>
  </si>
  <si>
    <r>
      <rPr>
        <sz val="16"/>
        <color theme="1"/>
        <rFont val="Calibri"/>
        <family val="2"/>
        <scheme val="minor"/>
      </rPr>
      <t>d</t>
    </r>
    <r>
      <rPr>
        <sz val="11"/>
        <color theme="1"/>
        <rFont val="Calibri"/>
        <family val="2"/>
        <scheme val="minor"/>
      </rPr>
      <t>c</t>
    </r>
  </si>
  <si>
    <r>
      <rPr>
        <sz val="16"/>
        <color theme="1"/>
        <rFont val="Calibri"/>
        <family val="2"/>
        <scheme val="minor"/>
      </rPr>
      <t>i</t>
    </r>
    <r>
      <rPr>
        <sz val="11"/>
        <color theme="1"/>
        <rFont val="Calibri"/>
        <family val="2"/>
        <scheme val="minor"/>
      </rPr>
      <t>c</t>
    </r>
  </si>
  <si>
    <r>
      <rPr>
        <sz val="16"/>
        <color theme="1"/>
        <rFont val="Calibri"/>
        <family val="2"/>
        <scheme val="minor"/>
      </rPr>
      <t>b</t>
    </r>
    <r>
      <rPr>
        <sz val="11"/>
        <color theme="1"/>
        <rFont val="Calibri"/>
        <family val="2"/>
        <scheme val="minor"/>
      </rPr>
      <t>c</t>
    </r>
  </si>
  <si>
    <r>
      <rPr>
        <sz val="16"/>
        <color theme="1"/>
        <rFont val="Calibri"/>
        <family val="2"/>
        <scheme val="minor"/>
      </rPr>
      <t>g</t>
    </r>
    <r>
      <rPr>
        <sz val="11"/>
        <color theme="1"/>
        <rFont val="Calibri"/>
        <family val="2"/>
        <scheme val="minor"/>
      </rPr>
      <t>c</t>
    </r>
  </si>
  <si>
    <r>
      <rPr>
        <sz val="11"/>
        <color theme="1"/>
        <rFont val="Calibri"/>
        <family val="2"/>
      </rPr>
      <t>Ψ</t>
    </r>
    <r>
      <rPr>
        <sz val="11"/>
        <color theme="1"/>
        <rFont val="Calibri"/>
        <family val="2"/>
        <scheme val="minor"/>
      </rPr>
      <t>c</t>
    </r>
  </si>
  <si>
    <r>
      <rPr>
        <sz val="16"/>
        <color theme="1"/>
        <rFont val="Calibri"/>
        <family val="2"/>
        <scheme val="minor"/>
      </rPr>
      <t>d</t>
    </r>
    <r>
      <rPr>
        <sz val="11"/>
        <color theme="1"/>
        <rFont val="Calibri"/>
        <family val="2"/>
        <scheme val="minor"/>
      </rPr>
      <t>q</t>
    </r>
  </si>
  <si>
    <r>
      <rPr>
        <sz val="16"/>
        <color theme="1"/>
        <rFont val="Calibri"/>
        <family val="2"/>
        <scheme val="minor"/>
      </rPr>
      <t>i</t>
    </r>
    <r>
      <rPr>
        <sz val="11"/>
        <color theme="1"/>
        <rFont val="Calibri"/>
        <family val="2"/>
        <scheme val="minor"/>
      </rPr>
      <t>q</t>
    </r>
  </si>
  <si>
    <r>
      <rPr>
        <sz val="16"/>
        <color theme="1"/>
        <rFont val="Calibri"/>
        <family val="2"/>
        <scheme val="minor"/>
      </rPr>
      <t>b</t>
    </r>
    <r>
      <rPr>
        <sz val="11"/>
        <color theme="1"/>
        <rFont val="Calibri"/>
        <family val="2"/>
        <scheme val="minor"/>
      </rPr>
      <t>q</t>
    </r>
  </si>
  <si>
    <r>
      <rPr>
        <sz val="16"/>
        <color theme="1"/>
        <rFont val="Calibri"/>
        <family val="2"/>
        <scheme val="minor"/>
      </rPr>
      <t>g</t>
    </r>
    <r>
      <rPr>
        <sz val="11"/>
        <color theme="1"/>
        <rFont val="Calibri"/>
        <family val="2"/>
        <scheme val="minor"/>
      </rPr>
      <t>q</t>
    </r>
  </si>
  <si>
    <r>
      <t>Ψ</t>
    </r>
    <r>
      <rPr>
        <sz val="11"/>
        <color theme="1"/>
        <rFont val="Calibri"/>
        <family val="2"/>
        <scheme val="minor"/>
      </rPr>
      <t>q</t>
    </r>
  </si>
  <si>
    <r>
      <rPr>
        <sz val="16"/>
        <color theme="1"/>
        <rFont val="Calibri"/>
        <family val="2"/>
        <scheme val="minor"/>
      </rPr>
      <t>e</t>
    </r>
    <r>
      <rPr>
        <sz val="11"/>
        <color theme="1"/>
        <rFont val="Calibri"/>
        <family val="2"/>
      </rPr>
      <t>b</t>
    </r>
  </si>
  <si>
    <r>
      <rPr>
        <b/>
        <sz val="16"/>
        <color theme="1"/>
        <rFont val="Calibri"/>
        <family val="2"/>
        <scheme val="minor"/>
      </rPr>
      <t>q</t>
    </r>
    <r>
      <rPr>
        <b/>
        <sz val="11"/>
        <color theme="1"/>
        <rFont val="Calibri"/>
        <family val="2"/>
      </rPr>
      <t>lim</t>
    </r>
  </si>
  <si>
    <r>
      <t>[kN/m</t>
    </r>
    <r>
      <rPr>
        <b/>
        <sz val="11"/>
        <color theme="1"/>
        <rFont val="Calibri"/>
        <family val="2"/>
      </rPr>
      <t>²</t>
    </r>
    <r>
      <rPr>
        <b/>
        <sz val="11"/>
        <color theme="1"/>
        <rFont val="Calibri"/>
        <family val="2"/>
        <scheme val="minor"/>
      </rPr>
      <t>]</t>
    </r>
  </si>
  <si>
    <r>
      <rPr>
        <b/>
        <sz val="16"/>
        <color theme="1"/>
        <rFont val="Calibri"/>
        <family val="2"/>
        <scheme val="minor"/>
      </rPr>
      <t>Q</t>
    </r>
    <r>
      <rPr>
        <b/>
        <sz val="11"/>
        <color theme="1"/>
        <rFont val="Calibri"/>
        <family val="2"/>
      </rPr>
      <t>lim</t>
    </r>
  </si>
  <si>
    <t xml:space="preserve"> </t>
  </si>
  <si>
    <r>
      <rPr>
        <b/>
        <sz val="16"/>
        <color theme="1"/>
        <rFont val="Calibri"/>
        <family val="2"/>
        <scheme val="minor"/>
      </rPr>
      <t>E</t>
    </r>
    <r>
      <rPr>
        <b/>
        <sz val="8"/>
        <color theme="1"/>
        <rFont val="Calibri"/>
        <family val="2"/>
        <scheme val="minor"/>
      </rPr>
      <t>d</t>
    </r>
  </si>
  <si>
    <t>(ROTTURA GENERALE)</t>
  </si>
  <si>
    <r>
      <rPr>
        <b/>
        <sz val="16"/>
        <color theme="1"/>
        <rFont val="Calibri"/>
        <family val="2"/>
        <scheme val="minor"/>
      </rPr>
      <t>R</t>
    </r>
    <r>
      <rPr>
        <b/>
        <sz val="8"/>
        <color theme="1"/>
        <rFont val="Calibri"/>
        <family val="2"/>
        <scheme val="minor"/>
      </rPr>
      <t>d</t>
    </r>
  </si>
  <si>
    <r>
      <t>e</t>
    </r>
    <r>
      <rPr>
        <b/>
        <sz val="8"/>
        <color theme="1"/>
        <rFont val="Calibri"/>
        <family val="2"/>
        <scheme val="minor"/>
      </rPr>
      <t>d</t>
    </r>
  </si>
  <si>
    <t>[kPa]</t>
  </si>
  <si>
    <r>
      <rPr>
        <b/>
        <sz val="12"/>
        <color theme="1"/>
        <rFont val="Calibri"/>
        <family val="2"/>
        <scheme val="minor"/>
      </rPr>
      <t>r</t>
    </r>
    <r>
      <rPr>
        <b/>
        <sz val="8"/>
        <color theme="1"/>
        <rFont val="Calibri"/>
        <family val="2"/>
      </rPr>
      <t>d</t>
    </r>
  </si>
  <si>
    <t>Tensione normale media</t>
  </si>
  <si>
    <t>σ</t>
  </si>
  <si>
    <t>Modulo di Young del terreno</t>
  </si>
  <si>
    <r>
      <t>I</t>
    </r>
    <r>
      <rPr>
        <b/>
        <sz val="11"/>
        <color theme="1"/>
        <rFont val="Calibri"/>
        <family val="2"/>
        <scheme val="minor"/>
      </rPr>
      <t>r</t>
    </r>
  </si>
  <si>
    <r>
      <t>I</t>
    </r>
    <r>
      <rPr>
        <b/>
        <sz val="11"/>
        <color theme="1"/>
        <rFont val="Calibri"/>
        <family val="2"/>
        <scheme val="minor"/>
      </rPr>
      <t>r,crit</t>
    </r>
  </si>
  <si>
    <r>
      <t>Se D</t>
    </r>
    <r>
      <rPr>
        <sz val="9"/>
        <color theme="1"/>
        <rFont val="Calibri"/>
        <family val="2"/>
        <scheme val="minor"/>
      </rPr>
      <t xml:space="preserve">R </t>
    </r>
    <r>
      <rPr>
        <sz val="11"/>
        <color theme="1"/>
        <rFont val="Calibri"/>
        <family val="2"/>
        <scheme val="minor"/>
      </rPr>
      <t xml:space="preserve">è compreso negli intervalli del grafico di De Beer bisogna utilizzare i seguenti </t>
    </r>
  </si>
  <si>
    <r>
      <t>parametri meccanici corretti, validi per D</t>
    </r>
    <r>
      <rPr>
        <sz val="9"/>
        <color theme="1"/>
        <rFont val="Calibri"/>
        <family val="2"/>
        <scheme val="minor"/>
      </rPr>
      <t>R</t>
    </r>
    <r>
      <rPr>
        <sz val="11"/>
        <color theme="1"/>
        <rFont val="Calibri"/>
        <family val="2"/>
        <scheme val="minor"/>
      </rPr>
      <t xml:space="preserve"> minori del 67%.</t>
    </r>
  </si>
  <si>
    <t>La verifica verrà eseguita come nel caso di rottura generale utilizzando nel calcolo</t>
  </si>
  <si>
    <t>i parametri modificati secondo Vesic.</t>
  </si>
  <si>
    <r>
      <t>Definisci D</t>
    </r>
    <r>
      <rPr>
        <b/>
        <sz val="9"/>
        <color theme="1"/>
        <rFont val="Calibri"/>
        <family val="2"/>
        <scheme val="minor"/>
      </rPr>
      <t xml:space="preserve">R </t>
    </r>
    <r>
      <rPr>
        <b/>
        <sz val="11"/>
        <color theme="1"/>
        <rFont val="Calibri"/>
        <family val="2"/>
        <scheme val="minor"/>
      </rPr>
      <t>percentuale</t>
    </r>
  </si>
  <si>
    <t>angolo di attrito corretto</t>
  </si>
  <si>
    <t>coesione corretta</t>
  </si>
  <si>
    <t>parametro di correzione</t>
  </si>
  <si>
    <t>r</t>
  </si>
  <si>
    <t>Vuoi usare i parametri corretti?</t>
  </si>
  <si>
    <t>De Beer (1967)</t>
  </si>
  <si>
    <t>ϕ,d</t>
  </si>
  <si>
    <r>
      <rPr>
        <sz val="16"/>
        <color theme="1"/>
        <rFont val="Calibri"/>
        <family val="2"/>
        <scheme val="minor"/>
      </rPr>
      <t>N</t>
    </r>
    <r>
      <rPr>
        <sz val="11"/>
        <color theme="1"/>
        <rFont val="Calibri"/>
        <family val="2"/>
      </rPr>
      <t>γ</t>
    </r>
    <r>
      <rPr>
        <sz val="9"/>
        <color theme="1"/>
        <rFont val="Calibri"/>
        <family val="2"/>
      </rPr>
      <t>,0</t>
    </r>
  </si>
  <si>
    <r>
      <rPr>
        <sz val="16"/>
        <color theme="1"/>
        <rFont val="Calibri"/>
        <family val="2"/>
        <scheme val="minor"/>
      </rPr>
      <t>N</t>
    </r>
    <r>
      <rPr>
        <sz val="11"/>
        <color theme="1"/>
        <rFont val="Calibri"/>
        <family val="2"/>
        <scheme val="minor"/>
      </rPr>
      <t>c</t>
    </r>
    <r>
      <rPr>
        <sz val="9"/>
        <color theme="1"/>
        <rFont val="Calibri"/>
        <family val="2"/>
        <scheme val="minor"/>
      </rPr>
      <t>,0</t>
    </r>
  </si>
  <si>
    <r>
      <rPr>
        <sz val="16"/>
        <color theme="1"/>
        <rFont val="Calibri"/>
        <family val="2"/>
        <scheme val="minor"/>
      </rPr>
      <t>N</t>
    </r>
    <r>
      <rPr>
        <sz val="11"/>
        <color theme="1"/>
        <rFont val="Calibri"/>
        <family val="2"/>
        <scheme val="minor"/>
      </rPr>
      <t>q</t>
    </r>
    <r>
      <rPr>
        <sz val="9"/>
        <color theme="1"/>
        <rFont val="Calibri"/>
        <family val="2"/>
        <scheme val="minor"/>
      </rPr>
      <t>,0</t>
    </r>
  </si>
  <si>
    <r>
      <rPr>
        <sz val="18"/>
        <color theme="1"/>
        <rFont val="Calibri"/>
        <family val="2"/>
        <scheme val="minor"/>
      </rPr>
      <t>s</t>
    </r>
    <r>
      <rPr>
        <sz val="11"/>
        <color theme="1"/>
        <rFont val="Calibri"/>
        <family val="2"/>
        <scheme val="minor"/>
      </rPr>
      <t>c,</t>
    </r>
    <r>
      <rPr>
        <sz val="8"/>
        <color theme="1"/>
        <rFont val="Calibri"/>
        <family val="2"/>
        <scheme val="minor"/>
      </rPr>
      <t>0</t>
    </r>
  </si>
  <si>
    <r>
      <rPr>
        <sz val="16"/>
        <color theme="1"/>
        <rFont val="Calibri"/>
        <family val="2"/>
        <scheme val="minor"/>
      </rPr>
      <t>d</t>
    </r>
    <r>
      <rPr>
        <sz val="11"/>
        <color theme="1"/>
        <rFont val="Calibri"/>
        <family val="2"/>
        <scheme val="minor"/>
      </rPr>
      <t>c,0</t>
    </r>
  </si>
  <si>
    <r>
      <rPr>
        <sz val="16"/>
        <color theme="1"/>
        <rFont val="Calibri"/>
        <family val="2"/>
        <scheme val="minor"/>
      </rPr>
      <t>i</t>
    </r>
    <r>
      <rPr>
        <sz val="11"/>
        <color theme="1"/>
        <rFont val="Calibri"/>
        <family val="2"/>
        <scheme val="minor"/>
      </rPr>
      <t>c,0</t>
    </r>
  </si>
  <si>
    <r>
      <rPr>
        <sz val="16"/>
        <color theme="1"/>
        <rFont val="Calibri"/>
        <family val="2"/>
        <scheme val="minor"/>
      </rPr>
      <t>b</t>
    </r>
    <r>
      <rPr>
        <sz val="11"/>
        <color theme="1"/>
        <rFont val="Calibri"/>
        <family val="2"/>
        <scheme val="minor"/>
      </rPr>
      <t>c,0</t>
    </r>
  </si>
  <si>
    <r>
      <rPr>
        <sz val="16"/>
        <color theme="1"/>
        <rFont val="Calibri"/>
        <family val="2"/>
        <scheme val="minor"/>
      </rPr>
      <t>g</t>
    </r>
    <r>
      <rPr>
        <sz val="11"/>
        <color theme="1"/>
        <rFont val="Calibri"/>
        <family val="2"/>
        <scheme val="minor"/>
      </rPr>
      <t>c,0</t>
    </r>
  </si>
  <si>
    <t>Questo tipo di rottura richiede una significativa variazione di volume del terreno, perciò non può verificarsi in condizioni drenate</t>
  </si>
  <si>
    <t>in cui per ipotesi il terreno è incomprimibile. La verifica si appilca soprattuto in terreni sabbiosi sciolti.</t>
  </si>
  <si>
    <t>Questo tipo di rottura costituisce un caso intermedio fra la rottura globale e la rottura per punzonamento e non si verifica in condizioni</t>
  </si>
  <si>
    <t>drenate, perché per ipotesi il terreno è incomprimibile.</t>
  </si>
  <si>
    <t>PROGETTO DEL PARAMENTO</t>
  </si>
  <si>
    <t>kN/m</t>
  </si>
  <si>
    <t>2.Progetto delle Armature</t>
  </si>
  <si>
    <t>OUTPUT SOLO CARICO TRIANGOLARE</t>
  </si>
  <si>
    <t>OUTPUT SOLO CARICO RETTANGOLARE</t>
  </si>
  <si>
    <t>OUTPUT SOVRAPPOSIZIONE DEGLI EFFETTI</t>
  </si>
  <si>
    <r>
      <rPr>
        <b/>
        <sz val="14"/>
        <color indexed="8"/>
        <rFont val="Calibri"/>
        <family val="2"/>
      </rPr>
      <t>M</t>
    </r>
    <r>
      <rPr>
        <sz val="11"/>
        <color theme="1"/>
        <rFont val="Calibri"/>
        <family val="2"/>
        <scheme val="minor"/>
      </rPr>
      <t>inc</t>
    </r>
  </si>
  <si>
    <t>kNm</t>
  </si>
  <si>
    <r>
      <rPr>
        <b/>
        <sz val="14"/>
        <color indexed="8"/>
        <rFont val="Calibri"/>
        <family val="2"/>
      </rPr>
      <t>T</t>
    </r>
    <r>
      <rPr>
        <sz val="11"/>
        <color theme="1"/>
        <rFont val="Calibri"/>
        <family val="2"/>
        <scheme val="minor"/>
      </rPr>
      <t>inc</t>
    </r>
  </si>
  <si>
    <t>kN</t>
  </si>
  <si>
    <t>mm</t>
  </si>
  <si>
    <r>
      <rPr>
        <b/>
        <sz val="14"/>
        <color indexed="8"/>
        <rFont val="Calibri"/>
        <family val="2"/>
      </rPr>
      <t>q</t>
    </r>
    <r>
      <rPr>
        <sz val="11"/>
        <color theme="1"/>
        <rFont val="Calibri"/>
        <family val="2"/>
        <scheme val="minor"/>
      </rPr>
      <t>max(</t>
    </r>
    <r>
      <rPr>
        <sz val="11"/>
        <color indexed="8"/>
        <rFont val="Calibri"/>
        <family val="2"/>
      </rPr>
      <t>Δ</t>
    </r>
    <r>
      <rPr>
        <sz val="11"/>
        <color theme="1"/>
        <rFont val="Calibri"/>
        <family val="2"/>
        <scheme val="minor"/>
      </rPr>
      <t>)</t>
    </r>
  </si>
  <si>
    <r>
      <rPr>
        <b/>
        <sz val="14"/>
        <color indexed="8"/>
        <rFont val="Calibri"/>
        <family val="2"/>
      </rPr>
      <t>q</t>
    </r>
    <r>
      <rPr>
        <sz val="11"/>
        <color theme="1"/>
        <rFont val="Calibri"/>
        <family val="2"/>
        <scheme val="minor"/>
      </rPr>
      <t>max(</t>
    </r>
    <r>
      <rPr>
        <sz val="11"/>
        <color indexed="8"/>
        <rFont val="Calibri"/>
        <family val="2"/>
      </rPr>
      <t>□</t>
    </r>
    <r>
      <rPr>
        <sz val="11"/>
        <color theme="1"/>
        <rFont val="Calibri"/>
        <family val="2"/>
        <scheme val="minor"/>
      </rPr>
      <t>)</t>
    </r>
  </si>
  <si>
    <t>l</t>
  </si>
  <si>
    <r>
      <t>kN/m</t>
    </r>
    <r>
      <rPr>
        <sz val="11"/>
        <color indexed="8"/>
        <rFont val="Calibri"/>
        <family val="2"/>
      </rPr>
      <t>²</t>
    </r>
  </si>
  <si>
    <t>I</t>
  </si>
  <si>
    <r>
      <t>m</t>
    </r>
    <r>
      <rPr>
        <sz val="11"/>
        <color indexed="8"/>
        <rFont val="Calibri"/>
        <family val="2"/>
      </rPr>
      <t>⁴</t>
    </r>
  </si>
  <si>
    <r>
      <t>R</t>
    </r>
    <r>
      <rPr>
        <b/>
        <sz val="8"/>
        <color theme="1"/>
        <rFont val="Calibri"/>
        <family val="2"/>
        <scheme val="minor"/>
      </rPr>
      <t>ck</t>
    </r>
    <r>
      <rPr>
        <b/>
        <sz val="11"/>
        <color theme="1"/>
        <rFont val="Calibri"/>
        <family val="2"/>
        <scheme val="minor"/>
      </rPr>
      <t>=</t>
    </r>
  </si>
  <si>
    <r>
      <t>N/mm</t>
    </r>
    <r>
      <rPr>
        <vertAlign val="superscript"/>
        <sz val="11"/>
        <color indexed="8"/>
        <rFont val="Calibri"/>
        <family val="2"/>
      </rPr>
      <t>2</t>
    </r>
  </si>
  <si>
    <r>
      <t>f</t>
    </r>
    <r>
      <rPr>
        <b/>
        <sz val="8"/>
        <color theme="1"/>
        <rFont val="Calibri"/>
        <family val="2"/>
        <scheme val="minor"/>
      </rPr>
      <t>yk</t>
    </r>
    <r>
      <rPr>
        <b/>
        <sz val="11"/>
        <color theme="1"/>
        <rFont val="Calibri"/>
        <family val="2"/>
        <scheme val="minor"/>
      </rPr>
      <t>=</t>
    </r>
  </si>
  <si>
    <t>c=</t>
  </si>
  <si>
    <t>INPUT ARMATURA LOGITUDINALE</t>
  </si>
  <si>
    <r>
      <t>As min[mm</t>
    </r>
    <r>
      <rPr>
        <b/>
        <vertAlign val="superscript"/>
        <sz val="11"/>
        <color indexed="8"/>
        <rFont val="Calibri"/>
        <family val="2"/>
      </rPr>
      <t>2</t>
    </r>
    <r>
      <rPr>
        <b/>
        <sz val="11"/>
        <color indexed="8"/>
        <rFont val="Calibri"/>
        <family val="2"/>
      </rPr>
      <t>]</t>
    </r>
  </si>
  <si>
    <r>
      <t>As [mm</t>
    </r>
    <r>
      <rPr>
        <b/>
        <vertAlign val="superscript"/>
        <sz val="11"/>
        <color indexed="8"/>
        <rFont val="Calibri"/>
        <family val="2"/>
      </rPr>
      <t>2</t>
    </r>
    <r>
      <rPr>
        <b/>
        <sz val="11"/>
        <color indexed="8"/>
        <rFont val="Calibri"/>
        <family val="2"/>
      </rPr>
      <t>]</t>
    </r>
  </si>
  <si>
    <t>INPUT ARMATURA TRASVERSALE MINIMA</t>
  </si>
  <si>
    <r>
      <t>As min[mm</t>
    </r>
    <r>
      <rPr>
        <vertAlign val="superscript"/>
        <sz val="11"/>
        <color indexed="8"/>
        <rFont val="Calibri"/>
        <family val="2"/>
      </rPr>
      <t>2</t>
    </r>
    <r>
      <rPr>
        <sz val="11"/>
        <color indexed="8"/>
        <rFont val="Calibri"/>
        <family val="2"/>
      </rPr>
      <t>]</t>
    </r>
  </si>
  <si>
    <t>2.4.1.Verifica che per l'elemento non occorre armatura a taglio</t>
  </si>
  <si>
    <r>
      <t>V</t>
    </r>
    <r>
      <rPr>
        <vertAlign val="subscript"/>
        <sz val="11"/>
        <color indexed="8"/>
        <rFont val="Calibri"/>
        <family val="2"/>
      </rPr>
      <t>rd</t>
    </r>
    <r>
      <rPr>
        <sz val="11"/>
        <color indexed="8"/>
        <rFont val="Calibri"/>
        <family val="2"/>
      </rPr>
      <t xml:space="preserve"> (kN)</t>
    </r>
  </si>
  <si>
    <r>
      <t>V</t>
    </r>
    <r>
      <rPr>
        <vertAlign val="subscript"/>
        <sz val="11"/>
        <color indexed="8"/>
        <rFont val="Calibri"/>
        <family val="2"/>
      </rPr>
      <t>ed</t>
    </r>
    <r>
      <rPr>
        <sz val="11"/>
        <color indexed="8"/>
        <rFont val="Calibri"/>
        <family val="2"/>
      </rPr>
      <t xml:space="preserve"> (kN)</t>
    </r>
  </si>
  <si>
    <r>
      <t>V</t>
    </r>
    <r>
      <rPr>
        <vertAlign val="subscript"/>
        <sz val="11"/>
        <color indexed="8"/>
        <rFont val="Calibri"/>
        <family val="2"/>
      </rPr>
      <t>sd</t>
    </r>
    <r>
      <rPr>
        <vertAlign val="superscript"/>
        <sz val="11"/>
        <color indexed="8"/>
        <rFont val="Calibri"/>
        <family val="2"/>
      </rPr>
      <t xml:space="preserve"> </t>
    </r>
    <r>
      <rPr>
        <sz val="11"/>
        <color indexed="8"/>
        <rFont val="Calibri"/>
        <family val="2"/>
      </rPr>
      <t xml:space="preserve">&lt;Vrd </t>
    </r>
  </si>
  <si>
    <r>
      <t>ρ</t>
    </r>
    <r>
      <rPr>
        <vertAlign val="subscript"/>
        <sz val="11"/>
        <color indexed="8"/>
        <rFont val="Calibri"/>
        <family val="2"/>
      </rPr>
      <t>l</t>
    </r>
  </si>
  <si>
    <t>k</t>
  </si>
  <si>
    <r>
      <t>v</t>
    </r>
    <r>
      <rPr>
        <vertAlign val="subscript"/>
        <sz val="11"/>
        <color indexed="8"/>
        <rFont val="Calibri"/>
        <family val="2"/>
      </rPr>
      <t>min</t>
    </r>
  </si>
  <si>
    <t>2.1.Sollecitazioni mensola lato terreno</t>
  </si>
  <si>
    <r>
      <rPr>
        <b/>
        <sz val="14"/>
        <color indexed="8"/>
        <rFont val="Calibri"/>
        <family val="2"/>
      </rPr>
      <t>R</t>
    </r>
    <r>
      <rPr>
        <sz val="11"/>
        <color theme="1"/>
        <rFont val="Calibri"/>
        <family val="2"/>
        <scheme val="minor"/>
      </rPr>
      <t>inc</t>
    </r>
  </si>
  <si>
    <t>2.2.Sollecitazioni mensola lato libero</t>
  </si>
  <si>
    <t>2.3.Definizione delle caratteristiche meccaniche di acciaio e calcestruzzo</t>
  </si>
  <si>
    <t>2.4.Progetto a flessione zattera lato terreno</t>
  </si>
  <si>
    <t>2.5.Progetto a taglio zattera lato terreno</t>
  </si>
  <si>
    <t>2.5.1.Verifica che per la zattera lato terreno, non occorre armatura a taglio</t>
  </si>
  <si>
    <t>2.6.Progetto a flessione zattera lato libero</t>
  </si>
  <si>
    <t>2.7.Progetto a taglio zattera lato libero</t>
  </si>
  <si>
    <t>2.7.1.Verifica che per la zattera lato libero, non occorre armatura a taglio</t>
  </si>
  <si>
    <t>Coordiante Spettro</t>
  </si>
  <si>
    <t>T</t>
  </si>
  <si>
    <t xml:space="preserve">Se(T) </t>
  </si>
  <si>
    <t>s</t>
  </si>
  <si>
    <r>
      <t>m/s</t>
    </r>
    <r>
      <rPr>
        <b/>
        <sz val="11"/>
        <color theme="1"/>
        <rFont val="Times New Roman"/>
        <family val="1"/>
      </rPr>
      <t>²</t>
    </r>
  </si>
  <si>
    <t>Acc. Spettro orizzontale elastico</t>
  </si>
  <si>
    <t>Periodi fondamentali</t>
  </si>
  <si>
    <t xml:space="preserve">Se (0) </t>
  </si>
  <si>
    <r>
      <t>T</t>
    </r>
    <r>
      <rPr>
        <b/>
        <vertAlign val="subscript"/>
        <sz val="11"/>
        <color theme="1"/>
        <rFont val="Calibri"/>
        <family val="2"/>
        <scheme val="minor"/>
      </rPr>
      <t>0</t>
    </r>
  </si>
  <si>
    <r>
      <t>Se (T</t>
    </r>
    <r>
      <rPr>
        <sz val="8"/>
        <color theme="1"/>
        <rFont val="Calibri"/>
        <family val="2"/>
      </rPr>
      <t>B</t>
    </r>
    <r>
      <rPr>
        <sz val="11"/>
        <color theme="1"/>
        <rFont val="Calibri"/>
        <family val="2"/>
      </rPr>
      <t xml:space="preserve">) </t>
    </r>
  </si>
  <si>
    <r>
      <t>Se (T</t>
    </r>
    <r>
      <rPr>
        <sz val="8"/>
        <color theme="1"/>
        <rFont val="Calibri"/>
        <family val="2"/>
      </rPr>
      <t>C</t>
    </r>
    <r>
      <rPr>
        <sz val="11"/>
        <color theme="1"/>
        <rFont val="Calibri"/>
        <family val="2"/>
      </rPr>
      <t xml:space="preserve">) </t>
    </r>
  </si>
  <si>
    <r>
      <t>Se (T</t>
    </r>
    <r>
      <rPr>
        <sz val="8"/>
        <color theme="1"/>
        <rFont val="Calibri"/>
        <family val="2"/>
      </rPr>
      <t>D</t>
    </r>
    <r>
      <rPr>
        <sz val="11"/>
        <color theme="1"/>
        <rFont val="Calibri"/>
        <family val="2"/>
      </rPr>
      <t xml:space="preserve">) </t>
    </r>
  </si>
  <si>
    <t>Coefficienti di forma.</t>
  </si>
  <si>
    <t>Secondo De Beer</t>
  </si>
  <si>
    <t>Coefficienti di profondità.</t>
  </si>
  <si>
    <t>Secondo Brich-Hansen, 1970; Vesic, 1973</t>
  </si>
  <si>
    <t>Coefficienti di inclinazione del carico.</t>
  </si>
  <si>
    <t>Coefficiente di inclinazione del piano campagna.</t>
  </si>
  <si>
    <t>Secondo Brich-Hansen, 1970</t>
  </si>
  <si>
    <t>Coefficiente di inclinazione del piano di posa.</t>
  </si>
  <si>
    <t>Base</t>
  </si>
  <si>
    <t>Larghezza</t>
  </si>
  <si>
    <t>Base ridotta</t>
  </si>
  <si>
    <r>
      <rPr>
        <b/>
        <sz val="16"/>
        <color theme="1"/>
        <rFont val="Calibri"/>
        <family val="2"/>
        <scheme val="minor"/>
      </rPr>
      <t>e</t>
    </r>
    <r>
      <rPr>
        <b/>
        <sz val="8"/>
        <color theme="1"/>
        <rFont val="Calibri"/>
        <family val="2"/>
      </rPr>
      <t>b</t>
    </r>
  </si>
  <si>
    <t>Altezza zattera</t>
  </si>
  <si>
    <t>Affondamento</t>
  </si>
  <si>
    <t>Altezza magrone</t>
  </si>
  <si>
    <t>Carico verticale</t>
  </si>
  <si>
    <t>Carico Orizzontale</t>
  </si>
  <si>
    <t>TIPO ROTTURA:</t>
  </si>
  <si>
    <t>Coefficienti di forma</t>
  </si>
  <si>
    <t>Coefficienti di profondità</t>
  </si>
  <si>
    <t>Coefficienti di Inclinazione del carico</t>
  </si>
  <si>
    <t>Coefficienti di Inclinazione del piano campagna</t>
  </si>
  <si>
    <t>Coefficienti che tengono conto della rottura per ponzunamento</t>
  </si>
  <si>
    <t>Coefficienti di Inclinazione del piano di posa della fondazione</t>
  </si>
  <si>
    <t>Secondo Vesic (1973)</t>
  </si>
  <si>
    <t>Hscor.</t>
  </si>
  <si>
    <t>Grafico condizioni non drenate: Acceso</t>
  </si>
  <si>
    <t>VERIFICA AL RIBALTAMENTO</t>
  </si>
  <si>
    <t>VERIFICA AL COLLASSO PER CARICO LIMITE PER IL SISTEMA TERRENO-FONDAZIONE</t>
  </si>
  <si>
    <t>Momento Sollecitante</t>
  </si>
  <si>
    <r>
      <t>M</t>
    </r>
    <r>
      <rPr>
        <b/>
        <sz val="8"/>
        <color rgb="FFFF0000"/>
        <rFont val="Calibri"/>
        <family val="2"/>
      </rPr>
      <t>r, tot</t>
    </r>
  </si>
  <si>
    <r>
      <t>Sh,</t>
    </r>
    <r>
      <rPr>
        <b/>
        <sz val="8"/>
        <color rgb="FFFF0000"/>
        <rFont val="Calibri"/>
        <family val="2"/>
        <scheme val="minor"/>
      </rPr>
      <t>tot X</t>
    </r>
  </si>
  <si>
    <t>Situazione più gravosa</t>
  </si>
  <si>
    <t>Spinta orizzontale totale, nella situazione più gravosa</t>
  </si>
  <si>
    <t>Momento ribaltante totale, nella situazione più gravosa</t>
  </si>
  <si>
    <t>h,ter</t>
  </si>
  <si>
    <t>Altezza paramento e zattera</t>
  </si>
  <si>
    <t>h,tot</t>
  </si>
  <si>
    <t>2 Caratteristiche geometriche e pesi</t>
  </si>
  <si>
    <t>2.1 Caratteristiche geometriche e pesi del muro</t>
  </si>
  <si>
    <t>2.2 Caratteristiche geometriche e pesi del sistema terra-muro</t>
  </si>
  <si>
    <t>3 Verifica allo SLU di ribaltamento</t>
  </si>
  <si>
    <t>3.1 La verifica al ribaltamento si tratta con la combinazione EQU</t>
  </si>
  <si>
    <t>2 DATI DI PROGETTO</t>
  </si>
  <si>
    <t>3 FATTORI DI CAPACITA' PORTANTE</t>
  </si>
  <si>
    <t>4 COEFFICIENTI CORRETTIVI</t>
  </si>
  <si>
    <t>5 REGOLA DI MEYERHOF</t>
  </si>
  <si>
    <t>6 CARICO LIMITE</t>
  </si>
  <si>
    <t>7 VERIFICA CAPACITA' PORTANTE</t>
  </si>
  <si>
    <t>8 VERIFICA A SCORRIMENTO</t>
  </si>
  <si>
    <t>9 VERIFICA A PUNZONAMENTO</t>
  </si>
  <si>
    <t>10 VERIFICA PER ROTTURA LOCALE</t>
  </si>
  <si>
    <t>9 ROTTURA PER PUNZONAMENTO</t>
  </si>
  <si>
    <t>10 ROTTURA LOCALE</t>
  </si>
  <si>
    <t>Vuoi utilizzare valori unitari del coefficiente ?</t>
  </si>
  <si>
    <t>d</t>
  </si>
  <si>
    <t>Vuoi trascurare la spinta passiva nella verifica a scorrimento?</t>
  </si>
  <si>
    <t>Altezza per la spinta passiva</t>
  </si>
  <si>
    <t>Vuoi definire l'angolo di attrito?</t>
  </si>
  <si>
    <r>
      <t>δ</t>
    </r>
    <r>
      <rPr>
        <b/>
        <sz val="8"/>
        <color theme="1"/>
        <rFont val="Calibri"/>
        <family val="2"/>
      </rPr>
      <t>,k</t>
    </r>
  </si>
  <si>
    <r>
      <t>δ</t>
    </r>
    <r>
      <rPr>
        <b/>
        <sz val="8"/>
        <color theme="1"/>
        <rFont val="Calibri"/>
        <family val="2"/>
      </rPr>
      <t>,d</t>
    </r>
  </si>
  <si>
    <t>PHI-THETA(+)</t>
  </si>
  <si>
    <t>PHI-THETA(-)</t>
  </si>
  <si>
    <t>Wood</t>
  </si>
  <si>
    <t>kh</t>
  </si>
  <si>
    <t>Spinta a riposo</t>
  </si>
  <si>
    <t>Coefficienti di spinta attiva secondo la teoria di:</t>
  </si>
  <si>
    <t>1 COMBINAZIONE DI CALCOLO E PARAMETRI SISMICI</t>
  </si>
  <si>
    <t xml:space="preserve">Coefficiente di riduzione dell’accelerazione </t>
  </si>
  <si>
    <t>1 Combinazione di calcolo e parametri sismici</t>
  </si>
  <si>
    <r>
      <t>H</t>
    </r>
    <r>
      <rPr>
        <b/>
        <sz val="8"/>
        <color theme="1"/>
        <rFont val="Calibri"/>
        <family val="2"/>
      </rPr>
      <t>cal</t>
    </r>
  </si>
  <si>
    <r>
      <t>γ</t>
    </r>
    <r>
      <rPr>
        <b/>
        <i/>
        <sz val="9"/>
        <color theme="1"/>
        <rFont val="Calibri"/>
        <family val="2"/>
        <scheme val="minor"/>
      </rPr>
      <t>G1</t>
    </r>
  </si>
  <si>
    <r>
      <t>γ</t>
    </r>
    <r>
      <rPr>
        <b/>
        <i/>
        <sz val="9"/>
        <color theme="1"/>
        <rFont val="Calibri"/>
        <family val="2"/>
        <scheme val="minor"/>
      </rPr>
      <t>G2</t>
    </r>
  </si>
  <si>
    <r>
      <t>γ</t>
    </r>
    <r>
      <rPr>
        <b/>
        <i/>
        <sz val="9"/>
        <color theme="1"/>
        <rFont val="Calibri"/>
        <family val="2"/>
        <scheme val="minor"/>
      </rPr>
      <t>Qk</t>
    </r>
  </si>
  <si>
    <t>1-Combinazione di calcolo e parametri sismici</t>
  </si>
  <si>
    <t>asse neutro</t>
  </si>
  <si>
    <t>Rispetto al centro di rotazione</t>
  </si>
  <si>
    <t>Rispetto all'origine degli assi</t>
  </si>
  <si>
    <t>ZattSx</t>
  </si>
  <si>
    <t>ZattDx</t>
  </si>
  <si>
    <t>inc</t>
  </si>
  <si>
    <t>O.A.</t>
  </si>
  <si>
    <t>segno tens</t>
  </si>
  <si>
    <t>tensioni terreno real</t>
  </si>
  <si>
    <t>Posizione dell'asse neutro riferito all'origine degli assi</t>
  </si>
  <si>
    <t>a.n.</t>
  </si>
  <si>
    <t>q</t>
  </si>
  <si>
    <t>segno</t>
  </si>
  <si>
    <t>pend</t>
  </si>
  <si>
    <r>
      <t>S</t>
    </r>
    <r>
      <rPr>
        <b/>
        <sz val="8"/>
        <color rgb="FFFF0000"/>
        <rFont val="Calibri"/>
        <family val="2"/>
      </rPr>
      <t>h,terra</t>
    </r>
  </si>
  <si>
    <r>
      <t>S</t>
    </r>
    <r>
      <rPr>
        <b/>
        <sz val="8"/>
        <color rgb="FFFF0000"/>
        <rFont val="Calibri"/>
        <family val="2"/>
      </rPr>
      <t>h,G2</t>
    </r>
  </si>
  <si>
    <r>
      <t>S</t>
    </r>
    <r>
      <rPr>
        <b/>
        <sz val="8"/>
        <color rgb="FFFF0000"/>
        <rFont val="Calibri"/>
        <family val="2"/>
      </rPr>
      <t>h,Qk</t>
    </r>
  </si>
  <si>
    <t>Spinte e momenti risultanti</t>
  </si>
  <si>
    <r>
      <t>γ</t>
    </r>
    <r>
      <rPr>
        <b/>
        <sz val="8"/>
        <color rgb="FFFF0000"/>
        <rFont val="Calibri"/>
        <family val="2"/>
      </rPr>
      <t>G1</t>
    </r>
    <r>
      <rPr>
        <b/>
        <sz val="12"/>
        <color rgb="FFFF0000"/>
        <rFont val="Calibri"/>
        <family val="2"/>
      </rPr>
      <t/>
    </r>
  </si>
  <si>
    <r>
      <t>γ</t>
    </r>
    <r>
      <rPr>
        <b/>
        <sz val="8"/>
        <color rgb="FFFF0000"/>
        <rFont val="Calibri"/>
        <family val="2"/>
      </rPr>
      <t>G2</t>
    </r>
    <r>
      <rPr>
        <b/>
        <sz val="12"/>
        <color rgb="FFFF0000"/>
        <rFont val="Calibri"/>
        <family val="2"/>
      </rPr>
      <t xml:space="preserve"> </t>
    </r>
  </si>
  <si>
    <r>
      <t>γ</t>
    </r>
    <r>
      <rPr>
        <b/>
        <sz val="8"/>
        <color rgb="FFFF0000"/>
        <rFont val="Calibri"/>
        <family val="2"/>
      </rPr>
      <t>Qk</t>
    </r>
    <r>
      <rPr>
        <b/>
        <sz val="12"/>
        <color rgb="FFFF0000"/>
        <rFont val="Calibri"/>
        <family val="2"/>
      </rPr>
      <t xml:space="preserve"> </t>
    </r>
  </si>
  <si>
    <r>
      <t>σ</t>
    </r>
    <r>
      <rPr>
        <b/>
        <vertAlign val="subscript"/>
        <sz val="12"/>
        <color rgb="FFFF0000"/>
        <rFont val="Calibri"/>
        <family val="2"/>
      </rPr>
      <t xml:space="preserve">h,terra </t>
    </r>
  </si>
  <si>
    <r>
      <t>σ</t>
    </r>
    <r>
      <rPr>
        <b/>
        <vertAlign val="subscript"/>
        <sz val="12"/>
        <color rgb="FFFF0000"/>
        <rFont val="Calibri"/>
        <family val="2"/>
      </rPr>
      <t>h,G2</t>
    </r>
  </si>
  <si>
    <r>
      <t>σ</t>
    </r>
    <r>
      <rPr>
        <b/>
        <vertAlign val="subscript"/>
        <sz val="12"/>
        <color rgb="FFFF0000"/>
        <rFont val="Calibri"/>
        <family val="2"/>
      </rPr>
      <t>h,Qk</t>
    </r>
  </si>
  <si>
    <r>
      <t>γ</t>
    </r>
    <r>
      <rPr>
        <b/>
        <sz val="8"/>
        <color rgb="FFFF0000"/>
        <rFont val="Calibri"/>
        <family val="2"/>
      </rPr>
      <t>G1</t>
    </r>
    <r>
      <rPr>
        <b/>
        <sz val="12"/>
        <color rgb="FFFF0000"/>
        <rFont val="Calibri"/>
        <family val="2"/>
      </rPr>
      <t xml:space="preserve"> x S</t>
    </r>
    <r>
      <rPr>
        <b/>
        <vertAlign val="subscript"/>
        <sz val="12"/>
        <color rgb="FFFF0000"/>
        <rFont val="Calibri"/>
        <family val="2"/>
      </rPr>
      <t xml:space="preserve">h,terra </t>
    </r>
  </si>
  <si>
    <r>
      <t>γ</t>
    </r>
    <r>
      <rPr>
        <b/>
        <sz val="8"/>
        <color rgb="FFFF0000"/>
        <rFont val="Calibri"/>
        <family val="2"/>
      </rPr>
      <t>G2</t>
    </r>
    <r>
      <rPr>
        <b/>
        <sz val="12"/>
        <color rgb="FFFF0000"/>
        <rFont val="Calibri"/>
        <family val="2"/>
      </rPr>
      <t xml:space="preserve"> x S</t>
    </r>
    <r>
      <rPr>
        <b/>
        <vertAlign val="subscript"/>
        <sz val="12"/>
        <color rgb="FFFF0000"/>
        <rFont val="Calibri"/>
        <family val="2"/>
      </rPr>
      <t>h,G2</t>
    </r>
  </si>
  <si>
    <r>
      <t>γ</t>
    </r>
    <r>
      <rPr>
        <b/>
        <sz val="8"/>
        <color rgb="FFFF0000"/>
        <rFont val="Calibri"/>
        <family val="2"/>
      </rPr>
      <t>Qk</t>
    </r>
    <r>
      <rPr>
        <b/>
        <sz val="12"/>
        <color rgb="FFFF0000"/>
        <rFont val="Calibri"/>
        <family val="2"/>
      </rPr>
      <t xml:space="preserve"> x S</t>
    </r>
    <r>
      <rPr>
        <b/>
        <vertAlign val="subscript"/>
        <sz val="12"/>
        <color rgb="FFFF0000"/>
        <rFont val="Calibri"/>
        <family val="2"/>
      </rPr>
      <t>h,Qk</t>
    </r>
  </si>
  <si>
    <r>
      <t>∑S</t>
    </r>
    <r>
      <rPr>
        <b/>
        <sz val="8"/>
        <color rgb="FFFF0000"/>
        <rFont val="Calibri"/>
        <family val="2"/>
      </rPr>
      <t>h</t>
    </r>
  </si>
  <si>
    <r>
      <t>∑S</t>
    </r>
    <r>
      <rPr>
        <b/>
        <sz val="8"/>
        <color rgb="FFFF0000"/>
        <rFont val="Calibri"/>
        <family val="2"/>
      </rPr>
      <t>h, X</t>
    </r>
  </si>
  <si>
    <r>
      <t>∑S</t>
    </r>
    <r>
      <rPr>
        <b/>
        <sz val="8"/>
        <color rgb="FFFF0000"/>
        <rFont val="Calibri"/>
        <family val="2"/>
      </rPr>
      <t>h, Y</t>
    </r>
  </si>
  <si>
    <t>tensioni risultanti</t>
  </si>
  <si>
    <t>Coefficienti amplificativi</t>
  </si>
  <si>
    <t>Spinte di calcolo</t>
  </si>
  <si>
    <t xml:space="preserve">2 cu </t>
  </si>
  <si>
    <t>phi,check</t>
  </si>
  <si>
    <t>gamma,check</t>
  </si>
  <si>
    <t>cu,check</t>
  </si>
  <si>
    <t>c',check</t>
  </si>
  <si>
    <r>
      <t xml:space="preserve"> σ</t>
    </r>
    <r>
      <rPr>
        <b/>
        <vertAlign val="subscript"/>
        <sz val="12"/>
        <color rgb="FFFF0000"/>
        <rFont val="Calibri"/>
        <family val="2"/>
      </rPr>
      <t>h,G2</t>
    </r>
  </si>
  <si>
    <r>
      <t>γ</t>
    </r>
    <r>
      <rPr>
        <b/>
        <sz val="8"/>
        <color theme="1"/>
        <rFont val="Calibri"/>
        <family val="2"/>
        <scheme val="minor"/>
      </rPr>
      <t>G1</t>
    </r>
  </si>
  <si>
    <t>Spinte e momenti</t>
  </si>
  <si>
    <r>
      <t>M</t>
    </r>
    <r>
      <rPr>
        <b/>
        <sz val="8"/>
        <color rgb="FFFF0000"/>
        <rFont val="Calibri"/>
        <family val="2"/>
      </rPr>
      <t>r,d</t>
    </r>
  </si>
  <si>
    <r>
      <t>M</t>
    </r>
    <r>
      <rPr>
        <b/>
        <sz val="8"/>
        <color rgb="FFFF0000"/>
        <rFont val="Calibri"/>
        <family val="2"/>
      </rPr>
      <t>r, tot car</t>
    </r>
  </si>
  <si>
    <r>
      <t>m</t>
    </r>
    <r>
      <rPr>
        <b/>
        <sz val="8"/>
        <color theme="0" tint="-0.499984740745262"/>
        <rFont val="Calibri"/>
        <family val="2"/>
        <scheme val="minor"/>
      </rPr>
      <t>b</t>
    </r>
  </si>
  <si>
    <r>
      <t>σ</t>
    </r>
    <r>
      <rPr>
        <b/>
        <sz val="9"/>
        <color theme="1"/>
        <rFont val="Calibri"/>
        <family val="2"/>
      </rPr>
      <t>inc</t>
    </r>
  </si>
  <si>
    <t>Tensione sull'asse del paramento</t>
  </si>
  <si>
    <t>SOLLECITAZIONI</t>
  </si>
  <si>
    <t>VALORI PURIFICATI DA GAMMA</t>
  </si>
  <si>
    <t xml:space="preserve">CARICO </t>
  </si>
  <si>
    <t>T,fittizio</t>
  </si>
  <si>
    <t>T,inc</t>
  </si>
  <si>
    <t>M,inc</t>
  </si>
  <si>
    <t>ΔT dovuto alle approssimazioni</t>
  </si>
  <si>
    <t>Analisi delle Spinte Cond. drenate</t>
  </si>
  <si>
    <t>SUL PARAMENTO</t>
  </si>
  <si>
    <t>h,par,ARM</t>
  </si>
  <si>
    <t>M,fittizio</t>
  </si>
  <si>
    <t>h,cal,par</t>
  </si>
  <si>
    <t>h,cal,tot</t>
  </si>
  <si>
    <t>COSTRUZIONE DEL CARICO INERZIALE EQUIVALENTE</t>
  </si>
  <si>
    <t>Pm</t>
  </si>
  <si>
    <t>A+B</t>
  </si>
  <si>
    <t>testa</t>
  </si>
  <si>
    <t>base</t>
  </si>
  <si>
    <t>carico</t>
  </si>
  <si>
    <t>m*z+q</t>
  </si>
  <si>
    <t>zg</t>
  </si>
  <si>
    <r>
      <t>1</t>
    </r>
    <r>
      <rPr>
        <b/>
        <sz val="11"/>
        <color theme="1"/>
        <rFont val="Calibri"/>
        <family val="2"/>
      </rPr>
      <t>±</t>
    </r>
    <r>
      <rPr>
        <b/>
        <sz val="11"/>
        <color theme="1"/>
        <rFont val="Calibri"/>
        <family val="2"/>
        <scheme val="minor"/>
      </rPr>
      <t>kv</t>
    </r>
  </si>
  <si>
    <t>anteriore</t>
  </si>
  <si>
    <r>
      <t>ϒ</t>
    </r>
    <r>
      <rPr>
        <b/>
        <sz val="8"/>
        <color theme="1"/>
        <rFont val="Calibri"/>
        <family val="2"/>
      </rPr>
      <t>f,sotto</t>
    </r>
  </si>
  <si>
    <r>
      <t>ϒ</t>
    </r>
    <r>
      <rPr>
        <b/>
        <sz val="8"/>
        <color theme="1"/>
        <rFont val="Calibri"/>
        <family val="2"/>
      </rPr>
      <t>f,sopra</t>
    </r>
  </si>
  <si>
    <t>terreno monte</t>
  </si>
  <si>
    <t>terreno valle</t>
  </si>
  <si>
    <r>
      <t>ϒ</t>
    </r>
    <r>
      <rPr>
        <b/>
        <sz val="9"/>
        <color theme="1"/>
        <rFont val="Calibri"/>
        <family val="2"/>
      </rPr>
      <t>f,sopra,d</t>
    </r>
  </si>
  <si>
    <r>
      <t>ϒf</t>
    </r>
    <r>
      <rPr>
        <b/>
        <sz val="9"/>
        <color theme="1"/>
        <rFont val="Calibri"/>
        <family val="2"/>
      </rPr>
      <t>,sotto,d</t>
    </r>
  </si>
  <si>
    <r>
      <t>ϒ'</t>
    </r>
    <r>
      <rPr>
        <b/>
        <sz val="9"/>
        <color theme="1"/>
        <rFont val="Calibri"/>
        <family val="2"/>
      </rPr>
      <t>f,sopra,d</t>
    </r>
  </si>
  <si>
    <r>
      <t>ϒ'f</t>
    </r>
    <r>
      <rPr>
        <b/>
        <sz val="9"/>
        <color theme="1"/>
        <rFont val="Calibri"/>
        <family val="2"/>
      </rPr>
      <t>,sotto,d</t>
    </r>
  </si>
  <si>
    <t>Carico terra a valle del paramento</t>
  </si>
  <si>
    <r>
      <t>σ</t>
    </r>
    <r>
      <rPr>
        <b/>
        <vertAlign val="subscript"/>
        <sz val="12"/>
        <rFont val="Calibri"/>
        <family val="2"/>
      </rPr>
      <t>terra,tergo</t>
    </r>
  </si>
  <si>
    <r>
      <t>σ</t>
    </r>
    <r>
      <rPr>
        <b/>
        <vertAlign val="subscript"/>
        <sz val="12"/>
        <rFont val="Calibri"/>
        <family val="2"/>
      </rPr>
      <t>terra, valle</t>
    </r>
  </si>
  <si>
    <t>Peso specifico del terreno sopra la zattera dal lato di valle</t>
  </si>
  <si>
    <t>Affondamento della zattera, misurato rispetto al piano di posa</t>
  </si>
  <si>
    <t>sigma terra tergo</t>
  </si>
  <si>
    <t>sigma terra valle</t>
  </si>
  <si>
    <t>CARICO INDOTTO DA SOPRA, terreno lato valle</t>
  </si>
  <si>
    <t>Ka</t>
  </si>
  <si>
    <t>Inclinazione del paramento (complementare)</t>
  </si>
  <si>
    <t>STRATO 1</t>
  </si>
  <si>
    <t>STRATO 3</t>
  </si>
  <si>
    <t>STRATO 2</t>
  </si>
  <si>
    <t>Resoconto coefficienti di Spinta Attiva</t>
  </si>
  <si>
    <t>Altezza del cuneo di spinta passiva</t>
  </si>
  <si>
    <t>γG1</t>
  </si>
  <si>
    <t>γG2</t>
  </si>
  <si>
    <t>γQk</t>
  </si>
  <si>
    <t>scorri-              mento</t>
  </si>
  <si>
    <t>5.1 Output grafico " Tensioni risultanti amplificate dai coefficienti γ "</t>
  </si>
  <si>
    <t>3.1 Carichi</t>
  </si>
  <si>
    <t>3 Sollecitazioni</t>
  </si>
  <si>
    <t>2 Caratteristiche dei materiali</t>
  </si>
  <si>
    <t>distribuzione del carico dinamico dell'acqua</t>
  </si>
  <si>
    <t>Coefficiente riduttivo per attrito e inclinazione</t>
  </si>
  <si>
    <t>distribuzione trapezia delle forze d'inerzia</t>
  </si>
  <si>
    <t>z,parziale</t>
  </si>
  <si>
    <t>3.1 Caratteristiche della sollecitazione</t>
  </si>
  <si>
    <t>Sh,tot Y</t>
  </si>
  <si>
    <t>carico del muro</t>
  </si>
  <si>
    <t>coef</t>
  </si>
  <si>
    <t>inerz</t>
  </si>
  <si>
    <t>acq din</t>
  </si>
  <si>
    <t>T(triang)</t>
  </si>
  <si>
    <t>T(rett)</t>
  </si>
  <si>
    <t>carico medio triang</t>
  </si>
  <si>
    <t>carico medio rett</t>
  </si>
  <si>
    <r>
      <t>Sh,</t>
    </r>
    <r>
      <rPr>
        <b/>
        <sz val="9"/>
        <rFont val="Calibri"/>
        <family val="2"/>
        <scheme val="minor"/>
      </rPr>
      <t>tot X</t>
    </r>
  </si>
  <si>
    <t>POS 3</t>
  </si>
  <si>
    <t>POS 4</t>
  </si>
  <si>
    <t>POS 5</t>
  </si>
  <si>
    <t>POS 2</t>
  </si>
  <si>
    <t>POS 1</t>
  </si>
  <si>
    <t xml:space="preserve">As </t>
  </si>
  <si>
    <r>
      <rPr>
        <sz val="11"/>
        <color theme="1"/>
        <rFont val="Calibri"/>
        <family val="2"/>
      </rPr>
      <t>Σ</t>
    </r>
    <r>
      <rPr>
        <sz val="9.9"/>
        <color theme="1"/>
        <rFont val="Calibri"/>
        <family val="2"/>
      </rPr>
      <t>M</t>
    </r>
  </si>
  <si>
    <t>MC</t>
  </si>
  <si>
    <t>MPOS1</t>
  </si>
  <si>
    <t>MPOS2</t>
  </si>
  <si>
    <t>MPOS3</t>
  </si>
  <si>
    <t>MPOS4</t>
  </si>
  <si>
    <t>MPOS5</t>
  </si>
  <si>
    <t>STEP</t>
  </si>
  <si>
    <t>SEZIONE STEP 0</t>
  </si>
  <si>
    <t>β2</t>
  </si>
  <si>
    <r>
      <t>β</t>
    </r>
    <r>
      <rPr>
        <b/>
        <sz val="9.9"/>
        <color theme="1"/>
        <rFont val="Calibri"/>
        <family val="2"/>
      </rPr>
      <t>1</t>
    </r>
  </si>
  <si>
    <r>
      <t>α</t>
    </r>
    <r>
      <rPr>
        <b/>
        <sz val="9"/>
        <color theme="1"/>
        <rFont val="Calibri"/>
        <family val="2"/>
      </rPr>
      <t>c</t>
    </r>
  </si>
  <si>
    <r>
      <t>ε</t>
    </r>
    <r>
      <rPr>
        <b/>
        <sz val="9"/>
        <color theme="1"/>
        <rFont val="Calibri"/>
        <family val="2"/>
      </rPr>
      <t>c</t>
    </r>
  </si>
  <si>
    <r>
      <t>ε</t>
    </r>
    <r>
      <rPr>
        <b/>
        <sz val="9"/>
        <color theme="1"/>
        <rFont val="Calibri"/>
        <family val="2"/>
      </rPr>
      <t>s1</t>
    </r>
  </si>
  <si>
    <r>
      <t>ε</t>
    </r>
    <r>
      <rPr>
        <b/>
        <sz val="9"/>
        <color theme="1"/>
        <rFont val="Calibri"/>
        <family val="2"/>
      </rPr>
      <t>s2</t>
    </r>
  </si>
  <si>
    <r>
      <t>ε</t>
    </r>
    <r>
      <rPr>
        <b/>
        <sz val="9"/>
        <color theme="1"/>
        <rFont val="Calibri"/>
        <family val="2"/>
      </rPr>
      <t>s3</t>
    </r>
  </si>
  <si>
    <r>
      <t>ε</t>
    </r>
    <r>
      <rPr>
        <b/>
        <sz val="9"/>
        <color theme="1"/>
        <rFont val="Calibri"/>
        <family val="2"/>
      </rPr>
      <t>s4</t>
    </r>
  </si>
  <si>
    <r>
      <t>ε</t>
    </r>
    <r>
      <rPr>
        <b/>
        <sz val="9"/>
        <color theme="1"/>
        <rFont val="Calibri"/>
        <family val="2"/>
      </rPr>
      <t>s5</t>
    </r>
  </si>
  <si>
    <t>d(z)</t>
  </si>
  <si>
    <t>trappola</t>
  </si>
  <si>
    <t>M,Rd(z)</t>
  </si>
  <si>
    <t>M,Ed(z)</t>
  </si>
  <si>
    <t>M,min</t>
  </si>
  <si>
    <r>
      <t>M</t>
    </r>
    <r>
      <rPr>
        <b/>
        <sz val="9"/>
        <color theme="1"/>
        <rFont val="Calibri"/>
        <family val="2"/>
        <scheme val="minor"/>
      </rPr>
      <t>POS1</t>
    </r>
  </si>
  <si>
    <r>
      <t>M</t>
    </r>
    <r>
      <rPr>
        <b/>
        <sz val="9"/>
        <color theme="1"/>
        <rFont val="Calibri"/>
        <family val="2"/>
        <scheme val="minor"/>
      </rPr>
      <t>POS2</t>
    </r>
  </si>
  <si>
    <r>
      <t>M</t>
    </r>
    <r>
      <rPr>
        <b/>
        <sz val="9"/>
        <color theme="1"/>
        <rFont val="Calibri"/>
        <family val="2"/>
        <scheme val="minor"/>
      </rPr>
      <t>POS3</t>
    </r>
  </si>
  <si>
    <r>
      <t>M</t>
    </r>
    <r>
      <rPr>
        <b/>
        <sz val="9"/>
        <color theme="1"/>
        <rFont val="Calibri"/>
        <family val="2"/>
        <scheme val="minor"/>
      </rPr>
      <t>POS4</t>
    </r>
  </si>
  <si>
    <r>
      <t>M</t>
    </r>
    <r>
      <rPr>
        <b/>
        <sz val="9"/>
        <color theme="1"/>
        <rFont val="Calibri"/>
        <family val="2"/>
        <scheme val="minor"/>
      </rPr>
      <t>POS5</t>
    </r>
  </si>
  <si>
    <t>VERIFICA</t>
  </si>
  <si>
    <r>
      <t>Dist,</t>
    </r>
    <r>
      <rPr>
        <b/>
        <sz val="9"/>
        <color theme="1"/>
        <rFont val="Calibri"/>
        <family val="2"/>
        <scheme val="minor"/>
      </rPr>
      <t>POS 5</t>
    </r>
  </si>
  <si>
    <t>ARMATURE PER GLI STEP 0-2</t>
  </si>
  <si>
    <t>ARMATURE PER GLI STEP 3-4</t>
  </si>
  <si>
    <t>ARMATURE PER GLI STEP 5-6</t>
  </si>
  <si>
    <t>ARMATURE PER GLI STEP 7-8</t>
  </si>
  <si>
    <t>Spessore del copriferro</t>
  </si>
  <si>
    <t>SEZIONE STEP 1</t>
  </si>
  <si>
    <t>2 PARAMETRI SISMICI SLV</t>
  </si>
  <si>
    <t xml:space="preserve">Coefficiente di amplificazione spettrale </t>
  </si>
  <si>
    <t>ATTIVA</t>
  </si>
  <si>
    <t>SEZIONE STEP 2</t>
  </si>
  <si>
    <t>SEZIONE STEP 3</t>
  </si>
  <si>
    <t>SEZIONE STEP 4</t>
  </si>
  <si>
    <t>SEZIONE STEP 5</t>
  </si>
  <si>
    <t>SEZIONE STEP 6</t>
  </si>
  <si>
    <t>SEZIONE STEP 7</t>
  </si>
  <si>
    <t>ARMATURE PER GLI STEP 9-10</t>
  </si>
  <si>
    <r>
      <t>M</t>
    </r>
    <r>
      <rPr>
        <b/>
        <sz val="9"/>
        <color theme="1"/>
        <rFont val="Calibri"/>
        <family val="2"/>
        <scheme val="minor"/>
      </rPr>
      <t>CLS</t>
    </r>
  </si>
  <si>
    <t>SEZIONE STEP 8</t>
  </si>
  <si>
    <t>SEZIONE STEP 9</t>
  </si>
  <si>
    <t>SEZIONE STEP 10</t>
  </si>
  <si>
    <t>H costole</t>
  </si>
  <si>
    <t>distribuito</t>
  </si>
  <si>
    <t>puntuale</t>
  </si>
  <si>
    <t>1.3 Deformazioni limite</t>
  </si>
  <si>
    <t>Deformazione allo snervamento per l'acciaio</t>
  </si>
  <si>
    <t>Deformazione a rottura per il calcestruzzo</t>
  </si>
  <si>
    <t>Coefficiente di fatica del calcestruzzo</t>
  </si>
  <si>
    <t>ASSE NEUTRO</t>
  </si>
  <si>
    <t>POS1</t>
  </si>
  <si>
    <t>POS2</t>
  </si>
  <si>
    <t>POS3</t>
  </si>
  <si>
    <t>POS4</t>
  </si>
  <si>
    <t>POS5</t>
  </si>
  <si>
    <t>L1</t>
  </si>
  <si>
    <t>L2</t>
  </si>
  <si>
    <t>L3</t>
  </si>
  <si>
    <t>L4</t>
  </si>
  <si>
    <t>L5</t>
  </si>
  <si>
    <t>QUANDO STA A SX</t>
  </si>
  <si>
    <t>QUANDO STA A DX</t>
  </si>
  <si>
    <r>
      <t>Dist,</t>
    </r>
    <r>
      <rPr>
        <b/>
        <sz val="9"/>
        <color theme="1"/>
        <rFont val="Calibri"/>
        <family val="2"/>
        <scheme val="minor"/>
      </rPr>
      <t>POS 1</t>
    </r>
  </si>
  <si>
    <r>
      <t>Dist,</t>
    </r>
    <r>
      <rPr>
        <b/>
        <sz val="9"/>
        <color theme="1"/>
        <rFont val="Calibri"/>
        <family val="2"/>
        <scheme val="minor"/>
      </rPr>
      <t>POS 2</t>
    </r>
  </si>
  <si>
    <r>
      <t>Dist,</t>
    </r>
    <r>
      <rPr>
        <b/>
        <sz val="9"/>
        <color theme="1"/>
        <rFont val="Calibri"/>
        <family val="2"/>
        <scheme val="minor"/>
      </rPr>
      <t>POS 3</t>
    </r>
  </si>
  <si>
    <r>
      <t>Dist,</t>
    </r>
    <r>
      <rPr>
        <b/>
        <sz val="9"/>
        <color theme="1"/>
        <rFont val="Calibri"/>
        <family val="2"/>
        <scheme val="minor"/>
      </rPr>
      <t>POS 4</t>
    </r>
  </si>
  <si>
    <t>A partire dall'estradosso della zattera (interessano solo il paramento)</t>
  </si>
  <si>
    <t>ARMATURA</t>
  </si>
  <si>
    <t>←POS 3</t>
  </si>
  <si>
    <t>Se la casella è rossa l'armatura ha raggiunto il limite di deformazione, posto a 6,5%</t>
  </si>
  <si>
    <t>Se la casella è gialla: l'armatura è in campo elastico &lt; 0,187%</t>
  </si>
  <si>
    <t>utilizzo</t>
  </si>
  <si>
    <t>Il valore negativo indica armatura compressa</t>
  </si>
  <si>
    <t>Da quota</t>
  </si>
  <si>
    <t>a quota</t>
  </si>
  <si>
    <t>Quota (z)</t>
  </si>
  <si>
    <t>Si inserisce un'armatura di tentativo e si verifica se questa è sufficiente oppure eccessiva</t>
  </si>
  <si>
    <t>4.1 Definizione della posizione delle armature</t>
  </si>
  <si>
    <t>4 Progetto a flessione</t>
  </si>
  <si>
    <t>4.2 Definizione dello spessore del copriferro</t>
  </si>
  <si>
    <t>4.3 Definizione del quantitativo di armatura al variare della quota del parmento</t>
  </si>
  <si>
    <t>4.4 Verifiche flessione</t>
  </si>
  <si>
    <t>4.4.1 Momento resistente vs Momento sollecitante e coefficiente di utilizzo</t>
  </si>
  <si>
    <t>4.4.1 Momenti resistenti di tutti gli elementi e posizione dell'asse neutro</t>
  </si>
  <si>
    <t>4.4.2 Deformazione delle armature</t>
  </si>
  <si>
    <t>4.4.3 Posizione delle armature al variare della quota del paramento</t>
  </si>
  <si>
    <t>5 Progetto a taglio</t>
  </si>
  <si>
    <r>
      <t>h,</t>
    </r>
    <r>
      <rPr>
        <b/>
        <sz val="9"/>
        <color theme="1"/>
        <rFont val="Calibri"/>
        <family val="2"/>
        <scheme val="minor"/>
      </rPr>
      <t>par</t>
    </r>
  </si>
  <si>
    <t>Altezza del paramento</t>
  </si>
  <si>
    <r>
      <t>ε</t>
    </r>
    <r>
      <rPr>
        <b/>
        <sz val="9"/>
        <color theme="1"/>
        <rFont val="Calibri"/>
        <family val="2"/>
      </rPr>
      <t>ys</t>
    </r>
  </si>
  <si>
    <r>
      <t>ε</t>
    </r>
    <r>
      <rPr>
        <b/>
        <sz val="9"/>
        <color theme="1"/>
        <rFont val="Calibri"/>
        <family val="2"/>
      </rPr>
      <t>us</t>
    </r>
  </si>
  <si>
    <t>INCASTRO</t>
  </si>
  <si>
    <t>TESTA</t>
  </si>
  <si>
    <t>altezza della sezione(problema numerico!)</t>
  </si>
  <si>
    <t>3.1 Output grafico: sezione sagittale e trasversale</t>
  </si>
  <si>
    <t>grafico Mrd</t>
  </si>
  <si>
    <t>Paraghiaia</t>
  </si>
  <si>
    <t>tensioni orizzontali totali</t>
  </si>
  <si>
    <t>tensioni verticali totali</t>
  </si>
  <si>
    <t>cond drenate</t>
  </si>
  <si>
    <t>cond non drenate</t>
  </si>
  <si>
    <r>
      <t>σ'</t>
    </r>
    <r>
      <rPr>
        <b/>
        <vertAlign val="subscript"/>
        <sz val="12"/>
        <rFont val="Calibri"/>
        <family val="2"/>
      </rPr>
      <t>v,terra</t>
    </r>
  </si>
  <si>
    <t>tensioni verticali efficaci</t>
  </si>
  <si>
    <t>ΣF</t>
  </si>
  <si>
    <t>PASSO VAR</t>
  </si>
  <si>
    <r>
      <t>Σ</t>
    </r>
    <r>
      <rPr>
        <b/>
        <sz val="9.9"/>
        <color theme="1"/>
        <rFont val="Calibri"/>
        <family val="2"/>
      </rPr>
      <t>M= M,Rd(z)</t>
    </r>
  </si>
  <si>
    <t>L'asse neutro parte sempre dal lembo compresso</t>
  </si>
  <si>
    <t>Muro a contrafforti</t>
  </si>
  <si>
    <t>Muro a paramento inclinato</t>
  </si>
  <si>
    <t>Muro a paramento verticale</t>
  </si>
  <si>
    <t>Verifica cap 4</t>
  </si>
  <si>
    <t>Asl</t>
  </si>
  <si>
    <t>Loess</t>
  </si>
  <si>
    <t>Sabbia e ghiaia compatta</t>
  </si>
  <si>
    <t>Sabbia e ghiaia sciolta</t>
  </si>
  <si>
    <t>Sabbia compatta</t>
  </si>
  <si>
    <t>Sabbia sciolta</t>
  </si>
  <si>
    <t>Sabbia limosa</t>
  </si>
  <si>
    <t>Limo</t>
  </si>
  <si>
    <t>Argilla sabbiosa</t>
  </si>
  <si>
    <t>Argilla dura (non sature)</t>
  </si>
  <si>
    <t>Argilla media</t>
  </si>
  <si>
    <t xml:space="preserve">Argilla  molle </t>
  </si>
  <si>
    <t>Argilla molto molle (sature)</t>
  </si>
  <si>
    <t>ν</t>
  </si>
  <si>
    <t>medio</t>
  </si>
  <si>
    <t>min</t>
  </si>
  <si>
    <t>max</t>
  </si>
  <si>
    <t>M [kpa]</t>
  </si>
  <si>
    <t>Dr</t>
  </si>
  <si>
    <t>coefficiente di Poisson</t>
  </si>
  <si>
    <t>E [kpa]</t>
  </si>
  <si>
    <t>Kw</t>
  </si>
  <si>
    <t>Costante di Winkler</t>
  </si>
  <si>
    <t>Coefficiente di Poisson</t>
  </si>
  <si>
    <t>Modulo edometrico</t>
  </si>
  <si>
    <t>Modulo elastico</t>
  </si>
  <si>
    <t>Densità relativa</t>
  </si>
  <si>
    <t>P.S. terreno sopra il piano di posa.</t>
  </si>
  <si>
    <r>
      <t>ϒ'f</t>
    </r>
    <r>
      <rPr>
        <b/>
        <sz val="9"/>
        <color theme="1"/>
        <rFont val="Calibri"/>
        <family val="2"/>
      </rPr>
      <t>,medio</t>
    </r>
  </si>
  <si>
    <t>P.S. terreno sotto il piano di posa.</t>
  </si>
  <si>
    <t xml:space="preserve">P.S. medio del terreno </t>
  </si>
  <si>
    <r>
      <t>ϒf</t>
    </r>
    <r>
      <rPr>
        <b/>
        <sz val="9"/>
        <color theme="1"/>
        <rFont val="Calibri"/>
        <family val="2"/>
      </rPr>
      <t>,medio</t>
    </r>
  </si>
  <si>
    <r>
      <t xml:space="preserve">Per muro a paramento inclinato inserire: </t>
    </r>
    <r>
      <rPr>
        <b/>
        <sz val="14"/>
        <color theme="1"/>
        <rFont val="Calibri"/>
        <family val="2"/>
        <scheme val="minor"/>
      </rPr>
      <t xml:space="preserve">nc=1 </t>
    </r>
    <r>
      <rPr>
        <sz val="14"/>
        <color theme="1"/>
        <rFont val="Calibri"/>
        <family val="2"/>
        <scheme val="minor"/>
      </rPr>
      <t>e</t>
    </r>
    <r>
      <rPr>
        <b/>
        <sz val="14"/>
        <color theme="1"/>
        <rFont val="Calibri"/>
        <family val="2"/>
        <scheme val="minor"/>
      </rPr>
      <t xml:space="preserve"> sc=L</t>
    </r>
  </si>
  <si>
    <r>
      <t xml:space="preserve">Se </t>
    </r>
    <r>
      <rPr>
        <b/>
        <sz val="14"/>
        <color theme="1"/>
        <rFont val="Calibri"/>
        <family val="2"/>
        <scheme val="minor"/>
      </rPr>
      <t>his=hfs</t>
    </r>
    <r>
      <rPr>
        <sz val="14"/>
        <color theme="1"/>
        <rFont val="Calibri"/>
        <family val="2"/>
        <scheme val="minor"/>
      </rPr>
      <t xml:space="preserve"> il paramento è verticale; altrimenti è inclinato</t>
    </r>
  </si>
  <si>
    <t>Questo programma è pensato per il pogetto e la verifica di paramenti</t>
  </si>
  <si>
    <t>a semigravità, dalla geometria articolata. Ad esempio muri a contrafforte</t>
  </si>
  <si>
    <t xml:space="preserve">a costole inclinate. </t>
  </si>
  <si>
    <t xml:space="preserve">Il foglio di calcolo esegue tutte le verifiche sulla stabilità del muro, escluse </t>
  </si>
  <si>
    <t>analisi pseudo-statica.</t>
  </si>
  <si>
    <t>le verifiche alla stabilità del pendio. Si calcola l'azione sismica attraverso</t>
  </si>
  <si>
    <t xml:space="preserve">Il calcolo della spinta viene effettuato sfruttando le varie teorie presenti in </t>
  </si>
  <si>
    <t>Si considera inoltre la spinta dell'acqua e la riduzione di spinta dovuta alla</t>
  </si>
  <si>
    <t xml:space="preserve">coesione. Si può anche fare l'ipotesi che a tergo del paramento venga </t>
  </si>
  <si>
    <t>realizzato un drenaggio, annullando in questo modo le spinte dell'acqua.</t>
  </si>
  <si>
    <t>utilizzando la formula di Brich-Hansen, con coefficienti correttivi.</t>
  </si>
  <si>
    <t>letteratura: Rankine; Muller-Breslau; Lancellotta; Mononobe-Okabe.</t>
  </si>
  <si>
    <t>paraghiaia</t>
  </si>
  <si>
    <t>il riferimento in questa analisi si trova in sommità sul paramento, sul lato sx</t>
  </si>
  <si>
    <r>
      <t xml:space="preserve">Nel caso di muri a contrafforti in </t>
    </r>
    <r>
      <rPr>
        <b/>
        <sz val="14"/>
        <color theme="1"/>
        <rFont val="Calibri"/>
        <family val="2"/>
        <scheme val="minor"/>
      </rPr>
      <t>his</t>
    </r>
    <r>
      <rPr>
        <sz val="14"/>
        <color theme="1"/>
        <rFont val="Calibri"/>
        <family val="2"/>
        <scheme val="minor"/>
      </rPr>
      <t xml:space="preserve"> e</t>
    </r>
    <r>
      <rPr>
        <b/>
        <sz val="14"/>
        <color theme="1"/>
        <rFont val="Calibri"/>
        <family val="2"/>
        <scheme val="minor"/>
      </rPr>
      <t xml:space="preserve"> hfs </t>
    </r>
    <r>
      <rPr>
        <sz val="14"/>
        <color theme="1"/>
        <rFont val="Calibri"/>
        <family val="2"/>
        <scheme val="minor"/>
      </rPr>
      <t>includere anche lo spessore della costola</t>
    </r>
  </si>
  <si>
    <t>Quando si inseriscono i dati conviene sempre aiutarsi con l'auto-disegno più in basso</t>
  </si>
  <si>
    <t>ANALISI DELLE SPINTE</t>
  </si>
  <si>
    <t>DEFINIZIONE DATI</t>
  </si>
  <si>
    <t>Le verifiche geotecniche dettate dalle NTC-18, sono eseguite dando</t>
  </si>
  <si>
    <t xml:space="preserve">Le verifiche di tipo GEO vanno condotte in approccio 2 </t>
  </si>
  <si>
    <t>sfav.</t>
  </si>
  <si>
    <t>fav.</t>
  </si>
  <si>
    <t>Coefficiente parziale Ribaltamento</t>
  </si>
  <si>
    <t>Vedi Normativa --&gt;</t>
  </si>
  <si>
    <t>MURI DI SOSTEGNO IN ZONA SISMICA</t>
  </si>
  <si>
    <t>Formule --&gt;</t>
  </si>
  <si>
    <t>C30/37</t>
  </si>
  <si>
    <t>C55/67</t>
  </si>
  <si>
    <t>Altezza del muretto paraghiaia</t>
  </si>
  <si>
    <t>In</t>
  </si>
  <si>
    <r>
      <t xml:space="preserve">Amp. </t>
    </r>
    <r>
      <rPr>
        <sz val="11"/>
        <color theme="1"/>
        <rFont val="Calibri"/>
        <family val="2"/>
        <scheme val="minor"/>
      </rPr>
      <t>βm +50%</t>
    </r>
  </si>
  <si>
    <t>REGOLA DI MEYERHOF</t>
  </si>
  <si>
    <t>Superficie d'impronta ridotta</t>
  </si>
  <si>
    <t>ALTEZZA DELLA CURVA DI SCORRIMENTO</t>
  </si>
  <si>
    <t>Se la falda intercetta la curva di scorrimento, si fa l'ipotesi che il pelo libero sia situato sul piano</t>
  </si>
  <si>
    <t>campagna, viceversa si esegue l'analisi in assenza di falda.</t>
  </si>
  <si>
    <t>COEFFICIENTI RIDUTTIVI</t>
  </si>
  <si>
    <t>VERIFICA ALLO SCORRIMENTO</t>
  </si>
  <si>
    <t>B/L</t>
  </si>
  <si>
    <t>c</t>
  </si>
  <si>
    <t>Lunghezza del muro</t>
  </si>
  <si>
    <t>=(Mrd-Med)/Peso,d</t>
  </si>
  <si>
    <t>=Lz/2-Ud</t>
  </si>
  <si>
    <t>4-Carichi sulla zattera</t>
  </si>
  <si>
    <t>versione 2.3 (NTC18)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</si>
</sst>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164" formatCode="0.000"/>
    <numFmt numFmtId="165" formatCode="0.0"/>
    <numFmt numFmtId="166" formatCode="0.0000"/>
    <numFmt numFmtId="167" formatCode="0.00\ &quot;m&quot;"/>
    <numFmt numFmtId="168" formatCode="0.00\ &quot;mc&quot;"/>
    <numFmt numFmtId="169" formatCode="0.00\ &quot;mq&quot;"/>
    <numFmt numFmtId="170" formatCode="&quot;φ&quot;\ 0"/>
    <numFmt numFmtId="171" formatCode="&quot;/&quot;\ 0.0\ &quot;cm&quot;"/>
    <numFmt numFmtId="172" formatCode="0.000000"/>
    <numFmt numFmtId="173" formatCode="&quot;±&quot;\ 0.00"/>
    <numFmt numFmtId="174" formatCode="0.000000000"/>
    <numFmt numFmtId="175" formatCode="0.00&quot; m&quot;"/>
    <numFmt numFmtId="176" formatCode="0.00&quot; m³&quot;"/>
    <numFmt numFmtId="177" formatCode="0.00&quot; kN&quot;"/>
    <numFmt numFmtId="178" formatCode="0.00&quot; kN/m²&quot;"/>
    <numFmt numFmtId="179" formatCode="&quot;±&quot;\ 0.00&quot; m&quot;"/>
    <numFmt numFmtId="180" formatCode="0.00&quot; °&quot;"/>
    <numFmt numFmtId="181" formatCode="0.000&quot; m&quot;"/>
    <numFmt numFmtId="182" formatCode="0.00&quot; kN/m³&quot;"/>
    <numFmt numFmtId="183" formatCode="0.00&quot; kPa&quot;"/>
    <numFmt numFmtId="184" formatCode="0&quot; %&quot;"/>
    <numFmt numFmtId="185" formatCode="0.0&quot; %&quot;"/>
    <numFmt numFmtId="186" formatCode="0.0&quot; kN/m³&quot;"/>
    <numFmt numFmtId="187" formatCode="0.0&quot; kPa&quot;"/>
    <numFmt numFmtId="188" formatCode="0.0&quot; kN&quot;"/>
    <numFmt numFmtId="189" formatCode="0.0&quot; kNm&quot;"/>
    <numFmt numFmtId="190" formatCode="0.000&quot; m/s²&quot;"/>
    <numFmt numFmtId="191" formatCode="0.000&quot; s&quot;"/>
    <numFmt numFmtId="192" formatCode="&quot;±&quot;\ 0.000"/>
    <numFmt numFmtId="193" formatCode="0.0000&quot; m&quot;"/>
    <numFmt numFmtId="194" formatCode="0.000&quot; kN&quot;"/>
    <numFmt numFmtId="195" formatCode="0.00&quot; kN/m&quot;"/>
    <numFmt numFmtId="196" formatCode="0.00&quot; N/mm²&quot;"/>
    <numFmt numFmtId="197" formatCode="0.0&quot; N/mm²&quot;"/>
    <numFmt numFmtId="198" formatCode="0&quot; N/mm²&quot;"/>
    <numFmt numFmtId="199" formatCode="0&quot; kPa&quot;"/>
    <numFmt numFmtId="200" formatCode="0.00000000000000000000000000000000"/>
    <numFmt numFmtId="201" formatCode="0&quot; mm²&quot;"/>
    <numFmt numFmtId="202" formatCode="0&quot; mm&quot;"/>
    <numFmt numFmtId="203" formatCode="0.000%"/>
    <numFmt numFmtId="204" formatCode="0.0&quot; mm&quot;"/>
    <numFmt numFmtId="205" formatCode="0.00000&quot; m&quot;"/>
    <numFmt numFmtId="206" formatCode="0.000000&quot; m&quot;"/>
    <numFmt numFmtId="207" formatCode="0.00000000&quot; m&quot;"/>
    <numFmt numFmtId="208" formatCode="0.000000000&quot; m&quot;"/>
    <numFmt numFmtId="209" formatCode="0&quot; N/cm³&quot;"/>
    <numFmt numFmtId="210" formatCode="0.00000"/>
  </numFmts>
  <fonts count="106" x14ac:knownFonts="1">
    <font>
      <sz val="11"/>
      <color theme="1"/>
      <name val="Calibri"/>
      <family val="2"/>
      <scheme val="minor"/>
    </font>
    <font>
      <b/>
      <sz val="11"/>
      <color theme="1"/>
      <name val="Calibri"/>
      <family val="2"/>
      <scheme val="minor"/>
    </font>
    <font>
      <sz val="11"/>
      <color theme="1"/>
      <name val="Calibri"/>
      <family val="2"/>
    </font>
    <font>
      <sz val="16"/>
      <color theme="1"/>
      <name val="Calibri"/>
      <family val="2"/>
      <scheme val="minor"/>
    </font>
    <font>
      <b/>
      <sz val="11"/>
      <color theme="1"/>
      <name val="Calibri"/>
      <family val="2"/>
    </font>
    <font>
      <sz val="8"/>
      <color theme="1"/>
      <name val="Calibri"/>
      <family val="2"/>
      <scheme val="minor"/>
    </font>
    <font>
      <b/>
      <sz val="12"/>
      <color theme="1"/>
      <name val="Calibri"/>
      <family val="2"/>
      <scheme val="minor"/>
    </font>
    <font>
      <b/>
      <sz val="8"/>
      <color theme="1"/>
      <name val="Calibri"/>
      <family val="2"/>
      <scheme val="minor"/>
    </font>
    <font>
      <b/>
      <sz val="16"/>
      <color theme="1"/>
      <name val="Calibri"/>
      <family val="2"/>
      <scheme val="minor"/>
    </font>
    <font>
      <b/>
      <sz val="8"/>
      <color theme="1"/>
      <name val="Calibri"/>
      <family val="2"/>
    </font>
    <font>
      <b/>
      <sz val="11"/>
      <color rgb="FFFF0000"/>
      <name val="Calibri"/>
      <family val="2"/>
      <scheme val="minor"/>
    </font>
    <font>
      <b/>
      <sz val="14"/>
      <color theme="1"/>
      <name val="Calibri"/>
      <family val="2"/>
    </font>
    <font>
      <sz val="9"/>
      <color indexed="81"/>
      <name val="Tahoma"/>
      <family val="2"/>
    </font>
    <font>
      <b/>
      <sz val="9"/>
      <color indexed="81"/>
      <name val="Tahoma"/>
      <family val="2"/>
    </font>
    <font>
      <b/>
      <i/>
      <sz val="11"/>
      <color rgb="FFFF0000"/>
      <name val="Calibri"/>
      <family val="2"/>
      <scheme val="minor"/>
    </font>
    <font>
      <b/>
      <sz val="12"/>
      <color rgb="FFFF0000"/>
      <name val="Calibri"/>
      <family val="2"/>
      <scheme val="minor"/>
    </font>
    <font>
      <sz val="18"/>
      <color theme="1"/>
      <name val="Calibri"/>
      <family val="2"/>
      <scheme val="minor"/>
    </font>
    <font>
      <i/>
      <sz val="11"/>
      <name val="Calibri"/>
      <family val="2"/>
      <scheme val="minor"/>
    </font>
    <font>
      <sz val="12"/>
      <color theme="1"/>
      <name val="Arial"/>
      <family val="2"/>
    </font>
    <font>
      <u/>
      <sz val="11"/>
      <color theme="10"/>
      <name val="Calibri"/>
      <family val="2"/>
      <scheme val="minor"/>
    </font>
    <font>
      <sz val="9"/>
      <color theme="1"/>
      <name val="Calibri"/>
      <family val="2"/>
      <scheme val="minor"/>
    </font>
    <font>
      <sz val="9"/>
      <color theme="1"/>
      <name val="Calibri"/>
      <family val="2"/>
    </font>
    <font>
      <sz val="12"/>
      <color theme="1"/>
      <name val="Calibri"/>
      <family val="2"/>
      <scheme val="minor"/>
    </font>
    <font>
      <b/>
      <sz val="9"/>
      <color theme="1"/>
      <name val="Calibri"/>
      <family val="2"/>
      <scheme val="minor"/>
    </font>
    <font>
      <u/>
      <sz val="12"/>
      <color theme="1"/>
      <name val="Calibri"/>
      <family val="2"/>
      <scheme val="minor"/>
    </font>
    <font>
      <b/>
      <sz val="10"/>
      <color theme="1"/>
      <name val="Calibri"/>
      <family val="2"/>
      <scheme val="minor"/>
    </font>
    <font>
      <b/>
      <sz val="9"/>
      <color theme="1"/>
      <name val="Calibri"/>
      <family val="2"/>
    </font>
    <font>
      <b/>
      <sz val="14"/>
      <color rgb="FFFF0000"/>
      <name val="Calibri"/>
      <family val="2"/>
      <scheme val="minor"/>
    </font>
    <font>
      <b/>
      <sz val="14"/>
      <color theme="1"/>
      <name val="Calibri"/>
      <family val="2"/>
      <scheme val="minor"/>
    </font>
    <font>
      <b/>
      <sz val="9.9"/>
      <color theme="1"/>
      <name val="Calibri"/>
      <family val="2"/>
    </font>
    <font>
      <b/>
      <sz val="11"/>
      <color theme="0"/>
      <name val="Calibri"/>
      <family val="2"/>
      <scheme val="minor"/>
    </font>
    <font>
      <b/>
      <sz val="12"/>
      <color theme="2" tint="-0.749992370372631"/>
      <name val="Arial"/>
      <family val="2"/>
    </font>
    <font>
      <b/>
      <sz val="11"/>
      <color theme="0"/>
      <name val="Calibri"/>
      <family val="2"/>
    </font>
    <font>
      <sz val="11"/>
      <color rgb="FFFF0000"/>
      <name val="Calibri"/>
      <family val="2"/>
      <scheme val="minor"/>
    </font>
    <font>
      <sz val="11"/>
      <name val="Calibri"/>
      <family val="2"/>
      <scheme val="minor"/>
    </font>
    <font>
      <b/>
      <vertAlign val="subscript"/>
      <sz val="11"/>
      <color theme="1"/>
      <name val="Calibri"/>
      <family val="2"/>
    </font>
    <font>
      <b/>
      <sz val="11"/>
      <color theme="1"/>
      <name val="Times New Roman"/>
      <family val="1"/>
    </font>
    <font>
      <b/>
      <sz val="14"/>
      <color indexed="8"/>
      <name val="Calibri"/>
      <family val="2"/>
    </font>
    <font>
      <sz val="11"/>
      <color indexed="8"/>
      <name val="Calibri"/>
      <family val="2"/>
    </font>
    <font>
      <vertAlign val="subscript"/>
      <sz val="11"/>
      <color indexed="8"/>
      <name val="Calibri"/>
      <family val="2"/>
    </font>
    <font>
      <vertAlign val="superscript"/>
      <sz val="11"/>
      <color indexed="8"/>
      <name val="Calibri"/>
      <family val="2"/>
    </font>
    <font>
      <b/>
      <vertAlign val="superscript"/>
      <sz val="11"/>
      <color indexed="8"/>
      <name val="Calibri"/>
      <family val="2"/>
    </font>
    <font>
      <b/>
      <sz val="11"/>
      <color indexed="8"/>
      <name val="Calibri"/>
      <family val="2"/>
    </font>
    <font>
      <b/>
      <sz val="11"/>
      <name val="Calibri"/>
      <family val="2"/>
      <scheme val="minor"/>
    </font>
    <font>
      <b/>
      <sz val="11"/>
      <name val="Times New Roman"/>
      <family val="1"/>
    </font>
    <font>
      <b/>
      <vertAlign val="subscript"/>
      <sz val="11"/>
      <name val="Calibri"/>
      <family val="2"/>
    </font>
    <font>
      <b/>
      <sz val="11"/>
      <name val="Calibri"/>
      <family val="2"/>
    </font>
    <font>
      <b/>
      <sz val="11"/>
      <color rgb="FF00B0F0"/>
      <name val="Calibri"/>
      <family val="2"/>
      <scheme val="minor"/>
    </font>
    <font>
      <b/>
      <sz val="8"/>
      <name val="Calibri"/>
      <family val="2"/>
      <scheme val="minor"/>
    </font>
    <font>
      <b/>
      <sz val="8"/>
      <name val="Calibri"/>
      <family val="2"/>
    </font>
    <font>
      <b/>
      <sz val="10"/>
      <color rgb="FFFF0000"/>
      <name val="Calibri"/>
      <family val="2"/>
      <scheme val="minor"/>
    </font>
    <font>
      <b/>
      <sz val="11"/>
      <color rgb="FFFF0000"/>
      <name val="Calibri"/>
      <family val="2"/>
    </font>
    <font>
      <b/>
      <i/>
      <sz val="14"/>
      <color rgb="FFFF0000"/>
      <name val="Calibri"/>
      <family val="2"/>
      <scheme val="minor"/>
    </font>
    <font>
      <b/>
      <i/>
      <u/>
      <sz val="11"/>
      <color theme="1"/>
      <name val="Calibri"/>
      <family val="2"/>
      <scheme val="minor"/>
    </font>
    <font>
      <b/>
      <sz val="9"/>
      <color rgb="FFFF0000"/>
      <name val="Calibri"/>
      <family val="2"/>
      <scheme val="minor"/>
    </font>
    <font>
      <b/>
      <i/>
      <sz val="10"/>
      <color rgb="FFFF0000"/>
      <name val="Calibri"/>
      <family val="2"/>
      <scheme val="minor"/>
    </font>
    <font>
      <i/>
      <sz val="11"/>
      <color theme="1"/>
      <name val="Calibri"/>
      <family val="2"/>
      <scheme val="minor"/>
    </font>
    <font>
      <sz val="10"/>
      <color theme="1"/>
      <name val="Calibri"/>
      <family val="2"/>
      <scheme val="minor"/>
    </font>
    <font>
      <i/>
      <sz val="10"/>
      <color theme="1"/>
      <name val="Calibri"/>
      <family val="2"/>
      <scheme val="minor"/>
    </font>
    <font>
      <b/>
      <sz val="12"/>
      <name val="Calibri"/>
      <family val="2"/>
    </font>
    <font>
      <b/>
      <vertAlign val="subscript"/>
      <sz val="12"/>
      <name val="Calibri"/>
      <family val="2"/>
    </font>
    <font>
      <sz val="14"/>
      <color theme="1"/>
      <name val="Calibri"/>
      <family val="2"/>
      <scheme val="minor"/>
    </font>
    <font>
      <b/>
      <i/>
      <sz val="11"/>
      <color theme="1"/>
      <name val="Calibri"/>
      <family val="2"/>
      <scheme val="minor"/>
    </font>
    <font>
      <b/>
      <sz val="12"/>
      <color rgb="FFFF0000"/>
      <name val="Calibri"/>
      <family val="2"/>
    </font>
    <font>
      <b/>
      <vertAlign val="subscript"/>
      <sz val="12"/>
      <color rgb="FFFF0000"/>
      <name val="Calibri"/>
      <family val="2"/>
    </font>
    <font>
      <b/>
      <i/>
      <u/>
      <sz val="12"/>
      <color theme="1"/>
      <name val="Calibri"/>
      <family val="2"/>
      <scheme val="minor"/>
    </font>
    <font>
      <b/>
      <sz val="11"/>
      <color theme="3" tint="0.39997558519241921"/>
      <name val="Calibri"/>
      <family val="2"/>
      <scheme val="minor"/>
    </font>
    <font>
      <b/>
      <u/>
      <sz val="11"/>
      <color theme="1"/>
      <name val="Calibri"/>
      <family val="2"/>
      <scheme val="minor"/>
    </font>
    <font>
      <i/>
      <sz val="12"/>
      <color theme="1"/>
      <name val="Calibri"/>
      <family val="2"/>
      <scheme val="minor"/>
    </font>
    <font>
      <b/>
      <i/>
      <sz val="14"/>
      <color theme="1"/>
      <name val="Calibri"/>
      <family val="2"/>
      <scheme val="minor"/>
    </font>
    <font>
      <b/>
      <sz val="8"/>
      <color rgb="FFFF0000"/>
      <name val="Calibri"/>
      <family val="2"/>
    </font>
    <font>
      <b/>
      <vertAlign val="subscript"/>
      <sz val="11"/>
      <color theme="1"/>
      <name val="Calibri"/>
      <family val="2"/>
      <scheme val="minor"/>
    </font>
    <font>
      <b/>
      <vertAlign val="superscript"/>
      <sz val="11"/>
      <color theme="1"/>
      <name val="Calibri"/>
      <family val="2"/>
      <scheme val="minor"/>
    </font>
    <font>
      <b/>
      <sz val="11"/>
      <color theme="1"/>
      <name val="Symbol"/>
      <family val="1"/>
      <charset val="2"/>
    </font>
    <font>
      <sz val="8"/>
      <color theme="1"/>
      <name val="Calibri"/>
      <family val="2"/>
    </font>
    <font>
      <b/>
      <sz val="8"/>
      <color theme="1"/>
      <name val="calibrian"/>
    </font>
    <font>
      <b/>
      <sz val="11"/>
      <color theme="1" tint="4.9989318521683403E-2"/>
      <name val="Calibri"/>
      <family val="2"/>
      <scheme val="minor"/>
    </font>
    <font>
      <b/>
      <sz val="8"/>
      <color theme="1" tint="4.9989318521683403E-2"/>
      <name val="Calibri"/>
      <family val="2"/>
    </font>
    <font>
      <b/>
      <sz val="9"/>
      <name val="Calibri"/>
      <family val="2"/>
      <scheme val="minor"/>
    </font>
    <font>
      <b/>
      <u/>
      <sz val="11"/>
      <color rgb="FFFF0000"/>
      <name val="Calibri"/>
      <family val="2"/>
      <scheme val="minor"/>
    </font>
    <font>
      <b/>
      <i/>
      <sz val="12"/>
      <color theme="1"/>
      <name val="Calibri"/>
      <family val="2"/>
      <scheme val="minor"/>
    </font>
    <font>
      <b/>
      <i/>
      <sz val="8"/>
      <color theme="1"/>
      <name val="Calibri"/>
      <family val="2"/>
      <scheme val="minor"/>
    </font>
    <font>
      <b/>
      <sz val="16"/>
      <color rgb="FFFF0000"/>
      <name val="Calibri"/>
      <family val="2"/>
      <scheme val="minor"/>
    </font>
    <font>
      <b/>
      <sz val="12"/>
      <color theme="1"/>
      <name val="Calibri"/>
      <family val="2"/>
    </font>
    <font>
      <i/>
      <u/>
      <sz val="11"/>
      <color theme="1"/>
      <name val="Calibri"/>
      <family val="2"/>
      <scheme val="minor"/>
    </font>
    <font>
      <i/>
      <sz val="10"/>
      <color rgb="FFFF0000"/>
      <name val="Calibri"/>
      <family val="2"/>
      <scheme val="minor"/>
    </font>
    <font>
      <b/>
      <sz val="10"/>
      <color theme="1"/>
      <name val="Calibri"/>
      <family val="2"/>
    </font>
    <font>
      <b/>
      <sz val="18"/>
      <color rgb="FFFF0000"/>
      <name val="Calibri"/>
      <family val="2"/>
      <scheme val="minor"/>
    </font>
    <font>
      <b/>
      <sz val="16"/>
      <color theme="3" tint="0.39997558519241921"/>
      <name val="Calibri"/>
      <family val="2"/>
      <scheme val="minor"/>
    </font>
    <font>
      <b/>
      <sz val="16"/>
      <color theme="2" tint="-0.499984740745262"/>
      <name val="Calibri"/>
      <family val="2"/>
      <scheme val="minor"/>
    </font>
    <font>
      <b/>
      <sz val="8"/>
      <color rgb="FFFF0000"/>
      <name val="Calibri"/>
      <family val="2"/>
      <scheme val="minor"/>
    </font>
    <font>
      <b/>
      <i/>
      <sz val="9"/>
      <color theme="1"/>
      <name val="Calibri"/>
      <family val="2"/>
      <scheme val="minor"/>
    </font>
    <font>
      <b/>
      <i/>
      <sz val="16"/>
      <color rgb="FFFF0000"/>
      <name val="Calibri"/>
      <family val="2"/>
      <scheme val="minor"/>
    </font>
    <font>
      <b/>
      <sz val="12"/>
      <color rgb="FF002060"/>
      <name val="Calibri"/>
      <family val="2"/>
    </font>
    <font>
      <b/>
      <i/>
      <sz val="10"/>
      <color theme="1"/>
      <name val="Calibri"/>
      <family val="2"/>
      <scheme val="minor"/>
    </font>
    <font>
      <b/>
      <sz val="11"/>
      <color theme="0" tint="-0.499984740745262"/>
      <name val="Calibri"/>
      <family val="2"/>
      <scheme val="minor"/>
    </font>
    <font>
      <b/>
      <sz val="8"/>
      <color theme="0" tint="-0.499984740745262"/>
      <name val="Calibri"/>
      <family val="2"/>
      <scheme val="minor"/>
    </font>
    <font>
      <sz val="11"/>
      <color theme="0" tint="-0.499984740745262"/>
      <name val="Calibri"/>
      <family val="2"/>
      <scheme val="minor"/>
    </font>
    <font>
      <b/>
      <u/>
      <sz val="10"/>
      <color theme="1"/>
      <name val="Calibri"/>
      <family val="2"/>
      <scheme val="minor"/>
    </font>
    <font>
      <b/>
      <i/>
      <u/>
      <sz val="14"/>
      <color rgb="FFFF0000"/>
      <name val="Calibri"/>
      <family val="2"/>
      <scheme val="minor"/>
    </font>
    <font>
      <sz val="9.9"/>
      <color theme="1"/>
      <name val="Calibri"/>
      <family val="2"/>
    </font>
    <font>
      <b/>
      <i/>
      <u/>
      <sz val="12"/>
      <color rgb="FFFF0000"/>
      <name val="Calibri"/>
      <family val="2"/>
      <scheme val="minor"/>
    </font>
    <font>
      <i/>
      <sz val="11"/>
      <color rgb="FFFF0000"/>
      <name val="Calibri"/>
      <family val="2"/>
      <scheme val="minor"/>
    </font>
    <font>
      <b/>
      <i/>
      <sz val="12"/>
      <color rgb="FFFF0000"/>
      <name val="Calibri"/>
      <family val="2"/>
      <scheme val="minor"/>
    </font>
    <font>
      <sz val="36"/>
      <color theme="1"/>
      <name val="Calibri"/>
      <family val="2"/>
      <scheme val="minor"/>
    </font>
    <font>
      <b/>
      <sz val="11"/>
      <color theme="2" tint="-0.749992370372631"/>
      <name val="Arial"/>
      <family val="2"/>
    </font>
  </fonts>
  <fills count="14">
    <fill>
      <patternFill patternType="none"/>
    </fill>
    <fill>
      <patternFill patternType="gray125"/>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0070C0"/>
        <bgColor indexed="64"/>
      </patternFill>
    </fill>
    <fill>
      <patternFill patternType="solid">
        <fgColor rgb="FF00B0F0"/>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s>
  <borders count="6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auto="1"/>
      </right>
      <top/>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auto="1"/>
      </left>
      <right style="thin">
        <color auto="1"/>
      </right>
      <top style="thin">
        <color auto="1"/>
      </top>
      <bottom style="thin">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top/>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diagonalUp="1">
      <left/>
      <right style="thin">
        <color indexed="64"/>
      </right>
      <top/>
      <bottom/>
      <diagonal style="thin">
        <color indexed="64"/>
      </diagonal>
    </border>
    <border diagonalUp="1">
      <left/>
      <right/>
      <top/>
      <bottom/>
      <diagonal style="thin">
        <color auto="1"/>
      </diagonal>
    </border>
    <border>
      <left/>
      <right style="dotted">
        <color indexed="64"/>
      </right>
      <top/>
      <bottom style="thin">
        <color indexed="64"/>
      </bottom>
      <diagonal/>
    </border>
    <border>
      <left/>
      <right style="dotted">
        <color indexed="64"/>
      </right>
      <top/>
      <bottom/>
      <diagonal/>
    </border>
    <border diagonalUp="1">
      <left/>
      <right style="dotted">
        <color indexed="64"/>
      </right>
      <top/>
      <bottom/>
      <diagonal style="thin">
        <color auto="1"/>
      </diagonal>
    </border>
    <border diagonalUp="1">
      <left style="thin">
        <color auto="1"/>
      </left>
      <right/>
      <top/>
      <bottom/>
      <diagonal style="thin">
        <color auto="1"/>
      </diagonal>
    </border>
    <border>
      <left style="dotted">
        <color indexed="64"/>
      </left>
      <right/>
      <top/>
      <bottom/>
      <diagonal/>
    </border>
    <border>
      <left/>
      <right/>
      <top style="double">
        <color auto="1"/>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double">
        <color auto="1"/>
      </bottom>
      <diagonal/>
    </border>
    <border>
      <left style="thin">
        <color indexed="64"/>
      </left>
      <right style="thin">
        <color indexed="64"/>
      </right>
      <top style="double">
        <color auto="1"/>
      </top>
      <bottom style="double">
        <color auto="1"/>
      </bottom>
      <diagonal/>
    </border>
    <border>
      <left style="thin">
        <color indexed="64"/>
      </left>
      <right style="thin">
        <color indexed="64"/>
      </right>
      <top style="double">
        <color auto="1"/>
      </top>
      <bottom style="thin">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style="dotted">
        <color auto="1"/>
      </right>
      <top/>
      <bottom style="dotted">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style="double">
        <color auto="1"/>
      </right>
      <top/>
      <bottom style="double">
        <color auto="1"/>
      </bottom>
      <diagonal/>
    </border>
    <border>
      <left style="double">
        <color auto="1"/>
      </left>
      <right style="thin">
        <color indexed="64"/>
      </right>
      <top style="thin">
        <color indexed="64"/>
      </top>
      <bottom style="double">
        <color auto="1"/>
      </bottom>
      <diagonal/>
    </border>
    <border>
      <left style="double">
        <color auto="1"/>
      </left>
      <right style="thin">
        <color indexed="64"/>
      </right>
      <top style="double">
        <color auto="1"/>
      </top>
      <bottom style="double">
        <color auto="1"/>
      </bottom>
      <diagonal/>
    </border>
    <border>
      <left style="double">
        <color auto="1"/>
      </left>
      <right style="thin">
        <color indexed="64"/>
      </right>
      <top style="thin">
        <color indexed="64"/>
      </top>
      <bottom style="thin">
        <color indexed="64"/>
      </bottom>
      <diagonal/>
    </border>
    <border>
      <left style="double">
        <color auto="1"/>
      </left>
      <right style="double">
        <color auto="1"/>
      </right>
      <top style="double">
        <color auto="1"/>
      </top>
      <bottom/>
      <diagonal/>
    </border>
    <border>
      <left/>
      <right/>
      <top/>
      <bottom style="double">
        <color auto="1"/>
      </bottom>
      <diagonal/>
    </border>
    <border>
      <left style="thin">
        <color auto="1"/>
      </left>
      <right/>
      <top style="double">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diagonalUp="1">
      <left/>
      <right/>
      <top/>
      <bottom style="thin">
        <color auto="1"/>
      </bottom>
      <diagonal style="thin">
        <color auto="1"/>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double">
        <color auto="1"/>
      </left>
      <right style="double">
        <color auto="1"/>
      </right>
      <top style="thin">
        <color auto="1"/>
      </top>
      <bottom style="thin">
        <color auto="1"/>
      </bottom>
      <diagonal/>
    </border>
    <border>
      <left style="thin">
        <color rgb="FFFF0000"/>
      </left>
      <right style="thin">
        <color auto="1"/>
      </right>
      <top style="thin">
        <color rgb="FFFF0000"/>
      </top>
      <bottom style="thin">
        <color rgb="FFFF0000"/>
      </bottom>
      <diagonal/>
    </border>
    <border>
      <left style="thin">
        <color auto="1"/>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s>
  <cellStyleXfs count="2">
    <xf numFmtId="0" fontId="0" fillId="0" borderId="0"/>
    <xf numFmtId="0" fontId="19" fillId="0" borderId="0" applyNumberFormat="0" applyFill="0" applyBorder="0" applyAlignment="0" applyProtection="0"/>
  </cellStyleXfs>
  <cellXfs count="1054">
    <xf numFmtId="0" fontId="0" fillId="0" borderId="0" xfId="0"/>
    <xf numFmtId="0" fontId="14" fillId="0" borderId="0" xfId="0" applyFont="1" applyProtection="1">
      <protection hidden="1"/>
    </xf>
    <xf numFmtId="0" fontId="0" fillId="0" borderId="0" xfId="0" applyProtection="1">
      <protection hidden="1"/>
    </xf>
    <xf numFmtId="2"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2"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4" fillId="0" borderId="0" xfId="0" applyFont="1" applyAlignment="1" applyProtection="1">
      <alignment horizontal="center" vertical="center"/>
      <protection hidden="1"/>
    </xf>
    <xf numFmtId="0" fontId="10" fillId="0" borderId="0" xfId="0" applyFont="1" applyProtection="1">
      <protection hidden="1"/>
    </xf>
    <xf numFmtId="165" fontId="0" fillId="0" borderId="0" xfId="0" applyNumberFormat="1" applyAlignment="1" applyProtection="1">
      <alignment horizontal="center" vertical="center"/>
      <protection hidden="1"/>
    </xf>
    <xf numFmtId="164" fontId="0" fillId="0" borderId="0" xfId="0" applyNumberFormat="1" applyAlignment="1" applyProtection="1">
      <alignment horizontal="center" vertical="center"/>
      <protection hidden="1"/>
    </xf>
    <xf numFmtId="0" fontId="1" fillId="0" borderId="0" xfId="0" applyFont="1" applyProtection="1">
      <protection hidden="1"/>
    </xf>
    <xf numFmtId="2" fontId="0" fillId="0" borderId="3" xfId="0" applyNumberForma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7" fillId="0" borderId="0" xfId="0" applyFont="1" applyProtection="1">
      <protection hidden="1"/>
    </xf>
    <xf numFmtId="0" fontId="15" fillId="0" borderId="0" xfId="0" applyFont="1" applyProtection="1">
      <protection hidden="1"/>
    </xf>
    <xf numFmtId="0" fontId="18" fillId="0" borderId="0" xfId="0" applyFont="1"/>
    <xf numFmtId="0" fontId="1" fillId="0" borderId="0" xfId="0" applyFont="1" applyAlignment="1" applyProtection="1">
      <protection hidden="1"/>
    </xf>
    <xf numFmtId="0" fontId="0" fillId="0" borderId="0" xfId="0" applyFont="1" applyProtection="1">
      <protection hidden="1"/>
    </xf>
    <xf numFmtId="0" fontId="6" fillId="0" borderId="0" xfId="0" applyFont="1" applyAlignment="1" applyProtection="1">
      <alignment horizontal="right"/>
      <protection hidden="1"/>
    </xf>
    <xf numFmtId="0" fontId="0" fillId="0" borderId="0" xfId="0" applyBorder="1" applyAlignment="1" applyProtection="1">
      <alignment horizontal="center" vertical="center"/>
      <protection hidden="1"/>
    </xf>
    <xf numFmtId="2" fontId="0" fillId="0" borderId="0" xfId="0" applyNumberFormat="1" applyProtection="1">
      <protection hidden="1"/>
    </xf>
    <xf numFmtId="0" fontId="22" fillId="0" borderId="3" xfId="0" applyFont="1" applyBorder="1" applyAlignment="1" applyProtection="1">
      <alignment horizontal="center" vertical="center"/>
      <protection hidden="1"/>
    </xf>
    <xf numFmtId="0" fontId="22" fillId="0" borderId="0" xfId="0" applyFont="1" applyBorder="1" applyAlignment="1" applyProtection="1">
      <alignment horizontal="center" vertical="center"/>
      <protection hidden="1"/>
    </xf>
    <xf numFmtId="0" fontId="0" fillId="0" borderId="0" xfId="0" applyBorder="1" applyProtection="1">
      <protection hidden="1"/>
    </xf>
    <xf numFmtId="0" fontId="0" fillId="0" borderId="0" xfId="0" applyBorder="1" applyAlignment="1" applyProtection="1">
      <alignment horizontal="left" vertical="center"/>
      <protection hidden="1"/>
    </xf>
    <xf numFmtId="0" fontId="6" fillId="0" borderId="3" xfId="0" applyFont="1" applyBorder="1" applyAlignment="1" applyProtection="1">
      <alignment horizontal="center" vertical="center"/>
      <protection hidden="1"/>
    </xf>
    <xf numFmtId="0" fontId="24" fillId="0" borderId="0" xfId="0" applyFont="1" applyAlignment="1" applyProtection="1">
      <alignment horizontal="left"/>
      <protection hidden="1"/>
    </xf>
    <xf numFmtId="0" fontId="1" fillId="0" borderId="0" xfId="0" applyFont="1"/>
    <xf numFmtId="0" fontId="1" fillId="0" borderId="14" xfId="0" applyFont="1" applyBorder="1" applyAlignment="1" applyProtection="1">
      <alignment horizontal="center" vertical="center"/>
      <protection hidden="1"/>
    </xf>
    <xf numFmtId="165" fontId="1" fillId="0" borderId="15" xfId="0" applyNumberFormat="1"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0" fillId="0" borderId="0" xfId="0" applyAlignment="1">
      <alignment horizontal="center" vertical="center"/>
    </xf>
    <xf numFmtId="0" fontId="0" fillId="0" borderId="0" xfId="0" applyBorder="1"/>
    <xf numFmtId="165" fontId="0" fillId="0" borderId="17" xfId="0" applyNumberFormat="1" applyBorder="1" applyAlignment="1" applyProtection="1">
      <alignment horizontal="center" vertical="center"/>
      <protection hidden="1"/>
    </xf>
    <xf numFmtId="0" fontId="6" fillId="0" borderId="0" xfId="0" applyFont="1" applyProtection="1">
      <protection hidden="1"/>
    </xf>
    <xf numFmtId="0" fontId="0" fillId="0" borderId="3" xfId="0" applyBorder="1" applyAlignment="1" applyProtection="1">
      <alignment horizontal="center" vertical="center"/>
    </xf>
    <xf numFmtId="2" fontId="0" fillId="0" borderId="3" xfId="0" applyNumberFormat="1" applyBorder="1" applyAlignment="1" applyProtection="1">
      <alignment horizontal="center" vertical="center"/>
    </xf>
    <xf numFmtId="0" fontId="11" fillId="0" borderId="0" xfId="0" applyFont="1" applyAlignment="1" applyProtection="1">
      <alignment horizontal="center" vertical="center"/>
      <protection hidden="1"/>
    </xf>
    <xf numFmtId="0" fontId="28" fillId="0" borderId="0" xfId="0" applyFont="1" applyAlignment="1" applyProtection="1">
      <alignment horizontal="center" vertical="center"/>
      <protection hidden="1"/>
    </xf>
    <xf numFmtId="166" fontId="1" fillId="0" borderId="0" xfId="0" applyNumberFormat="1" applyFont="1" applyAlignment="1" applyProtection="1">
      <alignment horizontal="center" vertical="center"/>
      <protection hidden="1"/>
    </xf>
    <xf numFmtId="0" fontId="0" fillId="0" borderId="0" xfId="0" applyAlignment="1" applyProtection="1">
      <alignment vertical="center" wrapText="1"/>
      <protection hidden="1"/>
    </xf>
    <xf numFmtId="2" fontId="0" fillId="0" borderId="0" xfId="0" applyNumberFormat="1" applyAlignment="1">
      <alignment horizontal="center" vertical="center"/>
    </xf>
    <xf numFmtId="0" fontId="0" fillId="0" borderId="9" xfId="0" applyBorder="1"/>
    <xf numFmtId="2" fontId="0" fillId="0" borderId="9" xfId="0" applyNumberFormat="1" applyBorder="1" applyAlignment="1">
      <alignment horizontal="center" vertical="center"/>
    </xf>
    <xf numFmtId="164"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0" xfId="0" applyBorder="1" applyAlignment="1">
      <alignment horizontal="center" vertical="center"/>
    </xf>
    <xf numFmtId="2" fontId="1" fillId="0" borderId="0" xfId="0" applyNumberFormat="1" applyFont="1" applyBorder="1" applyAlignment="1">
      <alignment horizontal="center" vertical="center"/>
    </xf>
    <xf numFmtId="2" fontId="0" fillId="0" borderId="8" xfId="0" applyNumberFormat="1" applyBorder="1" applyAlignment="1">
      <alignment horizontal="center" vertical="center"/>
    </xf>
    <xf numFmtId="10" fontId="1" fillId="0" borderId="0" xfId="0" applyNumberFormat="1" applyFont="1" applyFill="1" applyAlignment="1">
      <alignment horizontal="center" vertical="center"/>
    </xf>
    <xf numFmtId="10" fontId="0" fillId="0" borderId="0" xfId="0" applyNumberFormat="1" applyFill="1" applyAlignment="1">
      <alignment horizontal="center" vertical="center"/>
    </xf>
    <xf numFmtId="0" fontId="15" fillId="0" borderId="4" xfId="0" applyFont="1" applyBorder="1" applyProtection="1">
      <protection hidden="1"/>
    </xf>
    <xf numFmtId="0" fontId="0" fillId="0" borderId="8" xfId="0" applyBorder="1" applyProtection="1">
      <protection hidden="1"/>
    </xf>
    <xf numFmtId="0" fontId="0" fillId="0" borderId="5" xfId="0" applyBorder="1" applyProtection="1">
      <protection hidden="1"/>
    </xf>
    <xf numFmtId="0" fontId="0" fillId="0" borderId="22" xfId="0" applyBorder="1" applyProtection="1">
      <protection hidden="1"/>
    </xf>
    <xf numFmtId="2" fontId="0" fillId="0" borderId="23" xfId="0" applyNumberFormat="1" applyBorder="1" applyAlignment="1" applyProtection="1">
      <alignment horizontal="center" vertical="center"/>
      <protection hidden="1"/>
    </xf>
    <xf numFmtId="0" fontId="0" fillId="0" borderId="23" xfId="0" applyBorder="1" applyProtection="1">
      <protection hidden="1"/>
    </xf>
    <xf numFmtId="0" fontId="4" fillId="0" borderId="0" xfId="0" applyFont="1" applyBorder="1" applyAlignment="1" applyProtection="1">
      <alignment horizontal="center" vertical="center"/>
      <protection hidden="1"/>
    </xf>
    <xf numFmtId="2" fontId="0" fillId="0" borderId="9" xfId="0" applyNumberFormat="1" applyBorder="1" applyAlignment="1" applyProtection="1">
      <alignment horizontal="center" vertical="center"/>
      <protection hidden="1"/>
    </xf>
    <xf numFmtId="0" fontId="0" fillId="0" borderId="7" xfId="0" applyBorder="1" applyProtection="1">
      <protection hidden="1"/>
    </xf>
    <xf numFmtId="0" fontId="0" fillId="0" borderId="17" xfId="0" applyBorder="1" applyProtection="1">
      <protection hidden="1"/>
    </xf>
    <xf numFmtId="0" fontId="4" fillId="0" borderId="17" xfId="0" applyFont="1" applyBorder="1" applyAlignment="1" applyProtection="1">
      <alignment horizontal="center" vertical="center"/>
      <protection hidden="1"/>
    </xf>
    <xf numFmtId="2" fontId="43" fillId="0" borderId="0" xfId="0" applyNumberFormat="1" applyFont="1" applyFill="1" applyAlignment="1" applyProtection="1">
      <alignment horizontal="center" vertical="center"/>
      <protection hidden="1"/>
    </xf>
    <xf numFmtId="0" fontId="34" fillId="0" borderId="0" xfId="0" applyFont="1" applyFill="1" applyProtection="1">
      <protection hidden="1"/>
    </xf>
    <xf numFmtId="0" fontId="6" fillId="0" borderId="21" xfId="0" applyFont="1" applyBorder="1" applyAlignment="1" applyProtection="1">
      <protection hidden="1"/>
    </xf>
    <xf numFmtId="164" fontId="0" fillId="0" borderId="3"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6" fillId="0" borderId="0" xfId="0" applyFont="1" applyFill="1" applyAlignment="1" applyProtection="1">
      <alignment horizontal="center" vertical="center"/>
      <protection hidden="1"/>
    </xf>
    <xf numFmtId="0" fontId="1" fillId="0" borderId="0" xfId="0" applyFont="1" applyAlignment="1" applyProtection="1">
      <alignment vertical="center"/>
      <protection hidden="1"/>
    </xf>
    <xf numFmtId="165" fontId="1" fillId="0" borderId="0" xfId="0" applyNumberFormat="1" applyFont="1" applyAlignment="1" applyProtection="1">
      <alignment horizontal="center" vertical="center"/>
      <protection hidden="1"/>
    </xf>
    <xf numFmtId="0" fontId="1" fillId="0" borderId="0" xfId="0" applyFont="1" applyAlignment="1" applyProtection="1">
      <alignment horizontal="right" vertical="center"/>
      <protection hidden="1"/>
    </xf>
    <xf numFmtId="2" fontId="10" fillId="0" borderId="0" xfId="0" applyNumberFormat="1" applyFont="1" applyAlignment="1" applyProtection="1">
      <alignment horizontal="center" vertical="center"/>
      <protection hidden="1"/>
    </xf>
    <xf numFmtId="0" fontId="33" fillId="0" borderId="0" xfId="0" applyFont="1" applyAlignment="1" applyProtection="1">
      <alignment horizontal="center" vertical="center"/>
      <protection hidden="1"/>
    </xf>
    <xf numFmtId="0" fontId="52" fillId="0" borderId="0" xfId="0" applyFont="1" applyProtection="1">
      <protection hidden="1"/>
    </xf>
    <xf numFmtId="0" fontId="46" fillId="0" borderId="31" xfId="0" applyFont="1" applyFill="1" applyBorder="1" applyAlignment="1" applyProtection="1">
      <alignment horizontal="center" vertical="center"/>
      <protection hidden="1"/>
    </xf>
    <xf numFmtId="0" fontId="0" fillId="0" borderId="31" xfId="0" applyBorder="1" applyProtection="1">
      <protection hidden="1"/>
    </xf>
    <xf numFmtId="0" fontId="0" fillId="0" borderId="33" xfId="0" applyBorder="1" applyProtection="1">
      <protection hidden="1"/>
    </xf>
    <xf numFmtId="0" fontId="0" fillId="0" borderId="32" xfId="0" applyBorder="1" applyProtection="1">
      <protection hidden="1"/>
    </xf>
    <xf numFmtId="0" fontId="46" fillId="0" borderId="34" xfId="0" applyFont="1" applyFill="1" applyBorder="1" applyAlignment="1" applyProtection="1">
      <alignment horizontal="center" vertical="center"/>
      <protection hidden="1"/>
    </xf>
    <xf numFmtId="0" fontId="0" fillId="0" borderId="10" xfId="0" applyBorder="1" applyAlignment="1">
      <alignment horizontal="center" vertical="center"/>
    </xf>
    <xf numFmtId="2" fontId="1" fillId="0" borderId="23" xfId="0" applyNumberFormat="1" applyFont="1" applyBorder="1" applyAlignment="1" applyProtection="1">
      <alignment horizontal="center" vertical="center"/>
      <protection hidden="1"/>
    </xf>
    <xf numFmtId="2" fontId="1" fillId="0" borderId="34" xfId="0" applyNumberFormat="1"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170" fontId="2" fillId="0" borderId="3" xfId="0" applyNumberFormat="1" applyFont="1" applyBorder="1" applyAlignment="1" applyProtection="1">
      <alignment horizontal="center" vertical="center"/>
      <protection locked="0"/>
    </xf>
    <xf numFmtId="171" fontId="0" fillId="0" borderId="3" xfId="0" applyNumberFormat="1" applyBorder="1" applyAlignment="1" applyProtection="1">
      <alignment horizontal="center" vertical="center"/>
      <protection locked="0"/>
    </xf>
    <xf numFmtId="1" fontId="0" fillId="0" borderId="0" xfId="0" applyNumberFormat="1" applyFill="1" applyBorder="1" applyAlignment="1" applyProtection="1">
      <alignment horizontal="center"/>
      <protection hidden="1"/>
    </xf>
    <xf numFmtId="0" fontId="33" fillId="0" borderId="0" xfId="0" applyFont="1" applyBorder="1" applyAlignment="1" applyProtection="1">
      <alignment vertical="center" wrapText="1"/>
      <protection hidden="1"/>
    </xf>
    <xf numFmtId="169" fontId="0" fillId="0" borderId="0" xfId="0" applyNumberFormat="1" applyAlignment="1" applyProtection="1">
      <alignment horizontal="center" vertical="center"/>
      <protection hidden="1"/>
    </xf>
    <xf numFmtId="168" fontId="0" fillId="0" borderId="0" xfId="0" applyNumberFormat="1" applyAlignment="1" applyProtection="1">
      <alignment horizontal="center" vertical="center"/>
      <protection hidden="1"/>
    </xf>
    <xf numFmtId="0" fontId="25" fillId="0" borderId="0" xfId="0" applyFont="1" applyBorder="1" applyAlignment="1" applyProtection="1">
      <alignment horizontal="center" wrapText="1"/>
      <protection hidden="1"/>
    </xf>
    <xf numFmtId="164" fontId="1" fillId="0" borderId="0" xfId="0" applyNumberFormat="1" applyFont="1" applyFill="1" applyBorder="1" applyAlignment="1" applyProtection="1">
      <alignment horizontal="center" vertical="center"/>
      <protection hidden="1"/>
    </xf>
    <xf numFmtId="0" fontId="1" fillId="0" borderId="27"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0" fontId="33" fillId="0" borderId="0" xfId="0" applyFont="1" applyProtection="1">
      <protection hidden="1"/>
    </xf>
    <xf numFmtId="0" fontId="1" fillId="0" borderId="0" xfId="0" applyFont="1" applyFill="1" applyAlignment="1" applyProtection="1">
      <alignment horizontal="center" vertical="center"/>
      <protection hidden="1"/>
    </xf>
    <xf numFmtId="0" fontId="1" fillId="0" borderId="0" xfId="0" applyFont="1" applyAlignment="1" applyProtection="1">
      <alignment horizontal="left" vertical="center"/>
      <protection hidden="1"/>
    </xf>
    <xf numFmtId="2" fontId="0" fillId="0" borderId="8" xfId="0" applyNumberFormat="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2" fontId="1" fillId="0" borderId="31" xfId="0" applyNumberFormat="1" applyFont="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29" xfId="0" applyBorder="1" applyProtection="1">
      <protection hidden="1"/>
    </xf>
    <xf numFmtId="0" fontId="0" fillId="0" borderId="31" xfId="0" applyBorder="1" applyAlignment="1" applyProtection="1">
      <alignment horizontal="center" vertical="center"/>
      <protection hidden="1"/>
    </xf>
    <xf numFmtId="0" fontId="0" fillId="0" borderId="6" xfId="0" applyBorder="1" applyProtection="1">
      <protection hidden="1"/>
    </xf>
    <xf numFmtId="0" fontId="0" fillId="0" borderId="3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17" xfId="0" applyNumberFormat="1" applyFill="1" applyBorder="1" applyAlignment="1" applyProtection="1">
      <alignment horizontal="center" vertical="center"/>
      <protection hidden="1"/>
    </xf>
    <xf numFmtId="0" fontId="28" fillId="0" borderId="17" xfId="0" applyFont="1" applyBorder="1" applyAlignment="1" applyProtection="1">
      <alignment horizontal="center" vertical="center"/>
      <protection hidden="1"/>
    </xf>
    <xf numFmtId="1" fontId="0" fillId="0" borderId="17" xfId="0" applyNumberFormat="1" applyFill="1" applyBorder="1" applyAlignment="1" applyProtection="1">
      <alignment horizontal="center" vertical="center"/>
      <protection hidden="1"/>
    </xf>
    <xf numFmtId="171" fontId="0" fillId="0" borderId="0" xfId="0" applyNumberForma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1" fontId="0" fillId="0" borderId="10" xfId="0" applyNumberFormat="1" applyBorder="1" applyAlignment="1" applyProtection="1">
      <alignment horizontal="center" vertical="center"/>
      <protection hidden="1"/>
    </xf>
    <xf numFmtId="1" fontId="0" fillId="0" borderId="17" xfId="0" applyNumberFormat="1" applyBorder="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0" fontId="43" fillId="0" borderId="0" xfId="0" applyFont="1" applyFill="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2" fillId="0" borderId="17" xfId="0" applyFont="1" applyFill="1" applyBorder="1" applyAlignment="1" applyProtection="1">
      <alignment horizontal="center" vertical="center"/>
      <protection hidden="1"/>
    </xf>
    <xf numFmtId="0" fontId="2" fillId="0" borderId="17" xfId="0" applyFont="1" applyBorder="1" applyAlignment="1" applyProtection="1">
      <alignment horizontal="center" vertical="center"/>
      <protection hidden="1"/>
    </xf>
    <xf numFmtId="0" fontId="0" fillId="0" borderId="28" xfId="0" applyBorder="1" applyProtection="1">
      <protection hidden="1"/>
    </xf>
    <xf numFmtId="0" fontId="43" fillId="0" borderId="0" xfId="0" applyFont="1" applyBorder="1" applyProtection="1">
      <protection hidden="1"/>
    </xf>
    <xf numFmtId="172" fontId="0" fillId="0" borderId="17" xfId="0" applyNumberFormat="1" applyFill="1" applyBorder="1" applyAlignment="1" applyProtection="1">
      <alignment horizontal="center" vertical="center"/>
      <protection hidden="1"/>
    </xf>
    <xf numFmtId="0" fontId="0" fillId="0" borderId="0" xfId="0" applyBorder="1" applyAlignment="1" applyProtection="1">
      <alignment horizontal="center"/>
      <protection hidden="1"/>
    </xf>
    <xf numFmtId="2" fontId="0" fillId="0" borderId="0" xfId="0" applyNumberFormat="1" applyBorder="1" applyAlignment="1" applyProtection="1">
      <alignment horizontal="center"/>
      <protection hidden="1"/>
    </xf>
    <xf numFmtId="0" fontId="18" fillId="0" borderId="0" xfId="0" applyFont="1" applyProtection="1">
      <protection hidden="1"/>
    </xf>
    <xf numFmtId="0" fontId="0" fillId="0" borderId="0" xfId="0" applyBorder="1" applyAlignment="1" applyProtection="1">
      <alignment horizontal="center" vertical="center"/>
      <protection locked="0"/>
    </xf>
    <xf numFmtId="0" fontId="7" fillId="0" borderId="0" xfId="0" applyFont="1" applyFill="1" applyBorder="1" applyAlignment="1" applyProtection="1">
      <alignment horizontal="center" vertical="center" textRotation="90" wrapText="1"/>
      <protection hidden="1"/>
    </xf>
    <xf numFmtId="0" fontId="2" fillId="0" borderId="0" xfId="0" applyFont="1" applyProtection="1">
      <protection hidden="1"/>
    </xf>
    <xf numFmtId="173" fontId="0" fillId="0" borderId="0" xfId="0" applyNumberFormat="1" applyAlignment="1" applyProtection="1">
      <alignment horizontal="center" vertical="center"/>
      <protection hidden="1"/>
    </xf>
    <xf numFmtId="172" fontId="0" fillId="0" borderId="0" xfId="0" applyNumberFormat="1" applyAlignment="1">
      <alignment horizontal="center" vertical="center"/>
    </xf>
    <xf numFmtId="166" fontId="0" fillId="0" borderId="0" xfId="0" applyNumberFormat="1" applyAlignment="1">
      <alignment horizontal="center" vertical="center"/>
    </xf>
    <xf numFmtId="164" fontId="0" fillId="0" borderId="0" xfId="0" applyNumberFormat="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2" fontId="1" fillId="0" borderId="0" xfId="0" applyNumberFormat="1" applyFont="1" applyFill="1" applyBorder="1" applyAlignment="1">
      <alignment horizontal="center" vertical="center"/>
    </xf>
    <xf numFmtId="0" fontId="1" fillId="0" borderId="0" xfId="0" applyFont="1" applyBorder="1" applyAlignment="1"/>
    <xf numFmtId="0" fontId="0" fillId="0" borderId="0" xfId="0" applyBorder="1" applyAlignment="1"/>
    <xf numFmtId="0" fontId="0" fillId="0" borderId="0" xfId="0" applyFill="1" applyBorder="1" applyAlignment="1">
      <alignment horizontal="center" vertical="center"/>
    </xf>
    <xf numFmtId="0" fontId="0" fillId="0" borderId="0" xfId="0" applyAlignment="1">
      <alignment horizontal="right" vertical="center"/>
    </xf>
    <xf numFmtId="0" fontId="0" fillId="8" borderId="0" xfId="0" applyFill="1" applyAlignment="1">
      <alignment horizontal="center" vertical="center"/>
    </xf>
    <xf numFmtId="0" fontId="0" fillId="0" borderId="0" xfId="0" applyFill="1"/>
    <xf numFmtId="0" fontId="0" fillId="3" borderId="0" xfId="0" applyFill="1" applyAlignment="1">
      <alignment horizontal="center" vertical="center"/>
    </xf>
    <xf numFmtId="0" fontId="0" fillId="0" borderId="0" xfId="0" applyFill="1" applyBorder="1"/>
    <xf numFmtId="0" fontId="0" fillId="6" borderId="0" xfId="0" applyFill="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166" fontId="0" fillId="0" borderId="9" xfId="0" applyNumberFormat="1" applyBorder="1" applyAlignment="1">
      <alignment horizontal="center" vertical="center"/>
    </xf>
    <xf numFmtId="0" fontId="0" fillId="0" borderId="9" xfId="0" applyBorder="1" applyAlignment="1">
      <alignment horizontal="center" vertical="center"/>
    </xf>
    <xf numFmtId="0" fontId="56" fillId="0" borderId="0" xfId="0" applyFont="1" applyAlignment="1">
      <alignment horizontal="center" vertical="center"/>
    </xf>
    <xf numFmtId="0" fontId="57" fillId="0" borderId="0" xfId="0" applyFont="1" applyAlignment="1">
      <alignment horizontal="center" vertical="center"/>
    </xf>
    <xf numFmtId="2" fontId="57" fillId="0" borderId="0" xfId="0" applyNumberFormat="1" applyFont="1" applyAlignment="1">
      <alignment horizontal="center" vertical="center"/>
    </xf>
    <xf numFmtId="0" fontId="58" fillId="0" borderId="0" xfId="0" applyFont="1" applyAlignment="1">
      <alignment horizontal="center" vertical="center"/>
    </xf>
    <xf numFmtId="174" fontId="0" fillId="0" borderId="0" xfId="0" applyNumberFormat="1" applyAlignment="1">
      <alignment horizontal="center" vertical="center"/>
    </xf>
    <xf numFmtId="164" fontId="57" fillId="0" borderId="0" xfId="0" applyNumberFormat="1" applyFont="1" applyAlignment="1">
      <alignment horizontal="center" vertical="center"/>
    </xf>
    <xf numFmtId="164" fontId="57" fillId="0" borderId="0" xfId="0" applyNumberFormat="1" applyFont="1" applyFill="1" applyAlignment="1">
      <alignment horizontal="center" vertical="center"/>
    </xf>
    <xf numFmtId="0" fontId="25" fillId="0" borderId="0" xfId="0" applyFont="1" applyAlignment="1">
      <alignment horizontal="center" vertical="center"/>
    </xf>
    <xf numFmtId="175" fontId="0" fillId="0" borderId="0" xfId="0" applyNumberFormat="1" applyAlignment="1">
      <alignment horizontal="center"/>
    </xf>
    <xf numFmtId="166" fontId="0" fillId="0" borderId="17" xfId="0" applyNumberFormat="1" applyFont="1" applyBorder="1" applyAlignment="1">
      <alignment horizontal="center" vertical="center"/>
    </xf>
    <xf numFmtId="0" fontId="33" fillId="0" borderId="0" xfId="0" applyFont="1"/>
    <xf numFmtId="164" fontId="0" fillId="0" borderId="0" xfId="0" applyNumberFormat="1" applyBorder="1" applyAlignment="1" applyProtection="1">
      <alignment horizontal="center" vertical="center"/>
      <protection locked="0"/>
    </xf>
    <xf numFmtId="0" fontId="0" fillId="0" borderId="0" xfId="0" applyAlignment="1">
      <alignment horizontal="right"/>
    </xf>
    <xf numFmtId="2" fontId="46" fillId="0" borderId="0" xfId="0" applyNumberFormat="1" applyFont="1" applyFill="1" applyAlignment="1" applyProtection="1">
      <alignment horizontal="center" vertical="center"/>
      <protection hidden="1"/>
    </xf>
    <xf numFmtId="0" fontId="4" fillId="0" borderId="0" xfId="0" applyFont="1" applyAlignment="1">
      <alignment horizontal="center" vertical="center"/>
    </xf>
    <xf numFmtId="0" fontId="0" fillId="0" borderId="22" xfId="0" applyBorder="1" applyAlignment="1"/>
    <xf numFmtId="0" fontId="1" fillId="0" borderId="10" xfId="0" applyFont="1" applyBorder="1" applyAlignment="1">
      <alignment horizontal="center" vertical="center"/>
    </xf>
    <xf numFmtId="0" fontId="1" fillId="0" borderId="22" xfId="0" applyFont="1" applyBorder="1" applyAlignment="1"/>
    <xf numFmtId="167" fontId="0" fillId="0" borderId="0" xfId="0" applyNumberFormat="1" applyBorder="1" applyAlignment="1" applyProtection="1">
      <alignment horizontal="center" vertical="center"/>
      <protection hidden="1"/>
    </xf>
    <xf numFmtId="177" fontId="0" fillId="0" borderId="17" xfId="0" applyNumberFormat="1" applyBorder="1" applyAlignment="1">
      <alignment horizontal="center" vertical="center"/>
    </xf>
    <xf numFmtId="0" fontId="0" fillId="0" borderId="0" xfId="0" applyFill="1" applyBorder="1" applyProtection="1">
      <protection hidden="1"/>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164" fontId="0" fillId="6" borderId="0" xfId="0" applyNumberFormat="1" applyFill="1" applyAlignment="1">
      <alignment horizontal="center" vertical="center"/>
    </xf>
    <xf numFmtId="0" fontId="10" fillId="0" borderId="0" xfId="0" applyFont="1" applyAlignment="1">
      <alignment horizontal="right"/>
    </xf>
    <xf numFmtId="0" fontId="51" fillId="0" borderId="0" xfId="0" applyFont="1" applyFill="1" applyAlignment="1" applyProtection="1">
      <alignment vertical="center"/>
      <protection hidden="1"/>
    </xf>
    <xf numFmtId="0" fontId="0" fillId="0" borderId="10" xfId="0" applyBorder="1"/>
    <xf numFmtId="0" fontId="0" fillId="0" borderId="11" xfId="0" applyBorder="1"/>
    <xf numFmtId="0" fontId="59" fillId="0" borderId="10" xfId="0" applyFont="1" applyFill="1" applyBorder="1" applyAlignment="1" applyProtection="1">
      <alignment horizontal="center" vertical="center"/>
      <protection hidden="1"/>
    </xf>
    <xf numFmtId="2" fontId="0" fillId="0" borderId="0" xfId="0" applyNumberFormat="1" applyBorder="1" applyAlignment="1" applyProtection="1">
      <alignment horizontal="center" vertical="center"/>
    </xf>
    <xf numFmtId="179" fontId="0" fillId="0" borderId="0" xfId="0" applyNumberFormat="1" applyAlignment="1" applyProtection="1">
      <alignment horizontal="center" vertical="center"/>
      <protection hidden="1"/>
    </xf>
    <xf numFmtId="180" fontId="0" fillId="0" borderId="3" xfId="0" applyNumberFormat="1" applyBorder="1" applyAlignment="1">
      <alignment horizontal="center" vertical="center"/>
    </xf>
    <xf numFmtId="181" fontId="0" fillId="0" borderId="3" xfId="0" applyNumberFormat="1" applyBorder="1" applyAlignment="1">
      <alignment horizontal="center" vertical="center"/>
    </xf>
    <xf numFmtId="178" fontId="0" fillId="0" borderId="3" xfId="0" applyNumberFormat="1" applyBorder="1" applyAlignment="1" applyProtection="1">
      <alignment horizontal="center" vertical="center"/>
      <protection locked="0"/>
    </xf>
    <xf numFmtId="182" fontId="0" fillId="0" borderId="3" xfId="0" applyNumberFormat="1" applyBorder="1" applyAlignment="1" applyProtection="1">
      <alignment horizontal="center" vertical="center"/>
      <protection locked="0"/>
    </xf>
    <xf numFmtId="175" fontId="0" fillId="0" borderId="3" xfId="0" applyNumberFormat="1" applyBorder="1" applyAlignment="1" applyProtection="1">
      <alignment horizontal="center" vertical="center"/>
      <protection locked="0"/>
    </xf>
    <xf numFmtId="183" fontId="0" fillId="0" borderId="3" xfId="0" applyNumberFormat="1" applyBorder="1" applyAlignment="1" applyProtection="1">
      <alignment horizontal="center" vertical="center"/>
      <protection locked="0"/>
    </xf>
    <xf numFmtId="175" fontId="0" fillId="0" borderId="17" xfId="0" applyNumberFormat="1" applyBorder="1" applyAlignment="1" applyProtection="1">
      <alignment horizontal="center" vertical="center"/>
      <protection locked="0"/>
    </xf>
    <xf numFmtId="0" fontId="58" fillId="0" borderId="0" xfId="0" applyFont="1" applyBorder="1" applyAlignment="1">
      <alignment horizontal="center" vertical="center"/>
    </xf>
    <xf numFmtId="166" fontId="0" fillId="0" borderId="0" xfId="0" applyNumberFormat="1" applyBorder="1" applyAlignment="1">
      <alignment horizontal="center" vertical="center"/>
    </xf>
    <xf numFmtId="0" fontId="58" fillId="0" borderId="9" xfId="0" applyFont="1" applyBorder="1" applyAlignment="1">
      <alignment horizontal="center" vertical="center"/>
    </xf>
    <xf numFmtId="2" fontId="0" fillId="0" borderId="0" xfId="0" applyNumberFormat="1"/>
    <xf numFmtId="172" fontId="0" fillId="0" borderId="0" xfId="0" applyNumberFormat="1" applyBorder="1" applyAlignment="1">
      <alignment horizontal="center" vertical="center"/>
    </xf>
    <xf numFmtId="177" fontId="0" fillId="0" borderId="0" xfId="0" applyNumberFormat="1" applyBorder="1" applyAlignment="1">
      <alignment horizontal="center" vertical="center"/>
    </xf>
    <xf numFmtId="0" fontId="10" fillId="0" borderId="9" xfId="0" applyFont="1" applyBorder="1" applyAlignment="1">
      <alignment horizontal="right"/>
    </xf>
    <xf numFmtId="172" fontId="0" fillId="0" borderId="9" xfId="0" applyNumberFormat="1" applyBorder="1" applyAlignment="1">
      <alignment horizontal="center" vertical="center"/>
    </xf>
    <xf numFmtId="0" fontId="1" fillId="0" borderId="0" xfId="0" applyFont="1" applyAlignment="1">
      <alignment horizontal="left" vertical="center"/>
    </xf>
    <xf numFmtId="0" fontId="0" fillId="0" borderId="0" xfId="0" applyFill="1" applyAlignment="1">
      <alignment horizontal="center" vertical="center"/>
    </xf>
    <xf numFmtId="172" fontId="0" fillId="0" borderId="0" xfId="0" applyNumberFormat="1" applyFill="1" applyAlignment="1">
      <alignment horizontal="center" vertical="center"/>
    </xf>
    <xf numFmtId="2" fontId="0" fillId="5" borderId="0" xfId="0" applyNumberFormat="1" applyFill="1" applyProtection="1">
      <protection hidden="1"/>
    </xf>
    <xf numFmtId="0" fontId="0" fillId="2" borderId="0" xfId="0" applyFill="1" applyAlignment="1">
      <alignment horizontal="center" vertical="center"/>
    </xf>
    <xf numFmtId="177" fontId="1" fillId="0" borderId="25" xfId="0" applyNumberFormat="1" applyFont="1" applyFill="1" applyBorder="1" applyAlignment="1" applyProtection="1">
      <alignment horizontal="center" vertical="center"/>
      <protection hidden="1"/>
    </xf>
    <xf numFmtId="0" fontId="4" fillId="0" borderId="27" xfId="0" applyFont="1" applyFill="1" applyBorder="1" applyAlignment="1" applyProtection="1">
      <alignment horizontal="center" vertical="center"/>
      <protection hidden="1"/>
    </xf>
    <xf numFmtId="175" fontId="1" fillId="0" borderId="25" xfId="0" applyNumberFormat="1" applyFont="1" applyFill="1" applyBorder="1" applyAlignment="1" applyProtection="1">
      <alignment horizontal="center" vertical="center"/>
      <protection hidden="1"/>
    </xf>
    <xf numFmtId="0" fontId="33" fillId="0" borderId="0" xfId="0" applyFont="1" applyFill="1" applyProtection="1">
      <protection hidden="1"/>
    </xf>
    <xf numFmtId="2" fontId="0" fillId="0" borderId="0" xfId="0" applyNumberFormat="1" applyFill="1" applyAlignment="1" applyProtection="1">
      <alignment horizontal="center" vertical="center"/>
      <protection hidden="1"/>
    </xf>
    <xf numFmtId="0" fontId="0" fillId="0" borderId="0" xfId="0" applyFill="1" applyAlignment="1" applyProtection="1">
      <alignment horizontal="center" vertical="center"/>
      <protection hidden="1"/>
    </xf>
    <xf numFmtId="2" fontId="1" fillId="0" borderId="0" xfId="0" applyNumberFormat="1" applyFont="1" applyAlignment="1">
      <alignment horizontal="center" vertical="center"/>
    </xf>
    <xf numFmtId="0" fontId="0" fillId="0" borderId="23" xfId="0" applyBorder="1" applyAlignment="1">
      <alignment horizontal="center" vertical="center"/>
    </xf>
    <xf numFmtId="0" fontId="0" fillId="0" borderId="23" xfId="0" applyBorder="1"/>
    <xf numFmtId="2" fontId="0" fillId="0" borderId="0" xfId="0" applyNumberFormat="1" applyFill="1" applyAlignment="1">
      <alignment horizontal="center" vertical="center"/>
    </xf>
    <xf numFmtId="2" fontId="0" fillId="0" borderId="0" xfId="0" applyNumberFormat="1" applyFont="1" applyAlignment="1">
      <alignment horizontal="left"/>
    </xf>
    <xf numFmtId="2" fontId="0" fillId="8" borderId="0" xfId="0" applyNumberFormat="1" applyFill="1" applyAlignment="1">
      <alignment horizontal="center" vertical="center"/>
    </xf>
    <xf numFmtId="2" fontId="0" fillId="3" borderId="0" xfId="0" applyNumberFormat="1" applyFill="1" applyAlignment="1">
      <alignment horizontal="center" vertical="center"/>
    </xf>
    <xf numFmtId="0" fontId="0" fillId="0" borderId="42" xfId="0" applyBorder="1" applyAlignment="1">
      <alignment horizontal="center" vertical="center"/>
    </xf>
    <xf numFmtId="2" fontId="0" fillId="0" borderId="43" xfId="0" applyNumberFormat="1" applyBorder="1" applyAlignment="1">
      <alignment horizontal="center" vertical="center"/>
    </xf>
    <xf numFmtId="0" fontId="0" fillId="0" borderId="34" xfId="0" applyBorder="1" applyAlignment="1">
      <alignment horizontal="center" vertical="center"/>
    </xf>
    <xf numFmtId="2" fontId="0" fillId="0" borderId="31" xfId="0" applyNumberFormat="1" applyBorder="1" applyAlignment="1">
      <alignment horizontal="center" vertical="center"/>
    </xf>
    <xf numFmtId="0" fontId="0" fillId="0" borderId="44" xfId="0" applyBorder="1" applyAlignment="1">
      <alignment horizontal="center" vertical="center"/>
    </xf>
    <xf numFmtId="2" fontId="0" fillId="0" borderId="45" xfId="0" applyNumberFormat="1" applyBorder="1" applyAlignment="1">
      <alignment horizontal="center" vertical="center"/>
    </xf>
    <xf numFmtId="2" fontId="0" fillId="0" borderId="5" xfId="0" applyNumberFormat="1" applyBorder="1" applyAlignment="1">
      <alignment horizontal="center" vertical="center"/>
    </xf>
    <xf numFmtId="0" fontId="0" fillId="0" borderId="6" xfId="0" applyBorder="1" applyAlignment="1">
      <alignment horizontal="center" vertical="center"/>
    </xf>
    <xf numFmtId="2" fontId="0" fillId="0" borderId="7" xfId="0" applyNumberFormat="1" applyBorder="1" applyAlignment="1">
      <alignment horizontal="center" vertical="center"/>
    </xf>
    <xf numFmtId="175" fontId="0" fillId="0" borderId="27" xfId="0" applyNumberFormat="1" applyBorder="1" applyAlignment="1" applyProtection="1">
      <alignment horizontal="center" vertical="center"/>
      <protection locked="0"/>
    </xf>
    <xf numFmtId="186" fontId="0" fillId="0" borderId="3" xfId="0" applyNumberFormat="1" applyBorder="1" applyAlignment="1" applyProtection="1">
      <alignment horizontal="center" vertical="center"/>
      <protection locked="0"/>
    </xf>
    <xf numFmtId="175" fontId="0" fillId="0" borderId="9" xfId="0" applyNumberFormat="1" applyBorder="1" applyAlignment="1">
      <alignment horizontal="center" vertical="center"/>
    </xf>
    <xf numFmtId="175" fontId="0" fillId="0" borderId="0" xfId="0" applyNumberFormat="1" applyBorder="1" applyAlignment="1">
      <alignment horizontal="center" vertical="center"/>
    </xf>
    <xf numFmtId="0" fontId="0" fillId="0" borderId="22" xfId="0" applyBorder="1"/>
    <xf numFmtId="187" fontId="0" fillId="0" borderId="0" xfId="0" applyNumberFormat="1" applyBorder="1" applyAlignment="1" applyProtection="1">
      <alignment horizontal="center" vertical="center"/>
      <protection locked="0"/>
    </xf>
    <xf numFmtId="187" fontId="0" fillId="0" borderId="9" xfId="0" applyNumberFormat="1" applyBorder="1" applyAlignment="1">
      <alignment horizontal="center" vertical="center"/>
    </xf>
    <xf numFmtId="187" fontId="0" fillId="0" borderId="9" xfId="0" applyNumberFormat="1" applyBorder="1" applyAlignment="1" applyProtection="1">
      <alignment horizontal="center" vertical="center"/>
      <protection locked="0"/>
    </xf>
    <xf numFmtId="187" fontId="0" fillId="0" borderId="22" xfId="0" applyNumberFormat="1" applyBorder="1" applyAlignment="1" applyProtection="1">
      <alignment horizontal="center" vertical="center"/>
      <protection locked="0"/>
    </xf>
    <xf numFmtId="187" fontId="0" fillId="0" borderId="6" xfId="0" applyNumberFormat="1" applyBorder="1" applyAlignment="1" applyProtection="1">
      <alignment horizontal="center" vertical="center"/>
      <protection locked="0"/>
    </xf>
    <xf numFmtId="187" fontId="0" fillId="0" borderId="23" xfId="0" applyNumberFormat="1" applyBorder="1" applyAlignment="1" applyProtection="1">
      <alignment horizontal="center" vertical="center"/>
      <protection locked="0"/>
    </xf>
    <xf numFmtId="187" fontId="0" fillId="0" borderId="7" xfId="0" applyNumberFormat="1" applyBorder="1" applyAlignment="1" applyProtection="1">
      <alignment horizontal="center" vertical="center"/>
      <protection locked="0"/>
    </xf>
    <xf numFmtId="0" fontId="62" fillId="8" borderId="0" xfId="0" applyFont="1" applyFill="1" applyAlignment="1" applyProtection="1">
      <alignment horizontal="center" vertical="center"/>
      <protection hidden="1"/>
    </xf>
    <xf numFmtId="0" fontId="62" fillId="9" borderId="0" xfId="0" applyFont="1" applyFill="1" applyAlignment="1" applyProtection="1">
      <alignment horizontal="center" vertical="center"/>
      <protection hidden="1"/>
    </xf>
    <xf numFmtId="187" fontId="1" fillId="0" borderId="0" xfId="0" applyNumberFormat="1" applyFont="1" applyBorder="1" applyAlignment="1" applyProtection="1">
      <alignment horizontal="center" vertical="center"/>
      <protection locked="0"/>
    </xf>
    <xf numFmtId="187" fontId="1" fillId="0" borderId="9" xfId="0" applyNumberFormat="1" applyFont="1" applyBorder="1" applyAlignment="1" applyProtection="1">
      <alignment horizontal="center" vertical="center"/>
      <protection locked="0"/>
    </xf>
    <xf numFmtId="0" fontId="1" fillId="0" borderId="11" xfId="0" applyFont="1" applyBorder="1" applyAlignment="1">
      <alignment horizontal="center" vertical="center"/>
    </xf>
    <xf numFmtId="0" fontId="4" fillId="0" borderId="11" xfId="0" applyFont="1" applyBorder="1" applyAlignment="1">
      <alignment horizontal="center" vertical="center"/>
    </xf>
    <xf numFmtId="0" fontId="59" fillId="0" borderId="11" xfId="0" applyFont="1" applyFill="1" applyBorder="1" applyAlignment="1" applyProtection="1">
      <alignment horizontal="center" vertical="center"/>
      <protection hidden="1"/>
    </xf>
    <xf numFmtId="0" fontId="59" fillId="0" borderId="12" xfId="0" applyFont="1" applyFill="1" applyBorder="1" applyAlignment="1" applyProtection="1">
      <alignment horizontal="center" vertical="center"/>
      <protection hidden="1"/>
    </xf>
    <xf numFmtId="175" fontId="0" fillId="0" borderId="22" xfId="0" applyNumberFormat="1" applyBorder="1" applyAlignment="1">
      <alignment horizontal="center" vertical="center"/>
    </xf>
    <xf numFmtId="187" fontId="0" fillId="0" borderId="0" xfId="0" applyNumberFormat="1" applyBorder="1" applyAlignment="1">
      <alignment horizontal="center" vertical="center"/>
    </xf>
    <xf numFmtId="187" fontId="1" fillId="0" borderId="23" xfId="0" applyNumberFormat="1" applyFont="1" applyBorder="1" applyAlignment="1" applyProtection="1">
      <alignment horizontal="center" vertical="center"/>
      <protection locked="0"/>
    </xf>
    <xf numFmtId="175" fontId="0" fillId="0" borderId="6" xfId="0" applyNumberFormat="1" applyBorder="1" applyAlignment="1">
      <alignment horizontal="center" vertical="center"/>
    </xf>
    <xf numFmtId="187" fontId="1" fillId="0" borderId="7" xfId="0" applyNumberFormat="1" applyFont="1" applyBorder="1" applyAlignment="1" applyProtection="1">
      <alignment horizontal="center" vertical="center"/>
      <protection locked="0"/>
    </xf>
    <xf numFmtId="0" fontId="0" fillId="6" borderId="0" xfId="0" applyFill="1"/>
    <xf numFmtId="0" fontId="63" fillId="0" borderId="11" xfId="0" applyFont="1" applyFill="1" applyBorder="1" applyAlignment="1" applyProtection="1">
      <alignment horizontal="center" vertical="center"/>
      <protection hidden="1"/>
    </xf>
    <xf numFmtId="0" fontId="63" fillId="0" borderId="12" xfId="0" applyFont="1" applyFill="1" applyBorder="1" applyAlignment="1" applyProtection="1">
      <alignment horizontal="center" vertical="center"/>
      <protection hidden="1"/>
    </xf>
    <xf numFmtId="0" fontId="0" fillId="0" borderId="6" xfId="0" applyBorder="1"/>
    <xf numFmtId="0" fontId="0" fillId="0" borderId="7" xfId="0" applyBorder="1"/>
    <xf numFmtId="175" fontId="0" fillId="0" borderId="22" xfId="0" applyNumberFormat="1" applyBorder="1"/>
    <xf numFmtId="2" fontId="0" fillId="0" borderId="0" xfId="0" applyNumberFormat="1" applyBorder="1"/>
    <xf numFmtId="175" fontId="0" fillId="0" borderId="0" xfId="0" applyNumberFormat="1" applyBorder="1"/>
    <xf numFmtId="2" fontId="0" fillId="0" borderId="23" xfId="0" applyNumberFormat="1" applyBorder="1"/>
    <xf numFmtId="175" fontId="0" fillId="0" borderId="6" xfId="0" applyNumberFormat="1" applyBorder="1"/>
    <xf numFmtId="2" fontId="0" fillId="0" borderId="9" xfId="0" applyNumberFormat="1" applyBorder="1"/>
    <xf numFmtId="175" fontId="0" fillId="0" borderId="9" xfId="0" applyNumberFormat="1" applyBorder="1"/>
    <xf numFmtId="2" fontId="0" fillId="0" borderId="7" xfId="0" applyNumberFormat="1" applyBorder="1"/>
    <xf numFmtId="164" fontId="0" fillId="0" borderId="5" xfId="0" applyNumberFormat="1" applyBorder="1" applyAlignment="1">
      <alignment horizontal="center" vertical="center"/>
    </xf>
    <xf numFmtId="164" fontId="0" fillId="0" borderId="23" xfId="0" applyNumberFormat="1" applyBorder="1" applyAlignment="1">
      <alignment horizontal="center" vertical="center"/>
    </xf>
    <xf numFmtId="164" fontId="0" fillId="0" borderId="7" xfId="0" applyNumberFormat="1" applyBorder="1" applyAlignment="1">
      <alignment horizontal="center" vertical="center"/>
    </xf>
    <xf numFmtId="0" fontId="65" fillId="0" borderId="0" xfId="0" applyFont="1" applyProtection="1">
      <protection hidden="1"/>
    </xf>
    <xf numFmtId="0" fontId="1" fillId="0" borderId="3" xfId="0" applyFont="1" applyBorder="1" applyAlignment="1">
      <alignment horizontal="center" vertical="center"/>
    </xf>
    <xf numFmtId="0" fontId="0" fillId="0" borderId="8" xfId="0" applyBorder="1"/>
    <xf numFmtId="0" fontId="0" fillId="0" borderId="5" xfId="0" applyBorder="1"/>
    <xf numFmtId="0" fontId="1" fillId="0" borderId="22" xfId="0" applyFont="1" applyBorder="1" applyAlignment="1">
      <alignment horizontal="center" vertical="center"/>
    </xf>
    <xf numFmtId="0" fontId="1" fillId="0" borderId="0" xfId="0" applyFont="1" applyBorder="1" applyAlignment="1">
      <alignment horizontal="center" vertical="center"/>
    </xf>
    <xf numFmtId="164" fontId="0" fillId="0" borderId="0" xfId="0" applyNumberFormat="1" applyFont="1" applyBorder="1" applyAlignment="1">
      <alignment horizontal="center" vertical="center"/>
    </xf>
    <xf numFmtId="164" fontId="0" fillId="6" borderId="4" xfId="0" applyNumberFormat="1" applyFill="1" applyBorder="1" applyAlignment="1">
      <alignment horizontal="center" vertical="center"/>
    </xf>
    <xf numFmtId="164" fontId="0" fillId="6" borderId="22" xfId="0" applyNumberFormat="1" applyFill="1" applyBorder="1" applyAlignment="1">
      <alignment horizontal="center" vertical="center"/>
    </xf>
    <xf numFmtId="164" fontId="0" fillId="6" borderId="6" xfId="0" applyNumberFormat="1" applyFill="1" applyBorder="1" applyAlignment="1">
      <alignment horizontal="center" vertical="center"/>
    </xf>
    <xf numFmtId="166" fontId="0" fillId="0" borderId="22" xfId="0" applyNumberFormat="1" applyBorder="1" applyAlignment="1">
      <alignment horizontal="center" vertical="center"/>
    </xf>
    <xf numFmtId="0" fontId="1" fillId="0" borderId="10" xfId="0" applyFont="1" applyBorder="1" applyAlignment="1"/>
    <xf numFmtId="0" fontId="1" fillId="0" borderId="12" xfId="0" applyFont="1" applyBorder="1" applyAlignment="1"/>
    <xf numFmtId="0" fontId="1" fillId="0" borderId="10" xfId="0" applyFont="1" applyBorder="1" applyAlignment="1" applyProtection="1">
      <protection hidden="1"/>
    </xf>
    <xf numFmtId="0" fontId="1" fillId="0" borderId="12" xfId="0" applyFont="1" applyBorder="1" applyAlignment="1" applyProtection="1">
      <protection hidden="1"/>
    </xf>
    <xf numFmtId="164" fontId="0" fillId="0" borderId="17" xfId="0" applyNumberFormat="1" applyBorder="1" applyAlignment="1">
      <alignment horizontal="center" vertical="center"/>
    </xf>
    <xf numFmtId="2" fontId="0" fillId="0" borderId="23" xfId="0" applyNumberFormat="1" applyBorder="1" applyAlignment="1">
      <alignment horizontal="center" vertical="center"/>
    </xf>
    <xf numFmtId="0" fontId="0" fillId="0" borderId="22" xfId="0" applyBorder="1" applyAlignment="1">
      <alignment horizontal="center" vertical="center"/>
    </xf>
    <xf numFmtId="0" fontId="0" fillId="0" borderId="22" xfId="0" applyBorder="1" applyAlignment="1">
      <alignment horizontal="left" vertical="center"/>
    </xf>
    <xf numFmtId="187" fontId="1" fillId="0" borderId="5" xfId="0" applyNumberFormat="1" applyFont="1" applyBorder="1" applyAlignment="1" applyProtection="1">
      <alignment horizontal="center" vertical="center"/>
      <protection locked="0"/>
    </xf>
    <xf numFmtId="0" fontId="59" fillId="0" borderId="17" xfId="0" applyFont="1" applyFill="1" applyBorder="1" applyAlignment="1" applyProtection="1">
      <alignment horizontal="center" vertical="center"/>
      <protection hidden="1"/>
    </xf>
    <xf numFmtId="187" fontId="1" fillId="0" borderId="26" xfId="0" applyNumberFormat="1" applyFont="1" applyBorder="1" applyAlignment="1" applyProtection="1">
      <alignment horizontal="center" vertical="center"/>
      <protection locked="0"/>
    </xf>
    <xf numFmtId="187" fontId="1" fillId="0" borderId="25" xfId="0" applyNumberFormat="1" applyFont="1" applyBorder="1" applyAlignment="1" applyProtection="1">
      <alignment horizontal="center" vertical="center"/>
      <protection locked="0"/>
    </xf>
    <xf numFmtId="0" fontId="0" fillId="0" borderId="26" xfId="0" applyBorder="1"/>
    <xf numFmtId="0" fontId="0" fillId="0" borderId="25" xfId="0" applyBorder="1"/>
    <xf numFmtId="0" fontId="62" fillId="0" borderId="0" xfId="0" applyFont="1"/>
    <xf numFmtId="0" fontId="6" fillId="0" borderId="0" xfId="0" applyFont="1" applyAlignment="1">
      <alignment horizontal="center" vertical="center"/>
    </xf>
    <xf numFmtId="0" fontId="63" fillId="0" borderId="17" xfId="0" applyFont="1" applyFill="1" applyBorder="1" applyAlignment="1" applyProtection="1">
      <alignment horizontal="center" vertical="center"/>
      <protection hidden="1"/>
    </xf>
    <xf numFmtId="189" fontId="0" fillId="0" borderId="0" xfId="0" applyNumberFormat="1" applyBorder="1" applyAlignment="1">
      <alignment horizontal="center" vertical="center"/>
    </xf>
    <xf numFmtId="0" fontId="0" fillId="0" borderId="4" xfId="0" applyBorder="1"/>
    <xf numFmtId="0" fontId="68" fillId="0" borderId="0" xfId="0" applyFont="1" applyAlignment="1" applyProtection="1">
      <alignment horizontal="right"/>
      <protection hidden="1"/>
    </xf>
    <xf numFmtId="0" fontId="0" fillId="0" borderId="9" xfId="0" applyBorder="1" applyAlignment="1"/>
    <xf numFmtId="0" fontId="63" fillId="0" borderId="0" xfId="0" applyFont="1" applyFill="1" applyBorder="1" applyAlignment="1" applyProtection="1">
      <alignment horizontal="center" vertical="center"/>
      <protection hidden="1"/>
    </xf>
    <xf numFmtId="0" fontId="1" fillId="0" borderId="17" xfId="0" applyFont="1" applyBorder="1" applyAlignment="1">
      <alignment horizontal="center"/>
    </xf>
    <xf numFmtId="0" fontId="0" fillId="0" borderId="0" xfId="0" applyFont="1" applyAlignment="1" applyProtection="1">
      <alignment horizontal="center"/>
      <protection hidden="1"/>
    </xf>
    <xf numFmtId="164" fontId="0" fillId="0" borderId="17" xfId="0" applyNumberFormat="1" applyFont="1" applyBorder="1" applyAlignment="1" applyProtection="1">
      <alignment horizontal="center" vertical="center"/>
      <protection hidden="1"/>
    </xf>
    <xf numFmtId="164" fontId="34" fillId="0" borderId="17" xfId="0" applyNumberFormat="1"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1" fillId="0" borderId="0" xfId="0" applyFont="1" applyAlignment="1" applyProtection="1">
      <alignment vertical="center" wrapText="1"/>
      <protection hidden="1"/>
    </xf>
    <xf numFmtId="0" fontId="0" fillId="0" borderId="0" xfId="0" applyFont="1" applyAlignment="1" applyProtection="1">
      <alignment horizontal="center" vertical="center" wrapText="1"/>
      <protection hidden="1"/>
    </xf>
    <xf numFmtId="0" fontId="1" fillId="0" borderId="17" xfId="0" applyFont="1" applyFill="1" applyBorder="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0" fontId="25" fillId="0" borderId="0" xfId="0" applyFont="1" applyAlignment="1" applyProtection="1">
      <alignment vertical="center" wrapText="1"/>
      <protection hidden="1"/>
    </xf>
    <xf numFmtId="0" fontId="0" fillId="0" borderId="8" xfId="0" applyFont="1" applyBorder="1" applyAlignment="1">
      <alignment horizontal="center" vertical="center" wrapText="1"/>
    </xf>
    <xf numFmtId="2" fontId="0" fillId="0" borderId="0" xfId="0" applyNumberFormat="1" applyFont="1" applyBorder="1" applyAlignment="1">
      <alignment horizontal="center" vertical="center" wrapText="1"/>
    </xf>
    <xf numFmtId="165" fontId="0" fillId="0" borderId="0" xfId="0" applyNumberFormat="1" applyFont="1" applyBorder="1" applyAlignment="1">
      <alignment horizontal="center" vertical="center" wrapText="1"/>
    </xf>
    <xf numFmtId="165" fontId="0" fillId="0" borderId="0" xfId="0" applyNumberFormat="1" applyFont="1" applyBorder="1" applyAlignment="1">
      <alignment horizontal="center"/>
    </xf>
    <xf numFmtId="2" fontId="0" fillId="0" borderId="0" xfId="0" applyNumberFormat="1" applyFont="1" applyBorder="1" applyAlignment="1">
      <alignment horizontal="center" vertical="center"/>
    </xf>
    <xf numFmtId="2" fontId="0" fillId="0" borderId="9" xfId="0" applyNumberFormat="1" applyFont="1" applyBorder="1" applyAlignment="1">
      <alignment horizontal="center" vertical="center"/>
    </xf>
    <xf numFmtId="0" fontId="1" fillId="0" borderId="0" xfId="0" applyFont="1" applyAlignment="1">
      <alignment horizontal="right"/>
    </xf>
    <xf numFmtId="0" fontId="0" fillId="0" borderId="23" xfId="0" applyBorder="1" applyAlignment="1"/>
    <xf numFmtId="0" fontId="0" fillId="0" borderId="6" xfId="0" applyBorder="1" applyAlignment="1"/>
    <xf numFmtId="0" fontId="0" fillId="0" borderId="7" xfId="0" applyBorder="1" applyAlignment="1"/>
    <xf numFmtId="0" fontId="22" fillId="0" borderId="18" xfId="0" applyFont="1" applyBorder="1" applyAlignment="1" applyProtection="1">
      <alignment horizontal="center" vertical="center"/>
      <protection locked="0"/>
    </xf>
    <xf numFmtId="0" fontId="4" fillId="0" borderId="0" xfId="0" applyFont="1" applyBorder="1" applyAlignment="1" applyProtection="1">
      <alignment vertical="center"/>
      <protection hidden="1"/>
    </xf>
    <xf numFmtId="0" fontId="4" fillId="0" borderId="9" xfId="0" applyFont="1" applyBorder="1" applyAlignment="1" applyProtection="1">
      <alignment vertical="center"/>
      <protection hidden="1"/>
    </xf>
    <xf numFmtId="0" fontId="0" fillId="0" borderId="0" xfId="0" applyBorder="1" applyAlignment="1" applyProtection="1">
      <protection hidden="1"/>
    </xf>
    <xf numFmtId="0" fontId="1" fillId="0" borderId="0" xfId="0" applyFont="1" applyBorder="1" applyAlignment="1" applyProtection="1">
      <protection hidden="1"/>
    </xf>
    <xf numFmtId="0" fontId="1" fillId="0" borderId="0" xfId="0" applyFont="1" applyBorder="1" applyAlignment="1">
      <alignment horizontal="left"/>
    </xf>
    <xf numFmtId="164" fontId="0" fillId="0" borderId="17" xfId="0" applyNumberFormat="1" applyFont="1" applyBorder="1" applyAlignment="1">
      <alignment horizontal="center" vertical="center"/>
    </xf>
    <xf numFmtId="164" fontId="0" fillId="0" borderId="27" xfId="0" applyNumberFormat="1" applyFont="1" applyBorder="1" applyAlignment="1">
      <alignment horizontal="center" vertical="center"/>
    </xf>
    <xf numFmtId="175" fontId="0" fillId="0" borderId="0" xfId="0" applyNumberFormat="1" applyFill="1" applyAlignment="1" applyProtection="1">
      <alignment horizontal="center" vertical="center"/>
      <protection hidden="1"/>
    </xf>
    <xf numFmtId="2" fontId="76" fillId="0" borderId="0" xfId="0" applyNumberFormat="1" applyFont="1" applyFill="1" applyAlignment="1" applyProtection="1">
      <alignment horizontal="center" vertical="center"/>
      <protection hidden="1"/>
    </xf>
    <xf numFmtId="2" fontId="76" fillId="0" borderId="0" xfId="0" applyNumberFormat="1" applyFont="1" applyFill="1" applyBorder="1" applyAlignment="1" applyProtection="1">
      <alignment horizontal="center" vertical="center"/>
      <protection hidden="1"/>
    </xf>
    <xf numFmtId="0" fontId="1" fillId="0" borderId="1" xfId="0" applyFont="1" applyBorder="1" applyAlignment="1" applyProtection="1">
      <alignment horizontal="right"/>
      <protection hidden="1"/>
    </xf>
    <xf numFmtId="2" fontId="1" fillId="0" borderId="24" xfId="0" applyNumberFormat="1" applyFont="1" applyBorder="1" applyAlignment="1" applyProtection="1">
      <alignment horizontal="center" vertical="center"/>
      <protection hidden="1"/>
    </xf>
    <xf numFmtId="0" fontId="30" fillId="0" borderId="0" xfId="0" applyFont="1" applyFill="1" applyBorder="1" applyAlignment="1">
      <alignment horizontal="center" vertical="center"/>
    </xf>
    <xf numFmtId="2" fontId="0" fillId="0" borderId="0" xfId="0" applyNumberFormat="1" applyFill="1" applyBorder="1" applyAlignment="1" applyProtection="1">
      <alignment horizontal="center" vertical="center"/>
    </xf>
    <xf numFmtId="0" fontId="32" fillId="0" borderId="0" xfId="0" applyFont="1" applyFill="1" applyBorder="1" applyAlignment="1">
      <alignment vertical="center"/>
    </xf>
    <xf numFmtId="193" fontId="0" fillId="0" borderId="35" xfId="0" applyNumberFormat="1" applyFont="1" applyBorder="1" applyAlignment="1">
      <alignment horizontal="center" vertical="center"/>
    </xf>
    <xf numFmtId="180" fontId="0" fillId="0" borderId="40" xfId="0" applyNumberFormat="1" applyBorder="1" applyAlignment="1">
      <alignment horizontal="center" vertical="center"/>
    </xf>
    <xf numFmtId="181" fontId="0" fillId="0" borderId="0" xfId="0" applyNumberFormat="1" applyBorder="1" applyAlignment="1">
      <alignment horizontal="center" vertical="center"/>
    </xf>
    <xf numFmtId="0" fontId="0" fillId="0" borderId="4" xfId="0" applyBorder="1" applyProtection="1">
      <protection hidden="1"/>
    </xf>
    <xf numFmtId="2" fontId="43" fillId="0" borderId="8" xfId="0" applyNumberFormat="1" applyFont="1" applyFill="1" applyBorder="1" applyAlignment="1" applyProtection="1">
      <alignment horizontal="center" vertical="center"/>
      <protection hidden="1"/>
    </xf>
    <xf numFmtId="181" fontId="0" fillId="0" borderId="50" xfId="0" applyNumberFormat="1" applyBorder="1" applyAlignment="1">
      <alignment horizontal="center" vertical="center"/>
    </xf>
    <xf numFmtId="2" fontId="43" fillId="0" borderId="0" xfId="0" applyNumberFormat="1" applyFont="1" applyFill="1" applyBorder="1" applyAlignment="1" applyProtection="1">
      <alignment horizontal="center" vertical="center"/>
      <protection hidden="1"/>
    </xf>
    <xf numFmtId="193" fontId="0" fillId="0" borderId="51" xfId="0" applyNumberFormat="1" applyFill="1" applyBorder="1" applyAlignment="1">
      <alignment horizontal="center" vertical="center"/>
    </xf>
    <xf numFmtId="193" fontId="0" fillId="0" borderId="6" xfId="0" applyNumberFormat="1" applyBorder="1" applyAlignment="1">
      <alignment horizontal="center" vertical="center"/>
    </xf>
    <xf numFmtId="0" fontId="67" fillId="0" borderId="0" xfId="0" applyFont="1"/>
    <xf numFmtId="0" fontId="0" fillId="0" borderId="10" xfId="0" applyBorder="1" applyProtection="1">
      <protection hidden="1"/>
    </xf>
    <xf numFmtId="181" fontId="0" fillId="0" borderId="52" xfId="0" applyNumberFormat="1" applyBorder="1" applyAlignment="1">
      <alignment horizontal="center" vertical="center"/>
    </xf>
    <xf numFmtId="0" fontId="1" fillId="0" borderId="4" xfId="0" applyFont="1" applyBorder="1" applyAlignment="1">
      <alignment horizontal="center" vertical="center"/>
    </xf>
    <xf numFmtId="172" fontId="0" fillId="0" borderId="22" xfId="0" applyNumberFormat="1" applyBorder="1" applyAlignment="1">
      <alignment horizontal="center" vertical="center"/>
    </xf>
    <xf numFmtId="166" fontId="0" fillId="0" borderId="6" xfId="0" applyNumberFormat="1" applyBorder="1" applyAlignment="1">
      <alignment horizontal="center" vertical="center"/>
    </xf>
    <xf numFmtId="2" fontId="0" fillId="0" borderId="22" xfId="0" applyNumberFormat="1" applyBorder="1" applyAlignment="1">
      <alignment horizontal="center" vertical="center"/>
    </xf>
    <xf numFmtId="2" fontId="0" fillId="0" borderId="6" xfId="0" applyNumberFormat="1" applyBorder="1" applyAlignment="1">
      <alignment horizontal="center" vertical="center"/>
    </xf>
    <xf numFmtId="0" fontId="68" fillId="0" borderId="0" xfId="0" applyFont="1" applyProtection="1">
      <protection hidden="1"/>
    </xf>
    <xf numFmtId="0" fontId="62" fillId="0" borderId="17" xfId="0" applyFont="1" applyBorder="1" applyAlignment="1">
      <alignment horizontal="center" vertical="center"/>
    </xf>
    <xf numFmtId="2" fontId="62" fillId="0" borderId="17" xfId="0" applyNumberFormat="1" applyFont="1" applyBorder="1" applyAlignment="1">
      <alignment horizontal="center" vertical="center"/>
    </xf>
    <xf numFmtId="0" fontId="1" fillId="0" borderId="9" xfId="0" applyFont="1" applyFill="1" applyBorder="1" applyAlignment="1" applyProtection="1">
      <alignment vertical="center"/>
      <protection hidden="1"/>
    </xf>
    <xf numFmtId="189" fontId="0" fillId="0" borderId="0" xfId="0" applyNumberFormat="1" applyAlignment="1" applyProtection="1">
      <alignment horizontal="center" vertical="center"/>
      <protection hidden="1"/>
    </xf>
    <xf numFmtId="189" fontId="0" fillId="0" borderId="9" xfId="0" applyNumberFormat="1" applyBorder="1" applyAlignment="1" applyProtection="1">
      <alignment horizontal="center" vertical="center"/>
      <protection hidden="1"/>
    </xf>
    <xf numFmtId="2" fontId="1" fillId="0" borderId="0" xfId="0" applyNumberFormat="1" applyFont="1" applyFill="1" applyAlignment="1" applyProtection="1">
      <alignment horizontal="center" vertical="center"/>
      <protection hidden="1"/>
    </xf>
    <xf numFmtId="2" fontId="76" fillId="0" borderId="17" xfId="0" applyNumberFormat="1" applyFont="1" applyFill="1" applyBorder="1" applyAlignment="1" applyProtection="1">
      <alignment horizontal="center" vertical="center"/>
      <protection hidden="1"/>
    </xf>
    <xf numFmtId="177" fontId="0" fillId="0" borderId="17" xfId="0" applyNumberFormat="1" applyBorder="1" applyAlignment="1" applyProtection="1">
      <alignment horizontal="center" vertical="center"/>
      <protection hidden="1"/>
    </xf>
    <xf numFmtId="189" fontId="0" fillId="0" borderId="17" xfId="0" applyNumberFormat="1" applyBorder="1" applyAlignment="1" applyProtection="1">
      <alignment horizontal="center" vertical="center"/>
      <protection hidden="1"/>
    </xf>
    <xf numFmtId="0" fontId="1" fillId="0" borderId="9" xfId="0" applyFont="1" applyBorder="1" applyAlignment="1" applyProtection="1">
      <alignment horizontal="center" vertical="center" wrapText="1"/>
      <protection hidden="1"/>
    </xf>
    <xf numFmtId="2" fontId="1" fillId="0" borderId="22" xfId="0" applyNumberFormat="1" applyFont="1" applyBorder="1" applyAlignment="1" applyProtection="1">
      <alignment horizontal="center" vertical="center"/>
      <protection hidden="1"/>
    </xf>
    <xf numFmtId="165" fontId="0" fillId="0" borderId="22" xfId="0" applyNumberFormat="1" applyBorder="1" applyAlignment="1" applyProtection="1">
      <alignment horizontal="center" vertical="center"/>
      <protection hidden="1"/>
    </xf>
    <xf numFmtId="0" fontId="82" fillId="0" borderId="0" xfId="0" applyFont="1" applyProtection="1">
      <protection hidden="1"/>
    </xf>
    <xf numFmtId="2" fontId="0" fillId="0" borderId="0" xfId="0" applyNumberFormat="1" applyFill="1" applyBorder="1" applyAlignment="1" applyProtection="1">
      <alignment horizontal="center" vertical="center"/>
      <protection hidden="1"/>
    </xf>
    <xf numFmtId="189" fontId="0" fillId="0" borderId="0" xfId="0" applyNumberFormat="1" applyBorder="1" applyAlignment="1" applyProtection="1">
      <alignment horizontal="center" vertical="center"/>
      <protection hidden="1"/>
    </xf>
    <xf numFmtId="0" fontId="62" fillId="0" borderId="0" xfId="0" applyFont="1" applyFill="1" applyBorder="1" applyAlignment="1">
      <alignment horizontal="left" vertical="center"/>
    </xf>
    <xf numFmtId="183" fontId="0" fillId="0" borderId="0" xfId="0" applyNumberFormat="1" applyAlignment="1" applyProtection="1">
      <alignment horizontal="center" vertical="center"/>
      <protection hidden="1"/>
    </xf>
    <xf numFmtId="0" fontId="59" fillId="0" borderId="0" xfId="0" applyFont="1" applyFill="1" applyBorder="1" applyAlignment="1" applyProtection="1">
      <alignment horizontal="center" vertical="center"/>
      <protection hidden="1"/>
    </xf>
    <xf numFmtId="0" fontId="34" fillId="0" borderId="0" xfId="0" applyFont="1" applyBorder="1" applyAlignment="1" applyProtection="1">
      <alignment vertical="center"/>
      <protection hidden="1"/>
    </xf>
    <xf numFmtId="183" fontId="0" fillId="0" borderId="0" xfId="0" applyNumberFormat="1"/>
    <xf numFmtId="0" fontId="0" fillId="0" borderId="0" xfId="0" applyAlignment="1">
      <alignment horizontal="left" vertical="center"/>
    </xf>
    <xf numFmtId="2" fontId="0" fillId="0" borderId="31" xfId="0" applyNumberFormat="1" applyBorder="1" applyProtection="1">
      <protection hidden="1"/>
    </xf>
    <xf numFmtId="195" fontId="1" fillId="0" borderId="17" xfId="0" applyNumberFormat="1" applyFont="1" applyBorder="1" applyAlignment="1" applyProtection="1">
      <alignment horizontal="center" vertical="center"/>
      <protection hidden="1"/>
    </xf>
    <xf numFmtId="183" fontId="0" fillId="0" borderId="0" xfId="0" applyNumberFormat="1" applyBorder="1" applyAlignment="1" applyProtection="1">
      <alignment horizontal="center" vertical="center"/>
      <protection hidden="1"/>
    </xf>
    <xf numFmtId="0" fontId="1" fillId="0" borderId="0" xfId="0" applyFont="1" applyBorder="1" applyAlignment="1" applyProtection="1">
      <alignment horizontal="right"/>
      <protection hidden="1"/>
    </xf>
    <xf numFmtId="197" fontId="1" fillId="0" borderId="0" xfId="0" applyNumberFormat="1" applyFont="1" applyBorder="1" applyAlignment="1" applyProtection="1">
      <alignment horizontal="center" vertical="center"/>
      <protection hidden="1"/>
    </xf>
    <xf numFmtId="197" fontId="0" fillId="0" borderId="17" xfId="0" applyNumberFormat="1" applyFont="1" applyBorder="1" applyAlignment="1" applyProtection="1">
      <alignment horizontal="center" vertical="center"/>
      <protection hidden="1"/>
    </xf>
    <xf numFmtId="196" fontId="0" fillId="0" borderId="17" xfId="0" applyNumberFormat="1" applyFont="1" applyBorder="1" applyAlignment="1" applyProtection="1">
      <alignment horizontal="center" vertical="center"/>
      <protection hidden="1"/>
    </xf>
    <xf numFmtId="198" fontId="0" fillId="0" borderId="17" xfId="0" applyNumberFormat="1" applyFont="1" applyBorder="1" applyAlignment="1" applyProtection="1">
      <alignment horizontal="center" vertical="center"/>
      <protection hidden="1"/>
    </xf>
    <xf numFmtId="184" fontId="0" fillId="0" borderId="17" xfId="0" applyNumberFormat="1" applyBorder="1" applyAlignment="1" applyProtection="1">
      <alignment horizontal="center" vertical="center"/>
      <protection hidden="1"/>
    </xf>
    <xf numFmtId="0" fontId="73" fillId="0" borderId="23" xfId="0" applyFont="1" applyBorder="1" applyAlignment="1" applyProtection="1">
      <alignment horizontal="center" vertical="center"/>
      <protection hidden="1"/>
    </xf>
    <xf numFmtId="0" fontId="4" fillId="0" borderId="23" xfId="0" applyFont="1" applyBorder="1" applyAlignment="1" applyProtection="1">
      <alignment horizontal="center" vertical="center"/>
      <protection hidden="1"/>
    </xf>
    <xf numFmtId="0" fontId="15" fillId="0" borderId="0" xfId="0" applyFont="1" applyBorder="1" applyAlignment="1" applyProtection="1">
      <protection hidden="1"/>
    </xf>
    <xf numFmtId="0" fontId="15" fillId="0" borderId="0" xfId="0" applyFont="1" applyAlignment="1" applyProtection="1">
      <protection hidden="1"/>
    </xf>
    <xf numFmtId="0" fontId="85" fillId="0" borderId="0" xfId="0" applyFont="1" applyProtection="1">
      <protection hidden="1"/>
    </xf>
    <xf numFmtId="0" fontId="0" fillId="0" borderId="0" xfId="0" applyBorder="1" applyAlignment="1">
      <alignment horizontal="center"/>
    </xf>
    <xf numFmtId="0" fontId="1" fillId="0" borderId="0" xfId="0" applyFont="1" applyAlignment="1" applyProtection="1">
      <alignment horizontal="center"/>
      <protection hidden="1"/>
    </xf>
    <xf numFmtId="0" fontId="19" fillId="0" borderId="0" xfId="1" applyAlignment="1" applyProtection="1">
      <alignment horizontal="center"/>
      <protection hidden="1"/>
    </xf>
    <xf numFmtId="0" fontId="25" fillId="0" borderId="9" xfId="0" applyFont="1" applyBorder="1" applyAlignment="1">
      <alignment horizontal="center" vertical="center"/>
    </xf>
    <xf numFmtId="0" fontId="1" fillId="0" borderId="0" xfId="0" applyFont="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15" fillId="0" borderId="0" xfId="0" applyFont="1" applyAlignment="1">
      <alignment horizontal="center" vertical="center"/>
    </xf>
    <xf numFmtId="0" fontId="1" fillId="0" borderId="0"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2" fontId="0" fillId="0" borderId="17" xfId="0" applyNumberFormat="1" applyBorder="1" applyAlignment="1" applyProtection="1">
      <alignment horizontal="center" vertical="center"/>
      <protection hidden="1"/>
    </xf>
    <xf numFmtId="0" fontId="0" fillId="0" borderId="17" xfId="0" applyBorder="1" applyAlignment="1">
      <alignment horizontal="center" vertical="center"/>
    </xf>
    <xf numFmtId="0" fontId="1" fillId="0" borderId="17" xfId="0" applyFont="1" applyBorder="1" applyAlignment="1">
      <alignment horizontal="center" vertical="center"/>
    </xf>
    <xf numFmtId="2" fontId="0" fillId="0" borderId="0" xfId="0" applyNumberFormat="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0" fontId="43" fillId="0" borderId="0" xfId="0" applyFont="1" applyFill="1" applyAlignment="1" applyProtection="1">
      <alignment horizontal="center" vertical="center"/>
      <protection hidden="1"/>
    </xf>
    <xf numFmtId="0" fontId="2" fillId="0" borderId="10" xfId="0" applyFont="1" applyBorder="1" applyAlignment="1" applyProtection="1">
      <alignment horizontal="center" vertical="center"/>
      <protection hidden="1"/>
    </xf>
    <xf numFmtId="0" fontId="0" fillId="0" borderId="17" xfId="0" applyBorder="1" applyAlignment="1">
      <alignment horizontal="center" vertical="center"/>
    </xf>
    <xf numFmtId="0" fontId="0" fillId="0" borderId="0" xfId="0" applyBorder="1" applyAlignment="1">
      <alignment horizontal="center"/>
    </xf>
    <xf numFmtId="0" fontId="1" fillId="0" borderId="0" xfId="0" applyFont="1" applyAlignment="1">
      <alignment horizontal="center" vertical="center"/>
    </xf>
    <xf numFmtId="0" fontId="0" fillId="0" borderId="17" xfId="0" applyFill="1" applyBorder="1" applyAlignment="1">
      <alignment horizontal="center" vertical="center"/>
    </xf>
    <xf numFmtId="0" fontId="0" fillId="6" borderId="17" xfId="0" applyFill="1" applyBorder="1" applyAlignment="1">
      <alignment horizontal="center" vertical="center"/>
    </xf>
    <xf numFmtId="0" fontId="0" fillId="3" borderId="17" xfId="0" applyFill="1" applyBorder="1" applyAlignment="1">
      <alignment horizontal="center" vertical="center"/>
    </xf>
    <xf numFmtId="0" fontId="0" fillId="4" borderId="17" xfId="0" applyFill="1" applyBorder="1" applyAlignment="1">
      <alignment horizontal="center" vertical="center"/>
    </xf>
    <xf numFmtId="0" fontId="0" fillId="8" borderId="17" xfId="0" applyFill="1" applyBorder="1" applyAlignment="1">
      <alignment horizontal="center" vertical="center"/>
    </xf>
    <xf numFmtId="0" fontId="0" fillId="7" borderId="17" xfId="0" applyFill="1" applyBorder="1" applyAlignment="1">
      <alignment horizontal="center" vertical="center"/>
    </xf>
    <xf numFmtId="164" fontId="0" fillId="0" borderId="17" xfId="0" applyNumberFormat="1" applyFill="1" applyBorder="1" applyAlignment="1">
      <alignment horizontal="center" vertical="center"/>
    </xf>
    <xf numFmtId="1" fontId="0" fillId="6" borderId="0" xfId="0" applyNumberFormat="1" applyFill="1" applyAlignment="1">
      <alignment horizontal="center" vertical="center"/>
    </xf>
    <xf numFmtId="164" fontId="0" fillId="0" borderId="17" xfId="0" applyNumberFormat="1" applyBorder="1" applyAlignment="1" applyProtection="1">
      <alignment horizontal="center"/>
      <protection hidden="1"/>
    </xf>
    <xf numFmtId="0" fontId="0" fillId="0" borderId="0" xfId="0" applyFont="1" applyAlignment="1" applyProtection="1">
      <alignment vertical="center"/>
      <protection hidden="1"/>
    </xf>
    <xf numFmtId="189" fontId="0" fillId="0" borderId="17" xfId="0" applyNumberFormat="1" applyBorder="1" applyAlignment="1">
      <alignment horizontal="center" vertical="center"/>
    </xf>
    <xf numFmtId="185" fontId="0" fillId="0" borderId="3" xfId="0" applyNumberFormat="1" applyBorder="1" applyAlignment="1" applyProtection="1">
      <alignment horizontal="center" vertical="center"/>
      <protection locked="0"/>
    </xf>
    <xf numFmtId="0" fontId="57" fillId="0" borderId="0" xfId="0" applyFont="1" applyBorder="1" applyAlignment="1" applyProtection="1">
      <alignment vertical="center" wrapText="1"/>
      <protection hidden="1"/>
    </xf>
    <xf numFmtId="0" fontId="86" fillId="0" borderId="17" xfId="0" applyFont="1" applyBorder="1" applyAlignment="1" applyProtection="1">
      <alignment horizontal="center" vertical="center"/>
      <protection hidden="1"/>
    </xf>
    <xf numFmtId="0" fontId="87" fillId="0" borderId="0" xfId="0" applyFont="1" applyProtection="1">
      <protection hidden="1"/>
    </xf>
    <xf numFmtId="0" fontId="88" fillId="0" borderId="0" xfId="0" applyFont="1" applyProtection="1">
      <protection hidden="1"/>
    </xf>
    <xf numFmtId="0" fontId="89" fillId="0" borderId="0" xfId="0" applyFont="1" applyProtection="1">
      <protection hidden="1"/>
    </xf>
    <xf numFmtId="0" fontId="51" fillId="0" borderId="0" xfId="0" applyFont="1" applyFill="1" applyBorder="1" applyAlignment="1" applyProtection="1">
      <alignment horizontal="center" vertical="center"/>
      <protection hidden="1"/>
    </xf>
    <xf numFmtId="0" fontId="83" fillId="0" borderId="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2" fontId="0" fillId="0" borderId="9" xfId="0" applyNumberFormat="1" applyFill="1" applyBorder="1" applyAlignment="1" applyProtection="1">
      <alignment horizontal="center" vertical="center"/>
      <protection hidden="1"/>
    </xf>
    <xf numFmtId="0" fontId="0" fillId="0" borderId="0" xfId="0"/>
    <xf numFmtId="0" fontId="0" fillId="0" borderId="0" xfId="0" applyProtection="1">
      <protection hidden="1"/>
    </xf>
    <xf numFmtId="0" fontId="4" fillId="0" borderId="0" xfId="0" applyFont="1" applyAlignment="1" applyProtection="1">
      <alignment horizontal="center" vertical="center"/>
      <protection hidden="1"/>
    </xf>
    <xf numFmtId="0" fontId="10" fillId="0" borderId="0" xfId="0" applyFont="1" applyProtection="1">
      <protection hidden="1"/>
    </xf>
    <xf numFmtId="0" fontId="1" fillId="0" borderId="0" xfId="0" applyFont="1" applyAlignment="1" applyProtection="1">
      <protection hidden="1"/>
    </xf>
    <xf numFmtId="0" fontId="6" fillId="0" borderId="0" xfId="0" applyFont="1" applyAlignment="1" applyProtection="1">
      <alignment horizontal="center" vertical="center"/>
      <protection hidden="1"/>
    </xf>
    <xf numFmtId="0" fontId="1" fillId="0" borderId="0" xfId="0" applyFont="1"/>
    <xf numFmtId="165" fontId="6" fillId="0" borderId="0" xfId="0" applyNumberFormat="1" applyFont="1" applyAlignment="1" applyProtection="1">
      <alignment horizontal="center" vertical="center"/>
      <protection hidden="1"/>
    </xf>
    <xf numFmtId="0" fontId="27" fillId="0" borderId="0" xfId="0" applyFont="1" applyProtection="1">
      <protection hidden="1"/>
    </xf>
    <xf numFmtId="0" fontId="0" fillId="0" borderId="0" xfId="0" applyAlignment="1" applyProtection="1">
      <protection hidden="1"/>
    </xf>
    <xf numFmtId="0" fontId="4" fillId="0" borderId="17" xfId="0" applyFont="1" applyBorder="1" applyAlignment="1" applyProtection="1">
      <alignment horizontal="center" vertical="center"/>
      <protection hidden="1"/>
    </xf>
    <xf numFmtId="0" fontId="43" fillId="0" borderId="0" xfId="0" applyFont="1" applyFill="1" applyAlignment="1" applyProtection="1">
      <alignment horizontal="center" vertical="center"/>
      <protection hidden="1"/>
    </xf>
    <xf numFmtId="0" fontId="55" fillId="0" borderId="0" xfId="0" applyFont="1" applyProtection="1">
      <protection hidden="1"/>
    </xf>
    <xf numFmtId="164" fontId="0" fillId="0" borderId="0" xfId="0" applyNumberFormat="1" applyAlignment="1">
      <alignment horizontal="center" vertical="center"/>
    </xf>
    <xf numFmtId="0" fontId="0" fillId="0" borderId="0" xfId="0" applyFill="1"/>
    <xf numFmtId="2" fontId="0" fillId="0" borderId="0" xfId="0" applyNumberFormat="1"/>
    <xf numFmtId="0" fontId="0" fillId="0" borderId="0" xfId="0" applyFill="1" applyProtection="1">
      <protection hidden="1"/>
    </xf>
    <xf numFmtId="0" fontId="20" fillId="0" borderId="17" xfId="0" applyFont="1" applyBorder="1" applyAlignment="1" applyProtection="1">
      <alignment horizontal="center" vertical="center"/>
      <protection hidden="1"/>
    </xf>
    <xf numFmtId="2" fontId="1" fillId="0" borderId="17" xfId="0" applyNumberFormat="1" applyFont="1" applyBorder="1" applyAlignment="1" applyProtection="1">
      <alignment horizontal="center" vertical="center"/>
      <protection hidden="1"/>
    </xf>
    <xf numFmtId="2" fontId="0" fillId="0" borderId="11" xfId="0" applyNumberFormat="1" applyBorder="1" applyAlignment="1" applyProtection="1">
      <alignment horizontal="center" vertical="center"/>
      <protection hidden="1"/>
    </xf>
    <xf numFmtId="0" fontId="43" fillId="0" borderId="0" xfId="0" applyFont="1" applyFill="1" applyAlignment="1" applyProtection="1">
      <alignment vertical="center"/>
      <protection hidden="1"/>
    </xf>
    <xf numFmtId="0" fontId="0" fillId="0" borderId="0" xfId="0" applyBorder="1" applyAlignment="1" applyProtection="1">
      <alignment horizontal="center" vertical="center"/>
    </xf>
    <xf numFmtId="0" fontId="1" fillId="0" borderId="13" xfId="0" applyFont="1" applyBorder="1" applyAlignment="1" applyProtection="1">
      <alignment horizontal="center" vertical="center"/>
      <protection hidden="1"/>
    </xf>
    <xf numFmtId="0" fontId="1" fillId="0" borderId="26" xfId="0" applyFont="1" applyBorder="1" applyAlignment="1">
      <alignment horizontal="center" vertical="center"/>
    </xf>
    <xf numFmtId="0" fontId="20" fillId="0" borderId="6" xfId="0" applyFont="1" applyFill="1" applyBorder="1" applyAlignment="1">
      <alignment horizontal="center" vertical="center"/>
    </xf>
    <xf numFmtId="0" fontId="1" fillId="0" borderId="6" xfId="0" applyFont="1" applyBorder="1" applyAlignment="1">
      <alignment horizontal="center" vertical="center"/>
    </xf>
    <xf numFmtId="0" fontId="20" fillId="0" borderId="9" xfId="0" applyFont="1" applyFill="1" applyBorder="1" applyAlignment="1">
      <alignment horizontal="center" vertical="center"/>
    </xf>
    <xf numFmtId="0" fontId="0" fillId="0" borderId="12" xfId="0" applyBorder="1"/>
    <xf numFmtId="2" fontId="1"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right"/>
      <protection hidden="1"/>
    </xf>
    <xf numFmtId="0" fontId="0" fillId="0" borderId="0" xfId="0" applyAlignment="1" applyProtection="1">
      <alignment horizontal="left"/>
      <protection hidden="1"/>
    </xf>
    <xf numFmtId="0" fontId="1" fillId="0" borderId="0" xfId="0" applyFont="1" applyAlignment="1" applyProtection="1">
      <alignment horizontal="right"/>
      <protection hidden="1"/>
    </xf>
    <xf numFmtId="0" fontId="0" fillId="0" borderId="0" xfId="0" applyAlignment="1" applyProtection="1">
      <alignment horizontal="center" vertical="center"/>
      <protection hidden="1"/>
    </xf>
    <xf numFmtId="0" fontId="84" fillId="0" borderId="0" xfId="0" applyFont="1" applyAlignment="1" applyProtection="1">
      <alignment horizontal="left" vertical="center"/>
      <protection hidden="1"/>
    </xf>
    <xf numFmtId="0" fontId="92" fillId="0" borderId="0" xfId="0" applyFont="1" applyProtection="1">
      <protection hidden="1"/>
    </xf>
    <xf numFmtId="175" fontId="0" fillId="0" borderId="17" xfId="0" applyNumberFormat="1" applyFill="1" applyBorder="1" applyAlignment="1" applyProtection="1">
      <alignment horizontal="center" vertical="center"/>
      <protection hidden="1"/>
    </xf>
    <xf numFmtId="0" fontId="51" fillId="0" borderId="0" xfId="0" applyFont="1" applyFill="1" applyAlignment="1" applyProtection="1">
      <protection hidden="1"/>
    </xf>
    <xf numFmtId="0" fontId="1" fillId="6" borderId="0" xfId="0" applyFont="1" applyFill="1" applyAlignment="1" applyProtection="1">
      <alignment horizontal="center" vertical="center"/>
      <protection hidden="1"/>
    </xf>
    <xf numFmtId="175" fontId="0" fillId="6" borderId="0" xfId="0" applyNumberFormat="1" applyFill="1" applyAlignment="1" applyProtection="1">
      <alignment horizontal="center" vertical="center"/>
      <protection hidden="1"/>
    </xf>
    <xf numFmtId="0" fontId="1" fillId="6" borderId="0" xfId="0" applyFont="1" applyFill="1"/>
    <xf numFmtId="181" fontId="0" fillId="0" borderId="17" xfId="0" applyNumberFormat="1" applyFill="1" applyBorder="1" applyAlignment="1" applyProtection="1">
      <alignment horizontal="center" vertical="center"/>
      <protection hidden="1"/>
    </xf>
    <xf numFmtId="0" fontId="63" fillId="0" borderId="58" xfId="0" applyFont="1" applyFill="1" applyBorder="1" applyAlignment="1" applyProtection="1">
      <alignment horizontal="center" vertical="center"/>
      <protection hidden="1"/>
    </xf>
    <xf numFmtId="2" fontId="0" fillId="0" borderId="0" xfId="0" applyNumberFormat="1" applyAlignment="1">
      <alignment horizontal="left"/>
    </xf>
    <xf numFmtId="0" fontId="1" fillId="0" borderId="0" xfId="0" applyFont="1" applyFill="1" applyBorder="1" applyAlignment="1" applyProtection="1">
      <alignment horizontal="right"/>
      <protection hidden="1"/>
    </xf>
    <xf numFmtId="0" fontId="63" fillId="0" borderId="10" xfId="0" applyFont="1" applyFill="1" applyBorder="1" applyAlignment="1" applyProtection="1">
      <alignment horizontal="center" vertical="center"/>
      <protection hidden="1"/>
    </xf>
    <xf numFmtId="0" fontId="93" fillId="0" borderId="0"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187" fontId="0" fillId="0" borderId="0" xfId="0" applyNumberFormat="1"/>
    <xf numFmtId="0" fontId="1" fillId="0" borderId="0" xfId="0" applyFont="1" applyAlignment="1">
      <alignment horizontal="center" vertical="center"/>
    </xf>
    <xf numFmtId="0" fontId="0" fillId="0" borderId="17" xfId="0" applyBorder="1" applyAlignment="1">
      <alignment horizontal="center" vertical="center"/>
    </xf>
    <xf numFmtId="1" fontId="0" fillId="0" borderId="0" xfId="0" applyNumberFormat="1" applyAlignment="1" applyProtection="1">
      <alignment horizontal="center" vertical="center"/>
      <protection hidden="1"/>
    </xf>
    <xf numFmtId="0" fontId="62" fillId="0" borderId="0" xfId="0" applyFont="1" applyBorder="1" applyAlignment="1" applyProtection="1">
      <alignment horizontal="center"/>
      <protection hidden="1"/>
    </xf>
    <xf numFmtId="0" fontId="95" fillId="0" borderId="17" xfId="0" applyFont="1" applyBorder="1" applyAlignment="1" applyProtection="1">
      <alignment horizontal="center"/>
      <protection hidden="1"/>
    </xf>
    <xf numFmtId="164" fontId="97" fillId="0" borderId="17" xfId="0" applyNumberFormat="1" applyFont="1" applyBorder="1" applyAlignment="1" applyProtection="1">
      <alignment horizontal="center"/>
      <protection hidden="1"/>
    </xf>
    <xf numFmtId="0" fontId="0" fillId="12" borderId="0" xfId="0" applyFill="1"/>
    <xf numFmtId="164" fontId="0" fillId="0" borderId="0" xfId="0" applyNumberFormat="1"/>
    <xf numFmtId="0" fontId="49" fillId="0" borderId="0" xfId="0" applyFont="1" applyFill="1" applyBorder="1" applyAlignment="1" applyProtection="1">
      <alignment horizontal="center" vertical="center"/>
      <protection hidden="1"/>
    </xf>
    <xf numFmtId="2" fontId="0" fillId="6" borderId="0" xfId="0" applyNumberFormat="1" applyFill="1" applyAlignment="1">
      <alignment horizontal="center" vertical="center"/>
    </xf>
    <xf numFmtId="2" fontId="0" fillId="0" borderId="3" xfId="0" applyNumberFormat="1" applyFill="1" applyBorder="1" applyAlignment="1">
      <alignment horizontal="center" vertical="center"/>
    </xf>
    <xf numFmtId="2" fontId="0" fillId="0" borderId="0" xfId="0" applyNumberFormat="1" applyFill="1" applyBorder="1" applyAlignment="1">
      <alignment horizontal="center" vertical="center"/>
    </xf>
    <xf numFmtId="0" fontId="1" fillId="0" borderId="17" xfId="0" applyFont="1" applyFill="1" applyBorder="1" applyAlignment="1">
      <alignment horizontal="center" vertical="center"/>
    </xf>
    <xf numFmtId="166" fontId="0" fillId="0" borderId="17" xfId="0" applyNumberFormat="1" applyBorder="1" applyAlignment="1">
      <alignment horizontal="center" vertical="center"/>
    </xf>
    <xf numFmtId="2" fontId="0" fillId="0" borderId="17" xfId="0" applyNumberFormat="1" applyBorder="1" applyAlignment="1">
      <alignment horizontal="center" vertical="center"/>
    </xf>
    <xf numFmtId="0" fontId="1" fillId="0" borderId="10" xfId="0" applyFont="1" applyFill="1" applyBorder="1" applyAlignment="1">
      <alignment horizontal="center" vertical="center"/>
    </xf>
    <xf numFmtId="0" fontId="4" fillId="0" borderId="0" xfId="0" applyFont="1"/>
    <xf numFmtId="10" fontId="0" fillId="0" borderId="0" xfId="0" applyNumberFormat="1" applyAlignment="1">
      <alignment horizontal="center" vertical="center"/>
    </xf>
    <xf numFmtId="166" fontId="0" fillId="0" borderId="0" xfId="0" applyNumberFormat="1"/>
    <xf numFmtId="0" fontId="0" fillId="0" borderId="0" xfId="0" applyAlignment="1">
      <alignment horizontal="left"/>
    </xf>
    <xf numFmtId="0" fontId="1" fillId="0" borderId="0" xfId="0" applyFont="1" applyAlignment="1">
      <alignment horizontal="center" vertical="center" wrapText="1"/>
    </xf>
    <xf numFmtId="0" fontId="1" fillId="0" borderId="0" xfId="0" applyFont="1" applyBorder="1" applyAlignment="1">
      <alignment horizontal="center" vertical="center"/>
    </xf>
    <xf numFmtId="0" fontId="1" fillId="0" borderId="0" xfId="0" applyFont="1" applyAlignment="1">
      <alignment horizontal="center" vertical="center"/>
    </xf>
    <xf numFmtId="0" fontId="0" fillId="0" borderId="0" xfId="0" applyBorder="1" applyAlignment="1">
      <alignment horizontal="center"/>
    </xf>
    <xf numFmtId="0" fontId="0" fillId="6" borderId="0" xfId="0" applyFill="1" applyBorder="1" applyAlignment="1">
      <alignment horizontal="center"/>
    </xf>
    <xf numFmtId="0" fontId="10" fillId="0" borderId="0" xfId="0" applyFont="1" applyAlignment="1">
      <alignment horizontal="center" vertical="center"/>
    </xf>
    <xf numFmtId="164" fontId="0" fillId="0" borderId="0" xfId="0" applyNumberFormat="1" applyFill="1" applyAlignment="1">
      <alignment horizontal="center" vertical="center"/>
    </xf>
    <xf numFmtId="0" fontId="1" fillId="2" borderId="10" xfId="0" applyFont="1" applyFill="1" applyBorder="1" applyAlignment="1">
      <alignment horizontal="center" vertical="center"/>
    </xf>
    <xf numFmtId="2" fontId="0" fillId="2" borderId="3" xfId="0" applyNumberFormat="1" applyFill="1" applyBorder="1" applyAlignment="1">
      <alignment horizontal="center" vertical="center"/>
    </xf>
    <xf numFmtId="2" fontId="0" fillId="2" borderId="0" xfId="0" applyNumberForma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Border="1" applyAlignment="1">
      <alignment horizontal="center" vertical="center"/>
    </xf>
    <xf numFmtId="0" fontId="0" fillId="0" borderId="0" xfId="0" applyFont="1" applyAlignment="1">
      <alignment horizontal="center" vertical="center"/>
    </xf>
    <xf numFmtId="2" fontId="0" fillId="0" borderId="0" xfId="0" applyNumberFormat="1" applyFont="1" applyAlignment="1">
      <alignment horizontal="center" vertical="center"/>
    </xf>
    <xf numFmtId="2" fontId="0" fillId="0" borderId="0" xfId="0" applyNumberFormat="1" applyFont="1" applyAlignment="1">
      <alignment horizontal="center" vertical="center" wrapText="1"/>
    </xf>
    <xf numFmtId="0" fontId="1" fillId="0" borderId="2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xf>
    <xf numFmtId="0" fontId="1" fillId="0" borderId="63" xfId="0" applyFont="1" applyBorder="1" applyAlignment="1">
      <alignment horizontal="center" vertical="center"/>
    </xf>
    <xf numFmtId="0" fontId="1" fillId="0" borderId="64" xfId="0" applyFont="1" applyBorder="1" applyAlignment="1">
      <alignment horizontal="center" vertical="center" wrapText="1"/>
    </xf>
    <xf numFmtId="0" fontId="0" fillId="0" borderId="7" xfId="0" applyBorder="1" applyAlignment="1">
      <alignment horizontal="center" vertical="center"/>
    </xf>
    <xf numFmtId="0" fontId="0" fillId="5" borderId="22" xfId="0" applyFill="1" applyBorder="1" applyAlignment="1">
      <alignment horizontal="center" vertical="center"/>
    </xf>
    <xf numFmtId="0" fontId="1" fillId="0" borderId="0" xfId="0" applyFont="1" applyBorder="1" applyAlignment="1">
      <alignment horizontal="center" vertical="center"/>
    </xf>
    <xf numFmtId="0" fontId="1" fillId="0" borderId="22" xfId="0" applyFont="1" applyBorder="1" applyAlignment="1">
      <alignment horizontal="center" vertical="center"/>
    </xf>
    <xf numFmtId="0" fontId="1" fillId="0" borderId="0" xfId="0" applyFont="1" applyBorder="1" applyAlignment="1">
      <alignment horizontal="center" vertical="center"/>
    </xf>
    <xf numFmtId="0" fontId="33" fillId="0" borderId="23" xfId="0" applyFont="1" applyBorder="1"/>
    <xf numFmtId="0" fontId="33" fillId="0" borderId="7" xfId="0" applyFont="1" applyBorder="1"/>
    <xf numFmtId="0" fontId="1" fillId="0" borderId="0" xfId="0" applyFont="1" applyAlignment="1">
      <alignment horizontal="center" vertical="center"/>
    </xf>
    <xf numFmtId="0" fontId="15" fillId="0" borderId="0" xfId="0" applyFont="1" applyAlignment="1">
      <alignment horizontal="center" vertical="center"/>
    </xf>
    <xf numFmtId="0" fontId="1" fillId="0" borderId="0" xfId="0" applyFont="1" applyAlignment="1" applyProtection="1">
      <alignment horizontal="center" vertical="center"/>
      <protection hidden="1"/>
    </xf>
    <xf numFmtId="0" fontId="0" fillId="0" borderId="17" xfId="0" applyBorder="1" applyAlignment="1">
      <alignment horizontal="center" vertical="center"/>
    </xf>
    <xf numFmtId="0" fontId="43" fillId="2" borderId="17" xfId="0" applyFont="1" applyFill="1" applyBorder="1" applyAlignment="1" applyProtection="1">
      <alignment horizontal="center" vertical="center"/>
      <protection hidden="1"/>
    </xf>
    <xf numFmtId="2" fontId="0" fillId="0" borderId="0" xfId="0" applyNumberFormat="1" applyBorder="1" applyAlignment="1" applyProtection="1">
      <alignment horizontal="center" vertical="center"/>
      <protection hidden="1"/>
    </xf>
    <xf numFmtId="175" fontId="0" fillId="0" borderId="17" xfId="0" applyNumberFormat="1" applyBorder="1" applyAlignment="1">
      <alignment horizontal="center" vertical="center"/>
    </xf>
    <xf numFmtId="0" fontId="10" fillId="0" borderId="0" xfId="0" applyFont="1" applyBorder="1" applyAlignment="1" applyProtection="1">
      <protection hidden="1"/>
    </xf>
    <xf numFmtId="2" fontId="0" fillId="0" borderId="22" xfId="0" applyNumberFormat="1" applyBorder="1" applyAlignment="1" applyProtection="1">
      <alignment vertical="center"/>
      <protection hidden="1"/>
    </xf>
    <xf numFmtId="0" fontId="1" fillId="0" borderId="22" xfId="0" applyFont="1" applyBorder="1" applyAlignment="1" applyProtection="1">
      <alignment horizontal="center" vertical="center"/>
      <protection hidden="1"/>
    </xf>
    <xf numFmtId="195" fontId="0" fillId="0" borderId="17" xfId="0" applyNumberFormat="1" applyFont="1" applyBorder="1" applyAlignment="1" applyProtection="1">
      <alignment horizontal="center" vertical="center"/>
      <protection hidden="1"/>
    </xf>
    <xf numFmtId="0" fontId="34" fillId="0" borderId="0" xfId="0" applyFont="1" applyFill="1" applyAlignment="1" applyProtection="1">
      <alignment vertical="center"/>
      <protection hidden="1"/>
    </xf>
    <xf numFmtId="198" fontId="0" fillId="0" borderId="0" xfId="0" applyNumberFormat="1" applyFont="1" applyBorder="1" applyAlignment="1" applyProtection="1">
      <alignment horizontal="center" vertical="center"/>
      <protection hidden="1"/>
    </xf>
    <xf numFmtId="0" fontId="4" fillId="0" borderId="9" xfId="0" applyFont="1" applyFill="1" applyBorder="1" applyAlignment="1" applyProtection="1">
      <alignment horizontal="center" vertical="center"/>
      <protection hidden="1"/>
    </xf>
    <xf numFmtId="0" fontId="1" fillId="0" borderId="0" xfId="0" applyFont="1" applyAlignment="1">
      <alignment horizontal="center" vertical="center"/>
    </xf>
    <xf numFmtId="0" fontId="0" fillId="0" borderId="17" xfId="0" applyBorder="1" applyAlignment="1">
      <alignment horizontal="center" vertical="center"/>
    </xf>
    <xf numFmtId="175" fontId="0" fillId="0" borderId="0" xfId="0" applyNumberFormat="1" applyProtection="1">
      <protection hidden="1"/>
    </xf>
    <xf numFmtId="175" fontId="0" fillId="0" borderId="17" xfId="0" applyNumberFormat="1" applyBorder="1" applyAlignment="1" applyProtection="1">
      <alignment horizontal="center" vertical="center"/>
      <protection hidden="1"/>
    </xf>
    <xf numFmtId="195" fontId="0" fillId="0" borderId="0" xfId="0" applyNumberFormat="1" applyBorder="1"/>
    <xf numFmtId="175" fontId="0" fillId="0" borderId="4" xfId="0" applyNumberFormat="1" applyBorder="1" applyAlignment="1">
      <alignment horizontal="center" vertical="center"/>
    </xf>
    <xf numFmtId="0" fontId="0" fillId="0" borderId="17" xfId="0" applyBorder="1"/>
    <xf numFmtId="175" fontId="0" fillId="0" borderId="17" xfId="0" applyNumberFormat="1" applyBorder="1"/>
    <xf numFmtId="164" fontId="0" fillId="0" borderId="17" xfId="0" applyNumberFormat="1" applyBorder="1"/>
    <xf numFmtId="2" fontId="0" fillId="0" borderId="17" xfId="0" applyNumberFormat="1" applyBorder="1" applyProtection="1">
      <protection hidden="1"/>
    </xf>
    <xf numFmtId="201" fontId="0" fillId="0" borderId="17" xfId="0" applyNumberFormat="1" applyBorder="1" applyAlignment="1" applyProtection="1">
      <alignment horizontal="center" vertical="center"/>
      <protection hidden="1"/>
    </xf>
    <xf numFmtId="181" fontId="0" fillId="0" borderId="17" xfId="0" applyNumberFormat="1" applyBorder="1" applyAlignment="1">
      <alignment horizontal="center" vertical="center"/>
    </xf>
    <xf numFmtId="202" fontId="0" fillId="0" borderId="3" xfId="0" applyNumberFormat="1" applyBorder="1" applyAlignment="1" applyProtection="1">
      <alignment horizontal="center" vertical="center"/>
      <protection locked="0"/>
    </xf>
    <xf numFmtId="1" fontId="0" fillId="0" borderId="0" xfId="0" applyNumberFormat="1" applyAlignment="1">
      <alignment horizontal="center" vertical="center"/>
    </xf>
    <xf numFmtId="0" fontId="98" fillId="0" borderId="0" xfId="0" applyFont="1" applyFill="1" applyAlignment="1">
      <alignment horizontal="center" vertical="center" wrapText="1"/>
    </xf>
    <xf numFmtId="0" fontId="0" fillId="0" borderId="0" xfId="0" applyFill="1" applyAlignment="1">
      <alignment horizontal="center" wrapText="1"/>
    </xf>
    <xf numFmtId="202" fontId="0" fillId="0" borderId="17" xfId="0" applyNumberFormat="1" applyBorder="1" applyAlignment="1">
      <alignment horizontal="center" vertical="center"/>
    </xf>
    <xf numFmtId="202" fontId="0" fillId="0" borderId="65" xfId="0" applyNumberFormat="1" applyBorder="1" applyAlignment="1">
      <alignment horizontal="center" vertical="center"/>
    </xf>
    <xf numFmtId="203" fontId="0" fillId="0" borderId="0" xfId="0" applyNumberFormat="1" applyAlignment="1" applyProtection="1">
      <alignment horizontal="center" vertical="center"/>
      <protection hidden="1"/>
    </xf>
    <xf numFmtId="203" fontId="0" fillId="0" borderId="0" xfId="0" applyNumberFormat="1" applyAlignment="1">
      <alignment horizontal="center" vertical="center"/>
    </xf>
    <xf numFmtId="0" fontId="2" fillId="6" borderId="17" xfId="0" applyFont="1" applyFill="1" applyBorder="1" applyAlignment="1">
      <alignment horizontal="center" vertical="center"/>
    </xf>
    <xf numFmtId="0" fontId="4" fillId="0" borderId="17" xfId="0" applyFont="1" applyBorder="1" applyAlignment="1" applyProtection="1">
      <alignment horizontal="center" vertical="center"/>
      <protection hidden="1"/>
    </xf>
    <xf numFmtId="0" fontId="2" fillId="6" borderId="17" xfId="0" applyFont="1" applyFill="1" applyBorder="1" applyAlignment="1">
      <alignment horizontal="center" vertical="center"/>
    </xf>
    <xf numFmtId="170" fontId="2" fillId="0" borderId="0" xfId="0" applyNumberFormat="1" applyFont="1" applyBorder="1" applyAlignment="1" applyProtection="1">
      <alignment horizontal="center" vertical="center"/>
      <protection locked="0"/>
    </xf>
    <xf numFmtId="171" fontId="0" fillId="0" borderId="0" xfId="0" applyNumberFormat="1" applyBorder="1" applyAlignment="1" applyProtection="1">
      <alignment horizontal="center" vertical="center"/>
      <protection locked="0"/>
    </xf>
    <xf numFmtId="201" fontId="0" fillId="0" borderId="0" xfId="0" applyNumberFormat="1" applyBorder="1" applyAlignment="1" applyProtection="1">
      <alignment horizontal="center" vertical="center"/>
      <protection hidden="1"/>
    </xf>
    <xf numFmtId="0" fontId="99" fillId="0" borderId="0" xfId="0" applyFont="1" applyFill="1" applyBorder="1" applyAlignment="1">
      <alignment vertical="center" wrapText="1"/>
    </xf>
    <xf numFmtId="0" fontId="80" fillId="0" borderId="0" xfId="0" applyFont="1"/>
    <xf numFmtId="175" fontId="0" fillId="3" borderId="17" xfId="0" applyNumberFormat="1" applyFill="1" applyBorder="1" applyAlignment="1">
      <alignment horizontal="center" vertical="center"/>
    </xf>
    <xf numFmtId="0" fontId="100" fillId="0" borderId="0" xfId="0" applyFont="1" applyFill="1" applyBorder="1" applyAlignment="1">
      <alignment vertical="center"/>
    </xf>
    <xf numFmtId="0" fontId="2" fillId="0" borderId="0" xfId="0" applyFont="1" applyFill="1" applyBorder="1" applyAlignment="1">
      <alignment vertical="center"/>
    </xf>
    <xf numFmtId="0" fontId="0" fillId="0" borderId="17" xfId="0" applyBorder="1" applyAlignment="1">
      <alignment horizontal="center" vertical="center"/>
    </xf>
    <xf numFmtId="0" fontId="2" fillId="6" borderId="17" xfId="0" applyFont="1" applyFill="1" applyBorder="1" applyAlignment="1">
      <alignment horizontal="center" vertical="center"/>
    </xf>
    <xf numFmtId="0" fontId="4" fillId="0" borderId="17" xfId="0" applyFont="1" applyBorder="1" applyAlignment="1" applyProtection="1">
      <alignment horizontal="center" vertical="center"/>
      <protection hidden="1"/>
    </xf>
    <xf numFmtId="0" fontId="1" fillId="0" borderId="39" xfId="0" applyFont="1" applyBorder="1" applyAlignment="1">
      <alignment horizontal="center" vertical="center"/>
    </xf>
    <xf numFmtId="203" fontId="0" fillId="0" borderId="17" xfId="0" applyNumberFormat="1" applyBorder="1" applyAlignment="1">
      <alignment horizontal="center" vertical="center"/>
    </xf>
    <xf numFmtId="0" fontId="0" fillId="0" borderId="17" xfId="0" applyBorder="1" applyAlignment="1">
      <alignment horizontal="center" vertical="center"/>
    </xf>
    <xf numFmtId="0" fontId="101" fillId="0" borderId="0" xfId="0" applyFont="1"/>
    <xf numFmtId="202" fontId="0" fillId="0" borderId="0" xfId="0" applyNumberFormat="1" applyBorder="1" applyAlignment="1">
      <alignment horizontal="center" vertical="center"/>
    </xf>
    <xf numFmtId="1" fontId="0" fillId="0" borderId="3" xfId="0" applyNumberFormat="1" applyBorder="1" applyAlignment="1" applyProtection="1">
      <alignment horizontal="center" vertical="center"/>
      <protection locked="0"/>
    </xf>
    <xf numFmtId="203" fontId="0" fillId="0" borderId="17" xfId="0" applyNumberFormat="1" applyBorder="1" applyAlignment="1" applyProtection="1">
      <alignment horizontal="center" vertical="center"/>
      <protection hidden="1"/>
    </xf>
    <xf numFmtId="0" fontId="0" fillId="6" borderId="0" xfId="0" applyFill="1" applyBorder="1"/>
    <xf numFmtId="202" fontId="0" fillId="0" borderId="0" xfId="0" applyNumberFormat="1" applyBorder="1" applyAlignment="1" applyProtection="1">
      <alignment horizontal="center" vertical="center"/>
      <protection locked="0"/>
    </xf>
    <xf numFmtId="0" fontId="1" fillId="0" borderId="0" xfId="0" applyFont="1" applyAlignment="1" applyProtection="1">
      <alignment horizontal="center" vertical="center"/>
      <protection hidden="1"/>
    </xf>
    <xf numFmtId="0" fontId="0" fillId="0" borderId="17" xfId="0" applyBorder="1" applyAlignment="1">
      <alignment horizontal="center" vertical="center"/>
    </xf>
    <xf numFmtId="0" fontId="1" fillId="0" borderId="0" xfId="0" applyFont="1" applyAlignment="1">
      <alignment horizontal="center" vertical="center"/>
    </xf>
    <xf numFmtId="2" fontId="0" fillId="0" borderId="17" xfId="0" applyNumberFormat="1" applyBorder="1" applyAlignment="1">
      <alignment horizontal="center" vertical="center"/>
    </xf>
    <xf numFmtId="164" fontId="0" fillId="0" borderId="17" xfId="0" applyNumberFormat="1" applyBorder="1" applyAlignment="1" applyProtection="1">
      <alignment horizontal="center" vertical="center"/>
      <protection hidden="1"/>
    </xf>
    <xf numFmtId="0" fontId="0" fillId="0" borderId="0" xfId="0" applyAlignment="1">
      <alignment horizontal="center" vertical="center"/>
    </xf>
    <xf numFmtId="164" fontId="0" fillId="0" borderId="0" xfId="0" applyNumberFormat="1" applyFont="1"/>
    <xf numFmtId="166" fontId="0" fillId="0" borderId="0" xfId="0" applyNumberFormat="1" applyFont="1"/>
    <xf numFmtId="202" fontId="0" fillId="0" borderId="17" xfId="0" applyNumberFormat="1" applyFill="1" applyBorder="1" applyAlignment="1">
      <alignment horizontal="center" vertical="center"/>
    </xf>
    <xf numFmtId="0" fontId="0" fillId="0" borderId="17" xfId="0" applyBorder="1" applyAlignment="1">
      <alignment horizontal="center"/>
    </xf>
    <xf numFmtId="0" fontId="0" fillId="0" borderId="17" xfId="0" applyBorder="1" applyAlignment="1">
      <alignment horizontal="center" vertical="center"/>
    </xf>
    <xf numFmtId="0" fontId="43" fillId="2" borderId="17" xfId="0" applyFont="1" applyFill="1" applyBorder="1" applyAlignment="1" applyProtection="1">
      <alignment horizontal="center" vertical="center"/>
      <protection hidden="1"/>
    </xf>
    <xf numFmtId="0" fontId="80" fillId="0" borderId="0" xfId="0" applyFont="1" applyAlignment="1">
      <alignment horizontal="right"/>
    </xf>
    <xf numFmtId="0" fontId="103" fillId="0" borderId="0" xfId="0" applyFont="1"/>
    <xf numFmtId="0" fontId="6" fillId="2" borderId="3" xfId="0" applyFont="1" applyFill="1" applyBorder="1" applyAlignment="1" applyProtection="1">
      <alignment horizontal="center" vertical="center"/>
    </xf>
    <xf numFmtId="2" fontId="34" fillId="0" borderId="17" xfId="0" applyNumberFormat="1" applyFont="1" applyFill="1" applyBorder="1" applyAlignment="1" applyProtection="1">
      <alignment horizontal="center" vertical="center"/>
      <protection hidden="1"/>
    </xf>
    <xf numFmtId="0" fontId="34" fillId="0" borderId="0" xfId="0" applyFont="1" applyProtection="1">
      <protection hidden="1"/>
    </xf>
    <xf numFmtId="0" fontId="56" fillId="0" borderId="0" xfId="0" applyFont="1" applyAlignment="1">
      <alignment horizontal="right"/>
    </xf>
    <xf numFmtId="0" fontId="56" fillId="0" borderId="0" xfId="0" applyFont="1" applyBorder="1" applyAlignment="1">
      <alignment horizontal="center" vertical="center"/>
    </xf>
    <xf numFmtId="175" fontId="56" fillId="0" borderId="0" xfId="0" applyNumberFormat="1" applyFont="1" applyBorder="1" applyAlignment="1">
      <alignment horizontal="center" vertical="center"/>
    </xf>
    <xf numFmtId="0" fontId="6" fillId="0" borderId="0" xfId="0" applyFont="1" applyFill="1" applyBorder="1" applyAlignment="1" applyProtection="1">
      <alignment horizontal="center" vertical="center"/>
    </xf>
    <xf numFmtId="174" fontId="0" fillId="0" borderId="0" xfId="0" applyNumberFormat="1"/>
    <xf numFmtId="189" fontId="0" fillId="0" borderId="17" xfId="0" applyNumberFormat="1" applyBorder="1" applyAlignment="1">
      <alignment horizontal="center"/>
    </xf>
    <xf numFmtId="0" fontId="0" fillId="0" borderId="17" xfId="0" applyBorder="1" applyAlignment="1">
      <alignment horizontal="center" vertical="center"/>
    </xf>
    <xf numFmtId="0" fontId="2" fillId="6" borderId="17" xfId="0" applyFont="1" applyFill="1" applyBorder="1" applyAlignment="1">
      <alignment horizontal="center" vertical="center"/>
    </xf>
    <xf numFmtId="187" fontId="0" fillId="0" borderId="6" xfId="0" applyNumberFormat="1" applyBorder="1" applyAlignment="1">
      <alignment horizontal="center" vertical="center"/>
    </xf>
    <xf numFmtId="187" fontId="0" fillId="0" borderId="4" xfId="0" applyNumberFormat="1" applyBorder="1" applyAlignment="1">
      <alignment horizontal="center" vertical="center"/>
    </xf>
    <xf numFmtId="187" fontId="0" fillId="0" borderId="22" xfId="0" applyNumberFormat="1" applyBorder="1" applyAlignment="1">
      <alignment horizontal="center" vertical="center"/>
    </xf>
    <xf numFmtId="0" fontId="0" fillId="0" borderId="0" xfId="0" applyAlignment="1">
      <alignment horizontal="center" vertical="center"/>
    </xf>
    <xf numFmtId="2" fontId="34" fillId="0" borderId="0" xfId="0" applyNumberFormat="1" applyFont="1" applyFill="1" applyBorder="1" applyAlignment="1" applyProtection="1">
      <alignment horizontal="center" vertical="center"/>
      <protection hidden="1"/>
    </xf>
    <xf numFmtId="0" fontId="6" fillId="0" borderId="0" xfId="0" applyFont="1" applyBorder="1" applyAlignment="1" applyProtection="1">
      <alignment horizontal="center"/>
      <protection hidden="1"/>
    </xf>
    <xf numFmtId="204" fontId="0" fillId="0" borderId="0" xfId="0" applyNumberFormat="1" applyAlignment="1">
      <alignment horizontal="center" vertical="center"/>
    </xf>
    <xf numFmtId="204" fontId="0" fillId="0" borderId="17" xfId="0" applyNumberFormat="1" applyBorder="1" applyAlignment="1">
      <alignment horizontal="center" vertical="center"/>
    </xf>
    <xf numFmtId="1" fontId="0" fillId="6" borderId="0" xfId="0" applyNumberFormat="1" applyFill="1" applyAlignment="1" applyProtection="1">
      <alignment horizontal="center" vertical="center"/>
      <protection hidden="1"/>
    </xf>
    <xf numFmtId="2" fontId="0" fillId="0" borderId="17" xfId="0" applyNumberFormat="1" applyBorder="1" applyAlignment="1" applyProtection="1">
      <alignment horizontal="center" vertical="center"/>
      <protection hidden="1"/>
    </xf>
    <xf numFmtId="0" fontId="0" fillId="0" borderId="17" xfId="0" applyBorder="1" applyAlignment="1">
      <alignment horizontal="center" vertical="center"/>
    </xf>
    <xf numFmtId="164" fontId="0" fillId="0" borderId="17" xfId="0" applyNumberFormat="1" applyBorder="1" applyAlignment="1" applyProtection="1">
      <alignment horizontal="center" vertical="center"/>
      <protection hidden="1"/>
    </xf>
    <xf numFmtId="0" fontId="43" fillId="2" borderId="17" xfId="0" applyFont="1" applyFill="1" applyBorder="1" applyAlignment="1" applyProtection="1">
      <alignment horizontal="center" vertical="center"/>
      <protection hidden="1"/>
    </xf>
    <xf numFmtId="205" fontId="0" fillId="0" borderId="17" xfId="0" applyNumberFormat="1" applyBorder="1"/>
    <xf numFmtId="206" fontId="0" fillId="0" borderId="17" xfId="0" applyNumberFormat="1" applyBorder="1"/>
    <xf numFmtId="207" fontId="0" fillId="0" borderId="17" xfId="0" applyNumberFormat="1" applyBorder="1"/>
    <xf numFmtId="205" fontId="0" fillId="0" borderId="22" xfId="0" applyNumberFormat="1" applyBorder="1" applyAlignment="1">
      <alignment horizontal="center" vertical="center"/>
    </xf>
    <xf numFmtId="208" fontId="0" fillId="0" borderId="22" xfId="0" applyNumberFormat="1" applyBorder="1" applyAlignment="1">
      <alignment horizontal="center" vertical="center"/>
    </xf>
    <xf numFmtId="206" fontId="0" fillId="0" borderId="6" xfId="0" applyNumberFormat="1" applyBorder="1" applyAlignment="1">
      <alignment horizontal="center" vertical="center"/>
    </xf>
    <xf numFmtId="0" fontId="1" fillId="0" borderId="0" xfId="0" applyFont="1" applyAlignment="1" applyProtection="1">
      <alignment horizontal="center"/>
      <protection hidden="1"/>
    </xf>
    <xf numFmtId="0" fontId="1" fillId="0" borderId="0" xfId="0" applyFont="1" applyBorder="1" applyAlignment="1" applyProtection="1">
      <alignment horizontal="center" vertical="center"/>
      <protection hidden="1"/>
    </xf>
    <xf numFmtId="0" fontId="1" fillId="0" borderId="23"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7"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2" fontId="0" fillId="0" borderId="17" xfId="0" applyNumberFormat="1" applyBorder="1" applyAlignment="1" applyProtection="1">
      <alignment horizontal="center" vertical="center"/>
      <protection hidden="1"/>
    </xf>
    <xf numFmtId="0" fontId="0" fillId="0" borderId="17" xfId="0" applyBorder="1" applyAlignment="1">
      <alignment horizontal="center" vertical="center"/>
    </xf>
    <xf numFmtId="0" fontId="62" fillId="0" borderId="17" xfId="0" applyFont="1" applyBorder="1" applyAlignment="1" applyProtection="1">
      <alignment horizontal="center" vertical="center"/>
      <protection hidden="1"/>
    </xf>
    <xf numFmtId="0" fontId="1" fillId="0" borderId="0" xfId="0" applyFont="1" applyAlignment="1" applyProtection="1">
      <alignment horizontal="right"/>
      <protection hidden="1"/>
    </xf>
    <xf numFmtId="0" fontId="1" fillId="0" borderId="0" xfId="0" applyFont="1" applyAlignment="1" applyProtection="1">
      <alignment horizontal="left"/>
      <protection hidden="1"/>
    </xf>
    <xf numFmtId="2" fontId="6" fillId="0" borderId="0" xfId="0" applyNumberFormat="1" applyFont="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2" borderId="2" xfId="0"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0" fontId="0" fillId="0" borderId="0" xfId="0" applyAlignment="1" applyProtection="1">
      <alignment horizontal="center"/>
      <protection hidden="1"/>
    </xf>
    <xf numFmtId="0" fontId="4" fillId="0" borderId="17" xfId="0" applyFont="1" applyBorder="1" applyAlignment="1" applyProtection="1">
      <alignment horizontal="center" vertical="center"/>
      <protection hidden="1"/>
    </xf>
    <xf numFmtId="0" fontId="1" fillId="0" borderId="17" xfId="0" applyFont="1" applyBorder="1" applyAlignment="1">
      <alignment horizontal="center" vertical="center"/>
    </xf>
    <xf numFmtId="164" fontId="0" fillId="0" borderId="17" xfId="0" applyNumberFormat="1" applyBorder="1" applyAlignment="1" applyProtection="1">
      <alignment horizontal="center" vertical="center"/>
      <protection hidden="1"/>
    </xf>
    <xf numFmtId="2" fontId="0" fillId="0" borderId="17" xfId="0" applyNumberFormat="1" applyBorder="1" applyAlignment="1">
      <alignment horizontal="center" vertical="center"/>
    </xf>
    <xf numFmtId="2" fontId="0" fillId="0" borderId="0" xfId="0" applyNumberFormat="1" applyBorder="1" applyAlignment="1" applyProtection="1">
      <alignment horizontal="center" vertical="center"/>
      <protection hidden="1"/>
    </xf>
    <xf numFmtId="0" fontId="47" fillId="0" borderId="0" xfId="0" applyFont="1" applyBorder="1" applyAlignment="1" applyProtection="1">
      <alignment horizontal="center"/>
      <protection hidden="1"/>
    </xf>
    <xf numFmtId="0" fontId="2"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164" fontId="0" fillId="0" borderId="17" xfId="0" applyNumberFormat="1" applyBorder="1" applyAlignment="1" applyProtection="1">
      <alignment vertical="center"/>
      <protection hidden="1"/>
    </xf>
    <xf numFmtId="2" fontId="0" fillId="0" borderId="17" xfId="0" applyNumberFormat="1" applyBorder="1" applyAlignment="1" applyProtection="1">
      <alignment vertical="center"/>
      <protection hidden="1"/>
    </xf>
    <xf numFmtId="190" fontId="34" fillId="0" borderId="17" xfId="0" applyNumberFormat="1" applyFont="1" applyFill="1" applyBorder="1" applyAlignment="1" applyProtection="1">
      <alignment horizontal="center" vertical="center"/>
      <protection hidden="1"/>
    </xf>
    <xf numFmtId="191" fontId="34" fillId="0" borderId="17" xfId="0" applyNumberFormat="1" applyFont="1" applyFill="1" applyBorder="1" applyAlignment="1" applyProtection="1">
      <alignment horizontal="center" vertical="center"/>
      <protection hidden="1"/>
    </xf>
    <xf numFmtId="182" fontId="0" fillId="0" borderId="17" xfId="0" applyNumberFormat="1" applyBorder="1" applyAlignment="1" applyProtection="1">
      <alignment horizontal="center" vertical="center"/>
      <protection hidden="1"/>
    </xf>
    <xf numFmtId="175" fontId="0" fillId="0" borderId="0" xfId="0" applyNumberFormat="1" applyBorder="1" applyAlignment="1" applyProtection="1">
      <alignment horizontal="center" vertical="center"/>
      <protection hidden="1"/>
    </xf>
    <xf numFmtId="177" fontId="0" fillId="0" borderId="9" xfId="0" applyNumberFormat="1" applyBorder="1" applyAlignment="1" applyProtection="1">
      <alignment horizontal="center" vertical="center"/>
      <protection hidden="1"/>
    </xf>
    <xf numFmtId="177" fontId="0" fillId="0" borderId="0" xfId="0" applyNumberFormat="1" applyBorder="1" applyAlignment="1" applyProtection="1">
      <alignment horizontal="center" vertical="center"/>
      <protection hidden="1"/>
    </xf>
    <xf numFmtId="177" fontId="0" fillId="0" borderId="0" xfId="0" applyNumberFormat="1" applyFill="1" applyBorder="1" applyAlignment="1" applyProtection="1">
      <alignment horizontal="center" vertical="center"/>
      <protection hidden="1"/>
    </xf>
    <xf numFmtId="177" fontId="0" fillId="0" borderId="9" xfId="0" applyNumberFormat="1" applyFill="1" applyBorder="1" applyAlignment="1" applyProtection="1">
      <alignment horizontal="center" vertical="center"/>
      <protection hidden="1"/>
    </xf>
    <xf numFmtId="188" fontId="0" fillId="0" borderId="17" xfId="0" applyNumberFormat="1" applyFont="1" applyBorder="1" applyAlignment="1" applyProtection="1">
      <alignment horizontal="center" vertical="center"/>
      <protection hidden="1"/>
    </xf>
    <xf numFmtId="0" fontId="99" fillId="0" borderId="0" xfId="0" applyFont="1" applyFill="1" applyBorder="1" applyAlignment="1" applyProtection="1">
      <alignment vertical="center" wrapText="1"/>
      <protection hidden="1"/>
    </xf>
    <xf numFmtId="0" fontId="98" fillId="0" borderId="0" xfId="0" applyFont="1" applyFill="1" applyAlignment="1" applyProtection="1">
      <alignment horizontal="center" vertical="center" wrapText="1"/>
      <protection hidden="1"/>
    </xf>
    <xf numFmtId="181" fontId="0" fillId="0" borderId="17" xfId="0" applyNumberFormat="1" applyBorder="1" applyAlignment="1" applyProtection="1">
      <alignment horizontal="center" vertical="center"/>
      <protection hidden="1"/>
    </xf>
    <xf numFmtId="0" fontId="0" fillId="0" borderId="0" xfId="0" applyFill="1" applyAlignment="1" applyProtection="1">
      <alignment horizontal="center" wrapText="1"/>
      <protection hidden="1"/>
    </xf>
    <xf numFmtId="181" fontId="0" fillId="0" borderId="0" xfId="0" applyNumberFormat="1" applyBorder="1" applyAlignment="1" applyProtection="1">
      <alignment horizontal="center" vertical="center"/>
      <protection hidden="1"/>
    </xf>
    <xf numFmtId="180" fontId="0" fillId="0" borderId="3" xfId="0" applyNumberFormat="1" applyBorder="1" applyAlignment="1" applyProtection="1">
      <alignment horizontal="center" vertical="center"/>
      <protection locked="0"/>
    </xf>
    <xf numFmtId="0" fontId="0" fillId="0" borderId="23" xfId="0" applyFill="1" applyBorder="1" applyAlignment="1">
      <alignment horizontal="center" vertical="center"/>
    </xf>
    <xf numFmtId="0" fontId="4" fillId="0" borderId="17" xfId="0" applyFont="1" applyBorder="1" applyAlignment="1">
      <alignment horizontal="center" vertical="center"/>
    </xf>
    <xf numFmtId="209" fontId="0" fillId="0" borderId="17" xfId="0" applyNumberFormat="1" applyBorder="1" applyAlignment="1" applyProtection="1">
      <alignment horizontal="center" vertical="center"/>
      <protection hidden="1"/>
    </xf>
    <xf numFmtId="199" fontId="0" fillId="0" borderId="17" xfId="0" applyNumberFormat="1" applyBorder="1" applyAlignment="1" applyProtection="1">
      <alignment horizontal="center" vertical="center"/>
      <protection hidden="1"/>
    </xf>
    <xf numFmtId="0" fontId="62" fillId="0" borderId="0" xfId="0" applyFont="1" applyBorder="1" applyAlignment="1" applyProtection="1">
      <alignment horizontal="center" vertical="center"/>
      <protection hidden="1"/>
    </xf>
    <xf numFmtId="0" fontId="62" fillId="0" borderId="3" xfId="0" applyFont="1" applyBorder="1" applyAlignment="1" applyProtection="1">
      <alignment horizontal="center" vertical="center"/>
      <protection locked="0"/>
    </xf>
    <xf numFmtId="186" fontId="0" fillId="0" borderId="17" xfId="0" applyNumberFormat="1" applyBorder="1" applyAlignment="1" applyProtection="1">
      <alignment horizontal="center" vertical="center"/>
      <protection hidden="1"/>
    </xf>
    <xf numFmtId="183" fontId="0" fillId="0" borderId="17" xfId="0" applyNumberFormat="1" applyBorder="1" applyAlignment="1" applyProtection="1">
      <alignment horizontal="center" vertical="center"/>
      <protection hidden="1"/>
    </xf>
    <xf numFmtId="178" fontId="0" fillId="0" borderId="0" xfId="0" applyNumberFormat="1" applyBorder="1" applyAlignment="1" applyProtection="1">
      <alignment horizontal="center" vertical="center"/>
      <protection hidden="1"/>
    </xf>
    <xf numFmtId="0" fontId="69" fillId="0" borderId="0" xfId="0" applyFont="1" applyFill="1" applyBorder="1" applyAlignment="1" applyProtection="1">
      <alignment wrapText="1"/>
      <protection hidden="1"/>
    </xf>
    <xf numFmtId="0" fontId="53" fillId="0" borderId="0" xfId="0" applyFont="1" applyProtection="1">
      <protection hidden="1"/>
    </xf>
    <xf numFmtId="180" fontId="0" fillId="0" borderId="17" xfId="0" applyNumberFormat="1" applyBorder="1" applyAlignment="1" applyProtection="1">
      <alignment horizontal="center" vertical="center"/>
      <protection hidden="1"/>
    </xf>
    <xf numFmtId="187" fontId="0" fillId="0" borderId="17" xfId="0" applyNumberFormat="1" applyBorder="1" applyAlignment="1" applyProtection="1">
      <alignment horizontal="center" vertical="center"/>
      <protection hidden="1"/>
    </xf>
    <xf numFmtId="187" fontId="0" fillId="0" borderId="27" xfId="0" applyNumberFormat="1" applyBorder="1" applyAlignment="1" applyProtection="1">
      <alignment horizontal="center" vertical="center"/>
      <protection hidden="1"/>
    </xf>
    <xf numFmtId="164" fontId="0" fillId="0" borderId="27" xfId="0" applyNumberFormat="1" applyFont="1" applyBorder="1" applyAlignment="1" applyProtection="1">
      <alignment horizontal="center" vertical="center"/>
      <protection hidden="1"/>
    </xf>
    <xf numFmtId="180" fontId="0" fillId="0" borderId="27" xfId="0" applyNumberFormat="1" applyBorder="1" applyAlignment="1" applyProtection="1">
      <alignment horizontal="center" vertical="center"/>
      <protection hidden="1"/>
    </xf>
    <xf numFmtId="175" fontId="0" fillId="0" borderId="11" xfId="0" applyNumberFormat="1" applyBorder="1" applyAlignment="1" applyProtection="1">
      <alignment horizontal="center" vertical="center"/>
      <protection hidden="1"/>
    </xf>
    <xf numFmtId="185" fontId="0" fillId="0" borderId="17" xfId="0" applyNumberFormat="1" applyBorder="1" applyAlignment="1" applyProtection="1">
      <alignment horizontal="center" vertical="center"/>
      <protection hidden="1"/>
    </xf>
    <xf numFmtId="0" fontId="1" fillId="0" borderId="0" xfId="0" applyFont="1" applyFill="1" applyProtection="1">
      <protection hidden="1"/>
    </xf>
    <xf numFmtId="180" fontId="0" fillId="0" borderId="0" xfId="0" applyNumberFormat="1" applyBorder="1" applyAlignment="1" applyProtection="1">
      <alignment horizontal="center" vertical="center"/>
      <protection hidden="1"/>
    </xf>
    <xf numFmtId="178" fontId="0" fillId="0" borderId="27" xfId="0" applyNumberFormat="1" applyBorder="1" applyAlignment="1" applyProtection="1">
      <alignment horizontal="center" vertical="center"/>
      <protection hidden="1"/>
    </xf>
    <xf numFmtId="0" fontId="69" fillId="0" borderId="22" xfId="0" applyFont="1" applyFill="1" applyBorder="1" applyAlignment="1" applyProtection="1">
      <alignment wrapText="1"/>
      <protection hidden="1"/>
    </xf>
    <xf numFmtId="178" fontId="0" fillId="0" borderId="17" xfId="0" applyNumberFormat="1" applyBorder="1" applyAlignment="1" applyProtection="1">
      <alignment horizontal="center" vertical="center"/>
      <protection hidden="1"/>
    </xf>
    <xf numFmtId="0" fontId="55" fillId="0" borderId="0" xfId="0" applyFont="1" applyAlignment="1" applyProtection="1">
      <alignment vertical="center" wrapText="1"/>
      <protection hidden="1"/>
    </xf>
    <xf numFmtId="180" fontId="1" fillId="0" borderId="0" xfId="0" applyNumberFormat="1" applyFont="1" applyFill="1" applyBorder="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194" fontId="1" fillId="0" borderId="0" xfId="0" applyNumberFormat="1" applyFont="1" applyBorder="1" applyAlignment="1" applyProtection="1">
      <alignment horizontal="center" vertical="center"/>
      <protection hidden="1"/>
    </xf>
    <xf numFmtId="0" fontId="84" fillId="0" borderId="0" xfId="0" applyFont="1" applyProtection="1">
      <protection hidden="1"/>
    </xf>
    <xf numFmtId="188" fontId="1" fillId="0" borderId="0" xfId="0" applyNumberFormat="1" applyFont="1" applyBorder="1" applyAlignment="1" applyProtection="1">
      <alignment horizontal="center" vertical="center"/>
      <protection hidden="1"/>
    </xf>
    <xf numFmtId="186" fontId="0" fillId="0" borderId="0" xfId="0" applyNumberFormat="1" applyBorder="1" applyAlignment="1" applyProtection="1">
      <alignment horizontal="center" vertical="center"/>
      <protection hidden="1"/>
    </xf>
    <xf numFmtId="0" fontId="62" fillId="0" borderId="0" xfId="0" applyFont="1" applyAlignment="1" applyProtection="1">
      <protection hidden="1"/>
    </xf>
    <xf numFmtId="0" fontId="0" fillId="0" borderId="0" xfId="0" applyFont="1" applyBorder="1" applyAlignment="1" applyProtection="1">
      <protection hidden="1"/>
    </xf>
    <xf numFmtId="0" fontId="62" fillId="0" borderId="0" xfId="0" applyFont="1" applyBorder="1" applyAlignment="1" applyProtection="1">
      <protection hidden="1"/>
    </xf>
    <xf numFmtId="0" fontId="1" fillId="0" borderId="11"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188" fontId="0" fillId="0" borderId="0" xfId="0" applyNumberFormat="1" applyBorder="1" applyAlignment="1" applyProtection="1">
      <alignment horizontal="center" vertical="center"/>
      <protection hidden="1"/>
    </xf>
    <xf numFmtId="188" fontId="0" fillId="0" borderId="0" xfId="0" applyNumberFormat="1" applyBorder="1" applyProtection="1">
      <protection hidden="1"/>
    </xf>
    <xf numFmtId="175" fontId="0" fillId="0" borderId="22" xfId="0" applyNumberFormat="1" applyBorder="1" applyAlignment="1" applyProtection="1">
      <alignment horizontal="center" vertical="center"/>
      <protection hidden="1"/>
    </xf>
    <xf numFmtId="187" fontId="0" fillId="0" borderId="0" xfId="0" applyNumberFormat="1" applyAlignment="1" applyProtection="1">
      <alignment horizontal="center" vertical="center"/>
      <protection hidden="1"/>
    </xf>
    <xf numFmtId="187" fontId="0" fillId="0" borderId="0" xfId="0" applyNumberFormat="1" applyBorder="1" applyAlignment="1" applyProtection="1">
      <alignment horizontal="center" vertical="center"/>
      <protection hidden="1"/>
    </xf>
    <xf numFmtId="187" fontId="0" fillId="0" borderId="23" xfId="0" applyNumberFormat="1" applyBorder="1" applyAlignment="1" applyProtection="1">
      <alignment horizontal="center" vertical="center"/>
      <protection hidden="1"/>
    </xf>
    <xf numFmtId="187" fontId="1" fillId="0" borderId="8" xfId="0" applyNumberFormat="1" applyFont="1" applyBorder="1" applyAlignment="1" applyProtection="1">
      <alignment horizontal="center" vertical="center"/>
      <protection hidden="1"/>
    </xf>
    <xf numFmtId="0" fontId="0" fillId="0" borderId="27" xfId="0" applyBorder="1" applyProtection="1">
      <protection hidden="1"/>
    </xf>
    <xf numFmtId="187" fontId="1" fillId="0" borderId="4" xfId="0" applyNumberFormat="1" applyFont="1" applyBorder="1" applyAlignment="1" applyProtection="1">
      <alignment horizontal="center" vertical="center"/>
      <protection hidden="1"/>
    </xf>
    <xf numFmtId="187" fontId="1" fillId="0" borderId="5" xfId="0" applyNumberFormat="1" applyFont="1" applyBorder="1" applyAlignment="1" applyProtection="1">
      <alignment horizontal="center" vertical="center"/>
      <protection hidden="1"/>
    </xf>
    <xf numFmtId="189" fontId="0" fillId="0" borderId="26" xfId="0" applyNumberFormat="1" applyBorder="1" applyAlignment="1" applyProtection="1">
      <alignment horizontal="center" vertical="center"/>
      <protection hidden="1"/>
    </xf>
    <xf numFmtId="165" fontId="0" fillId="0" borderId="22" xfId="0" applyNumberFormat="1" applyFont="1" applyBorder="1" applyAlignment="1" applyProtection="1">
      <alignment horizontal="center" vertical="center"/>
      <protection hidden="1"/>
    </xf>
    <xf numFmtId="165" fontId="0" fillId="0" borderId="0" xfId="0" applyNumberFormat="1" applyFont="1" applyBorder="1" applyAlignment="1" applyProtection="1">
      <alignment horizontal="center" vertical="center"/>
      <protection hidden="1"/>
    </xf>
    <xf numFmtId="188" fontId="0" fillId="0" borderId="22" xfId="0" applyNumberFormat="1" applyBorder="1" applyAlignment="1" applyProtection="1">
      <alignment horizontal="center" vertical="center"/>
      <protection hidden="1"/>
    </xf>
    <xf numFmtId="188" fontId="0" fillId="0" borderId="23" xfId="0" applyNumberFormat="1" applyBorder="1" applyAlignment="1" applyProtection="1">
      <alignment horizontal="center" vertical="center"/>
      <protection hidden="1"/>
    </xf>
    <xf numFmtId="175" fontId="0" fillId="0" borderId="6" xfId="0" applyNumberFormat="1" applyBorder="1" applyAlignment="1" applyProtection="1">
      <alignment horizontal="center" vertical="center"/>
      <protection hidden="1"/>
    </xf>
    <xf numFmtId="175" fontId="0" fillId="0" borderId="9" xfId="0" applyNumberFormat="1" applyBorder="1" applyAlignment="1" applyProtection="1">
      <alignment horizontal="center" vertical="center"/>
      <protection hidden="1"/>
    </xf>
    <xf numFmtId="187" fontId="0" fillId="0" borderId="9" xfId="0" applyNumberFormat="1" applyBorder="1" applyAlignment="1" applyProtection="1">
      <alignment horizontal="center" vertical="center"/>
      <protection hidden="1"/>
    </xf>
    <xf numFmtId="164" fontId="0" fillId="0" borderId="9" xfId="0" applyNumberFormat="1" applyBorder="1" applyAlignment="1" applyProtection="1">
      <alignment horizontal="center" vertical="center"/>
      <protection hidden="1"/>
    </xf>
    <xf numFmtId="187" fontId="0" fillId="0" borderId="7" xfId="0" applyNumberFormat="1" applyBorder="1" applyAlignment="1" applyProtection="1">
      <alignment horizontal="center" vertical="center"/>
      <protection hidden="1"/>
    </xf>
    <xf numFmtId="187" fontId="0" fillId="0" borderId="6" xfId="0" applyNumberFormat="1" applyBorder="1" applyAlignment="1" applyProtection="1">
      <alignment horizontal="center" vertical="center"/>
      <protection hidden="1"/>
    </xf>
    <xf numFmtId="188" fontId="0" fillId="0" borderId="6" xfId="0" applyNumberFormat="1" applyBorder="1" applyAlignment="1" applyProtection="1">
      <alignment horizontal="center" vertical="center"/>
      <protection hidden="1"/>
    </xf>
    <xf numFmtId="188" fontId="0" fillId="0" borderId="9" xfId="0" applyNumberFormat="1" applyBorder="1" applyAlignment="1" applyProtection="1">
      <alignment horizontal="center" vertical="center"/>
      <protection hidden="1"/>
    </xf>
    <xf numFmtId="189" fontId="0" fillId="0" borderId="25" xfId="0" applyNumberFormat="1" applyBorder="1" applyAlignment="1" applyProtection="1">
      <alignment horizontal="center" vertical="center"/>
      <protection hidden="1"/>
    </xf>
    <xf numFmtId="165" fontId="0" fillId="0" borderId="6" xfId="0" applyNumberFormat="1" applyFont="1" applyBorder="1" applyAlignment="1" applyProtection="1">
      <alignment horizontal="center" vertical="center"/>
      <protection hidden="1"/>
    </xf>
    <xf numFmtId="165" fontId="0" fillId="0" borderId="9" xfId="0" applyNumberFormat="1" applyFont="1" applyBorder="1" applyAlignment="1" applyProtection="1">
      <alignment horizontal="center" vertical="center"/>
      <protection hidden="1"/>
    </xf>
    <xf numFmtId="188" fontId="0" fillId="0" borderId="7" xfId="0" applyNumberFormat="1" applyBorder="1" applyAlignment="1" applyProtection="1">
      <alignment horizontal="center" vertical="center"/>
      <protection hidden="1"/>
    </xf>
    <xf numFmtId="188" fontId="0" fillId="0" borderId="25" xfId="0" applyNumberFormat="1" applyBorder="1" applyAlignment="1" applyProtection="1">
      <alignment horizontal="center" vertical="center"/>
      <protection hidden="1"/>
    </xf>
    <xf numFmtId="175" fontId="0" fillId="0" borderId="0" xfId="0" applyNumberFormat="1" applyAlignment="1" applyProtection="1">
      <alignment horizontal="center" vertical="center"/>
      <protection hidden="1"/>
    </xf>
    <xf numFmtId="0" fontId="0" fillId="0" borderId="11" xfId="0" applyBorder="1" applyAlignment="1" applyProtection="1">
      <alignment horizontal="center" vertical="center"/>
      <protection hidden="1"/>
    </xf>
    <xf numFmtId="175" fontId="0" fillId="0" borderId="8" xfId="0" applyNumberFormat="1" applyBorder="1" applyAlignment="1" applyProtection="1">
      <alignment horizontal="center" vertical="center"/>
      <protection hidden="1"/>
    </xf>
    <xf numFmtId="189" fontId="1" fillId="0" borderId="0" xfId="0" applyNumberFormat="1" applyFont="1" applyBorder="1" applyAlignment="1" applyProtection="1">
      <alignment horizontal="center" vertical="center"/>
      <protection hidden="1"/>
    </xf>
    <xf numFmtId="187" fontId="1" fillId="0" borderId="0" xfId="0" applyNumberFormat="1" applyFont="1" applyBorder="1" applyAlignment="1" applyProtection="1">
      <alignment horizontal="center" vertical="center"/>
      <protection hidden="1"/>
    </xf>
    <xf numFmtId="187" fontId="4" fillId="0" borderId="0" xfId="0" applyNumberFormat="1" applyFont="1" applyBorder="1" applyAlignment="1" applyProtection="1">
      <alignment horizontal="center" vertical="center"/>
      <protection hidden="1"/>
    </xf>
    <xf numFmtId="188" fontId="1" fillId="0" borderId="0" xfId="0" applyNumberFormat="1" applyFont="1" applyFill="1" applyBorder="1" applyAlignment="1" applyProtection="1">
      <alignment horizontal="center" vertical="center"/>
      <protection hidden="1"/>
    </xf>
    <xf numFmtId="175" fontId="1" fillId="0" borderId="17" xfId="0" applyNumberFormat="1" applyFont="1" applyBorder="1" applyAlignment="1" applyProtection="1">
      <alignment horizontal="center" vertical="center"/>
      <protection hidden="1"/>
    </xf>
    <xf numFmtId="187" fontId="10" fillId="0" borderId="56" xfId="0" applyNumberFormat="1" applyFont="1" applyBorder="1" applyAlignment="1" applyProtection="1">
      <alignment horizontal="center" vertical="center"/>
      <protection hidden="1"/>
    </xf>
    <xf numFmtId="188" fontId="10" fillId="0" borderId="57" xfId="0" applyNumberFormat="1" applyFont="1" applyBorder="1" applyAlignment="1" applyProtection="1">
      <alignment horizontal="center" vertical="center"/>
      <protection hidden="1"/>
    </xf>
    <xf numFmtId="187" fontId="1" fillId="0" borderId="17" xfId="0" applyNumberFormat="1" applyFont="1" applyBorder="1" applyAlignment="1" applyProtection="1">
      <alignment horizontal="center" vertical="center"/>
      <protection hidden="1"/>
    </xf>
    <xf numFmtId="189" fontId="10" fillId="0" borderId="59" xfId="0" applyNumberFormat="1" applyFont="1" applyBorder="1" applyAlignment="1" applyProtection="1">
      <alignment horizontal="center" vertical="center"/>
      <protection hidden="1"/>
    </xf>
    <xf numFmtId="188" fontId="4" fillId="0" borderId="0" xfId="0" applyNumberFormat="1" applyFont="1" applyBorder="1" applyAlignment="1" applyProtection="1">
      <alignment horizontal="center" vertical="center"/>
      <protection hidden="1"/>
    </xf>
    <xf numFmtId="189" fontId="10" fillId="0" borderId="0" xfId="0" applyNumberFormat="1" applyFont="1" applyBorder="1" applyAlignment="1" applyProtection="1">
      <alignment horizontal="center" vertical="center"/>
      <protection hidden="1"/>
    </xf>
    <xf numFmtId="187" fontId="0" fillId="0" borderId="22" xfId="0" applyNumberFormat="1" applyBorder="1" applyAlignment="1" applyProtection="1">
      <alignment horizontal="center" vertical="center"/>
      <protection hidden="1"/>
    </xf>
    <xf numFmtId="187" fontId="0" fillId="0" borderId="5" xfId="0" applyNumberFormat="1" applyBorder="1" applyAlignment="1" applyProtection="1">
      <alignment horizontal="center" vertical="center"/>
      <protection hidden="1"/>
    </xf>
    <xf numFmtId="189" fontId="1" fillId="0" borderId="8" xfId="0" applyNumberFormat="1" applyFont="1" applyBorder="1" applyAlignment="1" applyProtection="1">
      <alignment horizontal="center" vertical="center"/>
      <protection hidden="1"/>
    </xf>
    <xf numFmtId="0" fontId="0" fillId="0" borderId="0" xfId="0" applyFill="1" applyBorder="1" applyAlignment="1" applyProtection="1">
      <alignment horizontal="left"/>
      <protection hidden="1"/>
    </xf>
    <xf numFmtId="0" fontId="0" fillId="0" borderId="21" xfId="0" applyBorder="1" applyProtection="1">
      <protection hidden="1"/>
    </xf>
    <xf numFmtId="192" fontId="0" fillId="0" borderId="17" xfId="0" applyNumberFormat="1" applyBorder="1" applyAlignment="1" applyProtection="1">
      <alignment horizontal="center" vertical="center"/>
      <protection hidden="1"/>
    </xf>
    <xf numFmtId="192" fontId="0" fillId="0" borderId="0" xfId="0" applyNumberFormat="1" applyBorder="1" applyAlignment="1" applyProtection="1">
      <alignment horizontal="center" vertical="center"/>
      <protection hidden="1"/>
    </xf>
    <xf numFmtId="0" fontId="0" fillId="0" borderId="22" xfId="0" applyBorder="1" applyAlignment="1" applyProtection="1">
      <protection hidden="1"/>
    </xf>
    <xf numFmtId="0" fontId="103" fillId="0" borderId="0" xfId="0" applyFont="1" applyAlignment="1" applyProtection="1">
      <alignment horizontal="left" vertical="center"/>
      <protection hidden="1"/>
    </xf>
    <xf numFmtId="0" fontId="79" fillId="0" borderId="0" xfId="0" applyFont="1" applyAlignment="1" applyProtection="1">
      <alignment horizontal="center" vertical="center"/>
      <protection hidden="1"/>
    </xf>
    <xf numFmtId="181" fontId="0" fillId="0" borderId="41" xfId="0" applyNumberFormat="1" applyBorder="1" applyAlignment="1" applyProtection="1">
      <alignment horizontal="center" vertical="center"/>
      <protection hidden="1"/>
    </xf>
    <xf numFmtId="181" fontId="0" fillId="0" borderId="25" xfId="0" applyNumberFormat="1" applyBorder="1" applyAlignment="1" applyProtection="1">
      <alignment horizontal="center" vertical="center"/>
      <protection hidden="1"/>
    </xf>
    <xf numFmtId="0" fontId="1" fillId="0" borderId="22" xfId="0" applyFont="1" applyBorder="1" applyAlignment="1" applyProtection="1">
      <protection hidden="1"/>
    </xf>
    <xf numFmtId="175" fontId="0" fillId="0" borderId="0" xfId="0" applyNumberFormat="1" applyAlignment="1" applyProtection="1">
      <alignment horizontal="center"/>
      <protection hidden="1"/>
    </xf>
    <xf numFmtId="175" fontId="10" fillId="0" borderId="0" xfId="0" applyNumberFormat="1" applyFont="1" applyFill="1" applyBorder="1" applyAlignment="1" applyProtection="1">
      <alignment horizontal="left" vertical="center"/>
      <protection hidden="1"/>
    </xf>
    <xf numFmtId="185" fontId="0" fillId="0" borderId="25" xfId="0" applyNumberFormat="1" applyBorder="1" applyAlignment="1" applyProtection="1">
      <alignment horizontal="center" vertical="center"/>
      <protection hidden="1"/>
    </xf>
    <xf numFmtId="185" fontId="0" fillId="0" borderId="0" xfId="0" applyNumberFormat="1" applyBorder="1" applyAlignment="1" applyProtection="1">
      <alignment horizontal="center" vertical="center"/>
      <protection hidden="1"/>
    </xf>
    <xf numFmtId="0" fontId="52" fillId="0" borderId="0" xfId="0" applyFont="1" applyFill="1" applyProtection="1">
      <protection hidden="1"/>
    </xf>
    <xf numFmtId="200" fontId="0" fillId="0" borderId="0" xfId="0" applyNumberFormat="1" applyAlignment="1" applyProtection="1">
      <protection hidden="1"/>
    </xf>
    <xf numFmtId="175" fontId="0" fillId="0" borderId="35" xfId="0" applyNumberFormat="1" applyBorder="1" applyAlignment="1" applyProtection="1">
      <alignment horizontal="center" vertical="center"/>
      <protection hidden="1"/>
    </xf>
    <xf numFmtId="0" fontId="94" fillId="0" borderId="17" xfId="0" applyFont="1" applyBorder="1" applyAlignment="1" applyProtection="1">
      <alignment horizontal="center" vertical="center"/>
      <protection hidden="1"/>
    </xf>
    <xf numFmtId="190" fontId="34" fillId="0" borderId="3" xfId="0" applyNumberFormat="1" applyFont="1" applyFill="1" applyBorder="1" applyAlignment="1" applyProtection="1">
      <alignment horizontal="center" vertical="center"/>
      <protection locked="0"/>
    </xf>
    <xf numFmtId="164" fontId="34" fillId="0" borderId="3" xfId="0" applyNumberFormat="1" applyFont="1" applyFill="1" applyBorder="1" applyAlignment="1" applyProtection="1">
      <alignment horizontal="center" vertical="center"/>
      <protection locked="0"/>
    </xf>
    <xf numFmtId="191" fontId="34" fillId="0" borderId="3" xfId="0" applyNumberFormat="1" applyFont="1" applyFill="1" applyBorder="1" applyAlignment="1" applyProtection="1">
      <alignment horizontal="center" vertical="center"/>
      <protection locked="0"/>
    </xf>
    <xf numFmtId="181" fontId="0" fillId="0" borderId="3" xfId="0" applyNumberFormat="1" applyBorder="1" applyAlignment="1" applyProtection="1">
      <alignment horizontal="center" vertical="center"/>
      <protection locked="0"/>
    </xf>
    <xf numFmtId="181" fontId="0" fillId="0" borderId="53" xfId="0" applyNumberFormat="1" applyBorder="1" applyAlignment="1" applyProtection="1">
      <alignment horizontal="center" vertical="center"/>
      <protection locked="0"/>
    </xf>
    <xf numFmtId="184" fontId="0" fillId="0" borderId="3" xfId="0" applyNumberFormat="1" applyBorder="1" applyAlignment="1" applyProtection="1">
      <alignment horizontal="center" vertical="center"/>
      <protection locked="0"/>
    </xf>
    <xf numFmtId="0" fontId="1" fillId="0" borderId="0" xfId="0" applyFont="1" applyBorder="1" applyAlignment="1" applyProtection="1">
      <alignment vertical="center"/>
      <protection hidden="1"/>
    </xf>
    <xf numFmtId="166" fontId="1" fillId="0" borderId="17" xfId="0" applyNumberFormat="1" applyFont="1" applyFill="1" applyBorder="1" applyAlignment="1" applyProtection="1">
      <alignment horizontal="center" vertical="center"/>
      <protection hidden="1"/>
    </xf>
    <xf numFmtId="176" fontId="0" fillId="0" borderId="17" xfId="0" applyNumberFormat="1" applyBorder="1" applyAlignment="1" applyProtection="1">
      <alignment horizontal="center"/>
      <protection hidden="1"/>
    </xf>
    <xf numFmtId="0" fontId="0" fillId="0" borderId="17" xfId="0" applyFont="1" applyBorder="1" applyAlignment="1" applyProtection="1">
      <alignment horizontal="center" vertical="center"/>
      <protection hidden="1"/>
    </xf>
    <xf numFmtId="166" fontId="1" fillId="0" borderId="17" xfId="0" applyNumberFormat="1" applyFont="1" applyBorder="1" applyAlignment="1" applyProtection="1">
      <alignment horizontal="center" vertical="center"/>
      <protection hidden="1"/>
    </xf>
    <xf numFmtId="175" fontId="0" fillId="0" borderId="17" xfId="0" applyNumberFormat="1" applyBorder="1" applyAlignment="1" applyProtection="1">
      <alignment horizontal="center"/>
      <protection hidden="1"/>
    </xf>
    <xf numFmtId="181" fontId="0" fillId="0" borderId="17" xfId="0" applyNumberFormat="1" applyBorder="1" applyAlignment="1" applyProtection="1">
      <alignment horizontal="center"/>
      <protection hidden="1"/>
    </xf>
    <xf numFmtId="172" fontId="0" fillId="0" borderId="0" xfId="0" applyNumberFormat="1" applyAlignment="1" applyProtection="1">
      <alignment horizontal="center" vertical="center"/>
      <protection hidden="1"/>
    </xf>
    <xf numFmtId="166" fontId="1" fillId="0" borderId="0" xfId="0" applyNumberFormat="1" applyFont="1" applyBorder="1" applyAlignment="1" applyProtection="1">
      <alignment horizontal="center" vertical="center"/>
      <protection hidden="1"/>
    </xf>
    <xf numFmtId="175" fontId="0" fillId="0" borderId="0" xfId="0" applyNumberFormat="1" applyBorder="1" applyAlignment="1" applyProtection="1">
      <alignment horizontal="center"/>
      <protection hidden="1"/>
    </xf>
    <xf numFmtId="10" fontId="0" fillId="0" borderId="0" xfId="0" applyNumberFormat="1" applyFill="1" applyAlignment="1" applyProtection="1">
      <alignment horizontal="center" vertical="center"/>
      <protection hidden="1"/>
    </xf>
    <xf numFmtId="10" fontId="1" fillId="0" borderId="0" xfId="0" applyNumberFormat="1" applyFont="1" applyFill="1" applyAlignment="1" applyProtection="1">
      <alignment horizontal="center" vertical="center"/>
      <protection hidden="1"/>
    </xf>
    <xf numFmtId="166" fontId="0" fillId="0" borderId="17" xfId="0" applyNumberFormat="1" applyFont="1" applyBorder="1" applyAlignment="1" applyProtection="1">
      <alignment horizontal="center" vertical="center"/>
      <protection hidden="1"/>
    </xf>
    <xf numFmtId="176" fontId="0" fillId="0" borderId="0" xfId="0" applyNumberFormat="1" applyBorder="1" applyAlignment="1" applyProtection="1">
      <alignment horizontal="center"/>
      <protection hidden="1"/>
    </xf>
    <xf numFmtId="0" fontId="4" fillId="0" borderId="27" xfId="0" applyFont="1" applyBorder="1" applyAlignment="1" applyProtection="1">
      <alignment horizontal="center" vertical="center"/>
      <protection hidden="1"/>
    </xf>
    <xf numFmtId="186" fontId="1" fillId="0" borderId="25" xfId="0" applyNumberFormat="1" applyFont="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188" fontId="0" fillId="0" borderId="17" xfId="0" applyNumberFormat="1" applyBorder="1" applyAlignment="1" applyProtection="1">
      <alignment horizontal="center" vertical="center"/>
      <protection hidden="1"/>
    </xf>
    <xf numFmtId="180" fontId="0" fillId="0" borderId="12" xfId="0" applyNumberFormat="1" applyBorder="1" applyAlignment="1" applyProtection="1">
      <alignment horizontal="center" vertical="center"/>
      <protection hidden="1"/>
    </xf>
    <xf numFmtId="0" fontId="0" fillId="0" borderId="0" xfId="0" applyProtection="1">
      <protection locked="0"/>
    </xf>
    <xf numFmtId="0" fontId="19" fillId="11" borderId="3" xfId="1" applyFill="1" applyBorder="1" applyAlignment="1">
      <alignment horizontal="center" vertical="center"/>
    </xf>
    <xf numFmtId="0" fontId="1" fillId="0" borderId="17" xfId="0" applyFont="1" applyBorder="1" applyAlignment="1" applyProtection="1">
      <alignment horizontal="center" vertical="center"/>
      <protection hidden="1"/>
    </xf>
    <xf numFmtId="0" fontId="1" fillId="0" borderId="0" xfId="0" applyFont="1" applyAlignment="1" applyProtection="1">
      <alignment horizontal="right"/>
      <protection hidden="1"/>
    </xf>
    <xf numFmtId="0" fontId="0" fillId="0" borderId="0" xfId="0" applyAlignment="1" applyProtection="1">
      <alignment horizontal="center" vertical="center"/>
      <protection hidden="1"/>
    </xf>
    <xf numFmtId="0" fontId="0" fillId="0" borderId="0" xfId="0" applyAlignment="1">
      <alignment horizontal="center" vertical="center"/>
    </xf>
    <xf numFmtId="0" fontId="56" fillId="0" borderId="0" xfId="0" applyFont="1" applyProtection="1">
      <protection hidden="1"/>
    </xf>
    <xf numFmtId="0" fontId="19" fillId="0" borderId="0" xfId="1"/>
    <xf numFmtId="0" fontId="0" fillId="0" borderId="0" xfId="0" applyAlignment="1" applyProtection="1">
      <alignment horizontal="center" vertical="center"/>
      <protection hidden="1"/>
    </xf>
    <xf numFmtId="0" fontId="69" fillId="0" borderId="0" xfId="0" applyFont="1"/>
    <xf numFmtId="0" fontId="68" fillId="0" borderId="0" xfId="0" applyFont="1"/>
    <xf numFmtId="0" fontId="22" fillId="0" borderId="0" xfId="0" applyFont="1"/>
    <xf numFmtId="0" fontId="0" fillId="0" borderId="0" xfId="0" applyAlignment="1" applyProtection="1">
      <alignment horizontal="center" vertical="center"/>
      <protection hidden="1"/>
    </xf>
    <xf numFmtId="0" fontId="0" fillId="0" borderId="0" xfId="0" applyAlignment="1">
      <alignment horizontal="center" vertical="center"/>
    </xf>
    <xf numFmtId="210" fontId="0" fillId="0" borderId="0" xfId="0" applyNumberFormat="1" applyBorder="1"/>
    <xf numFmtId="0" fontId="0" fillId="0" borderId="0" xfId="0" quotePrefix="1" applyProtection="1">
      <protection hidden="1"/>
    </xf>
    <xf numFmtId="0" fontId="1" fillId="0" borderId="0" xfId="0" applyFont="1" applyAlignment="1" applyProtection="1">
      <alignment horizontal="center"/>
      <protection hidden="1"/>
    </xf>
    <xf numFmtId="0" fontId="19" fillId="0" borderId="0" xfId="1" applyAlignment="1" applyProtection="1">
      <alignment horizontal="center"/>
      <protection locked="0"/>
    </xf>
    <xf numFmtId="0" fontId="19" fillId="0" borderId="0" xfId="1" applyAlignment="1" applyProtection="1">
      <alignment horizont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0" fontId="1" fillId="0" borderId="4" xfId="0" applyFont="1" applyBorder="1" applyAlignment="1" applyProtection="1">
      <alignment horizontal="center" wrapText="1"/>
      <protection hidden="1"/>
    </xf>
    <xf numFmtId="0" fontId="1" fillId="0" borderId="5" xfId="0" applyFont="1" applyBorder="1" applyAlignment="1" applyProtection="1">
      <alignment horizontal="center" wrapText="1"/>
      <protection hidden="1"/>
    </xf>
    <xf numFmtId="0" fontId="1" fillId="0" borderId="6" xfId="0" applyFont="1" applyBorder="1" applyAlignment="1" applyProtection="1">
      <alignment horizontal="center" wrapText="1"/>
      <protection hidden="1"/>
    </xf>
    <xf numFmtId="0" fontId="1" fillId="0" borderId="7" xfId="0" applyFont="1" applyBorder="1" applyAlignment="1" applyProtection="1">
      <alignment horizontal="center" wrapText="1"/>
      <protection hidden="1"/>
    </xf>
    <xf numFmtId="0" fontId="8" fillId="0" borderId="4" xfId="0"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5"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0" fillId="0" borderId="4" xfId="0" applyBorder="1" applyAlignment="1" applyProtection="1">
      <alignment horizontal="center"/>
      <protection hidden="1"/>
    </xf>
    <xf numFmtId="0" fontId="0" fillId="0" borderId="8" xfId="0" applyBorder="1" applyAlignment="1" applyProtection="1">
      <alignment horizontal="center"/>
      <protection hidden="1"/>
    </xf>
    <xf numFmtId="0" fontId="0" fillId="0" borderId="5" xfId="0" applyBorder="1" applyAlignment="1" applyProtection="1">
      <alignment horizontal="center"/>
      <protection hidden="1"/>
    </xf>
    <xf numFmtId="0" fontId="0" fillId="0" borderId="6" xfId="0" applyBorder="1" applyAlignment="1" applyProtection="1">
      <alignment horizontal="center"/>
      <protection hidden="1"/>
    </xf>
    <xf numFmtId="0" fontId="0" fillId="0" borderId="9" xfId="0" applyBorder="1" applyAlignment="1" applyProtection="1">
      <alignment horizontal="center"/>
      <protection hidden="1"/>
    </xf>
    <xf numFmtId="0" fontId="0" fillId="0" borderId="7" xfId="0" applyBorder="1" applyAlignment="1" applyProtection="1">
      <alignment horizontal="center"/>
      <protection hidden="1"/>
    </xf>
    <xf numFmtId="0" fontId="31" fillId="0" borderId="0" xfId="0" applyFont="1" applyAlignment="1" applyProtection="1">
      <alignment horizontal="center"/>
      <protection hidden="1"/>
    </xf>
    <xf numFmtId="14" fontId="105" fillId="13" borderId="0" xfId="0" applyNumberFormat="1" applyFont="1" applyFill="1" applyAlignment="1" applyProtection="1">
      <alignment horizontal="center"/>
      <protection hidden="1"/>
    </xf>
    <xf numFmtId="0" fontId="105" fillId="13" borderId="0" xfId="0" applyFont="1" applyFill="1" applyAlignment="1" applyProtection="1">
      <alignment horizontal="center"/>
      <protection hidden="1"/>
    </xf>
    <xf numFmtId="0" fontId="62" fillId="0" borderId="0" xfId="0" applyFont="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horizontal="center" vertical="center"/>
      <protection hidden="1"/>
    </xf>
    <xf numFmtId="0" fontId="1" fillId="0" borderId="17" xfId="0" applyFont="1" applyBorder="1" applyAlignment="1" applyProtection="1">
      <alignment horizontal="center" vertical="center"/>
      <protection hidden="1"/>
    </xf>
    <xf numFmtId="2" fontId="0" fillId="0" borderId="17" xfId="0" applyNumberFormat="1" applyBorder="1" applyAlignment="1" applyProtection="1">
      <alignment horizontal="center" vertical="center"/>
      <protection hidden="1"/>
    </xf>
    <xf numFmtId="2" fontId="0" fillId="0" borderId="10" xfId="0" applyNumberFormat="1" applyBorder="1" applyAlignment="1" applyProtection="1">
      <alignment horizontal="center" vertical="center"/>
      <protection hidden="1"/>
    </xf>
    <xf numFmtId="2" fontId="0" fillId="0" borderId="12" xfId="0" applyNumberFormat="1" applyBorder="1" applyAlignment="1" applyProtection="1">
      <alignment horizontal="center" vertical="center"/>
      <protection hidden="1"/>
    </xf>
    <xf numFmtId="0" fontId="80" fillId="0" borderId="0" xfId="0" applyFont="1" applyFill="1" applyAlignment="1" applyProtection="1">
      <alignment horizontal="center" vertical="center" wrapText="1"/>
      <protection hidden="1"/>
    </xf>
    <xf numFmtId="0" fontId="20" fillId="0" borderId="27" xfId="0" applyFont="1" applyBorder="1" applyAlignment="1" applyProtection="1">
      <alignment horizontal="center" vertical="center"/>
      <protection hidden="1"/>
    </xf>
    <xf numFmtId="0" fontId="20" fillId="0" borderId="25" xfId="0" applyFont="1" applyBorder="1" applyAlignment="1" applyProtection="1">
      <alignment horizontal="center" vertical="center"/>
      <protection hidden="1"/>
    </xf>
    <xf numFmtId="0" fontId="61" fillId="0" borderId="66" xfId="0" applyFont="1" applyBorder="1" applyAlignment="1" applyProtection="1">
      <alignment horizontal="center" vertical="center" wrapText="1"/>
      <protection hidden="1"/>
    </xf>
    <xf numFmtId="0" fontId="61" fillId="0" borderId="67" xfId="0" applyFont="1" applyBorder="1" applyAlignment="1" applyProtection="1">
      <alignment horizontal="center" vertical="center" wrapText="1"/>
      <protection hidden="1"/>
    </xf>
    <xf numFmtId="0" fontId="61" fillId="0" borderId="68" xfId="0"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0" fontId="8" fillId="9" borderId="46" xfId="0" applyFont="1" applyFill="1" applyBorder="1" applyAlignment="1" applyProtection="1">
      <alignment horizontal="center" vertical="center" textRotation="90" wrapText="1"/>
      <protection locked="0"/>
    </xf>
    <xf numFmtId="0" fontId="8" fillId="9" borderId="47" xfId="0" applyFont="1" applyFill="1" applyBorder="1" applyAlignment="1" applyProtection="1">
      <alignment horizontal="center" vertical="center" textRotation="90" wrapText="1"/>
      <protection locked="0"/>
    </xf>
    <xf numFmtId="0" fontId="8" fillId="9" borderId="21" xfId="0" applyFont="1" applyFill="1" applyBorder="1" applyAlignment="1" applyProtection="1">
      <alignment horizontal="center" vertical="center" textRotation="90" wrapText="1"/>
      <protection locked="0"/>
    </xf>
    <xf numFmtId="0" fontId="8" fillId="9" borderId="13" xfId="0" applyFont="1" applyFill="1" applyBorder="1" applyAlignment="1" applyProtection="1">
      <alignment horizontal="center" vertical="center" textRotation="90" wrapText="1"/>
      <protection locked="0"/>
    </xf>
    <xf numFmtId="0" fontId="8" fillId="9" borderId="48" xfId="0" applyFont="1" applyFill="1" applyBorder="1" applyAlignment="1" applyProtection="1">
      <alignment horizontal="center" vertical="center" textRotation="90" wrapText="1"/>
      <protection locked="0"/>
    </xf>
    <xf numFmtId="0" fontId="8" fillId="9" borderId="49" xfId="0" applyFont="1" applyFill="1" applyBorder="1" applyAlignment="1" applyProtection="1">
      <alignment horizontal="center" vertical="center" textRotation="90" wrapText="1"/>
      <protection locked="0"/>
    </xf>
    <xf numFmtId="180" fontId="1" fillId="0" borderId="0" xfId="0" applyNumberFormat="1" applyFont="1" applyBorder="1" applyAlignment="1" applyProtection="1">
      <alignment horizontal="center" vertical="center"/>
      <protection hidden="1"/>
    </xf>
    <xf numFmtId="180" fontId="1" fillId="0" borderId="13" xfId="0" applyNumberFormat="1"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56" fillId="0" borderId="18" xfId="0" applyFont="1" applyBorder="1" applyAlignment="1" applyProtection="1">
      <alignment horizontal="center"/>
      <protection locked="0"/>
    </xf>
    <xf numFmtId="0" fontId="56" fillId="0" borderId="20" xfId="0" applyFont="1" applyBorder="1" applyAlignment="1" applyProtection="1">
      <alignment horizontal="center"/>
      <protection locked="0"/>
    </xf>
    <xf numFmtId="0" fontId="8" fillId="9" borderId="46" xfId="0" applyFont="1" applyFill="1" applyBorder="1" applyAlignment="1" applyProtection="1">
      <alignment horizontal="center" vertical="center" textRotation="90" wrapText="1"/>
      <protection hidden="1"/>
    </xf>
    <xf numFmtId="0" fontId="8" fillId="9" borderId="47" xfId="0" applyFont="1" applyFill="1" applyBorder="1" applyAlignment="1" applyProtection="1">
      <alignment horizontal="center" vertical="center" textRotation="90" wrapText="1"/>
      <protection hidden="1"/>
    </xf>
    <xf numFmtId="0" fontId="8" fillId="9" borderId="21" xfId="0" applyFont="1" applyFill="1" applyBorder="1" applyAlignment="1" applyProtection="1">
      <alignment horizontal="center" vertical="center" textRotation="90" wrapText="1"/>
      <protection hidden="1"/>
    </xf>
    <xf numFmtId="0" fontId="8" fillId="9" borderId="13" xfId="0" applyFont="1" applyFill="1" applyBorder="1" applyAlignment="1" applyProtection="1">
      <alignment horizontal="center" vertical="center" textRotation="90" wrapText="1"/>
      <protection hidden="1"/>
    </xf>
    <xf numFmtId="0" fontId="8" fillId="9" borderId="48" xfId="0" applyFont="1" applyFill="1" applyBorder="1" applyAlignment="1" applyProtection="1">
      <alignment horizontal="center" vertical="center" textRotation="90" wrapText="1"/>
      <protection hidden="1"/>
    </xf>
    <xf numFmtId="0" fontId="8" fillId="9" borderId="49" xfId="0" applyFont="1" applyFill="1" applyBorder="1" applyAlignment="1" applyProtection="1">
      <alignment horizontal="center" vertical="center" textRotation="90" wrapText="1"/>
      <protection hidden="1"/>
    </xf>
    <xf numFmtId="0" fontId="0" fillId="0" borderId="17" xfId="0" applyBorder="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0" fillId="10" borderId="18" xfId="0" applyFill="1" applyBorder="1" applyAlignment="1" applyProtection="1">
      <alignment horizontal="left"/>
      <protection locked="0"/>
    </xf>
    <xf numFmtId="0" fontId="0" fillId="10" borderId="19" xfId="0" applyFill="1" applyBorder="1" applyAlignment="1" applyProtection="1">
      <alignment horizontal="left"/>
      <protection locked="0"/>
    </xf>
    <xf numFmtId="0" fontId="0" fillId="10" borderId="20" xfId="0" applyFill="1" applyBorder="1" applyAlignment="1" applyProtection="1">
      <alignment horizontal="left"/>
      <protection locked="0"/>
    </xf>
    <xf numFmtId="0" fontId="0" fillId="0" borderId="18"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62" fillId="0" borderId="17" xfId="0" applyFont="1" applyBorder="1" applyAlignment="1" applyProtection="1">
      <alignment horizontal="center" vertical="center"/>
      <protection hidden="1"/>
    </xf>
    <xf numFmtId="0" fontId="62" fillId="0" borderId="10" xfId="0" applyFont="1" applyBorder="1" applyAlignment="1" applyProtection="1">
      <alignment horizontal="center"/>
      <protection hidden="1"/>
    </xf>
    <xf numFmtId="0" fontId="62" fillId="0" borderId="11" xfId="0" applyFont="1" applyBorder="1" applyAlignment="1" applyProtection="1">
      <alignment horizontal="center"/>
      <protection hidden="1"/>
    </xf>
    <xf numFmtId="0" fontId="62" fillId="0" borderId="12" xfId="0" applyFont="1" applyBorder="1" applyAlignment="1" applyProtection="1">
      <alignment horizontal="center"/>
      <protection hidden="1"/>
    </xf>
    <xf numFmtId="0" fontId="0" fillId="5" borderId="18" xfId="0" applyFill="1" applyBorder="1" applyAlignment="1" applyProtection="1">
      <alignment horizontal="left"/>
      <protection locked="0"/>
    </xf>
    <xf numFmtId="0" fontId="0" fillId="5" borderId="19" xfId="0" applyFill="1" applyBorder="1" applyAlignment="1" applyProtection="1">
      <alignment horizontal="left"/>
      <protection locked="0"/>
    </xf>
    <xf numFmtId="0" fontId="0" fillId="5" borderId="20" xfId="0" applyFill="1" applyBorder="1" applyAlignment="1" applyProtection="1">
      <alignment horizontal="left"/>
      <protection locked="0"/>
    </xf>
    <xf numFmtId="0" fontId="55" fillId="0" borderId="0" xfId="0" applyFont="1" applyAlignment="1" applyProtection="1">
      <alignment horizontal="center"/>
      <protection hidden="1"/>
    </xf>
    <xf numFmtId="0" fontId="62" fillId="0" borderId="0" xfId="0" applyFont="1" applyAlignment="1" applyProtection="1">
      <alignment horizontal="center" vertical="center" wrapText="1"/>
      <protection hidden="1"/>
    </xf>
    <xf numFmtId="0" fontId="62" fillId="0" borderId="17" xfId="0" applyFont="1" applyBorder="1" applyAlignment="1" applyProtection="1">
      <alignment horizontal="center"/>
      <protection hidden="1"/>
    </xf>
    <xf numFmtId="0" fontId="23" fillId="0" borderId="0" xfId="0" applyFont="1" applyFill="1" applyBorder="1" applyAlignment="1" applyProtection="1">
      <alignment horizontal="center" vertical="center" wrapText="1"/>
      <protection hidden="1"/>
    </xf>
    <xf numFmtId="0" fontId="27" fillId="0" borderId="0" xfId="0" applyFont="1" applyFill="1" applyAlignment="1" applyProtection="1">
      <alignment horizontal="center" vertical="center"/>
      <protection hidden="1"/>
    </xf>
    <xf numFmtId="0" fontId="94" fillId="0" borderId="0" xfId="0" applyFont="1" applyFill="1" applyAlignment="1" applyProtection="1">
      <alignment horizontal="center" vertical="top" wrapText="1"/>
      <protection hidden="1"/>
    </xf>
    <xf numFmtId="0" fontId="94" fillId="0" borderId="60" xfId="0" applyFont="1" applyFill="1" applyBorder="1" applyAlignment="1" applyProtection="1">
      <alignment horizontal="center" vertical="top" wrapText="1"/>
      <protection hidden="1"/>
    </xf>
    <xf numFmtId="187" fontId="94" fillId="0" borderId="0" xfId="0" applyNumberFormat="1" applyFont="1" applyFill="1" applyBorder="1" applyAlignment="1" applyProtection="1">
      <alignment horizontal="center" vertical="top" wrapText="1"/>
      <protection hidden="1"/>
    </xf>
    <xf numFmtId="187" fontId="94" fillId="0" borderId="60" xfId="0" applyNumberFormat="1" applyFont="1" applyFill="1" applyBorder="1" applyAlignment="1" applyProtection="1">
      <alignment horizontal="center" vertical="top" wrapText="1"/>
      <protection hidden="1"/>
    </xf>
    <xf numFmtId="0" fontId="23" fillId="0" borderId="17" xfId="0" applyFont="1" applyBorder="1" applyAlignment="1" applyProtection="1">
      <alignment horizontal="center" vertical="center" wrapText="1"/>
      <protection hidden="1"/>
    </xf>
    <xf numFmtId="0" fontId="0" fillId="0" borderId="17" xfId="0" applyBorder="1" applyAlignment="1" applyProtection="1">
      <alignment horizontal="center"/>
      <protection hidden="1"/>
    </xf>
    <xf numFmtId="0" fontId="1" fillId="0" borderId="0" xfId="0" applyFont="1" applyAlignment="1" applyProtection="1">
      <alignment horizontal="right"/>
      <protection hidden="1"/>
    </xf>
    <xf numFmtId="0" fontId="1" fillId="0" borderId="0" xfId="0" applyFont="1" applyAlignment="1" applyProtection="1">
      <alignment horizontal="left"/>
      <protection hidden="1"/>
    </xf>
    <xf numFmtId="0" fontId="1" fillId="0" borderId="9" xfId="0" applyFont="1" applyBorder="1" applyAlignment="1" applyProtection="1">
      <alignment horizontal="center" vertical="center"/>
      <protection hidden="1"/>
    </xf>
    <xf numFmtId="0" fontId="6" fillId="2" borderId="1" xfId="0" applyFont="1" applyFill="1" applyBorder="1" applyAlignment="1" applyProtection="1">
      <alignment horizontal="center" vertical="center"/>
      <protection hidden="1"/>
    </xf>
    <xf numFmtId="0" fontId="6" fillId="2" borderId="2" xfId="0" applyFont="1" applyFill="1" applyBorder="1" applyAlignment="1" applyProtection="1">
      <alignment horizontal="center" vertical="center"/>
      <protection hidden="1"/>
    </xf>
    <xf numFmtId="2" fontId="6" fillId="0" borderId="0" xfId="0" applyNumberFormat="1" applyFont="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0" xfId="0" applyAlignment="1" applyProtection="1">
      <alignment horizontal="center" vertical="center"/>
      <protection hidden="1"/>
    </xf>
    <xf numFmtId="0" fontId="67" fillId="0" borderId="0" xfId="0" applyFont="1" applyAlignment="1" applyProtection="1">
      <alignment horizontal="center" vertical="center" wrapText="1"/>
      <protection hidden="1"/>
    </xf>
    <xf numFmtId="0" fontId="1" fillId="0" borderId="0" xfId="0" applyFont="1" applyBorder="1" applyAlignment="1" applyProtection="1">
      <alignment horizontal="left"/>
      <protection hidden="1"/>
    </xf>
    <xf numFmtId="0" fontId="57" fillId="0" borderId="17" xfId="0" applyFont="1" applyBorder="1" applyAlignment="1" applyProtection="1">
      <alignment horizontal="center" vertical="center" wrapText="1"/>
      <protection hidden="1"/>
    </xf>
    <xf numFmtId="0" fontId="1" fillId="2" borderId="1" xfId="0" applyFont="1" applyFill="1" applyBorder="1" applyAlignment="1" applyProtection="1">
      <alignment horizontal="center" vertical="center"/>
      <protection hidden="1"/>
    </xf>
    <xf numFmtId="0" fontId="1" fillId="2" borderId="2" xfId="0"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2" fontId="0" fillId="0" borderId="27" xfId="0" applyNumberFormat="1" applyBorder="1" applyAlignment="1" applyProtection="1">
      <alignment horizontal="center" vertical="center"/>
      <protection hidden="1"/>
    </xf>
    <xf numFmtId="2" fontId="0" fillId="0" borderId="25" xfId="0" applyNumberFormat="1" applyBorder="1" applyAlignment="1" applyProtection="1">
      <alignment horizontal="center" vertical="center"/>
      <protection hidden="1"/>
    </xf>
    <xf numFmtId="0" fontId="0" fillId="0" borderId="0" xfId="0" applyAlignment="1" applyProtection="1">
      <alignment horizontal="center"/>
      <protection hidden="1"/>
    </xf>
    <xf numFmtId="0" fontId="1" fillId="0" borderId="13" xfId="0" applyFont="1" applyBorder="1" applyAlignment="1" applyProtection="1">
      <alignment horizontal="center"/>
      <protection hidden="1"/>
    </xf>
    <xf numFmtId="0" fontId="10" fillId="0" borderId="0" xfId="0" applyFont="1" applyAlignment="1" applyProtection="1">
      <alignment horizontal="center" vertical="center" wrapText="1"/>
      <protection hidden="1"/>
    </xf>
    <xf numFmtId="0" fontId="0" fillId="0" borderId="19" xfId="0" applyBorder="1" applyAlignment="1" applyProtection="1">
      <alignment horizontal="center" vertical="center"/>
      <protection locked="0"/>
    </xf>
    <xf numFmtId="0" fontId="27" fillId="0" borderId="0" xfId="0" applyFont="1" applyAlignment="1" applyProtection="1">
      <alignment horizontal="left"/>
      <protection hidden="1"/>
    </xf>
    <xf numFmtId="199" fontId="0" fillId="0" borderId="17" xfId="0" applyNumberFormat="1" applyBorder="1" applyAlignment="1" applyProtection="1">
      <alignment horizontal="center" vertical="center"/>
      <protection hidden="1"/>
    </xf>
    <xf numFmtId="0" fontId="1" fillId="0" borderId="54" xfId="0" applyFont="1" applyBorder="1" applyAlignment="1" applyProtection="1">
      <alignment horizontal="center"/>
      <protection hidden="1"/>
    </xf>
    <xf numFmtId="0" fontId="27" fillId="0" borderId="0" xfId="0" applyFont="1" applyAlignment="1" applyProtection="1">
      <alignment horizontal="right"/>
      <protection hidden="1"/>
    </xf>
    <xf numFmtId="0" fontId="0" fillId="0" borderId="55" xfId="0" applyBorder="1" applyAlignment="1" applyProtection="1">
      <alignment horizontal="center"/>
      <protection hidden="1"/>
    </xf>
    <xf numFmtId="0" fontId="0" fillId="0" borderId="35" xfId="0" applyBorder="1" applyAlignment="1" applyProtection="1">
      <alignment horizontal="center"/>
      <protection hidden="1"/>
    </xf>
    <xf numFmtId="0" fontId="0" fillId="0" borderId="22" xfId="0" applyBorder="1" applyAlignment="1" applyProtection="1">
      <alignment horizontal="center"/>
      <protection hidden="1"/>
    </xf>
    <xf numFmtId="0" fontId="25" fillId="0" borderId="0" xfId="0" applyFont="1" applyAlignment="1">
      <alignment horizontal="center" vertical="center" wrapText="1"/>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25" fillId="0" borderId="0" xfId="0" applyFont="1" applyBorder="1" applyAlignment="1">
      <alignment horizontal="center" vertical="center"/>
    </xf>
    <xf numFmtId="0" fontId="25" fillId="0" borderId="9" xfId="0" applyFont="1" applyBorder="1" applyAlignment="1">
      <alignment horizontal="center" vertical="center"/>
    </xf>
    <xf numFmtId="0" fontId="27" fillId="0" borderId="0" xfId="0" applyFont="1" applyBorder="1" applyAlignment="1">
      <alignment horizontal="center" vertical="center"/>
    </xf>
    <xf numFmtId="0" fontId="27" fillId="0" borderId="9" xfId="0" applyFont="1" applyBorder="1" applyAlignment="1">
      <alignment horizontal="center" vertical="center"/>
    </xf>
    <xf numFmtId="0" fontId="1" fillId="0" borderId="0" xfId="0" applyFont="1" applyAlignment="1">
      <alignment horizontal="center"/>
    </xf>
    <xf numFmtId="0" fontId="1" fillId="0" borderId="9" xfId="0" applyFont="1" applyBorder="1" applyAlignment="1">
      <alignment horizontal="center" vertical="center"/>
    </xf>
    <xf numFmtId="0" fontId="1" fillId="0" borderId="0" xfId="0" applyFont="1" applyAlignment="1">
      <alignment horizontal="center" vertical="center"/>
    </xf>
    <xf numFmtId="0" fontId="1" fillId="6" borderId="0" xfId="0" applyFont="1" applyFill="1" applyAlignment="1">
      <alignment horizontal="center" vertical="center"/>
    </xf>
    <xf numFmtId="0" fontId="1" fillId="6" borderId="23" xfId="0" applyFont="1" applyFill="1" applyBorder="1" applyAlignment="1">
      <alignment horizontal="center" vertical="center"/>
    </xf>
    <xf numFmtId="0" fontId="99" fillId="0" borderId="0" xfId="0" applyFont="1" applyFill="1" applyBorder="1" applyAlignment="1" applyProtection="1">
      <alignment horizontal="center" vertical="center" wrapText="1"/>
      <protection hidden="1"/>
    </xf>
    <xf numFmtId="0" fontId="98" fillId="0" borderId="0" xfId="0" applyFont="1" applyFill="1" applyAlignment="1" applyProtection="1">
      <alignment horizontal="center" vertical="center" wrapText="1"/>
      <protection hidden="1"/>
    </xf>
    <xf numFmtId="0" fontId="0" fillId="0" borderId="0" xfId="0" applyFill="1" applyAlignment="1" applyProtection="1">
      <alignment horizontal="center" wrapText="1"/>
      <protection hidden="1"/>
    </xf>
    <xf numFmtId="0" fontId="59" fillId="0" borderId="17" xfId="0" applyFont="1" applyFill="1" applyBorder="1" applyAlignment="1" applyProtection="1">
      <alignment horizontal="center" vertical="center"/>
      <protection hidden="1"/>
    </xf>
    <xf numFmtId="0" fontId="1" fillId="0" borderId="27" xfId="0" applyFont="1" applyFill="1" applyBorder="1" applyAlignment="1" applyProtection="1">
      <alignment horizontal="center" vertical="center" wrapText="1"/>
      <protection hidden="1"/>
    </xf>
    <xf numFmtId="0" fontId="1" fillId="0" borderId="25" xfId="0" applyFont="1" applyFill="1" applyBorder="1" applyAlignment="1" applyProtection="1">
      <alignment horizontal="center" vertical="center" wrapText="1"/>
      <protection hidden="1"/>
    </xf>
    <xf numFmtId="0" fontId="1" fillId="0" borderId="27"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27" xfId="0" applyFont="1" applyBorder="1" applyAlignment="1" applyProtection="1">
      <alignment horizontal="center" vertical="center"/>
      <protection hidden="1"/>
    </xf>
    <xf numFmtId="0" fontId="1" fillId="0" borderId="25" xfId="0" applyFont="1" applyBorder="1" applyAlignment="1" applyProtection="1">
      <alignment horizontal="center" vertical="center"/>
      <protection hidden="1"/>
    </xf>
    <xf numFmtId="0" fontId="34" fillId="0" borderId="0" xfId="0" applyFont="1" applyFill="1" applyAlignment="1" applyProtection="1">
      <alignment horizontal="left" vertical="center"/>
      <protection hidden="1"/>
    </xf>
    <xf numFmtId="0" fontId="6" fillId="0" borderId="17" xfId="0" applyFont="1" applyBorder="1" applyAlignment="1" applyProtection="1">
      <alignment horizontal="center" vertical="center"/>
      <protection hidden="1"/>
    </xf>
    <xf numFmtId="0" fontId="25" fillId="0" borderId="17" xfId="0" applyFont="1" applyBorder="1" applyAlignment="1" applyProtection="1">
      <alignment horizontal="center" vertical="center"/>
      <protection hidden="1"/>
    </xf>
    <xf numFmtId="0" fontId="102" fillId="0" borderId="0" xfId="0" applyFont="1" applyAlignment="1" applyProtection="1">
      <alignment horizontal="left"/>
      <protection hidden="1"/>
    </xf>
    <xf numFmtId="0" fontId="25" fillId="0" borderId="17" xfId="0" applyFont="1" applyFill="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43" fillId="2" borderId="10" xfId="0" applyFont="1" applyFill="1" applyBorder="1" applyAlignment="1" applyProtection="1">
      <alignment horizontal="center" vertical="center"/>
      <protection hidden="1"/>
    </xf>
    <xf numFmtId="0" fontId="43" fillId="2" borderId="12" xfId="0" applyFont="1" applyFill="1" applyBorder="1" applyAlignment="1" applyProtection="1">
      <alignment horizontal="center" vertical="center"/>
      <protection hidden="1"/>
    </xf>
    <xf numFmtId="164" fontId="0" fillId="0" borderId="17" xfId="0" applyNumberFormat="1" applyBorder="1" applyAlignment="1" applyProtection="1">
      <alignment horizontal="center" vertical="center"/>
      <protection hidden="1"/>
    </xf>
    <xf numFmtId="0" fontId="43" fillId="2" borderId="11" xfId="0" applyFont="1" applyFill="1" applyBorder="1" applyAlignment="1" applyProtection="1">
      <alignment horizontal="center" vertical="center"/>
      <protection hidden="1"/>
    </xf>
    <xf numFmtId="0" fontId="43" fillId="2" borderId="17" xfId="0" applyFont="1" applyFill="1" applyBorder="1" applyAlignment="1" applyProtection="1">
      <alignment horizontal="center" vertical="center"/>
      <protection hidden="1"/>
    </xf>
    <xf numFmtId="164" fontId="0" fillId="0" borderId="10" xfId="0" applyNumberFormat="1" applyBorder="1" applyAlignment="1" applyProtection="1">
      <alignment horizontal="center" vertical="center"/>
      <protection hidden="1"/>
    </xf>
    <xf numFmtId="164" fontId="0" fillId="0" borderId="12" xfId="0" applyNumberFormat="1" applyBorder="1" applyAlignment="1" applyProtection="1">
      <alignment horizontal="center" vertical="center"/>
      <protection hidden="1"/>
    </xf>
    <xf numFmtId="0" fontId="34" fillId="0" borderId="13" xfId="0" applyFont="1" applyBorder="1" applyAlignment="1" applyProtection="1">
      <alignment horizontal="center" vertical="center" wrapText="1"/>
      <protection hidden="1"/>
    </xf>
    <xf numFmtId="0" fontId="2" fillId="0" borderId="17" xfId="0" applyFont="1" applyFill="1" applyBorder="1" applyAlignment="1" applyProtection="1">
      <alignment horizontal="center" vertical="center"/>
      <protection hidden="1"/>
    </xf>
    <xf numFmtId="0" fontId="1" fillId="0" borderId="17" xfId="0" applyFont="1" applyBorder="1" applyAlignment="1">
      <alignment horizontal="center" vertical="center"/>
    </xf>
    <xf numFmtId="0" fontId="2" fillId="0" borderId="17" xfId="0" applyFont="1" applyBorder="1" applyAlignment="1" applyProtection="1">
      <alignment horizontal="center" vertical="center"/>
      <protection hidden="1"/>
    </xf>
    <xf numFmtId="0" fontId="1" fillId="0" borderId="27"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27" xfId="0" applyFont="1" applyBorder="1" applyAlignment="1">
      <alignment horizontal="center" vertical="center"/>
    </xf>
    <xf numFmtId="0" fontId="1" fillId="0" borderId="25" xfId="0" applyFont="1" applyBorder="1" applyAlignment="1">
      <alignment horizontal="center" vertical="center"/>
    </xf>
    <xf numFmtId="0" fontId="1" fillId="0" borderId="27" xfId="0" applyFont="1" applyFill="1" applyBorder="1" applyAlignment="1">
      <alignment horizontal="center" vertical="center"/>
    </xf>
    <xf numFmtId="0" fontId="1" fillId="0" borderId="25" xfId="0" applyFont="1" applyFill="1" applyBorder="1" applyAlignment="1">
      <alignment horizontal="center" vertical="center"/>
    </xf>
    <xf numFmtId="0" fontId="4" fillId="0" borderId="17" xfId="0" applyFont="1" applyBorder="1" applyAlignment="1" applyProtection="1">
      <alignment horizontal="center" vertical="center"/>
      <protection hidden="1"/>
    </xf>
    <xf numFmtId="0" fontId="4" fillId="0" borderId="17" xfId="0" applyFont="1" applyFill="1" applyBorder="1" applyAlignment="1">
      <alignment horizontal="center" vertical="center"/>
    </xf>
    <xf numFmtId="0" fontId="1" fillId="0" borderId="17" xfId="0" applyFont="1" applyBorder="1" applyAlignment="1">
      <alignment horizontal="center"/>
    </xf>
    <xf numFmtId="0" fontId="1" fillId="0" borderId="10"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62" fillId="0" borderId="17" xfId="0" applyFont="1" applyBorder="1" applyAlignment="1">
      <alignment horizontal="center"/>
    </xf>
    <xf numFmtId="0" fontId="62" fillId="0" borderId="0" xfId="0" applyFont="1" applyAlignment="1">
      <alignment horizontal="center"/>
    </xf>
    <xf numFmtId="0" fontId="0" fillId="0" borderId="17" xfId="0" applyBorder="1" applyAlignment="1">
      <alignment horizontal="center"/>
    </xf>
    <xf numFmtId="0" fontId="15" fillId="0" borderId="0" xfId="0" applyFont="1" applyAlignment="1">
      <alignment horizontal="center" vertical="center"/>
    </xf>
    <xf numFmtId="0" fontId="1" fillId="0" borderId="12" xfId="0" applyFont="1" applyBorder="1" applyAlignment="1" applyProtection="1">
      <alignment horizontal="center"/>
      <protection hidden="1"/>
    </xf>
    <xf numFmtId="0" fontId="50" fillId="0" borderId="22" xfId="0" applyFont="1" applyBorder="1" applyAlignment="1" applyProtection="1">
      <alignment horizontal="right" vertical="center"/>
      <protection hidden="1"/>
    </xf>
    <xf numFmtId="0" fontId="50" fillId="0" borderId="31" xfId="0" applyFont="1" applyBorder="1" applyAlignment="1" applyProtection="1">
      <alignment horizontal="right" vertical="center"/>
      <protection hidden="1"/>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66" fillId="0" borderId="10" xfId="0" applyFont="1" applyBorder="1" applyAlignment="1">
      <alignment horizontal="center"/>
    </xf>
    <xf numFmtId="0" fontId="66" fillId="0" borderId="11" xfId="0" applyFont="1" applyBorder="1" applyAlignment="1">
      <alignment horizontal="center"/>
    </xf>
    <xf numFmtId="0" fontId="66" fillId="0" borderId="12" xfId="0" applyFont="1" applyBorder="1" applyAlignment="1">
      <alignment horizontal="center"/>
    </xf>
    <xf numFmtId="0" fontId="46" fillId="0" borderId="0" xfId="0" applyFont="1" applyFill="1" applyAlignment="1" applyProtection="1">
      <alignment horizontal="center" vertical="center" wrapText="1"/>
      <protection hidden="1"/>
    </xf>
    <xf numFmtId="0" fontId="53" fillId="0" borderId="0" xfId="0" applyFont="1" applyBorder="1" applyAlignment="1" applyProtection="1">
      <alignment horizontal="center" vertical="center"/>
      <protection hidden="1"/>
    </xf>
    <xf numFmtId="0" fontId="50" fillId="0" borderId="22" xfId="0" applyFont="1" applyBorder="1" applyAlignment="1" applyProtection="1">
      <alignment horizontal="center"/>
      <protection hidden="1"/>
    </xf>
    <xf numFmtId="0" fontId="50" fillId="0" borderId="23" xfId="0" applyFont="1" applyBorder="1" applyAlignment="1" applyProtection="1">
      <alignment horizontal="center"/>
      <protection hidden="1"/>
    </xf>
    <xf numFmtId="0" fontId="54" fillId="0" borderId="23" xfId="0" applyFont="1" applyBorder="1" applyAlignment="1" applyProtection="1">
      <alignment horizontal="center" wrapText="1"/>
      <protection hidden="1"/>
    </xf>
    <xf numFmtId="0" fontId="54" fillId="0" borderId="7" xfId="0" applyFont="1" applyBorder="1" applyAlignment="1" applyProtection="1">
      <alignment horizontal="center" wrapText="1"/>
      <protection hidden="1"/>
    </xf>
    <xf numFmtId="0" fontId="50" fillId="0" borderId="4" xfId="0" applyFont="1" applyBorder="1" applyAlignment="1" applyProtection="1">
      <alignment horizontal="center"/>
      <protection hidden="1"/>
    </xf>
    <xf numFmtId="0" fontId="50" fillId="0" borderId="5"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6" fillId="0" borderId="23" xfId="0"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 fillId="0" borderId="23" xfId="0" applyFont="1" applyBorder="1" applyAlignment="1" applyProtection="1">
      <alignment horizontal="center" vertical="center"/>
      <protection hidden="1"/>
    </xf>
    <xf numFmtId="0" fontId="15" fillId="0" borderId="8" xfId="0" applyFont="1" applyBorder="1" applyAlignment="1">
      <alignment horizontal="center" vertical="center"/>
    </xf>
    <xf numFmtId="0" fontId="1" fillId="0" borderId="10" xfId="0" applyFont="1" applyBorder="1" applyAlignment="1">
      <alignment horizontal="center"/>
    </xf>
    <xf numFmtId="0" fontId="1" fillId="0" borderId="12" xfId="0" applyFont="1" applyBorder="1"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0" xfId="0" applyBorder="1" applyAlignment="1">
      <alignment horizontal="center"/>
    </xf>
    <xf numFmtId="0" fontId="0" fillId="0" borderId="23" xfId="0" applyBorder="1" applyAlignment="1">
      <alignment horizontal="center"/>
    </xf>
    <xf numFmtId="0" fontId="61" fillId="0" borderId="4" xfId="0" applyFont="1" applyBorder="1" applyAlignment="1">
      <alignment horizontal="center" vertical="center"/>
    </xf>
    <xf numFmtId="0" fontId="61" fillId="0" borderId="8" xfId="0" applyFont="1" applyBorder="1" applyAlignment="1">
      <alignment horizontal="center" vertical="center"/>
    </xf>
    <xf numFmtId="0" fontId="61" fillId="0" borderId="5" xfId="0" applyFont="1" applyBorder="1" applyAlignment="1">
      <alignment horizontal="center" vertical="center"/>
    </xf>
    <xf numFmtId="0" fontId="61" fillId="0" borderId="22" xfId="0" applyFont="1" applyBorder="1" applyAlignment="1">
      <alignment horizontal="center" vertical="center"/>
    </xf>
    <xf numFmtId="0" fontId="61" fillId="0" borderId="0" xfId="0" applyFont="1" applyBorder="1" applyAlignment="1">
      <alignment horizontal="center" vertical="center"/>
    </xf>
    <xf numFmtId="0" fontId="61" fillId="0" borderId="23" xfId="0" applyFont="1" applyBorder="1" applyAlignment="1">
      <alignment horizontal="center" vertical="center"/>
    </xf>
    <xf numFmtId="0" fontId="61" fillId="0" borderId="6" xfId="0" applyFont="1" applyBorder="1" applyAlignment="1">
      <alignment horizontal="center" vertical="center"/>
    </xf>
    <xf numFmtId="0" fontId="61" fillId="0" borderId="9" xfId="0" applyFont="1" applyBorder="1" applyAlignment="1">
      <alignment horizontal="center" vertical="center"/>
    </xf>
    <xf numFmtId="0" fontId="61" fillId="0" borderId="7" xfId="0" applyFont="1" applyBorder="1" applyAlignment="1">
      <alignment horizontal="center" vertical="center"/>
    </xf>
    <xf numFmtId="0" fontId="28" fillId="0" borderId="0" xfId="0" applyFont="1" applyAlignment="1">
      <alignment horizontal="center" vertical="center" wrapText="1"/>
    </xf>
    <xf numFmtId="0" fontId="0" fillId="6" borderId="22" xfId="0" applyFill="1" applyBorder="1" applyAlignment="1">
      <alignment horizontal="center"/>
    </xf>
    <xf numFmtId="0" fontId="0" fillId="6" borderId="0" xfId="0" applyFill="1" applyBorder="1" applyAlignment="1">
      <alignment horizontal="center"/>
    </xf>
    <xf numFmtId="0" fontId="0" fillId="0" borderId="0" xfId="0" applyFont="1" applyBorder="1" applyAlignment="1">
      <alignment horizontal="center" wrapText="1"/>
    </xf>
    <xf numFmtId="0" fontId="0" fillId="0" borderId="0" xfId="0" applyBorder="1" applyAlignment="1">
      <alignment horizontal="center" vertical="center" wrapText="1"/>
    </xf>
    <xf numFmtId="0" fontId="6" fillId="0" borderId="27" xfId="0" applyFont="1" applyBorder="1" applyAlignment="1">
      <alignment horizontal="center" vertical="center"/>
    </xf>
    <xf numFmtId="0" fontId="6" fillId="0" borderId="26" xfId="0" applyFont="1" applyBorder="1" applyAlignment="1">
      <alignment horizontal="center" vertical="center"/>
    </xf>
    <xf numFmtId="0" fontId="6" fillId="0" borderId="25" xfId="0" applyFont="1" applyBorder="1" applyAlignment="1">
      <alignment horizontal="center" vertical="center"/>
    </xf>
    <xf numFmtId="0" fontId="1" fillId="13" borderId="0" xfId="0" applyFont="1" applyFill="1" applyBorder="1" applyAlignment="1">
      <alignment horizontal="center"/>
    </xf>
    <xf numFmtId="0" fontId="1" fillId="0" borderId="0" xfId="0" applyFont="1" applyAlignment="1">
      <alignment horizontal="center" vertical="center" wrapText="1"/>
    </xf>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12" xfId="0" applyFont="1" applyBorder="1" applyAlignment="1" applyProtection="1">
      <alignment horizontal="center"/>
      <protection hidden="1"/>
    </xf>
    <xf numFmtId="0" fontId="100" fillId="6" borderId="17" xfId="0" applyFont="1" applyFill="1" applyBorder="1" applyAlignment="1">
      <alignment horizontal="center" vertical="center"/>
    </xf>
    <xf numFmtId="0" fontId="2" fillId="6" borderId="17" xfId="0" applyFont="1" applyFill="1" applyBorder="1" applyAlignment="1">
      <alignment horizontal="center" vertical="center"/>
    </xf>
    <xf numFmtId="2" fontId="0" fillId="0" borderId="17" xfId="0" applyNumberFormat="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17" xfId="0" applyFill="1" applyBorder="1" applyAlignment="1">
      <alignment horizontal="center" vertical="center"/>
    </xf>
    <xf numFmtId="0" fontId="1" fillId="0" borderId="6" xfId="0" applyFont="1" applyFill="1" applyBorder="1" applyAlignment="1">
      <alignment horizontal="center" vertical="center" wrapText="1"/>
    </xf>
    <xf numFmtId="0" fontId="1" fillId="3" borderId="27" xfId="0" applyFont="1" applyFill="1" applyBorder="1" applyAlignment="1">
      <alignment horizontal="center" vertical="center"/>
    </xf>
    <xf numFmtId="0" fontId="1" fillId="3" borderId="25" xfId="0" applyFont="1" applyFill="1" applyBorder="1" applyAlignment="1">
      <alignment horizontal="center" vertical="center"/>
    </xf>
    <xf numFmtId="2" fontId="0" fillId="0" borderId="0" xfId="0" applyNumberForma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47" fillId="0" borderId="9" xfId="0" applyFont="1" applyBorder="1" applyAlignment="1" applyProtection="1">
      <alignment horizontal="center"/>
      <protection hidden="1"/>
    </xf>
    <xf numFmtId="0" fontId="47" fillId="0" borderId="0" xfId="0" applyFont="1" applyBorder="1" applyAlignment="1" applyProtection="1">
      <alignment horizontal="center"/>
      <protection hidden="1"/>
    </xf>
    <xf numFmtId="0" fontId="104" fillId="0" borderId="0" xfId="0" applyFont="1" applyAlignment="1">
      <alignment horizontal="left" vertical="center"/>
    </xf>
  </cellXfs>
  <cellStyles count="2">
    <cellStyle name="Collegamento ipertestuale" xfId="1" builtinId="8"/>
    <cellStyle name="Normale" xfId="0" builtinId="0"/>
  </cellStyles>
  <dxfs count="3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6500"/>
      </font>
      <fill>
        <patternFill>
          <bgColor rgb="FFFFEB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revisionHeaders" Target="revisions/revisionHeaders.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37909646769016"/>
          <c:y val="9.658792650918635E-2"/>
          <c:w val="0.67590238371041611"/>
          <c:h val="0.73772047027894161"/>
        </c:manualLayout>
      </c:layou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0-43E2-41F4-A868-AE1ED52AEA29}"/>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1-43E2-41F4-A868-AE1ED52AEA29}"/>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2-43E2-41F4-A868-AE1ED52AEA29}"/>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3-43E2-41F4-A868-AE1ED52AEA29}"/>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4-43E2-41F4-A868-AE1ED52AEA29}"/>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5-43E2-41F4-A868-AE1ED52AEA29}"/>
            </c:ext>
          </c:extLst>
        </c:ser>
        <c:ser>
          <c:idx val="0"/>
          <c:order val="6"/>
          <c:spPr>
            <a:ln w="28575" cap="rnd">
              <a:solidFill>
                <a:schemeClr val="bg1">
                  <a:lumMod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43E2-41F4-A868-AE1ED52AEA29}"/>
                </c:ext>
              </c:extLst>
            </c:dLbl>
            <c:dLbl>
              <c:idx val="1"/>
              <c:layout>
                <c:manualLayout>
                  <c:x val="-0.36314012424424608"/>
                  <c:y val="5.5566423762247109E-2"/>
                </c:manualLayout>
              </c:layout>
              <c:showLegendKey val="0"/>
              <c:showVal val="1"/>
              <c:showCatName val="1"/>
              <c:showSerName val="0"/>
              <c:showPercent val="0"/>
              <c:showBubbleSize val="0"/>
              <c:extLst>
                <c:ext xmlns:c15="http://schemas.microsoft.com/office/drawing/2012/chart" uri="{CE6537A1-D6FC-4f65-9D91-7224C49458BB}">
                  <c15:layout>
                    <c:manualLayout>
                      <c:w val="0.2121639258679196"/>
                      <c:h val="5.106101030658923E-2"/>
                    </c:manualLayout>
                  </c15:layout>
                </c:ext>
                <c:ext xmlns:c16="http://schemas.microsoft.com/office/drawing/2014/chart" uri="{C3380CC4-5D6E-409C-BE32-E72D297353CC}">
                  <c16:uniqueId val="{00000007-43E2-41F4-A868-AE1ED52AEA29}"/>
                </c:ext>
              </c:extLst>
            </c:dLbl>
            <c:dLbl>
              <c:idx val="2"/>
              <c:layout>
                <c:manualLayout>
                  <c:x val="-0.17284798897344536"/>
                  <c:y val="5.3473940757405171E-2"/>
                </c:manualLayout>
              </c:layout>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1257646644075051"/>
                      <c:h val="3.9379355719720323E-2"/>
                    </c:manualLayout>
                  </c15:layout>
                </c:ext>
                <c:ext xmlns:c16="http://schemas.microsoft.com/office/drawing/2014/chart" uri="{C3380CC4-5D6E-409C-BE32-E72D297353CC}">
                  <c16:uniqueId val="{00000008-43E2-41F4-A868-AE1ED52AEA29}"/>
                </c:ext>
              </c:extLst>
            </c:dLbl>
            <c:dLbl>
              <c:idx val="3"/>
              <c:layout>
                <c:manualLayout>
                  <c:x val="-0.11323704648650762"/>
                  <c:y val="8.3877993511680599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3E2-41F4-A868-AE1ED52AEA29}"/>
                </c:ext>
              </c:extLst>
            </c:dLbl>
            <c:dLbl>
              <c:idx val="4"/>
              <c:layout>
                <c:manualLayout>
                  <c:x val="4.5500099837489295E-2"/>
                  <c:y val="5.6610788141099308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3E2-41F4-A868-AE1ED52AEA29}"/>
                </c:ext>
              </c:extLst>
            </c:dLbl>
            <c:dLbl>
              <c:idx val="5"/>
              <c:layout>
                <c:manualLayout>
                  <c:x val="1.076183912765076E-2"/>
                  <c:y val="3.1439359769063237E-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3E2-41F4-A868-AE1ED52AEA29}"/>
                </c:ext>
              </c:extLst>
            </c:dLbl>
            <c:dLbl>
              <c:idx val="6"/>
              <c:layout>
                <c:manualLayout>
                  <c:x val="2.361228278180684E-2"/>
                  <c:y val="-2.4105337391036367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3E2-41F4-A868-AE1ED52AEA29}"/>
                </c:ext>
              </c:extLst>
            </c:dLbl>
            <c:dLbl>
              <c:idx val="7"/>
              <c:layout>
                <c:manualLayout>
                  <c:x val="3.8810930756560551E-2"/>
                  <c:y val="-6.3527956863711557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3E2-41F4-A868-AE1ED52AEA29}"/>
                </c:ext>
              </c:extLst>
            </c:dLbl>
            <c:dLbl>
              <c:idx val="8"/>
              <c:layout>
                <c:manualLayout>
                  <c:x val="8.8909612555413811E-2"/>
                  <c:y val="3.430822382786991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3E2-41F4-A868-AE1ED52AEA29}"/>
                </c:ext>
              </c:extLst>
            </c:dLbl>
            <c:dLbl>
              <c:idx val="9"/>
              <c:layout>
                <c:manualLayout>
                  <c:x val="0.10093305375934145"/>
                  <c:y val="-2.8003293066627542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3E2-41F4-A868-AE1ED52AEA29}"/>
                </c:ext>
              </c:extLst>
            </c:dLbl>
            <c:dLbl>
              <c:idx val="10"/>
              <c:layout>
                <c:manualLayout>
                  <c:x val="1.0024584915712306E-2"/>
                  <c:y val="-6.862163968634355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3E2-41F4-A868-AE1ED52AEA29}"/>
                </c:ext>
              </c:extLst>
            </c:dLbl>
            <c:dLbl>
              <c:idx val="11"/>
              <c:layout>
                <c:manualLayout>
                  <c:x val="-0.15575184386867846"/>
                  <c:y val="-9.5922955282763567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3E2-41F4-A868-AE1ED52AEA29}"/>
                </c:ext>
              </c:extLst>
            </c:dLbl>
            <c:dLbl>
              <c:idx val="12"/>
              <c:layout>
                <c:manualLayout>
                  <c:x val="-0.25534743911201047"/>
                  <c:y val="-9.6298218076941458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43E2-41F4-A868-AE1ED52AEA29}"/>
                </c:ext>
              </c:extLst>
            </c:dLbl>
            <c:dLbl>
              <c:idx val="13"/>
              <c:delete val="1"/>
              <c:extLst>
                <c:ext xmlns:c15="http://schemas.microsoft.com/office/drawing/2012/chart" uri="{CE6537A1-D6FC-4f65-9D91-7224C49458BB}"/>
                <c:ext xmlns:c16="http://schemas.microsoft.com/office/drawing/2014/chart" uri="{C3380CC4-5D6E-409C-BE32-E72D297353CC}">
                  <c16:uniqueId val="{00000013-43E2-41F4-A868-AE1ED52AEA29}"/>
                </c:ext>
              </c:extLst>
            </c:dLbl>
            <c:dLbl>
              <c:idx val="14"/>
              <c:delete val="1"/>
              <c:extLst>
                <c:ext xmlns:c15="http://schemas.microsoft.com/office/drawing/2012/chart" uri="{CE6537A1-D6FC-4f65-9D91-7224C49458BB}"/>
                <c:ext xmlns:c16="http://schemas.microsoft.com/office/drawing/2014/chart" uri="{C3380CC4-5D6E-409C-BE32-E72D297353CC}">
                  <c16:uniqueId val="{00000014-43E2-41F4-A868-AE1ED52AEA29}"/>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15-43E2-41F4-A868-AE1ED52AEA29}"/>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16-43E2-41F4-A868-AE1ED52AEA29}"/>
            </c:ext>
          </c:extLst>
        </c:ser>
        <c:ser>
          <c:idx val="2"/>
          <c:order val="8"/>
          <c:spPr>
            <a:ln w="19050" cap="rnd">
              <a:solidFill>
                <a:schemeClr val="bg1">
                  <a:lumMod val="65000"/>
                </a:schemeClr>
              </a:solidFill>
              <a:prstDash val="dash"/>
              <a:round/>
            </a:ln>
            <a:effectLst/>
          </c:spPr>
          <c:marker>
            <c:symbol val="none"/>
          </c:marker>
          <c:dLbls>
            <c:dLbl>
              <c:idx val="0"/>
              <c:layout>
                <c:manualLayout>
                  <c:x val="-4.550017839948782E-2"/>
                  <c:y val="2.8462167105553323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43E2-41F4-A868-AE1ED52AEA29}"/>
                </c:ext>
              </c:extLst>
            </c:dLbl>
            <c:dLbl>
              <c:idx val="1"/>
              <c:delete val="1"/>
              <c:extLst>
                <c:ext xmlns:c15="http://schemas.microsoft.com/office/drawing/2012/chart" uri="{CE6537A1-D6FC-4f65-9D91-7224C49458BB}"/>
                <c:ext xmlns:c16="http://schemas.microsoft.com/office/drawing/2014/chart" uri="{C3380CC4-5D6E-409C-BE32-E72D297353CC}">
                  <c16:uniqueId val="{00000018-43E2-41F4-A868-AE1ED52AEA29}"/>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19-43E2-41F4-A868-AE1ED52AEA29}"/>
            </c:ext>
          </c:extLst>
        </c:ser>
        <c:ser>
          <c:idx val="3"/>
          <c:order val="9"/>
          <c:spPr>
            <a:ln w="9525" cap="rnd">
              <a:solidFill>
                <a:schemeClr val="accent4"/>
              </a:solidFill>
              <a:round/>
            </a:ln>
            <a:effectLst/>
          </c:spPr>
          <c:marker>
            <c:symbol val="circle"/>
            <c:size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c:spPr>
          </c:marker>
          <c:dLbls>
            <c:dLbl>
              <c:idx val="0"/>
              <c:layout>
                <c:manualLayout>
                  <c:x val="-0.35091013064707693"/>
                  <c:y val="1.75567727947046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 1</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8286998626178547"/>
                      <c:h val="4.8331287744394387E-2"/>
                    </c:manualLayout>
                  </c15:layout>
                </c:ext>
                <c:ext xmlns:c16="http://schemas.microsoft.com/office/drawing/2014/chart" uri="{C3380CC4-5D6E-409C-BE32-E72D297353CC}">
                  <c16:uniqueId val="{0000001A-43E2-41F4-A868-AE1ED52AE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1B-43E2-41F4-A868-AE1ED52AEA29}"/>
            </c:ext>
          </c:extLst>
        </c:ser>
        <c:dLbls>
          <c:showLegendKey val="0"/>
          <c:showVal val="0"/>
          <c:showCatName val="0"/>
          <c:showSerName val="0"/>
          <c:showPercent val="0"/>
          <c:showBubbleSize val="0"/>
        </c:dLbls>
        <c:axId val="541457080"/>
        <c:axId val="541457864"/>
      </c:scatterChart>
      <c:scatterChart>
        <c:scatterStyle val="smoothMarker"/>
        <c:varyColors val="0"/>
        <c:ser>
          <c:idx val="4"/>
          <c:order val="10"/>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0.22803511292931958"/>
                  <c:y val="-3.721580998027420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solidFill>
                          <a:srgbClr val="FF0000"/>
                        </a:solidFill>
                      </a:rPr>
                      <a:t>origine</a:t>
                    </a:r>
                    <a:r>
                      <a:rPr lang="en-US" b="1" baseline="0">
                        <a:solidFill>
                          <a:srgbClr val="FF0000"/>
                        </a:solidFill>
                      </a:rPr>
                      <a:t> degli assi</a:t>
                    </a:r>
                    <a:endParaRPr lang="en-US" b="1">
                      <a:solidFill>
                        <a:srgbClr val="FF0000"/>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22229318592415595"/>
                      <c:h val="4.1682832096741423E-2"/>
                    </c:manualLayout>
                  </c15:layout>
                </c:ext>
                <c:ext xmlns:c16="http://schemas.microsoft.com/office/drawing/2014/chart" uri="{C3380CC4-5D6E-409C-BE32-E72D297353CC}">
                  <c16:uniqueId val="{0000001C-43E2-41F4-A868-AE1ED52AE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1D-43E2-41F4-A868-AE1ED52AEA29}"/>
            </c:ext>
          </c:extLst>
        </c:ser>
        <c:ser>
          <c:idx val="5"/>
          <c:order val="11"/>
          <c:spPr>
            <a:ln w="9525" cap="rnd">
              <a:solidFill>
                <a:schemeClr val="accent6"/>
              </a:solidFill>
              <a:round/>
            </a:ln>
            <a:effectLst/>
          </c:spPr>
          <c:marker>
            <c:symbol val="circle"/>
            <c:size val="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c:spPr>
          </c:marker>
          <c:dLbls>
            <c:dLbl>
              <c:idx val="0"/>
              <c:layout>
                <c:manualLayout>
                  <c:x val="-0.22306925321485652"/>
                  <c:y val="1.207695001880942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a:t>
                    </a:r>
                    <a:r>
                      <a:rPr lang="en-US" b="1" baseline="0"/>
                      <a:t> 3</a:t>
                    </a:r>
                    <a:endParaRPr lang="en-US" b="1"/>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4626216082720853"/>
                      <c:h val="3.4951876463338055E-2"/>
                    </c:manualLayout>
                  </c15:layout>
                </c:ext>
                <c:ext xmlns:c16="http://schemas.microsoft.com/office/drawing/2014/chart" uri="{C3380CC4-5D6E-409C-BE32-E72D297353CC}">
                  <c16:uniqueId val="{0000001E-43E2-41F4-A868-AE1ED52AE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1"/>
          <c:extLst>
            <c:ext xmlns:c16="http://schemas.microsoft.com/office/drawing/2014/chart" uri="{C3380CC4-5D6E-409C-BE32-E72D297353CC}">
              <c16:uniqueId val="{0000001F-43E2-41F4-A868-AE1ED52AEA29}"/>
            </c:ext>
          </c:extLst>
        </c:ser>
        <c:ser>
          <c:idx val="12"/>
          <c:order val="12"/>
          <c:spPr>
            <a:ln w="9525" cap="rnd">
              <a:solidFill>
                <a:schemeClr val="accent1">
                  <a:lumMod val="80000"/>
                  <a:lumOff val="20000"/>
                </a:schemeClr>
              </a:solidFill>
              <a:round/>
            </a:ln>
            <a:effectLst/>
          </c:spPr>
          <c:marker>
            <c:symbol val="circle"/>
            <c:size val="5"/>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c:spPr>
          </c:marker>
          <c:dLbls>
            <c:dLbl>
              <c:idx val="0"/>
              <c:layout>
                <c:manualLayout>
                  <c:x val="-0.32237794298059114"/>
                  <c:y val="-4.16998534161813E-2"/>
                </c:manualLayout>
              </c:layout>
              <c:tx>
                <c:rich>
                  <a:bodyPr/>
                  <a:lstStyle/>
                  <a:p>
                    <a:r>
                      <a:rPr lang="en-US" b="1"/>
                      <a:t>SEZIONE 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43E2-41F4-A868-AE1ED52AE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muro+tensioni'!$J$68</c:f>
              <c:numCache>
                <c:formatCode>General</c:formatCode>
                <c:ptCount val="1"/>
                <c:pt idx="0">
                  <c:v>0.4</c:v>
                </c:pt>
              </c:numCache>
            </c:numRef>
          </c:xVal>
          <c:yVal>
            <c:numRef>
              <c:f>'geom masse muro+tensioni'!$K$68</c:f>
              <c:numCache>
                <c:formatCode>General</c:formatCode>
                <c:ptCount val="1"/>
                <c:pt idx="0">
                  <c:v>0.5</c:v>
                </c:pt>
              </c:numCache>
            </c:numRef>
          </c:yVal>
          <c:smooth val="1"/>
          <c:extLst>
            <c:ext xmlns:c16="http://schemas.microsoft.com/office/drawing/2014/chart" uri="{C3380CC4-5D6E-409C-BE32-E72D297353CC}">
              <c16:uniqueId val="{00000021-43E2-41F4-A868-AE1ED52AEA29}"/>
            </c:ext>
          </c:extLst>
        </c:ser>
        <c:ser>
          <c:idx val="13"/>
          <c:order val="13"/>
          <c:spPr>
            <a:ln w="9525" cap="rnd">
              <a:solidFill>
                <a:schemeClr val="accent2">
                  <a:lumMod val="80000"/>
                  <a:lumOff val="20000"/>
                </a:schemeClr>
              </a:solidFill>
              <a:prstDash val="sysDash"/>
              <a:round/>
            </a:ln>
            <a:effectLst/>
          </c:spPr>
          <c:marker>
            <c:symbol val="circle"/>
            <c:size val="5"/>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path path="circle">
                  <a:fillToRect l="50000" t="50000" r="50000" b="50000"/>
                </a:path>
                <a:tileRect/>
              </a:gradFill>
              <a:ln w="9525">
                <a:solidFill>
                  <a:schemeClr val="accent2">
                    <a:lumMod val="80000"/>
                    <a:lumOff val="20000"/>
                  </a:schemeClr>
                </a:solidFill>
                <a:prstDash val="sysDash"/>
                <a:round/>
              </a:ln>
              <a:effectLst/>
            </c:spPr>
          </c:marker>
          <c:dLbls>
            <c:dLbl>
              <c:idx val="0"/>
              <c:layout>
                <c:manualLayout>
                  <c:x val="0.21836236909667903"/>
                  <c:y val="-0.10726673667266834"/>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D5F7BA4E-175A-4BCC-AFDA-B01F4832574A}" type="XVALUE">
                      <a:rPr lang="en-US" b="1"/>
                      <a:pPr>
                        <a:defRPr/>
                      </a:pPr>
                      <a:t>[VALORE X]</a:t>
                    </a:fld>
                    <a:r>
                      <a:rPr lang="en-US" b="1" baseline="0"/>
                      <a:t>; </a:t>
                    </a:r>
                    <a:fld id="{D3C1F569-10DC-4BA0-8C14-CF4812E5DF98}" type="YVALUE">
                      <a:rPr lang="en-US" b="1" baseline="0"/>
                      <a:pPr>
                        <a:defRPr/>
                      </a:pPr>
                      <a:t>[VALORE Y]</a:t>
                    </a:fld>
                    <a:r>
                      <a:rPr lang="en-US" b="1" baseline="0"/>
                      <a:t>   BARICENTRO DEL MURO</a:t>
                    </a:r>
                  </a:p>
                </c:rich>
              </c:tx>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2912872172830948"/>
                      <c:h val="9.8984588121881906E-2"/>
                    </c:manualLayout>
                  </c15:layout>
                  <c15:dlblFieldTable/>
                  <c15:showDataLabelsRange val="0"/>
                </c:ext>
                <c:ext xmlns:c16="http://schemas.microsoft.com/office/drawing/2014/chart" uri="{C3380CC4-5D6E-409C-BE32-E72D297353CC}">
                  <c16:uniqueId val="{00000022-43E2-41F4-A868-AE1ED52AE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DRENATE'!$C$38</c:f>
              <c:numCache>
                <c:formatCode>0.000" m"</c:formatCode>
                <c:ptCount val="1"/>
                <c:pt idx="0">
                  <c:v>0.77959125809799579</c:v>
                </c:pt>
              </c:numCache>
            </c:numRef>
          </c:xVal>
          <c:yVal>
            <c:numRef>
              <c:f>'VER. EQU COND. NON DRENATE'!$C$40</c:f>
              <c:numCache>
                <c:formatCode>0.000" m"</c:formatCode>
                <c:ptCount val="1"/>
                <c:pt idx="0">
                  <c:v>1.1561245855738038</c:v>
                </c:pt>
              </c:numCache>
            </c:numRef>
          </c:yVal>
          <c:smooth val="1"/>
          <c:extLst>
            <c:ext xmlns:c16="http://schemas.microsoft.com/office/drawing/2014/chart" uri="{C3380CC4-5D6E-409C-BE32-E72D297353CC}">
              <c16:uniqueId val="{00000023-43E2-41F4-A868-AE1ED52AEA29}"/>
            </c:ext>
          </c:extLst>
        </c:ser>
        <c:dLbls>
          <c:showLegendKey val="0"/>
          <c:showVal val="0"/>
          <c:showCatName val="0"/>
          <c:showSerName val="0"/>
          <c:showPercent val="0"/>
          <c:showBubbleSize val="0"/>
        </c:dLbls>
        <c:axId val="541457080"/>
        <c:axId val="541457864"/>
      </c:scatterChart>
      <c:valAx>
        <c:axId val="541457080"/>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asse x →</a:t>
                </a:r>
                <a:endParaRPr lang="it-IT" sz="1050"/>
              </a:p>
            </c:rich>
          </c:tx>
          <c:layout>
            <c:manualLayout>
              <c:xMode val="edge"/>
              <c:yMode val="edge"/>
              <c:x val="0.41384661198217465"/>
              <c:y val="0.9686347124190809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541457864"/>
        <c:crosses val="autoZero"/>
        <c:crossBetween val="midCat"/>
      </c:valAx>
      <c:valAx>
        <c:axId val="541457864"/>
        <c:scaling>
          <c:orientation val="minMax"/>
        </c:scaling>
        <c:delete val="1"/>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 asse z →</a:t>
                </a:r>
                <a:endParaRPr lang="it-IT" sz="1050"/>
              </a:p>
            </c:rich>
          </c:tx>
          <c:layout>
            <c:manualLayout>
              <c:xMode val="edge"/>
              <c:yMode val="edge"/>
              <c:x val="2.657204162328871E-2"/>
              <c:y val="0.3785962080826852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5414570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12989291583572"/>
          <c:y val="8.73753913290959E-2"/>
          <c:w val="0.71665170451554794"/>
          <c:h val="0.83876380019426711"/>
        </c:manualLayout>
      </c:layout>
      <c:scatterChart>
        <c:scatterStyle val="smoothMarker"/>
        <c:varyColors val="0"/>
        <c:ser>
          <c:idx val="4"/>
          <c:order val="9"/>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0.12283554451508009"/>
                  <c:y val="5.0734655156057303E-2"/>
                </c:manualLayout>
              </c:layout>
              <c:tx>
                <c:rich>
                  <a:bodyPr/>
                  <a:lstStyle/>
                  <a:p>
                    <a:r>
                      <a:rPr lang="en-US" b="1" baseline="0">
                        <a:solidFill>
                          <a:srgbClr val="FF0000"/>
                        </a:solidFill>
                      </a:rPr>
                      <a:t>origine degli assi</a:t>
                    </a:r>
                    <a:endParaRPr lang="en-US" b="1">
                      <a:solidFill>
                        <a:srgbClr val="FF0000"/>
                      </a:solidFill>
                    </a:endParaRP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01-7B8C-4715-930B-D0DC4E85D11F}"/>
            </c:ext>
          </c:extLst>
        </c:ser>
        <c:dLbls>
          <c:showLegendKey val="0"/>
          <c:showVal val="0"/>
          <c:showCatName val="0"/>
          <c:showSerName val="0"/>
          <c:showPercent val="0"/>
          <c:showBubbleSize val="0"/>
        </c:dLbls>
        <c:axId val="638498984"/>
        <c:axId val="638496632"/>
      </c:scatterChar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2-7B8C-4715-930B-D0DC4E85D11F}"/>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3-7B8C-4715-930B-D0DC4E85D11F}"/>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4-7B8C-4715-930B-D0DC4E85D11F}"/>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5-7B8C-4715-930B-D0DC4E85D11F}"/>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6-7B8C-4715-930B-D0DC4E85D11F}"/>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7-7B8C-4715-930B-D0DC4E85D11F}"/>
            </c:ext>
          </c:extLst>
        </c:ser>
        <c:ser>
          <c:idx val="0"/>
          <c:order val="6"/>
          <c:spPr>
            <a:ln w="285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8-7B8C-4715-930B-D0DC4E85D11F}"/>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9-7B8C-4715-930B-D0DC4E85D11F}"/>
            </c:ext>
          </c:extLst>
        </c:ser>
        <c:ser>
          <c:idx val="2"/>
          <c:order val="8"/>
          <c:spPr>
            <a:ln w="19050" cap="rnd">
              <a:solidFill>
                <a:schemeClr val="bg1">
                  <a:lumMod val="75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A-7B8C-4715-930B-D0DC4E85D11F}"/>
            </c:ext>
          </c:extLst>
        </c:ser>
        <c:dLbls>
          <c:showLegendKey val="0"/>
          <c:showVal val="0"/>
          <c:showCatName val="0"/>
          <c:showSerName val="0"/>
          <c:showPercent val="0"/>
          <c:showBubbleSize val="0"/>
        </c:dLbls>
        <c:axId val="638498984"/>
        <c:axId val="638496632"/>
      </c:scatterChart>
      <c:scatterChart>
        <c:scatterStyle val="lineMarker"/>
        <c:varyColors val="0"/>
        <c:ser>
          <c:idx val="14"/>
          <c:order val="10"/>
          <c:tx>
            <c:v>terreno</c:v>
          </c:tx>
          <c:spPr>
            <a:ln w="9525"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Pt>
            <c:idx val="1"/>
            <c:marker>
              <c:symbol val="none"/>
            </c:marker>
            <c:bubble3D val="0"/>
            <c:spPr>
              <a:ln w="28575"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C-7B8C-4715-930B-D0DC4E85D11F}"/>
              </c:ext>
            </c:extLst>
          </c:dPt>
          <c:dPt>
            <c:idx val="2"/>
            <c:marker>
              <c:symbol val="none"/>
            </c:marker>
            <c:bubble3D val="0"/>
            <c:spPr>
              <a:ln w="28575"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E-7B8C-4715-930B-D0DC4E85D11F}"/>
              </c:ext>
            </c:extLst>
          </c:dPt>
          <c:xVal>
            <c:numRef>
              <c:f>'geom masse muro+tensioni'!$M$82:$M$84</c:f>
              <c:numCache>
                <c:formatCode>0.00</c:formatCode>
                <c:ptCount val="3"/>
                <c:pt idx="0">
                  <c:v>0.7</c:v>
                </c:pt>
                <c:pt idx="1">
                  <c:v>2</c:v>
                </c:pt>
                <c:pt idx="2">
                  <c:v>2</c:v>
                </c:pt>
              </c:numCache>
            </c:numRef>
          </c:xVal>
          <c:yVal>
            <c:numRef>
              <c:f>'geom masse muro+tensioni'!$N$82:$N$84</c:f>
              <c:numCache>
                <c:formatCode>0.00</c:formatCode>
                <c:ptCount val="3"/>
                <c:pt idx="0">
                  <c:v>3.35</c:v>
                </c:pt>
                <c:pt idx="1">
                  <c:v>3.35</c:v>
                </c:pt>
                <c:pt idx="2">
                  <c:v>0.5</c:v>
                </c:pt>
              </c:numCache>
            </c:numRef>
          </c:yVal>
          <c:smooth val="0"/>
          <c:extLst>
            <c:ext xmlns:c16="http://schemas.microsoft.com/office/drawing/2014/chart" uri="{C3380CC4-5D6E-409C-BE32-E72D297353CC}">
              <c16:uniqueId val="{00000010-7B8C-4715-930B-D0DC4E85D11F}"/>
            </c:ext>
          </c:extLst>
        </c:ser>
        <c:ser>
          <c:idx val="3"/>
          <c:order val="11"/>
          <c:tx>
            <c:v>baricentro terra+muro</c:v>
          </c:tx>
          <c:spPr>
            <a:ln w="9525" cap="rnd">
              <a:solidFill>
                <a:schemeClr val="accent4"/>
              </a:solidFill>
              <a:round/>
            </a:ln>
            <a:effectLst>
              <a:outerShdw blurRad="40000" dist="23000" dir="5400000" rotWithShape="0">
                <a:srgbClr val="000000">
                  <a:alpha val="35000"/>
                </a:srgbClr>
              </a:outerShdw>
            </a:effectLst>
          </c:spPr>
          <c:marker>
            <c:symbol val="circle"/>
            <c:size val="5"/>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c:spPr>
          </c:marker>
          <c:dLbls>
            <c:dLbl>
              <c:idx val="0"/>
              <c:layout>
                <c:manualLayout>
                  <c:x val="0.25686894325299586"/>
                  <c:y val="-5.041118872189045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F1C904C0-1179-4E92-9FFA-BF5ED6FC8AB2}" type="XVALUE">
                      <a:rPr lang="en-US" sz="1050"/>
                      <a:pPr>
                        <a:defRPr/>
                      </a:pPr>
                      <a:t>[VALORE X]</a:t>
                    </a:fld>
                    <a:r>
                      <a:rPr lang="en-US" sz="1050" baseline="0"/>
                      <a:t>; </a:t>
                    </a:r>
                    <a:fld id="{C53BFFDD-591B-4C53-BFF6-06B45E42DB4E}" type="YVALUE">
                      <a:rPr lang="en-US" sz="1050" baseline="0"/>
                      <a:pPr>
                        <a:defRPr/>
                      </a:pPr>
                      <a:t>[VALORE Y]</a:t>
                    </a:fld>
                    <a:r>
                      <a:rPr lang="en-US" sz="1050" baseline="0"/>
                      <a:t> baricentro terra+muro</a:t>
                    </a:r>
                  </a:p>
                  <a:p>
                    <a:pPr>
                      <a:defRPr/>
                    </a:pPr>
                    <a:r>
                      <a:rPr lang="en-US" sz="1050" baseline="0"/>
                      <a:t> </a:t>
                    </a:r>
                    <a:r>
                      <a:rPr lang="en-US" sz="900" baseline="0"/>
                      <a:t>(media pesata sui pesi specifici</a:t>
                    </a:r>
                    <a:r>
                      <a:rPr lang="en-US" sz="1050" baseline="0"/>
                      <a:t>)</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18638295601419991"/>
                      <c:h val="0.17895186814308542"/>
                    </c:manualLayout>
                  </c15:layout>
                  <c15:dlblFieldTable/>
                  <c15:showDataLabelsRange val="0"/>
                </c:ext>
                <c:ext xmlns:c16="http://schemas.microsoft.com/office/drawing/2014/chart" uri="{C3380CC4-5D6E-409C-BE32-E72D297353CC}">
                  <c16:uniqueId val="{00000011-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DRENATE'!$C$79</c:f>
              <c:numCache>
                <c:formatCode>0.00" m"</c:formatCode>
                <c:ptCount val="1"/>
                <c:pt idx="0">
                  <c:v>1.1094467263576118</c:v>
                </c:pt>
              </c:numCache>
            </c:numRef>
          </c:xVal>
          <c:yVal>
            <c:numRef>
              <c:f>'VER. EQU COND. NON DRENATE'!$C$81</c:f>
              <c:numCache>
                <c:formatCode>0.00" m"</c:formatCode>
                <c:ptCount val="1"/>
                <c:pt idx="0">
                  <c:v>1.606076687939058</c:v>
                </c:pt>
              </c:numCache>
            </c:numRef>
          </c:yVal>
          <c:smooth val="0"/>
          <c:extLst>
            <c:ext xmlns:c16="http://schemas.microsoft.com/office/drawing/2014/chart" uri="{C3380CC4-5D6E-409C-BE32-E72D297353CC}">
              <c16:uniqueId val="{00000012-7B8C-4715-930B-D0DC4E85D11F}"/>
            </c:ext>
          </c:extLst>
        </c:ser>
        <c:ser>
          <c:idx val="5"/>
          <c:order val="12"/>
          <c:tx>
            <c:v>baricentro terra</c:v>
          </c:tx>
          <c:spPr>
            <a:ln w="9525" cap="rnd">
              <a:solidFill>
                <a:schemeClr val="accent6"/>
              </a:solidFill>
              <a:round/>
            </a:ln>
            <a:effectLst>
              <a:outerShdw blurRad="40000" dist="23000" dir="5400000" rotWithShape="0">
                <a:srgbClr val="000000">
                  <a:alpha val="35000"/>
                </a:srgbClr>
              </a:outerShdw>
            </a:effectLst>
          </c:spPr>
          <c:marker>
            <c:symbol val="circle"/>
            <c:size val="5"/>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c:spPr>
          </c:marker>
          <c:dLbls>
            <c:dLbl>
              <c:idx val="0"/>
              <c:layout>
                <c:manualLayout>
                  <c:x val="-9.0238037102235921E-2"/>
                  <c:y val="-0.4318225559622319"/>
                </c:manualLayout>
              </c:layout>
              <c:tx>
                <c:rich>
                  <a:bodyPr/>
                  <a:lstStyle/>
                  <a:p>
                    <a:fld id="{98B8FECF-7796-4966-ABC7-675B551908D6}" type="XVALUE">
                      <a:rPr lang="en-US" sz="1050"/>
                      <a:pPr/>
                      <a:t>[VALORE X]</a:t>
                    </a:fld>
                    <a:r>
                      <a:rPr lang="en-US" sz="1050" baseline="0"/>
                      <a:t>; </a:t>
                    </a:r>
                    <a:fld id="{FF87735F-1B66-4CD7-831D-A3E701C54E12}" type="YVALUE">
                      <a:rPr lang="en-US" sz="1050" baseline="0"/>
                      <a:pPr/>
                      <a:t>[VALORE Y]</a:t>
                    </a:fld>
                    <a:r>
                      <a:rPr lang="en-US" sz="1050" baseline="0"/>
                      <a:t> baricentro terra</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DRENATE'!$C$84</c:f>
              <c:numCache>
                <c:formatCode>0.00" m"</c:formatCode>
                <c:ptCount val="1"/>
                <c:pt idx="0">
                  <c:v>1.3139238557823383</c:v>
                </c:pt>
              </c:numCache>
            </c:numRef>
          </c:xVal>
          <c:yVal>
            <c:numRef>
              <c:f>'VER. EQU COND. NON DRENATE'!$C$86</c:f>
              <c:numCache>
                <c:formatCode>0.00" m"</c:formatCode>
                <c:ptCount val="1"/>
                <c:pt idx="0">
                  <c:v>1.885001620594273</c:v>
                </c:pt>
              </c:numCache>
            </c:numRef>
          </c:yVal>
          <c:smooth val="0"/>
          <c:extLst>
            <c:ext xmlns:c16="http://schemas.microsoft.com/office/drawing/2014/chart" uri="{C3380CC4-5D6E-409C-BE32-E72D297353CC}">
              <c16:uniqueId val="{00000014-7B8C-4715-930B-D0DC4E85D11F}"/>
            </c:ext>
          </c:extLst>
        </c:ser>
        <c:ser>
          <c:idx val="12"/>
          <c:order val="13"/>
          <c:tx>
            <c:v>baricentro muro</c:v>
          </c:tx>
          <c:spPr>
            <a:ln w="9525" cap="rnd">
              <a:solidFill>
                <a:schemeClr val="accent1">
                  <a:lumMod val="80000"/>
                  <a:lumOff val="20000"/>
                </a:schemeClr>
              </a:solidFill>
              <a:round/>
            </a:ln>
            <a:effectLst>
              <a:outerShdw blurRad="40000" dist="23000" dir="5400000" rotWithShape="0">
                <a:srgbClr val="000000">
                  <a:alpha val="35000"/>
                </a:srgbClr>
              </a:outerShdw>
            </a:effectLst>
          </c:spPr>
          <c:marker>
            <c:symbol val="circle"/>
            <c:size val="5"/>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c:spPr>
          </c:marker>
          <c:dLbls>
            <c:dLbl>
              <c:idx val="0"/>
              <c:layout>
                <c:manualLayout>
                  <c:x val="2.0671527659997458E-2"/>
                  <c:y val="0.25131581675310349"/>
                </c:manualLayout>
              </c:layout>
              <c:tx>
                <c:rich>
                  <a:bodyPr/>
                  <a:lstStyle/>
                  <a:p>
                    <a:fld id="{2465A305-C929-4DA6-87A5-AABF5F952A16}" type="XVALUE">
                      <a:rPr lang="en-US" sz="1050"/>
                      <a:pPr/>
                      <a:t>[VALORE X]</a:t>
                    </a:fld>
                    <a:r>
                      <a:rPr lang="en-US" sz="1050" baseline="0"/>
                      <a:t>; </a:t>
                    </a:r>
                    <a:fld id="{8A290CF4-FEA8-4B9C-93CD-B16FEE7C51AB}" type="YVALUE">
                      <a:rPr lang="en-US" sz="1050" baseline="0"/>
                      <a:pPr/>
                      <a:t>[VALORE Y]</a:t>
                    </a:fld>
                    <a:r>
                      <a:rPr lang="en-US" sz="1050" baseline="0"/>
                      <a:t> baicentro muro</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DRENATE'!$C$89</c:f>
              <c:numCache>
                <c:formatCode>0.00" m"</c:formatCode>
                <c:ptCount val="1"/>
                <c:pt idx="0">
                  <c:v>0.77959125809799579</c:v>
                </c:pt>
              </c:numCache>
            </c:numRef>
          </c:xVal>
          <c:yVal>
            <c:numRef>
              <c:f>'VER. EQU COND. NON DRENATE'!$C$91</c:f>
              <c:numCache>
                <c:formatCode>0.00" m"</c:formatCode>
                <c:ptCount val="1"/>
                <c:pt idx="0">
                  <c:v>1.1561245855738038</c:v>
                </c:pt>
              </c:numCache>
            </c:numRef>
          </c:yVal>
          <c:smooth val="0"/>
          <c:extLst>
            <c:ext xmlns:c16="http://schemas.microsoft.com/office/drawing/2014/chart" uri="{C3380CC4-5D6E-409C-BE32-E72D297353CC}">
              <c16:uniqueId val="{00000016-7B8C-4715-930B-D0DC4E85D11F}"/>
            </c:ext>
          </c:extLst>
        </c:ser>
        <c:ser>
          <c:idx val="13"/>
          <c:order val="14"/>
          <c:tx>
            <c:v>terreno valle</c:v>
          </c:tx>
          <c:spPr>
            <a:ln w="19050" cap="rnd">
              <a:solidFill>
                <a:schemeClr val="bg2">
                  <a:lumMod val="50000"/>
                </a:schemeClr>
              </a:solidFill>
              <a:prstDash val="dash"/>
              <a:round/>
            </a:ln>
            <a:effectLst>
              <a:outerShdw blurRad="40000" dist="23000" dir="5400000" rotWithShape="0">
                <a:srgbClr val="000000">
                  <a:alpha val="35000"/>
                </a:srgbClr>
              </a:outerShdw>
            </a:effectLst>
          </c:spPr>
          <c:marker>
            <c:symbol val="none"/>
          </c:marker>
          <c:xVal>
            <c:numRef>
              <c:f>'geom masse muro+tensioni'!$O$82:$O$85</c:f>
              <c:numCache>
                <c:formatCode>General</c:formatCode>
                <c:ptCount val="4"/>
                <c:pt idx="0">
                  <c:v>0</c:v>
                </c:pt>
                <c:pt idx="1">
                  <c:v>0</c:v>
                </c:pt>
                <c:pt idx="2">
                  <c:v>0.4</c:v>
                </c:pt>
                <c:pt idx="3">
                  <c:v>0.4</c:v>
                </c:pt>
              </c:numCache>
            </c:numRef>
          </c:xVal>
          <c:yVal>
            <c:numRef>
              <c:f>'geom masse muro+tensioni'!$P$82:$P$85</c:f>
              <c:numCache>
                <c:formatCode>General</c:formatCode>
                <c:ptCount val="4"/>
                <c:pt idx="0">
                  <c:v>0.5</c:v>
                </c:pt>
                <c:pt idx="1">
                  <c:v>0.8</c:v>
                </c:pt>
                <c:pt idx="2">
                  <c:v>0.8</c:v>
                </c:pt>
                <c:pt idx="3">
                  <c:v>0.5</c:v>
                </c:pt>
              </c:numCache>
            </c:numRef>
          </c:yVal>
          <c:smooth val="0"/>
          <c:extLst>
            <c:ext xmlns:c16="http://schemas.microsoft.com/office/drawing/2014/chart" uri="{C3380CC4-5D6E-409C-BE32-E72D297353CC}">
              <c16:uniqueId val="{00000004-B47D-4C9C-964F-B3BF9C538B0F}"/>
            </c:ext>
          </c:extLst>
        </c:ser>
        <c:dLbls>
          <c:showLegendKey val="0"/>
          <c:showVal val="0"/>
          <c:showCatName val="0"/>
          <c:showSerName val="0"/>
          <c:showPercent val="0"/>
          <c:showBubbleSize val="0"/>
        </c:dLbls>
        <c:axId val="638497416"/>
        <c:axId val="638497024"/>
      </c:scatterChart>
      <c:valAx>
        <c:axId val="638498984"/>
        <c:scaling>
          <c:orientation val="minMax"/>
        </c:scaling>
        <c:delete val="1"/>
        <c:axPos val="b"/>
        <c:numFmt formatCode="General" sourceLinked="1"/>
        <c:majorTickMark val="none"/>
        <c:minorTickMark val="none"/>
        <c:tickLblPos val="nextTo"/>
        <c:crossAx val="638496632"/>
        <c:crosses val="autoZero"/>
        <c:crossBetween val="midCat"/>
      </c:valAx>
      <c:valAx>
        <c:axId val="638496632"/>
        <c:scaling>
          <c:orientation val="minMax"/>
        </c:scaling>
        <c:delete val="1"/>
        <c:axPos val="l"/>
        <c:numFmt formatCode="General" sourceLinked="1"/>
        <c:majorTickMark val="none"/>
        <c:minorTickMark val="none"/>
        <c:tickLblPos val="nextTo"/>
        <c:crossAx val="638498984"/>
        <c:crosses val="autoZero"/>
        <c:crossBetween val="midCat"/>
      </c:valAx>
      <c:valAx>
        <c:axId val="638497024"/>
        <c:scaling>
          <c:orientation val="minMax"/>
        </c:scaling>
        <c:delete val="1"/>
        <c:axPos val="r"/>
        <c:numFmt formatCode="0.00" sourceLinked="1"/>
        <c:majorTickMark val="out"/>
        <c:minorTickMark val="none"/>
        <c:tickLblPos val="nextTo"/>
        <c:crossAx val="638497416"/>
        <c:crosses val="max"/>
        <c:crossBetween val="midCat"/>
      </c:valAx>
      <c:valAx>
        <c:axId val="638497416"/>
        <c:scaling>
          <c:orientation val="minMax"/>
        </c:scaling>
        <c:delete val="1"/>
        <c:axPos val="t"/>
        <c:numFmt formatCode="0.00" sourceLinked="1"/>
        <c:majorTickMark val="out"/>
        <c:minorTickMark val="none"/>
        <c:tickLblPos val="nextTo"/>
        <c:crossAx val="63849702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37909646769016"/>
          <c:y val="7.6487525625162964E-2"/>
          <c:w val="0.64649066860089455"/>
          <c:h val="0.76759132403682995"/>
        </c:manualLayout>
      </c:layou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0-2547-4C5F-91B3-7F23020816EC}"/>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1-2547-4C5F-91B3-7F23020816EC}"/>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2-2547-4C5F-91B3-7F23020816EC}"/>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3-2547-4C5F-91B3-7F23020816EC}"/>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4-2547-4C5F-91B3-7F23020816EC}"/>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5-2547-4C5F-91B3-7F23020816EC}"/>
            </c:ext>
          </c:extLst>
        </c:ser>
        <c:ser>
          <c:idx val="0"/>
          <c:order val="6"/>
          <c:spPr>
            <a:ln w="28575" cap="rnd">
              <a:solidFill>
                <a:schemeClr val="bg1">
                  <a:lumMod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2547-4C5F-91B3-7F23020816EC}"/>
                </c:ext>
              </c:extLst>
            </c:dLbl>
            <c:dLbl>
              <c:idx val="1"/>
              <c:layout>
                <c:manualLayout>
                  <c:x val="-0.36062265231801099"/>
                  <c:y val="4.836060199202119E-2"/>
                </c:manualLayout>
              </c:layout>
              <c:showLegendKey val="0"/>
              <c:showVal val="1"/>
              <c:showCatName val="1"/>
              <c:showSerName val="0"/>
              <c:showPercent val="0"/>
              <c:showBubbleSize val="0"/>
              <c:extLst>
                <c:ext xmlns:c15="http://schemas.microsoft.com/office/drawing/2012/chart" uri="{CE6537A1-D6FC-4f65-9D91-7224C49458BB}">
                  <c15:layout>
                    <c:manualLayout>
                      <c:w val="0.15960925362994788"/>
                      <c:h val="5.106104357575203E-2"/>
                    </c:manualLayout>
                  </c15:layout>
                </c:ext>
                <c:ext xmlns:c16="http://schemas.microsoft.com/office/drawing/2014/chart" uri="{C3380CC4-5D6E-409C-BE32-E72D297353CC}">
                  <c16:uniqueId val="{00000007-2547-4C5F-91B3-7F23020816EC}"/>
                </c:ext>
              </c:extLst>
            </c:dLbl>
            <c:dLbl>
              <c:idx val="2"/>
              <c:layout>
                <c:manualLayout>
                  <c:x val="-0.16189903908325812"/>
                  <c:y val="7.749323112374315E-2"/>
                </c:manualLayout>
              </c:layout>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1257646644075051"/>
                      <c:h val="3.9379355719720323E-2"/>
                    </c:manualLayout>
                  </c15:layout>
                </c:ext>
                <c:ext xmlns:c16="http://schemas.microsoft.com/office/drawing/2014/chart" uri="{C3380CC4-5D6E-409C-BE32-E72D297353CC}">
                  <c16:uniqueId val="{00000008-2547-4C5F-91B3-7F23020816EC}"/>
                </c:ext>
              </c:extLst>
            </c:dLbl>
            <c:dLbl>
              <c:idx val="3"/>
              <c:layout>
                <c:manualLayout>
                  <c:x val="-0.10885757293087357"/>
                  <c:y val="0.115103048055806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47-4C5F-91B3-7F23020816EC}"/>
                </c:ext>
              </c:extLst>
            </c:dLbl>
            <c:dLbl>
              <c:idx val="4"/>
              <c:layout>
                <c:manualLayout>
                  <c:x val="3.501268175603095E-2"/>
                  <c:y val="3.499352048894776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47-4C5F-91B3-7F23020816EC}"/>
                </c:ext>
              </c:extLst>
            </c:dLbl>
            <c:dLbl>
              <c:idx val="5"/>
              <c:layout>
                <c:manualLayout>
                  <c:x val="2.0312017752734206E-2"/>
                  <c:y val="0.1092663816640050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47-4C5F-91B3-7F23020816EC}"/>
                </c:ext>
              </c:extLst>
            </c:dLbl>
            <c:dLbl>
              <c:idx val="6"/>
              <c:layout>
                <c:manualLayout>
                  <c:x val="2.361228278180684E-2"/>
                  <c:y val="-2.410533739103636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47-4C5F-91B3-7F23020816EC}"/>
                </c:ext>
              </c:extLst>
            </c:dLbl>
            <c:dLbl>
              <c:idx val="7"/>
              <c:layout>
                <c:manualLayout>
                  <c:x val="5.3415280524581568E-2"/>
                  <c:y val="-4.20347404677807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47-4C5F-91B3-7F23020816EC}"/>
                </c:ext>
              </c:extLst>
            </c:dLbl>
            <c:dLbl>
              <c:idx val="8"/>
              <c:layout>
                <c:manualLayout>
                  <c:x val="9.3875469040631765E-2"/>
                  <c:y val="4.30945501891003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47-4C5F-91B3-7F23020816EC}"/>
                </c:ext>
              </c:extLst>
            </c:dLbl>
            <c:dLbl>
              <c:idx val="9"/>
              <c:layout>
                <c:manualLayout>
                  <c:x val="0.10093305375934145"/>
                  <c:y val="-2.800329306662754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47-4C5F-91B3-7F23020816EC}"/>
                </c:ext>
              </c:extLst>
            </c:dLbl>
            <c:dLbl>
              <c:idx val="10"/>
              <c:layout>
                <c:manualLayout>
                  <c:x val="1.0024584915712306E-2"/>
                  <c:y val="-6.86216396863435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47-4C5F-91B3-7F23020816EC}"/>
                </c:ext>
              </c:extLst>
            </c:dLbl>
            <c:dLbl>
              <c:idx val="11"/>
              <c:layout>
                <c:manualLayout>
                  <c:x val="-0.26344415180032665"/>
                  <c:y val="-0.1210485019394208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47-4C5F-91B3-7F23020816EC}"/>
                </c:ext>
              </c:extLst>
            </c:dLbl>
            <c:dLbl>
              <c:idx val="12"/>
              <c:layout>
                <c:manualLayout>
                  <c:x val="-0.21562056139630592"/>
                  <c:y val="-3.47935312433771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47-4C5F-91B3-7F23020816EC}"/>
                </c:ext>
              </c:extLst>
            </c:dLbl>
            <c:dLbl>
              <c:idx val="13"/>
              <c:delete val="1"/>
              <c:extLst>
                <c:ext xmlns:c15="http://schemas.microsoft.com/office/drawing/2012/chart" uri="{CE6537A1-D6FC-4f65-9D91-7224C49458BB}"/>
                <c:ext xmlns:c16="http://schemas.microsoft.com/office/drawing/2014/chart" uri="{C3380CC4-5D6E-409C-BE32-E72D297353CC}">
                  <c16:uniqueId val="{00000013-2547-4C5F-91B3-7F23020816EC}"/>
                </c:ext>
              </c:extLst>
            </c:dLbl>
            <c:dLbl>
              <c:idx val="14"/>
              <c:delete val="1"/>
              <c:extLst>
                <c:ext xmlns:c15="http://schemas.microsoft.com/office/drawing/2012/chart" uri="{CE6537A1-D6FC-4f65-9D91-7224C49458BB}"/>
                <c:ext xmlns:c16="http://schemas.microsoft.com/office/drawing/2014/chart" uri="{C3380CC4-5D6E-409C-BE32-E72D297353CC}">
                  <c16:uniqueId val="{00000014-2547-4C5F-91B3-7F23020816EC}"/>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15-2547-4C5F-91B3-7F23020816EC}"/>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16-2547-4C5F-91B3-7F23020816EC}"/>
            </c:ext>
          </c:extLst>
        </c:ser>
        <c:ser>
          <c:idx val="2"/>
          <c:order val="8"/>
          <c:spPr>
            <a:ln w="19050" cap="rnd">
              <a:solidFill>
                <a:schemeClr val="bg1">
                  <a:lumMod val="65000"/>
                </a:schemeClr>
              </a:solidFill>
              <a:prstDash val="dash"/>
              <a:round/>
            </a:ln>
            <a:effectLst/>
          </c:spPr>
          <c:marker>
            <c:symbol val="none"/>
          </c:marker>
          <c:dLbls>
            <c:dLbl>
              <c:idx val="0"/>
              <c:layout>
                <c:manualLayout>
                  <c:x val="-4.5500099837489462E-2"/>
                  <c:y val="3.94450975489686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47-4C5F-91B3-7F23020816EC}"/>
                </c:ext>
              </c:extLst>
            </c:dLbl>
            <c:dLbl>
              <c:idx val="1"/>
              <c:delete val="1"/>
              <c:extLst>
                <c:ext xmlns:c15="http://schemas.microsoft.com/office/drawing/2012/chart" uri="{CE6537A1-D6FC-4f65-9D91-7224C49458BB}"/>
                <c:ext xmlns:c16="http://schemas.microsoft.com/office/drawing/2014/chart" uri="{C3380CC4-5D6E-409C-BE32-E72D297353CC}">
                  <c16:uniqueId val="{00000018-2547-4C5F-91B3-7F23020816EC}"/>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19-2547-4C5F-91B3-7F23020816EC}"/>
            </c:ext>
          </c:extLst>
        </c:ser>
        <c:ser>
          <c:idx val="3"/>
          <c:order val="9"/>
          <c:spPr>
            <a:ln w="9525" cap="rnd">
              <a:solidFill>
                <a:schemeClr val="accent4"/>
              </a:solidFill>
              <a:round/>
            </a:ln>
            <a:effectLst/>
          </c:spPr>
          <c:marker>
            <c:symbol val="circle"/>
            <c:size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c:spPr>
          </c:marker>
          <c:dLbls>
            <c:dLbl>
              <c:idx val="0"/>
              <c:layout>
                <c:manualLayout>
                  <c:x val="-0.35091013064707693"/>
                  <c:y val="1.75567727947046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 1</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8286998626178547"/>
                      <c:h val="4.8331287744394387E-2"/>
                    </c:manualLayout>
                  </c15:layout>
                </c:ext>
                <c:ext xmlns:c16="http://schemas.microsoft.com/office/drawing/2014/chart" uri="{C3380CC4-5D6E-409C-BE32-E72D297353CC}">
                  <c16:uniqueId val="{0000001A-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1B-2547-4C5F-91B3-7F23020816EC}"/>
            </c:ext>
          </c:extLst>
        </c:ser>
        <c:dLbls>
          <c:showLegendKey val="0"/>
          <c:showVal val="0"/>
          <c:showCatName val="0"/>
          <c:showSerName val="0"/>
          <c:showPercent val="0"/>
          <c:showBubbleSize val="0"/>
        </c:dLbls>
        <c:axId val="638499768"/>
        <c:axId val="638500160"/>
      </c:scatterChart>
      <c:scatterChart>
        <c:scatterStyle val="smoothMarker"/>
        <c:varyColors val="0"/>
        <c:ser>
          <c:idx val="4"/>
          <c:order val="10"/>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0.22803511292931958"/>
                  <c:y val="-3.721580998027420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solidFill>
                          <a:srgbClr val="FF0000"/>
                        </a:solidFill>
                      </a:rPr>
                      <a:t>origine</a:t>
                    </a:r>
                    <a:r>
                      <a:rPr lang="en-US" b="1" baseline="0">
                        <a:solidFill>
                          <a:srgbClr val="FF0000"/>
                        </a:solidFill>
                      </a:rPr>
                      <a:t> degli assi</a:t>
                    </a:r>
                    <a:endParaRPr lang="en-US" b="1">
                      <a:solidFill>
                        <a:srgbClr val="FF0000"/>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22229318592415595"/>
                      <c:h val="4.1682832096741423E-2"/>
                    </c:manualLayout>
                  </c15:layout>
                </c:ext>
                <c:ext xmlns:c16="http://schemas.microsoft.com/office/drawing/2014/chart" uri="{C3380CC4-5D6E-409C-BE32-E72D297353CC}">
                  <c16:uniqueId val="{0000001C-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1D-2547-4C5F-91B3-7F23020816EC}"/>
            </c:ext>
          </c:extLst>
        </c:ser>
        <c:ser>
          <c:idx val="5"/>
          <c:order val="11"/>
          <c:spPr>
            <a:ln w="9525" cap="rnd">
              <a:solidFill>
                <a:schemeClr val="accent6"/>
              </a:solidFill>
              <a:round/>
            </a:ln>
            <a:effectLst/>
          </c:spPr>
          <c:marker>
            <c:symbol val="circle"/>
            <c:size val="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c:spPr>
          </c:marker>
          <c:dLbls>
            <c:dLbl>
              <c:idx val="0"/>
              <c:layout>
                <c:manualLayout>
                  <c:x val="-0.22539678981735167"/>
                  <c:y val="1.640823643066317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a:t>
                    </a:r>
                    <a:r>
                      <a:rPr lang="en-US" b="1" baseline="0"/>
                      <a:t> 3</a:t>
                    </a:r>
                    <a:endParaRPr lang="en-US" b="1"/>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4626216082720853"/>
                      <c:h val="3.4951876463338055E-2"/>
                    </c:manualLayout>
                  </c15:layout>
                </c:ext>
                <c:ext xmlns:c16="http://schemas.microsoft.com/office/drawing/2014/chart" uri="{C3380CC4-5D6E-409C-BE32-E72D297353CC}">
                  <c16:uniqueId val="{0000001E-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1"/>
          <c:extLst>
            <c:ext xmlns:c16="http://schemas.microsoft.com/office/drawing/2014/chart" uri="{C3380CC4-5D6E-409C-BE32-E72D297353CC}">
              <c16:uniqueId val="{0000001F-2547-4C5F-91B3-7F23020816EC}"/>
            </c:ext>
          </c:extLst>
        </c:ser>
        <c:ser>
          <c:idx val="12"/>
          <c:order val="12"/>
          <c:spPr>
            <a:ln w="9525" cap="rnd">
              <a:solidFill>
                <a:schemeClr val="accent1">
                  <a:lumMod val="80000"/>
                  <a:lumOff val="20000"/>
                </a:schemeClr>
              </a:solidFill>
              <a:round/>
            </a:ln>
            <a:effectLst/>
          </c:spPr>
          <c:marker>
            <c:symbol val="circle"/>
            <c:size val="5"/>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c:spPr>
          </c:marker>
          <c:dLbls>
            <c:dLbl>
              <c:idx val="0"/>
              <c:layout>
                <c:manualLayout>
                  <c:x val="-0.20295861661094511"/>
                  <c:y val="-0.1137122037978332"/>
                </c:manualLayout>
              </c:layout>
              <c:tx>
                <c:rich>
                  <a:bodyPr/>
                  <a:lstStyle/>
                  <a:p>
                    <a:r>
                      <a:rPr lang="en-US" b="1"/>
                      <a:t>SEZIONE 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muro+tensioni'!$J$68</c:f>
              <c:numCache>
                <c:formatCode>General</c:formatCode>
                <c:ptCount val="1"/>
                <c:pt idx="0">
                  <c:v>0.4</c:v>
                </c:pt>
              </c:numCache>
            </c:numRef>
          </c:xVal>
          <c:yVal>
            <c:numRef>
              <c:f>'geom masse muro+tensioni'!$K$68</c:f>
              <c:numCache>
                <c:formatCode>General</c:formatCode>
                <c:ptCount val="1"/>
                <c:pt idx="0">
                  <c:v>0.5</c:v>
                </c:pt>
              </c:numCache>
            </c:numRef>
          </c:yVal>
          <c:smooth val="1"/>
          <c:extLst>
            <c:ext xmlns:c16="http://schemas.microsoft.com/office/drawing/2014/chart" uri="{C3380CC4-5D6E-409C-BE32-E72D297353CC}">
              <c16:uniqueId val="{00000021-2547-4C5F-91B3-7F23020816EC}"/>
            </c:ext>
          </c:extLst>
        </c:ser>
        <c:ser>
          <c:idx val="13"/>
          <c:order val="13"/>
          <c:spPr>
            <a:ln w="9525" cap="rnd">
              <a:solidFill>
                <a:schemeClr val="accent2">
                  <a:lumMod val="80000"/>
                  <a:lumOff val="20000"/>
                </a:schemeClr>
              </a:solidFill>
              <a:prstDash val="sysDash"/>
              <a:round/>
            </a:ln>
            <a:effectLst/>
          </c:spPr>
          <c:marker>
            <c:symbol val="circle"/>
            <c:size val="5"/>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path path="circle">
                  <a:fillToRect l="50000" t="50000" r="50000" b="50000"/>
                </a:path>
                <a:tileRect/>
              </a:gradFill>
              <a:ln w="9525">
                <a:solidFill>
                  <a:schemeClr val="accent2">
                    <a:lumMod val="80000"/>
                    <a:lumOff val="20000"/>
                  </a:schemeClr>
                </a:solidFill>
                <a:prstDash val="sysDash"/>
                <a:round/>
              </a:ln>
              <a:effectLst/>
            </c:spPr>
          </c:marker>
          <c:dLbls>
            <c:dLbl>
              <c:idx val="0"/>
              <c:layout>
                <c:manualLayout>
                  <c:x val="0.21836236909667903"/>
                  <c:y val="-0.10726673667266834"/>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D5F7BA4E-175A-4BCC-AFDA-B01F4832574A}" type="XVALUE">
                      <a:rPr lang="en-US" b="1"/>
                      <a:pPr>
                        <a:defRPr/>
                      </a:pPr>
                      <a:t>[VALORE X]</a:t>
                    </a:fld>
                    <a:r>
                      <a:rPr lang="en-US" b="1" baseline="0"/>
                      <a:t>; </a:t>
                    </a:r>
                    <a:fld id="{D3C1F569-10DC-4BA0-8C14-CF4812E5DF98}" type="YVALUE">
                      <a:rPr lang="en-US" b="1" baseline="0"/>
                      <a:pPr>
                        <a:defRPr/>
                      </a:pPr>
                      <a:t>[VALORE Y]</a:t>
                    </a:fld>
                    <a:r>
                      <a:rPr lang="en-US" b="1" baseline="0"/>
                      <a:t>   BARICENTRO DEL MURO</a:t>
                    </a:r>
                  </a:p>
                </c:rich>
              </c:tx>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2912872172830948"/>
                      <c:h val="9.8984588121881906E-2"/>
                    </c:manualLayout>
                  </c15:layout>
                  <c15:dlblFieldTable/>
                  <c15:showDataLabelsRange val="0"/>
                </c:ext>
                <c:ext xmlns:c16="http://schemas.microsoft.com/office/drawing/2014/chart" uri="{C3380CC4-5D6E-409C-BE32-E72D297353CC}">
                  <c16:uniqueId val="{00000022-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DRENATE'!$C$38</c:f>
              <c:numCache>
                <c:formatCode>0.000" m"</c:formatCode>
                <c:ptCount val="1"/>
                <c:pt idx="0">
                  <c:v>0.77959125809799579</c:v>
                </c:pt>
              </c:numCache>
            </c:numRef>
          </c:xVal>
          <c:yVal>
            <c:numRef>
              <c:f>'VER. EQU COND. DRENATE'!$C$40</c:f>
              <c:numCache>
                <c:formatCode>0.000" m"</c:formatCode>
                <c:ptCount val="1"/>
                <c:pt idx="0">
                  <c:v>1.1561245855738038</c:v>
                </c:pt>
              </c:numCache>
            </c:numRef>
          </c:yVal>
          <c:smooth val="1"/>
          <c:extLst>
            <c:ext xmlns:c16="http://schemas.microsoft.com/office/drawing/2014/chart" uri="{C3380CC4-5D6E-409C-BE32-E72D297353CC}">
              <c16:uniqueId val="{00000023-2547-4C5F-91B3-7F23020816EC}"/>
            </c:ext>
          </c:extLst>
        </c:ser>
        <c:dLbls>
          <c:showLegendKey val="0"/>
          <c:showVal val="0"/>
          <c:showCatName val="0"/>
          <c:showSerName val="0"/>
          <c:showPercent val="0"/>
          <c:showBubbleSize val="0"/>
        </c:dLbls>
        <c:axId val="638499768"/>
        <c:axId val="638500160"/>
      </c:scatterChart>
      <c:valAx>
        <c:axId val="638499768"/>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asse x →</a:t>
                </a:r>
                <a:endParaRPr lang="it-IT" sz="1050"/>
              </a:p>
            </c:rich>
          </c:tx>
          <c:layout>
            <c:manualLayout>
              <c:xMode val="edge"/>
              <c:yMode val="edge"/>
              <c:x val="0.41384661198217465"/>
              <c:y val="0.9686347124190809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8500160"/>
        <c:crosses val="autoZero"/>
        <c:crossBetween val="midCat"/>
      </c:valAx>
      <c:valAx>
        <c:axId val="638500160"/>
        <c:scaling>
          <c:orientation val="minMax"/>
        </c:scaling>
        <c:delete val="1"/>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 asse z →</a:t>
                </a:r>
                <a:endParaRPr lang="it-IT" sz="1050"/>
              </a:p>
            </c:rich>
          </c:tx>
          <c:layout>
            <c:manualLayout>
              <c:xMode val="edge"/>
              <c:yMode val="edge"/>
              <c:x val="2.657204162328871E-2"/>
              <c:y val="0.3785962080826852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84997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12989291583572"/>
          <c:y val="8.73753913290959E-2"/>
          <c:w val="0.71665170451554794"/>
          <c:h val="0.83876380019426711"/>
        </c:manualLayout>
      </c:layout>
      <c:scatterChart>
        <c:scatterStyle val="smoothMarker"/>
        <c:varyColors val="0"/>
        <c:ser>
          <c:idx val="4"/>
          <c:order val="9"/>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0.12283554451508009"/>
                  <c:y val="5.0734655156057303E-2"/>
                </c:manualLayout>
              </c:layout>
              <c:tx>
                <c:rich>
                  <a:bodyPr/>
                  <a:lstStyle/>
                  <a:p>
                    <a:r>
                      <a:rPr lang="en-US" b="1" baseline="0">
                        <a:solidFill>
                          <a:srgbClr val="FF0000"/>
                        </a:solidFill>
                      </a:rPr>
                      <a:t>origine degli assi</a:t>
                    </a:r>
                    <a:endParaRPr lang="en-US" b="1">
                      <a:solidFill>
                        <a:srgbClr val="FF0000"/>
                      </a:solidFill>
                    </a:endParaRP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01-7B8C-4715-930B-D0DC4E85D11F}"/>
            </c:ext>
          </c:extLst>
        </c:ser>
        <c:dLbls>
          <c:showLegendKey val="0"/>
          <c:showVal val="0"/>
          <c:showCatName val="0"/>
          <c:showSerName val="0"/>
          <c:showPercent val="0"/>
          <c:showBubbleSize val="0"/>
        </c:dLbls>
        <c:axId val="638500944"/>
        <c:axId val="638501336"/>
      </c:scatterChar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2-7B8C-4715-930B-D0DC4E85D11F}"/>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3-7B8C-4715-930B-D0DC4E85D11F}"/>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4-7B8C-4715-930B-D0DC4E85D11F}"/>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5-7B8C-4715-930B-D0DC4E85D11F}"/>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6-7B8C-4715-930B-D0DC4E85D11F}"/>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7-7B8C-4715-930B-D0DC4E85D11F}"/>
            </c:ext>
          </c:extLst>
        </c:ser>
        <c:ser>
          <c:idx val="0"/>
          <c:order val="6"/>
          <c:spPr>
            <a:ln w="285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8-7B8C-4715-930B-D0DC4E85D11F}"/>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9-7B8C-4715-930B-D0DC4E85D11F}"/>
            </c:ext>
          </c:extLst>
        </c:ser>
        <c:ser>
          <c:idx val="2"/>
          <c:order val="8"/>
          <c:spPr>
            <a:ln w="19050" cap="rnd">
              <a:solidFill>
                <a:schemeClr val="bg1">
                  <a:lumMod val="75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A-7B8C-4715-930B-D0DC4E85D11F}"/>
            </c:ext>
          </c:extLst>
        </c:ser>
        <c:dLbls>
          <c:showLegendKey val="0"/>
          <c:showVal val="0"/>
          <c:showCatName val="0"/>
          <c:showSerName val="0"/>
          <c:showPercent val="0"/>
          <c:showBubbleSize val="0"/>
        </c:dLbls>
        <c:axId val="638500944"/>
        <c:axId val="638501336"/>
      </c:scatterChart>
      <c:scatterChart>
        <c:scatterStyle val="lineMarker"/>
        <c:varyColors val="0"/>
        <c:ser>
          <c:idx val="14"/>
          <c:order val="10"/>
          <c:tx>
            <c:v>terreno</c:v>
          </c:tx>
          <c:spPr>
            <a:ln w="9525"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Pt>
            <c:idx val="1"/>
            <c:marker>
              <c:symbol val="none"/>
            </c:marker>
            <c:bubble3D val="0"/>
            <c:spPr>
              <a:ln w="28575"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C-7B8C-4715-930B-D0DC4E85D11F}"/>
              </c:ext>
            </c:extLst>
          </c:dPt>
          <c:dPt>
            <c:idx val="2"/>
            <c:marker>
              <c:symbol val="none"/>
            </c:marker>
            <c:bubble3D val="0"/>
            <c:spPr>
              <a:ln w="28575"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E-7B8C-4715-930B-D0DC4E85D11F}"/>
              </c:ext>
            </c:extLst>
          </c:dPt>
          <c:xVal>
            <c:numRef>
              <c:f>'geom masse muro+tensioni'!$M$82:$M$84</c:f>
              <c:numCache>
                <c:formatCode>0.00</c:formatCode>
                <c:ptCount val="3"/>
                <c:pt idx="0">
                  <c:v>0.7</c:v>
                </c:pt>
                <c:pt idx="1">
                  <c:v>2</c:v>
                </c:pt>
                <c:pt idx="2">
                  <c:v>2</c:v>
                </c:pt>
              </c:numCache>
            </c:numRef>
          </c:xVal>
          <c:yVal>
            <c:numRef>
              <c:f>'geom masse muro+tensioni'!$N$82:$N$84</c:f>
              <c:numCache>
                <c:formatCode>0.00</c:formatCode>
                <c:ptCount val="3"/>
                <c:pt idx="0">
                  <c:v>3.35</c:v>
                </c:pt>
                <c:pt idx="1">
                  <c:v>3.35</c:v>
                </c:pt>
                <c:pt idx="2">
                  <c:v>0.5</c:v>
                </c:pt>
              </c:numCache>
            </c:numRef>
          </c:yVal>
          <c:smooth val="0"/>
          <c:extLst>
            <c:ext xmlns:c16="http://schemas.microsoft.com/office/drawing/2014/chart" uri="{C3380CC4-5D6E-409C-BE32-E72D297353CC}">
              <c16:uniqueId val="{00000010-7B8C-4715-930B-D0DC4E85D11F}"/>
            </c:ext>
          </c:extLst>
        </c:ser>
        <c:ser>
          <c:idx val="3"/>
          <c:order val="11"/>
          <c:tx>
            <c:v>baricentro terra+muro</c:v>
          </c:tx>
          <c:spPr>
            <a:ln w="9525" cap="rnd">
              <a:solidFill>
                <a:schemeClr val="accent4"/>
              </a:solidFill>
              <a:round/>
            </a:ln>
            <a:effectLst>
              <a:outerShdw blurRad="40000" dist="23000" dir="5400000" rotWithShape="0">
                <a:srgbClr val="000000">
                  <a:alpha val="35000"/>
                </a:srgbClr>
              </a:outerShdw>
            </a:effectLst>
          </c:spPr>
          <c:marker>
            <c:symbol val="circle"/>
            <c:size val="5"/>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c:spPr>
          </c:marker>
          <c:dLbls>
            <c:dLbl>
              <c:idx val="0"/>
              <c:layout>
                <c:manualLayout>
                  <c:x val="0.26615327481036571"/>
                  <c:y val="-3.876070399751065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F1C904C0-1179-4E92-9FFA-BF5ED6FC8AB2}" type="XVALUE">
                      <a:rPr lang="en-US" sz="1050"/>
                      <a:pPr>
                        <a:defRPr/>
                      </a:pPr>
                      <a:t>[VALORE X]</a:t>
                    </a:fld>
                    <a:r>
                      <a:rPr lang="en-US" sz="1050" baseline="0"/>
                      <a:t>; </a:t>
                    </a:r>
                    <a:fld id="{C53BFFDD-591B-4C53-BFF6-06B45E42DB4E}" type="YVALUE">
                      <a:rPr lang="en-US" sz="1050" baseline="0"/>
                      <a:pPr>
                        <a:defRPr/>
                      </a:pPr>
                      <a:t>[VALORE Y]</a:t>
                    </a:fld>
                    <a:r>
                      <a:rPr lang="en-US" sz="1050" baseline="0"/>
                      <a:t> baricentro terra+muro</a:t>
                    </a:r>
                  </a:p>
                  <a:p>
                    <a:pPr>
                      <a:defRPr/>
                    </a:pPr>
                    <a:r>
                      <a:rPr lang="en-US" sz="1050" baseline="0"/>
                      <a:t> </a:t>
                    </a:r>
                    <a:r>
                      <a:rPr lang="en-US" sz="900" baseline="0"/>
                      <a:t>(media pesata sui pesi specifici</a:t>
                    </a:r>
                    <a:r>
                      <a:rPr lang="en-US" sz="1050" baseline="0"/>
                      <a:t>)</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18638295601419991"/>
                      <c:h val="0.17895186814308542"/>
                    </c:manualLayout>
                  </c15:layout>
                  <c15:dlblFieldTable/>
                  <c15:showDataLabelsRange val="0"/>
                </c:ext>
                <c:ext xmlns:c16="http://schemas.microsoft.com/office/drawing/2014/chart" uri="{C3380CC4-5D6E-409C-BE32-E72D297353CC}">
                  <c16:uniqueId val="{00000011-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DRENATE'!$C$79</c:f>
              <c:numCache>
                <c:formatCode>0.00" m"</c:formatCode>
                <c:ptCount val="1"/>
                <c:pt idx="0">
                  <c:v>1.1094467263576118</c:v>
                </c:pt>
              </c:numCache>
            </c:numRef>
          </c:xVal>
          <c:yVal>
            <c:numRef>
              <c:f>'VER. EQU COND. NON DRENATE'!$C$81</c:f>
              <c:numCache>
                <c:formatCode>0.00" m"</c:formatCode>
                <c:ptCount val="1"/>
                <c:pt idx="0">
                  <c:v>1.606076687939058</c:v>
                </c:pt>
              </c:numCache>
            </c:numRef>
          </c:yVal>
          <c:smooth val="0"/>
          <c:extLst>
            <c:ext xmlns:c16="http://schemas.microsoft.com/office/drawing/2014/chart" uri="{C3380CC4-5D6E-409C-BE32-E72D297353CC}">
              <c16:uniqueId val="{00000012-7B8C-4715-930B-D0DC4E85D11F}"/>
            </c:ext>
          </c:extLst>
        </c:ser>
        <c:ser>
          <c:idx val="5"/>
          <c:order val="12"/>
          <c:tx>
            <c:v>baricentro terra</c:v>
          </c:tx>
          <c:spPr>
            <a:ln w="9525" cap="rnd">
              <a:solidFill>
                <a:schemeClr val="accent6"/>
              </a:solidFill>
              <a:round/>
            </a:ln>
            <a:effectLst>
              <a:outerShdw blurRad="40000" dist="23000" dir="5400000" rotWithShape="0">
                <a:srgbClr val="000000">
                  <a:alpha val="35000"/>
                </a:srgbClr>
              </a:outerShdw>
            </a:effectLst>
          </c:spPr>
          <c:marker>
            <c:symbol val="circle"/>
            <c:size val="5"/>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c:spPr>
          </c:marker>
          <c:dLbls>
            <c:dLbl>
              <c:idx val="0"/>
              <c:layout>
                <c:manualLayout>
                  <c:x val="-8.7916954212893458E-2"/>
                  <c:y val="-0.42716236207247998"/>
                </c:manualLayout>
              </c:layout>
              <c:tx>
                <c:rich>
                  <a:bodyPr/>
                  <a:lstStyle/>
                  <a:p>
                    <a:fld id="{98B8FECF-7796-4966-ABC7-675B551908D6}" type="XVALUE">
                      <a:rPr lang="en-US" sz="1050"/>
                      <a:pPr/>
                      <a:t>[VALORE X]</a:t>
                    </a:fld>
                    <a:r>
                      <a:rPr lang="en-US" sz="1050" baseline="0"/>
                      <a:t>; </a:t>
                    </a:r>
                    <a:fld id="{FF87735F-1B66-4CD7-831D-A3E701C54E12}" type="YVALUE">
                      <a:rPr lang="en-US" sz="1050" baseline="0"/>
                      <a:pPr/>
                      <a:t>[VALORE Y]</a:t>
                    </a:fld>
                    <a:r>
                      <a:rPr lang="en-US" sz="1050" baseline="0"/>
                      <a:t> baricentro terra</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DRENATE'!$C$84</c:f>
              <c:numCache>
                <c:formatCode>0.00" m"</c:formatCode>
                <c:ptCount val="1"/>
                <c:pt idx="0">
                  <c:v>1.3139238557823383</c:v>
                </c:pt>
              </c:numCache>
            </c:numRef>
          </c:xVal>
          <c:yVal>
            <c:numRef>
              <c:f>'VER. EQU COND. NON DRENATE'!$C$86</c:f>
              <c:numCache>
                <c:formatCode>0.00" m"</c:formatCode>
                <c:ptCount val="1"/>
                <c:pt idx="0">
                  <c:v>1.885001620594273</c:v>
                </c:pt>
              </c:numCache>
            </c:numRef>
          </c:yVal>
          <c:smooth val="0"/>
          <c:extLst>
            <c:ext xmlns:c16="http://schemas.microsoft.com/office/drawing/2014/chart" uri="{C3380CC4-5D6E-409C-BE32-E72D297353CC}">
              <c16:uniqueId val="{00000014-7B8C-4715-930B-D0DC4E85D11F}"/>
            </c:ext>
          </c:extLst>
        </c:ser>
        <c:ser>
          <c:idx val="12"/>
          <c:order val="13"/>
          <c:tx>
            <c:v>baricentro muro</c:v>
          </c:tx>
          <c:spPr>
            <a:ln w="9525" cap="rnd">
              <a:solidFill>
                <a:schemeClr val="accent1">
                  <a:lumMod val="80000"/>
                  <a:lumOff val="20000"/>
                </a:schemeClr>
              </a:solidFill>
              <a:round/>
            </a:ln>
            <a:effectLst>
              <a:outerShdw blurRad="40000" dist="23000" dir="5400000" rotWithShape="0">
                <a:srgbClr val="000000">
                  <a:alpha val="35000"/>
                </a:srgbClr>
              </a:outerShdw>
            </a:effectLst>
          </c:spPr>
          <c:marker>
            <c:symbol val="circle"/>
            <c:size val="5"/>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c:spPr>
          </c:marker>
          <c:dLbls>
            <c:dLbl>
              <c:idx val="0"/>
              <c:layout>
                <c:manualLayout>
                  <c:x val="1.8350444770655078E-2"/>
                  <c:y val="0.23966533202872367"/>
                </c:manualLayout>
              </c:layout>
              <c:tx>
                <c:rich>
                  <a:bodyPr/>
                  <a:lstStyle/>
                  <a:p>
                    <a:fld id="{2465A305-C929-4DA6-87A5-AABF5F952A16}" type="XVALUE">
                      <a:rPr lang="en-US" sz="1050"/>
                      <a:pPr/>
                      <a:t>[VALORE X]</a:t>
                    </a:fld>
                    <a:r>
                      <a:rPr lang="en-US" sz="1050" baseline="0"/>
                      <a:t>; </a:t>
                    </a:r>
                    <a:fld id="{8A290CF4-FEA8-4B9C-93CD-B16FEE7C51AB}" type="YVALUE">
                      <a:rPr lang="en-US" sz="1050" baseline="0"/>
                      <a:pPr/>
                      <a:t>[VALORE Y]</a:t>
                    </a:fld>
                    <a:r>
                      <a:rPr lang="en-US" sz="1050" baseline="0"/>
                      <a:t> baicentro muro</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7B8C-4715-930B-D0DC4E85D1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DRENATE'!$C$89</c:f>
              <c:numCache>
                <c:formatCode>0.00" m"</c:formatCode>
                <c:ptCount val="1"/>
                <c:pt idx="0">
                  <c:v>0.77959125809799579</c:v>
                </c:pt>
              </c:numCache>
            </c:numRef>
          </c:xVal>
          <c:yVal>
            <c:numRef>
              <c:f>'VER. EQU COND. NON DRENATE'!$C$91</c:f>
              <c:numCache>
                <c:formatCode>0.00" m"</c:formatCode>
                <c:ptCount val="1"/>
                <c:pt idx="0">
                  <c:v>1.1561245855738038</c:v>
                </c:pt>
              </c:numCache>
            </c:numRef>
          </c:yVal>
          <c:smooth val="0"/>
          <c:extLst>
            <c:ext xmlns:c16="http://schemas.microsoft.com/office/drawing/2014/chart" uri="{C3380CC4-5D6E-409C-BE32-E72D297353CC}">
              <c16:uniqueId val="{00000016-7B8C-4715-930B-D0DC4E85D11F}"/>
            </c:ext>
          </c:extLst>
        </c:ser>
        <c:ser>
          <c:idx val="13"/>
          <c:order val="14"/>
          <c:tx>
            <c:v>terreno valle</c:v>
          </c:tx>
          <c:spPr>
            <a:ln w="19050" cap="rnd">
              <a:solidFill>
                <a:schemeClr val="bg2">
                  <a:lumMod val="50000"/>
                </a:schemeClr>
              </a:solidFill>
              <a:prstDash val="dash"/>
              <a:round/>
            </a:ln>
            <a:effectLst>
              <a:outerShdw blurRad="40000" dist="23000" dir="5400000" rotWithShape="0">
                <a:srgbClr val="000000">
                  <a:alpha val="35000"/>
                </a:srgbClr>
              </a:outerShdw>
            </a:effectLst>
          </c:spPr>
          <c:marker>
            <c:symbol val="none"/>
          </c:marker>
          <c:xVal>
            <c:numRef>
              <c:f>'geom masse muro+tensioni'!$O$82:$O$85</c:f>
              <c:numCache>
                <c:formatCode>General</c:formatCode>
                <c:ptCount val="4"/>
                <c:pt idx="0">
                  <c:v>0</c:v>
                </c:pt>
                <c:pt idx="1">
                  <c:v>0</c:v>
                </c:pt>
                <c:pt idx="2">
                  <c:v>0.4</c:v>
                </c:pt>
                <c:pt idx="3">
                  <c:v>0.4</c:v>
                </c:pt>
              </c:numCache>
            </c:numRef>
          </c:xVal>
          <c:yVal>
            <c:numRef>
              <c:f>'geom masse muro+tensioni'!$P$82:$P$85</c:f>
              <c:numCache>
                <c:formatCode>General</c:formatCode>
                <c:ptCount val="4"/>
                <c:pt idx="0">
                  <c:v>0.5</c:v>
                </c:pt>
                <c:pt idx="1">
                  <c:v>0.8</c:v>
                </c:pt>
                <c:pt idx="2">
                  <c:v>0.8</c:v>
                </c:pt>
                <c:pt idx="3">
                  <c:v>0.5</c:v>
                </c:pt>
              </c:numCache>
            </c:numRef>
          </c:yVal>
          <c:smooth val="0"/>
          <c:extLst>
            <c:ext xmlns:c16="http://schemas.microsoft.com/office/drawing/2014/chart" uri="{C3380CC4-5D6E-409C-BE32-E72D297353CC}">
              <c16:uniqueId val="{00000004-3C87-4E98-9FCF-CDFBB4C9EE0A}"/>
            </c:ext>
          </c:extLst>
        </c:ser>
        <c:dLbls>
          <c:showLegendKey val="0"/>
          <c:showVal val="0"/>
          <c:showCatName val="0"/>
          <c:showSerName val="0"/>
          <c:showPercent val="0"/>
          <c:showBubbleSize val="0"/>
        </c:dLbls>
        <c:axId val="640067776"/>
        <c:axId val="640060720"/>
      </c:scatterChart>
      <c:valAx>
        <c:axId val="638500944"/>
        <c:scaling>
          <c:orientation val="minMax"/>
        </c:scaling>
        <c:delete val="1"/>
        <c:axPos val="b"/>
        <c:numFmt formatCode="General" sourceLinked="1"/>
        <c:majorTickMark val="none"/>
        <c:minorTickMark val="none"/>
        <c:tickLblPos val="nextTo"/>
        <c:crossAx val="638501336"/>
        <c:crosses val="autoZero"/>
        <c:crossBetween val="midCat"/>
      </c:valAx>
      <c:valAx>
        <c:axId val="638501336"/>
        <c:scaling>
          <c:orientation val="minMax"/>
        </c:scaling>
        <c:delete val="1"/>
        <c:axPos val="l"/>
        <c:numFmt formatCode="General" sourceLinked="1"/>
        <c:majorTickMark val="none"/>
        <c:minorTickMark val="none"/>
        <c:tickLblPos val="nextTo"/>
        <c:crossAx val="638500944"/>
        <c:crosses val="autoZero"/>
        <c:crossBetween val="midCat"/>
      </c:valAx>
      <c:valAx>
        <c:axId val="640060720"/>
        <c:scaling>
          <c:orientation val="minMax"/>
        </c:scaling>
        <c:delete val="1"/>
        <c:axPos val="r"/>
        <c:numFmt formatCode="0.00" sourceLinked="1"/>
        <c:majorTickMark val="out"/>
        <c:minorTickMark val="none"/>
        <c:tickLblPos val="nextTo"/>
        <c:crossAx val="640067776"/>
        <c:crosses val="max"/>
        <c:crossBetween val="midCat"/>
      </c:valAx>
      <c:valAx>
        <c:axId val="640067776"/>
        <c:scaling>
          <c:orientation val="minMax"/>
        </c:scaling>
        <c:delete val="1"/>
        <c:axPos val="t"/>
        <c:numFmt formatCode="0.00" sourceLinked="1"/>
        <c:majorTickMark val="out"/>
        <c:minorTickMark val="none"/>
        <c:tickLblPos val="nextTo"/>
        <c:crossAx val="640060720"/>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5698872630856"/>
          <c:y val="9.658792650918635E-2"/>
          <c:w val="0.70818044098313571"/>
          <c:h val="0.83876380019426711"/>
        </c:manualLayout>
      </c:layou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0-DA67-4F63-A73E-0F9446383E37}"/>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1-DA67-4F63-A73E-0F9446383E37}"/>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2-DA67-4F63-A73E-0F9446383E37}"/>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3-DA67-4F63-A73E-0F9446383E37}"/>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4-DA67-4F63-A73E-0F9446383E37}"/>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5-DA67-4F63-A73E-0F9446383E37}"/>
            </c:ext>
          </c:extLst>
        </c:ser>
        <c:ser>
          <c:idx val="0"/>
          <c:order val="6"/>
          <c:spPr>
            <a:ln w="28575" cap="rnd">
              <a:solidFill>
                <a:schemeClr val="bg2">
                  <a:lumMod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DA67-4F63-A73E-0F9446383E37}"/>
                </c:ext>
              </c:extLst>
            </c:dLbl>
            <c:dLbl>
              <c:idx val="1"/>
              <c:layout>
                <c:manualLayout>
                  <c:x val="-0.28368643689011419"/>
                  <c:y val="-1.0686102286578248E-2"/>
                </c:manualLayout>
              </c:layout>
              <c:showLegendKey val="0"/>
              <c:showVal val="1"/>
              <c:showCatName val="1"/>
              <c:showSerName val="0"/>
              <c:showPercent val="0"/>
              <c:showBubbleSize val="0"/>
              <c:extLst>
                <c:ext xmlns:c15="http://schemas.microsoft.com/office/drawing/2012/chart" uri="{CE6537A1-D6FC-4f65-9D91-7224C49458BB}">
                  <c15:layout>
                    <c:manualLayout>
                      <c:w val="0.2121639258679196"/>
                      <c:h val="5.106101030658923E-2"/>
                    </c:manualLayout>
                  </c15:layout>
                </c:ext>
                <c:ext xmlns:c16="http://schemas.microsoft.com/office/drawing/2014/chart" uri="{C3380CC4-5D6E-409C-BE32-E72D297353CC}">
                  <c16:uniqueId val="{00000007-DA67-4F63-A73E-0F9446383E37}"/>
                </c:ext>
              </c:extLst>
            </c:dLbl>
            <c:dLbl>
              <c:idx val="2"/>
              <c:layout>
                <c:manualLayout>
                  <c:x val="-0.27464815644582358"/>
                  <c:y val="-2.5201034545174385E-2"/>
                </c:manualLayout>
              </c:layout>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1257646644075051"/>
                      <c:h val="3.9379355719720323E-2"/>
                    </c:manualLayout>
                  </c15:layout>
                </c:ext>
                <c:ext xmlns:c16="http://schemas.microsoft.com/office/drawing/2014/chart" uri="{C3380CC4-5D6E-409C-BE32-E72D297353CC}">
                  <c16:uniqueId val="{00000008-DA67-4F63-A73E-0F9446383E37}"/>
                </c:ext>
              </c:extLst>
            </c:dLbl>
            <c:dLbl>
              <c:idx val="3"/>
              <c:layout>
                <c:manualLayout>
                  <c:x val="-0.33670073879742163"/>
                  <c:y val="9.42299552558694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67-4F63-A73E-0F9446383E37}"/>
                </c:ext>
              </c:extLst>
            </c:dLbl>
            <c:dLbl>
              <c:idx val="4"/>
              <c:layout>
                <c:manualLayout>
                  <c:x val="4.5500099837489295E-2"/>
                  <c:y val="5.661078814109930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67-4F63-A73E-0F9446383E37}"/>
                </c:ext>
              </c:extLst>
            </c:dLbl>
            <c:dLbl>
              <c:idx val="5"/>
              <c:layout>
                <c:manualLayout>
                  <c:x val="1.5727622227576735E-2"/>
                  <c:y val="-8.847149766470647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67-4F63-A73E-0F9446383E37}"/>
                </c:ext>
              </c:extLst>
            </c:dLbl>
            <c:dLbl>
              <c:idx val="6"/>
              <c:layout>
                <c:manualLayout>
                  <c:x val="2.361228278180684E-2"/>
                  <c:y val="-2.410533739103636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67-4F63-A73E-0F9446383E37}"/>
                </c:ext>
              </c:extLst>
            </c:dLbl>
            <c:dLbl>
              <c:idx val="7"/>
              <c:layout>
                <c:manualLayout>
                  <c:x val="1.3981727206231252E-2"/>
                  <c:y val="-5.01471882943767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67-4F63-A73E-0F9446383E37}"/>
                </c:ext>
              </c:extLst>
            </c:dLbl>
            <c:dLbl>
              <c:idx val="8"/>
              <c:layout>
                <c:manualLayout>
                  <c:x val="9.3875469040631765E-2"/>
                  <c:y val="4.30945501891003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67-4F63-A73E-0F9446383E37}"/>
                </c:ext>
              </c:extLst>
            </c:dLbl>
            <c:dLbl>
              <c:idx val="9"/>
              <c:layout>
                <c:manualLayout>
                  <c:x val="0.13817692834714046"/>
                  <c:y val="-7.299315931965197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67-4F63-A73E-0F9446383E37}"/>
                </c:ext>
              </c:extLst>
            </c:dLbl>
            <c:dLbl>
              <c:idx val="10"/>
              <c:layout>
                <c:manualLayout>
                  <c:x val="3.7336744726076392E-2"/>
                  <c:y val="-4.791766383532766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67-4F63-A73E-0F9446383E37}"/>
                </c:ext>
              </c:extLst>
            </c:dLbl>
            <c:dLbl>
              <c:idx val="11"/>
              <c:layout>
                <c:manualLayout>
                  <c:x val="-0.10609315213214833"/>
                  <c:y val="-5.658544650422633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67-4F63-A73E-0F9446383E37}"/>
                </c:ext>
              </c:extLst>
            </c:dLbl>
            <c:dLbl>
              <c:idx val="12"/>
              <c:layout>
                <c:manualLayout>
                  <c:x val="-0.28236239384504264"/>
                  <c:y val="-0.105186926797249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67-4F63-A73E-0F9446383E37}"/>
                </c:ext>
              </c:extLst>
            </c:dLbl>
            <c:dLbl>
              <c:idx val="13"/>
              <c:layout>
                <c:manualLayout>
                  <c:x val="4.9127022592969305E-2"/>
                  <c:y val="0.1116278836156886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67-4F63-A73E-0F9446383E37}"/>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14-DA67-4F63-A73E-0F9446383E37}"/>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15-DA67-4F63-A73E-0F9446383E37}"/>
            </c:ext>
          </c:extLst>
        </c:ser>
        <c:ser>
          <c:idx val="2"/>
          <c:order val="8"/>
          <c:spPr>
            <a:ln w="19050" cap="rnd">
              <a:solidFill>
                <a:schemeClr val="accent3"/>
              </a:solidFill>
              <a:prstDash val="dash"/>
              <a:round/>
            </a:ln>
            <a:effectLst/>
          </c:spPr>
          <c:marker>
            <c:symbol val="none"/>
          </c:marker>
          <c:dLbls>
            <c:dLbl>
              <c:idx val="0"/>
              <c:layout>
                <c:manualLayout>
                  <c:x val="-4.5500099837489462E-2"/>
                  <c:y val="3.94450975489686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A67-4F63-A73E-0F9446383E37}"/>
                </c:ext>
              </c:extLst>
            </c:dLbl>
            <c:dLbl>
              <c:idx val="1"/>
              <c:delete val="1"/>
              <c:extLst>
                <c:ext xmlns:c15="http://schemas.microsoft.com/office/drawing/2012/chart" uri="{CE6537A1-D6FC-4f65-9D91-7224C49458BB}"/>
                <c:ext xmlns:c16="http://schemas.microsoft.com/office/drawing/2014/chart" uri="{C3380CC4-5D6E-409C-BE32-E72D297353CC}">
                  <c16:uniqueId val="{00000017-DA67-4F63-A73E-0F9446383E37}"/>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18-DA67-4F63-A73E-0F9446383E37}"/>
            </c:ext>
          </c:extLst>
        </c:ser>
        <c:ser>
          <c:idx val="3"/>
          <c:order val="9"/>
          <c:spPr>
            <a:ln w="9525" cap="rnd">
              <a:solidFill>
                <a:schemeClr val="accent4"/>
              </a:solidFill>
              <a:round/>
            </a:ln>
            <a:effectLst/>
          </c:spPr>
          <c:marker>
            <c:symbol val="circle"/>
            <c:size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c:spPr>
          </c:marker>
          <c:dLbls>
            <c:dLbl>
              <c:idx val="0"/>
              <c:layout>
                <c:manualLayout>
                  <c:x val="-0.36084182659162178"/>
                  <c:y val="2.867075867485066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 1</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8286998626178547"/>
                      <c:h val="4.8331287744394387E-2"/>
                    </c:manualLayout>
                  </c15:layout>
                </c:ext>
                <c:ext xmlns:c16="http://schemas.microsoft.com/office/drawing/2014/chart" uri="{C3380CC4-5D6E-409C-BE32-E72D297353CC}">
                  <c16:uniqueId val="{00000019-DA67-4F63-A73E-0F9446383E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1A-DA67-4F63-A73E-0F9446383E37}"/>
            </c:ext>
          </c:extLst>
        </c:ser>
        <c:dLbls>
          <c:showLegendKey val="0"/>
          <c:showVal val="0"/>
          <c:showCatName val="0"/>
          <c:showSerName val="0"/>
          <c:showPercent val="0"/>
          <c:showBubbleSize val="0"/>
        </c:dLbls>
        <c:axId val="640062680"/>
        <c:axId val="640064248"/>
      </c:scatterChart>
      <c:scatterChart>
        <c:scatterStyle val="smoothMarker"/>
        <c:varyColors val="0"/>
        <c:ser>
          <c:idx val="4"/>
          <c:order val="10"/>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0.36387463561515992"/>
                  <c:y val="-3.514547295761258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solidFill>
                          <a:srgbClr val="FF0000"/>
                        </a:solidFill>
                      </a:rPr>
                      <a:t>origine</a:t>
                    </a:r>
                    <a:r>
                      <a:rPr lang="en-US" b="1" baseline="0">
                        <a:solidFill>
                          <a:srgbClr val="FF0000"/>
                        </a:solidFill>
                      </a:rPr>
                      <a:t> degli assi</a:t>
                    </a:r>
                    <a:endParaRPr lang="en-US" b="1">
                      <a:solidFill>
                        <a:srgbClr val="FF0000"/>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22229318592415595"/>
                      <c:h val="4.1682832096741423E-2"/>
                    </c:manualLayout>
                  </c15:layout>
                </c:ext>
                <c:ext xmlns:c16="http://schemas.microsoft.com/office/drawing/2014/chart" uri="{C3380CC4-5D6E-409C-BE32-E72D297353CC}">
                  <c16:uniqueId val="{0000001B-DA67-4F63-A73E-0F9446383E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1C-DA67-4F63-A73E-0F9446383E37}"/>
            </c:ext>
          </c:extLst>
        </c:ser>
        <c:ser>
          <c:idx val="5"/>
          <c:order val="11"/>
          <c:spPr>
            <a:ln w="9525" cap="rnd">
              <a:solidFill>
                <a:schemeClr val="accent6"/>
              </a:solidFill>
              <a:round/>
            </a:ln>
            <a:effectLst/>
          </c:spPr>
          <c:marker>
            <c:symbol val="circle"/>
            <c:size val="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c:spPr>
          </c:marker>
          <c:dLbls>
            <c:dLbl>
              <c:idx val="0"/>
              <c:layout>
                <c:manualLayout>
                  <c:x val="-0.23755016953265545"/>
                  <c:y val="4.075881255417014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a:t>
                    </a:r>
                    <a:r>
                      <a:rPr lang="en-US" b="1" baseline="0"/>
                      <a:t> 3</a:t>
                    </a:r>
                    <a:endParaRPr lang="en-US" b="1"/>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4626216082720853"/>
                      <c:h val="3.4951876463338055E-2"/>
                    </c:manualLayout>
                  </c15:layout>
                </c:ext>
                <c:ext xmlns:c16="http://schemas.microsoft.com/office/drawing/2014/chart" uri="{C3380CC4-5D6E-409C-BE32-E72D297353CC}">
                  <c16:uniqueId val="{0000001D-DA67-4F63-A73E-0F9446383E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1"/>
          <c:extLst>
            <c:ext xmlns:c16="http://schemas.microsoft.com/office/drawing/2014/chart" uri="{C3380CC4-5D6E-409C-BE32-E72D297353CC}">
              <c16:uniqueId val="{0000001E-DA67-4F63-A73E-0F9446383E37}"/>
            </c:ext>
          </c:extLst>
        </c:ser>
        <c:ser>
          <c:idx val="12"/>
          <c:order val="12"/>
          <c:spPr>
            <a:ln w="9525" cap="rnd">
              <a:solidFill>
                <a:schemeClr val="accent1">
                  <a:lumMod val="80000"/>
                  <a:lumOff val="20000"/>
                </a:schemeClr>
              </a:solidFill>
              <a:round/>
            </a:ln>
            <a:effectLst/>
          </c:spPr>
          <c:marker>
            <c:symbol val="circle"/>
            <c:size val="5"/>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c:spPr>
          </c:marker>
          <c:dLbls>
            <c:dLbl>
              <c:idx val="0"/>
              <c:layout>
                <c:manualLayout>
                  <c:x val="-0.28513395898160027"/>
                  <c:y val="-6.5180297138113505E-2"/>
                </c:manualLayout>
              </c:layout>
              <c:tx>
                <c:rich>
                  <a:bodyPr/>
                  <a:lstStyle/>
                  <a:p>
                    <a:r>
                      <a:rPr lang="en-US" b="1"/>
                      <a:t>SEZIONE 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A67-4F63-A73E-0F9446383E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muro+tensioni'!$J$68</c:f>
              <c:numCache>
                <c:formatCode>General</c:formatCode>
                <c:ptCount val="1"/>
                <c:pt idx="0">
                  <c:v>0.4</c:v>
                </c:pt>
              </c:numCache>
            </c:numRef>
          </c:xVal>
          <c:yVal>
            <c:numRef>
              <c:f>'geom masse muro+tensioni'!$K$68</c:f>
              <c:numCache>
                <c:formatCode>General</c:formatCode>
                <c:ptCount val="1"/>
                <c:pt idx="0">
                  <c:v>0.5</c:v>
                </c:pt>
              </c:numCache>
            </c:numRef>
          </c:yVal>
          <c:smooth val="1"/>
          <c:extLst>
            <c:ext xmlns:c16="http://schemas.microsoft.com/office/drawing/2014/chart" uri="{C3380CC4-5D6E-409C-BE32-E72D297353CC}">
              <c16:uniqueId val="{00000020-DA67-4F63-A73E-0F9446383E37}"/>
            </c:ext>
          </c:extLst>
        </c:ser>
        <c:ser>
          <c:idx val="13"/>
          <c:order val="13"/>
          <c:spPr>
            <a:ln w="9525" cap="rnd">
              <a:solidFill>
                <a:schemeClr val="accent2">
                  <a:lumMod val="80000"/>
                  <a:lumOff val="20000"/>
                </a:schemeClr>
              </a:solidFill>
              <a:prstDash val="sysDash"/>
              <a:round/>
            </a:ln>
            <a:effectLst/>
          </c:spPr>
          <c:marker>
            <c:symbol val="circle"/>
            <c:size val="5"/>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path path="circle">
                  <a:fillToRect l="50000" t="50000" r="50000" b="50000"/>
                </a:path>
                <a:tileRect/>
              </a:gradFill>
              <a:ln w="9525">
                <a:solidFill>
                  <a:schemeClr val="accent2">
                    <a:lumMod val="80000"/>
                    <a:lumOff val="20000"/>
                  </a:schemeClr>
                </a:solidFill>
                <a:prstDash val="sysDash"/>
                <a:round/>
              </a:ln>
              <a:effectLst/>
            </c:spPr>
          </c:marker>
          <c:dLbls>
            <c:dLbl>
              <c:idx val="0"/>
              <c:layout>
                <c:manualLayout>
                  <c:x val="0.21836236909667903"/>
                  <c:y val="-0.10726673667266834"/>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D5F7BA4E-175A-4BCC-AFDA-B01F4832574A}" type="XVALUE">
                      <a:rPr lang="en-US" b="1"/>
                      <a:pPr>
                        <a:defRPr/>
                      </a:pPr>
                      <a:t>[VALORE X]</a:t>
                    </a:fld>
                    <a:r>
                      <a:rPr lang="en-US" b="1" baseline="0"/>
                      <a:t>; </a:t>
                    </a:r>
                    <a:fld id="{D3C1F569-10DC-4BA0-8C14-CF4812E5DF98}" type="YVALUE">
                      <a:rPr lang="en-US" b="1" baseline="0"/>
                      <a:pPr>
                        <a:defRPr/>
                      </a:pPr>
                      <a:t>[VALORE Y]</a:t>
                    </a:fld>
                    <a:r>
                      <a:rPr lang="en-US" b="1" baseline="0"/>
                      <a:t>   BARICENTRO DEL MURO</a:t>
                    </a:r>
                  </a:p>
                </c:rich>
              </c:tx>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2912872172830948"/>
                      <c:h val="9.8984588121881906E-2"/>
                    </c:manualLayout>
                  </c15:layout>
                  <c15:dlblFieldTable/>
                  <c15:showDataLabelsRange val="0"/>
                </c:ext>
                <c:ext xmlns:c16="http://schemas.microsoft.com/office/drawing/2014/chart" uri="{C3380CC4-5D6E-409C-BE32-E72D297353CC}">
                  <c16:uniqueId val="{00000021-DA67-4F63-A73E-0F9446383E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DRENATE'!$C$38</c:f>
              <c:numCache>
                <c:formatCode>0.000" m"</c:formatCode>
                <c:ptCount val="1"/>
                <c:pt idx="0">
                  <c:v>0.77959125809799579</c:v>
                </c:pt>
              </c:numCache>
            </c:numRef>
          </c:xVal>
          <c:yVal>
            <c:numRef>
              <c:f>'VER. EQU COND. NON DRENATE'!$C$40</c:f>
              <c:numCache>
                <c:formatCode>0.000" m"</c:formatCode>
                <c:ptCount val="1"/>
                <c:pt idx="0">
                  <c:v>1.1561245855738038</c:v>
                </c:pt>
              </c:numCache>
            </c:numRef>
          </c:yVal>
          <c:smooth val="1"/>
          <c:extLst>
            <c:ext xmlns:c16="http://schemas.microsoft.com/office/drawing/2014/chart" uri="{C3380CC4-5D6E-409C-BE32-E72D297353CC}">
              <c16:uniqueId val="{00000022-DA67-4F63-A73E-0F9446383E37}"/>
            </c:ext>
          </c:extLst>
        </c:ser>
        <c:dLbls>
          <c:showLegendKey val="0"/>
          <c:showVal val="0"/>
          <c:showCatName val="0"/>
          <c:showSerName val="0"/>
          <c:showPercent val="0"/>
          <c:showBubbleSize val="0"/>
        </c:dLbls>
        <c:axId val="640062680"/>
        <c:axId val="640064248"/>
      </c:scatterChart>
      <c:valAx>
        <c:axId val="640062680"/>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asse x →</a:t>
                </a:r>
                <a:endParaRPr lang="it-IT" sz="1050"/>
              </a:p>
            </c:rich>
          </c:tx>
          <c:layout>
            <c:manualLayout>
              <c:xMode val="edge"/>
              <c:yMode val="edge"/>
              <c:x val="0.41384661198217465"/>
              <c:y val="0.9686347124190809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40064248"/>
        <c:crosses val="autoZero"/>
        <c:crossBetween val="midCat"/>
      </c:valAx>
      <c:valAx>
        <c:axId val="640064248"/>
        <c:scaling>
          <c:orientation val="minMax"/>
        </c:scaling>
        <c:delete val="1"/>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 asse z →</a:t>
                </a:r>
                <a:endParaRPr lang="it-IT" sz="1050"/>
              </a:p>
            </c:rich>
          </c:tx>
          <c:layout>
            <c:manualLayout>
              <c:xMode val="edge"/>
              <c:yMode val="edge"/>
              <c:x val="0.10850864623184897"/>
              <c:y val="0.5214533028976705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400626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28547010494886E-2"/>
          <c:y val="9.6537826908444244E-2"/>
          <c:w val="0.80253180642922428"/>
          <c:h val="0.83876380019426711"/>
        </c:manualLayout>
      </c:layout>
      <c:scatterChart>
        <c:scatterStyle val="smoothMarker"/>
        <c:varyColors val="0"/>
        <c:ser>
          <c:idx val="4"/>
          <c:order val="9"/>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5.7845263919016628E-2"/>
                  <c:y val="4.832509610104338E-2"/>
                </c:manualLayout>
              </c:layout>
              <c:tx>
                <c:rich>
                  <a:bodyPr/>
                  <a:lstStyle/>
                  <a:p>
                    <a:r>
                      <a:rPr lang="en-US" b="1" baseline="0">
                        <a:solidFill>
                          <a:srgbClr val="FF0000"/>
                        </a:solidFill>
                      </a:rPr>
                      <a:t>origine degli assi</a:t>
                    </a:r>
                    <a:endParaRPr lang="en-US" b="1">
                      <a:solidFill>
                        <a:srgbClr val="FF0000"/>
                      </a:solidFill>
                    </a:endParaRPr>
                  </a:p>
                </c:rich>
              </c:tx>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6B-40DB-9834-52164B064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01-766B-40DB-9834-52164B064D2B}"/>
            </c:ext>
          </c:extLst>
        </c:ser>
        <c:dLbls>
          <c:showLegendKey val="0"/>
          <c:showVal val="0"/>
          <c:showCatName val="0"/>
          <c:showSerName val="0"/>
          <c:showPercent val="0"/>
          <c:showBubbleSize val="0"/>
        </c:dLbls>
        <c:axId val="640065816"/>
        <c:axId val="641843104"/>
      </c:scatterChar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2-766B-40DB-9834-52164B064D2B}"/>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3-766B-40DB-9834-52164B064D2B}"/>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4-766B-40DB-9834-52164B064D2B}"/>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5-766B-40DB-9834-52164B064D2B}"/>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6-766B-40DB-9834-52164B064D2B}"/>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7-766B-40DB-9834-52164B064D2B}"/>
            </c:ext>
          </c:extLst>
        </c:ser>
        <c:ser>
          <c:idx val="0"/>
          <c:order val="6"/>
          <c:spPr>
            <a:ln w="285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8-766B-40DB-9834-52164B064D2B}"/>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9-766B-40DB-9834-52164B064D2B}"/>
            </c:ext>
          </c:extLst>
        </c:ser>
        <c:ser>
          <c:idx val="2"/>
          <c:order val="8"/>
          <c:spPr>
            <a:ln w="19050" cap="rnd">
              <a:solidFill>
                <a:schemeClr val="bg1">
                  <a:lumMod val="75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A-766B-40DB-9834-52164B064D2B}"/>
            </c:ext>
          </c:extLst>
        </c:ser>
        <c:dLbls>
          <c:showLegendKey val="0"/>
          <c:showVal val="0"/>
          <c:showCatName val="0"/>
          <c:showSerName val="0"/>
          <c:showPercent val="0"/>
          <c:showBubbleSize val="0"/>
        </c:dLbls>
        <c:axId val="640065816"/>
        <c:axId val="641843104"/>
      </c:scatterChart>
      <c:scatterChart>
        <c:scatterStyle val="lineMarker"/>
        <c:varyColors val="0"/>
        <c:ser>
          <c:idx val="14"/>
          <c:order val="10"/>
          <c:tx>
            <c:v>terreno</c:v>
          </c:tx>
          <c:spPr>
            <a:ln w="9525"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Pt>
            <c:idx val="1"/>
            <c:marker>
              <c:symbol val="none"/>
            </c:marker>
            <c:bubble3D val="0"/>
            <c:spPr>
              <a:ln w="28575"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C-766B-40DB-9834-52164B064D2B}"/>
              </c:ext>
            </c:extLst>
          </c:dPt>
          <c:dPt>
            <c:idx val="2"/>
            <c:marker>
              <c:symbol val="none"/>
            </c:marker>
            <c:bubble3D val="0"/>
            <c:spPr>
              <a:ln w="28575"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E-766B-40DB-9834-52164B064D2B}"/>
              </c:ext>
            </c:extLst>
          </c:dPt>
          <c:dLbls>
            <c:dLbl>
              <c:idx val="0"/>
              <c:delete val="1"/>
              <c:extLst>
                <c:ext xmlns:c15="http://schemas.microsoft.com/office/drawing/2012/chart" uri="{CE6537A1-D6FC-4f65-9D91-7224C49458BB}"/>
                <c:ext xmlns:c16="http://schemas.microsoft.com/office/drawing/2014/chart" uri="{C3380CC4-5D6E-409C-BE32-E72D297353CC}">
                  <c16:uniqueId val="{0000000F-766B-40DB-9834-52164B064D2B}"/>
                </c:ext>
              </c:extLst>
            </c:dLbl>
            <c:dLbl>
              <c:idx val="1"/>
              <c:layout>
                <c:manualLayout>
                  <c:x val="0"/>
                  <c:y val="-5.7111477210323995E-2"/>
                </c:manualLayout>
              </c:layout>
              <c:tx>
                <c:rich>
                  <a:bodyPr/>
                  <a:lstStyle/>
                  <a:p>
                    <a:r>
                      <a:rPr lang="en-US"/>
                      <a:t>terreno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6B-40DB-9834-52164B064D2B}"/>
                </c:ext>
              </c:extLst>
            </c:dLbl>
            <c:dLbl>
              <c:idx val="2"/>
              <c:delete val="1"/>
              <c:extLst>
                <c:ext xmlns:c15="http://schemas.microsoft.com/office/drawing/2012/chart" uri="{CE6537A1-D6FC-4f65-9D91-7224C49458BB}"/>
                <c:ext xmlns:c16="http://schemas.microsoft.com/office/drawing/2014/chart" uri="{C3380CC4-5D6E-409C-BE32-E72D297353CC}">
                  <c16:uniqueId val="{0000000E-766B-40DB-9834-52164B064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muro+tensioni'!$M$82:$M$84</c:f>
              <c:numCache>
                <c:formatCode>0.00</c:formatCode>
                <c:ptCount val="3"/>
                <c:pt idx="0">
                  <c:v>0.7</c:v>
                </c:pt>
                <c:pt idx="1">
                  <c:v>2</c:v>
                </c:pt>
                <c:pt idx="2">
                  <c:v>2</c:v>
                </c:pt>
              </c:numCache>
            </c:numRef>
          </c:xVal>
          <c:yVal>
            <c:numRef>
              <c:f>'geom masse muro+tensioni'!$N$82:$N$84</c:f>
              <c:numCache>
                <c:formatCode>0.00</c:formatCode>
                <c:ptCount val="3"/>
                <c:pt idx="0">
                  <c:v>3.35</c:v>
                </c:pt>
                <c:pt idx="1">
                  <c:v>3.35</c:v>
                </c:pt>
                <c:pt idx="2">
                  <c:v>0.5</c:v>
                </c:pt>
              </c:numCache>
            </c:numRef>
          </c:yVal>
          <c:smooth val="0"/>
          <c:extLst>
            <c:ext xmlns:c16="http://schemas.microsoft.com/office/drawing/2014/chart" uri="{C3380CC4-5D6E-409C-BE32-E72D297353CC}">
              <c16:uniqueId val="{00000010-766B-40DB-9834-52164B064D2B}"/>
            </c:ext>
          </c:extLst>
        </c:ser>
        <c:ser>
          <c:idx val="3"/>
          <c:order val="11"/>
          <c:tx>
            <c:v>baricentro terra+muro</c:v>
          </c:tx>
          <c:spPr>
            <a:ln w="9525" cap="rnd">
              <a:solidFill>
                <a:schemeClr val="accent4"/>
              </a:solidFill>
              <a:round/>
            </a:ln>
            <a:effectLst>
              <a:outerShdw blurRad="40000" dist="23000" dir="5400000" rotWithShape="0">
                <a:srgbClr val="000000">
                  <a:alpha val="35000"/>
                </a:srgbClr>
              </a:outerShdw>
            </a:effectLst>
          </c:spPr>
          <c:marker>
            <c:symbol val="circle"/>
            <c:size val="5"/>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c:spPr>
          </c:marker>
          <c:dLbls>
            <c:dLbl>
              <c:idx val="0"/>
              <c:layout>
                <c:manualLayout>
                  <c:x val="0.1561822125813449"/>
                  <c:y val="-7.1790846991031665E-2"/>
                </c:manualLayout>
              </c:layout>
              <c:tx>
                <c:rich>
                  <a:bodyPr/>
                  <a:lstStyle/>
                  <a:p>
                    <a:fld id="{F1C904C0-1179-4E92-9FFA-BF5ED6FC8AB2}" type="XVALUE">
                      <a:rPr lang="en-US"/>
                      <a:pPr/>
                      <a:t>[VALORE X]</a:t>
                    </a:fld>
                    <a:r>
                      <a:rPr lang="en-US" baseline="0"/>
                      <a:t>; </a:t>
                    </a:r>
                    <a:fld id="{C53BFFDD-591B-4C53-BFF6-06B45E42DB4E}" type="YVALUE">
                      <a:rPr lang="en-US" baseline="0"/>
                      <a:pPr/>
                      <a:t>[VALORE Y]</a:t>
                    </a:fld>
                    <a:r>
                      <a:rPr lang="en-US" baseline="0"/>
                      <a:t> baricentro terra+muro</a:t>
                    </a:r>
                  </a:p>
                  <a:p>
                    <a:r>
                      <a:rPr lang="en-US" sz="800" baseline="0"/>
                      <a:t>(media pesata sui pesi specifici)</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766B-40DB-9834-52164B064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DRENATE'!$C$79</c:f>
              <c:numCache>
                <c:formatCode>0.00" m"</c:formatCode>
                <c:ptCount val="1"/>
                <c:pt idx="0">
                  <c:v>1.1094467263576118</c:v>
                </c:pt>
              </c:numCache>
            </c:numRef>
          </c:xVal>
          <c:yVal>
            <c:numRef>
              <c:f>'VER. EQU COND. NON DRENATE'!$C$81</c:f>
              <c:numCache>
                <c:formatCode>0.00" m"</c:formatCode>
                <c:ptCount val="1"/>
                <c:pt idx="0">
                  <c:v>1.606076687939058</c:v>
                </c:pt>
              </c:numCache>
            </c:numRef>
          </c:yVal>
          <c:smooth val="0"/>
          <c:extLst>
            <c:ext xmlns:c16="http://schemas.microsoft.com/office/drawing/2014/chart" uri="{C3380CC4-5D6E-409C-BE32-E72D297353CC}">
              <c16:uniqueId val="{00000012-766B-40DB-9834-52164B064D2B}"/>
            </c:ext>
          </c:extLst>
        </c:ser>
        <c:ser>
          <c:idx val="5"/>
          <c:order val="12"/>
          <c:tx>
            <c:v>baricentro terra</c:v>
          </c:tx>
          <c:spPr>
            <a:ln w="9525" cap="rnd">
              <a:solidFill>
                <a:schemeClr val="accent6"/>
              </a:solidFill>
              <a:round/>
            </a:ln>
            <a:effectLst>
              <a:outerShdw blurRad="40000" dist="23000" dir="5400000" rotWithShape="0">
                <a:srgbClr val="000000">
                  <a:alpha val="35000"/>
                </a:srgbClr>
              </a:outerShdw>
            </a:effectLst>
          </c:spPr>
          <c:marker>
            <c:symbol val="circle"/>
            <c:size val="5"/>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a:solidFill>
                  <a:schemeClr val="accent6"/>
                </a:solidFill>
                <a:round/>
              </a:ln>
              <a:effectLst>
                <a:outerShdw blurRad="40000" dist="23000" dir="5400000" rotWithShape="0">
                  <a:srgbClr val="000000">
                    <a:alpha val="35000"/>
                  </a:srgbClr>
                </a:outerShdw>
              </a:effectLst>
            </c:spPr>
          </c:marker>
          <c:dLbls>
            <c:dLbl>
              <c:idx val="0"/>
              <c:layout>
                <c:manualLayout>
                  <c:x val="4.6276211135213303E-2"/>
                  <c:y val="-0.15076371968161961"/>
                </c:manualLayout>
              </c:layout>
              <c:tx>
                <c:rich>
                  <a:bodyPr/>
                  <a:lstStyle/>
                  <a:p>
                    <a:fld id="{98B8FECF-7796-4966-ABC7-675B551908D6}" type="XVALUE">
                      <a:rPr lang="en-US"/>
                      <a:pPr/>
                      <a:t>[VALORE X]</a:t>
                    </a:fld>
                    <a:r>
                      <a:rPr lang="en-US" baseline="0"/>
                      <a:t>; </a:t>
                    </a:r>
                    <a:fld id="{FF87735F-1B66-4CD7-831D-A3E701C54E12}" type="YVALUE">
                      <a:rPr lang="en-US" baseline="0"/>
                      <a:pPr/>
                      <a:t>[VALORE Y]</a:t>
                    </a:fld>
                    <a:r>
                      <a:rPr lang="en-US" baseline="0"/>
                      <a:t> baricentro terra</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766B-40DB-9834-52164B064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DRENATE'!$C$84</c:f>
              <c:numCache>
                <c:formatCode>0.00" m"</c:formatCode>
                <c:ptCount val="1"/>
                <c:pt idx="0">
                  <c:v>1.3139238557823383</c:v>
                </c:pt>
              </c:numCache>
            </c:numRef>
          </c:xVal>
          <c:yVal>
            <c:numRef>
              <c:f>'VER. EQU COND. NON DRENATE'!$C$86</c:f>
              <c:numCache>
                <c:formatCode>0.00" m"</c:formatCode>
                <c:ptCount val="1"/>
                <c:pt idx="0">
                  <c:v>1.885001620594273</c:v>
                </c:pt>
              </c:numCache>
            </c:numRef>
          </c:yVal>
          <c:smooth val="0"/>
          <c:extLst>
            <c:ext xmlns:c16="http://schemas.microsoft.com/office/drawing/2014/chart" uri="{C3380CC4-5D6E-409C-BE32-E72D297353CC}">
              <c16:uniqueId val="{00000014-766B-40DB-9834-52164B064D2B}"/>
            </c:ext>
          </c:extLst>
        </c:ser>
        <c:ser>
          <c:idx val="12"/>
          <c:order val="13"/>
          <c:tx>
            <c:v>baricentro muro</c:v>
          </c:tx>
          <c:spPr>
            <a:ln w="9525" cap="rnd">
              <a:solidFill>
                <a:schemeClr val="accent1">
                  <a:lumMod val="80000"/>
                  <a:lumOff val="20000"/>
                </a:schemeClr>
              </a:solidFill>
              <a:round/>
            </a:ln>
            <a:effectLst>
              <a:outerShdw blurRad="40000" dist="23000" dir="5400000" rotWithShape="0">
                <a:srgbClr val="000000">
                  <a:alpha val="35000"/>
                </a:srgbClr>
              </a:outerShdw>
            </a:effectLst>
          </c:spPr>
          <c:marker>
            <c:symbol val="circle"/>
            <c:size val="5"/>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w="9525">
                <a:solidFill>
                  <a:schemeClr val="accent1">
                    <a:lumMod val="80000"/>
                    <a:lumOff val="20000"/>
                  </a:schemeClr>
                </a:solidFill>
                <a:round/>
              </a:ln>
              <a:effectLst>
                <a:outerShdw blurRad="40000" dist="23000" dir="5400000" rotWithShape="0">
                  <a:srgbClr val="000000">
                    <a:alpha val="35000"/>
                  </a:srgbClr>
                </a:outerShdw>
              </a:effectLst>
            </c:spPr>
          </c:marker>
          <c:dLbls>
            <c:dLbl>
              <c:idx val="0"/>
              <c:layout>
                <c:manualLayout>
                  <c:x val="6.9414316702819959E-2"/>
                  <c:y val="-3.0752333882482233E-2"/>
                </c:manualLayout>
              </c:layout>
              <c:tx>
                <c:rich>
                  <a:bodyPr/>
                  <a:lstStyle/>
                  <a:p>
                    <a:fld id="{2465A305-C929-4DA6-87A5-AABF5F952A16}" type="XVALUE">
                      <a:rPr lang="en-US"/>
                      <a:pPr/>
                      <a:t>[VALORE X]</a:t>
                    </a:fld>
                    <a:r>
                      <a:rPr lang="en-US" baseline="0"/>
                      <a:t>; </a:t>
                    </a:r>
                    <a:fld id="{8A290CF4-FEA8-4B9C-93CD-B16FEE7C51AB}" type="YVALUE">
                      <a:rPr lang="en-US" baseline="0"/>
                      <a:pPr/>
                      <a:t>[VALORE Y]</a:t>
                    </a:fld>
                    <a:r>
                      <a:rPr lang="en-US" baseline="0"/>
                      <a:t> baicentro muro</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766B-40DB-9834-52164B064D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DRENATE'!$C$89</c:f>
              <c:numCache>
                <c:formatCode>0.00" m"</c:formatCode>
                <c:ptCount val="1"/>
                <c:pt idx="0">
                  <c:v>0.77959125809799579</c:v>
                </c:pt>
              </c:numCache>
            </c:numRef>
          </c:xVal>
          <c:yVal>
            <c:numRef>
              <c:f>'VER. EQU COND. NON DRENATE'!$C$91</c:f>
              <c:numCache>
                <c:formatCode>0.00" m"</c:formatCode>
                <c:ptCount val="1"/>
                <c:pt idx="0">
                  <c:v>1.1561245855738038</c:v>
                </c:pt>
              </c:numCache>
            </c:numRef>
          </c:yVal>
          <c:smooth val="0"/>
          <c:extLst>
            <c:ext xmlns:c16="http://schemas.microsoft.com/office/drawing/2014/chart" uri="{C3380CC4-5D6E-409C-BE32-E72D297353CC}">
              <c16:uniqueId val="{00000016-766B-40DB-9834-52164B064D2B}"/>
            </c:ext>
          </c:extLst>
        </c:ser>
        <c:ser>
          <c:idx val="13"/>
          <c:order val="14"/>
          <c:tx>
            <c:v>STR1</c:v>
          </c:tx>
          <c:spPr>
            <a:ln w="9525" cap="rnd">
              <a:solidFill>
                <a:schemeClr val="accent2">
                  <a:lumMod val="80000"/>
                  <a:lumOff val="20000"/>
                </a:schemeClr>
              </a:solidFill>
              <a:round/>
            </a:ln>
            <a:effectLst>
              <a:outerShdw blurRad="40000" dist="23000" dir="5400000" rotWithShape="0">
                <a:srgbClr val="000000">
                  <a:alpha val="35000"/>
                </a:srgbClr>
              </a:outerShdw>
            </a:effectLst>
          </c:spPr>
          <c:marker>
            <c:symbol val="none"/>
          </c:marker>
          <c:xVal>
            <c:numRef>
              <c:f>'geom masse muro+tensioni'!$M$109:$M$110</c:f>
              <c:numCache>
                <c:formatCode>General</c:formatCode>
                <c:ptCount val="2"/>
                <c:pt idx="0">
                  <c:v>0.7</c:v>
                </c:pt>
                <c:pt idx="1">
                  <c:v>2</c:v>
                </c:pt>
              </c:numCache>
            </c:numRef>
          </c:xVal>
          <c:yVal>
            <c:numRef>
              <c:f>'geom masse muro+tensioni'!$N$109:$N$110</c:f>
              <c:numCache>
                <c:formatCode>0.00</c:formatCode>
                <c:ptCount val="2"/>
                <c:pt idx="0">
                  <c:v>0.51366666666666694</c:v>
                </c:pt>
                <c:pt idx="1">
                  <c:v>0.51366666666666694</c:v>
                </c:pt>
              </c:numCache>
            </c:numRef>
          </c:yVal>
          <c:smooth val="0"/>
          <c:extLst>
            <c:ext xmlns:c16="http://schemas.microsoft.com/office/drawing/2014/chart" uri="{C3380CC4-5D6E-409C-BE32-E72D297353CC}">
              <c16:uniqueId val="{00000017-766B-40DB-9834-52164B064D2B}"/>
            </c:ext>
          </c:extLst>
        </c:ser>
        <c:ser>
          <c:idx val="15"/>
          <c:order val="15"/>
          <c:tx>
            <c:v>STR2</c:v>
          </c:tx>
          <c:spPr>
            <a:ln w="9525" cap="rnd">
              <a:solidFill>
                <a:schemeClr val="accent4">
                  <a:lumMod val="80000"/>
                  <a:lumOff val="20000"/>
                </a:schemeClr>
              </a:solidFill>
              <a:round/>
            </a:ln>
            <a:effectLst>
              <a:outerShdw blurRad="40000" dist="23000" dir="5400000" rotWithShape="0">
                <a:srgbClr val="000000">
                  <a:alpha val="35000"/>
                </a:srgbClr>
              </a:outerShdw>
            </a:effectLst>
          </c:spPr>
          <c:marker>
            <c:symbol val="none"/>
          </c:marker>
          <c:xVal>
            <c:numRef>
              <c:f>'geom masse muro+tensioni'!$M$111:$M$112</c:f>
              <c:numCache>
                <c:formatCode>General</c:formatCode>
                <c:ptCount val="2"/>
                <c:pt idx="0">
                  <c:v>0.7</c:v>
                </c:pt>
                <c:pt idx="1">
                  <c:v>2</c:v>
                </c:pt>
              </c:numCache>
            </c:numRef>
          </c:xVal>
          <c:yVal>
            <c:numRef>
              <c:f>'geom masse muro+tensioni'!$N$111:$N$112</c:f>
              <c:numCache>
                <c:formatCode>0.00</c:formatCode>
                <c:ptCount val="2"/>
                <c:pt idx="0">
                  <c:v>0</c:v>
                </c:pt>
                <c:pt idx="1">
                  <c:v>0</c:v>
                </c:pt>
              </c:numCache>
            </c:numRef>
          </c:yVal>
          <c:smooth val="0"/>
          <c:extLst>
            <c:ext xmlns:c16="http://schemas.microsoft.com/office/drawing/2014/chart" uri="{C3380CC4-5D6E-409C-BE32-E72D297353CC}">
              <c16:uniqueId val="{00000018-766B-40DB-9834-52164B064D2B}"/>
            </c:ext>
          </c:extLst>
        </c:ser>
        <c:dLbls>
          <c:showLegendKey val="0"/>
          <c:showVal val="0"/>
          <c:showCatName val="0"/>
          <c:showSerName val="0"/>
          <c:showPercent val="0"/>
          <c:showBubbleSize val="0"/>
        </c:dLbls>
        <c:axId val="641842320"/>
        <c:axId val="641841928"/>
      </c:scatterChart>
      <c:valAx>
        <c:axId val="640065816"/>
        <c:scaling>
          <c:orientation val="minMax"/>
        </c:scaling>
        <c:delete val="1"/>
        <c:axPos val="b"/>
        <c:numFmt formatCode="General" sourceLinked="1"/>
        <c:majorTickMark val="none"/>
        <c:minorTickMark val="none"/>
        <c:tickLblPos val="nextTo"/>
        <c:crossAx val="641843104"/>
        <c:crosses val="autoZero"/>
        <c:crossBetween val="midCat"/>
      </c:valAx>
      <c:valAx>
        <c:axId val="641843104"/>
        <c:scaling>
          <c:orientation val="minMax"/>
        </c:scaling>
        <c:delete val="1"/>
        <c:axPos val="l"/>
        <c:numFmt formatCode="General" sourceLinked="1"/>
        <c:majorTickMark val="none"/>
        <c:minorTickMark val="none"/>
        <c:tickLblPos val="nextTo"/>
        <c:crossAx val="640065816"/>
        <c:crosses val="autoZero"/>
        <c:crossBetween val="midCat"/>
      </c:valAx>
      <c:valAx>
        <c:axId val="641841928"/>
        <c:scaling>
          <c:orientation val="minMax"/>
        </c:scaling>
        <c:delete val="1"/>
        <c:axPos val="r"/>
        <c:numFmt formatCode="0.00" sourceLinked="1"/>
        <c:majorTickMark val="out"/>
        <c:minorTickMark val="none"/>
        <c:tickLblPos val="nextTo"/>
        <c:crossAx val="641842320"/>
        <c:crosses val="max"/>
        <c:crossBetween val="midCat"/>
      </c:valAx>
      <c:valAx>
        <c:axId val="641842320"/>
        <c:scaling>
          <c:orientation val="minMax"/>
        </c:scaling>
        <c:delete val="1"/>
        <c:axPos val="t"/>
        <c:numFmt formatCode="0.00" sourceLinked="1"/>
        <c:majorTickMark val="out"/>
        <c:minorTickMark val="none"/>
        <c:tickLblPos val="nextTo"/>
        <c:crossAx val="641841928"/>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it-IT"/>
              <a:t>Andamento</a:t>
            </a:r>
            <a:r>
              <a:rPr lang="it-IT" baseline="0"/>
              <a:t> dei Carichi</a:t>
            </a:r>
            <a:endParaRPr lang="it-IT"/>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11737704566070345"/>
          <c:y val="8.9891004253492557E-2"/>
          <c:w val="0.83980999307601889"/>
          <c:h val="0.83821464690808811"/>
        </c:manualLayout>
      </c:layout>
      <c:scatterChart>
        <c:scatterStyle val="lineMarker"/>
        <c:varyColors val="0"/>
        <c:ser>
          <c:idx val="0"/>
          <c:order val="0"/>
          <c:tx>
            <c:v>muro</c:v>
          </c:tx>
          <c:spPr>
            <a:ln w="31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0-248D-4D15-ABD0-864FD42EE67E}"/>
            </c:ext>
          </c:extLst>
        </c:ser>
        <c:ser>
          <c:idx val="3"/>
          <c:order val="1"/>
          <c:tx>
            <c:v>terreno</c:v>
          </c:tx>
          <c:spPr>
            <a:ln w="9525" cap="rnd">
              <a:solidFill>
                <a:schemeClr val="bg2">
                  <a:lumMod val="75000"/>
                </a:schemeClr>
              </a:solidFill>
              <a:round/>
            </a:ln>
            <a:effectLst>
              <a:outerShdw blurRad="40000" dist="23000" dir="5400000" rotWithShape="0">
                <a:srgbClr val="000000">
                  <a:alpha val="35000"/>
                </a:srgbClr>
              </a:outerShdw>
            </a:effectLst>
          </c:spPr>
          <c:marker>
            <c:symbol val="none"/>
          </c:marker>
          <c:xVal>
            <c:numRef>
              <c:f>'geom masse muro+tensioni'!$M$82:$M$84</c:f>
              <c:numCache>
                <c:formatCode>0.00</c:formatCode>
                <c:ptCount val="3"/>
                <c:pt idx="0">
                  <c:v>0.7</c:v>
                </c:pt>
                <c:pt idx="1">
                  <c:v>2</c:v>
                </c:pt>
                <c:pt idx="2">
                  <c:v>2</c:v>
                </c:pt>
              </c:numCache>
            </c:numRef>
          </c:xVal>
          <c:yVal>
            <c:numRef>
              <c:f>'geom masse muro+tensioni'!$N$82:$N$84</c:f>
              <c:numCache>
                <c:formatCode>0.00</c:formatCode>
                <c:ptCount val="3"/>
                <c:pt idx="0">
                  <c:v>3.35</c:v>
                </c:pt>
                <c:pt idx="1">
                  <c:v>3.35</c:v>
                </c:pt>
                <c:pt idx="2">
                  <c:v>0.5</c:v>
                </c:pt>
              </c:numCache>
            </c:numRef>
          </c:yVal>
          <c:smooth val="0"/>
          <c:extLst>
            <c:ext xmlns:c16="http://schemas.microsoft.com/office/drawing/2014/chart" uri="{C3380CC4-5D6E-409C-BE32-E72D297353CC}">
              <c16:uniqueId val="{00000001-248D-4D15-ABD0-864FD42EE67E}"/>
            </c:ext>
          </c:extLst>
        </c:ser>
        <c:ser>
          <c:idx val="1"/>
          <c:order val="2"/>
          <c:tx>
            <c:v>spinta</c:v>
          </c:tx>
          <c:spPr>
            <a:ln w="9525" cap="rnd">
              <a:solidFill>
                <a:schemeClr val="accent2"/>
              </a:solidFill>
              <a:round/>
            </a:ln>
            <a:effectLst>
              <a:outerShdw blurRad="40000" dist="23000" dir="5400000" rotWithShape="0">
                <a:srgbClr val="000000">
                  <a:alpha val="35000"/>
                </a:srgbClr>
              </a:outerShdw>
            </a:effectLst>
          </c:spPr>
          <c:marker>
            <c:symbol val="none"/>
          </c:marker>
          <c:xVal>
            <c:numRef>
              <c:f>'geom masse muro+tensioni'!$J$84:$J$95</c:f>
              <c:numCache>
                <c:formatCode>0.000</c:formatCode>
                <c:ptCount val="12"/>
                <c:pt idx="0">
                  <c:v>5.2443441681619447</c:v>
                </c:pt>
                <c:pt idx="1">
                  <c:v>5.2443441681619447</c:v>
                </c:pt>
                <c:pt idx="2">
                  <c:v>5.2443441681619447</c:v>
                </c:pt>
                <c:pt idx="3">
                  <c:v>5.2443441681619447</c:v>
                </c:pt>
                <c:pt idx="4">
                  <c:v>5.2443441681619447</c:v>
                </c:pt>
                <c:pt idx="5">
                  <c:v>4.8790262112874068</c:v>
                </c:pt>
                <c:pt idx="6">
                  <c:v>4.6182631020149172</c:v>
                </c:pt>
                <c:pt idx="7">
                  <c:v>4.6182631020149172</c:v>
                </c:pt>
                <c:pt idx="8">
                  <c:v>2.6871663337404077</c:v>
                </c:pt>
                <c:pt idx="9">
                  <c:v>2.1999999999999997</c:v>
                </c:pt>
                <c:pt idx="10">
                  <c:v>2.1999999999999997</c:v>
                </c:pt>
                <c:pt idx="11">
                  <c:v>5.2443441681619447</c:v>
                </c:pt>
              </c:numCache>
            </c:numRef>
          </c:xVal>
          <c:yVal>
            <c:numRef>
              <c:f>'geom masse muro+tensioni'!$K$84:$K$95</c:f>
              <c:numCache>
                <c:formatCode>0.00</c:formatCode>
                <c:ptCount val="12"/>
                <c:pt idx="0">
                  <c:v>0</c:v>
                </c:pt>
                <c:pt idx="1">
                  <c:v>0</c:v>
                </c:pt>
                <c:pt idx="2">
                  <c:v>0</c:v>
                </c:pt>
                <c:pt idx="3">
                  <c:v>0</c:v>
                </c:pt>
                <c:pt idx="4">
                  <c:v>0</c:v>
                </c:pt>
                <c:pt idx="5">
                  <c:v>0.51366666666666694</c:v>
                </c:pt>
                <c:pt idx="6">
                  <c:v>0.51366666666666694</c:v>
                </c:pt>
                <c:pt idx="7">
                  <c:v>0.51366666666666694</c:v>
                </c:pt>
                <c:pt idx="8">
                  <c:v>3.35</c:v>
                </c:pt>
                <c:pt idx="9">
                  <c:v>3.35</c:v>
                </c:pt>
                <c:pt idx="10">
                  <c:v>0</c:v>
                </c:pt>
                <c:pt idx="11">
                  <c:v>0</c:v>
                </c:pt>
              </c:numCache>
            </c:numRef>
          </c:yVal>
          <c:smooth val="0"/>
          <c:extLst>
            <c:ext xmlns:c16="http://schemas.microsoft.com/office/drawing/2014/chart" uri="{C3380CC4-5D6E-409C-BE32-E72D297353CC}">
              <c16:uniqueId val="{00000002-248D-4D15-ABD0-864FD42EE67E}"/>
            </c:ext>
          </c:extLst>
        </c:ser>
        <c:dLbls>
          <c:showLegendKey val="0"/>
          <c:showVal val="0"/>
          <c:showCatName val="0"/>
          <c:showSerName val="0"/>
          <c:showPercent val="0"/>
          <c:showBubbleSize val="0"/>
        </c:dLbls>
        <c:axId val="641843496"/>
        <c:axId val="641839576"/>
      </c:scatterChart>
      <c:valAx>
        <c:axId val="641843496"/>
        <c:scaling>
          <c:orientation val="minMax"/>
        </c:scaling>
        <c:delete val="1"/>
        <c:axPos val="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asse x →</a:t>
                </a:r>
                <a:endParaRPr lang="it-IT" sz="1050"/>
              </a:p>
            </c:rich>
          </c:tx>
          <c:layout>
            <c:manualLayout>
              <c:xMode val="edge"/>
              <c:yMode val="edge"/>
              <c:x val="0.41384661198217465"/>
              <c:y val="0.9686347124190809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41839576"/>
        <c:crosses val="max"/>
        <c:crossBetween val="midCat"/>
      </c:valAx>
      <c:valAx>
        <c:axId val="641839576"/>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 asse z →</a:t>
                </a:r>
                <a:endParaRPr lang="it-IT" sz="1050"/>
              </a:p>
            </c:rich>
          </c:tx>
          <c:layout>
            <c:manualLayout>
              <c:xMode val="edge"/>
              <c:yMode val="edge"/>
              <c:x val="2.4527820501367027E-2"/>
              <c:y val="0.2658355522921052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out"/>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it-IT"/>
          </a:p>
        </c:txPr>
        <c:crossAx val="641843496"/>
        <c:crosses val="autoZero"/>
        <c:crossBetween val="midCat"/>
        <c:minorUnit val="0.5"/>
      </c:valAx>
      <c:spPr>
        <a:noFill/>
        <a:ln w="25400">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Momento flettente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'SOLLECITAZ NASCOSTO'!$T$32:$T$448</c:f>
              <c:numCache>
                <c:formatCode>0.00</c:formatCode>
                <c:ptCount val="417"/>
                <c:pt idx="0">
                  <c:v>3.35</c:v>
                </c:pt>
                <c:pt idx="1">
                  <c:v>3.3431490384615388</c:v>
                </c:pt>
                <c:pt idx="2">
                  <c:v>3.3431490384615388</c:v>
                </c:pt>
                <c:pt idx="3">
                  <c:v>3.3294471153846157</c:v>
                </c:pt>
                <c:pt idx="4">
                  <c:v>3.3225961538461539</c:v>
                </c:pt>
                <c:pt idx="5">
                  <c:v>3.3157451923076926</c:v>
                </c:pt>
                <c:pt idx="6">
                  <c:v>3.3088942307692308</c:v>
                </c:pt>
                <c:pt idx="7">
                  <c:v>3.3020432692307695</c:v>
                </c:pt>
                <c:pt idx="8">
                  <c:v>3.2951923076923078</c:v>
                </c:pt>
                <c:pt idx="9">
                  <c:v>3.2883413461538464</c:v>
                </c:pt>
                <c:pt idx="10">
                  <c:v>3.2814903846153847</c:v>
                </c:pt>
                <c:pt idx="11">
                  <c:v>3.2746394230769234</c:v>
                </c:pt>
                <c:pt idx="12">
                  <c:v>3.2677884615384616</c:v>
                </c:pt>
                <c:pt idx="13">
                  <c:v>3.2609375000000003</c:v>
                </c:pt>
                <c:pt idx="14">
                  <c:v>3.2540865384615385</c:v>
                </c:pt>
                <c:pt idx="15">
                  <c:v>3.2472355769230772</c:v>
                </c:pt>
                <c:pt idx="16">
                  <c:v>3.2403846153846154</c:v>
                </c:pt>
                <c:pt idx="17">
                  <c:v>3.2335336538461541</c:v>
                </c:pt>
                <c:pt idx="18">
                  <c:v>3.2266826923076923</c:v>
                </c:pt>
                <c:pt idx="19">
                  <c:v>3.219831730769231</c:v>
                </c:pt>
                <c:pt idx="20">
                  <c:v>3.2129807692307693</c:v>
                </c:pt>
                <c:pt idx="21">
                  <c:v>3.2061298076923079</c:v>
                </c:pt>
                <c:pt idx="22">
                  <c:v>3.1992788461538462</c:v>
                </c:pt>
                <c:pt idx="23">
                  <c:v>3.1924278846153848</c:v>
                </c:pt>
                <c:pt idx="24">
                  <c:v>3.1855769230769231</c:v>
                </c:pt>
                <c:pt idx="25">
                  <c:v>3.1787259615384618</c:v>
                </c:pt>
                <c:pt idx="26">
                  <c:v>3.171875</c:v>
                </c:pt>
                <c:pt idx="27">
                  <c:v>3.1650240384615387</c:v>
                </c:pt>
                <c:pt idx="28">
                  <c:v>3.1581730769230769</c:v>
                </c:pt>
                <c:pt idx="29">
                  <c:v>3.1513221153846156</c:v>
                </c:pt>
                <c:pt idx="30">
                  <c:v>3.1444711538461538</c:v>
                </c:pt>
                <c:pt idx="31">
                  <c:v>3.1376201923076925</c:v>
                </c:pt>
                <c:pt idx="32">
                  <c:v>3.1307692307692307</c:v>
                </c:pt>
                <c:pt idx="33">
                  <c:v>3.1239182692307694</c:v>
                </c:pt>
                <c:pt idx="34">
                  <c:v>3.1170673076923077</c:v>
                </c:pt>
                <c:pt idx="35">
                  <c:v>3.1102163461538463</c:v>
                </c:pt>
                <c:pt idx="36">
                  <c:v>3.1033653846153846</c:v>
                </c:pt>
                <c:pt idx="37">
                  <c:v>3.0965144230769233</c:v>
                </c:pt>
                <c:pt idx="38">
                  <c:v>3.0896634615384615</c:v>
                </c:pt>
                <c:pt idx="39">
                  <c:v>3.0828125000000002</c:v>
                </c:pt>
                <c:pt idx="40">
                  <c:v>3.0759615384615384</c:v>
                </c:pt>
                <c:pt idx="41">
                  <c:v>3.0691105769230771</c:v>
                </c:pt>
                <c:pt idx="42">
                  <c:v>3.0622596153846153</c:v>
                </c:pt>
                <c:pt idx="43">
                  <c:v>3.055408653846154</c:v>
                </c:pt>
                <c:pt idx="44">
                  <c:v>3.0485576923076922</c:v>
                </c:pt>
                <c:pt idx="45">
                  <c:v>3.0417067307692309</c:v>
                </c:pt>
                <c:pt idx="46">
                  <c:v>3.0348557692307692</c:v>
                </c:pt>
                <c:pt idx="47">
                  <c:v>3.0280048076923078</c:v>
                </c:pt>
                <c:pt idx="48">
                  <c:v>3.0211538461538461</c:v>
                </c:pt>
                <c:pt idx="49">
                  <c:v>3.0143028846153848</c:v>
                </c:pt>
                <c:pt idx="50">
                  <c:v>3.007451923076923</c:v>
                </c:pt>
                <c:pt idx="51">
                  <c:v>3.0006009615384617</c:v>
                </c:pt>
                <c:pt idx="52">
                  <c:v>2.9937499999999999</c:v>
                </c:pt>
                <c:pt idx="53">
                  <c:v>2.9868990384615386</c:v>
                </c:pt>
                <c:pt idx="54">
                  <c:v>2.9800480769230768</c:v>
                </c:pt>
                <c:pt idx="55">
                  <c:v>2.9731971153846155</c:v>
                </c:pt>
                <c:pt idx="56">
                  <c:v>2.9663461538461542</c:v>
                </c:pt>
                <c:pt idx="57">
                  <c:v>2.9594951923076924</c:v>
                </c:pt>
                <c:pt idx="58">
                  <c:v>2.9526442307692307</c:v>
                </c:pt>
                <c:pt idx="59">
                  <c:v>2.9457932692307693</c:v>
                </c:pt>
                <c:pt idx="60">
                  <c:v>2.938942307692308</c:v>
                </c:pt>
                <c:pt idx="61">
                  <c:v>2.9320913461538463</c:v>
                </c:pt>
                <c:pt idx="62">
                  <c:v>2.9252403846153845</c:v>
                </c:pt>
                <c:pt idx="63">
                  <c:v>2.9183894230769232</c:v>
                </c:pt>
                <c:pt idx="64">
                  <c:v>2.9115384615384619</c:v>
                </c:pt>
                <c:pt idx="65">
                  <c:v>2.9046875000000001</c:v>
                </c:pt>
                <c:pt idx="66">
                  <c:v>2.8978365384615383</c:v>
                </c:pt>
                <c:pt idx="67">
                  <c:v>2.890985576923077</c:v>
                </c:pt>
                <c:pt idx="68">
                  <c:v>2.8841346153846157</c:v>
                </c:pt>
                <c:pt idx="69">
                  <c:v>2.8772836538461539</c:v>
                </c:pt>
                <c:pt idx="70">
                  <c:v>2.8704326923076922</c:v>
                </c:pt>
                <c:pt idx="71">
                  <c:v>2.8635817307692308</c:v>
                </c:pt>
                <c:pt idx="72">
                  <c:v>2.8567307692307695</c:v>
                </c:pt>
                <c:pt idx="73">
                  <c:v>2.8498798076923078</c:v>
                </c:pt>
                <c:pt idx="74">
                  <c:v>2.843028846153846</c:v>
                </c:pt>
                <c:pt idx="75">
                  <c:v>2.8361778846153847</c:v>
                </c:pt>
                <c:pt idx="76">
                  <c:v>2.8293269230769234</c:v>
                </c:pt>
                <c:pt idx="77">
                  <c:v>2.8224759615384616</c:v>
                </c:pt>
                <c:pt idx="78">
                  <c:v>2.8156249999999998</c:v>
                </c:pt>
                <c:pt idx="79">
                  <c:v>2.8087740384615385</c:v>
                </c:pt>
                <c:pt idx="80">
                  <c:v>2.8019230769230772</c:v>
                </c:pt>
                <c:pt idx="81">
                  <c:v>2.7950721153846154</c:v>
                </c:pt>
                <c:pt idx="82">
                  <c:v>2.7882211538461541</c:v>
                </c:pt>
                <c:pt idx="83">
                  <c:v>2.7813701923076923</c:v>
                </c:pt>
                <c:pt idx="84">
                  <c:v>2.774519230769231</c:v>
                </c:pt>
                <c:pt idx="85">
                  <c:v>2.7676682692307693</c:v>
                </c:pt>
                <c:pt idx="86">
                  <c:v>2.7608173076923079</c:v>
                </c:pt>
                <c:pt idx="87">
                  <c:v>2.7539663461538462</c:v>
                </c:pt>
                <c:pt idx="88">
                  <c:v>2.7471153846153848</c:v>
                </c:pt>
                <c:pt idx="89">
                  <c:v>2.7402644230769231</c:v>
                </c:pt>
                <c:pt idx="90">
                  <c:v>2.7334134615384618</c:v>
                </c:pt>
                <c:pt idx="91">
                  <c:v>2.7265625</c:v>
                </c:pt>
                <c:pt idx="92">
                  <c:v>2.7197115384615387</c:v>
                </c:pt>
                <c:pt idx="93">
                  <c:v>2.7128605769230769</c:v>
                </c:pt>
                <c:pt idx="94">
                  <c:v>2.7060096153846156</c:v>
                </c:pt>
                <c:pt idx="95">
                  <c:v>2.6991586538461538</c:v>
                </c:pt>
                <c:pt idx="96">
                  <c:v>2.6923076923076925</c:v>
                </c:pt>
                <c:pt idx="97">
                  <c:v>2.6854567307692307</c:v>
                </c:pt>
                <c:pt idx="98">
                  <c:v>2.6786057692307694</c:v>
                </c:pt>
                <c:pt idx="99">
                  <c:v>2.6717548076923077</c:v>
                </c:pt>
                <c:pt idx="100">
                  <c:v>2.6649038461538463</c:v>
                </c:pt>
                <c:pt idx="101">
                  <c:v>2.6580528846153846</c:v>
                </c:pt>
                <c:pt idx="102">
                  <c:v>2.6512019230769233</c:v>
                </c:pt>
                <c:pt idx="103">
                  <c:v>2.6443509615384615</c:v>
                </c:pt>
                <c:pt idx="104">
                  <c:v>2.6375000000000002</c:v>
                </c:pt>
                <c:pt idx="105">
                  <c:v>2.6306490384615384</c:v>
                </c:pt>
                <c:pt idx="106">
                  <c:v>2.6237980769230771</c:v>
                </c:pt>
                <c:pt idx="107">
                  <c:v>2.6169471153846153</c:v>
                </c:pt>
                <c:pt idx="108">
                  <c:v>2.610096153846154</c:v>
                </c:pt>
                <c:pt idx="109">
                  <c:v>2.6032451923076922</c:v>
                </c:pt>
                <c:pt idx="110">
                  <c:v>2.5963942307692309</c:v>
                </c:pt>
                <c:pt idx="111">
                  <c:v>2.5895432692307692</c:v>
                </c:pt>
                <c:pt idx="112">
                  <c:v>2.5826923076923078</c:v>
                </c:pt>
                <c:pt idx="113">
                  <c:v>2.5758413461538465</c:v>
                </c:pt>
                <c:pt idx="114">
                  <c:v>2.5689903846153848</c:v>
                </c:pt>
                <c:pt idx="115">
                  <c:v>2.562139423076923</c:v>
                </c:pt>
                <c:pt idx="116">
                  <c:v>2.5552884615384617</c:v>
                </c:pt>
                <c:pt idx="117">
                  <c:v>2.5484375000000004</c:v>
                </c:pt>
                <c:pt idx="118">
                  <c:v>2.5415865384615386</c:v>
                </c:pt>
                <c:pt idx="119">
                  <c:v>2.5347355769230768</c:v>
                </c:pt>
                <c:pt idx="120">
                  <c:v>2.5278846153846155</c:v>
                </c:pt>
                <c:pt idx="121">
                  <c:v>2.5210336538461542</c:v>
                </c:pt>
                <c:pt idx="122">
                  <c:v>2.5141826923076924</c:v>
                </c:pt>
                <c:pt idx="123">
                  <c:v>2.5073317307692307</c:v>
                </c:pt>
                <c:pt idx="124">
                  <c:v>2.5004807692307693</c:v>
                </c:pt>
                <c:pt idx="125">
                  <c:v>2.493629807692308</c:v>
                </c:pt>
                <c:pt idx="126">
                  <c:v>2.4867788461538463</c:v>
                </c:pt>
                <c:pt idx="127">
                  <c:v>2.4799278846153845</c:v>
                </c:pt>
                <c:pt idx="128">
                  <c:v>2.4730769230769232</c:v>
                </c:pt>
                <c:pt idx="129">
                  <c:v>2.4662259615384619</c:v>
                </c:pt>
                <c:pt idx="130">
                  <c:v>2.4593750000000001</c:v>
                </c:pt>
                <c:pt idx="131">
                  <c:v>2.4525240384615383</c:v>
                </c:pt>
                <c:pt idx="132">
                  <c:v>2.445673076923077</c:v>
                </c:pt>
                <c:pt idx="133">
                  <c:v>2.4388221153846157</c:v>
                </c:pt>
                <c:pt idx="134">
                  <c:v>2.4319711538461539</c:v>
                </c:pt>
                <c:pt idx="135">
                  <c:v>2.4251201923076922</c:v>
                </c:pt>
                <c:pt idx="136">
                  <c:v>2.4182692307692308</c:v>
                </c:pt>
                <c:pt idx="137">
                  <c:v>2.4114182692307695</c:v>
                </c:pt>
                <c:pt idx="138">
                  <c:v>2.4045673076923078</c:v>
                </c:pt>
                <c:pt idx="139">
                  <c:v>2.397716346153846</c:v>
                </c:pt>
                <c:pt idx="140">
                  <c:v>2.3908653846153847</c:v>
                </c:pt>
                <c:pt idx="141">
                  <c:v>2.3840144230769234</c:v>
                </c:pt>
                <c:pt idx="142">
                  <c:v>2.3771634615384616</c:v>
                </c:pt>
                <c:pt idx="143">
                  <c:v>2.3703124999999998</c:v>
                </c:pt>
                <c:pt idx="144">
                  <c:v>2.3634615384615385</c:v>
                </c:pt>
                <c:pt idx="145">
                  <c:v>2.3566105769230772</c:v>
                </c:pt>
                <c:pt idx="146">
                  <c:v>2.3497596153846154</c:v>
                </c:pt>
                <c:pt idx="147">
                  <c:v>2.3429086538461537</c:v>
                </c:pt>
                <c:pt idx="148">
                  <c:v>2.3360576923076923</c:v>
                </c:pt>
                <c:pt idx="149">
                  <c:v>2.329206730769231</c:v>
                </c:pt>
                <c:pt idx="150">
                  <c:v>2.3223557692307693</c:v>
                </c:pt>
                <c:pt idx="151">
                  <c:v>2.3155048076923075</c:v>
                </c:pt>
                <c:pt idx="152">
                  <c:v>2.3086538461538462</c:v>
                </c:pt>
                <c:pt idx="153">
                  <c:v>2.3018028846153848</c:v>
                </c:pt>
                <c:pt idx="154">
                  <c:v>2.2949519230769231</c:v>
                </c:pt>
                <c:pt idx="155">
                  <c:v>2.2881009615384613</c:v>
                </c:pt>
                <c:pt idx="156">
                  <c:v>2.28125</c:v>
                </c:pt>
                <c:pt idx="157">
                  <c:v>2.2743990384615387</c:v>
                </c:pt>
                <c:pt idx="158">
                  <c:v>2.2675480769230769</c:v>
                </c:pt>
                <c:pt idx="159">
                  <c:v>2.2606971153846152</c:v>
                </c:pt>
                <c:pt idx="160">
                  <c:v>2.2538461538461538</c:v>
                </c:pt>
                <c:pt idx="161">
                  <c:v>2.2469951923076925</c:v>
                </c:pt>
                <c:pt idx="162">
                  <c:v>2.2401442307692312</c:v>
                </c:pt>
                <c:pt idx="163">
                  <c:v>2.2332932692307694</c:v>
                </c:pt>
                <c:pt idx="164">
                  <c:v>2.2264423076923077</c:v>
                </c:pt>
                <c:pt idx="165">
                  <c:v>2.2195913461538463</c:v>
                </c:pt>
                <c:pt idx="166">
                  <c:v>2.212740384615385</c:v>
                </c:pt>
                <c:pt idx="167">
                  <c:v>2.2058894230769233</c:v>
                </c:pt>
                <c:pt idx="168">
                  <c:v>2.1990384615384615</c:v>
                </c:pt>
                <c:pt idx="169">
                  <c:v>2.1921875000000002</c:v>
                </c:pt>
                <c:pt idx="170">
                  <c:v>2.1853365384615389</c:v>
                </c:pt>
                <c:pt idx="171">
                  <c:v>2.1784855769230771</c:v>
                </c:pt>
                <c:pt idx="172">
                  <c:v>2.1716346153846153</c:v>
                </c:pt>
                <c:pt idx="173">
                  <c:v>2.164783653846154</c:v>
                </c:pt>
                <c:pt idx="174">
                  <c:v>2.1579326923076927</c:v>
                </c:pt>
                <c:pt idx="175">
                  <c:v>2.1510817307692309</c:v>
                </c:pt>
                <c:pt idx="176">
                  <c:v>2.1442307692307692</c:v>
                </c:pt>
                <c:pt idx="177">
                  <c:v>2.1373798076923078</c:v>
                </c:pt>
                <c:pt idx="178">
                  <c:v>2.1305288461538465</c:v>
                </c:pt>
                <c:pt idx="179">
                  <c:v>2.1236778846153848</c:v>
                </c:pt>
                <c:pt idx="180">
                  <c:v>2.116826923076923</c:v>
                </c:pt>
                <c:pt idx="181">
                  <c:v>2.1099759615384617</c:v>
                </c:pt>
                <c:pt idx="182">
                  <c:v>2.1031250000000004</c:v>
                </c:pt>
                <c:pt idx="183">
                  <c:v>2.0962740384615386</c:v>
                </c:pt>
                <c:pt idx="184">
                  <c:v>2.0894230769230768</c:v>
                </c:pt>
                <c:pt idx="185">
                  <c:v>2.0825721153846155</c:v>
                </c:pt>
                <c:pt idx="186">
                  <c:v>2.0757211538461542</c:v>
                </c:pt>
                <c:pt idx="187">
                  <c:v>2.0688701923076924</c:v>
                </c:pt>
                <c:pt idx="188">
                  <c:v>2.0620192307692307</c:v>
                </c:pt>
                <c:pt idx="189">
                  <c:v>2.0551682692307693</c:v>
                </c:pt>
                <c:pt idx="190">
                  <c:v>2.048317307692308</c:v>
                </c:pt>
                <c:pt idx="191">
                  <c:v>2.0414663461538463</c:v>
                </c:pt>
                <c:pt idx="192">
                  <c:v>2.0346153846153845</c:v>
                </c:pt>
                <c:pt idx="193">
                  <c:v>2.0277644230769232</c:v>
                </c:pt>
                <c:pt idx="194">
                  <c:v>2.0209134615384619</c:v>
                </c:pt>
                <c:pt idx="195">
                  <c:v>2.0140625000000001</c:v>
                </c:pt>
                <c:pt idx="196">
                  <c:v>2.0072115384615383</c:v>
                </c:pt>
                <c:pt idx="197">
                  <c:v>2.000360576923077</c:v>
                </c:pt>
                <c:pt idx="198">
                  <c:v>1.9935096153846155</c:v>
                </c:pt>
                <c:pt idx="199">
                  <c:v>1.9866586538461539</c:v>
                </c:pt>
                <c:pt idx="200">
                  <c:v>1.9798076923076924</c:v>
                </c:pt>
                <c:pt idx="201">
                  <c:v>1.9729567307692308</c:v>
                </c:pt>
                <c:pt idx="202">
                  <c:v>1.9661057692307693</c:v>
                </c:pt>
                <c:pt idx="203">
                  <c:v>1.9592548076923078</c:v>
                </c:pt>
                <c:pt idx="204">
                  <c:v>1.9524038461538462</c:v>
                </c:pt>
                <c:pt idx="205">
                  <c:v>1.9455528846153847</c:v>
                </c:pt>
                <c:pt idx="206">
                  <c:v>1.9387019230769231</c:v>
                </c:pt>
                <c:pt idx="207">
                  <c:v>1.9318509615384616</c:v>
                </c:pt>
                <c:pt idx="208">
                  <c:v>1.925</c:v>
                </c:pt>
                <c:pt idx="209">
                  <c:v>1.9181490384615385</c:v>
                </c:pt>
                <c:pt idx="210">
                  <c:v>1.911298076923077</c:v>
                </c:pt>
                <c:pt idx="211">
                  <c:v>1.9044471153846154</c:v>
                </c:pt>
                <c:pt idx="212">
                  <c:v>1.8975961538461539</c:v>
                </c:pt>
                <c:pt idx="213">
                  <c:v>1.8907451923076923</c:v>
                </c:pt>
                <c:pt idx="214">
                  <c:v>1.8838942307692308</c:v>
                </c:pt>
                <c:pt idx="215">
                  <c:v>1.8770432692307693</c:v>
                </c:pt>
                <c:pt idx="216">
                  <c:v>1.8701923076923077</c:v>
                </c:pt>
                <c:pt idx="217">
                  <c:v>1.8633413461538462</c:v>
                </c:pt>
                <c:pt idx="218">
                  <c:v>1.8564903846153846</c:v>
                </c:pt>
                <c:pt idx="219">
                  <c:v>1.8496394230769231</c:v>
                </c:pt>
                <c:pt idx="220">
                  <c:v>1.8427884615384615</c:v>
                </c:pt>
                <c:pt idx="221">
                  <c:v>1.8359375</c:v>
                </c:pt>
                <c:pt idx="222">
                  <c:v>1.8290865384615385</c:v>
                </c:pt>
                <c:pt idx="223">
                  <c:v>1.8222355769230769</c:v>
                </c:pt>
                <c:pt idx="224">
                  <c:v>1.8153846153846156</c:v>
                </c:pt>
                <c:pt idx="225">
                  <c:v>1.8085336538461541</c:v>
                </c:pt>
                <c:pt idx="226">
                  <c:v>1.8016826923076925</c:v>
                </c:pt>
                <c:pt idx="227">
                  <c:v>1.794831730769231</c:v>
                </c:pt>
                <c:pt idx="228">
                  <c:v>1.7879807692307694</c:v>
                </c:pt>
                <c:pt idx="229">
                  <c:v>1.7811298076923079</c:v>
                </c:pt>
                <c:pt idx="230">
                  <c:v>1.7742788461538463</c:v>
                </c:pt>
                <c:pt idx="231">
                  <c:v>1.7674278846153848</c:v>
                </c:pt>
                <c:pt idx="232">
                  <c:v>1.7605769230769233</c:v>
                </c:pt>
                <c:pt idx="233">
                  <c:v>1.7537259615384617</c:v>
                </c:pt>
                <c:pt idx="234">
                  <c:v>1.7468750000000002</c:v>
                </c:pt>
                <c:pt idx="235">
                  <c:v>1.7400240384615386</c:v>
                </c:pt>
                <c:pt idx="236">
                  <c:v>1.7331730769230771</c:v>
                </c:pt>
                <c:pt idx="237">
                  <c:v>1.7263221153846156</c:v>
                </c:pt>
                <c:pt idx="238">
                  <c:v>1.719471153846154</c:v>
                </c:pt>
                <c:pt idx="239">
                  <c:v>1.7126201923076925</c:v>
                </c:pt>
                <c:pt idx="240">
                  <c:v>1.7057692307692309</c:v>
                </c:pt>
                <c:pt idx="241">
                  <c:v>1.6989182692307694</c:v>
                </c:pt>
                <c:pt idx="242">
                  <c:v>1.6920673076923078</c:v>
                </c:pt>
                <c:pt idx="243">
                  <c:v>1.6852163461538463</c:v>
                </c:pt>
                <c:pt idx="244">
                  <c:v>1.6783653846153848</c:v>
                </c:pt>
                <c:pt idx="245">
                  <c:v>1.6715144230769232</c:v>
                </c:pt>
                <c:pt idx="246">
                  <c:v>1.6646634615384617</c:v>
                </c:pt>
                <c:pt idx="247">
                  <c:v>1.6578125000000001</c:v>
                </c:pt>
                <c:pt idx="248">
                  <c:v>1.6509615384615386</c:v>
                </c:pt>
                <c:pt idx="249">
                  <c:v>1.644110576923077</c:v>
                </c:pt>
                <c:pt idx="250">
                  <c:v>1.6372596153846155</c:v>
                </c:pt>
                <c:pt idx="251">
                  <c:v>1.630408653846154</c:v>
                </c:pt>
                <c:pt idx="252">
                  <c:v>1.6235576923076924</c:v>
                </c:pt>
                <c:pt idx="253">
                  <c:v>1.6167067307692309</c:v>
                </c:pt>
                <c:pt idx="254">
                  <c:v>1.6098557692307693</c:v>
                </c:pt>
                <c:pt idx="255">
                  <c:v>1.6030048076923078</c:v>
                </c:pt>
                <c:pt idx="256">
                  <c:v>1.5961538461538463</c:v>
                </c:pt>
                <c:pt idx="257">
                  <c:v>1.5893028846153847</c:v>
                </c:pt>
                <c:pt idx="258">
                  <c:v>1.5824519230769232</c:v>
                </c:pt>
                <c:pt idx="259">
                  <c:v>1.5756009615384616</c:v>
                </c:pt>
                <c:pt idx="260">
                  <c:v>1.5687500000000001</c:v>
                </c:pt>
                <c:pt idx="261">
                  <c:v>1.5618990384615385</c:v>
                </c:pt>
                <c:pt idx="262">
                  <c:v>1.555048076923077</c:v>
                </c:pt>
                <c:pt idx="263">
                  <c:v>1.5481971153846155</c:v>
                </c:pt>
                <c:pt idx="264">
                  <c:v>1.5413461538461539</c:v>
                </c:pt>
                <c:pt idx="265">
                  <c:v>1.5344951923076924</c:v>
                </c:pt>
                <c:pt idx="266">
                  <c:v>1.5276442307692308</c:v>
                </c:pt>
                <c:pt idx="267">
                  <c:v>1.5207932692307693</c:v>
                </c:pt>
                <c:pt idx="268">
                  <c:v>1.5139423076923078</c:v>
                </c:pt>
                <c:pt idx="269">
                  <c:v>1.5070913461538462</c:v>
                </c:pt>
                <c:pt idx="270">
                  <c:v>1.5002403846153847</c:v>
                </c:pt>
                <c:pt idx="271">
                  <c:v>1.4933894230769231</c:v>
                </c:pt>
                <c:pt idx="272">
                  <c:v>1.4865384615384616</c:v>
                </c:pt>
                <c:pt idx="273">
                  <c:v>1.4796875</c:v>
                </c:pt>
                <c:pt idx="274">
                  <c:v>1.4728365384615385</c:v>
                </c:pt>
                <c:pt idx="275">
                  <c:v>1.465985576923077</c:v>
                </c:pt>
                <c:pt idx="276">
                  <c:v>1.4591346153846154</c:v>
                </c:pt>
                <c:pt idx="277">
                  <c:v>1.4522836538461539</c:v>
                </c:pt>
                <c:pt idx="278">
                  <c:v>1.4454326923076923</c:v>
                </c:pt>
                <c:pt idx="279">
                  <c:v>1.4385817307692308</c:v>
                </c:pt>
                <c:pt idx="280">
                  <c:v>1.4317307692307693</c:v>
                </c:pt>
                <c:pt idx="281">
                  <c:v>1.4248798076923077</c:v>
                </c:pt>
                <c:pt idx="282">
                  <c:v>1.4180288461538462</c:v>
                </c:pt>
                <c:pt idx="283">
                  <c:v>1.4111778846153846</c:v>
                </c:pt>
                <c:pt idx="284">
                  <c:v>1.4043269230769231</c:v>
                </c:pt>
                <c:pt idx="285">
                  <c:v>1.3974759615384615</c:v>
                </c:pt>
                <c:pt idx="286">
                  <c:v>1.390625</c:v>
                </c:pt>
                <c:pt idx="287">
                  <c:v>1.3837740384615385</c:v>
                </c:pt>
                <c:pt idx="288">
                  <c:v>1.3769230769230769</c:v>
                </c:pt>
                <c:pt idx="289">
                  <c:v>1.3700721153846156</c:v>
                </c:pt>
                <c:pt idx="290">
                  <c:v>1.3632211538461541</c:v>
                </c:pt>
                <c:pt idx="291">
                  <c:v>1.3563701923076925</c:v>
                </c:pt>
                <c:pt idx="292">
                  <c:v>1.3495192307692307</c:v>
                </c:pt>
                <c:pt idx="293">
                  <c:v>1.3426682692307694</c:v>
                </c:pt>
                <c:pt idx="294">
                  <c:v>1.3358173076923077</c:v>
                </c:pt>
                <c:pt idx="295">
                  <c:v>1.3289663461538463</c:v>
                </c:pt>
                <c:pt idx="296">
                  <c:v>1.3221153846153846</c:v>
                </c:pt>
                <c:pt idx="297">
                  <c:v>1.3152644230769233</c:v>
                </c:pt>
                <c:pt idx="298">
                  <c:v>1.3084134615384615</c:v>
                </c:pt>
                <c:pt idx="299">
                  <c:v>1.3015625000000002</c:v>
                </c:pt>
                <c:pt idx="300">
                  <c:v>1.2947115384615384</c:v>
                </c:pt>
                <c:pt idx="301">
                  <c:v>1.2878605769230771</c:v>
                </c:pt>
                <c:pt idx="302">
                  <c:v>1.2810096153846153</c:v>
                </c:pt>
                <c:pt idx="303">
                  <c:v>1.274158653846154</c:v>
                </c:pt>
                <c:pt idx="304">
                  <c:v>1.2673076923076922</c:v>
                </c:pt>
                <c:pt idx="305">
                  <c:v>1.2604567307692309</c:v>
                </c:pt>
                <c:pt idx="306">
                  <c:v>1.2536057692307692</c:v>
                </c:pt>
                <c:pt idx="307">
                  <c:v>1.2467548076923078</c:v>
                </c:pt>
                <c:pt idx="308">
                  <c:v>1.2399038461538461</c:v>
                </c:pt>
                <c:pt idx="309">
                  <c:v>1.2330528846153848</c:v>
                </c:pt>
                <c:pt idx="310">
                  <c:v>1.226201923076923</c:v>
                </c:pt>
                <c:pt idx="311">
                  <c:v>1.2193509615384617</c:v>
                </c:pt>
                <c:pt idx="312">
                  <c:v>1.2124999999999999</c:v>
                </c:pt>
                <c:pt idx="313">
                  <c:v>1.2056490384615386</c:v>
                </c:pt>
                <c:pt idx="314">
                  <c:v>1.1987980769230768</c:v>
                </c:pt>
                <c:pt idx="315">
                  <c:v>1.1919471153846155</c:v>
                </c:pt>
                <c:pt idx="316">
                  <c:v>1.1850961538461537</c:v>
                </c:pt>
                <c:pt idx="317">
                  <c:v>1.1782451923076924</c:v>
                </c:pt>
                <c:pt idx="318">
                  <c:v>1.1713942307692307</c:v>
                </c:pt>
                <c:pt idx="319">
                  <c:v>1.1645432692307693</c:v>
                </c:pt>
                <c:pt idx="320">
                  <c:v>1.1576923076923076</c:v>
                </c:pt>
                <c:pt idx="321">
                  <c:v>1.1508413461538463</c:v>
                </c:pt>
                <c:pt idx="322">
                  <c:v>1.1439903846153849</c:v>
                </c:pt>
                <c:pt idx="323">
                  <c:v>1.1371394230769232</c:v>
                </c:pt>
                <c:pt idx="324">
                  <c:v>1.1302884615384619</c:v>
                </c:pt>
                <c:pt idx="325">
                  <c:v>1.1234375000000001</c:v>
                </c:pt>
                <c:pt idx="326">
                  <c:v>1.1165865384615388</c:v>
                </c:pt>
                <c:pt idx="327">
                  <c:v>1.109735576923077</c:v>
                </c:pt>
                <c:pt idx="328">
                  <c:v>1.1028846153846157</c:v>
                </c:pt>
                <c:pt idx="329">
                  <c:v>1.0960336538461539</c:v>
                </c:pt>
                <c:pt idx="330">
                  <c:v>1.0891826923076926</c:v>
                </c:pt>
                <c:pt idx="331">
                  <c:v>1.0823317307692308</c:v>
                </c:pt>
                <c:pt idx="332">
                  <c:v>1.0754807692307695</c:v>
                </c:pt>
                <c:pt idx="333">
                  <c:v>1.0686298076923078</c:v>
                </c:pt>
                <c:pt idx="334">
                  <c:v>1.0617788461538464</c:v>
                </c:pt>
                <c:pt idx="335">
                  <c:v>1.0549278846153847</c:v>
                </c:pt>
                <c:pt idx="336">
                  <c:v>1.0480769230769234</c:v>
                </c:pt>
                <c:pt idx="337">
                  <c:v>1.0412259615384616</c:v>
                </c:pt>
                <c:pt idx="338">
                  <c:v>1.0343750000000003</c:v>
                </c:pt>
                <c:pt idx="339">
                  <c:v>1.0275240384615385</c:v>
                </c:pt>
                <c:pt idx="340">
                  <c:v>1.0206730769230772</c:v>
                </c:pt>
                <c:pt idx="341">
                  <c:v>1.0138221153846154</c:v>
                </c:pt>
                <c:pt idx="342">
                  <c:v>1.0069711538461541</c:v>
                </c:pt>
                <c:pt idx="343">
                  <c:v>1.0001201923076923</c:v>
                </c:pt>
                <c:pt idx="344">
                  <c:v>0.99326923076923102</c:v>
                </c:pt>
                <c:pt idx="345">
                  <c:v>0.98641826923076925</c:v>
                </c:pt>
                <c:pt idx="346">
                  <c:v>0.97956730769230793</c:v>
                </c:pt>
                <c:pt idx="347">
                  <c:v>0.97271634615384617</c:v>
                </c:pt>
                <c:pt idx="348">
                  <c:v>0.96586538461538485</c:v>
                </c:pt>
                <c:pt idx="349">
                  <c:v>0.95901442307692308</c:v>
                </c:pt>
                <c:pt idx="350">
                  <c:v>0.95216346153846176</c:v>
                </c:pt>
                <c:pt idx="351">
                  <c:v>0.9453125</c:v>
                </c:pt>
                <c:pt idx="352">
                  <c:v>0.93846153846153868</c:v>
                </c:pt>
                <c:pt idx="353">
                  <c:v>0.93161057692307692</c:v>
                </c:pt>
                <c:pt idx="354">
                  <c:v>0.9247596153846156</c:v>
                </c:pt>
                <c:pt idx="355">
                  <c:v>0.91790865384615383</c:v>
                </c:pt>
                <c:pt idx="356">
                  <c:v>0.91105769230769251</c:v>
                </c:pt>
                <c:pt idx="357">
                  <c:v>0.90420673076923075</c:v>
                </c:pt>
                <c:pt idx="358">
                  <c:v>0.89735576923076943</c:v>
                </c:pt>
                <c:pt idx="359">
                  <c:v>0.89050480769230766</c:v>
                </c:pt>
                <c:pt idx="360">
                  <c:v>0.88365384615384635</c:v>
                </c:pt>
                <c:pt idx="361">
                  <c:v>0.87680288461538458</c:v>
                </c:pt>
                <c:pt idx="362">
                  <c:v>0.86995192307692326</c:v>
                </c:pt>
                <c:pt idx="363">
                  <c:v>0.8631009615384615</c:v>
                </c:pt>
                <c:pt idx="364">
                  <c:v>0.85625000000000018</c:v>
                </c:pt>
                <c:pt idx="365">
                  <c:v>0.84939903846153841</c:v>
                </c:pt>
                <c:pt idx="366">
                  <c:v>0.84254807692307709</c:v>
                </c:pt>
                <c:pt idx="367">
                  <c:v>0.83569711538461533</c:v>
                </c:pt>
                <c:pt idx="368">
                  <c:v>0.82884615384615401</c:v>
                </c:pt>
                <c:pt idx="369">
                  <c:v>0.82199519230769225</c:v>
                </c:pt>
                <c:pt idx="370">
                  <c:v>0.81514423076923093</c:v>
                </c:pt>
                <c:pt idx="371">
                  <c:v>0.80829326923076916</c:v>
                </c:pt>
                <c:pt idx="372">
                  <c:v>0.80144230769230784</c:v>
                </c:pt>
                <c:pt idx="373">
                  <c:v>0.79459134615384608</c:v>
                </c:pt>
                <c:pt idx="374">
                  <c:v>0.78774038461538476</c:v>
                </c:pt>
                <c:pt idx="375">
                  <c:v>0.78088942307692299</c:v>
                </c:pt>
                <c:pt idx="376">
                  <c:v>0.77403846153846168</c:v>
                </c:pt>
                <c:pt idx="377">
                  <c:v>0.76718749999999991</c:v>
                </c:pt>
                <c:pt idx="378">
                  <c:v>0.76033653846153859</c:v>
                </c:pt>
                <c:pt idx="379">
                  <c:v>0.75348557692307683</c:v>
                </c:pt>
                <c:pt idx="380">
                  <c:v>0.74663461538461551</c:v>
                </c:pt>
                <c:pt idx="381">
                  <c:v>0.73978365384615374</c:v>
                </c:pt>
                <c:pt idx="382">
                  <c:v>0.73293269230769242</c:v>
                </c:pt>
                <c:pt idx="383">
                  <c:v>0.72608173076923066</c:v>
                </c:pt>
                <c:pt idx="384">
                  <c:v>0.71923076923076934</c:v>
                </c:pt>
                <c:pt idx="385">
                  <c:v>0.71237980769230802</c:v>
                </c:pt>
                <c:pt idx="386">
                  <c:v>0.70552884615384626</c:v>
                </c:pt>
                <c:pt idx="387">
                  <c:v>0.69867788461538494</c:v>
                </c:pt>
                <c:pt idx="388">
                  <c:v>0.69182692307692317</c:v>
                </c:pt>
                <c:pt idx="389">
                  <c:v>0.68497596153846185</c:v>
                </c:pt>
                <c:pt idx="390">
                  <c:v>0.67812500000000009</c:v>
                </c:pt>
                <c:pt idx="391">
                  <c:v>0.67127403846153877</c:v>
                </c:pt>
                <c:pt idx="392">
                  <c:v>0.66442307692307701</c:v>
                </c:pt>
                <c:pt idx="393">
                  <c:v>0.65757211538461569</c:v>
                </c:pt>
                <c:pt idx="394">
                  <c:v>0.65072115384615392</c:v>
                </c:pt>
                <c:pt idx="395">
                  <c:v>0.6438701923076926</c:v>
                </c:pt>
                <c:pt idx="396">
                  <c:v>0.63701923076923084</c:v>
                </c:pt>
                <c:pt idx="397">
                  <c:v>0.63016826923076952</c:v>
                </c:pt>
                <c:pt idx="398">
                  <c:v>0.62331730769230775</c:v>
                </c:pt>
                <c:pt idx="399">
                  <c:v>0.61646634615384643</c:v>
                </c:pt>
                <c:pt idx="400">
                  <c:v>0.60961538461538467</c:v>
                </c:pt>
                <c:pt idx="401">
                  <c:v>0.60276442307692335</c:v>
                </c:pt>
                <c:pt idx="402">
                  <c:v>0.59591346153846159</c:v>
                </c:pt>
                <c:pt idx="403">
                  <c:v>0.58906250000000027</c:v>
                </c:pt>
                <c:pt idx="404">
                  <c:v>0.5822115384615385</c:v>
                </c:pt>
                <c:pt idx="405">
                  <c:v>0.57536057692307718</c:v>
                </c:pt>
                <c:pt idx="406">
                  <c:v>0.56850961538461542</c:v>
                </c:pt>
                <c:pt idx="407">
                  <c:v>0.5616586538461541</c:v>
                </c:pt>
                <c:pt idx="408">
                  <c:v>0.55480769230769234</c:v>
                </c:pt>
                <c:pt idx="409">
                  <c:v>0.54795673076923102</c:v>
                </c:pt>
                <c:pt idx="410">
                  <c:v>0.54110576923076925</c:v>
                </c:pt>
                <c:pt idx="411">
                  <c:v>0.53425480769230793</c:v>
                </c:pt>
                <c:pt idx="412">
                  <c:v>0.52740384615384617</c:v>
                </c:pt>
                <c:pt idx="413">
                  <c:v>0.52055288461538485</c:v>
                </c:pt>
                <c:pt idx="414">
                  <c:v>0.51370192307692308</c:v>
                </c:pt>
                <c:pt idx="415">
                  <c:v>0.50685096153846176</c:v>
                </c:pt>
                <c:pt idx="416">
                  <c:v>0.5</c:v>
                </c:pt>
              </c:numCache>
            </c:numRef>
          </c:xVal>
          <c:yVal>
            <c:numRef>
              <c:f>'SOLLECITAZ NASCOSTO'!$V$32:$V$448</c:f>
              <c:numCache>
                <c:formatCode>0.00</c:formatCode>
                <c:ptCount val="417"/>
                <c:pt idx="0">
                  <c:v>0</c:v>
                </c:pt>
                <c:pt idx="1">
                  <c:v>-9.7817425628780351E-5</c:v>
                </c:pt>
                <c:pt idx="2">
                  <c:v>-3.9239926158491782E-4</c:v>
                </c:pt>
                <c:pt idx="3">
                  <c:v>-8.8600462600800533E-4</c:v>
                </c:pt>
                <c:pt idx="4">
                  <c:v>-1.5808926370376357E-3</c:v>
                </c:pt>
                <c:pt idx="5">
                  <c:v>-2.4793224128134023E-3</c:v>
                </c:pt>
                <c:pt idx="6">
                  <c:v>-3.5835530714748965E-3</c:v>
                </c:pt>
                <c:pt idx="7">
                  <c:v>-4.8958437311617115E-3</c:v>
                </c:pt>
                <c:pt idx="8">
                  <c:v>-6.4184535100134431E-3</c:v>
                </c:pt>
                <c:pt idx="9">
                  <c:v>-8.1536415261696821E-3</c:v>
                </c:pt>
                <c:pt idx="10">
                  <c:v>-1.0103666897770021E-2</c:v>
                </c:pt>
                <c:pt idx="11">
                  <c:v>-1.2270788742954048E-2</c:v>
                </c:pt>
                <c:pt idx="12">
                  <c:v>-1.4657266179861366E-2</c:v>
                </c:pt>
                <c:pt idx="13">
                  <c:v>-1.7265358326631564E-2</c:v>
                </c:pt>
                <c:pt idx="14">
                  <c:v>-2.0097324301404228E-2</c:v>
                </c:pt>
                <c:pt idx="15">
                  <c:v>-2.315542322231896E-2</c:v>
                </c:pt>
                <c:pt idx="16">
                  <c:v>-2.6441914207515349E-2</c:v>
                </c:pt>
                <c:pt idx="17">
                  <c:v>-2.9959056375132988E-2</c:v>
                </c:pt>
                <c:pt idx="18">
                  <c:v>-3.3709108843311471E-2</c:v>
                </c:pt>
                <c:pt idx="19">
                  <c:v>-3.7694330730190392E-2</c:v>
                </c:pt>
                <c:pt idx="20">
                  <c:v>-4.1916981153909343E-2</c:v>
                </c:pt>
                <c:pt idx="21">
                  <c:v>-4.6379319232607893E-2</c:v>
                </c:pt>
                <c:pt idx="22">
                  <c:v>-5.1083604084425679E-2</c:v>
                </c:pt>
                <c:pt idx="23">
                  <c:v>-5.6032094827502273E-2</c:v>
                </c:pt>
                <c:pt idx="24">
                  <c:v>-6.1227050579977266E-2</c:v>
                </c:pt>
                <c:pt idx="25">
                  <c:v>-6.6670730459990252E-2</c:v>
                </c:pt>
                <c:pt idx="26">
                  <c:v>-7.2365393585680823E-2</c:v>
                </c:pt>
                <c:pt idx="27">
                  <c:v>-7.831329907518858E-2</c:v>
                </c:pt>
                <c:pt idx="28">
                  <c:v>-8.4516706046653081E-2</c:v>
                </c:pt>
                <c:pt idx="29">
                  <c:v>-9.0977873618213967E-2</c:v>
                </c:pt>
                <c:pt idx="30">
                  <c:v>-9.769906090801081E-2</c:v>
                </c:pt>
                <c:pt idx="31">
                  <c:v>-0.10468252703418321</c:v>
                </c:pt>
                <c:pt idx="32">
                  <c:v>-0.11193053111487075</c:v>
                </c:pt>
                <c:pt idx="33">
                  <c:v>-0.11944533226821302</c:v>
                </c:pt>
                <c:pt idx="34">
                  <c:v>-0.12722918961234964</c:v>
                </c:pt>
                <c:pt idx="35">
                  <c:v>-0.13528436226542015</c:v>
                </c:pt>
                <c:pt idx="36">
                  <c:v>-0.14361310934556418</c:v>
                </c:pt>
                <c:pt idx="37">
                  <c:v>-0.15221768997092133</c:v>
                </c:pt>
                <c:pt idx="38">
                  <c:v>-0.16110036325963117</c:v>
                </c:pt>
                <c:pt idx="39">
                  <c:v>-0.17026338832983332</c:v>
                </c:pt>
                <c:pt idx="40">
                  <c:v>-0.17970902429966734</c:v>
                </c:pt>
                <c:pt idx="41">
                  <c:v>-0.18943953028727276</c:v>
                </c:pt>
                <c:pt idx="42">
                  <c:v>-0.19945716541078934</c:v>
                </c:pt>
                <c:pt idx="43">
                  <c:v>-0.20976418878835656</c:v>
                </c:pt>
                <c:pt idx="44">
                  <c:v>-0.22036285953811405</c:v>
                </c:pt>
                <c:pt idx="45">
                  <c:v>-0.2312554367782014</c:v>
                </c:pt>
                <c:pt idx="46">
                  <c:v>-0.24244417962675818</c:v>
                </c:pt>
                <c:pt idx="47">
                  <c:v>-0.25393134720192401</c:v>
                </c:pt>
                <c:pt idx="48">
                  <c:v>-0.26571919862183846</c:v>
                </c:pt>
                <c:pt idx="49">
                  <c:v>-0.27780999300464115</c:v>
                </c:pt>
                <c:pt idx="50">
                  <c:v>-0.29020598946847165</c:v>
                </c:pt>
                <c:pt idx="51">
                  <c:v>-0.30290944713146956</c:v>
                </c:pt>
                <c:pt idx="52">
                  <c:v>-0.31592262511177444</c:v>
                </c:pt>
                <c:pt idx="53">
                  <c:v>-0.3292477825275259</c:v>
                </c:pt>
                <c:pt idx="54">
                  <c:v>-0.34288717849686356</c:v>
                </c:pt>
                <c:pt idx="55">
                  <c:v>-0.35684307213792704</c:v>
                </c:pt>
                <c:pt idx="56">
                  <c:v>-0.37111772256885572</c:v>
                </c:pt>
                <c:pt idx="57">
                  <c:v>-0.3857133889077895</c:v>
                </c:pt>
                <c:pt idx="58">
                  <c:v>-0.40063233027286782</c:v>
                </c:pt>
                <c:pt idx="59">
                  <c:v>-0.4158768057822303</c:v>
                </c:pt>
                <c:pt idx="60">
                  <c:v>-0.43144907455401654</c:v>
                </c:pt>
                <c:pt idx="61">
                  <c:v>-0.44735139570636612</c:v>
                </c:pt>
                <c:pt idx="62">
                  <c:v>-0.46358602835741863</c:v>
                </c:pt>
                <c:pt idx="63">
                  <c:v>-0.48015523162531365</c:v>
                </c:pt>
                <c:pt idx="64">
                  <c:v>-0.49706126462819078</c:v>
                </c:pt>
                <c:pt idx="65">
                  <c:v>-0.51430638648418958</c:v>
                </c:pt>
                <c:pt idx="66">
                  <c:v>-0.53189285631144967</c:v>
                </c:pt>
                <c:pt idx="67">
                  <c:v>-0.54982293322811071</c:v>
                </c:pt>
                <c:pt idx="68">
                  <c:v>-0.56809887635231227</c:v>
                </c:pt>
                <c:pt idx="69">
                  <c:v>-0.58672294480219389</c:v>
                </c:pt>
                <c:pt idx="70">
                  <c:v>-0.60569739769589515</c:v>
                </c:pt>
                <c:pt idx="71">
                  <c:v>-0.6250244941515557</c:v>
                </c:pt>
                <c:pt idx="72">
                  <c:v>-0.64470649328731511</c:v>
                </c:pt>
                <c:pt idx="73">
                  <c:v>-0.66474565422131293</c:v>
                </c:pt>
                <c:pt idx="74">
                  <c:v>-0.68514423607168884</c:v>
                </c:pt>
                <c:pt idx="75">
                  <c:v>-0.70590449795658239</c:v>
                </c:pt>
                <c:pt idx="76">
                  <c:v>-0.72702869899413314</c:v>
                </c:pt>
                <c:pt idx="77">
                  <c:v>-0.74851909830248076</c:v>
                </c:pt>
                <c:pt idx="78">
                  <c:v>-0.77037795499976469</c:v>
                </c:pt>
                <c:pt idx="79">
                  <c:v>-0.79260752820412472</c:v>
                </c:pt>
                <c:pt idx="80">
                  <c:v>-0.8152100770337003</c:v>
                </c:pt>
                <c:pt idx="81">
                  <c:v>-0.83818786060663075</c:v>
                </c:pt>
                <c:pt idx="82">
                  <c:v>-0.86154313804105631</c:v>
                </c:pt>
                <c:pt idx="83">
                  <c:v>-0.88527816845511631</c:v>
                </c:pt>
                <c:pt idx="84">
                  <c:v>-0.9093952109669502</c:v>
                </c:pt>
                <c:pt idx="85">
                  <c:v>-0.93389652469469764</c:v>
                </c:pt>
                <c:pt idx="86">
                  <c:v>-0.95878436875649831</c:v>
                </c:pt>
                <c:pt idx="87">
                  <c:v>-0.98406100227049165</c:v>
                </c:pt>
                <c:pt idx="88">
                  <c:v>-1.0097286843548174</c:v>
                </c:pt>
                <c:pt idx="89">
                  <c:v>-1.0357896741276151</c:v>
                </c:pt>
                <c:pt idx="90">
                  <c:v>-1.0622462307070244</c:v>
                </c:pt>
                <c:pt idx="91">
                  <c:v>-1.0891006132111847</c:v>
                </c:pt>
                <c:pt idx="92">
                  <c:v>-1.1163550807582356</c:v>
                </c:pt>
                <c:pt idx="93">
                  <c:v>-1.144011892466317</c:v>
                </c:pt>
                <c:pt idx="94">
                  <c:v>-1.1720733074535683</c:v>
                </c:pt>
                <c:pt idx="95">
                  <c:v>-1.2005415848381291</c:v>
                </c:pt>
                <c:pt idx="96">
                  <c:v>-1.2294189837381388</c:v>
                </c:pt>
                <c:pt idx="97">
                  <c:v>-1.2587077632717374</c:v>
                </c:pt>
                <c:pt idx="98">
                  <c:v>-1.2884101825570642</c:v>
                </c:pt>
                <c:pt idx="99">
                  <c:v>-1.3185285007122589</c:v>
                </c:pt>
                <c:pt idx="100">
                  <c:v>-1.349064976855461</c:v>
                </c:pt>
                <c:pt idx="101">
                  <c:v>-1.3800218701048101</c:v>
                </c:pt>
                <c:pt idx="102">
                  <c:v>-1.411401439578446</c:v>
                </c:pt>
                <c:pt idx="103">
                  <c:v>-1.443205944394508</c:v>
                </c:pt>
                <c:pt idx="104">
                  <c:v>-1.4754376436711358</c:v>
                </c:pt>
                <c:pt idx="105">
                  <c:v>-1.5080987965264692</c:v>
                </c:pt>
                <c:pt idx="106">
                  <c:v>-1.5411916620786474</c:v>
                </c:pt>
                <c:pt idx="107">
                  <c:v>-1.5747184994458103</c:v>
                </c:pt>
                <c:pt idx="108">
                  <c:v>-1.6086815677460975</c:v>
                </c:pt>
                <c:pt idx="109">
                  <c:v>-1.6430831260976484</c:v>
                </c:pt>
                <c:pt idx="110">
                  <c:v>-1.6779254336186027</c:v>
                </c:pt>
                <c:pt idx="111">
                  <c:v>-1.7132107494271001</c:v>
                </c:pt>
                <c:pt idx="112">
                  <c:v>-1.7489413326412793</c:v>
                </c:pt>
                <c:pt idx="113">
                  <c:v>-1.7851194423792813</c:v>
                </c:pt>
                <c:pt idx="114">
                  <c:v>-1.821747337759245</c:v>
                </c:pt>
                <c:pt idx="115">
                  <c:v>-1.85882727789931</c:v>
                </c:pt>
                <c:pt idx="116">
                  <c:v>-1.896361521917616</c:v>
                </c:pt>
                <c:pt idx="117">
                  <c:v>-1.9343523289323026</c:v>
                </c:pt>
                <c:pt idx="118">
                  <c:v>-1.9728019580615093</c:v>
                </c:pt>
                <c:pt idx="119">
                  <c:v>-2.0117126684233755</c:v>
                </c:pt>
                <c:pt idx="120">
                  <c:v>-2.0510867191360411</c:v>
                </c:pt>
                <c:pt idx="121">
                  <c:v>-2.0909263693176459</c:v>
                </c:pt>
                <c:pt idx="122">
                  <c:v>-2.1312338780863289</c:v>
                </c:pt>
                <c:pt idx="123">
                  <c:v>-2.17201150456023</c:v>
                </c:pt>
                <c:pt idx="124">
                  <c:v>-2.2132615078574891</c:v>
                </c:pt>
                <c:pt idx="125">
                  <c:v>-2.2549861470962451</c:v>
                </c:pt>
                <c:pt idx="126">
                  <c:v>-2.2971876813946381</c:v>
                </c:pt>
                <c:pt idx="127">
                  <c:v>-2.3398683698708078</c:v>
                </c:pt>
                <c:pt idx="128">
                  <c:v>-2.3830304716428934</c:v>
                </c:pt>
                <c:pt idx="129">
                  <c:v>-2.4266762458290345</c:v>
                </c:pt>
                <c:pt idx="130">
                  <c:v>-2.4708079515473709</c:v>
                </c:pt>
                <c:pt idx="131">
                  <c:v>-2.5154278479160421</c:v>
                </c:pt>
                <c:pt idx="132">
                  <c:v>-2.5605381940531879</c:v>
                </c:pt>
                <c:pt idx="133">
                  <c:v>-2.6061412490769476</c:v>
                </c:pt>
                <c:pt idx="134">
                  <c:v>-2.6522392721054611</c:v>
                </c:pt>
                <c:pt idx="135">
                  <c:v>-2.6988345222568677</c:v>
                </c:pt>
                <c:pt idx="136">
                  <c:v>-2.7459292586493071</c:v>
                </c:pt>
                <c:pt idx="137">
                  <c:v>-2.7935257404009191</c:v>
                </c:pt>
                <c:pt idx="138">
                  <c:v>-2.8416262266298427</c:v>
                </c:pt>
                <c:pt idx="139">
                  <c:v>-2.8902329764542181</c:v>
                </c:pt>
                <c:pt idx="140">
                  <c:v>-2.9393482489921845</c:v>
                </c:pt>
                <c:pt idx="141">
                  <c:v>-2.9889743033618816</c:v>
                </c:pt>
                <c:pt idx="142">
                  <c:v>-3.0391133986814491</c:v>
                </c:pt>
                <c:pt idx="143">
                  <c:v>-3.0897677940690267</c:v>
                </c:pt>
                <c:pt idx="144">
                  <c:v>-3.1409397486427539</c:v>
                </c:pt>
                <c:pt idx="145">
                  <c:v>-3.1926315215207692</c:v>
                </c:pt>
                <c:pt idx="146">
                  <c:v>-3.2448453718212149</c:v>
                </c:pt>
                <c:pt idx="147">
                  <c:v>-3.2975835586622284</c:v>
                </c:pt>
                <c:pt idx="148">
                  <c:v>-3.3508483411619499</c:v>
                </c:pt>
                <c:pt idx="149">
                  <c:v>-3.4046419784385185</c:v>
                </c:pt>
                <c:pt idx="150">
                  <c:v>-3.4589667296100743</c:v>
                </c:pt>
                <c:pt idx="151">
                  <c:v>-3.5138248537947567</c:v>
                </c:pt>
                <c:pt idx="152">
                  <c:v>-3.5692186101107057</c:v>
                </c:pt>
                <c:pt idx="153">
                  <c:v>-3.6251502576760606</c:v>
                </c:pt>
                <c:pt idx="154">
                  <c:v>-3.6816220556089609</c:v>
                </c:pt>
                <c:pt idx="155">
                  <c:v>-3.738636263027546</c:v>
                </c:pt>
                <c:pt idx="156">
                  <c:v>-3.796195139049956</c:v>
                </c:pt>
                <c:pt idx="157">
                  <c:v>-3.85430094279433</c:v>
                </c:pt>
                <c:pt idx="158">
                  <c:v>-3.9129559333788082</c:v>
                </c:pt>
                <c:pt idx="159">
                  <c:v>-3.9721623699215298</c:v>
                </c:pt>
                <c:pt idx="160">
                  <c:v>-4.0319225115406345</c:v>
                </c:pt>
                <c:pt idx="161">
                  <c:v>-4.0922386173542593</c:v>
                </c:pt>
                <c:pt idx="162">
                  <c:v>-4.1531129464805483</c:v>
                </c:pt>
                <c:pt idx="163">
                  <c:v>-4.2145477580376394</c:v>
                </c:pt>
                <c:pt idx="164">
                  <c:v>-4.2765453111436722</c:v>
                </c:pt>
                <c:pt idx="165">
                  <c:v>-4.3391078649167856</c:v>
                </c:pt>
                <c:pt idx="166">
                  <c:v>-4.40223767847512</c:v>
                </c:pt>
                <c:pt idx="167">
                  <c:v>-4.4659370109368144</c:v>
                </c:pt>
                <c:pt idx="168">
                  <c:v>-4.5302081214200083</c:v>
                </c:pt>
                <c:pt idx="169">
                  <c:v>-4.5950532690428414</c:v>
                </c:pt>
                <c:pt idx="170">
                  <c:v>-4.6604747129234534</c:v>
                </c:pt>
                <c:pt idx="171">
                  <c:v>-4.7264747121799839</c:v>
                </c:pt>
                <c:pt idx="172">
                  <c:v>-4.7930555259305727</c:v>
                </c:pt>
                <c:pt idx="173">
                  <c:v>-4.8602194132933594</c:v>
                </c:pt>
                <c:pt idx="174">
                  <c:v>-4.9279686333864836</c:v>
                </c:pt>
                <c:pt idx="175">
                  <c:v>-4.9963054453280851</c:v>
                </c:pt>
                <c:pt idx="176">
                  <c:v>-5.0652321082363025</c:v>
                </c:pt>
                <c:pt idx="177">
                  <c:v>-5.1347508812292766</c:v>
                </c:pt>
                <c:pt idx="178">
                  <c:v>-5.204864023425146</c:v>
                </c:pt>
                <c:pt idx="179">
                  <c:v>-5.2755737939420504</c:v>
                </c:pt>
                <c:pt idx="180">
                  <c:v>-5.3468824518981304</c:v>
                </c:pt>
                <c:pt idx="181">
                  <c:v>-5.4187922564115247</c:v>
                </c:pt>
                <c:pt idx="182">
                  <c:v>-5.4913054666003731</c:v>
                </c:pt>
                <c:pt idx="183">
                  <c:v>-5.5644243415828152</c:v>
                </c:pt>
                <c:pt idx="184">
                  <c:v>-5.6381511404769906</c:v>
                </c:pt>
                <c:pt idx="185">
                  <c:v>-5.7124881224010382</c:v>
                </c:pt>
                <c:pt idx="186">
                  <c:v>-5.7874375464730985</c:v>
                </c:pt>
                <c:pt idx="187">
                  <c:v>-5.8630016718113112</c:v>
                </c:pt>
                <c:pt idx="188">
                  <c:v>-5.939182757533815</c:v>
                </c:pt>
                <c:pt idx="189">
                  <c:v>-6.0159830627587505</c:v>
                </c:pt>
                <c:pt idx="190">
                  <c:v>-6.0934048466042565</c:v>
                </c:pt>
                <c:pt idx="191">
                  <c:v>-6.1714503681884727</c:v>
                </c:pt>
                <c:pt idx="192">
                  <c:v>-6.2501218866295396</c:v>
                </c:pt>
                <c:pt idx="193">
                  <c:v>-6.329421661045596</c:v>
                </c:pt>
                <c:pt idx="194">
                  <c:v>-6.4093519505547816</c:v>
                </c:pt>
                <c:pt idx="195">
                  <c:v>-6.489915014275236</c:v>
                </c:pt>
                <c:pt idx="196">
                  <c:v>-6.571113111325098</c:v>
                </c:pt>
                <c:pt idx="197">
                  <c:v>-6.6529485008225082</c:v>
                </c:pt>
                <c:pt idx="198">
                  <c:v>-6.7354234418856063</c:v>
                </c:pt>
                <c:pt idx="199">
                  <c:v>-6.8185401936325309</c:v>
                </c:pt>
                <c:pt idx="200">
                  <c:v>-6.9023010151814228</c:v>
                </c:pt>
                <c:pt idx="201">
                  <c:v>-6.9867081656504206</c:v>
                </c:pt>
                <c:pt idx="202">
                  <c:v>-7.071763904157665</c:v>
                </c:pt>
                <c:pt idx="203">
                  <c:v>-7.1574704898212946</c:v>
                </c:pt>
                <c:pt idx="204">
                  <c:v>-7.2438301817594493</c:v>
                </c:pt>
                <c:pt idx="205">
                  <c:v>-7.3308452390902685</c:v>
                </c:pt>
                <c:pt idx="206">
                  <c:v>-7.4185179209318921</c:v>
                </c:pt>
                <c:pt idx="207">
                  <c:v>-7.5068504864024597</c:v>
                </c:pt>
                <c:pt idx="208">
                  <c:v>-7.5958451946201109</c:v>
                </c:pt>
                <c:pt idx="209">
                  <c:v>-7.6855043047029854</c:v>
                </c:pt>
                <c:pt idx="210">
                  <c:v>-7.775830075769222</c:v>
                </c:pt>
                <c:pt idx="211">
                  <c:v>-7.8668247669369613</c:v>
                </c:pt>
                <c:pt idx="212">
                  <c:v>-7.958490637324342</c:v>
                </c:pt>
                <c:pt idx="213">
                  <c:v>-8.0508299460495039</c:v>
                </c:pt>
                <c:pt idx="214">
                  <c:v>-8.1438449522305874</c:v>
                </c:pt>
                <c:pt idx="215">
                  <c:v>-8.2375379149857313</c:v>
                </c:pt>
                <c:pt idx="216">
                  <c:v>-8.3319110934330762</c:v>
                </c:pt>
                <c:pt idx="217">
                  <c:v>-8.426966746690761</c:v>
                </c:pt>
                <c:pt idx="218">
                  <c:v>-8.5227071338769242</c:v>
                </c:pt>
                <c:pt idx="219">
                  <c:v>-8.6191345141097067</c:v>
                </c:pt>
                <c:pt idx="220">
                  <c:v>-8.716251146507247</c:v>
                </c:pt>
                <c:pt idx="221">
                  <c:v>-8.8140592901876857</c:v>
                </c:pt>
                <c:pt idx="222">
                  <c:v>-8.9125612042691635</c:v>
                </c:pt>
                <c:pt idx="223">
                  <c:v>-9.0117591478698174</c:v>
                </c:pt>
                <c:pt idx="224">
                  <c:v>-9.111655380107786</c:v>
                </c:pt>
                <c:pt idx="225">
                  <c:v>-9.2122521601012135</c:v>
                </c:pt>
                <c:pt idx="226">
                  <c:v>-9.313551746968237</c:v>
                </c:pt>
                <c:pt idx="227">
                  <c:v>-9.4155563998269969</c:v>
                </c:pt>
                <c:pt idx="228">
                  <c:v>-9.5182683777956321</c:v>
                </c:pt>
                <c:pt idx="229">
                  <c:v>-9.6216899399922831</c:v>
                </c:pt>
                <c:pt idx="230">
                  <c:v>-9.7258233455350886</c:v>
                </c:pt>
                <c:pt idx="231">
                  <c:v>-9.8306708535421876</c:v>
                </c:pt>
                <c:pt idx="232">
                  <c:v>-9.9362347231317205</c:v>
                </c:pt>
                <c:pt idx="233">
                  <c:v>-10.042517213421826</c:v>
                </c:pt>
                <c:pt idx="234">
                  <c:v>-10.149520583530645</c:v>
                </c:pt>
                <c:pt idx="235">
                  <c:v>-10.257247092576316</c:v>
                </c:pt>
                <c:pt idx="236">
                  <c:v>-10.365698999676979</c:v>
                </c:pt>
                <c:pt idx="237">
                  <c:v>-10.474878563950774</c:v>
                </c:pt>
                <c:pt idx="238">
                  <c:v>-10.584788044515841</c:v>
                </c:pt>
                <c:pt idx="239">
                  <c:v>-10.695429700490319</c:v>
                </c:pt>
                <c:pt idx="240">
                  <c:v>-10.806805790992346</c:v>
                </c:pt>
                <c:pt idx="241">
                  <c:v>-10.918918575140063</c:v>
                </c:pt>
                <c:pt idx="242">
                  <c:v>-11.031770312051611</c:v>
                </c:pt>
                <c:pt idx="243">
                  <c:v>-11.145363260845128</c:v>
                </c:pt>
                <c:pt idx="244">
                  <c:v>-11.259699680638754</c:v>
                </c:pt>
                <c:pt idx="245">
                  <c:v>-11.374781830550628</c:v>
                </c:pt>
                <c:pt idx="246">
                  <c:v>-11.49061196969889</c:v>
                </c:pt>
                <c:pt idx="247">
                  <c:v>-11.607192357201679</c:v>
                </c:pt>
                <c:pt idx="248">
                  <c:v>-11.724525252177136</c:v>
                </c:pt>
                <c:pt idx="249">
                  <c:v>-11.8426129137434</c:v>
                </c:pt>
                <c:pt idx="250">
                  <c:v>-11.96145760101861</c:v>
                </c:pt>
                <c:pt idx="251">
                  <c:v>-12.081061573120905</c:v>
                </c:pt>
                <c:pt idx="252">
                  <c:v>-12.201427089168426</c:v>
                </c:pt>
                <c:pt idx="253">
                  <c:v>-12.322556408279313</c:v>
                </c:pt>
                <c:pt idx="254">
                  <c:v>-12.444451789571705</c:v>
                </c:pt>
                <c:pt idx="255">
                  <c:v>-12.56711549216374</c:v>
                </c:pt>
                <c:pt idx="256">
                  <c:v>-12.69054977517356</c:v>
                </c:pt>
                <c:pt idx="257">
                  <c:v>-12.814756897719302</c:v>
                </c:pt>
                <c:pt idx="258">
                  <c:v>-12.939739118919109</c:v>
                </c:pt>
                <c:pt idx="259">
                  <c:v>-13.065498697891117</c:v>
                </c:pt>
                <c:pt idx="260">
                  <c:v>-13.192037893753469</c:v>
                </c:pt>
                <c:pt idx="261">
                  <c:v>-13.319358965624302</c:v>
                </c:pt>
                <c:pt idx="262">
                  <c:v>-13.447464172621757</c:v>
                </c:pt>
                <c:pt idx="263">
                  <c:v>-13.576355773863973</c:v>
                </c:pt>
                <c:pt idx="264">
                  <c:v>-13.706036028469089</c:v>
                </c:pt>
                <c:pt idx="265">
                  <c:v>-13.836507195555246</c:v>
                </c:pt>
                <c:pt idx="266">
                  <c:v>-13.967771534240583</c:v>
                </c:pt>
                <c:pt idx="267">
                  <c:v>-14.09983130364324</c:v>
                </c:pt>
                <c:pt idx="268">
                  <c:v>-14.232688762881356</c:v>
                </c:pt>
                <c:pt idx="269">
                  <c:v>-14.36634617107307</c:v>
                </c:pt>
                <c:pt idx="270">
                  <c:v>-14.500805787336523</c:v>
                </c:pt>
                <c:pt idx="271">
                  <c:v>-14.636069870789854</c:v>
                </c:pt>
                <c:pt idx="272">
                  <c:v>-14.772140680551201</c:v>
                </c:pt>
                <c:pt idx="273">
                  <c:v>-14.909020475738705</c:v>
                </c:pt>
                <c:pt idx="274">
                  <c:v>-15.046711515470506</c:v>
                </c:pt>
                <c:pt idx="275">
                  <c:v>-15.185216058864743</c:v>
                </c:pt>
                <c:pt idx="276">
                  <c:v>-15.324536365039556</c:v>
                </c:pt>
                <c:pt idx="277">
                  <c:v>-15.464674693113084</c:v>
                </c:pt>
                <c:pt idx="278">
                  <c:v>-15.605633302203467</c:v>
                </c:pt>
                <c:pt idx="279">
                  <c:v>-15.747414451428845</c:v>
                </c:pt>
                <c:pt idx="280">
                  <c:v>-15.890020399907357</c:v>
                </c:pt>
                <c:pt idx="281">
                  <c:v>-16.033453406757143</c:v>
                </c:pt>
                <c:pt idx="282">
                  <c:v>-16.177715731096342</c:v>
                </c:pt>
                <c:pt idx="283">
                  <c:v>-16.322809632043093</c:v>
                </c:pt>
                <c:pt idx="284">
                  <c:v>-16.468737368715537</c:v>
                </c:pt>
                <c:pt idx="285">
                  <c:v>-16.615501200231815</c:v>
                </c:pt>
                <c:pt idx="286">
                  <c:v>-16.763103385710064</c:v>
                </c:pt>
                <c:pt idx="287">
                  <c:v>-16.911546184268424</c:v>
                </c:pt>
                <c:pt idx="288">
                  <c:v>-17.060831855025036</c:v>
                </c:pt>
                <c:pt idx="289">
                  <c:v>-17.210962657098033</c:v>
                </c:pt>
                <c:pt idx="290">
                  <c:v>-17.361940849605563</c:v>
                </c:pt>
                <c:pt idx="291">
                  <c:v>-17.513768691665764</c:v>
                </c:pt>
                <c:pt idx="292">
                  <c:v>-17.666448442396778</c:v>
                </c:pt>
                <c:pt idx="293">
                  <c:v>-17.819982360916732</c:v>
                </c:pt>
                <c:pt idx="294">
                  <c:v>-17.974372706343786</c:v>
                </c:pt>
                <c:pt idx="295">
                  <c:v>-18.129621737796057</c:v>
                </c:pt>
                <c:pt idx="296">
                  <c:v>-18.285731714391705</c:v>
                </c:pt>
                <c:pt idx="297">
                  <c:v>-18.442704895248852</c:v>
                </c:pt>
                <c:pt idx="298">
                  <c:v>-18.600543539485656</c:v>
                </c:pt>
                <c:pt idx="299">
                  <c:v>-18.759249906220234</c:v>
                </c:pt>
                <c:pt idx="300">
                  <c:v>-18.91882625457075</c:v>
                </c:pt>
                <c:pt idx="301">
                  <c:v>-19.07927484365532</c:v>
                </c:pt>
                <c:pt idx="302">
                  <c:v>-19.240597932592106</c:v>
                </c:pt>
                <c:pt idx="303">
                  <c:v>-19.402797780499228</c:v>
                </c:pt>
                <c:pt idx="304">
                  <c:v>-19.565876646494843</c:v>
                </c:pt>
                <c:pt idx="305">
                  <c:v>-19.729836789697071</c:v>
                </c:pt>
                <c:pt idx="306">
                  <c:v>-19.894680469224074</c:v>
                </c:pt>
                <c:pt idx="307">
                  <c:v>-20.060409944193971</c:v>
                </c:pt>
                <c:pt idx="308">
                  <c:v>-20.22702747372492</c:v>
                </c:pt>
                <c:pt idx="309">
                  <c:v>-20.394535316935041</c:v>
                </c:pt>
                <c:pt idx="310">
                  <c:v>-20.562935732942496</c:v>
                </c:pt>
                <c:pt idx="311">
                  <c:v>-20.732230980865399</c:v>
                </c:pt>
                <c:pt idx="312">
                  <c:v>-20.902423319821917</c:v>
                </c:pt>
                <c:pt idx="313">
                  <c:v>-21.073515008930162</c:v>
                </c:pt>
                <c:pt idx="314">
                  <c:v>-21.245508307308299</c:v>
                </c:pt>
                <c:pt idx="315">
                  <c:v>-21.418405474074444</c:v>
                </c:pt>
                <c:pt idx="316">
                  <c:v>-21.592208768346762</c:v>
                </c:pt>
                <c:pt idx="317">
                  <c:v>-21.766920449243365</c:v>
                </c:pt>
                <c:pt idx="318">
                  <c:v>-21.942542775882419</c:v>
                </c:pt>
                <c:pt idx="319">
                  <c:v>-22.11907800738204</c:v>
                </c:pt>
                <c:pt idx="320">
                  <c:v>-22.296528402860393</c:v>
                </c:pt>
                <c:pt idx="321">
                  <c:v>-22.474896221435589</c:v>
                </c:pt>
                <c:pt idx="322">
                  <c:v>-22.654183722225785</c:v>
                </c:pt>
                <c:pt idx="323">
                  <c:v>-22.834393164349127</c:v>
                </c:pt>
                <c:pt idx="324">
                  <c:v>-23.015526806923734</c:v>
                </c:pt>
                <c:pt idx="325">
                  <c:v>-23.19758690906777</c:v>
                </c:pt>
                <c:pt idx="326">
                  <c:v>-23.380575729899348</c:v>
                </c:pt>
                <c:pt idx="327">
                  <c:v>-23.564495528536632</c:v>
                </c:pt>
                <c:pt idx="328">
                  <c:v>-23.74934856409774</c:v>
                </c:pt>
                <c:pt idx="329">
                  <c:v>-23.935137095700835</c:v>
                </c:pt>
                <c:pt idx="330">
                  <c:v>-24.121863382464031</c:v>
                </c:pt>
                <c:pt idx="331">
                  <c:v>-24.309529683505492</c:v>
                </c:pt>
                <c:pt idx="332">
                  <c:v>-24.498138257943335</c:v>
                </c:pt>
                <c:pt idx="333">
                  <c:v>-24.687691364895723</c:v>
                </c:pt>
                <c:pt idx="334">
                  <c:v>-24.878191263480769</c:v>
                </c:pt>
                <c:pt idx="335">
                  <c:v>-25.06964021281664</c:v>
                </c:pt>
                <c:pt idx="336">
                  <c:v>-25.26204047202145</c:v>
                </c:pt>
                <c:pt idx="337">
                  <c:v>-25.455394300213364</c:v>
                </c:pt>
                <c:pt idx="338">
                  <c:v>-25.649703956510496</c:v>
                </c:pt>
                <c:pt idx="339">
                  <c:v>-25.84497170003101</c:v>
                </c:pt>
                <c:pt idx="340">
                  <c:v>-26.041199789893021</c:v>
                </c:pt>
                <c:pt idx="341">
                  <c:v>-26.238390485214694</c:v>
                </c:pt>
                <c:pt idx="342">
                  <c:v>-26.436546045114145</c:v>
                </c:pt>
                <c:pt idx="343">
                  <c:v>-26.635668728709536</c:v>
                </c:pt>
                <c:pt idx="344">
                  <c:v>-26.835760795118983</c:v>
                </c:pt>
                <c:pt idx="345">
                  <c:v>-27.03682450346065</c:v>
                </c:pt>
                <c:pt idx="346">
                  <c:v>-27.238862112852651</c:v>
                </c:pt>
                <c:pt idx="347">
                  <c:v>-27.44187588241315</c:v>
                </c:pt>
                <c:pt idx="348">
                  <c:v>-27.645868071260264</c:v>
                </c:pt>
                <c:pt idx="349">
                  <c:v>-27.850840938512157</c:v>
                </c:pt>
                <c:pt idx="350">
                  <c:v>-28.056796743286942</c:v>
                </c:pt>
                <c:pt idx="351">
                  <c:v>-28.263737744702787</c:v>
                </c:pt>
                <c:pt idx="352">
                  <c:v>-28.471666201877802</c:v>
                </c:pt>
                <c:pt idx="353">
                  <c:v>-28.680584373930156</c:v>
                </c:pt>
                <c:pt idx="354">
                  <c:v>-28.89049451997796</c:v>
                </c:pt>
                <c:pt idx="355">
                  <c:v>-29.101398899139383</c:v>
                </c:pt>
                <c:pt idx="356">
                  <c:v>-29.313299770532534</c:v>
                </c:pt>
                <c:pt idx="357">
                  <c:v>-29.526199393275583</c:v>
                </c:pt>
                <c:pt idx="358">
                  <c:v>-29.74010002648664</c:v>
                </c:pt>
                <c:pt idx="359">
                  <c:v>-29.955003929283873</c:v>
                </c:pt>
                <c:pt idx="360">
                  <c:v>-30.170913360785391</c:v>
                </c:pt>
                <c:pt idx="361">
                  <c:v>-30.387830580109366</c:v>
                </c:pt>
                <c:pt idx="362">
                  <c:v>-30.605757846373908</c:v>
                </c:pt>
                <c:pt idx="363">
                  <c:v>-30.824697418697184</c:v>
                </c:pt>
                <c:pt idx="364">
                  <c:v>-31.044651556197305</c:v>
                </c:pt>
                <c:pt idx="365">
                  <c:v>-31.265622517992441</c:v>
                </c:pt>
                <c:pt idx="366">
                  <c:v>-31.487612563200702</c:v>
                </c:pt>
                <c:pt idx="367">
                  <c:v>-31.710623950940256</c:v>
                </c:pt>
                <c:pt idx="368">
                  <c:v>-31.934658940329214</c:v>
                </c:pt>
                <c:pt idx="369">
                  <c:v>-32.159719790485745</c:v>
                </c:pt>
                <c:pt idx="370">
                  <c:v>-32.385808760527958</c:v>
                </c:pt>
                <c:pt idx="371">
                  <c:v>-32.612928109574021</c:v>
                </c:pt>
                <c:pt idx="372">
                  <c:v>-32.841080096742047</c:v>
                </c:pt>
                <c:pt idx="373">
                  <c:v>-33.070266981150205</c:v>
                </c:pt>
                <c:pt idx="374">
                  <c:v>-33.300491021916606</c:v>
                </c:pt>
                <c:pt idx="375">
                  <c:v>-33.531754478159414</c:v>
                </c:pt>
                <c:pt idx="376">
                  <c:v>-33.764059608996746</c:v>
                </c:pt>
                <c:pt idx="377">
                  <c:v>-33.997408673546765</c:v>
                </c:pt>
                <c:pt idx="378">
                  <c:v>-34.231803930927583</c:v>
                </c:pt>
                <c:pt idx="379">
                  <c:v>-34.467247640257369</c:v>
                </c:pt>
                <c:pt idx="380">
                  <c:v>-34.703742060654236</c:v>
                </c:pt>
                <c:pt idx="381">
                  <c:v>-34.941289451236351</c:v>
                </c:pt>
                <c:pt idx="382">
                  <c:v>-35.17989207112182</c:v>
                </c:pt>
                <c:pt idx="383">
                  <c:v>-35.41955217942882</c:v>
                </c:pt>
                <c:pt idx="384">
                  <c:v>-35.660272035275455</c:v>
                </c:pt>
                <c:pt idx="385">
                  <c:v>-35.902053897779879</c:v>
                </c:pt>
                <c:pt idx="386">
                  <c:v>-36.144900026060256</c:v>
                </c:pt>
                <c:pt idx="387">
                  <c:v>-36.388812679234682</c:v>
                </c:pt>
                <c:pt idx="388">
                  <c:v>-36.633794116421335</c:v>
                </c:pt>
                <c:pt idx="389">
                  <c:v>-36.879846596738325</c:v>
                </c:pt>
                <c:pt idx="390">
                  <c:v>-37.126972379303822</c:v>
                </c:pt>
                <c:pt idx="391">
                  <c:v>-37.375173723235932</c:v>
                </c:pt>
                <c:pt idx="392">
                  <c:v>-37.624452887652822</c:v>
                </c:pt>
                <c:pt idx="393">
                  <c:v>-37.874812131672606</c:v>
                </c:pt>
                <c:pt idx="394">
                  <c:v>-38.126253714413451</c:v>
                </c:pt>
                <c:pt idx="395">
                  <c:v>-38.378779894993471</c:v>
                </c:pt>
                <c:pt idx="396">
                  <c:v>-38.632392932530834</c:v>
                </c:pt>
                <c:pt idx="397">
                  <c:v>-38.887095086143646</c:v>
                </c:pt>
                <c:pt idx="398">
                  <c:v>-39.142888614950081</c:v>
                </c:pt>
                <c:pt idx="399">
                  <c:v>-39.399775778068246</c:v>
                </c:pt>
                <c:pt idx="400">
                  <c:v>-39.65775883461631</c:v>
                </c:pt>
                <c:pt idx="401">
                  <c:v>-39.916840043712384</c:v>
                </c:pt>
                <c:pt idx="402">
                  <c:v>-40.177021664474637</c:v>
                </c:pt>
                <c:pt idx="403">
                  <c:v>-40.438305956021182</c:v>
                </c:pt>
                <c:pt idx="404">
                  <c:v>-40.700695177470188</c:v>
                </c:pt>
                <c:pt idx="405">
                  <c:v>-40.964191587939759</c:v>
                </c:pt>
                <c:pt idx="406">
                  <c:v>-41.228797446548072</c:v>
                </c:pt>
                <c:pt idx="407">
                  <c:v>-41.494515012413224</c:v>
                </c:pt>
                <c:pt idx="408">
                  <c:v>-41.761346544653399</c:v>
                </c:pt>
                <c:pt idx="409">
                  <c:v>-42.029294302386695</c:v>
                </c:pt>
                <c:pt idx="410">
                  <c:v>-42.298360544731295</c:v>
                </c:pt>
                <c:pt idx="411">
                  <c:v>-42.568547530805297</c:v>
                </c:pt>
                <c:pt idx="412">
                  <c:v>-42.839857519726877</c:v>
                </c:pt>
                <c:pt idx="413">
                  <c:v>-43.11229277061414</c:v>
                </c:pt>
                <c:pt idx="414">
                  <c:v>-43.385855542585261</c:v>
                </c:pt>
                <c:pt idx="415">
                  <c:v>-43.660548119159401</c:v>
                </c:pt>
                <c:pt idx="416">
                  <c:v>-43.936434027868202</c:v>
                </c:pt>
              </c:numCache>
            </c:numRef>
          </c:yVal>
          <c:smooth val="1"/>
          <c:extLst>
            <c:ext xmlns:c16="http://schemas.microsoft.com/office/drawing/2014/chart" uri="{C3380CC4-5D6E-409C-BE32-E72D297353CC}">
              <c16:uniqueId val="{00000000-A7C6-499B-B781-3681EB789A0F}"/>
            </c:ext>
          </c:extLst>
        </c:ser>
        <c:dLbls>
          <c:showLegendKey val="0"/>
          <c:showVal val="0"/>
          <c:showCatName val="0"/>
          <c:showSerName val="0"/>
          <c:showPercent val="0"/>
          <c:showBubbleSize val="0"/>
        </c:dLbls>
        <c:axId val="641845064"/>
        <c:axId val="641846632"/>
      </c:scatterChart>
      <c:valAx>
        <c:axId val="641845064"/>
        <c:scaling>
          <c:orientation val="minMax"/>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1846632"/>
        <c:crosses val="autoZero"/>
        <c:crossBetween val="midCat"/>
      </c:valAx>
      <c:valAx>
        <c:axId val="641846632"/>
        <c:scaling>
          <c:orientation val="maxMin"/>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18450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Taglio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5.4179640718562877E-2"/>
          <c:y val="0.16819630394689625"/>
          <c:w val="0.9069161205148758"/>
          <c:h val="0.78192072642744026"/>
        </c:manualLayout>
      </c:layout>
      <c:scatterChart>
        <c:scatterStyle val="smoothMarker"/>
        <c:varyColors val="0"/>
        <c:ser>
          <c:idx val="0"/>
          <c:order val="0"/>
          <c:spPr>
            <a:ln w="19050" cap="rnd">
              <a:solidFill>
                <a:schemeClr val="accent1"/>
              </a:solidFill>
              <a:round/>
            </a:ln>
            <a:effectLst/>
          </c:spPr>
          <c:marker>
            <c:symbol val="none"/>
          </c:marker>
          <c:xVal>
            <c:numRef>
              <c:f>'SOLLECITAZ NASCOSTO'!$T$32:$T$448</c:f>
              <c:numCache>
                <c:formatCode>0.00</c:formatCode>
                <c:ptCount val="417"/>
                <c:pt idx="0">
                  <c:v>3.35</c:v>
                </c:pt>
                <c:pt idx="1">
                  <c:v>3.3431490384615388</c:v>
                </c:pt>
                <c:pt idx="2">
                  <c:v>3.3431490384615388</c:v>
                </c:pt>
                <c:pt idx="3">
                  <c:v>3.3294471153846157</c:v>
                </c:pt>
                <c:pt idx="4">
                  <c:v>3.3225961538461539</c:v>
                </c:pt>
                <c:pt idx="5">
                  <c:v>3.3157451923076926</c:v>
                </c:pt>
                <c:pt idx="6">
                  <c:v>3.3088942307692308</c:v>
                </c:pt>
                <c:pt idx="7">
                  <c:v>3.3020432692307695</c:v>
                </c:pt>
                <c:pt idx="8">
                  <c:v>3.2951923076923078</c:v>
                </c:pt>
                <c:pt idx="9">
                  <c:v>3.2883413461538464</c:v>
                </c:pt>
                <c:pt idx="10">
                  <c:v>3.2814903846153847</c:v>
                </c:pt>
                <c:pt idx="11">
                  <c:v>3.2746394230769234</c:v>
                </c:pt>
                <c:pt idx="12">
                  <c:v>3.2677884615384616</c:v>
                </c:pt>
                <c:pt idx="13">
                  <c:v>3.2609375000000003</c:v>
                </c:pt>
                <c:pt idx="14">
                  <c:v>3.2540865384615385</c:v>
                </c:pt>
                <c:pt idx="15">
                  <c:v>3.2472355769230772</c:v>
                </c:pt>
                <c:pt idx="16">
                  <c:v>3.2403846153846154</c:v>
                </c:pt>
                <c:pt idx="17">
                  <c:v>3.2335336538461541</c:v>
                </c:pt>
                <c:pt idx="18">
                  <c:v>3.2266826923076923</c:v>
                </c:pt>
                <c:pt idx="19">
                  <c:v>3.219831730769231</c:v>
                </c:pt>
                <c:pt idx="20">
                  <c:v>3.2129807692307693</c:v>
                </c:pt>
                <c:pt idx="21">
                  <c:v>3.2061298076923079</c:v>
                </c:pt>
                <c:pt idx="22">
                  <c:v>3.1992788461538462</c:v>
                </c:pt>
                <c:pt idx="23">
                  <c:v>3.1924278846153848</c:v>
                </c:pt>
                <c:pt idx="24">
                  <c:v>3.1855769230769231</c:v>
                </c:pt>
                <c:pt idx="25">
                  <c:v>3.1787259615384618</c:v>
                </c:pt>
                <c:pt idx="26">
                  <c:v>3.171875</c:v>
                </c:pt>
                <c:pt idx="27">
                  <c:v>3.1650240384615387</c:v>
                </c:pt>
                <c:pt idx="28">
                  <c:v>3.1581730769230769</c:v>
                </c:pt>
                <c:pt idx="29">
                  <c:v>3.1513221153846156</c:v>
                </c:pt>
                <c:pt idx="30">
                  <c:v>3.1444711538461538</c:v>
                </c:pt>
                <c:pt idx="31">
                  <c:v>3.1376201923076925</c:v>
                </c:pt>
                <c:pt idx="32">
                  <c:v>3.1307692307692307</c:v>
                </c:pt>
                <c:pt idx="33">
                  <c:v>3.1239182692307694</c:v>
                </c:pt>
                <c:pt idx="34">
                  <c:v>3.1170673076923077</c:v>
                </c:pt>
                <c:pt idx="35">
                  <c:v>3.1102163461538463</c:v>
                </c:pt>
                <c:pt idx="36">
                  <c:v>3.1033653846153846</c:v>
                </c:pt>
                <c:pt idx="37">
                  <c:v>3.0965144230769233</c:v>
                </c:pt>
                <c:pt idx="38">
                  <c:v>3.0896634615384615</c:v>
                </c:pt>
                <c:pt idx="39">
                  <c:v>3.0828125000000002</c:v>
                </c:pt>
                <c:pt idx="40">
                  <c:v>3.0759615384615384</c:v>
                </c:pt>
                <c:pt idx="41">
                  <c:v>3.0691105769230771</c:v>
                </c:pt>
                <c:pt idx="42">
                  <c:v>3.0622596153846153</c:v>
                </c:pt>
                <c:pt idx="43">
                  <c:v>3.055408653846154</c:v>
                </c:pt>
                <c:pt idx="44">
                  <c:v>3.0485576923076922</c:v>
                </c:pt>
                <c:pt idx="45">
                  <c:v>3.0417067307692309</c:v>
                </c:pt>
                <c:pt idx="46">
                  <c:v>3.0348557692307692</c:v>
                </c:pt>
                <c:pt idx="47">
                  <c:v>3.0280048076923078</c:v>
                </c:pt>
                <c:pt idx="48">
                  <c:v>3.0211538461538461</c:v>
                </c:pt>
                <c:pt idx="49">
                  <c:v>3.0143028846153848</c:v>
                </c:pt>
                <c:pt idx="50">
                  <c:v>3.007451923076923</c:v>
                </c:pt>
                <c:pt idx="51">
                  <c:v>3.0006009615384617</c:v>
                </c:pt>
                <c:pt idx="52">
                  <c:v>2.9937499999999999</c:v>
                </c:pt>
                <c:pt idx="53">
                  <c:v>2.9868990384615386</c:v>
                </c:pt>
                <c:pt idx="54">
                  <c:v>2.9800480769230768</c:v>
                </c:pt>
                <c:pt idx="55">
                  <c:v>2.9731971153846155</c:v>
                </c:pt>
                <c:pt idx="56">
                  <c:v>2.9663461538461542</c:v>
                </c:pt>
                <c:pt idx="57">
                  <c:v>2.9594951923076924</c:v>
                </c:pt>
                <c:pt idx="58">
                  <c:v>2.9526442307692307</c:v>
                </c:pt>
                <c:pt idx="59">
                  <c:v>2.9457932692307693</c:v>
                </c:pt>
                <c:pt idx="60">
                  <c:v>2.938942307692308</c:v>
                </c:pt>
                <c:pt idx="61">
                  <c:v>2.9320913461538463</c:v>
                </c:pt>
                <c:pt idx="62">
                  <c:v>2.9252403846153845</c:v>
                </c:pt>
                <c:pt idx="63">
                  <c:v>2.9183894230769232</c:v>
                </c:pt>
                <c:pt idx="64">
                  <c:v>2.9115384615384619</c:v>
                </c:pt>
                <c:pt idx="65">
                  <c:v>2.9046875000000001</c:v>
                </c:pt>
                <c:pt idx="66">
                  <c:v>2.8978365384615383</c:v>
                </c:pt>
                <c:pt idx="67">
                  <c:v>2.890985576923077</c:v>
                </c:pt>
                <c:pt idx="68">
                  <c:v>2.8841346153846157</c:v>
                </c:pt>
                <c:pt idx="69">
                  <c:v>2.8772836538461539</c:v>
                </c:pt>
                <c:pt idx="70">
                  <c:v>2.8704326923076922</c:v>
                </c:pt>
                <c:pt idx="71">
                  <c:v>2.8635817307692308</c:v>
                </c:pt>
                <c:pt idx="72">
                  <c:v>2.8567307692307695</c:v>
                </c:pt>
                <c:pt idx="73">
                  <c:v>2.8498798076923078</c:v>
                </c:pt>
                <c:pt idx="74">
                  <c:v>2.843028846153846</c:v>
                </c:pt>
                <c:pt idx="75">
                  <c:v>2.8361778846153847</c:v>
                </c:pt>
                <c:pt idx="76">
                  <c:v>2.8293269230769234</c:v>
                </c:pt>
                <c:pt idx="77">
                  <c:v>2.8224759615384616</c:v>
                </c:pt>
                <c:pt idx="78">
                  <c:v>2.8156249999999998</c:v>
                </c:pt>
                <c:pt idx="79">
                  <c:v>2.8087740384615385</c:v>
                </c:pt>
                <c:pt idx="80">
                  <c:v>2.8019230769230772</c:v>
                </c:pt>
                <c:pt idx="81">
                  <c:v>2.7950721153846154</c:v>
                </c:pt>
                <c:pt idx="82">
                  <c:v>2.7882211538461541</c:v>
                </c:pt>
                <c:pt idx="83">
                  <c:v>2.7813701923076923</c:v>
                </c:pt>
                <c:pt idx="84">
                  <c:v>2.774519230769231</c:v>
                </c:pt>
                <c:pt idx="85">
                  <c:v>2.7676682692307693</c:v>
                </c:pt>
                <c:pt idx="86">
                  <c:v>2.7608173076923079</c:v>
                </c:pt>
                <c:pt idx="87">
                  <c:v>2.7539663461538462</c:v>
                </c:pt>
                <c:pt idx="88">
                  <c:v>2.7471153846153848</c:v>
                </c:pt>
                <c:pt idx="89">
                  <c:v>2.7402644230769231</c:v>
                </c:pt>
                <c:pt idx="90">
                  <c:v>2.7334134615384618</c:v>
                </c:pt>
                <c:pt idx="91">
                  <c:v>2.7265625</c:v>
                </c:pt>
                <c:pt idx="92">
                  <c:v>2.7197115384615387</c:v>
                </c:pt>
                <c:pt idx="93">
                  <c:v>2.7128605769230769</c:v>
                </c:pt>
                <c:pt idx="94">
                  <c:v>2.7060096153846156</c:v>
                </c:pt>
                <c:pt idx="95">
                  <c:v>2.6991586538461538</c:v>
                </c:pt>
                <c:pt idx="96">
                  <c:v>2.6923076923076925</c:v>
                </c:pt>
                <c:pt idx="97">
                  <c:v>2.6854567307692307</c:v>
                </c:pt>
                <c:pt idx="98">
                  <c:v>2.6786057692307694</c:v>
                </c:pt>
                <c:pt idx="99">
                  <c:v>2.6717548076923077</c:v>
                </c:pt>
                <c:pt idx="100">
                  <c:v>2.6649038461538463</c:v>
                </c:pt>
                <c:pt idx="101">
                  <c:v>2.6580528846153846</c:v>
                </c:pt>
                <c:pt idx="102">
                  <c:v>2.6512019230769233</c:v>
                </c:pt>
                <c:pt idx="103">
                  <c:v>2.6443509615384615</c:v>
                </c:pt>
                <c:pt idx="104">
                  <c:v>2.6375000000000002</c:v>
                </c:pt>
                <c:pt idx="105">
                  <c:v>2.6306490384615384</c:v>
                </c:pt>
                <c:pt idx="106">
                  <c:v>2.6237980769230771</c:v>
                </c:pt>
                <c:pt idx="107">
                  <c:v>2.6169471153846153</c:v>
                </c:pt>
                <c:pt idx="108">
                  <c:v>2.610096153846154</c:v>
                </c:pt>
                <c:pt idx="109">
                  <c:v>2.6032451923076922</c:v>
                </c:pt>
                <c:pt idx="110">
                  <c:v>2.5963942307692309</c:v>
                </c:pt>
                <c:pt idx="111">
                  <c:v>2.5895432692307692</c:v>
                </c:pt>
                <c:pt idx="112">
                  <c:v>2.5826923076923078</c:v>
                </c:pt>
                <c:pt idx="113">
                  <c:v>2.5758413461538465</c:v>
                </c:pt>
                <c:pt idx="114">
                  <c:v>2.5689903846153848</c:v>
                </c:pt>
                <c:pt idx="115">
                  <c:v>2.562139423076923</c:v>
                </c:pt>
                <c:pt idx="116">
                  <c:v>2.5552884615384617</c:v>
                </c:pt>
                <c:pt idx="117">
                  <c:v>2.5484375000000004</c:v>
                </c:pt>
                <c:pt idx="118">
                  <c:v>2.5415865384615386</c:v>
                </c:pt>
                <c:pt idx="119">
                  <c:v>2.5347355769230768</c:v>
                </c:pt>
                <c:pt idx="120">
                  <c:v>2.5278846153846155</c:v>
                </c:pt>
                <c:pt idx="121">
                  <c:v>2.5210336538461542</c:v>
                </c:pt>
                <c:pt idx="122">
                  <c:v>2.5141826923076924</c:v>
                </c:pt>
                <c:pt idx="123">
                  <c:v>2.5073317307692307</c:v>
                </c:pt>
                <c:pt idx="124">
                  <c:v>2.5004807692307693</c:v>
                </c:pt>
                <c:pt idx="125">
                  <c:v>2.493629807692308</c:v>
                </c:pt>
                <c:pt idx="126">
                  <c:v>2.4867788461538463</c:v>
                </c:pt>
                <c:pt idx="127">
                  <c:v>2.4799278846153845</c:v>
                </c:pt>
                <c:pt idx="128">
                  <c:v>2.4730769230769232</c:v>
                </c:pt>
                <c:pt idx="129">
                  <c:v>2.4662259615384619</c:v>
                </c:pt>
                <c:pt idx="130">
                  <c:v>2.4593750000000001</c:v>
                </c:pt>
                <c:pt idx="131">
                  <c:v>2.4525240384615383</c:v>
                </c:pt>
                <c:pt idx="132">
                  <c:v>2.445673076923077</c:v>
                </c:pt>
                <c:pt idx="133">
                  <c:v>2.4388221153846157</c:v>
                </c:pt>
                <c:pt idx="134">
                  <c:v>2.4319711538461539</c:v>
                </c:pt>
                <c:pt idx="135">
                  <c:v>2.4251201923076922</c:v>
                </c:pt>
                <c:pt idx="136">
                  <c:v>2.4182692307692308</c:v>
                </c:pt>
                <c:pt idx="137">
                  <c:v>2.4114182692307695</c:v>
                </c:pt>
                <c:pt idx="138">
                  <c:v>2.4045673076923078</c:v>
                </c:pt>
                <c:pt idx="139">
                  <c:v>2.397716346153846</c:v>
                </c:pt>
                <c:pt idx="140">
                  <c:v>2.3908653846153847</c:v>
                </c:pt>
                <c:pt idx="141">
                  <c:v>2.3840144230769234</c:v>
                </c:pt>
                <c:pt idx="142">
                  <c:v>2.3771634615384616</c:v>
                </c:pt>
                <c:pt idx="143">
                  <c:v>2.3703124999999998</c:v>
                </c:pt>
                <c:pt idx="144">
                  <c:v>2.3634615384615385</c:v>
                </c:pt>
                <c:pt idx="145">
                  <c:v>2.3566105769230772</c:v>
                </c:pt>
                <c:pt idx="146">
                  <c:v>2.3497596153846154</c:v>
                </c:pt>
                <c:pt idx="147">
                  <c:v>2.3429086538461537</c:v>
                </c:pt>
                <c:pt idx="148">
                  <c:v>2.3360576923076923</c:v>
                </c:pt>
                <c:pt idx="149">
                  <c:v>2.329206730769231</c:v>
                </c:pt>
                <c:pt idx="150">
                  <c:v>2.3223557692307693</c:v>
                </c:pt>
                <c:pt idx="151">
                  <c:v>2.3155048076923075</c:v>
                </c:pt>
                <c:pt idx="152">
                  <c:v>2.3086538461538462</c:v>
                </c:pt>
                <c:pt idx="153">
                  <c:v>2.3018028846153848</c:v>
                </c:pt>
                <c:pt idx="154">
                  <c:v>2.2949519230769231</c:v>
                </c:pt>
                <c:pt idx="155">
                  <c:v>2.2881009615384613</c:v>
                </c:pt>
                <c:pt idx="156">
                  <c:v>2.28125</c:v>
                </c:pt>
                <c:pt idx="157">
                  <c:v>2.2743990384615387</c:v>
                </c:pt>
                <c:pt idx="158">
                  <c:v>2.2675480769230769</c:v>
                </c:pt>
                <c:pt idx="159">
                  <c:v>2.2606971153846152</c:v>
                </c:pt>
                <c:pt idx="160">
                  <c:v>2.2538461538461538</c:v>
                </c:pt>
                <c:pt idx="161">
                  <c:v>2.2469951923076925</c:v>
                </c:pt>
                <c:pt idx="162">
                  <c:v>2.2401442307692312</c:v>
                </c:pt>
                <c:pt idx="163">
                  <c:v>2.2332932692307694</c:v>
                </c:pt>
                <c:pt idx="164">
                  <c:v>2.2264423076923077</c:v>
                </c:pt>
                <c:pt idx="165">
                  <c:v>2.2195913461538463</c:v>
                </c:pt>
                <c:pt idx="166">
                  <c:v>2.212740384615385</c:v>
                </c:pt>
                <c:pt idx="167">
                  <c:v>2.2058894230769233</c:v>
                </c:pt>
                <c:pt idx="168">
                  <c:v>2.1990384615384615</c:v>
                </c:pt>
                <c:pt idx="169">
                  <c:v>2.1921875000000002</c:v>
                </c:pt>
                <c:pt idx="170">
                  <c:v>2.1853365384615389</c:v>
                </c:pt>
                <c:pt idx="171">
                  <c:v>2.1784855769230771</c:v>
                </c:pt>
                <c:pt idx="172">
                  <c:v>2.1716346153846153</c:v>
                </c:pt>
                <c:pt idx="173">
                  <c:v>2.164783653846154</c:v>
                </c:pt>
                <c:pt idx="174">
                  <c:v>2.1579326923076927</c:v>
                </c:pt>
                <c:pt idx="175">
                  <c:v>2.1510817307692309</c:v>
                </c:pt>
                <c:pt idx="176">
                  <c:v>2.1442307692307692</c:v>
                </c:pt>
                <c:pt idx="177">
                  <c:v>2.1373798076923078</c:v>
                </c:pt>
                <c:pt idx="178">
                  <c:v>2.1305288461538465</c:v>
                </c:pt>
                <c:pt idx="179">
                  <c:v>2.1236778846153848</c:v>
                </c:pt>
                <c:pt idx="180">
                  <c:v>2.116826923076923</c:v>
                </c:pt>
                <c:pt idx="181">
                  <c:v>2.1099759615384617</c:v>
                </c:pt>
                <c:pt idx="182">
                  <c:v>2.1031250000000004</c:v>
                </c:pt>
                <c:pt idx="183">
                  <c:v>2.0962740384615386</c:v>
                </c:pt>
                <c:pt idx="184">
                  <c:v>2.0894230769230768</c:v>
                </c:pt>
                <c:pt idx="185">
                  <c:v>2.0825721153846155</c:v>
                </c:pt>
                <c:pt idx="186">
                  <c:v>2.0757211538461542</c:v>
                </c:pt>
                <c:pt idx="187">
                  <c:v>2.0688701923076924</c:v>
                </c:pt>
                <c:pt idx="188">
                  <c:v>2.0620192307692307</c:v>
                </c:pt>
                <c:pt idx="189">
                  <c:v>2.0551682692307693</c:v>
                </c:pt>
                <c:pt idx="190">
                  <c:v>2.048317307692308</c:v>
                </c:pt>
                <c:pt idx="191">
                  <c:v>2.0414663461538463</c:v>
                </c:pt>
                <c:pt idx="192">
                  <c:v>2.0346153846153845</c:v>
                </c:pt>
                <c:pt idx="193">
                  <c:v>2.0277644230769232</c:v>
                </c:pt>
                <c:pt idx="194">
                  <c:v>2.0209134615384619</c:v>
                </c:pt>
                <c:pt idx="195">
                  <c:v>2.0140625000000001</c:v>
                </c:pt>
                <c:pt idx="196">
                  <c:v>2.0072115384615383</c:v>
                </c:pt>
                <c:pt idx="197">
                  <c:v>2.000360576923077</c:v>
                </c:pt>
                <c:pt idx="198">
                  <c:v>1.9935096153846155</c:v>
                </c:pt>
                <c:pt idx="199">
                  <c:v>1.9866586538461539</c:v>
                </c:pt>
                <c:pt idx="200">
                  <c:v>1.9798076923076924</c:v>
                </c:pt>
                <c:pt idx="201">
                  <c:v>1.9729567307692308</c:v>
                </c:pt>
                <c:pt idx="202">
                  <c:v>1.9661057692307693</c:v>
                </c:pt>
                <c:pt idx="203">
                  <c:v>1.9592548076923078</c:v>
                </c:pt>
                <c:pt idx="204">
                  <c:v>1.9524038461538462</c:v>
                </c:pt>
                <c:pt idx="205">
                  <c:v>1.9455528846153847</c:v>
                </c:pt>
                <c:pt idx="206">
                  <c:v>1.9387019230769231</c:v>
                </c:pt>
                <c:pt idx="207">
                  <c:v>1.9318509615384616</c:v>
                </c:pt>
                <c:pt idx="208">
                  <c:v>1.925</c:v>
                </c:pt>
                <c:pt idx="209">
                  <c:v>1.9181490384615385</c:v>
                </c:pt>
                <c:pt idx="210">
                  <c:v>1.911298076923077</c:v>
                </c:pt>
                <c:pt idx="211">
                  <c:v>1.9044471153846154</c:v>
                </c:pt>
                <c:pt idx="212">
                  <c:v>1.8975961538461539</c:v>
                </c:pt>
                <c:pt idx="213">
                  <c:v>1.8907451923076923</c:v>
                </c:pt>
                <c:pt idx="214">
                  <c:v>1.8838942307692308</c:v>
                </c:pt>
                <c:pt idx="215">
                  <c:v>1.8770432692307693</c:v>
                </c:pt>
                <c:pt idx="216">
                  <c:v>1.8701923076923077</c:v>
                </c:pt>
                <c:pt idx="217">
                  <c:v>1.8633413461538462</c:v>
                </c:pt>
                <c:pt idx="218">
                  <c:v>1.8564903846153846</c:v>
                </c:pt>
                <c:pt idx="219">
                  <c:v>1.8496394230769231</c:v>
                </c:pt>
                <c:pt idx="220">
                  <c:v>1.8427884615384615</c:v>
                </c:pt>
                <c:pt idx="221">
                  <c:v>1.8359375</c:v>
                </c:pt>
                <c:pt idx="222">
                  <c:v>1.8290865384615385</c:v>
                </c:pt>
                <c:pt idx="223">
                  <c:v>1.8222355769230769</c:v>
                </c:pt>
                <c:pt idx="224">
                  <c:v>1.8153846153846156</c:v>
                </c:pt>
                <c:pt idx="225">
                  <c:v>1.8085336538461541</c:v>
                </c:pt>
                <c:pt idx="226">
                  <c:v>1.8016826923076925</c:v>
                </c:pt>
                <c:pt idx="227">
                  <c:v>1.794831730769231</c:v>
                </c:pt>
                <c:pt idx="228">
                  <c:v>1.7879807692307694</c:v>
                </c:pt>
                <c:pt idx="229">
                  <c:v>1.7811298076923079</c:v>
                </c:pt>
                <c:pt idx="230">
                  <c:v>1.7742788461538463</c:v>
                </c:pt>
                <c:pt idx="231">
                  <c:v>1.7674278846153848</c:v>
                </c:pt>
                <c:pt idx="232">
                  <c:v>1.7605769230769233</c:v>
                </c:pt>
                <c:pt idx="233">
                  <c:v>1.7537259615384617</c:v>
                </c:pt>
                <c:pt idx="234">
                  <c:v>1.7468750000000002</c:v>
                </c:pt>
                <c:pt idx="235">
                  <c:v>1.7400240384615386</c:v>
                </c:pt>
                <c:pt idx="236">
                  <c:v>1.7331730769230771</c:v>
                </c:pt>
                <c:pt idx="237">
                  <c:v>1.7263221153846156</c:v>
                </c:pt>
                <c:pt idx="238">
                  <c:v>1.719471153846154</c:v>
                </c:pt>
                <c:pt idx="239">
                  <c:v>1.7126201923076925</c:v>
                </c:pt>
                <c:pt idx="240">
                  <c:v>1.7057692307692309</c:v>
                </c:pt>
                <c:pt idx="241">
                  <c:v>1.6989182692307694</c:v>
                </c:pt>
                <c:pt idx="242">
                  <c:v>1.6920673076923078</c:v>
                </c:pt>
                <c:pt idx="243">
                  <c:v>1.6852163461538463</c:v>
                </c:pt>
                <c:pt idx="244">
                  <c:v>1.6783653846153848</c:v>
                </c:pt>
                <c:pt idx="245">
                  <c:v>1.6715144230769232</c:v>
                </c:pt>
                <c:pt idx="246">
                  <c:v>1.6646634615384617</c:v>
                </c:pt>
                <c:pt idx="247">
                  <c:v>1.6578125000000001</c:v>
                </c:pt>
                <c:pt idx="248">
                  <c:v>1.6509615384615386</c:v>
                </c:pt>
                <c:pt idx="249">
                  <c:v>1.644110576923077</c:v>
                </c:pt>
                <c:pt idx="250">
                  <c:v>1.6372596153846155</c:v>
                </c:pt>
                <c:pt idx="251">
                  <c:v>1.630408653846154</c:v>
                </c:pt>
                <c:pt idx="252">
                  <c:v>1.6235576923076924</c:v>
                </c:pt>
                <c:pt idx="253">
                  <c:v>1.6167067307692309</c:v>
                </c:pt>
                <c:pt idx="254">
                  <c:v>1.6098557692307693</c:v>
                </c:pt>
                <c:pt idx="255">
                  <c:v>1.6030048076923078</c:v>
                </c:pt>
                <c:pt idx="256">
                  <c:v>1.5961538461538463</c:v>
                </c:pt>
                <c:pt idx="257">
                  <c:v>1.5893028846153847</c:v>
                </c:pt>
                <c:pt idx="258">
                  <c:v>1.5824519230769232</c:v>
                </c:pt>
                <c:pt idx="259">
                  <c:v>1.5756009615384616</c:v>
                </c:pt>
                <c:pt idx="260">
                  <c:v>1.5687500000000001</c:v>
                </c:pt>
                <c:pt idx="261">
                  <c:v>1.5618990384615385</c:v>
                </c:pt>
                <c:pt idx="262">
                  <c:v>1.555048076923077</c:v>
                </c:pt>
                <c:pt idx="263">
                  <c:v>1.5481971153846155</c:v>
                </c:pt>
                <c:pt idx="264">
                  <c:v>1.5413461538461539</c:v>
                </c:pt>
                <c:pt idx="265">
                  <c:v>1.5344951923076924</c:v>
                </c:pt>
                <c:pt idx="266">
                  <c:v>1.5276442307692308</c:v>
                </c:pt>
                <c:pt idx="267">
                  <c:v>1.5207932692307693</c:v>
                </c:pt>
                <c:pt idx="268">
                  <c:v>1.5139423076923078</c:v>
                </c:pt>
                <c:pt idx="269">
                  <c:v>1.5070913461538462</c:v>
                </c:pt>
                <c:pt idx="270">
                  <c:v>1.5002403846153847</c:v>
                </c:pt>
                <c:pt idx="271">
                  <c:v>1.4933894230769231</c:v>
                </c:pt>
                <c:pt idx="272">
                  <c:v>1.4865384615384616</c:v>
                </c:pt>
                <c:pt idx="273">
                  <c:v>1.4796875</c:v>
                </c:pt>
                <c:pt idx="274">
                  <c:v>1.4728365384615385</c:v>
                </c:pt>
                <c:pt idx="275">
                  <c:v>1.465985576923077</c:v>
                </c:pt>
                <c:pt idx="276">
                  <c:v>1.4591346153846154</c:v>
                </c:pt>
                <c:pt idx="277">
                  <c:v>1.4522836538461539</c:v>
                </c:pt>
                <c:pt idx="278">
                  <c:v>1.4454326923076923</c:v>
                </c:pt>
                <c:pt idx="279">
                  <c:v>1.4385817307692308</c:v>
                </c:pt>
                <c:pt idx="280">
                  <c:v>1.4317307692307693</c:v>
                </c:pt>
                <c:pt idx="281">
                  <c:v>1.4248798076923077</c:v>
                </c:pt>
                <c:pt idx="282">
                  <c:v>1.4180288461538462</c:v>
                </c:pt>
                <c:pt idx="283">
                  <c:v>1.4111778846153846</c:v>
                </c:pt>
                <c:pt idx="284">
                  <c:v>1.4043269230769231</c:v>
                </c:pt>
                <c:pt idx="285">
                  <c:v>1.3974759615384615</c:v>
                </c:pt>
                <c:pt idx="286">
                  <c:v>1.390625</c:v>
                </c:pt>
                <c:pt idx="287">
                  <c:v>1.3837740384615385</c:v>
                </c:pt>
                <c:pt idx="288">
                  <c:v>1.3769230769230769</c:v>
                </c:pt>
                <c:pt idx="289">
                  <c:v>1.3700721153846156</c:v>
                </c:pt>
                <c:pt idx="290">
                  <c:v>1.3632211538461541</c:v>
                </c:pt>
                <c:pt idx="291">
                  <c:v>1.3563701923076925</c:v>
                </c:pt>
                <c:pt idx="292">
                  <c:v>1.3495192307692307</c:v>
                </c:pt>
                <c:pt idx="293">
                  <c:v>1.3426682692307694</c:v>
                </c:pt>
                <c:pt idx="294">
                  <c:v>1.3358173076923077</c:v>
                </c:pt>
                <c:pt idx="295">
                  <c:v>1.3289663461538463</c:v>
                </c:pt>
                <c:pt idx="296">
                  <c:v>1.3221153846153846</c:v>
                </c:pt>
                <c:pt idx="297">
                  <c:v>1.3152644230769233</c:v>
                </c:pt>
                <c:pt idx="298">
                  <c:v>1.3084134615384615</c:v>
                </c:pt>
                <c:pt idx="299">
                  <c:v>1.3015625000000002</c:v>
                </c:pt>
                <c:pt idx="300">
                  <c:v>1.2947115384615384</c:v>
                </c:pt>
                <c:pt idx="301">
                  <c:v>1.2878605769230771</c:v>
                </c:pt>
                <c:pt idx="302">
                  <c:v>1.2810096153846153</c:v>
                </c:pt>
                <c:pt idx="303">
                  <c:v>1.274158653846154</c:v>
                </c:pt>
                <c:pt idx="304">
                  <c:v>1.2673076923076922</c:v>
                </c:pt>
                <c:pt idx="305">
                  <c:v>1.2604567307692309</c:v>
                </c:pt>
                <c:pt idx="306">
                  <c:v>1.2536057692307692</c:v>
                </c:pt>
                <c:pt idx="307">
                  <c:v>1.2467548076923078</c:v>
                </c:pt>
                <c:pt idx="308">
                  <c:v>1.2399038461538461</c:v>
                </c:pt>
                <c:pt idx="309">
                  <c:v>1.2330528846153848</c:v>
                </c:pt>
                <c:pt idx="310">
                  <c:v>1.226201923076923</c:v>
                </c:pt>
                <c:pt idx="311">
                  <c:v>1.2193509615384617</c:v>
                </c:pt>
                <c:pt idx="312">
                  <c:v>1.2124999999999999</c:v>
                </c:pt>
                <c:pt idx="313">
                  <c:v>1.2056490384615386</c:v>
                </c:pt>
                <c:pt idx="314">
                  <c:v>1.1987980769230768</c:v>
                </c:pt>
                <c:pt idx="315">
                  <c:v>1.1919471153846155</c:v>
                </c:pt>
                <c:pt idx="316">
                  <c:v>1.1850961538461537</c:v>
                </c:pt>
                <c:pt idx="317">
                  <c:v>1.1782451923076924</c:v>
                </c:pt>
                <c:pt idx="318">
                  <c:v>1.1713942307692307</c:v>
                </c:pt>
                <c:pt idx="319">
                  <c:v>1.1645432692307693</c:v>
                </c:pt>
                <c:pt idx="320">
                  <c:v>1.1576923076923076</c:v>
                </c:pt>
                <c:pt idx="321">
                  <c:v>1.1508413461538463</c:v>
                </c:pt>
                <c:pt idx="322">
                  <c:v>1.1439903846153849</c:v>
                </c:pt>
                <c:pt idx="323">
                  <c:v>1.1371394230769232</c:v>
                </c:pt>
                <c:pt idx="324">
                  <c:v>1.1302884615384619</c:v>
                </c:pt>
                <c:pt idx="325">
                  <c:v>1.1234375000000001</c:v>
                </c:pt>
                <c:pt idx="326">
                  <c:v>1.1165865384615388</c:v>
                </c:pt>
                <c:pt idx="327">
                  <c:v>1.109735576923077</c:v>
                </c:pt>
                <c:pt idx="328">
                  <c:v>1.1028846153846157</c:v>
                </c:pt>
                <c:pt idx="329">
                  <c:v>1.0960336538461539</c:v>
                </c:pt>
                <c:pt idx="330">
                  <c:v>1.0891826923076926</c:v>
                </c:pt>
                <c:pt idx="331">
                  <c:v>1.0823317307692308</c:v>
                </c:pt>
                <c:pt idx="332">
                  <c:v>1.0754807692307695</c:v>
                </c:pt>
                <c:pt idx="333">
                  <c:v>1.0686298076923078</c:v>
                </c:pt>
                <c:pt idx="334">
                  <c:v>1.0617788461538464</c:v>
                </c:pt>
                <c:pt idx="335">
                  <c:v>1.0549278846153847</c:v>
                </c:pt>
                <c:pt idx="336">
                  <c:v>1.0480769230769234</c:v>
                </c:pt>
                <c:pt idx="337">
                  <c:v>1.0412259615384616</c:v>
                </c:pt>
                <c:pt idx="338">
                  <c:v>1.0343750000000003</c:v>
                </c:pt>
                <c:pt idx="339">
                  <c:v>1.0275240384615385</c:v>
                </c:pt>
                <c:pt idx="340">
                  <c:v>1.0206730769230772</c:v>
                </c:pt>
                <c:pt idx="341">
                  <c:v>1.0138221153846154</c:v>
                </c:pt>
                <c:pt idx="342">
                  <c:v>1.0069711538461541</c:v>
                </c:pt>
                <c:pt idx="343">
                  <c:v>1.0001201923076923</c:v>
                </c:pt>
                <c:pt idx="344">
                  <c:v>0.99326923076923102</c:v>
                </c:pt>
                <c:pt idx="345">
                  <c:v>0.98641826923076925</c:v>
                </c:pt>
                <c:pt idx="346">
                  <c:v>0.97956730769230793</c:v>
                </c:pt>
                <c:pt idx="347">
                  <c:v>0.97271634615384617</c:v>
                </c:pt>
                <c:pt idx="348">
                  <c:v>0.96586538461538485</c:v>
                </c:pt>
                <c:pt idx="349">
                  <c:v>0.95901442307692308</c:v>
                </c:pt>
                <c:pt idx="350">
                  <c:v>0.95216346153846176</c:v>
                </c:pt>
                <c:pt idx="351">
                  <c:v>0.9453125</c:v>
                </c:pt>
                <c:pt idx="352">
                  <c:v>0.93846153846153868</c:v>
                </c:pt>
                <c:pt idx="353">
                  <c:v>0.93161057692307692</c:v>
                </c:pt>
                <c:pt idx="354">
                  <c:v>0.9247596153846156</c:v>
                </c:pt>
                <c:pt idx="355">
                  <c:v>0.91790865384615383</c:v>
                </c:pt>
                <c:pt idx="356">
                  <c:v>0.91105769230769251</c:v>
                </c:pt>
                <c:pt idx="357">
                  <c:v>0.90420673076923075</c:v>
                </c:pt>
                <c:pt idx="358">
                  <c:v>0.89735576923076943</c:v>
                </c:pt>
                <c:pt idx="359">
                  <c:v>0.89050480769230766</c:v>
                </c:pt>
                <c:pt idx="360">
                  <c:v>0.88365384615384635</c:v>
                </c:pt>
                <c:pt idx="361">
                  <c:v>0.87680288461538458</c:v>
                </c:pt>
                <c:pt idx="362">
                  <c:v>0.86995192307692326</c:v>
                </c:pt>
                <c:pt idx="363">
                  <c:v>0.8631009615384615</c:v>
                </c:pt>
                <c:pt idx="364">
                  <c:v>0.85625000000000018</c:v>
                </c:pt>
                <c:pt idx="365">
                  <c:v>0.84939903846153841</c:v>
                </c:pt>
                <c:pt idx="366">
                  <c:v>0.84254807692307709</c:v>
                </c:pt>
                <c:pt idx="367">
                  <c:v>0.83569711538461533</c:v>
                </c:pt>
                <c:pt idx="368">
                  <c:v>0.82884615384615401</c:v>
                </c:pt>
                <c:pt idx="369">
                  <c:v>0.82199519230769225</c:v>
                </c:pt>
                <c:pt idx="370">
                  <c:v>0.81514423076923093</c:v>
                </c:pt>
                <c:pt idx="371">
                  <c:v>0.80829326923076916</c:v>
                </c:pt>
                <c:pt idx="372">
                  <c:v>0.80144230769230784</c:v>
                </c:pt>
                <c:pt idx="373">
                  <c:v>0.79459134615384608</c:v>
                </c:pt>
                <c:pt idx="374">
                  <c:v>0.78774038461538476</c:v>
                </c:pt>
                <c:pt idx="375">
                  <c:v>0.78088942307692299</c:v>
                </c:pt>
                <c:pt idx="376">
                  <c:v>0.77403846153846168</c:v>
                </c:pt>
                <c:pt idx="377">
                  <c:v>0.76718749999999991</c:v>
                </c:pt>
                <c:pt idx="378">
                  <c:v>0.76033653846153859</c:v>
                </c:pt>
                <c:pt idx="379">
                  <c:v>0.75348557692307683</c:v>
                </c:pt>
                <c:pt idx="380">
                  <c:v>0.74663461538461551</c:v>
                </c:pt>
                <c:pt idx="381">
                  <c:v>0.73978365384615374</c:v>
                </c:pt>
                <c:pt idx="382">
                  <c:v>0.73293269230769242</c:v>
                </c:pt>
                <c:pt idx="383">
                  <c:v>0.72608173076923066</c:v>
                </c:pt>
                <c:pt idx="384">
                  <c:v>0.71923076923076934</c:v>
                </c:pt>
                <c:pt idx="385">
                  <c:v>0.71237980769230802</c:v>
                </c:pt>
                <c:pt idx="386">
                  <c:v>0.70552884615384626</c:v>
                </c:pt>
                <c:pt idx="387">
                  <c:v>0.69867788461538494</c:v>
                </c:pt>
                <c:pt idx="388">
                  <c:v>0.69182692307692317</c:v>
                </c:pt>
                <c:pt idx="389">
                  <c:v>0.68497596153846185</c:v>
                </c:pt>
                <c:pt idx="390">
                  <c:v>0.67812500000000009</c:v>
                </c:pt>
                <c:pt idx="391">
                  <c:v>0.67127403846153877</c:v>
                </c:pt>
                <c:pt idx="392">
                  <c:v>0.66442307692307701</c:v>
                </c:pt>
                <c:pt idx="393">
                  <c:v>0.65757211538461569</c:v>
                </c:pt>
                <c:pt idx="394">
                  <c:v>0.65072115384615392</c:v>
                </c:pt>
                <c:pt idx="395">
                  <c:v>0.6438701923076926</c:v>
                </c:pt>
                <c:pt idx="396">
                  <c:v>0.63701923076923084</c:v>
                </c:pt>
                <c:pt idx="397">
                  <c:v>0.63016826923076952</c:v>
                </c:pt>
                <c:pt idx="398">
                  <c:v>0.62331730769230775</c:v>
                </c:pt>
                <c:pt idx="399">
                  <c:v>0.61646634615384643</c:v>
                </c:pt>
                <c:pt idx="400">
                  <c:v>0.60961538461538467</c:v>
                </c:pt>
                <c:pt idx="401">
                  <c:v>0.60276442307692335</c:v>
                </c:pt>
                <c:pt idx="402">
                  <c:v>0.59591346153846159</c:v>
                </c:pt>
                <c:pt idx="403">
                  <c:v>0.58906250000000027</c:v>
                </c:pt>
                <c:pt idx="404">
                  <c:v>0.5822115384615385</c:v>
                </c:pt>
                <c:pt idx="405">
                  <c:v>0.57536057692307718</c:v>
                </c:pt>
                <c:pt idx="406">
                  <c:v>0.56850961538461542</c:v>
                </c:pt>
                <c:pt idx="407">
                  <c:v>0.5616586538461541</c:v>
                </c:pt>
                <c:pt idx="408">
                  <c:v>0.55480769230769234</c:v>
                </c:pt>
                <c:pt idx="409">
                  <c:v>0.54795673076923102</c:v>
                </c:pt>
                <c:pt idx="410">
                  <c:v>0.54110576923076925</c:v>
                </c:pt>
                <c:pt idx="411">
                  <c:v>0.53425480769230793</c:v>
                </c:pt>
                <c:pt idx="412">
                  <c:v>0.52740384615384617</c:v>
                </c:pt>
                <c:pt idx="413">
                  <c:v>0.52055288461538485</c:v>
                </c:pt>
                <c:pt idx="414">
                  <c:v>0.51370192307692308</c:v>
                </c:pt>
                <c:pt idx="415">
                  <c:v>0.50685096153846176</c:v>
                </c:pt>
                <c:pt idx="416">
                  <c:v>0.5</c:v>
                </c:pt>
              </c:numCache>
            </c:numRef>
          </c:xVal>
          <c:yVal>
            <c:numRef>
              <c:f>'SOLLECITAZ NASCOSTO'!$U$32:$U$448</c:f>
              <c:numCache>
                <c:formatCode>0.00</c:formatCode>
                <c:ptCount val="417"/>
                <c:pt idx="0">
                  <c:v>0</c:v>
                </c:pt>
                <c:pt idx="1">
                  <c:v>2.8555823902857984E-2</c:v>
                </c:pt>
                <c:pt idx="2">
                  <c:v>5.7441399786793378E-2</c:v>
                </c:pt>
                <c:pt idx="3">
                  <c:v>8.6656727651806181E-2</c:v>
                </c:pt>
                <c:pt idx="4">
                  <c:v>0.11620180749789639</c:v>
                </c:pt>
                <c:pt idx="5">
                  <c:v>0.14607663932506407</c:v>
                </c:pt>
                <c:pt idx="6">
                  <c:v>0.17628122313330913</c:v>
                </c:pt>
                <c:pt idx="7">
                  <c:v>0.20681555892263159</c:v>
                </c:pt>
                <c:pt idx="8">
                  <c:v>0.23767964669303152</c:v>
                </c:pt>
                <c:pt idx="9">
                  <c:v>0.26887348644450881</c:v>
                </c:pt>
                <c:pt idx="10">
                  <c:v>0.30039707817706357</c:v>
                </c:pt>
                <c:pt idx="11">
                  <c:v>0.33225042189069565</c:v>
                </c:pt>
                <c:pt idx="12">
                  <c:v>0.36443351758540521</c:v>
                </c:pt>
                <c:pt idx="13">
                  <c:v>0.3969463652611922</c:v>
                </c:pt>
                <c:pt idx="14">
                  <c:v>0.42978896491805652</c:v>
                </c:pt>
                <c:pt idx="15">
                  <c:v>0.46296131655599831</c:v>
                </c:pt>
                <c:pt idx="16">
                  <c:v>0.49646342017501754</c:v>
                </c:pt>
                <c:pt idx="17">
                  <c:v>0.53029527577511415</c:v>
                </c:pt>
                <c:pt idx="18">
                  <c:v>0.56445688335628819</c:v>
                </c:pt>
                <c:pt idx="19">
                  <c:v>0.59894824291853965</c:v>
                </c:pt>
                <c:pt idx="20">
                  <c:v>0.63376935446186855</c:v>
                </c:pt>
                <c:pt idx="21">
                  <c:v>0.66892021798627466</c:v>
                </c:pt>
                <c:pt idx="22">
                  <c:v>0.70440083349175842</c:v>
                </c:pt>
                <c:pt idx="23">
                  <c:v>0.74021120097831961</c:v>
                </c:pt>
                <c:pt idx="24">
                  <c:v>0.77635132044595812</c:v>
                </c:pt>
                <c:pt idx="25">
                  <c:v>0.81282119189467406</c:v>
                </c:pt>
                <c:pt idx="26">
                  <c:v>0.84962081532446743</c:v>
                </c:pt>
                <c:pt idx="27">
                  <c:v>0.88675019073533823</c:v>
                </c:pt>
                <c:pt idx="28">
                  <c:v>0.92420931812728624</c:v>
                </c:pt>
                <c:pt idx="29">
                  <c:v>0.9619981975003119</c:v>
                </c:pt>
                <c:pt idx="30">
                  <c:v>1.0001168288544149</c:v>
                </c:pt>
                <c:pt idx="31">
                  <c:v>1.0385652121895952</c:v>
                </c:pt>
                <c:pt idx="32">
                  <c:v>1.0773433475058529</c:v>
                </c:pt>
                <c:pt idx="33">
                  <c:v>1.1164512348031881</c:v>
                </c:pt>
                <c:pt idx="34">
                  <c:v>1.1558888740816007</c:v>
                </c:pt>
                <c:pt idx="35">
                  <c:v>1.1956562653410907</c:v>
                </c:pt>
                <c:pt idx="36">
                  <c:v>1.2357534085816582</c:v>
                </c:pt>
                <c:pt idx="37">
                  <c:v>1.2761803038033031</c:v>
                </c:pt>
                <c:pt idx="38">
                  <c:v>1.3169369510060254</c:v>
                </c:pt>
                <c:pt idx="39">
                  <c:v>1.3580233501898251</c:v>
                </c:pt>
                <c:pt idx="40">
                  <c:v>1.3994395013547023</c:v>
                </c:pt>
                <c:pt idx="41">
                  <c:v>1.4411854045006565</c:v>
                </c:pt>
                <c:pt idx="42">
                  <c:v>1.4832610596276883</c:v>
                </c:pt>
                <c:pt idx="43">
                  <c:v>1.5256664667357975</c:v>
                </c:pt>
                <c:pt idx="44">
                  <c:v>1.5684016258249842</c:v>
                </c:pt>
                <c:pt idx="45">
                  <c:v>1.6114665368952483</c:v>
                </c:pt>
                <c:pt idx="46">
                  <c:v>1.6548611999465899</c:v>
                </c:pt>
                <c:pt idx="47">
                  <c:v>1.6985856149790088</c:v>
                </c:pt>
                <c:pt idx="48">
                  <c:v>1.7426397819925052</c:v>
                </c:pt>
                <c:pt idx="49">
                  <c:v>1.7870237009870791</c:v>
                </c:pt>
                <c:pt idx="50">
                  <c:v>1.8317373719627303</c:v>
                </c:pt>
                <c:pt idx="51">
                  <c:v>1.876780794919459</c:v>
                </c:pt>
                <c:pt idx="52">
                  <c:v>1.9221539698572652</c:v>
                </c:pt>
                <c:pt idx="53">
                  <c:v>1.9678568967761487</c:v>
                </c:pt>
                <c:pt idx="54">
                  <c:v>2.0138895756761097</c:v>
                </c:pt>
                <c:pt idx="55">
                  <c:v>2.0602520065571479</c:v>
                </c:pt>
                <c:pt idx="56">
                  <c:v>2.1069441894192633</c:v>
                </c:pt>
                <c:pt idx="57">
                  <c:v>2.1539661242624564</c:v>
                </c:pt>
                <c:pt idx="58">
                  <c:v>2.2013178110867271</c:v>
                </c:pt>
                <c:pt idx="59">
                  <c:v>2.248999249892075</c:v>
                </c:pt>
                <c:pt idx="60">
                  <c:v>2.2970104406785006</c:v>
                </c:pt>
                <c:pt idx="61">
                  <c:v>2.3453513834460034</c:v>
                </c:pt>
                <c:pt idx="62">
                  <c:v>2.3940220781945833</c:v>
                </c:pt>
                <c:pt idx="63">
                  <c:v>2.443022524924241</c:v>
                </c:pt>
                <c:pt idx="64">
                  <c:v>2.4923527236349758</c:v>
                </c:pt>
                <c:pt idx="65">
                  <c:v>2.5420126743267883</c:v>
                </c:pt>
                <c:pt idx="66">
                  <c:v>2.5920023769996781</c:v>
                </c:pt>
                <c:pt idx="67">
                  <c:v>2.6423218316536454</c:v>
                </c:pt>
                <c:pt idx="68">
                  <c:v>2.69297103828869</c:v>
                </c:pt>
                <c:pt idx="69">
                  <c:v>2.7439499969048122</c:v>
                </c:pt>
                <c:pt idx="70">
                  <c:v>2.7952587075020117</c:v>
                </c:pt>
                <c:pt idx="71">
                  <c:v>2.8468971700802888</c:v>
                </c:pt>
                <c:pt idx="72">
                  <c:v>2.8988653846396431</c:v>
                </c:pt>
                <c:pt idx="73">
                  <c:v>2.951163351180075</c:v>
                </c:pt>
                <c:pt idx="74">
                  <c:v>3.0037910697015842</c:v>
                </c:pt>
                <c:pt idx="75">
                  <c:v>3.056748540204171</c:v>
                </c:pt>
                <c:pt idx="76">
                  <c:v>3.110035762687835</c:v>
                </c:pt>
                <c:pt idx="77">
                  <c:v>3.1636527371525762</c:v>
                </c:pt>
                <c:pt idx="78">
                  <c:v>3.2175994635983951</c:v>
                </c:pt>
                <c:pt idx="79">
                  <c:v>3.2718759420252912</c:v>
                </c:pt>
                <c:pt idx="80">
                  <c:v>3.3264821724332649</c:v>
                </c:pt>
                <c:pt idx="81">
                  <c:v>3.381418154822315</c:v>
                </c:pt>
                <c:pt idx="82">
                  <c:v>3.4366838891924436</c:v>
                </c:pt>
                <c:pt idx="83">
                  <c:v>3.4922793755436494</c:v>
                </c:pt>
                <c:pt idx="84">
                  <c:v>3.5482046138759329</c:v>
                </c:pt>
                <c:pt idx="85">
                  <c:v>3.6044596041892936</c:v>
                </c:pt>
                <c:pt idx="86">
                  <c:v>3.6610443464837319</c:v>
                </c:pt>
                <c:pt idx="87">
                  <c:v>3.7179588407592474</c:v>
                </c:pt>
                <c:pt idx="88">
                  <c:v>3.7752030870158406</c:v>
                </c:pt>
                <c:pt idx="89">
                  <c:v>3.832777085253511</c:v>
                </c:pt>
                <c:pt idx="90">
                  <c:v>3.8906808354722586</c:v>
                </c:pt>
                <c:pt idx="91">
                  <c:v>3.9489143376720839</c:v>
                </c:pt>
                <c:pt idx="92">
                  <c:v>4.0074775918529868</c:v>
                </c:pt>
                <c:pt idx="93">
                  <c:v>4.0663705980149665</c:v>
                </c:pt>
                <c:pt idx="94">
                  <c:v>4.1255933561580242</c:v>
                </c:pt>
                <c:pt idx="95">
                  <c:v>4.1851458662821592</c:v>
                </c:pt>
                <c:pt idx="96">
                  <c:v>4.2450281283873714</c:v>
                </c:pt>
                <c:pt idx="97">
                  <c:v>4.3052401424736608</c:v>
                </c:pt>
                <c:pt idx="98">
                  <c:v>4.3657819085410283</c:v>
                </c:pt>
                <c:pt idx="99">
                  <c:v>4.426653426589473</c:v>
                </c:pt>
                <c:pt idx="100">
                  <c:v>4.4878546966189949</c:v>
                </c:pt>
                <c:pt idx="101">
                  <c:v>4.5493857186295941</c:v>
                </c:pt>
                <c:pt idx="102">
                  <c:v>4.6112464926212713</c:v>
                </c:pt>
                <c:pt idx="103">
                  <c:v>4.6734370185940257</c:v>
                </c:pt>
                <c:pt idx="104">
                  <c:v>4.7359572965478574</c:v>
                </c:pt>
                <c:pt idx="105">
                  <c:v>4.7988073264827662</c:v>
                </c:pt>
                <c:pt idx="106">
                  <c:v>4.8619871083987523</c:v>
                </c:pt>
                <c:pt idx="107">
                  <c:v>4.9254966422958164</c:v>
                </c:pt>
                <c:pt idx="108">
                  <c:v>4.9893359281739578</c:v>
                </c:pt>
                <c:pt idx="109">
                  <c:v>5.0535049660331763</c:v>
                </c:pt>
                <c:pt idx="110">
                  <c:v>5.1180037558734721</c:v>
                </c:pt>
                <c:pt idx="111">
                  <c:v>5.182832297694846</c:v>
                </c:pt>
                <c:pt idx="112">
                  <c:v>5.2479905914972962</c:v>
                </c:pt>
                <c:pt idx="113">
                  <c:v>5.3134786372808245</c:v>
                </c:pt>
                <c:pt idx="114">
                  <c:v>5.37929643504543</c:v>
                </c:pt>
                <c:pt idx="115">
                  <c:v>5.4454439847911136</c:v>
                </c:pt>
                <c:pt idx="116">
                  <c:v>5.5119212865178744</c:v>
                </c:pt>
                <c:pt idx="117">
                  <c:v>5.5787283402257124</c:v>
                </c:pt>
                <c:pt idx="118">
                  <c:v>5.6458651459146276</c:v>
                </c:pt>
                <c:pt idx="119">
                  <c:v>5.7133317035846201</c:v>
                </c:pt>
                <c:pt idx="120">
                  <c:v>5.7811280132356906</c:v>
                </c:pt>
                <c:pt idx="121">
                  <c:v>5.8492540748678383</c:v>
                </c:pt>
                <c:pt idx="122">
                  <c:v>5.9177098884810633</c:v>
                </c:pt>
                <c:pt idx="123">
                  <c:v>5.9864954540753654</c:v>
                </c:pt>
                <c:pt idx="124">
                  <c:v>6.0556107716507457</c:v>
                </c:pt>
                <c:pt idx="125">
                  <c:v>6.1250558412072031</c:v>
                </c:pt>
                <c:pt idx="126">
                  <c:v>6.1948306627447378</c:v>
                </c:pt>
                <c:pt idx="127">
                  <c:v>6.2649352362633497</c:v>
                </c:pt>
                <c:pt idx="128">
                  <c:v>6.3353695617630397</c:v>
                </c:pt>
                <c:pt idx="129">
                  <c:v>6.4061336392438069</c:v>
                </c:pt>
                <c:pt idx="130">
                  <c:v>6.4772274687056512</c:v>
                </c:pt>
                <c:pt idx="131">
                  <c:v>6.5486510501485728</c:v>
                </c:pt>
                <c:pt idx="132">
                  <c:v>6.6204043835725717</c:v>
                </c:pt>
                <c:pt idx="133">
                  <c:v>6.6924874689776486</c:v>
                </c:pt>
                <c:pt idx="134">
                  <c:v>6.7649003063638027</c:v>
                </c:pt>
                <c:pt idx="135">
                  <c:v>6.837642895731034</c:v>
                </c:pt>
                <c:pt idx="136">
                  <c:v>6.9107152370793425</c:v>
                </c:pt>
                <c:pt idx="137">
                  <c:v>6.9841173304087292</c:v>
                </c:pt>
                <c:pt idx="138">
                  <c:v>7.057849175719193</c:v>
                </c:pt>
                <c:pt idx="139">
                  <c:v>7.1319107730107341</c:v>
                </c:pt>
                <c:pt idx="140">
                  <c:v>7.2063021222833523</c:v>
                </c:pt>
                <c:pt idx="141">
                  <c:v>7.2810232235370487</c:v>
                </c:pt>
                <c:pt idx="142">
                  <c:v>7.3560740767718222</c:v>
                </c:pt>
                <c:pt idx="143">
                  <c:v>7.431454681987673</c:v>
                </c:pt>
                <c:pt idx="144">
                  <c:v>7.507165039184601</c:v>
                </c:pt>
                <c:pt idx="145">
                  <c:v>7.5832051483626053</c:v>
                </c:pt>
                <c:pt idx="146">
                  <c:v>7.6595750095216895</c:v>
                </c:pt>
                <c:pt idx="147">
                  <c:v>7.73627462266185</c:v>
                </c:pt>
                <c:pt idx="148">
                  <c:v>7.8133039877830877</c:v>
                </c:pt>
                <c:pt idx="149">
                  <c:v>7.8906631048854026</c:v>
                </c:pt>
                <c:pt idx="150">
                  <c:v>7.9683519739687956</c:v>
                </c:pt>
                <c:pt idx="151">
                  <c:v>8.0463705950332649</c:v>
                </c:pt>
                <c:pt idx="152">
                  <c:v>8.1247189680788132</c:v>
                </c:pt>
                <c:pt idx="153">
                  <c:v>8.2033970931054387</c:v>
                </c:pt>
                <c:pt idx="154">
                  <c:v>8.2824049701131415</c:v>
                </c:pt>
                <c:pt idx="155">
                  <c:v>8.3617425991019214</c:v>
                </c:pt>
                <c:pt idx="156">
                  <c:v>8.4414099800717786</c:v>
                </c:pt>
                <c:pt idx="157">
                  <c:v>8.5214071130227129</c:v>
                </c:pt>
                <c:pt idx="158">
                  <c:v>8.6017339979547245</c:v>
                </c:pt>
                <c:pt idx="159">
                  <c:v>8.6823906348678133</c:v>
                </c:pt>
                <c:pt idx="160">
                  <c:v>8.7633770237619792</c:v>
                </c:pt>
                <c:pt idx="161">
                  <c:v>8.8446931646372207</c:v>
                </c:pt>
                <c:pt idx="162">
                  <c:v>8.9263390574935428</c:v>
                </c:pt>
                <c:pt idx="163">
                  <c:v>9.0083147023309422</c:v>
                </c:pt>
                <c:pt idx="164">
                  <c:v>9.0906200991494188</c:v>
                </c:pt>
                <c:pt idx="165">
                  <c:v>9.1732552479489726</c:v>
                </c:pt>
                <c:pt idx="166">
                  <c:v>9.2562201487296036</c:v>
                </c:pt>
                <c:pt idx="167">
                  <c:v>9.3395148014913119</c:v>
                </c:pt>
                <c:pt idx="168">
                  <c:v>9.4231392062340973</c:v>
                </c:pt>
                <c:pt idx="169">
                  <c:v>9.5070933629579617</c:v>
                </c:pt>
                <c:pt idx="170">
                  <c:v>9.5913772716629033</c:v>
                </c:pt>
                <c:pt idx="171">
                  <c:v>9.6759909323489222</c:v>
                </c:pt>
                <c:pt idx="172">
                  <c:v>9.7609343450160182</c:v>
                </c:pt>
                <c:pt idx="173">
                  <c:v>9.8462075096641914</c:v>
                </c:pt>
                <c:pt idx="174">
                  <c:v>9.9318104262934419</c:v>
                </c:pt>
                <c:pt idx="175">
                  <c:v>10.01774309490377</c:v>
                </c:pt>
                <c:pt idx="176">
                  <c:v>10.104005515495174</c:v>
                </c:pt>
                <c:pt idx="177">
                  <c:v>10.190597688067657</c:v>
                </c:pt>
                <c:pt idx="178">
                  <c:v>10.277519612621218</c:v>
                </c:pt>
                <c:pt idx="179">
                  <c:v>10.364771289155856</c:v>
                </c:pt>
                <c:pt idx="180">
                  <c:v>10.452352717671571</c:v>
                </c:pt>
                <c:pt idx="181">
                  <c:v>10.540263898168364</c:v>
                </c:pt>
                <c:pt idx="182">
                  <c:v>10.628504830646234</c:v>
                </c:pt>
                <c:pt idx="183">
                  <c:v>10.717075515105181</c:v>
                </c:pt>
                <c:pt idx="184">
                  <c:v>10.805975951545205</c:v>
                </c:pt>
                <c:pt idx="185">
                  <c:v>10.895206139966307</c:v>
                </c:pt>
                <c:pt idx="186">
                  <c:v>10.984766080368487</c:v>
                </c:pt>
                <c:pt idx="187">
                  <c:v>11.074655772751745</c:v>
                </c:pt>
                <c:pt idx="188">
                  <c:v>11.16487521711608</c:v>
                </c:pt>
                <c:pt idx="189">
                  <c:v>11.255424413461492</c:v>
                </c:pt>
                <c:pt idx="190">
                  <c:v>11.346303361787982</c:v>
                </c:pt>
                <c:pt idx="191">
                  <c:v>11.437512062095548</c:v>
                </c:pt>
                <c:pt idx="192">
                  <c:v>11.529050514384192</c:v>
                </c:pt>
                <c:pt idx="193">
                  <c:v>11.620918718653913</c:v>
                </c:pt>
                <c:pt idx="194">
                  <c:v>11.713116674904711</c:v>
                </c:pt>
                <c:pt idx="195">
                  <c:v>11.805644383136588</c:v>
                </c:pt>
                <c:pt idx="196">
                  <c:v>11.898501843349543</c:v>
                </c:pt>
                <c:pt idx="197">
                  <c:v>11.991689055543574</c:v>
                </c:pt>
                <c:pt idx="198">
                  <c:v>12.085206019718683</c:v>
                </c:pt>
                <c:pt idx="199">
                  <c:v>12.179052735874869</c:v>
                </c:pt>
                <c:pt idx="200">
                  <c:v>12.273229204012132</c:v>
                </c:pt>
                <c:pt idx="201">
                  <c:v>12.367735424130473</c:v>
                </c:pt>
                <c:pt idx="202">
                  <c:v>12.46257139622989</c:v>
                </c:pt>
                <c:pt idx="203">
                  <c:v>12.557737120310385</c:v>
                </c:pt>
                <c:pt idx="204">
                  <c:v>12.653232596371959</c:v>
                </c:pt>
                <c:pt idx="205">
                  <c:v>12.74905782441461</c:v>
                </c:pt>
                <c:pt idx="206">
                  <c:v>12.845212804438338</c:v>
                </c:pt>
                <c:pt idx="207">
                  <c:v>12.941697536443144</c:v>
                </c:pt>
                <c:pt idx="208">
                  <c:v>13.038512020429026</c:v>
                </c:pt>
                <c:pt idx="209">
                  <c:v>13.135656256395986</c:v>
                </c:pt>
                <c:pt idx="210">
                  <c:v>13.233130244344023</c:v>
                </c:pt>
                <c:pt idx="211">
                  <c:v>13.330933984273138</c:v>
                </c:pt>
                <c:pt idx="212">
                  <c:v>13.429067476183331</c:v>
                </c:pt>
                <c:pt idx="213">
                  <c:v>13.527530720074601</c:v>
                </c:pt>
                <c:pt idx="214">
                  <c:v>13.626323715946949</c:v>
                </c:pt>
                <c:pt idx="215">
                  <c:v>13.725446463800374</c:v>
                </c:pt>
                <c:pt idx="216">
                  <c:v>13.824898963634876</c:v>
                </c:pt>
                <c:pt idx="217">
                  <c:v>13.924681215450455</c:v>
                </c:pt>
                <c:pt idx="218">
                  <c:v>14.024793219247112</c:v>
                </c:pt>
                <c:pt idx="219">
                  <c:v>14.125234975024846</c:v>
                </c:pt>
                <c:pt idx="220">
                  <c:v>14.226006482783657</c:v>
                </c:pt>
                <c:pt idx="221">
                  <c:v>14.327107742523546</c:v>
                </c:pt>
                <c:pt idx="222">
                  <c:v>14.428538754244514</c:v>
                </c:pt>
                <c:pt idx="223">
                  <c:v>14.530299517946558</c:v>
                </c:pt>
                <c:pt idx="224">
                  <c:v>14.632390033629676</c:v>
                </c:pt>
                <c:pt idx="225">
                  <c:v>14.734810301293875</c:v>
                </c:pt>
                <c:pt idx="226">
                  <c:v>14.837560320939151</c:v>
                </c:pt>
                <c:pt idx="227">
                  <c:v>14.940640092565504</c:v>
                </c:pt>
                <c:pt idx="228">
                  <c:v>15.044049616172934</c:v>
                </c:pt>
                <c:pt idx="229">
                  <c:v>15.147788891761444</c:v>
                </c:pt>
                <c:pt idx="230">
                  <c:v>15.25185791933103</c:v>
                </c:pt>
                <c:pt idx="231">
                  <c:v>15.356256698881694</c:v>
                </c:pt>
                <c:pt idx="232">
                  <c:v>15.460985230413435</c:v>
                </c:pt>
                <c:pt idx="233">
                  <c:v>15.566043513926253</c:v>
                </c:pt>
                <c:pt idx="234">
                  <c:v>15.671431549420149</c:v>
                </c:pt>
                <c:pt idx="235">
                  <c:v>15.777149336895121</c:v>
                </c:pt>
                <c:pt idx="236">
                  <c:v>15.883196876351171</c:v>
                </c:pt>
                <c:pt idx="237">
                  <c:v>15.989574167788298</c:v>
                </c:pt>
                <c:pt idx="238">
                  <c:v>16.096281211206502</c:v>
                </c:pt>
                <c:pt idx="239">
                  <c:v>16.203318006605784</c:v>
                </c:pt>
                <c:pt idx="240">
                  <c:v>16.310684553986142</c:v>
                </c:pt>
                <c:pt idx="241">
                  <c:v>16.418380853347578</c:v>
                </c:pt>
                <c:pt idx="242">
                  <c:v>16.526406904690095</c:v>
                </c:pt>
                <c:pt idx="243">
                  <c:v>16.634762708013689</c:v>
                </c:pt>
                <c:pt idx="244">
                  <c:v>16.74344826331836</c:v>
                </c:pt>
                <c:pt idx="245">
                  <c:v>16.852463570604108</c:v>
                </c:pt>
                <c:pt idx="246">
                  <c:v>16.961808629870934</c:v>
                </c:pt>
                <c:pt idx="247">
                  <c:v>17.071483441118836</c:v>
                </c:pt>
                <c:pt idx="248">
                  <c:v>17.181488004347816</c:v>
                </c:pt>
                <c:pt idx="249">
                  <c:v>17.291822319557873</c:v>
                </c:pt>
                <c:pt idx="250">
                  <c:v>17.402486386749008</c:v>
                </c:pt>
                <c:pt idx="251">
                  <c:v>17.513480205921219</c:v>
                </c:pt>
                <c:pt idx="252">
                  <c:v>17.624803777074508</c:v>
                </c:pt>
                <c:pt idx="253">
                  <c:v>17.736457100208874</c:v>
                </c:pt>
                <c:pt idx="254">
                  <c:v>17.848440175324317</c:v>
                </c:pt>
                <c:pt idx="255">
                  <c:v>17.960753002420837</c:v>
                </c:pt>
                <c:pt idx="256">
                  <c:v>18.073395581498435</c:v>
                </c:pt>
                <c:pt idx="257">
                  <c:v>18.18636791255711</c:v>
                </c:pt>
                <c:pt idx="258">
                  <c:v>18.299669995596862</c:v>
                </c:pt>
                <c:pt idx="259">
                  <c:v>18.413301830617691</c:v>
                </c:pt>
                <c:pt idx="260">
                  <c:v>18.527263417619601</c:v>
                </c:pt>
                <c:pt idx="261">
                  <c:v>18.641554756602588</c:v>
                </c:pt>
                <c:pt idx="262">
                  <c:v>18.756175847566652</c:v>
                </c:pt>
                <c:pt idx="263">
                  <c:v>18.871126690511794</c:v>
                </c:pt>
                <c:pt idx="264">
                  <c:v>18.986407285438013</c:v>
                </c:pt>
                <c:pt idx="265">
                  <c:v>19.102017632345309</c:v>
                </c:pt>
                <c:pt idx="266">
                  <c:v>19.217957731233682</c:v>
                </c:pt>
                <c:pt idx="267">
                  <c:v>19.334227582103132</c:v>
                </c:pt>
                <c:pt idx="268">
                  <c:v>19.45082718495366</c:v>
                </c:pt>
                <c:pt idx="269">
                  <c:v>19.567756539785265</c:v>
                </c:pt>
                <c:pt idx="270">
                  <c:v>19.685015646597947</c:v>
                </c:pt>
                <c:pt idx="271">
                  <c:v>19.802604505391706</c:v>
                </c:pt>
                <c:pt idx="272">
                  <c:v>19.920523116166542</c:v>
                </c:pt>
                <c:pt idx="273">
                  <c:v>20.038771478922456</c:v>
                </c:pt>
                <c:pt idx="274">
                  <c:v>20.157349593659447</c:v>
                </c:pt>
                <c:pt idx="275">
                  <c:v>20.276257460377515</c:v>
                </c:pt>
                <c:pt idx="276">
                  <c:v>20.39549507907666</c:v>
                </c:pt>
                <c:pt idx="277">
                  <c:v>20.515062449756886</c:v>
                </c:pt>
                <c:pt idx="278">
                  <c:v>20.63495957241819</c:v>
                </c:pt>
                <c:pt idx="279">
                  <c:v>20.75518644706057</c:v>
                </c:pt>
                <c:pt idx="280">
                  <c:v>20.875743073684028</c:v>
                </c:pt>
                <c:pt idx="281">
                  <c:v>20.996629452288563</c:v>
                </c:pt>
                <c:pt idx="282">
                  <c:v>21.117845582874175</c:v>
                </c:pt>
                <c:pt idx="283">
                  <c:v>21.239391465440864</c:v>
                </c:pt>
                <c:pt idx="284">
                  <c:v>21.36126709998863</c:v>
                </c:pt>
                <c:pt idx="285">
                  <c:v>21.483472486517474</c:v>
                </c:pt>
                <c:pt idx="286">
                  <c:v>21.606007625027395</c:v>
                </c:pt>
                <c:pt idx="287">
                  <c:v>21.728872515518393</c:v>
                </c:pt>
                <c:pt idx="288">
                  <c:v>21.852067157990469</c:v>
                </c:pt>
                <c:pt idx="289">
                  <c:v>21.975591552443618</c:v>
                </c:pt>
                <c:pt idx="290">
                  <c:v>22.099445698877847</c:v>
                </c:pt>
                <c:pt idx="291">
                  <c:v>22.223629597293154</c:v>
                </c:pt>
                <c:pt idx="292">
                  <c:v>22.348143247689546</c:v>
                </c:pt>
                <c:pt idx="293">
                  <c:v>22.472986650067003</c:v>
                </c:pt>
                <c:pt idx="294">
                  <c:v>22.598159804425549</c:v>
                </c:pt>
                <c:pt idx="295">
                  <c:v>22.723662710765161</c:v>
                </c:pt>
                <c:pt idx="296">
                  <c:v>22.849495369085862</c:v>
                </c:pt>
                <c:pt idx="297">
                  <c:v>22.975657779387632</c:v>
                </c:pt>
                <c:pt idx="298">
                  <c:v>23.102149941670486</c:v>
                </c:pt>
                <c:pt idx="299">
                  <c:v>23.228971855934411</c:v>
                </c:pt>
                <c:pt idx="300">
                  <c:v>23.35612352217942</c:v>
                </c:pt>
                <c:pt idx="301">
                  <c:v>23.483604940405499</c:v>
                </c:pt>
                <c:pt idx="302">
                  <c:v>23.611416110612662</c:v>
                </c:pt>
                <c:pt idx="303">
                  <c:v>23.739557032800896</c:v>
                </c:pt>
                <c:pt idx="304">
                  <c:v>23.868027706970214</c:v>
                </c:pt>
                <c:pt idx="305">
                  <c:v>23.996828133120601</c:v>
                </c:pt>
                <c:pt idx="306">
                  <c:v>24.125958311252074</c:v>
                </c:pt>
                <c:pt idx="307">
                  <c:v>24.255418241364616</c:v>
                </c:pt>
                <c:pt idx="308">
                  <c:v>24.385207923458246</c:v>
                </c:pt>
                <c:pt idx="309">
                  <c:v>24.515327357532943</c:v>
                </c:pt>
                <c:pt idx="310">
                  <c:v>24.645776543588727</c:v>
                </c:pt>
                <c:pt idx="311">
                  <c:v>24.776555481625579</c:v>
                </c:pt>
                <c:pt idx="312">
                  <c:v>24.907664171643518</c:v>
                </c:pt>
                <c:pt idx="313">
                  <c:v>25.039102613642523</c:v>
                </c:pt>
                <c:pt idx="314">
                  <c:v>25.170870807622617</c:v>
                </c:pt>
                <c:pt idx="315">
                  <c:v>25.30296875358378</c:v>
                </c:pt>
                <c:pt idx="316">
                  <c:v>25.435396451526028</c:v>
                </c:pt>
                <c:pt idx="317">
                  <c:v>25.568153901449346</c:v>
                </c:pt>
                <c:pt idx="318">
                  <c:v>25.701241103353748</c:v>
                </c:pt>
                <c:pt idx="319">
                  <c:v>25.834658057239221</c:v>
                </c:pt>
                <c:pt idx="320">
                  <c:v>25.968404763105777</c:v>
                </c:pt>
                <c:pt idx="321">
                  <c:v>26.102481220953404</c:v>
                </c:pt>
                <c:pt idx="322">
                  <c:v>26.236887430782108</c:v>
                </c:pt>
                <c:pt idx="323">
                  <c:v>26.371623392591896</c:v>
                </c:pt>
                <c:pt idx="324">
                  <c:v>26.506689106382755</c:v>
                </c:pt>
                <c:pt idx="325">
                  <c:v>26.642084572154701</c:v>
                </c:pt>
                <c:pt idx="326">
                  <c:v>26.777809789907714</c:v>
                </c:pt>
                <c:pt idx="327">
                  <c:v>26.913864759641815</c:v>
                </c:pt>
                <c:pt idx="328">
                  <c:v>27.050249481356982</c:v>
                </c:pt>
                <c:pt idx="329">
                  <c:v>27.186963955053237</c:v>
                </c:pt>
                <c:pt idx="330">
                  <c:v>27.324008180730559</c:v>
                </c:pt>
                <c:pt idx="331">
                  <c:v>27.461382158388968</c:v>
                </c:pt>
                <c:pt idx="332">
                  <c:v>27.599085888028444</c:v>
                </c:pt>
                <c:pt idx="333">
                  <c:v>27.737119369649008</c:v>
                </c:pt>
                <c:pt idx="334">
                  <c:v>27.875482603250642</c:v>
                </c:pt>
                <c:pt idx="335">
                  <c:v>28.014175588833361</c:v>
                </c:pt>
                <c:pt idx="336">
                  <c:v>28.153198326397149</c:v>
                </c:pt>
                <c:pt idx="337">
                  <c:v>28.292550815942022</c:v>
                </c:pt>
                <c:pt idx="338">
                  <c:v>28.432233057467965</c:v>
                </c:pt>
                <c:pt idx="339">
                  <c:v>28.572245050974992</c:v>
                </c:pt>
                <c:pt idx="340">
                  <c:v>28.712586796463089</c:v>
                </c:pt>
                <c:pt idx="341">
                  <c:v>28.853258293932274</c:v>
                </c:pt>
                <c:pt idx="342">
                  <c:v>28.994259543382526</c:v>
                </c:pt>
                <c:pt idx="343">
                  <c:v>29.135590544813866</c:v>
                </c:pt>
                <c:pt idx="344">
                  <c:v>29.277251298226272</c:v>
                </c:pt>
                <c:pt idx="345">
                  <c:v>29.419241803619766</c:v>
                </c:pt>
                <c:pt idx="346">
                  <c:v>29.561562060994326</c:v>
                </c:pt>
                <c:pt idx="347">
                  <c:v>29.704212070349975</c:v>
                </c:pt>
                <c:pt idx="348">
                  <c:v>29.84719183168669</c:v>
                </c:pt>
                <c:pt idx="349">
                  <c:v>29.990501345004493</c:v>
                </c:pt>
                <c:pt idx="350">
                  <c:v>30.134140610303362</c:v>
                </c:pt>
                <c:pt idx="351">
                  <c:v>30.278109627583319</c:v>
                </c:pt>
                <c:pt idx="352">
                  <c:v>30.422408396844347</c:v>
                </c:pt>
                <c:pt idx="353">
                  <c:v>30.567036918086458</c:v>
                </c:pt>
                <c:pt idx="354">
                  <c:v>30.71199519130964</c:v>
                </c:pt>
                <c:pt idx="355">
                  <c:v>30.857283216513906</c:v>
                </c:pt>
                <c:pt idx="356">
                  <c:v>31.002900993699242</c:v>
                </c:pt>
                <c:pt idx="357">
                  <c:v>31.148848522865666</c:v>
                </c:pt>
                <c:pt idx="358">
                  <c:v>31.295125804013157</c:v>
                </c:pt>
                <c:pt idx="359">
                  <c:v>31.441732837141736</c:v>
                </c:pt>
                <c:pt idx="360">
                  <c:v>31.588669622251381</c:v>
                </c:pt>
                <c:pt idx="361">
                  <c:v>31.735936159342113</c:v>
                </c:pt>
                <c:pt idx="362">
                  <c:v>31.883532448413913</c:v>
                </c:pt>
                <c:pt idx="363">
                  <c:v>32.0314584894668</c:v>
                </c:pt>
                <c:pt idx="364">
                  <c:v>32.179714282500761</c:v>
                </c:pt>
                <c:pt idx="365">
                  <c:v>32.328299827515806</c:v>
                </c:pt>
                <c:pt idx="366">
                  <c:v>32.477215124511922</c:v>
                </c:pt>
                <c:pt idx="367">
                  <c:v>32.626460173489122</c:v>
                </c:pt>
                <c:pt idx="368">
                  <c:v>32.776034974447391</c:v>
                </c:pt>
                <c:pt idx="369">
                  <c:v>32.925939527386745</c:v>
                </c:pt>
                <c:pt idx="370">
                  <c:v>33.07617383230717</c:v>
                </c:pt>
                <c:pt idx="371">
                  <c:v>33.226737889208678</c:v>
                </c:pt>
                <c:pt idx="372">
                  <c:v>33.377631698091257</c:v>
                </c:pt>
                <c:pt idx="373">
                  <c:v>33.52885525895492</c:v>
                </c:pt>
                <c:pt idx="374">
                  <c:v>33.680408571799653</c:v>
                </c:pt>
                <c:pt idx="375">
                  <c:v>33.83229163662547</c:v>
                </c:pt>
                <c:pt idx="376">
                  <c:v>33.984504453432358</c:v>
                </c:pt>
                <c:pt idx="377">
                  <c:v>34.137047022220329</c:v>
                </c:pt>
                <c:pt idx="378">
                  <c:v>34.289919342989371</c:v>
                </c:pt>
                <c:pt idx="379">
                  <c:v>34.443121415739498</c:v>
                </c:pt>
                <c:pt idx="380">
                  <c:v>34.596653240470694</c:v>
                </c:pt>
                <c:pt idx="381">
                  <c:v>34.750514817182975</c:v>
                </c:pt>
                <c:pt idx="382">
                  <c:v>34.904706145876325</c:v>
                </c:pt>
                <c:pt idx="383">
                  <c:v>35.059227226550767</c:v>
                </c:pt>
                <c:pt idx="384">
                  <c:v>35.214078059206273</c:v>
                </c:pt>
                <c:pt idx="385">
                  <c:v>35.369258643842855</c:v>
                </c:pt>
                <c:pt idx="386">
                  <c:v>35.524768980460529</c:v>
                </c:pt>
                <c:pt idx="387">
                  <c:v>35.680609069059265</c:v>
                </c:pt>
                <c:pt idx="388">
                  <c:v>35.836778909639094</c:v>
                </c:pt>
                <c:pt idx="389">
                  <c:v>35.993278502199985</c:v>
                </c:pt>
                <c:pt idx="390">
                  <c:v>36.150107846741967</c:v>
                </c:pt>
                <c:pt idx="391">
                  <c:v>36.307266943265013</c:v>
                </c:pt>
                <c:pt idx="392">
                  <c:v>36.46475579176915</c:v>
                </c:pt>
                <c:pt idx="393">
                  <c:v>36.62257439225435</c:v>
                </c:pt>
                <c:pt idx="394">
                  <c:v>36.780722744720642</c:v>
                </c:pt>
                <c:pt idx="395">
                  <c:v>36.939200849167996</c:v>
                </c:pt>
                <c:pt idx="396">
                  <c:v>37.098008705596442</c:v>
                </c:pt>
                <c:pt idx="397">
                  <c:v>37.257146314005958</c:v>
                </c:pt>
                <c:pt idx="398">
                  <c:v>37.416613674396558</c:v>
                </c:pt>
                <c:pt idx="399">
                  <c:v>37.576410786768228</c:v>
                </c:pt>
                <c:pt idx="400">
                  <c:v>37.736537651120983</c:v>
                </c:pt>
                <c:pt idx="401">
                  <c:v>37.896994267454808</c:v>
                </c:pt>
                <c:pt idx="402">
                  <c:v>38.057780635769717</c:v>
                </c:pt>
                <c:pt idx="403">
                  <c:v>38.218896756065696</c:v>
                </c:pt>
                <c:pt idx="404">
                  <c:v>38.38034262834276</c:v>
                </c:pt>
                <c:pt idx="405">
                  <c:v>38.542118252600893</c:v>
                </c:pt>
                <c:pt idx="406">
                  <c:v>38.704223628840111</c:v>
                </c:pt>
                <c:pt idx="407">
                  <c:v>38.866658757060399</c:v>
                </c:pt>
                <c:pt idx="408">
                  <c:v>39.029423637261772</c:v>
                </c:pt>
                <c:pt idx="409">
                  <c:v>39.192518269444214</c:v>
                </c:pt>
                <c:pt idx="410">
                  <c:v>39.355942653607741</c:v>
                </c:pt>
                <c:pt idx="411">
                  <c:v>39.519696789752338</c:v>
                </c:pt>
                <c:pt idx="412">
                  <c:v>39.683780677878019</c:v>
                </c:pt>
                <c:pt idx="413">
                  <c:v>39.84819431798477</c:v>
                </c:pt>
                <c:pt idx="414">
                  <c:v>40.012937710072606</c:v>
                </c:pt>
                <c:pt idx="415">
                  <c:v>40.178017977537912</c:v>
                </c:pt>
                <c:pt idx="416">
                  <c:v>40.361306950783039</c:v>
                </c:pt>
              </c:numCache>
            </c:numRef>
          </c:yVal>
          <c:smooth val="1"/>
          <c:extLst>
            <c:ext xmlns:c16="http://schemas.microsoft.com/office/drawing/2014/chart" uri="{C3380CC4-5D6E-409C-BE32-E72D297353CC}">
              <c16:uniqueId val="{00000000-A7C6-499B-B781-3681EB789A0F}"/>
            </c:ext>
          </c:extLst>
        </c:ser>
        <c:dLbls>
          <c:showLegendKey val="0"/>
          <c:showVal val="0"/>
          <c:showCatName val="0"/>
          <c:showSerName val="0"/>
          <c:showPercent val="0"/>
          <c:showBubbleSize val="0"/>
        </c:dLbls>
        <c:axId val="641842712"/>
        <c:axId val="641843888"/>
      </c:scatterChart>
      <c:valAx>
        <c:axId val="64184271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1843888"/>
        <c:crosses val="autoZero"/>
        <c:crossBetween val="midCat"/>
      </c:valAx>
      <c:valAx>
        <c:axId val="641843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18427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it-IT" sz="1200"/>
              <a:t>SEZIONE INCASTRO (step 10)</a:t>
            </a:r>
          </a:p>
        </c:rich>
      </c:tx>
      <c:layout>
        <c:manualLayout>
          <c:xMode val="edge"/>
          <c:yMode val="edge"/>
          <c:x val="0.33739993828458609"/>
          <c:y val="8.769061827355785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
          <c:y val="0.23510550036998004"/>
          <c:w val="1"/>
          <c:h val="0.56659994257574853"/>
        </c:manualLayout>
      </c:layout>
      <c:scatterChart>
        <c:scatterStyle val="lineMarker"/>
        <c:varyColors val="0"/>
        <c:ser>
          <c:idx val="0"/>
          <c:order val="0"/>
          <c:spPr>
            <a:ln w="28575" cap="rnd">
              <a:solidFill>
                <a:schemeClr val="bg2">
                  <a:lumMod val="25000"/>
                </a:schemeClr>
              </a:solidFill>
              <a:round/>
            </a:ln>
            <a:effectLst/>
          </c:spPr>
          <c:marker>
            <c:symbol val="none"/>
          </c:marker>
          <c:xVal>
            <c:numRef>
              <c:f>'geom masse muro+tensioni'!$F$44:$F$69</c:f>
              <c:numCache>
                <c:formatCode>General</c:formatCode>
                <c:ptCount val="26"/>
                <c:pt idx="0">
                  <c:v>0</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c:v>
                </c:pt>
              </c:numCache>
            </c:numRef>
          </c:xVal>
          <c:yVal>
            <c:numRef>
              <c:f>'geom masse muro+tensioni'!$G$44:$G$69</c:f>
              <c:numCache>
                <c:formatCode>General</c:formatCode>
                <c:ptCount val="26"/>
                <c:pt idx="0">
                  <c:v>0</c:v>
                </c:pt>
                <c:pt idx="1">
                  <c:v>0</c:v>
                </c:pt>
                <c:pt idx="2">
                  <c:v>0.3</c:v>
                </c:pt>
                <c:pt idx="3">
                  <c:v>0.3</c:v>
                </c:pt>
                <c:pt idx="4" formatCode="0.000">
                  <c:v>0.30000999999999978</c:v>
                </c:pt>
                <c:pt idx="5" formatCode="0.000">
                  <c:v>0.30000999999999978</c:v>
                </c:pt>
                <c:pt idx="6" formatCode="0.000">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formatCode="0.000">
                  <c:v>0.30000999999999978</c:v>
                </c:pt>
                <c:pt idx="21" formatCode="0.000">
                  <c:v>0.30000999999999978</c:v>
                </c:pt>
                <c:pt idx="22" formatCode="0.000">
                  <c:v>0.3</c:v>
                </c:pt>
                <c:pt idx="23" formatCode="0.000">
                  <c:v>0.3</c:v>
                </c:pt>
                <c:pt idx="24" formatCode="0.000">
                  <c:v>0</c:v>
                </c:pt>
                <c:pt idx="25" formatCode="0.000">
                  <c:v>0</c:v>
                </c:pt>
              </c:numCache>
            </c:numRef>
          </c:yVal>
          <c:smooth val="0"/>
          <c:extLst>
            <c:ext xmlns:c16="http://schemas.microsoft.com/office/drawing/2014/chart" uri="{C3380CC4-5D6E-409C-BE32-E72D297353CC}">
              <c16:uniqueId val="{00000000-383C-429B-B48B-6180D77CD849}"/>
            </c:ext>
          </c:extLst>
        </c:ser>
        <c:ser>
          <c:idx val="1"/>
          <c:order val="1"/>
          <c:tx>
            <c:v>asse neutro</c:v>
          </c:tx>
          <c:spPr>
            <a:ln w="9525" cap="rnd">
              <a:solidFill>
                <a:schemeClr val="accent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750-43D3-A830-05CF917F3018}"/>
                </c:ext>
              </c:extLst>
            </c:dLbl>
            <c:dLbl>
              <c:idx val="1"/>
              <c:layout>
                <c:manualLayout>
                  <c:x val="-0.10260221847001511"/>
                  <c:y val="9.0169084783789308E-2"/>
                </c:manualLayout>
              </c:layout>
              <c:tx>
                <c:rich>
                  <a:bodyPr/>
                  <a:lstStyle/>
                  <a:p>
                    <a:r>
                      <a:rPr lang="en-US"/>
                      <a:t>Asse</a:t>
                    </a:r>
                    <a:r>
                      <a:rPr lang="en-US" baseline="0"/>
                      <a:t> Neutro</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750-43D3-A830-05CF917F30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sezione!$Z$18:$Z$19</c:f>
              <c:numCache>
                <c:formatCode>General</c:formatCode>
                <c:ptCount val="2"/>
                <c:pt idx="0">
                  <c:v>0.6</c:v>
                </c:pt>
                <c:pt idx="1">
                  <c:v>-0.6</c:v>
                </c:pt>
              </c:numCache>
            </c:numRef>
          </c:xVal>
          <c:yVal>
            <c:numRef>
              <c:f>sezione!$AA$18:$AA$19</c:f>
              <c:numCache>
                <c:formatCode>0.000</c:formatCode>
                <c:ptCount val="2"/>
                <c:pt idx="0">
                  <c:v>0.17010039242219191</c:v>
                </c:pt>
                <c:pt idx="1">
                  <c:v>0.17010039242219191</c:v>
                </c:pt>
              </c:numCache>
            </c:numRef>
          </c:yVal>
          <c:smooth val="0"/>
          <c:extLst>
            <c:ext xmlns:c16="http://schemas.microsoft.com/office/drawing/2014/chart" uri="{C3380CC4-5D6E-409C-BE32-E72D297353CC}">
              <c16:uniqueId val="{00000002-D750-43D3-A830-05CF917F3018}"/>
            </c:ext>
          </c:extLst>
        </c:ser>
        <c:dLbls>
          <c:showLegendKey val="0"/>
          <c:showVal val="0"/>
          <c:showCatName val="0"/>
          <c:showSerName val="0"/>
          <c:showPercent val="0"/>
          <c:showBubbleSize val="0"/>
        </c:dLbls>
        <c:axId val="641844280"/>
        <c:axId val="641845456"/>
      </c:scatterChart>
      <c:valAx>
        <c:axId val="641844280"/>
        <c:scaling>
          <c:orientation val="minMax"/>
        </c:scaling>
        <c:delete val="1"/>
        <c:axPos val="b"/>
        <c:numFmt formatCode="General" sourceLinked="1"/>
        <c:majorTickMark val="none"/>
        <c:minorTickMark val="none"/>
        <c:tickLblPos val="nextTo"/>
        <c:crossAx val="641845456"/>
        <c:crosses val="autoZero"/>
        <c:crossBetween val="midCat"/>
      </c:valAx>
      <c:valAx>
        <c:axId val="641845456"/>
        <c:scaling>
          <c:orientation val="minMax"/>
        </c:scaling>
        <c:delete val="1"/>
        <c:axPos val="l"/>
        <c:numFmt formatCode="General" sourceLinked="1"/>
        <c:majorTickMark val="none"/>
        <c:minorTickMark val="none"/>
        <c:tickLblPos val="nextTo"/>
        <c:crossAx val="641844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it-IT"/>
              <a:t>SEZIONE INCASTRO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
          <c:y val="0.1964823402533121"/>
          <c:w val="1"/>
          <c:h val="0.72559051618005244"/>
        </c:manualLayout>
      </c:layout>
      <c:scatterChart>
        <c:scatterStyle val="lineMarker"/>
        <c:varyColors val="0"/>
        <c:ser>
          <c:idx val="0"/>
          <c:order val="0"/>
          <c:spPr>
            <a:ln w="28575" cap="rnd">
              <a:solidFill>
                <a:schemeClr val="bg2">
                  <a:lumMod val="25000"/>
                </a:schemeClr>
              </a:solidFill>
              <a:round/>
            </a:ln>
            <a:effectLst/>
          </c:spPr>
          <c:marker>
            <c:symbol val="none"/>
          </c:marker>
          <c:xVal>
            <c:numRef>
              <c:f>'geom masse muro+tensioni'!$F$44:$F$69</c:f>
              <c:numCache>
                <c:formatCode>General</c:formatCode>
                <c:ptCount val="26"/>
                <c:pt idx="0">
                  <c:v>0</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c:v>
                </c:pt>
              </c:numCache>
            </c:numRef>
          </c:xVal>
          <c:yVal>
            <c:numRef>
              <c:f>'geom masse muro+tensioni'!$G$44:$G$69</c:f>
              <c:numCache>
                <c:formatCode>General</c:formatCode>
                <c:ptCount val="26"/>
                <c:pt idx="0">
                  <c:v>0</c:v>
                </c:pt>
                <c:pt idx="1">
                  <c:v>0</c:v>
                </c:pt>
                <c:pt idx="2">
                  <c:v>0.3</c:v>
                </c:pt>
                <c:pt idx="3">
                  <c:v>0.3</c:v>
                </c:pt>
                <c:pt idx="4" formatCode="0.000">
                  <c:v>0.30000999999999978</c:v>
                </c:pt>
                <c:pt idx="5" formatCode="0.000">
                  <c:v>0.30000999999999978</c:v>
                </c:pt>
                <c:pt idx="6" formatCode="0.000">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formatCode="0.000">
                  <c:v>0.30000999999999978</c:v>
                </c:pt>
                <c:pt idx="21" formatCode="0.000">
                  <c:v>0.30000999999999978</c:v>
                </c:pt>
                <c:pt idx="22" formatCode="0.000">
                  <c:v>0.3</c:v>
                </c:pt>
                <c:pt idx="23" formatCode="0.000">
                  <c:v>0.3</c:v>
                </c:pt>
                <c:pt idx="24" formatCode="0.000">
                  <c:v>0</c:v>
                </c:pt>
                <c:pt idx="25" formatCode="0.000">
                  <c:v>0</c:v>
                </c:pt>
              </c:numCache>
            </c:numRef>
          </c:yVal>
          <c:smooth val="0"/>
          <c:extLst>
            <c:ext xmlns:c16="http://schemas.microsoft.com/office/drawing/2014/chart" uri="{C3380CC4-5D6E-409C-BE32-E72D297353CC}">
              <c16:uniqueId val="{00000000-383C-429B-B48B-6180D77CD849}"/>
            </c:ext>
          </c:extLst>
        </c:ser>
        <c:ser>
          <c:idx val="1"/>
          <c:order val="1"/>
          <c:tx>
            <c:v>POS1</c:v>
          </c:tx>
          <c:spPr>
            <a:ln w="952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xVal>
            <c:numRef>
              <c:f>sezione!$Z$22:$Z$23</c:f>
              <c:numCache>
                <c:formatCode>0.00</c:formatCode>
                <c:ptCount val="2"/>
                <c:pt idx="0">
                  <c:v>0.6</c:v>
                </c:pt>
                <c:pt idx="1">
                  <c:v>-0.5</c:v>
                </c:pt>
              </c:numCache>
            </c:numRef>
          </c:xVal>
          <c:yVal>
            <c:numRef>
              <c:f>sezione!$AA$22:$AA$23</c:f>
              <c:numCache>
                <c:formatCode>0.00</c:formatCode>
                <c:ptCount val="2"/>
                <c:pt idx="0">
                  <c:v>0.04</c:v>
                </c:pt>
                <c:pt idx="1">
                  <c:v>0.04</c:v>
                </c:pt>
              </c:numCache>
            </c:numRef>
          </c:yVal>
          <c:smooth val="0"/>
          <c:extLst>
            <c:ext xmlns:c16="http://schemas.microsoft.com/office/drawing/2014/chart" uri="{C3380CC4-5D6E-409C-BE32-E72D297353CC}">
              <c16:uniqueId val="{00000000-8C2A-48BC-9FFD-329FC4B0E60B}"/>
            </c:ext>
          </c:extLst>
        </c:ser>
        <c:ser>
          <c:idx val="2"/>
          <c:order val="2"/>
          <c:tx>
            <c:v>POS2</c:v>
          </c:tx>
          <c:spPr>
            <a:ln w="317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dPt>
            <c:idx val="1"/>
            <c:marker>
              <c:symbol val="none"/>
            </c:marker>
            <c:bubble3D val="0"/>
            <c:spPr>
              <a:ln w="9525" cap="rnd">
                <a:solidFill>
                  <a:schemeClr val="bg1">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2-8C2A-48BC-9FFD-329FC4B0E60B}"/>
              </c:ext>
            </c:extLst>
          </c:dPt>
          <c:xVal>
            <c:numRef>
              <c:f>sezione!$Z$26:$Z$27</c:f>
              <c:numCache>
                <c:formatCode>0.00</c:formatCode>
                <c:ptCount val="2"/>
                <c:pt idx="0">
                  <c:v>0.6</c:v>
                </c:pt>
                <c:pt idx="1">
                  <c:v>-0.5</c:v>
                </c:pt>
              </c:numCache>
            </c:numRef>
          </c:xVal>
          <c:yVal>
            <c:numRef>
              <c:f>sezione!$AA$26:$AA$27</c:f>
              <c:numCache>
                <c:formatCode>0.00</c:formatCode>
                <c:ptCount val="2"/>
                <c:pt idx="0">
                  <c:v>0.15</c:v>
                </c:pt>
                <c:pt idx="1">
                  <c:v>0.15</c:v>
                </c:pt>
              </c:numCache>
            </c:numRef>
          </c:yVal>
          <c:smooth val="0"/>
          <c:extLst>
            <c:ext xmlns:c16="http://schemas.microsoft.com/office/drawing/2014/chart" uri="{C3380CC4-5D6E-409C-BE32-E72D297353CC}">
              <c16:uniqueId val="{00000003-8C2A-48BC-9FFD-329FC4B0E60B}"/>
            </c:ext>
          </c:extLst>
        </c:ser>
        <c:ser>
          <c:idx val="3"/>
          <c:order val="3"/>
          <c:tx>
            <c:v>POS3</c:v>
          </c:tx>
          <c:spPr>
            <a:ln w="9525" cap="rnd">
              <a:solidFill>
                <a:schemeClr val="accent4"/>
              </a:solidFill>
              <a:round/>
            </a:ln>
            <a:effectLst>
              <a:outerShdw blurRad="40000" dist="23000" dir="5400000" rotWithShape="0">
                <a:srgbClr val="000000">
                  <a:alpha val="35000"/>
                </a:srgbClr>
              </a:outerShdw>
            </a:effectLst>
          </c:spPr>
          <c:marker>
            <c:symbol val="none"/>
          </c:marker>
          <c:dPt>
            <c:idx val="1"/>
            <c:marker>
              <c:symbol val="none"/>
            </c:marker>
            <c:bubble3D val="0"/>
            <c:spPr>
              <a:ln w="9525" cap="rnd">
                <a:solidFill>
                  <a:schemeClr val="bg1">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5-8C2A-48BC-9FFD-329FC4B0E60B}"/>
              </c:ext>
            </c:extLst>
          </c:dPt>
          <c:xVal>
            <c:numRef>
              <c:f>sezione!$Z$30:$Z$31</c:f>
              <c:numCache>
                <c:formatCode>0.00</c:formatCode>
                <c:ptCount val="2"/>
                <c:pt idx="0">
                  <c:v>0.6</c:v>
                </c:pt>
                <c:pt idx="1">
                  <c:v>-0.5</c:v>
                </c:pt>
              </c:numCache>
            </c:numRef>
          </c:xVal>
          <c:yVal>
            <c:numRef>
              <c:f>sezione!$AA$30:$AA$31</c:f>
              <c:numCache>
                <c:formatCode>0.00</c:formatCode>
                <c:ptCount val="2"/>
                <c:pt idx="0">
                  <c:v>0.26</c:v>
                </c:pt>
                <c:pt idx="1">
                  <c:v>0.26</c:v>
                </c:pt>
              </c:numCache>
            </c:numRef>
          </c:yVal>
          <c:smooth val="0"/>
          <c:extLst>
            <c:ext xmlns:c16="http://schemas.microsoft.com/office/drawing/2014/chart" uri="{C3380CC4-5D6E-409C-BE32-E72D297353CC}">
              <c16:uniqueId val="{00000006-8C2A-48BC-9FFD-329FC4B0E60B}"/>
            </c:ext>
          </c:extLst>
        </c:ser>
        <c:ser>
          <c:idx val="4"/>
          <c:order val="4"/>
          <c:tx>
            <c:v>POS4</c:v>
          </c:tx>
          <c:spPr>
            <a:ln w="952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xVal>
            <c:numRef>
              <c:f>sezione!$Z$35:$Z$36</c:f>
              <c:numCache>
                <c:formatCode>0.00</c:formatCode>
                <c:ptCount val="2"/>
                <c:pt idx="0">
                  <c:v>0.6</c:v>
                </c:pt>
                <c:pt idx="1">
                  <c:v>-0.5</c:v>
                </c:pt>
              </c:numCache>
            </c:numRef>
          </c:xVal>
          <c:yVal>
            <c:numRef>
              <c:f>sezione!$AA$35:$AA$36</c:f>
              <c:numCache>
                <c:formatCode>0.00</c:formatCode>
                <c:ptCount val="2"/>
                <c:pt idx="0">
                  <c:v>0.34</c:v>
                </c:pt>
                <c:pt idx="1">
                  <c:v>0.34</c:v>
                </c:pt>
              </c:numCache>
            </c:numRef>
          </c:yVal>
          <c:smooth val="0"/>
          <c:extLst>
            <c:ext xmlns:c16="http://schemas.microsoft.com/office/drawing/2014/chart" uri="{C3380CC4-5D6E-409C-BE32-E72D297353CC}">
              <c16:uniqueId val="{00000007-8C2A-48BC-9FFD-329FC4B0E60B}"/>
            </c:ext>
          </c:extLst>
        </c:ser>
        <c:ser>
          <c:idx val="5"/>
          <c:order val="5"/>
          <c:tx>
            <c:v>POS5</c:v>
          </c:tx>
          <c:spPr>
            <a:ln w="952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xVal>
            <c:numRef>
              <c:f>sezione!$Z$40:$Z$41</c:f>
              <c:numCache>
                <c:formatCode>0.00</c:formatCode>
                <c:ptCount val="2"/>
                <c:pt idx="0">
                  <c:v>0.6</c:v>
                </c:pt>
                <c:pt idx="1">
                  <c:v>-0.5</c:v>
                </c:pt>
              </c:numCache>
            </c:numRef>
          </c:xVal>
          <c:yVal>
            <c:numRef>
              <c:f>sezione!$AA$40:$AA$41</c:f>
              <c:numCache>
                <c:formatCode>0.00</c:formatCode>
                <c:ptCount val="2"/>
                <c:pt idx="0">
                  <c:v>0.26000999999999974</c:v>
                </c:pt>
                <c:pt idx="1">
                  <c:v>0.26000999999999974</c:v>
                </c:pt>
              </c:numCache>
            </c:numRef>
          </c:yVal>
          <c:smooth val="0"/>
          <c:extLst>
            <c:ext xmlns:c16="http://schemas.microsoft.com/office/drawing/2014/chart" uri="{C3380CC4-5D6E-409C-BE32-E72D297353CC}">
              <c16:uniqueId val="{00000008-8C2A-48BC-9FFD-329FC4B0E60B}"/>
            </c:ext>
          </c:extLst>
        </c:ser>
        <c:dLbls>
          <c:showLegendKey val="0"/>
          <c:showVal val="0"/>
          <c:showCatName val="0"/>
          <c:showSerName val="0"/>
          <c:showPercent val="0"/>
          <c:showBubbleSize val="0"/>
        </c:dLbls>
        <c:axId val="641839184"/>
        <c:axId val="641846240"/>
      </c:scatterChart>
      <c:valAx>
        <c:axId val="641839184"/>
        <c:scaling>
          <c:orientation val="minMax"/>
        </c:scaling>
        <c:delete val="1"/>
        <c:axPos val="b"/>
        <c:numFmt formatCode="General" sourceLinked="1"/>
        <c:majorTickMark val="none"/>
        <c:minorTickMark val="none"/>
        <c:tickLblPos val="nextTo"/>
        <c:crossAx val="641846240"/>
        <c:crosses val="autoZero"/>
        <c:crossBetween val="midCat"/>
      </c:valAx>
      <c:valAx>
        <c:axId val="641846240"/>
        <c:scaling>
          <c:orientation val="minMax"/>
        </c:scaling>
        <c:delete val="1"/>
        <c:axPos val="l"/>
        <c:numFmt formatCode="General" sourceLinked="1"/>
        <c:majorTickMark val="none"/>
        <c:minorTickMark val="none"/>
        <c:tickLblPos val="nextTo"/>
        <c:crossAx val="641839184"/>
        <c:crosses val="autoZero"/>
        <c:crossBetween val="midCat"/>
      </c:valAx>
      <c:spPr>
        <a:noFill/>
        <a:ln>
          <a:noFill/>
          <a:prstDash val="sysDash"/>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t>SEZIONE</a:t>
            </a:r>
            <a:r>
              <a:rPr lang="en-US" sz="1200" baseline="0"/>
              <a:t> 1</a:t>
            </a:r>
            <a:endParaRPr lang="en-US" sz="1200"/>
          </a:p>
        </c:rich>
      </c:tx>
      <c:layout>
        <c:manualLayout>
          <c:xMode val="edge"/>
          <c:yMode val="edge"/>
          <c:x val="0.43354938058244569"/>
          <c:y val="2.739726027397260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
          <c:y val="0.15659080286197102"/>
          <c:w val="0.97018470721245098"/>
          <c:h val="0.80034676597113552"/>
        </c:manualLayout>
      </c:layout>
      <c:scatterChart>
        <c:scatterStyle val="lineMarker"/>
        <c:varyColors val="0"/>
        <c:ser>
          <c:idx val="0"/>
          <c:order val="0"/>
          <c:spPr>
            <a:ln w="28575" cap="rnd">
              <a:solidFill>
                <a:schemeClr val="tx1">
                  <a:lumMod val="65000"/>
                  <a:lumOff val="35000"/>
                </a:schemeClr>
              </a:solidFill>
              <a:round/>
            </a:ln>
            <a:effectLst/>
          </c:spPr>
          <c:marker>
            <c:symbol val="none"/>
          </c:marker>
          <c:xVal>
            <c:numRef>
              <c:f>'geom masse muro+tensioni'!$C$44:$C$69</c:f>
              <c:numCache>
                <c:formatCode>General</c:formatCode>
                <c:ptCount val="26"/>
                <c:pt idx="0">
                  <c:v>0</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c:v>
                </c:pt>
              </c:numCache>
            </c:numRef>
          </c:xVal>
          <c:yVal>
            <c:numRef>
              <c:f>'geom masse muro+tensioni'!$D$44:$D$69</c:f>
              <c:numCache>
                <c:formatCode>General</c:formatCode>
                <c:ptCount val="26"/>
                <c:pt idx="0">
                  <c:v>0</c:v>
                </c:pt>
                <c:pt idx="1">
                  <c:v>0</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c:v>
                </c:pt>
                <c:pt idx="25">
                  <c:v>0</c:v>
                </c:pt>
              </c:numCache>
            </c:numRef>
          </c:yVal>
          <c:smooth val="0"/>
          <c:extLst>
            <c:ext xmlns:c16="http://schemas.microsoft.com/office/drawing/2014/chart" uri="{C3380CC4-5D6E-409C-BE32-E72D297353CC}">
              <c16:uniqueId val="{00000000-5CD3-482E-B1AD-EB16BEB75CDC}"/>
            </c:ext>
          </c:extLst>
        </c:ser>
        <c:ser>
          <c:idx val="1"/>
          <c:order val="1"/>
          <c:spPr>
            <a:ln w="6350" cap="rnd">
              <a:solidFill>
                <a:schemeClr val="bg2">
                  <a:lumMod val="25000"/>
                </a:schemeClr>
              </a:solidFill>
              <a:prstDash val="solid"/>
              <a:round/>
            </a:ln>
            <a:effectLst/>
          </c:spPr>
          <c:marker>
            <c:symbol val="none"/>
          </c:marker>
          <c:dLbls>
            <c:dLbl>
              <c:idx val="0"/>
              <c:layout>
                <c:manualLayout>
                  <c:x val="7.8777669458790001E-2"/>
                  <c:y val="0.21613056941120196"/>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solidFill>
                          <a:srgbClr val="FF0000"/>
                        </a:solidFill>
                      </a:rPr>
                      <a:t>asse x in mezzeria</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24507708104498283"/>
                      <c:h val="0.19895963371569481"/>
                    </c:manualLayout>
                  </c15:layout>
                </c:ext>
                <c:ext xmlns:c16="http://schemas.microsoft.com/office/drawing/2014/chart" uri="{C3380CC4-5D6E-409C-BE32-E72D297353CC}">
                  <c16:uniqueId val="{00000001-5CD3-482E-B1AD-EB16BEB75C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muro+tensioni'!$F$44:$F$69</c:f>
              <c:numCache>
                <c:formatCode>General</c:formatCode>
                <c:ptCount val="26"/>
                <c:pt idx="0">
                  <c:v>0</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c:v>
                </c:pt>
              </c:numCache>
            </c:numRef>
          </c:xVal>
          <c:yVal>
            <c:numRef>
              <c:f>'geom masse muro+tensioni'!$G$44:$G$69</c:f>
              <c:numCache>
                <c:formatCode>General</c:formatCode>
                <c:ptCount val="26"/>
                <c:pt idx="0">
                  <c:v>0</c:v>
                </c:pt>
                <c:pt idx="1">
                  <c:v>0</c:v>
                </c:pt>
                <c:pt idx="2">
                  <c:v>0.3</c:v>
                </c:pt>
                <c:pt idx="3">
                  <c:v>0.3</c:v>
                </c:pt>
                <c:pt idx="4" formatCode="0.000">
                  <c:v>0.30000999999999978</c:v>
                </c:pt>
                <c:pt idx="5" formatCode="0.000">
                  <c:v>0.30000999999999978</c:v>
                </c:pt>
                <c:pt idx="6" formatCode="0.000">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formatCode="0.000">
                  <c:v>0.30000999999999978</c:v>
                </c:pt>
                <c:pt idx="21" formatCode="0.000">
                  <c:v>0.30000999999999978</c:v>
                </c:pt>
                <c:pt idx="22" formatCode="0.000">
                  <c:v>0.3</c:v>
                </c:pt>
                <c:pt idx="23" formatCode="0.000">
                  <c:v>0.3</c:v>
                </c:pt>
                <c:pt idx="24" formatCode="0.000">
                  <c:v>0</c:v>
                </c:pt>
                <c:pt idx="25" formatCode="0.000">
                  <c:v>0</c:v>
                </c:pt>
              </c:numCache>
            </c:numRef>
          </c:yVal>
          <c:smooth val="0"/>
          <c:extLst>
            <c:ext xmlns:c16="http://schemas.microsoft.com/office/drawing/2014/chart" uri="{C3380CC4-5D6E-409C-BE32-E72D297353CC}">
              <c16:uniqueId val="{00000002-5CD3-482E-B1AD-EB16BEB75CDC}"/>
            </c:ext>
          </c:extLst>
        </c:ser>
        <c:ser>
          <c:idx val="2"/>
          <c:order val="2"/>
          <c:spPr>
            <a:ln w="9525" cap="rnd">
              <a:solidFill>
                <a:schemeClr val="accent3"/>
              </a:solidFill>
              <a:round/>
            </a:ln>
            <a:effectLst/>
          </c:spPr>
          <c:marker>
            <c:symbol val="none"/>
          </c:marker>
          <c:xVal>
            <c:numRef>
              <c:f>'geom masse muro+tensioni'!$C$72:$C$77</c:f>
              <c:numCache>
                <c:formatCode>General</c:formatCode>
                <c:ptCount val="6"/>
                <c:pt idx="0">
                  <c:v>0.5</c:v>
                </c:pt>
                <c:pt idx="1">
                  <c:v>0.5</c:v>
                </c:pt>
                <c:pt idx="2">
                  <c:v>-0.5</c:v>
                </c:pt>
                <c:pt idx="3">
                  <c:v>-0.5</c:v>
                </c:pt>
                <c:pt idx="4">
                  <c:v>0.5</c:v>
                </c:pt>
                <c:pt idx="5">
                  <c:v>0.5</c:v>
                </c:pt>
              </c:numCache>
            </c:numRef>
          </c:xVal>
          <c:yVal>
            <c:numRef>
              <c:f>'geom masse muro+tensioni'!$D$72:$D$77</c:f>
              <c:numCache>
                <c:formatCode>General</c:formatCode>
                <c:ptCount val="6"/>
                <c:pt idx="0">
                  <c:v>0</c:v>
                </c:pt>
                <c:pt idx="1">
                  <c:v>1.5999999999999996</c:v>
                </c:pt>
                <c:pt idx="2">
                  <c:v>1.5999999999999996</c:v>
                </c:pt>
                <c:pt idx="3">
                  <c:v>-0.4</c:v>
                </c:pt>
                <c:pt idx="4">
                  <c:v>-0.4</c:v>
                </c:pt>
                <c:pt idx="5">
                  <c:v>0</c:v>
                </c:pt>
              </c:numCache>
            </c:numRef>
          </c:yVal>
          <c:smooth val="0"/>
          <c:extLst>
            <c:ext xmlns:c16="http://schemas.microsoft.com/office/drawing/2014/chart" uri="{C3380CC4-5D6E-409C-BE32-E72D297353CC}">
              <c16:uniqueId val="{00000003-5CD3-482E-B1AD-EB16BEB75CDC}"/>
            </c:ext>
          </c:extLst>
        </c:ser>
        <c:ser>
          <c:idx val="3"/>
          <c:order val="3"/>
          <c:spPr>
            <a:ln w="9525" cap="rnd">
              <a:solidFill>
                <a:schemeClr val="bg2">
                  <a:lumMod val="75000"/>
                </a:schemeClr>
              </a:solidFill>
              <a:prstDash val="dash"/>
              <a:round/>
            </a:ln>
            <a:effectLst/>
          </c:spPr>
          <c:marker>
            <c:symbol val="none"/>
          </c:marker>
          <c:xVal>
            <c:numRef>
              <c:f>'geom masse muro+tensioni'!$F$72:$F$76</c:f>
              <c:numCache>
                <c:formatCode>General</c:formatCode>
                <c:ptCount val="5"/>
                <c:pt idx="0">
                  <c:v>0.5</c:v>
                </c:pt>
                <c:pt idx="1">
                  <c:v>0.5</c:v>
                </c:pt>
                <c:pt idx="2">
                  <c:v>-0.5</c:v>
                </c:pt>
                <c:pt idx="3">
                  <c:v>-0.5</c:v>
                </c:pt>
                <c:pt idx="4">
                  <c:v>0.5</c:v>
                </c:pt>
              </c:numCache>
            </c:numRef>
          </c:xVal>
          <c:yVal>
            <c:numRef>
              <c:f>'geom masse muro+tensioni'!$G$72:$G$76</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4-5CD3-482E-B1AD-EB16BEB75CDC}"/>
            </c:ext>
          </c:extLst>
        </c:ser>
        <c:dLbls>
          <c:showLegendKey val="0"/>
          <c:showVal val="0"/>
          <c:showCatName val="0"/>
          <c:showSerName val="0"/>
          <c:showPercent val="0"/>
          <c:showBubbleSize val="0"/>
        </c:dLbls>
        <c:axId val="637871512"/>
        <c:axId val="637875824"/>
      </c:scatterChart>
      <c:valAx>
        <c:axId val="637871512"/>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100">
                    <a:latin typeface="Calibri" panose="020F0502020204030204" pitchFamily="34" charset="0"/>
                  </a:rPr>
                  <a:t>asse y →</a:t>
                </a:r>
                <a:endParaRPr lang="it-IT" sz="1100"/>
              </a:p>
            </c:rich>
          </c:tx>
          <c:layout>
            <c:manualLayout>
              <c:xMode val="edge"/>
              <c:yMode val="edge"/>
              <c:x val="0.37440523134206438"/>
              <c:y val="0.8722827454787329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7875824"/>
        <c:crosses val="autoZero"/>
        <c:crossBetween val="midCat"/>
      </c:valAx>
      <c:valAx>
        <c:axId val="637875824"/>
        <c:scaling>
          <c:orientation val="minMax"/>
        </c:scaling>
        <c:delete val="1"/>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100" b="1" i="0" baseline="0">
                    <a:effectLst/>
                  </a:rPr>
                  <a:t>asse x →</a:t>
                </a:r>
                <a:endParaRPr lang="it-IT" sz="500">
                  <a:effectLst/>
                </a:endParaRP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7871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MRd</c:v>
          </c:tx>
          <c:spPr>
            <a:ln w="19050" cap="rnd">
              <a:solidFill>
                <a:schemeClr val="tx1">
                  <a:lumMod val="85000"/>
                  <a:lumOff val="15000"/>
                </a:schemeClr>
              </a:solidFill>
              <a:round/>
            </a:ln>
            <a:effectLst/>
          </c:spPr>
          <c:marker>
            <c:symbol val="none"/>
          </c:marker>
          <c:xVal>
            <c:numRef>
              <c:f>sezione!$AC$46:$AC$58</c:f>
              <c:numCache>
                <c:formatCode>0.00" m"</c:formatCode>
                <c:ptCount val="13"/>
                <c:pt idx="0">
                  <c:v>3.35</c:v>
                </c:pt>
                <c:pt idx="1">
                  <c:v>3.35</c:v>
                </c:pt>
                <c:pt idx="2">
                  <c:v>3.0691105769230771</c:v>
                </c:pt>
                <c:pt idx="3">
                  <c:v>2.7813701923076923</c:v>
                </c:pt>
                <c:pt idx="4">
                  <c:v>2.5004807692307693</c:v>
                </c:pt>
                <c:pt idx="5">
                  <c:v>2.212740384615385</c:v>
                </c:pt>
                <c:pt idx="6">
                  <c:v>1.925</c:v>
                </c:pt>
                <c:pt idx="7">
                  <c:v>1.644110576923077</c:v>
                </c:pt>
                <c:pt idx="8">
                  <c:v>1.3563701923076925</c:v>
                </c:pt>
                <c:pt idx="9">
                  <c:v>1.0754807692307695</c:v>
                </c:pt>
                <c:pt idx="10">
                  <c:v>0.78774038461538476</c:v>
                </c:pt>
                <c:pt idx="11">
                  <c:v>0.5</c:v>
                </c:pt>
                <c:pt idx="12">
                  <c:v>0.5</c:v>
                </c:pt>
              </c:numCache>
            </c:numRef>
          </c:xVal>
          <c:yVal>
            <c:numRef>
              <c:f>sezione!$AB$46:$AB$58</c:f>
              <c:numCache>
                <c:formatCode>0.0" kNm"</c:formatCode>
                <c:ptCount val="13"/>
                <c:pt idx="0" formatCode="General">
                  <c:v>0</c:v>
                </c:pt>
                <c:pt idx="1">
                  <c:v>-161.42827347438211</c:v>
                </c:pt>
                <c:pt idx="2">
                  <c:v>-161.42853062364338</c:v>
                </c:pt>
                <c:pt idx="3">
                  <c:v>-161.42879404528236</c:v>
                </c:pt>
                <c:pt idx="4">
                  <c:v>-171.90247810253885</c:v>
                </c:pt>
                <c:pt idx="5">
                  <c:v>-171.90281478567334</c:v>
                </c:pt>
                <c:pt idx="6">
                  <c:v>-230.64709143925316</c:v>
                </c:pt>
                <c:pt idx="7">
                  <c:v>-230.64761083876141</c:v>
                </c:pt>
                <c:pt idx="8">
                  <c:v>-327.81310174719664</c:v>
                </c:pt>
                <c:pt idx="9">
                  <c:v>-327.81399237307892</c:v>
                </c:pt>
                <c:pt idx="10">
                  <c:v>-536.02467902300441</c:v>
                </c:pt>
                <c:pt idx="11">
                  <c:v>-536.0267328442452</c:v>
                </c:pt>
                <c:pt idx="12" formatCode="General">
                  <c:v>0</c:v>
                </c:pt>
              </c:numCache>
            </c:numRef>
          </c:yVal>
          <c:smooth val="0"/>
          <c:extLst>
            <c:ext xmlns:c16="http://schemas.microsoft.com/office/drawing/2014/chart" uri="{C3380CC4-5D6E-409C-BE32-E72D297353CC}">
              <c16:uniqueId val="{00000000-AA7A-4B66-AB71-38506A13F0F1}"/>
            </c:ext>
          </c:extLst>
        </c:ser>
        <c:ser>
          <c:idx val="2"/>
          <c:order val="1"/>
          <c:tx>
            <c:v>MEd</c:v>
          </c:tx>
          <c:spPr>
            <a:ln w="19050" cap="rnd">
              <a:solidFill>
                <a:schemeClr val="bg1">
                  <a:lumMod val="65000"/>
                </a:schemeClr>
              </a:solidFill>
              <a:round/>
            </a:ln>
            <a:effectLst/>
          </c:spPr>
          <c:marker>
            <c:symbol val="none"/>
          </c:marker>
          <c:xVal>
            <c:numRef>
              <c:f>sezione!$AC$46:$AC$58</c:f>
              <c:numCache>
                <c:formatCode>0.00" m"</c:formatCode>
                <c:ptCount val="13"/>
                <c:pt idx="0">
                  <c:v>3.35</c:v>
                </c:pt>
                <c:pt idx="1">
                  <c:v>3.35</c:v>
                </c:pt>
                <c:pt idx="2">
                  <c:v>3.0691105769230771</c:v>
                </c:pt>
                <c:pt idx="3">
                  <c:v>2.7813701923076923</c:v>
                </c:pt>
                <c:pt idx="4">
                  <c:v>2.5004807692307693</c:v>
                </c:pt>
                <c:pt idx="5">
                  <c:v>2.212740384615385</c:v>
                </c:pt>
                <c:pt idx="6">
                  <c:v>1.925</c:v>
                </c:pt>
                <c:pt idx="7">
                  <c:v>1.644110576923077</c:v>
                </c:pt>
                <c:pt idx="8">
                  <c:v>1.3563701923076925</c:v>
                </c:pt>
                <c:pt idx="9">
                  <c:v>1.0754807692307695</c:v>
                </c:pt>
                <c:pt idx="10">
                  <c:v>0.78774038461538476</c:v>
                </c:pt>
                <c:pt idx="11">
                  <c:v>0.5</c:v>
                </c:pt>
                <c:pt idx="12">
                  <c:v>0.5</c:v>
                </c:pt>
              </c:numCache>
            </c:numRef>
          </c:xVal>
          <c:yVal>
            <c:numRef>
              <c:f>sezione!$AD$46:$AD$58</c:f>
              <c:numCache>
                <c:formatCode>0.0" kNm"</c:formatCode>
                <c:ptCount val="13"/>
                <c:pt idx="0" formatCode="General">
                  <c:v>0</c:v>
                </c:pt>
                <c:pt idx="1">
                  <c:v>-1E-4</c:v>
                </c:pt>
                <c:pt idx="2">
                  <c:v>-0.18943953028727276</c:v>
                </c:pt>
                <c:pt idx="3">
                  <c:v>-0.88527816845511631</c:v>
                </c:pt>
                <c:pt idx="4">
                  <c:v>-2.2132615078574891</c:v>
                </c:pt>
                <c:pt idx="5">
                  <c:v>-4.40223767847512</c:v>
                </c:pt>
                <c:pt idx="6">
                  <c:v>-7.5958451946201109</c:v>
                </c:pt>
                <c:pt idx="7">
                  <c:v>-11.8426129137434</c:v>
                </c:pt>
                <c:pt idx="8">
                  <c:v>-17.513768691665764</c:v>
                </c:pt>
                <c:pt idx="9">
                  <c:v>-24.498138257943335</c:v>
                </c:pt>
                <c:pt idx="10">
                  <c:v>-33.300491021916606</c:v>
                </c:pt>
                <c:pt idx="11">
                  <c:v>-43.936434027868202</c:v>
                </c:pt>
                <c:pt idx="12">
                  <c:v>0</c:v>
                </c:pt>
              </c:numCache>
            </c:numRef>
          </c:yVal>
          <c:smooth val="0"/>
          <c:extLst>
            <c:ext xmlns:c16="http://schemas.microsoft.com/office/drawing/2014/chart" uri="{C3380CC4-5D6E-409C-BE32-E72D297353CC}">
              <c16:uniqueId val="{00000001-AA7A-4B66-AB71-38506A13F0F1}"/>
            </c:ext>
          </c:extLst>
        </c:ser>
        <c:dLbls>
          <c:showLegendKey val="0"/>
          <c:showVal val="0"/>
          <c:showCatName val="0"/>
          <c:showSerName val="0"/>
          <c:showPercent val="0"/>
          <c:showBubbleSize val="0"/>
        </c:dLbls>
        <c:axId val="639736856"/>
        <c:axId val="639737640"/>
      </c:scatterChart>
      <c:valAx>
        <c:axId val="639736856"/>
        <c:scaling>
          <c:orientation val="minMax"/>
        </c:scaling>
        <c:delete val="0"/>
        <c:axPos val="t"/>
        <c:majorGridlines>
          <c:spPr>
            <a:ln w="9525" cap="flat" cmpd="sng" algn="ctr">
              <a:solidFill>
                <a:schemeClr val="tx1">
                  <a:lumMod val="15000"/>
                  <a:lumOff val="85000"/>
                </a:schemeClr>
              </a:solidFill>
              <a:round/>
            </a:ln>
            <a:effectLst/>
          </c:spPr>
        </c:majorGridlines>
        <c:numFmt formatCode="0.00&quot; m&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9737640"/>
        <c:crosses val="autoZero"/>
        <c:crossBetween val="midCat"/>
      </c:valAx>
      <c:valAx>
        <c:axId val="63973764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9736856"/>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it-IT"/>
              <a:t>SEZIONE TESTA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
          <c:y val="0.1964823402533121"/>
          <c:w val="1"/>
          <c:h val="0.72559051618005244"/>
        </c:manualLayout>
      </c:layout>
      <c:scatterChart>
        <c:scatterStyle val="lineMarker"/>
        <c:varyColors val="0"/>
        <c:ser>
          <c:idx val="0"/>
          <c:order val="0"/>
          <c:spPr>
            <a:ln w="28575" cap="rnd">
              <a:solidFill>
                <a:schemeClr val="bg2">
                  <a:lumMod val="25000"/>
                </a:schemeClr>
              </a:solidFill>
              <a:round/>
            </a:ln>
            <a:effectLst/>
          </c:spPr>
          <c:marker>
            <c:symbol val="none"/>
          </c:marker>
          <c:xVal>
            <c:numRef>
              <c:f>'geom masse muro+tensioni'!$C$44:$C$69</c:f>
              <c:numCache>
                <c:formatCode>General</c:formatCode>
                <c:ptCount val="26"/>
                <c:pt idx="0">
                  <c:v>0</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c:v>
                </c:pt>
              </c:numCache>
            </c:numRef>
          </c:xVal>
          <c:yVal>
            <c:numRef>
              <c:f>'geom masse muro+tensioni'!$D$44:$D$69</c:f>
              <c:numCache>
                <c:formatCode>General</c:formatCode>
                <c:ptCount val="26"/>
                <c:pt idx="0">
                  <c:v>0</c:v>
                </c:pt>
                <c:pt idx="1">
                  <c:v>0</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c:v>
                </c:pt>
                <c:pt idx="25">
                  <c:v>0</c:v>
                </c:pt>
              </c:numCache>
            </c:numRef>
          </c:yVal>
          <c:smooth val="0"/>
          <c:extLst>
            <c:ext xmlns:c16="http://schemas.microsoft.com/office/drawing/2014/chart" uri="{C3380CC4-5D6E-409C-BE32-E72D297353CC}">
              <c16:uniqueId val="{00000000-383C-429B-B48B-6180D77CD849}"/>
            </c:ext>
          </c:extLst>
        </c:ser>
        <c:ser>
          <c:idx val="1"/>
          <c:order val="1"/>
          <c:tx>
            <c:v>POS1</c:v>
          </c:tx>
          <c:spPr>
            <a:ln w="952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xVal>
            <c:numRef>
              <c:f>sezione!$Z$22:$Z$23</c:f>
              <c:numCache>
                <c:formatCode>0.00</c:formatCode>
                <c:ptCount val="2"/>
                <c:pt idx="0">
                  <c:v>0.6</c:v>
                </c:pt>
                <c:pt idx="1">
                  <c:v>-0.5</c:v>
                </c:pt>
              </c:numCache>
            </c:numRef>
          </c:xVal>
          <c:yVal>
            <c:numRef>
              <c:f>sezione!$AA$22:$AA$23</c:f>
              <c:numCache>
                <c:formatCode>0.00</c:formatCode>
                <c:ptCount val="2"/>
                <c:pt idx="0">
                  <c:v>0.04</c:v>
                </c:pt>
                <c:pt idx="1">
                  <c:v>0.04</c:v>
                </c:pt>
              </c:numCache>
            </c:numRef>
          </c:yVal>
          <c:smooth val="0"/>
          <c:extLst>
            <c:ext xmlns:c16="http://schemas.microsoft.com/office/drawing/2014/chart" uri="{C3380CC4-5D6E-409C-BE32-E72D297353CC}">
              <c16:uniqueId val="{00000000-BBA6-4037-8A2E-06FF887C90F2}"/>
            </c:ext>
          </c:extLst>
        </c:ser>
        <c:ser>
          <c:idx val="2"/>
          <c:order val="2"/>
          <c:tx>
            <c:v>POS2</c:v>
          </c:tx>
          <c:spPr>
            <a:ln w="317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dPt>
            <c:idx val="1"/>
            <c:marker>
              <c:symbol val="none"/>
            </c:marker>
            <c:bubble3D val="0"/>
            <c:spPr>
              <a:ln w="9525" cap="rnd">
                <a:solidFill>
                  <a:schemeClr val="bg1">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2-BBA6-4037-8A2E-06FF887C90F2}"/>
              </c:ext>
            </c:extLst>
          </c:dPt>
          <c:xVal>
            <c:numRef>
              <c:f>sezione!$Z$26:$Z$27</c:f>
              <c:numCache>
                <c:formatCode>0.00</c:formatCode>
                <c:ptCount val="2"/>
                <c:pt idx="0">
                  <c:v>0.6</c:v>
                </c:pt>
                <c:pt idx="1">
                  <c:v>-0.5</c:v>
                </c:pt>
              </c:numCache>
            </c:numRef>
          </c:xVal>
          <c:yVal>
            <c:numRef>
              <c:f>sezione!$AA$26:$AA$27</c:f>
              <c:numCache>
                <c:formatCode>0.00</c:formatCode>
                <c:ptCount val="2"/>
                <c:pt idx="0">
                  <c:v>0.15</c:v>
                </c:pt>
                <c:pt idx="1">
                  <c:v>0.15</c:v>
                </c:pt>
              </c:numCache>
            </c:numRef>
          </c:yVal>
          <c:smooth val="0"/>
          <c:extLst>
            <c:ext xmlns:c16="http://schemas.microsoft.com/office/drawing/2014/chart" uri="{C3380CC4-5D6E-409C-BE32-E72D297353CC}">
              <c16:uniqueId val="{00000003-BBA6-4037-8A2E-06FF887C90F2}"/>
            </c:ext>
          </c:extLst>
        </c:ser>
        <c:ser>
          <c:idx val="3"/>
          <c:order val="3"/>
          <c:tx>
            <c:v>POS3</c:v>
          </c:tx>
          <c:spPr>
            <a:ln w="9525" cap="rnd">
              <a:solidFill>
                <a:schemeClr val="accent4"/>
              </a:solidFill>
              <a:round/>
            </a:ln>
            <a:effectLst>
              <a:outerShdw blurRad="40000" dist="23000" dir="5400000" rotWithShape="0">
                <a:srgbClr val="000000">
                  <a:alpha val="35000"/>
                </a:srgbClr>
              </a:outerShdw>
            </a:effectLst>
          </c:spPr>
          <c:marker>
            <c:symbol val="none"/>
          </c:marker>
          <c:dPt>
            <c:idx val="1"/>
            <c:marker>
              <c:symbol val="none"/>
            </c:marker>
            <c:bubble3D val="0"/>
            <c:spPr>
              <a:ln w="9525" cap="rnd">
                <a:solidFill>
                  <a:schemeClr val="bg1">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5-BBA6-4037-8A2E-06FF887C90F2}"/>
              </c:ext>
            </c:extLst>
          </c:dPt>
          <c:xVal>
            <c:numRef>
              <c:f>sezione!$Z$30:$Z$31</c:f>
              <c:numCache>
                <c:formatCode>0.00</c:formatCode>
                <c:ptCount val="2"/>
                <c:pt idx="0">
                  <c:v>0.6</c:v>
                </c:pt>
                <c:pt idx="1">
                  <c:v>-0.5</c:v>
                </c:pt>
              </c:numCache>
            </c:numRef>
          </c:xVal>
          <c:yVal>
            <c:numRef>
              <c:f>sezione!$AA$30:$AA$31</c:f>
              <c:numCache>
                <c:formatCode>0.00</c:formatCode>
                <c:ptCount val="2"/>
                <c:pt idx="0">
                  <c:v>0.26</c:v>
                </c:pt>
                <c:pt idx="1">
                  <c:v>0.26</c:v>
                </c:pt>
              </c:numCache>
            </c:numRef>
          </c:yVal>
          <c:smooth val="0"/>
          <c:extLst>
            <c:ext xmlns:c16="http://schemas.microsoft.com/office/drawing/2014/chart" uri="{C3380CC4-5D6E-409C-BE32-E72D297353CC}">
              <c16:uniqueId val="{00000006-BBA6-4037-8A2E-06FF887C90F2}"/>
            </c:ext>
          </c:extLst>
        </c:ser>
        <c:ser>
          <c:idx val="4"/>
          <c:order val="4"/>
          <c:tx>
            <c:v>POS4</c:v>
          </c:tx>
          <c:spPr>
            <a:ln w="952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xVal>
            <c:numRef>
              <c:f>sezione!$Z$35:$Z$36</c:f>
              <c:numCache>
                <c:formatCode>0.00</c:formatCode>
                <c:ptCount val="2"/>
                <c:pt idx="0">
                  <c:v>0.6</c:v>
                </c:pt>
                <c:pt idx="1">
                  <c:v>-0.5</c:v>
                </c:pt>
              </c:numCache>
            </c:numRef>
          </c:xVal>
          <c:yVal>
            <c:numRef>
              <c:f>sezione!$AA$35:$AA$36</c:f>
              <c:numCache>
                <c:formatCode>0.00</c:formatCode>
                <c:ptCount val="2"/>
                <c:pt idx="0">
                  <c:v>0.34</c:v>
                </c:pt>
                <c:pt idx="1">
                  <c:v>0.34</c:v>
                </c:pt>
              </c:numCache>
            </c:numRef>
          </c:yVal>
          <c:smooth val="0"/>
          <c:extLst>
            <c:ext xmlns:c16="http://schemas.microsoft.com/office/drawing/2014/chart" uri="{C3380CC4-5D6E-409C-BE32-E72D297353CC}">
              <c16:uniqueId val="{00000007-BBA6-4037-8A2E-06FF887C90F2}"/>
            </c:ext>
          </c:extLst>
        </c:ser>
        <c:ser>
          <c:idx val="5"/>
          <c:order val="5"/>
          <c:tx>
            <c:v>POS5</c:v>
          </c:tx>
          <c:spPr>
            <a:ln w="9525" cap="rnd">
              <a:solidFill>
                <a:schemeClr val="bg1">
                  <a:lumMod val="50000"/>
                </a:schemeClr>
              </a:solidFill>
              <a:prstDash val="sysDash"/>
              <a:round/>
            </a:ln>
            <a:effectLst>
              <a:outerShdw blurRad="40000" dist="23000" dir="5400000" rotWithShape="0">
                <a:srgbClr val="000000">
                  <a:alpha val="35000"/>
                </a:srgbClr>
              </a:outerShdw>
            </a:effectLst>
          </c:spPr>
          <c:marker>
            <c:symbol val="none"/>
          </c:marker>
          <c:xVal>
            <c:numRef>
              <c:f>sezione!$Z$40:$Z$41</c:f>
              <c:numCache>
                <c:formatCode>0.00</c:formatCode>
                <c:ptCount val="2"/>
                <c:pt idx="0">
                  <c:v>0.6</c:v>
                </c:pt>
                <c:pt idx="1">
                  <c:v>-0.5</c:v>
                </c:pt>
              </c:numCache>
            </c:numRef>
          </c:xVal>
          <c:yVal>
            <c:numRef>
              <c:f>sezione!$AD$40:$AD$41</c:f>
              <c:numCache>
                <c:formatCode>0.00</c:formatCode>
                <c:ptCount val="2"/>
                <c:pt idx="0">
                  <c:v>0.26</c:v>
                </c:pt>
                <c:pt idx="1">
                  <c:v>0.26</c:v>
                </c:pt>
              </c:numCache>
            </c:numRef>
          </c:yVal>
          <c:smooth val="0"/>
          <c:extLst>
            <c:ext xmlns:c16="http://schemas.microsoft.com/office/drawing/2014/chart" uri="{C3380CC4-5D6E-409C-BE32-E72D297353CC}">
              <c16:uniqueId val="{00000008-BBA6-4037-8A2E-06FF887C90F2}"/>
            </c:ext>
          </c:extLst>
        </c:ser>
        <c:dLbls>
          <c:showLegendKey val="0"/>
          <c:showVal val="0"/>
          <c:showCatName val="0"/>
          <c:showSerName val="0"/>
          <c:showPercent val="0"/>
          <c:showBubbleSize val="0"/>
        </c:dLbls>
        <c:axId val="639734896"/>
        <c:axId val="639731368"/>
      </c:scatterChart>
      <c:valAx>
        <c:axId val="639734896"/>
        <c:scaling>
          <c:orientation val="minMax"/>
        </c:scaling>
        <c:delete val="1"/>
        <c:axPos val="b"/>
        <c:numFmt formatCode="General" sourceLinked="1"/>
        <c:majorTickMark val="none"/>
        <c:minorTickMark val="none"/>
        <c:tickLblPos val="nextTo"/>
        <c:crossAx val="639731368"/>
        <c:crosses val="autoZero"/>
        <c:crossBetween val="midCat"/>
      </c:valAx>
      <c:valAx>
        <c:axId val="639731368"/>
        <c:scaling>
          <c:orientation val="minMax"/>
        </c:scaling>
        <c:delete val="1"/>
        <c:axPos val="l"/>
        <c:numFmt formatCode="General" sourceLinked="1"/>
        <c:majorTickMark val="none"/>
        <c:minorTickMark val="none"/>
        <c:tickLblPos val="nextTo"/>
        <c:crossAx val="639734896"/>
        <c:crosses val="autoZero"/>
        <c:crossBetween val="midCat"/>
      </c:valAx>
      <c:spPr>
        <a:noFill/>
        <a:ln>
          <a:noFill/>
          <a:prstDash val="sysDash"/>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it-IT" sz="1200" b="1" i="0" baseline="0">
                <a:effectLst/>
              </a:rPr>
              <a:t>SEZIONE TESTA (step 0)</a:t>
            </a:r>
            <a:endParaRPr lang="it-IT" sz="1200">
              <a:effectLst/>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
          <c:y val="0.15119959708869843"/>
          <c:w val="1"/>
          <c:h val="0.82941031146034316"/>
        </c:manualLayout>
      </c:layout>
      <c:scatterChart>
        <c:scatterStyle val="lineMarker"/>
        <c:varyColors val="0"/>
        <c:ser>
          <c:idx val="0"/>
          <c:order val="0"/>
          <c:spPr>
            <a:ln w="28575" cap="rnd">
              <a:solidFill>
                <a:schemeClr val="bg2">
                  <a:lumMod val="25000"/>
                </a:schemeClr>
              </a:solidFill>
              <a:round/>
            </a:ln>
            <a:effectLst/>
          </c:spPr>
          <c:marker>
            <c:symbol val="none"/>
          </c:marker>
          <c:xVal>
            <c:numRef>
              <c:f>'geom masse muro+tensioni'!$C$44:$C$69</c:f>
              <c:numCache>
                <c:formatCode>General</c:formatCode>
                <c:ptCount val="26"/>
                <c:pt idx="0">
                  <c:v>0</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c:v>
                </c:pt>
              </c:numCache>
            </c:numRef>
          </c:xVal>
          <c:yVal>
            <c:numRef>
              <c:f>'geom masse muro+tensioni'!$D$44:$D$69</c:f>
              <c:numCache>
                <c:formatCode>General</c:formatCode>
                <c:ptCount val="26"/>
                <c:pt idx="0">
                  <c:v>0</c:v>
                </c:pt>
                <c:pt idx="1">
                  <c:v>0</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c:v>
                </c:pt>
                <c:pt idx="25">
                  <c:v>0</c:v>
                </c:pt>
              </c:numCache>
            </c:numRef>
          </c:yVal>
          <c:smooth val="0"/>
          <c:extLst>
            <c:ext xmlns:c16="http://schemas.microsoft.com/office/drawing/2014/chart" uri="{C3380CC4-5D6E-409C-BE32-E72D297353CC}">
              <c16:uniqueId val="{00000000-383C-429B-B48B-6180D77CD849}"/>
            </c:ext>
          </c:extLst>
        </c:ser>
        <c:ser>
          <c:idx val="1"/>
          <c:order val="1"/>
          <c:tx>
            <c:v>ASSENEUTRO</c:v>
          </c:tx>
          <c:spPr>
            <a:ln w="9525" cap="rnd">
              <a:solidFill>
                <a:schemeClr val="accent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3C9-452F-A54E-261210B8A6E1}"/>
                </c:ext>
              </c:extLst>
            </c:dLbl>
            <c:dLbl>
              <c:idx val="1"/>
              <c:layout>
                <c:manualLayout>
                  <c:x val="-9.3005676614957747E-2"/>
                  <c:y val="0.13090909090909092"/>
                </c:manualLayout>
              </c:layout>
              <c:tx>
                <c:rich>
                  <a:bodyPr/>
                  <a:lstStyle/>
                  <a:p>
                    <a:r>
                      <a:rPr lang="en-US"/>
                      <a:t>Asse Neutro</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C9-452F-A54E-261210B8A6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sezione!$AC$18:$AC$19</c:f>
              <c:numCache>
                <c:formatCode>General</c:formatCode>
                <c:ptCount val="2"/>
                <c:pt idx="0">
                  <c:v>0.6</c:v>
                </c:pt>
                <c:pt idx="1">
                  <c:v>-0.6</c:v>
                </c:pt>
              </c:numCache>
            </c:numRef>
          </c:xVal>
          <c:yVal>
            <c:numRef>
              <c:f>sezione!$AD$18:$AD$19</c:f>
              <c:numCache>
                <c:formatCode>0.000</c:formatCode>
                <c:ptCount val="2"/>
                <c:pt idx="0">
                  <c:v>4.9120433017591288E-2</c:v>
                </c:pt>
                <c:pt idx="1">
                  <c:v>4.9120433017591288E-2</c:v>
                </c:pt>
              </c:numCache>
            </c:numRef>
          </c:yVal>
          <c:smooth val="0"/>
          <c:extLst>
            <c:ext xmlns:c16="http://schemas.microsoft.com/office/drawing/2014/chart" uri="{C3380CC4-5D6E-409C-BE32-E72D297353CC}">
              <c16:uniqueId val="{00000002-C3C9-452F-A54E-261210B8A6E1}"/>
            </c:ext>
          </c:extLst>
        </c:ser>
        <c:dLbls>
          <c:showLegendKey val="0"/>
          <c:showVal val="0"/>
          <c:showCatName val="0"/>
          <c:showSerName val="0"/>
          <c:showPercent val="0"/>
          <c:showBubbleSize val="0"/>
        </c:dLbls>
        <c:axId val="639733328"/>
        <c:axId val="639730584"/>
      </c:scatterChart>
      <c:valAx>
        <c:axId val="639733328"/>
        <c:scaling>
          <c:orientation val="minMax"/>
        </c:scaling>
        <c:delete val="1"/>
        <c:axPos val="b"/>
        <c:numFmt formatCode="General" sourceLinked="1"/>
        <c:majorTickMark val="none"/>
        <c:minorTickMark val="none"/>
        <c:tickLblPos val="nextTo"/>
        <c:crossAx val="639730584"/>
        <c:crosses val="autoZero"/>
        <c:crossBetween val="midCat"/>
      </c:valAx>
      <c:valAx>
        <c:axId val="639730584"/>
        <c:scaling>
          <c:orientation val="minMax"/>
        </c:scaling>
        <c:delete val="1"/>
        <c:axPos val="l"/>
        <c:numFmt formatCode="General" sourceLinked="1"/>
        <c:majorTickMark val="none"/>
        <c:minorTickMark val="none"/>
        <c:tickLblPos val="nextTo"/>
        <c:crossAx val="63973332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Variazione del momento d'inerzia della sez.</a:t>
            </a:r>
            <a:r>
              <a:rPr lang="it-IT" baseline="0"/>
              <a:t> trasversale del paramento</a:t>
            </a:r>
            <a:endParaRPr lang="it-IT"/>
          </a:p>
        </c:rich>
      </c:tx>
      <c:layout>
        <c:manualLayout>
          <c:xMode val="edge"/>
          <c:yMode val="edge"/>
          <c:x val="0.19118744531933507"/>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smoothMarker"/>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poly"/>
            <c:order val="3"/>
            <c:dispRSqr val="0"/>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rendlineLbl>
          </c:trendline>
          <c:xVal>
            <c:numRef>
              <c:f>'SOLLECITAZ NASCOSTO'!$C$32:$C$448</c:f>
              <c:numCache>
                <c:formatCode>0.000</c:formatCode>
                <c:ptCount val="417"/>
                <c:pt idx="0">
                  <c:v>0</c:v>
                </c:pt>
                <c:pt idx="1">
                  <c:v>6.8509615384615384E-3</c:v>
                </c:pt>
                <c:pt idx="2">
                  <c:v>1.3701923076923077E-2</c:v>
                </c:pt>
                <c:pt idx="3">
                  <c:v>2.0552884615384615E-2</c:v>
                </c:pt>
                <c:pt idx="4">
                  <c:v>2.7403846153846154E-2</c:v>
                </c:pt>
                <c:pt idx="5">
                  <c:v>3.4254807692307696E-2</c:v>
                </c:pt>
                <c:pt idx="6">
                  <c:v>4.110576923076923E-2</c:v>
                </c:pt>
                <c:pt idx="7">
                  <c:v>4.7956730769230765E-2</c:v>
                </c:pt>
                <c:pt idx="8">
                  <c:v>5.4807692307692307E-2</c:v>
                </c:pt>
                <c:pt idx="9">
                  <c:v>6.1658653846153849E-2</c:v>
                </c:pt>
                <c:pt idx="10">
                  <c:v>6.8509615384615391E-2</c:v>
                </c:pt>
                <c:pt idx="11">
                  <c:v>7.5360576923076919E-2</c:v>
                </c:pt>
                <c:pt idx="12">
                  <c:v>8.2211538461538461E-2</c:v>
                </c:pt>
                <c:pt idx="13">
                  <c:v>8.9062500000000003E-2</c:v>
                </c:pt>
                <c:pt idx="14">
                  <c:v>9.5913461538461531E-2</c:v>
                </c:pt>
                <c:pt idx="15">
                  <c:v>0.10276442307692307</c:v>
                </c:pt>
                <c:pt idx="16">
                  <c:v>0.10961538461538461</c:v>
                </c:pt>
                <c:pt idx="17">
                  <c:v>0.11646634615384616</c:v>
                </c:pt>
                <c:pt idx="18">
                  <c:v>0.1233173076923077</c:v>
                </c:pt>
                <c:pt idx="19">
                  <c:v>0.13016826923076924</c:v>
                </c:pt>
                <c:pt idx="20">
                  <c:v>0.13701923076923078</c:v>
                </c:pt>
                <c:pt idx="21">
                  <c:v>0.1438701923076923</c:v>
                </c:pt>
                <c:pt idx="22">
                  <c:v>0.15072115384615384</c:v>
                </c:pt>
                <c:pt idx="23">
                  <c:v>0.15757211538461538</c:v>
                </c:pt>
                <c:pt idx="24">
                  <c:v>0.16442307692307692</c:v>
                </c:pt>
                <c:pt idx="25">
                  <c:v>0.17127403846153846</c:v>
                </c:pt>
                <c:pt idx="26">
                  <c:v>0.17812500000000001</c:v>
                </c:pt>
                <c:pt idx="27">
                  <c:v>0.18497596153846155</c:v>
                </c:pt>
                <c:pt idx="28">
                  <c:v>0.19182692307692306</c:v>
                </c:pt>
                <c:pt idx="29">
                  <c:v>0.1986778846153846</c:v>
                </c:pt>
                <c:pt idx="30">
                  <c:v>0.20552884615384615</c:v>
                </c:pt>
                <c:pt idx="31">
                  <c:v>0.21237980769230769</c:v>
                </c:pt>
                <c:pt idx="32">
                  <c:v>0.21923076923076923</c:v>
                </c:pt>
                <c:pt idx="33">
                  <c:v>0.22608173076923077</c:v>
                </c:pt>
                <c:pt idx="34">
                  <c:v>0.23293269230769231</c:v>
                </c:pt>
                <c:pt idx="35">
                  <c:v>0.23978365384615385</c:v>
                </c:pt>
                <c:pt idx="36">
                  <c:v>0.2466346153846154</c:v>
                </c:pt>
                <c:pt idx="37">
                  <c:v>0.25348557692307694</c:v>
                </c:pt>
                <c:pt idx="38">
                  <c:v>0.26033653846153848</c:v>
                </c:pt>
                <c:pt idx="39">
                  <c:v>0.26718750000000002</c:v>
                </c:pt>
                <c:pt idx="40">
                  <c:v>0.27403846153846156</c:v>
                </c:pt>
                <c:pt idx="41">
                  <c:v>0.28088942307692305</c:v>
                </c:pt>
                <c:pt idx="42">
                  <c:v>0.28774038461538459</c:v>
                </c:pt>
                <c:pt idx="43">
                  <c:v>0.29459134615384613</c:v>
                </c:pt>
                <c:pt idx="44">
                  <c:v>0.30144230769230768</c:v>
                </c:pt>
                <c:pt idx="45">
                  <c:v>0.30829326923076922</c:v>
                </c:pt>
                <c:pt idx="46">
                  <c:v>0.31514423076923076</c:v>
                </c:pt>
                <c:pt idx="47">
                  <c:v>0.3219951923076923</c:v>
                </c:pt>
                <c:pt idx="48">
                  <c:v>0.32884615384615384</c:v>
                </c:pt>
                <c:pt idx="49">
                  <c:v>0.33569711538461539</c:v>
                </c:pt>
                <c:pt idx="50">
                  <c:v>0.34254807692307693</c:v>
                </c:pt>
                <c:pt idx="51">
                  <c:v>0.34939903846153847</c:v>
                </c:pt>
                <c:pt idx="52">
                  <c:v>0.35625000000000001</c:v>
                </c:pt>
                <c:pt idx="53">
                  <c:v>0.36310096153846155</c:v>
                </c:pt>
                <c:pt idx="54">
                  <c:v>0.36995192307692309</c:v>
                </c:pt>
                <c:pt idx="55">
                  <c:v>0.37680288461538464</c:v>
                </c:pt>
                <c:pt idx="56">
                  <c:v>0.38365384615384612</c:v>
                </c:pt>
                <c:pt idx="57">
                  <c:v>0.39050480769230766</c:v>
                </c:pt>
                <c:pt idx="58">
                  <c:v>0.39735576923076921</c:v>
                </c:pt>
                <c:pt idx="59">
                  <c:v>0.40420673076923075</c:v>
                </c:pt>
                <c:pt idx="60">
                  <c:v>0.41105769230769229</c:v>
                </c:pt>
                <c:pt idx="61">
                  <c:v>0.41790865384615383</c:v>
                </c:pt>
                <c:pt idx="62">
                  <c:v>0.42475961538461537</c:v>
                </c:pt>
                <c:pt idx="63">
                  <c:v>0.43161057692307692</c:v>
                </c:pt>
                <c:pt idx="64">
                  <c:v>0.43846153846153846</c:v>
                </c:pt>
                <c:pt idx="65">
                  <c:v>0.4453125</c:v>
                </c:pt>
                <c:pt idx="66">
                  <c:v>0.45216346153846154</c:v>
                </c:pt>
                <c:pt idx="67">
                  <c:v>0.45901442307692308</c:v>
                </c:pt>
                <c:pt idx="68">
                  <c:v>0.46586538461538463</c:v>
                </c:pt>
                <c:pt idx="69">
                  <c:v>0.47271634615384617</c:v>
                </c:pt>
                <c:pt idx="70">
                  <c:v>0.47956730769230771</c:v>
                </c:pt>
                <c:pt idx="71">
                  <c:v>0.48641826923076925</c:v>
                </c:pt>
                <c:pt idx="72">
                  <c:v>0.49326923076923079</c:v>
                </c:pt>
                <c:pt idx="73">
                  <c:v>0.50012019230769234</c:v>
                </c:pt>
                <c:pt idx="74">
                  <c:v>0.50697115384615388</c:v>
                </c:pt>
                <c:pt idx="75">
                  <c:v>0.51382211538461542</c:v>
                </c:pt>
                <c:pt idx="76">
                  <c:v>0.52067307692307696</c:v>
                </c:pt>
                <c:pt idx="77">
                  <c:v>0.5275240384615385</c:v>
                </c:pt>
                <c:pt idx="78">
                  <c:v>0.53437500000000004</c:v>
                </c:pt>
                <c:pt idx="79">
                  <c:v>0.54122596153846159</c:v>
                </c:pt>
                <c:pt idx="80">
                  <c:v>0.54807692307692313</c:v>
                </c:pt>
                <c:pt idx="81">
                  <c:v>0.55492788461538456</c:v>
                </c:pt>
                <c:pt idx="82">
                  <c:v>0.5617788461538461</c:v>
                </c:pt>
                <c:pt idx="83">
                  <c:v>0.56862980769230764</c:v>
                </c:pt>
                <c:pt idx="84">
                  <c:v>0.57548076923076918</c:v>
                </c:pt>
                <c:pt idx="85">
                  <c:v>0.58233173076923073</c:v>
                </c:pt>
                <c:pt idx="86">
                  <c:v>0.58918269230769227</c:v>
                </c:pt>
                <c:pt idx="87">
                  <c:v>0.59603365384615381</c:v>
                </c:pt>
                <c:pt idx="88">
                  <c:v>0.60288461538461535</c:v>
                </c:pt>
                <c:pt idx="89">
                  <c:v>0.60973557692307689</c:v>
                </c:pt>
                <c:pt idx="90">
                  <c:v>0.61658653846153844</c:v>
                </c:pt>
                <c:pt idx="91">
                  <c:v>0.62343749999999998</c:v>
                </c:pt>
                <c:pt idx="92">
                  <c:v>0.63028846153846152</c:v>
                </c:pt>
                <c:pt idx="93">
                  <c:v>0.63713942307692306</c:v>
                </c:pt>
                <c:pt idx="94">
                  <c:v>0.6439903846153846</c:v>
                </c:pt>
                <c:pt idx="95">
                  <c:v>0.65084134615384615</c:v>
                </c:pt>
                <c:pt idx="96">
                  <c:v>0.65769230769230769</c:v>
                </c:pt>
                <c:pt idx="97">
                  <c:v>0.66454326923076923</c:v>
                </c:pt>
                <c:pt idx="98">
                  <c:v>0.67139423076923077</c:v>
                </c:pt>
                <c:pt idx="99">
                  <c:v>0.67824519230769231</c:v>
                </c:pt>
                <c:pt idx="100">
                  <c:v>0.68509615384615385</c:v>
                </c:pt>
                <c:pt idx="101">
                  <c:v>0.6919471153846154</c:v>
                </c:pt>
                <c:pt idx="102">
                  <c:v>0.69879807692307694</c:v>
                </c:pt>
                <c:pt idx="103">
                  <c:v>0.70564903846153848</c:v>
                </c:pt>
                <c:pt idx="104">
                  <c:v>0.71250000000000002</c:v>
                </c:pt>
                <c:pt idx="105">
                  <c:v>0.71935096153846156</c:v>
                </c:pt>
                <c:pt idx="106">
                  <c:v>0.72620192307692311</c:v>
                </c:pt>
                <c:pt idx="107">
                  <c:v>0.73305288461538465</c:v>
                </c:pt>
                <c:pt idx="108">
                  <c:v>0.73990384615384619</c:v>
                </c:pt>
                <c:pt idx="109">
                  <c:v>0.74675480769230773</c:v>
                </c:pt>
                <c:pt idx="110">
                  <c:v>0.75360576923076927</c:v>
                </c:pt>
                <c:pt idx="111">
                  <c:v>0.76045673076923082</c:v>
                </c:pt>
                <c:pt idx="112">
                  <c:v>0.76730769230769225</c:v>
                </c:pt>
                <c:pt idx="113">
                  <c:v>0.77415865384615379</c:v>
                </c:pt>
                <c:pt idx="114">
                  <c:v>0.78100961538461533</c:v>
                </c:pt>
                <c:pt idx="115">
                  <c:v>0.78786057692307687</c:v>
                </c:pt>
                <c:pt idx="116">
                  <c:v>0.79471153846153841</c:v>
                </c:pt>
                <c:pt idx="117">
                  <c:v>0.80156249999999996</c:v>
                </c:pt>
                <c:pt idx="118">
                  <c:v>0.8084134615384615</c:v>
                </c:pt>
                <c:pt idx="119">
                  <c:v>0.81526442307692304</c:v>
                </c:pt>
                <c:pt idx="120">
                  <c:v>0.82211538461538458</c:v>
                </c:pt>
                <c:pt idx="121">
                  <c:v>0.82896634615384612</c:v>
                </c:pt>
                <c:pt idx="122">
                  <c:v>0.83581730769230766</c:v>
                </c:pt>
                <c:pt idx="123">
                  <c:v>0.84266826923076921</c:v>
                </c:pt>
                <c:pt idx="124">
                  <c:v>0.84951923076923075</c:v>
                </c:pt>
                <c:pt idx="125">
                  <c:v>0.85637019230769229</c:v>
                </c:pt>
                <c:pt idx="126">
                  <c:v>0.86322115384615383</c:v>
                </c:pt>
                <c:pt idx="127">
                  <c:v>0.87007211538461537</c:v>
                </c:pt>
                <c:pt idx="128">
                  <c:v>0.87692307692307692</c:v>
                </c:pt>
                <c:pt idx="129">
                  <c:v>0.88377403846153846</c:v>
                </c:pt>
                <c:pt idx="130">
                  <c:v>0.890625</c:v>
                </c:pt>
                <c:pt idx="131">
                  <c:v>0.89747596153846154</c:v>
                </c:pt>
                <c:pt idx="132">
                  <c:v>0.90432692307692308</c:v>
                </c:pt>
                <c:pt idx="133">
                  <c:v>0.91117788461538463</c:v>
                </c:pt>
                <c:pt idx="134">
                  <c:v>0.91802884615384617</c:v>
                </c:pt>
                <c:pt idx="135">
                  <c:v>0.92487980769230771</c:v>
                </c:pt>
                <c:pt idx="136">
                  <c:v>0.93173076923076925</c:v>
                </c:pt>
                <c:pt idx="137">
                  <c:v>0.93858173076923079</c:v>
                </c:pt>
                <c:pt idx="138">
                  <c:v>0.94543269230769234</c:v>
                </c:pt>
                <c:pt idx="139">
                  <c:v>0.95228365384615388</c:v>
                </c:pt>
                <c:pt idx="140">
                  <c:v>0.95913461538461542</c:v>
                </c:pt>
                <c:pt idx="141">
                  <c:v>0.96598557692307696</c:v>
                </c:pt>
                <c:pt idx="142">
                  <c:v>0.9728365384615385</c:v>
                </c:pt>
                <c:pt idx="143">
                  <c:v>0.97968750000000004</c:v>
                </c:pt>
                <c:pt idx="144">
                  <c:v>0.98653846153846159</c:v>
                </c:pt>
                <c:pt idx="145">
                  <c:v>0.99338942307692302</c:v>
                </c:pt>
                <c:pt idx="146">
                  <c:v>1.0002403846153847</c:v>
                </c:pt>
                <c:pt idx="147">
                  <c:v>1.0070913461538462</c:v>
                </c:pt>
                <c:pt idx="148">
                  <c:v>1.0139423076923078</c:v>
                </c:pt>
                <c:pt idx="149">
                  <c:v>1.0207932692307693</c:v>
                </c:pt>
                <c:pt idx="150">
                  <c:v>1.0276442307692308</c:v>
                </c:pt>
                <c:pt idx="151">
                  <c:v>1.0344951923076924</c:v>
                </c:pt>
                <c:pt idx="152">
                  <c:v>1.0413461538461539</c:v>
                </c:pt>
                <c:pt idx="153">
                  <c:v>1.0481971153846155</c:v>
                </c:pt>
                <c:pt idx="154">
                  <c:v>1.055048076923077</c:v>
                </c:pt>
                <c:pt idx="155">
                  <c:v>1.0618990384615385</c:v>
                </c:pt>
                <c:pt idx="156">
                  <c:v>1.0687500000000001</c:v>
                </c:pt>
                <c:pt idx="157">
                  <c:v>1.0756009615384616</c:v>
                </c:pt>
                <c:pt idx="158">
                  <c:v>1.0824519230769232</c:v>
                </c:pt>
                <c:pt idx="159">
                  <c:v>1.0893028846153847</c:v>
                </c:pt>
                <c:pt idx="160">
                  <c:v>1.0961538461538463</c:v>
                </c:pt>
                <c:pt idx="161">
                  <c:v>1.1030048076923076</c:v>
                </c:pt>
                <c:pt idx="162">
                  <c:v>1.1098557692307691</c:v>
                </c:pt>
                <c:pt idx="163">
                  <c:v>1.1167067307692307</c:v>
                </c:pt>
                <c:pt idx="164">
                  <c:v>1.1235576923076922</c:v>
                </c:pt>
                <c:pt idx="165">
                  <c:v>1.1304086538461537</c:v>
                </c:pt>
                <c:pt idx="166">
                  <c:v>1.1372596153846153</c:v>
                </c:pt>
                <c:pt idx="167">
                  <c:v>1.1441105769230768</c:v>
                </c:pt>
                <c:pt idx="168">
                  <c:v>1.1509615384615384</c:v>
                </c:pt>
                <c:pt idx="169">
                  <c:v>1.1578124999999999</c:v>
                </c:pt>
                <c:pt idx="170">
                  <c:v>1.1646634615384615</c:v>
                </c:pt>
                <c:pt idx="171">
                  <c:v>1.171514423076923</c:v>
                </c:pt>
                <c:pt idx="172">
                  <c:v>1.1783653846153845</c:v>
                </c:pt>
                <c:pt idx="173">
                  <c:v>1.1852163461538461</c:v>
                </c:pt>
                <c:pt idx="174">
                  <c:v>1.1920673076923076</c:v>
                </c:pt>
                <c:pt idx="175">
                  <c:v>1.1989182692307692</c:v>
                </c:pt>
                <c:pt idx="176">
                  <c:v>1.2057692307692307</c:v>
                </c:pt>
                <c:pt idx="177">
                  <c:v>1.2126201923076922</c:v>
                </c:pt>
                <c:pt idx="178">
                  <c:v>1.2194711538461538</c:v>
                </c:pt>
                <c:pt idx="179">
                  <c:v>1.2263221153846153</c:v>
                </c:pt>
                <c:pt idx="180">
                  <c:v>1.2331730769230769</c:v>
                </c:pt>
                <c:pt idx="181">
                  <c:v>1.2400240384615384</c:v>
                </c:pt>
                <c:pt idx="182">
                  <c:v>1.246875</c:v>
                </c:pt>
                <c:pt idx="183">
                  <c:v>1.2537259615384615</c:v>
                </c:pt>
                <c:pt idx="184">
                  <c:v>1.260576923076923</c:v>
                </c:pt>
                <c:pt idx="185">
                  <c:v>1.2674278846153846</c:v>
                </c:pt>
                <c:pt idx="186">
                  <c:v>1.2742788461538461</c:v>
                </c:pt>
                <c:pt idx="187">
                  <c:v>1.2811298076923077</c:v>
                </c:pt>
                <c:pt idx="188">
                  <c:v>1.2879807692307692</c:v>
                </c:pt>
                <c:pt idx="189">
                  <c:v>1.2948317307692307</c:v>
                </c:pt>
                <c:pt idx="190">
                  <c:v>1.3016826923076923</c:v>
                </c:pt>
                <c:pt idx="191">
                  <c:v>1.3085336538461538</c:v>
                </c:pt>
                <c:pt idx="192">
                  <c:v>1.3153846153846154</c:v>
                </c:pt>
                <c:pt idx="193">
                  <c:v>1.3222355769230769</c:v>
                </c:pt>
                <c:pt idx="194">
                  <c:v>1.3290865384615385</c:v>
                </c:pt>
                <c:pt idx="195">
                  <c:v>1.3359375</c:v>
                </c:pt>
                <c:pt idx="196">
                  <c:v>1.3427884615384615</c:v>
                </c:pt>
                <c:pt idx="197">
                  <c:v>1.3496394230769231</c:v>
                </c:pt>
                <c:pt idx="198">
                  <c:v>1.3564903846153846</c:v>
                </c:pt>
                <c:pt idx="199">
                  <c:v>1.3633413461538462</c:v>
                </c:pt>
                <c:pt idx="200">
                  <c:v>1.3701923076923077</c:v>
                </c:pt>
                <c:pt idx="201">
                  <c:v>1.3770432692307693</c:v>
                </c:pt>
                <c:pt idx="202">
                  <c:v>1.3838942307692308</c:v>
                </c:pt>
                <c:pt idx="203">
                  <c:v>1.3907451923076923</c:v>
                </c:pt>
                <c:pt idx="204">
                  <c:v>1.3975961538461539</c:v>
                </c:pt>
                <c:pt idx="205">
                  <c:v>1.4044471153846154</c:v>
                </c:pt>
                <c:pt idx="206">
                  <c:v>1.411298076923077</c:v>
                </c:pt>
                <c:pt idx="207">
                  <c:v>1.4181490384615385</c:v>
                </c:pt>
                <c:pt idx="208">
                  <c:v>1.425</c:v>
                </c:pt>
                <c:pt idx="209">
                  <c:v>1.4318509615384616</c:v>
                </c:pt>
                <c:pt idx="210">
                  <c:v>1.4387019230769231</c:v>
                </c:pt>
                <c:pt idx="211">
                  <c:v>1.4455528846153847</c:v>
                </c:pt>
                <c:pt idx="212">
                  <c:v>1.4524038461538462</c:v>
                </c:pt>
                <c:pt idx="213">
                  <c:v>1.4592548076923078</c:v>
                </c:pt>
                <c:pt idx="214">
                  <c:v>1.4661057692307693</c:v>
                </c:pt>
                <c:pt idx="215">
                  <c:v>1.4729567307692308</c:v>
                </c:pt>
                <c:pt idx="216">
                  <c:v>1.4798076923076924</c:v>
                </c:pt>
                <c:pt idx="217">
                  <c:v>1.4866586538461539</c:v>
                </c:pt>
                <c:pt idx="218">
                  <c:v>1.4935096153846155</c:v>
                </c:pt>
                <c:pt idx="219">
                  <c:v>1.500360576923077</c:v>
                </c:pt>
                <c:pt idx="220">
                  <c:v>1.5072115384615385</c:v>
                </c:pt>
                <c:pt idx="221">
                  <c:v>1.5140625000000001</c:v>
                </c:pt>
                <c:pt idx="222">
                  <c:v>1.5209134615384616</c:v>
                </c:pt>
                <c:pt idx="223">
                  <c:v>1.5277644230769232</c:v>
                </c:pt>
                <c:pt idx="224">
                  <c:v>1.5346153846153845</c:v>
                </c:pt>
                <c:pt idx="225">
                  <c:v>1.541466346153846</c:v>
                </c:pt>
                <c:pt idx="226">
                  <c:v>1.5483173076923076</c:v>
                </c:pt>
                <c:pt idx="227">
                  <c:v>1.5551682692307691</c:v>
                </c:pt>
                <c:pt idx="228">
                  <c:v>1.5620192307692307</c:v>
                </c:pt>
                <c:pt idx="229">
                  <c:v>1.5688701923076922</c:v>
                </c:pt>
                <c:pt idx="230">
                  <c:v>1.5757211538461537</c:v>
                </c:pt>
                <c:pt idx="231">
                  <c:v>1.5825721153846153</c:v>
                </c:pt>
                <c:pt idx="232">
                  <c:v>1.5894230769230768</c:v>
                </c:pt>
                <c:pt idx="233">
                  <c:v>1.5962740384615384</c:v>
                </c:pt>
                <c:pt idx="234">
                  <c:v>1.6031249999999999</c:v>
                </c:pt>
                <c:pt idx="235">
                  <c:v>1.6099759615384615</c:v>
                </c:pt>
                <c:pt idx="236">
                  <c:v>1.616826923076923</c:v>
                </c:pt>
                <c:pt idx="237">
                  <c:v>1.6236778846153845</c:v>
                </c:pt>
                <c:pt idx="238">
                  <c:v>1.6305288461538461</c:v>
                </c:pt>
                <c:pt idx="239">
                  <c:v>1.6373798076923076</c:v>
                </c:pt>
                <c:pt idx="240">
                  <c:v>1.6442307692307692</c:v>
                </c:pt>
                <c:pt idx="241">
                  <c:v>1.6510817307692307</c:v>
                </c:pt>
                <c:pt idx="242">
                  <c:v>1.6579326923076922</c:v>
                </c:pt>
                <c:pt idx="243">
                  <c:v>1.6647836538461538</c:v>
                </c:pt>
                <c:pt idx="244">
                  <c:v>1.6716346153846153</c:v>
                </c:pt>
                <c:pt idx="245">
                  <c:v>1.6784855769230769</c:v>
                </c:pt>
                <c:pt idx="246">
                  <c:v>1.6853365384615384</c:v>
                </c:pt>
                <c:pt idx="247">
                  <c:v>1.6921875</c:v>
                </c:pt>
                <c:pt idx="248">
                  <c:v>1.6990384615384615</c:v>
                </c:pt>
                <c:pt idx="249">
                  <c:v>1.705889423076923</c:v>
                </c:pt>
                <c:pt idx="250">
                  <c:v>1.7127403846153846</c:v>
                </c:pt>
                <c:pt idx="251">
                  <c:v>1.7195913461538461</c:v>
                </c:pt>
                <c:pt idx="252">
                  <c:v>1.7264423076923077</c:v>
                </c:pt>
                <c:pt idx="253">
                  <c:v>1.7332932692307692</c:v>
                </c:pt>
                <c:pt idx="254">
                  <c:v>1.7401442307692307</c:v>
                </c:pt>
                <c:pt idx="255">
                  <c:v>1.7469951923076923</c:v>
                </c:pt>
                <c:pt idx="256">
                  <c:v>1.7538461538461538</c:v>
                </c:pt>
                <c:pt idx="257">
                  <c:v>1.7606971153846154</c:v>
                </c:pt>
                <c:pt idx="258">
                  <c:v>1.7675480769230769</c:v>
                </c:pt>
                <c:pt idx="259">
                  <c:v>1.7743990384615385</c:v>
                </c:pt>
                <c:pt idx="260">
                  <c:v>1.78125</c:v>
                </c:pt>
                <c:pt idx="261">
                  <c:v>1.7881009615384615</c:v>
                </c:pt>
                <c:pt idx="262">
                  <c:v>1.7949519230769231</c:v>
                </c:pt>
                <c:pt idx="263">
                  <c:v>1.8018028846153846</c:v>
                </c:pt>
                <c:pt idx="264">
                  <c:v>1.8086538461538462</c:v>
                </c:pt>
                <c:pt idx="265">
                  <c:v>1.8155048076923077</c:v>
                </c:pt>
                <c:pt idx="266">
                  <c:v>1.8223557692307693</c:v>
                </c:pt>
                <c:pt idx="267">
                  <c:v>1.8292067307692308</c:v>
                </c:pt>
                <c:pt idx="268">
                  <c:v>1.8360576923076923</c:v>
                </c:pt>
                <c:pt idx="269">
                  <c:v>1.8429086538461539</c:v>
                </c:pt>
                <c:pt idx="270">
                  <c:v>1.8497596153846154</c:v>
                </c:pt>
                <c:pt idx="271">
                  <c:v>1.856610576923077</c:v>
                </c:pt>
                <c:pt idx="272">
                  <c:v>1.8634615384615385</c:v>
                </c:pt>
                <c:pt idx="273">
                  <c:v>1.8703125</c:v>
                </c:pt>
                <c:pt idx="274">
                  <c:v>1.8771634615384616</c:v>
                </c:pt>
                <c:pt idx="275">
                  <c:v>1.8840144230769231</c:v>
                </c:pt>
                <c:pt idx="276">
                  <c:v>1.8908653846153847</c:v>
                </c:pt>
                <c:pt idx="277">
                  <c:v>1.8977163461538462</c:v>
                </c:pt>
                <c:pt idx="278">
                  <c:v>1.9045673076923078</c:v>
                </c:pt>
                <c:pt idx="279">
                  <c:v>1.9114182692307693</c:v>
                </c:pt>
                <c:pt idx="280">
                  <c:v>1.9182692307692308</c:v>
                </c:pt>
                <c:pt idx="281">
                  <c:v>1.9251201923076924</c:v>
                </c:pt>
                <c:pt idx="282">
                  <c:v>1.9319711538461539</c:v>
                </c:pt>
                <c:pt idx="283">
                  <c:v>1.9388221153846155</c:v>
                </c:pt>
                <c:pt idx="284">
                  <c:v>1.945673076923077</c:v>
                </c:pt>
                <c:pt idx="285">
                  <c:v>1.9525240384615385</c:v>
                </c:pt>
                <c:pt idx="286">
                  <c:v>1.9593750000000001</c:v>
                </c:pt>
                <c:pt idx="287">
                  <c:v>1.9662259615384616</c:v>
                </c:pt>
                <c:pt idx="288">
                  <c:v>1.9730769230769232</c:v>
                </c:pt>
                <c:pt idx="289">
                  <c:v>1.9799278846153845</c:v>
                </c:pt>
                <c:pt idx="290">
                  <c:v>1.986778846153846</c:v>
                </c:pt>
                <c:pt idx="291">
                  <c:v>1.9936298076923076</c:v>
                </c:pt>
                <c:pt idx="292">
                  <c:v>2.0004807692307693</c:v>
                </c:pt>
                <c:pt idx="293">
                  <c:v>2.0073317307692307</c:v>
                </c:pt>
                <c:pt idx="294">
                  <c:v>2.0141826923076924</c:v>
                </c:pt>
                <c:pt idx="295">
                  <c:v>2.0210336538461537</c:v>
                </c:pt>
                <c:pt idx="296">
                  <c:v>2.0278846153846155</c:v>
                </c:pt>
                <c:pt idx="297">
                  <c:v>2.0347355769230768</c:v>
                </c:pt>
                <c:pt idx="298">
                  <c:v>2.0415865384615386</c:v>
                </c:pt>
                <c:pt idx="299">
                  <c:v>2.0484374999999999</c:v>
                </c:pt>
                <c:pt idx="300">
                  <c:v>2.0552884615384617</c:v>
                </c:pt>
                <c:pt idx="301">
                  <c:v>2.062139423076923</c:v>
                </c:pt>
                <c:pt idx="302">
                  <c:v>2.0689903846153848</c:v>
                </c:pt>
                <c:pt idx="303">
                  <c:v>2.0758413461538461</c:v>
                </c:pt>
                <c:pt idx="304">
                  <c:v>2.0826923076923078</c:v>
                </c:pt>
                <c:pt idx="305">
                  <c:v>2.0895432692307692</c:v>
                </c:pt>
                <c:pt idx="306">
                  <c:v>2.0963942307692309</c:v>
                </c:pt>
                <c:pt idx="307">
                  <c:v>2.1032451923076922</c:v>
                </c:pt>
                <c:pt idx="308">
                  <c:v>2.110096153846154</c:v>
                </c:pt>
                <c:pt idx="309">
                  <c:v>2.1169471153846153</c:v>
                </c:pt>
                <c:pt idx="310">
                  <c:v>2.1237980769230771</c:v>
                </c:pt>
                <c:pt idx="311">
                  <c:v>2.1306490384615384</c:v>
                </c:pt>
                <c:pt idx="312">
                  <c:v>2.1375000000000002</c:v>
                </c:pt>
                <c:pt idx="313">
                  <c:v>2.1443509615384615</c:v>
                </c:pt>
                <c:pt idx="314">
                  <c:v>2.1512019230769233</c:v>
                </c:pt>
                <c:pt idx="315">
                  <c:v>2.1580528846153846</c:v>
                </c:pt>
                <c:pt idx="316">
                  <c:v>2.1649038461538463</c:v>
                </c:pt>
                <c:pt idx="317">
                  <c:v>2.1717548076923077</c:v>
                </c:pt>
                <c:pt idx="318">
                  <c:v>2.1786057692307694</c:v>
                </c:pt>
                <c:pt idx="319">
                  <c:v>2.1854567307692307</c:v>
                </c:pt>
                <c:pt idx="320">
                  <c:v>2.1923076923076925</c:v>
                </c:pt>
                <c:pt idx="321">
                  <c:v>2.1991586538461538</c:v>
                </c:pt>
                <c:pt idx="322">
                  <c:v>2.2060096153846152</c:v>
                </c:pt>
                <c:pt idx="323">
                  <c:v>2.2128605769230769</c:v>
                </c:pt>
                <c:pt idx="324">
                  <c:v>2.2197115384615382</c:v>
                </c:pt>
                <c:pt idx="325">
                  <c:v>2.2265625</c:v>
                </c:pt>
                <c:pt idx="326">
                  <c:v>2.2334134615384613</c:v>
                </c:pt>
                <c:pt idx="327">
                  <c:v>2.2402644230769231</c:v>
                </c:pt>
                <c:pt idx="328">
                  <c:v>2.2471153846153844</c:v>
                </c:pt>
                <c:pt idx="329">
                  <c:v>2.2539663461538462</c:v>
                </c:pt>
                <c:pt idx="330">
                  <c:v>2.2608173076923075</c:v>
                </c:pt>
                <c:pt idx="331">
                  <c:v>2.2676682692307693</c:v>
                </c:pt>
                <c:pt idx="332">
                  <c:v>2.2745192307692306</c:v>
                </c:pt>
                <c:pt idx="333">
                  <c:v>2.2813701923076923</c:v>
                </c:pt>
                <c:pt idx="334">
                  <c:v>2.2882211538461537</c:v>
                </c:pt>
                <c:pt idx="335">
                  <c:v>2.2950721153846154</c:v>
                </c:pt>
                <c:pt idx="336">
                  <c:v>2.3019230769230767</c:v>
                </c:pt>
                <c:pt idx="337">
                  <c:v>2.3087740384615385</c:v>
                </c:pt>
                <c:pt idx="338">
                  <c:v>2.3156249999999998</c:v>
                </c:pt>
                <c:pt idx="339">
                  <c:v>2.3224759615384616</c:v>
                </c:pt>
                <c:pt idx="340">
                  <c:v>2.3293269230769229</c:v>
                </c:pt>
                <c:pt idx="341">
                  <c:v>2.3361778846153847</c:v>
                </c:pt>
                <c:pt idx="342">
                  <c:v>2.343028846153846</c:v>
                </c:pt>
                <c:pt idx="343">
                  <c:v>2.3498798076923078</c:v>
                </c:pt>
                <c:pt idx="344">
                  <c:v>2.3567307692307691</c:v>
                </c:pt>
                <c:pt idx="345">
                  <c:v>2.3635817307692308</c:v>
                </c:pt>
                <c:pt idx="346">
                  <c:v>2.3704326923076922</c:v>
                </c:pt>
                <c:pt idx="347">
                  <c:v>2.3772836538461539</c:v>
                </c:pt>
                <c:pt idx="348">
                  <c:v>2.3841346153846152</c:v>
                </c:pt>
                <c:pt idx="349">
                  <c:v>2.390985576923077</c:v>
                </c:pt>
                <c:pt idx="350">
                  <c:v>2.3978365384615383</c:v>
                </c:pt>
                <c:pt idx="351">
                  <c:v>2.4046875000000001</c:v>
                </c:pt>
                <c:pt idx="352">
                  <c:v>2.4115384615384614</c:v>
                </c:pt>
                <c:pt idx="353">
                  <c:v>2.4183894230769232</c:v>
                </c:pt>
                <c:pt idx="354">
                  <c:v>2.4252403846153845</c:v>
                </c:pt>
                <c:pt idx="355">
                  <c:v>2.4320913461538463</c:v>
                </c:pt>
                <c:pt idx="356">
                  <c:v>2.4389423076923076</c:v>
                </c:pt>
                <c:pt idx="357">
                  <c:v>2.4457932692307693</c:v>
                </c:pt>
                <c:pt idx="358">
                  <c:v>2.4526442307692307</c:v>
                </c:pt>
                <c:pt idx="359">
                  <c:v>2.4594951923076924</c:v>
                </c:pt>
                <c:pt idx="360">
                  <c:v>2.4663461538461537</c:v>
                </c:pt>
                <c:pt idx="361">
                  <c:v>2.4731971153846155</c:v>
                </c:pt>
                <c:pt idx="362">
                  <c:v>2.4800480769230768</c:v>
                </c:pt>
                <c:pt idx="363">
                  <c:v>2.4868990384615386</c:v>
                </c:pt>
                <c:pt idx="364">
                  <c:v>2.4937499999999999</c:v>
                </c:pt>
                <c:pt idx="365">
                  <c:v>2.5006009615384617</c:v>
                </c:pt>
                <c:pt idx="366">
                  <c:v>2.507451923076923</c:v>
                </c:pt>
                <c:pt idx="367">
                  <c:v>2.5143028846153848</c:v>
                </c:pt>
                <c:pt idx="368">
                  <c:v>2.5211538461538461</c:v>
                </c:pt>
                <c:pt idx="369">
                  <c:v>2.5280048076923078</c:v>
                </c:pt>
                <c:pt idx="370">
                  <c:v>2.5348557692307692</c:v>
                </c:pt>
                <c:pt idx="371">
                  <c:v>2.5417067307692309</c:v>
                </c:pt>
                <c:pt idx="372">
                  <c:v>2.5485576923076922</c:v>
                </c:pt>
                <c:pt idx="373">
                  <c:v>2.555408653846154</c:v>
                </c:pt>
                <c:pt idx="374">
                  <c:v>2.5622596153846153</c:v>
                </c:pt>
                <c:pt idx="375">
                  <c:v>2.5691105769230771</c:v>
                </c:pt>
                <c:pt idx="376">
                  <c:v>2.5759615384615384</c:v>
                </c:pt>
                <c:pt idx="377">
                  <c:v>2.5828125000000002</c:v>
                </c:pt>
                <c:pt idx="378">
                  <c:v>2.5896634615384615</c:v>
                </c:pt>
                <c:pt idx="379">
                  <c:v>2.5965144230769233</c:v>
                </c:pt>
                <c:pt idx="380">
                  <c:v>2.6033653846153846</c:v>
                </c:pt>
                <c:pt idx="381">
                  <c:v>2.6102163461538463</c:v>
                </c:pt>
                <c:pt idx="382">
                  <c:v>2.6170673076923077</c:v>
                </c:pt>
                <c:pt idx="383">
                  <c:v>2.6239182692307694</c:v>
                </c:pt>
                <c:pt idx="384">
                  <c:v>2.6307692307692307</c:v>
                </c:pt>
                <c:pt idx="385">
                  <c:v>2.6376201923076921</c:v>
                </c:pt>
                <c:pt idx="386">
                  <c:v>2.6444711538461538</c:v>
                </c:pt>
                <c:pt idx="387">
                  <c:v>2.6513221153846152</c:v>
                </c:pt>
                <c:pt idx="388">
                  <c:v>2.6581730769230769</c:v>
                </c:pt>
                <c:pt idx="389">
                  <c:v>2.6650240384615382</c:v>
                </c:pt>
                <c:pt idx="390">
                  <c:v>2.671875</c:v>
                </c:pt>
                <c:pt idx="391">
                  <c:v>2.6787259615384613</c:v>
                </c:pt>
                <c:pt idx="392">
                  <c:v>2.6855769230769231</c:v>
                </c:pt>
                <c:pt idx="393">
                  <c:v>2.6924278846153844</c:v>
                </c:pt>
                <c:pt idx="394">
                  <c:v>2.6992788461538462</c:v>
                </c:pt>
                <c:pt idx="395">
                  <c:v>2.7061298076923075</c:v>
                </c:pt>
                <c:pt idx="396">
                  <c:v>2.7129807692307693</c:v>
                </c:pt>
                <c:pt idx="397">
                  <c:v>2.7198317307692306</c:v>
                </c:pt>
                <c:pt idx="398">
                  <c:v>2.7266826923076923</c:v>
                </c:pt>
                <c:pt idx="399">
                  <c:v>2.7335336538461537</c:v>
                </c:pt>
                <c:pt idx="400">
                  <c:v>2.7403846153846154</c:v>
                </c:pt>
                <c:pt idx="401">
                  <c:v>2.7472355769230767</c:v>
                </c:pt>
                <c:pt idx="402">
                  <c:v>2.7540865384615385</c:v>
                </c:pt>
                <c:pt idx="403">
                  <c:v>2.7609374999999998</c:v>
                </c:pt>
                <c:pt idx="404">
                  <c:v>2.7677884615384616</c:v>
                </c:pt>
                <c:pt idx="405">
                  <c:v>2.7746394230769229</c:v>
                </c:pt>
                <c:pt idx="406">
                  <c:v>2.7814903846153847</c:v>
                </c:pt>
                <c:pt idx="407">
                  <c:v>2.788341346153846</c:v>
                </c:pt>
                <c:pt idx="408">
                  <c:v>2.7951923076923078</c:v>
                </c:pt>
                <c:pt idx="409">
                  <c:v>2.8020432692307691</c:v>
                </c:pt>
                <c:pt idx="410">
                  <c:v>2.8088942307692308</c:v>
                </c:pt>
                <c:pt idx="411">
                  <c:v>2.8157451923076922</c:v>
                </c:pt>
                <c:pt idx="412">
                  <c:v>2.8225961538461539</c:v>
                </c:pt>
                <c:pt idx="413">
                  <c:v>2.8294471153846152</c:v>
                </c:pt>
                <c:pt idx="414">
                  <c:v>2.836298076923077</c:v>
                </c:pt>
                <c:pt idx="415">
                  <c:v>2.8431490384615383</c:v>
                </c:pt>
                <c:pt idx="416">
                  <c:v>2.85</c:v>
                </c:pt>
              </c:numCache>
            </c:numRef>
          </c:xVal>
          <c:yVal>
            <c:numRef>
              <c:f>'SOLLECITAZ NASCOSTO'!$K$32:$K$448</c:f>
              <c:numCache>
                <c:formatCode>0.000000</c:formatCode>
                <c:ptCount val="417"/>
                <c:pt idx="0">
                  <c:v>2.2499999999999998E-3</c:v>
                </c:pt>
                <c:pt idx="1">
                  <c:v>2.2500005408654282E-3</c:v>
                </c:pt>
                <c:pt idx="2">
                  <c:v>2.2500010817309421E-3</c:v>
                </c:pt>
                <c:pt idx="3">
                  <c:v>2.2500016225965435E-3</c:v>
                </c:pt>
                <c:pt idx="4">
                  <c:v>2.2500021634622317E-3</c:v>
                </c:pt>
                <c:pt idx="5">
                  <c:v>2.2500027043280057E-3</c:v>
                </c:pt>
                <c:pt idx="6">
                  <c:v>2.2500032451938674E-3</c:v>
                </c:pt>
                <c:pt idx="7">
                  <c:v>2.2500037860598157E-3</c:v>
                </c:pt>
                <c:pt idx="8">
                  <c:v>2.2500043269258509E-3</c:v>
                </c:pt>
                <c:pt idx="9">
                  <c:v>2.250004867791971E-3</c:v>
                </c:pt>
                <c:pt idx="10">
                  <c:v>2.2500054086581796E-3</c:v>
                </c:pt>
                <c:pt idx="11">
                  <c:v>2.2500059495244749E-3</c:v>
                </c:pt>
                <c:pt idx="12">
                  <c:v>2.2500064903908552E-3</c:v>
                </c:pt>
                <c:pt idx="13">
                  <c:v>2.2500070312573236E-3</c:v>
                </c:pt>
                <c:pt idx="14">
                  <c:v>2.2500075721238791E-3</c:v>
                </c:pt>
                <c:pt idx="15">
                  <c:v>2.2500081129905192E-3</c:v>
                </c:pt>
                <c:pt idx="16">
                  <c:v>2.2500086538572482E-3</c:v>
                </c:pt>
                <c:pt idx="17">
                  <c:v>2.2500091947240631E-3</c:v>
                </c:pt>
                <c:pt idx="18">
                  <c:v>2.2500097355909652E-3</c:v>
                </c:pt>
                <c:pt idx="19">
                  <c:v>2.2500102764579522E-3</c:v>
                </c:pt>
                <c:pt idx="20">
                  <c:v>2.2500108173250273E-3</c:v>
                </c:pt>
                <c:pt idx="21">
                  <c:v>2.2500113581921891E-3</c:v>
                </c:pt>
                <c:pt idx="22">
                  <c:v>2.2500118990594364E-3</c:v>
                </c:pt>
                <c:pt idx="23">
                  <c:v>2.2500124399267717E-3</c:v>
                </c:pt>
                <c:pt idx="24">
                  <c:v>2.2500129807941937E-3</c:v>
                </c:pt>
                <c:pt idx="25">
                  <c:v>2.2500135216617012E-3</c:v>
                </c:pt>
                <c:pt idx="26">
                  <c:v>2.2500140625292958E-3</c:v>
                </c:pt>
                <c:pt idx="27">
                  <c:v>2.250014603396978E-3</c:v>
                </c:pt>
                <c:pt idx="28">
                  <c:v>2.250015144264747E-3</c:v>
                </c:pt>
                <c:pt idx="29">
                  <c:v>2.250015685132601E-3</c:v>
                </c:pt>
                <c:pt idx="30">
                  <c:v>2.250016226000543E-3</c:v>
                </c:pt>
                <c:pt idx="31">
                  <c:v>2.2500167668685718E-3</c:v>
                </c:pt>
                <c:pt idx="32">
                  <c:v>2.2500173077366851E-3</c:v>
                </c:pt>
                <c:pt idx="33">
                  <c:v>2.2500178486048873E-3</c:v>
                </c:pt>
                <c:pt idx="34">
                  <c:v>2.2500183894731758E-3</c:v>
                </c:pt>
                <c:pt idx="35">
                  <c:v>2.2500189303415507E-3</c:v>
                </c:pt>
                <c:pt idx="36">
                  <c:v>2.2500194712100122E-3</c:v>
                </c:pt>
                <c:pt idx="37">
                  <c:v>2.250020012078561E-3</c:v>
                </c:pt>
                <c:pt idx="38">
                  <c:v>2.2500205529471964E-3</c:v>
                </c:pt>
                <c:pt idx="39">
                  <c:v>2.2500210938159169E-3</c:v>
                </c:pt>
                <c:pt idx="40">
                  <c:v>2.2500216346847258E-3</c:v>
                </c:pt>
                <c:pt idx="41">
                  <c:v>2.2500221755536211E-3</c:v>
                </c:pt>
                <c:pt idx="42">
                  <c:v>2.2500227164226018E-3</c:v>
                </c:pt>
                <c:pt idx="43">
                  <c:v>2.2500232572916705E-3</c:v>
                </c:pt>
                <c:pt idx="44">
                  <c:v>2.2500237981608264E-3</c:v>
                </c:pt>
                <c:pt idx="45">
                  <c:v>2.2500243390300672E-3</c:v>
                </c:pt>
                <c:pt idx="46">
                  <c:v>2.2500248798993957E-3</c:v>
                </c:pt>
                <c:pt idx="47">
                  <c:v>2.2500254207688114E-3</c:v>
                </c:pt>
                <c:pt idx="48">
                  <c:v>2.2500259616383134E-3</c:v>
                </c:pt>
                <c:pt idx="49">
                  <c:v>2.2500265025079012E-3</c:v>
                </c:pt>
                <c:pt idx="50">
                  <c:v>2.2500270433775766E-3</c:v>
                </c:pt>
                <c:pt idx="51">
                  <c:v>2.2500275842473388E-3</c:v>
                </c:pt>
                <c:pt idx="52">
                  <c:v>2.2500281251171864E-3</c:v>
                </c:pt>
                <c:pt idx="53">
                  <c:v>2.2500286659871221E-3</c:v>
                </c:pt>
                <c:pt idx="54">
                  <c:v>2.2500292068571444E-3</c:v>
                </c:pt>
                <c:pt idx="55">
                  <c:v>2.2500297477272518E-3</c:v>
                </c:pt>
                <c:pt idx="56">
                  <c:v>2.2500302885974472E-3</c:v>
                </c:pt>
                <c:pt idx="57">
                  <c:v>2.2500308294677298E-3</c:v>
                </c:pt>
                <c:pt idx="58">
                  <c:v>2.2500313703380983E-3</c:v>
                </c:pt>
                <c:pt idx="59">
                  <c:v>2.250031911208553E-3</c:v>
                </c:pt>
                <c:pt idx="60">
                  <c:v>2.250032452079095E-3</c:v>
                </c:pt>
                <c:pt idx="61">
                  <c:v>2.2500329929497241E-3</c:v>
                </c:pt>
                <c:pt idx="62">
                  <c:v>2.2500335338204386E-3</c:v>
                </c:pt>
                <c:pt idx="63">
                  <c:v>2.2500340746912408E-3</c:v>
                </c:pt>
                <c:pt idx="64">
                  <c:v>2.2500346155621296E-3</c:v>
                </c:pt>
                <c:pt idx="65">
                  <c:v>2.2500351564331044E-3</c:v>
                </c:pt>
                <c:pt idx="66">
                  <c:v>2.2500356973041667E-3</c:v>
                </c:pt>
                <c:pt idx="67">
                  <c:v>2.2500362381753154E-3</c:v>
                </c:pt>
                <c:pt idx="68">
                  <c:v>2.2500367790465512E-3</c:v>
                </c:pt>
                <c:pt idx="69">
                  <c:v>2.2500373199178724E-3</c:v>
                </c:pt>
                <c:pt idx="70">
                  <c:v>2.2500378607892817E-3</c:v>
                </c:pt>
                <c:pt idx="71">
                  <c:v>2.2500384016607769E-3</c:v>
                </c:pt>
                <c:pt idx="72">
                  <c:v>2.2500389425323584E-3</c:v>
                </c:pt>
                <c:pt idx="73">
                  <c:v>2.2500394834040274E-3</c:v>
                </c:pt>
                <c:pt idx="74">
                  <c:v>2.2500400242757832E-3</c:v>
                </c:pt>
                <c:pt idx="75">
                  <c:v>2.2500405651476245E-3</c:v>
                </c:pt>
                <c:pt idx="76">
                  <c:v>2.2500411060195537E-3</c:v>
                </c:pt>
                <c:pt idx="77">
                  <c:v>2.2500416468915693E-3</c:v>
                </c:pt>
                <c:pt idx="78">
                  <c:v>2.2500421877636716E-3</c:v>
                </c:pt>
                <c:pt idx="79">
                  <c:v>2.2500427286358598E-3</c:v>
                </c:pt>
                <c:pt idx="80">
                  <c:v>2.2500432695081356E-3</c:v>
                </c:pt>
                <c:pt idx="81">
                  <c:v>2.2500438103804981E-3</c:v>
                </c:pt>
                <c:pt idx="82">
                  <c:v>2.2500443512529461E-3</c:v>
                </c:pt>
                <c:pt idx="83">
                  <c:v>2.2500448921254821E-3</c:v>
                </c:pt>
                <c:pt idx="84">
                  <c:v>2.2500454329981044E-3</c:v>
                </c:pt>
                <c:pt idx="85">
                  <c:v>2.2500459738708125E-3</c:v>
                </c:pt>
                <c:pt idx="86">
                  <c:v>2.2500465147436083E-3</c:v>
                </c:pt>
                <c:pt idx="87">
                  <c:v>2.2500470556164908E-3</c:v>
                </c:pt>
                <c:pt idx="88">
                  <c:v>2.2500475964894605E-3</c:v>
                </c:pt>
                <c:pt idx="89">
                  <c:v>2.2500481373625152E-3</c:v>
                </c:pt>
                <c:pt idx="90">
                  <c:v>2.2500486782356579E-3</c:v>
                </c:pt>
                <c:pt idx="91">
                  <c:v>2.2500492191088865E-3</c:v>
                </c:pt>
                <c:pt idx="92">
                  <c:v>2.2500497599822014E-3</c:v>
                </c:pt>
                <c:pt idx="93">
                  <c:v>2.2500503008556043E-3</c:v>
                </c:pt>
                <c:pt idx="94">
                  <c:v>2.2500508417290935E-3</c:v>
                </c:pt>
                <c:pt idx="95">
                  <c:v>2.2500513826026686E-3</c:v>
                </c:pt>
                <c:pt idx="96">
                  <c:v>2.2500519234763309E-3</c:v>
                </c:pt>
                <c:pt idx="97">
                  <c:v>2.2500524643500807E-3</c:v>
                </c:pt>
                <c:pt idx="98">
                  <c:v>2.2500530052239165E-3</c:v>
                </c:pt>
                <c:pt idx="99">
                  <c:v>2.2500535460978381E-3</c:v>
                </c:pt>
                <c:pt idx="100">
                  <c:v>2.2500540869718469E-3</c:v>
                </c:pt>
                <c:pt idx="101">
                  <c:v>2.2500546278459432E-3</c:v>
                </c:pt>
                <c:pt idx="102">
                  <c:v>2.2500551687201246E-3</c:v>
                </c:pt>
                <c:pt idx="103">
                  <c:v>2.2500557095943945E-3</c:v>
                </c:pt>
                <c:pt idx="104">
                  <c:v>2.2500562504687502E-3</c:v>
                </c:pt>
                <c:pt idx="105">
                  <c:v>2.2500567913431918E-3</c:v>
                </c:pt>
                <c:pt idx="106">
                  <c:v>2.250057332217721E-3</c:v>
                </c:pt>
                <c:pt idx="107">
                  <c:v>2.2500578730923373E-3</c:v>
                </c:pt>
                <c:pt idx="108">
                  <c:v>2.25005841396704E-3</c:v>
                </c:pt>
                <c:pt idx="109">
                  <c:v>2.2500589548418281E-3</c:v>
                </c:pt>
                <c:pt idx="110">
                  <c:v>2.2500594957167047E-3</c:v>
                </c:pt>
                <c:pt idx="111">
                  <c:v>2.2500600365916671E-3</c:v>
                </c:pt>
                <c:pt idx="112">
                  <c:v>2.2500605774667154E-3</c:v>
                </c:pt>
                <c:pt idx="113">
                  <c:v>2.2500611183418518E-3</c:v>
                </c:pt>
                <c:pt idx="114">
                  <c:v>2.2500616592170753E-3</c:v>
                </c:pt>
                <c:pt idx="115">
                  <c:v>2.2500622000923834E-3</c:v>
                </c:pt>
                <c:pt idx="116">
                  <c:v>2.250062740967779E-3</c:v>
                </c:pt>
                <c:pt idx="117">
                  <c:v>2.2500632818432623E-3</c:v>
                </c:pt>
                <c:pt idx="118">
                  <c:v>2.2500638227188306E-3</c:v>
                </c:pt>
                <c:pt idx="119">
                  <c:v>2.2500643635944865E-3</c:v>
                </c:pt>
                <c:pt idx="120">
                  <c:v>2.2500649044702296E-3</c:v>
                </c:pt>
                <c:pt idx="121">
                  <c:v>2.2500654453460594E-3</c:v>
                </c:pt>
                <c:pt idx="122">
                  <c:v>2.2500659862219746E-3</c:v>
                </c:pt>
                <c:pt idx="123">
                  <c:v>2.2500665270979775E-3</c:v>
                </c:pt>
                <c:pt idx="124">
                  <c:v>2.250067067974067E-3</c:v>
                </c:pt>
                <c:pt idx="125">
                  <c:v>2.2500676088502425E-3</c:v>
                </c:pt>
                <c:pt idx="126">
                  <c:v>2.2500681497265055E-3</c:v>
                </c:pt>
                <c:pt idx="127">
                  <c:v>2.2500686906028549E-3</c:v>
                </c:pt>
                <c:pt idx="128">
                  <c:v>2.2500692314792901E-3</c:v>
                </c:pt>
                <c:pt idx="129">
                  <c:v>2.2500697723558129E-3</c:v>
                </c:pt>
                <c:pt idx="130">
                  <c:v>2.2500703132324229E-3</c:v>
                </c:pt>
                <c:pt idx="131">
                  <c:v>2.2500708541091192E-3</c:v>
                </c:pt>
                <c:pt idx="132">
                  <c:v>2.2500713949859009E-3</c:v>
                </c:pt>
                <c:pt idx="133">
                  <c:v>2.2500719358627707E-3</c:v>
                </c:pt>
                <c:pt idx="134">
                  <c:v>2.2500724767397272E-3</c:v>
                </c:pt>
                <c:pt idx="135">
                  <c:v>2.2500730176167692E-3</c:v>
                </c:pt>
                <c:pt idx="136">
                  <c:v>2.2500735584938987E-3</c:v>
                </c:pt>
                <c:pt idx="137">
                  <c:v>2.2500740993711158E-3</c:v>
                </c:pt>
                <c:pt idx="138">
                  <c:v>2.2500746402484171E-3</c:v>
                </c:pt>
                <c:pt idx="139">
                  <c:v>2.2500751811258069E-3</c:v>
                </c:pt>
                <c:pt idx="140">
                  <c:v>2.2500757220032838E-3</c:v>
                </c:pt>
                <c:pt idx="141">
                  <c:v>2.250076262880847E-3</c:v>
                </c:pt>
                <c:pt idx="142">
                  <c:v>2.2500768037584957E-3</c:v>
                </c:pt>
                <c:pt idx="143">
                  <c:v>2.2500773446362315E-3</c:v>
                </c:pt>
                <c:pt idx="144">
                  <c:v>2.2500778855140554E-3</c:v>
                </c:pt>
                <c:pt idx="145">
                  <c:v>2.2500784263919638E-3</c:v>
                </c:pt>
                <c:pt idx="146">
                  <c:v>2.2500789672699603E-3</c:v>
                </c:pt>
                <c:pt idx="147">
                  <c:v>2.2500795081480435E-3</c:v>
                </c:pt>
                <c:pt idx="148">
                  <c:v>2.2500800490262126E-3</c:v>
                </c:pt>
                <c:pt idx="149">
                  <c:v>2.2500805899044688E-3</c:v>
                </c:pt>
                <c:pt idx="150">
                  <c:v>2.2500811307828122E-3</c:v>
                </c:pt>
                <c:pt idx="151">
                  <c:v>2.2500816716612424E-3</c:v>
                </c:pt>
                <c:pt idx="152">
                  <c:v>2.250082212539758E-3</c:v>
                </c:pt>
                <c:pt idx="153">
                  <c:v>2.2500827534183612E-3</c:v>
                </c:pt>
                <c:pt idx="154">
                  <c:v>2.2500832942970511E-3</c:v>
                </c:pt>
                <c:pt idx="155">
                  <c:v>2.2500838351758264E-3</c:v>
                </c:pt>
                <c:pt idx="156">
                  <c:v>2.2500843760546898E-3</c:v>
                </c:pt>
                <c:pt idx="157">
                  <c:v>2.2500849169336395E-3</c:v>
                </c:pt>
                <c:pt idx="158">
                  <c:v>2.2500854578126751E-3</c:v>
                </c:pt>
                <c:pt idx="159">
                  <c:v>2.2500859986917983E-3</c:v>
                </c:pt>
                <c:pt idx="160">
                  <c:v>2.2500865395710086E-3</c:v>
                </c:pt>
                <c:pt idx="161">
                  <c:v>2.2500870804503057E-3</c:v>
                </c:pt>
                <c:pt idx="162">
                  <c:v>2.2500876213296878E-3</c:v>
                </c:pt>
                <c:pt idx="163">
                  <c:v>2.2500881622091579E-3</c:v>
                </c:pt>
                <c:pt idx="164">
                  <c:v>2.2500887030887148E-3</c:v>
                </c:pt>
                <c:pt idx="165">
                  <c:v>2.2500892439683566E-3</c:v>
                </c:pt>
                <c:pt idx="166">
                  <c:v>2.250089784848087E-3</c:v>
                </c:pt>
                <c:pt idx="167">
                  <c:v>2.2500903257279036E-3</c:v>
                </c:pt>
                <c:pt idx="168">
                  <c:v>2.2500908666078056E-3</c:v>
                </c:pt>
                <c:pt idx="169">
                  <c:v>2.2500914074877962E-3</c:v>
                </c:pt>
                <c:pt idx="170">
                  <c:v>2.250091948367873E-3</c:v>
                </c:pt>
                <c:pt idx="171">
                  <c:v>2.2500924892480366E-3</c:v>
                </c:pt>
                <c:pt idx="172">
                  <c:v>2.2500930301282856E-3</c:v>
                </c:pt>
                <c:pt idx="173">
                  <c:v>2.2500935710086222E-3</c:v>
                </c:pt>
                <c:pt idx="174">
                  <c:v>2.250094111889046E-3</c:v>
                </c:pt>
                <c:pt idx="175">
                  <c:v>2.2500946527695552E-3</c:v>
                </c:pt>
                <c:pt idx="176">
                  <c:v>2.250095193650152E-3</c:v>
                </c:pt>
                <c:pt idx="177">
                  <c:v>2.2500957345308356E-3</c:v>
                </c:pt>
                <c:pt idx="178">
                  <c:v>2.250096275411605E-3</c:v>
                </c:pt>
                <c:pt idx="179">
                  <c:v>2.2500968162924616E-3</c:v>
                </c:pt>
                <c:pt idx="180">
                  <c:v>2.2500973571734049E-3</c:v>
                </c:pt>
                <c:pt idx="181">
                  <c:v>2.250097898054435E-3</c:v>
                </c:pt>
                <c:pt idx="182">
                  <c:v>2.2500984389355514E-3</c:v>
                </c:pt>
                <c:pt idx="183">
                  <c:v>2.2500989798167549E-3</c:v>
                </c:pt>
                <c:pt idx="184">
                  <c:v>2.2500995206980452E-3</c:v>
                </c:pt>
                <c:pt idx="185">
                  <c:v>2.2501000615794214E-3</c:v>
                </c:pt>
                <c:pt idx="186">
                  <c:v>2.2501006024608847E-3</c:v>
                </c:pt>
                <c:pt idx="187">
                  <c:v>2.2501011433424352E-3</c:v>
                </c:pt>
                <c:pt idx="188">
                  <c:v>2.2501016842240711E-3</c:v>
                </c:pt>
                <c:pt idx="189">
                  <c:v>2.2501022251057946E-3</c:v>
                </c:pt>
                <c:pt idx="190">
                  <c:v>2.2501027659876049E-3</c:v>
                </c:pt>
                <c:pt idx="191">
                  <c:v>2.2501033068695023E-3</c:v>
                </c:pt>
                <c:pt idx="192">
                  <c:v>2.2501038477514847E-3</c:v>
                </c:pt>
                <c:pt idx="193">
                  <c:v>2.2501043886335552E-3</c:v>
                </c:pt>
                <c:pt idx="194">
                  <c:v>2.2501049295157124E-3</c:v>
                </c:pt>
                <c:pt idx="195">
                  <c:v>2.250105470397955E-3</c:v>
                </c:pt>
                <c:pt idx="196">
                  <c:v>2.2501060112802857E-3</c:v>
                </c:pt>
                <c:pt idx="197">
                  <c:v>2.2501065521627027E-3</c:v>
                </c:pt>
                <c:pt idx="198">
                  <c:v>2.2501070930452055E-3</c:v>
                </c:pt>
                <c:pt idx="199">
                  <c:v>2.2501076339277956E-3</c:v>
                </c:pt>
                <c:pt idx="200">
                  <c:v>2.2501081748104732E-3</c:v>
                </c:pt>
                <c:pt idx="201">
                  <c:v>2.2501087156932362E-3</c:v>
                </c:pt>
                <c:pt idx="202">
                  <c:v>2.250109256576086E-3</c:v>
                </c:pt>
                <c:pt idx="203">
                  <c:v>2.2501097974590234E-3</c:v>
                </c:pt>
                <c:pt idx="204">
                  <c:v>2.2501103383420476E-3</c:v>
                </c:pt>
                <c:pt idx="205">
                  <c:v>2.2501108792251567E-3</c:v>
                </c:pt>
                <c:pt idx="206">
                  <c:v>2.2501114201083539E-3</c:v>
                </c:pt>
                <c:pt idx="207">
                  <c:v>2.2501119609916378E-3</c:v>
                </c:pt>
                <c:pt idx="208">
                  <c:v>2.2501125018750076E-3</c:v>
                </c:pt>
                <c:pt idx="209">
                  <c:v>2.2501130427584645E-3</c:v>
                </c:pt>
                <c:pt idx="210">
                  <c:v>2.2501135836420086E-3</c:v>
                </c:pt>
                <c:pt idx="211">
                  <c:v>2.250114124525639E-3</c:v>
                </c:pt>
                <c:pt idx="212">
                  <c:v>2.2501146654093549E-3</c:v>
                </c:pt>
                <c:pt idx="213">
                  <c:v>2.2501152062931592E-3</c:v>
                </c:pt>
                <c:pt idx="214">
                  <c:v>2.2501157471770498E-3</c:v>
                </c:pt>
                <c:pt idx="215">
                  <c:v>2.2501162880610263E-3</c:v>
                </c:pt>
                <c:pt idx="216">
                  <c:v>2.2501168289450904E-3</c:v>
                </c:pt>
                <c:pt idx="217">
                  <c:v>2.2501173698292408E-3</c:v>
                </c:pt>
                <c:pt idx="218">
                  <c:v>2.2501179107134771E-3</c:v>
                </c:pt>
                <c:pt idx="219">
                  <c:v>2.250118451597801E-3</c:v>
                </c:pt>
                <c:pt idx="220">
                  <c:v>2.250118992482212E-3</c:v>
                </c:pt>
                <c:pt idx="221">
                  <c:v>2.2501195333667094E-3</c:v>
                </c:pt>
                <c:pt idx="222">
                  <c:v>2.2501200742512922E-3</c:v>
                </c:pt>
                <c:pt idx="223">
                  <c:v>2.2501206151359634E-3</c:v>
                </c:pt>
                <c:pt idx="224">
                  <c:v>2.2501211560207205E-3</c:v>
                </c:pt>
                <c:pt idx="225">
                  <c:v>2.2501216969055635E-3</c:v>
                </c:pt>
                <c:pt idx="226">
                  <c:v>2.2501222377904946E-3</c:v>
                </c:pt>
                <c:pt idx="227">
                  <c:v>2.2501227786755119E-3</c:v>
                </c:pt>
                <c:pt idx="228">
                  <c:v>2.2501233195606147E-3</c:v>
                </c:pt>
                <c:pt idx="229">
                  <c:v>2.2501238604458059E-3</c:v>
                </c:pt>
                <c:pt idx="230">
                  <c:v>2.2501244013310834E-3</c:v>
                </c:pt>
                <c:pt idx="231">
                  <c:v>2.2501249422164464E-3</c:v>
                </c:pt>
                <c:pt idx="232">
                  <c:v>2.2501254831018974E-3</c:v>
                </c:pt>
                <c:pt idx="233">
                  <c:v>2.2501260239874347E-3</c:v>
                </c:pt>
                <c:pt idx="234">
                  <c:v>2.2501265648730596E-3</c:v>
                </c:pt>
                <c:pt idx="235">
                  <c:v>2.2501271057587691E-3</c:v>
                </c:pt>
                <c:pt idx="236">
                  <c:v>2.2501276466445671E-3</c:v>
                </c:pt>
                <c:pt idx="237">
                  <c:v>2.2501281875304505E-3</c:v>
                </c:pt>
                <c:pt idx="238">
                  <c:v>2.2501287284164206E-3</c:v>
                </c:pt>
                <c:pt idx="239">
                  <c:v>2.2501292693024788E-3</c:v>
                </c:pt>
                <c:pt idx="240">
                  <c:v>2.2501298101886228E-3</c:v>
                </c:pt>
                <c:pt idx="241">
                  <c:v>2.2501303510748523E-3</c:v>
                </c:pt>
                <c:pt idx="242">
                  <c:v>2.2501308919611702E-3</c:v>
                </c:pt>
                <c:pt idx="243">
                  <c:v>2.2501314328475745E-3</c:v>
                </c:pt>
                <c:pt idx="244">
                  <c:v>2.2501319737340654E-3</c:v>
                </c:pt>
                <c:pt idx="245">
                  <c:v>2.2501325146206423E-3</c:v>
                </c:pt>
                <c:pt idx="246">
                  <c:v>2.2501330555073067E-3</c:v>
                </c:pt>
                <c:pt idx="247">
                  <c:v>2.2501335963940579E-3</c:v>
                </c:pt>
                <c:pt idx="248">
                  <c:v>2.2501341372808941E-3</c:v>
                </c:pt>
                <c:pt idx="249">
                  <c:v>2.2501346781678183E-3</c:v>
                </c:pt>
                <c:pt idx="250">
                  <c:v>2.2501352190548302E-3</c:v>
                </c:pt>
                <c:pt idx="251">
                  <c:v>2.2501357599419261E-3</c:v>
                </c:pt>
                <c:pt idx="252">
                  <c:v>2.2501363008291106E-3</c:v>
                </c:pt>
                <c:pt idx="253">
                  <c:v>2.2501368417163822E-3</c:v>
                </c:pt>
                <c:pt idx="254">
                  <c:v>2.2501373826037396E-3</c:v>
                </c:pt>
                <c:pt idx="255">
                  <c:v>2.2501379234911834E-3</c:v>
                </c:pt>
                <c:pt idx="256">
                  <c:v>2.2501384643787148E-3</c:v>
                </c:pt>
                <c:pt idx="257">
                  <c:v>2.2501390052663325E-3</c:v>
                </c:pt>
                <c:pt idx="258">
                  <c:v>2.2501395461540356E-3</c:v>
                </c:pt>
                <c:pt idx="259">
                  <c:v>2.2501400870418272E-3</c:v>
                </c:pt>
                <c:pt idx="260">
                  <c:v>2.2501406279297051E-3</c:v>
                </c:pt>
                <c:pt idx="261">
                  <c:v>2.2501411688176684E-3</c:v>
                </c:pt>
                <c:pt idx="262">
                  <c:v>2.2501417097057193E-3</c:v>
                </c:pt>
                <c:pt idx="263">
                  <c:v>2.2501422505938574E-3</c:v>
                </c:pt>
                <c:pt idx="264">
                  <c:v>2.2501427914820822E-3</c:v>
                </c:pt>
                <c:pt idx="265">
                  <c:v>2.2501433323703921E-3</c:v>
                </c:pt>
                <c:pt idx="266">
                  <c:v>2.2501438732587904E-3</c:v>
                </c:pt>
                <c:pt idx="267">
                  <c:v>2.250144414147275E-3</c:v>
                </c:pt>
                <c:pt idx="268">
                  <c:v>2.250144955035845E-3</c:v>
                </c:pt>
                <c:pt idx="269">
                  <c:v>2.2501454959245031E-3</c:v>
                </c:pt>
                <c:pt idx="270">
                  <c:v>2.2501460368132475E-3</c:v>
                </c:pt>
                <c:pt idx="271">
                  <c:v>2.2501465777020778E-3</c:v>
                </c:pt>
                <c:pt idx="272">
                  <c:v>2.2501471185909956E-3</c:v>
                </c:pt>
                <c:pt idx="273">
                  <c:v>2.2501476594800011E-3</c:v>
                </c:pt>
                <c:pt idx="274">
                  <c:v>2.2501482003690924E-3</c:v>
                </c:pt>
                <c:pt idx="275">
                  <c:v>2.2501487412582692E-3</c:v>
                </c:pt>
                <c:pt idx="276">
                  <c:v>2.2501492821475344E-3</c:v>
                </c:pt>
                <c:pt idx="277">
                  <c:v>2.2501498230368851E-3</c:v>
                </c:pt>
                <c:pt idx="278">
                  <c:v>2.250150363926322E-3</c:v>
                </c:pt>
                <c:pt idx="279">
                  <c:v>2.2501509048158471E-3</c:v>
                </c:pt>
                <c:pt idx="280">
                  <c:v>2.2501514457054584E-3</c:v>
                </c:pt>
                <c:pt idx="281">
                  <c:v>2.2501519865951555E-3</c:v>
                </c:pt>
                <c:pt idx="282">
                  <c:v>2.2501525274849408E-3</c:v>
                </c:pt>
                <c:pt idx="283">
                  <c:v>2.2501530683748119E-3</c:v>
                </c:pt>
                <c:pt idx="284">
                  <c:v>2.2501536092647701E-3</c:v>
                </c:pt>
                <c:pt idx="285">
                  <c:v>2.2501541501548138E-3</c:v>
                </c:pt>
                <c:pt idx="286">
                  <c:v>2.2501546910449451E-3</c:v>
                </c:pt>
                <c:pt idx="287">
                  <c:v>2.2501552319351636E-3</c:v>
                </c:pt>
                <c:pt idx="288">
                  <c:v>2.2501557728254675E-3</c:v>
                </c:pt>
                <c:pt idx="289">
                  <c:v>2.250156313715859E-3</c:v>
                </c:pt>
                <c:pt idx="290">
                  <c:v>2.2501568546063376E-3</c:v>
                </c:pt>
                <c:pt idx="291">
                  <c:v>2.2501573954969013E-3</c:v>
                </c:pt>
                <c:pt idx="292">
                  <c:v>2.2501579363875526E-3</c:v>
                </c:pt>
                <c:pt idx="293">
                  <c:v>2.250158477278291E-3</c:v>
                </c:pt>
                <c:pt idx="294">
                  <c:v>2.2501590181691162E-3</c:v>
                </c:pt>
                <c:pt idx="295">
                  <c:v>2.2501595590600264E-3</c:v>
                </c:pt>
                <c:pt idx="296">
                  <c:v>2.2501600999510246E-3</c:v>
                </c:pt>
                <c:pt idx="297">
                  <c:v>2.25016064084211E-3</c:v>
                </c:pt>
                <c:pt idx="298">
                  <c:v>2.2501611817332804E-3</c:v>
                </c:pt>
                <c:pt idx="299">
                  <c:v>2.2501617226245389E-3</c:v>
                </c:pt>
                <c:pt idx="300">
                  <c:v>2.250162263515884E-3</c:v>
                </c:pt>
                <c:pt idx="301">
                  <c:v>2.2501628044073142E-3</c:v>
                </c:pt>
                <c:pt idx="302">
                  <c:v>2.2501633452988328E-3</c:v>
                </c:pt>
                <c:pt idx="303">
                  <c:v>2.2501638861904382E-3</c:v>
                </c:pt>
                <c:pt idx="304">
                  <c:v>2.2501644270821299E-3</c:v>
                </c:pt>
                <c:pt idx="305">
                  <c:v>2.250164967973907E-3</c:v>
                </c:pt>
                <c:pt idx="306">
                  <c:v>2.2501655088657726E-3</c:v>
                </c:pt>
                <c:pt idx="307">
                  <c:v>2.2501660497577245E-3</c:v>
                </c:pt>
                <c:pt idx="308">
                  <c:v>2.2501665906497614E-3</c:v>
                </c:pt>
                <c:pt idx="309">
                  <c:v>2.2501671315418867E-3</c:v>
                </c:pt>
                <c:pt idx="310">
                  <c:v>2.2501676724340984E-3</c:v>
                </c:pt>
                <c:pt idx="311">
                  <c:v>2.2501682133263959E-3</c:v>
                </c:pt>
                <c:pt idx="312">
                  <c:v>2.2501687542187811E-3</c:v>
                </c:pt>
                <c:pt idx="313">
                  <c:v>2.2501692951112529E-3</c:v>
                </c:pt>
                <c:pt idx="314">
                  <c:v>2.2501698360038115E-3</c:v>
                </c:pt>
                <c:pt idx="315">
                  <c:v>2.2501703768964556E-3</c:v>
                </c:pt>
                <c:pt idx="316">
                  <c:v>2.2501709177891877E-3</c:v>
                </c:pt>
                <c:pt idx="317">
                  <c:v>2.2501714586820065E-3</c:v>
                </c:pt>
                <c:pt idx="318">
                  <c:v>2.2501719995749103E-3</c:v>
                </c:pt>
                <c:pt idx="319">
                  <c:v>2.2501725404679021E-3</c:v>
                </c:pt>
                <c:pt idx="320">
                  <c:v>2.2501730813609807E-3</c:v>
                </c:pt>
                <c:pt idx="321">
                  <c:v>2.2501736222541448E-3</c:v>
                </c:pt>
                <c:pt idx="322">
                  <c:v>2.2501741631473973E-3</c:v>
                </c:pt>
                <c:pt idx="323">
                  <c:v>2.2501747040407361E-3</c:v>
                </c:pt>
                <c:pt idx="324">
                  <c:v>2.2501752449341616E-3</c:v>
                </c:pt>
                <c:pt idx="325">
                  <c:v>2.2501757858276721E-3</c:v>
                </c:pt>
                <c:pt idx="326">
                  <c:v>2.2501763267212707E-3</c:v>
                </c:pt>
                <c:pt idx="327">
                  <c:v>2.2501768676149564E-3</c:v>
                </c:pt>
                <c:pt idx="328">
                  <c:v>2.2501774085087268E-3</c:v>
                </c:pt>
                <c:pt idx="329">
                  <c:v>2.250177949402586E-3</c:v>
                </c:pt>
                <c:pt idx="330">
                  <c:v>2.2501784902965319E-3</c:v>
                </c:pt>
                <c:pt idx="331">
                  <c:v>2.2501790311905629E-3</c:v>
                </c:pt>
                <c:pt idx="332">
                  <c:v>2.2501795720846814E-3</c:v>
                </c:pt>
                <c:pt idx="333">
                  <c:v>2.2501801129788867E-3</c:v>
                </c:pt>
                <c:pt idx="334">
                  <c:v>2.2501806538731779E-3</c:v>
                </c:pt>
                <c:pt idx="335">
                  <c:v>2.2501811947675567E-3</c:v>
                </c:pt>
                <c:pt idx="336">
                  <c:v>2.2501817356620222E-3</c:v>
                </c:pt>
                <c:pt idx="337">
                  <c:v>2.2501822765565744E-3</c:v>
                </c:pt>
                <c:pt idx="338">
                  <c:v>2.2501828174512121E-3</c:v>
                </c:pt>
                <c:pt idx="339">
                  <c:v>2.2501833583459378E-3</c:v>
                </c:pt>
                <c:pt idx="340">
                  <c:v>2.2501838992407498E-3</c:v>
                </c:pt>
                <c:pt idx="341">
                  <c:v>2.2501844401356472E-3</c:v>
                </c:pt>
                <c:pt idx="342">
                  <c:v>2.2501849810306332E-3</c:v>
                </c:pt>
                <c:pt idx="343">
                  <c:v>2.2501855219257049E-3</c:v>
                </c:pt>
                <c:pt idx="344">
                  <c:v>2.2501860628208635E-3</c:v>
                </c:pt>
                <c:pt idx="345">
                  <c:v>2.2501866037161087E-3</c:v>
                </c:pt>
                <c:pt idx="346">
                  <c:v>2.2501871446114416E-3</c:v>
                </c:pt>
                <c:pt idx="347">
                  <c:v>2.2501876855068599E-3</c:v>
                </c:pt>
                <c:pt idx="348">
                  <c:v>2.2501882264023649E-3</c:v>
                </c:pt>
                <c:pt idx="349">
                  <c:v>2.2501887672979571E-3</c:v>
                </c:pt>
                <c:pt idx="350">
                  <c:v>2.2501893081936361E-3</c:v>
                </c:pt>
                <c:pt idx="351">
                  <c:v>2.2501898490894004E-3</c:v>
                </c:pt>
                <c:pt idx="352">
                  <c:v>2.2501903899852533E-3</c:v>
                </c:pt>
                <c:pt idx="353">
                  <c:v>2.2501909308811924E-3</c:v>
                </c:pt>
                <c:pt idx="354">
                  <c:v>2.250191471777217E-3</c:v>
                </c:pt>
                <c:pt idx="355">
                  <c:v>2.2501920126733292E-3</c:v>
                </c:pt>
                <c:pt idx="356">
                  <c:v>2.2501925535695286E-3</c:v>
                </c:pt>
                <c:pt idx="357">
                  <c:v>2.2501930944658138E-3</c:v>
                </c:pt>
                <c:pt idx="358">
                  <c:v>2.2501936353621858E-3</c:v>
                </c:pt>
                <c:pt idx="359">
                  <c:v>2.2501941762586445E-3</c:v>
                </c:pt>
                <c:pt idx="360">
                  <c:v>2.2501947171551903E-3</c:v>
                </c:pt>
                <c:pt idx="361">
                  <c:v>2.2501952580518221E-3</c:v>
                </c:pt>
                <c:pt idx="362">
                  <c:v>2.250195798948541E-3</c:v>
                </c:pt>
                <c:pt idx="363">
                  <c:v>2.2501963398453466E-3</c:v>
                </c:pt>
                <c:pt idx="364">
                  <c:v>2.2501968807422381E-3</c:v>
                </c:pt>
                <c:pt idx="365">
                  <c:v>2.2501974216392173E-3</c:v>
                </c:pt>
                <c:pt idx="366">
                  <c:v>2.2501979625362835E-3</c:v>
                </c:pt>
                <c:pt idx="367">
                  <c:v>2.2501985034334366E-3</c:v>
                </c:pt>
                <c:pt idx="368">
                  <c:v>2.2501990443306742E-3</c:v>
                </c:pt>
                <c:pt idx="369">
                  <c:v>2.2501995852279998E-3</c:v>
                </c:pt>
                <c:pt idx="370">
                  <c:v>2.2502001261254126E-3</c:v>
                </c:pt>
                <c:pt idx="371">
                  <c:v>2.2502006670229108E-3</c:v>
                </c:pt>
                <c:pt idx="372">
                  <c:v>2.2502012079204966E-3</c:v>
                </c:pt>
                <c:pt idx="373">
                  <c:v>2.2502017488181692E-3</c:v>
                </c:pt>
                <c:pt idx="374">
                  <c:v>2.2502022897159277E-3</c:v>
                </c:pt>
                <c:pt idx="375">
                  <c:v>2.2502028306137737E-3</c:v>
                </c:pt>
                <c:pt idx="376">
                  <c:v>2.2502033715117069E-3</c:v>
                </c:pt>
                <c:pt idx="377">
                  <c:v>2.250203912409726E-3</c:v>
                </c:pt>
                <c:pt idx="378">
                  <c:v>2.2502044533078309E-3</c:v>
                </c:pt>
                <c:pt idx="379">
                  <c:v>2.2502049942060235E-3</c:v>
                </c:pt>
                <c:pt idx="380">
                  <c:v>2.2502055351043028E-3</c:v>
                </c:pt>
                <c:pt idx="381">
                  <c:v>2.250206076002668E-3</c:v>
                </c:pt>
                <c:pt idx="382">
                  <c:v>2.2502066169011207E-3</c:v>
                </c:pt>
                <c:pt idx="383">
                  <c:v>2.2502071577996602E-3</c:v>
                </c:pt>
                <c:pt idx="384">
                  <c:v>2.2502076986982852E-3</c:v>
                </c:pt>
                <c:pt idx="385">
                  <c:v>2.2502082395969977E-3</c:v>
                </c:pt>
                <c:pt idx="386">
                  <c:v>2.2502087804957974E-3</c:v>
                </c:pt>
                <c:pt idx="387">
                  <c:v>2.2502093213946834E-3</c:v>
                </c:pt>
                <c:pt idx="388">
                  <c:v>2.2502098622936553E-3</c:v>
                </c:pt>
                <c:pt idx="389">
                  <c:v>2.2502104031927152E-3</c:v>
                </c:pt>
                <c:pt idx="390">
                  <c:v>2.250210944091861E-3</c:v>
                </c:pt>
                <c:pt idx="391">
                  <c:v>2.2502114849910927E-3</c:v>
                </c:pt>
                <c:pt idx="392">
                  <c:v>2.2502120258904123E-3</c:v>
                </c:pt>
                <c:pt idx="393">
                  <c:v>2.2502125667898188E-3</c:v>
                </c:pt>
                <c:pt idx="394">
                  <c:v>2.2502131076893102E-3</c:v>
                </c:pt>
                <c:pt idx="395">
                  <c:v>2.2502136485888901E-3</c:v>
                </c:pt>
                <c:pt idx="396">
                  <c:v>2.2502141894885563E-3</c:v>
                </c:pt>
                <c:pt idx="397">
                  <c:v>2.2502147303883092E-3</c:v>
                </c:pt>
                <c:pt idx="398">
                  <c:v>2.2502152712881481E-3</c:v>
                </c:pt>
                <c:pt idx="399">
                  <c:v>2.250215812188074E-3</c:v>
                </c:pt>
                <c:pt idx="400">
                  <c:v>2.2502163530880872E-3</c:v>
                </c:pt>
                <c:pt idx="401">
                  <c:v>2.2502168939881858E-3</c:v>
                </c:pt>
                <c:pt idx="402">
                  <c:v>2.2502174348883724E-3</c:v>
                </c:pt>
                <c:pt idx="403">
                  <c:v>2.2502179757886453E-3</c:v>
                </c:pt>
                <c:pt idx="404">
                  <c:v>2.2502185166890037E-3</c:v>
                </c:pt>
                <c:pt idx="405">
                  <c:v>2.2502190575894505E-3</c:v>
                </c:pt>
                <c:pt idx="406">
                  <c:v>2.2502195984899832E-3</c:v>
                </c:pt>
                <c:pt idx="407">
                  <c:v>2.2502201393906031E-3</c:v>
                </c:pt>
                <c:pt idx="408">
                  <c:v>2.2502206802913084E-3</c:v>
                </c:pt>
                <c:pt idx="409">
                  <c:v>2.2502212211921021E-3</c:v>
                </c:pt>
                <c:pt idx="410">
                  <c:v>2.2502217620929818E-3</c:v>
                </c:pt>
                <c:pt idx="411">
                  <c:v>2.2502223029939468E-3</c:v>
                </c:pt>
                <c:pt idx="412">
                  <c:v>2.2502228438950004E-3</c:v>
                </c:pt>
                <c:pt idx="413">
                  <c:v>2.2502233847961402E-3</c:v>
                </c:pt>
                <c:pt idx="414">
                  <c:v>2.2502239256973651E-3</c:v>
                </c:pt>
                <c:pt idx="415">
                  <c:v>2.2502244665986784E-3</c:v>
                </c:pt>
                <c:pt idx="416">
                  <c:v>2.2502250075000785E-3</c:v>
                </c:pt>
              </c:numCache>
            </c:numRef>
          </c:yVal>
          <c:smooth val="1"/>
          <c:extLst>
            <c:ext xmlns:c16="http://schemas.microsoft.com/office/drawing/2014/chart" uri="{C3380CC4-5D6E-409C-BE32-E72D297353CC}">
              <c16:uniqueId val="{00000000-B93C-4A71-AE28-FC24C962ADE3}"/>
            </c:ext>
          </c:extLst>
        </c:ser>
        <c:dLbls>
          <c:showLegendKey val="0"/>
          <c:showVal val="0"/>
          <c:showCatName val="0"/>
          <c:showSerName val="0"/>
          <c:showPercent val="0"/>
          <c:showBubbleSize val="0"/>
        </c:dLbls>
        <c:axId val="640063464"/>
        <c:axId val="640066208"/>
      </c:scatterChart>
      <c:valAx>
        <c:axId val="6400634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Altezza del muro</a:t>
                </a:r>
                <a:r>
                  <a:rPr lang="it-IT" baseline="0"/>
                  <a:t> (asse z)</a:t>
                </a:r>
                <a:endParaRPr lang="it-IT"/>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6208"/>
        <c:crosses val="autoZero"/>
        <c:crossBetween val="midCat"/>
      </c:valAx>
      <c:valAx>
        <c:axId val="640066208"/>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34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Variazione del baricentro della</a:t>
            </a:r>
            <a:r>
              <a:rPr lang="it-IT" baseline="0"/>
              <a:t> sez. trasversale del paramento</a:t>
            </a:r>
            <a:endParaRPr lang="it-IT"/>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20642029746281715"/>
          <c:y val="0.19603796393295314"/>
          <c:w val="0.7514131233595801"/>
          <c:h val="0.64329880400448669"/>
        </c:manualLayout>
      </c:layout>
      <c:scatterChart>
        <c:scatterStyle val="lineMarker"/>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rendlineLbl>
          </c:trendline>
          <c:xVal>
            <c:numRef>
              <c:f>'SOLLECITAZ NASCOSTO'!$C$32:$C$448</c:f>
              <c:numCache>
                <c:formatCode>0.000</c:formatCode>
                <c:ptCount val="417"/>
                <c:pt idx="0">
                  <c:v>0</c:v>
                </c:pt>
                <c:pt idx="1">
                  <c:v>6.8509615384615384E-3</c:v>
                </c:pt>
                <c:pt idx="2">
                  <c:v>1.3701923076923077E-2</c:v>
                </c:pt>
                <c:pt idx="3">
                  <c:v>2.0552884615384615E-2</c:v>
                </c:pt>
                <c:pt idx="4">
                  <c:v>2.7403846153846154E-2</c:v>
                </c:pt>
                <c:pt idx="5">
                  <c:v>3.4254807692307696E-2</c:v>
                </c:pt>
                <c:pt idx="6">
                  <c:v>4.110576923076923E-2</c:v>
                </c:pt>
                <c:pt idx="7">
                  <c:v>4.7956730769230765E-2</c:v>
                </c:pt>
                <c:pt idx="8">
                  <c:v>5.4807692307692307E-2</c:v>
                </c:pt>
                <c:pt idx="9">
                  <c:v>6.1658653846153849E-2</c:v>
                </c:pt>
                <c:pt idx="10">
                  <c:v>6.8509615384615391E-2</c:v>
                </c:pt>
                <c:pt idx="11">
                  <c:v>7.5360576923076919E-2</c:v>
                </c:pt>
                <c:pt idx="12">
                  <c:v>8.2211538461538461E-2</c:v>
                </c:pt>
                <c:pt idx="13">
                  <c:v>8.9062500000000003E-2</c:v>
                </c:pt>
                <c:pt idx="14">
                  <c:v>9.5913461538461531E-2</c:v>
                </c:pt>
                <c:pt idx="15">
                  <c:v>0.10276442307692307</c:v>
                </c:pt>
                <c:pt idx="16">
                  <c:v>0.10961538461538461</c:v>
                </c:pt>
                <c:pt idx="17">
                  <c:v>0.11646634615384616</c:v>
                </c:pt>
                <c:pt idx="18">
                  <c:v>0.1233173076923077</c:v>
                </c:pt>
                <c:pt idx="19">
                  <c:v>0.13016826923076924</c:v>
                </c:pt>
                <c:pt idx="20">
                  <c:v>0.13701923076923078</c:v>
                </c:pt>
                <c:pt idx="21">
                  <c:v>0.1438701923076923</c:v>
                </c:pt>
                <c:pt idx="22">
                  <c:v>0.15072115384615384</c:v>
                </c:pt>
                <c:pt idx="23">
                  <c:v>0.15757211538461538</c:v>
                </c:pt>
                <c:pt idx="24">
                  <c:v>0.16442307692307692</c:v>
                </c:pt>
                <c:pt idx="25">
                  <c:v>0.17127403846153846</c:v>
                </c:pt>
                <c:pt idx="26">
                  <c:v>0.17812500000000001</c:v>
                </c:pt>
                <c:pt idx="27">
                  <c:v>0.18497596153846155</c:v>
                </c:pt>
                <c:pt idx="28">
                  <c:v>0.19182692307692306</c:v>
                </c:pt>
                <c:pt idx="29">
                  <c:v>0.1986778846153846</c:v>
                </c:pt>
                <c:pt idx="30">
                  <c:v>0.20552884615384615</c:v>
                </c:pt>
                <c:pt idx="31">
                  <c:v>0.21237980769230769</c:v>
                </c:pt>
                <c:pt idx="32">
                  <c:v>0.21923076923076923</c:v>
                </c:pt>
                <c:pt idx="33">
                  <c:v>0.22608173076923077</c:v>
                </c:pt>
                <c:pt idx="34">
                  <c:v>0.23293269230769231</c:v>
                </c:pt>
                <c:pt idx="35">
                  <c:v>0.23978365384615385</c:v>
                </c:pt>
                <c:pt idx="36">
                  <c:v>0.2466346153846154</c:v>
                </c:pt>
                <c:pt idx="37">
                  <c:v>0.25348557692307694</c:v>
                </c:pt>
                <c:pt idx="38">
                  <c:v>0.26033653846153848</c:v>
                </c:pt>
                <c:pt idx="39">
                  <c:v>0.26718750000000002</c:v>
                </c:pt>
                <c:pt idx="40">
                  <c:v>0.27403846153846156</c:v>
                </c:pt>
                <c:pt idx="41">
                  <c:v>0.28088942307692305</c:v>
                </c:pt>
                <c:pt idx="42">
                  <c:v>0.28774038461538459</c:v>
                </c:pt>
                <c:pt idx="43">
                  <c:v>0.29459134615384613</c:v>
                </c:pt>
                <c:pt idx="44">
                  <c:v>0.30144230769230768</c:v>
                </c:pt>
                <c:pt idx="45">
                  <c:v>0.30829326923076922</c:v>
                </c:pt>
                <c:pt idx="46">
                  <c:v>0.31514423076923076</c:v>
                </c:pt>
                <c:pt idx="47">
                  <c:v>0.3219951923076923</c:v>
                </c:pt>
                <c:pt idx="48">
                  <c:v>0.32884615384615384</c:v>
                </c:pt>
                <c:pt idx="49">
                  <c:v>0.33569711538461539</c:v>
                </c:pt>
                <c:pt idx="50">
                  <c:v>0.34254807692307693</c:v>
                </c:pt>
                <c:pt idx="51">
                  <c:v>0.34939903846153847</c:v>
                </c:pt>
                <c:pt idx="52">
                  <c:v>0.35625000000000001</c:v>
                </c:pt>
                <c:pt idx="53">
                  <c:v>0.36310096153846155</c:v>
                </c:pt>
                <c:pt idx="54">
                  <c:v>0.36995192307692309</c:v>
                </c:pt>
                <c:pt idx="55">
                  <c:v>0.37680288461538464</c:v>
                </c:pt>
                <c:pt idx="56">
                  <c:v>0.38365384615384612</c:v>
                </c:pt>
                <c:pt idx="57">
                  <c:v>0.39050480769230766</c:v>
                </c:pt>
                <c:pt idx="58">
                  <c:v>0.39735576923076921</c:v>
                </c:pt>
                <c:pt idx="59">
                  <c:v>0.40420673076923075</c:v>
                </c:pt>
                <c:pt idx="60">
                  <c:v>0.41105769230769229</c:v>
                </c:pt>
                <c:pt idx="61">
                  <c:v>0.41790865384615383</c:v>
                </c:pt>
                <c:pt idx="62">
                  <c:v>0.42475961538461537</c:v>
                </c:pt>
                <c:pt idx="63">
                  <c:v>0.43161057692307692</c:v>
                </c:pt>
                <c:pt idx="64">
                  <c:v>0.43846153846153846</c:v>
                </c:pt>
                <c:pt idx="65">
                  <c:v>0.4453125</c:v>
                </c:pt>
                <c:pt idx="66">
                  <c:v>0.45216346153846154</c:v>
                </c:pt>
                <c:pt idx="67">
                  <c:v>0.45901442307692308</c:v>
                </c:pt>
                <c:pt idx="68">
                  <c:v>0.46586538461538463</c:v>
                </c:pt>
                <c:pt idx="69">
                  <c:v>0.47271634615384617</c:v>
                </c:pt>
                <c:pt idx="70">
                  <c:v>0.47956730769230771</c:v>
                </c:pt>
                <c:pt idx="71">
                  <c:v>0.48641826923076925</c:v>
                </c:pt>
                <c:pt idx="72">
                  <c:v>0.49326923076923079</c:v>
                </c:pt>
                <c:pt idx="73">
                  <c:v>0.50012019230769234</c:v>
                </c:pt>
                <c:pt idx="74">
                  <c:v>0.50697115384615388</c:v>
                </c:pt>
                <c:pt idx="75">
                  <c:v>0.51382211538461542</c:v>
                </c:pt>
                <c:pt idx="76">
                  <c:v>0.52067307692307696</c:v>
                </c:pt>
                <c:pt idx="77">
                  <c:v>0.5275240384615385</c:v>
                </c:pt>
                <c:pt idx="78">
                  <c:v>0.53437500000000004</c:v>
                </c:pt>
                <c:pt idx="79">
                  <c:v>0.54122596153846159</c:v>
                </c:pt>
                <c:pt idx="80">
                  <c:v>0.54807692307692313</c:v>
                </c:pt>
                <c:pt idx="81">
                  <c:v>0.55492788461538456</c:v>
                </c:pt>
                <c:pt idx="82">
                  <c:v>0.5617788461538461</c:v>
                </c:pt>
                <c:pt idx="83">
                  <c:v>0.56862980769230764</c:v>
                </c:pt>
                <c:pt idx="84">
                  <c:v>0.57548076923076918</c:v>
                </c:pt>
                <c:pt idx="85">
                  <c:v>0.58233173076923073</c:v>
                </c:pt>
                <c:pt idx="86">
                  <c:v>0.58918269230769227</c:v>
                </c:pt>
                <c:pt idx="87">
                  <c:v>0.59603365384615381</c:v>
                </c:pt>
                <c:pt idx="88">
                  <c:v>0.60288461538461535</c:v>
                </c:pt>
                <c:pt idx="89">
                  <c:v>0.60973557692307689</c:v>
                </c:pt>
                <c:pt idx="90">
                  <c:v>0.61658653846153844</c:v>
                </c:pt>
                <c:pt idx="91">
                  <c:v>0.62343749999999998</c:v>
                </c:pt>
                <c:pt idx="92">
                  <c:v>0.63028846153846152</c:v>
                </c:pt>
                <c:pt idx="93">
                  <c:v>0.63713942307692306</c:v>
                </c:pt>
                <c:pt idx="94">
                  <c:v>0.6439903846153846</c:v>
                </c:pt>
                <c:pt idx="95">
                  <c:v>0.65084134615384615</c:v>
                </c:pt>
                <c:pt idx="96">
                  <c:v>0.65769230769230769</c:v>
                </c:pt>
                <c:pt idx="97">
                  <c:v>0.66454326923076923</c:v>
                </c:pt>
                <c:pt idx="98">
                  <c:v>0.67139423076923077</c:v>
                </c:pt>
                <c:pt idx="99">
                  <c:v>0.67824519230769231</c:v>
                </c:pt>
                <c:pt idx="100">
                  <c:v>0.68509615384615385</c:v>
                </c:pt>
                <c:pt idx="101">
                  <c:v>0.6919471153846154</c:v>
                </c:pt>
                <c:pt idx="102">
                  <c:v>0.69879807692307694</c:v>
                </c:pt>
                <c:pt idx="103">
                  <c:v>0.70564903846153848</c:v>
                </c:pt>
                <c:pt idx="104">
                  <c:v>0.71250000000000002</c:v>
                </c:pt>
                <c:pt idx="105">
                  <c:v>0.71935096153846156</c:v>
                </c:pt>
                <c:pt idx="106">
                  <c:v>0.72620192307692311</c:v>
                </c:pt>
                <c:pt idx="107">
                  <c:v>0.73305288461538465</c:v>
                </c:pt>
                <c:pt idx="108">
                  <c:v>0.73990384615384619</c:v>
                </c:pt>
                <c:pt idx="109">
                  <c:v>0.74675480769230773</c:v>
                </c:pt>
                <c:pt idx="110">
                  <c:v>0.75360576923076927</c:v>
                </c:pt>
                <c:pt idx="111">
                  <c:v>0.76045673076923082</c:v>
                </c:pt>
                <c:pt idx="112">
                  <c:v>0.76730769230769225</c:v>
                </c:pt>
                <c:pt idx="113">
                  <c:v>0.77415865384615379</c:v>
                </c:pt>
                <c:pt idx="114">
                  <c:v>0.78100961538461533</c:v>
                </c:pt>
                <c:pt idx="115">
                  <c:v>0.78786057692307687</c:v>
                </c:pt>
                <c:pt idx="116">
                  <c:v>0.79471153846153841</c:v>
                </c:pt>
                <c:pt idx="117">
                  <c:v>0.80156249999999996</c:v>
                </c:pt>
                <c:pt idx="118">
                  <c:v>0.8084134615384615</c:v>
                </c:pt>
                <c:pt idx="119">
                  <c:v>0.81526442307692304</c:v>
                </c:pt>
                <c:pt idx="120">
                  <c:v>0.82211538461538458</c:v>
                </c:pt>
                <c:pt idx="121">
                  <c:v>0.82896634615384612</c:v>
                </c:pt>
                <c:pt idx="122">
                  <c:v>0.83581730769230766</c:v>
                </c:pt>
                <c:pt idx="123">
                  <c:v>0.84266826923076921</c:v>
                </c:pt>
                <c:pt idx="124">
                  <c:v>0.84951923076923075</c:v>
                </c:pt>
                <c:pt idx="125">
                  <c:v>0.85637019230769229</c:v>
                </c:pt>
                <c:pt idx="126">
                  <c:v>0.86322115384615383</c:v>
                </c:pt>
                <c:pt idx="127">
                  <c:v>0.87007211538461537</c:v>
                </c:pt>
                <c:pt idx="128">
                  <c:v>0.87692307692307692</c:v>
                </c:pt>
                <c:pt idx="129">
                  <c:v>0.88377403846153846</c:v>
                </c:pt>
                <c:pt idx="130">
                  <c:v>0.890625</c:v>
                </c:pt>
                <c:pt idx="131">
                  <c:v>0.89747596153846154</c:v>
                </c:pt>
                <c:pt idx="132">
                  <c:v>0.90432692307692308</c:v>
                </c:pt>
                <c:pt idx="133">
                  <c:v>0.91117788461538463</c:v>
                </c:pt>
                <c:pt idx="134">
                  <c:v>0.91802884615384617</c:v>
                </c:pt>
                <c:pt idx="135">
                  <c:v>0.92487980769230771</c:v>
                </c:pt>
                <c:pt idx="136">
                  <c:v>0.93173076923076925</c:v>
                </c:pt>
                <c:pt idx="137">
                  <c:v>0.93858173076923079</c:v>
                </c:pt>
                <c:pt idx="138">
                  <c:v>0.94543269230769234</c:v>
                </c:pt>
                <c:pt idx="139">
                  <c:v>0.95228365384615388</c:v>
                </c:pt>
                <c:pt idx="140">
                  <c:v>0.95913461538461542</c:v>
                </c:pt>
                <c:pt idx="141">
                  <c:v>0.96598557692307696</c:v>
                </c:pt>
                <c:pt idx="142">
                  <c:v>0.9728365384615385</c:v>
                </c:pt>
                <c:pt idx="143">
                  <c:v>0.97968750000000004</c:v>
                </c:pt>
                <c:pt idx="144">
                  <c:v>0.98653846153846159</c:v>
                </c:pt>
                <c:pt idx="145">
                  <c:v>0.99338942307692302</c:v>
                </c:pt>
                <c:pt idx="146">
                  <c:v>1.0002403846153847</c:v>
                </c:pt>
                <c:pt idx="147">
                  <c:v>1.0070913461538462</c:v>
                </c:pt>
                <c:pt idx="148">
                  <c:v>1.0139423076923078</c:v>
                </c:pt>
                <c:pt idx="149">
                  <c:v>1.0207932692307693</c:v>
                </c:pt>
                <c:pt idx="150">
                  <c:v>1.0276442307692308</c:v>
                </c:pt>
                <c:pt idx="151">
                  <c:v>1.0344951923076924</c:v>
                </c:pt>
                <c:pt idx="152">
                  <c:v>1.0413461538461539</c:v>
                </c:pt>
                <c:pt idx="153">
                  <c:v>1.0481971153846155</c:v>
                </c:pt>
                <c:pt idx="154">
                  <c:v>1.055048076923077</c:v>
                </c:pt>
                <c:pt idx="155">
                  <c:v>1.0618990384615385</c:v>
                </c:pt>
                <c:pt idx="156">
                  <c:v>1.0687500000000001</c:v>
                </c:pt>
                <c:pt idx="157">
                  <c:v>1.0756009615384616</c:v>
                </c:pt>
                <c:pt idx="158">
                  <c:v>1.0824519230769232</c:v>
                </c:pt>
                <c:pt idx="159">
                  <c:v>1.0893028846153847</c:v>
                </c:pt>
                <c:pt idx="160">
                  <c:v>1.0961538461538463</c:v>
                </c:pt>
                <c:pt idx="161">
                  <c:v>1.1030048076923076</c:v>
                </c:pt>
                <c:pt idx="162">
                  <c:v>1.1098557692307691</c:v>
                </c:pt>
                <c:pt idx="163">
                  <c:v>1.1167067307692307</c:v>
                </c:pt>
                <c:pt idx="164">
                  <c:v>1.1235576923076922</c:v>
                </c:pt>
                <c:pt idx="165">
                  <c:v>1.1304086538461537</c:v>
                </c:pt>
                <c:pt idx="166">
                  <c:v>1.1372596153846153</c:v>
                </c:pt>
                <c:pt idx="167">
                  <c:v>1.1441105769230768</c:v>
                </c:pt>
                <c:pt idx="168">
                  <c:v>1.1509615384615384</c:v>
                </c:pt>
                <c:pt idx="169">
                  <c:v>1.1578124999999999</c:v>
                </c:pt>
                <c:pt idx="170">
                  <c:v>1.1646634615384615</c:v>
                </c:pt>
                <c:pt idx="171">
                  <c:v>1.171514423076923</c:v>
                </c:pt>
                <c:pt idx="172">
                  <c:v>1.1783653846153845</c:v>
                </c:pt>
                <c:pt idx="173">
                  <c:v>1.1852163461538461</c:v>
                </c:pt>
                <c:pt idx="174">
                  <c:v>1.1920673076923076</c:v>
                </c:pt>
                <c:pt idx="175">
                  <c:v>1.1989182692307692</c:v>
                </c:pt>
                <c:pt idx="176">
                  <c:v>1.2057692307692307</c:v>
                </c:pt>
                <c:pt idx="177">
                  <c:v>1.2126201923076922</c:v>
                </c:pt>
                <c:pt idx="178">
                  <c:v>1.2194711538461538</c:v>
                </c:pt>
                <c:pt idx="179">
                  <c:v>1.2263221153846153</c:v>
                </c:pt>
                <c:pt idx="180">
                  <c:v>1.2331730769230769</c:v>
                </c:pt>
                <c:pt idx="181">
                  <c:v>1.2400240384615384</c:v>
                </c:pt>
                <c:pt idx="182">
                  <c:v>1.246875</c:v>
                </c:pt>
                <c:pt idx="183">
                  <c:v>1.2537259615384615</c:v>
                </c:pt>
                <c:pt idx="184">
                  <c:v>1.260576923076923</c:v>
                </c:pt>
                <c:pt idx="185">
                  <c:v>1.2674278846153846</c:v>
                </c:pt>
                <c:pt idx="186">
                  <c:v>1.2742788461538461</c:v>
                </c:pt>
                <c:pt idx="187">
                  <c:v>1.2811298076923077</c:v>
                </c:pt>
                <c:pt idx="188">
                  <c:v>1.2879807692307692</c:v>
                </c:pt>
                <c:pt idx="189">
                  <c:v>1.2948317307692307</c:v>
                </c:pt>
                <c:pt idx="190">
                  <c:v>1.3016826923076923</c:v>
                </c:pt>
                <c:pt idx="191">
                  <c:v>1.3085336538461538</c:v>
                </c:pt>
                <c:pt idx="192">
                  <c:v>1.3153846153846154</c:v>
                </c:pt>
                <c:pt idx="193">
                  <c:v>1.3222355769230769</c:v>
                </c:pt>
                <c:pt idx="194">
                  <c:v>1.3290865384615385</c:v>
                </c:pt>
                <c:pt idx="195">
                  <c:v>1.3359375</c:v>
                </c:pt>
                <c:pt idx="196">
                  <c:v>1.3427884615384615</c:v>
                </c:pt>
                <c:pt idx="197">
                  <c:v>1.3496394230769231</c:v>
                </c:pt>
                <c:pt idx="198">
                  <c:v>1.3564903846153846</c:v>
                </c:pt>
                <c:pt idx="199">
                  <c:v>1.3633413461538462</c:v>
                </c:pt>
                <c:pt idx="200">
                  <c:v>1.3701923076923077</c:v>
                </c:pt>
                <c:pt idx="201">
                  <c:v>1.3770432692307693</c:v>
                </c:pt>
                <c:pt idx="202">
                  <c:v>1.3838942307692308</c:v>
                </c:pt>
                <c:pt idx="203">
                  <c:v>1.3907451923076923</c:v>
                </c:pt>
                <c:pt idx="204">
                  <c:v>1.3975961538461539</c:v>
                </c:pt>
                <c:pt idx="205">
                  <c:v>1.4044471153846154</c:v>
                </c:pt>
                <c:pt idx="206">
                  <c:v>1.411298076923077</c:v>
                </c:pt>
                <c:pt idx="207">
                  <c:v>1.4181490384615385</c:v>
                </c:pt>
                <c:pt idx="208">
                  <c:v>1.425</c:v>
                </c:pt>
                <c:pt idx="209">
                  <c:v>1.4318509615384616</c:v>
                </c:pt>
                <c:pt idx="210">
                  <c:v>1.4387019230769231</c:v>
                </c:pt>
                <c:pt idx="211">
                  <c:v>1.4455528846153847</c:v>
                </c:pt>
                <c:pt idx="212">
                  <c:v>1.4524038461538462</c:v>
                </c:pt>
                <c:pt idx="213">
                  <c:v>1.4592548076923078</c:v>
                </c:pt>
                <c:pt idx="214">
                  <c:v>1.4661057692307693</c:v>
                </c:pt>
                <c:pt idx="215">
                  <c:v>1.4729567307692308</c:v>
                </c:pt>
                <c:pt idx="216">
                  <c:v>1.4798076923076924</c:v>
                </c:pt>
                <c:pt idx="217">
                  <c:v>1.4866586538461539</c:v>
                </c:pt>
                <c:pt idx="218">
                  <c:v>1.4935096153846155</c:v>
                </c:pt>
                <c:pt idx="219">
                  <c:v>1.500360576923077</c:v>
                </c:pt>
                <c:pt idx="220">
                  <c:v>1.5072115384615385</c:v>
                </c:pt>
                <c:pt idx="221">
                  <c:v>1.5140625000000001</c:v>
                </c:pt>
                <c:pt idx="222">
                  <c:v>1.5209134615384616</c:v>
                </c:pt>
                <c:pt idx="223">
                  <c:v>1.5277644230769232</c:v>
                </c:pt>
                <c:pt idx="224">
                  <c:v>1.5346153846153845</c:v>
                </c:pt>
                <c:pt idx="225">
                  <c:v>1.541466346153846</c:v>
                </c:pt>
                <c:pt idx="226">
                  <c:v>1.5483173076923076</c:v>
                </c:pt>
                <c:pt idx="227">
                  <c:v>1.5551682692307691</c:v>
                </c:pt>
                <c:pt idx="228">
                  <c:v>1.5620192307692307</c:v>
                </c:pt>
                <c:pt idx="229">
                  <c:v>1.5688701923076922</c:v>
                </c:pt>
                <c:pt idx="230">
                  <c:v>1.5757211538461537</c:v>
                </c:pt>
                <c:pt idx="231">
                  <c:v>1.5825721153846153</c:v>
                </c:pt>
                <c:pt idx="232">
                  <c:v>1.5894230769230768</c:v>
                </c:pt>
                <c:pt idx="233">
                  <c:v>1.5962740384615384</c:v>
                </c:pt>
                <c:pt idx="234">
                  <c:v>1.6031249999999999</c:v>
                </c:pt>
                <c:pt idx="235">
                  <c:v>1.6099759615384615</c:v>
                </c:pt>
                <c:pt idx="236">
                  <c:v>1.616826923076923</c:v>
                </c:pt>
                <c:pt idx="237">
                  <c:v>1.6236778846153845</c:v>
                </c:pt>
                <c:pt idx="238">
                  <c:v>1.6305288461538461</c:v>
                </c:pt>
                <c:pt idx="239">
                  <c:v>1.6373798076923076</c:v>
                </c:pt>
                <c:pt idx="240">
                  <c:v>1.6442307692307692</c:v>
                </c:pt>
                <c:pt idx="241">
                  <c:v>1.6510817307692307</c:v>
                </c:pt>
                <c:pt idx="242">
                  <c:v>1.6579326923076922</c:v>
                </c:pt>
                <c:pt idx="243">
                  <c:v>1.6647836538461538</c:v>
                </c:pt>
                <c:pt idx="244">
                  <c:v>1.6716346153846153</c:v>
                </c:pt>
                <c:pt idx="245">
                  <c:v>1.6784855769230769</c:v>
                </c:pt>
                <c:pt idx="246">
                  <c:v>1.6853365384615384</c:v>
                </c:pt>
                <c:pt idx="247">
                  <c:v>1.6921875</c:v>
                </c:pt>
                <c:pt idx="248">
                  <c:v>1.6990384615384615</c:v>
                </c:pt>
                <c:pt idx="249">
                  <c:v>1.705889423076923</c:v>
                </c:pt>
                <c:pt idx="250">
                  <c:v>1.7127403846153846</c:v>
                </c:pt>
                <c:pt idx="251">
                  <c:v>1.7195913461538461</c:v>
                </c:pt>
                <c:pt idx="252">
                  <c:v>1.7264423076923077</c:v>
                </c:pt>
                <c:pt idx="253">
                  <c:v>1.7332932692307692</c:v>
                </c:pt>
                <c:pt idx="254">
                  <c:v>1.7401442307692307</c:v>
                </c:pt>
                <c:pt idx="255">
                  <c:v>1.7469951923076923</c:v>
                </c:pt>
                <c:pt idx="256">
                  <c:v>1.7538461538461538</c:v>
                </c:pt>
                <c:pt idx="257">
                  <c:v>1.7606971153846154</c:v>
                </c:pt>
                <c:pt idx="258">
                  <c:v>1.7675480769230769</c:v>
                </c:pt>
                <c:pt idx="259">
                  <c:v>1.7743990384615385</c:v>
                </c:pt>
                <c:pt idx="260">
                  <c:v>1.78125</c:v>
                </c:pt>
                <c:pt idx="261">
                  <c:v>1.7881009615384615</c:v>
                </c:pt>
                <c:pt idx="262">
                  <c:v>1.7949519230769231</c:v>
                </c:pt>
                <c:pt idx="263">
                  <c:v>1.8018028846153846</c:v>
                </c:pt>
                <c:pt idx="264">
                  <c:v>1.8086538461538462</c:v>
                </c:pt>
                <c:pt idx="265">
                  <c:v>1.8155048076923077</c:v>
                </c:pt>
                <c:pt idx="266">
                  <c:v>1.8223557692307693</c:v>
                </c:pt>
                <c:pt idx="267">
                  <c:v>1.8292067307692308</c:v>
                </c:pt>
                <c:pt idx="268">
                  <c:v>1.8360576923076923</c:v>
                </c:pt>
                <c:pt idx="269">
                  <c:v>1.8429086538461539</c:v>
                </c:pt>
                <c:pt idx="270">
                  <c:v>1.8497596153846154</c:v>
                </c:pt>
                <c:pt idx="271">
                  <c:v>1.856610576923077</c:v>
                </c:pt>
                <c:pt idx="272">
                  <c:v>1.8634615384615385</c:v>
                </c:pt>
                <c:pt idx="273">
                  <c:v>1.8703125</c:v>
                </c:pt>
                <c:pt idx="274">
                  <c:v>1.8771634615384616</c:v>
                </c:pt>
                <c:pt idx="275">
                  <c:v>1.8840144230769231</c:v>
                </c:pt>
                <c:pt idx="276">
                  <c:v>1.8908653846153847</c:v>
                </c:pt>
                <c:pt idx="277">
                  <c:v>1.8977163461538462</c:v>
                </c:pt>
                <c:pt idx="278">
                  <c:v>1.9045673076923078</c:v>
                </c:pt>
                <c:pt idx="279">
                  <c:v>1.9114182692307693</c:v>
                </c:pt>
                <c:pt idx="280">
                  <c:v>1.9182692307692308</c:v>
                </c:pt>
                <c:pt idx="281">
                  <c:v>1.9251201923076924</c:v>
                </c:pt>
                <c:pt idx="282">
                  <c:v>1.9319711538461539</c:v>
                </c:pt>
                <c:pt idx="283">
                  <c:v>1.9388221153846155</c:v>
                </c:pt>
                <c:pt idx="284">
                  <c:v>1.945673076923077</c:v>
                </c:pt>
                <c:pt idx="285">
                  <c:v>1.9525240384615385</c:v>
                </c:pt>
                <c:pt idx="286">
                  <c:v>1.9593750000000001</c:v>
                </c:pt>
                <c:pt idx="287">
                  <c:v>1.9662259615384616</c:v>
                </c:pt>
                <c:pt idx="288">
                  <c:v>1.9730769230769232</c:v>
                </c:pt>
                <c:pt idx="289">
                  <c:v>1.9799278846153845</c:v>
                </c:pt>
                <c:pt idx="290">
                  <c:v>1.986778846153846</c:v>
                </c:pt>
                <c:pt idx="291">
                  <c:v>1.9936298076923076</c:v>
                </c:pt>
                <c:pt idx="292">
                  <c:v>2.0004807692307693</c:v>
                </c:pt>
                <c:pt idx="293">
                  <c:v>2.0073317307692307</c:v>
                </c:pt>
                <c:pt idx="294">
                  <c:v>2.0141826923076924</c:v>
                </c:pt>
                <c:pt idx="295">
                  <c:v>2.0210336538461537</c:v>
                </c:pt>
                <c:pt idx="296">
                  <c:v>2.0278846153846155</c:v>
                </c:pt>
                <c:pt idx="297">
                  <c:v>2.0347355769230768</c:v>
                </c:pt>
                <c:pt idx="298">
                  <c:v>2.0415865384615386</c:v>
                </c:pt>
                <c:pt idx="299">
                  <c:v>2.0484374999999999</c:v>
                </c:pt>
                <c:pt idx="300">
                  <c:v>2.0552884615384617</c:v>
                </c:pt>
                <c:pt idx="301">
                  <c:v>2.062139423076923</c:v>
                </c:pt>
                <c:pt idx="302">
                  <c:v>2.0689903846153848</c:v>
                </c:pt>
                <c:pt idx="303">
                  <c:v>2.0758413461538461</c:v>
                </c:pt>
                <c:pt idx="304">
                  <c:v>2.0826923076923078</c:v>
                </c:pt>
                <c:pt idx="305">
                  <c:v>2.0895432692307692</c:v>
                </c:pt>
                <c:pt idx="306">
                  <c:v>2.0963942307692309</c:v>
                </c:pt>
                <c:pt idx="307">
                  <c:v>2.1032451923076922</c:v>
                </c:pt>
                <c:pt idx="308">
                  <c:v>2.110096153846154</c:v>
                </c:pt>
                <c:pt idx="309">
                  <c:v>2.1169471153846153</c:v>
                </c:pt>
                <c:pt idx="310">
                  <c:v>2.1237980769230771</c:v>
                </c:pt>
                <c:pt idx="311">
                  <c:v>2.1306490384615384</c:v>
                </c:pt>
                <c:pt idx="312">
                  <c:v>2.1375000000000002</c:v>
                </c:pt>
                <c:pt idx="313">
                  <c:v>2.1443509615384615</c:v>
                </c:pt>
                <c:pt idx="314">
                  <c:v>2.1512019230769233</c:v>
                </c:pt>
                <c:pt idx="315">
                  <c:v>2.1580528846153846</c:v>
                </c:pt>
                <c:pt idx="316">
                  <c:v>2.1649038461538463</c:v>
                </c:pt>
                <c:pt idx="317">
                  <c:v>2.1717548076923077</c:v>
                </c:pt>
                <c:pt idx="318">
                  <c:v>2.1786057692307694</c:v>
                </c:pt>
                <c:pt idx="319">
                  <c:v>2.1854567307692307</c:v>
                </c:pt>
                <c:pt idx="320">
                  <c:v>2.1923076923076925</c:v>
                </c:pt>
                <c:pt idx="321">
                  <c:v>2.1991586538461538</c:v>
                </c:pt>
                <c:pt idx="322">
                  <c:v>2.2060096153846152</c:v>
                </c:pt>
                <c:pt idx="323">
                  <c:v>2.2128605769230769</c:v>
                </c:pt>
                <c:pt idx="324">
                  <c:v>2.2197115384615382</c:v>
                </c:pt>
                <c:pt idx="325">
                  <c:v>2.2265625</c:v>
                </c:pt>
                <c:pt idx="326">
                  <c:v>2.2334134615384613</c:v>
                </c:pt>
                <c:pt idx="327">
                  <c:v>2.2402644230769231</c:v>
                </c:pt>
                <c:pt idx="328">
                  <c:v>2.2471153846153844</c:v>
                </c:pt>
                <c:pt idx="329">
                  <c:v>2.2539663461538462</c:v>
                </c:pt>
                <c:pt idx="330">
                  <c:v>2.2608173076923075</c:v>
                </c:pt>
                <c:pt idx="331">
                  <c:v>2.2676682692307693</c:v>
                </c:pt>
                <c:pt idx="332">
                  <c:v>2.2745192307692306</c:v>
                </c:pt>
                <c:pt idx="333">
                  <c:v>2.2813701923076923</c:v>
                </c:pt>
                <c:pt idx="334">
                  <c:v>2.2882211538461537</c:v>
                </c:pt>
                <c:pt idx="335">
                  <c:v>2.2950721153846154</c:v>
                </c:pt>
                <c:pt idx="336">
                  <c:v>2.3019230769230767</c:v>
                </c:pt>
                <c:pt idx="337">
                  <c:v>2.3087740384615385</c:v>
                </c:pt>
                <c:pt idx="338">
                  <c:v>2.3156249999999998</c:v>
                </c:pt>
                <c:pt idx="339">
                  <c:v>2.3224759615384616</c:v>
                </c:pt>
                <c:pt idx="340">
                  <c:v>2.3293269230769229</c:v>
                </c:pt>
                <c:pt idx="341">
                  <c:v>2.3361778846153847</c:v>
                </c:pt>
                <c:pt idx="342">
                  <c:v>2.343028846153846</c:v>
                </c:pt>
                <c:pt idx="343">
                  <c:v>2.3498798076923078</c:v>
                </c:pt>
                <c:pt idx="344">
                  <c:v>2.3567307692307691</c:v>
                </c:pt>
                <c:pt idx="345">
                  <c:v>2.3635817307692308</c:v>
                </c:pt>
                <c:pt idx="346">
                  <c:v>2.3704326923076922</c:v>
                </c:pt>
                <c:pt idx="347">
                  <c:v>2.3772836538461539</c:v>
                </c:pt>
                <c:pt idx="348">
                  <c:v>2.3841346153846152</c:v>
                </c:pt>
                <c:pt idx="349">
                  <c:v>2.390985576923077</c:v>
                </c:pt>
                <c:pt idx="350">
                  <c:v>2.3978365384615383</c:v>
                </c:pt>
                <c:pt idx="351">
                  <c:v>2.4046875000000001</c:v>
                </c:pt>
                <c:pt idx="352">
                  <c:v>2.4115384615384614</c:v>
                </c:pt>
                <c:pt idx="353">
                  <c:v>2.4183894230769232</c:v>
                </c:pt>
                <c:pt idx="354">
                  <c:v>2.4252403846153845</c:v>
                </c:pt>
                <c:pt idx="355">
                  <c:v>2.4320913461538463</c:v>
                </c:pt>
                <c:pt idx="356">
                  <c:v>2.4389423076923076</c:v>
                </c:pt>
                <c:pt idx="357">
                  <c:v>2.4457932692307693</c:v>
                </c:pt>
                <c:pt idx="358">
                  <c:v>2.4526442307692307</c:v>
                </c:pt>
                <c:pt idx="359">
                  <c:v>2.4594951923076924</c:v>
                </c:pt>
                <c:pt idx="360">
                  <c:v>2.4663461538461537</c:v>
                </c:pt>
                <c:pt idx="361">
                  <c:v>2.4731971153846155</c:v>
                </c:pt>
                <c:pt idx="362">
                  <c:v>2.4800480769230768</c:v>
                </c:pt>
                <c:pt idx="363">
                  <c:v>2.4868990384615386</c:v>
                </c:pt>
                <c:pt idx="364">
                  <c:v>2.4937499999999999</c:v>
                </c:pt>
                <c:pt idx="365">
                  <c:v>2.5006009615384617</c:v>
                </c:pt>
                <c:pt idx="366">
                  <c:v>2.507451923076923</c:v>
                </c:pt>
                <c:pt idx="367">
                  <c:v>2.5143028846153848</c:v>
                </c:pt>
                <c:pt idx="368">
                  <c:v>2.5211538461538461</c:v>
                </c:pt>
                <c:pt idx="369">
                  <c:v>2.5280048076923078</c:v>
                </c:pt>
                <c:pt idx="370">
                  <c:v>2.5348557692307692</c:v>
                </c:pt>
                <c:pt idx="371">
                  <c:v>2.5417067307692309</c:v>
                </c:pt>
                <c:pt idx="372">
                  <c:v>2.5485576923076922</c:v>
                </c:pt>
                <c:pt idx="373">
                  <c:v>2.555408653846154</c:v>
                </c:pt>
                <c:pt idx="374">
                  <c:v>2.5622596153846153</c:v>
                </c:pt>
                <c:pt idx="375">
                  <c:v>2.5691105769230771</c:v>
                </c:pt>
                <c:pt idx="376">
                  <c:v>2.5759615384615384</c:v>
                </c:pt>
                <c:pt idx="377">
                  <c:v>2.5828125000000002</c:v>
                </c:pt>
                <c:pt idx="378">
                  <c:v>2.5896634615384615</c:v>
                </c:pt>
                <c:pt idx="379">
                  <c:v>2.5965144230769233</c:v>
                </c:pt>
                <c:pt idx="380">
                  <c:v>2.6033653846153846</c:v>
                </c:pt>
                <c:pt idx="381">
                  <c:v>2.6102163461538463</c:v>
                </c:pt>
                <c:pt idx="382">
                  <c:v>2.6170673076923077</c:v>
                </c:pt>
                <c:pt idx="383">
                  <c:v>2.6239182692307694</c:v>
                </c:pt>
                <c:pt idx="384">
                  <c:v>2.6307692307692307</c:v>
                </c:pt>
                <c:pt idx="385">
                  <c:v>2.6376201923076921</c:v>
                </c:pt>
                <c:pt idx="386">
                  <c:v>2.6444711538461538</c:v>
                </c:pt>
                <c:pt idx="387">
                  <c:v>2.6513221153846152</c:v>
                </c:pt>
                <c:pt idx="388">
                  <c:v>2.6581730769230769</c:v>
                </c:pt>
                <c:pt idx="389">
                  <c:v>2.6650240384615382</c:v>
                </c:pt>
                <c:pt idx="390">
                  <c:v>2.671875</c:v>
                </c:pt>
                <c:pt idx="391">
                  <c:v>2.6787259615384613</c:v>
                </c:pt>
                <c:pt idx="392">
                  <c:v>2.6855769230769231</c:v>
                </c:pt>
                <c:pt idx="393">
                  <c:v>2.6924278846153844</c:v>
                </c:pt>
                <c:pt idx="394">
                  <c:v>2.6992788461538462</c:v>
                </c:pt>
                <c:pt idx="395">
                  <c:v>2.7061298076923075</c:v>
                </c:pt>
                <c:pt idx="396">
                  <c:v>2.7129807692307693</c:v>
                </c:pt>
                <c:pt idx="397">
                  <c:v>2.7198317307692306</c:v>
                </c:pt>
                <c:pt idx="398">
                  <c:v>2.7266826923076923</c:v>
                </c:pt>
                <c:pt idx="399">
                  <c:v>2.7335336538461537</c:v>
                </c:pt>
                <c:pt idx="400">
                  <c:v>2.7403846153846154</c:v>
                </c:pt>
                <c:pt idx="401">
                  <c:v>2.7472355769230767</c:v>
                </c:pt>
                <c:pt idx="402">
                  <c:v>2.7540865384615385</c:v>
                </c:pt>
                <c:pt idx="403">
                  <c:v>2.7609374999999998</c:v>
                </c:pt>
                <c:pt idx="404">
                  <c:v>2.7677884615384616</c:v>
                </c:pt>
                <c:pt idx="405">
                  <c:v>2.7746394230769229</c:v>
                </c:pt>
                <c:pt idx="406">
                  <c:v>2.7814903846153847</c:v>
                </c:pt>
                <c:pt idx="407">
                  <c:v>2.788341346153846</c:v>
                </c:pt>
                <c:pt idx="408">
                  <c:v>2.7951923076923078</c:v>
                </c:pt>
                <c:pt idx="409">
                  <c:v>2.8020432692307691</c:v>
                </c:pt>
                <c:pt idx="410">
                  <c:v>2.8088942307692308</c:v>
                </c:pt>
                <c:pt idx="411">
                  <c:v>2.8157451923076922</c:v>
                </c:pt>
                <c:pt idx="412">
                  <c:v>2.8225961538461539</c:v>
                </c:pt>
                <c:pt idx="413">
                  <c:v>2.8294471153846152</c:v>
                </c:pt>
                <c:pt idx="414">
                  <c:v>2.836298076923077</c:v>
                </c:pt>
                <c:pt idx="415">
                  <c:v>2.8431490384615383</c:v>
                </c:pt>
                <c:pt idx="416">
                  <c:v>2.85</c:v>
                </c:pt>
              </c:numCache>
            </c:numRef>
          </c:xVal>
          <c:yVal>
            <c:numRef>
              <c:f>'SOLLECITAZ NASCOSTO'!$J$32:$J$448</c:f>
              <c:numCache>
                <c:formatCode>0.0000</c:formatCode>
                <c:ptCount val="417"/>
                <c:pt idx="0">
                  <c:v>0.15</c:v>
                </c:pt>
                <c:pt idx="1">
                  <c:v>0.15000001201923077</c:v>
                </c:pt>
                <c:pt idx="2">
                  <c:v>0.15000002403846152</c:v>
                </c:pt>
                <c:pt idx="3">
                  <c:v>0.15000003605769233</c:v>
                </c:pt>
                <c:pt idx="4">
                  <c:v>0.15000004807692308</c:v>
                </c:pt>
                <c:pt idx="5">
                  <c:v>0.15000006009615383</c:v>
                </c:pt>
                <c:pt idx="6">
                  <c:v>0.15000007211538463</c:v>
                </c:pt>
                <c:pt idx="7">
                  <c:v>0.15000008413461538</c:v>
                </c:pt>
                <c:pt idx="8">
                  <c:v>0.15000009615384616</c:v>
                </c:pt>
                <c:pt idx="9">
                  <c:v>0.15000010817307691</c:v>
                </c:pt>
                <c:pt idx="10">
                  <c:v>0.15000012019230771</c:v>
                </c:pt>
                <c:pt idx="11">
                  <c:v>0.15000013221153846</c:v>
                </c:pt>
                <c:pt idx="12">
                  <c:v>0.15000014423076921</c:v>
                </c:pt>
                <c:pt idx="13">
                  <c:v>0.15000015624999999</c:v>
                </c:pt>
                <c:pt idx="14">
                  <c:v>0.15000016826923077</c:v>
                </c:pt>
                <c:pt idx="15">
                  <c:v>0.15000018028846154</c:v>
                </c:pt>
                <c:pt idx="16">
                  <c:v>0.15000019230769229</c:v>
                </c:pt>
                <c:pt idx="17">
                  <c:v>0.15000020432692307</c:v>
                </c:pt>
                <c:pt idx="18">
                  <c:v>0.15000021634615385</c:v>
                </c:pt>
                <c:pt idx="19">
                  <c:v>0.15000022836538462</c:v>
                </c:pt>
                <c:pt idx="20">
                  <c:v>0.15000024038461537</c:v>
                </c:pt>
                <c:pt idx="21">
                  <c:v>0.15000025240384615</c:v>
                </c:pt>
                <c:pt idx="22">
                  <c:v>0.1500002644230769</c:v>
                </c:pt>
                <c:pt idx="23">
                  <c:v>0.15000027644230768</c:v>
                </c:pt>
                <c:pt idx="24">
                  <c:v>0.15000028846153846</c:v>
                </c:pt>
                <c:pt idx="25">
                  <c:v>0.15000030048076921</c:v>
                </c:pt>
                <c:pt idx="26">
                  <c:v>0.15000031249999998</c:v>
                </c:pt>
                <c:pt idx="27">
                  <c:v>0.15000032451923076</c:v>
                </c:pt>
                <c:pt idx="28">
                  <c:v>0.15000033653846154</c:v>
                </c:pt>
                <c:pt idx="29">
                  <c:v>0.15000034855769229</c:v>
                </c:pt>
                <c:pt idx="30">
                  <c:v>0.15000036057692306</c:v>
                </c:pt>
                <c:pt idx="31">
                  <c:v>0.15000037259615384</c:v>
                </c:pt>
                <c:pt idx="32">
                  <c:v>0.15000038461538459</c:v>
                </c:pt>
                <c:pt idx="33">
                  <c:v>0.15000039663461537</c:v>
                </c:pt>
                <c:pt idx="34">
                  <c:v>0.15000040865384615</c:v>
                </c:pt>
                <c:pt idx="35">
                  <c:v>0.15000042067307692</c:v>
                </c:pt>
                <c:pt idx="36">
                  <c:v>0.15000043269230767</c:v>
                </c:pt>
                <c:pt idx="37">
                  <c:v>0.15000044471153845</c:v>
                </c:pt>
                <c:pt idx="38">
                  <c:v>0.15000045673076925</c:v>
                </c:pt>
                <c:pt idx="39">
                  <c:v>0.15000046874999998</c:v>
                </c:pt>
                <c:pt idx="40">
                  <c:v>0.15000048076923075</c:v>
                </c:pt>
                <c:pt idx="41">
                  <c:v>0.15000049278846156</c:v>
                </c:pt>
                <c:pt idx="42">
                  <c:v>0.15000050480769231</c:v>
                </c:pt>
                <c:pt idx="43">
                  <c:v>0.15000051682692306</c:v>
                </c:pt>
                <c:pt idx="44">
                  <c:v>0.15000052884615384</c:v>
                </c:pt>
                <c:pt idx="45">
                  <c:v>0.15000054086538459</c:v>
                </c:pt>
                <c:pt idx="46">
                  <c:v>0.15000055288461536</c:v>
                </c:pt>
                <c:pt idx="47">
                  <c:v>0.15000056490384614</c:v>
                </c:pt>
                <c:pt idx="48">
                  <c:v>0.15000057692307692</c:v>
                </c:pt>
                <c:pt idx="49">
                  <c:v>0.15000058894230767</c:v>
                </c:pt>
                <c:pt idx="50">
                  <c:v>0.15000060096153844</c:v>
                </c:pt>
                <c:pt idx="51">
                  <c:v>0.15000061298076922</c:v>
                </c:pt>
                <c:pt idx="52">
                  <c:v>0.15000062499999997</c:v>
                </c:pt>
                <c:pt idx="53">
                  <c:v>0.15000063701923075</c:v>
                </c:pt>
                <c:pt idx="54">
                  <c:v>0.15000064903846155</c:v>
                </c:pt>
                <c:pt idx="55">
                  <c:v>0.15000066105769227</c:v>
                </c:pt>
                <c:pt idx="56">
                  <c:v>0.15000067307692305</c:v>
                </c:pt>
                <c:pt idx="57">
                  <c:v>0.15000068509615383</c:v>
                </c:pt>
                <c:pt idx="58">
                  <c:v>0.15000069711538461</c:v>
                </c:pt>
                <c:pt idx="59">
                  <c:v>0.15000070913461536</c:v>
                </c:pt>
                <c:pt idx="60">
                  <c:v>0.15000072115384613</c:v>
                </c:pt>
                <c:pt idx="61">
                  <c:v>0.15000073317307691</c:v>
                </c:pt>
                <c:pt idx="62">
                  <c:v>0.15000074519230766</c:v>
                </c:pt>
                <c:pt idx="63">
                  <c:v>0.15000075721153844</c:v>
                </c:pt>
                <c:pt idx="64">
                  <c:v>0.15000076923076924</c:v>
                </c:pt>
                <c:pt idx="65">
                  <c:v>0.15000078124999996</c:v>
                </c:pt>
                <c:pt idx="66">
                  <c:v>0.15000079326923074</c:v>
                </c:pt>
                <c:pt idx="67">
                  <c:v>0.15000080528846152</c:v>
                </c:pt>
                <c:pt idx="68">
                  <c:v>0.1500008173076923</c:v>
                </c:pt>
                <c:pt idx="69">
                  <c:v>0.15000082932692305</c:v>
                </c:pt>
                <c:pt idx="70">
                  <c:v>0.15000084134615382</c:v>
                </c:pt>
                <c:pt idx="71">
                  <c:v>0.1500008533653846</c:v>
                </c:pt>
                <c:pt idx="72">
                  <c:v>0.15000086538461535</c:v>
                </c:pt>
                <c:pt idx="73">
                  <c:v>0.15000087740384613</c:v>
                </c:pt>
                <c:pt idx="74">
                  <c:v>0.15000088942307691</c:v>
                </c:pt>
                <c:pt idx="75">
                  <c:v>0.15000090144230765</c:v>
                </c:pt>
                <c:pt idx="76">
                  <c:v>0.15000091346153843</c:v>
                </c:pt>
                <c:pt idx="77">
                  <c:v>0.15000092548076921</c:v>
                </c:pt>
                <c:pt idx="78">
                  <c:v>0.15000093749999999</c:v>
                </c:pt>
                <c:pt idx="79">
                  <c:v>0.15000094951923074</c:v>
                </c:pt>
                <c:pt idx="80">
                  <c:v>0.15000096153846154</c:v>
                </c:pt>
                <c:pt idx="81">
                  <c:v>0.15000097355769229</c:v>
                </c:pt>
                <c:pt idx="82">
                  <c:v>0.15000098557692304</c:v>
                </c:pt>
                <c:pt idx="83">
                  <c:v>0.15000099759615385</c:v>
                </c:pt>
                <c:pt idx="84">
                  <c:v>0.15000100961538462</c:v>
                </c:pt>
                <c:pt idx="85">
                  <c:v>0.15000102163461534</c:v>
                </c:pt>
                <c:pt idx="86">
                  <c:v>0.15000103365384612</c:v>
                </c:pt>
                <c:pt idx="87">
                  <c:v>0.1500010456730769</c:v>
                </c:pt>
                <c:pt idx="88">
                  <c:v>0.15000105769230768</c:v>
                </c:pt>
                <c:pt idx="89">
                  <c:v>0.15000106971153843</c:v>
                </c:pt>
                <c:pt idx="90">
                  <c:v>0.15000108173076923</c:v>
                </c:pt>
                <c:pt idx="91">
                  <c:v>0.15000109374999998</c:v>
                </c:pt>
                <c:pt idx="92">
                  <c:v>0.15000110576923073</c:v>
                </c:pt>
                <c:pt idx="93">
                  <c:v>0.15000111778846151</c:v>
                </c:pt>
                <c:pt idx="94">
                  <c:v>0.15000112980769231</c:v>
                </c:pt>
                <c:pt idx="95">
                  <c:v>0.15000114182692303</c:v>
                </c:pt>
                <c:pt idx="96">
                  <c:v>0.15000115384615381</c:v>
                </c:pt>
                <c:pt idx="97">
                  <c:v>0.15000116586538459</c:v>
                </c:pt>
                <c:pt idx="98">
                  <c:v>0.15000117788461537</c:v>
                </c:pt>
                <c:pt idx="99">
                  <c:v>0.15000118990384612</c:v>
                </c:pt>
                <c:pt idx="100">
                  <c:v>0.15000120192307689</c:v>
                </c:pt>
                <c:pt idx="101">
                  <c:v>0.15000121394230767</c:v>
                </c:pt>
                <c:pt idx="102">
                  <c:v>0.15000122596153842</c:v>
                </c:pt>
                <c:pt idx="103">
                  <c:v>0.15000123798076923</c:v>
                </c:pt>
                <c:pt idx="104">
                  <c:v>0.15000124999999997</c:v>
                </c:pt>
                <c:pt idx="105">
                  <c:v>0.15000126201923075</c:v>
                </c:pt>
                <c:pt idx="106">
                  <c:v>0.1500012740384615</c:v>
                </c:pt>
                <c:pt idx="107">
                  <c:v>0.15000128605769228</c:v>
                </c:pt>
                <c:pt idx="108">
                  <c:v>0.15000129807692306</c:v>
                </c:pt>
                <c:pt idx="109">
                  <c:v>0.15000131009615381</c:v>
                </c:pt>
                <c:pt idx="110">
                  <c:v>0.15000132211538458</c:v>
                </c:pt>
                <c:pt idx="111">
                  <c:v>0.15000133413461536</c:v>
                </c:pt>
                <c:pt idx="112">
                  <c:v>0.15000134615384611</c:v>
                </c:pt>
                <c:pt idx="113">
                  <c:v>0.15000135817307689</c:v>
                </c:pt>
                <c:pt idx="114">
                  <c:v>0.15000137019230766</c:v>
                </c:pt>
                <c:pt idx="115">
                  <c:v>0.15000138221153841</c:v>
                </c:pt>
                <c:pt idx="116">
                  <c:v>0.15000139423076922</c:v>
                </c:pt>
                <c:pt idx="117">
                  <c:v>0.15000140625</c:v>
                </c:pt>
                <c:pt idx="118">
                  <c:v>0.15000141826923075</c:v>
                </c:pt>
                <c:pt idx="119">
                  <c:v>0.1500014302884615</c:v>
                </c:pt>
                <c:pt idx="120">
                  <c:v>0.15000144230769227</c:v>
                </c:pt>
                <c:pt idx="121">
                  <c:v>0.15000145432692305</c:v>
                </c:pt>
                <c:pt idx="122">
                  <c:v>0.15000146634615383</c:v>
                </c:pt>
                <c:pt idx="123">
                  <c:v>0.15000147836538458</c:v>
                </c:pt>
                <c:pt idx="124">
                  <c:v>0.15000149038461535</c:v>
                </c:pt>
                <c:pt idx="125">
                  <c:v>0.1500015024038461</c:v>
                </c:pt>
                <c:pt idx="126">
                  <c:v>0.15000151442307688</c:v>
                </c:pt>
                <c:pt idx="127">
                  <c:v>0.15000152644230766</c:v>
                </c:pt>
                <c:pt idx="128">
                  <c:v>0.15000153846153841</c:v>
                </c:pt>
                <c:pt idx="129">
                  <c:v>0.15000155048076919</c:v>
                </c:pt>
                <c:pt idx="130">
                  <c:v>0.15000156249999996</c:v>
                </c:pt>
                <c:pt idx="131">
                  <c:v>0.15000157451923074</c:v>
                </c:pt>
                <c:pt idx="132">
                  <c:v>0.15000158653846149</c:v>
                </c:pt>
                <c:pt idx="133">
                  <c:v>0.15000159855769227</c:v>
                </c:pt>
                <c:pt idx="134">
                  <c:v>0.15000161057692304</c:v>
                </c:pt>
                <c:pt idx="135">
                  <c:v>0.15000162259615379</c:v>
                </c:pt>
                <c:pt idx="136">
                  <c:v>0.15000163461538457</c:v>
                </c:pt>
                <c:pt idx="137">
                  <c:v>0.15000164663461535</c:v>
                </c:pt>
                <c:pt idx="138">
                  <c:v>0.1500016586538461</c:v>
                </c:pt>
                <c:pt idx="139">
                  <c:v>0.1500016706730769</c:v>
                </c:pt>
                <c:pt idx="140">
                  <c:v>0.15000168269230765</c:v>
                </c:pt>
                <c:pt idx="141">
                  <c:v>0.15000169471153843</c:v>
                </c:pt>
                <c:pt idx="142">
                  <c:v>0.15000170673076918</c:v>
                </c:pt>
                <c:pt idx="143">
                  <c:v>0.15000171874999996</c:v>
                </c:pt>
                <c:pt idx="144">
                  <c:v>0.15000173076923073</c:v>
                </c:pt>
                <c:pt idx="145">
                  <c:v>0.15000174278846148</c:v>
                </c:pt>
                <c:pt idx="146">
                  <c:v>0.15000175480769226</c:v>
                </c:pt>
                <c:pt idx="147">
                  <c:v>0.15000176682692304</c:v>
                </c:pt>
                <c:pt idx="148">
                  <c:v>0.15000177884615379</c:v>
                </c:pt>
                <c:pt idx="149">
                  <c:v>0.15000179086538457</c:v>
                </c:pt>
                <c:pt idx="150">
                  <c:v>0.15000180288461534</c:v>
                </c:pt>
                <c:pt idx="151">
                  <c:v>0.15000181490384615</c:v>
                </c:pt>
                <c:pt idx="152">
                  <c:v>0.15000182692307687</c:v>
                </c:pt>
                <c:pt idx="153">
                  <c:v>0.15000183894230765</c:v>
                </c:pt>
                <c:pt idx="154">
                  <c:v>0.15000185096153842</c:v>
                </c:pt>
                <c:pt idx="155">
                  <c:v>0.1500018629807692</c:v>
                </c:pt>
                <c:pt idx="156">
                  <c:v>0.15000187499999998</c:v>
                </c:pt>
                <c:pt idx="157">
                  <c:v>0.15000188701923073</c:v>
                </c:pt>
                <c:pt idx="158">
                  <c:v>0.15000189903846148</c:v>
                </c:pt>
                <c:pt idx="159">
                  <c:v>0.15000191105769228</c:v>
                </c:pt>
                <c:pt idx="160">
                  <c:v>0.15000192307692306</c:v>
                </c:pt>
                <c:pt idx="161">
                  <c:v>0.15000193509615381</c:v>
                </c:pt>
                <c:pt idx="162">
                  <c:v>0.15000194711538456</c:v>
                </c:pt>
                <c:pt idx="163">
                  <c:v>0.15000195913461534</c:v>
                </c:pt>
                <c:pt idx="164">
                  <c:v>0.15000197115384611</c:v>
                </c:pt>
                <c:pt idx="165">
                  <c:v>0.15000198317307686</c:v>
                </c:pt>
                <c:pt idx="166">
                  <c:v>0.15000199519230764</c:v>
                </c:pt>
                <c:pt idx="167">
                  <c:v>0.15000200721153845</c:v>
                </c:pt>
                <c:pt idx="168">
                  <c:v>0.15000201923076917</c:v>
                </c:pt>
                <c:pt idx="169">
                  <c:v>0.15000203124999995</c:v>
                </c:pt>
                <c:pt idx="170">
                  <c:v>0.15000204326923072</c:v>
                </c:pt>
                <c:pt idx="171">
                  <c:v>0.1500020552884615</c:v>
                </c:pt>
                <c:pt idx="172">
                  <c:v>0.15000206730769225</c:v>
                </c:pt>
                <c:pt idx="173">
                  <c:v>0.15000207932692303</c:v>
                </c:pt>
                <c:pt idx="174">
                  <c:v>0.1500020913461538</c:v>
                </c:pt>
                <c:pt idx="175">
                  <c:v>0.15000210336538455</c:v>
                </c:pt>
                <c:pt idx="176">
                  <c:v>0.15000211538461533</c:v>
                </c:pt>
                <c:pt idx="177">
                  <c:v>0.15000212740384611</c:v>
                </c:pt>
                <c:pt idx="178">
                  <c:v>0.15000213942307686</c:v>
                </c:pt>
                <c:pt idx="179">
                  <c:v>0.15000215144230764</c:v>
                </c:pt>
                <c:pt idx="180">
                  <c:v>0.15000216346153841</c:v>
                </c:pt>
                <c:pt idx="181">
                  <c:v>0.15000217548076919</c:v>
                </c:pt>
                <c:pt idx="182">
                  <c:v>0.15000218749999994</c:v>
                </c:pt>
                <c:pt idx="183">
                  <c:v>0.15000219951923074</c:v>
                </c:pt>
                <c:pt idx="184">
                  <c:v>0.15000221153846149</c:v>
                </c:pt>
                <c:pt idx="185">
                  <c:v>0.15000222355769224</c:v>
                </c:pt>
                <c:pt idx="186">
                  <c:v>0.15000223557692302</c:v>
                </c:pt>
                <c:pt idx="187">
                  <c:v>0.1500022475961538</c:v>
                </c:pt>
                <c:pt idx="188">
                  <c:v>0.15000225961538455</c:v>
                </c:pt>
                <c:pt idx="189">
                  <c:v>0.15000227163461533</c:v>
                </c:pt>
                <c:pt idx="190">
                  <c:v>0.1500022836538461</c:v>
                </c:pt>
                <c:pt idx="191">
                  <c:v>0.15000229567307688</c:v>
                </c:pt>
                <c:pt idx="192">
                  <c:v>0.15000230769230763</c:v>
                </c:pt>
                <c:pt idx="193">
                  <c:v>0.15000231971153841</c:v>
                </c:pt>
                <c:pt idx="194">
                  <c:v>0.15000233173076918</c:v>
                </c:pt>
                <c:pt idx="195">
                  <c:v>0.15000234374999993</c:v>
                </c:pt>
                <c:pt idx="196">
                  <c:v>0.15000235576923071</c:v>
                </c:pt>
                <c:pt idx="197">
                  <c:v>0.15000236778846149</c:v>
                </c:pt>
                <c:pt idx="198">
                  <c:v>0.15000237980769227</c:v>
                </c:pt>
                <c:pt idx="199">
                  <c:v>0.15000239182692301</c:v>
                </c:pt>
                <c:pt idx="200">
                  <c:v>0.15000240384615379</c:v>
                </c:pt>
                <c:pt idx="201">
                  <c:v>0.15000241586538457</c:v>
                </c:pt>
                <c:pt idx="202">
                  <c:v>0.15000242788461532</c:v>
                </c:pt>
                <c:pt idx="203">
                  <c:v>0.1500024399038461</c:v>
                </c:pt>
                <c:pt idx="204">
                  <c:v>0.15000245192307687</c:v>
                </c:pt>
                <c:pt idx="205">
                  <c:v>0.15000246394230762</c:v>
                </c:pt>
                <c:pt idx="206">
                  <c:v>0.1500024759615384</c:v>
                </c:pt>
                <c:pt idx="207">
                  <c:v>0.15000248798076918</c:v>
                </c:pt>
                <c:pt idx="208">
                  <c:v>0.15000249999999993</c:v>
                </c:pt>
                <c:pt idx="209">
                  <c:v>0.1500025120192307</c:v>
                </c:pt>
                <c:pt idx="210">
                  <c:v>0.15000252403846148</c:v>
                </c:pt>
                <c:pt idx="211">
                  <c:v>0.15000253605769226</c:v>
                </c:pt>
                <c:pt idx="212">
                  <c:v>0.15000254807692301</c:v>
                </c:pt>
                <c:pt idx="213">
                  <c:v>0.15000256009615379</c:v>
                </c:pt>
                <c:pt idx="214">
                  <c:v>0.15000257211538456</c:v>
                </c:pt>
                <c:pt idx="215">
                  <c:v>0.15000258413461531</c:v>
                </c:pt>
                <c:pt idx="216">
                  <c:v>0.15000259615384609</c:v>
                </c:pt>
                <c:pt idx="217">
                  <c:v>0.15000260817307687</c:v>
                </c:pt>
                <c:pt idx="218">
                  <c:v>0.15000262019230762</c:v>
                </c:pt>
                <c:pt idx="219">
                  <c:v>0.15000263221153839</c:v>
                </c:pt>
                <c:pt idx="220">
                  <c:v>0.15000264423076917</c:v>
                </c:pt>
                <c:pt idx="221">
                  <c:v>0.15000265624999995</c:v>
                </c:pt>
                <c:pt idx="222">
                  <c:v>0.1500026682692307</c:v>
                </c:pt>
                <c:pt idx="223">
                  <c:v>0.15000268028846148</c:v>
                </c:pt>
                <c:pt idx="224">
                  <c:v>0.15000269230769225</c:v>
                </c:pt>
                <c:pt idx="225">
                  <c:v>0.150002704326923</c:v>
                </c:pt>
                <c:pt idx="226">
                  <c:v>0.15000271634615381</c:v>
                </c:pt>
                <c:pt idx="227">
                  <c:v>0.15000272836538456</c:v>
                </c:pt>
                <c:pt idx="228">
                  <c:v>0.15000274038461534</c:v>
                </c:pt>
                <c:pt idx="229">
                  <c:v>0.15000275240384611</c:v>
                </c:pt>
                <c:pt idx="230">
                  <c:v>0.15000276442307686</c:v>
                </c:pt>
                <c:pt idx="231">
                  <c:v>0.15000277644230761</c:v>
                </c:pt>
                <c:pt idx="232">
                  <c:v>0.15000278846153839</c:v>
                </c:pt>
                <c:pt idx="233">
                  <c:v>0.15000280048076917</c:v>
                </c:pt>
                <c:pt idx="234">
                  <c:v>0.15000281249999994</c:v>
                </c:pt>
                <c:pt idx="235">
                  <c:v>0.15000282451923069</c:v>
                </c:pt>
                <c:pt idx="236">
                  <c:v>0.15000283653846147</c:v>
                </c:pt>
                <c:pt idx="237">
                  <c:v>0.15000284855769225</c:v>
                </c:pt>
                <c:pt idx="238">
                  <c:v>0.150002860576923</c:v>
                </c:pt>
                <c:pt idx="239">
                  <c:v>0.15000287259615377</c:v>
                </c:pt>
                <c:pt idx="240">
                  <c:v>0.15000288461538455</c:v>
                </c:pt>
                <c:pt idx="241">
                  <c:v>0.1500028966346153</c:v>
                </c:pt>
                <c:pt idx="242">
                  <c:v>0.15000290865384611</c:v>
                </c:pt>
                <c:pt idx="243">
                  <c:v>0.15000292067307688</c:v>
                </c:pt>
                <c:pt idx="244">
                  <c:v>0.15000293269230763</c:v>
                </c:pt>
                <c:pt idx="245">
                  <c:v>0.15000294471153838</c:v>
                </c:pt>
                <c:pt idx="246">
                  <c:v>0.15000295673076916</c:v>
                </c:pt>
                <c:pt idx="247">
                  <c:v>0.15000296874999994</c:v>
                </c:pt>
                <c:pt idx="248">
                  <c:v>0.15000298076923069</c:v>
                </c:pt>
                <c:pt idx="249">
                  <c:v>0.15000299278846146</c:v>
                </c:pt>
                <c:pt idx="250">
                  <c:v>0.15000300480769224</c:v>
                </c:pt>
                <c:pt idx="251">
                  <c:v>0.15000301682692299</c:v>
                </c:pt>
                <c:pt idx="252">
                  <c:v>0.15000302884615377</c:v>
                </c:pt>
                <c:pt idx="253">
                  <c:v>0.15000304086538455</c:v>
                </c:pt>
                <c:pt idx="254">
                  <c:v>0.15000305288461532</c:v>
                </c:pt>
                <c:pt idx="255">
                  <c:v>0.15000306490384607</c:v>
                </c:pt>
                <c:pt idx="256">
                  <c:v>0.15000307692307685</c:v>
                </c:pt>
                <c:pt idx="257">
                  <c:v>0.15000308894230763</c:v>
                </c:pt>
                <c:pt idx="258">
                  <c:v>0.15000310096153838</c:v>
                </c:pt>
                <c:pt idx="259">
                  <c:v>0.15000311298076915</c:v>
                </c:pt>
                <c:pt idx="260">
                  <c:v>0.15000312499999996</c:v>
                </c:pt>
                <c:pt idx="261">
                  <c:v>0.15000313701923068</c:v>
                </c:pt>
                <c:pt idx="262">
                  <c:v>0.15000314903846146</c:v>
                </c:pt>
                <c:pt idx="263">
                  <c:v>0.15000316105769224</c:v>
                </c:pt>
                <c:pt idx="264">
                  <c:v>0.15000317307692301</c:v>
                </c:pt>
                <c:pt idx="265">
                  <c:v>0.15000318509615376</c:v>
                </c:pt>
                <c:pt idx="266">
                  <c:v>0.15000319711538454</c:v>
                </c:pt>
                <c:pt idx="267">
                  <c:v>0.15000320913461532</c:v>
                </c:pt>
                <c:pt idx="268">
                  <c:v>0.15000322115384607</c:v>
                </c:pt>
                <c:pt idx="269">
                  <c:v>0.15000323317307684</c:v>
                </c:pt>
                <c:pt idx="270">
                  <c:v>0.15000324519230762</c:v>
                </c:pt>
                <c:pt idx="271">
                  <c:v>0.15000325721153837</c:v>
                </c:pt>
                <c:pt idx="272">
                  <c:v>0.15000326923076915</c:v>
                </c:pt>
                <c:pt idx="273">
                  <c:v>0.15000328124999993</c:v>
                </c:pt>
                <c:pt idx="274">
                  <c:v>0.15000329326923073</c:v>
                </c:pt>
                <c:pt idx="275">
                  <c:v>0.15000330528846145</c:v>
                </c:pt>
                <c:pt idx="276">
                  <c:v>0.15000331730769223</c:v>
                </c:pt>
                <c:pt idx="277">
                  <c:v>0.15000332932692304</c:v>
                </c:pt>
                <c:pt idx="278">
                  <c:v>0.15000334134615376</c:v>
                </c:pt>
                <c:pt idx="279">
                  <c:v>0.15000335336538453</c:v>
                </c:pt>
                <c:pt idx="280">
                  <c:v>0.15000336538461531</c:v>
                </c:pt>
                <c:pt idx="281">
                  <c:v>0.15000337740384606</c:v>
                </c:pt>
                <c:pt idx="282">
                  <c:v>0.15000338942307684</c:v>
                </c:pt>
                <c:pt idx="283">
                  <c:v>0.15000340144230762</c:v>
                </c:pt>
                <c:pt idx="284">
                  <c:v>0.15000341346153839</c:v>
                </c:pt>
                <c:pt idx="285">
                  <c:v>0.15000342548076914</c:v>
                </c:pt>
                <c:pt idx="286">
                  <c:v>0.15000343749999992</c:v>
                </c:pt>
                <c:pt idx="287">
                  <c:v>0.1500034495192307</c:v>
                </c:pt>
                <c:pt idx="288">
                  <c:v>0.15000346153846145</c:v>
                </c:pt>
                <c:pt idx="289">
                  <c:v>0.15000347355769222</c:v>
                </c:pt>
                <c:pt idx="290">
                  <c:v>0.150003485576923</c:v>
                </c:pt>
                <c:pt idx="291">
                  <c:v>0.15000349759615375</c:v>
                </c:pt>
                <c:pt idx="292">
                  <c:v>0.15000350961538453</c:v>
                </c:pt>
                <c:pt idx="293">
                  <c:v>0.15000352163461531</c:v>
                </c:pt>
                <c:pt idx="294">
                  <c:v>0.15000353365384608</c:v>
                </c:pt>
                <c:pt idx="295">
                  <c:v>0.15000354567307683</c:v>
                </c:pt>
                <c:pt idx="296">
                  <c:v>0.15000355769230761</c:v>
                </c:pt>
                <c:pt idx="297">
                  <c:v>0.15000356971153839</c:v>
                </c:pt>
                <c:pt idx="298">
                  <c:v>0.15000358173076914</c:v>
                </c:pt>
                <c:pt idx="299">
                  <c:v>0.15000359374999991</c:v>
                </c:pt>
                <c:pt idx="300">
                  <c:v>0.15000360576923069</c:v>
                </c:pt>
                <c:pt idx="301">
                  <c:v>0.15000361778846147</c:v>
                </c:pt>
                <c:pt idx="302">
                  <c:v>0.15000362980769222</c:v>
                </c:pt>
                <c:pt idx="303">
                  <c:v>0.150003641826923</c:v>
                </c:pt>
                <c:pt idx="304">
                  <c:v>0.15000365384615377</c:v>
                </c:pt>
                <c:pt idx="305">
                  <c:v>0.15000366586538452</c:v>
                </c:pt>
                <c:pt idx="306">
                  <c:v>0.1500036778846153</c:v>
                </c:pt>
                <c:pt idx="307">
                  <c:v>0.15000368990384608</c:v>
                </c:pt>
                <c:pt idx="308">
                  <c:v>0.15000370192307683</c:v>
                </c:pt>
                <c:pt idx="309">
                  <c:v>0.1500037139423076</c:v>
                </c:pt>
                <c:pt idx="310">
                  <c:v>0.15000372596153838</c:v>
                </c:pt>
                <c:pt idx="311">
                  <c:v>0.15000373798076913</c:v>
                </c:pt>
                <c:pt idx="312">
                  <c:v>0.15000374999999991</c:v>
                </c:pt>
                <c:pt idx="313">
                  <c:v>0.15000376201923069</c:v>
                </c:pt>
                <c:pt idx="314">
                  <c:v>0.15000377403846146</c:v>
                </c:pt>
                <c:pt idx="315">
                  <c:v>0.15000378605769221</c:v>
                </c:pt>
                <c:pt idx="316">
                  <c:v>0.15000379807692299</c:v>
                </c:pt>
                <c:pt idx="317">
                  <c:v>0.15000381009615377</c:v>
                </c:pt>
                <c:pt idx="318">
                  <c:v>0.15000382211538452</c:v>
                </c:pt>
                <c:pt idx="319">
                  <c:v>0.15000383413461529</c:v>
                </c:pt>
                <c:pt idx="320">
                  <c:v>0.1500038461538461</c:v>
                </c:pt>
                <c:pt idx="321">
                  <c:v>0.15000385817307682</c:v>
                </c:pt>
                <c:pt idx="322">
                  <c:v>0.15000387019230763</c:v>
                </c:pt>
                <c:pt idx="323">
                  <c:v>0.15000388221153838</c:v>
                </c:pt>
                <c:pt idx="324">
                  <c:v>0.15000389423076915</c:v>
                </c:pt>
                <c:pt idx="325">
                  <c:v>0.1500039062499999</c:v>
                </c:pt>
                <c:pt idx="326">
                  <c:v>0.15000391826923068</c:v>
                </c:pt>
                <c:pt idx="327">
                  <c:v>0.15000393028846146</c:v>
                </c:pt>
                <c:pt idx="328">
                  <c:v>0.15000394230769223</c:v>
                </c:pt>
                <c:pt idx="329">
                  <c:v>0.15000395432692298</c:v>
                </c:pt>
                <c:pt idx="330">
                  <c:v>0.15000396634615376</c:v>
                </c:pt>
                <c:pt idx="331">
                  <c:v>0.15000397836538451</c:v>
                </c:pt>
                <c:pt idx="332">
                  <c:v>0.15000399038461529</c:v>
                </c:pt>
                <c:pt idx="333">
                  <c:v>0.15000400240384607</c:v>
                </c:pt>
                <c:pt idx="334">
                  <c:v>0.15000401442307684</c:v>
                </c:pt>
                <c:pt idx="335">
                  <c:v>0.15000402644230759</c:v>
                </c:pt>
                <c:pt idx="336">
                  <c:v>0.15000403846153837</c:v>
                </c:pt>
                <c:pt idx="337">
                  <c:v>0.15000405048076915</c:v>
                </c:pt>
                <c:pt idx="338">
                  <c:v>0.15000406249999992</c:v>
                </c:pt>
                <c:pt idx="339">
                  <c:v>0.15000407451923067</c:v>
                </c:pt>
                <c:pt idx="340">
                  <c:v>0.15000408653846145</c:v>
                </c:pt>
                <c:pt idx="341">
                  <c:v>0.15000409855769223</c:v>
                </c:pt>
                <c:pt idx="342">
                  <c:v>0.15000411057692298</c:v>
                </c:pt>
                <c:pt idx="343">
                  <c:v>0.15000412259615378</c:v>
                </c:pt>
                <c:pt idx="344">
                  <c:v>0.1500041346153845</c:v>
                </c:pt>
                <c:pt idx="345">
                  <c:v>0.15000414663461528</c:v>
                </c:pt>
                <c:pt idx="346">
                  <c:v>0.15000415865384606</c:v>
                </c:pt>
                <c:pt idx="347">
                  <c:v>0.15000417067307684</c:v>
                </c:pt>
                <c:pt idx="348">
                  <c:v>0.15000418269230759</c:v>
                </c:pt>
                <c:pt idx="349">
                  <c:v>0.15000419471153836</c:v>
                </c:pt>
                <c:pt idx="350">
                  <c:v>0.15000420673076914</c:v>
                </c:pt>
                <c:pt idx="351">
                  <c:v>0.15000421874999989</c:v>
                </c:pt>
                <c:pt idx="352">
                  <c:v>0.1500042307692307</c:v>
                </c:pt>
                <c:pt idx="353">
                  <c:v>0.15000424278846144</c:v>
                </c:pt>
                <c:pt idx="354">
                  <c:v>0.15000425480769219</c:v>
                </c:pt>
                <c:pt idx="355">
                  <c:v>0.15000426682692297</c:v>
                </c:pt>
                <c:pt idx="356">
                  <c:v>0.15000427884615375</c:v>
                </c:pt>
                <c:pt idx="357">
                  <c:v>0.15000429086538453</c:v>
                </c:pt>
                <c:pt idx="358">
                  <c:v>0.15000430288461528</c:v>
                </c:pt>
                <c:pt idx="359">
                  <c:v>0.15000431490384605</c:v>
                </c:pt>
                <c:pt idx="360">
                  <c:v>0.15000432692307683</c:v>
                </c:pt>
                <c:pt idx="361">
                  <c:v>0.15000433894230758</c:v>
                </c:pt>
                <c:pt idx="362">
                  <c:v>0.15000435096153836</c:v>
                </c:pt>
                <c:pt idx="363">
                  <c:v>0.15000436298076913</c:v>
                </c:pt>
                <c:pt idx="364">
                  <c:v>0.15000437499999988</c:v>
                </c:pt>
                <c:pt idx="365">
                  <c:v>0.15000438701923066</c:v>
                </c:pt>
                <c:pt idx="366">
                  <c:v>0.15000439903846144</c:v>
                </c:pt>
                <c:pt idx="367">
                  <c:v>0.15000441105769222</c:v>
                </c:pt>
                <c:pt idx="368">
                  <c:v>0.15000442307692297</c:v>
                </c:pt>
                <c:pt idx="369">
                  <c:v>0.15000443509615374</c:v>
                </c:pt>
                <c:pt idx="370">
                  <c:v>0.15000444711538452</c:v>
                </c:pt>
                <c:pt idx="371">
                  <c:v>0.15000445913461527</c:v>
                </c:pt>
                <c:pt idx="372">
                  <c:v>0.15000447115384605</c:v>
                </c:pt>
                <c:pt idx="373">
                  <c:v>0.15000448317307682</c:v>
                </c:pt>
                <c:pt idx="374">
                  <c:v>0.15000449519230757</c:v>
                </c:pt>
                <c:pt idx="375">
                  <c:v>0.15000450721153835</c:v>
                </c:pt>
                <c:pt idx="376">
                  <c:v>0.15000451923076913</c:v>
                </c:pt>
                <c:pt idx="377">
                  <c:v>0.15000453124999991</c:v>
                </c:pt>
                <c:pt idx="378">
                  <c:v>0.15000454326923066</c:v>
                </c:pt>
                <c:pt idx="379">
                  <c:v>0.15000455528846146</c:v>
                </c:pt>
                <c:pt idx="380">
                  <c:v>0.15000456730769221</c:v>
                </c:pt>
                <c:pt idx="381">
                  <c:v>0.15000457932692296</c:v>
                </c:pt>
                <c:pt idx="382">
                  <c:v>0.15000459134615376</c:v>
                </c:pt>
                <c:pt idx="383">
                  <c:v>0.15000460336538451</c:v>
                </c:pt>
                <c:pt idx="384">
                  <c:v>0.15000461538461526</c:v>
                </c:pt>
                <c:pt idx="385">
                  <c:v>0.15000462740384604</c:v>
                </c:pt>
                <c:pt idx="386">
                  <c:v>0.15000463942307682</c:v>
                </c:pt>
                <c:pt idx="387">
                  <c:v>0.1500046514423076</c:v>
                </c:pt>
                <c:pt idx="388">
                  <c:v>0.15000466346153835</c:v>
                </c:pt>
                <c:pt idx="389">
                  <c:v>0.15000467548076915</c:v>
                </c:pt>
                <c:pt idx="390">
                  <c:v>0.1500046874999999</c:v>
                </c:pt>
                <c:pt idx="391">
                  <c:v>0.15000469951923065</c:v>
                </c:pt>
                <c:pt idx="392">
                  <c:v>0.15000471153846143</c:v>
                </c:pt>
                <c:pt idx="393">
                  <c:v>0.1500047235576922</c:v>
                </c:pt>
                <c:pt idx="394">
                  <c:v>0.15000473557692295</c:v>
                </c:pt>
                <c:pt idx="395">
                  <c:v>0.15000474759615373</c:v>
                </c:pt>
                <c:pt idx="396">
                  <c:v>0.15000475961538451</c:v>
                </c:pt>
                <c:pt idx="397">
                  <c:v>0.15000477163461531</c:v>
                </c:pt>
                <c:pt idx="398">
                  <c:v>0.15000478365384604</c:v>
                </c:pt>
                <c:pt idx="399">
                  <c:v>0.15000479567307681</c:v>
                </c:pt>
                <c:pt idx="400">
                  <c:v>0.15000480769230762</c:v>
                </c:pt>
                <c:pt idx="401">
                  <c:v>0.15000481971153834</c:v>
                </c:pt>
                <c:pt idx="402">
                  <c:v>0.15000483173076912</c:v>
                </c:pt>
                <c:pt idx="403">
                  <c:v>0.15000484374999989</c:v>
                </c:pt>
                <c:pt idx="404">
                  <c:v>0.15000485576923064</c:v>
                </c:pt>
                <c:pt idx="405">
                  <c:v>0.15000486778846142</c:v>
                </c:pt>
                <c:pt idx="406">
                  <c:v>0.1500048798076922</c:v>
                </c:pt>
                <c:pt idx="407">
                  <c:v>0.15000489182692298</c:v>
                </c:pt>
                <c:pt idx="408">
                  <c:v>0.15000490384615373</c:v>
                </c:pt>
                <c:pt idx="409">
                  <c:v>0.15000491586538453</c:v>
                </c:pt>
                <c:pt idx="410">
                  <c:v>0.15000492788461528</c:v>
                </c:pt>
                <c:pt idx="411">
                  <c:v>0.15000493990384603</c:v>
                </c:pt>
                <c:pt idx="412">
                  <c:v>0.15000495192307683</c:v>
                </c:pt>
                <c:pt idx="413">
                  <c:v>0.15000496394230761</c:v>
                </c:pt>
                <c:pt idx="414">
                  <c:v>0.15000497596153833</c:v>
                </c:pt>
                <c:pt idx="415">
                  <c:v>0.15000498798076911</c:v>
                </c:pt>
                <c:pt idx="416">
                  <c:v>0.15000499999999989</c:v>
                </c:pt>
              </c:numCache>
            </c:numRef>
          </c:yVal>
          <c:smooth val="0"/>
          <c:extLst>
            <c:ext xmlns:c16="http://schemas.microsoft.com/office/drawing/2014/chart" uri="{C3380CC4-5D6E-409C-BE32-E72D297353CC}">
              <c16:uniqueId val="{00000000-DB13-4C0E-988F-42783F5066F2}"/>
            </c:ext>
          </c:extLst>
        </c:ser>
        <c:dLbls>
          <c:showLegendKey val="0"/>
          <c:showVal val="0"/>
          <c:showCatName val="0"/>
          <c:showSerName val="0"/>
          <c:showPercent val="0"/>
          <c:showBubbleSize val="0"/>
        </c:dLbls>
        <c:axId val="640061112"/>
        <c:axId val="640061504"/>
      </c:scatterChart>
      <c:valAx>
        <c:axId val="640061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Altezza del muro (asse z)</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1504"/>
        <c:crosses val="autoZero"/>
        <c:crossBetween val="midCat"/>
      </c:valAx>
      <c:valAx>
        <c:axId val="64006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Posizione del</a:t>
                </a:r>
                <a:r>
                  <a:rPr lang="it-IT" baseline="0"/>
                  <a:t> baricentro riferito all'altezza massima della sezione</a:t>
                </a:r>
                <a:endParaRPr lang="it-IT"/>
              </a:p>
            </c:rich>
          </c:tx>
          <c:layout>
            <c:manualLayout>
              <c:xMode val="edge"/>
              <c:yMode val="edge"/>
              <c:x val="0.04"/>
              <c:y val="0.152618702818234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11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Taglio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'SOLLECITAZ NASCOSTO'!$C$32:$C$468</c:f>
              <c:numCache>
                <c:formatCode>0.000</c:formatCode>
                <c:ptCount val="437"/>
                <c:pt idx="0">
                  <c:v>0</c:v>
                </c:pt>
                <c:pt idx="1">
                  <c:v>6.8509615384615384E-3</c:v>
                </c:pt>
                <c:pt idx="2">
                  <c:v>1.3701923076923077E-2</c:v>
                </c:pt>
                <c:pt idx="3">
                  <c:v>2.0552884615384615E-2</c:v>
                </c:pt>
                <c:pt idx="4">
                  <c:v>2.7403846153846154E-2</c:v>
                </c:pt>
                <c:pt idx="5">
                  <c:v>3.4254807692307696E-2</c:v>
                </c:pt>
                <c:pt idx="6">
                  <c:v>4.110576923076923E-2</c:v>
                </c:pt>
                <c:pt idx="7">
                  <c:v>4.7956730769230765E-2</c:v>
                </c:pt>
                <c:pt idx="8">
                  <c:v>5.4807692307692307E-2</c:v>
                </c:pt>
                <c:pt idx="9">
                  <c:v>6.1658653846153849E-2</c:v>
                </c:pt>
                <c:pt idx="10">
                  <c:v>6.8509615384615391E-2</c:v>
                </c:pt>
                <c:pt idx="11">
                  <c:v>7.5360576923076919E-2</c:v>
                </c:pt>
                <c:pt idx="12">
                  <c:v>8.2211538461538461E-2</c:v>
                </c:pt>
                <c:pt idx="13">
                  <c:v>8.9062500000000003E-2</c:v>
                </c:pt>
                <c:pt idx="14">
                  <c:v>9.5913461538461531E-2</c:v>
                </c:pt>
                <c:pt idx="15">
                  <c:v>0.10276442307692307</c:v>
                </c:pt>
                <c:pt idx="16">
                  <c:v>0.10961538461538461</c:v>
                </c:pt>
                <c:pt idx="17">
                  <c:v>0.11646634615384616</c:v>
                </c:pt>
                <c:pt idx="18">
                  <c:v>0.1233173076923077</c:v>
                </c:pt>
                <c:pt idx="19">
                  <c:v>0.13016826923076924</c:v>
                </c:pt>
                <c:pt idx="20">
                  <c:v>0.13701923076923078</c:v>
                </c:pt>
                <c:pt idx="21">
                  <c:v>0.1438701923076923</c:v>
                </c:pt>
                <c:pt idx="22">
                  <c:v>0.15072115384615384</c:v>
                </c:pt>
                <c:pt idx="23">
                  <c:v>0.15757211538461538</c:v>
                </c:pt>
                <c:pt idx="24">
                  <c:v>0.16442307692307692</c:v>
                </c:pt>
                <c:pt idx="25">
                  <c:v>0.17127403846153846</c:v>
                </c:pt>
                <c:pt idx="26">
                  <c:v>0.17812500000000001</c:v>
                </c:pt>
                <c:pt idx="27">
                  <c:v>0.18497596153846155</c:v>
                </c:pt>
                <c:pt idx="28">
                  <c:v>0.19182692307692306</c:v>
                </c:pt>
                <c:pt idx="29">
                  <c:v>0.1986778846153846</c:v>
                </c:pt>
                <c:pt idx="30">
                  <c:v>0.20552884615384615</c:v>
                </c:pt>
                <c:pt idx="31">
                  <c:v>0.21237980769230769</c:v>
                </c:pt>
                <c:pt idx="32">
                  <c:v>0.21923076923076923</c:v>
                </c:pt>
                <c:pt idx="33">
                  <c:v>0.22608173076923077</c:v>
                </c:pt>
                <c:pt idx="34">
                  <c:v>0.23293269230769231</c:v>
                </c:pt>
                <c:pt idx="35">
                  <c:v>0.23978365384615385</c:v>
                </c:pt>
                <c:pt idx="36">
                  <c:v>0.2466346153846154</c:v>
                </c:pt>
                <c:pt idx="37">
                  <c:v>0.25348557692307694</c:v>
                </c:pt>
                <c:pt idx="38">
                  <c:v>0.26033653846153848</c:v>
                </c:pt>
                <c:pt idx="39">
                  <c:v>0.26718750000000002</c:v>
                </c:pt>
                <c:pt idx="40">
                  <c:v>0.27403846153846156</c:v>
                </c:pt>
                <c:pt idx="41">
                  <c:v>0.28088942307692305</c:v>
                </c:pt>
                <c:pt idx="42">
                  <c:v>0.28774038461538459</c:v>
                </c:pt>
                <c:pt idx="43">
                  <c:v>0.29459134615384613</c:v>
                </c:pt>
                <c:pt idx="44">
                  <c:v>0.30144230769230768</c:v>
                </c:pt>
                <c:pt idx="45">
                  <c:v>0.30829326923076922</c:v>
                </c:pt>
                <c:pt idx="46">
                  <c:v>0.31514423076923076</c:v>
                </c:pt>
                <c:pt idx="47">
                  <c:v>0.3219951923076923</c:v>
                </c:pt>
                <c:pt idx="48">
                  <c:v>0.32884615384615384</c:v>
                </c:pt>
                <c:pt idx="49">
                  <c:v>0.33569711538461539</c:v>
                </c:pt>
                <c:pt idx="50">
                  <c:v>0.34254807692307693</c:v>
                </c:pt>
                <c:pt idx="51">
                  <c:v>0.34939903846153847</c:v>
                </c:pt>
                <c:pt idx="52">
                  <c:v>0.35625000000000001</c:v>
                </c:pt>
                <c:pt idx="53">
                  <c:v>0.36310096153846155</c:v>
                </c:pt>
                <c:pt idx="54">
                  <c:v>0.36995192307692309</c:v>
                </c:pt>
                <c:pt idx="55">
                  <c:v>0.37680288461538464</c:v>
                </c:pt>
                <c:pt idx="56">
                  <c:v>0.38365384615384612</c:v>
                </c:pt>
                <c:pt idx="57">
                  <c:v>0.39050480769230766</c:v>
                </c:pt>
                <c:pt idx="58">
                  <c:v>0.39735576923076921</c:v>
                </c:pt>
                <c:pt idx="59">
                  <c:v>0.40420673076923075</c:v>
                </c:pt>
                <c:pt idx="60">
                  <c:v>0.41105769230769229</c:v>
                </c:pt>
                <c:pt idx="61">
                  <c:v>0.41790865384615383</c:v>
                </c:pt>
                <c:pt idx="62">
                  <c:v>0.42475961538461537</c:v>
                </c:pt>
                <c:pt idx="63">
                  <c:v>0.43161057692307692</c:v>
                </c:pt>
                <c:pt idx="64">
                  <c:v>0.43846153846153846</c:v>
                </c:pt>
                <c:pt idx="65">
                  <c:v>0.4453125</c:v>
                </c:pt>
                <c:pt idx="66">
                  <c:v>0.45216346153846154</c:v>
                </c:pt>
                <c:pt idx="67">
                  <c:v>0.45901442307692308</c:v>
                </c:pt>
                <c:pt idx="68">
                  <c:v>0.46586538461538463</c:v>
                </c:pt>
                <c:pt idx="69">
                  <c:v>0.47271634615384617</c:v>
                </c:pt>
                <c:pt idx="70">
                  <c:v>0.47956730769230771</c:v>
                </c:pt>
                <c:pt idx="71">
                  <c:v>0.48641826923076925</c:v>
                </c:pt>
                <c:pt idx="72">
                  <c:v>0.49326923076923079</c:v>
                </c:pt>
                <c:pt idx="73">
                  <c:v>0.50012019230769234</c:v>
                </c:pt>
                <c:pt idx="74">
                  <c:v>0.50697115384615388</c:v>
                </c:pt>
                <c:pt idx="75">
                  <c:v>0.51382211538461542</c:v>
                </c:pt>
                <c:pt idx="76">
                  <c:v>0.52067307692307696</c:v>
                </c:pt>
                <c:pt idx="77">
                  <c:v>0.5275240384615385</c:v>
                </c:pt>
                <c:pt idx="78">
                  <c:v>0.53437500000000004</c:v>
                </c:pt>
                <c:pt idx="79">
                  <c:v>0.54122596153846159</c:v>
                </c:pt>
                <c:pt idx="80">
                  <c:v>0.54807692307692313</c:v>
                </c:pt>
                <c:pt idx="81">
                  <c:v>0.55492788461538456</c:v>
                </c:pt>
                <c:pt idx="82">
                  <c:v>0.5617788461538461</c:v>
                </c:pt>
                <c:pt idx="83">
                  <c:v>0.56862980769230764</c:v>
                </c:pt>
                <c:pt idx="84">
                  <c:v>0.57548076923076918</c:v>
                </c:pt>
                <c:pt idx="85">
                  <c:v>0.58233173076923073</c:v>
                </c:pt>
                <c:pt idx="86">
                  <c:v>0.58918269230769227</c:v>
                </c:pt>
                <c:pt idx="87">
                  <c:v>0.59603365384615381</c:v>
                </c:pt>
                <c:pt idx="88">
                  <c:v>0.60288461538461535</c:v>
                </c:pt>
                <c:pt idx="89">
                  <c:v>0.60973557692307689</c:v>
                </c:pt>
                <c:pt idx="90">
                  <c:v>0.61658653846153844</c:v>
                </c:pt>
                <c:pt idx="91">
                  <c:v>0.62343749999999998</c:v>
                </c:pt>
                <c:pt idx="92">
                  <c:v>0.63028846153846152</c:v>
                </c:pt>
                <c:pt idx="93">
                  <c:v>0.63713942307692306</c:v>
                </c:pt>
                <c:pt idx="94">
                  <c:v>0.6439903846153846</c:v>
                </c:pt>
                <c:pt idx="95">
                  <c:v>0.65084134615384615</c:v>
                </c:pt>
                <c:pt idx="96">
                  <c:v>0.65769230769230769</c:v>
                </c:pt>
                <c:pt idx="97">
                  <c:v>0.66454326923076923</c:v>
                </c:pt>
                <c:pt idx="98">
                  <c:v>0.67139423076923077</c:v>
                </c:pt>
                <c:pt idx="99">
                  <c:v>0.67824519230769231</c:v>
                </c:pt>
                <c:pt idx="100">
                  <c:v>0.68509615384615385</c:v>
                </c:pt>
                <c:pt idx="101">
                  <c:v>0.6919471153846154</c:v>
                </c:pt>
                <c:pt idx="102">
                  <c:v>0.69879807692307694</c:v>
                </c:pt>
                <c:pt idx="103">
                  <c:v>0.70564903846153848</c:v>
                </c:pt>
                <c:pt idx="104">
                  <c:v>0.71250000000000002</c:v>
                </c:pt>
                <c:pt idx="105">
                  <c:v>0.71935096153846156</c:v>
                </c:pt>
                <c:pt idx="106">
                  <c:v>0.72620192307692311</c:v>
                </c:pt>
                <c:pt idx="107">
                  <c:v>0.73305288461538465</c:v>
                </c:pt>
                <c:pt idx="108">
                  <c:v>0.73990384615384619</c:v>
                </c:pt>
                <c:pt idx="109">
                  <c:v>0.74675480769230773</c:v>
                </c:pt>
                <c:pt idx="110">
                  <c:v>0.75360576923076927</c:v>
                </c:pt>
                <c:pt idx="111">
                  <c:v>0.76045673076923082</c:v>
                </c:pt>
                <c:pt idx="112">
                  <c:v>0.76730769230769225</c:v>
                </c:pt>
                <c:pt idx="113">
                  <c:v>0.77415865384615379</c:v>
                </c:pt>
                <c:pt idx="114">
                  <c:v>0.78100961538461533</c:v>
                </c:pt>
                <c:pt idx="115">
                  <c:v>0.78786057692307687</c:v>
                </c:pt>
                <c:pt idx="116">
                  <c:v>0.79471153846153841</c:v>
                </c:pt>
                <c:pt idx="117">
                  <c:v>0.80156249999999996</c:v>
                </c:pt>
                <c:pt idx="118">
                  <c:v>0.8084134615384615</c:v>
                </c:pt>
                <c:pt idx="119">
                  <c:v>0.81526442307692304</c:v>
                </c:pt>
                <c:pt idx="120">
                  <c:v>0.82211538461538458</c:v>
                </c:pt>
                <c:pt idx="121">
                  <c:v>0.82896634615384612</c:v>
                </c:pt>
                <c:pt idx="122">
                  <c:v>0.83581730769230766</c:v>
                </c:pt>
                <c:pt idx="123">
                  <c:v>0.84266826923076921</c:v>
                </c:pt>
                <c:pt idx="124">
                  <c:v>0.84951923076923075</c:v>
                </c:pt>
                <c:pt idx="125">
                  <c:v>0.85637019230769229</c:v>
                </c:pt>
                <c:pt idx="126">
                  <c:v>0.86322115384615383</c:v>
                </c:pt>
                <c:pt idx="127">
                  <c:v>0.87007211538461537</c:v>
                </c:pt>
                <c:pt idx="128">
                  <c:v>0.87692307692307692</c:v>
                </c:pt>
                <c:pt idx="129">
                  <c:v>0.88377403846153846</c:v>
                </c:pt>
                <c:pt idx="130">
                  <c:v>0.890625</c:v>
                </c:pt>
                <c:pt idx="131">
                  <c:v>0.89747596153846154</c:v>
                </c:pt>
                <c:pt idx="132">
                  <c:v>0.90432692307692308</c:v>
                </c:pt>
                <c:pt idx="133">
                  <c:v>0.91117788461538463</c:v>
                </c:pt>
                <c:pt idx="134">
                  <c:v>0.91802884615384617</c:v>
                </c:pt>
                <c:pt idx="135">
                  <c:v>0.92487980769230771</c:v>
                </c:pt>
                <c:pt idx="136">
                  <c:v>0.93173076923076925</c:v>
                </c:pt>
                <c:pt idx="137">
                  <c:v>0.93858173076923079</c:v>
                </c:pt>
                <c:pt idx="138">
                  <c:v>0.94543269230769234</c:v>
                </c:pt>
                <c:pt idx="139">
                  <c:v>0.95228365384615388</c:v>
                </c:pt>
                <c:pt idx="140">
                  <c:v>0.95913461538461542</c:v>
                </c:pt>
                <c:pt idx="141">
                  <c:v>0.96598557692307696</c:v>
                </c:pt>
                <c:pt idx="142">
                  <c:v>0.9728365384615385</c:v>
                </c:pt>
                <c:pt idx="143">
                  <c:v>0.97968750000000004</c:v>
                </c:pt>
                <c:pt idx="144">
                  <c:v>0.98653846153846159</c:v>
                </c:pt>
                <c:pt idx="145">
                  <c:v>0.99338942307692302</c:v>
                </c:pt>
                <c:pt idx="146">
                  <c:v>1.0002403846153847</c:v>
                </c:pt>
                <c:pt idx="147">
                  <c:v>1.0070913461538462</c:v>
                </c:pt>
                <c:pt idx="148">
                  <c:v>1.0139423076923078</c:v>
                </c:pt>
                <c:pt idx="149">
                  <c:v>1.0207932692307693</c:v>
                </c:pt>
                <c:pt idx="150">
                  <c:v>1.0276442307692308</c:v>
                </c:pt>
                <c:pt idx="151">
                  <c:v>1.0344951923076924</c:v>
                </c:pt>
                <c:pt idx="152">
                  <c:v>1.0413461538461539</c:v>
                </c:pt>
                <c:pt idx="153">
                  <c:v>1.0481971153846155</c:v>
                </c:pt>
                <c:pt idx="154">
                  <c:v>1.055048076923077</c:v>
                </c:pt>
                <c:pt idx="155">
                  <c:v>1.0618990384615385</c:v>
                </c:pt>
                <c:pt idx="156">
                  <c:v>1.0687500000000001</c:v>
                </c:pt>
                <c:pt idx="157">
                  <c:v>1.0756009615384616</c:v>
                </c:pt>
                <c:pt idx="158">
                  <c:v>1.0824519230769232</c:v>
                </c:pt>
                <c:pt idx="159">
                  <c:v>1.0893028846153847</c:v>
                </c:pt>
                <c:pt idx="160">
                  <c:v>1.0961538461538463</c:v>
                </c:pt>
                <c:pt idx="161">
                  <c:v>1.1030048076923076</c:v>
                </c:pt>
                <c:pt idx="162">
                  <c:v>1.1098557692307691</c:v>
                </c:pt>
                <c:pt idx="163">
                  <c:v>1.1167067307692307</c:v>
                </c:pt>
                <c:pt idx="164">
                  <c:v>1.1235576923076922</c:v>
                </c:pt>
                <c:pt idx="165">
                  <c:v>1.1304086538461537</c:v>
                </c:pt>
                <c:pt idx="166">
                  <c:v>1.1372596153846153</c:v>
                </c:pt>
                <c:pt idx="167">
                  <c:v>1.1441105769230768</c:v>
                </c:pt>
                <c:pt idx="168">
                  <c:v>1.1509615384615384</c:v>
                </c:pt>
                <c:pt idx="169">
                  <c:v>1.1578124999999999</c:v>
                </c:pt>
                <c:pt idx="170">
                  <c:v>1.1646634615384615</c:v>
                </c:pt>
                <c:pt idx="171">
                  <c:v>1.171514423076923</c:v>
                </c:pt>
                <c:pt idx="172">
                  <c:v>1.1783653846153845</c:v>
                </c:pt>
                <c:pt idx="173">
                  <c:v>1.1852163461538461</c:v>
                </c:pt>
                <c:pt idx="174">
                  <c:v>1.1920673076923076</c:v>
                </c:pt>
                <c:pt idx="175">
                  <c:v>1.1989182692307692</c:v>
                </c:pt>
                <c:pt idx="176">
                  <c:v>1.2057692307692307</c:v>
                </c:pt>
                <c:pt idx="177">
                  <c:v>1.2126201923076922</c:v>
                </c:pt>
                <c:pt idx="178">
                  <c:v>1.2194711538461538</c:v>
                </c:pt>
                <c:pt idx="179">
                  <c:v>1.2263221153846153</c:v>
                </c:pt>
                <c:pt idx="180">
                  <c:v>1.2331730769230769</c:v>
                </c:pt>
                <c:pt idx="181">
                  <c:v>1.2400240384615384</c:v>
                </c:pt>
                <c:pt idx="182">
                  <c:v>1.246875</c:v>
                </c:pt>
                <c:pt idx="183">
                  <c:v>1.2537259615384615</c:v>
                </c:pt>
                <c:pt idx="184">
                  <c:v>1.260576923076923</c:v>
                </c:pt>
                <c:pt idx="185">
                  <c:v>1.2674278846153846</c:v>
                </c:pt>
                <c:pt idx="186">
                  <c:v>1.2742788461538461</c:v>
                </c:pt>
                <c:pt idx="187">
                  <c:v>1.2811298076923077</c:v>
                </c:pt>
                <c:pt idx="188">
                  <c:v>1.2879807692307692</c:v>
                </c:pt>
                <c:pt idx="189">
                  <c:v>1.2948317307692307</c:v>
                </c:pt>
                <c:pt idx="190">
                  <c:v>1.3016826923076923</c:v>
                </c:pt>
                <c:pt idx="191">
                  <c:v>1.3085336538461538</c:v>
                </c:pt>
                <c:pt idx="192">
                  <c:v>1.3153846153846154</c:v>
                </c:pt>
                <c:pt idx="193">
                  <c:v>1.3222355769230769</c:v>
                </c:pt>
                <c:pt idx="194">
                  <c:v>1.3290865384615385</c:v>
                </c:pt>
                <c:pt idx="195">
                  <c:v>1.3359375</c:v>
                </c:pt>
                <c:pt idx="196">
                  <c:v>1.3427884615384615</c:v>
                </c:pt>
                <c:pt idx="197">
                  <c:v>1.3496394230769231</c:v>
                </c:pt>
                <c:pt idx="198">
                  <c:v>1.3564903846153846</c:v>
                </c:pt>
                <c:pt idx="199">
                  <c:v>1.3633413461538462</c:v>
                </c:pt>
                <c:pt idx="200">
                  <c:v>1.3701923076923077</c:v>
                </c:pt>
                <c:pt idx="201">
                  <c:v>1.3770432692307693</c:v>
                </c:pt>
                <c:pt idx="202">
                  <c:v>1.3838942307692308</c:v>
                </c:pt>
                <c:pt idx="203">
                  <c:v>1.3907451923076923</c:v>
                </c:pt>
                <c:pt idx="204">
                  <c:v>1.3975961538461539</c:v>
                </c:pt>
                <c:pt idx="205">
                  <c:v>1.4044471153846154</c:v>
                </c:pt>
                <c:pt idx="206">
                  <c:v>1.411298076923077</c:v>
                </c:pt>
                <c:pt idx="207">
                  <c:v>1.4181490384615385</c:v>
                </c:pt>
                <c:pt idx="208">
                  <c:v>1.425</c:v>
                </c:pt>
                <c:pt idx="209">
                  <c:v>1.4318509615384616</c:v>
                </c:pt>
                <c:pt idx="210">
                  <c:v>1.4387019230769231</c:v>
                </c:pt>
                <c:pt idx="211">
                  <c:v>1.4455528846153847</c:v>
                </c:pt>
                <c:pt idx="212">
                  <c:v>1.4524038461538462</c:v>
                </c:pt>
                <c:pt idx="213">
                  <c:v>1.4592548076923078</c:v>
                </c:pt>
                <c:pt idx="214">
                  <c:v>1.4661057692307693</c:v>
                </c:pt>
                <c:pt idx="215">
                  <c:v>1.4729567307692308</c:v>
                </c:pt>
                <c:pt idx="216">
                  <c:v>1.4798076923076924</c:v>
                </c:pt>
                <c:pt idx="217">
                  <c:v>1.4866586538461539</c:v>
                </c:pt>
                <c:pt idx="218">
                  <c:v>1.4935096153846155</c:v>
                </c:pt>
                <c:pt idx="219">
                  <c:v>1.500360576923077</c:v>
                </c:pt>
                <c:pt idx="220">
                  <c:v>1.5072115384615385</c:v>
                </c:pt>
                <c:pt idx="221">
                  <c:v>1.5140625000000001</c:v>
                </c:pt>
                <c:pt idx="222">
                  <c:v>1.5209134615384616</c:v>
                </c:pt>
                <c:pt idx="223">
                  <c:v>1.5277644230769232</c:v>
                </c:pt>
                <c:pt idx="224">
                  <c:v>1.5346153846153845</c:v>
                </c:pt>
                <c:pt idx="225">
                  <c:v>1.541466346153846</c:v>
                </c:pt>
                <c:pt idx="226">
                  <c:v>1.5483173076923076</c:v>
                </c:pt>
                <c:pt idx="227">
                  <c:v>1.5551682692307691</c:v>
                </c:pt>
                <c:pt idx="228">
                  <c:v>1.5620192307692307</c:v>
                </c:pt>
                <c:pt idx="229">
                  <c:v>1.5688701923076922</c:v>
                </c:pt>
                <c:pt idx="230">
                  <c:v>1.5757211538461537</c:v>
                </c:pt>
                <c:pt idx="231">
                  <c:v>1.5825721153846153</c:v>
                </c:pt>
                <c:pt idx="232">
                  <c:v>1.5894230769230768</c:v>
                </c:pt>
                <c:pt idx="233">
                  <c:v>1.5962740384615384</c:v>
                </c:pt>
                <c:pt idx="234">
                  <c:v>1.6031249999999999</c:v>
                </c:pt>
                <c:pt idx="235">
                  <c:v>1.6099759615384615</c:v>
                </c:pt>
                <c:pt idx="236">
                  <c:v>1.616826923076923</c:v>
                </c:pt>
                <c:pt idx="237">
                  <c:v>1.6236778846153845</c:v>
                </c:pt>
                <c:pt idx="238">
                  <c:v>1.6305288461538461</c:v>
                </c:pt>
                <c:pt idx="239">
                  <c:v>1.6373798076923076</c:v>
                </c:pt>
                <c:pt idx="240">
                  <c:v>1.6442307692307692</c:v>
                </c:pt>
                <c:pt idx="241">
                  <c:v>1.6510817307692307</c:v>
                </c:pt>
                <c:pt idx="242">
                  <c:v>1.6579326923076922</c:v>
                </c:pt>
                <c:pt idx="243">
                  <c:v>1.6647836538461538</c:v>
                </c:pt>
                <c:pt idx="244">
                  <c:v>1.6716346153846153</c:v>
                </c:pt>
                <c:pt idx="245">
                  <c:v>1.6784855769230769</c:v>
                </c:pt>
                <c:pt idx="246">
                  <c:v>1.6853365384615384</c:v>
                </c:pt>
                <c:pt idx="247">
                  <c:v>1.6921875</c:v>
                </c:pt>
                <c:pt idx="248">
                  <c:v>1.6990384615384615</c:v>
                </c:pt>
                <c:pt idx="249">
                  <c:v>1.705889423076923</c:v>
                </c:pt>
                <c:pt idx="250">
                  <c:v>1.7127403846153846</c:v>
                </c:pt>
                <c:pt idx="251">
                  <c:v>1.7195913461538461</c:v>
                </c:pt>
                <c:pt idx="252">
                  <c:v>1.7264423076923077</c:v>
                </c:pt>
                <c:pt idx="253">
                  <c:v>1.7332932692307692</c:v>
                </c:pt>
                <c:pt idx="254">
                  <c:v>1.7401442307692307</c:v>
                </c:pt>
                <c:pt idx="255">
                  <c:v>1.7469951923076923</c:v>
                </c:pt>
                <c:pt idx="256">
                  <c:v>1.7538461538461538</c:v>
                </c:pt>
                <c:pt idx="257">
                  <c:v>1.7606971153846154</c:v>
                </c:pt>
                <c:pt idx="258">
                  <c:v>1.7675480769230769</c:v>
                </c:pt>
                <c:pt idx="259">
                  <c:v>1.7743990384615385</c:v>
                </c:pt>
                <c:pt idx="260">
                  <c:v>1.78125</c:v>
                </c:pt>
                <c:pt idx="261">
                  <c:v>1.7881009615384615</c:v>
                </c:pt>
                <c:pt idx="262">
                  <c:v>1.7949519230769231</c:v>
                </c:pt>
                <c:pt idx="263">
                  <c:v>1.8018028846153846</c:v>
                </c:pt>
                <c:pt idx="264">
                  <c:v>1.8086538461538462</c:v>
                </c:pt>
                <c:pt idx="265">
                  <c:v>1.8155048076923077</c:v>
                </c:pt>
                <c:pt idx="266">
                  <c:v>1.8223557692307693</c:v>
                </c:pt>
                <c:pt idx="267">
                  <c:v>1.8292067307692308</c:v>
                </c:pt>
                <c:pt idx="268">
                  <c:v>1.8360576923076923</c:v>
                </c:pt>
                <c:pt idx="269">
                  <c:v>1.8429086538461539</c:v>
                </c:pt>
                <c:pt idx="270">
                  <c:v>1.8497596153846154</c:v>
                </c:pt>
                <c:pt idx="271">
                  <c:v>1.856610576923077</c:v>
                </c:pt>
                <c:pt idx="272">
                  <c:v>1.8634615384615385</c:v>
                </c:pt>
                <c:pt idx="273">
                  <c:v>1.8703125</c:v>
                </c:pt>
                <c:pt idx="274">
                  <c:v>1.8771634615384616</c:v>
                </c:pt>
                <c:pt idx="275">
                  <c:v>1.8840144230769231</c:v>
                </c:pt>
                <c:pt idx="276">
                  <c:v>1.8908653846153847</c:v>
                </c:pt>
                <c:pt idx="277">
                  <c:v>1.8977163461538462</c:v>
                </c:pt>
                <c:pt idx="278">
                  <c:v>1.9045673076923078</c:v>
                </c:pt>
                <c:pt idx="279">
                  <c:v>1.9114182692307693</c:v>
                </c:pt>
                <c:pt idx="280">
                  <c:v>1.9182692307692308</c:v>
                </c:pt>
                <c:pt idx="281">
                  <c:v>1.9251201923076924</c:v>
                </c:pt>
                <c:pt idx="282">
                  <c:v>1.9319711538461539</c:v>
                </c:pt>
                <c:pt idx="283">
                  <c:v>1.9388221153846155</c:v>
                </c:pt>
                <c:pt idx="284">
                  <c:v>1.945673076923077</c:v>
                </c:pt>
                <c:pt idx="285">
                  <c:v>1.9525240384615385</c:v>
                </c:pt>
                <c:pt idx="286">
                  <c:v>1.9593750000000001</c:v>
                </c:pt>
                <c:pt idx="287">
                  <c:v>1.9662259615384616</c:v>
                </c:pt>
                <c:pt idx="288">
                  <c:v>1.9730769230769232</c:v>
                </c:pt>
                <c:pt idx="289">
                  <c:v>1.9799278846153845</c:v>
                </c:pt>
                <c:pt idx="290">
                  <c:v>1.986778846153846</c:v>
                </c:pt>
                <c:pt idx="291">
                  <c:v>1.9936298076923076</c:v>
                </c:pt>
                <c:pt idx="292">
                  <c:v>2.0004807692307693</c:v>
                </c:pt>
                <c:pt idx="293">
                  <c:v>2.0073317307692307</c:v>
                </c:pt>
                <c:pt idx="294">
                  <c:v>2.0141826923076924</c:v>
                </c:pt>
                <c:pt idx="295">
                  <c:v>2.0210336538461537</c:v>
                </c:pt>
                <c:pt idx="296">
                  <c:v>2.0278846153846155</c:v>
                </c:pt>
                <c:pt idx="297">
                  <c:v>2.0347355769230768</c:v>
                </c:pt>
                <c:pt idx="298">
                  <c:v>2.0415865384615386</c:v>
                </c:pt>
                <c:pt idx="299">
                  <c:v>2.0484374999999999</c:v>
                </c:pt>
                <c:pt idx="300">
                  <c:v>2.0552884615384617</c:v>
                </c:pt>
                <c:pt idx="301">
                  <c:v>2.062139423076923</c:v>
                </c:pt>
                <c:pt idx="302">
                  <c:v>2.0689903846153848</c:v>
                </c:pt>
                <c:pt idx="303">
                  <c:v>2.0758413461538461</c:v>
                </c:pt>
                <c:pt idx="304">
                  <c:v>2.0826923076923078</c:v>
                </c:pt>
                <c:pt idx="305">
                  <c:v>2.0895432692307692</c:v>
                </c:pt>
                <c:pt idx="306">
                  <c:v>2.0963942307692309</c:v>
                </c:pt>
                <c:pt idx="307">
                  <c:v>2.1032451923076922</c:v>
                </c:pt>
                <c:pt idx="308">
                  <c:v>2.110096153846154</c:v>
                </c:pt>
                <c:pt idx="309">
                  <c:v>2.1169471153846153</c:v>
                </c:pt>
                <c:pt idx="310">
                  <c:v>2.1237980769230771</c:v>
                </c:pt>
                <c:pt idx="311">
                  <c:v>2.1306490384615384</c:v>
                </c:pt>
                <c:pt idx="312">
                  <c:v>2.1375000000000002</c:v>
                </c:pt>
                <c:pt idx="313">
                  <c:v>2.1443509615384615</c:v>
                </c:pt>
                <c:pt idx="314">
                  <c:v>2.1512019230769233</c:v>
                </c:pt>
                <c:pt idx="315">
                  <c:v>2.1580528846153846</c:v>
                </c:pt>
                <c:pt idx="316">
                  <c:v>2.1649038461538463</c:v>
                </c:pt>
                <c:pt idx="317">
                  <c:v>2.1717548076923077</c:v>
                </c:pt>
                <c:pt idx="318">
                  <c:v>2.1786057692307694</c:v>
                </c:pt>
                <c:pt idx="319">
                  <c:v>2.1854567307692307</c:v>
                </c:pt>
                <c:pt idx="320">
                  <c:v>2.1923076923076925</c:v>
                </c:pt>
                <c:pt idx="321">
                  <c:v>2.1991586538461538</c:v>
                </c:pt>
                <c:pt idx="322">
                  <c:v>2.2060096153846152</c:v>
                </c:pt>
                <c:pt idx="323">
                  <c:v>2.2128605769230769</c:v>
                </c:pt>
                <c:pt idx="324">
                  <c:v>2.2197115384615382</c:v>
                </c:pt>
                <c:pt idx="325">
                  <c:v>2.2265625</c:v>
                </c:pt>
                <c:pt idx="326">
                  <c:v>2.2334134615384613</c:v>
                </c:pt>
                <c:pt idx="327">
                  <c:v>2.2402644230769231</c:v>
                </c:pt>
                <c:pt idx="328">
                  <c:v>2.2471153846153844</c:v>
                </c:pt>
                <c:pt idx="329">
                  <c:v>2.2539663461538462</c:v>
                </c:pt>
                <c:pt idx="330">
                  <c:v>2.2608173076923075</c:v>
                </c:pt>
                <c:pt idx="331">
                  <c:v>2.2676682692307693</c:v>
                </c:pt>
                <c:pt idx="332">
                  <c:v>2.2745192307692306</c:v>
                </c:pt>
                <c:pt idx="333">
                  <c:v>2.2813701923076923</c:v>
                </c:pt>
                <c:pt idx="334">
                  <c:v>2.2882211538461537</c:v>
                </c:pt>
                <c:pt idx="335">
                  <c:v>2.2950721153846154</c:v>
                </c:pt>
                <c:pt idx="336">
                  <c:v>2.3019230769230767</c:v>
                </c:pt>
                <c:pt idx="337">
                  <c:v>2.3087740384615385</c:v>
                </c:pt>
                <c:pt idx="338">
                  <c:v>2.3156249999999998</c:v>
                </c:pt>
                <c:pt idx="339">
                  <c:v>2.3224759615384616</c:v>
                </c:pt>
                <c:pt idx="340">
                  <c:v>2.3293269230769229</c:v>
                </c:pt>
                <c:pt idx="341">
                  <c:v>2.3361778846153847</c:v>
                </c:pt>
                <c:pt idx="342">
                  <c:v>2.343028846153846</c:v>
                </c:pt>
                <c:pt idx="343">
                  <c:v>2.3498798076923078</c:v>
                </c:pt>
                <c:pt idx="344">
                  <c:v>2.3567307692307691</c:v>
                </c:pt>
                <c:pt idx="345">
                  <c:v>2.3635817307692308</c:v>
                </c:pt>
                <c:pt idx="346">
                  <c:v>2.3704326923076922</c:v>
                </c:pt>
                <c:pt idx="347">
                  <c:v>2.3772836538461539</c:v>
                </c:pt>
                <c:pt idx="348">
                  <c:v>2.3841346153846152</c:v>
                </c:pt>
                <c:pt idx="349">
                  <c:v>2.390985576923077</c:v>
                </c:pt>
                <c:pt idx="350">
                  <c:v>2.3978365384615383</c:v>
                </c:pt>
                <c:pt idx="351">
                  <c:v>2.4046875000000001</c:v>
                </c:pt>
                <c:pt idx="352">
                  <c:v>2.4115384615384614</c:v>
                </c:pt>
                <c:pt idx="353">
                  <c:v>2.4183894230769232</c:v>
                </c:pt>
                <c:pt idx="354">
                  <c:v>2.4252403846153845</c:v>
                </c:pt>
                <c:pt idx="355">
                  <c:v>2.4320913461538463</c:v>
                </c:pt>
                <c:pt idx="356">
                  <c:v>2.4389423076923076</c:v>
                </c:pt>
                <c:pt idx="357">
                  <c:v>2.4457932692307693</c:v>
                </c:pt>
                <c:pt idx="358">
                  <c:v>2.4526442307692307</c:v>
                </c:pt>
                <c:pt idx="359">
                  <c:v>2.4594951923076924</c:v>
                </c:pt>
                <c:pt idx="360">
                  <c:v>2.4663461538461537</c:v>
                </c:pt>
                <c:pt idx="361">
                  <c:v>2.4731971153846155</c:v>
                </c:pt>
                <c:pt idx="362">
                  <c:v>2.4800480769230768</c:v>
                </c:pt>
                <c:pt idx="363">
                  <c:v>2.4868990384615386</c:v>
                </c:pt>
                <c:pt idx="364">
                  <c:v>2.4937499999999999</c:v>
                </c:pt>
                <c:pt idx="365">
                  <c:v>2.5006009615384617</c:v>
                </c:pt>
                <c:pt idx="366">
                  <c:v>2.507451923076923</c:v>
                </c:pt>
                <c:pt idx="367">
                  <c:v>2.5143028846153848</c:v>
                </c:pt>
                <c:pt idx="368">
                  <c:v>2.5211538461538461</c:v>
                </c:pt>
                <c:pt idx="369">
                  <c:v>2.5280048076923078</c:v>
                </c:pt>
                <c:pt idx="370">
                  <c:v>2.5348557692307692</c:v>
                </c:pt>
                <c:pt idx="371">
                  <c:v>2.5417067307692309</c:v>
                </c:pt>
                <c:pt idx="372">
                  <c:v>2.5485576923076922</c:v>
                </c:pt>
                <c:pt idx="373">
                  <c:v>2.555408653846154</c:v>
                </c:pt>
                <c:pt idx="374">
                  <c:v>2.5622596153846153</c:v>
                </c:pt>
                <c:pt idx="375">
                  <c:v>2.5691105769230771</c:v>
                </c:pt>
                <c:pt idx="376">
                  <c:v>2.5759615384615384</c:v>
                </c:pt>
                <c:pt idx="377">
                  <c:v>2.5828125000000002</c:v>
                </c:pt>
                <c:pt idx="378">
                  <c:v>2.5896634615384615</c:v>
                </c:pt>
                <c:pt idx="379">
                  <c:v>2.5965144230769233</c:v>
                </c:pt>
                <c:pt idx="380">
                  <c:v>2.6033653846153846</c:v>
                </c:pt>
                <c:pt idx="381">
                  <c:v>2.6102163461538463</c:v>
                </c:pt>
                <c:pt idx="382">
                  <c:v>2.6170673076923077</c:v>
                </c:pt>
                <c:pt idx="383">
                  <c:v>2.6239182692307694</c:v>
                </c:pt>
                <c:pt idx="384">
                  <c:v>2.6307692307692307</c:v>
                </c:pt>
                <c:pt idx="385">
                  <c:v>2.6376201923076921</c:v>
                </c:pt>
                <c:pt idx="386">
                  <c:v>2.6444711538461538</c:v>
                </c:pt>
                <c:pt idx="387">
                  <c:v>2.6513221153846152</c:v>
                </c:pt>
                <c:pt idx="388">
                  <c:v>2.6581730769230769</c:v>
                </c:pt>
                <c:pt idx="389">
                  <c:v>2.6650240384615382</c:v>
                </c:pt>
                <c:pt idx="390">
                  <c:v>2.671875</c:v>
                </c:pt>
                <c:pt idx="391">
                  <c:v>2.6787259615384613</c:v>
                </c:pt>
                <c:pt idx="392">
                  <c:v>2.6855769230769231</c:v>
                </c:pt>
                <c:pt idx="393">
                  <c:v>2.6924278846153844</c:v>
                </c:pt>
                <c:pt idx="394">
                  <c:v>2.6992788461538462</c:v>
                </c:pt>
                <c:pt idx="395">
                  <c:v>2.7061298076923075</c:v>
                </c:pt>
                <c:pt idx="396">
                  <c:v>2.7129807692307693</c:v>
                </c:pt>
                <c:pt idx="397">
                  <c:v>2.7198317307692306</c:v>
                </c:pt>
                <c:pt idx="398">
                  <c:v>2.7266826923076923</c:v>
                </c:pt>
                <c:pt idx="399">
                  <c:v>2.7335336538461537</c:v>
                </c:pt>
                <c:pt idx="400">
                  <c:v>2.7403846153846154</c:v>
                </c:pt>
                <c:pt idx="401">
                  <c:v>2.7472355769230767</c:v>
                </c:pt>
                <c:pt idx="402">
                  <c:v>2.7540865384615385</c:v>
                </c:pt>
                <c:pt idx="403">
                  <c:v>2.7609374999999998</c:v>
                </c:pt>
                <c:pt idx="404">
                  <c:v>2.7677884615384616</c:v>
                </c:pt>
                <c:pt idx="405">
                  <c:v>2.7746394230769229</c:v>
                </c:pt>
                <c:pt idx="406">
                  <c:v>2.7814903846153847</c:v>
                </c:pt>
                <c:pt idx="407">
                  <c:v>2.788341346153846</c:v>
                </c:pt>
                <c:pt idx="408">
                  <c:v>2.7951923076923078</c:v>
                </c:pt>
                <c:pt idx="409">
                  <c:v>2.8020432692307691</c:v>
                </c:pt>
                <c:pt idx="410">
                  <c:v>2.8088942307692308</c:v>
                </c:pt>
                <c:pt idx="411">
                  <c:v>2.8157451923076922</c:v>
                </c:pt>
                <c:pt idx="412">
                  <c:v>2.8225961538461539</c:v>
                </c:pt>
                <c:pt idx="413">
                  <c:v>2.8294471153846152</c:v>
                </c:pt>
                <c:pt idx="414">
                  <c:v>2.836298076923077</c:v>
                </c:pt>
                <c:pt idx="415">
                  <c:v>2.8431490384615383</c:v>
                </c:pt>
                <c:pt idx="416">
                  <c:v>2.85</c:v>
                </c:pt>
                <c:pt idx="417">
                  <c:v>2.875</c:v>
                </c:pt>
                <c:pt idx="418">
                  <c:v>2.9</c:v>
                </c:pt>
                <c:pt idx="419">
                  <c:v>2.9250000000000003</c:v>
                </c:pt>
                <c:pt idx="420">
                  <c:v>2.95</c:v>
                </c:pt>
                <c:pt idx="421">
                  <c:v>2.9750000000000001</c:v>
                </c:pt>
                <c:pt idx="422">
                  <c:v>3</c:v>
                </c:pt>
                <c:pt idx="423">
                  <c:v>3.0249999999999999</c:v>
                </c:pt>
                <c:pt idx="424">
                  <c:v>3.0500000000000003</c:v>
                </c:pt>
                <c:pt idx="425">
                  <c:v>3.0750000000000002</c:v>
                </c:pt>
                <c:pt idx="426">
                  <c:v>3.1</c:v>
                </c:pt>
                <c:pt idx="427">
                  <c:v>3.125</c:v>
                </c:pt>
                <c:pt idx="428">
                  <c:v>3.1500000000000004</c:v>
                </c:pt>
                <c:pt idx="429">
                  <c:v>3.1750000000000003</c:v>
                </c:pt>
                <c:pt idx="430">
                  <c:v>3.2</c:v>
                </c:pt>
                <c:pt idx="431">
                  <c:v>3.2250000000000001</c:v>
                </c:pt>
                <c:pt idx="432">
                  <c:v>3.25</c:v>
                </c:pt>
                <c:pt idx="433">
                  <c:v>3.2750000000000004</c:v>
                </c:pt>
                <c:pt idx="434">
                  <c:v>3.3000000000000003</c:v>
                </c:pt>
                <c:pt idx="435">
                  <c:v>3.3250000000000002</c:v>
                </c:pt>
                <c:pt idx="436">
                  <c:v>3.35</c:v>
                </c:pt>
              </c:numCache>
            </c:numRef>
          </c:xVal>
          <c:yVal>
            <c:numRef>
              <c:f>'SOLLECITAZ NASCOSTO'!$L$32:$L$468</c:f>
              <c:numCache>
                <c:formatCode>0.00</c:formatCode>
                <c:ptCount val="437"/>
                <c:pt idx="0">
                  <c:v>0</c:v>
                </c:pt>
                <c:pt idx="1">
                  <c:v>2.8555823902857984E-2</c:v>
                </c:pt>
                <c:pt idx="2">
                  <c:v>5.7441399786793378E-2</c:v>
                </c:pt>
                <c:pt idx="3">
                  <c:v>8.6656727651806181E-2</c:v>
                </c:pt>
                <c:pt idx="4">
                  <c:v>0.11620180749789639</c:v>
                </c:pt>
                <c:pt idx="5">
                  <c:v>0.14607663932506407</c:v>
                </c:pt>
                <c:pt idx="6">
                  <c:v>0.17628122313330913</c:v>
                </c:pt>
                <c:pt idx="7">
                  <c:v>0.20681555892263159</c:v>
                </c:pt>
                <c:pt idx="8">
                  <c:v>0.23767964669303152</c:v>
                </c:pt>
                <c:pt idx="9">
                  <c:v>0.26887348644450881</c:v>
                </c:pt>
                <c:pt idx="10">
                  <c:v>0.30039707817706357</c:v>
                </c:pt>
                <c:pt idx="11">
                  <c:v>0.33225042189069565</c:v>
                </c:pt>
                <c:pt idx="12">
                  <c:v>0.36443351758540521</c:v>
                </c:pt>
                <c:pt idx="13">
                  <c:v>0.3969463652611922</c:v>
                </c:pt>
                <c:pt idx="14">
                  <c:v>0.42978896491805652</c:v>
                </c:pt>
                <c:pt idx="15">
                  <c:v>0.46296131655599831</c:v>
                </c:pt>
                <c:pt idx="16">
                  <c:v>0.49646342017501754</c:v>
                </c:pt>
                <c:pt idx="17">
                  <c:v>0.53029527577511415</c:v>
                </c:pt>
                <c:pt idx="18">
                  <c:v>0.56445688335628819</c:v>
                </c:pt>
                <c:pt idx="19">
                  <c:v>0.59894824291853965</c:v>
                </c:pt>
                <c:pt idx="20">
                  <c:v>0.63376935446186855</c:v>
                </c:pt>
                <c:pt idx="21">
                  <c:v>0.66892021798627466</c:v>
                </c:pt>
                <c:pt idx="22">
                  <c:v>0.70440083349175842</c:v>
                </c:pt>
                <c:pt idx="23">
                  <c:v>0.74021120097831961</c:v>
                </c:pt>
                <c:pt idx="24">
                  <c:v>0.77635132044595812</c:v>
                </c:pt>
                <c:pt idx="25">
                  <c:v>0.81282119189467406</c:v>
                </c:pt>
                <c:pt idx="26">
                  <c:v>0.84962081532446743</c:v>
                </c:pt>
                <c:pt idx="27">
                  <c:v>0.88675019073533823</c:v>
                </c:pt>
                <c:pt idx="28">
                  <c:v>0.92420931812728624</c:v>
                </c:pt>
                <c:pt idx="29">
                  <c:v>0.9619981975003119</c:v>
                </c:pt>
                <c:pt idx="30">
                  <c:v>1.0001168288544149</c:v>
                </c:pt>
                <c:pt idx="31">
                  <c:v>1.0385652121895952</c:v>
                </c:pt>
                <c:pt idx="32">
                  <c:v>1.0773433475058529</c:v>
                </c:pt>
                <c:pt idx="33">
                  <c:v>1.1164512348031881</c:v>
                </c:pt>
                <c:pt idx="34">
                  <c:v>1.1558888740816007</c:v>
                </c:pt>
                <c:pt idx="35">
                  <c:v>1.1956562653410907</c:v>
                </c:pt>
                <c:pt idx="36">
                  <c:v>1.2357534085816582</c:v>
                </c:pt>
                <c:pt idx="37">
                  <c:v>1.2761803038033031</c:v>
                </c:pt>
                <c:pt idx="38">
                  <c:v>1.3169369510060254</c:v>
                </c:pt>
                <c:pt idx="39">
                  <c:v>1.3580233501898251</c:v>
                </c:pt>
                <c:pt idx="40">
                  <c:v>1.3994395013547023</c:v>
                </c:pt>
                <c:pt idx="41">
                  <c:v>1.4411854045006565</c:v>
                </c:pt>
                <c:pt idx="42">
                  <c:v>1.4832610596276883</c:v>
                </c:pt>
                <c:pt idx="43">
                  <c:v>1.5256664667357975</c:v>
                </c:pt>
                <c:pt idx="44">
                  <c:v>1.5684016258249842</c:v>
                </c:pt>
                <c:pt idx="45">
                  <c:v>1.6114665368952483</c:v>
                </c:pt>
                <c:pt idx="46">
                  <c:v>1.6548611999465899</c:v>
                </c:pt>
                <c:pt idx="47">
                  <c:v>1.6985856149790088</c:v>
                </c:pt>
                <c:pt idx="48">
                  <c:v>1.7426397819925052</c:v>
                </c:pt>
                <c:pt idx="49">
                  <c:v>1.7870237009870791</c:v>
                </c:pt>
                <c:pt idx="50">
                  <c:v>1.8317373719627303</c:v>
                </c:pt>
                <c:pt idx="51">
                  <c:v>1.876780794919459</c:v>
                </c:pt>
                <c:pt idx="52">
                  <c:v>1.9221539698572652</c:v>
                </c:pt>
                <c:pt idx="53">
                  <c:v>1.9678568967761487</c:v>
                </c:pt>
                <c:pt idx="54">
                  <c:v>2.0138895756761097</c:v>
                </c:pt>
                <c:pt idx="55">
                  <c:v>2.0602520065571479</c:v>
                </c:pt>
                <c:pt idx="56">
                  <c:v>2.1069441894192633</c:v>
                </c:pt>
                <c:pt idx="57">
                  <c:v>2.1539661242624564</c:v>
                </c:pt>
                <c:pt idx="58">
                  <c:v>2.2013178110867271</c:v>
                </c:pt>
                <c:pt idx="59">
                  <c:v>2.248999249892075</c:v>
                </c:pt>
                <c:pt idx="60">
                  <c:v>2.2970104406785006</c:v>
                </c:pt>
                <c:pt idx="61">
                  <c:v>2.3453513834460034</c:v>
                </c:pt>
                <c:pt idx="62">
                  <c:v>2.3940220781945833</c:v>
                </c:pt>
                <c:pt idx="63">
                  <c:v>2.443022524924241</c:v>
                </c:pt>
                <c:pt idx="64">
                  <c:v>2.4923527236349758</c:v>
                </c:pt>
                <c:pt idx="65">
                  <c:v>2.5420126743267883</c:v>
                </c:pt>
                <c:pt idx="66">
                  <c:v>2.5920023769996781</c:v>
                </c:pt>
                <c:pt idx="67">
                  <c:v>2.6423218316536454</c:v>
                </c:pt>
                <c:pt idx="68">
                  <c:v>2.69297103828869</c:v>
                </c:pt>
                <c:pt idx="69">
                  <c:v>2.7439499969048122</c:v>
                </c:pt>
                <c:pt idx="70">
                  <c:v>2.7952587075020117</c:v>
                </c:pt>
                <c:pt idx="71">
                  <c:v>2.8468971700802888</c:v>
                </c:pt>
                <c:pt idx="72">
                  <c:v>2.8988653846396431</c:v>
                </c:pt>
                <c:pt idx="73">
                  <c:v>2.951163351180075</c:v>
                </c:pt>
                <c:pt idx="74">
                  <c:v>3.0037910697015842</c:v>
                </c:pt>
                <c:pt idx="75">
                  <c:v>3.056748540204171</c:v>
                </c:pt>
                <c:pt idx="76">
                  <c:v>3.110035762687835</c:v>
                </c:pt>
                <c:pt idx="77">
                  <c:v>3.1636527371525762</c:v>
                </c:pt>
                <c:pt idx="78">
                  <c:v>3.2175994635983951</c:v>
                </c:pt>
                <c:pt idx="79">
                  <c:v>3.2718759420252912</c:v>
                </c:pt>
                <c:pt idx="80">
                  <c:v>3.3264821724332649</c:v>
                </c:pt>
                <c:pt idx="81">
                  <c:v>3.381418154822315</c:v>
                </c:pt>
                <c:pt idx="82">
                  <c:v>3.4366838891924436</c:v>
                </c:pt>
                <c:pt idx="83">
                  <c:v>3.4922793755436494</c:v>
                </c:pt>
                <c:pt idx="84">
                  <c:v>3.5482046138759329</c:v>
                </c:pt>
                <c:pt idx="85">
                  <c:v>3.6044596041892936</c:v>
                </c:pt>
                <c:pt idx="86">
                  <c:v>3.6610443464837319</c:v>
                </c:pt>
                <c:pt idx="87">
                  <c:v>3.7179588407592474</c:v>
                </c:pt>
                <c:pt idx="88">
                  <c:v>3.7752030870158406</c:v>
                </c:pt>
                <c:pt idx="89">
                  <c:v>3.832777085253511</c:v>
                </c:pt>
                <c:pt idx="90">
                  <c:v>3.8906808354722586</c:v>
                </c:pt>
                <c:pt idx="91">
                  <c:v>3.9489143376720839</c:v>
                </c:pt>
                <c:pt idx="92">
                  <c:v>4.0074775918529868</c:v>
                </c:pt>
                <c:pt idx="93">
                  <c:v>4.0663705980149665</c:v>
                </c:pt>
                <c:pt idx="94">
                  <c:v>4.1255933561580242</c:v>
                </c:pt>
                <c:pt idx="95">
                  <c:v>4.1851458662821592</c:v>
                </c:pt>
                <c:pt idx="96">
                  <c:v>4.2450281283873714</c:v>
                </c:pt>
                <c:pt idx="97">
                  <c:v>4.3052401424736608</c:v>
                </c:pt>
                <c:pt idx="98">
                  <c:v>4.3657819085410283</c:v>
                </c:pt>
                <c:pt idx="99">
                  <c:v>4.426653426589473</c:v>
                </c:pt>
                <c:pt idx="100">
                  <c:v>4.4878546966189949</c:v>
                </c:pt>
                <c:pt idx="101">
                  <c:v>4.5493857186295941</c:v>
                </c:pt>
                <c:pt idx="102">
                  <c:v>4.6112464926212713</c:v>
                </c:pt>
                <c:pt idx="103">
                  <c:v>4.6734370185940257</c:v>
                </c:pt>
                <c:pt idx="104">
                  <c:v>4.7359572965478574</c:v>
                </c:pt>
                <c:pt idx="105">
                  <c:v>4.7988073264827662</c:v>
                </c:pt>
                <c:pt idx="106">
                  <c:v>4.8619871083987523</c:v>
                </c:pt>
                <c:pt idx="107">
                  <c:v>4.9254966422958164</c:v>
                </c:pt>
                <c:pt idx="108">
                  <c:v>4.9893359281739578</c:v>
                </c:pt>
                <c:pt idx="109">
                  <c:v>5.0535049660331763</c:v>
                </c:pt>
                <c:pt idx="110">
                  <c:v>5.1180037558734721</c:v>
                </c:pt>
                <c:pt idx="111">
                  <c:v>5.182832297694846</c:v>
                </c:pt>
                <c:pt idx="112">
                  <c:v>5.2479905914972962</c:v>
                </c:pt>
                <c:pt idx="113">
                  <c:v>5.3134786372808245</c:v>
                </c:pt>
                <c:pt idx="114">
                  <c:v>5.37929643504543</c:v>
                </c:pt>
                <c:pt idx="115">
                  <c:v>5.4454439847911136</c:v>
                </c:pt>
                <c:pt idx="116">
                  <c:v>5.5119212865178744</c:v>
                </c:pt>
                <c:pt idx="117">
                  <c:v>5.5787283402257124</c:v>
                </c:pt>
                <c:pt idx="118">
                  <c:v>5.6458651459146276</c:v>
                </c:pt>
                <c:pt idx="119">
                  <c:v>5.7133317035846201</c:v>
                </c:pt>
                <c:pt idx="120">
                  <c:v>5.7811280132356906</c:v>
                </c:pt>
                <c:pt idx="121">
                  <c:v>5.8492540748678383</c:v>
                </c:pt>
                <c:pt idx="122">
                  <c:v>5.9177098884810633</c:v>
                </c:pt>
                <c:pt idx="123">
                  <c:v>5.9864954540753654</c:v>
                </c:pt>
                <c:pt idx="124">
                  <c:v>6.0556107716507457</c:v>
                </c:pt>
                <c:pt idx="125">
                  <c:v>6.1250558412072031</c:v>
                </c:pt>
                <c:pt idx="126">
                  <c:v>6.1948306627447378</c:v>
                </c:pt>
                <c:pt idx="127">
                  <c:v>6.2649352362633497</c:v>
                </c:pt>
                <c:pt idx="128">
                  <c:v>6.3353695617630397</c:v>
                </c:pt>
                <c:pt idx="129">
                  <c:v>6.4061336392438069</c:v>
                </c:pt>
                <c:pt idx="130">
                  <c:v>6.4772274687056512</c:v>
                </c:pt>
                <c:pt idx="131">
                  <c:v>6.5486510501485728</c:v>
                </c:pt>
                <c:pt idx="132">
                  <c:v>6.6204043835725717</c:v>
                </c:pt>
                <c:pt idx="133">
                  <c:v>6.6924874689776486</c:v>
                </c:pt>
                <c:pt idx="134">
                  <c:v>6.7649003063638027</c:v>
                </c:pt>
                <c:pt idx="135">
                  <c:v>6.837642895731034</c:v>
                </c:pt>
                <c:pt idx="136">
                  <c:v>6.9107152370793425</c:v>
                </c:pt>
                <c:pt idx="137">
                  <c:v>6.9841173304087292</c:v>
                </c:pt>
                <c:pt idx="138">
                  <c:v>7.057849175719193</c:v>
                </c:pt>
                <c:pt idx="139">
                  <c:v>7.1319107730107341</c:v>
                </c:pt>
                <c:pt idx="140">
                  <c:v>7.2063021222833523</c:v>
                </c:pt>
                <c:pt idx="141">
                  <c:v>7.2810232235370487</c:v>
                </c:pt>
                <c:pt idx="142">
                  <c:v>7.3560740767718222</c:v>
                </c:pt>
                <c:pt idx="143">
                  <c:v>7.431454681987673</c:v>
                </c:pt>
                <c:pt idx="144">
                  <c:v>7.507165039184601</c:v>
                </c:pt>
                <c:pt idx="145">
                  <c:v>7.5832051483626053</c:v>
                </c:pt>
                <c:pt idx="146">
                  <c:v>7.6595750095216895</c:v>
                </c:pt>
                <c:pt idx="147">
                  <c:v>7.73627462266185</c:v>
                </c:pt>
                <c:pt idx="148">
                  <c:v>7.8133039877830877</c:v>
                </c:pt>
                <c:pt idx="149">
                  <c:v>7.8906631048854026</c:v>
                </c:pt>
                <c:pt idx="150">
                  <c:v>7.9683519739687956</c:v>
                </c:pt>
                <c:pt idx="151">
                  <c:v>8.0463705950332649</c:v>
                </c:pt>
                <c:pt idx="152">
                  <c:v>8.1247189680788132</c:v>
                </c:pt>
                <c:pt idx="153">
                  <c:v>8.2033970931054387</c:v>
                </c:pt>
                <c:pt idx="154">
                  <c:v>8.2824049701131415</c:v>
                </c:pt>
                <c:pt idx="155">
                  <c:v>8.3617425991019214</c:v>
                </c:pt>
                <c:pt idx="156">
                  <c:v>8.4414099800717786</c:v>
                </c:pt>
                <c:pt idx="157">
                  <c:v>8.5214071130227129</c:v>
                </c:pt>
                <c:pt idx="158">
                  <c:v>8.6017339979547245</c:v>
                </c:pt>
                <c:pt idx="159">
                  <c:v>8.6823906348678133</c:v>
                </c:pt>
                <c:pt idx="160">
                  <c:v>8.7633770237619792</c:v>
                </c:pt>
                <c:pt idx="161">
                  <c:v>8.8446931646372207</c:v>
                </c:pt>
                <c:pt idx="162">
                  <c:v>8.9263390574935428</c:v>
                </c:pt>
                <c:pt idx="163">
                  <c:v>9.0083147023309422</c:v>
                </c:pt>
                <c:pt idx="164">
                  <c:v>9.0906200991494188</c:v>
                </c:pt>
                <c:pt idx="165">
                  <c:v>9.1732552479489726</c:v>
                </c:pt>
                <c:pt idx="166">
                  <c:v>9.2562201487296036</c:v>
                </c:pt>
                <c:pt idx="167">
                  <c:v>9.3395148014913119</c:v>
                </c:pt>
                <c:pt idx="168">
                  <c:v>9.4231392062340973</c:v>
                </c:pt>
                <c:pt idx="169">
                  <c:v>9.5070933629579617</c:v>
                </c:pt>
                <c:pt idx="170">
                  <c:v>9.5913772716629033</c:v>
                </c:pt>
                <c:pt idx="171">
                  <c:v>9.6759909323489222</c:v>
                </c:pt>
                <c:pt idx="172">
                  <c:v>9.7609343450160182</c:v>
                </c:pt>
                <c:pt idx="173">
                  <c:v>9.8462075096641914</c:v>
                </c:pt>
                <c:pt idx="174">
                  <c:v>9.9318104262934419</c:v>
                </c:pt>
                <c:pt idx="175">
                  <c:v>10.01774309490377</c:v>
                </c:pt>
                <c:pt idx="176">
                  <c:v>10.104005515495174</c:v>
                </c:pt>
                <c:pt idx="177">
                  <c:v>10.190597688067657</c:v>
                </c:pt>
                <c:pt idx="178">
                  <c:v>10.277519612621218</c:v>
                </c:pt>
                <c:pt idx="179">
                  <c:v>10.364771289155856</c:v>
                </c:pt>
                <c:pt idx="180">
                  <c:v>10.452352717671571</c:v>
                </c:pt>
                <c:pt idx="181">
                  <c:v>10.540263898168364</c:v>
                </c:pt>
                <c:pt idx="182">
                  <c:v>10.628504830646234</c:v>
                </c:pt>
                <c:pt idx="183">
                  <c:v>10.717075515105181</c:v>
                </c:pt>
                <c:pt idx="184">
                  <c:v>10.805975951545205</c:v>
                </c:pt>
                <c:pt idx="185">
                  <c:v>10.895206139966307</c:v>
                </c:pt>
                <c:pt idx="186">
                  <c:v>10.984766080368487</c:v>
                </c:pt>
                <c:pt idx="187">
                  <c:v>11.074655772751745</c:v>
                </c:pt>
                <c:pt idx="188">
                  <c:v>11.16487521711608</c:v>
                </c:pt>
                <c:pt idx="189">
                  <c:v>11.255424413461492</c:v>
                </c:pt>
                <c:pt idx="190">
                  <c:v>11.346303361787982</c:v>
                </c:pt>
                <c:pt idx="191">
                  <c:v>11.437512062095548</c:v>
                </c:pt>
                <c:pt idx="192">
                  <c:v>11.529050514384192</c:v>
                </c:pt>
                <c:pt idx="193">
                  <c:v>11.620918718653913</c:v>
                </c:pt>
                <c:pt idx="194">
                  <c:v>11.713116674904711</c:v>
                </c:pt>
                <c:pt idx="195">
                  <c:v>11.805644383136588</c:v>
                </c:pt>
                <c:pt idx="196">
                  <c:v>11.898501843349543</c:v>
                </c:pt>
                <c:pt idx="197">
                  <c:v>11.991689055543574</c:v>
                </c:pt>
                <c:pt idx="198">
                  <c:v>12.085206019718683</c:v>
                </c:pt>
                <c:pt idx="199">
                  <c:v>12.179052735874869</c:v>
                </c:pt>
                <c:pt idx="200">
                  <c:v>12.273229204012132</c:v>
                </c:pt>
                <c:pt idx="201">
                  <c:v>12.367735424130473</c:v>
                </c:pt>
                <c:pt idx="202">
                  <c:v>12.46257139622989</c:v>
                </c:pt>
                <c:pt idx="203">
                  <c:v>12.557737120310385</c:v>
                </c:pt>
                <c:pt idx="204">
                  <c:v>12.653232596371959</c:v>
                </c:pt>
                <c:pt idx="205">
                  <c:v>12.74905782441461</c:v>
                </c:pt>
                <c:pt idx="206">
                  <c:v>12.845212804438338</c:v>
                </c:pt>
                <c:pt idx="207">
                  <c:v>12.941697536443144</c:v>
                </c:pt>
                <c:pt idx="208">
                  <c:v>13.038512020429026</c:v>
                </c:pt>
                <c:pt idx="209">
                  <c:v>13.135656256395986</c:v>
                </c:pt>
                <c:pt idx="210">
                  <c:v>13.233130244344023</c:v>
                </c:pt>
                <c:pt idx="211">
                  <c:v>13.330933984273138</c:v>
                </c:pt>
                <c:pt idx="212">
                  <c:v>13.429067476183331</c:v>
                </c:pt>
                <c:pt idx="213">
                  <c:v>13.527530720074601</c:v>
                </c:pt>
                <c:pt idx="214">
                  <c:v>13.626323715946949</c:v>
                </c:pt>
                <c:pt idx="215">
                  <c:v>13.725446463800374</c:v>
                </c:pt>
                <c:pt idx="216">
                  <c:v>13.824898963634876</c:v>
                </c:pt>
                <c:pt idx="217">
                  <c:v>13.924681215450455</c:v>
                </c:pt>
                <c:pt idx="218">
                  <c:v>14.024793219247112</c:v>
                </c:pt>
                <c:pt idx="219">
                  <c:v>14.125234975024846</c:v>
                </c:pt>
                <c:pt idx="220">
                  <c:v>14.226006482783657</c:v>
                </c:pt>
                <c:pt idx="221">
                  <c:v>14.327107742523546</c:v>
                </c:pt>
                <c:pt idx="222">
                  <c:v>14.428538754244514</c:v>
                </c:pt>
                <c:pt idx="223">
                  <c:v>14.530299517946558</c:v>
                </c:pt>
                <c:pt idx="224">
                  <c:v>14.632390033629676</c:v>
                </c:pt>
                <c:pt idx="225">
                  <c:v>14.734810301293875</c:v>
                </c:pt>
                <c:pt idx="226">
                  <c:v>14.837560320939151</c:v>
                </c:pt>
                <c:pt idx="227">
                  <c:v>14.940640092565504</c:v>
                </c:pt>
                <c:pt idx="228">
                  <c:v>15.044049616172934</c:v>
                </c:pt>
                <c:pt idx="229">
                  <c:v>15.147788891761444</c:v>
                </c:pt>
                <c:pt idx="230">
                  <c:v>15.25185791933103</c:v>
                </c:pt>
                <c:pt idx="231">
                  <c:v>15.356256698881694</c:v>
                </c:pt>
                <c:pt idx="232">
                  <c:v>15.460985230413435</c:v>
                </c:pt>
                <c:pt idx="233">
                  <c:v>15.566043513926253</c:v>
                </c:pt>
                <c:pt idx="234">
                  <c:v>15.671431549420149</c:v>
                </c:pt>
                <c:pt idx="235">
                  <c:v>15.777149336895121</c:v>
                </c:pt>
                <c:pt idx="236">
                  <c:v>15.883196876351171</c:v>
                </c:pt>
                <c:pt idx="237">
                  <c:v>15.989574167788298</c:v>
                </c:pt>
                <c:pt idx="238">
                  <c:v>16.096281211206502</c:v>
                </c:pt>
                <c:pt idx="239">
                  <c:v>16.203318006605784</c:v>
                </c:pt>
                <c:pt idx="240">
                  <c:v>16.310684553986142</c:v>
                </c:pt>
                <c:pt idx="241">
                  <c:v>16.418380853347578</c:v>
                </c:pt>
                <c:pt idx="242">
                  <c:v>16.526406904690095</c:v>
                </c:pt>
                <c:pt idx="243">
                  <c:v>16.634762708013689</c:v>
                </c:pt>
                <c:pt idx="244">
                  <c:v>16.74344826331836</c:v>
                </c:pt>
                <c:pt idx="245">
                  <c:v>16.852463570604108</c:v>
                </c:pt>
                <c:pt idx="246">
                  <c:v>16.961808629870934</c:v>
                </c:pt>
                <c:pt idx="247">
                  <c:v>17.071483441118836</c:v>
                </c:pt>
                <c:pt idx="248">
                  <c:v>17.181488004347816</c:v>
                </c:pt>
                <c:pt idx="249">
                  <c:v>17.291822319557873</c:v>
                </c:pt>
                <c:pt idx="250">
                  <c:v>17.402486386749008</c:v>
                </c:pt>
                <c:pt idx="251">
                  <c:v>17.513480205921219</c:v>
                </c:pt>
                <c:pt idx="252">
                  <c:v>17.624803777074508</c:v>
                </c:pt>
                <c:pt idx="253">
                  <c:v>17.736457100208874</c:v>
                </c:pt>
                <c:pt idx="254">
                  <c:v>17.848440175324317</c:v>
                </c:pt>
                <c:pt idx="255">
                  <c:v>17.960753002420837</c:v>
                </c:pt>
                <c:pt idx="256">
                  <c:v>18.073395581498435</c:v>
                </c:pt>
                <c:pt idx="257">
                  <c:v>18.18636791255711</c:v>
                </c:pt>
                <c:pt idx="258">
                  <c:v>18.299669995596862</c:v>
                </c:pt>
                <c:pt idx="259">
                  <c:v>18.413301830617691</c:v>
                </c:pt>
                <c:pt idx="260">
                  <c:v>18.527263417619601</c:v>
                </c:pt>
                <c:pt idx="261">
                  <c:v>18.641554756602588</c:v>
                </c:pt>
                <c:pt idx="262">
                  <c:v>18.756175847566652</c:v>
                </c:pt>
                <c:pt idx="263">
                  <c:v>18.871126690511794</c:v>
                </c:pt>
                <c:pt idx="264">
                  <c:v>18.986407285438013</c:v>
                </c:pt>
                <c:pt idx="265">
                  <c:v>19.102017632345309</c:v>
                </c:pt>
                <c:pt idx="266">
                  <c:v>19.217957731233682</c:v>
                </c:pt>
                <c:pt idx="267">
                  <c:v>19.334227582103132</c:v>
                </c:pt>
                <c:pt idx="268">
                  <c:v>19.45082718495366</c:v>
                </c:pt>
                <c:pt idx="269">
                  <c:v>19.567756539785265</c:v>
                </c:pt>
                <c:pt idx="270">
                  <c:v>19.685015646597947</c:v>
                </c:pt>
                <c:pt idx="271">
                  <c:v>19.802604505391706</c:v>
                </c:pt>
                <c:pt idx="272">
                  <c:v>19.920523116166542</c:v>
                </c:pt>
                <c:pt idx="273">
                  <c:v>20.038771478922456</c:v>
                </c:pt>
                <c:pt idx="274">
                  <c:v>20.157349593659447</c:v>
                </c:pt>
                <c:pt idx="275">
                  <c:v>20.276257460377515</c:v>
                </c:pt>
                <c:pt idx="276">
                  <c:v>20.39549507907666</c:v>
                </c:pt>
                <c:pt idx="277">
                  <c:v>20.515062449756886</c:v>
                </c:pt>
                <c:pt idx="278">
                  <c:v>20.63495957241819</c:v>
                </c:pt>
                <c:pt idx="279">
                  <c:v>20.75518644706057</c:v>
                </c:pt>
                <c:pt idx="280">
                  <c:v>20.875743073684028</c:v>
                </c:pt>
                <c:pt idx="281">
                  <c:v>20.996629452288563</c:v>
                </c:pt>
                <c:pt idx="282">
                  <c:v>21.117845582874175</c:v>
                </c:pt>
                <c:pt idx="283">
                  <c:v>21.239391465440864</c:v>
                </c:pt>
                <c:pt idx="284">
                  <c:v>21.36126709998863</c:v>
                </c:pt>
                <c:pt idx="285">
                  <c:v>21.483472486517474</c:v>
                </c:pt>
                <c:pt idx="286">
                  <c:v>21.606007625027395</c:v>
                </c:pt>
                <c:pt idx="287">
                  <c:v>21.728872515518393</c:v>
                </c:pt>
                <c:pt idx="288">
                  <c:v>21.852067157990469</c:v>
                </c:pt>
                <c:pt idx="289">
                  <c:v>21.975591552443618</c:v>
                </c:pt>
                <c:pt idx="290">
                  <c:v>22.099445698877847</c:v>
                </c:pt>
                <c:pt idx="291">
                  <c:v>22.223629597293154</c:v>
                </c:pt>
                <c:pt idx="292">
                  <c:v>22.348143247689546</c:v>
                </c:pt>
                <c:pt idx="293">
                  <c:v>22.472986650067003</c:v>
                </c:pt>
                <c:pt idx="294">
                  <c:v>22.598159804425549</c:v>
                </c:pt>
                <c:pt idx="295">
                  <c:v>22.723662710765161</c:v>
                </c:pt>
                <c:pt idx="296">
                  <c:v>22.849495369085862</c:v>
                </c:pt>
                <c:pt idx="297">
                  <c:v>22.975657779387632</c:v>
                </c:pt>
                <c:pt idx="298">
                  <c:v>23.102149941670486</c:v>
                </c:pt>
                <c:pt idx="299">
                  <c:v>23.228971855934411</c:v>
                </c:pt>
                <c:pt idx="300">
                  <c:v>23.35612352217942</c:v>
                </c:pt>
                <c:pt idx="301">
                  <c:v>23.483604940405499</c:v>
                </c:pt>
                <c:pt idx="302">
                  <c:v>23.611416110612662</c:v>
                </c:pt>
                <c:pt idx="303">
                  <c:v>23.739557032800896</c:v>
                </c:pt>
                <c:pt idx="304">
                  <c:v>23.868027706970214</c:v>
                </c:pt>
                <c:pt idx="305">
                  <c:v>23.996828133120601</c:v>
                </c:pt>
                <c:pt idx="306">
                  <c:v>24.125958311252074</c:v>
                </c:pt>
                <c:pt idx="307">
                  <c:v>24.255418241364616</c:v>
                </c:pt>
                <c:pt idx="308">
                  <c:v>24.385207923458246</c:v>
                </c:pt>
                <c:pt idx="309">
                  <c:v>24.515327357532943</c:v>
                </c:pt>
                <c:pt idx="310">
                  <c:v>24.645776543588727</c:v>
                </c:pt>
                <c:pt idx="311">
                  <c:v>24.776555481625579</c:v>
                </c:pt>
                <c:pt idx="312">
                  <c:v>24.907664171643518</c:v>
                </c:pt>
                <c:pt idx="313">
                  <c:v>25.039102613642523</c:v>
                </c:pt>
                <c:pt idx="314">
                  <c:v>25.170870807622617</c:v>
                </c:pt>
                <c:pt idx="315">
                  <c:v>25.30296875358378</c:v>
                </c:pt>
                <c:pt idx="316">
                  <c:v>25.435396451526028</c:v>
                </c:pt>
                <c:pt idx="317">
                  <c:v>25.568153901449346</c:v>
                </c:pt>
                <c:pt idx="318">
                  <c:v>25.701241103353748</c:v>
                </c:pt>
                <c:pt idx="319">
                  <c:v>25.834658057239221</c:v>
                </c:pt>
                <c:pt idx="320">
                  <c:v>25.968404763105777</c:v>
                </c:pt>
                <c:pt idx="321">
                  <c:v>26.102481220953404</c:v>
                </c:pt>
                <c:pt idx="322">
                  <c:v>26.236887430782108</c:v>
                </c:pt>
                <c:pt idx="323">
                  <c:v>26.371623392591896</c:v>
                </c:pt>
                <c:pt idx="324">
                  <c:v>26.506689106382755</c:v>
                </c:pt>
                <c:pt idx="325">
                  <c:v>26.642084572154701</c:v>
                </c:pt>
                <c:pt idx="326">
                  <c:v>26.777809789907714</c:v>
                </c:pt>
                <c:pt idx="327">
                  <c:v>26.913864759641815</c:v>
                </c:pt>
                <c:pt idx="328">
                  <c:v>27.050249481356982</c:v>
                </c:pt>
                <c:pt idx="329">
                  <c:v>27.186963955053237</c:v>
                </c:pt>
                <c:pt idx="330">
                  <c:v>27.324008180730559</c:v>
                </c:pt>
                <c:pt idx="331">
                  <c:v>27.461382158388968</c:v>
                </c:pt>
                <c:pt idx="332">
                  <c:v>27.599085888028444</c:v>
                </c:pt>
                <c:pt idx="333">
                  <c:v>27.737119369649008</c:v>
                </c:pt>
                <c:pt idx="334">
                  <c:v>27.875482603250642</c:v>
                </c:pt>
                <c:pt idx="335">
                  <c:v>28.014175588833361</c:v>
                </c:pt>
                <c:pt idx="336">
                  <c:v>28.153198326397149</c:v>
                </c:pt>
                <c:pt idx="337">
                  <c:v>28.292550815942022</c:v>
                </c:pt>
                <c:pt idx="338">
                  <c:v>28.432233057467965</c:v>
                </c:pt>
                <c:pt idx="339">
                  <c:v>28.572245050974992</c:v>
                </c:pt>
                <c:pt idx="340">
                  <c:v>28.712586796463089</c:v>
                </c:pt>
                <c:pt idx="341">
                  <c:v>28.853258293932274</c:v>
                </c:pt>
                <c:pt idx="342">
                  <c:v>28.994259543382526</c:v>
                </c:pt>
                <c:pt idx="343">
                  <c:v>29.135590544813866</c:v>
                </c:pt>
                <c:pt idx="344">
                  <c:v>29.277251298226272</c:v>
                </c:pt>
                <c:pt idx="345">
                  <c:v>29.419241803619766</c:v>
                </c:pt>
                <c:pt idx="346">
                  <c:v>29.561562060994326</c:v>
                </c:pt>
                <c:pt idx="347">
                  <c:v>29.704212070349975</c:v>
                </c:pt>
                <c:pt idx="348">
                  <c:v>29.84719183168669</c:v>
                </c:pt>
                <c:pt idx="349">
                  <c:v>29.990501345004493</c:v>
                </c:pt>
                <c:pt idx="350">
                  <c:v>30.134140610303362</c:v>
                </c:pt>
                <c:pt idx="351">
                  <c:v>30.278109627583319</c:v>
                </c:pt>
                <c:pt idx="352">
                  <c:v>30.422408396844347</c:v>
                </c:pt>
                <c:pt idx="353">
                  <c:v>30.567036918086458</c:v>
                </c:pt>
                <c:pt idx="354">
                  <c:v>30.71199519130964</c:v>
                </c:pt>
                <c:pt idx="355">
                  <c:v>30.857283216513906</c:v>
                </c:pt>
                <c:pt idx="356">
                  <c:v>31.002900993699242</c:v>
                </c:pt>
                <c:pt idx="357">
                  <c:v>31.148848522865666</c:v>
                </c:pt>
                <c:pt idx="358">
                  <c:v>31.295125804013157</c:v>
                </c:pt>
                <c:pt idx="359">
                  <c:v>31.441732837141736</c:v>
                </c:pt>
                <c:pt idx="360">
                  <c:v>31.588669622251381</c:v>
                </c:pt>
                <c:pt idx="361">
                  <c:v>31.735936159342113</c:v>
                </c:pt>
                <c:pt idx="362">
                  <c:v>31.883532448413913</c:v>
                </c:pt>
                <c:pt idx="363">
                  <c:v>32.0314584894668</c:v>
                </c:pt>
                <c:pt idx="364">
                  <c:v>32.179714282500761</c:v>
                </c:pt>
                <c:pt idx="365">
                  <c:v>32.328299827515806</c:v>
                </c:pt>
                <c:pt idx="366">
                  <c:v>32.477215124511922</c:v>
                </c:pt>
                <c:pt idx="367">
                  <c:v>32.626460173489122</c:v>
                </c:pt>
                <c:pt idx="368">
                  <c:v>32.776034974447391</c:v>
                </c:pt>
                <c:pt idx="369">
                  <c:v>32.925939527386745</c:v>
                </c:pt>
                <c:pt idx="370">
                  <c:v>33.07617383230717</c:v>
                </c:pt>
                <c:pt idx="371">
                  <c:v>33.226737889208678</c:v>
                </c:pt>
                <c:pt idx="372">
                  <c:v>33.377631698091257</c:v>
                </c:pt>
                <c:pt idx="373">
                  <c:v>33.52885525895492</c:v>
                </c:pt>
                <c:pt idx="374">
                  <c:v>33.680408571799653</c:v>
                </c:pt>
                <c:pt idx="375">
                  <c:v>33.83229163662547</c:v>
                </c:pt>
                <c:pt idx="376">
                  <c:v>33.984504453432358</c:v>
                </c:pt>
                <c:pt idx="377">
                  <c:v>34.137047022220329</c:v>
                </c:pt>
                <c:pt idx="378">
                  <c:v>34.289919342989371</c:v>
                </c:pt>
                <c:pt idx="379">
                  <c:v>34.443121415739498</c:v>
                </c:pt>
                <c:pt idx="380">
                  <c:v>34.596653240470694</c:v>
                </c:pt>
                <c:pt idx="381">
                  <c:v>34.750514817182975</c:v>
                </c:pt>
                <c:pt idx="382">
                  <c:v>34.904706145876325</c:v>
                </c:pt>
                <c:pt idx="383">
                  <c:v>35.059227226550767</c:v>
                </c:pt>
                <c:pt idx="384">
                  <c:v>35.214078059206273</c:v>
                </c:pt>
                <c:pt idx="385">
                  <c:v>35.369258643842855</c:v>
                </c:pt>
                <c:pt idx="386">
                  <c:v>35.524768980460529</c:v>
                </c:pt>
                <c:pt idx="387">
                  <c:v>35.680609069059265</c:v>
                </c:pt>
                <c:pt idx="388">
                  <c:v>35.836778909639094</c:v>
                </c:pt>
                <c:pt idx="389">
                  <c:v>35.993278502199985</c:v>
                </c:pt>
                <c:pt idx="390">
                  <c:v>36.150107846741967</c:v>
                </c:pt>
                <c:pt idx="391">
                  <c:v>36.307266943265013</c:v>
                </c:pt>
                <c:pt idx="392">
                  <c:v>36.46475579176915</c:v>
                </c:pt>
                <c:pt idx="393">
                  <c:v>36.62257439225435</c:v>
                </c:pt>
                <c:pt idx="394">
                  <c:v>36.780722744720642</c:v>
                </c:pt>
                <c:pt idx="395">
                  <c:v>36.939200849167996</c:v>
                </c:pt>
                <c:pt idx="396">
                  <c:v>37.098008705596442</c:v>
                </c:pt>
                <c:pt idx="397">
                  <c:v>37.257146314005958</c:v>
                </c:pt>
                <c:pt idx="398">
                  <c:v>37.416613674396558</c:v>
                </c:pt>
                <c:pt idx="399">
                  <c:v>37.576410786768228</c:v>
                </c:pt>
                <c:pt idx="400">
                  <c:v>37.736537651120983</c:v>
                </c:pt>
                <c:pt idx="401">
                  <c:v>37.896994267454808</c:v>
                </c:pt>
                <c:pt idx="402">
                  <c:v>38.057780635769717</c:v>
                </c:pt>
                <c:pt idx="403">
                  <c:v>38.218896756065696</c:v>
                </c:pt>
                <c:pt idx="404">
                  <c:v>38.38034262834276</c:v>
                </c:pt>
                <c:pt idx="405">
                  <c:v>38.542118252600893</c:v>
                </c:pt>
                <c:pt idx="406">
                  <c:v>38.704223628840111</c:v>
                </c:pt>
                <c:pt idx="407">
                  <c:v>38.866658757060399</c:v>
                </c:pt>
                <c:pt idx="408">
                  <c:v>39.029423637261772</c:v>
                </c:pt>
                <c:pt idx="409">
                  <c:v>39.192518269444214</c:v>
                </c:pt>
                <c:pt idx="410">
                  <c:v>39.355942653607741</c:v>
                </c:pt>
                <c:pt idx="411">
                  <c:v>39.519696789752338</c:v>
                </c:pt>
                <c:pt idx="412">
                  <c:v>39.683780677878019</c:v>
                </c:pt>
                <c:pt idx="413">
                  <c:v>39.84819431798477</c:v>
                </c:pt>
                <c:pt idx="414">
                  <c:v>40.012937710072606</c:v>
                </c:pt>
                <c:pt idx="415">
                  <c:v>40.178017977537912</c:v>
                </c:pt>
                <c:pt idx="416">
                  <c:v>40.361306950783039</c:v>
                </c:pt>
                <c:pt idx="417">
                  <c:v>41.033068930777581</c:v>
                </c:pt>
                <c:pt idx="418">
                  <c:v>41.709411631902682</c:v>
                </c:pt>
                <c:pt idx="419">
                  <c:v>42.390335054158356</c:v>
                </c:pt>
                <c:pt idx="420">
                  <c:v>43.075839197544582</c:v>
                </c:pt>
                <c:pt idx="421">
                  <c:v>43.765924062061373</c:v>
                </c:pt>
                <c:pt idx="422">
                  <c:v>44.460589647708723</c:v>
                </c:pt>
                <c:pt idx="423">
                  <c:v>45.159835954486631</c:v>
                </c:pt>
                <c:pt idx="424">
                  <c:v>45.863662982395113</c:v>
                </c:pt>
                <c:pt idx="425">
                  <c:v>46.572070731434145</c:v>
                </c:pt>
                <c:pt idx="426">
                  <c:v>47.285059201603737</c:v>
                </c:pt>
                <c:pt idx="427">
                  <c:v>48.002628392903894</c:v>
                </c:pt>
                <c:pt idx="428">
                  <c:v>48.724778305334624</c:v>
                </c:pt>
                <c:pt idx="429">
                  <c:v>49.451508938895898</c:v>
                </c:pt>
                <c:pt idx="430">
                  <c:v>50.182820293587739</c:v>
                </c:pt>
                <c:pt idx="431">
                  <c:v>50.918712369410137</c:v>
                </c:pt>
                <c:pt idx="432">
                  <c:v>51.659185166363095</c:v>
                </c:pt>
                <c:pt idx="433">
                  <c:v>52.404238684446632</c:v>
                </c:pt>
                <c:pt idx="434">
                  <c:v>53.153872923660714</c:v>
                </c:pt>
                <c:pt idx="435">
                  <c:v>53.908087884005361</c:v>
                </c:pt>
                <c:pt idx="436">
                  <c:v>54.666883565480568</c:v>
                </c:pt>
              </c:numCache>
            </c:numRef>
          </c:yVal>
          <c:smooth val="0"/>
          <c:extLst>
            <c:ext xmlns:c16="http://schemas.microsoft.com/office/drawing/2014/chart" uri="{C3380CC4-5D6E-409C-BE32-E72D297353CC}">
              <c16:uniqueId val="{00000000-6D1C-430B-A934-E8986DF39C83}"/>
            </c:ext>
          </c:extLst>
        </c:ser>
        <c:dLbls>
          <c:showLegendKey val="0"/>
          <c:showVal val="0"/>
          <c:showCatName val="0"/>
          <c:showSerName val="0"/>
          <c:showPercent val="0"/>
          <c:showBubbleSize val="0"/>
        </c:dLbls>
        <c:axId val="640063856"/>
        <c:axId val="640064640"/>
      </c:scatterChart>
      <c:valAx>
        <c:axId val="640063856"/>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4640"/>
        <c:crosses val="autoZero"/>
        <c:crossBetween val="midCat"/>
      </c:valAx>
      <c:valAx>
        <c:axId val="6400646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3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Momento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'SOLLECITAZ NASCOSTO'!$C$32:$C$468</c:f>
              <c:numCache>
                <c:formatCode>0.000</c:formatCode>
                <c:ptCount val="437"/>
                <c:pt idx="0">
                  <c:v>0</c:v>
                </c:pt>
                <c:pt idx="1">
                  <c:v>6.8509615384615384E-3</c:v>
                </c:pt>
                <c:pt idx="2">
                  <c:v>1.3701923076923077E-2</c:v>
                </c:pt>
                <c:pt idx="3">
                  <c:v>2.0552884615384615E-2</c:v>
                </c:pt>
                <c:pt idx="4">
                  <c:v>2.7403846153846154E-2</c:v>
                </c:pt>
                <c:pt idx="5">
                  <c:v>3.4254807692307696E-2</c:v>
                </c:pt>
                <c:pt idx="6">
                  <c:v>4.110576923076923E-2</c:v>
                </c:pt>
                <c:pt idx="7">
                  <c:v>4.7956730769230765E-2</c:v>
                </c:pt>
                <c:pt idx="8">
                  <c:v>5.4807692307692307E-2</c:v>
                </c:pt>
                <c:pt idx="9">
                  <c:v>6.1658653846153849E-2</c:v>
                </c:pt>
                <c:pt idx="10">
                  <c:v>6.8509615384615391E-2</c:v>
                </c:pt>
                <c:pt idx="11">
                  <c:v>7.5360576923076919E-2</c:v>
                </c:pt>
                <c:pt idx="12">
                  <c:v>8.2211538461538461E-2</c:v>
                </c:pt>
                <c:pt idx="13">
                  <c:v>8.9062500000000003E-2</c:v>
                </c:pt>
                <c:pt idx="14">
                  <c:v>9.5913461538461531E-2</c:v>
                </c:pt>
                <c:pt idx="15">
                  <c:v>0.10276442307692307</c:v>
                </c:pt>
                <c:pt idx="16">
                  <c:v>0.10961538461538461</c:v>
                </c:pt>
                <c:pt idx="17">
                  <c:v>0.11646634615384616</c:v>
                </c:pt>
                <c:pt idx="18">
                  <c:v>0.1233173076923077</c:v>
                </c:pt>
                <c:pt idx="19">
                  <c:v>0.13016826923076924</c:v>
                </c:pt>
                <c:pt idx="20">
                  <c:v>0.13701923076923078</c:v>
                </c:pt>
                <c:pt idx="21">
                  <c:v>0.1438701923076923</c:v>
                </c:pt>
                <c:pt idx="22">
                  <c:v>0.15072115384615384</c:v>
                </c:pt>
                <c:pt idx="23">
                  <c:v>0.15757211538461538</c:v>
                </c:pt>
                <c:pt idx="24">
                  <c:v>0.16442307692307692</c:v>
                </c:pt>
                <c:pt idx="25">
                  <c:v>0.17127403846153846</c:v>
                </c:pt>
                <c:pt idx="26">
                  <c:v>0.17812500000000001</c:v>
                </c:pt>
                <c:pt idx="27">
                  <c:v>0.18497596153846155</c:v>
                </c:pt>
                <c:pt idx="28">
                  <c:v>0.19182692307692306</c:v>
                </c:pt>
                <c:pt idx="29">
                  <c:v>0.1986778846153846</c:v>
                </c:pt>
                <c:pt idx="30">
                  <c:v>0.20552884615384615</c:v>
                </c:pt>
                <c:pt idx="31">
                  <c:v>0.21237980769230769</c:v>
                </c:pt>
                <c:pt idx="32">
                  <c:v>0.21923076923076923</c:v>
                </c:pt>
                <c:pt idx="33">
                  <c:v>0.22608173076923077</c:v>
                </c:pt>
                <c:pt idx="34">
                  <c:v>0.23293269230769231</c:v>
                </c:pt>
                <c:pt idx="35">
                  <c:v>0.23978365384615385</c:v>
                </c:pt>
                <c:pt idx="36">
                  <c:v>0.2466346153846154</c:v>
                </c:pt>
                <c:pt idx="37">
                  <c:v>0.25348557692307694</c:v>
                </c:pt>
                <c:pt idx="38">
                  <c:v>0.26033653846153848</c:v>
                </c:pt>
                <c:pt idx="39">
                  <c:v>0.26718750000000002</c:v>
                </c:pt>
                <c:pt idx="40">
                  <c:v>0.27403846153846156</c:v>
                </c:pt>
                <c:pt idx="41">
                  <c:v>0.28088942307692305</c:v>
                </c:pt>
                <c:pt idx="42">
                  <c:v>0.28774038461538459</c:v>
                </c:pt>
                <c:pt idx="43">
                  <c:v>0.29459134615384613</c:v>
                </c:pt>
                <c:pt idx="44">
                  <c:v>0.30144230769230768</c:v>
                </c:pt>
                <c:pt idx="45">
                  <c:v>0.30829326923076922</c:v>
                </c:pt>
                <c:pt idx="46">
                  <c:v>0.31514423076923076</c:v>
                </c:pt>
                <c:pt idx="47">
                  <c:v>0.3219951923076923</c:v>
                </c:pt>
                <c:pt idx="48">
                  <c:v>0.32884615384615384</c:v>
                </c:pt>
                <c:pt idx="49">
                  <c:v>0.33569711538461539</c:v>
                </c:pt>
                <c:pt idx="50">
                  <c:v>0.34254807692307693</c:v>
                </c:pt>
                <c:pt idx="51">
                  <c:v>0.34939903846153847</c:v>
                </c:pt>
                <c:pt idx="52">
                  <c:v>0.35625000000000001</c:v>
                </c:pt>
                <c:pt idx="53">
                  <c:v>0.36310096153846155</c:v>
                </c:pt>
                <c:pt idx="54">
                  <c:v>0.36995192307692309</c:v>
                </c:pt>
                <c:pt idx="55">
                  <c:v>0.37680288461538464</c:v>
                </c:pt>
                <c:pt idx="56">
                  <c:v>0.38365384615384612</c:v>
                </c:pt>
                <c:pt idx="57">
                  <c:v>0.39050480769230766</c:v>
                </c:pt>
                <c:pt idx="58">
                  <c:v>0.39735576923076921</c:v>
                </c:pt>
                <c:pt idx="59">
                  <c:v>0.40420673076923075</c:v>
                </c:pt>
                <c:pt idx="60">
                  <c:v>0.41105769230769229</c:v>
                </c:pt>
                <c:pt idx="61">
                  <c:v>0.41790865384615383</c:v>
                </c:pt>
                <c:pt idx="62">
                  <c:v>0.42475961538461537</c:v>
                </c:pt>
                <c:pt idx="63">
                  <c:v>0.43161057692307692</c:v>
                </c:pt>
                <c:pt idx="64">
                  <c:v>0.43846153846153846</c:v>
                </c:pt>
                <c:pt idx="65">
                  <c:v>0.4453125</c:v>
                </c:pt>
                <c:pt idx="66">
                  <c:v>0.45216346153846154</c:v>
                </c:pt>
                <c:pt idx="67">
                  <c:v>0.45901442307692308</c:v>
                </c:pt>
                <c:pt idx="68">
                  <c:v>0.46586538461538463</c:v>
                </c:pt>
                <c:pt idx="69">
                  <c:v>0.47271634615384617</c:v>
                </c:pt>
                <c:pt idx="70">
                  <c:v>0.47956730769230771</c:v>
                </c:pt>
                <c:pt idx="71">
                  <c:v>0.48641826923076925</c:v>
                </c:pt>
                <c:pt idx="72">
                  <c:v>0.49326923076923079</c:v>
                </c:pt>
                <c:pt idx="73">
                  <c:v>0.50012019230769234</c:v>
                </c:pt>
                <c:pt idx="74">
                  <c:v>0.50697115384615388</c:v>
                </c:pt>
                <c:pt idx="75">
                  <c:v>0.51382211538461542</c:v>
                </c:pt>
                <c:pt idx="76">
                  <c:v>0.52067307692307696</c:v>
                </c:pt>
                <c:pt idx="77">
                  <c:v>0.5275240384615385</c:v>
                </c:pt>
                <c:pt idx="78">
                  <c:v>0.53437500000000004</c:v>
                </c:pt>
                <c:pt idx="79">
                  <c:v>0.54122596153846159</c:v>
                </c:pt>
                <c:pt idx="80">
                  <c:v>0.54807692307692313</c:v>
                </c:pt>
                <c:pt idx="81">
                  <c:v>0.55492788461538456</c:v>
                </c:pt>
                <c:pt idx="82">
                  <c:v>0.5617788461538461</c:v>
                </c:pt>
                <c:pt idx="83">
                  <c:v>0.56862980769230764</c:v>
                </c:pt>
                <c:pt idx="84">
                  <c:v>0.57548076923076918</c:v>
                </c:pt>
                <c:pt idx="85">
                  <c:v>0.58233173076923073</c:v>
                </c:pt>
                <c:pt idx="86">
                  <c:v>0.58918269230769227</c:v>
                </c:pt>
                <c:pt idx="87">
                  <c:v>0.59603365384615381</c:v>
                </c:pt>
                <c:pt idx="88">
                  <c:v>0.60288461538461535</c:v>
                </c:pt>
                <c:pt idx="89">
                  <c:v>0.60973557692307689</c:v>
                </c:pt>
                <c:pt idx="90">
                  <c:v>0.61658653846153844</c:v>
                </c:pt>
                <c:pt idx="91">
                  <c:v>0.62343749999999998</c:v>
                </c:pt>
                <c:pt idx="92">
                  <c:v>0.63028846153846152</c:v>
                </c:pt>
                <c:pt idx="93">
                  <c:v>0.63713942307692306</c:v>
                </c:pt>
                <c:pt idx="94">
                  <c:v>0.6439903846153846</c:v>
                </c:pt>
                <c:pt idx="95">
                  <c:v>0.65084134615384615</c:v>
                </c:pt>
                <c:pt idx="96">
                  <c:v>0.65769230769230769</c:v>
                </c:pt>
                <c:pt idx="97">
                  <c:v>0.66454326923076923</c:v>
                </c:pt>
                <c:pt idx="98">
                  <c:v>0.67139423076923077</c:v>
                </c:pt>
                <c:pt idx="99">
                  <c:v>0.67824519230769231</c:v>
                </c:pt>
                <c:pt idx="100">
                  <c:v>0.68509615384615385</c:v>
                </c:pt>
                <c:pt idx="101">
                  <c:v>0.6919471153846154</c:v>
                </c:pt>
                <c:pt idx="102">
                  <c:v>0.69879807692307694</c:v>
                </c:pt>
                <c:pt idx="103">
                  <c:v>0.70564903846153848</c:v>
                </c:pt>
                <c:pt idx="104">
                  <c:v>0.71250000000000002</c:v>
                </c:pt>
                <c:pt idx="105">
                  <c:v>0.71935096153846156</c:v>
                </c:pt>
                <c:pt idx="106">
                  <c:v>0.72620192307692311</c:v>
                </c:pt>
                <c:pt idx="107">
                  <c:v>0.73305288461538465</c:v>
                </c:pt>
                <c:pt idx="108">
                  <c:v>0.73990384615384619</c:v>
                </c:pt>
                <c:pt idx="109">
                  <c:v>0.74675480769230773</c:v>
                </c:pt>
                <c:pt idx="110">
                  <c:v>0.75360576923076927</c:v>
                </c:pt>
                <c:pt idx="111">
                  <c:v>0.76045673076923082</c:v>
                </c:pt>
                <c:pt idx="112">
                  <c:v>0.76730769230769225</c:v>
                </c:pt>
                <c:pt idx="113">
                  <c:v>0.77415865384615379</c:v>
                </c:pt>
                <c:pt idx="114">
                  <c:v>0.78100961538461533</c:v>
                </c:pt>
                <c:pt idx="115">
                  <c:v>0.78786057692307687</c:v>
                </c:pt>
                <c:pt idx="116">
                  <c:v>0.79471153846153841</c:v>
                </c:pt>
                <c:pt idx="117">
                  <c:v>0.80156249999999996</c:v>
                </c:pt>
                <c:pt idx="118">
                  <c:v>0.8084134615384615</c:v>
                </c:pt>
                <c:pt idx="119">
                  <c:v>0.81526442307692304</c:v>
                </c:pt>
                <c:pt idx="120">
                  <c:v>0.82211538461538458</c:v>
                </c:pt>
                <c:pt idx="121">
                  <c:v>0.82896634615384612</c:v>
                </c:pt>
                <c:pt idx="122">
                  <c:v>0.83581730769230766</c:v>
                </c:pt>
                <c:pt idx="123">
                  <c:v>0.84266826923076921</c:v>
                </c:pt>
                <c:pt idx="124">
                  <c:v>0.84951923076923075</c:v>
                </c:pt>
                <c:pt idx="125">
                  <c:v>0.85637019230769229</c:v>
                </c:pt>
                <c:pt idx="126">
                  <c:v>0.86322115384615383</c:v>
                </c:pt>
                <c:pt idx="127">
                  <c:v>0.87007211538461537</c:v>
                </c:pt>
                <c:pt idx="128">
                  <c:v>0.87692307692307692</c:v>
                </c:pt>
                <c:pt idx="129">
                  <c:v>0.88377403846153846</c:v>
                </c:pt>
                <c:pt idx="130">
                  <c:v>0.890625</c:v>
                </c:pt>
                <c:pt idx="131">
                  <c:v>0.89747596153846154</c:v>
                </c:pt>
                <c:pt idx="132">
                  <c:v>0.90432692307692308</c:v>
                </c:pt>
                <c:pt idx="133">
                  <c:v>0.91117788461538463</c:v>
                </c:pt>
                <c:pt idx="134">
                  <c:v>0.91802884615384617</c:v>
                </c:pt>
                <c:pt idx="135">
                  <c:v>0.92487980769230771</c:v>
                </c:pt>
                <c:pt idx="136">
                  <c:v>0.93173076923076925</c:v>
                </c:pt>
                <c:pt idx="137">
                  <c:v>0.93858173076923079</c:v>
                </c:pt>
                <c:pt idx="138">
                  <c:v>0.94543269230769234</c:v>
                </c:pt>
                <c:pt idx="139">
                  <c:v>0.95228365384615388</c:v>
                </c:pt>
                <c:pt idx="140">
                  <c:v>0.95913461538461542</c:v>
                </c:pt>
                <c:pt idx="141">
                  <c:v>0.96598557692307696</c:v>
                </c:pt>
                <c:pt idx="142">
                  <c:v>0.9728365384615385</c:v>
                </c:pt>
                <c:pt idx="143">
                  <c:v>0.97968750000000004</c:v>
                </c:pt>
                <c:pt idx="144">
                  <c:v>0.98653846153846159</c:v>
                </c:pt>
                <c:pt idx="145">
                  <c:v>0.99338942307692302</c:v>
                </c:pt>
                <c:pt idx="146">
                  <c:v>1.0002403846153847</c:v>
                </c:pt>
                <c:pt idx="147">
                  <c:v>1.0070913461538462</c:v>
                </c:pt>
                <c:pt idx="148">
                  <c:v>1.0139423076923078</c:v>
                </c:pt>
                <c:pt idx="149">
                  <c:v>1.0207932692307693</c:v>
                </c:pt>
                <c:pt idx="150">
                  <c:v>1.0276442307692308</c:v>
                </c:pt>
                <c:pt idx="151">
                  <c:v>1.0344951923076924</c:v>
                </c:pt>
                <c:pt idx="152">
                  <c:v>1.0413461538461539</c:v>
                </c:pt>
                <c:pt idx="153">
                  <c:v>1.0481971153846155</c:v>
                </c:pt>
                <c:pt idx="154">
                  <c:v>1.055048076923077</c:v>
                </c:pt>
                <c:pt idx="155">
                  <c:v>1.0618990384615385</c:v>
                </c:pt>
                <c:pt idx="156">
                  <c:v>1.0687500000000001</c:v>
                </c:pt>
                <c:pt idx="157">
                  <c:v>1.0756009615384616</c:v>
                </c:pt>
                <c:pt idx="158">
                  <c:v>1.0824519230769232</c:v>
                </c:pt>
                <c:pt idx="159">
                  <c:v>1.0893028846153847</c:v>
                </c:pt>
                <c:pt idx="160">
                  <c:v>1.0961538461538463</c:v>
                </c:pt>
                <c:pt idx="161">
                  <c:v>1.1030048076923076</c:v>
                </c:pt>
                <c:pt idx="162">
                  <c:v>1.1098557692307691</c:v>
                </c:pt>
                <c:pt idx="163">
                  <c:v>1.1167067307692307</c:v>
                </c:pt>
                <c:pt idx="164">
                  <c:v>1.1235576923076922</c:v>
                </c:pt>
                <c:pt idx="165">
                  <c:v>1.1304086538461537</c:v>
                </c:pt>
                <c:pt idx="166">
                  <c:v>1.1372596153846153</c:v>
                </c:pt>
                <c:pt idx="167">
                  <c:v>1.1441105769230768</c:v>
                </c:pt>
                <c:pt idx="168">
                  <c:v>1.1509615384615384</c:v>
                </c:pt>
                <c:pt idx="169">
                  <c:v>1.1578124999999999</c:v>
                </c:pt>
                <c:pt idx="170">
                  <c:v>1.1646634615384615</c:v>
                </c:pt>
                <c:pt idx="171">
                  <c:v>1.171514423076923</c:v>
                </c:pt>
                <c:pt idx="172">
                  <c:v>1.1783653846153845</c:v>
                </c:pt>
                <c:pt idx="173">
                  <c:v>1.1852163461538461</c:v>
                </c:pt>
                <c:pt idx="174">
                  <c:v>1.1920673076923076</c:v>
                </c:pt>
                <c:pt idx="175">
                  <c:v>1.1989182692307692</c:v>
                </c:pt>
                <c:pt idx="176">
                  <c:v>1.2057692307692307</c:v>
                </c:pt>
                <c:pt idx="177">
                  <c:v>1.2126201923076922</c:v>
                </c:pt>
                <c:pt idx="178">
                  <c:v>1.2194711538461538</c:v>
                </c:pt>
                <c:pt idx="179">
                  <c:v>1.2263221153846153</c:v>
                </c:pt>
                <c:pt idx="180">
                  <c:v>1.2331730769230769</c:v>
                </c:pt>
                <c:pt idx="181">
                  <c:v>1.2400240384615384</c:v>
                </c:pt>
                <c:pt idx="182">
                  <c:v>1.246875</c:v>
                </c:pt>
                <c:pt idx="183">
                  <c:v>1.2537259615384615</c:v>
                </c:pt>
                <c:pt idx="184">
                  <c:v>1.260576923076923</c:v>
                </c:pt>
                <c:pt idx="185">
                  <c:v>1.2674278846153846</c:v>
                </c:pt>
                <c:pt idx="186">
                  <c:v>1.2742788461538461</c:v>
                </c:pt>
                <c:pt idx="187">
                  <c:v>1.2811298076923077</c:v>
                </c:pt>
                <c:pt idx="188">
                  <c:v>1.2879807692307692</c:v>
                </c:pt>
                <c:pt idx="189">
                  <c:v>1.2948317307692307</c:v>
                </c:pt>
                <c:pt idx="190">
                  <c:v>1.3016826923076923</c:v>
                </c:pt>
                <c:pt idx="191">
                  <c:v>1.3085336538461538</c:v>
                </c:pt>
                <c:pt idx="192">
                  <c:v>1.3153846153846154</c:v>
                </c:pt>
                <c:pt idx="193">
                  <c:v>1.3222355769230769</c:v>
                </c:pt>
                <c:pt idx="194">
                  <c:v>1.3290865384615385</c:v>
                </c:pt>
                <c:pt idx="195">
                  <c:v>1.3359375</c:v>
                </c:pt>
                <c:pt idx="196">
                  <c:v>1.3427884615384615</c:v>
                </c:pt>
                <c:pt idx="197">
                  <c:v>1.3496394230769231</c:v>
                </c:pt>
                <c:pt idx="198">
                  <c:v>1.3564903846153846</c:v>
                </c:pt>
                <c:pt idx="199">
                  <c:v>1.3633413461538462</c:v>
                </c:pt>
                <c:pt idx="200">
                  <c:v>1.3701923076923077</c:v>
                </c:pt>
                <c:pt idx="201">
                  <c:v>1.3770432692307693</c:v>
                </c:pt>
                <c:pt idx="202">
                  <c:v>1.3838942307692308</c:v>
                </c:pt>
                <c:pt idx="203">
                  <c:v>1.3907451923076923</c:v>
                </c:pt>
                <c:pt idx="204">
                  <c:v>1.3975961538461539</c:v>
                </c:pt>
                <c:pt idx="205">
                  <c:v>1.4044471153846154</c:v>
                </c:pt>
                <c:pt idx="206">
                  <c:v>1.411298076923077</c:v>
                </c:pt>
                <c:pt idx="207">
                  <c:v>1.4181490384615385</c:v>
                </c:pt>
                <c:pt idx="208">
                  <c:v>1.425</c:v>
                </c:pt>
                <c:pt idx="209">
                  <c:v>1.4318509615384616</c:v>
                </c:pt>
                <c:pt idx="210">
                  <c:v>1.4387019230769231</c:v>
                </c:pt>
                <c:pt idx="211">
                  <c:v>1.4455528846153847</c:v>
                </c:pt>
                <c:pt idx="212">
                  <c:v>1.4524038461538462</c:v>
                </c:pt>
                <c:pt idx="213">
                  <c:v>1.4592548076923078</c:v>
                </c:pt>
                <c:pt idx="214">
                  <c:v>1.4661057692307693</c:v>
                </c:pt>
                <c:pt idx="215">
                  <c:v>1.4729567307692308</c:v>
                </c:pt>
                <c:pt idx="216">
                  <c:v>1.4798076923076924</c:v>
                </c:pt>
                <c:pt idx="217">
                  <c:v>1.4866586538461539</c:v>
                </c:pt>
                <c:pt idx="218">
                  <c:v>1.4935096153846155</c:v>
                </c:pt>
                <c:pt idx="219">
                  <c:v>1.500360576923077</c:v>
                </c:pt>
                <c:pt idx="220">
                  <c:v>1.5072115384615385</c:v>
                </c:pt>
                <c:pt idx="221">
                  <c:v>1.5140625000000001</c:v>
                </c:pt>
                <c:pt idx="222">
                  <c:v>1.5209134615384616</c:v>
                </c:pt>
                <c:pt idx="223">
                  <c:v>1.5277644230769232</c:v>
                </c:pt>
                <c:pt idx="224">
                  <c:v>1.5346153846153845</c:v>
                </c:pt>
                <c:pt idx="225">
                  <c:v>1.541466346153846</c:v>
                </c:pt>
                <c:pt idx="226">
                  <c:v>1.5483173076923076</c:v>
                </c:pt>
                <c:pt idx="227">
                  <c:v>1.5551682692307691</c:v>
                </c:pt>
                <c:pt idx="228">
                  <c:v>1.5620192307692307</c:v>
                </c:pt>
                <c:pt idx="229">
                  <c:v>1.5688701923076922</c:v>
                </c:pt>
                <c:pt idx="230">
                  <c:v>1.5757211538461537</c:v>
                </c:pt>
                <c:pt idx="231">
                  <c:v>1.5825721153846153</c:v>
                </c:pt>
                <c:pt idx="232">
                  <c:v>1.5894230769230768</c:v>
                </c:pt>
                <c:pt idx="233">
                  <c:v>1.5962740384615384</c:v>
                </c:pt>
                <c:pt idx="234">
                  <c:v>1.6031249999999999</c:v>
                </c:pt>
                <c:pt idx="235">
                  <c:v>1.6099759615384615</c:v>
                </c:pt>
                <c:pt idx="236">
                  <c:v>1.616826923076923</c:v>
                </c:pt>
                <c:pt idx="237">
                  <c:v>1.6236778846153845</c:v>
                </c:pt>
                <c:pt idx="238">
                  <c:v>1.6305288461538461</c:v>
                </c:pt>
                <c:pt idx="239">
                  <c:v>1.6373798076923076</c:v>
                </c:pt>
                <c:pt idx="240">
                  <c:v>1.6442307692307692</c:v>
                </c:pt>
                <c:pt idx="241">
                  <c:v>1.6510817307692307</c:v>
                </c:pt>
                <c:pt idx="242">
                  <c:v>1.6579326923076922</c:v>
                </c:pt>
                <c:pt idx="243">
                  <c:v>1.6647836538461538</c:v>
                </c:pt>
                <c:pt idx="244">
                  <c:v>1.6716346153846153</c:v>
                </c:pt>
                <c:pt idx="245">
                  <c:v>1.6784855769230769</c:v>
                </c:pt>
                <c:pt idx="246">
                  <c:v>1.6853365384615384</c:v>
                </c:pt>
                <c:pt idx="247">
                  <c:v>1.6921875</c:v>
                </c:pt>
                <c:pt idx="248">
                  <c:v>1.6990384615384615</c:v>
                </c:pt>
                <c:pt idx="249">
                  <c:v>1.705889423076923</c:v>
                </c:pt>
                <c:pt idx="250">
                  <c:v>1.7127403846153846</c:v>
                </c:pt>
                <c:pt idx="251">
                  <c:v>1.7195913461538461</c:v>
                </c:pt>
                <c:pt idx="252">
                  <c:v>1.7264423076923077</c:v>
                </c:pt>
                <c:pt idx="253">
                  <c:v>1.7332932692307692</c:v>
                </c:pt>
                <c:pt idx="254">
                  <c:v>1.7401442307692307</c:v>
                </c:pt>
                <c:pt idx="255">
                  <c:v>1.7469951923076923</c:v>
                </c:pt>
                <c:pt idx="256">
                  <c:v>1.7538461538461538</c:v>
                </c:pt>
                <c:pt idx="257">
                  <c:v>1.7606971153846154</c:v>
                </c:pt>
                <c:pt idx="258">
                  <c:v>1.7675480769230769</c:v>
                </c:pt>
                <c:pt idx="259">
                  <c:v>1.7743990384615385</c:v>
                </c:pt>
                <c:pt idx="260">
                  <c:v>1.78125</c:v>
                </c:pt>
                <c:pt idx="261">
                  <c:v>1.7881009615384615</c:v>
                </c:pt>
                <c:pt idx="262">
                  <c:v>1.7949519230769231</c:v>
                </c:pt>
                <c:pt idx="263">
                  <c:v>1.8018028846153846</c:v>
                </c:pt>
                <c:pt idx="264">
                  <c:v>1.8086538461538462</c:v>
                </c:pt>
                <c:pt idx="265">
                  <c:v>1.8155048076923077</c:v>
                </c:pt>
                <c:pt idx="266">
                  <c:v>1.8223557692307693</c:v>
                </c:pt>
                <c:pt idx="267">
                  <c:v>1.8292067307692308</c:v>
                </c:pt>
                <c:pt idx="268">
                  <c:v>1.8360576923076923</c:v>
                </c:pt>
                <c:pt idx="269">
                  <c:v>1.8429086538461539</c:v>
                </c:pt>
                <c:pt idx="270">
                  <c:v>1.8497596153846154</c:v>
                </c:pt>
                <c:pt idx="271">
                  <c:v>1.856610576923077</c:v>
                </c:pt>
                <c:pt idx="272">
                  <c:v>1.8634615384615385</c:v>
                </c:pt>
                <c:pt idx="273">
                  <c:v>1.8703125</c:v>
                </c:pt>
                <c:pt idx="274">
                  <c:v>1.8771634615384616</c:v>
                </c:pt>
                <c:pt idx="275">
                  <c:v>1.8840144230769231</c:v>
                </c:pt>
                <c:pt idx="276">
                  <c:v>1.8908653846153847</c:v>
                </c:pt>
                <c:pt idx="277">
                  <c:v>1.8977163461538462</c:v>
                </c:pt>
                <c:pt idx="278">
                  <c:v>1.9045673076923078</c:v>
                </c:pt>
                <c:pt idx="279">
                  <c:v>1.9114182692307693</c:v>
                </c:pt>
                <c:pt idx="280">
                  <c:v>1.9182692307692308</c:v>
                </c:pt>
                <c:pt idx="281">
                  <c:v>1.9251201923076924</c:v>
                </c:pt>
                <c:pt idx="282">
                  <c:v>1.9319711538461539</c:v>
                </c:pt>
                <c:pt idx="283">
                  <c:v>1.9388221153846155</c:v>
                </c:pt>
                <c:pt idx="284">
                  <c:v>1.945673076923077</c:v>
                </c:pt>
                <c:pt idx="285">
                  <c:v>1.9525240384615385</c:v>
                </c:pt>
                <c:pt idx="286">
                  <c:v>1.9593750000000001</c:v>
                </c:pt>
                <c:pt idx="287">
                  <c:v>1.9662259615384616</c:v>
                </c:pt>
                <c:pt idx="288">
                  <c:v>1.9730769230769232</c:v>
                </c:pt>
                <c:pt idx="289">
                  <c:v>1.9799278846153845</c:v>
                </c:pt>
                <c:pt idx="290">
                  <c:v>1.986778846153846</c:v>
                </c:pt>
                <c:pt idx="291">
                  <c:v>1.9936298076923076</c:v>
                </c:pt>
                <c:pt idx="292">
                  <c:v>2.0004807692307693</c:v>
                </c:pt>
                <c:pt idx="293">
                  <c:v>2.0073317307692307</c:v>
                </c:pt>
                <c:pt idx="294">
                  <c:v>2.0141826923076924</c:v>
                </c:pt>
                <c:pt idx="295">
                  <c:v>2.0210336538461537</c:v>
                </c:pt>
                <c:pt idx="296">
                  <c:v>2.0278846153846155</c:v>
                </c:pt>
                <c:pt idx="297">
                  <c:v>2.0347355769230768</c:v>
                </c:pt>
                <c:pt idx="298">
                  <c:v>2.0415865384615386</c:v>
                </c:pt>
                <c:pt idx="299">
                  <c:v>2.0484374999999999</c:v>
                </c:pt>
                <c:pt idx="300">
                  <c:v>2.0552884615384617</c:v>
                </c:pt>
                <c:pt idx="301">
                  <c:v>2.062139423076923</c:v>
                </c:pt>
                <c:pt idx="302">
                  <c:v>2.0689903846153848</c:v>
                </c:pt>
                <c:pt idx="303">
                  <c:v>2.0758413461538461</c:v>
                </c:pt>
                <c:pt idx="304">
                  <c:v>2.0826923076923078</c:v>
                </c:pt>
                <c:pt idx="305">
                  <c:v>2.0895432692307692</c:v>
                </c:pt>
                <c:pt idx="306">
                  <c:v>2.0963942307692309</c:v>
                </c:pt>
                <c:pt idx="307">
                  <c:v>2.1032451923076922</c:v>
                </c:pt>
                <c:pt idx="308">
                  <c:v>2.110096153846154</c:v>
                </c:pt>
                <c:pt idx="309">
                  <c:v>2.1169471153846153</c:v>
                </c:pt>
                <c:pt idx="310">
                  <c:v>2.1237980769230771</c:v>
                </c:pt>
                <c:pt idx="311">
                  <c:v>2.1306490384615384</c:v>
                </c:pt>
                <c:pt idx="312">
                  <c:v>2.1375000000000002</c:v>
                </c:pt>
                <c:pt idx="313">
                  <c:v>2.1443509615384615</c:v>
                </c:pt>
                <c:pt idx="314">
                  <c:v>2.1512019230769233</c:v>
                </c:pt>
                <c:pt idx="315">
                  <c:v>2.1580528846153846</c:v>
                </c:pt>
                <c:pt idx="316">
                  <c:v>2.1649038461538463</c:v>
                </c:pt>
                <c:pt idx="317">
                  <c:v>2.1717548076923077</c:v>
                </c:pt>
                <c:pt idx="318">
                  <c:v>2.1786057692307694</c:v>
                </c:pt>
                <c:pt idx="319">
                  <c:v>2.1854567307692307</c:v>
                </c:pt>
                <c:pt idx="320">
                  <c:v>2.1923076923076925</c:v>
                </c:pt>
                <c:pt idx="321">
                  <c:v>2.1991586538461538</c:v>
                </c:pt>
                <c:pt idx="322">
                  <c:v>2.2060096153846152</c:v>
                </c:pt>
                <c:pt idx="323">
                  <c:v>2.2128605769230769</c:v>
                </c:pt>
                <c:pt idx="324">
                  <c:v>2.2197115384615382</c:v>
                </c:pt>
                <c:pt idx="325">
                  <c:v>2.2265625</c:v>
                </c:pt>
                <c:pt idx="326">
                  <c:v>2.2334134615384613</c:v>
                </c:pt>
                <c:pt idx="327">
                  <c:v>2.2402644230769231</c:v>
                </c:pt>
                <c:pt idx="328">
                  <c:v>2.2471153846153844</c:v>
                </c:pt>
                <c:pt idx="329">
                  <c:v>2.2539663461538462</c:v>
                </c:pt>
                <c:pt idx="330">
                  <c:v>2.2608173076923075</c:v>
                </c:pt>
                <c:pt idx="331">
                  <c:v>2.2676682692307693</c:v>
                </c:pt>
                <c:pt idx="332">
                  <c:v>2.2745192307692306</c:v>
                </c:pt>
                <c:pt idx="333">
                  <c:v>2.2813701923076923</c:v>
                </c:pt>
                <c:pt idx="334">
                  <c:v>2.2882211538461537</c:v>
                </c:pt>
                <c:pt idx="335">
                  <c:v>2.2950721153846154</c:v>
                </c:pt>
                <c:pt idx="336">
                  <c:v>2.3019230769230767</c:v>
                </c:pt>
                <c:pt idx="337">
                  <c:v>2.3087740384615385</c:v>
                </c:pt>
                <c:pt idx="338">
                  <c:v>2.3156249999999998</c:v>
                </c:pt>
                <c:pt idx="339">
                  <c:v>2.3224759615384616</c:v>
                </c:pt>
                <c:pt idx="340">
                  <c:v>2.3293269230769229</c:v>
                </c:pt>
                <c:pt idx="341">
                  <c:v>2.3361778846153847</c:v>
                </c:pt>
                <c:pt idx="342">
                  <c:v>2.343028846153846</c:v>
                </c:pt>
                <c:pt idx="343">
                  <c:v>2.3498798076923078</c:v>
                </c:pt>
                <c:pt idx="344">
                  <c:v>2.3567307692307691</c:v>
                </c:pt>
                <c:pt idx="345">
                  <c:v>2.3635817307692308</c:v>
                </c:pt>
                <c:pt idx="346">
                  <c:v>2.3704326923076922</c:v>
                </c:pt>
                <c:pt idx="347">
                  <c:v>2.3772836538461539</c:v>
                </c:pt>
                <c:pt idx="348">
                  <c:v>2.3841346153846152</c:v>
                </c:pt>
                <c:pt idx="349">
                  <c:v>2.390985576923077</c:v>
                </c:pt>
                <c:pt idx="350">
                  <c:v>2.3978365384615383</c:v>
                </c:pt>
                <c:pt idx="351">
                  <c:v>2.4046875000000001</c:v>
                </c:pt>
                <c:pt idx="352">
                  <c:v>2.4115384615384614</c:v>
                </c:pt>
                <c:pt idx="353">
                  <c:v>2.4183894230769232</c:v>
                </c:pt>
                <c:pt idx="354">
                  <c:v>2.4252403846153845</c:v>
                </c:pt>
                <c:pt idx="355">
                  <c:v>2.4320913461538463</c:v>
                </c:pt>
                <c:pt idx="356">
                  <c:v>2.4389423076923076</c:v>
                </c:pt>
                <c:pt idx="357">
                  <c:v>2.4457932692307693</c:v>
                </c:pt>
                <c:pt idx="358">
                  <c:v>2.4526442307692307</c:v>
                </c:pt>
                <c:pt idx="359">
                  <c:v>2.4594951923076924</c:v>
                </c:pt>
                <c:pt idx="360">
                  <c:v>2.4663461538461537</c:v>
                </c:pt>
                <c:pt idx="361">
                  <c:v>2.4731971153846155</c:v>
                </c:pt>
                <c:pt idx="362">
                  <c:v>2.4800480769230768</c:v>
                </c:pt>
                <c:pt idx="363">
                  <c:v>2.4868990384615386</c:v>
                </c:pt>
                <c:pt idx="364">
                  <c:v>2.4937499999999999</c:v>
                </c:pt>
                <c:pt idx="365">
                  <c:v>2.5006009615384617</c:v>
                </c:pt>
                <c:pt idx="366">
                  <c:v>2.507451923076923</c:v>
                </c:pt>
                <c:pt idx="367">
                  <c:v>2.5143028846153848</c:v>
                </c:pt>
                <c:pt idx="368">
                  <c:v>2.5211538461538461</c:v>
                </c:pt>
                <c:pt idx="369">
                  <c:v>2.5280048076923078</c:v>
                </c:pt>
                <c:pt idx="370">
                  <c:v>2.5348557692307692</c:v>
                </c:pt>
                <c:pt idx="371">
                  <c:v>2.5417067307692309</c:v>
                </c:pt>
                <c:pt idx="372">
                  <c:v>2.5485576923076922</c:v>
                </c:pt>
                <c:pt idx="373">
                  <c:v>2.555408653846154</c:v>
                </c:pt>
                <c:pt idx="374">
                  <c:v>2.5622596153846153</c:v>
                </c:pt>
                <c:pt idx="375">
                  <c:v>2.5691105769230771</c:v>
                </c:pt>
                <c:pt idx="376">
                  <c:v>2.5759615384615384</c:v>
                </c:pt>
                <c:pt idx="377">
                  <c:v>2.5828125000000002</c:v>
                </c:pt>
                <c:pt idx="378">
                  <c:v>2.5896634615384615</c:v>
                </c:pt>
                <c:pt idx="379">
                  <c:v>2.5965144230769233</c:v>
                </c:pt>
                <c:pt idx="380">
                  <c:v>2.6033653846153846</c:v>
                </c:pt>
                <c:pt idx="381">
                  <c:v>2.6102163461538463</c:v>
                </c:pt>
                <c:pt idx="382">
                  <c:v>2.6170673076923077</c:v>
                </c:pt>
                <c:pt idx="383">
                  <c:v>2.6239182692307694</c:v>
                </c:pt>
                <c:pt idx="384">
                  <c:v>2.6307692307692307</c:v>
                </c:pt>
                <c:pt idx="385">
                  <c:v>2.6376201923076921</c:v>
                </c:pt>
                <c:pt idx="386">
                  <c:v>2.6444711538461538</c:v>
                </c:pt>
                <c:pt idx="387">
                  <c:v>2.6513221153846152</c:v>
                </c:pt>
                <c:pt idx="388">
                  <c:v>2.6581730769230769</c:v>
                </c:pt>
                <c:pt idx="389">
                  <c:v>2.6650240384615382</c:v>
                </c:pt>
                <c:pt idx="390">
                  <c:v>2.671875</c:v>
                </c:pt>
                <c:pt idx="391">
                  <c:v>2.6787259615384613</c:v>
                </c:pt>
                <c:pt idx="392">
                  <c:v>2.6855769230769231</c:v>
                </c:pt>
                <c:pt idx="393">
                  <c:v>2.6924278846153844</c:v>
                </c:pt>
                <c:pt idx="394">
                  <c:v>2.6992788461538462</c:v>
                </c:pt>
                <c:pt idx="395">
                  <c:v>2.7061298076923075</c:v>
                </c:pt>
                <c:pt idx="396">
                  <c:v>2.7129807692307693</c:v>
                </c:pt>
                <c:pt idx="397">
                  <c:v>2.7198317307692306</c:v>
                </c:pt>
                <c:pt idx="398">
                  <c:v>2.7266826923076923</c:v>
                </c:pt>
                <c:pt idx="399">
                  <c:v>2.7335336538461537</c:v>
                </c:pt>
                <c:pt idx="400">
                  <c:v>2.7403846153846154</c:v>
                </c:pt>
                <c:pt idx="401">
                  <c:v>2.7472355769230767</c:v>
                </c:pt>
                <c:pt idx="402">
                  <c:v>2.7540865384615385</c:v>
                </c:pt>
                <c:pt idx="403">
                  <c:v>2.7609374999999998</c:v>
                </c:pt>
                <c:pt idx="404">
                  <c:v>2.7677884615384616</c:v>
                </c:pt>
                <c:pt idx="405">
                  <c:v>2.7746394230769229</c:v>
                </c:pt>
                <c:pt idx="406">
                  <c:v>2.7814903846153847</c:v>
                </c:pt>
                <c:pt idx="407">
                  <c:v>2.788341346153846</c:v>
                </c:pt>
                <c:pt idx="408">
                  <c:v>2.7951923076923078</c:v>
                </c:pt>
                <c:pt idx="409">
                  <c:v>2.8020432692307691</c:v>
                </c:pt>
                <c:pt idx="410">
                  <c:v>2.8088942307692308</c:v>
                </c:pt>
                <c:pt idx="411">
                  <c:v>2.8157451923076922</c:v>
                </c:pt>
                <c:pt idx="412">
                  <c:v>2.8225961538461539</c:v>
                </c:pt>
                <c:pt idx="413">
                  <c:v>2.8294471153846152</c:v>
                </c:pt>
                <c:pt idx="414">
                  <c:v>2.836298076923077</c:v>
                </c:pt>
                <c:pt idx="415">
                  <c:v>2.8431490384615383</c:v>
                </c:pt>
                <c:pt idx="416">
                  <c:v>2.85</c:v>
                </c:pt>
                <c:pt idx="417">
                  <c:v>2.875</c:v>
                </c:pt>
                <c:pt idx="418">
                  <c:v>2.9</c:v>
                </c:pt>
                <c:pt idx="419">
                  <c:v>2.9250000000000003</c:v>
                </c:pt>
                <c:pt idx="420">
                  <c:v>2.95</c:v>
                </c:pt>
                <c:pt idx="421">
                  <c:v>2.9750000000000001</c:v>
                </c:pt>
                <c:pt idx="422">
                  <c:v>3</c:v>
                </c:pt>
                <c:pt idx="423">
                  <c:v>3.0249999999999999</c:v>
                </c:pt>
                <c:pt idx="424">
                  <c:v>3.0500000000000003</c:v>
                </c:pt>
                <c:pt idx="425">
                  <c:v>3.0750000000000002</c:v>
                </c:pt>
                <c:pt idx="426">
                  <c:v>3.1</c:v>
                </c:pt>
                <c:pt idx="427">
                  <c:v>3.125</c:v>
                </c:pt>
                <c:pt idx="428">
                  <c:v>3.1500000000000004</c:v>
                </c:pt>
                <c:pt idx="429">
                  <c:v>3.1750000000000003</c:v>
                </c:pt>
                <c:pt idx="430">
                  <c:v>3.2</c:v>
                </c:pt>
                <c:pt idx="431">
                  <c:v>3.2250000000000001</c:v>
                </c:pt>
                <c:pt idx="432">
                  <c:v>3.25</c:v>
                </c:pt>
                <c:pt idx="433">
                  <c:v>3.2750000000000004</c:v>
                </c:pt>
                <c:pt idx="434">
                  <c:v>3.3000000000000003</c:v>
                </c:pt>
                <c:pt idx="435">
                  <c:v>3.3250000000000002</c:v>
                </c:pt>
                <c:pt idx="436">
                  <c:v>3.35</c:v>
                </c:pt>
              </c:numCache>
            </c:numRef>
          </c:xVal>
          <c:yVal>
            <c:numRef>
              <c:f>'SOLLECITAZ NASCOSTO'!$M$32:$M$468</c:f>
              <c:numCache>
                <c:formatCode>0.00</c:formatCode>
                <c:ptCount val="437"/>
                <c:pt idx="0">
                  <c:v>0</c:v>
                </c:pt>
                <c:pt idx="1">
                  <c:v>-9.7817425628780351E-5</c:v>
                </c:pt>
                <c:pt idx="2">
                  <c:v>-3.9239926158491782E-4</c:v>
                </c:pt>
                <c:pt idx="3">
                  <c:v>-8.8600462600800533E-4</c:v>
                </c:pt>
                <c:pt idx="4">
                  <c:v>-1.5808926370376357E-3</c:v>
                </c:pt>
                <c:pt idx="5">
                  <c:v>-2.4793224128134023E-3</c:v>
                </c:pt>
                <c:pt idx="6">
                  <c:v>-3.5835530714748965E-3</c:v>
                </c:pt>
                <c:pt idx="7">
                  <c:v>-4.8958437311617115E-3</c:v>
                </c:pt>
                <c:pt idx="8">
                  <c:v>-6.4184535100134431E-3</c:v>
                </c:pt>
                <c:pt idx="9">
                  <c:v>-8.1536415261696821E-3</c:v>
                </c:pt>
                <c:pt idx="10">
                  <c:v>-1.0103666897770021E-2</c:v>
                </c:pt>
                <c:pt idx="11">
                  <c:v>-1.2270788742954048E-2</c:v>
                </c:pt>
                <c:pt idx="12">
                  <c:v>-1.4657266179861366E-2</c:v>
                </c:pt>
                <c:pt idx="13">
                  <c:v>-1.7265358326631564E-2</c:v>
                </c:pt>
                <c:pt idx="14">
                  <c:v>-2.0097324301404228E-2</c:v>
                </c:pt>
                <c:pt idx="15">
                  <c:v>-2.315542322231896E-2</c:v>
                </c:pt>
                <c:pt idx="16">
                  <c:v>-2.6441914207515349E-2</c:v>
                </c:pt>
                <c:pt idx="17">
                  <c:v>-2.9959056375132988E-2</c:v>
                </c:pt>
                <c:pt idx="18">
                  <c:v>-3.3709108843311471E-2</c:v>
                </c:pt>
                <c:pt idx="19">
                  <c:v>-3.7694330730190392E-2</c:v>
                </c:pt>
                <c:pt idx="20">
                  <c:v>-4.1916981153909343E-2</c:v>
                </c:pt>
                <c:pt idx="21">
                  <c:v>-4.6379319232607893E-2</c:v>
                </c:pt>
                <c:pt idx="22">
                  <c:v>-5.1083604084425679E-2</c:v>
                </c:pt>
                <c:pt idx="23">
                  <c:v>-5.6032094827502273E-2</c:v>
                </c:pt>
                <c:pt idx="24">
                  <c:v>-6.1227050579977266E-2</c:v>
                </c:pt>
                <c:pt idx="25">
                  <c:v>-6.6670730459990252E-2</c:v>
                </c:pt>
                <c:pt idx="26">
                  <c:v>-7.2365393585680823E-2</c:v>
                </c:pt>
                <c:pt idx="27">
                  <c:v>-7.831329907518858E-2</c:v>
                </c:pt>
                <c:pt idx="28">
                  <c:v>-8.4516706046653081E-2</c:v>
                </c:pt>
                <c:pt idx="29">
                  <c:v>-9.0977873618213967E-2</c:v>
                </c:pt>
                <c:pt idx="30">
                  <c:v>-9.769906090801081E-2</c:v>
                </c:pt>
                <c:pt idx="31">
                  <c:v>-0.10468252703418321</c:v>
                </c:pt>
                <c:pt idx="32">
                  <c:v>-0.11193053111487075</c:v>
                </c:pt>
                <c:pt idx="33">
                  <c:v>-0.11944533226821302</c:v>
                </c:pt>
                <c:pt idx="34">
                  <c:v>-0.12722918961234964</c:v>
                </c:pt>
                <c:pt idx="35">
                  <c:v>-0.13528436226542015</c:v>
                </c:pt>
                <c:pt idx="36">
                  <c:v>-0.14361310934556418</c:v>
                </c:pt>
                <c:pt idx="37">
                  <c:v>-0.15221768997092133</c:v>
                </c:pt>
                <c:pt idx="38">
                  <c:v>-0.16110036325963117</c:v>
                </c:pt>
                <c:pt idx="39">
                  <c:v>-0.17026338832983332</c:v>
                </c:pt>
                <c:pt idx="40">
                  <c:v>-0.17970902429966734</c:v>
                </c:pt>
                <c:pt idx="41">
                  <c:v>-0.18943953028727276</c:v>
                </c:pt>
                <c:pt idx="42">
                  <c:v>-0.19945716541078934</c:v>
                </c:pt>
                <c:pt idx="43">
                  <c:v>-0.20976418878835656</c:v>
                </c:pt>
                <c:pt idx="44">
                  <c:v>-0.22036285953811405</c:v>
                </c:pt>
                <c:pt idx="45">
                  <c:v>-0.2312554367782014</c:v>
                </c:pt>
                <c:pt idx="46">
                  <c:v>-0.24244417962675818</c:v>
                </c:pt>
                <c:pt idx="47">
                  <c:v>-0.25393134720192401</c:v>
                </c:pt>
                <c:pt idx="48">
                  <c:v>-0.26571919862183846</c:v>
                </c:pt>
                <c:pt idx="49">
                  <c:v>-0.27780999300464115</c:v>
                </c:pt>
                <c:pt idx="50">
                  <c:v>-0.29020598946847165</c:v>
                </c:pt>
                <c:pt idx="51">
                  <c:v>-0.30290944713146956</c:v>
                </c:pt>
                <c:pt idx="52">
                  <c:v>-0.31592262511177444</c:v>
                </c:pt>
                <c:pt idx="53">
                  <c:v>-0.3292477825275259</c:v>
                </c:pt>
                <c:pt idx="54">
                  <c:v>-0.34288717849686356</c:v>
                </c:pt>
                <c:pt idx="55">
                  <c:v>-0.35684307213792704</c:v>
                </c:pt>
                <c:pt idx="56">
                  <c:v>-0.37111772256885572</c:v>
                </c:pt>
                <c:pt idx="57">
                  <c:v>-0.3857133889077895</c:v>
                </c:pt>
                <c:pt idx="58">
                  <c:v>-0.40063233027286782</c:v>
                </c:pt>
                <c:pt idx="59">
                  <c:v>-0.4158768057822303</c:v>
                </c:pt>
                <c:pt idx="60">
                  <c:v>-0.43144907455401654</c:v>
                </c:pt>
                <c:pt idx="61">
                  <c:v>-0.44735139570636612</c:v>
                </c:pt>
                <c:pt idx="62">
                  <c:v>-0.46358602835741863</c:v>
                </c:pt>
                <c:pt idx="63">
                  <c:v>-0.48015523162531365</c:v>
                </c:pt>
                <c:pt idx="64">
                  <c:v>-0.49706126462819078</c:v>
                </c:pt>
                <c:pt idx="65">
                  <c:v>-0.51430638648418958</c:v>
                </c:pt>
                <c:pt idx="66">
                  <c:v>-0.53189285631144967</c:v>
                </c:pt>
                <c:pt idx="67">
                  <c:v>-0.54982293322811071</c:v>
                </c:pt>
                <c:pt idx="68">
                  <c:v>-0.56809887635231227</c:v>
                </c:pt>
                <c:pt idx="69">
                  <c:v>-0.58672294480219389</c:v>
                </c:pt>
                <c:pt idx="70">
                  <c:v>-0.60569739769589515</c:v>
                </c:pt>
                <c:pt idx="71">
                  <c:v>-0.6250244941515557</c:v>
                </c:pt>
                <c:pt idx="72">
                  <c:v>-0.64470649328731511</c:v>
                </c:pt>
                <c:pt idx="73">
                  <c:v>-0.66474565422131293</c:v>
                </c:pt>
                <c:pt idx="74">
                  <c:v>-0.68514423607168884</c:v>
                </c:pt>
                <c:pt idx="75">
                  <c:v>-0.70590449795658239</c:v>
                </c:pt>
                <c:pt idx="76">
                  <c:v>-0.72702869899413314</c:v>
                </c:pt>
                <c:pt idx="77">
                  <c:v>-0.74851909830248076</c:v>
                </c:pt>
                <c:pt idx="78">
                  <c:v>-0.77037795499976469</c:v>
                </c:pt>
                <c:pt idx="79">
                  <c:v>-0.79260752820412472</c:v>
                </c:pt>
                <c:pt idx="80">
                  <c:v>-0.8152100770337003</c:v>
                </c:pt>
                <c:pt idx="81">
                  <c:v>-0.83818786060663075</c:v>
                </c:pt>
                <c:pt idx="82">
                  <c:v>-0.86154313804105631</c:v>
                </c:pt>
                <c:pt idx="83">
                  <c:v>-0.88527816845511631</c:v>
                </c:pt>
                <c:pt idx="84">
                  <c:v>-0.9093952109669502</c:v>
                </c:pt>
                <c:pt idx="85">
                  <c:v>-0.93389652469469764</c:v>
                </c:pt>
                <c:pt idx="86">
                  <c:v>-0.95878436875649831</c:v>
                </c:pt>
                <c:pt idx="87">
                  <c:v>-0.98406100227049165</c:v>
                </c:pt>
                <c:pt idx="88">
                  <c:v>-1.0097286843548174</c:v>
                </c:pt>
                <c:pt idx="89">
                  <c:v>-1.0357896741276151</c:v>
                </c:pt>
                <c:pt idx="90">
                  <c:v>-1.0622462307070244</c:v>
                </c:pt>
                <c:pt idx="91">
                  <c:v>-1.0891006132111847</c:v>
                </c:pt>
                <c:pt idx="92">
                  <c:v>-1.1163550807582356</c:v>
                </c:pt>
                <c:pt idx="93">
                  <c:v>-1.144011892466317</c:v>
                </c:pt>
                <c:pt idx="94">
                  <c:v>-1.1720733074535683</c:v>
                </c:pt>
                <c:pt idx="95">
                  <c:v>-1.2005415848381291</c:v>
                </c:pt>
                <c:pt idx="96">
                  <c:v>-1.2294189837381388</c:v>
                </c:pt>
                <c:pt idx="97">
                  <c:v>-1.2587077632717374</c:v>
                </c:pt>
                <c:pt idx="98">
                  <c:v>-1.2884101825570642</c:v>
                </c:pt>
                <c:pt idx="99">
                  <c:v>-1.3185285007122589</c:v>
                </c:pt>
                <c:pt idx="100">
                  <c:v>-1.349064976855461</c:v>
                </c:pt>
                <c:pt idx="101">
                  <c:v>-1.3800218701048101</c:v>
                </c:pt>
                <c:pt idx="102">
                  <c:v>-1.411401439578446</c:v>
                </c:pt>
                <c:pt idx="103">
                  <c:v>-1.443205944394508</c:v>
                </c:pt>
                <c:pt idx="104">
                  <c:v>-1.4754376436711358</c:v>
                </c:pt>
                <c:pt idx="105">
                  <c:v>-1.5080987965264692</c:v>
                </c:pt>
                <c:pt idx="106">
                  <c:v>-1.5411916620786474</c:v>
                </c:pt>
                <c:pt idx="107">
                  <c:v>-1.5747184994458103</c:v>
                </c:pt>
                <c:pt idx="108">
                  <c:v>-1.6086815677460975</c:v>
                </c:pt>
                <c:pt idx="109">
                  <c:v>-1.6430831260976484</c:v>
                </c:pt>
                <c:pt idx="110">
                  <c:v>-1.6779254336186027</c:v>
                </c:pt>
                <c:pt idx="111">
                  <c:v>-1.7132107494271001</c:v>
                </c:pt>
                <c:pt idx="112">
                  <c:v>-1.7489413326412793</c:v>
                </c:pt>
                <c:pt idx="113">
                  <c:v>-1.7851194423792813</c:v>
                </c:pt>
                <c:pt idx="114">
                  <c:v>-1.821747337759245</c:v>
                </c:pt>
                <c:pt idx="115">
                  <c:v>-1.85882727789931</c:v>
                </c:pt>
                <c:pt idx="116">
                  <c:v>-1.896361521917616</c:v>
                </c:pt>
                <c:pt idx="117">
                  <c:v>-1.9343523289323026</c:v>
                </c:pt>
                <c:pt idx="118">
                  <c:v>-1.9728019580615093</c:v>
                </c:pt>
                <c:pt idx="119">
                  <c:v>-2.0117126684233755</c:v>
                </c:pt>
                <c:pt idx="120">
                  <c:v>-2.0510867191360411</c:v>
                </c:pt>
                <c:pt idx="121">
                  <c:v>-2.0909263693176459</c:v>
                </c:pt>
                <c:pt idx="122">
                  <c:v>-2.1312338780863289</c:v>
                </c:pt>
                <c:pt idx="123">
                  <c:v>-2.17201150456023</c:v>
                </c:pt>
                <c:pt idx="124">
                  <c:v>-2.2132615078574891</c:v>
                </c:pt>
                <c:pt idx="125">
                  <c:v>-2.2549861470962451</c:v>
                </c:pt>
                <c:pt idx="126">
                  <c:v>-2.2971876813946381</c:v>
                </c:pt>
                <c:pt idx="127">
                  <c:v>-2.3398683698708078</c:v>
                </c:pt>
                <c:pt idx="128">
                  <c:v>-2.3830304716428934</c:v>
                </c:pt>
                <c:pt idx="129">
                  <c:v>-2.4266762458290345</c:v>
                </c:pt>
                <c:pt idx="130">
                  <c:v>-2.4708079515473709</c:v>
                </c:pt>
                <c:pt idx="131">
                  <c:v>-2.5154278479160421</c:v>
                </c:pt>
                <c:pt idx="132">
                  <c:v>-2.5605381940531879</c:v>
                </c:pt>
                <c:pt idx="133">
                  <c:v>-2.6061412490769476</c:v>
                </c:pt>
                <c:pt idx="134">
                  <c:v>-2.6522392721054611</c:v>
                </c:pt>
                <c:pt idx="135">
                  <c:v>-2.6988345222568677</c:v>
                </c:pt>
                <c:pt idx="136">
                  <c:v>-2.7459292586493071</c:v>
                </c:pt>
                <c:pt idx="137">
                  <c:v>-2.7935257404009191</c:v>
                </c:pt>
                <c:pt idx="138">
                  <c:v>-2.8416262266298427</c:v>
                </c:pt>
                <c:pt idx="139">
                  <c:v>-2.8902329764542181</c:v>
                </c:pt>
                <c:pt idx="140">
                  <c:v>-2.9393482489921845</c:v>
                </c:pt>
                <c:pt idx="141">
                  <c:v>-2.9889743033618816</c:v>
                </c:pt>
                <c:pt idx="142">
                  <c:v>-3.0391133986814491</c:v>
                </c:pt>
                <c:pt idx="143">
                  <c:v>-3.0897677940690267</c:v>
                </c:pt>
                <c:pt idx="144">
                  <c:v>-3.1409397486427539</c:v>
                </c:pt>
                <c:pt idx="145">
                  <c:v>-3.1926315215207692</c:v>
                </c:pt>
                <c:pt idx="146">
                  <c:v>-3.2448453718212149</c:v>
                </c:pt>
                <c:pt idx="147">
                  <c:v>-3.2975835586622284</c:v>
                </c:pt>
                <c:pt idx="148">
                  <c:v>-3.3508483411619499</c:v>
                </c:pt>
                <c:pt idx="149">
                  <c:v>-3.4046419784385185</c:v>
                </c:pt>
                <c:pt idx="150">
                  <c:v>-3.4589667296100743</c:v>
                </c:pt>
                <c:pt idx="151">
                  <c:v>-3.5138248537947567</c:v>
                </c:pt>
                <c:pt idx="152">
                  <c:v>-3.5692186101107057</c:v>
                </c:pt>
                <c:pt idx="153">
                  <c:v>-3.6251502576760606</c:v>
                </c:pt>
                <c:pt idx="154">
                  <c:v>-3.6816220556089609</c:v>
                </c:pt>
                <c:pt idx="155">
                  <c:v>-3.738636263027546</c:v>
                </c:pt>
                <c:pt idx="156">
                  <c:v>-3.796195139049956</c:v>
                </c:pt>
                <c:pt idx="157">
                  <c:v>-3.85430094279433</c:v>
                </c:pt>
                <c:pt idx="158">
                  <c:v>-3.9129559333788082</c:v>
                </c:pt>
                <c:pt idx="159">
                  <c:v>-3.9721623699215298</c:v>
                </c:pt>
                <c:pt idx="160">
                  <c:v>-4.0319225115406345</c:v>
                </c:pt>
                <c:pt idx="161">
                  <c:v>-4.0922386173542593</c:v>
                </c:pt>
                <c:pt idx="162">
                  <c:v>-4.1531129464805483</c:v>
                </c:pt>
                <c:pt idx="163">
                  <c:v>-4.2145477580376394</c:v>
                </c:pt>
                <c:pt idx="164">
                  <c:v>-4.2765453111436722</c:v>
                </c:pt>
                <c:pt idx="165">
                  <c:v>-4.3391078649167856</c:v>
                </c:pt>
                <c:pt idx="166">
                  <c:v>-4.40223767847512</c:v>
                </c:pt>
                <c:pt idx="167">
                  <c:v>-4.4659370109368144</c:v>
                </c:pt>
                <c:pt idx="168">
                  <c:v>-4.5302081214200083</c:v>
                </c:pt>
                <c:pt idx="169">
                  <c:v>-4.5950532690428414</c:v>
                </c:pt>
                <c:pt idx="170">
                  <c:v>-4.6604747129234534</c:v>
                </c:pt>
                <c:pt idx="171">
                  <c:v>-4.7264747121799839</c:v>
                </c:pt>
                <c:pt idx="172">
                  <c:v>-4.7930555259305727</c:v>
                </c:pt>
                <c:pt idx="173">
                  <c:v>-4.8602194132933594</c:v>
                </c:pt>
                <c:pt idx="174">
                  <c:v>-4.9279686333864836</c:v>
                </c:pt>
                <c:pt idx="175">
                  <c:v>-4.9963054453280851</c:v>
                </c:pt>
                <c:pt idx="176">
                  <c:v>-5.0652321082363025</c:v>
                </c:pt>
                <c:pt idx="177">
                  <c:v>-5.1347508812292766</c:v>
                </c:pt>
                <c:pt idx="178">
                  <c:v>-5.204864023425146</c:v>
                </c:pt>
                <c:pt idx="179">
                  <c:v>-5.2755737939420504</c:v>
                </c:pt>
                <c:pt idx="180">
                  <c:v>-5.3468824518981304</c:v>
                </c:pt>
                <c:pt idx="181">
                  <c:v>-5.4187922564115247</c:v>
                </c:pt>
                <c:pt idx="182">
                  <c:v>-5.4913054666003731</c:v>
                </c:pt>
                <c:pt idx="183">
                  <c:v>-5.5644243415828152</c:v>
                </c:pt>
                <c:pt idx="184">
                  <c:v>-5.6381511404769906</c:v>
                </c:pt>
                <c:pt idx="185">
                  <c:v>-5.7124881224010382</c:v>
                </c:pt>
                <c:pt idx="186">
                  <c:v>-5.7874375464730985</c:v>
                </c:pt>
                <c:pt idx="187">
                  <c:v>-5.8630016718113112</c:v>
                </c:pt>
                <c:pt idx="188">
                  <c:v>-5.939182757533815</c:v>
                </c:pt>
                <c:pt idx="189">
                  <c:v>-6.0159830627587505</c:v>
                </c:pt>
                <c:pt idx="190">
                  <c:v>-6.0934048466042565</c:v>
                </c:pt>
                <c:pt idx="191">
                  <c:v>-6.1714503681884727</c:v>
                </c:pt>
                <c:pt idx="192">
                  <c:v>-6.2501218866295396</c:v>
                </c:pt>
                <c:pt idx="193">
                  <c:v>-6.329421661045596</c:v>
                </c:pt>
                <c:pt idx="194">
                  <c:v>-6.4093519505547816</c:v>
                </c:pt>
                <c:pt idx="195">
                  <c:v>-6.489915014275236</c:v>
                </c:pt>
                <c:pt idx="196">
                  <c:v>-6.571113111325098</c:v>
                </c:pt>
                <c:pt idx="197">
                  <c:v>-6.6529485008225082</c:v>
                </c:pt>
                <c:pt idx="198">
                  <c:v>-6.7354234418856063</c:v>
                </c:pt>
                <c:pt idx="199">
                  <c:v>-6.8185401936325309</c:v>
                </c:pt>
                <c:pt idx="200">
                  <c:v>-6.9023010151814228</c:v>
                </c:pt>
                <c:pt idx="201">
                  <c:v>-6.9867081656504206</c:v>
                </c:pt>
                <c:pt idx="202">
                  <c:v>-7.071763904157665</c:v>
                </c:pt>
                <c:pt idx="203">
                  <c:v>-7.1574704898212946</c:v>
                </c:pt>
                <c:pt idx="204">
                  <c:v>-7.2438301817594493</c:v>
                </c:pt>
                <c:pt idx="205">
                  <c:v>-7.3308452390902685</c:v>
                </c:pt>
                <c:pt idx="206">
                  <c:v>-7.4185179209318921</c:v>
                </c:pt>
                <c:pt idx="207">
                  <c:v>-7.5068504864024597</c:v>
                </c:pt>
                <c:pt idx="208">
                  <c:v>-7.5958451946201109</c:v>
                </c:pt>
                <c:pt idx="209">
                  <c:v>-7.6855043047029854</c:v>
                </c:pt>
                <c:pt idx="210">
                  <c:v>-7.775830075769222</c:v>
                </c:pt>
                <c:pt idx="211">
                  <c:v>-7.8668247669369613</c:v>
                </c:pt>
                <c:pt idx="212">
                  <c:v>-7.958490637324342</c:v>
                </c:pt>
                <c:pt idx="213">
                  <c:v>-8.0508299460495039</c:v>
                </c:pt>
                <c:pt idx="214">
                  <c:v>-8.1438449522305874</c:v>
                </c:pt>
                <c:pt idx="215">
                  <c:v>-8.2375379149857313</c:v>
                </c:pt>
                <c:pt idx="216">
                  <c:v>-8.3319110934330762</c:v>
                </c:pt>
                <c:pt idx="217">
                  <c:v>-8.426966746690761</c:v>
                </c:pt>
                <c:pt idx="218">
                  <c:v>-8.5227071338769242</c:v>
                </c:pt>
                <c:pt idx="219">
                  <c:v>-8.6191345141097067</c:v>
                </c:pt>
                <c:pt idx="220">
                  <c:v>-8.716251146507247</c:v>
                </c:pt>
                <c:pt idx="221">
                  <c:v>-8.8140592901876857</c:v>
                </c:pt>
                <c:pt idx="222">
                  <c:v>-8.9125612042691635</c:v>
                </c:pt>
                <c:pt idx="223">
                  <c:v>-9.0117591478698174</c:v>
                </c:pt>
                <c:pt idx="224">
                  <c:v>-9.111655380107786</c:v>
                </c:pt>
                <c:pt idx="225">
                  <c:v>-9.2122521601012135</c:v>
                </c:pt>
                <c:pt idx="226">
                  <c:v>-9.313551746968237</c:v>
                </c:pt>
                <c:pt idx="227">
                  <c:v>-9.4155563998269969</c:v>
                </c:pt>
                <c:pt idx="228">
                  <c:v>-9.5182683777956321</c:v>
                </c:pt>
                <c:pt idx="229">
                  <c:v>-9.6216899399922831</c:v>
                </c:pt>
                <c:pt idx="230">
                  <c:v>-9.7258233455350886</c:v>
                </c:pt>
                <c:pt idx="231">
                  <c:v>-9.8306708535421876</c:v>
                </c:pt>
                <c:pt idx="232">
                  <c:v>-9.9362347231317205</c:v>
                </c:pt>
                <c:pt idx="233">
                  <c:v>-10.042517213421826</c:v>
                </c:pt>
                <c:pt idx="234">
                  <c:v>-10.149520583530645</c:v>
                </c:pt>
                <c:pt idx="235">
                  <c:v>-10.257247092576316</c:v>
                </c:pt>
                <c:pt idx="236">
                  <c:v>-10.365698999676979</c:v>
                </c:pt>
                <c:pt idx="237">
                  <c:v>-10.474878563950774</c:v>
                </c:pt>
                <c:pt idx="238">
                  <c:v>-10.584788044515841</c:v>
                </c:pt>
                <c:pt idx="239">
                  <c:v>-10.695429700490319</c:v>
                </c:pt>
                <c:pt idx="240">
                  <c:v>-10.806805790992346</c:v>
                </c:pt>
                <c:pt idx="241">
                  <c:v>-10.918918575140063</c:v>
                </c:pt>
                <c:pt idx="242">
                  <c:v>-11.031770312051611</c:v>
                </c:pt>
                <c:pt idx="243">
                  <c:v>-11.145363260845128</c:v>
                </c:pt>
                <c:pt idx="244">
                  <c:v>-11.259699680638754</c:v>
                </c:pt>
                <c:pt idx="245">
                  <c:v>-11.374781830550628</c:v>
                </c:pt>
                <c:pt idx="246">
                  <c:v>-11.49061196969889</c:v>
                </c:pt>
                <c:pt idx="247">
                  <c:v>-11.607192357201679</c:v>
                </c:pt>
                <c:pt idx="248">
                  <c:v>-11.724525252177136</c:v>
                </c:pt>
                <c:pt idx="249">
                  <c:v>-11.8426129137434</c:v>
                </c:pt>
                <c:pt idx="250">
                  <c:v>-11.96145760101861</c:v>
                </c:pt>
                <c:pt idx="251">
                  <c:v>-12.081061573120905</c:v>
                </c:pt>
                <c:pt idx="252">
                  <c:v>-12.201427089168426</c:v>
                </c:pt>
                <c:pt idx="253">
                  <c:v>-12.322556408279313</c:v>
                </c:pt>
                <c:pt idx="254">
                  <c:v>-12.444451789571705</c:v>
                </c:pt>
                <c:pt idx="255">
                  <c:v>-12.56711549216374</c:v>
                </c:pt>
                <c:pt idx="256">
                  <c:v>-12.69054977517356</c:v>
                </c:pt>
                <c:pt idx="257">
                  <c:v>-12.814756897719302</c:v>
                </c:pt>
                <c:pt idx="258">
                  <c:v>-12.939739118919109</c:v>
                </c:pt>
                <c:pt idx="259">
                  <c:v>-13.065498697891117</c:v>
                </c:pt>
                <c:pt idx="260">
                  <c:v>-13.192037893753469</c:v>
                </c:pt>
                <c:pt idx="261">
                  <c:v>-13.319358965624302</c:v>
                </c:pt>
                <c:pt idx="262">
                  <c:v>-13.447464172621757</c:v>
                </c:pt>
                <c:pt idx="263">
                  <c:v>-13.576355773863973</c:v>
                </c:pt>
                <c:pt idx="264">
                  <c:v>-13.706036028469089</c:v>
                </c:pt>
                <c:pt idx="265">
                  <c:v>-13.836507195555246</c:v>
                </c:pt>
                <c:pt idx="266">
                  <c:v>-13.967771534240583</c:v>
                </c:pt>
                <c:pt idx="267">
                  <c:v>-14.09983130364324</c:v>
                </c:pt>
                <c:pt idx="268">
                  <c:v>-14.232688762881356</c:v>
                </c:pt>
                <c:pt idx="269">
                  <c:v>-14.36634617107307</c:v>
                </c:pt>
                <c:pt idx="270">
                  <c:v>-14.500805787336523</c:v>
                </c:pt>
                <c:pt idx="271">
                  <c:v>-14.636069870789854</c:v>
                </c:pt>
                <c:pt idx="272">
                  <c:v>-14.772140680551201</c:v>
                </c:pt>
                <c:pt idx="273">
                  <c:v>-14.909020475738705</c:v>
                </c:pt>
                <c:pt idx="274">
                  <c:v>-15.046711515470506</c:v>
                </c:pt>
                <c:pt idx="275">
                  <c:v>-15.185216058864743</c:v>
                </c:pt>
                <c:pt idx="276">
                  <c:v>-15.324536365039556</c:v>
                </c:pt>
                <c:pt idx="277">
                  <c:v>-15.464674693113084</c:v>
                </c:pt>
                <c:pt idx="278">
                  <c:v>-15.605633302203467</c:v>
                </c:pt>
                <c:pt idx="279">
                  <c:v>-15.747414451428845</c:v>
                </c:pt>
                <c:pt idx="280">
                  <c:v>-15.890020399907357</c:v>
                </c:pt>
                <c:pt idx="281">
                  <c:v>-16.033453406757143</c:v>
                </c:pt>
                <c:pt idx="282">
                  <c:v>-16.177715731096342</c:v>
                </c:pt>
                <c:pt idx="283">
                  <c:v>-16.322809632043093</c:v>
                </c:pt>
                <c:pt idx="284">
                  <c:v>-16.468737368715537</c:v>
                </c:pt>
                <c:pt idx="285">
                  <c:v>-16.615501200231815</c:v>
                </c:pt>
                <c:pt idx="286">
                  <c:v>-16.763103385710064</c:v>
                </c:pt>
                <c:pt idx="287">
                  <c:v>-16.911546184268424</c:v>
                </c:pt>
                <c:pt idx="288">
                  <c:v>-17.060831855025036</c:v>
                </c:pt>
                <c:pt idx="289">
                  <c:v>-17.210962657098033</c:v>
                </c:pt>
                <c:pt idx="290">
                  <c:v>-17.361940849605563</c:v>
                </c:pt>
                <c:pt idx="291">
                  <c:v>-17.513768691665764</c:v>
                </c:pt>
                <c:pt idx="292">
                  <c:v>-17.666448442396778</c:v>
                </c:pt>
                <c:pt idx="293">
                  <c:v>-17.819982360916732</c:v>
                </c:pt>
                <c:pt idx="294">
                  <c:v>-17.974372706343786</c:v>
                </c:pt>
                <c:pt idx="295">
                  <c:v>-18.129621737796057</c:v>
                </c:pt>
                <c:pt idx="296">
                  <c:v>-18.285731714391705</c:v>
                </c:pt>
                <c:pt idx="297">
                  <c:v>-18.442704895248852</c:v>
                </c:pt>
                <c:pt idx="298">
                  <c:v>-18.600543539485656</c:v>
                </c:pt>
                <c:pt idx="299">
                  <c:v>-18.759249906220234</c:v>
                </c:pt>
                <c:pt idx="300">
                  <c:v>-18.91882625457075</c:v>
                </c:pt>
                <c:pt idx="301">
                  <c:v>-19.07927484365532</c:v>
                </c:pt>
                <c:pt idx="302">
                  <c:v>-19.240597932592106</c:v>
                </c:pt>
                <c:pt idx="303">
                  <c:v>-19.402797780499228</c:v>
                </c:pt>
                <c:pt idx="304">
                  <c:v>-19.565876646494843</c:v>
                </c:pt>
                <c:pt idx="305">
                  <c:v>-19.729836789697071</c:v>
                </c:pt>
                <c:pt idx="306">
                  <c:v>-19.894680469224074</c:v>
                </c:pt>
                <c:pt idx="307">
                  <c:v>-20.060409944193971</c:v>
                </c:pt>
                <c:pt idx="308">
                  <c:v>-20.22702747372492</c:v>
                </c:pt>
                <c:pt idx="309">
                  <c:v>-20.394535316935041</c:v>
                </c:pt>
                <c:pt idx="310">
                  <c:v>-20.562935732942496</c:v>
                </c:pt>
                <c:pt idx="311">
                  <c:v>-20.732230980865399</c:v>
                </c:pt>
                <c:pt idx="312">
                  <c:v>-20.902423319821917</c:v>
                </c:pt>
                <c:pt idx="313">
                  <c:v>-21.073515008930162</c:v>
                </c:pt>
                <c:pt idx="314">
                  <c:v>-21.245508307308299</c:v>
                </c:pt>
                <c:pt idx="315">
                  <c:v>-21.418405474074444</c:v>
                </c:pt>
                <c:pt idx="316">
                  <c:v>-21.592208768346762</c:v>
                </c:pt>
                <c:pt idx="317">
                  <c:v>-21.766920449243365</c:v>
                </c:pt>
                <c:pt idx="318">
                  <c:v>-21.942542775882419</c:v>
                </c:pt>
                <c:pt idx="319">
                  <c:v>-22.11907800738204</c:v>
                </c:pt>
                <c:pt idx="320">
                  <c:v>-22.296528402860393</c:v>
                </c:pt>
                <c:pt idx="321">
                  <c:v>-22.474896221435589</c:v>
                </c:pt>
                <c:pt idx="322">
                  <c:v>-22.654183722225785</c:v>
                </c:pt>
                <c:pt idx="323">
                  <c:v>-22.834393164349127</c:v>
                </c:pt>
                <c:pt idx="324">
                  <c:v>-23.015526806923734</c:v>
                </c:pt>
                <c:pt idx="325">
                  <c:v>-23.19758690906777</c:v>
                </c:pt>
                <c:pt idx="326">
                  <c:v>-23.380575729899348</c:v>
                </c:pt>
                <c:pt idx="327">
                  <c:v>-23.564495528536632</c:v>
                </c:pt>
                <c:pt idx="328">
                  <c:v>-23.74934856409774</c:v>
                </c:pt>
                <c:pt idx="329">
                  <c:v>-23.935137095700835</c:v>
                </c:pt>
                <c:pt idx="330">
                  <c:v>-24.121863382464031</c:v>
                </c:pt>
                <c:pt idx="331">
                  <c:v>-24.309529683505492</c:v>
                </c:pt>
                <c:pt idx="332">
                  <c:v>-24.498138257943335</c:v>
                </c:pt>
                <c:pt idx="333">
                  <c:v>-24.687691364895723</c:v>
                </c:pt>
                <c:pt idx="334">
                  <c:v>-24.878191263480769</c:v>
                </c:pt>
                <c:pt idx="335">
                  <c:v>-25.06964021281664</c:v>
                </c:pt>
                <c:pt idx="336">
                  <c:v>-25.26204047202145</c:v>
                </c:pt>
                <c:pt idx="337">
                  <c:v>-25.455394300213364</c:v>
                </c:pt>
                <c:pt idx="338">
                  <c:v>-25.649703956510496</c:v>
                </c:pt>
                <c:pt idx="339">
                  <c:v>-25.84497170003101</c:v>
                </c:pt>
                <c:pt idx="340">
                  <c:v>-26.041199789893021</c:v>
                </c:pt>
                <c:pt idx="341">
                  <c:v>-26.238390485214694</c:v>
                </c:pt>
                <c:pt idx="342">
                  <c:v>-26.436546045114145</c:v>
                </c:pt>
                <c:pt idx="343">
                  <c:v>-26.635668728709536</c:v>
                </c:pt>
                <c:pt idx="344">
                  <c:v>-26.835760795118983</c:v>
                </c:pt>
                <c:pt idx="345">
                  <c:v>-27.03682450346065</c:v>
                </c:pt>
                <c:pt idx="346">
                  <c:v>-27.238862112852651</c:v>
                </c:pt>
                <c:pt idx="347">
                  <c:v>-27.44187588241315</c:v>
                </c:pt>
                <c:pt idx="348">
                  <c:v>-27.645868071260264</c:v>
                </c:pt>
                <c:pt idx="349">
                  <c:v>-27.850840938512157</c:v>
                </c:pt>
                <c:pt idx="350">
                  <c:v>-28.056796743286942</c:v>
                </c:pt>
                <c:pt idx="351">
                  <c:v>-28.263737744702787</c:v>
                </c:pt>
                <c:pt idx="352">
                  <c:v>-28.471666201877802</c:v>
                </c:pt>
                <c:pt idx="353">
                  <c:v>-28.680584373930156</c:v>
                </c:pt>
                <c:pt idx="354">
                  <c:v>-28.89049451997796</c:v>
                </c:pt>
                <c:pt idx="355">
                  <c:v>-29.101398899139383</c:v>
                </c:pt>
                <c:pt idx="356">
                  <c:v>-29.313299770532534</c:v>
                </c:pt>
                <c:pt idx="357">
                  <c:v>-29.526199393275583</c:v>
                </c:pt>
                <c:pt idx="358">
                  <c:v>-29.74010002648664</c:v>
                </c:pt>
                <c:pt idx="359">
                  <c:v>-29.955003929283873</c:v>
                </c:pt>
                <c:pt idx="360">
                  <c:v>-30.170913360785391</c:v>
                </c:pt>
                <c:pt idx="361">
                  <c:v>-30.387830580109366</c:v>
                </c:pt>
                <c:pt idx="362">
                  <c:v>-30.605757846373908</c:v>
                </c:pt>
                <c:pt idx="363">
                  <c:v>-30.824697418697184</c:v>
                </c:pt>
                <c:pt idx="364">
                  <c:v>-31.044651556197305</c:v>
                </c:pt>
                <c:pt idx="365">
                  <c:v>-31.265622517992441</c:v>
                </c:pt>
                <c:pt idx="366">
                  <c:v>-31.487612563200702</c:v>
                </c:pt>
                <c:pt idx="367">
                  <c:v>-31.710623950940256</c:v>
                </c:pt>
                <c:pt idx="368">
                  <c:v>-31.934658940329214</c:v>
                </c:pt>
                <c:pt idx="369">
                  <c:v>-32.159719790485745</c:v>
                </c:pt>
                <c:pt idx="370">
                  <c:v>-32.385808760527958</c:v>
                </c:pt>
                <c:pt idx="371">
                  <c:v>-32.612928109574021</c:v>
                </c:pt>
                <c:pt idx="372">
                  <c:v>-32.841080096742047</c:v>
                </c:pt>
                <c:pt idx="373">
                  <c:v>-33.070266981150205</c:v>
                </c:pt>
                <c:pt idx="374">
                  <c:v>-33.300491021916606</c:v>
                </c:pt>
                <c:pt idx="375">
                  <c:v>-33.531754478159414</c:v>
                </c:pt>
                <c:pt idx="376">
                  <c:v>-33.764059608996746</c:v>
                </c:pt>
                <c:pt idx="377">
                  <c:v>-33.997408673546765</c:v>
                </c:pt>
                <c:pt idx="378">
                  <c:v>-34.231803930927583</c:v>
                </c:pt>
                <c:pt idx="379">
                  <c:v>-34.467247640257369</c:v>
                </c:pt>
                <c:pt idx="380">
                  <c:v>-34.703742060654236</c:v>
                </c:pt>
                <c:pt idx="381">
                  <c:v>-34.941289451236351</c:v>
                </c:pt>
                <c:pt idx="382">
                  <c:v>-35.17989207112182</c:v>
                </c:pt>
                <c:pt idx="383">
                  <c:v>-35.41955217942882</c:v>
                </c:pt>
                <c:pt idx="384">
                  <c:v>-35.660272035275455</c:v>
                </c:pt>
                <c:pt idx="385">
                  <c:v>-35.902053897779879</c:v>
                </c:pt>
                <c:pt idx="386">
                  <c:v>-36.144900026060256</c:v>
                </c:pt>
                <c:pt idx="387">
                  <c:v>-36.388812679234682</c:v>
                </c:pt>
                <c:pt idx="388">
                  <c:v>-36.633794116421335</c:v>
                </c:pt>
                <c:pt idx="389">
                  <c:v>-36.879846596738325</c:v>
                </c:pt>
                <c:pt idx="390">
                  <c:v>-37.126972379303822</c:v>
                </c:pt>
                <c:pt idx="391">
                  <c:v>-37.375173723235932</c:v>
                </c:pt>
                <c:pt idx="392">
                  <c:v>-37.624452887652822</c:v>
                </c:pt>
                <c:pt idx="393">
                  <c:v>-37.874812131672606</c:v>
                </c:pt>
                <c:pt idx="394">
                  <c:v>-38.126253714413451</c:v>
                </c:pt>
                <c:pt idx="395">
                  <c:v>-38.378779894993471</c:v>
                </c:pt>
                <c:pt idx="396">
                  <c:v>-38.632392932530834</c:v>
                </c:pt>
                <c:pt idx="397">
                  <c:v>-38.887095086143646</c:v>
                </c:pt>
                <c:pt idx="398">
                  <c:v>-39.142888614950081</c:v>
                </c:pt>
                <c:pt idx="399">
                  <c:v>-39.399775778068246</c:v>
                </c:pt>
                <c:pt idx="400">
                  <c:v>-39.65775883461631</c:v>
                </c:pt>
                <c:pt idx="401">
                  <c:v>-39.916840043712384</c:v>
                </c:pt>
                <c:pt idx="402">
                  <c:v>-40.177021664474637</c:v>
                </c:pt>
                <c:pt idx="403">
                  <c:v>-40.438305956021182</c:v>
                </c:pt>
                <c:pt idx="404">
                  <c:v>-40.700695177470188</c:v>
                </c:pt>
                <c:pt idx="405">
                  <c:v>-40.964191587939759</c:v>
                </c:pt>
                <c:pt idx="406">
                  <c:v>-41.228797446548072</c:v>
                </c:pt>
                <c:pt idx="407">
                  <c:v>-41.494515012413224</c:v>
                </c:pt>
                <c:pt idx="408">
                  <c:v>-41.761346544653399</c:v>
                </c:pt>
                <c:pt idx="409">
                  <c:v>-42.029294302386695</c:v>
                </c:pt>
                <c:pt idx="410">
                  <c:v>-42.298360544731295</c:v>
                </c:pt>
                <c:pt idx="411">
                  <c:v>-42.568547530805297</c:v>
                </c:pt>
                <c:pt idx="412">
                  <c:v>-42.839857519726877</c:v>
                </c:pt>
                <c:pt idx="413">
                  <c:v>-43.11229277061414</c:v>
                </c:pt>
                <c:pt idx="414">
                  <c:v>-43.385855542585261</c:v>
                </c:pt>
                <c:pt idx="415">
                  <c:v>-43.660548119159401</c:v>
                </c:pt>
                <c:pt idx="416">
                  <c:v>-43.936434027868202</c:v>
                </c:pt>
                <c:pt idx="417">
                  <c:v>-44.953863726387709</c:v>
                </c:pt>
                <c:pt idx="418">
                  <c:v>-45.988144733421208</c:v>
                </c:pt>
                <c:pt idx="419">
                  <c:v>-47.039391566996983</c:v>
                </c:pt>
                <c:pt idx="420">
                  <c:v>-48.107718745143266</c:v>
                </c:pt>
                <c:pt idx="421">
                  <c:v>-49.193240785888335</c:v>
                </c:pt>
                <c:pt idx="422">
                  <c:v>-50.296072207260458</c:v>
                </c:pt>
                <c:pt idx="423">
                  <c:v>-51.416327527287898</c:v>
                </c:pt>
                <c:pt idx="424">
                  <c:v>-52.554121263998937</c:v>
                </c:pt>
                <c:pt idx="425">
                  <c:v>-53.709567935421795</c:v>
                </c:pt>
                <c:pt idx="426">
                  <c:v>-54.882782059584763</c:v>
                </c:pt>
                <c:pt idx="427">
                  <c:v>-56.073878154516102</c:v>
                </c:pt>
                <c:pt idx="428">
                  <c:v>-57.282970738244103</c:v>
                </c:pt>
                <c:pt idx="429">
                  <c:v>-58.510174328796978</c:v>
                </c:pt>
                <c:pt idx="430">
                  <c:v>-59.755603444203018</c:v>
                </c:pt>
                <c:pt idx="431">
                  <c:v>-61.019372602490485</c:v>
                </c:pt>
                <c:pt idx="432">
                  <c:v>-62.301596321687647</c:v>
                </c:pt>
                <c:pt idx="433">
                  <c:v>-63.602389119822789</c:v>
                </c:pt>
                <c:pt idx="434">
                  <c:v>-64.921865514924121</c:v>
                </c:pt>
                <c:pt idx="435">
                  <c:v>-66.260140025019936</c:v>
                </c:pt>
                <c:pt idx="436">
                  <c:v>-67.617327168138502</c:v>
                </c:pt>
              </c:numCache>
            </c:numRef>
          </c:yVal>
          <c:smooth val="0"/>
          <c:extLst>
            <c:ext xmlns:c16="http://schemas.microsoft.com/office/drawing/2014/chart" uri="{C3380CC4-5D6E-409C-BE32-E72D297353CC}">
              <c16:uniqueId val="{00000000-A7C6-499B-B781-3681EB789A0F}"/>
            </c:ext>
          </c:extLst>
        </c:ser>
        <c:dLbls>
          <c:showLegendKey val="0"/>
          <c:showVal val="0"/>
          <c:showCatName val="0"/>
          <c:showSerName val="0"/>
          <c:showPercent val="0"/>
          <c:showBubbleSize val="0"/>
        </c:dLbls>
        <c:axId val="640065032"/>
        <c:axId val="640067384"/>
      </c:scatterChart>
      <c:valAx>
        <c:axId val="640065032"/>
        <c:scaling>
          <c:orientation val="minMax"/>
        </c:scaling>
        <c:delete val="0"/>
        <c:axPos val="t"/>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7384"/>
        <c:crosses val="autoZero"/>
        <c:crossBetween val="midCat"/>
      </c:valAx>
      <c:valAx>
        <c:axId val="640067384"/>
        <c:scaling>
          <c:orientation val="maxMin"/>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40065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14844488089593"/>
          <c:y val="7.4123485718721321E-2"/>
          <c:w val="0.46859552278608652"/>
          <c:h val="0.75878291756122218"/>
        </c:manualLayout>
      </c:layout>
      <c:scatterChart>
        <c:scatterStyle val="lineMarker"/>
        <c:varyColors val="0"/>
        <c:ser>
          <c:idx val="0"/>
          <c:order val="0"/>
          <c:spPr>
            <a:ln w="31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0-4BE8-44F6-8F13-C2499EEC9AC9}"/>
            </c:ext>
          </c:extLst>
        </c:ser>
        <c:ser>
          <c:idx val="3"/>
          <c:order val="1"/>
          <c:tx>
            <c:v>Tensioni trasmesse al terreno</c:v>
          </c:tx>
          <c:spPr>
            <a:ln w="28575" cap="rnd">
              <a:solidFill>
                <a:srgbClr val="FF0000"/>
              </a:solidFill>
              <a:prstDash val="sysDot"/>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4BE8-44F6-8F13-C2499EEC9AC9}"/>
                </c:ext>
              </c:extLst>
            </c:dLbl>
            <c:dLbl>
              <c:idx val="1"/>
              <c:layout>
                <c:manualLayout>
                  <c:x val="-0.15585654429874443"/>
                  <c:y val="7.8475888805386265E-2"/>
                </c:manualLayout>
              </c:layout>
              <c:tx>
                <c:rich>
                  <a:bodyPr/>
                  <a:lstStyle/>
                  <a:p>
                    <a:fld id="{CA8F73AB-A1FF-4117-8934-69D48C8943C6}" type="YVALUE">
                      <a:rPr lang="en-US" sz="900"/>
                      <a:pPr/>
                      <a:t>[VALORE Y]</a:t>
                    </a:fld>
                    <a:endParaRPr lang="it-IT"/>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4BE8-44F6-8F13-C2499EEC9AC9}"/>
                </c:ext>
              </c:extLst>
            </c:dLbl>
            <c:dLbl>
              <c:idx val="2"/>
              <c:delete val="1"/>
              <c:extLst>
                <c:ext xmlns:c15="http://schemas.microsoft.com/office/drawing/2012/chart" uri="{CE6537A1-D6FC-4f65-9D91-7224C49458BB}"/>
                <c:ext xmlns:c16="http://schemas.microsoft.com/office/drawing/2014/chart" uri="{C3380CC4-5D6E-409C-BE32-E72D297353CC}">
                  <c16:uniqueId val="{00000003-4BE8-44F6-8F13-C2499EEC9AC9}"/>
                </c:ext>
              </c:extLst>
            </c:dLbl>
            <c:dLbl>
              <c:idx val="3"/>
              <c:delete val="1"/>
              <c:extLst>
                <c:ext xmlns:c15="http://schemas.microsoft.com/office/drawing/2012/chart" uri="{CE6537A1-D6FC-4f65-9D91-7224C49458BB}"/>
                <c:ext xmlns:c16="http://schemas.microsoft.com/office/drawing/2014/chart" uri="{C3380CC4-5D6E-409C-BE32-E72D297353CC}">
                  <c16:uniqueId val="{00000004-4BE8-44F6-8F13-C2499EEC9AC9}"/>
                </c:ext>
              </c:extLst>
            </c:dLbl>
            <c:dLbl>
              <c:idx val="4"/>
              <c:delete val="1"/>
              <c:extLst>
                <c:ext xmlns:c15="http://schemas.microsoft.com/office/drawing/2012/chart" uri="{CE6537A1-D6FC-4f65-9D91-7224C49458BB}"/>
                <c:ext xmlns:c16="http://schemas.microsoft.com/office/drawing/2014/chart" uri="{C3380CC4-5D6E-409C-BE32-E72D297353CC}">
                  <c16:uniqueId val="{00000005-4BE8-44F6-8F13-C2499EEC9AC9}"/>
                </c:ext>
              </c:extLst>
            </c:dLbl>
            <c:dLbl>
              <c:idx val="5"/>
              <c:layout>
                <c:manualLayout>
                  <c:x val="1.130551769033742E-2"/>
                  <c:y val="0.109845332390245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9C6-4E63-AD58-F3F4A2310B69}"/>
                </c:ext>
              </c:extLst>
            </c:dLbl>
            <c:dLbl>
              <c:idx val="6"/>
              <c:layout>
                <c:manualLayout>
                  <c:x val="4.5222070761349681E-2"/>
                  <c:y val="1.7087051705149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9C6-4E63-AD58-F3F4A2310B69}"/>
                </c:ext>
              </c:extLst>
            </c:dLbl>
            <c:numFmt formatCode="0.00&quot; kPa x 100&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muro+tensioni'!$C$82:$C$88</c:f>
              <c:numCache>
                <c:formatCode>0.000</c:formatCode>
                <c:ptCount val="7"/>
                <c:pt idx="0">
                  <c:v>0</c:v>
                </c:pt>
                <c:pt idx="1">
                  <c:v>0</c:v>
                </c:pt>
                <c:pt idx="2">
                  <c:v>0</c:v>
                </c:pt>
                <c:pt idx="3">
                  <c:v>0.55000000000000004</c:v>
                </c:pt>
                <c:pt idx="4">
                  <c:v>1.6248275834596275</c:v>
                </c:pt>
                <c:pt idx="5">
                  <c:v>1.9999999999999996</c:v>
                </c:pt>
                <c:pt idx="6">
                  <c:v>1.9999999999999996</c:v>
                </c:pt>
              </c:numCache>
            </c:numRef>
          </c:xVal>
          <c:yVal>
            <c:numRef>
              <c:f>'geom masse muro+tensioni'!$D$82:$D$88</c:f>
              <c:numCache>
                <c:formatCode>0.000</c:formatCode>
                <c:ptCount val="7"/>
                <c:pt idx="0">
                  <c:v>0</c:v>
                </c:pt>
                <c:pt idx="1">
                  <c:v>-1.8135786210060076</c:v>
                </c:pt>
                <c:pt idx="2">
                  <c:v>-1.8135786210060076</c:v>
                </c:pt>
                <c:pt idx="3">
                  <c:v>-1.1996868753787779</c:v>
                </c:pt>
                <c:pt idx="4">
                  <c:v>0</c:v>
                </c:pt>
                <c:pt idx="5">
                  <c:v>0</c:v>
                </c:pt>
                <c:pt idx="6">
                  <c:v>0</c:v>
                </c:pt>
              </c:numCache>
            </c:numRef>
          </c:yVal>
          <c:smooth val="0"/>
          <c:extLst>
            <c:ext xmlns:c16="http://schemas.microsoft.com/office/drawing/2014/chart" uri="{C3380CC4-5D6E-409C-BE32-E72D297353CC}">
              <c16:uniqueId val="{00000006-4BE8-44F6-8F13-C2499EEC9AC9}"/>
            </c:ext>
          </c:extLst>
        </c:ser>
        <c:ser>
          <c:idx val="1"/>
          <c:order val="2"/>
          <c:tx>
            <c:v>tratteggio mezzeria</c:v>
          </c:tx>
          <c:spPr>
            <a:ln w="9525" cap="rnd">
              <a:solidFill>
                <a:schemeClr val="accent2"/>
              </a:solidFill>
              <a:prstDash val="sysDash"/>
              <a:round/>
            </a:ln>
            <a:effectLst>
              <a:outerShdw blurRad="40000" dist="23000" dir="5400000" rotWithShape="0">
                <a:srgbClr val="000000">
                  <a:alpha val="35000"/>
                </a:srgbClr>
              </a:outerShdw>
            </a:effectLst>
          </c:spPr>
          <c:marker>
            <c:symbol val="none"/>
          </c:marker>
          <c:xVal>
            <c:numRef>
              <c:f>'geom masse muro+tensioni'!$C$95:$C$96</c:f>
              <c:numCache>
                <c:formatCode>General</c:formatCode>
                <c:ptCount val="2"/>
                <c:pt idx="0">
                  <c:v>0.55000000000000004</c:v>
                </c:pt>
                <c:pt idx="1">
                  <c:v>0.55000000000000004</c:v>
                </c:pt>
              </c:numCache>
            </c:numRef>
          </c:xVal>
          <c:yVal>
            <c:numRef>
              <c:f>'geom masse muro+tensioni'!$D$95:$D$96</c:f>
              <c:numCache>
                <c:formatCode>General</c:formatCode>
                <c:ptCount val="2"/>
                <c:pt idx="0" formatCode="0.00">
                  <c:v>-1.1996868753787779</c:v>
                </c:pt>
                <c:pt idx="1">
                  <c:v>3.7</c:v>
                </c:pt>
              </c:numCache>
            </c:numRef>
          </c:yVal>
          <c:smooth val="0"/>
          <c:extLst>
            <c:ext xmlns:c16="http://schemas.microsoft.com/office/drawing/2014/chart" uri="{C3380CC4-5D6E-409C-BE32-E72D297353CC}">
              <c16:uniqueId val="{00000007-4BE8-44F6-8F13-C2499EEC9AC9}"/>
            </c:ext>
          </c:extLst>
        </c:ser>
        <c:ser>
          <c:idx val="2"/>
          <c:order val="3"/>
          <c:tx>
            <c:v>tensione indotta dal peso del muro</c:v>
          </c:tx>
          <c:spPr>
            <a:ln w="28575" cap="rnd">
              <a:solidFill>
                <a:srgbClr val="FF0000"/>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8-4BE8-44F6-8F13-C2499EEC9AC9}"/>
                </c:ext>
              </c:extLst>
            </c:dLbl>
            <c:dLbl>
              <c:idx val="1"/>
              <c:delete val="1"/>
              <c:extLst>
                <c:ext xmlns:c15="http://schemas.microsoft.com/office/drawing/2012/chart" uri="{CE6537A1-D6FC-4f65-9D91-7224C49458BB}"/>
                <c:ext xmlns:c16="http://schemas.microsoft.com/office/drawing/2014/chart" uri="{C3380CC4-5D6E-409C-BE32-E72D297353CC}">
                  <c16:uniqueId val="{00000009-4BE8-44F6-8F13-C2499EEC9AC9}"/>
                </c:ext>
              </c:extLst>
            </c:dLbl>
            <c:dLbl>
              <c:idx val="2"/>
              <c:layout>
                <c:manualLayout>
                  <c:x val="2.4941479073382337E-2"/>
                  <c:y val="-5.8053690630183539E-3"/>
                </c:manualLayout>
              </c:layout>
              <c:tx>
                <c:rich>
                  <a:bodyPr/>
                  <a:lstStyle/>
                  <a:p>
                    <a:r>
                      <a:rPr lang="el-GR" sz="1100">
                        <a:latin typeface="Calibri" panose="020F0502020204030204" pitchFamily="34" charset="0"/>
                      </a:rPr>
                      <a:t>σ,</a:t>
                    </a:r>
                    <a:r>
                      <a:rPr lang="en-US" sz="1100">
                        <a:latin typeface="Calibri" panose="020F0502020204030204" pitchFamily="34" charset="0"/>
                      </a:rPr>
                      <a:t>zattera+muro</a:t>
                    </a:r>
                    <a:endParaRPr lang="en-US" sz="1100"/>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BE8-44F6-8F13-C2499EEC9AC9}"/>
                </c:ext>
              </c:extLst>
            </c:dLbl>
            <c:dLbl>
              <c:idx val="3"/>
              <c:delete val="1"/>
              <c:extLst>
                <c:ext xmlns:c15="http://schemas.microsoft.com/office/drawing/2012/chart" uri="{CE6537A1-D6FC-4f65-9D91-7224C49458BB}"/>
                <c:ext xmlns:c16="http://schemas.microsoft.com/office/drawing/2014/chart" uri="{C3380CC4-5D6E-409C-BE32-E72D297353CC}">
                  <c16:uniqueId val="{0000000B-4BE8-44F6-8F13-C2499EEC9AC9}"/>
                </c:ext>
              </c:extLst>
            </c:dLbl>
            <c:dLbl>
              <c:idx val="4"/>
              <c:delete val="1"/>
              <c:extLst>
                <c:ext xmlns:c15="http://schemas.microsoft.com/office/drawing/2012/chart" uri="{CE6537A1-D6FC-4f65-9D91-7224C49458BB}"/>
                <c:ext xmlns:c16="http://schemas.microsoft.com/office/drawing/2014/chart" uri="{C3380CC4-5D6E-409C-BE32-E72D297353CC}">
                  <c16:uniqueId val="{0000000C-4BE8-44F6-8F13-C2499EEC9AC9}"/>
                </c:ext>
              </c:extLst>
            </c:dLbl>
            <c:numFmt formatCode="0.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muro+tensioni'!$C$99:$C$103</c:f>
              <c:numCache>
                <c:formatCode>General</c:formatCode>
                <c:ptCount val="5"/>
                <c:pt idx="0">
                  <c:v>0</c:v>
                </c:pt>
                <c:pt idx="1">
                  <c:v>0</c:v>
                </c:pt>
                <c:pt idx="2">
                  <c:v>1.9999999999999996</c:v>
                </c:pt>
                <c:pt idx="3">
                  <c:v>1.9999999999999996</c:v>
                </c:pt>
                <c:pt idx="4">
                  <c:v>0</c:v>
                </c:pt>
              </c:numCache>
            </c:numRef>
          </c:xVal>
          <c:yVal>
            <c:numRef>
              <c:f>'geom masse muro+tensioni'!$D$99:$D$103</c:f>
              <c:numCache>
                <c:formatCode>General</c:formatCode>
                <c:ptCount val="5"/>
                <c:pt idx="0">
                  <c:v>0.65</c:v>
                </c:pt>
                <c:pt idx="1">
                  <c:v>0.95163198369565216</c:v>
                </c:pt>
                <c:pt idx="2">
                  <c:v>0.95163198369565216</c:v>
                </c:pt>
                <c:pt idx="3">
                  <c:v>0.65</c:v>
                </c:pt>
                <c:pt idx="4">
                  <c:v>0.65</c:v>
                </c:pt>
              </c:numCache>
            </c:numRef>
          </c:yVal>
          <c:smooth val="0"/>
          <c:extLst>
            <c:ext xmlns:c16="http://schemas.microsoft.com/office/drawing/2014/chart" uri="{C3380CC4-5D6E-409C-BE32-E72D297353CC}">
              <c16:uniqueId val="{0000000D-4BE8-44F6-8F13-C2499EEC9AC9}"/>
            </c:ext>
          </c:extLst>
        </c:ser>
        <c:ser>
          <c:idx val="4"/>
          <c:order val="4"/>
          <c:tx>
            <c:v>tensione indotta dal terreno a tergo</c:v>
          </c:tx>
          <c:spPr>
            <a:ln w="28575" cap="rnd">
              <a:solidFill>
                <a:schemeClr val="bg2">
                  <a:lumMod val="75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4BE8-44F6-8F13-C2499EEC9AC9}"/>
                </c:ext>
              </c:extLst>
            </c:dLbl>
            <c:dLbl>
              <c:idx val="1"/>
              <c:delete val="1"/>
              <c:extLst>
                <c:ext xmlns:c15="http://schemas.microsoft.com/office/drawing/2012/chart" uri="{CE6537A1-D6FC-4f65-9D91-7224C49458BB}"/>
                <c:ext xmlns:c16="http://schemas.microsoft.com/office/drawing/2014/chart" uri="{C3380CC4-5D6E-409C-BE32-E72D297353CC}">
                  <c16:uniqueId val="{0000000F-4BE8-44F6-8F13-C2499EEC9AC9}"/>
                </c:ext>
              </c:extLst>
            </c:dLbl>
            <c:dLbl>
              <c:idx val="2"/>
              <c:delete val="1"/>
              <c:extLst>
                <c:ext xmlns:c15="http://schemas.microsoft.com/office/drawing/2012/chart" uri="{CE6537A1-D6FC-4f65-9D91-7224C49458BB}"/>
                <c:ext xmlns:c16="http://schemas.microsoft.com/office/drawing/2014/chart" uri="{C3380CC4-5D6E-409C-BE32-E72D297353CC}">
                  <c16:uniqueId val="{00000010-4BE8-44F6-8F13-C2499EEC9AC9}"/>
                </c:ext>
              </c:extLst>
            </c:dLbl>
            <c:dLbl>
              <c:idx val="3"/>
              <c:layout>
                <c:manualLayout>
                  <c:x val="1.1823613067957548E-2"/>
                  <c:y val="-3.0732763508669419E-2"/>
                </c:manualLayout>
              </c:layout>
              <c:tx>
                <c:rich>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1F497D"/>
                        </a:solidFill>
                        <a:latin typeface="+mn-lt"/>
                        <a:ea typeface="+mn-ea"/>
                        <a:cs typeface="+mn-cs"/>
                      </a:defRPr>
                    </a:pPr>
                    <a:r>
                      <a:rPr lang="el-GR" sz="1100" b="0" i="0" u="none" strike="noStrike" kern="1200" baseline="0">
                        <a:solidFill>
                          <a:srgbClr val="1F497D"/>
                        </a:solidFill>
                        <a:latin typeface="Calibri" panose="020F0502020204030204" pitchFamily="34" charset="0"/>
                      </a:rPr>
                      <a:t>σ,</a:t>
                    </a:r>
                    <a:r>
                      <a:rPr lang="en-US" sz="1100" b="0" i="0" u="none" strike="noStrike" kern="1200" baseline="0">
                        <a:solidFill>
                          <a:srgbClr val="1F497D"/>
                        </a:solidFill>
                        <a:latin typeface="Calibri" panose="020F0502020204030204" pitchFamily="34" charset="0"/>
                      </a:rPr>
                      <a:t>terra monte</a:t>
                    </a:r>
                    <a:endParaRPr lang="en-US" sz="1100" b="0" i="0" u="none" strike="noStrike" kern="1200" baseline="0">
                      <a:solidFill>
                        <a:srgbClr val="1F497D"/>
                      </a:solidFill>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1F497D"/>
                        </a:solidFill>
                      </a:defRPr>
                    </a:pPr>
                    <a:endParaRPr lang="en-US"/>
                  </a:p>
                </c:rich>
              </c:tx>
              <c:spPr>
                <a:noFill/>
                <a:ln>
                  <a:noFill/>
                </a:ln>
                <a:effectLst/>
              </c:spPr>
              <c:txPr>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1F497D"/>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2282806245501016"/>
                      <c:h val="4.0118180906062298E-2"/>
                    </c:manualLayout>
                  </c15:layout>
                </c:ext>
                <c:ext xmlns:c16="http://schemas.microsoft.com/office/drawing/2014/chart" uri="{C3380CC4-5D6E-409C-BE32-E72D297353CC}">
                  <c16:uniqueId val="{00000011-4BE8-44F6-8F13-C2499EEC9AC9}"/>
                </c:ext>
              </c:extLst>
            </c:dLbl>
            <c:dLbl>
              <c:idx val="4"/>
              <c:delete val="1"/>
              <c:extLst>
                <c:ext xmlns:c15="http://schemas.microsoft.com/office/drawing/2012/chart" uri="{CE6537A1-D6FC-4f65-9D91-7224C49458BB}"/>
                <c:ext xmlns:c16="http://schemas.microsoft.com/office/drawing/2014/chart" uri="{C3380CC4-5D6E-409C-BE32-E72D297353CC}">
                  <c16:uniqueId val="{00000012-4BE8-44F6-8F13-C2499EEC9A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muro+tensioni'!$C$105:$C$109</c:f>
              <c:numCache>
                <c:formatCode>General</c:formatCode>
                <c:ptCount val="5"/>
                <c:pt idx="0">
                  <c:v>0.7</c:v>
                </c:pt>
                <c:pt idx="1">
                  <c:v>0.7</c:v>
                </c:pt>
                <c:pt idx="2">
                  <c:v>1.9999999999999996</c:v>
                </c:pt>
                <c:pt idx="3">
                  <c:v>1.9999999999999996</c:v>
                </c:pt>
                <c:pt idx="4">
                  <c:v>0.7</c:v>
                </c:pt>
              </c:numCache>
            </c:numRef>
          </c:xVal>
          <c:yVal>
            <c:numRef>
              <c:f>'geom masse muro+tensioni'!$D$105:$D$109</c:f>
              <c:numCache>
                <c:formatCode>0.00</c:formatCode>
                <c:ptCount val="5"/>
                <c:pt idx="0" formatCode="General">
                  <c:v>1.1419583804347826</c:v>
                </c:pt>
                <c:pt idx="1">
                  <c:v>1.5936480283872287</c:v>
                </c:pt>
                <c:pt idx="2">
                  <c:v>1.5936480283872287</c:v>
                </c:pt>
                <c:pt idx="3">
                  <c:v>1.1419583804347826</c:v>
                </c:pt>
                <c:pt idx="4" formatCode="General">
                  <c:v>1.1419583804347826</c:v>
                </c:pt>
              </c:numCache>
            </c:numRef>
          </c:yVal>
          <c:smooth val="0"/>
          <c:extLst>
            <c:ext xmlns:c16="http://schemas.microsoft.com/office/drawing/2014/chart" uri="{C3380CC4-5D6E-409C-BE32-E72D297353CC}">
              <c16:uniqueId val="{00000013-4BE8-44F6-8F13-C2499EEC9AC9}"/>
            </c:ext>
          </c:extLst>
        </c:ser>
        <c:ser>
          <c:idx val="5"/>
          <c:order val="5"/>
          <c:tx>
            <c:v>tensioni indotte dal sovraccarico</c:v>
          </c:tx>
          <c:spPr>
            <a:ln w="19050" cap="rnd">
              <a:solidFill>
                <a:schemeClr val="accent6"/>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4-4BE8-44F6-8F13-C2499EEC9AC9}"/>
                </c:ext>
              </c:extLst>
            </c:dLbl>
            <c:dLbl>
              <c:idx val="1"/>
              <c:delete val="1"/>
              <c:extLst>
                <c:ext xmlns:c15="http://schemas.microsoft.com/office/drawing/2012/chart" uri="{CE6537A1-D6FC-4f65-9D91-7224C49458BB}"/>
                <c:ext xmlns:c16="http://schemas.microsoft.com/office/drawing/2014/chart" uri="{C3380CC4-5D6E-409C-BE32-E72D297353CC}">
                  <c16:uniqueId val="{00000015-4BE8-44F6-8F13-C2499EEC9AC9}"/>
                </c:ext>
              </c:extLst>
            </c:dLbl>
            <c:dLbl>
              <c:idx val="2"/>
              <c:delete val="1"/>
              <c:extLst>
                <c:ext xmlns:c15="http://schemas.microsoft.com/office/drawing/2012/chart" uri="{CE6537A1-D6FC-4f65-9D91-7224C49458BB}"/>
                <c:ext xmlns:c16="http://schemas.microsoft.com/office/drawing/2014/chart" uri="{C3380CC4-5D6E-409C-BE32-E72D297353CC}">
                  <c16:uniqueId val="{00000016-4BE8-44F6-8F13-C2499EEC9AC9}"/>
                </c:ext>
              </c:extLst>
            </c:dLbl>
            <c:dLbl>
              <c:idx val="3"/>
              <c:layout>
                <c:manualLayout>
                  <c:x val="1.9461030855150534E-2"/>
                  <c:y val="-9.4562594946522808E-3"/>
                </c:manualLayout>
              </c:layout>
              <c:tx>
                <c:rich>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1F497D"/>
                        </a:solidFill>
                        <a:latin typeface="+mn-lt"/>
                        <a:ea typeface="+mn-ea"/>
                        <a:cs typeface="+mn-cs"/>
                      </a:defRPr>
                    </a:pPr>
                    <a:r>
                      <a:rPr lang="en-US" sz="1100" b="0" i="0" u="none" strike="noStrike" kern="1200" baseline="0">
                        <a:solidFill>
                          <a:srgbClr val="1F497D"/>
                        </a:solidFill>
                        <a:latin typeface="Calibri" panose="020F0502020204030204" pitchFamily="34" charset="0"/>
                      </a:rPr>
                      <a:t>G2</a:t>
                    </a:r>
                    <a:endParaRPr lang="en-US" sz="1100"/>
                  </a:p>
                </c:rich>
              </c:tx>
              <c:spPr>
                <a:noFill/>
                <a:ln>
                  <a:noFill/>
                </a:ln>
                <a:effectLst/>
              </c:spPr>
              <c:txPr>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1F497D"/>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4BE8-44F6-8F13-C2499EEC9AC9}"/>
                </c:ext>
              </c:extLst>
            </c:dLbl>
            <c:dLbl>
              <c:idx val="4"/>
              <c:delete val="1"/>
              <c:extLst>
                <c:ext xmlns:c15="http://schemas.microsoft.com/office/drawing/2012/chart" uri="{CE6537A1-D6FC-4f65-9D91-7224C49458BB}"/>
                <c:ext xmlns:c16="http://schemas.microsoft.com/office/drawing/2014/chart" uri="{C3380CC4-5D6E-409C-BE32-E72D297353CC}">
                  <c16:uniqueId val="{00000018-4BE8-44F6-8F13-C2499EEC9A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muro+tensioni'!$C$111:$C$115</c:f>
              <c:numCache>
                <c:formatCode>General</c:formatCode>
                <c:ptCount val="5"/>
                <c:pt idx="0">
                  <c:v>0.7</c:v>
                </c:pt>
                <c:pt idx="1">
                  <c:v>0.7</c:v>
                </c:pt>
                <c:pt idx="2">
                  <c:v>1.9999999999999996</c:v>
                </c:pt>
                <c:pt idx="3">
                  <c:v>1.9999999999999996</c:v>
                </c:pt>
                <c:pt idx="4">
                  <c:v>0.7</c:v>
                </c:pt>
              </c:numCache>
            </c:numRef>
          </c:xVal>
          <c:yVal>
            <c:numRef>
              <c:f>'geom masse muro+tensioni'!$D$111:$D$115</c:f>
              <c:numCache>
                <c:formatCode>0.00</c:formatCode>
                <c:ptCount val="5"/>
                <c:pt idx="0" formatCode="General">
                  <c:v>1.9123776340646743</c:v>
                </c:pt>
                <c:pt idx="1">
                  <c:v>1.9123776340646743</c:v>
                </c:pt>
                <c:pt idx="2">
                  <c:v>1.9123776340646743</c:v>
                </c:pt>
                <c:pt idx="3" formatCode="General">
                  <c:v>1.9123776340646743</c:v>
                </c:pt>
                <c:pt idx="4" formatCode="General">
                  <c:v>1.9123776340646743</c:v>
                </c:pt>
              </c:numCache>
            </c:numRef>
          </c:yVal>
          <c:smooth val="0"/>
          <c:extLst>
            <c:ext xmlns:c16="http://schemas.microsoft.com/office/drawing/2014/chart" uri="{C3380CC4-5D6E-409C-BE32-E72D297353CC}">
              <c16:uniqueId val="{00000019-4BE8-44F6-8F13-C2499EEC9AC9}"/>
            </c:ext>
          </c:extLst>
        </c:ser>
        <c:ser>
          <c:idx val="6"/>
          <c:order val="6"/>
          <c:tx>
            <c:v>tensioni indotte dai carichi variabili</c:v>
          </c:tx>
          <c:spPr>
            <a:ln w="28575" cap="rnd">
              <a:solidFill>
                <a:schemeClr val="accent1">
                  <a:lumMod val="6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A-4BE8-44F6-8F13-C2499EEC9AC9}"/>
                </c:ext>
              </c:extLst>
            </c:dLbl>
            <c:dLbl>
              <c:idx val="1"/>
              <c:delete val="1"/>
              <c:extLst>
                <c:ext xmlns:c15="http://schemas.microsoft.com/office/drawing/2012/chart" uri="{CE6537A1-D6FC-4f65-9D91-7224C49458BB}"/>
                <c:ext xmlns:c16="http://schemas.microsoft.com/office/drawing/2014/chart" uri="{C3380CC4-5D6E-409C-BE32-E72D297353CC}">
                  <c16:uniqueId val="{0000001B-4BE8-44F6-8F13-C2499EEC9AC9}"/>
                </c:ext>
              </c:extLst>
            </c:dLbl>
            <c:dLbl>
              <c:idx val="2"/>
              <c:delete val="1"/>
              <c:extLst>
                <c:ext xmlns:c15="http://schemas.microsoft.com/office/drawing/2012/chart" uri="{CE6537A1-D6FC-4f65-9D91-7224C49458BB}"/>
                <c:ext xmlns:c16="http://schemas.microsoft.com/office/drawing/2014/chart" uri="{C3380CC4-5D6E-409C-BE32-E72D297353CC}">
                  <c16:uniqueId val="{0000001C-4BE8-44F6-8F13-C2499EEC9AC9}"/>
                </c:ext>
              </c:extLst>
            </c:dLbl>
            <c:dLbl>
              <c:idx val="3"/>
              <c:layout>
                <c:manualLayout>
                  <c:x val="1.7204259535140445E-2"/>
                  <c:y val="-1.1820324368315394E-2"/>
                </c:manualLayout>
              </c:layout>
              <c:tx>
                <c:rich>
                  <a:bodyPr/>
                  <a:lstStyle/>
                  <a:p>
                    <a:r>
                      <a:rPr lang="en-US" sz="1100"/>
                      <a:t>Qk</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4BE8-44F6-8F13-C2499EEC9AC9}"/>
                </c:ext>
              </c:extLst>
            </c:dLbl>
            <c:dLbl>
              <c:idx val="4"/>
              <c:delete val="1"/>
              <c:extLst>
                <c:ext xmlns:c15="http://schemas.microsoft.com/office/drawing/2012/chart" uri="{CE6537A1-D6FC-4f65-9D91-7224C49458BB}"/>
                <c:ext xmlns:c16="http://schemas.microsoft.com/office/drawing/2014/chart" uri="{C3380CC4-5D6E-409C-BE32-E72D297353CC}">
                  <c16:uniqueId val="{0000001E-4BE8-44F6-8F13-C2499EEC9A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muro+tensioni'!$C$117:$C$121</c:f>
              <c:numCache>
                <c:formatCode>General</c:formatCode>
                <c:ptCount val="5"/>
                <c:pt idx="0">
                  <c:v>0.7</c:v>
                </c:pt>
                <c:pt idx="1">
                  <c:v>0.7</c:v>
                </c:pt>
                <c:pt idx="2">
                  <c:v>1.9999999999999996</c:v>
                </c:pt>
                <c:pt idx="3">
                  <c:v>1.9999999999999996</c:v>
                </c:pt>
                <c:pt idx="4">
                  <c:v>0.7</c:v>
                </c:pt>
              </c:numCache>
            </c:numRef>
          </c:xVal>
          <c:yVal>
            <c:numRef>
              <c:f>'geom masse muro+tensioni'!$D$117:$D$121</c:f>
              <c:numCache>
                <c:formatCode>0.00</c:formatCode>
                <c:ptCount val="5"/>
                <c:pt idx="0" formatCode="General">
                  <c:v>2.2948531608776093</c:v>
                </c:pt>
                <c:pt idx="1">
                  <c:v>2.3448531608776091</c:v>
                </c:pt>
                <c:pt idx="2">
                  <c:v>2.3448531608776091</c:v>
                </c:pt>
                <c:pt idx="3" formatCode="General">
                  <c:v>2.2948531608776093</c:v>
                </c:pt>
                <c:pt idx="4" formatCode="General">
                  <c:v>2.2948531608776093</c:v>
                </c:pt>
              </c:numCache>
            </c:numRef>
          </c:yVal>
          <c:smooth val="0"/>
          <c:extLst>
            <c:ext xmlns:c16="http://schemas.microsoft.com/office/drawing/2014/chart" uri="{C3380CC4-5D6E-409C-BE32-E72D297353CC}">
              <c16:uniqueId val="{0000001F-4BE8-44F6-8F13-C2499EEC9AC9}"/>
            </c:ext>
          </c:extLst>
        </c:ser>
        <c:ser>
          <c:idx val="7"/>
          <c:order val="7"/>
          <c:tx>
            <c:v>tensioni elastiche</c:v>
          </c:tx>
          <c:spPr>
            <a:ln w="9525" cap="rnd">
              <a:solidFill>
                <a:schemeClr val="bg1">
                  <a:lumMod val="85000"/>
                </a:schemeClr>
              </a:solidFill>
              <a:prstDash val="dash"/>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99C6-4E63-AD58-F3F4A2310B69}"/>
                </c:ext>
              </c:extLst>
            </c:dLbl>
            <c:dLbl>
              <c:idx val="1"/>
              <c:delete val="1"/>
              <c:extLst>
                <c:ext xmlns:c15="http://schemas.microsoft.com/office/drawing/2012/chart" uri="{CE6537A1-D6FC-4f65-9D91-7224C49458BB}"/>
                <c:ext xmlns:c16="http://schemas.microsoft.com/office/drawing/2014/chart" uri="{C3380CC4-5D6E-409C-BE32-E72D297353CC}">
                  <c16:uniqueId val="{00000003-99C6-4E63-AD58-F3F4A2310B69}"/>
                </c:ext>
              </c:extLst>
            </c:dLbl>
            <c:dLbl>
              <c:idx val="2"/>
              <c:layout>
                <c:manualLayout>
                  <c:x val="-5.1682366584399633E-2"/>
                  <c:y val="7.8112236366397136E-2"/>
                </c:manualLayout>
              </c:layout>
              <c:numFmt formatCode="0.00&quot; MPa X 10&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C6-4E63-AD58-F3F4A2310B69}"/>
                </c:ext>
              </c:extLst>
            </c:dLbl>
            <c:dLbl>
              <c:idx val="3"/>
              <c:delete val="1"/>
              <c:extLst>
                <c:ext xmlns:c15="http://schemas.microsoft.com/office/drawing/2012/chart" uri="{CE6537A1-D6FC-4f65-9D91-7224C49458BB}"/>
                <c:ext xmlns:c16="http://schemas.microsoft.com/office/drawing/2014/chart" uri="{C3380CC4-5D6E-409C-BE32-E72D297353CC}">
                  <c16:uniqueId val="{00000005-99C6-4E63-AD58-F3F4A2310B69}"/>
                </c:ext>
              </c:extLst>
            </c:dLbl>
            <c:dLbl>
              <c:idx val="4"/>
              <c:delete val="1"/>
              <c:extLst>
                <c:ext xmlns:c15="http://schemas.microsoft.com/office/drawing/2012/chart" uri="{CE6537A1-D6FC-4f65-9D91-7224C49458BB}"/>
                <c:ext xmlns:c16="http://schemas.microsoft.com/office/drawing/2014/chart" uri="{C3380CC4-5D6E-409C-BE32-E72D297353CC}">
                  <c16:uniqueId val="{00000006-99C6-4E63-AD58-F3F4A2310B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muro+tensioni'!$E$83:$E$87</c:f>
              <c:numCache>
                <c:formatCode>General</c:formatCode>
                <c:ptCount val="5"/>
                <c:pt idx="0">
                  <c:v>0</c:v>
                </c:pt>
                <c:pt idx="1">
                  <c:v>0</c:v>
                </c:pt>
                <c:pt idx="2">
                  <c:v>0.55000000000000004</c:v>
                </c:pt>
                <c:pt idx="3">
                  <c:v>1.9999999999999996</c:v>
                </c:pt>
                <c:pt idx="4">
                  <c:v>1.9999999999999996</c:v>
                </c:pt>
              </c:numCache>
            </c:numRef>
          </c:xVal>
          <c:yVal>
            <c:numRef>
              <c:f>'geom masse muro+tensioni'!$F$83:$F$87</c:f>
              <c:numCache>
                <c:formatCode>General</c:formatCode>
                <c:ptCount val="5"/>
                <c:pt idx="0">
                  <c:v>0</c:v>
                </c:pt>
                <c:pt idx="1">
                  <c:v>-1.8135786210060076</c:v>
                </c:pt>
                <c:pt idx="2">
                  <c:v>-1.1996868753787779</c:v>
                </c:pt>
                <c:pt idx="3">
                  <c:v>0.41875499945664585</c:v>
                </c:pt>
                <c:pt idx="4">
                  <c:v>0</c:v>
                </c:pt>
              </c:numCache>
            </c:numRef>
          </c:yVal>
          <c:smooth val="0"/>
          <c:extLst>
            <c:ext xmlns:c16="http://schemas.microsoft.com/office/drawing/2014/chart" uri="{C3380CC4-5D6E-409C-BE32-E72D297353CC}">
              <c16:uniqueId val="{00000007-99C6-4E63-AD58-F3F4A2310B69}"/>
            </c:ext>
          </c:extLst>
        </c:ser>
        <c:ser>
          <c:idx val="8"/>
          <c:order val="8"/>
          <c:tx>
            <c:v>tensione indotta dal terreno a valle</c:v>
          </c:tx>
          <c:spPr>
            <a:ln w="19050" cap="rnd">
              <a:solidFill>
                <a:schemeClr val="bg2">
                  <a:lumMod val="5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8-99C6-4E63-AD58-F3F4A2310B69}"/>
                </c:ext>
              </c:extLst>
            </c:dLbl>
            <c:dLbl>
              <c:idx val="1"/>
              <c:delete val="1"/>
              <c:extLst>
                <c:ext xmlns:c15="http://schemas.microsoft.com/office/drawing/2012/chart" uri="{CE6537A1-D6FC-4f65-9D91-7224C49458BB}"/>
                <c:ext xmlns:c16="http://schemas.microsoft.com/office/drawing/2014/chart" uri="{C3380CC4-5D6E-409C-BE32-E72D297353CC}">
                  <c16:uniqueId val="{00000009-99C6-4E63-AD58-F3F4A2310B69}"/>
                </c:ext>
              </c:extLst>
            </c:dLbl>
            <c:dLbl>
              <c:idx val="2"/>
              <c:delete val="1"/>
              <c:extLst>
                <c:ext xmlns:c15="http://schemas.microsoft.com/office/drawing/2012/chart" uri="{CE6537A1-D6FC-4f65-9D91-7224C49458BB}"/>
                <c:ext xmlns:c16="http://schemas.microsoft.com/office/drawing/2014/chart" uri="{C3380CC4-5D6E-409C-BE32-E72D297353CC}">
                  <c16:uniqueId val="{0000000A-99C6-4E63-AD58-F3F4A2310B69}"/>
                </c:ext>
              </c:extLst>
            </c:dLbl>
            <c:dLbl>
              <c:idx val="3"/>
              <c:layout>
                <c:manualLayout>
                  <c:x val="2.4226109336437329E-2"/>
                  <c:y val="-3.2953599717073789E-2"/>
                </c:manualLayout>
              </c:layout>
              <c:tx>
                <c:rich>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1F497D"/>
                        </a:solidFill>
                        <a:latin typeface="+mn-lt"/>
                        <a:ea typeface="+mn-ea"/>
                        <a:cs typeface="+mn-cs"/>
                      </a:defRPr>
                    </a:pPr>
                    <a:r>
                      <a:rPr lang="el-GR" sz="900" b="0" i="0" u="none" strike="noStrike" kern="1200" baseline="0">
                        <a:solidFill>
                          <a:srgbClr val="1F497D"/>
                        </a:solidFill>
                        <a:latin typeface="Calibri" panose="020F0502020204030204" pitchFamily="34" charset="0"/>
                      </a:rPr>
                      <a:t>σ,</a:t>
                    </a:r>
                    <a:r>
                      <a:rPr lang="en-US" sz="900" b="0" i="0" u="none" strike="noStrike" kern="1200" baseline="0">
                        <a:solidFill>
                          <a:srgbClr val="1F497D"/>
                        </a:solidFill>
                        <a:latin typeface="Calibri" panose="020F0502020204030204" pitchFamily="34" charset="0"/>
                      </a:rPr>
                      <a:t>terra valle</a:t>
                    </a:r>
                    <a:endParaRPr lang="en-US" sz="900" b="0" i="0" u="none" strike="noStrike" kern="1200" baseline="0">
                      <a:solidFill>
                        <a:srgbClr val="1F497D"/>
                      </a:solidFill>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1F497D"/>
                        </a:solidFill>
                      </a:defRPr>
                    </a:pPr>
                    <a:endParaRPr lang="en-US"/>
                  </a:p>
                </c:rich>
              </c:tx>
              <c:spPr>
                <a:noFill/>
                <a:ln>
                  <a:noFill/>
                </a:ln>
                <a:effectLst/>
              </c:spPr>
              <c:txPr>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1F497D"/>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8.0971796357741169E-2"/>
                      <c:h val="4.8746917507404709E-2"/>
                    </c:manualLayout>
                  </c15:layout>
                </c:ext>
                <c:ext xmlns:c16="http://schemas.microsoft.com/office/drawing/2014/chart" uri="{C3380CC4-5D6E-409C-BE32-E72D297353CC}">
                  <c16:uniqueId val="{0000000B-99C6-4E63-AD58-F3F4A2310B69}"/>
                </c:ext>
              </c:extLst>
            </c:dLbl>
            <c:dLbl>
              <c:idx val="4"/>
              <c:delete val="1"/>
              <c:extLst>
                <c:ext xmlns:c15="http://schemas.microsoft.com/office/drawing/2012/chart" uri="{CE6537A1-D6FC-4f65-9D91-7224C49458BB}"/>
                <c:ext xmlns:c16="http://schemas.microsoft.com/office/drawing/2014/chart" uri="{C3380CC4-5D6E-409C-BE32-E72D297353CC}">
                  <c16:uniqueId val="{0000000C-99C6-4E63-AD58-F3F4A2310B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muro+tensioni'!$E$105:$E$109</c:f>
              <c:numCache>
                <c:formatCode>General</c:formatCode>
                <c:ptCount val="5"/>
                <c:pt idx="0">
                  <c:v>0</c:v>
                </c:pt>
                <c:pt idx="1">
                  <c:v>0</c:v>
                </c:pt>
                <c:pt idx="2">
                  <c:v>0.4</c:v>
                </c:pt>
                <c:pt idx="3">
                  <c:v>0.4</c:v>
                </c:pt>
                <c:pt idx="4">
                  <c:v>0</c:v>
                </c:pt>
              </c:numCache>
            </c:numRef>
          </c:xVal>
          <c:yVal>
            <c:numRef>
              <c:f>'geom masse muro+tensioni'!$F$105:$F$109</c:f>
              <c:numCache>
                <c:formatCode>General</c:formatCode>
                <c:ptCount val="5"/>
                <c:pt idx="0">
                  <c:v>1.1419583804347826</c:v>
                </c:pt>
                <c:pt idx="1">
                  <c:v>1.1561290888496554</c:v>
                </c:pt>
                <c:pt idx="2">
                  <c:v>1.1561290888496554</c:v>
                </c:pt>
                <c:pt idx="3">
                  <c:v>1.1419583804347826</c:v>
                </c:pt>
                <c:pt idx="4">
                  <c:v>1.1419583804347826</c:v>
                </c:pt>
              </c:numCache>
            </c:numRef>
          </c:yVal>
          <c:smooth val="0"/>
          <c:extLst>
            <c:ext xmlns:c16="http://schemas.microsoft.com/office/drawing/2014/chart" uri="{C3380CC4-5D6E-409C-BE32-E72D297353CC}">
              <c16:uniqueId val="{0000000D-99C6-4E63-AD58-F3F4A2310B69}"/>
            </c:ext>
          </c:extLst>
        </c:ser>
        <c:dLbls>
          <c:showLegendKey val="0"/>
          <c:showVal val="0"/>
          <c:showCatName val="0"/>
          <c:showSerName val="0"/>
          <c:showPercent val="0"/>
          <c:showBubbleSize val="0"/>
        </c:dLbls>
        <c:axId val="639735288"/>
        <c:axId val="639734112"/>
      </c:scatterChart>
      <c:valAx>
        <c:axId val="639735288"/>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asse x →</a:t>
                </a:r>
                <a:endParaRPr lang="it-IT" sz="1050"/>
              </a:p>
            </c:rich>
          </c:tx>
          <c:layout>
            <c:manualLayout>
              <c:xMode val="edge"/>
              <c:yMode val="edge"/>
              <c:x val="0.41384661198217465"/>
              <c:y val="0.9686347124190809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9734112"/>
        <c:crosses val="autoZero"/>
        <c:crossBetween val="midCat"/>
      </c:valAx>
      <c:valAx>
        <c:axId val="639734112"/>
        <c:scaling>
          <c:orientation val="minMax"/>
        </c:scaling>
        <c:delete val="1"/>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 asse z →</a:t>
                </a:r>
                <a:endParaRPr lang="it-IT" sz="1050"/>
              </a:p>
            </c:rich>
          </c:tx>
          <c:layout>
            <c:manualLayout>
              <c:xMode val="edge"/>
              <c:yMode val="edge"/>
              <c:x val="2.4768830448970193E-2"/>
              <c:y val="0.1784336036380620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9735288"/>
        <c:crosses val="autoZero"/>
        <c:crossBetween val="midCat"/>
      </c:valAx>
      <c:spPr>
        <a:noFill/>
        <a:ln>
          <a:noFill/>
        </a:ln>
        <a:effectLst/>
      </c:spPr>
    </c:plotArea>
    <c:legend>
      <c:legendPos val="r"/>
      <c:legendEntry>
        <c:idx val="0"/>
        <c:delete val="1"/>
      </c:legendEntry>
      <c:legendEntry>
        <c:idx val="2"/>
        <c:delete val="1"/>
      </c:legendEntry>
      <c:layout>
        <c:manualLayout>
          <c:xMode val="edge"/>
          <c:yMode val="edge"/>
          <c:x val="0.68718375873063386"/>
          <c:y val="2.3344489113481252E-2"/>
          <c:w val="0.30791550289142749"/>
          <c:h val="0.3193865959863688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it-IT"/>
              <a:t>SOLLECITAZIONI ZATTERA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8.1013457408733003E-2"/>
          <c:y val="6.9241384877670939E-2"/>
          <c:w val="0.67071911238367932"/>
          <c:h val="0.85886425874876005"/>
        </c:manualLayout>
      </c:layout>
      <c:scatterChart>
        <c:scatterStyle val="lineMarker"/>
        <c:varyColors val="0"/>
        <c:ser>
          <c:idx val="0"/>
          <c:order val="0"/>
          <c:spPr>
            <a:ln w="31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0-18D1-4DC0-93F2-39600591DFCE}"/>
            </c:ext>
          </c:extLst>
        </c:ser>
        <c:ser>
          <c:idx val="1"/>
          <c:order val="1"/>
          <c:tx>
            <c:v>tratteggio mezzeria</c:v>
          </c:tx>
          <c:spPr>
            <a:ln w="9525" cap="rnd">
              <a:solidFill>
                <a:schemeClr val="accent2"/>
              </a:solidFill>
              <a:prstDash val="sysDash"/>
              <a:round/>
            </a:ln>
            <a:effectLst>
              <a:outerShdw blurRad="40000" dist="23000" dir="5400000" rotWithShape="0">
                <a:srgbClr val="000000">
                  <a:alpha val="35000"/>
                </a:srgbClr>
              </a:outerShdw>
            </a:effectLst>
          </c:spPr>
          <c:marker>
            <c:symbol val="none"/>
          </c:marker>
          <c:xVal>
            <c:numRef>
              <c:f>'geom masse muro+tensioni'!$C$95:$C$96</c:f>
              <c:numCache>
                <c:formatCode>General</c:formatCode>
                <c:ptCount val="2"/>
                <c:pt idx="0">
                  <c:v>0.55000000000000004</c:v>
                </c:pt>
                <c:pt idx="1">
                  <c:v>0.55000000000000004</c:v>
                </c:pt>
              </c:numCache>
            </c:numRef>
          </c:xVal>
          <c:yVal>
            <c:numRef>
              <c:f>'geom masse muro+tensioni'!$D$95:$D$96</c:f>
              <c:numCache>
                <c:formatCode>General</c:formatCode>
                <c:ptCount val="2"/>
                <c:pt idx="0" formatCode="0.00">
                  <c:v>-1.1996868753787779</c:v>
                </c:pt>
                <c:pt idx="1">
                  <c:v>3.7</c:v>
                </c:pt>
              </c:numCache>
            </c:numRef>
          </c:yVal>
          <c:smooth val="0"/>
          <c:extLst>
            <c:ext xmlns:c16="http://schemas.microsoft.com/office/drawing/2014/chart" uri="{C3380CC4-5D6E-409C-BE32-E72D297353CC}">
              <c16:uniqueId val="{00000001-18D1-4DC0-93F2-39600591DFCE}"/>
            </c:ext>
          </c:extLst>
        </c:ser>
        <c:ser>
          <c:idx val="2"/>
          <c:order val="2"/>
          <c:tx>
            <c:v>CARICHI SULLA ZATTERA</c:v>
          </c:tx>
          <c:spPr>
            <a:ln w="19050" cap="rnd">
              <a:solidFill>
                <a:srgbClr val="FF0000"/>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18D1-4DC0-93F2-39600591DFCE}"/>
                </c:ext>
              </c:extLst>
            </c:dLbl>
            <c:dLbl>
              <c:idx val="1"/>
              <c:layout>
                <c:manualLayout>
                  <c:x val="-8.9726556907659266E-2"/>
                  <c:y val="6.19702396616467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8D1-4DC0-93F2-39600591DFCE}"/>
                </c:ext>
              </c:extLst>
            </c:dLbl>
            <c:dLbl>
              <c:idx val="2"/>
              <c:layout>
                <c:manualLayout>
                  <c:x val="-0.15114989262705794"/>
                  <c:y val="0.139518722729013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8D1-4DC0-93F2-39600591DFCE}"/>
                </c:ext>
              </c:extLst>
            </c:dLbl>
            <c:dLbl>
              <c:idx val="3"/>
              <c:layout>
                <c:manualLayout>
                  <c:x val="5.5177236419454788E-2"/>
                  <c:y val="0.261173323574618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8D1-4DC0-93F2-39600591DFCE}"/>
                </c:ext>
              </c:extLst>
            </c:dLbl>
            <c:dLbl>
              <c:idx val="4"/>
              <c:layout>
                <c:manualLayout>
                  <c:x val="5.4582677165354331E-2"/>
                  <c:y val="-2.2854446007976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8D1-4DC0-93F2-39600591DFCE}"/>
                </c:ext>
              </c:extLst>
            </c:dLbl>
            <c:dLbl>
              <c:idx val="5"/>
              <c:delete val="1"/>
              <c:extLst>
                <c:ext xmlns:c15="http://schemas.microsoft.com/office/drawing/2012/chart" uri="{CE6537A1-D6FC-4f65-9D91-7224C49458BB}"/>
                <c:ext xmlns:c16="http://schemas.microsoft.com/office/drawing/2014/chart" uri="{C3380CC4-5D6E-409C-BE32-E72D297353CC}">
                  <c16:uniqueId val="{00000007-18D1-4DC0-93F2-39600591DFCE}"/>
                </c:ext>
              </c:extLst>
            </c:dLbl>
            <c:dLbl>
              <c:idx val="6"/>
              <c:delete val="1"/>
              <c:extLst>
                <c:ext xmlns:c15="http://schemas.microsoft.com/office/drawing/2012/chart" uri="{CE6537A1-D6FC-4f65-9D91-7224C49458BB}"/>
                <c:ext xmlns:c16="http://schemas.microsoft.com/office/drawing/2014/chart" uri="{C3380CC4-5D6E-409C-BE32-E72D297353CC}">
                  <c16:uniqueId val="{00000008-18D1-4DC0-93F2-39600591DFCE}"/>
                </c:ext>
              </c:extLst>
            </c:dLbl>
            <c:numFmt formatCode="0.00&quot; kN x 100&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muro+tensioni'!$G$82:$G$88</c:f>
              <c:numCache>
                <c:formatCode>0.000</c:formatCode>
                <c:ptCount val="7"/>
                <c:pt idx="0">
                  <c:v>0</c:v>
                </c:pt>
                <c:pt idx="1">
                  <c:v>0</c:v>
                </c:pt>
                <c:pt idx="2">
                  <c:v>0.55000000000000004</c:v>
                </c:pt>
                <c:pt idx="3">
                  <c:v>0.55000000000000004</c:v>
                </c:pt>
                <c:pt idx="4">
                  <c:v>2</c:v>
                </c:pt>
                <c:pt idx="5">
                  <c:v>2</c:v>
                </c:pt>
                <c:pt idx="6">
                  <c:v>0</c:v>
                </c:pt>
              </c:numCache>
            </c:numRef>
          </c:xVal>
          <c:yVal>
            <c:numRef>
              <c:f>'geom masse muro+tensioni'!$H$82:$H$88</c:f>
              <c:numCache>
                <c:formatCode>0.000</c:formatCode>
                <c:ptCount val="7"/>
                <c:pt idx="0">
                  <c:v>0</c:v>
                </c:pt>
                <c:pt idx="1">
                  <c:v>1.5977759288954827</c:v>
                </c:pt>
                <c:pt idx="2">
                  <c:v>-0.49636524373067969</c:v>
                </c:pt>
                <c:pt idx="3">
                  <c:v>-0.99805489168312589</c:v>
                </c:pt>
                <c:pt idx="4">
                  <c:v>-0.70332163164809824</c:v>
                </c:pt>
                <c:pt idx="5">
                  <c:v>0</c:v>
                </c:pt>
                <c:pt idx="6">
                  <c:v>0</c:v>
                </c:pt>
              </c:numCache>
            </c:numRef>
          </c:yVal>
          <c:smooth val="0"/>
          <c:extLst>
            <c:ext xmlns:c16="http://schemas.microsoft.com/office/drawing/2014/chart" uri="{C3380CC4-5D6E-409C-BE32-E72D297353CC}">
              <c16:uniqueId val="{00000009-18D1-4DC0-93F2-39600591DFCE}"/>
            </c:ext>
          </c:extLst>
        </c:ser>
        <c:ser>
          <c:idx val="3"/>
          <c:order val="3"/>
          <c:tx>
            <c:v>terra</c:v>
          </c:tx>
          <c:spPr>
            <a:ln w="9525" cap="rnd">
              <a:solidFill>
                <a:schemeClr val="bg2">
                  <a:lumMod val="50000"/>
                </a:schemeClr>
              </a:solidFill>
              <a:prstDash val="dash"/>
              <a:round/>
            </a:ln>
            <a:effectLst>
              <a:outerShdw blurRad="40000" dist="23000" dir="5400000" rotWithShape="0">
                <a:srgbClr val="000000">
                  <a:alpha val="35000"/>
                </a:srgbClr>
              </a:outerShdw>
            </a:effectLst>
          </c:spPr>
          <c:marker>
            <c:symbol val="none"/>
          </c:marker>
          <c:xVal>
            <c:numRef>
              <c:f>'geom masse muro+tensioni'!$M$82:$M$84</c:f>
              <c:numCache>
                <c:formatCode>0.00</c:formatCode>
                <c:ptCount val="3"/>
                <c:pt idx="0">
                  <c:v>0.7</c:v>
                </c:pt>
                <c:pt idx="1">
                  <c:v>2</c:v>
                </c:pt>
                <c:pt idx="2">
                  <c:v>2</c:v>
                </c:pt>
              </c:numCache>
            </c:numRef>
          </c:xVal>
          <c:yVal>
            <c:numRef>
              <c:f>'geom masse muro+tensioni'!$N$82:$N$84</c:f>
              <c:numCache>
                <c:formatCode>0.00</c:formatCode>
                <c:ptCount val="3"/>
                <c:pt idx="0">
                  <c:v>3.35</c:v>
                </c:pt>
                <c:pt idx="1">
                  <c:v>3.35</c:v>
                </c:pt>
                <c:pt idx="2">
                  <c:v>0.5</c:v>
                </c:pt>
              </c:numCache>
            </c:numRef>
          </c:yVal>
          <c:smooth val="0"/>
          <c:extLst>
            <c:ext xmlns:c16="http://schemas.microsoft.com/office/drawing/2014/chart" uri="{C3380CC4-5D6E-409C-BE32-E72D297353CC}">
              <c16:uniqueId val="{0000000A-18D1-4DC0-93F2-39600591DFCE}"/>
            </c:ext>
          </c:extLst>
        </c:ser>
        <c:dLbls>
          <c:showLegendKey val="0"/>
          <c:showVal val="0"/>
          <c:showCatName val="0"/>
          <c:showSerName val="0"/>
          <c:showPercent val="0"/>
          <c:showBubbleSize val="0"/>
        </c:dLbls>
        <c:axId val="639737248"/>
        <c:axId val="639730976"/>
      </c:scatterChart>
      <c:valAx>
        <c:axId val="639737248"/>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asse x →</a:t>
                </a:r>
                <a:endParaRPr lang="it-IT" sz="1050"/>
              </a:p>
            </c:rich>
          </c:tx>
          <c:layout>
            <c:manualLayout>
              <c:xMode val="edge"/>
              <c:yMode val="edge"/>
              <c:x val="0.83880138400421478"/>
              <c:y val="0.947808641554951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9730976"/>
        <c:crosses val="autoZero"/>
        <c:crossBetween val="midCat"/>
      </c:valAx>
      <c:valAx>
        <c:axId val="639730976"/>
        <c:scaling>
          <c:orientation val="minMax"/>
        </c:scaling>
        <c:delete val="1"/>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 asse z →</a:t>
                </a:r>
                <a:endParaRPr lang="it-IT" sz="1050"/>
              </a:p>
            </c:rich>
          </c:tx>
          <c:layout>
            <c:manualLayout>
              <c:xMode val="edge"/>
              <c:yMode val="edge"/>
              <c:x val="2.2709663564781678E-2"/>
              <c:y val="4.8199425467575781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973724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Spettro di risposta elastico in</a:t>
            </a:r>
            <a:r>
              <a:rPr lang="it-IT" baseline="0"/>
              <a:t> accelerazione delle componenti orizzontali e </a:t>
            </a:r>
            <a:r>
              <a:rPr lang="it-IT" sz="1400" b="0" i="0" u="none" strike="noStrike" baseline="0">
                <a:effectLst/>
              </a:rPr>
              <a:t>Spettro di progetto elastico in accelerazione delle componenti orizzontali </a:t>
            </a:r>
            <a:endParaRPr lang="it-IT"/>
          </a:p>
        </c:rich>
      </c:tx>
      <c:layout/>
      <c:overlay val="0"/>
      <c:spPr>
        <a:noFill/>
        <a:ln>
          <a:noFill/>
        </a:ln>
        <a:effectLst/>
      </c:spPr>
    </c:title>
    <c:autoTitleDeleted val="0"/>
    <c:plotArea>
      <c:layout>
        <c:manualLayout>
          <c:layoutTarget val="inner"/>
          <c:xMode val="edge"/>
          <c:yMode val="edge"/>
          <c:x val="0.13217259206235585"/>
          <c:y val="0.18076033464566929"/>
          <c:w val="0.81818407752141753"/>
          <c:h val="0.71461142552493451"/>
        </c:manualLayout>
      </c:layout>
      <c:scatterChart>
        <c:scatterStyle val="smoothMarker"/>
        <c:varyColors val="0"/>
        <c:ser>
          <c:idx val="0"/>
          <c:order val="0"/>
          <c:tx>
            <c:v>SPETTRO ELASTICO</c:v>
          </c:tx>
          <c:spPr>
            <a:ln w="19050" cap="rnd">
              <a:solidFill>
                <a:schemeClr val="accent1"/>
              </a:solidFill>
              <a:round/>
            </a:ln>
            <a:effectLst/>
          </c:spPr>
          <c:marker>
            <c:symbol val="none"/>
          </c:marker>
          <c:xVal>
            <c:numRef>
              <c:f>'SPETTRO DI PROGETTO ORIZZONTALE'!$B$5:$B$505</c:f>
              <c:numCache>
                <c:formatCode>0.00</c:formatCode>
                <c:ptCount val="5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2.0100000000000011</c:v>
                </c:pt>
                <c:pt idx="202">
                  <c:v>2.0200000000000009</c:v>
                </c:pt>
                <c:pt idx="203">
                  <c:v>2.0300000000000007</c:v>
                </c:pt>
                <c:pt idx="204">
                  <c:v>2.0400000000000005</c:v>
                </c:pt>
                <c:pt idx="205">
                  <c:v>2.0500000000000003</c:v>
                </c:pt>
                <c:pt idx="206">
                  <c:v>2.06</c:v>
                </c:pt>
                <c:pt idx="207">
                  <c:v>2.0699999999999998</c:v>
                </c:pt>
                <c:pt idx="208">
                  <c:v>2.0799999999999996</c:v>
                </c:pt>
                <c:pt idx="209">
                  <c:v>2.0899999999999994</c:v>
                </c:pt>
                <c:pt idx="210">
                  <c:v>2.0999999999999992</c:v>
                </c:pt>
                <c:pt idx="211">
                  <c:v>2.109999999999999</c:v>
                </c:pt>
                <c:pt idx="212">
                  <c:v>2.1199999999999988</c:v>
                </c:pt>
                <c:pt idx="213">
                  <c:v>2.1299999999999986</c:v>
                </c:pt>
                <c:pt idx="214">
                  <c:v>2.1399999999999983</c:v>
                </c:pt>
                <c:pt idx="215">
                  <c:v>2.1499999999999981</c:v>
                </c:pt>
                <c:pt idx="216">
                  <c:v>2.1599999999999979</c:v>
                </c:pt>
                <c:pt idx="217">
                  <c:v>2.1699999999999977</c:v>
                </c:pt>
                <c:pt idx="218">
                  <c:v>2.1799999999999975</c:v>
                </c:pt>
                <c:pt idx="219">
                  <c:v>2.1899999999999973</c:v>
                </c:pt>
                <c:pt idx="220">
                  <c:v>2.1999999999999971</c:v>
                </c:pt>
                <c:pt idx="221">
                  <c:v>2.2099999999999969</c:v>
                </c:pt>
                <c:pt idx="222">
                  <c:v>2.2199999999999966</c:v>
                </c:pt>
                <c:pt idx="223">
                  <c:v>2.2299999999999964</c:v>
                </c:pt>
                <c:pt idx="224">
                  <c:v>2.2399999999999962</c:v>
                </c:pt>
                <c:pt idx="225">
                  <c:v>2.249999999999996</c:v>
                </c:pt>
                <c:pt idx="226">
                  <c:v>2.2599999999999958</c:v>
                </c:pt>
                <c:pt idx="227">
                  <c:v>2.2699999999999956</c:v>
                </c:pt>
                <c:pt idx="228">
                  <c:v>2.2799999999999954</c:v>
                </c:pt>
                <c:pt idx="229">
                  <c:v>2.2899999999999952</c:v>
                </c:pt>
                <c:pt idx="230">
                  <c:v>2.2999999999999949</c:v>
                </c:pt>
                <c:pt idx="231">
                  <c:v>2.3099999999999947</c:v>
                </c:pt>
                <c:pt idx="232">
                  <c:v>2.3199999999999945</c:v>
                </c:pt>
                <c:pt idx="233">
                  <c:v>2.3299999999999943</c:v>
                </c:pt>
                <c:pt idx="234">
                  <c:v>2.3399999999999941</c:v>
                </c:pt>
                <c:pt idx="235">
                  <c:v>2.3499999999999939</c:v>
                </c:pt>
                <c:pt idx="236">
                  <c:v>2.3599999999999937</c:v>
                </c:pt>
                <c:pt idx="237">
                  <c:v>2.3699999999999934</c:v>
                </c:pt>
                <c:pt idx="238">
                  <c:v>2.3799999999999932</c:v>
                </c:pt>
                <c:pt idx="239">
                  <c:v>2.389999999999993</c:v>
                </c:pt>
                <c:pt idx="240">
                  <c:v>2.3999999999999928</c:v>
                </c:pt>
                <c:pt idx="241">
                  <c:v>2.4099999999999926</c:v>
                </c:pt>
                <c:pt idx="242">
                  <c:v>2.4199999999999924</c:v>
                </c:pt>
                <c:pt idx="243">
                  <c:v>2.4299999999999922</c:v>
                </c:pt>
                <c:pt idx="244">
                  <c:v>2.439999999999992</c:v>
                </c:pt>
                <c:pt idx="245">
                  <c:v>2.4499999999999917</c:v>
                </c:pt>
                <c:pt idx="246">
                  <c:v>2.4599999999999915</c:v>
                </c:pt>
                <c:pt idx="247">
                  <c:v>2.4699999999999913</c:v>
                </c:pt>
                <c:pt idx="248">
                  <c:v>2.4799999999999911</c:v>
                </c:pt>
                <c:pt idx="249">
                  <c:v>2.4899999999999909</c:v>
                </c:pt>
                <c:pt idx="250">
                  <c:v>2.4999999999999907</c:v>
                </c:pt>
                <c:pt idx="251">
                  <c:v>2.5099999999999905</c:v>
                </c:pt>
                <c:pt idx="252">
                  <c:v>2.5199999999999902</c:v>
                </c:pt>
                <c:pt idx="253">
                  <c:v>2.52999999999999</c:v>
                </c:pt>
                <c:pt idx="254">
                  <c:v>2.5399999999999898</c:v>
                </c:pt>
                <c:pt idx="255">
                  <c:v>2.5499999999999896</c:v>
                </c:pt>
                <c:pt idx="256">
                  <c:v>2.5599999999999894</c:v>
                </c:pt>
                <c:pt idx="257">
                  <c:v>2.5699999999999892</c:v>
                </c:pt>
                <c:pt idx="258">
                  <c:v>2.579999999999989</c:v>
                </c:pt>
                <c:pt idx="259">
                  <c:v>2.5899999999999888</c:v>
                </c:pt>
                <c:pt idx="260">
                  <c:v>2.5999999999999885</c:v>
                </c:pt>
                <c:pt idx="261">
                  <c:v>2.6099999999999883</c:v>
                </c:pt>
                <c:pt idx="262">
                  <c:v>2.6199999999999881</c:v>
                </c:pt>
                <c:pt idx="263">
                  <c:v>2.6299999999999879</c:v>
                </c:pt>
                <c:pt idx="264">
                  <c:v>2.6399999999999877</c:v>
                </c:pt>
                <c:pt idx="265">
                  <c:v>2.6499999999999875</c:v>
                </c:pt>
                <c:pt idx="266">
                  <c:v>2.6599999999999873</c:v>
                </c:pt>
                <c:pt idx="267">
                  <c:v>2.6699999999999871</c:v>
                </c:pt>
                <c:pt idx="268">
                  <c:v>2.6799999999999868</c:v>
                </c:pt>
                <c:pt idx="269">
                  <c:v>2.6899999999999866</c:v>
                </c:pt>
                <c:pt idx="270">
                  <c:v>2.6999999999999864</c:v>
                </c:pt>
                <c:pt idx="271">
                  <c:v>2.7099999999999862</c:v>
                </c:pt>
                <c:pt idx="272">
                  <c:v>2.719999999999986</c:v>
                </c:pt>
                <c:pt idx="273">
                  <c:v>2.7299999999999858</c:v>
                </c:pt>
                <c:pt idx="274">
                  <c:v>2.7399999999999856</c:v>
                </c:pt>
                <c:pt idx="275">
                  <c:v>2.7499999999999853</c:v>
                </c:pt>
                <c:pt idx="276">
                  <c:v>2.7599999999999851</c:v>
                </c:pt>
                <c:pt idx="277">
                  <c:v>2.7699999999999849</c:v>
                </c:pt>
                <c:pt idx="278">
                  <c:v>2.7799999999999847</c:v>
                </c:pt>
                <c:pt idx="279">
                  <c:v>2.7899999999999845</c:v>
                </c:pt>
                <c:pt idx="280">
                  <c:v>2.7999999999999843</c:v>
                </c:pt>
                <c:pt idx="281">
                  <c:v>2.8099999999999841</c:v>
                </c:pt>
                <c:pt idx="282">
                  <c:v>2.8199999999999839</c:v>
                </c:pt>
                <c:pt idx="283">
                  <c:v>2.8299999999999836</c:v>
                </c:pt>
                <c:pt idx="284">
                  <c:v>2.8399999999999834</c:v>
                </c:pt>
                <c:pt idx="285">
                  <c:v>2.8499999999999832</c:v>
                </c:pt>
                <c:pt idx="286">
                  <c:v>2.859999999999983</c:v>
                </c:pt>
                <c:pt idx="287">
                  <c:v>2.8699999999999828</c:v>
                </c:pt>
                <c:pt idx="288">
                  <c:v>2.8799999999999826</c:v>
                </c:pt>
                <c:pt idx="289">
                  <c:v>2.8899999999999824</c:v>
                </c:pt>
                <c:pt idx="290">
                  <c:v>2.8999999999999821</c:v>
                </c:pt>
                <c:pt idx="291">
                  <c:v>2.9099999999999819</c:v>
                </c:pt>
                <c:pt idx="292">
                  <c:v>2.9199999999999817</c:v>
                </c:pt>
                <c:pt idx="293">
                  <c:v>2.9299999999999815</c:v>
                </c:pt>
                <c:pt idx="294">
                  <c:v>2.9399999999999813</c:v>
                </c:pt>
                <c:pt idx="295">
                  <c:v>2.9499999999999811</c:v>
                </c:pt>
                <c:pt idx="296">
                  <c:v>2.9599999999999809</c:v>
                </c:pt>
                <c:pt idx="297">
                  <c:v>2.9699999999999807</c:v>
                </c:pt>
                <c:pt idx="298">
                  <c:v>2.9799999999999804</c:v>
                </c:pt>
                <c:pt idx="299">
                  <c:v>2.9899999999999802</c:v>
                </c:pt>
                <c:pt idx="300">
                  <c:v>2.99999999999998</c:v>
                </c:pt>
                <c:pt idx="301">
                  <c:v>3.0099999999999798</c:v>
                </c:pt>
                <c:pt idx="302">
                  <c:v>3.0199999999999796</c:v>
                </c:pt>
                <c:pt idx="303">
                  <c:v>3.0299999999999794</c:v>
                </c:pt>
                <c:pt idx="304">
                  <c:v>3.0399999999999792</c:v>
                </c:pt>
                <c:pt idx="305">
                  <c:v>3.049999999999979</c:v>
                </c:pt>
                <c:pt idx="306">
                  <c:v>3.0599999999999787</c:v>
                </c:pt>
                <c:pt idx="307">
                  <c:v>3.0699999999999785</c:v>
                </c:pt>
                <c:pt idx="308">
                  <c:v>3.0799999999999783</c:v>
                </c:pt>
                <c:pt idx="309">
                  <c:v>3.0899999999999781</c:v>
                </c:pt>
                <c:pt idx="310">
                  <c:v>3.0999999999999779</c:v>
                </c:pt>
                <c:pt idx="311">
                  <c:v>3.1099999999999777</c:v>
                </c:pt>
                <c:pt idx="312">
                  <c:v>3.1199999999999775</c:v>
                </c:pt>
                <c:pt idx="313">
                  <c:v>3.1299999999999772</c:v>
                </c:pt>
                <c:pt idx="314">
                  <c:v>3.139999999999977</c:v>
                </c:pt>
                <c:pt idx="315">
                  <c:v>3.1499999999999768</c:v>
                </c:pt>
                <c:pt idx="316">
                  <c:v>3.1599999999999766</c:v>
                </c:pt>
                <c:pt idx="317">
                  <c:v>3.1699999999999764</c:v>
                </c:pt>
                <c:pt idx="318">
                  <c:v>3.1799999999999762</c:v>
                </c:pt>
                <c:pt idx="319">
                  <c:v>3.189999999999976</c:v>
                </c:pt>
                <c:pt idx="320">
                  <c:v>3.1999999999999758</c:v>
                </c:pt>
                <c:pt idx="321">
                  <c:v>3.2099999999999755</c:v>
                </c:pt>
                <c:pt idx="322">
                  <c:v>3.2199999999999753</c:v>
                </c:pt>
                <c:pt idx="323">
                  <c:v>3.2299999999999751</c:v>
                </c:pt>
                <c:pt idx="324">
                  <c:v>3.2399999999999749</c:v>
                </c:pt>
                <c:pt idx="325">
                  <c:v>3.2499999999999747</c:v>
                </c:pt>
                <c:pt idx="326">
                  <c:v>3.2599999999999745</c:v>
                </c:pt>
                <c:pt idx="327">
                  <c:v>3.2699999999999743</c:v>
                </c:pt>
                <c:pt idx="328">
                  <c:v>3.279999999999974</c:v>
                </c:pt>
                <c:pt idx="329">
                  <c:v>3.2899999999999738</c:v>
                </c:pt>
                <c:pt idx="330">
                  <c:v>3.2999999999999736</c:v>
                </c:pt>
                <c:pt idx="331">
                  <c:v>3.3099999999999734</c:v>
                </c:pt>
                <c:pt idx="332">
                  <c:v>3.3199999999999732</c:v>
                </c:pt>
                <c:pt idx="333">
                  <c:v>3.329999999999973</c:v>
                </c:pt>
                <c:pt idx="334">
                  <c:v>3.3399999999999728</c:v>
                </c:pt>
                <c:pt idx="335">
                  <c:v>3.3499999999999726</c:v>
                </c:pt>
                <c:pt idx="336">
                  <c:v>3.3599999999999723</c:v>
                </c:pt>
                <c:pt idx="337">
                  <c:v>3.3699999999999721</c:v>
                </c:pt>
                <c:pt idx="338">
                  <c:v>3.3799999999999719</c:v>
                </c:pt>
                <c:pt idx="339">
                  <c:v>3.3899999999999717</c:v>
                </c:pt>
                <c:pt idx="340">
                  <c:v>3.3999999999999715</c:v>
                </c:pt>
                <c:pt idx="341">
                  <c:v>3.4099999999999713</c:v>
                </c:pt>
                <c:pt idx="342">
                  <c:v>3.4199999999999711</c:v>
                </c:pt>
                <c:pt idx="343">
                  <c:v>3.4299999999999708</c:v>
                </c:pt>
                <c:pt idx="344">
                  <c:v>3.4399999999999706</c:v>
                </c:pt>
                <c:pt idx="345">
                  <c:v>3.4499999999999704</c:v>
                </c:pt>
                <c:pt idx="346">
                  <c:v>3.4599999999999702</c:v>
                </c:pt>
                <c:pt idx="347">
                  <c:v>3.46999999999997</c:v>
                </c:pt>
                <c:pt idx="348">
                  <c:v>3.4799999999999698</c:v>
                </c:pt>
                <c:pt idx="349">
                  <c:v>3.4899999999999696</c:v>
                </c:pt>
                <c:pt idx="350">
                  <c:v>3.4999999999999694</c:v>
                </c:pt>
                <c:pt idx="351">
                  <c:v>3.5099999999999691</c:v>
                </c:pt>
                <c:pt idx="352">
                  <c:v>3.5199999999999689</c:v>
                </c:pt>
                <c:pt idx="353">
                  <c:v>3.5299999999999687</c:v>
                </c:pt>
                <c:pt idx="354">
                  <c:v>3.5399999999999685</c:v>
                </c:pt>
                <c:pt idx="355">
                  <c:v>3.5499999999999683</c:v>
                </c:pt>
                <c:pt idx="356">
                  <c:v>3.5599999999999681</c:v>
                </c:pt>
                <c:pt idx="357">
                  <c:v>3.5699999999999679</c:v>
                </c:pt>
                <c:pt idx="358">
                  <c:v>3.5799999999999677</c:v>
                </c:pt>
                <c:pt idx="359">
                  <c:v>3.5899999999999674</c:v>
                </c:pt>
                <c:pt idx="360">
                  <c:v>3.5999999999999672</c:v>
                </c:pt>
                <c:pt idx="361">
                  <c:v>3.609999999999967</c:v>
                </c:pt>
                <c:pt idx="362">
                  <c:v>3.6199999999999668</c:v>
                </c:pt>
                <c:pt idx="363">
                  <c:v>3.6299999999999666</c:v>
                </c:pt>
                <c:pt idx="364">
                  <c:v>3.6399999999999664</c:v>
                </c:pt>
                <c:pt idx="365">
                  <c:v>3.6499999999999662</c:v>
                </c:pt>
                <c:pt idx="366">
                  <c:v>3.6599999999999659</c:v>
                </c:pt>
                <c:pt idx="367">
                  <c:v>3.6699999999999657</c:v>
                </c:pt>
                <c:pt idx="368">
                  <c:v>3.6799999999999655</c:v>
                </c:pt>
                <c:pt idx="369">
                  <c:v>3.6899999999999653</c:v>
                </c:pt>
                <c:pt idx="370">
                  <c:v>3.6999999999999651</c:v>
                </c:pt>
                <c:pt idx="371">
                  <c:v>3.7099999999999649</c:v>
                </c:pt>
                <c:pt idx="372">
                  <c:v>3.7199999999999647</c:v>
                </c:pt>
                <c:pt idx="373">
                  <c:v>3.7299999999999645</c:v>
                </c:pt>
                <c:pt idx="374">
                  <c:v>3.7399999999999642</c:v>
                </c:pt>
                <c:pt idx="375">
                  <c:v>3.749999999999964</c:v>
                </c:pt>
                <c:pt idx="376">
                  <c:v>3.7599999999999638</c:v>
                </c:pt>
                <c:pt idx="377">
                  <c:v>3.7699999999999636</c:v>
                </c:pt>
                <c:pt idx="378">
                  <c:v>3.7799999999999634</c:v>
                </c:pt>
                <c:pt idx="379">
                  <c:v>3.7899999999999632</c:v>
                </c:pt>
                <c:pt idx="380">
                  <c:v>3.799999999999963</c:v>
                </c:pt>
                <c:pt idx="381">
                  <c:v>3.8099999999999627</c:v>
                </c:pt>
                <c:pt idx="382">
                  <c:v>3.8199999999999625</c:v>
                </c:pt>
                <c:pt idx="383">
                  <c:v>3.8299999999999623</c:v>
                </c:pt>
                <c:pt idx="384">
                  <c:v>3.8399999999999621</c:v>
                </c:pt>
                <c:pt idx="385">
                  <c:v>3.8499999999999619</c:v>
                </c:pt>
                <c:pt idx="386">
                  <c:v>3.8599999999999617</c:v>
                </c:pt>
                <c:pt idx="387">
                  <c:v>3.8699999999999615</c:v>
                </c:pt>
                <c:pt idx="388">
                  <c:v>3.8799999999999613</c:v>
                </c:pt>
                <c:pt idx="389">
                  <c:v>3.889999999999961</c:v>
                </c:pt>
                <c:pt idx="390">
                  <c:v>3.8999999999999608</c:v>
                </c:pt>
                <c:pt idx="391">
                  <c:v>3.9099999999999606</c:v>
                </c:pt>
                <c:pt idx="392">
                  <c:v>3.9199999999999604</c:v>
                </c:pt>
                <c:pt idx="393">
                  <c:v>3.9299999999999602</c:v>
                </c:pt>
                <c:pt idx="394">
                  <c:v>3.93999999999996</c:v>
                </c:pt>
                <c:pt idx="395">
                  <c:v>3.9499999999999598</c:v>
                </c:pt>
                <c:pt idx="396">
                  <c:v>3.9599999999999596</c:v>
                </c:pt>
                <c:pt idx="397">
                  <c:v>3.9699999999999593</c:v>
                </c:pt>
                <c:pt idx="398">
                  <c:v>3.9799999999999591</c:v>
                </c:pt>
                <c:pt idx="399">
                  <c:v>3.9899999999999589</c:v>
                </c:pt>
                <c:pt idx="400">
                  <c:v>3.9999999999999587</c:v>
                </c:pt>
                <c:pt idx="401">
                  <c:v>4.0099999999999589</c:v>
                </c:pt>
                <c:pt idx="402">
                  <c:v>4.0199999999999587</c:v>
                </c:pt>
                <c:pt idx="403">
                  <c:v>4.0299999999999585</c:v>
                </c:pt>
                <c:pt idx="404">
                  <c:v>4.0399999999999583</c:v>
                </c:pt>
                <c:pt idx="405">
                  <c:v>4.0499999999999581</c:v>
                </c:pt>
                <c:pt idx="406">
                  <c:v>4.0599999999999579</c:v>
                </c:pt>
                <c:pt idx="407">
                  <c:v>4.0699999999999577</c:v>
                </c:pt>
                <c:pt idx="408">
                  <c:v>4.0799999999999574</c:v>
                </c:pt>
                <c:pt idx="409">
                  <c:v>4.0899999999999572</c:v>
                </c:pt>
                <c:pt idx="410">
                  <c:v>4.099999999999957</c:v>
                </c:pt>
                <c:pt idx="411">
                  <c:v>4.1099999999999568</c:v>
                </c:pt>
                <c:pt idx="412">
                  <c:v>4.1199999999999566</c:v>
                </c:pt>
                <c:pt idx="413">
                  <c:v>4.1299999999999564</c:v>
                </c:pt>
                <c:pt idx="414">
                  <c:v>4.1399999999999562</c:v>
                </c:pt>
                <c:pt idx="415">
                  <c:v>4.1499999999999559</c:v>
                </c:pt>
                <c:pt idx="416">
                  <c:v>4.1599999999999557</c:v>
                </c:pt>
                <c:pt idx="417">
                  <c:v>4.1699999999999555</c:v>
                </c:pt>
                <c:pt idx="418">
                  <c:v>4.1799999999999553</c:v>
                </c:pt>
                <c:pt idx="419">
                  <c:v>4.1899999999999551</c:v>
                </c:pt>
                <c:pt idx="420">
                  <c:v>4.1999999999999549</c:v>
                </c:pt>
                <c:pt idx="421">
                  <c:v>4.2099999999999547</c:v>
                </c:pt>
                <c:pt idx="422">
                  <c:v>4.2199999999999545</c:v>
                </c:pt>
                <c:pt idx="423">
                  <c:v>4.2299999999999542</c:v>
                </c:pt>
                <c:pt idx="424">
                  <c:v>4.239999999999954</c:v>
                </c:pt>
                <c:pt idx="425">
                  <c:v>4.2499999999999538</c:v>
                </c:pt>
                <c:pt idx="426">
                  <c:v>4.2599999999999536</c:v>
                </c:pt>
                <c:pt idx="427">
                  <c:v>4.2699999999999534</c:v>
                </c:pt>
                <c:pt idx="428">
                  <c:v>4.2799999999999532</c:v>
                </c:pt>
                <c:pt idx="429">
                  <c:v>4.289999999999953</c:v>
                </c:pt>
                <c:pt idx="430">
                  <c:v>4.2999999999999527</c:v>
                </c:pt>
                <c:pt idx="431">
                  <c:v>4.3099999999999525</c:v>
                </c:pt>
                <c:pt idx="432">
                  <c:v>4.3199999999999523</c:v>
                </c:pt>
                <c:pt idx="433">
                  <c:v>4.3299999999999521</c:v>
                </c:pt>
                <c:pt idx="434">
                  <c:v>4.3399999999999519</c:v>
                </c:pt>
                <c:pt idx="435">
                  <c:v>4.3499999999999517</c:v>
                </c:pt>
                <c:pt idx="436">
                  <c:v>4.3599999999999515</c:v>
                </c:pt>
                <c:pt idx="437">
                  <c:v>4.3699999999999513</c:v>
                </c:pt>
                <c:pt idx="438">
                  <c:v>4.379999999999951</c:v>
                </c:pt>
                <c:pt idx="439">
                  <c:v>4.3899999999999508</c:v>
                </c:pt>
                <c:pt idx="440">
                  <c:v>4.3999999999999506</c:v>
                </c:pt>
                <c:pt idx="441">
                  <c:v>4.4099999999999504</c:v>
                </c:pt>
                <c:pt idx="442">
                  <c:v>4.4199999999999502</c:v>
                </c:pt>
                <c:pt idx="443">
                  <c:v>4.42999999999995</c:v>
                </c:pt>
                <c:pt idx="444">
                  <c:v>4.4399999999999498</c:v>
                </c:pt>
                <c:pt idx="445">
                  <c:v>4.4499999999999496</c:v>
                </c:pt>
                <c:pt idx="446">
                  <c:v>4.4599999999999493</c:v>
                </c:pt>
                <c:pt idx="447">
                  <c:v>4.4699999999999491</c:v>
                </c:pt>
                <c:pt idx="448">
                  <c:v>4.4799999999999489</c:v>
                </c:pt>
                <c:pt idx="449">
                  <c:v>4.4899999999999487</c:v>
                </c:pt>
                <c:pt idx="450">
                  <c:v>4.4999999999999485</c:v>
                </c:pt>
                <c:pt idx="451">
                  <c:v>4.5099999999999483</c:v>
                </c:pt>
                <c:pt idx="452">
                  <c:v>4.5199999999999481</c:v>
                </c:pt>
                <c:pt idx="453">
                  <c:v>4.5299999999999478</c:v>
                </c:pt>
                <c:pt idx="454">
                  <c:v>4.5399999999999476</c:v>
                </c:pt>
                <c:pt idx="455">
                  <c:v>4.5499999999999474</c:v>
                </c:pt>
                <c:pt idx="456">
                  <c:v>4.5599999999999472</c:v>
                </c:pt>
                <c:pt idx="457">
                  <c:v>4.569999999999947</c:v>
                </c:pt>
                <c:pt idx="458">
                  <c:v>4.5799999999999468</c:v>
                </c:pt>
                <c:pt idx="459">
                  <c:v>4.5899999999999466</c:v>
                </c:pt>
                <c:pt idx="460">
                  <c:v>4.5999999999999464</c:v>
                </c:pt>
                <c:pt idx="461">
                  <c:v>4.6099999999999461</c:v>
                </c:pt>
                <c:pt idx="462">
                  <c:v>4.6199999999999459</c:v>
                </c:pt>
                <c:pt idx="463">
                  <c:v>4.6299999999999457</c:v>
                </c:pt>
                <c:pt idx="464">
                  <c:v>4.6399999999999455</c:v>
                </c:pt>
                <c:pt idx="465">
                  <c:v>4.6499999999999453</c:v>
                </c:pt>
                <c:pt idx="466">
                  <c:v>4.6599999999999451</c:v>
                </c:pt>
                <c:pt idx="467">
                  <c:v>4.6699999999999449</c:v>
                </c:pt>
                <c:pt idx="468">
                  <c:v>4.6799999999999446</c:v>
                </c:pt>
                <c:pt idx="469">
                  <c:v>4.6899999999999444</c:v>
                </c:pt>
                <c:pt idx="470">
                  <c:v>4.6999999999999442</c:v>
                </c:pt>
                <c:pt idx="471">
                  <c:v>4.709999999999944</c:v>
                </c:pt>
                <c:pt idx="472">
                  <c:v>4.7199999999999438</c:v>
                </c:pt>
                <c:pt idx="473">
                  <c:v>4.7299999999999436</c:v>
                </c:pt>
                <c:pt idx="474">
                  <c:v>4.7399999999999434</c:v>
                </c:pt>
                <c:pt idx="475">
                  <c:v>4.7499999999999432</c:v>
                </c:pt>
                <c:pt idx="476">
                  <c:v>4.7599999999999429</c:v>
                </c:pt>
                <c:pt idx="477">
                  <c:v>4.7699999999999427</c:v>
                </c:pt>
                <c:pt idx="478">
                  <c:v>4.7799999999999425</c:v>
                </c:pt>
                <c:pt idx="479">
                  <c:v>4.7899999999999423</c:v>
                </c:pt>
                <c:pt idx="480">
                  <c:v>4.7999999999999421</c:v>
                </c:pt>
                <c:pt idx="481">
                  <c:v>4.8099999999999419</c:v>
                </c:pt>
                <c:pt idx="482">
                  <c:v>4.8199999999999417</c:v>
                </c:pt>
                <c:pt idx="483">
                  <c:v>4.8299999999999415</c:v>
                </c:pt>
                <c:pt idx="484">
                  <c:v>4.8399999999999412</c:v>
                </c:pt>
                <c:pt idx="485">
                  <c:v>4.849999999999941</c:v>
                </c:pt>
                <c:pt idx="486">
                  <c:v>4.8599999999999408</c:v>
                </c:pt>
                <c:pt idx="487">
                  <c:v>4.8699999999999406</c:v>
                </c:pt>
                <c:pt idx="488">
                  <c:v>4.8799999999999404</c:v>
                </c:pt>
                <c:pt idx="489">
                  <c:v>4.8899999999999402</c:v>
                </c:pt>
                <c:pt idx="490">
                  <c:v>4.89999999999994</c:v>
                </c:pt>
                <c:pt idx="491">
                  <c:v>4.9099999999999397</c:v>
                </c:pt>
                <c:pt idx="492">
                  <c:v>4.9199999999999395</c:v>
                </c:pt>
                <c:pt idx="493">
                  <c:v>4.9299999999999393</c:v>
                </c:pt>
                <c:pt idx="494">
                  <c:v>4.9399999999999391</c:v>
                </c:pt>
                <c:pt idx="495">
                  <c:v>4.9499999999999389</c:v>
                </c:pt>
                <c:pt idx="496">
                  <c:v>4.9599999999999387</c:v>
                </c:pt>
                <c:pt idx="497">
                  <c:v>4.9699999999999385</c:v>
                </c:pt>
                <c:pt idx="498">
                  <c:v>4.9799999999999383</c:v>
                </c:pt>
                <c:pt idx="499">
                  <c:v>4.989999999999938</c:v>
                </c:pt>
                <c:pt idx="500">
                  <c:v>4.9999999999999378</c:v>
                </c:pt>
              </c:numCache>
            </c:numRef>
          </c:xVal>
          <c:yVal>
            <c:numRef>
              <c:f>'SPETTRO DI PROGETTO ORIZZONTALE'!$C$5:$C$505</c:f>
              <c:numCache>
                <c:formatCode>0.000</c:formatCode>
                <c:ptCount val="501"/>
                <c:pt idx="0">
                  <c:v>0.20289618600856621</c:v>
                </c:pt>
                <c:pt idx="1">
                  <c:v>0.22454078675978195</c:v>
                </c:pt>
                <c:pt idx="2">
                  <c:v>0.24618538751099775</c:v>
                </c:pt>
                <c:pt idx="3">
                  <c:v>0.26782998826221355</c:v>
                </c:pt>
                <c:pt idx="4">
                  <c:v>0.28947458901342932</c:v>
                </c:pt>
                <c:pt idx="5">
                  <c:v>0.31111918976464509</c:v>
                </c:pt>
                <c:pt idx="6">
                  <c:v>0.33276379051586086</c:v>
                </c:pt>
                <c:pt idx="7">
                  <c:v>0.35440839126707674</c:v>
                </c:pt>
                <c:pt idx="8">
                  <c:v>0.37605299201829245</c:v>
                </c:pt>
                <c:pt idx="9">
                  <c:v>0.39769759276950828</c:v>
                </c:pt>
                <c:pt idx="10">
                  <c:v>0.4193421935207241</c:v>
                </c:pt>
                <c:pt idx="11">
                  <c:v>0.44098679427193976</c:v>
                </c:pt>
                <c:pt idx="12">
                  <c:v>0.46263139502315564</c:v>
                </c:pt>
                <c:pt idx="13">
                  <c:v>0.48427599577437141</c:v>
                </c:pt>
                <c:pt idx="14">
                  <c:v>0.50257385274321842</c:v>
                </c:pt>
                <c:pt idx="15">
                  <c:v>0.50257385274321842</c:v>
                </c:pt>
                <c:pt idx="16">
                  <c:v>0.50257385274321842</c:v>
                </c:pt>
                <c:pt idx="17">
                  <c:v>0.50257385274321842</c:v>
                </c:pt>
                <c:pt idx="18">
                  <c:v>0.50257385274321842</c:v>
                </c:pt>
                <c:pt idx="19">
                  <c:v>0.50257385274321842</c:v>
                </c:pt>
                <c:pt idx="20">
                  <c:v>0.50257385274321842</c:v>
                </c:pt>
                <c:pt idx="21">
                  <c:v>0.50257385274321842</c:v>
                </c:pt>
                <c:pt idx="22">
                  <c:v>0.50257385274321842</c:v>
                </c:pt>
                <c:pt idx="23">
                  <c:v>0.50257385274321842</c:v>
                </c:pt>
                <c:pt idx="24">
                  <c:v>0.50257385274321842</c:v>
                </c:pt>
                <c:pt idx="25">
                  <c:v>0.50257385274321842</c:v>
                </c:pt>
                <c:pt idx="26">
                  <c:v>0.50257385274321842</c:v>
                </c:pt>
                <c:pt idx="27">
                  <c:v>0.50257385274321842</c:v>
                </c:pt>
                <c:pt idx="28">
                  <c:v>0.50257385274321842</c:v>
                </c:pt>
                <c:pt idx="29">
                  <c:v>0.50257385274321842</c:v>
                </c:pt>
                <c:pt idx="30">
                  <c:v>0.50257385274321842</c:v>
                </c:pt>
                <c:pt idx="31">
                  <c:v>0.50257385274321842</c:v>
                </c:pt>
                <c:pt idx="32">
                  <c:v>0.50257385274321842</c:v>
                </c:pt>
                <c:pt idx="33">
                  <c:v>0.50257385274321842</c:v>
                </c:pt>
                <c:pt idx="34">
                  <c:v>0.50257385274321842</c:v>
                </c:pt>
                <c:pt idx="35">
                  <c:v>0.50257385274321842</c:v>
                </c:pt>
                <c:pt idx="36">
                  <c:v>0.50257385274321842</c:v>
                </c:pt>
                <c:pt idx="37">
                  <c:v>0.50257385274321842</c:v>
                </c:pt>
                <c:pt idx="38">
                  <c:v>0.50257385274321842</c:v>
                </c:pt>
                <c:pt idx="39">
                  <c:v>0.50257385274321842</c:v>
                </c:pt>
                <c:pt idx="40">
                  <c:v>0.50257385274321842</c:v>
                </c:pt>
                <c:pt idx="41">
                  <c:v>0.50257385274321842</c:v>
                </c:pt>
                <c:pt idx="42">
                  <c:v>0.49702319128337186</c:v>
                </c:pt>
                <c:pt idx="43">
                  <c:v>0.48546451241631666</c:v>
                </c:pt>
                <c:pt idx="44">
                  <c:v>0.47443122804321858</c:v>
                </c:pt>
                <c:pt idx="45">
                  <c:v>0.46388831186448043</c:v>
                </c:pt>
                <c:pt idx="46">
                  <c:v>0.45380378334568727</c:v>
                </c:pt>
                <c:pt idx="47">
                  <c:v>0.4441483837000344</c:v>
                </c:pt>
                <c:pt idx="48">
                  <c:v>0.43489529237295027</c:v>
                </c:pt>
                <c:pt idx="49">
                  <c:v>0.42601987824289012</c:v>
                </c:pt>
                <c:pt idx="50">
                  <c:v>0.41749948067803233</c:v>
                </c:pt>
                <c:pt idx="51">
                  <c:v>0.40931321635101209</c:v>
                </c:pt>
                <c:pt idx="52">
                  <c:v>0.40144180834426185</c:v>
                </c:pt>
                <c:pt idx="53">
                  <c:v>0.39386743460191731</c:v>
                </c:pt>
                <c:pt idx="54">
                  <c:v>0.3865735932204003</c:v>
                </c:pt>
                <c:pt idx="55">
                  <c:v>0.37954498243457485</c:v>
                </c:pt>
                <c:pt idx="56">
                  <c:v>0.37276739346252885</c:v>
                </c:pt>
                <c:pt idx="57">
                  <c:v>0.36622761462985287</c:v>
                </c:pt>
                <c:pt idx="58">
                  <c:v>0.35991334541209685</c:v>
                </c:pt>
                <c:pt idx="59">
                  <c:v>0.35381311921867142</c:v>
                </c:pt>
                <c:pt idx="60">
                  <c:v>0.34791623389836029</c:v>
                </c:pt>
                <c:pt idx="61">
                  <c:v>0.34221268908035435</c:v>
                </c:pt>
                <c:pt idx="62">
                  <c:v>0.33669312957905834</c:v>
                </c:pt>
                <c:pt idx="63">
                  <c:v>0.3313487941889145</c:v>
                </c:pt>
                <c:pt idx="64">
                  <c:v>0.32617146927971274</c:v>
                </c:pt>
                <c:pt idx="65">
                  <c:v>0.32115344667540946</c:v>
                </c:pt>
                <c:pt idx="66">
                  <c:v>0.31628748536214568</c:v>
                </c:pt>
                <c:pt idx="67">
                  <c:v>0.31156677662539728</c:v>
                </c:pt>
                <c:pt idx="68">
                  <c:v>0.30698491226325902</c:v>
                </c:pt>
                <c:pt idx="69">
                  <c:v>0.30253585556379153</c:v>
                </c:pt>
                <c:pt idx="70">
                  <c:v>0.29821391477002307</c:v>
                </c:pt>
                <c:pt idx="71">
                  <c:v>0.29401371878734672</c:v>
                </c:pt>
                <c:pt idx="72">
                  <c:v>0.2899301949153002</c:v>
                </c:pt>
                <c:pt idx="73">
                  <c:v>0.2859585484096111</c:v>
                </c:pt>
                <c:pt idx="74">
                  <c:v>0.2820942437013732</c:v>
                </c:pt>
                <c:pt idx="75">
                  <c:v>0.2783329871186882</c:v>
                </c:pt>
                <c:pt idx="76">
                  <c:v>0.27467071097238965</c:v>
                </c:pt>
                <c:pt idx="77">
                  <c:v>0.27110355888183912</c:v>
                </c:pt>
                <c:pt idx="78">
                  <c:v>0.2676278722295079</c:v>
                </c:pt>
                <c:pt idx="79">
                  <c:v>0.26424017764432423</c:v>
                </c:pt>
                <c:pt idx="80">
                  <c:v>0.26093717542377015</c:v>
                </c:pt>
                <c:pt idx="81">
                  <c:v>0.25771572881360016</c:v>
                </c:pt>
                <c:pt idx="82">
                  <c:v>0.25457285407197089</c:v>
                </c:pt>
                <c:pt idx="83">
                  <c:v>0.25150571125182664</c:v>
                </c:pt>
                <c:pt idx="84">
                  <c:v>0.24851159564168587</c:v>
                </c:pt>
                <c:pt idx="85">
                  <c:v>0.2455879298106072</c:v>
                </c:pt>
                <c:pt idx="86">
                  <c:v>0.24273225620815828</c:v>
                </c:pt>
                <c:pt idx="87">
                  <c:v>0.23994223027473119</c:v>
                </c:pt>
                <c:pt idx="88">
                  <c:v>0.23721561402160926</c:v>
                </c:pt>
                <c:pt idx="89">
                  <c:v>0.23455027004383835</c:v>
                </c:pt>
                <c:pt idx="90">
                  <c:v>0.23194415593224016</c:v>
                </c:pt>
                <c:pt idx="91">
                  <c:v>0.2293953190538639</c:v>
                </c:pt>
                <c:pt idx="92">
                  <c:v>0.22690189167284364</c:v>
                </c:pt>
                <c:pt idx="93">
                  <c:v>0.22446208638603887</c:v>
                </c:pt>
                <c:pt idx="94">
                  <c:v>0.22207419185001717</c:v>
                </c:pt>
                <c:pt idx="95">
                  <c:v>0.2197365687779117</c:v>
                </c:pt>
                <c:pt idx="96">
                  <c:v>0.21744764618647514</c:v>
                </c:pt>
                <c:pt idx="97">
                  <c:v>0.21520591787527435</c:v>
                </c:pt>
                <c:pt idx="98">
                  <c:v>0.213009939121445</c:v>
                </c:pt>
                <c:pt idx="99">
                  <c:v>0.21085832357476378</c:v>
                </c:pt>
                <c:pt idx="100">
                  <c:v>0.20874974033901614</c:v>
                </c:pt>
                <c:pt idx="101">
                  <c:v>0.20668291122674867</c:v>
                </c:pt>
                <c:pt idx="102">
                  <c:v>0.20465660817550604</c:v>
                </c:pt>
                <c:pt idx="103">
                  <c:v>0.20266965081457877</c:v>
                </c:pt>
                <c:pt idx="104">
                  <c:v>0.2007209041721309</c:v>
                </c:pt>
                <c:pt idx="105">
                  <c:v>0.19880927651334868</c:v>
                </c:pt>
                <c:pt idx="106">
                  <c:v>0.1969337173009586</c:v>
                </c:pt>
                <c:pt idx="107">
                  <c:v>0.19509321527010851</c:v>
                </c:pt>
                <c:pt idx="108">
                  <c:v>0.19328679661020012</c:v>
                </c:pt>
                <c:pt idx="109">
                  <c:v>0.19151352324680376</c:v>
                </c:pt>
                <c:pt idx="110">
                  <c:v>0.1897724912172874</c:v>
                </c:pt>
                <c:pt idx="111">
                  <c:v>0.18806282913424877</c:v>
                </c:pt>
                <c:pt idx="112">
                  <c:v>0.1863836967312644</c:v>
                </c:pt>
                <c:pt idx="113">
                  <c:v>0.18473428348585497</c:v>
                </c:pt>
                <c:pt idx="114">
                  <c:v>0.18311380731492644</c:v>
                </c:pt>
                <c:pt idx="115">
                  <c:v>0.1815215133382749</c:v>
                </c:pt>
                <c:pt idx="116">
                  <c:v>0.1799566727060484</c:v>
                </c:pt>
                <c:pt idx="117">
                  <c:v>0.17841858148633855</c:v>
                </c:pt>
                <c:pt idx="118">
                  <c:v>0.17690655960933571</c:v>
                </c:pt>
                <c:pt idx="119">
                  <c:v>0.17541994986471943</c:v>
                </c:pt>
                <c:pt idx="120">
                  <c:v>0.17395811694918009</c:v>
                </c:pt>
                <c:pt idx="121">
                  <c:v>0.17252044656117035</c:v>
                </c:pt>
                <c:pt idx="122">
                  <c:v>0.17110634454017715</c:v>
                </c:pt>
                <c:pt idx="123">
                  <c:v>0.16971523604798058</c:v>
                </c:pt>
                <c:pt idx="124">
                  <c:v>0.16834656478952914</c:v>
                </c:pt>
                <c:pt idx="125">
                  <c:v>0.16699979227121289</c:v>
                </c:pt>
                <c:pt idx="126">
                  <c:v>0.16567439709445725</c:v>
                </c:pt>
                <c:pt idx="127">
                  <c:v>0.16436987428268987</c:v>
                </c:pt>
                <c:pt idx="128">
                  <c:v>0.16308573463985634</c:v>
                </c:pt>
                <c:pt idx="129">
                  <c:v>0.16182150413877219</c:v>
                </c:pt>
                <c:pt idx="130">
                  <c:v>0.1605767233377047</c:v>
                </c:pt>
                <c:pt idx="131">
                  <c:v>0.15935094682367643</c:v>
                </c:pt>
                <c:pt idx="132">
                  <c:v>0.15814374268107281</c:v>
                </c:pt>
                <c:pt idx="133">
                  <c:v>0.15695469198422266</c:v>
                </c:pt>
                <c:pt idx="134">
                  <c:v>0.15578338831269858</c:v>
                </c:pt>
                <c:pt idx="135">
                  <c:v>0.15462943728816009</c:v>
                </c:pt>
                <c:pt idx="136">
                  <c:v>0.15349245613162948</c:v>
                </c:pt>
                <c:pt idx="137">
                  <c:v>0.15237207324015775</c:v>
                </c:pt>
                <c:pt idx="138">
                  <c:v>0.15126792778189574</c:v>
                </c:pt>
                <c:pt idx="139">
                  <c:v>0.15017966930864471</c:v>
                </c:pt>
                <c:pt idx="140">
                  <c:v>0.14910695738501151</c:v>
                </c:pt>
                <c:pt idx="141">
                  <c:v>0.14804946123334475</c:v>
                </c:pt>
                <c:pt idx="142">
                  <c:v>0.14700685939367331</c:v>
                </c:pt>
                <c:pt idx="143">
                  <c:v>0.14597883939791337</c:v>
                </c:pt>
                <c:pt idx="144">
                  <c:v>0.1449650974576501</c:v>
                </c:pt>
                <c:pt idx="145">
                  <c:v>0.1439653381648387</c:v>
                </c:pt>
                <c:pt idx="146">
                  <c:v>0.14297927420480555</c:v>
                </c:pt>
                <c:pt idx="147">
                  <c:v>0.14200662608096334</c:v>
                </c:pt>
                <c:pt idx="148">
                  <c:v>0.14104712185068655</c:v>
                </c:pt>
                <c:pt idx="149">
                  <c:v>0.14010049687182291</c:v>
                </c:pt>
                <c:pt idx="150">
                  <c:v>0.1391664935593441</c:v>
                </c:pt>
                <c:pt idx="151">
                  <c:v>0.13824486115166629</c:v>
                </c:pt>
                <c:pt idx="152">
                  <c:v>0.13733535548619483</c:v>
                </c:pt>
                <c:pt idx="153">
                  <c:v>0.13643773878367066</c:v>
                </c:pt>
                <c:pt idx="154">
                  <c:v>0.13555177944091956</c:v>
                </c:pt>
                <c:pt idx="155">
                  <c:v>0.1346772518316233</c:v>
                </c:pt>
                <c:pt idx="156">
                  <c:v>0.1338139361147539</c:v>
                </c:pt>
                <c:pt idx="157">
                  <c:v>0.13296161805032874</c:v>
                </c:pt>
                <c:pt idx="158">
                  <c:v>0.13212008882216209</c:v>
                </c:pt>
                <c:pt idx="159">
                  <c:v>0.13128914486730575</c:v>
                </c:pt>
                <c:pt idx="160">
                  <c:v>0.13046858771188508</c:v>
                </c:pt>
                <c:pt idx="161">
                  <c:v>0.12965822381305347</c:v>
                </c:pt>
                <c:pt idx="162">
                  <c:v>0.12885786440680008</c:v>
                </c:pt>
                <c:pt idx="163">
                  <c:v>0.12806732536135956</c:v>
                </c:pt>
                <c:pt idx="164">
                  <c:v>0.12728642703598544</c:v>
                </c:pt>
                <c:pt idx="165">
                  <c:v>0.12651499414485828</c:v>
                </c:pt>
                <c:pt idx="166">
                  <c:v>0.12575285562591332</c:v>
                </c:pt>
                <c:pt idx="167">
                  <c:v>0.1249998445143809</c:v>
                </c:pt>
                <c:pt idx="168">
                  <c:v>0.12425579782084294</c:v>
                </c:pt>
                <c:pt idx="169">
                  <c:v>0.123520556413619</c:v>
                </c:pt>
                <c:pt idx="170">
                  <c:v>0.1227939649053036</c:v>
                </c:pt>
                <c:pt idx="171">
                  <c:v>0.12207587154328427</c:v>
                </c:pt>
                <c:pt idx="172">
                  <c:v>0.12136612810407914</c:v>
                </c:pt>
                <c:pt idx="173">
                  <c:v>0.12066458979133879</c:v>
                </c:pt>
                <c:pt idx="174">
                  <c:v>0.11997111513736558</c:v>
                </c:pt>
                <c:pt idx="175">
                  <c:v>0.11928556590800922</c:v>
                </c:pt>
                <c:pt idx="176">
                  <c:v>0.1186078070108046</c:v>
                </c:pt>
                <c:pt idx="177">
                  <c:v>0.11793770640622378</c:v>
                </c:pt>
                <c:pt idx="178">
                  <c:v>0.11727513502191916</c:v>
                </c:pt>
                <c:pt idx="179">
                  <c:v>0.11661996666984141</c:v>
                </c:pt>
                <c:pt idx="180">
                  <c:v>0.11597207796612005</c:v>
                </c:pt>
                <c:pt idx="181">
                  <c:v>0.11533134825360006</c:v>
                </c:pt>
                <c:pt idx="182">
                  <c:v>0.11469765952693194</c:v>
                </c:pt>
                <c:pt idx="183">
                  <c:v>0.11407089636011809</c:v>
                </c:pt>
                <c:pt idx="184">
                  <c:v>0.11345094583642179</c:v>
                </c:pt>
                <c:pt idx="185">
                  <c:v>0.11283769748054924</c:v>
                </c:pt>
                <c:pt idx="186">
                  <c:v>0.11223104319301941</c:v>
                </c:pt>
                <c:pt idx="187">
                  <c:v>0.11163087718663962</c:v>
                </c:pt>
                <c:pt idx="188">
                  <c:v>0.11103709592500856</c:v>
                </c:pt>
                <c:pt idx="189">
                  <c:v>0.11044959806297149</c:v>
                </c:pt>
                <c:pt idx="190">
                  <c:v>0.10986828438895585</c:v>
                </c:pt>
                <c:pt idx="191">
                  <c:v>0.10929305776911839</c:v>
                </c:pt>
                <c:pt idx="192">
                  <c:v>0.10872382309323755</c:v>
                </c:pt>
                <c:pt idx="193">
                  <c:v>0.10816048722228813</c:v>
                </c:pt>
                <c:pt idx="194">
                  <c:v>0.10760295893763717</c:v>
                </c:pt>
                <c:pt idx="195">
                  <c:v>0.10705114889180313</c:v>
                </c:pt>
                <c:pt idx="196">
                  <c:v>0.1065049695607225</c:v>
                </c:pt>
                <c:pt idx="197">
                  <c:v>0.1059643351974701</c:v>
                </c:pt>
                <c:pt idx="198">
                  <c:v>0.10542916178738186</c:v>
                </c:pt>
                <c:pt idx="199">
                  <c:v>0.1048993670045307</c:v>
                </c:pt>
                <c:pt idx="200">
                  <c:v>0.10437487016950807</c:v>
                </c:pt>
                <c:pt idx="201">
                  <c:v>0.10385559220846576</c:v>
                </c:pt>
                <c:pt idx="202">
                  <c:v>0.10334145561337434</c:v>
                </c:pt>
                <c:pt idx="203">
                  <c:v>0.10283238440345627</c:v>
                </c:pt>
                <c:pt idx="204">
                  <c:v>0.10232830408775304</c:v>
                </c:pt>
                <c:pt idx="205">
                  <c:v>0.10182914162878841</c:v>
                </c:pt>
                <c:pt idx="206">
                  <c:v>0.10133482540728946</c:v>
                </c:pt>
                <c:pt idx="207">
                  <c:v>0.10084528518793058</c:v>
                </c:pt>
                <c:pt idx="208">
                  <c:v>0.10036045208606553</c:v>
                </c:pt>
                <c:pt idx="209">
                  <c:v>9.9880258535414518E-2</c:v>
                </c:pt>
                <c:pt idx="210">
                  <c:v>9.9404638256674449E-2</c:v>
                </c:pt>
                <c:pt idx="211">
                  <c:v>9.8933526227021965E-2</c:v>
                </c:pt>
                <c:pt idx="212">
                  <c:v>9.8466858650479425E-2</c:v>
                </c:pt>
                <c:pt idx="213">
                  <c:v>9.8004572929115685E-2</c:v>
                </c:pt>
                <c:pt idx="214">
                  <c:v>9.7546607635054419E-2</c:v>
                </c:pt>
                <c:pt idx="215">
                  <c:v>9.7092902483263466E-2</c:v>
                </c:pt>
                <c:pt idx="216">
                  <c:v>9.6643398305100228E-2</c:v>
                </c:pt>
                <c:pt idx="217">
                  <c:v>9.6198037022588251E-2</c:v>
                </c:pt>
                <c:pt idx="218">
                  <c:v>9.5756761623402062E-2</c:v>
                </c:pt>
                <c:pt idx="219">
                  <c:v>9.5319516136537219E-2</c:v>
                </c:pt>
                <c:pt idx="220">
                  <c:v>9.4886245608643879E-2</c:v>
                </c:pt>
                <c:pt idx="221">
                  <c:v>9.4456896081002981E-2</c:v>
                </c:pt>
                <c:pt idx="222">
                  <c:v>9.4031414567124591E-2</c:v>
                </c:pt>
                <c:pt idx="223">
                  <c:v>9.3609749030949138E-2</c:v>
                </c:pt>
                <c:pt idx="224">
                  <c:v>9.3191848365632407E-2</c:v>
                </c:pt>
                <c:pt idx="225">
                  <c:v>9.277766237289628E-2</c:v>
                </c:pt>
                <c:pt idx="226">
                  <c:v>9.2367141742927733E-2</c:v>
                </c:pt>
                <c:pt idx="227">
                  <c:v>9.19602380348091E-2</c:v>
                </c:pt>
                <c:pt idx="228">
                  <c:v>9.1409152500636942E-2</c:v>
                </c:pt>
                <c:pt idx="229">
                  <c:v>9.0612562376634911E-2</c:v>
                </c:pt>
                <c:pt idx="230">
                  <c:v>8.9826339954501178E-2</c:v>
                </c:pt>
                <c:pt idx="231">
                  <c:v>8.905030609608354E-2</c:v>
                </c:pt>
                <c:pt idx="232">
                  <c:v>8.8284285515627114E-2</c:v>
                </c:pt>
                <c:pt idx="233">
                  <c:v>8.7528106680784576E-2</c:v>
                </c:pt>
                <c:pt idx="234">
                  <c:v>8.6781601716581114E-2</c:v>
                </c:pt>
                <c:pt idx="235">
                  <c:v>8.6044606312233873E-2</c:v>
                </c:pt>
                <c:pt idx="236">
                  <c:v>8.5316959630729619E-2</c:v>
                </c:pt>
                <c:pt idx="237">
                  <c:v>8.4598504221067086E-2</c:v>
                </c:pt>
                <c:pt idx="238">
                  <c:v>8.3889085933075327E-2</c:v>
                </c:pt>
                <c:pt idx="239">
                  <c:v>8.318855383472136E-2</c:v>
                </c:pt>
                <c:pt idx="240">
                  <c:v>8.2496760131824998E-2</c:v>
                </c:pt>
                <c:pt idx="241">
                  <c:v>8.1813560090100393E-2</c:v>
                </c:pt>
                <c:pt idx="242">
                  <c:v>8.1138811959448151E-2</c:v>
                </c:pt>
                <c:pt idx="243">
                  <c:v>8.0472376900423748E-2</c:v>
                </c:pt>
                <c:pt idx="244">
                  <c:v>7.9814118912811122E-2</c:v>
                </c:pt>
                <c:pt idx="245">
                  <c:v>7.9163904766232807E-2</c:v>
                </c:pt>
                <c:pt idx="246">
                  <c:v>7.8521603932730596E-2</c:v>
                </c:pt>
                <c:pt idx="247">
                  <c:v>7.788708852125302E-2</c:v>
                </c:pt>
                <c:pt idx="248">
                  <c:v>7.7260233213988116E-2</c:v>
                </c:pt>
                <c:pt idx="249">
                  <c:v>7.6640915204482601E-2</c:v>
                </c:pt>
                <c:pt idx="250">
                  <c:v>7.6029014137490025E-2</c:v>
                </c:pt>
                <c:pt idx="251">
                  <c:v>7.5424412050493272E-2</c:v>
                </c:pt>
                <c:pt idx="252">
                  <c:v>7.4826993316848195E-2</c:v>
                </c:pt>
                <c:pt idx="253">
                  <c:v>7.42366445904971E-2</c:v>
                </c:pt>
                <c:pt idx="254">
                  <c:v>7.365325475220301E-2</c:v>
                </c:pt>
                <c:pt idx="255">
                  <c:v>7.3076714857256905E-2</c:v>
                </c:pt>
                <c:pt idx="256">
                  <c:v>7.2506918084611974E-2</c:v>
                </c:pt>
                <c:pt idx="257">
                  <c:v>7.194375968740073E-2</c:v>
                </c:pt>
                <c:pt idx="258">
                  <c:v>7.1387136944791957E-2</c:v>
                </c:pt>
                <c:pt idx="259">
                  <c:v>7.0836949115146361E-2</c:v>
                </c:pt>
                <c:pt idx="260">
                  <c:v>7.0293097390430964E-2</c:v>
                </c:pt>
                <c:pt idx="261">
                  <c:v>6.9755484851853816E-2</c:v>
                </c:pt>
                <c:pt idx="262">
                  <c:v>6.9224016426681634E-2</c:v>
                </c:pt>
                <c:pt idx="263">
                  <c:v>6.8698598846204745E-2</c:v>
                </c:pt>
                <c:pt idx="264">
                  <c:v>6.8179140604814281E-2</c:v>
                </c:pt>
                <c:pt idx="265">
                  <c:v>6.7665551920158593E-2</c:v>
                </c:pt>
                <c:pt idx="266">
                  <c:v>6.7157744694345878E-2</c:v>
                </c:pt>
                <c:pt idx="267">
                  <c:v>6.6655632476162352E-2</c:v>
                </c:pt>
                <c:pt idx="268">
                  <c:v>6.6159130424275153E-2</c:v>
                </c:pt>
                <c:pt idx="269">
                  <c:v>6.5668155271391193E-2</c:v>
                </c:pt>
                <c:pt idx="270">
                  <c:v>6.5182625289343474E-2</c:v>
                </c:pt>
                <c:pt idx="271">
                  <c:v>6.4702460255077407E-2</c:v>
                </c:pt>
                <c:pt idx="272">
                  <c:v>6.4227581417511087E-2</c:v>
                </c:pt>
                <c:pt idx="273">
                  <c:v>6.3757911465243594E-2</c:v>
                </c:pt>
                <c:pt idx="274">
                  <c:v>6.329337449508686E-2</c:v>
                </c:pt>
                <c:pt idx="275">
                  <c:v>6.2833895981396923E-2</c:v>
                </c:pt>
                <c:pt idx="276">
                  <c:v>6.237940274618177E-2</c:v>
                </c:pt>
                <c:pt idx="277">
                  <c:v>6.1929822929963158E-2</c:v>
                </c:pt>
                <c:pt idx="278">
                  <c:v>6.1485085963370725E-2</c:v>
                </c:pt>
                <c:pt idx="279">
                  <c:v>6.1045122539447653E-2</c:v>
                </c:pt>
                <c:pt idx="280">
                  <c:v>6.0609864586647258E-2</c:v>
                </c:pt>
                <c:pt idx="281">
                  <c:v>6.0179245242501296E-2</c:v>
                </c:pt>
                <c:pt idx="282">
                  <c:v>5.9753198827940564E-2</c:v>
                </c:pt>
                <c:pt idx="283">
                  <c:v>5.9331660822249575E-2</c:v>
                </c:pt>
                <c:pt idx="284">
                  <c:v>5.8914567838637508E-2</c:v>
                </c:pt>
                <c:pt idx="285">
                  <c:v>5.8501857600408096E-2</c:v>
                </c:pt>
                <c:pt idx="286">
                  <c:v>5.8093468917711714E-2</c:v>
                </c:pt>
                <c:pt idx="287">
                  <c:v>5.7689341664863586E-2</c:v>
                </c:pt>
                <c:pt idx="288">
                  <c:v>5.7289416758212149E-2</c:v>
                </c:pt>
                <c:pt idx="289">
                  <c:v>5.6893636134542805E-2</c:v>
                </c:pt>
                <c:pt idx="290">
                  <c:v>5.6501942730001774E-2</c:v>
                </c:pt>
                <c:pt idx="291">
                  <c:v>5.6114280459526343E-2</c:v>
                </c:pt>
                <c:pt idx="292">
                  <c:v>5.5730594196767111E-2</c:v>
                </c:pt>
                <c:pt idx="293">
                  <c:v>5.5350829754489295E-2</c:v>
                </c:pt>
                <c:pt idx="294">
                  <c:v>5.4974933865439765E-2</c:v>
                </c:pt>
                <c:pt idx="295">
                  <c:v>5.4602854163667364E-2</c:v>
                </c:pt>
                <c:pt idx="296">
                  <c:v>5.4234539166284165E-2</c:v>
                </c:pt>
                <c:pt idx="297">
                  <c:v>5.3869938255655926E-2</c:v>
                </c:pt>
                <c:pt idx="298">
                  <c:v>5.3509001662010204E-2</c:v>
                </c:pt>
                <c:pt idx="299">
                  <c:v>5.3151680446450869E-2</c:v>
                </c:pt>
                <c:pt idx="300">
                  <c:v>5.2797926484368395E-2</c:v>
                </c:pt>
                <c:pt idx="301">
                  <c:v>5.2447692449235167E-2</c:v>
                </c:pt>
                <c:pt idx="302">
                  <c:v>5.2100931796775968E-2</c:v>
                </c:pt>
                <c:pt idx="303">
                  <c:v>5.1757598749503378E-2</c:v>
                </c:pt>
                <c:pt idx="304">
                  <c:v>5.1417648281608774E-2</c:v>
                </c:pt>
                <c:pt idx="305">
                  <c:v>5.1081036104199486E-2</c:v>
                </c:pt>
                <c:pt idx="306">
                  <c:v>5.0747718650873137E-2</c:v>
                </c:pt>
                <c:pt idx="307">
                  <c:v>5.0417653063620387E-2</c:v>
                </c:pt>
                <c:pt idx="308">
                  <c:v>5.0090797179047457E-2</c:v>
                </c:pt>
                <c:pt idx="309">
                  <c:v>4.9767109514910389E-2</c:v>
                </c:pt>
                <c:pt idx="310">
                  <c:v>4.944654925695275E-2</c:v>
                </c:pt>
                <c:pt idx="311">
                  <c:v>4.9129076246039217E-2</c:v>
                </c:pt>
                <c:pt idx="312">
                  <c:v>4.8814650965577334E-2</c:v>
                </c:pt>
                <c:pt idx="313">
                  <c:v>4.850323452922007E-2</c:v>
                </c:pt>
                <c:pt idx="314">
                  <c:v>4.8194788668842151E-2</c:v>
                </c:pt>
                <c:pt idx="315">
                  <c:v>4.7889275722783183E-2</c:v>
                </c:pt>
                <c:pt idx="316">
                  <c:v>4.7586658624350686E-2</c:v>
                </c:pt>
                <c:pt idx="317">
                  <c:v>4.7286900890576702E-2</c:v>
                </c:pt>
                <c:pt idx="318">
                  <c:v>4.6989966611221498E-2</c:v>
                </c:pt>
                <c:pt idx="319">
                  <c:v>4.6695820438018135E-2</c:v>
                </c:pt>
                <c:pt idx="320">
                  <c:v>4.6404427574151981E-2</c:v>
                </c:pt>
                <c:pt idx="321">
                  <c:v>4.6115753763969328E-2</c:v>
                </c:pt>
                <c:pt idx="322">
                  <c:v>4.5829765282909267E-2</c:v>
                </c:pt>
                <c:pt idx="323">
                  <c:v>4.554642892765353E-2</c:v>
                </c:pt>
                <c:pt idx="324">
                  <c:v>4.5265712006488767E-2</c:v>
                </c:pt>
                <c:pt idx="325">
                  <c:v>4.4987582329876125E-2</c:v>
                </c:pt>
                <c:pt idx="326">
                  <c:v>4.4712008201222911E-2</c:v>
                </c:pt>
                <c:pt idx="327">
                  <c:v>4.4438958407851621E-2</c:v>
                </c:pt>
                <c:pt idx="328">
                  <c:v>4.4168402212161346E-2</c:v>
                </c:pt>
                <c:pt idx="329">
                  <c:v>4.3900309342976944E-2</c:v>
                </c:pt>
                <c:pt idx="330">
                  <c:v>4.3634649987081428E-2</c:v>
                </c:pt>
                <c:pt idx="331">
                  <c:v>4.3371394780927226E-2</c:v>
                </c:pt>
                <c:pt idx="332">
                  <c:v>4.3110514802521843E-2</c:v>
                </c:pt>
                <c:pt idx="333">
                  <c:v>4.2851981563483924E-2</c:v>
                </c:pt>
                <c:pt idx="334">
                  <c:v>4.2595767001265446E-2</c:v>
                </c:pt>
                <c:pt idx="335">
                  <c:v>4.2341843471536376E-2</c:v>
                </c:pt>
                <c:pt idx="336">
                  <c:v>4.2090183740727483E-2</c:v>
                </c:pt>
                <c:pt idx="337">
                  <c:v>4.1840760978728082E-2</c:v>
                </c:pt>
                <c:pt idx="338">
                  <c:v>4.159354875173462E-2</c:v>
                </c:pt>
                <c:pt idx="339">
                  <c:v>4.1348521015246741E-2</c:v>
                </c:pt>
                <c:pt idx="340">
                  <c:v>4.1105652107207361E-2</c:v>
                </c:pt>
                <c:pt idx="341">
                  <c:v>4.0864916741283362E-2</c:v>
                </c:pt>
                <c:pt idx="342">
                  <c:v>4.0626290000283609E-2</c:v>
                </c:pt>
                <c:pt idx="343">
                  <c:v>4.0389747329711019E-2</c:v>
                </c:pt>
                <c:pt idx="344">
                  <c:v>4.0155264531445828E-2</c:v>
                </c:pt>
                <c:pt idx="345">
                  <c:v>3.9922817757556586E-2</c:v>
                </c:pt>
                <c:pt idx="346">
                  <c:v>3.969238350423647E-2</c:v>
                </c:pt>
                <c:pt idx="347">
                  <c:v>3.9463938605861469E-2</c:v>
                </c:pt>
                <c:pt idx="348">
                  <c:v>3.9237460229168103E-2</c:v>
                </c:pt>
                <c:pt idx="349">
                  <c:v>3.9012925867547676E-2</c:v>
                </c:pt>
                <c:pt idx="350">
                  <c:v>3.879031333545449E-2</c:v>
                </c:pt>
                <c:pt idx="351">
                  <c:v>3.8569600762925427E-2</c:v>
                </c:pt>
                <c:pt idx="352">
                  <c:v>3.8350766590208349E-2</c:v>
                </c:pt>
                <c:pt idx="353">
                  <c:v>3.8133789562496898E-2</c:v>
                </c:pt>
                <c:pt idx="354">
                  <c:v>3.7918648724769195E-2</c:v>
                </c:pt>
                <c:pt idx="355">
                  <c:v>3.7705323416728234E-2</c:v>
                </c:pt>
                <c:pt idx="356">
                  <c:v>3.7493793267841628E-2</c:v>
                </c:pt>
                <c:pt idx="357">
                  <c:v>3.7284038192478379E-2</c:v>
                </c:pt>
                <c:pt idx="358">
                  <c:v>3.7076038385140737E-2</c:v>
                </c:pt>
                <c:pt idx="359">
                  <c:v>3.6869774315788806E-2</c:v>
                </c:pt>
                <c:pt idx="360">
                  <c:v>3.6665226725255996E-2</c:v>
                </c:pt>
                <c:pt idx="361">
                  <c:v>3.6462376620753197E-2</c:v>
                </c:pt>
                <c:pt idx="362">
                  <c:v>3.6261205271459797E-2</c:v>
                </c:pt>
                <c:pt idx="363">
                  <c:v>3.6061694204199614E-2</c:v>
                </c:pt>
                <c:pt idx="364">
                  <c:v>3.5863825199199811E-2</c:v>
                </c:pt>
                <c:pt idx="365">
                  <c:v>3.5667580285931165E-2</c:v>
                </c:pt>
                <c:pt idx="366">
                  <c:v>3.547294173902759E-2</c:v>
                </c:pt>
                <c:pt idx="367">
                  <c:v>3.5279892074283566E-2</c:v>
                </c:pt>
                <c:pt idx="368">
                  <c:v>3.5088414044727526E-2</c:v>
                </c:pt>
                <c:pt idx="369">
                  <c:v>3.4898490636769565E-2</c:v>
                </c:pt>
                <c:pt idx="370">
                  <c:v>3.4710105066422067E-2</c:v>
                </c:pt>
                <c:pt idx="371">
                  <c:v>3.4523240775591435E-2</c:v>
                </c:pt>
                <c:pt idx="372">
                  <c:v>3.4337881428439569E-2</c:v>
                </c:pt>
                <c:pt idx="373">
                  <c:v>3.4154010907813483E-2</c:v>
                </c:pt>
                <c:pt idx="374">
                  <c:v>3.39716133117417E-2</c:v>
                </c:pt>
                <c:pt idx="375">
                  <c:v>3.3790672949995965E-2</c:v>
                </c:pt>
                <c:pt idx="376">
                  <c:v>3.361117434071683E-2</c:v>
                </c:pt>
                <c:pt idx="377">
                  <c:v>3.3433102207101877E-2</c:v>
                </c:pt>
                <c:pt idx="378">
                  <c:v>3.3256441474155143E-2</c:v>
                </c:pt>
                <c:pt idx="379">
                  <c:v>3.3081177265496503E-2</c:v>
                </c:pt>
                <c:pt idx="380">
                  <c:v>3.2907294900229811E-2</c:v>
                </c:pt>
                <c:pt idx="381">
                  <c:v>3.2734779889868386E-2</c:v>
                </c:pt>
                <c:pt idx="382">
                  <c:v>3.256361793531691E-2</c:v>
                </c:pt>
                <c:pt idx="383">
                  <c:v>3.2393794923908301E-2</c:v>
                </c:pt>
                <c:pt idx="384">
                  <c:v>3.222529692649459E-2</c:v>
                </c:pt>
                <c:pt idx="385">
                  <c:v>3.2058110194590553E-2</c:v>
                </c:pt>
                <c:pt idx="386">
                  <c:v>3.1892221157569234E-2</c:v>
                </c:pt>
                <c:pt idx="387">
                  <c:v>3.1727616419907893E-2</c:v>
                </c:pt>
                <c:pt idx="388">
                  <c:v>3.1564282758483803E-2</c:v>
                </c:pt>
                <c:pt idx="389">
                  <c:v>3.1402207119918493E-2</c:v>
                </c:pt>
                <c:pt idx="390">
                  <c:v>3.1241376617969673E-2</c:v>
                </c:pt>
                <c:pt idx="391">
                  <c:v>3.1081778530969755E-2</c:v>
                </c:pt>
                <c:pt idx="392">
                  <c:v>3.0923400299310105E-2</c:v>
                </c:pt>
                <c:pt idx="393">
                  <c:v>3.0766229522969962E-2</c:v>
                </c:pt>
                <c:pt idx="394">
                  <c:v>3.0610253959089315E-2</c:v>
                </c:pt>
                <c:pt idx="395">
                  <c:v>3.0455461519584601E-2</c:v>
                </c:pt>
                <c:pt idx="396">
                  <c:v>3.0301840268806682E-2</c:v>
                </c:pt>
                <c:pt idx="397">
                  <c:v>3.0149378421239829E-2</c:v>
                </c:pt>
                <c:pt idx="398">
                  <c:v>2.9998064339241366E-2</c:v>
                </c:pt>
                <c:pt idx="399">
                  <c:v>2.9847886530820718E-2</c:v>
                </c:pt>
                <c:pt idx="400">
                  <c:v>2.9698833647457436E-2</c:v>
                </c:pt>
                <c:pt idx="401">
                  <c:v>2.9550894481957132E-2</c:v>
                </c:pt>
                <c:pt idx="402">
                  <c:v>2.9404057966344824E-2</c:v>
                </c:pt>
                <c:pt idx="403">
                  <c:v>2.9258313169794711E-2</c:v>
                </c:pt>
                <c:pt idx="404">
                  <c:v>2.9113649296595861E-2</c:v>
                </c:pt>
                <c:pt idx="405">
                  <c:v>2.8970055684152965E-2</c:v>
                </c:pt>
                <c:pt idx="406">
                  <c:v>2.8827521801021563E-2</c:v>
                </c:pt>
                <c:pt idx="407">
                  <c:v>2.868603724497697E-2</c:v>
                </c:pt>
                <c:pt idx="408">
                  <c:v>2.8545591741116341E-2</c:v>
                </c:pt>
                <c:pt idx="409">
                  <c:v>2.8406175139993134E-2</c:v>
                </c:pt>
                <c:pt idx="410">
                  <c:v>2.8267777415783409E-2</c:v>
                </c:pt>
                <c:pt idx="411">
                  <c:v>2.813038866448335E-2</c:v>
                </c:pt>
                <c:pt idx="412">
                  <c:v>2.7993999102137283E-2</c:v>
                </c:pt>
                <c:pt idx="413">
                  <c:v>2.7858599063095825E-2</c:v>
                </c:pt>
                <c:pt idx="414">
                  <c:v>2.77241789983033E-2</c:v>
                </c:pt>
                <c:pt idx="415">
                  <c:v>2.7590729473614125E-2</c:v>
                </c:pt>
                <c:pt idx="416">
                  <c:v>2.7458241168137439E-2</c:v>
                </c:pt>
                <c:pt idx="417">
                  <c:v>2.7326704872609495E-2</c:v>
                </c:pt>
                <c:pt idx="418">
                  <c:v>2.7196111487793277E-2</c:v>
                </c:pt>
                <c:pt idx="419">
                  <c:v>2.7066452022904818E-2</c:v>
                </c:pt>
                <c:pt idx="420">
                  <c:v>2.6937717594065724E-2</c:v>
                </c:pt>
                <c:pt idx="421">
                  <c:v>2.6809899422781374E-2</c:v>
                </c:pt>
                <c:pt idx="422">
                  <c:v>2.6682988834444386E-2</c:v>
                </c:pt>
                <c:pt idx="423">
                  <c:v>2.6556977256862749E-2</c:v>
                </c:pt>
                <c:pt idx="424">
                  <c:v>2.6431856218812267E-2</c:v>
                </c:pt>
                <c:pt idx="425">
                  <c:v>2.6307617348612842E-2</c:v>
                </c:pt>
                <c:pt idx="426">
                  <c:v>2.6184252372728044E-2</c:v>
                </c:pt>
                <c:pt idx="427">
                  <c:v>2.6061753114387701E-2</c:v>
                </c:pt>
                <c:pt idx="428">
                  <c:v>2.5940111492232919E-2</c:v>
                </c:pt>
                <c:pt idx="429">
                  <c:v>2.5819319518983246E-2</c:v>
                </c:pt>
                <c:pt idx="430">
                  <c:v>2.5699369300125452E-2</c:v>
                </c:pt>
                <c:pt idx="431">
                  <c:v>2.5580253032623613E-2</c:v>
                </c:pt>
                <c:pt idx="432">
                  <c:v>2.5461963003650098E-2</c:v>
                </c:pt>
                <c:pt idx="433">
                  <c:v>2.5344491589336954E-2</c:v>
                </c:pt>
                <c:pt idx="434">
                  <c:v>2.5227831253547519E-2</c:v>
                </c:pt>
                <c:pt idx="435">
                  <c:v>2.5111974546667706E-2</c:v>
                </c:pt>
                <c:pt idx="436">
                  <c:v>2.4996914104416703E-2</c:v>
                </c:pt>
                <c:pt idx="437">
                  <c:v>2.4882642646676671E-2</c:v>
                </c:pt>
                <c:pt idx="438">
                  <c:v>2.4769152976341184E-2</c:v>
                </c:pt>
                <c:pt idx="439">
                  <c:v>2.4656437978181921E-2</c:v>
                </c:pt>
                <c:pt idx="440">
                  <c:v>2.4544490617733464E-2</c:v>
                </c:pt>
                <c:pt idx="441">
                  <c:v>2.4433303940195692E-2</c:v>
                </c:pt>
                <c:pt idx="442">
                  <c:v>2.4322871069353609E-2</c:v>
                </c:pt>
                <c:pt idx="443">
                  <c:v>2.4213185206514165E-2</c:v>
                </c:pt>
                <c:pt idx="444">
                  <c:v>2.4104239629459859E-2</c:v>
                </c:pt>
                <c:pt idx="445">
                  <c:v>2.3996027691418755E-2</c:v>
                </c:pt>
                <c:pt idx="446">
                  <c:v>2.3888542820050668E-2</c:v>
                </c:pt>
                <c:pt idx="447">
                  <c:v>2.3781778516449206E-2</c:v>
                </c:pt>
                <c:pt idx="448">
                  <c:v>2.3675728354159362E-2</c:v>
                </c:pt>
                <c:pt idx="449">
                  <c:v>2.3570385978210429E-2</c:v>
                </c:pt>
                <c:pt idx="450">
                  <c:v>2.3465745104163951E-2</c:v>
                </c:pt>
                <c:pt idx="451">
                  <c:v>2.3361799517176415E-2</c:v>
                </c:pt>
                <c:pt idx="452">
                  <c:v>2.3258543071076439E-2</c:v>
                </c:pt>
                <c:pt idx="453">
                  <c:v>2.3155969687456205E-2</c:v>
                </c:pt>
                <c:pt idx="454">
                  <c:v>2.3054073354776928E-2</c:v>
                </c:pt>
                <c:pt idx="455">
                  <c:v>2.2952848127487994E-2</c:v>
                </c:pt>
                <c:pt idx="456">
                  <c:v>2.2852288125159673E-2</c:v>
                </c:pt>
                <c:pt idx="457">
                  <c:v>2.275238753162908E-2</c:v>
                </c:pt>
                <c:pt idx="458">
                  <c:v>2.2653140594159158E-2</c:v>
                </c:pt>
                <c:pt idx="459">
                  <c:v>2.2554541622610495E-2</c:v>
                </c:pt>
                <c:pt idx="460">
                  <c:v>2.2456584988625718E-2</c:v>
                </c:pt>
                <c:pt idx="461">
                  <c:v>2.2359265124826264E-2</c:v>
                </c:pt>
                <c:pt idx="462">
                  <c:v>2.2262576524021301E-2</c:v>
                </c:pt>
                <c:pt idx="463">
                  <c:v>2.2166513738428609E-2</c:v>
                </c:pt>
                <c:pt idx="464">
                  <c:v>2.2071071378907195E-2</c:v>
                </c:pt>
                <c:pt idx="465">
                  <c:v>2.1976244114201425E-2</c:v>
                </c:pt>
                <c:pt idx="466">
                  <c:v>2.1882026670196557E-2</c:v>
                </c:pt>
                <c:pt idx="467">
                  <c:v>2.1788413829185348E-2</c:v>
                </c:pt>
                <c:pt idx="468">
                  <c:v>2.1695400429145681E-2</c:v>
                </c:pt>
                <c:pt idx="469">
                  <c:v>2.1602981363028916E-2</c:v>
                </c:pt>
                <c:pt idx="470">
                  <c:v>2.1511151578058871E-2</c:v>
                </c:pt>
                <c:pt idx="471">
                  <c:v>2.1419906075041153E-2</c:v>
                </c:pt>
                <c:pt idx="472">
                  <c:v>2.13292399076828E-2</c:v>
                </c:pt>
                <c:pt idx="473">
                  <c:v>2.1239148181921904E-2</c:v>
                </c:pt>
                <c:pt idx="474">
                  <c:v>2.1149626055267164E-2</c:v>
                </c:pt>
                <c:pt idx="475">
                  <c:v>2.1060668736147169E-2</c:v>
                </c:pt>
                <c:pt idx="476">
                  <c:v>2.0972271483269217E-2</c:v>
                </c:pt>
                <c:pt idx="477">
                  <c:v>2.0884429604987521E-2</c:v>
                </c:pt>
                <c:pt idx="478">
                  <c:v>2.0797138458680722E-2</c:v>
                </c:pt>
                <c:pt idx="479">
                  <c:v>2.0710393450138403E-2</c:v>
                </c:pt>
                <c:pt idx="480">
                  <c:v>2.0624190032956624E-2</c:v>
                </c:pt>
                <c:pt idx="481">
                  <c:v>2.0538523707942163E-2</c:v>
                </c:pt>
                <c:pt idx="482">
                  <c:v>2.0453390022525466E-2</c:v>
                </c:pt>
                <c:pt idx="483">
                  <c:v>2.0368784570182076E-2</c:v>
                </c:pt>
                <c:pt idx="484">
                  <c:v>2.0284702989862402E-2</c:v>
                </c:pt>
                <c:pt idx="485">
                  <c:v>2.0201140965429725E-2</c:v>
                </c:pt>
                <c:pt idx="486">
                  <c:v>2.0118094225106298E-2</c:v>
                </c:pt>
                <c:pt idx="487">
                  <c:v>2.0035558540927388E-2</c:v>
                </c:pt>
                <c:pt idx="488">
                  <c:v>1.9953529728203138E-2</c:v>
                </c:pt>
                <c:pt idx="489">
                  <c:v>1.9872003644988135E-2</c:v>
                </c:pt>
                <c:pt idx="490">
                  <c:v>1.9790976191558549E-2</c:v>
                </c:pt>
                <c:pt idx="491">
                  <c:v>1.971044330989671E-2</c:v>
                </c:pt>
                <c:pt idx="492">
                  <c:v>1.9630400983182993E-2</c:v>
                </c:pt>
                <c:pt idx="493">
                  <c:v>1.9550845235294975E-2</c:v>
                </c:pt>
                <c:pt idx="494">
                  <c:v>1.9471772130313595E-2</c:v>
                </c:pt>
                <c:pt idx="495">
                  <c:v>1.9393177772036359E-2</c:v>
                </c:pt>
                <c:pt idx="496">
                  <c:v>1.9315058303497373E-2</c:v>
                </c:pt>
                <c:pt idx="497">
                  <c:v>1.923740990649413E-2</c:v>
                </c:pt>
                <c:pt idx="498">
                  <c:v>1.9160228801120987E-2</c:v>
                </c:pt>
                <c:pt idx="499">
                  <c:v>1.9083511245309097E-2</c:v>
                </c:pt>
                <c:pt idx="500">
                  <c:v>1.9007253534372836E-2</c:v>
                </c:pt>
              </c:numCache>
            </c:numRef>
          </c:yVal>
          <c:smooth val="1"/>
          <c:extLst>
            <c:ext xmlns:c16="http://schemas.microsoft.com/office/drawing/2014/chart" uri="{C3380CC4-5D6E-409C-BE32-E72D297353CC}">
              <c16:uniqueId val="{00000000-E939-46B0-A2F6-6135ABB95472}"/>
            </c:ext>
          </c:extLst>
        </c:ser>
        <c:dLbls>
          <c:showLegendKey val="0"/>
          <c:showVal val="0"/>
          <c:showCatName val="0"/>
          <c:showSerName val="0"/>
          <c:showPercent val="0"/>
          <c:showBubbleSize val="0"/>
        </c:dLbls>
        <c:axId val="639738032"/>
        <c:axId val="639735680"/>
      </c:scatterChart>
      <c:valAx>
        <c:axId val="639738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050" b="1"/>
                  <a:t>Periodo   [s]</a:t>
                </a:r>
              </a:p>
            </c:rich>
          </c:tx>
          <c:layout>
            <c:manualLayout>
              <c:xMode val="edge"/>
              <c:yMode val="edge"/>
              <c:x val="0.42969346516244677"/>
              <c:y val="0.93840220952773057"/>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9735680"/>
        <c:crosses val="autoZero"/>
        <c:crossBetween val="midCat"/>
      </c:valAx>
      <c:valAx>
        <c:axId val="63973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sz="1050" b="1"/>
                  <a:t>Pseudo</a:t>
                </a:r>
                <a:r>
                  <a:rPr lang="it-IT" sz="1050" b="1" baseline="0"/>
                  <a:t> Accelerazioni    [m/s</a:t>
                </a:r>
                <a:r>
                  <a:rPr lang="it-IT" sz="1050" b="1" baseline="0">
                    <a:latin typeface="Times New Roman" panose="02020603050405020304" pitchFamily="18" charset="0"/>
                    <a:cs typeface="Times New Roman" panose="02020603050405020304" pitchFamily="18" charset="0"/>
                  </a:rPr>
                  <a:t>²]</a:t>
                </a:r>
                <a:r>
                  <a:rPr lang="it-IT" sz="1050" b="1" baseline="0"/>
                  <a:t> </a:t>
                </a:r>
                <a:endParaRPr lang="it-IT" sz="1050" b="1"/>
              </a:p>
            </c:rich>
          </c:tx>
          <c:layout>
            <c:manualLayout>
              <c:xMode val="edge"/>
              <c:yMode val="edge"/>
              <c:x val="1.2759168517471688E-2"/>
              <c:y val="0.25999508231405721"/>
            </c:manualLayout>
          </c:layout>
          <c:overlay val="0"/>
          <c:spPr>
            <a:noFill/>
            <a:ln>
              <a:noFill/>
            </a:ln>
            <a:effectLst/>
          </c:spPr>
        </c:title>
        <c:numFmt formatCode="0.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97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it-IT" sz="1200"/>
              <a:t>SEZIONE 2</a:t>
            </a:r>
          </a:p>
        </c:rich>
      </c:tx>
      <c:layout>
        <c:manualLayout>
          <c:xMode val="edge"/>
          <c:yMode val="edge"/>
          <c:x val="0.43345888918144859"/>
          <c:y val="2.5992773872418461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
          <c:y val="0.17182246867222634"/>
          <c:w val="1"/>
          <c:h val="0.78511480482906171"/>
        </c:manualLayout>
      </c:layout>
      <c:scatterChart>
        <c:scatterStyle val="lineMarker"/>
        <c:varyColors val="0"/>
        <c:ser>
          <c:idx val="0"/>
          <c:order val="0"/>
          <c:spPr>
            <a:ln w="28575" cap="rnd">
              <a:solidFill>
                <a:schemeClr val="bg2">
                  <a:lumMod val="25000"/>
                </a:schemeClr>
              </a:solidFill>
              <a:round/>
            </a:ln>
            <a:effectLst/>
          </c:spPr>
          <c:marker>
            <c:symbol val="none"/>
          </c:marker>
          <c:xVal>
            <c:numRef>
              <c:f>'geom masse muro+tensioni'!$F$44:$F$69</c:f>
              <c:numCache>
                <c:formatCode>General</c:formatCode>
                <c:ptCount val="26"/>
                <c:pt idx="0">
                  <c:v>0</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c:v>
                </c:pt>
              </c:numCache>
            </c:numRef>
          </c:xVal>
          <c:yVal>
            <c:numRef>
              <c:f>'geom masse muro+tensioni'!$G$44:$G$69</c:f>
              <c:numCache>
                <c:formatCode>General</c:formatCode>
                <c:ptCount val="26"/>
                <c:pt idx="0">
                  <c:v>0</c:v>
                </c:pt>
                <c:pt idx="1">
                  <c:v>0</c:v>
                </c:pt>
                <c:pt idx="2">
                  <c:v>0.3</c:v>
                </c:pt>
                <c:pt idx="3">
                  <c:v>0.3</c:v>
                </c:pt>
                <c:pt idx="4" formatCode="0.000">
                  <c:v>0.30000999999999978</c:v>
                </c:pt>
                <c:pt idx="5" formatCode="0.000">
                  <c:v>0.30000999999999978</c:v>
                </c:pt>
                <c:pt idx="6" formatCode="0.000">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formatCode="0.000">
                  <c:v>0.30000999999999978</c:v>
                </c:pt>
                <c:pt idx="21" formatCode="0.000">
                  <c:v>0.30000999999999978</c:v>
                </c:pt>
                <c:pt idx="22" formatCode="0.000">
                  <c:v>0.3</c:v>
                </c:pt>
                <c:pt idx="23" formatCode="0.000">
                  <c:v>0.3</c:v>
                </c:pt>
                <c:pt idx="24" formatCode="0.000">
                  <c:v>0</c:v>
                </c:pt>
                <c:pt idx="25" formatCode="0.000">
                  <c:v>0</c:v>
                </c:pt>
              </c:numCache>
            </c:numRef>
          </c:yVal>
          <c:smooth val="0"/>
          <c:extLst>
            <c:ext xmlns:c16="http://schemas.microsoft.com/office/drawing/2014/chart" uri="{C3380CC4-5D6E-409C-BE32-E72D297353CC}">
              <c16:uniqueId val="{00000000-383C-429B-B48B-6180D77CD849}"/>
            </c:ext>
          </c:extLst>
        </c:ser>
        <c:ser>
          <c:idx val="1"/>
          <c:order val="1"/>
          <c:spPr>
            <a:ln w="9525" cap="rnd">
              <a:solidFill>
                <a:schemeClr val="bg2">
                  <a:lumMod val="75000"/>
                </a:schemeClr>
              </a:solidFill>
              <a:round/>
            </a:ln>
            <a:effectLst/>
          </c:spPr>
          <c:marker>
            <c:symbol val="none"/>
          </c:marker>
          <c:xVal>
            <c:numRef>
              <c:f>'geom masse muro+tensioni'!$C$72:$C$77</c:f>
              <c:numCache>
                <c:formatCode>General</c:formatCode>
                <c:ptCount val="6"/>
                <c:pt idx="0">
                  <c:v>0.5</c:v>
                </c:pt>
                <c:pt idx="1">
                  <c:v>0.5</c:v>
                </c:pt>
                <c:pt idx="2">
                  <c:v>-0.5</c:v>
                </c:pt>
                <c:pt idx="3">
                  <c:v>-0.5</c:v>
                </c:pt>
                <c:pt idx="4">
                  <c:v>0.5</c:v>
                </c:pt>
                <c:pt idx="5">
                  <c:v>0.5</c:v>
                </c:pt>
              </c:numCache>
            </c:numRef>
          </c:xVal>
          <c:yVal>
            <c:numRef>
              <c:f>'geom masse muro+tensioni'!$D$72:$D$77</c:f>
              <c:numCache>
                <c:formatCode>General</c:formatCode>
                <c:ptCount val="6"/>
                <c:pt idx="0">
                  <c:v>0</c:v>
                </c:pt>
                <c:pt idx="1">
                  <c:v>1.5999999999999996</c:v>
                </c:pt>
                <c:pt idx="2">
                  <c:v>1.5999999999999996</c:v>
                </c:pt>
                <c:pt idx="3">
                  <c:v>-0.4</c:v>
                </c:pt>
                <c:pt idx="4">
                  <c:v>-0.4</c:v>
                </c:pt>
                <c:pt idx="5">
                  <c:v>0</c:v>
                </c:pt>
              </c:numCache>
            </c:numRef>
          </c:yVal>
          <c:smooth val="0"/>
          <c:extLst>
            <c:ext xmlns:c16="http://schemas.microsoft.com/office/drawing/2014/chart" uri="{C3380CC4-5D6E-409C-BE32-E72D297353CC}">
              <c16:uniqueId val="{00000001-383C-429B-B48B-6180D77CD849}"/>
            </c:ext>
          </c:extLst>
        </c:ser>
        <c:ser>
          <c:idx val="2"/>
          <c:order val="2"/>
          <c:spPr>
            <a:ln w="9525" cap="rnd">
              <a:solidFill>
                <a:schemeClr val="bg2">
                  <a:lumMod val="75000"/>
                </a:schemeClr>
              </a:solidFill>
              <a:prstDash val="dash"/>
              <a:round/>
            </a:ln>
            <a:effectLst/>
          </c:spPr>
          <c:marker>
            <c:symbol val="none"/>
          </c:marker>
          <c:xVal>
            <c:numRef>
              <c:f>'geom masse muro+tensioni'!$F$72:$F$76</c:f>
              <c:numCache>
                <c:formatCode>General</c:formatCode>
                <c:ptCount val="5"/>
                <c:pt idx="0">
                  <c:v>0.5</c:v>
                </c:pt>
                <c:pt idx="1">
                  <c:v>0.5</c:v>
                </c:pt>
                <c:pt idx="2">
                  <c:v>-0.5</c:v>
                </c:pt>
                <c:pt idx="3">
                  <c:v>-0.5</c:v>
                </c:pt>
                <c:pt idx="4">
                  <c:v>0.5</c:v>
                </c:pt>
              </c:numCache>
            </c:numRef>
          </c:xVal>
          <c:yVal>
            <c:numRef>
              <c:f>'geom masse muro+tensioni'!$G$72:$G$76</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2-383C-429B-B48B-6180D77CD849}"/>
            </c:ext>
          </c:extLst>
        </c:ser>
        <c:dLbls>
          <c:showLegendKey val="0"/>
          <c:showVal val="0"/>
          <c:showCatName val="0"/>
          <c:showSerName val="0"/>
          <c:showPercent val="0"/>
          <c:showBubbleSize val="0"/>
        </c:dLbls>
        <c:axId val="637876608"/>
        <c:axId val="637871120"/>
      </c:scatterChart>
      <c:valAx>
        <c:axId val="637876608"/>
        <c:scaling>
          <c:orientation val="minMax"/>
        </c:scaling>
        <c:delete val="1"/>
        <c:axPos val="b"/>
        <c:numFmt formatCode="General" sourceLinked="1"/>
        <c:majorTickMark val="none"/>
        <c:minorTickMark val="none"/>
        <c:tickLblPos val="nextTo"/>
        <c:crossAx val="637871120"/>
        <c:crosses val="autoZero"/>
        <c:crossBetween val="midCat"/>
      </c:valAx>
      <c:valAx>
        <c:axId val="637871120"/>
        <c:scaling>
          <c:orientation val="minMax"/>
        </c:scaling>
        <c:delete val="1"/>
        <c:axPos val="l"/>
        <c:numFmt formatCode="General" sourceLinked="1"/>
        <c:majorTickMark val="none"/>
        <c:minorTickMark val="none"/>
        <c:tickLblPos val="nextTo"/>
        <c:crossAx val="6378766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it-IT" sz="1200"/>
              <a:t>SEZIONE</a:t>
            </a:r>
            <a:r>
              <a:rPr lang="it-IT" sz="1200" baseline="0"/>
              <a:t> 3</a:t>
            </a:r>
            <a:endParaRPr lang="it-IT" sz="1200"/>
          </a:p>
        </c:rich>
      </c:tx>
      <c:layout>
        <c:manualLayout>
          <c:xMode val="edge"/>
          <c:yMode val="edge"/>
          <c:x val="0.43331701937816997"/>
          <c:y val="1.830064794380692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it-IT"/>
        </a:p>
      </c:txPr>
    </c:title>
    <c:autoTitleDeleted val="0"/>
    <c:plotArea>
      <c:layout>
        <c:manualLayout>
          <c:layoutTarget val="inner"/>
          <c:xMode val="edge"/>
          <c:yMode val="edge"/>
          <c:x val="0"/>
          <c:y val="0.1772720362496929"/>
          <c:w val="1"/>
          <c:h val="0.77966596274016897"/>
        </c:manualLayout>
      </c:layout>
      <c:scatterChart>
        <c:scatterStyle val="lineMarker"/>
        <c:varyColors val="0"/>
        <c:ser>
          <c:idx val="1"/>
          <c:order val="0"/>
          <c:spPr>
            <a:ln w="28575" cap="rnd">
              <a:solidFill>
                <a:schemeClr val="bg2">
                  <a:lumMod val="25000"/>
                </a:schemeClr>
              </a:solidFill>
              <a:round/>
            </a:ln>
            <a:effectLst/>
          </c:spPr>
          <c:marker>
            <c:symbol val="none"/>
          </c:marker>
          <c:xVal>
            <c:numRef>
              <c:f>'geom masse muro+tensioni'!$C$72:$C$77</c:f>
              <c:numCache>
                <c:formatCode>General</c:formatCode>
                <c:ptCount val="6"/>
                <c:pt idx="0">
                  <c:v>0.5</c:v>
                </c:pt>
                <c:pt idx="1">
                  <c:v>0.5</c:v>
                </c:pt>
                <c:pt idx="2">
                  <c:v>-0.5</c:v>
                </c:pt>
                <c:pt idx="3">
                  <c:v>-0.5</c:v>
                </c:pt>
                <c:pt idx="4">
                  <c:v>0.5</c:v>
                </c:pt>
                <c:pt idx="5">
                  <c:v>0.5</c:v>
                </c:pt>
              </c:numCache>
            </c:numRef>
          </c:xVal>
          <c:yVal>
            <c:numRef>
              <c:f>'geom masse muro+tensioni'!$D$72:$D$77</c:f>
              <c:numCache>
                <c:formatCode>General</c:formatCode>
                <c:ptCount val="6"/>
                <c:pt idx="0">
                  <c:v>0</c:v>
                </c:pt>
                <c:pt idx="1">
                  <c:v>1.5999999999999996</c:v>
                </c:pt>
                <c:pt idx="2">
                  <c:v>1.5999999999999996</c:v>
                </c:pt>
                <c:pt idx="3">
                  <c:v>-0.4</c:v>
                </c:pt>
                <c:pt idx="4">
                  <c:v>-0.4</c:v>
                </c:pt>
                <c:pt idx="5">
                  <c:v>0</c:v>
                </c:pt>
              </c:numCache>
            </c:numRef>
          </c:yVal>
          <c:smooth val="0"/>
          <c:extLst>
            <c:ext xmlns:c16="http://schemas.microsoft.com/office/drawing/2014/chart" uri="{C3380CC4-5D6E-409C-BE32-E72D297353CC}">
              <c16:uniqueId val="{00000000-4E5B-43D1-97E1-FF3C38239DBD}"/>
            </c:ext>
          </c:extLst>
        </c:ser>
        <c:ser>
          <c:idx val="0"/>
          <c:order val="1"/>
          <c:spPr>
            <a:ln w="9525" cap="rnd">
              <a:solidFill>
                <a:schemeClr val="bg2">
                  <a:lumMod val="75000"/>
                </a:schemeClr>
              </a:solidFill>
              <a:prstDash val="dash"/>
              <a:round/>
            </a:ln>
            <a:effectLst/>
          </c:spPr>
          <c:marker>
            <c:symbol val="none"/>
          </c:marker>
          <c:xVal>
            <c:numRef>
              <c:f>'geom masse muro+tensioni'!$F$72:$F$76</c:f>
              <c:numCache>
                <c:formatCode>General</c:formatCode>
                <c:ptCount val="5"/>
                <c:pt idx="0">
                  <c:v>0.5</c:v>
                </c:pt>
                <c:pt idx="1">
                  <c:v>0.5</c:v>
                </c:pt>
                <c:pt idx="2">
                  <c:v>-0.5</c:v>
                </c:pt>
                <c:pt idx="3">
                  <c:v>-0.5</c:v>
                </c:pt>
                <c:pt idx="4">
                  <c:v>0.5</c:v>
                </c:pt>
              </c:numCache>
            </c:numRef>
          </c:xVal>
          <c:yVal>
            <c:numRef>
              <c:f>'geom masse muro+tensioni'!$G$72:$G$76</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4E5B-43D1-97E1-FF3C38239DBD}"/>
            </c:ext>
          </c:extLst>
        </c:ser>
        <c:dLbls>
          <c:showLegendKey val="0"/>
          <c:showVal val="0"/>
          <c:showCatName val="0"/>
          <c:showSerName val="0"/>
          <c:showPercent val="0"/>
          <c:showBubbleSize val="0"/>
        </c:dLbls>
        <c:axId val="637872296"/>
        <c:axId val="637869944"/>
      </c:scatterChart>
      <c:valAx>
        <c:axId val="637872296"/>
        <c:scaling>
          <c:orientation val="minMax"/>
        </c:scaling>
        <c:delete val="1"/>
        <c:axPos val="b"/>
        <c:numFmt formatCode="General" sourceLinked="1"/>
        <c:majorTickMark val="none"/>
        <c:minorTickMark val="none"/>
        <c:tickLblPos val="nextTo"/>
        <c:crossAx val="637869944"/>
        <c:crosses val="autoZero"/>
        <c:crossBetween val="midCat"/>
      </c:valAx>
      <c:valAx>
        <c:axId val="637869944"/>
        <c:scaling>
          <c:orientation val="minMax"/>
        </c:scaling>
        <c:delete val="1"/>
        <c:axPos val="l"/>
        <c:numFmt formatCode="General" sourceLinked="1"/>
        <c:majorTickMark val="none"/>
        <c:minorTickMark val="none"/>
        <c:tickLblPos val="nextTo"/>
        <c:crossAx val="637872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47425465345015"/>
          <c:y val="9.2194735954546039E-2"/>
          <c:w val="0.66335289508435658"/>
          <c:h val="0.83876380019426711"/>
        </c:manualLayout>
      </c:layout>
      <c:scatterChart>
        <c:scatterStyle val="smoothMarker"/>
        <c:varyColors val="0"/>
        <c:ser>
          <c:idx val="4"/>
          <c:order val="9"/>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0.14135266494610929"/>
                  <c:y val="8.1112000344219101E-2"/>
                </c:manualLayout>
              </c:layout>
              <c:tx>
                <c:rich>
                  <a:bodyPr/>
                  <a:lstStyle/>
                  <a:p>
                    <a:r>
                      <a:rPr lang="en-US" b="1" baseline="0">
                        <a:solidFill>
                          <a:srgbClr val="FF0000"/>
                        </a:solidFill>
                      </a:rPr>
                      <a:t>origine degli assi</a:t>
                    </a:r>
                    <a:endParaRPr lang="en-US" b="1">
                      <a:solidFill>
                        <a:srgbClr val="FF0000"/>
                      </a:solidFill>
                    </a:endParaRP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A6-4215-B35B-617298B856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01-B3A6-4215-B35B-617298B85634}"/>
            </c:ext>
          </c:extLst>
        </c:ser>
        <c:dLbls>
          <c:showLegendKey val="0"/>
          <c:showVal val="0"/>
          <c:showCatName val="0"/>
          <c:showSerName val="0"/>
          <c:showPercent val="0"/>
          <c:showBubbleSize val="0"/>
        </c:dLbls>
        <c:axId val="637872688"/>
        <c:axId val="637870728"/>
      </c:scatterChar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2-B3A6-4215-B35B-617298B85634}"/>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3-B3A6-4215-B35B-617298B85634}"/>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4-B3A6-4215-B35B-617298B85634}"/>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5-B3A6-4215-B35B-617298B85634}"/>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6-B3A6-4215-B35B-617298B85634}"/>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7-B3A6-4215-B35B-617298B85634}"/>
            </c:ext>
          </c:extLst>
        </c:ser>
        <c:ser>
          <c:idx val="0"/>
          <c:order val="6"/>
          <c:spPr>
            <a:ln w="285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8-B3A6-4215-B35B-617298B85634}"/>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9-B3A6-4215-B35B-617298B85634}"/>
            </c:ext>
          </c:extLst>
        </c:ser>
        <c:ser>
          <c:idx val="2"/>
          <c:order val="8"/>
          <c:spPr>
            <a:ln w="19050" cap="rnd">
              <a:solidFill>
                <a:schemeClr val="bg1">
                  <a:lumMod val="75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A-B3A6-4215-B35B-617298B85634}"/>
            </c:ext>
          </c:extLst>
        </c:ser>
        <c:dLbls>
          <c:showLegendKey val="0"/>
          <c:showVal val="0"/>
          <c:showCatName val="0"/>
          <c:showSerName val="0"/>
          <c:showPercent val="0"/>
          <c:showBubbleSize val="0"/>
        </c:dLbls>
        <c:axId val="637872688"/>
        <c:axId val="637870728"/>
      </c:scatterChart>
      <c:scatterChart>
        <c:scatterStyle val="lineMarker"/>
        <c:varyColors val="0"/>
        <c:ser>
          <c:idx val="14"/>
          <c:order val="10"/>
          <c:tx>
            <c:v>terreno</c:v>
          </c:tx>
          <c:spPr>
            <a:ln w="6350"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Pt>
            <c:idx val="1"/>
            <c:marker>
              <c:symbol val="none"/>
            </c:marker>
            <c:bubble3D val="0"/>
            <c:spPr>
              <a:ln w="6350"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C-B3A6-4215-B35B-617298B85634}"/>
              </c:ext>
            </c:extLst>
          </c:dPt>
          <c:dPt>
            <c:idx val="2"/>
            <c:marker>
              <c:symbol val="none"/>
            </c:marker>
            <c:bubble3D val="0"/>
            <c:spPr>
              <a:ln w="6350"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E-B3A6-4215-B35B-617298B85634}"/>
              </c:ext>
            </c:extLst>
          </c:dPt>
          <c:dLbls>
            <c:dLbl>
              <c:idx val="0"/>
              <c:delete val="1"/>
              <c:extLst>
                <c:ext xmlns:c15="http://schemas.microsoft.com/office/drawing/2012/chart" uri="{CE6537A1-D6FC-4f65-9D91-7224C49458BB}"/>
                <c:ext xmlns:c16="http://schemas.microsoft.com/office/drawing/2014/chart" uri="{C3380CC4-5D6E-409C-BE32-E72D297353CC}">
                  <c16:uniqueId val="{0000000F-B3A6-4215-B35B-617298B85634}"/>
                </c:ext>
              </c:extLst>
            </c:dLbl>
            <c:dLbl>
              <c:idx val="1"/>
              <c:layout>
                <c:manualLayout>
                  <c:x val="-0.10306998881407244"/>
                  <c:y val="-7.4277111137826035E-2"/>
                </c:manualLayout>
              </c:layout>
              <c:tx>
                <c:rich>
                  <a:bodyPr/>
                  <a:lstStyle/>
                  <a:p>
                    <a:fld id="{58AF8414-7FE2-4833-9E75-3BDE553A0E06}" type="YVALUE">
                      <a:rPr lang="en-US" sz="800"/>
                      <a:pPr/>
                      <a:t>[VALORE Y]</a:t>
                    </a:fld>
                    <a:r>
                      <a:rPr lang="en-US" sz="800"/>
                      <a:t> Quota massima terreno</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B3A6-4215-B35B-617298B85634}"/>
                </c:ext>
              </c:extLst>
            </c:dLbl>
            <c:dLbl>
              <c:idx val="2"/>
              <c:delete val="1"/>
              <c:extLst>
                <c:ext xmlns:c15="http://schemas.microsoft.com/office/drawing/2012/chart" uri="{CE6537A1-D6FC-4f65-9D91-7224C49458BB}"/>
                <c:ext xmlns:c16="http://schemas.microsoft.com/office/drawing/2014/chart" uri="{C3380CC4-5D6E-409C-BE32-E72D297353CC}">
                  <c16:uniqueId val="{0000000E-B3A6-4215-B35B-617298B856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muro+tensioni'!$M$82:$M$84</c:f>
              <c:numCache>
                <c:formatCode>0.00</c:formatCode>
                <c:ptCount val="3"/>
                <c:pt idx="0">
                  <c:v>0.7</c:v>
                </c:pt>
                <c:pt idx="1">
                  <c:v>2</c:v>
                </c:pt>
                <c:pt idx="2">
                  <c:v>2</c:v>
                </c:pt>
              </c:numCache>
            </c:numRef>
          </c:xVal>
          <c:yVal>
            <c:numRef>
              <c:f>'geom masse muro+tensioni'!$N$82:$N$84</c:f>
              <c:numCache>
                <c:formatCode>0.00</c:formatCode>
                <c:ptCount val="3"/>
                <c:pt idx="0">
                  <c:v>3.35</c:v>
                </c:pt>
                <c:pt idx="1">
                  <c:v>3.35</c:v>
                </c:pt>
                <c:pt idx="2">
                  <c:v>0.5</c:v>
                </c:pt>
              </c:numCache>
            </c:numRef>
          </c:yVal>
          <c:smooth val="0"/>
          <c:extLst>
            <c:ext xmlns:c16="http://schemas.microsoft.com/office/drawing/2014/chart" uri="{C3380CC4-5D6E-409C-BE32-E72D297353CC}">
              <c16:uniqueId val="{00000010-B3A6-4215-B35B-617298B85634}"/>
            </c:ext>
          </c:extLst>
        </c:ser>
        <c:ser>
          <c:idx val="13"/>
          <c:order val="11"/>
          <c:tx>
            <c:v>STR1</c:v>
          </c:tx>
          <c:spPr>
            <a:ln w="9525" cap="rnd">
              <a:solidFill>
                <a:schemeClr val="accent2">
                  <a:lumMod val="80000"/>
                  <a:lumOff val="20000"/>
                </a:schemeClr>
              </a:solidFill>
              <a:round/>
            </a:ln>
            <a:effectLst>
              <a:outerShdw blurRad="40000" dist="23000" dir="5400000" rotWithShape="0">
                <a:srgbClr val="000000">
                  <a:alpha val="35000"/>
                </a:srgbClr>
              </a:outerShdw>
            </a:effectLst>
          </c:spPr>
          <c:marker>
            <c:symbol val="none"/>
          </c:marker>
          <c:dPt>
            <c:idx val="1"/>
            <c:marker>
              <c:symbol val="none"/>
            </c:marker>
            <c:bubble3D val="0"/>
            <c:spPr>
              <a:ln w="12700" cap="rnd">
                <a:solidFill>
                  <a:schemeClr val="bg2">
                    <a:lumMod val="75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12-B3A6-4215-B35B-617298B85634}"/>
              </c:ext>
            </c:extLst>
          </c:dPt>
          <c:dLbls>
            <c:dLbl>
              <c:idx val="0"/>
              <c:delete val="1"/>
              <c:extLst>
                <c:ext xmlns:c15="http://schemas.microsoft.com/office/drawing/2012/chart" uri="{CE6537A1-D6FC-4f65-9D91-7224C49458BB}"/>
                <c:ext xmlns:c16="http://schemas.microsoft.com/office/drawing/2014/chart" uri="{C3380CC4-5D6E-409C-BE32-E72D297353CC}">
                  <c16:uniqueId val="{00000013-B3A6-4215-B35B-617298B85634}"/>
                </c:ext>
              </c:extLst>
            </c:dLbl>
            <c:dLbl>
              <c:idx val="1"/>
              <c:layout>
                <c:manualLayout>
                  <c:x val="-0.24803390871405698"/>
                  <c:y val="3.5084804616254678E-5"/>
                </c:manualLayout>
              </c:layout>
              <c:tx>
                <c:rich>
                  <a:bodyPr/>
                  <a:lstStyle/>
                  <a:p>
                    <a:fld id="{B393D860-1174-4A65-88FB-77D2E6FCA860}" type="YVALUE">
                      <a:rPr lang="en-US" sz="800"/>
                      <a:pPr/>
                      <a:t>[VALORE Y]</a:t>
                    </a:fld>
                    <a:r>
                      <a:rPr lang="en-US" sz="800"/>
                      <a:t> Quota  fine primo strato</a:t>
                    </a:r>
                  </a:p>
                </c:rich>
              </c:tx>
              <c:showLegendKey val="0"/>
              <c:showVal val="1"/>
              <c:showCatName val="0"/>
              <c:showSerName val="0"/>
              <c:showPercent val="0"/>
              <c:showBubbleSize val="0"/>
              <c:extLst>
                <c:ext xmlns:c15="http://schemas.microsoft.com/office/drawing/2012/chart" uri="{CE6537A1-D6FC-4f65-9D91-7224C49458BB}">
                  <c15:layout>
                    <c:manualLayout>
                      <c:w val="0.17465564194872302"/>
                      <c:h val="5.4579234972677595E-2"/>
                    </c:manualLayout>
                  </c15:layout>
                  <c15:dlblFieldTable/>
                  <c15:showDataLabelsRange val="0"/>
                </c:ext>
                <c:ext xmlns:c16="http://schemas.microsoft.com/office/drawing/2014/chart" uri="{C3380CC4-5D6E-409C-BE32-E72D297353CC}">
                  <c16:uniqueId val="{00000012-B3A6-4215-B35B-617298B856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muro+tensioni'!$M$109:$M$110</c:f>
              <c:numCache>
                <c:formatCode>General</c:formatCode>
                <c:ptCount val="2"/>
                <c:pt idx="0">
                  <c:v>0.7</c:v>
                </c:pt>
                <c:pt idx="1">
                  <c:v>2</c:v>
                </c:pt>
              </c:numCache>
            </c:numRef>
          </c:xVal>
          <c:yVal>
            <c:numRef>
              <c:f>'geom masse muro+tensioni'!$N$109:$N$110</c:f>
              <c:numCache>
                <c:formatCode>0.00</c:formatCode>
                <c:ptCount val="2"/>
                <c:pt idx="0">
                  <c:v>0.51366666666666694</c:v>
                </c:pt>
                <c:pt idx="1">
                  <c:v>0.51366666666666694</c:v>
                </c:pt>
              </c:numCache>
            </c:numRef>
          </c:yVal>
          <c:smooth val="0"/>
          <c:extLst>
            <c:ext xmlns:c16="http://schemas.microsoft.com/office/drawing/2014/chart" uri="{C3380CC4-5D6E-409C-BE32-E72D297353CC}">
              <c16:uniqueId val="{00000014-B3A6-4215-B35B-617298B85634}"/>
            </c:ext>
          </c:extLst>
        </c:ser>
        <c:ser>
          <c:idx val="15"/>
          <c:order val="12"/>
          <c:tx>
            <c:v>STR2</c:v>
          </c:tx>
          <c:spPr>
            <a:ln w="12700"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5-B3A6-4215-B35B-617298B85634}"/>
                </c:ext>
              </c:extLst>
            </c:dLbl>
            <c:dLbl>
              <c:idx val="1"/>
              <c:layout>
                <c:manualLayout>
                  <c:x val="-0.23383381220801439"/>
                  <c:y val="1.2145533833360592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48FFB3C8-3960-4E4F-A146-2BF339540E19}" type="YVALUE">
                      <a:rPr lang="en-US" sz="800"/>
                      <a:pPr>
                        <a:defRPr/>
                      </a:pPr>
                      <a:t>[VALORE Y]</a:t>
                    </a:fld>
                    <a:r>
                      <a:rPr lang="en-US" sz="800"/>
                      <a:t> Quota fine secondo strato</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6311977715877435"/>
                      <c:h val="7.3236261934208083E-2"/>
                    </c:manualLayout>
                  </c15:layout>
                  <c15:dlblFieldTable/>
                  <c15:showDataLabelsRange val="0"/>
                </c:ext>
                <c:ext xmlns:c16="http://schemas.microsoft.com/office/drawing/2014/chart" uri="{C3380CC4-5D6E-409C-BE32-E72D297353CC}">
                  <c16:uniqueId val="{00000016-B3A6-4215-B35B-617298B856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muro+tensioni'!$M$111:$M$112</c:f>
              <c:numCache>
                <c:formatCode>General</c:formatCode>
                <c:ptCount val="2"/>
                <c:pt idx="0">
                  <c:v>0.7</c:v>
                </c:pt>
                <c:pt idx="1">
                  <c:v>2</c:v>
                </c:pt>
              </c:numCache>
            </c:numRef>
          </c:xVal>
          <c:yVal>
            <c:numRef>
              <c:f>'geom masse muro+tensioni'!$N$111:$N$112</c:f>
              <c:numCache>
                <c:formatCode>0.00</c:formatCode>
                <c:ptCount val="2"/>
                <c:pt idx="0">
                  <c:v>0</c:v>
                </c:pt>
                <c:pt idx="1">
                  <c:v>0</c:v>
                </c:pt>
              </c:numCache>
            </c:numRef>
          </c:yVal>
          <c:smooth val="0"/>
          <c:extLst>
            <c:ext xmlns:c16="http://schemas.microsoft.com/office/drawing/2014/chart" uri="{C3380CC4-5D6E-409C-BE32-E72D297353CC}">
              <c16:uniqueId val="{00000017-B3A6-4215-B35B-617298B85634}"/>
            </c:ext>
          </c:extLst>
        </c:ser>
        <c:ser>
          <c:idx val="16"/>
          <c:order val="13"/>
          <c:tx>
            <c:v>FALDA</c:v>
          </c:tx>
          <c:spPr>
            <a:ln w="12700" cap="rnd">
              <a:solidFill>
                <a:schemeClr val="accent5">
                  <a:lumMod val="80000"/>
                  <a:lumOff val="20000"/>
                </a:schemeClr>
              </a:solidFill>
              <a:prstDash val="lgDashDotDot"/>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B3A6-4215-B35B-617298B85634}"/>
                </c:ext>
              </c:extLst>
            </c:dLbl>
            <c:dLbl>
              <c:idx val="1"/>
              <c:layout>
                <c:manualLayout>
                  <c:x val="-0.23608689930471782"/>
                  <c:y val="-2.1658847398814307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F21C4431-B9B8-45CE-857B-0160241C4149}" type="YVALUE">
                      <a:rPr lang="en-US" sz="800"/>
                      <a:pPr>
                        <a:defRPr/>
                      </a:pPr>
                      <a:t>[VALORE Y]</a:t>
                    </a:fld>
                    <a:r>
                      <a:rPr lang="en-US" sz="800"/>
                      <a:t> Quota</a:t>
                    </a:r>
                    <a:r>
                      <a:rPr lang="en-US" sz="800" baseline="0"/>
                      <a:t> falda</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6768275831816287"/>
                      <c:h val="7.1587276117240334E-2"/>
                    </c:manualLayout>
                  </c15:layout>
                  <c15:dlblFieldTable/>
                  <c15:showDataLabelsRange val="0"/>
                </c:ext>
                <c:ext xmlns:c16="http://schemas.microsoft.com/office/drawing/2014/chart" uri="{C3380CC4-5D6E-409C-BE32-E72D297353CC}">
                  <c16:uniqueId val="{00000019-B3A6-4215-B35B-617298B856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muro+tensioni'!$M$115:$M$116</c:f>
              <c:numCache>
                <c:formatCode>General</c:formatCode>
                <c:ptCount val="2"/>
                <c:pt idx="0">
                  <c:v>0.7</c:v>
                </c:pt>
                <c:pt idx="1">
                  <c:v>2</c:v>
                </c:pt>
              </c:numCache>
            </c:numRef>
          </c:xVal>
          <c:yVal>
            <c:numRef>
              <c:f>'geom masse muro+tensioni'!$N$115:$N$116</c:f>
              <c:numCache>
                <c:formatCode>0.00</c:formatCode>
                <c:ptCount val="2"/>
                <c:pt idx="0">
                  <c:v>-1.9999999999999996</c:v>
                </c:pt>
                <c:pt idx="1">
                  <c:v>-1.9999999999999996</c:v>
                </c:pt>
              </c:numCache>
            </c:numRef>
          </c:yVal>
          <c:smooth val="0"/>
          <c:extLst>
            <c:ext xmlns:c16="http://schemas.microsoft.com/office/drawing/2014/chart" uri="{C3380CC4-5D6E-409C-BE32-E72D297353CC}">
              <c16:uniqueId val="{0000001A-B3A6-4215-B35B-617298B85634}"/>
            </c:ext>
          </c:extLst>
        </c:ser>
        <c:ser>
          <c:idx val="3"/>
          <c:order val="14"/>
          <c:tx>
            <c:v>terreno valle</c:v>
          </c:tx>
          <c:spPr>
            <a:ln w="9525"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BE58-4D04-AF81-B506E05C8AA7}"/>
                </c:ext>
              </c:extLst>
            </c:dLbl>
            <c:dLbl>
              <c:idx val="1"/>
              <c:delete val="1"/>
              <c:extLst>
                <c:ext xmlns:c15="http://schemas.microsoft.com/office/drawing/2012/chart" uri="{CE6537A1-D6FC-4f65-9D91-7224C49458BB}"/>
                <c:ext xmlns:c16="http://schemas.microsoft.com/office/drawing/2014/chart" uri="{C3380CC4-5D6E-409C-BE32-E72D297353CC}">
                  <c16:uniqueId val="{00000007-BE58-4D04-AF81-B506E05C8AA7}"/>
                </c:ext>
              </c:extLst>
            </c:dLbl>
            <c:dLbl>
              <c:idx val="2"/>
              <c:layout>
                <c:manualLayout>
                  <c:x val="-0.21711512732217664"/>
                  <c:y val="3.2786921898301187E-2"/>
                </c:manualLayout>
              </c:layout>
              <c:tx>
                <c:rich>
                  <a:bodyPr/>
                  <a:lstStyle/>
                  <a:p>
                    <a:r>
                      <a:rPr lang="en-US"/>
                      <a:t>Terreno</a:t>
                    </a:r>
                    <a:r>
                      <a:rPr lang="en-US" baseline="0"/>
                      <a:t> di valle</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E58-4D04-AF81-B506E05C8AA7}"/>
                </c:ext>
              </c:extLst>
            </c:dLbl>
            <c:dLbl>
              <c:idx val="3"/>
              <c:delete val="1"/>
              <c:extLst>
                <c:ext xmlns:c15="http://schemas.microsoft.com/office/drawing/2012/chart" uri="{CE6537A1-D6FC-4f65-9D91-7224C49458BB}"/>
                <c:ext xmlns:c16="http://schemas.microsoft.com/office/drawing/2014/chart" uri="{C3380CC4-5D6E-409C-BE32-E72D297353CC}">
                  <c16:uniqueId val="{00000009-BE58-4D04-AF81-B506E05C8A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muro+tensioni'!$O$82:$O$85</c:f>
              <c:numCache>
                <c:formatCode>General</c:formatCode>
                <c:ptCount val="4"/>
                <c:pt idx="0">
                  <c:v>0</c:v>
                </c:pt>
                <c:pt idx="1">
                  <c:v>0</c:v>
                </c:pt>
                <c:pt idx="2">
                  <c:v>0.4</c:v>
                </c:pt>
                <c:pt idx="3">
                  <c:v>0.4</c:v>
                </c:pt>
              </c:numCache>
            </c:numRef>
          </c:xVal>
          <c:yVal>
            <c:numRef>
              <c:f>'geom masse muro+tensioni'!$P$82:$P$85</c:f>
              <c:numCache>
                <c:formatCode>General</c:formatCode>
                <c:ptCount val="4"/>
                <c:pt idx="0">
                  <c:v>0.5</c:v>
                </c:pt>
                <c:pt idx="1">
                  <c:v>0.8</c:v>
                </c:pt>
                <c:pt idx="2">
                  <c:v>0.8</c:v>
                </c:pt>
                <c:pt idx="3">
                  <c:v>0.5</c:v>
                </c:pt>
              </c:numCache>
            </c:numRef>
          </c:yVal>
          <c:smooth val="0"/>
          <c:extLst>
            <c:ext xmlns:c16="http://schemas.microsoft.com/office/drawing/2014/chart" uri="{C3380CC4-5D6E-409C-BE32-E72D297353CC}">
              <c16:uniqueId val="{0000000A-BE58-4D04-AF81-B506E05C8AA7}"/>
            </c:ext>
          </c:extLst>
        </c:ser>
        <c:dLbls>
          <c:showLegendKey val="0"/>
          <c:showVal val="0"/>
          <c:showCatName val="0"/>
          <c:showSerName val="0"/>
          <c:showPercent val="0"/>
          <c:showBubbleSize val="0"/>
        </c:dLbls>
        <c:axId val="637873472"/>
        <c:axId val="637876216"/>
      </c:scatterChart>
      <c:valAx>
        <c:axId val="637872688"/>
        <c:scaling>
          <c:orientation val="minMax"/>
        </c:scaling>
        <c:delete val="1"/>
        <c:axPos val="b"/>
        <c:numFmt formatCode="General" sourceLinked="1"/>
        <c:majorTickMark val="none"/>
        <c:minorTickMark val="none"/>
        <c:tickLblPos val="nextTo"/>
        <c:crossAx val="637870728"/>
        <c:crosses val="autoZero"/>
        <c:crossBetween val="midCat"/>
      </c:valAx>
      <c:valAx>
        <c:axId val="637870728"/>
        <c:scaling>
          <c:orientation val="minMax"/>
        </c:scaling>
        <c:delete val="1"/>
        <c:axPos val="l"/>
        <c:numFmt formatCode="General" sourceLinked="1"/>
        <c:majorTickMark val="none"/>
        <c:minorTickMark val="none"/>
        <c:tickLblPos val="nextTo"/>
        <c:crossAx val="637872688"/>
        <c:crosses val="autoZero"/>
        <c:crossBetween val="midCat"/>
      </c:valAx>
      <c:valAx>
        <c:axId val="637876216"/>
        <c:scaling>
          <c:orientation val="minMax"/>
        </c:scaling>
        <c:delete val="1"/>
        <c:axPos val="r"/>
        <c:numFmt formatCode="0.00" sourceLinked="1"/>
        <c:majorTickMark val="out"/>
        <c:minorTickMark val="none"/>
        <c:tickLblPos val="nextTo"/>
        <c:crossAx val="637873472"/>
        <c:crosses val="max"/>
        <c:crossBetween val="midCat"/>
      </c:valAx>
      <c:valAx>
        <c:axId val="637873472"/>
        <c:scaling>
          <c:orientation val="minMax"/>
        </c:scaling>
        <c:delete val="1"/>
        <c:axPos val="t"/>
        <c:numFmt formatCode="0.00" sourceLinked="1"/>
        <c:majorTickMark val="out"/>
        <c:minorTickMark val="none"/>
        <c:tickLblPos val="nextTo"/>
        <c:crossAx val="637876216"/>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47425465345015"/>
          <c:y val="0.10853595379305908"/>
          <c:w val="0.64022786128994269"/>
          <c:h val="0.76521982203894112"/>
        </c:manualLayout>
      </c:layout>
      <c:scatterChart>
        <c:scatterStyle val="smoothMarker"/>
        <c:varyColors val="0"/>
        <c:ser>
          <c:idx val="4"/>
          <c:order val="9"/>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1.9570304101444542E-3"/>
                  <c:y val="4.0322710100604564E-2"/>
                </c:manualLayout>
              </c:layout>
              <c:tx>
                <c:rich>
                  <a:bodyPr/>
                  <a:lstStyle/>
                  <a:p>
                    <a:r>
                      <a:rPr lang="en-US" b="1" baseline="0">
                        <a:solidFill>
                          <a:srgbClr val="FF0000"/>
                        </a:solidFill>
                      </a:rPr>
                      <a:t>origine degli assi</a:t>
                    </a:r>
                    <a:endParaRPr lang="en-US" b="1">
                      <a:solidFill>
                        <a:srgbClr val="FF0000"/>
                      </a:solidFill>
                    </a:endParaRP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BBE-40F8-82B0-CC81997ED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01-DBBE-40F8-82B0-CC81997EDA13}"/>
            </c:ext>
          </c:extLst>
        </c:ser>
        <c:dLbls>
          <c:showLegendKey val="0"/>
          <c:showVal val="0"/>
          <c:showCatName val="0"/>
          <c:showSerName val="0"/>
          <c:showPercent val="0"/>
          <c:showBubbleSize val="0"/>
        </c:dLbls>
        <c:axId val="637875040"/>
        <c:axId val="637869552"/>
      </c:scatterChar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2-DBBE-40F8-82B0-CC81997EDA13}"/>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3-DBBE-40F8-82B0-CC81997EDA13}"/>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4-DBBE-40F8-82B0-CC81997EDA13}"/>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5-DBBE-40F8-82B0-CC81997EDA13}"/>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6-DBBE-40F8-82B0-CC81997EDA13}"/>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7-DBBE-40F8-82B0-CC81997EDA13}"/>
            </c:ext>
          </c:extLst>
        </c:ser>
        <c:ser>
          <c:idx val="0"/>
          <c:order val="6"/>
          <c:spPr>
            <a:ln w="28575" cap="rnd">
              <a:solidFill>
                <a:schemeClr val="bg1">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8-DBBE-40F8-82B0-CC81997EDA13}"/>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9-DBBE-40F8-82B0-CC81997EDA13}"/>
            </c:ext>
          </c:extLst>
        </c:ser>
        <c:ser>
          <c:idx val="2"/>
          <c:order val="8"/>
          <c:spPr>
            <a:ln w="19050" cap="rnd">
              <a:solidFill>
                <a:schemeClr val="bg1">
                  <a:lumMod val="75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A-DBBE-40F8-82B0-CC81997EDA13}"/>
            </c:ext>
          </c:extLst>
        </c:ser>
        <c:dLbls>
          <c:showLegendKey val="0"/>
          <c:showVal val="0"/>
          <c:showCatName val="0"/>
          <c:showSerName val="0"/>
          <c:showPercent val="0"/>
          <c:showBubbleSize val="0"/>
        </c:dLbls>
        <c:axId val="637875040"/>
        <c:axId val="637869552"/>
      </c:scatterChart>
      <c:scatterChart>
        <c:scatterStyle val="lineMarker"/>
        <c:varyColors val="0"/>
        <c:ser>
          <c:idx val="14"/>
          <c:order val="10"/>
          <c:tx>
            <c:v>terreno</c:v>
          </c:tx>
          <c:spPr>
            <a:ln w="6350"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Pt>
            <c:idx val="1"/>
            <c:marker>
              <c:symbol val="none"/>
            </c:marker>
            <c:bubble3D val="0"/>
            <c:spPr>
              <a:ln w="6350"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C-DBBE-40F8-82B0-CC81997EDA13}"/>
              </c:ext>
            </c:extLst>
          </c:dPt>
          <c:dPt>
            <c:idx val="2"/>
            <c:marker>
              <c:symbol val="none"/>
            </c:marker>
            <c:bubble3D val="0"/>
            <c:spPr>
              <a:ln w="6350" cap="rnd">
                <a:solidFill>
                  <a:schemeClr val="bg2">
                    <a:lumMod val="50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0E-DBBE-40F8-82B0-CC81997EDA13}"/>
              </c:ext>
            </c:extLst>
          </c:dPt>
          <c:dLbls>
            <c:dLbl>
              <c:idx val="0"/>
              <c:delete val="1"/>
              <c:extLst>
                <c:ext xmlns:c15="http://schemas.microsoft.com/office/drawing/2012/chart" uri="{CE6537A1-D6FC-4f65-9D91-7224C49458BB}"/>
                <c:ext xmlns:c16="http://schemas.microsoft.com/office/drawing/2014/chart" uri="{C3380CC4-5D6E-409C-BE32-E72D297353CC}">
                  <c16:uniqueId val="{0000000F-DBBE-40F8-82B0-CC81997EDA13}"/>
                </c:ext>
              </c:extLst>
            </c:dLbl>
            <c:dLbl>
              <c:idx val="1"/>
              <c:layout>
                <c:manualLayout>
                  <c:x val="-0.11140970313238024"/>
                  <c:y val="-7.1502479847064954E-2"/>
                </c:manualLayout>
              </c:layout>
              <c:tx>
                <c:rich>
                  <a:bodyPr/>
                  <a:lstStyle/>
                  <a:p>
                    <a:fld id="{58AF8414-7FE2-4833-9E75-3BDE553A0E06}" type="YVALUE">
                      <a:rPr lang="en-US" sz="800"/>
                      <a:pPr/>
                      <a:t>[VALORE Y]</a:t>
                    </a:fld>
                    <a:r>
                      <a:rPr lang="en-US" sz="800"/>
                      <a:t> Quota massima terreno</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DBBE-40F8-82B0-CC81997EDA13}"/>
                </c:ext>
              </c:extLst>
            </c:dLbl>
            <c:dLbl>
              <c:idx val="2"/>
              <c:delete val="1"/>
              <c:extLst>
                <c:ext xmlns:c15="http://schemas.microsoft.com/office/drawing/2012/chart" uri="{CE6537A1-D6FC-4f65-9D91-7224C49458BB}"/>
                <c:ext xmlns:c16="http://schemas.microsoft.com/office/drawing/2014/chart" uri="{C3380CC4-5D6E-409C-BE32-E72D297353CC}">
                  <c16:uniqueId val="{0000000E-DBBE-40F8-82B0-CC81997ED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muro+tensioni'!$M$82:$M$84</c:f>
              <c:numCache>
                <c:formatCode>0.00</c:formatCode>
                <c:ptCount val="3"/>
                <c:pt idx="0">
                  <c:v>0.7</c:v>
                </c:pt>
                <c:pt idx="1">
                  <c:v>2</c:v>
                </c:pt>
                <c:pt idx="2">
                  <c:v>2</c:v>
                </c:pt>
              </c:numCache>
            </c:numRef>
          </c:xVal>
          <c:yVal>
            <c:numRef>
              <c:f>'geom masse muro+tensioni'!$N$82:$N$84</c:f>
              <c:numCache>
                <c:formatCode>0.00</c:formatCode>
                <c:ptCount val="3"/>
                <c:pt idx="0">
                  <c:v>3.35</c:v>
                </c:pt>
                <c:pt idx="1">
                  <c:v>3.35</c:v>
                </c:pt>
                <c:pt idx="2">
                  <c:v>0.5</c:v>
                </c:pt>
              </c:numCache>
            </c:numRef>
          </c:yVal>
          <c:smooth val="0"/>
          <c:extLst>
            <c:ext xmlns:c16="http://schemas.microsoft.com/office/drawing/2014/chart" uri="{C3380CC4-5D6E-409C-BE32-E72D297353CC}">
              <c16:uniqueId val="{00000010-DBBE-40F8-82B0-CC81997EDA13}"/>
            </c:ext>
          </c:extLst>
        </c:ser>
        <c:ser>
          <c:idx val="13"/>
          <c:order val="11"/>
          <c:tx>
            <c:v>STR1</c:v>
          </c:tx>
          <c:spPr>
            <a:ln w="9525" cap="rnd">
              <a:solidFill>
                <a:schemeClr val="accent2">
                  <a:lumMod val="80000"/>
                  <a:lumOff val="20000"/>
                </a:schemeClr>
              </a:solidFill>
              <a:round/>
            </a:ln>
            <a:effectLst>
              <a:outerShdw blurRad="40000" dist="23000" dir="5400000" rotWithShape="0">
                <a:srgbClr val="000000">
                  <a:alpha val="35000"/>
                </a:srgbClr>
              </a:outerShdw>
            </a:effectLst>
          </c:spPr>
          <c:marker>
            <c:symbol val="none"/>
          </c:marker>
          <c:dPt>
            <c:idx val="1"/>
            <c:marker>
              <c:symbol val="none"/>
            </c:marker>
            <c:bubble3D val="0"/>
            <c:spPr>
              <a:ln w="12700" cap="rnd">
                <a:solidFill>
                  <a:schemeClr val="bg2">
                    <a:lumMod val="75000"/>
                  </a:schemeClr>
                </a:solidFill>
                <a:prstDash val="sysDash"/>
                <a:round/>
              </a:ln>
              <a:effectLst>
                <a:outerShdw blurRad="40000" dist="23000" dir="5400000" rotWithShape="0">
                  <a:srgbClr val="000000">
                    <a:alpha val="35000"/>
                  </a:srgbClr>
                </a:outerShdw>
              </a:effectLst>
            </c:spPr>
            <c:extLst>
              <c:ext xmlns:c16="http://schemas.microsoft.com/office/drawing/2014/chart" uri="{C3380CC4-5D6E-409C-BE32-E72D297353CC}">
                <c16:uniqueId val="{00000012-DBBE-40F8-82B0-CC81997EDA13}"/>
              </c:ext>
            </c:extLst>
          </c:dPt>
          <c:dLbls>
            <c:dLbl>
              <c:idx val="0"/>
              <c:delete val="1"/>
              <c:extLst>
                <c:ext xmlns:c15="http://schemas.microsoft.com/office/drawing/2012/chart" uri="{CE6537A1-D6FC-4f65-9D91-7224C49458BB}"/>
                <c:ext xmlns:c16="http://schemas.microsoft.com/office/drawing/2014/chart" uri="{C3380CC4-5D6E-409C-BE32-E72D297353CC}">
                  <c16:uniqueId val="{00000013-DBBE-40F8-82B0-CC81997EDA13}"/>
                </c:ext>
              </c:extLst>
            </c:dLbl>
            <c:dLbl>
              <c:idx val="1"/>
              <c:layout>
                <c:manualLayout>
                  <c:x val="-0.21112992678581383"/>
                  <c:y val="8.7812877380140722E-4"/>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B393D860-1174-4A65-88FB-77D2E6FCA860}" type="YVALUE">
                      <a:rPr lang="en-US" sz="800"/>
                      <a:pPr>
                        <a:defRPr/>
                      </a:pPr>
                      <a:t>[VALORE Y]</a:t>
                    </a:fld>
                    <a:r>
                      <a:rPr lang="en-US" sz="800"/>
                      <a:t> Quota  fine primo strato</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7465558653703897"/>
                      <c:h val="8.6955997762134557E-2"/>
                    </c:manualLayout>
                  </c15:layout>
                  <c15:dlblFieldTable/>
                  <c15:showDataLabelsRange val="0"/>
                </c:ext>
                <c:ext xmlns:c16="http://schemas.microsoft.com/office/drawing/2014/chart" uri="{C3380CC4-5D6E-409C-BE32-E72D297353CC}">
                  <c16:uniqueId val="{00000012-DBBE-40F8-82B0-CC81997ED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muro+tensioni'!$M$109:$M$110</c:f>
              <c:numCache>
                <c:formatCode>General</c:formatCode>
                <c:ptCount val="2"/>
                <c:pt idx="0">
                  <c:v>0.7</c:v>
                </c:pt>
                <c:pt idx="1">
                  <c:v>2</c:v>
                </c:pt>
              </c:numCache>
            </c:numRef>
          </c:xVal>
          <c:yVal>
            <c:numRef>
              <c:f>'geom masse muro+tensioni'!$N$109:$N$110</c:f>
              <c:numCache>
                <c:formatCode>0.00</c:formatCode>
                <c:ptCount val="2"/>
                <c:pt idx="0">
                  <c:v>0.51366666666666694</c:v>
                </c:pt>
                <c:pt idx="1">
                  <c:v>0.51366666666666694</c:v>
                </c:pt>
              </c:numCache>
            </c:numRef>
          </c:yVal>
          <c:smooth val="0"/>
          <c:extLst>
            <c:ext xmlns:c16="http://schemas.microsoft.com/office/drawing/2014/chart" uri="{C3380CC4-5D6E-409C-BE32-E72D297353CC}">
              <c16:uniqueId val="{00000014-DBBE-40F8-82B0-CC81997EDA13}"/>
            </c:ext>
          </c:extLst>
        </c:ser>
        <c:ser>
          <c:idx val="15"/>
          <c:order val="12"/>
          <c:tx>
            <c:v>STR2</c:v>
          </c:tx>
          <c:spPr>
            <a:ln w="12700"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5-DBBE-40F8-82B0-CC81997EDA13}"/>
                </c:ext>
              </c:extLst>
            </c:dLbl>
            <c:dLbl>
              <c:idx val="1"/>
              <c:layout>
                <c:manualLayout>
                  <c:x val="-0.20013533036073147"/>
                  <c:y val="-1.2735674594156206E-4"/>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48FFB3C8-3960-4E4F-A146-2BF339540E19}" type="YVALUE">
                      <a:rPr lang="en-US" sz="800"/>
                      <a:pPr>
                        <a:defRPr/>
                      </a:pPr>
                      <a:t>[VALORE Y]</a:t>
                    </a:fld>
                    <a:r>
                      <a:rPr lang="en-US" sz="800"/>
                      <a:t> Quota fine secondo strato</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5059222225528529"/>
                      <c:h val="9.2803510500771069E-2"/>
                    </c:manualLayout>
                  </c15:layout>
                  <c15:dlblFieldTable/>
                  <c15:showDataLabelsRange val="0"/>
                </c:ext>
                <c:ext xmlns:c16="http://schemas.microsoft.com/office/drawing/2014/chart" uri="{C3380CC4-5D6E-409C-BE32-E72D297353CC}">
                  <c16:uniqueId val="{00000016-DBBE-40F8-82B0-CC81997ED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muro+tensioni'!$M$111:$M$112</c:f>
              <c:numCache>
                <c:formatCode>General</c:formatCode>
                <c:ptCount val="2"/>
                <c:pt idx="0">
                  <c:v>0.7</c:v>
                </c:pt>
                <c:pt idx="1">
                  <c:v>2</c:v>
                </c:pt>
              </c:numCache>
            </c:numRef>
          </c:xVal>
          <c:yVal>
            <c:numRef>
              <c:f>'geom masse muro+tensioni'!$N$111:$N$112</c:f>
              <c:numCache>
                <c:formatCode>0.00</c:formatCode>
                <c:ptCount val="2"/>
                <c:pt idx="0">
                  <c:v>0</c:v>
                </c:pt>
                <c:pt idx="1">
                  <c:v>0</c:v>
                </c:pt>
              </c:numCache>
            </c:numRef>
          </c:yVal>
          <c:smooth val="0"/>
          <c:extLst>
            <c:ext xmlns:c16="http://schemas.microsoft.com/office/drawing/2014/chart" uri="{C3380CC4-5D6E-409C-BE32-E72D297353CC}">
              <c16:uniqueId val="{00000017-DBBE-40F8-82B0-CC81997EDA13}"/>
            </c:ext>
          </c:extLst>
        </c:ser>
        <c:ser>
          <c:idx val="16"/>
          <c:order val="13"/>
          <c:tx>
            <c:v>FALDA</c:v>
          </c:tx>
          <c:spPr>
            <a:ln w="12700" cap="rnd">
              <a:solidFill>
                <a:schemeClr val="accent5">
                  <a:lumMod val="80000"/>
                  <a:lumOff val="20000"/>
                </a:schemeClr>
              </a:solidFill>
              <a:prstDash val="lgDashDotDot"/>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DBBE-40F8-82B0-CC81997EDA13}"/>
                </c:ext>
              </c:extLst>
            </c:dLbl>
            <c:dLbl>
              <c:idx val="1"/>
              <c:layout>
                <c:manualLayout>
                  <c:x val="-0.21282847159675994"/>
                  <c:y val="-4.3578466104300627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F21C4431-B9B8-45CE-857B-0160241C4149}" type="YVALUE">
                      <a:rPr lang="en-US" sz="800"/>
                      <a:pPr>
                        <a:defRPr/>
                      </a:pPr>
                      <a:t>[VALORE Y]</a:t>
                    </a:fld>
                    <a:r>
                      <a:rPr lang="en-US" sz="800"/>
                      <a:t> Quota</a:t>
                    </a:r>
                    <a:r>
                      <a:rPr lang="en-US" sz="800" baseline="0"/>
                      <a:t> falda</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7635402657068508"/>
                      <c:h val="5.2288551148991863E-2"/>
                    </c:manualLayout>
                  </c15:layout>
                  <c15:dlblFieldTable/>
                  <c15:showDataLabelsRange val="0"/>
                </c:ext>
                <c:ext xmlns:c16="http://schemas.microsoft.com/office/drawing/2014/chart" uri="{C3380CC4-5D6E-409C-BE32-E72D297353CC}">
                  <c16:uniqueId val="{00000019-DBBE-40F8-82B0-CC81997ED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muro+tensioni'!$M$115:$M$116</c:f>
              <c:numCache>
                <c:formatCode>General</c:formatCode>
                <c:ptCount val="2"/>
                <c:pt idx="0">
                  <c:v>0.7</c:v>
                </c:pt>
                <c:pt idx="1">
                  <c:v>2</c:v>
                </c:pt>
              </c:numCache>
            </c:numRef>
          </c:xVal>
          <c:yVal>
            <c:numRef>
              <c:f>'geom masse muro+tensioni'!$N$115:$N$116</c:f>
              <c:numCache>
                <c:formatCode>0.00</c:formatCode>
                <c:ptCount val="2"/>
                <c:pt idx="0">
                  <c:v>-1.9999999999999996</c:v>
                </c:pt>
                <c:pt idx="1">
                  <c:v>-1.9999999999999996</c:v>
                </c:pt>
              </c:numCache>
            </c:numRef>
          </c:yVal>
          <c:smooth val="0"/>
          <c:extLst>
            <c:ext xmlns:c16="http://schemas.microsoft.com/office/drawing/2014/chart" uri="{C3380CC4-5D6E-409C-BE32-E72D297353CC}">
              <c16:uniqueId val="{0000001A-DBBE-40F8-82B0-CC81997EDA13}"/>
            </c:ext>
          </c:extLst>
        </c:ser>
        <c:ser>
          <c:idx val="3"/>
          <c:order val="14"/>
          <c:tx>
            <c:v>terreno valle</c:v>
          </c:tx>
          <c:spPr>
            <a:ln w="9525" cap="rnd">
              <a:solidFill>
                <a:schemeClr val="bg2">
                  <a:lumMod val="50000"/>
                </a:schemeClr>
              </a:solidFill>
              <a:prstDash val="sysDash"/>
              <a:round/>
            </a:ln>
            <a:effectLst>
              <a:outerShdw blurRad="40000" dist="23000" dir="5400000" rotWithShape="0">
                <a:srgbClr val="000000">
                  <a:alpha val="35000"/>
                </a:srgbClr>
              </a:outerShdw>
            </a:effectLst>
          </c:spPr>
          <c:marker>
            <c:symbol val="none"/>
          </c:marker>
          <c:xVal>
            <c:numRef>
              <c:f>'geom masse muro+tensioni'!$O$82:$O$85</c:f>
              <c:numCache>
                <c:formatCode>General</c:formatCode>
                <c:ptCount val="4"/>
                <c:pt idx="0">
                  <c:v>0</c:v>
                </c:pt>
                <c:pt idx="1">
                  <c:v>0</c:v>
                </c:pt>
                <c:pt idx="2">
                  <c:v>0.4</c:v>
                </c:pt>
                <c:pt idx="3">
                  <c:v>0.4</c:v>
                </c:pt>
              </c:numCache>
            </c:numRef>
          </c:xVal>
          <c:yVal>
            <c:numRef>
              <c:f>'geom masse muro+tensioni'!$P$82:$P$85</c:f>
              <c:numCache>
                <c:formatCode>General</c:formatCode>
                <c:ptCount val="4"/>
                <c:pt idx="0">
                  <c:v>0.5</c:v>
                </c:pt>
                <c:pt idx="1">
                  <c:v>0.8</c:v>
                </c:pt>
                <c:pt idx="2">
                  <c:v>0.8</c:v>
                </c:pt>
                <c:pt idx="3">
                  <c:v>0.5</c:v>
                </c:pt>
              </c:numCache>
            </c:numRef>
          </c:yVal>
          <c:smooth val="0"/>
          <c:extLst>
            <c:ext xmlns:c16="http://schemas.microsoft.com/office/drawing/2014/chart" uri="{C3380CC4-5D6E-409C-BE32-E72D297353CC}">
              <c16:uniqueId val="{00000006-91B8-49B3-9676-8C81E469241D}"/>
            </c:ext>
          </c:extLst>
        </c:ser>
        <c:dLbls>
          <c:showLegendKey val="0"/>
          <c:showVal val="0"/>
          <c:showCatName val="0"/>
          <c:showSerName val="0"/>
          <c:showPercent val="0"/>
          <c:showBubbleSize val="0"/>
        </c:dLbls>
        <c:axId val="637870336"/>
        <c:axId val="637875432"/>
      </c:scatterChart>
      <c:valAx>
        <c:axId val="637875040"/>
        <c:scaling>
          <c:orientation val="minMax"/>
        </c:scaling>
        <c:delete val="1"/>
        <c:axPos val="b"/>
        <c:numFmt formatCode="General" sourceLinked="1"/>
        <c:majorTickMark val="none"/>
        <c:minorTickMark val="none"/>
        <c:tickLblPos val="nextTo"/>
        <c:crossAx val="637869552"/>
        <c:crosses val="autoZero"/>
        <c:crossBetween val="midCat"/>
      </c:valAx>
      <c:valAx>
        <c:axId val="637869552"/>
        <c:scaling>
          <c:orientation val="minMax"/>
        </c:scaling>
        <c:delete val="1"/>
        <c:axPos val="l"/>
        <c:numFmt formatCode="General" sourceLinked="1"/>
        <c:majorTickMark val="none"/>
        <c:minorTickMark val="none"/>
        <c:tickLblPos val="nextTo"/>
        <c:crossAx val="637875040"/>
        <c:crosses val="autoZero"/>
        <c:crossBetween val="midCat"/>
      </c:valAx>
      <c:valAx>
        <c:axId val="637875432"/>
        <c:scaling>
          <c:orientation val="minMax"/>
        </c:scaling>
        <c:delete val="1"/>
        <c:axPos val="r"/>
        <c:numFmt formatCode="0.00" sourceLinked="1"/>
        <c:majorTickMark val="out"/>
        <c:minorTickMark val="none"/>
        <c:tickLblPos val="nextTo"/>
        <c:crossAx val="637870336"/>
        <c:crosses val="max"/>
        <c:crossBetween val="midCat"/>
      </c:valAx>
      <c:valAx>
        <c:axId val="637870336"/>
        <c:scaling>
          <c:orientation val="minMax"/>
        </c:scaling>
        <c:delete val="1"/>
        <c:axPos val="t"/>
        <c:numFmt formatCode="0.00" sourceLinked="1"/>
        <c:majorTickMark val="out"/>
        <c:minorTickMark val="none"/>
        <c:tickLblPos val="nextTo"/>
        <c:crossAx val="637875432"/>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TENSIONI</a:t>
            </a:r>
            <a:r>
              <a:rPr lang="it-IT" baseline="0"/>
              <a:t> ORIZZONTALI</a:t>
            </a:r>
            <a:endParaRPr lang="it-IT"/>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2453035883664494"/>
          <c:y val="0.1121764643976331"/>
          <c:w val="0.78969535993629536"/>
          <c:h val="0.84744072316073094"/>
        </c:manualLayout>
      </c:layout>
      <c:scatterChart>
        <c:scatterStyle val="lineMarker"/>
        <c:varyColors val="0"/>
        <c:ser>
          <c:idx val="0"/>
          <c:order val="0"/>
          <c:tx>
            <c:v>COND. NON DRENATE</c:v>
          </c:tx>
          <c:spPr>
            <a:ln w="19050" cap="rnd">
              <a:solidFill>
                <a:schemeClr val="accent1"/>
              </a:solidFill>
              <a:round/>
            </a:ln>
            <a:effectLst/>
          </c:spPr>
          <c:marker>
            <c:symbol val="none"/>
          </c:marker>
          <c:xVal>
            <c:numRef>
              <c:f>'FOGLIO DEPOSITO'!$P$166:$P$174</c:f>
              <c:numCache>
                <c:formatCode>0.00</c:formatCode>
                <c:ptCount val="9"/>
                <c:pt idx="0">
                  <c:v>1.5608815691514315</c:v>
                </c:pt>
                <c:pt idx="1">
                  <c:v>20.871849252015398</c:v>
                </c:pt>
                <c:pt idx="2">
                  <c:v>20.871849252015398</c:v>
                </c:pt>
                <c:pt idx="3">
                  <c:v>20.871849252015398</c:v>
                </c:pt>
                <c:pt idx="4">
                  <c:v>24.11930669699646</c:v>
                </c:pt>
                <c:pt idx="5">
                  <c:v>24.11930669699646</c:v>
                </c:pt>
                <c:pt idx="6">
                  <c:v>24.11930669699646</c:v>
                </c:pt>
                <c:pt idx="7">
                  <c:v>24.11930669699646</c:v>
                </c:pt>
                <c:pt idx="8">
                  <c:v>24.11930669699646</c:v>
                </c:pt>
              </c:numCache>
            </c:numRef>
          </c:xVal>
          <c:yVal>
            <c:numRef>
              <c:f>'FOGLIO DEPOSITO'!$O$166:$O$174</c:f>
              <c:numCache>
                <c:formatCode>0.00" m"</c:formatCode>
                <c:ptCount val="9"/>
                <c:pt idx="0">
                  <c:v>0</c:v>
                </c:pt>
                <c:pt idx="1">
                  <c:v>2.8363333333333332</c:v>
                </c:pt>
                <c:pt idx="2">
                  <c:v>2.8363333333333332</c:v>
                </c:pt>
                <c:pt idx="3">
                  <c:v>2.8363333333333332</c:v>
                </c:pt>
                <c:pt idx="4">
                  <c:v>3.35</c:v>
                </c:pt>
                <c:pt idx="5">
                  <c:v>3.35</c:v>
                </c:pt>
                <c:pt idx="6">
                  <c:v>3.35</c:v>
                </c:pt>
                <c:pt idx="7">
                  <c:v>3.35</c:v>
                </c:pt>
                <c:pt idx="8">
                  <c:v>3.35</c:v>
                </c:pt>
              </c:numCache>
            </c:numRef>
          </c:yVal>
          <c:smooth val="0"/>
          <c:extLst>
            <c:ext xmlns:c16="http://schemas.microsoft.com/office/drawing/2014/chart" uri="{C3380CC4-5D6E-409C-BE32-E72D297353CC}">
              <c16:uniqueId val="{00000000-F17B-4663-977D-C0A8A015D2E4}"/>
            </c:ext>
          </c:extLst>
        </c:ser>
        <c:ser>
          <c:idx val="1"/>
          <c:order val="1"/>
          <c:tx>
            <c:v>COND. DRENATE</c:v>
          </c:tx>
          <c:spPr>
            <a:ln w="19050" cap="rnd">
              <a:solidFill>
                <a:schemeClr val="bg2">
                  <a:lumMod val="25000"/>
                </a:schemeClr>
              </a:solidFill>
              <a:round/>
            </a:ln>
            <a:effectLst/>
          </c:spPr>
          <c:marker>
            <c:symbol val="none"/>
          </c:marker>
          <c:xVal>
            <c:numRef>
              <c:f>'FOGLIO DEPOSITO'!$T$166:$T$174</c:f>
              <c:numCache>
                <c:formatCode>0.00</c:formatCode>
                <c:ptCount val="9"/>
                <c:pt idx="0">
                  <c:v>1.5608815691514315</c:v>
                </c:pt>
                <c:pt idx="1">
                  <c:v>20.871849252015398</c:v>
                </c:pt>
                <c:pt idx="2">
                  <c:v>20.871849252015398</c:v>
                </c:pt>
                <c:pt idx="3">
                  <c:v>23.47948034475635</c:v>
                </c:pt>
                <c:pt idx="4">
                  <c:v>27.132659913524215</c:v>
                </c:pt>
                <c:pt idx="5">
                  <c:v>27.132659913524215</c:v>
                </c:pt>
                <c:pt idx="6">
                  <c:v>27.132659913524215</c:v>
                </c:pt>
                <c:pt idx="7">
                  <c:v>27.132659913524215</c:v>
                </c:pt>
                <c:pt idx="8">
                  <c:v>27.132659913524215</c:v>
                </c:pt>
              </c:numCache>
            </c:numRef>
          </c:xVal>
          <c:yVal>
            <c:numRef>
              <c:f>'FOGLIO DEPOSITO'!$S$166:$S$174</c:f>
              <c:numCache>
                <c:formatCode>0.00" m"</c:formatCode>
                <c:ptCount val="9"/>
                <c:pt idx="0">
                  <c:v>0</c:v>
                </c:pt>
                <c:pt idx="1">
                  <c:v>2.8363333333333332</c:v>
                </c:pt>
                <c:pt idx="2">
                  <c:v>2.8363333333333332</c:v>
                </c:pt>
                <c:pt idx="3">
                  <c:v>2.8363333333333332</c:v>
                </c:pt>
                <c:pt idx="4">
                  <c:v>3.35</c:v>
                </c:pt>
                <c:pt idx="5">
                  <c:v>3.35</c:v>
                </c:pt>
                <c:pt idx="6">
                  <c:v>3.35</c:v>
                </c:pt>
                <c:pt idx="7">
                  <c:v>3.35</c:v>
                </c:pt>
                <c:pt idx="8">
                  <c:v>3.35</c:v>
                </c:pt>
              </c:numCache>
            </c:numRef>
          </c:yVal>
          <c:smooth val="0"/>
          <c:extLst>
            <c:ext xmlns:c16="http://schemas.microsoft.com/office/drawing/2014/chart" uri="{C3380CC4-5D6E-409C-BE32-E72D297353CC}">
              <c16:uniqueId val="{00000001-F17B-4663-977D-C0A8A015D2E4}"/>
            </c:ext>
          </c:extLst>
        </c:ser>
        <c:ser>
          <c:idx val="2"/>
          <c:order val="2"/>
          <c:tx>
            <c:v>COND NON DRENATE +sovracq</c:v>
          </c:tx>
          <c:spPr>
            <a:ln w="19050" cap="rnd">
              <a:solidFill>
                <a:srgbClr val="00B0F0"/>
              </a:solidFill>
              <a:prstDash val="sysDash"/>
              <a:round/>
            </a:ln>
            <a:effectLst/>
          </c:spPr>
          <c:marker>
            <c:symbol val="none"/>
          </c:marker>
          <c:xVal>
            <c:numRef>
              <c:f>'FOGLIO DEPOSITO'!$X$166:$X$174</c:f>
              <c:numCache>
                <c:formatCode>0.00</c:formatCode>
                <c:ptCount val="9"/>
                <c:pt idx="0">
                  <c:v>1.5608815691514315</c:v>
                </c:pt>
                <c:pt idx="1">
                  <c:v>20.871849252015398</c:v>
                </c:pt>
                <c:pt idx="2">
                  <c:v>20.871849252015398</c:v>
                </c:pt>
                <c:pt idx="3">
                  <c:v>20.871849252015398</c:v>
                </c:pt>
                <c:pt idx="4">
                  <c:v>24.11930669699646</c:v>
                </c:pt>
                <c:pt idx="5">
                  <c:v>24.11930669699646</c:v>
                </c:pt>
                <c:pt idx="6">
                  <c:v>24.11930669699646</c:v>
                </c:pt>
                <c:pt idx="7">
                  <c:v>24.11930669699646</c:v>
                </c:pt>
                <c:pt idx="8">
                  <c:v>24.11930669699646</c:v>
                </c:pt>
              </c:numCache>
            </c:numRef>
          </c:xVal>
          <c:yVal>
            <c:numRef>
              <c:f>'FOGLIO DEPOSITO'!$V$166:$V$174</c:f>
              <c:numCache>
                <c:formatCode>0.00" m"</c:formatCode>
                <c:ptCount val="9"/>
                <c:pt idx="0">
                  <c:v>0</c:v>
                </c:pt>
                <c:pt idx="1">
                  <c:v>2.8363333333333332</c:v>
                </c:pt>
                <c:pt idx="2">
                  <c:v>2.8363333333333332</c:v>
                </c:pt>
                <c:pt idx="3">
                  <c:v>2.8363333333333332</c:v>
                </c:pt>
                <c:pt idx="4">
                  <c:v>3.35</c:v>
                </c:pt>
                <c:pt idx="5">
                  <c:v>3.35</c:v>
                </c:pt>
                <c:pt idx="6">
                  <c:v>3.35</c:v>
                </c:pt>
                <c:pt idx="7">
                  <c:v>3.35</c:v>
                </c:pt>
                <c:pt idx="8">
                  <c:v>3.35</c:v>
                </c:pt>
              </c:numCache>
            </c:numRef>
          </c:yVal>
          <c:smooth val="0"/>
          <c:extLst>
            <c:ext xmlns:c16="http://schemas.microsoft.com/office/drawing/2014/chart" uri="{C3380CC4-5D6E-409C-BE32-E72D297353CC}">
              <c16:uniqueId val="{00000002-F17B-4663-977D-C0A8A015D2E4}"/>
            </c:ext>
          </c:extLst>
        </c:ser>
        <c:ser>
          <c:idx val="3"/>
          <c:order val="3"/>
          <c:tx>
            <c:v>COND DRENATE +sovracq</c:v>
          </c:tx>
          <c:spPr>
            <a:ln w="19050" cap="rnd">
              <a:solidFill>
                <a:schemeClr val="tx1"/>
              </a:solidFill>
              <a:prstDash val="sysDash"/>
              <a:round/>
            </a:ln>
            <a:effectLst/>
          </c:spPr>
          <c:marker>
            <c:symbol val="none"/>
          </c:marker>
          <c:xVal>
            <c:numRef>
              <c:f>'FOGLIO DEPOSITO'!$AB$166:$AB$174</c:f>
              <c:numCache>
                <c:formatCode>0.00</c:formatCode>
                <c:ptCount val="9"/>
                <c:pt idx="0">
                  <c:v>1.5608815691514315</c:v>
                </c:pt>
                <c:pt idx="1">
                  <c:v>20.871849252015398</c:v>
                </c:pt>
                <c:pt idx="2">
                  <c:v>20.871849252015398</c:v>
                </c:pt>
                <c:pt idx="3">
                  <c:v>23.47948034475635</c:v>
                </c:pt>
                <c:pt idx="4">
                  <c:v>27.132659913524215</c:v>
                </c:pt>
                <c:pt idx="5">
                  <c:v>27.132659913524215</c:v>
                </c:pt>
                <c:pt idx="6">
                  <c:v>27.132659913524215</c:v>
                </c:pt>
                <c:pt idx="7">
                  <c:v>27.132659913524215</c:v>
                </c:pt>
                <c:pt idx="8">
                  <c:v>27.132659913524215</c:v>
                </c:pt>
              </c:numCache>
            </c:numRef>
          </c:xVal>
          <c:yVal>
            <c:numRef>
              <c:f>'FOGLIO DEPOSITO'!$Z$166:$Z$174</c:f>
              <c:numCache>
                <c:formatCode>0.00" m"</c:formatCode>
                <c:ptCount val="9"/>
                <c:pt idx="0">
                  <c:v>0</c:v>
                </c:pt>
                <c:pt idx="1">
                  <c:v>2.8363333333333332</c:v>
                </c:pt>
                <c:pt idx="2">
                  <c:v>2.8363333333333332</c:v>
                </c:pt>
                <c:pt idx="3">
                  <c:v>2.8363333333333332</c:v>
                </c:pt>
                <c:pt idx="4">
                  <c:v>3.35</c:v>
                </c:pt>
                <c:pt idx="5">
                  <c:v>3.35</c:v>
                </c:pt>
                <c:pt idx="6">
                  <c:v>3.35</c:v>
                </c:pt>
                <c:pt idx="7">
                  <c:v>3.35</c:v>
                </c:pt>
                <c:pt idx="8">
                  <c:v>3.35</c:v>
                </c:pt>
              </c:numCache>
            </c:numRef>
          </c:yVal>
          <c:smooth val="0"/>
          <c:extLst>
            <c:ext xmlns:c16="http://schemas.microsoft.com/office/drawing/2014/chart" uri="{C3380CC4-5D6E-409C-BE32-E72D297353CC}">
              <c16:uniqueId val="{00000003-F17B-4663-977D-C0A8A015D2E4}"/>
            </c:ext>
          </c:extLst>
        </c:ser>
        <c:dLbls>
          <c:showLegendKey val="0"/>
          <c:showVal val="0"/>
          <c:showCatName val="0"/>
          <c:showSerName val="0"/>
          <c:showPercent val="0"/>
          <c:showBubbleSize val="0"/>
        </c:dLbls>
        <c:axId val="638502512"/>
        <c:axId val="638503296"/>
      </c:scatterChart>
      <c:valAx>
        <c:axId val="638502512"/>
        <c:scaling>
          <c:orientation val="minMax"/>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8503296"/>
        <c:crosses val="autoZero"/>
        <c:crossBetween val="midCat"/>
      </c:valAx>
      <c:valAx>
        <c:axId val="638503296"/>
        <c:scaling>
          <c:orientation val="maxMin"/>
        </c:scaling>
        <c:delete val="0"/>
        <c:axPos val="l"/>
        <c:majorGridlines>
          <c:spPr>
            <a:ln w="9525" cap="flat" cmpd="sng" algn="ctr">
              <a:solidFill>
                <a:schemeClr val="tx1">
                  <a:lumMod val="15000"/>
                  <a:lumOff val="85000"/>
                </a:schemeClr>
              </a:solidFill>
              <a:round/>
            </a:ln>
            <a:effectLst/>
          </c:spPr>
        </c:majorGridlines>
        <c:numFmt formatCode="0.00&quot; m&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8502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TENSIONI</a:t>
            </a:r>
            <a:r>
              <a:rPr lang="it-IT" baseline="0"/>
              <a:t> VERTICALI</a:t>
            </a:r>
            <a:endParaRPr lang="it-IT"/>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0.1186538209669899"/>
          <c:y val="0.10574042419417314"/>
          <c:w val="0.78969535993629536"/>
          <c:h val="0.81082657612885434"/>
        </c:manualLayout>
      </c:layout>
      <c:scatterChart>
        <c:scatterStyle val="lineMarker"/>
        <c:varyColors val="0"/>
        <c:ser>
          <c:idx val="0"/>
          <c:order val="0"/>
          <c:tx>
            <c:v>COND. NON DRENATE (tensioni totali)</c:v>
          </c:tx>
          <c:spPr>
            <a:ln w="19050" cap="rnd">
              <a:solidFill>
                <a:schemeClr val="accent1"/>
              </a:solidFill>
              <a:round/>
            </a:ln>
            <a:effectLst/>
          </c:spPr>
          <c:marker>
            <c:symbol val="none"/>
          </c:marker>
          <c:xVal>
            <c:numRef>
              <c:f>'FOGLIO DEPOSITO'!$N$166:$N$174</c:f>
              <c:numCache>
                <c:formatCode>0.00</c:formatCode>
                <c:ptCount val="9"/>
                <c:pt idx="0">
                  <c:v>5</c:v>
                </c:pt>
                <c:pt idx="1">
                  <c:v>64.562999999999988</c:v>
                </c:pt>
                <c:pt idx="2">
                  <c:v>64.562999999999988</c:v>
                </c:pt>
                <c:pt idx="3">
                  <c:v>64.562999999999988</c:v>
                </c:pt>
                <c:pt idx="4">
                  <c:v>74.579499999999996</c:v>
                </c:pt>
                <c:pt idx="5">
                  <c:v>74.579499999999996</c:v>
                </c:pt>
                <c:pt idx="6">
                  <c:v>74.579499999999996</c:v>
                </c:pt>
                <c:pt idx="7">
                  <c:v>74.579499999999996</c:v>
                </c:pt>
                <c:pt idx="8">
                  <c:v>74.579499999999996</c:v>
                </c:pt>
              </c:numCache>
            </c:numRef>
          </c:xVal>
          <c:yVal>
            <c:numRef>
              <c:f>'FOGLIO DEPOSITO'!$M$166:$M$174</c:f>
              <c:numCache>
                <c:formatCode>0.00" m"</c:formatCode>
                <c:ptCount val="9"/>
                <c:pt idx="0">
                  <c:v>0</c:v>
                </c:pt>
                <c:pt idx="1">
                  <c:v>2.8363333333333332</c:v>
                </c:pt>
                <c:pt idx="2">
                  <c:v>2.8363333333333332</c:v>
                </c:pt>
                <c:pt idx="3">
                  <c:v>2.8363333333333332</c:v>
                </c:pt>
                <c:pt idx="4">
                  <c:v>3.35</c:v>
                </c:pt>
                <c:pt idx="5">
                  <c:v>3.35</c:v>
                </c:pt>
                <c:pt idx="6">
                  <c:v>3.35</c:v>
                </c:pt>
                <c:pt idx="7">
                  <c:v>3.35</c:v>
                </c:pt>
                <c:pt idx="8">
                  <c:v>3.35</c:v>
                </c:pt>
              </c:numCache>
            </c:numRef>
          </c:yVal>
          <c:smooth val="0"/>
          <c:extLst>
            <c:ext xmlns:c16="http://schemas.microsoft.com/office/drawing/2014/chart" uri="{C3380CC4-5D6E-409C-BE32-E72D297353CC}">
              <c16:uniqueId val="{00000000-D200-49C6-A642-30AACDE6E4E8}"/>
            </c:ext>
          </c:extLst>
        </c:ser>
        <c:ser>
          <c:idx val="1"/>
          <c:order val="1"/>
          <c:tx>
            <c:v>COND. DRENATE (tensioni efficaci)</c:v>
          </c:tx>
          <c:spPr>
            <a:ln w="19050" cap="rnd">
              <a:solidFill>
                <a:schemeClr val="bg2">
                  <a:lumMod val="25000"/>
                </a:schemeClr>
              </a:solidFill>
              <a:round/>
            </a:ln>
            <a:effectLst/>
          </c:spPr>
          <c:marker>
            <c:symbol val="none"/>
          </c:marker>
          <c:xVal>
            <c:numRef>
              <c:f>'FOGLIO DEPOSITO'!$R$166:$R$174</c:f>
              <c:numCache>
                <c:formatCode>0.00</c:formatCode>
                <c:ptCount val="9"/>
                <c:pt idx="0">
                  <c:v>5</c:v>
                </c:pt>
                <c:pt idx="1">
                  <c:v>64.562999999999988</c:v>
                </c:pt>
                <c:pt idx="2">
                  <c:v>64.562999999999988</c:v>
                </c:pt>
                <c:pt idx="3">
                  <c:v>64.562999999999988</c:v>
                </c:pt>
                <c:pt idx="4">
                  <c:v>74.579499999999996</c:v>
                </c:pt>
                <c:pt idx="5">
                  <c:v>74.579499999999996</c:v>
                </c:pt>
                <c:pt idx="6">
                  <c:v>74.579499999999996</c:v>
                </c:pt>
                <c:pt idx="7">
                  <c:v>74.579499999999996</c:v>
                </c:pt>
                <c:pt idx="8">
                  <c:v>74.579499999999996</c:v>
                </c:pt>
              </c:numCache>
            </c:numRef>
          </c:xVal>
          <c:yVal>
            <c:numRef>
              <c:f>'FOGLIO DEPOSITO'!$Q$166:$Q$174</c:f>
              <c:numCache>
                <c:formatCode>0.00" m"</c:formatCode>
                <c:ptCount val="9"/>
                <c:pt idx="0">
                  <c:v>0</c:v>
                </c:pt>
                <c:pt idx="1">
                  <c:v>2.8363333333333332</c:v>
                </c:pt>
                <c:pt idx="2">
                  <c:v>2.8363333333333332</c:v>
                </c:pt>
                <c:pt idx="3">
                  <c:v>2.8363333333333332</c:v>
                </c:pt>
                <c:pt idx="4">
                  <c:v>3.35</c:v>
                </c:pt>
                <c:pt idx="5">
                  <c:v>3.35</c:v>
                </c:pt>
                <c:pt idx="6">
                  <c:v>3.35</c:v>
                </c:pt>
                <c:pt idx="7">
                  <c:v>3.35</c:v>
                </c:pt>
                <c:pt idx="8">
                  <c:v>3.35</c:v>
                </c:pt>
              </c:numCache>
            </c:numRef>
          </c:yVal>
          <c:smooth val="0"/>
          <c:extLst>
            <c:ext xmlns:c16="http://schemas.microsoft.com/office/drawing/2014/chart" uri="{C3380CC4-5D6E-409C-BE32-E72D297353CC}">
              <c16:uniqueId val="{00000001-D200-49C6-A642-30AACDE6E4E8}"/>
            </c:ext>
          </c:extLst>
        </c:ser>
        <c:dLbls>
          <c:showLegendKey val="0"/>
          <c:showVal val="0"/>
          <c:showCatName val="0"/>
          <c:showSerName val="0"/>
          <c:showPercent val="0"/>
          <c:showBubbleSize val="0"/>
        </c:dLbls>
        <c:axId val="638502120"/>
        <c:axId val="638497808"/>
      </c:scatterChart>
      <c:valAx>
        <c:axId val="638502120"/>
        <c:scaling>
          <c:orientation val="minMax"/>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8497808"/>
        <c:crosses val="autoZero"/>
        <c:crossBetween val="midCat"/>
      </c:valAx>
      <c:valAx>
        <c:axId val="638497808"/>
        <c:scaling>
          <c:orientation val="maxMin"/>
        </c:scaling>
        <c:delete val="0"/>
        <c:axPos val="l"/>
        <c:majorGridlines>
          <c:spPr>
            <a:ln w="9525" cap="flat" cmpd="sng" algn="ctr">
              <a:solidFill>
                <a:schemeClr val="tx1">
                  <a:lumMod val="15000"/>
                  <a:lumOff val="85000"/>
                </a:schemeClr>
              </a:solidFill>
              <a:round/>
            </a:ln>
            <a:effectLst/>
          </c:spPr>
        </c:majorGridlines>
        <c:numFmt formatCode="0.00&quot; m&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38502120"/>
        <c:crosses val="autoZero"/>
        <c:crossBetween val="midCat"/>
      </c:valAx>
      <c:spPr>
        <a:noFill/>
        <a:ln>
          <a:noFill/>
        </a:ln>
        <a:effectLst/>
      </c:spPr>
    </c:plotArea>
    <c:legend>
      <c:legendPos val="r"/>
      <c:layout>
        <c:manualLayout>
          <c:xMode val="edge"/>
          <c:yMode val="edge"/>
          <c:x val="0.10268804482341265"/>
          <c:y val="0.94040288851955667"/>
          <c:w val="0.80772768688887975"/>
          <c:h val="4.37382504123636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37909646769016"/>
          <c:y val="7.6487525625162964E-2"/>
          <c:w val="0.64649066860089455"/>
          <c:h val="0.76759132403682995"/>
        </c:manualLayout>
      </c:layout>
      <c:scatterChart>
        <c:scatterStyle val="lineMarker"/>
        <c:varyColors val="0"/>
        <c:ser>
          <c:idx val="6"/>
          <c:order val="0"/>
          <c:spPr>
            <a:ln w="28575" cap="rnd">
              <a:solidFill>
                <a:schemeClr val="bg2">
                  <a:lumMod val="50000"/>
                </a:schemeClr>
              </a:solidFill>
              <a:round/>
            </a:ln>
            <a:effectLst/>
          </c:spPr>
          <c:marker>
            <c:symbol val="none"/>
          </c:marker>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00-2547-4C5F-91B3-7F23020816EC}"/>
            </c:ext>
          </c:extLst>
        </c:ser>
        <c:ser>
          <c:idx val="7"/>
          <c:order val="1"/>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01-2547-4C5F-91B3-7F23020816EC}"/>
            </c:ext>
          </c:extLst>
        </c:ser>
        <c:ser>
          <c:idx val="8"/>
          <c:order val="2"/>
          <c:spPr>
            <a:ln w="19050" cap="rnd">
              <a:solidFill>
                <a:schemeClr val="accent3">
                  <a:lumMod val="60000"/>
                </a:schemeClr>
              </a:solidFill>
              <a:prstDash val="dash"/>
              <a:round/>
            </a:ln>
            <a:effectLst/>
          </c:spPr>
          <c:marker>
            <c:symbol val="none"/>
          </c:marker>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02-2547-4C5F-91B3-7F23020816EC}"/>
            </c:ext>
          </c:extLst>
        </c:ser>
        <c:ser>
          <c:idx val="9"/>
          <c:order val="3"/>
          <c:spPr>
            <a:ln w="9525" cap="rnd">
              <a:solidFill>
                <a:schemeClr val="accent4">
                  <a:lumMod val="60000"/>
                </a:schemeClr>
              </a:solidFill>
              <a:round/>
            </a:ln>
            <a:effectLst/>
          </c:spPr>
          <c:marker>
            <c:symbol val="none"/>
          </c:marker>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03-2547-4C5F-91B3-7F23020816EC}"/>
            </c:ext>
          </c:extLst>
        </c:ser>
        <c:ser>
          <c:idx val="10"/>
          <c:order val="4"/>
          <c:spPr>
            <a:ln w="9525" cap="rnd">
              <a:solidFill>
                <a:schemeClr val="accent5">
                  <a:lumMod val="60000"/>
                </a:schemeClr>
              </a:solidFill>
              <a:round/>
            </a:ln>
            <a:effectLst/>
          </c:spPr>
          <c:marker>
            <c:symbol val="none"/>
          </c:marker>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0"/>
          <c:extLst>
            <c:ext xmlns:c16="http://schemas.microsoft.com/office/drawing/2014/chart" uri="{C3380CC4-5D6E-409C-BE32-E72D297353CC}">
              <c16:uniqueId val="{00000004-2547-4C5F-91B3-7F23020816EC}"/>
            </c:ext>
          </c:extLst>
        </c:ser>
        <c:ser>
          <c:idx val="11"/>
          <c:order val="5"/>
          <c:spPr>
            <a:ln w="9525" cap="rnd">
              <a:solidFill>
                <a:schemeClr val="accent6">
                  <a:lumMod val="60000"/>
                </a:schemeClr>
              </a:solidFill>
              <a:round/>
            </a:ln>
            <a:effectLst/>
          </c:spPr>
          <c:marker>
            <c:symbol val="none"/>
          </c:marker>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0"/>
          <c:extLst>
            <c:ext xmlns:c16="http://schemas.microsoft.com/office/drawing/2014/chart" uri="{C3380CC4-5D6E-409C-BE32-E72D297353CC}">
              <c16:uniqueId val="{00000005-2547-4C5F-91B3-7F23020816EC}"/>
            </c:ext>
          </c:extLst>
        </c:ser>
        <c:ser>
          <c:idx val="0"/>
          <c:order val="6"/>
          <c:spPr>
            <a:ln w="28575" cap="rnd">
              <a:solidFill>
                <a:schemeClr val="bg1">
                  <a:lumMod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2547-4C5F-91B3-7F23020816EC}"/>
                </c:ext>
              </c:extLst>
            </c:dLbl>
            <c:dLbl>
              <c:idx val="1"/>
              <c:layout>
                <c:manualLayout>
                  <c:x val="-0.36062265231801099"/>
                  <c:y val="4.836060199202119E-2"/>
                </c:manualLayout>
              </c:layout>
              <c:showLegendKey val="0"/>
              <c:showVal val="1"/>
              <c:showCatName val="1"/>
              <c:showSerName val="0"/>
              <c:showPercent val="0"/>
              <c:showBubbleSize val="0"/>
              <c:extLst>
                <c:ext xmlns:c15="http://schemas.microsoft.com/office/drawing/2012/chart" uri="{CE6537A1-D6FC-4f65-9D91-7224C49458BB}">
                  <c15:layout>
                    <c:manualLayout>
                      <c:w val="0.15960925362994788"/>
                      <c:h val="5.106104357575203E-2"/>
                    </c:manualLayout>
                  </c15:layout>
                </c:ext>
                <c:ext xmlns:c16="http://schemas.microsoft.com/office/drawing/2014/chart" uri="{C3380CC4-5D6E-409C-BE32-E72D297353CC}">
                  <c16:uniqueId val="{00000007-2547-4C5F-91B3-7F23020816EC}"/>
                </c:ext>
              </c:extLst>
            </c:dLbl>
            <c:dLbl>
              <c:idx val="2"/>
              <c:layout>
                <c:manualLayout>
                  <c:x val="-0.16189903908325812"/>
                  <c:y val="7.749323112374315E-2"/>
                </c:manualLayout>
              </c:layout>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1257646644075051"/>
                      <c:h val="3.9379355719720323E-2"/>
                    </c:manualLayout>
                  </c15:layout>
                </c:ext>
                <c:ext xmlns:c16="http://schemas.microsoft.com/office/drawing/2014/chart" uri="{C3380CC4-5D6E-409C-BE32-E72D297353CC}">
                  <c16:uniqueId val="{00000008-2547-4C5F-91B3-7F23020816EC}"/>
                </c:ext>
              </c:extLst>
            </c:dLbl>
            <c:dLbl>
              <c:idx val="3"/>
              <c:layout>
                <c:manualLayout>
                  <c:x val="-0.10885757293087357"/>
                  <c:y val="0.115103048055806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47-4C5F-91B3-7F23020816EC}"/>
                </c:ext>
              </c:extLst>
            </c:dLbl>
            <c:dLbl>
              <c:idx val="4"/>
              <c:layout>
                <c:manualLayout>
                  <c:x val="3.501268175603095E-2"/>
                  <c:y val="3.499352048894776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47-4C5F-91B3-7F23020816EC}"/>
                </c:ext>
              </c:extLst>
            </c:dLbl>
            <c:dLbl>
              <c:idx val="5"/>
              <c:layout>
                <c:manualLayout>
                  <c:x val="2.0312017752734206E-2"/>
                  <c:y val="0.1092663816640050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47-4C5F-91B3-7F23020816EC}"/>
                </c:ext>
              </c:extLst>
            </c:dLbl>
            <c:dLbl>
              <c:idx val="6"/>
              <c:layout>
                <c:manualLayout>
                  <c:x val="2.361228278180684E-2"/>
                  <c:y val="-2.410533739103636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47-4C5F-91B3-7F23020816EC}"/>
                </c:ext>
              </c:extLst>
            </c:dLbl>
            <c:dLbl>
              <c:idx val="7"/>
              <c:layout>
                <c:manualLayout>
                  <c:x val="5.3415280524581568E-2"/>
                  <c:y val="-4.20347404677807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47-4C5F-91B3-7F23020816EC}"/>
                </c:ext>
              </c:extLst>
            </c:dLbl>
            <c:dLbl>
              <c:idx val="8"/>
              <c:layout>
                <c:manualLayout>
                  <c:x val="9.3875469040631765E-2"/>
                  <c:y val="4.30945501891003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47-4C5F-91B3-7F23020816EC}"/>
                </c:ext>
              </c:extLst>
            </c:dLbl>
            <c:dLbl>
              <c:idx val="9"/>
              <c:layout>
                <c:manualLayout>
                  <c:x val="0.10093305375934145"/>
                  <c:y val="-2.800329306662754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47-4C5F-91B3-7F23020816EC}"/>
                </c:ext>
              </c:extLst>
            </c:dLbl>
            <c:dLbl>
              <c:idx val="10"/>
              <c:layout>
                <c:manualLayout>
                  <c:x val="1.0024584915712306E-2"/>
                  <c:y val="-6.86216396863435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47-4C5F-91B3-7F23020816EC}"/>
                </c:ext>
              </c:extLst>
            </c:dLbl>
            <c:dLbl>
              <c:idx val="11"/>
              <c:layout>
                <c:manualLayout>
                  <c:x val="-0.26344415180032665"/>
                  <c:y val="-0.1210485019394208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47-4C5F-91B3-7F23020816EC}"/>
                </c:ext>
              </c:extLst>
            </c:dLbl>
            <c:dLbl>
              <c:idx val="12"/>
              <c:layout>
                <c:manualLayout>
                  <c:x val="-0.21562056139630592"/>
                  <c:y val="-3.47935312433771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47-4C5F-91B3-7F23020816EC}"/>
                </c:ext>
              </c:extLst>
            </c:dLbl>
            <c:dLbl>
              <c:idx val="13"/>
              <c:delete val="1"/>
              <c:extLst>
                <c:ext xmlns:c15="http://schemas.microsoft.com/office/drawing/2012/chart" uri="{CE6537A1-D6FC-4f65-9D91-7224C49458BB}"/>
                <c:ext xmlns:c16="http://schemas.microsoft.com/office/drawing/2014/chart" uri="{C3380CC4-5D6E-409C-BE32-E72D297353CC}">
                  <c16:uniqueId val="{00000013-2547-4C5F-91B3-7F23020816EC}"/>
                </c:ext>
              </c:extLst>
            </c:dLbl>
            <c:dLbl>
              <c:idx val="14"/>
              <c:delete val="1"/>
              <c:extLst>
                <c:ext xmlns:c15="http://schemas.microsoft.com/office/drawing/2012/chart" uri="{CE6537A1-D6FC-4f65-9D91-7224C49458BB}"/>
                <c:ext xmlns:c16="http://schemas.microsoft.com/office/drawing/2014/chart" uri="{C3380CC4-5D6E-409C-BE32-E72D297353CC}">
                  <c16:uniqueId val="{00000014-2547-4C5F-91B3-7F23020816EC}"/>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muro+tensioni'!$J$44:$J$58</c:f>
              <c:numCache>
                <c:formatCode>General</c:formatCode>
                <c:ptCount val="15"/>
                <c:pt idx="0">
                  <c:v>0</c:v>
                </c:pt>
                <c:pt idx="1">
                  <c:v>0.4</c:v>
                </c:pt>
                <c:pt idx="2">
                  <c:v>0.4</c:v>
                </c:pt>
                <c:pt idx="3">
                  <c:v>0.4</c:v>
                </c:pt>
                <c:pt idx="4">
                  <c:v>0.4</c:v>
                </c:pt>
                <c:pt idx="5">
                  <c:v>2</c:v>
                </c:pt>
                <c:pt idx="6" formatCode="0.000">
                  <c:v>2</c:v>
                </c:pt>
                <c:pt idx="7" formatCode="0.000">
                  <c:v>0.7000099999999998</c:v>
                </c:pt>
                <c:pt idx="8" formatCode="0.000">
                  <c:v>0.7</c:v>
                </c:pt>
                <c:pt idx="9" formatCode="0.000">
                  <c:v>0.7</c:v>
                </c:pt>
                <c:pt idx="10" formatCode="0.000">
                  <c:v>0.7</c:v>
                </c:pt>
                <c:pt idx="11" formatCode="0.000">
                  <c:v>0.39999999999999997</c:v>
                </c:pt>
                <c:pt idx="12" formatCode="0.000">
                  <c:v>0.39999999999999997</c:v>
                </c:pt>
                <c:pt idx="13" formatCode="0.000">
                  <c:v>0</c:v>
                </c:pt>
                <c:pt idx="14" formatCode="0.000">
                  <c:v>0</c:v>
                </c:pt>
              </c:numCache>
            </c:numRef>
          </c:xVal>
          <c:yVal>
            <c:numRef>
              <c:f>'geom masse muro+tensioni'!$K$44:$K$58</c:f>
              <c:numCache>
                <c:formatCode>General</c:formatCode>
                <c:ptCount val="15"/>
                <c:pt idx="0">
                  <c:v>0</c:v>
                </c:pt>
                <c:pt idx="1">
                  <c:v>0</c:v>
                </c:pt>
                <c:pt idx="2">
                  <c:v>0</c:v>
                </c:pt>
                <c:pt idx="3">
                  <c:v>0</c:v>
                </c:pt>
                <c:pt idx="4">
                  <c:v>0</c:v>
                </c:pt>
                <c:pt idx="5">
                  <c:v>0</c:v>
                </c:pt>
                <c:pt idx="6">
                  <c:v>0.5</c:v>
                </c:pt>
                <c:pt idx="7">
                  <c:v>0.5</c:v>
                </c:pt>
                <c:pt idx="8">
                  <c:v>3.35</c:v>
                </c:pt>
                <c:pt idx="9">
                  <c:v>3.35</c:v>
                </c:pt>
                <c:pt idx="10">
                  <c:v>3.7</c:v>
                </c:pt>
                <c:pt idx="11">
                  <c:v>3.7</c:v>
                </c:pt>
                <c:pt idx="12">
                  <c:v>0.50000000000000011</c:v>
                </c:pt>
                <c:pt idx="13">
                  <c:v>0.50000000000000011</c:v>
                </c:pt>
                <c:pt idx="14">
                  <c:v>0</c:v>
                </c:pt>
              </c:numCache>
            </c:numRef>
          </c:yVal>
          <c:smooth val="0"/>
          <c:extLst>
            <c:ext xmlns:c16="http://schemas.microsoft.com/office/drawing/2014/chart" uri="{C3380CC4-5D6E-409C-BE32-E72D297353CC}">
              <c16:uniqueId val="{00000015-2547-4C5F-91B3-7F23020816EC}"/>
            </c:ext>
          </c:extLst>
        </c:ser>
        <c:ser>
          <c:idx val="1"/>
          <c:order val="7"/>
          <c:spPr>
            <a:ln w="19050" cap="rnd">
              <a:solidFill>
                <a:schemeClr val="bg1">
                  <a:lumMod val="65000"/>
                </a:schemeClr>
              </a:solidFill>
              <a:prstDash val="dash"/>
              <a:round/>
            </a:ln>
            <a:effectLst/>
          </c:spPr>
          <c:marker>
            <c:symbol val="none"/>
          </c:marker>
          <c:xVal>
            <c:numRef>
              <c:f>'geom masse muro+tensioni'!$J$60:$J$61</c:f>
              <c:numCache>
                <c:formatCode>General</c:formatCode>
                <c:ptCount val="2"/>
                <c:pt idx="0">
                  <c:v>0.7</c:v>
                </c:pt>
                <c:pt idx="1">
                  <c:v>0.7</c:v>
                </c:pt>
              </c:numCache>
            </c:numRef>
          </c:xVal>
          <c:yVal>
            <c:numRef>
              <c:f>'geom masse muro+tensioni'!$K$60:$K$61</c:f>
              <c:numCache>
                <c:formatCode>General</c:formatCode>
                <c:ptCount val="2"/>
                <c:pt idx="0">
                  <c:v>0.5</c:v>
                </c:pt>
                <c:pt idx="1">
                  <c:v>3.35</c:v>
                </c:pt>
              </c:numCache>
            </c:numRef>
          </c:yVal>
          <c:smooth val="0"/>
          <c:extLst>
            <c:ext xmlns:c16="http://schemas.microsoft.com/office/drawing/2014/chart" uri="{C3380CC4-5D6E-409C-BE32-E72D297353CC}">
              <c16:uniqueId val="{00000016-2547-4C5F-91B3-7F23020816EC}"/>
            </c:ext>
          </c:extLst>
        </c:ser>
        <c:ser>
          <c:idx val="2"/>
          <c:order val="8"/>
          <c:spPr>
            <a:ln w="19050" cap="rnd">
              <a:solidFill>
                <a:schemeClr val="bg1">
                  <a:lumMod val="65000"/>
                </a:schemeClr>
              </a:solidFill>
              <a:prstDash val="dash"/>
              <a:round/>
            </a:ln>
            <a:effectLst/>
          </c:spPr>
          <c:marker>
            <c:symbol val="none"/>
          </c:marker>
          <c:dLbls>
            <c:dLbl>
              <c:idx val="0"/>
              <c:layout>
                <c:manualLayout>
                  <c:x val="-4.5500099837489462E-2"/>
                  <c:y val="3.94450975489686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47-4C5F-91B3-7F23020816EC}"/>
                </c:ext>
              </c:extLst>
            </c:dLbl>
            <c:dLbl>
              <c:idx val="1"/>
              <c:delete val="1"/>
              <c:extLst>
                <c:ext xmlns:c15="http://schemas.microsoft.com/office/drawing/2012/chart" uri="{CE6537A1-D6FC-4f65-9D91-7224C49458BB}"/>
                <c:ext xmlns:c16="http://schemas.microsoft.com/office/drawing/2014/chart" uri="{C3380CC4-5D6E-409C-BE32-E72D297353CC}">
                  <c16:uniqueId val="{00000018-2547-4C5F-91B3-7F23020816EC}"/>
                </c:ext>
              </c:extLst>
            </c:dLbl>
            <c:numFmt formatCode="#,##0.00&quot; 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muro+tensioni'!$J$62:$J$63</c:f>
              <c:numCache>
                <c:formatCode>0.000</c:formatCode>
                <c:ptCount val="2"/>
                <c:pt idx="0" formatCode="General">
                  <c:v>0.7</c:v>
                </c:pt>
                <c:pt idx="1">
                  <c:v>0.7000099999999998</c:v>
                </c:pt>
              </c:numCache>
            </c:numRef>
          </c:xVal>
          <c:yVal>
            <c:numRef>
              <c:f>'geom masse muro+tensioni'!$K$62:$K$63</c:f>
              <c:numCache>
                <c:formatCode>General</c:formatCode>
                <c:ptCount val="2"/>
                <c:pt idx="0">
                  <c:v>0.5</c:v>
                </c:pt>
                <c:pt idx="1">
                  <c:v>0.5</c:v>
                </c:pt>
              </c:numCache>
            </c:numRef>
          </c:yVal>
          <c:smooth val="0"/>
          <c:extLst>
            <c:ext xmlns:c16="http://schemas.microsoft.com/office/drawing/2014/chart" uri="{C3380CC4-5D6E-409C-BE32-E72D297353CC}">
              <c16:uniqueId val="{00000019-2547-4C5F-91B3-7F23020816EC}"/>
            </c:ext>
          </c:extLst>
        </c:ser>
        <c:ser>
          <c:idx val="3"/>
          <c:order val="9"/>
          <c:spPr>
            <a:ln w="9525" cap="rnd">
              <a:solidFill>
                <a:schemeClr val="accent4"/>
              </a:solidFill>
              <a:round/>
            </a:ln>
            <a:effectLst/>
          </c:spPr>
          <c:marker>
            <c:symbol val="circle"/>
            <c:size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c:spPr>
          </c:marker>
          <c:dLbls>
            <c:dLbl>
              <c:idx val="0"/>
              <c:layout>
                <c:manualLayout>
                  <c:x val="-0.35091013064707693"/>
                  <c:y val="1.75567727947046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 1</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8286998626178547"/>
                      <c:h val="4.8331287744394387E-2"/>
                    </c:manualLayout>
                  </c15:layout>
                </c:ext>
                <c:ext xmlns:c16="http://schemas.microsoft.com/office/drawing/2014/chart" uri="{C3380CC4-5D6E-409C-BE32-E72D297353CC}">
                  <c16:uniqueId val="{0000001A-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muro+tensioni'!$J$65</c:f>
              <c:numCache>
                <c:formatCode>General</c:formatCode>
                <c:ptCount val="1"/>
                <c:pt idx="0">
                  <c:v>0.4</c:v>
                </c:pt>
              </c:numCache>
            </c:numRef>
          </c:xVal>
          <c:yVal>
            <c:numRef>
              <c:f>'geom masse muro+tensioni'!$K$65</c:f>
              <c:numCache>
                <c:formatCode>General</c:formatCode>
                <c:ptCount val="1"/>
                <c:pt idx="0">
                  <c:v>3.35</c:v>
                </c:pt>
              </c:numCache>
            </c:numRef>
          </c:yVal>
          <c:smooth val="0"/>
          <c:extLst>
            <c:ext xmlns:c16="http://schemas.microsoft.com/office/drawing/2014/chart" uri="{C3380CC4-5D6E-409C-BE32-E72D297353CC}">
              <c16:uniqueId val="{0000001B-2547-4C5F-91B3-7F23020816EC}"/>
            </c:ext>
          </c:extLst>
        </c:ser>
        <c:dLbls>
          <c:showLegendKey val="0"/>
          <c:showVal val="0"/>
          <c:showCatName val="0"/>
          <c:showSerName val="0"/>
          <c:showPercent val="0"/>
          <c:showBubbleSize val="0"/>
        </c:dLbls>
        <c:axId val="638499376"/>
        <c:axId val="638502904"/>
      </c:scatterChart>
      <c:scatterChart>
        <c:scatterStyle val="smoothMarker"/>
        <c:varyColors val="0"/>
        <c:ser>
          <c:idx val="4"/>
          <c:order val="10"/>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dLbls>
            <c:dLbl>
              <c:idx val="0"/>
              <c:layout>
                <c:manualLayout>
                  <c:x val="-0.22803511292931958"/>
                  <c:y val="-3.721580998027420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solidFill>
                          <a:srgbClr val="FF0000"/>
                        </a:solidFill>
                      </a:rPr>
                      <a:t>origine</a:t>
                    </a:r>
                    <a:r>
                      <a:rPr lang="en-US" b="1" baseline="0">
                        <a:solidFill>
                          <a:srgbClr val="FF0000"/>
                        </a:solidFill>
                      </a:rPr>
                      <a:t> degli assi</a:t>
                    </a:r>
                    <a:endParaRPr lang="en-US" b="1">
                      <a:solidFill>
                        <a:srgbClr val="FF0000"/>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22229318592415595"/>
                      <c:h val="4.1682832096741423E-2"/>
                    </c:manualLayout>
                  </c15:layout>
                </c:ext>
                <c:ext xmlns:c16="http://schemas.microsoft.com/office/drawing/2014/chart" uri="{C3380CC4-5D6E-409C-BE32-E72D297353CC}">
                  <c16:uniqueId val="{0000001C-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muro+tensioni'!$J$66</c:f>
              <c:numCache>
                <c:formatCode>General</c:formatCode>
                <c:ptCount val="1"/>
                <c:pt idx="0">
                  <c:v>0</c:v>
                </c:pt>
              </c:numCache>
            </c:numRef>
          </c:xVal>
          <c:yVal>
            <c:numRef>
              <c:f>'geom masse muro+tensioni'!$K$66</c:f>
              <c:numCache>
                <c:formatCode>General</c:formatCode>
                <c:ptCount val="1"/>
                <c:pt idx="0">
                  <c:v>0</c:v>
                </c:pt>
              </c:numCache>
            </c:numRef>
          </c:yVal>
          <c:smooth val="1"/>
          <c:extLst>
            <c:ext xmlns:c16="http://schemas.microsoft.com/office/drawing/2014/chart" uri="{C3380CC4-5D6E-409C-BE32-E72D297353CC}">
              <c16:uniqueId val="{0000001D-2547-4C5F-91B3-7F23020816EC}"/>
            </c:ext>
          </c:extLst>
        </c:ser>
        <c:ser>
          <c:idx val="5"/>
          <c:order val="11"/>
          <c:spPr>
            <a:ln w="9525" cap="rnd">
              <a:solidFill>
                <a:schemeClr val="accent6"/>
              </a:solidFill>
              <a:round/>
            </a:ln>
            <a:effectLst/>
          </c:spPr>
          <c:marker>
            <c:symbol val="circle"/>
            <c:size val="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c:spPr>
          </c:marker>
          <c:dLbls>
            <c:dLbl>
              <c:idx val="0"/>
              <c:layout>
                <c:manualLayout>
                  <c:x val="-0.22539678981735167"/>
                  <c:y val="1.640823643066317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r>
                      <a:rPr lang="en-US" b="1"/>
                      <a:t>SEZIONE</a:t>
                    </a:r>
                    <a:r>
                      <a:rPr lang="en-US" b="1" baseline="0"/>
                      <a:t> 3</a:t>
                    </a:r>
                    <a:endParaRPr lang="en-US" b="1"/>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extLst>
                <c:ext xmlns:c15="http://schemas.microsoft.com/office/drawing/2012/chart" uri="{CE6537A1-D6FC-4f65-9D91-7224C49458BB}">
                  <c15:layout>
                    <c:manualLayout>
                      <c:w val="0.14626216082720853"/>
                      <c:h val="3.4951876463338055E-2"/>
                    </c:manualLayout>
                  </c15:layout>
                </c:ext>
                <c:ext xmlns:c16="http://schemas.microsoft.com/office/drawing/2014/chart" uri="{C3380CC4-5D6E-409C-BE32-E72D297353CC}">
                  <c16:uniqueId val="{0000001E-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muro+tensioni'!$J$67</c:f>
              <c:numCache>
                <c:formatCode>General</c:formatCode>
                <c:ptCount val="1"/>
                <c:pt idx="0">
                  <c:v>0</c:v>
                </c:pt>
              </c:numCache>
            </c:numRef>
          </c:xVal>
          <c:yVal>
            <c:numRef>
              <c:f>'geom masse muro+tensioni'!$K$67</c:f>
              <c:numCache>
                <c:formatCode>General</c:formatCode>
                <c:ptCount val="1"/>
                <c:pt idx="0">
                  <c:v>0</c:v>
                </c:pt>
              </c:numCache>
            </c:numRef>
          </c:yVal>
          <c:smooth val="1"/>
          <c:extLst>
            <c:ext xmlns:c16="http://schemas.microsoft.com/office/drawing/2014/chart" uri="{C3380CC4-5D6E-409C-BE32-E72D297353CC}">
              <c16:uniqueId val="{0000001F-2547-4C5F-91B3-7F23020816EC}"/>
            </c:ext>
          </c:extLst>
        </c:ser>
        <c:ser>
          <c:idx val="12"/>
          <c:order val="12"/>
          <c:spPr>
            <a:ln w="9525" cap="rnd">
              <a:solidFill>
                <a:schemeClr val="accent1">
                  <a:lumMod val="80000"/>
                  <a:lumOff val="20000"/>
                </a:schemeClr>
              </a:solidFill>
              <a:round/>
            </a:ln>
            <a:effectLst/>
          </c:spPr>
          <c:marker>
            <c:symbol val="circle"/>
            <c:size val="5"/>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c:spPr>
          </c:marker>
          <c:dLbls>
            <c:dLbl>
              <c:idx val="0"/>
              <c:layout>
                <c:manualLayout>
                  <c:x val="-0.20295861661094511"/>
                  <c:y val="-0.1137122037978332"/>
                </c:manualLayout>
              </c:layout>
              <c:tx>
                <c:rich>
                  <a:bodyPr/>
                  <a:lstStyle/>
                  <a:p>
                    <a:r>
                      <a:rPr lang="en-US" b="1"/>
                      <a:t>SEZIONE 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'geom masse muro+tensioni'!$J$68</c:f>
              <c:numCache>
                <c:formatCode>General</c:formatCode>
                <c:ptCount val="1"/>
                <c:pt idx="0">
                  <c:v>0.4</c:v>
                </c:pt>
              </c:numCache>
            </c:numRef>
          </c:xVal>
          <c:yVal>
            <c:numRef>
              <c:f>'geom masse muro+tensioni'!$K$68</c:f>
              <c:numCache>
                <c:formatCode>General</c:formatCode>
                <c:ptCount val="1"/>
                <c:pt idx="0">
                  <c:v>0.5</c:v>
                </c:pt>
              </c:numCache>
            </c:numRef>
          </c:yVal>
          <c:smooth val="1"/>
          <c:extLst>
            <c:ext xmlns:c16="http://schemas.microsoft.com/office/drawing/2014/chart" uri="{C3380CC4-5D6E-409C-BE32-E72D297353CC}">
              <c16:uniqueId val="{00000021-2547-4C5F-91B3-7F23020816EC}"/>
            </c:ext>
          </c:extLst>
        </c:ser>
        <c:ser>
          <c:idx val="13"/>
          <c:order val="13"/>
          <c:spPr>
            <a:ln w="9525" cap="rnd">
              <a:solidFill>
                <a:schemeClr val="accent2">
                  <a:lumMod val="80000"/>
                  <a:lumOff val="20000"/>
                </a:schemeClr>
              </a:solidFill>
              <a:prstDash val="sysDash"/>
              <a:round/>
            </a:ln>
            <a:effectLst/>
          </c:spPr>
          <c:marker>
            <c:symbol val="circle"/>
            <c:size val="5"/>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path path="circle">
                  <a:fillToRect l="50000" t="50000" r="50000" b="50000"/>
                </a:path>
                <a:tileRect/>
              </a:gradFill>
              <a:ln w="9525">
                <a:solidFill>
                  <a:schemeClr val="accent2">
                    <a:lumMod val="80000"/>
                    <a:lumOff val="20000"/>
                  </a:schemeClr>
                </a:solidFill>
                <a:prstDash val="sysDash"/>
                <a:round/>
              </a:ln>
              <a:effectLst/>
            </c:spPr>
          </c:marker>
          <c:dLbls>
            <c:dLbl>
              <c:idx val="0"/>
              <c:layout>
                <c:manualLayout>
                  <c:x val="0.21836236909667903"/>
                  <c:y val="-0.10726673667266834"/>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D5F7BA4E-175A-4BCC-AFDA-B01F4832574A}" type="XVALUE">
                      <a:rPr lang="en-US" b="1"/>
                      <a:pPr>
                        <a:defRPr/>
                      </a:pPr>
                      <a:t>[VALORE X]</a:t>
                    </a:fld>
                    <a:r>
                      <a:rPr lang="en-US" b="1" baseline="0"/>
                      <a:t>; </a:t>
                    </a:r>
                    <a:fld id="{D3C1F569-10DC-4BA0-8C14-CF4812E5DF98}" type="YVALUE">
                      <a:rPr lang="en-US" b="1" baseline="0"/>
                      <a:pPr>
                        <a:defRPr/>
                      </a:pPr>
                      <a:t>[VALORE Y]</a:t>
                    </a:fld>
                    <a:r>
                      <a:rPr lang="en-US" b="1" baseline="0"/>
                      <a:t>   BARICENTRO DEL MURO</a:t>
                    </a:r>
                  </a:p>
                </c:rich>
              </c:tx>
              <c:numFmt formatCode="#,##0.00&quot; m&quot;"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1"/>
              <c:showSerName val="0"/>
              <c:showPercent val="0"/>
              <c:showBubbleSize val="0"/>
              <c:extLst>
                <c:ext xmlns:c15="http://schemas.microsoft.com/office/drawing/2012/chart" uri="{CE6537A1-D6FC-4f65-9D91-7224C49458BB}">
                  <c15:layout>
                    <c:manualLayout>
                      <c:w val="0.22912872172830948"/>
                      <c:h val="9.8984588121881906E-2"/>
                    </c:manualLayout>
                  </c15:layout>
                  <c15:dlblFieldTable/>
                  <c15:showDataLabelsRange val="0"/>
                </c:ext>
                <c:ext xmlns:c16="http://schemas.microsoft.com/office/drawing/2014/chart" uri="{C3380CC4-5D6E-409C-BE32-E72D297353CC}">
                  <c16:uniqueId val="{00000022-2547-4C5F-91B3-7F2302081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'VER. EQU COND. NON DRENATE'!$C$38</c:f>
              <c:numCache>
                <c:formatCode>0.000" m"</c:formatCode>
                <c:ptCount val="1"/>
                <c:pt idx="0">
                  <c:v>0.77959125809799579</c:v>
                </c:pt>
              </c:numCache>
            </c:numRef>
          </c:xVal>
          <c:yVal>
            <c:numRef>
              <c:f>'VER. EQU COND. NON DRENATE'!$C$40</c:f>
              <c:numCache>
                <c:formatCode>0.000" m"</c:formatCode>
                <c:ptCount val="1"/>
                <c:pt idx="0">
                  <c:v>1.1561245855738038</c:v>
                </c:pt>
              </c:numCache>
            </c:numRef>
          </c:yVal>
          <c:smooth val="1"/>
          <c:extLst>
            <c:ext xmlns:c16="http://schemas.microsoft.com/office/drawing/2014/chart" uri="{C3380CC4-5D6E-409C-BE32-E72D297353CC}">
              <c16:uniqueId val="{00000023-2547-4C5F-91B3-7F23020816EC}"/>
            </c:ext>
          </c:extLst>
        </c:ser>
        <c:dLbls>
          <c:showLegendKey val="0"/>
          <c:showVal val="0"/>
          <c:showCatName val="0"/>
          <c:showSerName val="0"/>
          <c:showPercent val="0"/>
          <c:showBubbleSize val="0"/>
        </c:dLbls>
        <c:axId val="638499376"/>
        <c:axId val="638502904"/>
      </c:scatterChart>
      <c:valAx>
        <c:axId val="638499376"/>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asse x →</a:t>
                </a:r>
                <a:endParaRPr lang="it-IT" sz="1050"/>
              </a:p>
            </c:rich>
          </c:tx>
          <c:layout>
            <c:manualLayout>
              <c:xMode val="edge"/>
              <c:yMode val="edge"/>
              <c:x val="0.41384661198217465"/>
              <c:y val="0.9686347124190809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8502904"/>
        <c:crosses val="autoZero"/>
        <c:crossBetween val="midCat"/>
      </c:valAx>
      <c:valAx>
        <c:axId val="638502904"/>
        <c:scaling>
          <c:orientation val="minMax"/>
        </c:scaling>
        <c:delete val="1"/>
        <c:axPos val="l"/>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it-IT" sz="1050">
                    <a:latin typeface="Calibri" panose="020F0502020204030204" pitchFamily="34" charset="0"/>
                  </a:rPr>
                  <a:t> asse z →</a:t>
                </a:r>
                <a:endParaRPr lang="it-IT" sz="1050"/>
              </a:p>
            </c:rich>
          </c:tx>
          <c:layout>
            <c:manualLayout>
              <c:xMode val="edge"/>
              <c:yMode val="edge"/>
              <c:x val="2.657204162328871E-2"/>
              <c:y val="0.3785962080826852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it-IT"/>
            </a:p>
          </c:txPr>
        </c:title>
        <c:numFmt formatCode="General" sourceLinked="1"/>
        <c:majorTickMark val="none"/>
        <c:minorTickMark val="none"/>
        <c:tickLblPos val="nextTo"/>
        <c:crossAx val="6384993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171451</xdr:rowOff>
    </xdr:from>
    <xdr:ext cx="4810125" cy="478428"/>
    <xdr:pic>
      <xdr:nvPicPr>
        <xdr:cNvPr id="2" name="Immagine 1" descr="Cattura.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38175" y="171451"/>
          <a:ext cx="4810125" cy="47842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12700</xdr:colOff>
      <xdr:row>178</xdr:row>
      <xdr:rowOff>39158</xdr:rowOff>
    </xdr:from>
    <xdr:to>
      <xdr:col>6</xdr:col>
      <xdr:colOff>891117</xdr:colOff>
      <xdr:row>189</xdr:row>
      <xdr:rowOff>158750</xdr:rowOff>
    </xdr:to>
    <xdr:graphicFrame macro="">
      <xdr:nvGraphicFramePr>
        <xdr:cNvPr id="2" name="Grafico 1">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32808</xdr:colOff>
      <xdr:row>12</xdr:row>
      <xdr:rowOff>31750</xdr:rowOff>
    </xdr:from>
    <xdr:to>
      <xdr:col>8</xdr:col>
      <xdr:colOff>296333</xdr:colOff>
      <xdr:row>23</xdr:row>
      <xdr:rowOff>179917</xdr:rowOff>
    </xdr:to>
    <xdr:graphicFrame macro="">
      <xdr:nvGraphicFramePr>
        <xdr:cNvPr id="3" name="Grafico 2">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10582</xdr:colOff>
      <xdr:row>110</xdr:row>
      <xdr:rowOff>95251</xdr:rowOff>
    </xdr:from>
    <xdr:to>
      <xdr:col>8</xdr:col>
      <xdr:colOff>857250</xdr:colOff>
      <xdr:row>127</xdr:row>
      <xdr:rowOff>74084</xdr:rowOff>
    </xdr:to>
    <xdr:graphicFrame macro="">
      <xdr:nvGraphicFramePr>
        <xdr:cNvPr id="4" name="Grafico 3">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31751</xdr:colOff>
      <xdr:row>25</xdr:row>
      <xdr:rowOff>169333</xdr:rowOff>
    </xdr:from>
    <xdr:to>
      <xdr:col>8</xdr:col>
      <xdr:colOff>295276</xdr:colOff>
      <xdr:row>35</xdr:row>
      <xdr:rowOff>2</xdr:rowOff>
    </xdr:to>
    <xdr:graphicFrame macro="">
      <xdr:nvGraphicFramePr>
        <xdr:cNvPr id="5" name="Grafico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169334</xdr:colOff>
      <xdr:row>167</xdr:row>
      <xdr:rowOff>127000</xdr:rowOff>
    </xdr:from>
    <xdr:to>
      <xdr:col>6</xdr:col>
      <xdr:colOff>920750</xdr:colOff>
      <xdr:row>176</xdr:row>
      <xdr:rowOff>158750</xdr:rowOff>
    </xdr:to>
    <xdr:graphicFrame macro="">
      <xdr:nvGraphicFramePr>
        <xdr:cNvPr id="6" name="Grafico 5">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428625</xdr:colOff>
      <xdr:row>0</xdr:row>
      <xdr:rowOff>38100</xdr:rowOff>
    </xdr:from>
    <xdr:to>
      <xdr:col>10</xdr:col>
      <xdr:colOff>428973</xdr:colOff>
      <xdr:row>9</xdr:row>
      <xdr:rowOff>200332</xdr:rowOff>
    </xdr:to>
    <xdr:pic>
      <xdr:nvPicPr>
        <xdr:cNvPr id="2" name="Immagin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0650" y="38100"/>
          <a:ext cx="2495898" cy="2200582"/>
        </a:xfrm>
        <a:prstGeom prst="rect">
          <a:avLst/>
        </a:prstGeom>
      </xdr:spPr>
    </xdr:pic>
    <xdr:clientData/>
  </xdr:twoCellAnchor>
  <xdr:twoCellAnchor editAs="oneCell">
    <xdr:from>
      <xdr:col>1</xdr:col>
      <xdr:colOff>238125</xdr:colOff>
      <xdr:row>52</xdr:row>
      <xdr:rowOff>161925</xdr:rowOff>
    </xdr:from>
    <xdr:to>
      <xdr:col>1</xdr:col>
      <xdr:colOff>1440458</xdr:colOff>
      <xdr:row>59</xdr:row>
      <xdr:rowOff>70017</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725" y="10610850"/>
          <a:ext cx="1202333" cy="1241592"/>
        </a:xfrm>
        <a:prstGeom prst="rect">
          <a:avLst/>
        </a:prstGeom>
      </xdr:spPr>
    </xdr:pic>
    <xdr:clientData/>
  </xdr:twoCellAnchor>
  <xdr:twoCellAnchor editAs="oneCell">
    <xdr:from>
      <xdr:col>5</xdr:col>
      <xdr:colOff>495300</xdr:colOff>
      <xdr:row>80</xdr:row>
      <xdr:rowOff>133350</xdr:rowOff>
    </xdr:from>
    <xdr:to>
      <xdr:col>5</xdr:col>
      <xdr:colOff>2569321</xdr:colOff>
      <xdr:row>88</xdr:row>
      <xdr:rowOff>47884</xdr:rowOff>
    </xdr:to>
    <xdr:pic>
      <xdr:nvPicPr>
        <xdr:cNvPr id="5" name="Immagin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81700" y="20059650"/>
          <a:ext cx="2074021" cy="1514734"/>
        </a:xfrm>
        <a:prstGeom prst="rect">
          <a:avLst/>
        </a:prstGeom>
      </xdr:spPr>
    </xdr:pic>
    <xdr:clientData/>
  </xdr:twoCellAnchor>
  <xdr:twoCellAnchor editAs="oneCell">
    <xdr:from>
      <xdr:col>7</xdr:col>
      <xdr:colOff>0</xdr:colOff>
      <xdr:row>86</xdr:row>
      <xdr:rowOff>0</xdr:rowOff>
    </xdr:from>
    <xdr:to>
      <xdr:col>10</xdr:col>
      <xdr:colOff>293103</xdr:colOff>
      <xdr:row>94</xdr:row>
      <xdr:rowOff>81457</xdr:rowOff>
    </xdr:to>
    <xdr:pic>
      <xdr:nvPicPr>
        <xdr:cNvPr id="7" name="Immagine 6">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91625" y="17068800"/>
          <a:ext cx="2179053" cy="1605457"/>
        </a:xfrm>
        <a:prstGeom prst="rect">
          <a:avLst/>
        </a:prstGeom>
      </xdr:spPr>
    </xdr:pic>
    <xdr:clientData/>
  </xdr:twoCellAnchor>
  <xdr:twoCellAnchor editAs="oneCell">
    <xdr:from>
      <xdr:col>19</xdr:col>
      <xdr:colOff>590550</xdr:colOff>
      <xdr:row>194</xdr:row>
      <xdr:rowOff>24695</xdr:rowOff>
    </xdr:from>
    <xdr:to>
      <xdr:col>25</xdr:col>
      <xdr:colOff>315258</xdr:colOff>
      <xdr:row>201</xdr:row>
      <xdr:rowOff>28840</xdr:rowOff>
    </xdr:to>
    <xdr:pic>
      <xdr:nvPicPr>
        <xdr:cNvPr id="4" name="Immagine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659475" y="38534270"/>
          <a:ext cx="4953933" cy="14043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22</xdr:col>
      <xdr:colOff>341774</xdr:colOff>
      <xdr:row>17</xdr:row>
      <xdr:rowOff>114300</xdr:rowOff>
    </xdr:from>
    <xdr:to>
      <xdr:col>30</xdr:col>
      <xdr:colOff>327741</xdr:colOff>
      <xdr:row>33</xdr:row>
      <xdr:rowOff>39534</xdr:rowOff>
    </xdr:to>
    <xdr:graphicFrame macro="">
      <xdr:nvGraphicFramePr>
        <xdr:cNvPr id="2" name="Gra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338189</xdr:colOff>
      <xdr:row>0</xdr:row>
      <xdr:rowOff>190296</xdr:rowOff>
    </xdr:from>
    <xdr:to>
      <xdr:col>30</xdr:col>
      <xdr:colOff>363692</xdr:colOff>
      <xdr:row>16</xdr:row>
      <xdr:rowOff>119525</xdr:rowOff>
    </xdr:to>
    <xdr:graphicFrame macro="">
      <xdr:nvGraphicFramePr>
        <xdr:cNvPr id="3" name="Gra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341056</xdr:colOff>
      <xdr:row>33</xdr:row>
      <xdr:rowOff>156446</xdr:rowOff>
    </xdr:from>
    <xdr:to>
      <xdr:col>30</xdr:col>
      <xdr:colOff>348226</xdr:colOff>
      <xdr:row>48</xdr:row>
      <xdr:rowOff>52387</xdr:rowOff>
    </xdr:to>
    <xdr:graphicFrame macro="">
      <xdr:nvGraphicFramePr>
        <xdr:cNvPr id="4" name="Gra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411317</xdr:colOff>
      <xdr:row>49</xdr:row>
      <xdr:rowOff>81935</xdr:rowOff>
    </xdr:from>
    <xdr:to>
      <xdr:col>30</xdr:col>
      <xdr:colOff>286775</xdr:colOff>
      <xdr:row>62</xdr:row>
      <xdr:rowOff>147894</xdr:rowOff>
    </xdr:to>
    <xdr:graphicFrame macro="">
      <xdr:nvGraphicFramePr>
        <xdr:cNvPr id="5" name="Gra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63499</xdr:colOff>
      <xdr:row>79</xdr:row>
      <xdr:rowOff>74083</xdr:rowOff>
    </xdr:from>
    <xdr:to>
      <xdr:col>9</xdr:col>
      <xdr:colOff>74082</xdr:colOff>
      <xdr:row>106</xdr:row>
      <xdr:rowOff>133353</xdr:rowOff>
    </xdr:to>
    <xdr:graphicFrame macro="">
      <xdr:nvGraphicFramePr>
        <xdr:cNvPr id="2" name="Grafico 1">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65616</xdr:colOff>
      <xdr:row>134</xdr:row>
      <xdr:rowOff>134407</xdr:rowOff>
    </xdr:from>
    <xdr:to>
      <xdr:col>7</xdr:col>
      <xdr:colOff>1024466</xdr:colOff>
      <xdr:row>161</xdr:row>
      <xdr:rowOff>57148</xdr:rowOff>
    </xdr:to>
    <xdr:graphicFrame macro="">
      <xdr:nvGraphicFramePr>
        <xdr:cNvPr id="3" name="Grafico 2">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466725</xdr:colOff>
      <xdr:row>27</xdr:row>
      <xdr:rowOff>152400</xdr:rowOff>
    </xdr:to>
    <xdr:graphicFrame macro="">
      <xdr:nvGraphicFramePr>
        <xdr:cNvPr id="2" name="Gra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14</xdr:col>
      <xdr:colOff>305949</xdr:colOff>
      <xdr:row>63</xdr:row>
      <xdr:rowOff>57450</xdr:rowOff>
    </xdr:to>
    <xdr:pic>
      <xdr:nvPicPr>
        <xdr:cNvPr id="71" name="Immagine 70">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629900"/>
          <a:ext cx="8230749" cy="2152950"/>
        </a:xfrm>
        <a:prstGeom prst="rect">
          <a:avLst/>
        </a:prstGeom>
      </xdr:spPr>
    </xdr:pic>
    <xdr:clientData/>
  </xdr:twoCellAnchor>
  <xdr:twoCellAnchor editAs="oneCell">
    <xdr:from>
      <xdr:col>1</xdr:col>
      <xdr:colOff>38100</xdr:colOff>
      <xdr:row>62</xdr:row>
      <xdr:rowOff>73800</xdr:rowOff>
    </xdr:from>
    <xdr:to>
      <xdr:col>14</xdr:col>
      <xdr:colOff>382154</xdr:colOff>
      <xdr:row>82</xdr:row>
      <xdr:rowOff>17174</xdr:rowOff>
    </xdr:to>
    <xdr:pic>
      <xdr:nvPicPr>
        <xdr:cNvPr id="72" name="Immagine 7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2608700"/>
          <a:ext cx="8268854" cy="3753374"/>
        </a:xfrm>
        <a:prstGeom prst="rect">
          <a:avLst/>
        </a:prstGeom>
      </xdr:spPr>
    </xdr:pic>
    <xdr:clientData/>
  </xdr:twoCellAnchor>
  <xdr:twoCellAnchor editAs="oneCell">
    <xdr:from>
      <xdr:col>1</xdr:col>
      <xdr:colOff>0</xdr:colOff>
      <xdr:row>81</xdr:row>
      <xdr:rowOff>23812</xdr:rowOff>
    </xdr:from>
    <xdr:to>
      <xdr:col>15</xdr:col>
      <xdr:colOff>2380</xdr:colOff>
      <xdr:row>104</xdr:row>
      <xdr:rowOff>138697</xdr:rowOff>
    </xdr:to>
    <xdr:pic>
      <xdr:nvPicPr>
        <xdr:cNvPr id="73" name="Immagine 72">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0" y="16178212"/>
          <a:ext cx="8536781" cy="4496385"/>
        </a:xfrm>
        <a:prstGeom prst="rect">
          <a:avLst/>
        </a:prstGeom>
      </xdr:spPr>
    </xdr:pic>
    <xdr:clientData/>
  </xdr:twoCellAnchor>
  <xdr:twoCellAnchor editAs="oneCell">
    <xdr:from>
      <xdr:col>1</xdr:col>
      <xdr:colOff>0</xdr:colOff>
      <xdr:row>103</xdr:row>
      <xdr:rowOff>154725</xdr:rowOff>
    </xdr:from>
    <xdr:to>
      <xdr:col>15</xdr:col>
      <xdr:colOff>35718</xdr:colOff>
      <xdr:row>111</xdr:row>
      <xdr:rowOff>78727</xdr:rowOff>
    </xdr:to>
    <xdr:pic>
      <xdr:nvPicPr>
        <xdr:cNvPr id="74" name="Immagine 7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9600" y="20500125"/>
          <a:ext cx="8570119" cy="1448002"/>
        </a:xfrm>
        <a:prstGeom prst="rect">
          <a:avLst/>
        </a:prstGeom>
      </xdr:spPr>
    </xdr:pic>
    <xdr:clientData/>
  </xdr:twoCellAnchor>
  <xdr:twoCellAnchor editAs="oneCell">
    <xdr:from>
      <xdr:col>1</xdr:col>
      <xdr:colOff>0</xdr:colOff>
      <xdr:row>110</xdr:row>
      <xdr:rowOff>38025</xdr:rowOff>
    </xdr:from>
    <xdr:to>
      <xdr:col>15</xdr:col>
      <xdr:colOff>35718</xdr:colOff>
      <xdr:row>118</xdr:row>
      <xdr:rowOff>9525</xdr:rowOff>
    </xdr:to>
    <xdr:pic>
      <xdr:nvPicPr>
        <xdr:cNvPr id="75" name="Immagine 74">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9600" y="21716925"/>
          <a:ext cx="8570119" cy="1495500"/>
        </a:xfrm>
        <a:prstGeom prst="rect">
          <a:avLst/>
        </a:prstGeom>
      </xdr:spPr>
    </xdr:pic>
    <xdr:clientData/>
  </xdr:twoCellAnchor>
  <xdr:oneCellAnchor>
    <xdr:from>
      <xdr:col>0</xdr:col>
      <xdr:colOff>345280</xdr:colOff>
      <xdr:row>35</xdr:row>
      <xdr:rowOff>23813</xdr:rowOff>
    </xdr:from>
    <xdr:ext cx="3438526" cy="553228"/>
    <mc:AlternateContent xmlns:mc="http://schemas.openxmlformats.org/markup-compatibility/2006" xmlns:a14="http://schemas.microsoft.com/office/drawing/2010/main">
      <mc:Choice Requires="a14">
        <xdr:sp macro="" textlink="">
          <xdr:nvSpPr>
            <xdr:cNvPr id="76" name="CasellaDiTesto 75"/>
            <xdr:cNvSpPr txBox="1"/>
          </xdr:nvSpPr>
          <xdr:spPr>
            <a:xfrm>
              <a:off x="345280" y="7129463"/>
              <a:ext cx="3438526" cy="553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b="0" i="1">
                            <a:latin typeface="Cambria Math" panose="02040503050406030204" pitchFamily="18" charset="0"/>
                          </a:rPr>
                          <m:t>𝑞</m:t>
                        </m:r>
                      </m:sub>
                    </m:sSub>
                    <m:r>
                      <a:rPr lang="it-IT" sz="1600" b="0" i="1">
                        <a:latin typeface="Cambria Math" panose="02040503050406030204" pitchFamily="18" charset="0"/>
                      </a:rPr>
                      <m:t>=</m:t>
                    </m:r>
                    <m:sSup>
                      <m:sSupPr>
                        <m:ctrlPr>
                          <a:rPr lang="it-IT" sz="1600" b="0" i="1">
                            <a:latin typeface="Cambria Math" panose="02040503050406030204" pitchFamily="18" charset="0"/>
                          </a:rPr>
                        </m:ctrlPr>
                      </m:sSupPr>
                      <m:e>
                        <m:r>
                          <a:rPr lang="it-IT" sz="1600" b="0" i="1">
                            <a:latin typeface="Cambria Math" panose="02040503050406030204" pitchFamily="18" charset="0"/>
                          </a:rPr>
                          <m:t>𝑡𝑎𝑛</m:t>
                        </m:r>
                      </m:e>
                      <m:sup>
                        <m:r>
                          <a:rPr lang="it-IT" sz="1600" b="0" i="1">
                            <a:latin typeface="Cambria Math" panose="02040503050406030204" pitchFamily="18" charset="0"/>
                          </a:rPr>
                          <m:t>2</m:t>
                        </m:r>
                      </m:sup>
                    </m:sSup>
                    <m:d>
                      <m:dPr>
                        <m:ctrlPr>
                          <a:rPr lang="it-IT" sz="1600" b="0" i="1">
                            <a:latin typeface="Cambria Math" panose="02040503050406030204" pitchFamily="18" charset="0"/>
                          </a:rPr>
                        </m:ctrlPr>
                      </m:dPr>
                      <m:e>
                        <m:r>
                          <a:rPr lang="it-IT" sz="1600" b="0" i="1">
                            <a:latin typeface="Cambria Math" panose="02040503050406030204" pitchFamily="18" charset="0"/>
                          </a:rPr>
                          <m:t>45°+</m:t>
                        </m:r>
                        <m:f>
                          <m:fPr>
                            <m:ctrlPr>
                              <a:rPr lang="it-IT" sz="1600" b="0" i="1">
                                <a:latin typeface="Cambria Math" panose="02040503050406030204" pitchFamily="18" charset="0"/>
                              </a:rPr>
                            </m:ctrlPr>
                          </m:fPr>
                          <m:num>
                            <m:sSup>
                              <m:sSupPr>
                                <m:ctrlPr>
                                  <a:rPr lang="it-IT" sz="1600" b="0" i="1">
                                    <a:latin typeface="Cambria Math" panose="02040503050406030204" pitchFamily="18" charset="0"/>
                                  </a:rPr>
                                </m:ctrlPr>
                              </m:sSupPr>
                              <m:e>
                                <m:r>
                                  <a:rPr lang="it-IT" sz="1600" b="0" i="1">
                                    <a:latin typeface="Cambria Math" panose="02040503050406030204" pitchFamily="18" charset="0"/>
                                    <a:ea typeface="Cambria Math" panose="02040503050406030204" pitchFamily="18" charset="0"/>
                                  </a:rPr>
                                  <m:t>𝜑</m:t>
                                </m:r>
                              </m:e>
                              <m:sup>
                                <m:r>
                                  <a:rPr lang="it-IT" sz="1600" b="0" i="1">
                                    <a:latin typeface="Cambria Math" panose="02040503050406030204" pitchFamily="18" charset="0"/>
                                  </a:rPr>
                                  <m:t>′</m:t>
                                </m:r>
                              </m:sup>
                            </m:sSup>
                          </m:num>
                          <m:den>
                            <m:r>
                              <a:rPr lang="it-IT" sz="1600" b="0" i="1">
                                <a:latin typeface="Cambria Math" panose="02040503050406030204" pitchFamily="18" charset="0"/>
                              </a:rPr>
                              <m:t>2</m:t>
                            </m:r>
                          </m:den>
                        </m:f>
                      </m:e>
                    </m:d>
                    <m:sSup>
                      <m:sSupPr>
                        <m:ctrlPr>
                          <a:rPr lang="it-IT" sz="1600" b="0" i="1">
                            <a:latin typeface="Cambria Math" panose="02040503050406030204" pitchFamily="18" charset="0"/>
                          </a:rPr>
                        </m:ctrlPr>
                      </m:sSupPr>
                      <m:e>
                        <m:r>
                          <a:rPr lang="it-IT" sz="1600" b="0" i="1">
                            <a:latin typeface="Cambria Math" panose="02040503050406030204" pitchFamily="18" charset="0"/>
                          </a:rPr>
                          <m:t>𝑒</m:t>
                        </m:r>
                      </m:e>
                      <m:sup>
                        <m:r>
                          <a:rPr lang="it-IT" sz="1600" b="0" i="1">
                            <a:latin typeface="Cambria Math" panose="02040503050406030204" pitchFamily="18" charset="0"/>
                            <a:ea typeface="Cambria Math" panose="02040503050406030204" pitchFamily="18" charset="0"/>
                          </a:rPr>
                          <m:t>𝜋</m:t>
                        </m:r>
                        <m:r>
                          <a:rPr lang="it-IT" sz="1600" b="0" i="1">
                            <a:latin typeface="Cambria Math" panose="02040503050406030204" pitchFamily="18" charset="0"/>
                            <a:ea typeface="Cambria Math" panose="02040503050406030204" pitchFamily="18" charset="0"/>
                          </a:rPr>
                          <m:t>𝑡𝑎𝑛</m:t>
                        </m:r>
                        <m:d>
                          <m:dPr>
                            <m:ctrlPr>
                              <a:rPr lang="it-IT" sz="1600" b="0" i="1">
                                <a:latin typeface="Cambria Math" panose="02040503050406030204" pitchFamily="18" charset="0"/>
                                <a:ea typeface="Cambria Math" panose="02040503050406030204" pitchFamily="18" charset="0"/>
                              </a:rPr>
                            </m:ctrlPr>
                          </m:dPr>
                          <m:e>
                            <m:sSup>
                              <m:sSupPr>
                                <m:ctrlPr>
                                  <a:rPr lang="it-IT" sz="1100" b="0" i="1">
                                    <a:solidFill>
                                      <a:schemeClr val="tx1"/>
                                    </a:solidFill>
                                    <a:effectLst/>
                                    <a:latin typeface="Cambria Math" panose="02040503050406030204" pitchFamily="18" charset="0"/>
                                    <a:ea typeface="+mn-ea"/>
                                    <a:cs typeface="+mn-cs"/>
                                  </a:rPr>
                                </m:ctrlPr>
                              </m:sSupPr>
                              <m:e>
                                <m:r>
                                  <a:rPr lang="it-IT" sz="1100" b="0" i="1">
                                    <a:solidFill>
                                      <a:schemeClr val="tx1"/>
                                    </a:solidFill>
                                    <a:effectLst/>
                                    <a:latin typeface="Cambria Math" panose="02040503050406030204" pitchFamily="18" charset="0"/>
                                    <a:ea typeface="+mn-ea"/>
                                    <a:cs typeface="+mn-cs"/>
                                  </a:rPr>
                                  <m:t>𝜑</m:t>
                                </m:r>
                              </m:e>
                              <m:sup>
                                <m:r>
                                  <a:rPr lang="it-IT" sz="1100" b="0" i="1">
                                    <a:solidFill>
                                      <a:schemeClr val="tx1"/>
                                    </a:solidFill>
                                    <a:effectLst/>
                                    <a:latin typeface="Cambria Math" panose="02040503050406030204" pitchFamily="18" charset="0"/>
                                    <a:ea typeface="+mn-ea"/>
                                    <a:cs typeface="+mn-cs"/>
                                  </a:rPr>
                                  <m:t>′</m:t>
                                </m:r>
                              </m:sup>
                            </m:sSup>
                          </m:e>
                        </m:d>
                      </m:sup>
                    </m:sSup>
                  </m:oMath>
                </m:oMathPara>
              </a14:m>
              <a:endParaRPr lang="it-IT" sz="1600"/>
            </a:p>
          </xdr:txBody>
        </xdr:sp>
      </mc:Choice>
      <mc:Fallback xmlns="">
        <xdr:sp macro="" textlink="">
          <xdr:nvSpPr>
            <xdr:cNvPr id="76" name="CasellaDiTesto 75"/>
            <xdr:cNvSpPr txBox="1"/>
          </xdr:nvSpPr>
          <xdr:spPr>
            <a:xfrm>
              <a:off x="345280" y="7129463"/>
              <a:ext cx="3438526" cy="553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600" b="0" i="0">
                  <a:latin typeface="Cambria Math" panose="02040503050406030204" pitchFamily="18" charset="0"/>
                </a:rPr>
                <a:t>𝑁_𝑞=〖𝑡𝑎𝑛〗^2 (45°+</a:t>
              </a:r>
              <a:r>
                <a:rPr lang="it-IT" sz="1600" b="0" i="0">
                  <a:latin typeface="Cambria Math" panose="02040503050406030204" pitchFamily="18" charset="0"/>
                  <a:ea typeface="Cambria Math" panose="02040503050406030204" pitchFamily="18" charset="0"/>
                </a:rPr>
                <a:t>𝜑^</a:t>
              </a:r>
              <a:r>
                <a:rPr lang="it-IT" sz="1600" b="0" i="0">
                  <a:latin typeface="Cambria Math" panose="02040503050406030204" pitchFamily="18" charset="0"/>
                </a:rPr>
                <a:t>′/2) 𝑒^</a:t>
              </a:r>
              <a:r>
                <a:rPr lang="it-IT" sz="1600" b="0" i="0">
                  <a:latin typeface="Cambria Math" panose="02040503050406030204" pitchFamily="18" charset="0"/>
                  <a:ea typeface="Cambria Math" panose="02040503050406030204" pitchFamily="18" charset="0"/>
                </a:rPr>
                <a:t>𝜋𝑡𝑎𝑛(</a:t>
              </a:r>
              <a:r>
                <a:rPr lang="it-IT" sz="1100" b="0" i="0">
                  <a:solidFill>
                    <a:schemeClr val="tx1"/>
                  </a:solidFill>
                  <a:effectLst/>
                  <a:latin typeface="Cambria Math" panose="02040503050406030204" pitchFamily="18" charset="0"/>
                  <a:ea typeface="+mn-ea"/>
                  <a:cs typeface="+mn-cs"/>
                </a:rPr>
                <a:t>𝜑^′ ) </a:t>
              </a:r>
              <a:endParaRPr lang="it-IT" sz="1600"/>
            </a:p>
          </xdr:txBody>
        </xdr:sp>
      </mc:Fallback>
    </mc:AlternateContent>
    <xdr:clientData/>
  </xdr:oneCellAnchor>
  <xdr:oneCellAnchor>
    <xdr:from>
      <xdr:col>0</xdr:col>
      <xdr:colOff>0</xdr:colOff>
      <xdr:row>32</xdr:row>
      <xdr:rowOff>130969</xdr:rowOff>
    </xdr:from>
    <xdr:ext cx="3438526" cy="293222"/>
    <mc:AlternateContent xmlns:mc="http://schemas.openxmlformats.org/markup-compatibility/2006" xmlns:a14="http://schemas.microsoft.com/office/drawing/2010/main">
      <mc:Choice Requires="a14">
        <xdr:sp macro="" textlink="">
          <xdr:nvSpPr>
            <xdr:cNvPr id="77" name="CasellaDiTesto 76"/>
            <xdr:cNvSpPr txBox="1"/>
          </xdr:nvSpPr>
          <xdr:spPr>
            <a:xfrm>
              <a:off x="0" y="6665119"/>
              <a:ext cx="3438526" cy="293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b="0" i="1">
                            <a:latin typeface="Cambria Math" panose="02040503050406030204" pitchFamily="18" charset="0"/>
                          </a:rPr>
                          <m:t>𝑐</m:t>
                        </m:r>
                      </m:sub>
                    </m:sSub>
                    <m:r>
                      <a:rPr lang="it-IT" sz="1600" b="0" i="1">
                        <a:latin typeface="Cambria Math" panose="02040503050406030204" pitchFamily="18" charset="0"/>
                      </a:rPr>
                      <m:t>=</m:t>
                    </m:r>
                    <m:d>
                      <m:dPr>
                        <m:ctrlPr>
                          <a:rPr lang="it-IT" sz="1600" b="0" i="1">
                            <a:latin typeface="Cambria Math" panose="02040503050406030204" pitchFamily="18" charset="0"/>
                          </a:rPr>
                        </m:ctrlPr>
                      </m:dPr>
                      <m:e>
                        <m:sSub>
                          <m:sSubPr>
                            <m:ctrlPr>
                              <a:rPr lang="it-IT" sz="160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𝑁</m:t>
                            </m:r>
                          </m:e>
                          <m:sub>
                            <m:r>
                              <a:rPr lang="it-IT" sz="1600" b="0" i="1">
                                <a:solidFill>
                                  <a:schemeClr val="tx1"/>
                                </a:solidFill>
                                <a:effectLst/>
                                <a:latin typeface="Cambria Math" panose="02040503050406030204" pitchFamily="18" charset="0"/>
                                <a:ea typeface="+mn-ea"/>
                                <a:cs typeface="+mn-cs"/>
                              </a:rPr>
                              <m:t>𝑞</m:t>
                            </m:r>
                          </m:sub>
                        </m:sSub>
                        <m:r>
                          <a:rPr lang="it-IT" sz="1600" b="0" i="1">
                            <a:solidFill>
                              <a:schemeClr val="tx1"/>
                            </a:solidFill>
                            <a:effectLst/>
                            <a:latin typeface="Cambria Math" panose="02040503050406030204" pitchFamily="18" charset="0"/>
                            <a:ea typeface="+mn-ea"/>
                            <a:cs typeface="+mn-cs"/>
                          </a:rPr>
                          <m:t>−1</m:t>
                        </m:r>
                      </m:e>
                    </m:d>
                    <m:r>
                      <a:rPr lang="it-IT" sz="1600" b="0" i="1">
                        <a:latin typeface="Cambria Math" panose="02040503050406030204" pitchFamily="18" charset="0"/>
                      </a:rPr>
                      <m:t>𝑐𝑜</m:t>
                    </m:r>
                    <m:r>
                      <a:rPr lang="it-IT" sz="1600" b="0" i="1">
                        <a:solidFill>
                          <a:schemeClr val="tx1"/>
                        </a:solidFill>
                        <a:effectLst/>
                        <a:latin typeface="Cambria Math" panose="02040503050406030204" pitchFamily="18" charset="0"/>
                        <a:ea typeface="+mn-ea"/>
                        <a:cs typeface="+mn-cs"/>
                      </a:rPr>
                      <m:t>𝑡</m:t>
                    </m:r>
                    <m:d>
                      <m:dPr>
                        <m:ctrlPr>
                          <a:rPr lang="it-IT" sz="1600" b="0" i="1">
                            <a:solidFill>
                              <a:schemeClr val="tx1"/>
                            </a:solidFill>
                            <a:effectLst/>
                            <a:latin typeface="Cambria Math" panose="02040503050406030204" pitchFamily="18" charset="0"/>
                            <a:ea typeface="+mn-ea"/>
                            <a:cs typeface="+mn-cs"/>
                          </a:rPr>
                        </m:ctrlPr>
                      </m:dPr>
                      <m:e>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𝜑</m:t>
                            </m:r>
                          </m:e>
                          <m:sup>
                            <m:r>
                              <a:rPr lang="it-IT" sz="1600" b="0" i="1">
                                <a:solidFill>
                                  <a:schemeClr val="tx1"/>
                                </a:solidFill>
                                <a:effectLst/>
                                <a:latin typeface="Cambria Math" panose="02040503050406030204" pitchFamily="18" charset="0"/>
                                <a:ea typeface="+mn-ea"/>
                                <a:cs typeface="+mn-cs"/>
                              </a:rPr>
                              <m:t>′</m:t>
                            </m:r>
                          </m:sup>
                        </m:sSup>
                      </m:e>
                    </m:d>
                  </m:oMath>
                </m:oMathPara>
              </a14:m>
              <a:endParaRPr lang="it-IT" sz="1600"/>
            </a:p>
          </xdr:txBody>
        </xdr:sp>
      </mc:Choice>
      <mc:Fallback xmlns="">
        <xdr:sp macro="" textlink="">
          <xdr:nvSpPr>
            <xdr:cNvPr id="77" name="CasellaDiTesto 76"/>
            <xdr:cNvSpPr txBox="1"/>
          </xdr:nvSpPr>
          <xdr:spPr>
            <a:xfrm>
              <a:off x="0" y="6665119"/>
              <a:ext cx="3438526" cy="293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600" b="0" i="0">
                  <a:latin typeface="Cambria Math" panose="02040503050406030204" pitchFamily="18" charset="0"/>
                </a:rPr>
                <a:t>𝑁_𝑐=(</a:t>
              </a:r>
              <a:r>
                <a:rPr lang="it-IT" sz="1600" b="0" i="0">
                  <a:solidFill>
                    <a:schemeClr val="tx1"/>
                  </a:solidFill>
                  <a:effectLst/>
                  <a:latin typeface="Cambria Math" panose="02040503050406030204" pitchFamily="18" charset="0"/>
                  <a:ea typeface="+mn-ea"/>
                  <a:cs typeface="+mn-cs"/>
                </a:rPr>
                <a:t>𝑁_𝑞−1)</a:t>
              </a:r>
              <a:r>
                <a:rPr lang="it-IT" sz="1600" b="0" i="0">
                  <a:latin typeface="Cambria Math" panose="02040503050406030204" pitchFamily="18" charset="0"/>
                </a:rPr>
                <a:t>𝑐𝑜</a:t>
              </a:r>
              <a:r>
                <a:rPr lang="it-IT" sz="1600" b="0" i="0">
                  <a:solidFill>
                    <a:schemeClr val="tx1"/>
                  </a:solidFill>
                  <a:effectLst/>
                  <a:latin typeface="Cambria Math" panose="02040503050406030204" pitchFamily="18" charset="0"/>
                  <a:ea typeface="+mn-ea"/>
                  <a:cs typeface="+mn-cs"/>
                </a:rPr>
                <a:t>𝑡(𝜑^′ )</a:t>
              </a:r>
              <a:endParaRPr lang="it-IT" sz="1600"/>
            </a:p>
          </xdr:txBody>
        </xdr:sp>
      </mc:Fallback>
    </mc:AlternateContent>
    <xdr:clientData/>
  </xdr:oneCellAnchor>
  <xdr:oneCellAnchor>
    <xdr:from>
      <xdr:col>1</xdr:col>
      <xdr:colOff>154782</xdr:colOff>
      <xdr:row>30</xdr:row>
      <xdr:rowOff>23815</xdr:rowOff>
    </xdr:from>
    <xdr:ext cx="3438526" cy="293222"/>
    <mc:AlternateContent xmlns:mc="http://schemas.openxmlformats.org/markup-compatibility/2006" xmlns:a14="http://schemas.microsoft.com/office/drawing/2010/main">
      <mc:Choice Requires="a14">
        <xdr:sp macro="" textlink="">
          <xdr:nvSpPr>
            <xdr:cNvPr id="78" name="CasellaDiTesto 77"/>
            <xdr:cNvSpPr txBox="1"/>
          </xdr:nvSpPr>
          <xdr:spPr>
            <a:xfrm>
              <a:off x="764382" y="6176965"/>
              <a:ext cx="3438526" cy="293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i="1">
                          <a:latin typeface="Cambria Math" panose="02040503050406030204" pitchFamily="18" charset="0"/>
                          <a:ea typeface="Cambria Math" panose="02040503050406030204" pitchFamily="18" charset="0"/>
                        </a:rPr>
                        <m:t>𝛾</m:t>
                      </m:r>
                    </m:sub>
                  </m:sSub>
                  <m:r>
                    <a:rPr lang="it-IT" sz="1600" b="0" i="1">
                      <a:latin typeface="Cambria Math" panose="02040503050406030204" pitchFamily="18" charset="0"/>
                    </a:rPr>
                    <m:t>=2</m:t>
                  </m:r>
                  <m:d>
                    <m:dPr>
                      <m:ctrlPr>
                        <a:rPr lang="it-IT" sz="1600" b="0" i="1">
                          <a:latin typeface="Cambria Math" panose="02040503050406030204" pitchFamily="18" charset="0"/>
                        </a:rPr>
                      </m:ctrlPr>
                    </m:dPr>
                    <m:e>
                      <m:sSub>
                        <m:sSubPr>
                          <m:ctrlPr>
                            <a:rPr lang="it-IT" sz="160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𝑁</m:t>
                          </m:r>
                        </m:e>
                        <m:sub>
                          <m:r>
                            <a:rPr lang="it-IT" sz="1600" b="0" i="1">
                              <a:solidFill>
                                <a:schemeClr val="tx1"/>
                              </a:solidFill>
                              <a:effectLst/>
                              <a:latin typeface="Cambria Math" panose="02040503050406030204" pitchFamily="18" charset="0"/>
                              <a:ea typeface="+mn-ea"/>
                              <a:cs typeface="+mn-cs"/>
                            </a:rPr>
                            <m:t>𝑞</m:t>
                          </m:r>
                        </m:sub>
                      </m:sSub>
                      <m:r>
                        <a:rPr lang="it-IT" sz="1600" b="0" i="1">
                          <a:solidFill>
                            <a:schemeClr val="tx1"/>
                          </a:solidFill>
                          <a:effectLst/>
                          <a:latin typeface="Cambria Math" panose="02040503050406030204" pitchFamily="18" charset="0"/>
                          <a:ea typeface="+mn-ea"/>
                          <a:cs typeface="+mn-cs"/>
                        </a:rPr>
                        <m:t>+1</m:t>
                      </m:r>
                    </m:e>
                  </m:d>
                  <m:r>
                    <a:rPr lang="it-IT" sz="1600" b="0" i="1">
                      <a:latin typeface="Cambria Math" panose="02040503050406030204" pitchFamily="18" charset="0"/>
                    </a:rPr>
                    <m:t>𝑡𝑎𝑛</m:t>
                  </m:r>
                  <m:d>
                    <m:dPr>
                      <m:ctrlPr>
                        <a:rPr lang="it-IT" sz="1600" b="0" i="1">
                          <a:solidFill>
                            <a:schemeClr val="tx1"/>
                          </a:solidFill>
                          <a:effectLst/>
                          <a:latin typeface="Cambria Math" panose="02040503050406030204" pitchFamily="18" charset="0"/>
                          <a:ea typeface="+mn-ea"/>
                          <a:cs typeface="+mn-cs"/>
                        </a:rPr>
                      </m:ctrlPr>
                    </m:dPr>
                    <m:e>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𝜑</m:t>
                          </m:r>
                        </m:e>
                        <m:sup>
                          <m:r>
                            <a:rPr lang="it-IT" sz="1600" b="0" i="1">
                              <a:solidFill>
                                <a:schemeClr val="tx1"/>
                              </a:solidFill>
                              <a:effectLst/>
                              <a:latin typeface="Cambria Math" panose="02040503050406030204" pitchFamily="18" charset="0"/>
                              <a:ea typeface="+mn-ea"/>
                              <a:cs typeface="+mn-cs"/>
                            </a:rPr>
                            <m:t>′</m:t>
                          </m:r>
                        </m:sup>
                      </m:sSup>
                    </m:e>
                  </m:d>
                </m:oMath>
              </a14:m>
              <a:r>
                <a:rPr lang="it-IT" sz="1600"/>
                <a:t>  ( Vesic</a:t>
              </a:r>
              <a:r>
                <a:rPr lang="it-IT" sz="1600" baseline="0"/>
                <a:t> 1973)</a:t>
              </a:r>
              <a:endParaRPr lang="it-IT" sz="1600"/>
            </a:p>
          </xdr:txBody>
        </xdr:sp>
      </mc:Choice>
      <mc:Fallback xmlns="">
        <xdr:sp macro="" textlink="">
          <xdr:nvSpPr>
            <xdr:cNvPr id="78" name="CasellaDiTesto 77"/>
            <xdr:cNvSpPr txBox="1"/>
          </xdr:nvSpPr>
          <xdr:spPr>
            <a:xfrm>
              <a:off x="764382" y="6176965"/>
              <a:ext cx="3438526" cy="293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600" b="0" i="0">
                  <a:latin typeface="Cambria Math" panose="02040503050406030204" pitchFamily="18" charset="0"/>
                </a:rPr>
                <a:t>𝑁_</a:t>
              </a:r>
              <a:r>
                <a:rPr lang="it-IT" sz="1600" i="0">
                  <a:latin typeface="Cambria Math" panose="02040503050406030204" pitchFamily="18" charset="0"/>
                  <a:ea typeface="Cambria Math" panose="02040503050406030204" pitchFamily="18" charset="0"/>
                </a:rPr>
                <a:t>𝛾</a:t>
              </a:r>
              <a:r>
                <a:rPr lang="it-IT" sz="1600" b="0" i="0">
                  <a:latin typeface="Cambria Math" panose="02040503050406030204" pitchFamily="18" charset="0"/>
                </a:rPr>
                <a:t>=2(</a:t>
              </a:r>
              <a:r>
                <a:rPr lang="it-IT" sz="1600" b="0" i="0">
                  <a:solidFill>
                    <a:schemeClr val="tx1"/>
                  </a:solidFill>
                  <a:effectLst/>
                  <a:latin typeface="Cambria Math" panose="02040503050406030204" pitchFamily="18" charset="0"/>
                  <a:ea typeface="+mn-ea"/>
                  <a:cs typeface="+mn-cs"/>
                </a:rPr>
                <a:t>𝑁_𝑞+1)</a:t>
              </a:r>
              <a:r>
                <a:rPr lang="it-IT" sz="1600" b="0" i="0">
                  <a:latin typeface="Cambria Math" panose="02040503050406030204" pitchFamily="18" charset="0"/>
                </a:rPr>
                <a:t>𝑡𝑎𝑛</a:t>
              </a:r>
              <a:r>
                <a:rPr lang="it-IT" sz="1600" b="0" i="0">
                  <a:solidFill>
                    <a:schemeClr val="tx1"/>
                  </a:solidFill>
                  <a:effectLst/>
                  <a:latin typeface="Cambria Math" panose="02040503050406030204" pitchFamily="18" charset="0"/>
                  <a:ea typeface="+mn-ea"/>
                  <a:cs typeface="+mn-cs"/>
                </a:rPr>
                <a:t>(𝜑^′ )</a:t>
              </a:r>
              <a:r>
                <a:rPr lang="it-IT" sz="1600"/>
                <a:t>  ( Vesic</a:t>
              </a:r>
              <a:r>
                <a:rPr lang="it-IT" sz="1600" baseline="0"/>
                <a:t> 1973)</a:t>
              </a:r>
              <a:endParaRPr lang="it-IT" sz="1600"/>
            </a:p>
          </xdr:txBody>
        </xdr:sp>
      </mc:Fallback>
    </mc:AlternateContent>
    <xdr:clientData/>
  </xdr:oneCellAnchor>
  <xdr:oneCellAnchor>
    <xdr:from>
      <xdr:col>1</xdr:col>
      <xdr:colOff>153987</xdr:colOff>
      <xdr:row>46</xdr:row>
      <xdr:rowOff>110332</xdr:rowOff>
    </xdr:from>
    <xdr:ext cx="780663" cy="265586"/>
    <mc:AlternateContent xmlns:mc="http://schemas.openxmlformats.org/markup-compatibility/2006" xmlns:a14="http://schemas.microsoft.com/office/drawing/2010/main">
      <mc:Choice Requires="a14">
        <xdr:sp macro="" textlink="">
          <xdr:nvSpPr>
            <xdr:cNvPr id="79" name="CasellaDiTesto 78"/>
            <xdr:cNvSpPr txBox="1"/>
          </xdr:nvSpPr>
          <xdr:spPr>
            <a:xfrm>
              <a:off x="763587" y="9359107"/>
              <a:ext cx="780663" cy="2655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b="0" i="1">
                            <a:latin typeface="Cambria Math" panose="02040503050406030204" pitchFamily="18" charset="0"/>
                          </a:rPr>
                          <m:t>𝑞</m:t>
                        </m:r>
                        <m:r>
                          <a:rPr lang="it-IT" sz="1600" b="0" i="1">
                            <a:latin typeface="Cambria Math" panose="02040503050406030204" pitchFamily="18" charset="0"/>
                          </a:rPr>
                          <m:t>,0</m:t>
                        </m:r>
                      </m:sub>
                    </m:sSub>
                    <m:r>
                      <a:rPr lang="it-IT" sz="1600" b="0" i="1">
                        <a:latin typeface="Cambria Math" panose="02040503050406030204" pitchFamily="18" charset="0"/>
                      </a:rPr>
                      <m:t>=1</m:t>
                    </m:r>
                  </m:oMath>
                </m:oMathPara>
              </a14:m>
              <a:endParaRPr lang="it-IT" sz="1600"/>
            </a:p>
          </xdr:txBody>
        </xdr:sp>
      </mc:Choice>
      <mc:Fallback xmlns="">
        <xdr:sp macro="" textlink="">
          <xdr:nvSpPr>
            <xdr:cNvPr id="79" name="CasellaDiTesto 78"/>
            <xdr:cNvSpPr txBox="1"/>
          </xdr:nvSpPr>
          <xdr:spPr>
            <a:xfrm>
              <a:off x="763587" y="9359107"/>
              <a:ext cx="780663" cy="2655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600" b="0" i="0">
                  <a:latin typeface="Cambria Math" panose="02040503050406030204" pitchFamily="18" charset="0"/>
                </a:rPr>
                <a:t>𝑁_(𝑞,0)=1</a:t>
              </a:r>
              <a:endParaRPr lang="it-IT" sz="1600"/>
            </a:p>
          </xdr:txBody>
        </xdr:sp>
      </mc:Fallback>
    </mc:AlternateContent>
    <xdr:clientData/>
  </xdr:oneCellAnchor>
  <xdr:oneCellAnchor>
    <xdr:from>
      <xdr:col>1</xdr:col>
      <xdr:colOff>119062</xdr:colOff>
      <xdr:row>48</xdr:row>
      <xdr:rowOff>107156</xdr:rowOff>
    </xdr:from>
    <xdr:ext cx="1036117" cy="257378"/>
    <mc:AlternateContent xmlns:mc="http://schemas.openxmlformats.org/markup-compatibility/2006" xmlns:a14="http://schemas.microsoft.com/office/drawing/2010/main">
      <mc:Choice Requires="a14">
        <xdr:sp macro="" textlink="">
          <xdr:nvSpPr>
            <xdr:cNvPr id="80" name="CasellaDiTesto 79"/>
            <xdr:cNvSpPr txBox="1"/>
          </xdr:nvSpPr>
          <xdr:spPr>
            <a:xfrm>
              <a:off x="728662" y="9736931"/>
              <a:ext cx="1036117" cy="257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b="0" i="1">
                            <a:latin typeface="Cambria Math" panose="02040503050406030204" pitchFamily="18" charset="0"/>
                          </a:rPr>
                          <m:t>𝑐</m:t>
                        </m:r>
                        <m:r>
                          <a:rPr lang="it-IT" sz="1600" b="0" i="1">
                            <a:latin typeface="Cambria Math" panose="02040503050406030204" pitchFamily="18" charset="0"/>
                          </a:rPr>
                          <m:t>,0</m:t>
                        </m:r>
                      </m:sub>
                    </m:sSub>
                    <m:r>
                      <a:rPr lang="it-IT" sz="1600" b="0" i="1">
                        <a:latin typeface="Cambria Math" panose="02040503050406030204" pitchFamily="18" charset="0"/>
                      </a:rPr>
                      <m:t>=5,14</m:t>
                    </m:r>
                  </m:oMath>
                </m:oMathPara>
              </a14:m>
              <a:endParaRPr lang="it-IT" sz="1600"/>
            </a:p>
          </xdr:txBody>
        </xdr:sp>
      </mc:Choice>
      <mc:Fallback xmlns="">
        <xdr:sp macro="" textlink="">
          <xdr:nvSpPr>
            <xdr:cNvPr id="80" name="CasellaDiTesto 79"/>
            <xdr:cNvSpPr txBox="1"/>
          </xdr:nvSpPr>
          <xdr:spPr>
            <a:xfrm>
              <a:off x="728662" y="9736931"/>
              <a:ext cx="1036117" cy="257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600" b="0" i="0">
                  <a:latin typeface="Cambria Math" panose="02040503050406030204" pitchFamily="18" charset="0"/>
                </a:rPr>
                <a:t>𝑁_(𝑐,0)=5,14</a:t>
              </a:r>
              <a:endParaRPr lang="it-IT" sz="1600"/>
            </a:p>
          </xdr:txBody>
        </xdr:sp>
      </mc:Fallback>
    </mc:AlternateContent>
    <xdr:clientData/>
  </xdr:oneCellAnchor>
  <xdr:oneCellAnchor>
    <xdr:from>
      <xdr:col>1</xdr:col>
      <xdr:colOff>154781</xdr:colOff>
      <xdr:row>44</xdr:row>
      <xdr:rowOff>95250</xdr:rowOff>
    </xdr:from>
    <xdr:ext cx="779316" cy="266227"/>
    <mc:AlternateContent xmlns:mc="http://schemas.openxmlformats.org/markup-compatibility/2006" xmlns:a14="http://schemas.microsoft.com/office/drawing/2010/main">
      <mc:Choice Requires="a14">
        <xdr:sp macro="" textlink="">
          <xdr:nvSpPr>
            <xdr:cNvPr id="81" name="CasellaDiTesto 80"/>
            <xdr:cNvSpPr txBox="1"/>
          </xdr:nvSpPr>
          <xdr:spPr>
            <a:xfrm>
              <a:off x="764381" y="8963025"/>
              <a:ext cx="779316"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i="1">
                            <a:latin typeface="Cambria Math" panose="02040503050406030204" pitchFamily="18" charset="0"/>
                            <a:ea typeface="Cambria Math" panose="02040503050406030204" pitchFamily="18" charset="0"/>
                          </a:rPr>
                          <m:t>𝛾</m:t>
                        </m:r>
                        <m:r>
                          <a:rPr lang="it-IT" sz="1600" b="0" i="1">
                            <a:latin typeface="Cambria Math" panose="02040503050406030204" pitchFamily="18" charset="0"/>
                          </a:rPr>
                          <m:t>,0</m:t>
                        </m:r>
                      </m:sub>
                    </m:sSub>
                    <m:r>
                      <a:rPr lang="it-IT" sz="1600" b="0" i="1">
                        <a:latin typeface="Cambria Math" panose="02040503050406030204" pitchFamily="18" charset="0"/>
                      </a:rPr>
                      <m:t>=1</m:t>
                    </m:r>
                  </m:oMath>
                </m:oMathPara>
              </a14:m>
              <a:endParaRPr lang="it-IT" sz="1600"/>
            </a:p>
          </xdr:txBody>
        </xdr:sp>
      </mc:Choice>
      <mc:Fallback xmlns="">
        <xdr:sp macro="" textlink="">
          <xdr:nvSpPr>
            <xdr:cNvPr id="81" name="CasellaDiTesto 80"/>
            <xdr:cNvSpPr txBox="1"/>
          </xdr:nvSpPr>
          <xdr:spPr>
            <a:xfrm>
              <a:off x="764381" y="8963025"/>
              <a:ext cx="779316"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600" b="0" i="0">
                  <a:latin typeface="Cambria Math" panose="02040503050406030204" pitchFamily="18" charset="0"/>
                </a:rPr>
                <a:t>𝑁_(</a:t>
              </a:r>
              <a:r>
                <a:rPr lang="it-IT" sz="1600" i="0">
                  <a:latin typeface="Cambria Math" panose="02040503050406030204" pitchFamily="18" charset="0"/>
                  <a:ea typeface="Cambria Math" panose="02040503050406030204" pitchFamily="18" charset="0"/>
                </a:rPr>
                <a:t>𝛾</a:t>
              </a:r>
              <a:r>
                <a:rPr lang="it-IT" sz="1600" b="0" i="0">
                  <a:latin typeface="Cambria Math" panose="02040503050406030204" pitchFamily="18" charset="0"/>
                </a:rPr>
                <a:t>,0)=1</a:t>
              </a:r>
              <a:endParaRPr lang="it-IT" sz="1600"/>
            </a:p>
          </xdr:txBody>
        </xdr:sp>
      </mc:Fallback>
    </mc:AlternateContent>
    <xdr:clientData/>
  </xdr:oneCellAnchor>
  <xdr:oneCellAnchor>
    <xdr:from>
      <xdr:col>1</xdr:col>
      <xdr:colOff>178593</xdr:colOff>
      <xdr:row>26</xdr:row>
      <xdr:rowOff>83344</xdr:rowOff>
    </xdr:from>
    <xdr:ext cx="9013031" cy="347659"/>
    <mc:AlternateContent xmlns:mc="http://schemas.openxmlformats.org/markup-compatibility/2006" xmlns:a14="http://schemas.microsoft.com/office/drawing/2010/main">
      <mc:Choice Requires="a14">
        <xdr:sp macro="" textlink="">
          <xdr:nvSpPr>
            <xdr:cNvPr id="82" name="CasellaDiTesto 81"/>
            <xdr:cNvSpPr txBox="1"/>
          </xdr:nvSpPr>
          <xdr:spPr>
            <a:xfrm>
              <a:off x="788193" y="5426869"/>
              <a:ext cx="9013031" cy="347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𝑞</m:t>
                      </m:r>
                    </m:e>
                    <m:sub>
                      <m:r>
                        <a:rPr lang="it-IT" sz="1600" b="0" i="1">
                          <a:latin typeface="Cambria Math" panose="02040503050406030204" pitchFamily="18" charset="0"/>
                        </a:rPr>
                        <m:t>𝑙𝑖𝑚</m:t>
                      </m:r>
                    </m:sub>
                  </m:sSub>
                  <m:r>
                    <a:rPr lang="it-IT" sz="1600" b="0" i="1">
                      <a:latin typeface="Cambria Math" panose="02040503050406030204" pitchFamily="18" charset="0"/>
                    </a:rPr>
                    <m:t>=</m:t>
                  </m:r>
                  <m:f>
                    <m:fPr>
                      <m:ctrlPr>
                        <a:rPr lang="it-IT" sz="1600" b="0" i="1">
                          <a:latin typeface="Cambria Math" panose="02040503050406030204" pitchFamily="18" charset="0"/>
                        </a:rPr>
                      </m:ctrlPr>
                    </m:fPr>
                    <m:num>
                      <m:r>
                        <a:rPr lang="it-IT" sz="1600" b="0" i="1">
                          <a:latin typeface="Cambria Math" panose="02040503050406030204" pitchFamily="18" charset="0"/>
                        </a:rPr>
                        <m:t>1</m:t>
                      </m:r>
                    </m:num>
                    <m:den>
                      <m:r>
                        <a:rPr lang="it-IT" sz="1600" b="0" i="1">
                          <a:latin typeface="Cambria Math" panose="02040503050406030204" pitchFamily="18" charset="0"/>
                        </a:rPr>
                        <m:t>2</m:t>
                      </m:r>
                    </m:den>
                  </m:f>
                  <m:sSup>
                    <m:sSupPr>
                      <m:ctrlPr>
                        <a:rPr lang="it-IT" sz="1600" b="0" i="1">
                          <a:latin typeface="Cambria Math" panose="02040503050406030204" pitchFamily="18" charset="0"/>
                        </a:rPr>
                      </m:ctrlPr>
                    </m:sSupPr>
                    <m:e>
                      <m:r>
                        <a:rPr lang="it-IT" sz="1600" b="0" i="1">
                          <a:latin typeface="Cambria Math" panose="02040503050406030204" pitchFamily="18" charset="0"/>
                          <a:ea typeface="Cambria Math" panose="02040503050406030204" pitchFamily="18" charset="0"/>
                        </a:rPr>
                        <m:t>𝛾</m:t>
                      </m:r>
                    </m:e>
                    <m:sup>
                      <m:r>
                        <a:rPr lang="it-IT" sz="1600" b="0" i="1">
                          <a:latin typeface="Cambria Math" panose="02040503050406030204" pitchFamily="18" charset="0"/>
                        </a:rPr>
                        <m:t>′</m:t>
                      </m:r>
                    </m:sup>
                  </m:sSup>
                  <m:sSup>
                    <m:sSupPr>
                      <m:ctrlPr>
                        <a:rPr lang="it-IT" sz="1600" b="0" i="1">
                          <a:latin typeface="Cambria Math" panose="02040503050406030204" pitchFamily="18" charset="0"/>
                        </a:rPr>
                      </m:ctrlPr>
                    </m:sSupPr>
                    <m:e>
                      <m:r>
                        <a:rPr lang="it-IT" sz="1600" b="0" i="1">
                          <a:latin typeface="Cambria Math" panose="02040503050406030204" pitchFamily="18" charset="0"/>
                        </a:rPr>
                        <m:t>𝐵</m:t>
                      </m:r>
                    </m:e>
                    <m:sup>
                      <m:r>
                        <a:rPr lang="it-IT" sz="1600" b="0" i="1">
                          <a:latin typeface="Cambria Math" panose="02040503050406030204" pitchFamily="18" charset="0"/>
                        </a:rPr>
                        <m:t>∗</m:t>
                      </m:r>
                    </m:sup>
                  </m:sSup>
                  <m:sSub>
                    <m:sSubPr>
                      <m:ctrlPr>
                        <a:rPr lang="it-IT" sz="1600" b="0" i="1">
                          <a:latin typeface="Cambria Math" panose="02040503050406030204" pitchFamily="18" charset="0"/>
                        </a:rPr>
                      </m:ctrlPr>
                    </m:sSubPr>
                    <m:e>
                      <m:r>
                        <a:rPr lang="it-IT" sz="1600" b="0" i="1">
                          <a:latin typeface="Cambria Math" panose="02040503050406030204" pitchFamily="18" charset="0"/>
                        </a:rPr>
                        <m:t>𝑁</m:t>
                      </m:r>
                    </m:e>
                    <m:sub>
                      <m:r>
                        <a:rPr lang="it-IT" sz="1600" b="0" i="1">
                          <a:latin typeface="Cambria Math" panose="02040503050406030204" pitchFamily="18" charset="0"/>
                          <a:ea typeface="Cambria Math" panose="02040503050406030204" pitchFamily="18" charset="0"/>
                        </a:rPr>
                        <m:t>𝛾</m:t>
                      </m:r>
                    </m:sub>
                  </m:sSub>
                  <m:sSub>
                    <m:sSubPr>
                      <m:ctrlPr>
                        <a:rPr lang="it-IT" sz="1600" b="0" i="1">
                          <a:latin typeface="Cambria Math" panose="02040503050406030204" pitchFamily="18" charset="0"/>
                        </a:rPr>
                      </m:ctrlPr>
                    </m:sSubPr>
                    <m:e>
                      <m:r>
                        <a:rPr lang="it-IT" sz="1600" b="0" i="1">
                          <a:latin typeface="Cambria Math" panose="02040503050406030204" pitchFamily="18" charset="0"/>
                        </a:rPr>
                        <m:t>𝑠</m:t>
                      </m:r>
                    </m:e>
                    <m:sub>
                      <m:r>
                        <a:rPr lang="it-IT" sz="1600" b="0" i="1">
                          <a:latin typeface="Cambria Math" panose="02040503050406030204" pitchFamily="18" charset="0"/>
                          <a:ea typeface="Cambria Math" panose="02040503050406030204" pitchFamily="18" charset="0"/>
                        </a:rPr>
                        <m:t>𝛾</m:t>
                      </m:r>
                    </m:sub>
                  </m:sSub>
                  <m:sSub>
                    <m:sSubPr>
                      <m:ctrlPr>
                        <a:rPr lang="it-IT" sz="1600" b="0" i="1">
                          <a:latin typeface="Cambria Math" panose="02040503050406030204" pitchFamily="18" charset="0"/>
                        </a:rPr>
                      </m:ctrlPr>
                    </m:sSubPr>
                    <m:e>
                      <m:r>
                        <a:rPr lang="it-IT" sz="1600" b="0" i="1">
                          <a:latin typeface="Cambria Math" panose="02040503050406030204" pitchFamily="18" charset="0"/>
                        </a:rPr>
                        <m:t>𝑑</m:t>
                      </m:r>
                    </m:e>
                    <m:sub>
                      <m:r>
                        <a:rPr lang="it-IT" sz="1600" b="0" i="1">
                          <a:latin typeface="Cambria Math" panose="02040503050406030204" pitchFamily="18" charset="0"/>
                          <a:ea typeface="Cambria Math" panose="02040503050406030204" pitchFamily="18" charset="0"/>
                        </a:rPr>
                        <m:t>𝛾</m:t>
                      </m:r>
                    </m:sub>
                  </m:sSub>
                  <m:sSub>
                    <m:sSubPr>
                      <m:ctrlPr>
                        <a:rPr lang="it-IT" sz="1600" b="0" i="1">
                          <a:latin typeface="Cambria Math" panose="02040503050406030204" pitchFamily="18" charset="0"/>
                        </a:rPr>
                      </m:ctrlPr>
                    </m:sSubPr>
                    <m:e>
                      <m:r>
                        <a:rPr lang="it-IT" sz="1600" b="0" i="1">
                          <a:latin typeface="Cambria Math" panose="02040503050406030204" pitchFamily="18" charset="0"/>
                        </a:rPr>
                        <m:t>𝑖</m:t>
                      </m:r>
                    </m:e>
                    <m:sub>
                      <m:r>
                        <a:rPr lang="it-IT" sz="1600" b="0" i="1">
                          <a:latin typeface="Cambria Math" panose="02040503050406030204" pitchFamily="18" charset="0"/>
                          <a:ea typeface="Cambria Math" panose="02040503050406030204" pitchFamily="18" charset="0"/>
                        </a:rPr>
                        <m:t>𝛾</m:t>
                      </m:r>
                    </m:sub>
                  </m:sSub>
                  <m:sSub>
                    <m:sSubPr>
                      <m:ctrlPr>
                        <a:rPr lang="it-IT" sz="1600" b="0" i="1">
                          <a:latin typeface="Cambria Math" panose="02040503050406030204" pitchFamily="18" charset="0"/>
                        </a:rPr>
                      </m:ctrlPr>
                    </m:sSubPr>
                    <m:e>
                      <m:r>
                        <a:rPr lang="it-IT" sz="1600" b="0" i="1">
                          <a:latin typeface="Cambria Math" panose="02040503050406030204" pitchFamily="18" charset="0"/>
                        </a:rPr>
                        <m:t>𝑏</m:t>
                      </m:r>
                    </m:e>
                    <m:sub>
                      <m:r>
                        <a:rPr lang="it-IT" sz="1600" b="0" i="1">
                          <a:latin typeface="Cambria Math" panose="02040503050406030204" pitchFamily="18" charset="0"/>
                          <a:ea typeface="Cambria Math" panose="02040503050406030204" pitchFamily="18" charset="0"/>
                        </a:rPr>
                        <m:t>𝛾</m:t>
                      </m:r>
                    </m:sub>
                  </m:sSub>
                  <m:r>
                    <a:rPr lang="it-IT" sz="1600" b="0" i="1">
                      <a:latin typeface="Cambria Math" panose="02040503050406030204" pitchFamily="18" charset="0"/>
                    </a:rPr>
                    <m:t>+</m:t>
                  </m:r>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𝑐</m:t>
                      </m:r>
                    </m:e>
                    <m:sup>
                      <m:r>
                        <a:rPr lang="it-IT" sz="1600" b="0" i="1">
                          <a:solidFill>
                            <a:schemeClr val="tx1"/>
                          </a:solidFill>
                          <a:effectLst/>
                          <a:latin typeface="Cambria Math" panose="02040503050406030204" pitchFamily="18" charset="0"/>
                          <a:ea typeface="+mn-ea"/>
                          <a:cs typeface="+mn-cs"/>
                        </a:rPr>
                        <m:t>′</m:t>
                      </m:r>
                    </m:sup>
                  </m:sSup>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𝑁</m:t>
                      </m:r>
                    </m:e>
                    <m:sub>
                      <m:r>
                        <a:rPr lang="it-IT" sz="1600" b="0" i="1">
                          <a:solidFill>
                            <a:schemeClr val="tx1"/>
                          </a:solidFill>
                          <a:effectLst/>
                          <a:latin typeface="Cambria Math" panose="02040503050406030204" pitchFamily="18" charset="0"/>
                          <a:ea typeface="+mn-ea"/>
                          <a:cs typeface="+mn-cs"/>
                        </a:rPr>
                        <m:t>𝑐</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𝑠</m:t>
                      </m:r>
                    </m:e>
                    <m:sub>
                      <m:r>
                        <a:rPr lang="it-IT" sz="1600" b="0" i="1">
                          <a:solidFill>
                            <a:schemeClr val="tx1"/>
                          </a:solidFill>
                          <a:effectLst/>
                          <a:latin typeface="Cambria Math" panose="02040503050406030204" pitchFamily="18" charset="0"/>
                          <a:ea typeface="+mn-ea"/>
                          <a:cs typeface="+mn-cs"/>
                        </a:rPr>
                        <m:t>𝑐</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𝑑</m:t>
                      </m:r>
                    </m:e>
                    <m:sub>
                      <m:r>
                        <a:rPr lang="it-IT" sz="1600" b="0" i="1">
                          <a:solidFill>
                            <a:schemeClr val="tx1"/>
                          </a:solidFill>
                          <a:effectLst/>
                          <a:latin typeface="Cambria Math" panose="02040503050406030204" pitchFamily="18" charset="0"/>
                          <a:ea typeface="+mn-ea"/>
                          <a:cs typeface="+mn-cs"/>
                        </a:rPr>
                        <m:t>𝑐</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𝑖</m:t>
                      </m:r>
                    </m:e>
                    <m:sub>
                      <m:r>
                        <a:rPr lang="it-IT" sz="1600" b="0" i="1">
                          <a:solidFill>
                            <a:schemeClr val="tx1"/>
                          </a:solidFill>
                          <a:effectLst/>
                          <a:latin typeface="Cambria Math" panose="02040503050406030204" pitchFamily="18" charset="0"/>
                          <a:ea typeface="+mn-ea"/>
                          <a:cs typeface="+mn-cs"/>
                        </a:rPr>
                        <m:t>𝑐</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𝑏</m:t>
                      </m:r>
                    </m:e>
                    <m:sub>
                      <m:r>
                        <a:rPr lang="it-IT" sz="1600" b="0" i="1">
                          <a:solidFill>
                            <a:schemeClr val="tx1"/>
                          </a:solidFill>
                          <a:effectLst/>
                          <a:latin typeface="Cambria Math" panose="02040503050406030204" pitchFamily="18" charset="0"/>
                          <a:ea typeface="+mn-ea"/>
                          <a:cs typeface="+mn-cs"/>
                        </a:rPr>
                        <m:t>𝑐</m:t>
                      </m:r>
                    </m:sub>
                  </m:sSub>
                  <m:r>
                    <a:rPr lang="it-IT" sz="1600" b="0" i="1">
                      <a:solidFill>
                        <a:schemeClr val="tx1"/>
                      </a:solidFill>
                      <a:effectLst/>
                      <a:latin typeface="Cambria Math" panose="02040503050406030204" pitchFamily="18" charset="0"/>
                      <a:ea typeface="+mn-ea"/>
                      <a:cs typeface="+mn-cs"/>
                    </a:rPr>
                    <m:t>+</m:t>
                  </m:r>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𝑞</m:t>
                      </m:r>
                    </m:e>
                    <m:sup>
                      <m:r>
                        <a:rPr lang="it-IT" sz="1600" b="0" i="1">
                          <a:solidFill>
                            <a:schemeClr val="tx1"/>
                          </a:solidFill>
                          <a:effectLst/>
                          <a:latin typeface="Cambria Math" panose="02040503050406030204" pitchFamily="18" charset="0"/>
                          <a:ea typeface="+mn-ea"/>
                          <a:cs typeface="+mn-cs"/>
                        </a:rPr>
                        <m:t>′</m:t>
                      </m:r>
                    </m:sup>
                  </m:sSup>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𝑁</m:t>
                      </m:r>
                    </m:e>
                    <m:sub>
                      <m:r>
                        <a:rPr lang="it-IT" sz="1600" b="0" i="1">
                          <a:solidFill>
                            <a:schemeClr val="tx1"/>
                          </a:solidFill>
                          <a:effectLst/>
                          <a:latin typeface="Cambria Math" panose="02040503050406030204" pitchFamily="18" charset="0"/>
                          <a:ea typeface="+mn-ea"/>
                          <a:cs typeface="+mn-cs"/>
                        </a:rPr>
                        <m:t>𝑞</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𝑠</m:t>
                      </m:r>
                    </m:e>
                    <m:sub>
                      <m:r>
                        <a:rPr lang="it-IT" sz="1600" b="0" i="1">
                          <a:solidFill>
                            <a:schemeClr val="tx1"/>
                          </a:solidFill>
                          <a:effectLst/>
                          <a:latin typeface="Cambria Math" panose="02040503050406030204" pitchFamily="18" charset="0"/>
                          <a:ea typeface="+mn-ea"/>
                          <a:cs typeface="+mn-cs"/>
                        </a:rPr>
                        <m:t>𝑞</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𝑑</m:t>
                      </m:r>
                    </m:e>
                    <m:sub>
                      <m:r>
                        <a:rPr lang="it-IT" sz="1600" b="0" i="1">
                          <a:solidFill>
                            <a:schemeClr val="tx1"/>
                          </a:solidFill>
                          <a:effectLst/>
                          <a:latin typeface="Cambria Math" panose="02040503050406030204" pitchFamily="18" charset="0"/>
                          <a:ea typeface="+mn-ea"/>
                          <a:cs typeface="+mn-cs"/>
                        </a:rPr>
                        <m:t>𝑞</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𝑖</m:t>
                      </m:r>
                    </m:e>
                    <m:sub>
                      <m:r>
                        <a:rPr lang="it-IT" sz="1600" b="0" i="1">
                          <a:solidFill>
                            <a:schemeClr val="tx1"/>
                          </a:solidFill>
                          <a:effectLst/>
                          <a:latin typeface="Cambria Math" panose="02040503050406030204" pitchFamily="18" charset="0"/>
                          <a:ea typeface="+mn-ea"/>
                          <a:cs typeface="+mn-cs"/>
                        </a:rPr>
                        <m:t>𝑞</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𝑏</m:t>
                      </m:r>
                    </m:e>
                    <m:sub>
                      <m:r>
                        <a:rPr lang="it-IT" sz="1600" b="0" i="1">
                          <a:solidFill>
                            <a:schemeClr val="tx1"/>
                          </a:solidFill>
                          <a:effectLst/>
                          <a:latin typeface="Cambria Math" panose="02040503050406030204" pitchFamily="18" charset="0"/>
                          <a:ea typeface="+mn-ea"/>
                          <a:cs typeface="+mn-cs"/>
                        </a:rPr>
                        <m:t>𝑞</m:t>
                      </m:r>
                    </m:sub>
                  </m:sSub>
                </m:oMath>
              </a14:m>
              <a:r>
                <a:rPr lang="it-IT" sz="1600"/>
                <a:t>    (Brinch-Hansen</a:t>
              </a:r>
              <a:r>
                <a:rPr lang="it-IT" sz="1600" baseline="0"/>
                <a:t> 1970)</a:t>
              </a:r>
              <a:endParaRPr lang="it-IT" sz="1600"/>
            </a:p>
          </xdr:txBody>
        </xdr:sp>
      </mc:Choice>
      <mc:Fallback xmlns="">
        <xdr:sp macro="" textlink="">
          <xdr:nvSpPr>
            <xdr:cNvPr id="82" name="CasellaDiTesto 81"/>
            <xdr:cNvSpPr txBox="1"/>
          </xdr:nvSpPr>
          <xdr:spPr>
            <a:xfrm>
              <a:off x="788193" y="5426869"/>
              <a:ext cx="9013031" cy="347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600" b="0" i="0">
                  <a:latin typeface="Cambria Math" panose="02040503050406030204" pitchFamily="18" charset="0"/>
                </a:rPr>
                <a:t>𝑞_𝑙𝑖𝑚=1/2 </a:t>
              </a:r>
              <a:r>
                <a:rPr lang="it-IT" sz="1600" b="0" i="0">
                  <a:latin typeface="Cambria Math" panose="02040503050406030204" pitchFamily="18" charset="0"/>
                  <a:ea typeface="Cambria Math" panose="02040503050406030204" pitchFamily="18" charset="0"/>
                </a:rPr>
                <a:t>𝛾^</a:t>
              </a:r>
              <a:r>
                <a:rPr lang="it-IT" sz="1600" b="0" i="0">
                  <a:latin typeface="Cambria Math" panose="02040503050406030204" pitchFamily="18" charset="0"/>
                </a:rPr>
                <a:t>′ 𝐵^∗ 𝑁_</a:t>
              </a:r>
              <a:r>
                <a:rPr lang="it-IT" sz="1600" b="0" i="0">
                  <a:latin typeface="Cambria Math" panose="02040503050406030204" pitchFamily="18" charset="0"/>
                  <a:ea typeface="Cambria Math" panose="02040503050406030204" pitchFamily="18" charset="0"/>
                </a:rPr>
                <a:t>𝛾 </a:t>
              </a:r>
              <a:r>
                <a:rPr lang="it-IT" sz="1600" b="0" i="0">
                  <a:latin typeface="Cambria Math" panose="02040503050406030204" pitchFamily="18" charset="0"/>
                </a:rPr>
                <a:t>𝑠_</a:t>
              </a:r>
              <a:r>
                <a:rPr lang="it-IT" sz="1600" b="0" i="0">
                  <a:latin typeface="Cambria Math" panose="02040503050406030204" pitchFamily="18" charset="0"/>
                  <a:ea typeface="Cambria Math" panose="02040503050406030204" pitchFamily="18" charset="0"/>
                </a:rPr>
                <a:t>𝛾 </a:t>
              </a:r>
              <a:r>
                <a:rPr lang="it-IT" sz="1600" b="0" i="0">
                  <a:latin typeface="Cambria Math" panose="02040503050406030204" pitchFamily="18" charset="0"/>
                </a:rPr>
                <a:t>𝑑_</a:t>
              </a:r>
              <a:r>
                <a:rPr lang="it-IT" sz="1600" b="0" i="0">
                  <a:latin typeface="Cambria Math" panose="02040503050406030204" pitchFamily="18" charset="0"/>
                  <a:ea typeface="Cambria Math" panose="02040503050406030204" pitchFamily="18" charset="0"/>
                </a:rPr>
                <a:t>𝛾 </a:t>
              </a:r>
              <a:r>
                <a:rPr lang="it-IT" sz="1600" b="0" i="0">
                  <a:latin typeface="Cambria Math" panose="02040503050406030204" pitchFamily="18" charset="0"/>
                </a:rPr>
                <a:t>𝑖_</a:t>
              </a:r>
              <a:r>
                <a:rPr lang="it-IT" sz="1600" b="0" i="0">
                  <a:latin typeface="Cambria Math" panose="02040503050406030204" pitchFamily="18" charset="0"/>
                  <a:ea typeface="Cambria Math" panose="02040503050406030204" pitchFamily="18" charset="0"/>
                </a:rPr>
                <a:t>𝛾 </a:t>
              </a:r>
              <a:r>
                <a:rPr lang="it-IT" sz="1600" b="0" i="0">
                  <a:latin typeface="Cambria Math" panose="02040503050406030204" pitchFamily="18" charset="0"/>
                </a:rPr>
                <a:t>𝑏_</a:t>
              </a:r>
              <a:r>
                <a:rPr lang="it-IT" sz="1600" b="0" i="0">
                  <a:latin typeface="Cambria Math" panose="02040503050406030204" pitchFamily="18" charset="0"/>
                  <a:ea typeface="Cambria Math" panose="02040503050406030204" pitchFamily="18" charset="0"/>
                </a:rPr>
                <a:t>𝛾</a:t>
              </a:r>
              <a:r>
                <a:rPr lang="it-IT" sz="1600" b="0" i="0">
                  <a:latin typeface="Cambria Math" panose="02040503050406030204" pitchFamily="18" charset="0"/>
                </a:rPr>
                <a:t>+</a:t>
              </a:r>
              <a:r>
                <a:rPr lang="it-IT" sz="1600" b="0" i="0">
                  <a:solidFill>
                    <a:schemeClr val="tx1"/>
                  </a:solidFill>
                  <a:effectLst/>
                  <a:latin typeface="Cambria Math" panose="02040503050406030204" pitchFamily="18" charset="0"/>
                  <a:ea typeface="+mn-ea"/>
                  <a:cs typeface="+mn-cs"/>
                </a:rPr>
                <a:t>𝑐^′ 𝑁_𝑐 𝑠_𝑐 𝑑_𝑐 𝑖_𝑐 𝑏_𝑐+𝑞^′ 𝑁_𝑞 𝑠_𝑞 𝑑_𝑞 𝑖_𝑞 𝑏_𝑞</a:t>
              </a:r>
              <a:r>
                <a:rPr lang="it-IT" sz="1600"/>
                <a:t>    (Brinch-Hansen</a:t>
              </a:r>
              <a:r>
                <a:rPr lang="it-IT" sz="1600" baseline="0"/>
                <a:t> 1970)</a:t>
              </a:r>
              <a:endParaRPr lang="it-IT" sz="1600"/>
            </a:p>
          </xdr:txBody>
        </xdr:sp>
      </mc:Fallback>
    </mc:AlternateContent>
    <xdr:clientData/>
  </xdr:oneCellAnchor>
  <xdr:oneCellAnchor>
    <xdr:from>
      <xdr:col>1</xdr:col>
      <xdr:colOff>166688</xdr:colOff>
      <xdr:row>41</xdr:row>
      <xdr:rowOff>178594</xdr:rowOff>
    </xdr:from>
    <xdr:ext cx="5643562" cy="257378"/>
    <mc:AlternateContent xmlns:mc="http://schemas.openxmlformats.org/markup-compatibility/2006" xmlns:a14="http://schemas.microsoft.com/office/drawing/2010/main">
      <mc:Choice Requires="a14">
        <xdr:sp macro="" textlink="">
          <xdr:nvSpPr>
            <xdr:cNvPr id="83" name="CasellaDiTesto 82"/>
            <xdr:cNvSpPr txBox="1"/>
          </xdr:nvSpPr>
          <xdr:spPr>
            <a:xfrm>
              <a:off x="776288" y="8474869"/>
              <a:ext cx="5643562" cy="257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𝑞</m:t>
                      </m:r>
                    </m:e>
                    <m:sub>
                      <m:r>
                        <a:rPr lang="it-IT" sz="1600" b="0" i="1">
                          <a:latin typeface="Cambria Math" panose="02040503050406030204" pitchFamily="18" charset="0"/>
                        </a:rPr>
                        <m:t>𝑙𝑖𝑚</m:t>
                      </m:r>
                    </m:sub>
                  </m:sSub>
                  <m:r>
                    <a:rPr lang="it-IT" sz="1600" b="0" i="1">
                      <a:latin typeface="Cambria Math" panose="02040503050406030204" pitchFamily="18" charset="0"/>
                    </a:rPr>
                    <m:t>=</m:t>
                  </m:r>
                  <m:sSub>
                    <m:sSubPr>
                      <m:ctrlPr>
                        <a:rPr lang="it-IT" sz="1600" b="0" i="1">
                          <a:latin typeface="Cambria Math" panose="02040503050406030204" pitchFamily="18" charset="0"/>
                        </a:rPr>
                      </m:ctrlPr>
                    </m:sSubPr>
                    <m:e>
                      <m:r>
                        <a:rPr lang="it-IT" sz="1600" b="0" i="1">
                          <a:latin typeface="Cambria Math" panose="02040503050406030204" pitchFamily="18" charset="0"/>
                        </a:rPr>
                        <m:t>𝑐</m:t>
                      </m:r>
                    </m:e>
                    <m:sub>
                      <m:r>
                        <a:rPr lang="it-IT" sz="1600" b="0" i="1">
                          <a:latin typeface="Cambria Math" panose="02040503050406030204" pitchFamily="18" charset="0"/>
                        </a:rPr>
                        <m:t>𝑢</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𝑁</m:t>
                      </m:r>
                    </m:e>
                    <m:sub>
                      <m:r>
                        <a:rPr lang="it-IT" sz="1600" b="0" i="1">
                          <a:solidFill>
                            <a:schemeClr val="tx1"/>
                          </a:solidFill>
                          <a:effectLst/>
                          <a:latin typeface="Cambria Math" panose="02040503050406030204" pitchFamily="18" charset="0"/>
                          <a:ea typeface="+mn-ea"/>
                          <a:cs typeface="+mn-cs"/>
                        </a:rPr>
                        <m:t>𝑐</m:t>
                      </m:r>
                      <m:r>
                        <a:rPr lang="it-IT" sz="1600" b="0" i="1">
                          <a:solidFill>
                            <a:schemeClr val="tx1"/>
                          </a:solidFill>
                          <a:effectLst/>
                          <a:latin typeface="Cambria Math" panose="02040503050406030204" pitchFamily="18" charset="0"/>
                          <a:ea typeface="+mn-ea"/>
                          <a:cs typeface="+mn-cs"/>
                        </a:rPr>
                        <m:t>,0</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𝑠</m:t>
                      </m:r>
                    </m:e>
                    <m:sub>
                      <m:r>
                        <a:rPr lang="it-IT" sz="1600" b="0" i="1">
                          <a:solidFill>
                            <a:schemeClr val="tx1"/>
                          </a:solidFill>
                          <a:effectLst/>
                          <a:latin typeface="Cambria Math" panose="02040503050406030204" pitchFamily="18" charset="0"/>
                          <a:ea typeface="+mn-ea"/>
                          <a:cs typeface="+mn-cs"/>
                        </a:rPr>
                        <m:t>𝑐</m:t>
                      </m:r>
                      <m:r>
                        <a:rPr lang="it-IT" sz="1600" b="0" i="1">
                          <a:solidFill>
                            <a:schemeClr val="tx1"/>
                          </a:solidFill>
                          <a:effectLst/>
                          <a:latin typeface="Cambria Math" panose="02040503050406030204" pitchFamily="18" charset="0"/>
                          <a:ea typeface="+mn-ea"/>
                          <a:cs typeface="+mn-cs"/>
                        </a:rPr>
                        <m:t>,0</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𝑑</m:t>
                      </m:r>
                    </m:e>
                    <m:sub>
                      <m:r>
                        <a:rPr lang="it-IT" sz="1600" b="0" i="1">
                          <a:solidFill>
                            <a:schemeClr val="tx1"/>
                          </a:solidFill>
                          <a:effectLst/>
                          <a:latin typeface="Cambria Math" panose="02040503050406030204" pitchFamily="18" charset="0"/>
                          <a:ea typeface="+mn-ea"/>
                          <a:cs typeface="+mn-cs"/>
                        </a:rPr>
                        <m:t>𝑐</m:t>
                      </m:r>
                      <m:r>
                        <a:rPr lang="it-IT" sz="1600" b="0" i="1">
                          <a:solidFill>
                            <a:schemeClr val="tx1"/>
                          </a:solidFill>
                          <a:effectLst/>
                          <a:latin typeface="Cambria Math" panose="02040503050406030204" pitchFamily="18" charset="0"/>
                          <a:ea typeface="+mn-ea"/>
                          <a:cs typeface="+mn-cs"/>
                        </a:rPr>
                        <m:t>,0</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𝑖</m:t>
                      </m:r>
                    </m:e>
                    <m:sub>
                      <m:r>
                        <a:rPr lang="it-IT" sz="1600" b="0" i="1">
                          <a:solidFill>
                            <a:schemeClr val="tx1"/>
                          </a:solidFill>
                          <a:effectLst/>
                          <a:latin typeface="Cambria Math" panose="02040503050406030204" pitchFamily="18" charset="0"/>
                          <a:ea typeface="+mn-ea"/>
                          <a:cs typeface="+mn-cs"/>
                        </a:rPr>
                        <m:t>𝑐</m:t>
                      </m:r>
                      <m:r>
                        <a:rPr lang="it-IT" sz="1600" b="0" i="1">
                          <a:solidFill>
                            <a:schemeClr val="tx1"/>
                          </a:solidFill>
                          <a:effectLst/>
                          <a:latin typeface="Cambria Math" panose="02040503050406030204" pitchFamily="18" charset="0"/>
                          <a:ea typeface="+mn-ea"/>
                          <a:cs typeface="+mn-cs"/>
                        </a:rPr>
                        <m:t>,0</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𝑏</m:t>
                      </m:r>
                    </m:e>
                    <m:sub>
                      <m:r>
                        <a:rPr lang="it-IT" sz="1600" b="0" i="1">
                          <a:solidFill>
                            <a:schemeClr val="tx1"/>
                          </a:solidFill>
                          <a:effectLst/>
                          <a:latin typeface="Cambria Math" panose="02040503050406030204" pitchFamily="18" charset="0"/>
                          <a:ea typeface="+mn-ea"/>
                          <a:cs typeface="+mn-cs"/>
                        </a:rPr>
                        <m:t>𝑐</m:t>
                      </m:r>
                      <m:r>
                        <a:rPr lang="it-IT" sz="1600" b="0" i="1">
                          <a:solidFill>
                            <a:schemeClr val="tx1"/>
                          </a:solidFill>
                          <a:effectLst/>
                          <a:latin typeface="Cambria Math" panose="02040503050406030204" pitchFamily="18" charset="0"/>
                          <a:ea typeface="+mn-ea"/>
                          <a:cs typeface="+mn-cs"/>
                        </a:rPr>
                        <m:t>,0</m:t>
                      </m:r>
                    </m:sub>
                  </m:sSub>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𝑧</m:t>
                      </m:r>
                    </m:e>
                    <m:sub>
                      <m:r>
                        <a:rPr lang="it-IT" sz="1600" b="0" i="1">
                          <a:solidFill>
                            <a:schemeClr val="tx1"/>
                          </a:solidFill>
                          <a:effectLst/>
                          <a:latin typeface="Cambria Math" panose="02040503050406030204" pitchFamily="18" charset="0"/>
                          <a:ea typeface="+mn-ea"/>
                          <a:cs typeface="+mn-cs"/>
                        </a:rPr>
                        <m:t>𝑐</m:t>
                      </m:r>
                      <m:r>
                        <a:rPr lang="it-IT" sz="1600" b="0" i="1">
                          <a:solidFill>
                            <a:schemeClr val="tx1"/>
                          </a:solidFill>
                          <a:effectLst/>
                          <a:latin typeface="Cambria Math" panose="02040503050406030204" pitchFamily="18" charset="0"/>
                          <a:ea typeface="+mn-ea"/>
                          <a:cs typeface="+mn-cs"/>
                        </a:rPr>
                        <m:t>,0</m:t>
                      </m:r>
                    </m:sub>
                  </m:sSub>
                  <m:r>
                    <a:rPr lang="it-IT" sz="1600" b="0" i="1">
                      <a:solidFill>
                        <a:schemeClr val="tx1"/>
                      </a:solidFill>
                      <a:effectLst/>
                      <a:latin typeface="Cambria Math" panose="02040503050406030204" pitchFamily="18" charset="0"/>
                      <a:ea typeface="+mn-ea"/>
                      <a:cs typeface="+mn-cs"/>
                    </a:rPr>
                    <m:t>+</m:t>
                  </m:r>
                  <m:r>
                    <a:rPr lang="it-IT" sz="1600" b="0" i="1">
                      <a:solidFill>
                        <a:schemeClr val="tx1"/>
                      </a:solidFill>
                      <a:effectLst/>
                      <a:latin typeface="Cambria Math" panose="02040503050406030204" pitchFamily="18" charset="0"/>
                      <a:ea typeface="+mn-ea"/>
                      <a:cs typeface="+mn-cs"/>
                    </a:rPr>
                    <m:t>𝑞</m:t>
                  </m:r>
                </m:oMath>
              </a14:m>
              <a:r>
                <a:rPr lang="it-IT" sz="1600"/>
                <a:t> </a:t>
              </a:r>
              <a:r>
                <a:rPr lang="it-IT" sz="1600">
                  <a:solidFill>
                    <a:schemeClr val="tx1"/>
                  </a:solidFill>
                  <a:effectLst/>
                  <a:latin typeface="+mn-lt"/>
                  <a:ea typeface="+mn-ea"/>
                  <a:cs typeface="+mn-cs"/>
                </a:rPr>
                <a:t>(Brinch-Hansen</a:t>
              </a:r>
              <a:r>
                <a:rPr lang="it-IT" sz="1600" baseline="0">
                  <a:solidFill>
                    <a:schemeClr val="tx1"/>
                  </a:solidFill>
                  <a:effectLst/>
                  <a:latin typeface="+mn-lt"/>
                  <a:ea typeface="+mn-ea"/>
                  <a:cs typeface="+mn-cs"/>
                </a:rPr>
                <a:t> 1970)</a:t>
              </a:r>
              <a:endParaRPr lang="it-IT" sz="1600"/>
            </a:p>
          </xdr:txBody>
        </xdr:sp>
      </mc:Choice>
      <mc:Fallback xmlns="">
        <xdr:sp macro="" textlink="">
          <xdr:nvSpPr>
            <xdr:cNvPr id="83" name="CasellaDiTesto 82"/>
            <xdr:cNvSpPr txBox="1"/>
          </xdr:nvSpPr>
          <xdr:spPr>
            <a:xfrm>
              <a:off x="776288" y="8474869"/>
              <a:ext cx="5643562" cy="257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600" b="0" i="0">
                  <a:latin typeface="Cambria Math" panose="02040503050406030204" pitchFamily="18" charset="0"/>
                </a:rPr>
                <a:t>𝑞_𝑙𝑖𝑚=𝑐_𝑢</a:t>
              </a:r>
              <a:r>
                <a:rPr lang="it-IT" sz="1600" b="0" i="0">
                  <a:solidFill>
                    <a:schemeClr val="tx1"/>
                  </a:solidFill>
                  <a:effectLst/>
                  <a:latin typeface="Cambria Math" panose="02040503050406030204" pitchFamily="18" charset="0"/>
                  <a:ea typeface="+mn-ea"/>
                  <a:cs typeface="+mn-cs"/>
                </a:rPr>
                <a:t> 𝑁_(𝑐,0) 𝑠_(𝑐,0) 𝑑_(𝑐,0) 𝑖_(𝑐,0) 𝑏_(𝑐,0) 𝑧_(𝑐,0)+𝑞</a:t>
              </a:r>
              <a:r>
                <a:rPr lang="it-IT" sz="1600"/>
                <a:t> </a:t>
              </a:r>
              <a:r>
                <a:rPr lang="it-IT" sz="1600">
                  <a:solidFill>
                    <a:schemeClr val="tx1"/>
                  </a:solidFill>
                  <a:effectLst/>
                  <a:latin typeface="+mn-lt"/>
                  <a:ea typeface="+mn-ea"/>
                  <a:cs typeface="+mn-cs"/>
                </a:rPr>
                <a:t>(Brinch-Hansen</a:t>
              </a:r>
              <a:r>
                <a:rPr lang="it-IT" sz="1600" baseline="0">
                  <a:solidFill>
                    <a:schemeClr val="tx1"/>
                  </a:solidFill>
                  <a:effectLst/>
                  <a:latin typeface="+mn-lt"/>
                  <a:ea typeface="+mn-ea"/>
                  <a:cs typeface="+mn-cs"/>
                </a:rPr>
                <a:t> 1970)</a:t>
              </a:r>
              <a:endParaRPr lang="it-IT" sz="1600"/>
            </a:p>
          </xdr:txBody>
        </xdr:sp>
      </mc:Fallback>
    </mc:AlternateContent>
    <xdr:clientData/>
  </xdr:oneCellAnchor>
  <xdr:oneCellAnchor>
    <xdr:from>
      <xdr:col>13</xdr:col>
      <xdr:colOff>250031</xdr:colOff>
      <xdr:row>29</xdr:row>
      <xdr:rowOff>178594</xdr:rowOff>
    </xdr:from>
    <xdr:ext cx="4262437" cy="310341"/>
    <mc:AlternateContent xmlns:mc="http://schemas.openxmlformats.org/markup-compatibility/2006" xmlns:a14="http://schemas.microsoft.com/office/drawing/2010/main">
      <mc:Choice Requires="a14">
        <xdr:sp macro="" textlink="">
          <xdr:nvSpPr>
            <xdr:cNvPr id="84" name="CasellaDiTesto 83"/>
            <xdr:cNvSpPr txBox="1"/>
          </xdr:nvSpPr>
          <xdr:spPr>
            <a:xfrm>
              <a:off x="8174831" y="6141244"/>
              <a:ext cx="4262437" cy="310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i="1">
                          <a:latin typeface="Cambria Math" panose="02040503050406030204" pitchFamily="18" charset="0"/>
                          <a:ea typeface="Cambria Math" panose="02040503050406030204" pitchFamily="18" charset="0"/>
                        </a:rPr>
                        <m:t>𝛾</m:t>
                      </m:r>
                    </m:sub>
                  </m:sSub>
                  <m:r>
                    <a:rPr lang="it-IT" sz="1600" b="0" i="1">
                      <a:latin typeface="Cambria Math" panose="02040503050406030204" pitchFamily="18" charset="0"/>
                    </a:rPr>
                    <m:t>=</m:t>
                  </m:r>
                  <m:d>
                    <m:dPr>
                      <m:ctrlPr>
                        <a:rPr lang="it-IT" sz="1600" b="0" i="1">
                          <a:latin typeface="Cambria Math" panose="02040503050406030204" pitchFamily="18" charset="0"/>
                        </a:rPr>
                      </m:ctrlPr>
                    </m:dPr>
                    <m:e>
                      <m:sSub>
                        <m:sSubPr>
                          <m:ctrlPr>
                            <a:rPr lang="it-IT" sz="160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𝑁</m:t>
                          </m:r>
                        </m:e>
                        <m:sub>
                          <m:r>
                            <a:rPr lang="it-IT" sz="1600" b="0" i="1">
                              <a:solidFill>
                                <a:schemeClr val="tx1"/>
                              </a:solidFill>
                              <a:effectLst/>
                              <a:latin typeface="Cambria Math" panose="02040503050406030204" pitchFamily="18" charset="0"/>
                              <a:ea typeface="+mn-ea"/>
                              <a:cs typeface="+mn-cs"/>
                            </a:rPr>
                            <m:t>𝑞</m:t>
                          </m:r>
                        </m:sub>
                      </m:sSub>
                      <m:r>
                        <a:rPr lang="it-IT" sz="1600" b="0" i="1">
                          <a:solidFill>
                            <a:schemeClr val="tx1"/>
                          </a:solidFill>
                          <a:effectLst/>
                          <a:latin typeface="Cambria Math" panose="02040503050406030204" pitchFamily="18" charset="0"/>
                          <a:ea typeface="+mn-ea"/>
                          <a:cs typeface="+mn-cs"/>
                        </a:rPr>
                        <m:t>−1</m:t>
                      </m:r>
                    </m:e>
                  </m:d>
                  <m:r>
                    <a:rPr lang="it-IT" sz="1600" b="0" i="1">
                      <a:latin typeface="Cambria Math" panose="02040503050406030204" pitchFamily="18" charset="0"/>
                    </a:rPr>
                    <m:t>𝑡𝑎𝑛</m:t>
                  </m:r>
                  <m:d>
                    <m:dPr>
                      <m:ctrlPr>
                        <a:rPr lang="it-IT" sz="1600" b="0" i="1">
                          <a:solidFill>
                            <a:schemeClr val="tx1"/>
                          </a:solidFill>
                          <a:effectLst/>
                          <a:latin typeface="Cambria Math" panose="02040503050406030204" pitchFamily="18" charset="0"/>
                          <a:ea typeface="+mn-ea"/>
                          <a:cs typeface="+mn-cs"/>
                        </a:rPr>
                      </m:ctrlPr>
                    </m:dPr>
                    <m:e>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1,4</m:t>
                          </m:r>
                          <m:r>
                            <a:rPr lang="it-IT" sz="1600" b="0" i="1">
                              <a:solidFill>
                                <a:schemeClr val="tx1"/>
                              </a:solidFill>
                              <a:effectLst/>
                              <a:latin typeface="Cambria Math" panose="02040503050406030204" pitchFamily="18" charset="0"/>
                              <a:ea typeface="+mn-ea"/>
                              <a:cs typeface="+mn-cs"/>
                            </a:rPr>
                            <m:t>𝜑</m:t>
                          </m:r>
                        </m:e>
                        <m:sup>
                          <m:r>
                            <a:rPr lang="it-IT" sz="1600" b="0" i="1">
                              <a:solidFill>
                                <a:schemeClr val="tx1"/>
                              </a:solidFill>
                              <a:effectLst/>
                              <a:latin typeface="Cambria Math" panose="02040503050406030204" pitchFamily="18" charset="0"/>
                              <a:ea typeface="+mn-ea"/>
                              <a:cs typeface="+mn-cs"/>
                            </a:rPr>
                            <m:t>′</m:t>
                          </m:r>
                        </m:sup>
                      </m:sSup>
                    </m:e>
                  </m:d>
                </m:oMath>
              </a14:m>
              <a:r>
                <a:rPr lang="it-IT" sz="1600"/>
                <a:t>  ( Meyerhof</a:t>
              </a:r>
              <a:r>
                <a:rPr lang="it-IT" sz="1600" baseline="0"/>
                <a:t> 1963)</a:t>
              </a:r>
              <a:endParaRPr lang="it-IT" sz="1600"/>
            </a:p>
          </xdr:txBody>
        </xdr:sp>
      </mc:Choice>
      <mc:Fallback xmlns="">
        <xdr:sp macro="" textlink="">
          <xdr:nvSpPr>
            <xdr:cNvPr id="84" name="CasellaDiTesto 83"/>
            <xdr:cNvSpPr txBox="1"/>
          </xdr:nvSpPr>
          <xdr:spPr>
            <a:xfrm>
              <a:off x="8174831" y="6141244"/>
              <a:ext cx="4262437" cy="310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600" b="0" i="0">
                  <a:latin typeface="Cambria Math" panose="02040503050406030204" pitchFamily="18" charset="0"/>
                </a:rPr>
                <a:t>𝑁_</a:t>
              </a:r>
              <a:r>
                <a:rPr lang="it-IT" sz="1600" i="0">
                  <a:latin typeface="Cambria Math" panose="02040503050406030204" pitchFamily="18" charset="0"/>
                  <a:ea typeface="Cambria Math" panose="02040503050406030204" pitchFamily="18" charset="0"/>
                </a:rPr>
                <a:t>𝛾</a:t>
              </a:r>
              <a:r>
                <a:rPr lang="it-IT" sz="1600" b="0" i="0">
                  <a:latin typeface="Cambria Math" panose="02040503050406030204" pitchFamily="18" charset="0"/>
                </a:rPr>
                <a:t>=(</a:t>
              </a:r>
              <a:r>
                <a:rPr lang="it-IT" sz="1600" b="0" i="0">
                  <a:solidFill>
                    <a:schemeClr val="tx1"/>
                  </a:solidFill>
                  <a:effectLst/>
                  <a:latin typeface="Cambria Math" panose="02040503050406030204" pitchFamily="18" charset="0"/>
                  <a:ea typeface="+mn-ea"/>
                  <a:cs typeface="+mn-cs"/>
                </a:rPr>
                <a:t>𝑁_𝑞−1)</a:t>
              </a:r>
              <a:r>
                <a:rPr lang="it-IT" sz="1600" b="0" i="0">
                  <a:latin typeface="Cambria Math" panose="02040503050406030204" pitchFamily="18" charset="0"/>
                </a:rPr>
                <a:t>𝑡𝑎𝑛</a:t>
              </a:r>
              <a:r>
                <a:rPr lang="it-IT" sz="1600" b="0" i="0">
                  <a:solidFill>
                    <a:schemeClr val="tx1"/>
                  </a:solidFill>
                  <a:effectLst/>
                  <a:latin typeface="Cambria Math" panose="02040503050406030204" pitchFamily="18" charset="0"/>
                  <a:ea typeface="+mn-ea"/>
                  <a:cs typeface="+mn-cs"/>
                </a:rPr>
                <a:t>(〖1,4𝜑〗^′ )</a:t>
              </a:r>
              <a:r>
                <a:rPr lang="it-IT" sz="1600"/>
                <a:t>  ( Meyerhof</a:t>
              </a:r>
              <a:r>
                <a:rPr lang="it-IT" sz="1600" baseline="0"/>
                <a:t> 1963)</a:t>
              </a:r>
              <a:endParaRPr lang="it-IT" sz="1600"/>
            </a:p>
          </xdr:txBody>
        </xdr:sp>
      </mc:Fallback>
    </mc:AlternateContent>
    <xdr:clientData/>
  </xdr:oneCellAnchor>
  <xdr:oneCellAnchor>
    <xdr:from>
      <xdr:col>7</xdr:col>
      <xdr:colOff>35718</xdr:colOff>
      <xdr:row>30</xdr:row>
      <xdr:rowOff>23813</xdr:rowOff>
    </xdr:from>
    <xdr:ext cx="4238625" cy="293222"/>
    <mc:AlternateContent xmlns:mc="http://schemas.openxmlformats.org/markup-compatibility/2006" xmlns:a14="http://schemas.microsoft.com/office/drawing/2010/main">
      <mc:Choice Requires="a14">
        <xdr:sp macro="" textlink="">
          <xdr:nvSpPr>
            <xdr:cNvPr id="85" name="CasellaDiTesto 84"/>
            <xdr:cNvSpPr txBox="1"/>
          </xdr:nvSpPr>
          <xdr:spPr>
            <a:xfrm>
              <a:off x="4302918" y="6176963"/>
              <a:ext cx="4238625" cy="293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𝑁</m:t>
                      </m:r>
                    </m:e>
                    <m:sub>
                      <m:r>
                        <a:rPr lang="it-IT" sz="1600" i="1">
                          <a:latin typeface="Cambria Math" panose="02040503050406030204" pitchFamily="18" charset="0"/>
                          <a:ea typeface="Cambria Math" panose="02040503050406030204" pitchFamily="18" charset="0"/>
                        </a:rPr>
                        <m:t>𝛾</m:t>
                      </m:r>
                    </m:sub>
                  </m:sSub>
                  <m:r>
                    <a:rPr lang="it-IT" sz="1600" b="0" i="1">
                      <a:latin typeface="Cambria Math" panose="02040503050406030204" pitchFamily="18" charset="0"/>
                    </a:rPr>
                    <m:t>=1,5</m:t>
                  </m:r>
                  <m:d>
                    <m:dPr>
                      <m:ctrlPr>
                        <a:rPr lang="it-IT" sz="1600" b="0" i="1">
                          <a:latin typeface="Cambria Math" panose="02040503050406030204" pitchFamily="18" charset="0"/>
                        </a:rPr>
                      </m:ctrlPr>
                    </m:dPr>
                    <m:e>
                      <m:sSub>
                        <m:sSubPr>
                          <m:ctrlPr>
                            <a:rPr lang="it-IT" sz="160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𝑁</m:t>
                          </m:r>
                        </m:e>
                        <m:sub>
                          <m:r>
                            <a:rPr lang="it-IT" sz="1600" b="0" i="1">
                              <a:solidFill>
                                <a:schemeClr val="tx1"/>
                              </a:solidFill>
                              <a:effectLst/>
                              <a:latin typeface="Cambria Math" panose="02040503050406030204" pitchFamily="18" charset="0"/>
                              <a:ea typeface="+mn-ea"/>
                              <a:cs typeface="+mn-cs"/>
                            </a:rPr>
                            <m:t>𝑞</m:t>
                          </m:r>
                        </m:sub>
                      </m:sSub>
                      <m:r>
                        <a:rPr lang="it-IT" sz="1600" b="0" i="1">
                          <a:solidFill>
                            <a:schemeClr val="tx1"/>
                          </a:solidFill>
                          <a:effectLst/>
                          <a:latin typeface="Cambria Math" panose="02040503050406030204" pitchFamily="18" charset="0"/>
                          <a:ea typeface="+mn-ea"/>
                          <a:cs typeface="+mn-cs"/>
                        </a:rPr>
                        <m:t>−1</m:t>
                      </m:r>
                    </m:e>
                  </m:d>
                  <m:r>
                    <a:rPr lang="it-IT" sz="1600" b="0" i="1">
                      <a:latin typeface="Cambria Math" panose="02040503050406030204" pitchFamily="18" charset="0"/>
                    </a:rPr>
                    <m:t>𝑡𝑎𝑛</m:t>
                  </m:r>
                  <m:d>
                    <m:dPr>
                      <m:ctrlPr>
                        <a:rPr lang="it-IT" sz="1600" b="0" i="1">
                          <a:solidFill>
                            <a:schemeClr val="tx1"/>
                          </a:solidFill>
                          <a:effectLst/>
                          <a:latin typeface="Cambria Math" panose="02040503050406030204" pitchFamily="18" charset="0"/>
                          <a:ea typeface="+mn-ea"/>
                          <a:cs typeface="+mn-cs"/>
                        </a:rPr>
                      </m:ctrlPr>
                    </m:dPr>
                    <m:e>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𝜑</m:t>
                          </m:r>
                        </m:e>
                        <m:sup>
                          <m:r>
                            <a:rPr lang="it-IT" sz="1600" b="0" i="1">
                              <a:solidFill>
                                <a:schemeClr val="tx1"/>
                              </a:solidFill>
                              <a:effectLst/>
                              <a:latin typeface="Cambria Math" panose="02040503050406030204" pitchFamily="18" charset="0"/>
                              <a:ea typeface="+mn-ea"/>
                              <a:cs typeface="+mn-cs"/>
                            </a:rPr>
                            <m:t>′</m:t>
                          </m:r>
                        </m:sup>
                      </m:sSup>
                    </m:e>
                  </m:d>
                </m:oMath>
              </a14:m>
              <a:r>
                <a:rPr lang="it-IT" sz="1600"/>
                <a:t>  ( Hansen</a:t>
              </a:r>
              <a:r>
                <a:rPr lang="it-IT" sz="1600" baseline="0"/>
                <a:t> 1970)</a:t>
              </a:r>
              <a:endParaRPr lang="it-IT" sz="1600"/>
            </a:p>
          </xdr:txBody>
        </xdr:sp>
      </mc:Choice>
      <mc:Fallback xmlns="">
        <xdr:sp macro="" textlink="">
          <xdr:nvSpPr>
            <xdr:cNvPr id="85" name="CasellaDiTesto 84"/>
            <xdr:cNvSpPr txBox="1"/>
          </xdr:nvSpPr>
          <xdr:spPr>
            <a:xfrm>
              <a:off x="4302918" y="6176963"/>
              <a:ext cx="4238625" cy="293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it-IT" sz="1600" b="0" i="0">
                  <a:latin typeface="Cambria Math" panose="02040503050406030204" pitchFamily="18" charset="0"/>
                </a:rPr>
                <a:t>𝑁_</a:t>
              </a:r>
              <a:r>
                <a:rPr lang="it-IT" sz="1600" i="0">
                  <a:latin typeface="Cambria Math" panose="02040503050406030204" pitchFamily="18" charset="0"/>
                  <a:ea typeface="Cambria Math" panose="02040503050406030204" pitchFamily="18" charset="0"/>
                </a:rPr>
                <a:t>𝛾</a:t>
              </a:r>
              <a:r>
                <a:rPr lang="it-IT" sz="1600" b="0" i="0">
                  <a:latin typeface="Cambria Math" panose="02040503050406030204" pitchFamily="18" charset="0"/>
                </a:rPr>
                <a:t>=1,5(</a:t>
              </a:r>
              <a:r>
                <a:rPr lang="it-IT" sz="1600" b="0" i="0">
                  <a:solidFill>
                    <a:schemeClr val="tx1"/>
                  </a:solidFill>
                  <a:effectLst/>
                  <a:latin typeface="Cambria Math" panose="02040503050406030204" pitchFamily="18" charset="0"/>
                  <a:ea typeface="+mn-ea"/>
                  <a:cs typeface="+mn-cs"/>
                </a:rPr>
                <a:t>𝑁_𝑞−1)</a:t>
              </a:r>
              <a:r>
                <a:rPr lang="it-IT" sz="1600" b="0" i="0">
                  <a:latin typeface="Cambria Math" panose="02040503050406030204" pitchFamily="18" charset="0"/>
                </a:rPr>
                <a:t>𝑡𝑎𝑛</a:t>
              </a:r>
              <a:r>
                <a:rPr lang="it-IT" sz="1600" b="0" i="0">
                  <a:solidFill>
                    <a:schemeClr val="tx1"/>
                  </a:solidFill>
                  <a:effectLst/>
                  <a:latin typeface="Cambria Math" panose="02040503050406030204" pitchFamily="18" charset="0"/>
                  <a:ea typeface="+mn-ea"/>
                  <a:cs typeface="+mn-cs"/>
                </a:rPr>
                <a:t>(𝜑^′ )</a:t>
              </a:r>
              <a:r>
                <a:rPr lang="it-IT" sz="1600"/>
                <a:t>  ( Hansen</a:t>
              </a:r>
              <a:r>
                <a:rPr lang="it-IT" sz="1600" baseline="0"/>
                <a:t> 1970)</a:t>
              </a:r>
              <a:endParaRPr lang="it-IT" sz="1600"/>
            </a:p>
          </xdr:txBody>
        </xdr:sp>
      </mc:Fallback>
    </mc:AlternateContent>
    <xdr:clientData/>
  </xdr:oneCellAnchor>
  <xdr:oneCellAnchor>
    <xdr:from>
      <xdr:col>1</xdr:col>
      <xdr:colOff>102393</xdr:colOff>
      <xdr:row>5</xdr:row>
      <xdr:rowOff>48816</xdr:rowOff>
    </xdr:from>
    <xdr:ext cx="776495" cy="461024"/>
    <mc:AlternateContent xmlns:mc="http://schemas.openxmlformats.org/markup-compatibility/2006" xmlns:a14="http://schemas.microsoft.com/office/drawing/2010/main">
      <mc:Choice Requires="a14">
        <xdr:sp macro="" textlink="">
          <xdr:nvSpPr>
            <xdr:cNvPr id="86" name="CasellaDiTesto 85"/>
            <xdr:cNvSpPr txBox="1"/>
          </xdr:nvSpPr>
          <xdr:spPr>
            <a:xfrm>
              <a:off x="711993" y="1153716"/>
              <a:ext cx="776495"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𝑒</m:t>
                        </m:r>
                      </m:e>
                      <m:sub>
                        <m:r>
                          <a:rPr lang="it-IT" sz="1600" b="0" i="1">
                            <a:latin typeface="Cambria Math" panose="02040503050406030204" pitchFamily="18" charset="0"/>
                          </a:rPr>
                          <m:t>𝑏</m:t>
                        </m:r>
                      </m:sub>
                    </m:sSub>
                    <m:r>
                      <a:rPr lang="it-IT" sz="1600" b="0" i="1">
                        <a:latin typeface="Cambria Math" panose="02040503050406030204" pitchFamily="18" charset="0"/>
                      </a:rPr>
                      <m:t>=</m:t>
                    </m:r>
                    <m:f>
                      <m:fPr>
                        <m:ctrlPr>
                          <a:rPr lang="it-IT" sz="1600" b="0" i="1">
                            <a:latin typeface="Cambria Math" panose="02040503050406030204" pitchFamily="18" charset="0"/>
                          </a:rPr>
                        </m:ctrlPr>
                      </m:fPr>
                      <m:num>
                        <m:sSub>
                          <m:sSubPr>
                            <m:ctrlPr>
                              <a:rPr lang="it-IT" sz="1600" b="0" i="1">
                                <a:latin typeface="Cambria Math" panose="02040503050406030204" pitchFamily="18" charset="0"/>
                              </a:rPr>
                            </m:ctrlPr>
                          </m:sSubPr>
                          <m:e>
                            <m:r>
                              <a:rPr lang="it-IT" sz="1600" b="0" i="1">
                                <a:latin typeface="Cambria Math" panose="02040503050406030204" pitchFamily="18" charset="0"/>
                              </a:rPr>
                              <m:t>𝑀</m:t>
                            </m:r>
                          </m:e>
                          <m:sub>
                            <m:r>
                              <a:rPr lang="it-IT" sz="1600" b="0" i="1">
                                <a:latin typeface="Cambria Math" panose="02040503050406030204" pitchFamily="18" charset="0"/>
                              </a:rPr>
                              <m:t>𝑏</m:t>
                            </m:r>
                          </m:sub>
                        </m:sSub>
                      </m:num>
                      <m:den>
                        <m:r>
                          <a:rPr lang="it-IT" sz="1600" b="0" i="1">
                            <a:latin typeface="Cambria Math" panose="02040503050406030204" pitchFamily="18" charset="0"/>
                          </a:rPr>
                          <m:t>𝑉</m:t>
                        </m:r>
                      </m:den>
                    </m:f>
                  </m:oMath>
                </m:oMathPara>
              </a14:m>
              <a:endParaRPr lang="it-IT" sz="1600"/>
            </a:p>
          </xdr:txBody>
        </xdr:sp>
      </mc:Choice>
      <mc:Fallback xmlns="">
        <xdr:sp macro="" textlink="">
          <xdr:nvSpPr>
            <xdr:cNvPr id="86" name="CasellaDiTesto 85"/>
            <xdr:cNvSpPr txBox="1"/>
          </xdr:nvSpPr>
          <xdr:spPr>
            <a:xfrm>
              <a:off x="711993" y="1153716"/>
              <a:ext cx="776495"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600" b="0" i="0">
                  <a:latin typeface="Cambria Math" panose="02040503050406030204" pitchFamily="18" charset="0"/>
                </a:rPr>
                <a:t>𝑒_𝑏=𝑀_𝑏/𝑉</a:t>
              </a:r>
              <a:endParaRPr lang="it-IT" sz="1600"/>
            </a:p>
          </xdr:txBody>
        </xdr:sp>
      </mc:Fallback>
    </mc:AlternateContent>
    <xdr:clientData/>
  </xdr:oneCellAnchor>
  <xdr:oneCellAnchor>
    <xdr:from>
      <xdr:col>2</xdr:col>
      <xdr:colOff>595312</xdr:colOff>
      <xdr:row>5</xdr:row>
      <xdr:rowOff>35719</xdr:rowOff>
    </xdr:from>
    <xdr:ext cx="705065" cy="461024"/>
    <mc:AlternateContent xmlns:mc="http://schemas.openxmlformats.org/markup-compatibility/2006" xmlns:a14="http://schemas.microsoft.com/office/drawing/2010/main">
      <mc:Choice Requires="a14">
        <xdr:sp macro="" textlink="">
          <xdr:nvSpPr>
            <xdr:cNvPr id="87" name="CasellaDiTesto 86"/>
            <xdr:cNvSpPr txBox="1"/>
          </xdr:nvSpPr>
          <xdr:spPr>
            <a:xfrm>
              <a:off x="1814512" y="1140619"/>
              <a:ext cx="705065"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𝑒</m:t>
                        </m:r>
                      </m:e>
                      <m:sub>
                        <m:r>
                          <a:rPr lang="it-IT" sz="1600" b="0" i="1">
                            <a:latin typeface="Cambria Math" panose="02040503050406030204" pitchFamily="18" charset="0"/>
                          </a:rPr>
                          <m:t>𝑙</m:t>
                        </m:r>
                      </m:sub>
                    </m:sSub>
                    <m:r>
                      <a:rPr lang="it-IT" sz="1600" b="0" i="1">
                        <a:latin typeface="Cambria Math" panose="02040503050406030204" pitchFamily="18" charset="0"/>
                      </a:rPr>
                      <m:t>=</m:t>
                    </m:r>
                    <m:f>
                      <m:fPr>
                        <m:ctrlPr>
                          <a:rPr lang="it-IT" sz="1600" b="0" i="1">
                            <a:latin typeface="Cambria Math" panose="02040503050406030204" pitchFamily="18" charset="0"/>
                          </a:rPr>
                        </m:ctrlPr>
                      </m:fPr>
                      <m:num>
                        <m:sSub>
                          <m:sSubPr>
                            <m:ctrlPr>
                              <a:rPr lang="it-IT" sz="1600" b="0" i="1">
                                <a:latin typeface="Cambria Math" panose="02040503050406030204" pitchFamily="18" charset="0"/>
                              </a:rPr>
                            </m:ctrlPr>
                          </m:sSubPr>
                          <m:e>
                            <m:r>
                              <a:rPr lang="it-IT" sz="1600" b="0" i="1">
                                <a:latin typeface="Cambria Math" panose="02040503050406030204" pitchFamily="18" charset="0"/>
                              </a:rPr>
                              <m:t>𝑀</m:t>
                            </m:r>
                          </m:e>
                          <m:sub>
                            <m:r>
                              <a:rPr lang="it-IT" sz="1600" b="0" i="1">
                                <a:latin typeface="Cambria Math" panose="02040503050406030204" pitchFamily="18" charset="0"/>
                              </a:rPr>
                              <m:t>𝑙</m:t>
                            </m:r>
                          </m:sub>
                        </m:sSub>
                      </m:num>
                      <m:den>
                        <m:r>
                          <a:rPr lang="it-IT" sz="1600" b="0" i="1">
                            <a:latin typeface="Cambria Math" panose="02040503050406030204" pitchFamily="18" charset="0"/>
                          </a:rPr>
                          <m:t>𝑉</m:t>
                        </m:r>
                      </m:den>
                    </m:f>
                  </m:oMath>
                </m:oMathPara>
              </a14:m>
              <a:endParaRPr lang="it-IT" sz="1600"/>
            </a:p>
          </xdr:txBody>
        </xdr:sp>
      </mc:Choice>
      <mc:Fallback xmlns="">
        <xdr:sp macro="" textlink="">
          <xdr:nvSpPr>
            <xdr:cNvPr id="87" name="CasellaDiTesto 86"/>
            <xdr:cNvSpPr txBox="1"/>
          </xdr:nvSpPr>
          <xdr:spPr>
            <a:xfrm>
              <a:off x="1814512" y="1140619"/>
              <a:ext cx="705065"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it-IT" sz="1600" b="0" i="0">
                  <a:latin typeface="Cambria Math" panose="02040503050406030204" pitchFamily="18" charset="0"/>
                </a:rPr>
                <a:t>𝑒_𝑙=𝑀_𝑙/𝑉</a:t>
              </a:r>
              <a:endParaRPr lang="it-IT" sz="1600"/>
            </a:p>
          </xdr:txBody>
        </xdr:sp>
      </mc:Fallback>
    </mc:AlternateContent>
    <xdr:clientData/>
  </xdr:oneCellAnchor>
  <xdr:oneCellAnchor>
    <xdr:from>
      <xdr:col>0</xdr:col>
      <xdr:colOff>476251</xdr:colOff>
      <xdr:row>10</xdr:row>
      <xdr:rowOff>190500</xdr:rowOff>
    </xdr:from>
    <xdr:ext cx="1750217" cy="250453"/>
    <mc:AlternateContent xmlns:mc="http://schemas.openxmlformats.org/markup-compatibility/2006" xmlns:a14="http://schemas.microsoft.com/office/drawing/2010/main">
      <mc:Choice Requires="a14">
        <xdr:sp macro="" textlink="">
          <xdr:nvSpPr>
            <xdr:cNvPr id="88" name="CasellaDiTesto 87"/>
            <xdr:cNvSpPr txBox="1"/>
          </xdr:nvSpPr>
          <xdr:spPr>
            <a:xfrm>
              <a:off x="476251" y="2257425"/>
              <a:ext cx="1750217"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it-IT" sz="1600" i="1">
                            <a:latin typeface="Cambria Math" panose="02040503050406030204" pitchFamily="18" charset="0"/>
                          </a:rPr>
                        </m:ctrlPr>
                      </m:sSupPr>
                      <m:e>
                        <m:r>
                          <a:rPr lang="it-IT" sz="1600" b="0" i="1">
                            <a:latin typeface="Cambria Math" panose="02040503050406030204" pitchFamily="18" charset="0"/>
                          </a:rPr>
                          <m:t>𝐵</m:t>
                        </m:r>
                      </m:e>
                      <m:sup>
                        <m:r>
                          <a:rPr lang="it-IT" sz="1600" b="0" i="1">
                            <a:latin typeface="Cambria Math" panose="02040503050406030204" pitchFamily="18" charset="0"/>
                          </a:rPr>
                          <m:t>∗</m:t>
                        </m:r>
                      </m:sup>
                    </m:sSup>
                    <m:r>
                      <a:rPr lang="it-IT" sz="1600" b="0" i="1">
                        <a:latin typeface="Cambria Math" panose="02040503050406030204" pitchFamily="18" charset="0"/>
                      </a:rPr>
                      <m:t>=</m:t>
                    </m:r>
                    <m:r>
                      <a:rPr lang="it-IT" sz="1600" b="0" i="1">
                        <a:latin typeface="Cambria Math" panose="02040503050406030204" pitchFamily="18" charset="0"/>
                      </a:rPr>
                      <m:t>𝐵</m:t>
                    </m:r>
                    <m:r>
                      <a:rPr lang="it-IT" sz="1600" b="0" i="1">
                        <a:latin typeface="Cambria Math" panose="02040503050406030204" pitchFamily="18" charset="0"/>
                      </a:rPr>
                      <m:t>−</m:t>
                    </m:r>
                    <m:sSub>
                      <m:sSubPr>
                        <m:ctrlPr>
                          <a:rPr lang="it-IT" sz="1600" i="1">
                            <a:latin typeface="Cambria Math" panose="02040503050406030204" pitchFamily="18" charset="0"/>
                          </a:rPr>
                        </m:ctrlPr>
                      </m:sSubPr>
                      <m:e>
                        <m:r>
                          <a:rPr lang="it-IT" sz="1600" b="0" i="1">
                            <a:latin typeface="Cambria Math" panose="02040503050406030204" pitchFamily="18" charset="0"/>
                          </a:rPr>
                          <m:t>𝑒</m:t>
                        </m:r>
                      </m:e>
                      <m:sub>
                        <m:r>
                          <a:rPr lang="it-IT" sz="1600" b="0" i="1">
                            <a:latin typeface="Cambria Math" panose="02040503050406030204" pitchFamily="18" charset="0"/>
                          </a:rPr>
                          <m:t>𝑏</m:t>
                        </m:r>
                      </m:sub>
                    </m:sSub>
                  </m:oMath>
                </m:oMathPara>
              </a14:m>
              <a:endParaRPr lang="it-IT" sz="1600"/>
            </a:p>
          </xdr:txBody>
        </xdr:sp>
      </mc:Choice>
      <mc:Fallback xmlns="">
        <xdr:sp macro="" textlink="">
          <xdr:nvSpPr>
            <xdr:cNvPr id="88" name="CasellaDiTesto 87"/>
            <xdr:cNvSpPr txBox="1"/>
          </xdr:nvSpPr>
          <xdr:spPr>
            <a:xfrm>
              <a:off x="476251" y="2257425"/>
              <a:ext cx="1750217"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600" b="0" i="0">
                  <a:latin typeface="Cambria Math" panose="02040503050406030204" pitchFamily="18" charset="0"/>
                </a:rPr>
                <a:t>𝐵^∗=𝐵−𝑒_𝑏</a:t>
              </a:r>
              <a:endParaRPr lang="it-IT" sz="1600"/>
            </a:p>
          </xdr:txBody>
        </xdr:sp>
      </mc:Fallback>
    </mc:AlternateContent>
    <xdr:clientData/>
  </xdr:oneCellAnchor>
  <xdr:oneCellAnchor>
    <xdr:from>
      <xdr:col>4</xdr:col>
      <xdr:colOff>0</xdr:colOff>
      <xdr:row>11</xdr:row>
      <xdr:rowOff>0</xdr:rowOff>
    </xdr:from>
    <xdr:ext cx="1750217" cy="250453"/>
    <mc:AlternateContent xmlns:mc="http://schemas.openxmlformats.org/markup-compatibility/2006" xmlns:a14="http://schemas.microsoft.com/office/drawing/2010/main">
      <mc:Choice Requires="a14">
        <xdr:sp macro="" textlink="">
          <xdr:nvSpPr>
            <xdr:cNvPr id="89" name="CasellaDiTesto 88"/>
            <xdr:cNvSpPr txBox="1"/>
          </xdr:nvSpPr>
          <xdr:spPr>
            <a:xfrm>
              <a:off x="2438400" y="2266950"/>
              <a:ext cx="1750217"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it-IT" sz="1600" i="1">
                            <a:latin typeface="Cambria Math" panose="02040503050406030204" pitchFamily="18" charset="0"/>
                          </a:rPr>
                        </m:ctrlPr>
                      </m:sSupPr>
                      <m:e>
                        <m:r>
                          <a:rPr lang="it-IT" sz="1600" b="0" i="1">
                            <a:latin typeface="Cambria Math" panose="02040503050406030204" pitchFamily="18" charset="0"/>
                          </a:rPr>
                          <m:t>𝐿</m:t>
                        </m:r>
                      </m:e>
                      <m:sup>
                        <m:r>
                          <a:rPr lang="it-IT" sz="1600" b="0" i="1">
                            <a:latin typeface="Cambria Math" panose="02040503050406030204" pitchFamily="18" charset="0"/>
                          </a:rPr>
                          <m:t>∗</m:t>
                        </m:r>
                      </m:sup>
                    </m:sSup>
                    <m:r>
                      <a:rPr lang="it-IT" sz="1600" b="0" i="1">
                        <a:latin typeface="Cambria Math" panose="02040503050406030204" pitchFamily="18" charset="0"/>
                      </a:rPr>
                      <m:t>=</m:t>
                    </m:r>
                    <m:r>
                      <a:rPr lang="it-IT" sz="1600" b="0" i="1">
                        <a:latin typeface="Cambria Math" panose="02040503050406030204" pitchFamily="18" charset="0"/>
                      </a:rPr>
                      <m:t>𝐿</m:t>
                    </m:r>
                    <m:r>
                      <a:rPr lang="it-IT" sz="1600" b="0" i="1">
                        <a:latin typeface="Cambria Math" panose="02040503050406030204" pitchFamily="18" charset="0"/>
                      </a:rPr>
                      <m:t>−</m:t>
                    </m:r>
                    <m:sSub>
                      <m:sSubPr>
                        <m:ctrlPr>
                          <a:rPr lang="it-IT" sz="1600" i="1">
                            <a:latin typeface="Cambria Math" panose="02040503050406030204" pitchFamily="18" charset="0"/>
                          </a:rPr>
                        </m:ctrlPr>
                      </m:sSubPr>
                      <m:e>
                        <m:r>
                          <a:rPr lang="it-IT" sz="1600" b="0" i="1">
                            <a:latin typeface="Cambria Math" panose="02040503050406030204" pitchFamily="18" charset="0"/>
                          </a:rPr>
                          <m:t>𝑒</m:t>
                        </m:r>
                      </m:e>
                      <m:sub>
                        <m:r>
                          <a:rPr lang="it-IT" sz="1600" b="0" i="1">
                            <a:latin typeface="Cambria Math" panose="02040503050406030204" pitchFamily="18" charset="0"/>
                          </a:rPr>
                          <m:t>𝑙</m:t>
                        </m:r>
                      </m:sub>
                    </m:sSub>
                  </m:oMath>
                </m:oMathPara>
              </a14:m>
              <a:endParaRPr lang="it-IT" sz="1600"/>
            </a:p>
          </xdr:txBody>
        </xdr:sp>
      </mc:Choice>
      <mc:Fallback xmlns="">
        <xdr:sp macro="" textlink="">
          <xdr:nvSpPr>
            <xdr:cNvPr id="89" name="CasellaDiTesto 88"/>
            <xdr:cNvSpPr txBox="1"/>
          </xdr:nvSpPr>
          <xdr:spPr>
            <a:xfrm>
              <a:off x="2438400" y="2266950"/>
              <a:ext cx="1750217"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600" b="0" i="0">
                  <a:latin typeface="Cambria Math" panose="02040503050406030204" pitchFamily="18" charset="0"/>
                </a:rPr>
                <a:t>𝐿^∗=𝐿−𝑒_𝑙</a:t>
              </a:r>
              <a:endParaRPr lang="it-IT" sz="1600"/>
            </a:p>
          </xdr:txBody>
        </xdr:sp>
      </mc:Fallback>
    </mc:AlternateContent>
    <xdr:clientData/>
  </xdr:oneCellAnchor>
  <xdr:oneCellAnchor>
    <xdr:from>
      <xdr:col>0</xdr:col>
      <xdr:colOff>83344</xdr:colOff>
      <xdr:row>16</xdr:row>
      <xdr:rowOff>47624</xdr:rowOff>
    </xdr:from>
    <xdr:ext cx="3438526" cy="553228"/>
    <mc:AlternateContent xmlns:mc="http://schemas.openxmlformats.org/markup-compatibility/2006" xmlns:a14="http://schemas.microsoft.com/office/drawing/2010/main">
      <mc:Choice Requires="a14">
        <xdr:sp macro="" textlink="">
          <xdr:nvSpPr>
            <xdr:cNvPr id="90" name="CasellaDiTesto 89"/>
            <xdr:cNvSpPr txBox="1"/>
          </xdr:nvSpPr>
          <xdr:spPr>
            <a:xfrm>
              <a:off x="83344" y="3352799"/>
              <a:ext cx="3438526" cy="553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600" i="1">
                            <a:latin typeface="Cambria Math" panose="02040503050406030204" pitchFamily="18" charset="0"/>
                          </a:rPr>
                        </m:ctrlPr>
                      </m:sSubPr>
                      <m:e>
                        <m:r>
                          <a:rPr lang="it-IT" sz="1600" b="0" i="1">
                            <a:latin typeface="Cambria Math" panose="02040503050406030204" pitchFamily="18" charset="0"/>
                          </a:rPr>
                          <m:t>𝐻</m:t>
                        </m:r>
                      </m:e>
                      <m:sub>
                        <m:r>
                          <a:rPr lang="it-IT" sz="1600" b="0" i="1">
                            <a:latin typeface="Cambria Math" panose="02040503050406030204" pitchFamily="18" charset="0"/>
                          </a:rPr>
                          <m:t>𝑠𝑐𝑜𝑟</m:t>
                        </m:r>
                      </m:sub>
                    </m:sSub>
                    <m:r>
                      <a:rPr lang="it-IT" sz="1600" b="0" i="1">
                        <a:latin typeface="Cambria Math" panose="02040503050406030204" pitchFamily="18" charset="0"/>
                      </a:rPr>
                      <m:t>=</m:t>
                    </m:r>
                    <m:f>
                      <m:fPr>
                        <m:ctrlPr>
                          <a:rPr lang="it-IT" sz="1600" b="0" i="1">
                            <a:solidFill>
                              <a:schemeClr val="tx1"/>
                            </a:solidFill>
                            <a:effectLst/>
                            <a:latin typeface="Cambria Math" panose="02040503050406030204" pitchFamily="18" charset="0"/>
                            <a:ea typeface="+mn-ea"/>
                            <a:cs typeface="+mn-cs"/>
                          </a:rPr>
                        </m:ctrlPr>
                      </m:fPr>
                      <m:num>
                        <m:sSup>
                          <m:sSupPr>
                            <m:ctrlPr>
                              <a:rPr lang="it-IT" sz="160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𝐵</m:t>
                            </m:r>
                          </m:e>
                          <m:sup>
                            <m:r>
                              <a:rPr lang="it-IT" sz="1600" b="0" i="1">
                                <a:solidFill>
                                  <a:schemeClr val="tx1"/>
                                </a:solidFill>
                                <a:effectLst/>
                                <a:latin typeface="Cambria Math" panose="02040503050406030204" pitchFamily="18" charset="0"/>
                                <a:ea typeface="+mn-ea"/>
                                <a:cs typeface="+mn-cs"/>
                              </a:rPr>
                              <m:t>∗</m:t>
                            </m:r>
                          </m:sup>
                        </m:sSup>
                      </m:num>
                      <m:den>
                        <m:r>
                          <a:rPr lang="it-IT" sz="1600" b="0" i="1">
                            <a:solidFill>
                              <a:schemeClr val="tx1"/>
                            </a:solidFill>
                            <a:effectLst/>
                            <a:latin typeface="Cambria Math" panose="02040503050406030204" pitchFamily="18" charset="0"/>
                            <a:ea typeface="+mn-ea"/>
                            <a:cs typeface="+mn-cs"/>
                          </a:rPr>
                          <m:t>2</m:t>
                        </m:r>
                      </m:den>
                    </m:f>
                    <m:d>
                      <m:dPr>
                        <m:ctrlPr>
                          <a:rPr lang="it-IT" sz="1600" b="0" i="1">
                            <a:latin typeface="Cambria Math" panose="02040503050406030204" pitchFamily="18" charset="0"/>
                          </a:rPr>
                        </m:ctrlPr>
                      </m:dPr>
                      <m:e>
                        <m:r>
                          <a:rPr lang="it-IT" sz="1600" b="0" i="1">
                            <a:latin typeface="Cambria Math" panose="02040503050406030204" pitchFamily="18" charset="0"/>
                          </a:rPr>
                          <m:t>45°+</m:t>
                        </m:r>
                        <m:f>
                          <m:fPr>
                            <m:ctrlPr>
                              <a:rPr lang="it-IT" sz="1600" b="0" i="1">
                                <a:latin typeface="Cambria Math" panose="02040503050406030204" pitchFamily="18" charset="0"/>
                              </a:rPr>
                            </m:ctrlPr>
                          </m:fPr>
                          <m:num>
                            <m:sSup>
                              <m:sSupPr>
                                <m:ctrlPr>
                                  <a:rPr lang="it-IT" sz="1600" b="0" i="1">
                                    <a:latin typeface="Cambria Math" panose="02040503050406030204" pitchFamily="18" charset="0"/>
                                  </a:rPr>
                                </m:ctrlPr>
                              </m:sSupPr>
                              <m:e>
                                <m:r>
                                  <a:rPr lang="it-IT" sz="1600" b="0" i="1">
                                    <a:latin typeface="Cambria Math" panose="02040503050406030204" pitchFamily="18" charset="0"/>
                                    <a:ea typeface="Cambria Math" panose="02040503050406030204" pitchFamily="18" charset="0"/>
                                  </a:rPr>
                                  <m:t>𝜑</m:t>
                                </m:r>
                              </m:e>
                              <m:sup>
                                <m:r>
                                  <a:rPr lang="it-IT" sz="1600" b="0" i="1">
                                    <a:latin typeface="Cambria Math" panose="02040503050406030204" pitchFamily="18" charset="0"/>
                                  </a:rPr>
                                  <m:t>′</m:t>
                                </m:r>
                              </m:sup>
                            </m:sSup>
                          </m:num>
                          <m:den>
                            <m:r>
                              <a:rPr lang="it-IT" sz="1600" b="0" i="1">
                                <a:latin typeface="Cambria Math" panose="02040503050406030204" pitchFamily="18" charset="0"/>
                              </a:rPr>
                              <m:t>2</m:t>
                            </m:r>
                          </m:den>
                        </m:f>
                      </m:e>
                    </m:d>
                  </m:oMath>
                </m:oMathPara>
              </a14:m>
              <a:endParaRPr lang="it-IT" sz="1600"/>
            </a:p>
          </xdr:txBody>
        </xdr:sp>
      </mc:Choice>
      <mc:Fallback xmlns="">
        <xdr:sp macro="" textlink="">
          <xdr:nvSpPr>
            <xdr:cNvPr id="90" name="CasellaDiTesto 89"/>
            <xdr:cNvSpPr txBox="1"/>
          </xdr:nvSpPr>
          <xdr:spPr>
            <a:xfrm>
              <a:off x="83344" y="3352799"/>
              <a:ext cx="3438526" cy="553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600" b="0" i="0">
                  <a:latin typeface="Cambria Math" panose="02040503050406030204" pitchFamily="18" charset="0"/>
                </a:rPr>
                <a:t>𝐻_𝑠𝑐𝑜𝑟=</a:t>
              </a:r>
              <a:r>
                <a:rPr lang="it-IT" sz="1600" b="0" i="0">
                  <a:solidFill>
                    <a:schemeClr val="tx1"/>
                  </a:solidFill>
                  <a:effectLst/>
                  <a:latin typeface="Cambria Math" panose="02040503050406030204" pitchFamily="18" charset="0"/>
                  <a:ea typeface="+mn-ea"/>
                  <a:cs typeface="+mn-cs"/>
                </a:rPr>
                <a:t>𝐵^∗/2 </a:t>
              </a:r>
              <a:r>
                <a:rPr lang="it-IT" sz="1600" b="0" i="0">
                  <a:latin typeface="Cambria Math" panose="02040503050406030204" pitchFamily="18" charset="0"/>
                </a:rPr>
                <a:t>(45°+</a:t>
              </a:r>
              <a:r>
                <a:rPr lang="it-IT" sz="1600" b="0" i="0">
                  <a:latin typeface="Cambria Math" panose="02040503050406030204" pitchFamily="18" charset="0"/>
                  <a:ea typeface="Cambria Math" panose="02040503050406030204" pitchFamily="18" charset="0"/>
                </a:rPr>
                <a:t>𝜑^</a:t>
              </a:r>
              <a:r>
                <a:rPr lang="it-IT" sz="1600" b="0" i="0">
                  <a:latin typeface="Cambria Math" panose="02040503050406030204" pitchFamily="18" charset="0"/>
                </a:rPr>
                <a:t>′/2)</a:t>
              </a:r>
              <a:endParaRPr lang="it-IT" sz="1600"/>
            </a:p>
          </xdr:txBody>
        </xdr:sp>
      </mc:Fallback>
    </mc:AlternateContent>
    <xdr:clientData/>
  </xdr:oneCellAnchor>
  <xdr:oneCellAnchor>
    <xdr:from>
      <xdr:col>0</xdr:col>
      <xdr:colOff>607218</xdr:colOff>
      <xdr:row>124</xdr:row>
      <xdr:rowOff>0</xdr:rowOff>
    </xdr:from>
    <xdr:ext cx="5822157" cy="821531"/>
    <mc:AlternateContent xmlns:mc="http://schemas.openxmlformats.org/markup-compatibility/2006" xmlns:a14="http://schemas.microsoft.com/office/drawing/2010/main">
      <mc:Choice Requires="a14">
        <xdr:sp macro="" textlink="">
          <xdr:nvSpPr>
            <xdr:cNvPr id="100" name="CasellaDiTesto 99"/>
            <xdr:cNvSpPr txBox="1"/>
          </xdr:nvSpPr>
          <xdr:spPr>
            <a:xfrm>
              <a:off x="607218" y="32737425"/>
              <a:ext cx="5822157" cy="8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l-GR" sz="1600" i="1">
                            <a:latin typeface="Cambria Math" panose="02040503050406030204" pitchFamily="18" charset="0"/>
                          </a:rPr>
                        </m:ctrlPr>
                      </m:sSubPr>
                      <m:e>
                        <m:r>
                          <a:rPr lang="it-IT" sz="1600" b="0" i="1">
                            <a:latin typeface="Cambria Math" panose="02040503050406030204" pitchFamily="18" charset="0"/>
                          </a:rPr>
                          <m:t>𝐹</m:t>
                        </m:r>
                      </m:e>
                      <m:sub>
                        <m:r>
                          <a:rPr lang="it-IT" sz="1600" b="0" i="1">
                            <a:latin typeface="Cambria Math" panose="02040503050406030204" pitchFamily="18" charset="0"/>
                          </a:rPr>
                          <m:t>𝑠</m:t>
                        </m:r>
                      </m:sub>
                    </m:sSub>
                    <m:r>
                      <a:rPr lang="it-IT" sz="1600" b="0" i="1">
                        <a:latin typeface="Cambria Math" panose="02040503050406030204" pitchFamily="18" charset="0"/>
                      </a:rPr>
                      <m:t>=</m:t>
                    </m:r>
                    <m:sSup>
                      <m:sSupPr>
                        <m:ctrlPr>
                          <a:rPr lang="it-IT" sz="1600" b="0" i="1">
                            <a:latin typeface="Cambria Math" panose="02040503050406030204" pitchFamily="18" charset="0"/>
                          </a:rPr>
                        </m:ctrlPr>
                      </m:sSupPr>
                      <m:e>
                        <m:r>
                          <a:rPr lang="it-IT" sz="1600" b="0" i="1">
                            <a:latin typeface="Cambria Math" panose="02040503050406030204" pitchFamily="18" charset="0"/>
                          </a:rPr>
                          <m:t>𝑐</m:t>
                        </m:r>
                      </m:e>
                      <m:sup>
                        <m:r>
                          <a:rPr lang="it-IT" sz="1600" b="0" i="1">
                            <a:latin typeface="Cambria Math" panose="02040503050406030204" pitchFamily="18" charset="0"/>
                          </a:rPr>
                          <m:t>′</m:t>
                        </m:r>
                      </m:sup>
                    </m:sSup>
                    <m:sSup>
                      <m:sSupPr>
                        <m:ctrlPr>
                          <a:rPr lang="it-IT" sz="1600" b="0" i="1">
                            <a:latin typeface="Cambria Math" panose="02040503050406030204" pitchFamily="18" charset="0"/>
                          </a:rPr>
                        </m:ctrlPr>
                      </m:sSupPr>
                      <m:e>
                        <m:r>
                          <a:rPr lang="it-IT" sz="1600" b="0" i="1">
                            <a:latin typeface="Cambria Math" panose="02040503050406030204" pitchFamily="18" charset="0"/>
                          </a:rPr>
                          <m:t>𝐵</m:t>
                        </m:r>
                      </m:e>
                      <m:sup>
                        <m:r>
                          <a:rPr lang="it-IT" sz="1600" b="0" i="1">
                            <a:latin typeface="Cambria Math" panose="02040503050406030204" pitchFamily="18" charset="0"/>
                          </a:rPr>
                          <m:t>∗</m:t>
                        </m:r>
                      </m:sup>
                    </m:sSup>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𝐿</m:t>
                        </m:r>
                      </m:e>
                      <m:sup>
                        <m:r>
                          <a:rPr lang="it-IT" sz="1600" b="0" i="1">
                            <a:solidFill>
                              <a:schemeClr val="tx1"/>
                            </a:solidFill>
                            <a:effectLst/>
                            <a:latin typeface="Cambria Math" panose="02040503050406030204" pitchFamily="18" charset="0"/>
                            <a:ea typeface="+mn-ea"/>
                            <a:cs typeface="+mn-cs"/>
                          </a:rPr>
                          <m:t>∗</m:t>
                        </m:r>
                      </m:sup>
                    </m:sSup>
                    <m:r>
                      <a:rPr lang="it-IT" sz="1600" b="0" i="0">
                        <a:solidFill>
                          <a:schemeClr val="tx1"/>
                        </a:solidFill>
                        <a:effectLst/>
                        <a:latin typeface="Cambria Math" panose="02040503050406030204" pitchFamily="18" charset="0"/>
                        <a:ea typeface="+mn-ea"/>
                        <a:cs typeface="+mn-cs"/>
                      </a:rPr>
                      <m:t>+</m:t>
                    </m:r>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𝑉</m:t>
                        </m:r>
                      </m:e>
                      <m:sub>
                        <m:r>
                          <a:rPr lang="it-IT" sz="1600" b="0" i="1">
                            <a:solidFill>
                              <a:schemeClr val="tx1"/>
                            </a:solidFill>
                            <a:effectLst/>
                            <a:latin typeface="Cambria Math" panose="02040503050406030204" pitchFamily="18" charset="0"/>
                            <a:ea typeface="+mn-ea"/>
                            <a:cs typeface="+mn-cs"/>
                          </a:rPr>
                          <m:t>(</m:t>
                        </m:r>
                        <m:r>
                          <a:rPr lang="it-IT" sz="1600" b="0" i="1">
                            <a:solidFill>
                              <a:schemeClr val="tx1"/>
                            </a:solidFill>
                            <a:effectLst/>
                            <a:latin typeface="Cambria Math" panose="02040503050406030204" pitchFamily="18" charset="0"/>
                            <a:ea typeface="+mn-ea"/>
                            <a:cs typeface="+mn-cs"/>
                          </a:rPr>
                          <m:t>𝑓𝑎𝑣</m:t>
                        </m:r>
                        <m:r>
                          <a:rPr lang="it-IT" sz="1600" b="0" i="1">
                            <a:solidFill>
                              <a:schemeClr val="tx1"/>
                            </a:solidFill>
                            <a:effectLst/>
                            <a:latin typeface="Cambria Math" panose="02040503050406030204" pitchFamily="18" charset="0"/>
                            <a:ea typeface="+mn-ea"/>
                            <a:cs typeface="+mn-cs"/>
                          </a:rPr>
                          <m:t>)</m:t>
                        </m:r>
                      </m:sub>
                    </m:sSub>
                    <m:r>
                      <a:rPr lang="it-IT" sz="1600" b="0" i="1">
                        <a:solidFill>
                          <a:schemeClr val="tx1"/>
                        </a:solidFill>
                        <a:effectLst/>
                        <a:latin typeface="Cambria Math" panose="02040503050406030204" pitchFamily="18" charset="0"/>
                        <a:ea typeface="+mn-ea"/>
                        <a:cs typeface="+mn-cs"/>
                      </a:rPr>
                      <m:t>𝑡𝑎𝑛</m:t>
                    </m:r>
                    <m:d>
                      <m:dPr>
                        <m:ctrlPr>
                          <a:rPr lang="it-IT" sz="1600" b="0" i="1">
                            <a:solidFill>
                              <a:schemeClr val="tx1"/>
                            </a:solidFill>
                            <a:effectLst/>
                            <a:latin typeface="Cambria Math" panose="02040503050406030204" pitchFamily="18" charset="0"/>
                            <a:ea typeface="+mn-ea"/>
                            <a:cs typeface="+mn-cs"/>
                          </a:rPr>
                        </m:ctrlPr>
                      </m:dPr>
                      <m:e>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𝜑</m:t>
                            </m:r>
                          </m:e>
                          <m:sup>
                            <m:r>
                              <a:rPr lang="it-IT" sz="1600" b="0" i="1">
                                <a:solidFill>
                                  <a:schemeClr val="tx1"/>
                                </a:solidFill>
                                <a:effectLst/>
                                <a:latin typeface="Cambria Math" panose="02040503050406030204" pitchFamily="18" charset="0"/>
                                <a:ea typeface="+mn-ea"/>
                                <a:cs typeface="+mn-cs"/>
                              </a:rPr>
                              <m:t>′</m:t>
                            </m:r>
                          </m:sup>
                        </m:sSup>
                      </m:e>
                    </m:d>
                    <m:r>
                      <a:rPr lang="it-IT" sz="1600" b="0" i="1">
                        <a:solidFill>
                          <a:schemeClr val="tx1"/>
                        </a:solidFill>
                        <a:effectLst/>
                        <a:latin typeface="Cambria Math" panose="02040503050406030204" pitchFamily="18" charset="0"/>
                        <a:ea typeface="+mn-ea"/>
                        <a:cs typeface="+mn-cs"/>
                      </a:rPr>
                      <m:t>+ </m:t>
                    </m:r>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𝐾</m:t>
                        </m:r>
                      </m:e>
                      <m:sub>
                        <m:r>
                          <a:rPr lang="it-IT" sz="1600" b="0" i="1">
                            <a:solidFill>
                              <a:schemeClr val="tx1"/>
                            </a:solidFill>
                            <a:effectLst/>
                            <a:latin typeface="Cambria Math" panose="02040503050406030204" pitchFamily="18" charset="0"/>
                            <a:ea typeface="+mn-ea"/>
                            <a:cs typeface="+mn-cs"/>
                          </a:rPr>
                          <m:t>𝑝</m:t>
                        </m:r>
                      </m:sub>
                    </m:sSub>
                    <m:sSubSup>
                      <m:sSubSupPr>
                        <m:ctrlPr>
                          <a:rPr lang="it-IT" sz="1600" b="0" i="1">
                            <a:solidFill>
                              <a:schemeClr val="tx1"/>
                            </a:solidFill>
                            <a:effectLst/>
                            <a:latin typeface="Cambria Math" panose="02040503050406030204" pitchFamily="18" charset="0"/>
                            <a:ea typeface="+mn-ea"/>
                            <a:cs typeface="+mn-cs"/>
                          </a:rPr>
                        </m:ctrlPr>
                      </m:sSubSupPr>
                      <m:e>
                        <m:r>
                          <a:rPr lang="it-IT" sz="1600" b="0" i="1">
                            <a:solidFill>
                              <a:schemeClr val="tx1"/>
                            </a:solidFill>
                            <a:effectLst/>
                            <a:latin typeface="Cambria Math" panose="02040503050406030204" pitchFamily="18" charset="0"/>
                            <a:ea typeface="+mn-ea"/>
                            <a:cs typeface="+mn-cs"/>
                          </a:rPr>
                          <m:t> </m:t>
                        </m:r>
                        <m:r>
                          <a:rPr lang="it-IT" sz="1600" b="0" i="1">
                            <a:solidFill>
                              <a:schemeClr val="tx1"/>
                            </a:solidFill>
                            <a:effectLst/>
                            <a:latin typeface="Cambria Math" panose="02040503050406030204" pitchFamily="18" charset="0"/>
                            <a:ea typeface="+mn-ea"/>
                            <a:cs typeface="+mn-cs"/>
                          </a:rPr>
                          <m:t>𝜎</m:t>
                        </m:r>
                      </m:e>
                      <m:sub>
                        <m:r>
                          <a:rPr lang="it-IT" sz="1600" b="0" i="1">
                            <a:solidFill>
                              <a:schemeClr val="tx1"/>
                            </a:solidFill>
                            <a:effectLst/>
                            <a:latin typeface="Cambria Math" panose="02040503050406030204" pitchFamily="18" charset="0"/>
                            <a:ea typeface="+mn-ea"/>
                            <a:cs typeface="+mn-cs"/>
                          </a:rPr>
                          <m:t>𝑣</m:t>
                        </m:r>
                        <m:r>
                          <a:rPr lang="it-IT" sz="1600" b="0" i="1">
                            <a:solidFill>
                              <a:schemeClr val="tx1"/>
                            </a:solidFill>
                            <a:effectLst/>
                            <a:latin typeface="Cambria Math" panose="02040503050406030204" pitchFamily="18" charset="0"/>
                            <a:ea typeface="+mn-ea"/>
                            <a:cs typeface="+mn-cs"/>
                          </a:rPr>
                          <m:t> </m:t>
                        </m:r>
                      </m:sub>
                      <m:sup>
                        <m:r>
                          <a:rPr lang="it-IT" sz="1600" b="0" i="1">
                            <a:solidFill>
                              <a:schemeClr val="tx1"/>
                            </a:solidFill>
                            <a:effectLst/>
                            <a:latin typeface="Cambria Math" panose="02040503050406030204" pitchFamily="18" charset="0"/>
                            <a:ea typeface="+mn-ea"/>
                            <a:cs typeface="+mn-cs"/>
                          </a:rPr>
                          <m:t>′</m:t>
                        </m:r>
                      </m:sup>
                    </m:sSubSup>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Cambria Math" panose="02040503050406030204" pitchFamily="18" charset="0"/>
                            <a:cs typeface="+mn-cs"/>
                          </a:rPr>
                          <m:t>𝛾</m:t>
                        </m:r>
                      </m:e>
                      <m:sub>
                        <m:r>
                          <a:rPr lang="it-IT" sz="1600" b="0" i="1">
                            <a:solidFill>
                              <a:schemeClr val="tx1"/>
                            </a:solidFill>
                            <a:effectLst/>
                            <a:latin typeface="Cambria Math" panose="02040503050406030204" pitchFamily="18" charset="0"/>
                            <a:ea typeface="+mn-ea"/>
                            <a:cs typeface="+mn-cs"/>
                          </a:rPr>
                          <m:t>𝑚𝑒𝑑𝑖𝑜</m:t>
                        </m:r>
                      </m:sub>
                    </m:sSub>
                    <m:r>
                      <a:rPr lang="it-IT" sz="1600" b="0" i="1">
                        <a:solidFill>
                          <a:schemeClr val="tx1"/>
                        </a:solidFill>
                        <a:effectLst/>
                        <a:latin typeface="Cambria Math" panose="02040503050406030204" pitchFamily="18" charset="0"/>
                        <a:ea typeface="+mn-ea"/>
                        <a:cs typeface="+mn-cs"/>
                      </a:rPr>
                      <m:t>  </m:t>
                    </m:r>
                    <m:r>
                      <a:rPr lang="it-IT" sz="1600" b="0" i="1">
                        <a:solidFill>
                          <a:schemeClr val="tx1"/>
                        </a:solidFill>
                        <a:effectLst/>
                        <a:latin typeface="Cambria Math" panose="02040503050406030204" pitchFamily="18" charset="0"/>
                        <a:ea typeface="+mn-ea"/>
                        <a:cs typeface="+mn-cs"/>
                      </a:rPr>
                      <m:t>𝐵</m:t>
                    </m:r>
                    <m:r>
                      <a:rPr lang="it-IT" sz="1600" b="0" i="1">
                        <a:solidFill>
                          <a:schemeClr val="tx1"/>
                        </a:solidFill>
                        <a:effectLst/>
                        <a:latin typeface="Cambria Math" panose="02040503050406030204" pitchFamily="18" charset="0"/>
                        <a:ea typeface="+mn-ea"/>
                        <a:cs typeface="+mn-cs"/>
                      </a:rPr>
                      <m:t> </m:t>
                    </m:r>
                    <m:f>
                      <m:fPr>
                        <m:ctrlPr>
                          <a:rPr lang="it-IT" sz="1600" b="0" i="1">
                            <a:solidFill>
                              <a:schemeClr val="tx1"/>
                            </a:solidFill>
                            <a:effectLst/>
                            <a:latin typeface="Cambria Math" panose="02040503050406030204" pitchFamily="18" charset="0"/>
                            <a:ea typeface="+mn-ea"/>
                            <a:cs typeface="+mn-cs"/>
                          </a:rPr>
                        </m:ctrlPr>
                      </m:fPr>
                      <m:num>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 </m:t>
                            </m:r>
                            <m:r>
                              <a:rPr lang="it-IT" sz="1600" b="0" i="1">
                                <a:solidFill>
                                  <a:schemeClr val="tx1"/>
                                </a:solidFill>
                                <a:effectLst/>
                                <a:latin typeface="Cambria Math" panose="02040503050406030204" pitchFamily="18" charset="0"/>
                                <a:ea typeface="+mn-ea"/>
                                <a:cs typeface="+mn-cs"/>
                              </a:rPr>
                              <m:t>𝐷</m:t>
                            </m:r>
                            <m:r>
                              <a:rPr lang="it-IT" sz="1600" b="0" i="1">
                                <a:solidFill>
                                  <a:schemeClr val="tx1"/>
                                </a:solidFill>
                                <a:effectLst/>
                                <a:latin typeface="Cambria Math" panose="02040503050406030204" pitchFamily="18" charset="0"/>
                                <a:ea typeface="+mn-ea"/>
                                <a:cs typeface="+mn-cs"/>
                              </a:rPr>
                              <m:t>−0,3)</m:t>
                            </m:r>
                            <m:r>
                              <m:rPr>
                                <m:nor/>
                              </m:rPr>
                              <a:rPr lang="it-IT" sz="1600">
                                <a:solidFill>
                                  <a:schemeClr val="tx1"/>
                                </a:solidFill>
                                <a:effectLst/>
                                <a:latin typeface="+mn-lt"/>
                                <a:ea typeface="+mn-ea"/>
                                <a:cs typeface="+mn-cs"/>
                              </a:rPr>
                              <m:t> </m:t>
                            </m:r>
                          </m:e>
                          <m:sup>
                            <m:r>
                              <a:rPr lang="it-IT" sz="1600" b="0" i="1">
                                <a:solidFill>
                                  <a:schemeClr val="tx1"/>
                                </a:solidFill>
                                <a:effectLst/>
                                <a:latin typeface="Cambria Math" panose="02040503050406030204" pitchFamily="18" charset="0"/>
                                <a:ea typeface="+mn-ea"/>
                                <a:cs typeface="+mn-cs"/>
                              </a:rPr>
                              <m:t>2</m:t>
                            </m:r>
                          </m:sup>
                        </m:sSup>
                      </m:num>
                      <m:den>
                        <m:r>
                          <a:rPr lang="it-IT" sz="1600" b="0" i="1">
                            <a:solidFill>
                              <a:schemeClr val="tx1"/>
                            </a:solidFill>
                            <a:effectLst/>
                            <a:latin typeface="Cambria Math" panose="02040503050406030204" pitchFamily="18" charset="0"/>
                            <a:ea typeface="+mn-ea"/>
                            <a:cs typeface="+mn-cs"/>
                          </a:rPr>
                          <m:t>2</m:t>
                        </m:r>
                      </m:den>
                    </m:f>
                  </m:oMath>
                </m:oMathPara>
              </a14:m>
              <a:endParaRPr lang="it-IT" sz="1600"/>
            </a:p>
          </xdr:txBody>
        </xdr:sp>
      </mc:Choice>
      <mc:Fallback xmlns="">
        <xdr:sp macro="" textlink="">
          <xdr:nvSpPr>
            <xdr:cNvPr id="100" name="CasellaDiTesto 99"/>
            <xdr:cNvSpPr txBox="1"/>
          </xdr:nvSpPr>
          <xdr:spPr>
            <a:xfrm>
              <a:off x="607218" y="32737425"/>
              <a:ext cx="5822157" cy="8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it-IT" sz="1600" b="0" i="0">
                  <a:latin typeface="Cambria Math" panose="02040503050406030204" pitchFamily="18" charset="0"/>
                </a:rPr>
                <a:t>𝐹</a:t>
              </a:r>
              <a:r>
                <a:rPr lang="el-GR" sz="1600" b="0" i="0">
                  <a:latin typeface="Cambria Math" panose="02040503050406030204" pitchFamily="18" charset="0"/>
                </a:rPr>
                <a:t>_</a:t>
              </a:r>
              <a:r>
                <a:rPr lang="it-IT" sz="1600" b="0" i="0">
                  <a:latin typeface="Cambria Math" panose="02040503050406030204" pitchFamily="18" charset="0"/>
                </a:rPr>
                <a:t>𝑠=𝑐^′ 𝐵^∗</a:t>
              </a:r>
              <a:r>
                <a:rPr lang="it-IT" sz="1600" b="0" i="0">
                  <a:solidFill>
                    <a:schemeClr val="tx1"/>
                  </a:solidFill>
                  <a:effectLst/>
                  <a:latin typeface="Cambria Math" panose="02040503050406030204" pitchFamily="18" charset="0"/>
                  <a:ea typeface="+mn-ea"/>
                  <a:cs typeface="+mn-cs"/>
                </a:rPr>
                <a:t> 𝐿^∗+𝑉_((𝑓𝑎𝑣)) 𝑡𝑎𝑛(𝜑^′ )+ 𝐾_𝑝 〖 𝜎〗_(𝑣 )^′ </a:t>
              </a:r>
              <a:r>
                <a:rPr lang="it-IT" sz="1600" b="0" i="0">
                  <a:solidFill>
                    <a:schemeClr val="tx1"/>
                  </a:solidFill>
                  <a:effectLst/>
                  <a:latin typeface="Cambria Math" panose="02040503050406030204" pitchFamily="18" charset="0"/>
                  <a:ea typeface="Cambria Math" panose="02040503050406030204" pitchFamily="18" charset="0"/>
                  <a:cs typeface="+mn-cs"/>
                </a:rPr>
                <a:t>𝛾</a:t>
              </a:r>
              <a:r>
                <a:rPr lang="it-IT" sz="1600" b="0" i="0">
                  <a:solidFill>
                    <a:schemeClr val="tx1"/>
                  </a:solidFill>
                  <a:effectLst/>
                  <a:latin typeface="Cambria Math" panose="02040503050406030204" pitchFamily="18" charset="0"/>
                  <a:ea typeface="+mn-ea"/>
                  <a:cs typeface="+mn-cs"/>
                </a:rPr>
                <a:t>_𝑚𝑒𝑑𝑖𝑜   𝐵  〖( 𝐷−0,3)</a:t>
              </a:r>
              <a:r>
                <a:rPr lang="it-IT" sz="1600" b="0" i="0">
                  <a:solidFill>
                    <a:schemeClr val="tx1"/>
                  </a:solidFill>
                  <a:effectLst/>
                  <a:latin typeface="+mn-lt"/>
                  <a:ea typeface="+mn-ea"/>
                  <a:cs typeface="+mn-cs"/>
                </a:rPr>
                <a:t>"</a:t>
              </a:r>
              <a:r>
                <a:rPr lang="it-IT" sz="1600" i="0">
                  <a:solidFill>
                    <a:schemeClr val="tx1"/>
                  </a:solidFill>
                  <a:effectLst/>
                  <a:latin typeface="+mn-lt"/>
                  <a:ea typeface="+mn-ea"/>
                  <a:cs typeface="+mn-cs"/>
                </a:rPr>
                <a:t> </a:t>
              </a:r>
              <a:r>
                <a:rPr lang="it-IT" sz="1600" i="0">
                  <a:solidFill>
                    <a:schemeClr val="tx1"/>
                  </a:solidFill>
                  <a:effectLst/>
                  <a:latin typeface="Cambria Math" panose="02040503050406030204" pitchFamily="18" charset="0"/>
                  <a:ea typeface="+mn-ea"/>
                  <a:cs typeface="+mn-cs"/>
                </a:rPr>
                <a:t>" </a:t>
              </a:r>
              <a:r>
                <a:rPr lang="it-IT" sz="1600" b="0" i="0">
                  <a:solidFill>
                    <a:schemeClr val="tx1"/>
                  </a:solidFill>
                  <a:effectLst/>
                  <a:latin typeface="Cambria Math" panose="02040503050406030204" pitchFamily="18" charset="0"/>
                  <a:ea typeface="+mn-ea"/>
                  <a:cs typeface="+mn-cs"/>
                </a:rPr>
                <a:t>〗^2/2</a:t>
              </a:r>
              <a:endParaRPr lang="it-IT" sz="1600"/>
            </a:p>
          </xdr:txBody>
        </xdr:sp>
      </mc:Fallback>
    </mc:AlternateContent>
    <xdr:clientData/>
  </xdr:oneCellAnchor>
  <xdr:oneCellAnchor>
    <xdr:from>
      <xdr:col>0</xdr:col>
      <xdr:colOff>428626</xdr:colOff>
      <xdr:row>128</xdr:row>
      <xdr:rowOff>35718</xdr:rowOff>
    </xdr:from>
    <xdr:ext cx="2547937" cy="666751"/>
    <mc:AlternateContent xmlns:mc="http://schemas.openxmlformats.org/markup-compatibility/2006" xmlns:a14="http://schemas.microsoft.com/office/drawing/2010/main">
      <mc:Choice Requires="a14">
        <xdr:sp macro="" textlink="">
          <xdr:nvSpPr>
            <xdr:cNvPr id="101" name="CasellaDiTesto 100"/>
            <xdr:cNvSpPr txBox="1"/>
          </xdr:nvSpPr>
          <xdr:spPr>
            <a:xfrm>
              <a:off x="428626" y="33535143"/>
              <a:ext cx="2547937" cy="666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𝐾</m:t>
                        </m:r>
                      </m:e>
                      <m:sub>
                        <m:r>
                          <a:rPr lang="it-IT" sz="1600" b="0" i="1">
                            <a:solidFill>
                              <a:schemeClr val="tx1"/>
                            </a:solidFill>
                            <a:effectLst/>
                            <a:latin typeface="Cambria Math" panose="02040503050406030204" pitchFamily="18" charset="0"/>
                            <a:ea typeface="+mn-ea"/>
                            <a:cs typeface="+mn-cs"/>
                          </a:rPr>
                          <m:t>𝑝</m:t>
                        </m:r>
                      </m:sub>
                    </m:sSub>
                    <m:r>
                      <a:rPr lang="it-IT" sz="1600" b="0" i="1">
                        <a:solidFill>
                          <a:schemeClr val="tx1"/>
                        </a:solidFill>
                        <a:effectLst/>
                        <a:latin typeface="Cambria Math" panose="02040503050406030204" pitchFamily="18" charset="0"/>
                        <a:ea typeface="+mn-ea"/>
                        <a:cs typeface="+mn-cs"/>
                      </a:rPr>
                      <m:t>=</m:t>
                    </m:r>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𝑡𝑎𝑛</m:t>
                        </m:r>
                      </m:e>
                      <m:sup>
                        <m:r>
                          <a:rPr lang="it-IT" sz="1600" b="0" i="1">
                            <a:solidFill>
                              <a:schemeClr val="tx1"/>
                            </a:solidFill>
                            <a:effectLst/>
                            <a:latin typeface="Cambria Math" panose="02040503050406030204" pitchFamily="18" charset="0"/>
                            <a:ea typeface="+mn-ea"/>
                            <a:cs typeface="+mn-cs"/>
                          </a:rPr>
                          <m:t>2</m:t>
                        </m:r>
                      </m:sup>
                    </m:sSup>
                    <m:d>
                      <m:dPr>
                        <m:ctrlPr>
                          <a:rPr lang="it-IT" sz="1600" b="0" i="1">
                            <a:solidFill>
                              <a:schemeClr val="tx1"/>
                            </a:solidFill>
                            <a:effectLst/>
                            <a:latin typeface="Cambria Math" panose="02040503050406030204" pitchFamily="18" charset="0"/>
                            <a:ea typeface="+mn-ea"/>
                            <a:cs typeface="+mn-cs"/>
                          </a:rPr>
                        </m:ctrlPr>
                      </m:dPr>
                      <m:e>
                        <m:r>
                          <a:rPr lang="it-IT" sz="1600" b="0" i="1">
                            <a:solidFill>
                              <a:schemeClr val="tx1"/>
                            </a:solidFill>
                            <a:effectLst/>
                            <a:latin typeface="Cambria Math" panose="02040503050406030204" pitchFamily="18" charset="0"/>
                            <a:ea typeface="+mn-ea"/>
                            <a:cs typeface="+mn-cs"/>
                          </a:rPr>
                          <m:t>45°+</m:t>
                        </m:r>
                        <m:f>
                          <m:fPr>
                            <m:ctrlPr>
                              <a:rPr lang="it-IT" sz="1600" b="0" i="1">
                                <a:solidFill>
                                  <a:schemeClr val="tx1"/>
                                </a:solidFill>
                                <a:effectLst/>
                                <a:latin typeface="Cambria Math" panose="02040503050406030204" pitchFamily="18" charset="0"/>
                                <a:ea typeface="+mn-ea"/>
                                <a:cs typeface="+mn-cs"/>
                              </a:rPr>
                            </m:ctrlPr>
                          </m:fPr>
                          <m:num>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𝜑</m:t>
                                </m:r>
                              </m:e>
                              <m:sup>
                                <m:r>
                                  <a:rPr lang="it-IT" sz="1600" b="0" i="1">
                                    <a:solidFill>
                                      <a:schemeClr val="tx1"/>
                                    </a:solidFill>
                                    <a:effectLst/>
                                    <a:latin typeface="Cambria Math" panose="02040503050406030204" pitchFamily="18" charset="0"/>
                                    <a:ea typeface="+mn-ea"/>
                                    <a:cs typeface="+mn-cs"/>
                                  </a:rPr>
                                  <m:t>′</m:t>
                                </m:r>
                              </m:sup>
                            </m:sSup>
                          </m:num>
                          <m:den>
                            <m:r>
                              <a:rPr lang="it-IT" sz="1600" b="0" i="1">
                                <a:solidFill>
                                  <a:schemeClr val="tx1"/>
                                </a:solidFill>
                                <a:effectLst/>
                                <a:latin typeface="Cambria Math" panose="02040503050406030204" pitchFamily="18" charset="0"/>
                                <a:ea typeface="+mn-ea"/>
                                <a:cs typeface="+mn-cs"/>
                              </a:rPr>
                              <m:t>2</m:t>
                            </m:r>
                          </m:den>
                        </m:f>
                      </m:e>
                    </m:d>
                    <m:r>
                      <a:rPr lang="it-IT" sz="1600" b="0" i="1">
                        <a:solidFill>
                          <a:schemeClr val="tx1"/>
                        </a:solidFill>
                        <a:effectLst/>
                        <a:latin typeface="Cambria Math" panose="02040503050406030204" pitchFamily="18" charset="0"/>
                        <a:ea typeface="+mn-ea"/>
                        <a:cs typeface="+mn-cs"/>
                      </a:rPr>
                      <m:t> </m:t>
                    </m:r>
                  </m:oMath>
                </m:oMathPara>
              </a14:m>
              <a:endParaRPr lang="it-IT" sz="1600"/>
            </a:p>
          </xdr:txBody>
        </xdr:sp>
      </mc:Choice>
      <mc:Fallback xmlns="">
        <xdr:sp macro="" textlink="">
          <xdr:nvSpPr>
            <xdr:cNvPr id="101" name="CasellaDiTesto 100"/>
            <xdr:cNvSpPr txBox="1"/>
          </xdr:nvSpPr>
          <xdr:spPr>
            <a:xfrm>
              <a:off x="428626" y="33535143"/>
              <a:ext cx="2547937" cy="666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it-IT" sz="1600" b="0" i="0">
                  <a:solidFill>
                    <a:schemeClr val="tx1"/>
                  </a:solidFill>
                  <a:effectLst/>
                  <a:latin typeface="Cambria Math" panose="02040503050406030204" pitchFamily="18" charset="0"/>
                  <a:ea typeface="+mn-ea"/>
                  <a:cs typeface="+mn-cs"/>
                </a:rPr>
                <a:t>𝐾_𝑝=〖𝑡𝑎𝑛〗^2 (45°+𝜑^′/2)  </a:t>
              </a:r>
              <a:endParaRPr lang="it-IT" sz="1600"/>
            </a:p>
          </xdr:txBody>
        </xdr:sp>
      </mc:Fallback>
    </mc:AlternateContent>
    <xdr:clientData/>
  </xdr:oneCellAnchor>
  <xdr:oneCellAnchor>
    <xdr:from>
      <xdr:col>0</xdr:col>
      <xdr:colOff>452439</xdr:colOff>
      <xdr:row>135</xdr:row>
      <xdr:rowOff>11906</xdr:rowOff>
    </xdr:from>
    <xdr:ext cx="4310062" cy="821531"/>
    <mc:AlternateContent xmlns:mc="http://schemas.openxmlformats.org/markup-compatibility/2006" xmlns:a14="http://schemas.microsoft.com/office/drawing/2010/main">
      <mc:Choice Requires="a14">
        <xdr:sp macro="" textlink="">
          <xdr:nvSpPr>
            <xdr:cNvPr id="102" name="CasellaDiTesto 101"/>
            <xdr:cNvSpPr txBox="1"/>
          </xdr:nvSpPr>
          <xdr:spPr>
            <a:xfrm>
              <a:off x="452439" y="34892456"/>
              <a:ext cx="4310062" cy="8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l-GR" sz="1600" i="1">
                            <a:latin typeface="Cambria Math" panose="02040503050406030204" pitchFamily="18" charset="0"/>
                          </a:rPr>
                        </m:ctrlPr>
                      </m:sSubPr>
                      <m:e>
                        <m:r>
                          <a:rPr lang="it-IT" sz="1600" b="0" i="1">
                            <a:latin typeface="Cambria Math" panose="02040503050406030204" pitchFamily="18" charset="0"/>
                          </a:rPr>
                          <m:t>𝐹</m:t>
                        </m:r>
                      </m:e>
                      <m:sub>
                        <m:r>
                          <a:rPr lang="it-IT" sz="1600" b="0" i="1">
                            <a:latin typeface="Cambria Math" panose="02040503050406030204" pitchFamily="18" charset="0"/>
                          </a:rPr>
                          <m:t>𝑠</m:t>
                        </m:r>
                      </m:sub>
                    </m:sSub>
                    <m:r>
                      <a:rPr lang="it-IT" sz="1600" b="0" i="1">
                        <a:latin typeface="Cambria Math" panose="02040503050406030204" pitchFamily="18" charset="0"/>
                      </a:rPr>
                      <m:t>=</m:t>
                    </m:r>
                    <m:sSub>
                      <m:sSubPr>
                        <m:ctrlPr>
                          <a:rPr lang="it-IT" sz="1600" b="0" i="1">
                            <a:latin typeface="Cambria Math" panose="02040503050406030204" pitchFamily="18" charset="0"/>
                          </a:rPr>
                        </m:ctrlPr>
                      </m:sSubPr>
                      <m:e>
                        <m:r>
                          <a:rPr lang="it-IT" sz="1600" b="0" i="1">
                            <a:latin typeface="Cambria Math" panose="02040503050406030204" pitchFamily="18" charset="0"/>
                          </a:rPr>
                          <m:t>𝑐</m:t>
                        </m:r>
                      </m:e>
                      <m:sub>
                        <m:r>
                          <a:rPr lang="it-IT" sz="1600" b="0" i="1">
                            <a:latin typeface="Cambria Math" panose="02040503050406030204" pitchFamily="18" charset="0"/>
                          </a:rPr>
                          <m:t>𝑢</m:t>
                        </m:r>
                      </m:sub>
                    </m:sSub>
                    <m:sSup>
                      <m:sSupPr>
                        <m:ctrlPr>
                          <a:rPr lang="it-IT" sz="1600" b="0" i="1">
                            <a:latin typeface="Cambria Math" panose="02040503050406030204" pitchFamily="18" charset="0"/>
                          </a:rPr>
                        </m:ctrlPr>
                      </m:sSupPr>
                      <m:e>
                        <m:r>
                          <a:rPr lang="it-IT" sz="1600" b="0" i="1">
                            <a:latin typeface="Cambria Math" panose="02040503050406030204" pitchFamily="18" charset="0"/>
                          </a:rPr>
                          <m:t>𝐵</m:t>
                        </m:r>
                      </m:e>
                      <m:sup>
                        <m:r>
                          <a:rPr lang="it-IT" sz="1600" b="0" i="1">
                            <a:latin typeface="Cambria Math" panose="02040503050406030204" pitchFamily="18" charset="0"/>
                          </a:rPr>
                          <m:t>∗</m:t>
                        </m:r>
                      </m:sup>
                    </m:sSup>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𝐿</m:t>
                        </m:r>
                      </m:e>
                      <m:sup>
                        <m:r>
                          <a:rPr lang="it-IT" sz="1600" b="0" i="1">
                            <a:solidFill>
                              <a:schemeClr val="tx1"/>
                            </a:solidFill>
                            <a:effectLst/>
                            <a:latin typeface="Cambria Math" panose="02040503050406030204" pitchFamily="18" charset="0"/>
                            <a:ea typeface="+mn-ea"/>
                            <a:cs typeface="+mn-cs"/>
                          </a:rPr>
                          <m:t>∗</m:t>
                        </m:r>
                      </m:sup>
                    </m:sSup>
                    <m:r>
                      <a:rPr lang="it-IT" sz="1600" b="0" i="0">
                        <a:solidFill>
                          <a:schemeClr val="tx1"/>
                        </a:solidFill>
                        <a:effectLst/>
                        <a:latin typeface="Cambria Math" panose="02040503050406030204" pitchFamily="18" charset="0"/>
                        <a:ea typeface="+mn-ea"/>
                        <a:cs typeface="+mn-cs"/>
                      </a:rPr>
                      <m:t>+</m:t>
                    </m:r>
                    <m:sSubSup>
                      <m:sSubSupPr>
                        <m:ctrlPr>
                          <a:rPr lang="it-IT" sz="1600" b="0" i="1">
                            <a:solidFill>
                              <a:schemeClr val="tx1"/>
                            </a:solidFill>
                            <a:effectLst/>
                            <a:latin typeface="Cambria Math" panose="02040503050406030204" pitchFamily="18" charset="0"/>
                            <a:ea typeface="+mn-ea"/>
                            <a:cs typeface="+mn-cs"/>
                          </a:rPr>
                        </m:ctrlPr>
                      </m:sSubSupPr>
                      <m:e>
                        <m:r>
                          <a:rPr lang="it-IT" sz="1600" b="0" i="1">
                            <a:solidFill>
                              <a:schemeClr val="tx1"/>
                            </a:solidFill>
                            <a:effectLst/>
                            <a:latin typeface="Cambria Math" panose="02040503050406030204" pitchFamily="18" charset="0"/>
                            <a:ea typeface="+mn-ea"/>
                            <a:cs typeface="+mn-cs"/>
                          </a:rPr>
                          <m:t> </m:t>
                        </m:r>
                        <m:r>
                          <a:rPr lang="it-IT" sz="1600" b="0" i="1">
                            <a:solidFill>
                              <a:schemeClr val="tx1"/>
                            </a:solidFill>
                            <a:effectLst/>
                            <a:latin typeface="Cambria Math" panose="02040503050406030204" pitchFamily="18" charset="0"/>
                            <a:ea typeface="+mn-ea"/>
                            <a:cs typeface="+mn-cs"/>
                          </a:rPr>
                          <m:t>𝜎</m:t>
                        </m:r>
                      </m:e>
                      <m:sub>
                        <m:r>
                          <a:rPr lang="it-IT" sz="1600" b="0" i="1">
                            <a:solidFill>
                              <a:schemeClr val="tx1"/>
                            </a:solidFill>
                            <a:effectLst/>
                            <a:latin typeface="Cambria Math" panose="02040503050406030204" pitchFamily="18" charset="0"/>
                            <a:ea typeface="+mn-ea"/>
                            <a:cs typeface="+mn-cs"/>
                          </a:rPr>
                          <m:t>𝑣</m:t>
                        </m:r>
                      </m:sub>
                      <m:sup>
                        <m:r>
                          <a:rPr lang="it-IT" sz="1600" b="0" i="1">
                            <a:solidFill>
                              <a:schemeClr val="tx1"/>
                            </a:solidFill>
                            <a:effectLst/>
                            <a:latin typeface="Cambria Math" panose="02040503050406030204" pitchFamily="18" charset="0"/>
                            <a:ea typeface="+mn-ea"/>
                            <a:cs typeface="+mn-cs"/>
                          </a:rPr>
                          <m:t>′</m:t>
                        </m:r>
                      </m:sup>
                    </m:sSubSup>
                    <m:r>
                      <a:rPr lang="it-IT" sz="1600" b="0" i="1">
                        <a:solidFill>
                          <a:schemeClr val="tx1"/>
                        </a:solidFill>
                        <a:effectLst/>
                        <a:latin typeface="Cambria Math" panose="02040503050406030204" pitchFamily="18" charset="0"/>
                        <a:ea typeface="+mn-ea"/>
                        <a:cs typeface="+mn-cs"/>
                      </a:rPr>
                      <m:t> </m:t>
                    </m:r>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Cambria Math" panose="02040503050406030204" pitchFamily="18" charset="0"/>
                            <a:cs typeface="+mn-cs"/>
                          </a:rPr>
                          <m:t>𝛾</m:t>
                        </m:r>
                      </m:e>
                      <m:sub>
                        <m:r>
                          <a:rPr lang="it-IT" sz="1600" b="0" i="1">
                            <a:solidFill>
                              <a:schemeClr val="tx1"/>
                            </a:solidFill>
                            <a:effectLst/>
                            <a:latin typeface="Cambria Math" panose="02040503050406030204" pitchFamily="18" charset="0"/>
                            <a:ea typeface="+mn-ea"/>
                            <a:cs typeface="+mn-cs"/>
                          </a:rPr>
                          <m:t>𝑚𝑒𝑑𝑖𝑜</m:t>
                        </m:r>
                      </m:sub>
                    </m:sSub>
                    <m:r>
                      <a:rPr lang="it-IT" sz="1600" b="0" i="1">
                        <a:solidFill>
                          <a:schemeClr val="tx1"/>
                        </a:solidFill>
                        <a:effectLst/>
                        <a:latin typeface="Cambria Math" panose="02040503050406030204" pitchFamily="18" charset="0"/>
                        <a:ea typeface="+mn-ea"/>
                        <a:cs typeface="+mn-cs"/>
                      </a:rPr>
                      <m:t>  </m:t>
                    </m:r>
                    <m:r>
                      <a:rPr lang="it-IT" sz="1600" b="0" i="1">
                        <a:solidFill>
                          <a:schemeClr val="tx1"/>
                        </a:solidFill>
                        <a:effectLst/>
                        <a:latin typeface="Cambria Math" panose="02040503050406030204" pitchFamily="18" charset="0"/>
                        <a:ea typeface="+mn-ea"/>
                        <a:cs typeface="+mn-cs"/>
                      </a:rPr>
                      <m:t>𝐵</m:t>
                    </m:r>
                    <m:r>
                      <a:rPr lang="it-IT" sz="1600" b="0" i="1">
                        <a:solidFill>
                          <a:schemeClr val="tx1"/>
                        </a:solidFill>
                        <a:effectLst/>
                        <a:latin typeface="Cambria Math" panose="02040503050406030204" pitchFamily="18" charset="0"/>
                        <a:ea typeface="+mn-ea"/>
                        <a:cs typeface="+mn-cs"/>
                      </a:rPr>
                      <m:t> </m:t>
                    </m:r>
                    <m:f>
                      <m:fPr>
                        <m:ctrlPr>
                          <a:rPr lang="it-IT" sz="1600" b="0" i="1">
                            <a:solidFill>
                              <a:schemeClr val="tx1"/>
                            </a:solidFill>
                            <a:effectLst/>
                            <a:latin typeface="Cambria Math" panose="02040503050406030204" pitchFamily="18" charset="0"/>
                            <a:ea typeface="+mn-ea"/>
                            <a:cs typeface="+mn-cs"/>
                          </a:rPr>
                        </m:ctrlPr>
                      </m:fPr>
                      <m:num>
                        <m:sSup>
                          <m:sSupPr>
                            <m:ctrlPr>
                              <a:rPr lang="it-IT" sz="1600" b="0" i="1">
                                <a:solidFill>
                                  <a:schemeClr val="tx1"/>
                                </a:solidFill>
                                <a:effectLst/>
                                <a:latin typeface="Cambria Math" panose="02040503050406030204" pitchFamily="18" charset="0"/>
                                <a:ea typeface="+mn-ea"/>
                                <a:cs typeface="+mn-cs"/>
                              </a:rPr>
                            </m:ctrlPr>
                          </m:sSupPr>
                          <m:e>
                            <m:r>
                              <a:rPr lang="it-IT" sz="1600" b="0" i="1">
                                <a:solidFill>
                                  <a:schemeClr val="tx1"/>
                                </a:solidFill>
                                <a:effectLst/>
                                <a:latin typeface="Cambria Math" panose="02040503050406030204" pitchFamily="18" charset="0"/>
                                <a:ea typeface="+mn-ea"/>
                                <a:cs typeface="+mn-cs"/>
                              </a:rPr>
                              <m:t>( </m:t>
                            </m:r>
                            <m:r>
                              <a:rPr lang="it-IT" sz="1600" b="0" i="1">
                                <a:solidFill>
                                  <a:schemeClr val="tx1"/>
                                </a:solidFill>
                                <a:effectLst/>
                                <a:latin typeface="Cambria Math" panose="02040503050406030204" pitchFamily="18" charset="0"/>
                                <a:ea typeface="+mn-ea"/>
                                <a:cs typeface="+mn-cs"/>
                              </a:rPr>
                              <m:t>𝐷</m:t>
                            </m:r>
                            <m:r>
                              <a:rPr lang="it-IT" sz="1600" b="0" i="1">
                                <a:solidFill>
                                  <a:schemeClr val="tx1"/>
                                </a:solidFill>
                                <a:effectLst/>
                                <a:latin typeface="Cambria Math" panose="02040503050406030204" pitchFamily="18" charset="0"/>
                                <a:ea typeface="+mn-ea"/>
                                <a:cs typeface="+mn-cs"/>
                              </a:rPr>
                              <m:t>−0,3)</m:t>
                            </m:r>
                            <m:r>
                              <m:rPr>
                                <m:nor/>
                              </m:rPr>
                              <a:rPr lang="it-IT" sz="1600">
                                <a:solidFill>
                                  <a:schemeClr val="tx1"/>
                                </a:solidFill>
                                <a:effectLst/>
                                <a:latin typeface="+mn-lt"/>
                                <a:ea typeface="+mn-ea"/>
                                <a:cs typeface="+mn-cs"/>
                              </a:rPr>
                              <m:t> </m:t>
                            </m:r>
                          </m:e>
                          <m:sup>
                            <m:r>
                              <a:rPr lang="it-IT" sz="1600" b="0" i="1">
                                <a:solidFill>
                                  <a:schemeClr val="tx1"/>
                                </a:solidFill>
                                <a:effectLst/>
                                <a:latin typeface="Cambria Math" panose="02040503050406030204" pitchFamily="18" charset="0"/>
                                <a:ea typeface="+mn-ea"/>
                                <a:cs typeface="+mn-cs"/>
                              </a:rPr>
                              <m:t>2</m:t>
                            </m:r>
                          </m:sup>
                        </m:sSup>
                      </m:num>
                      <m:den>
                        <m:r>
                          <a:rPr lang="it-IT" sz="1600" b="0" i="1">
                            <a:solidFill>
                              <a:schemeClr val="tx1"/>
                            </a:solidFill>
                            <a:effectLst/>
                            <a:latin typeface="Cambria Math" panose="02040503050406030204" pitchFamily="18" charset="0"/>
                            <a:ea typeface="+mn-ea"/>
                            <a:cs typeface="+mn-cs"/>
                          </a:rPr>
                          <m:t>2</m:t>
                        </m:r>
                      </m:den>
                    </m:f>
                  </m:oMath>
                </m:oMathPara>
              </a14:m>
              <a:endParaRPr lang="it-IT" sz="1600"/>
            </a:p>
          </xdr:txBody>
        </xdr:sp>
      </mc:Choice>
      <mc:Fallback xmlns="">
        <xdr:sp macro="" textlink="">
          <xdr:nvSpPr>
            <xdr:cNvPr id="102" name="CasellaDiTesto 101"/>
            <xdr:cNvSpPr txBox="1"/>
          </xdr:nvSpPr>
          <xdr:spPr>
            <a:xfrm>
              <a:off x="452439" y="34892456"/>
              <a:ext cx="4310062" cy="8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it-IT" sz="1600" b="0" i="0">
                  <a:latin typeface="Cambria Math" panose="02040503050406030204" pitchFamily="18" charset="0"/>
                </a:rPr>
                <a:t>𝐹</a:t>
              </a:r>
              <a:r>
                <a:rPr lang="el-GR" sz="1600" b="0" i="0">
                  <a:latin typeface="Cambria Math" panose="02040503050406030204" pitchFamily="18" charset="0"/>
                </a:rPr>
                <a:t>_</a:t>
              </a:r>
              <a:r>
                <a:rPr lang="it-IT" sz="1600" b="0" i="0">
                  <a:latin typeface="Cambria Math" panose="02040503050406030204" pitchFamily="18" charset="0"/>
                </a:rPr>
                <a:t>𝑠=𝑐_𝑢 𝐵^∗</a:t>
              </a:r>
              <a:r>
                <a:rPr lang="it-IT" sz="1600" b="0" i="0">
                  <a:solidFill>
                    <a:schemeClr val="tx1"/>
                  </a:solidFill>
                  <a:effectLst/>
                  <a:latin typeface="Cambria Math" panose="02040503050406030204" pitchFamily="18" charset="0"/>
                  <a:ea typeface="+mn-ea"/>
                  <a:cs typeface="+mn-cs"/>
                </a:rPr>
                <a:t> 𝐿^∗+〖 𝜎〗_𝑣^′  </a:t>
              </a:r>
              <a:r>
                <a:rPr lang="it-IT" sz="1600" b="0" i="0">
                  <a:solidFill>
                    <a:schemeClr val="tx1"/>
                  </a:solidFill>
                  <a:effectLst/>
                  <a:latin typeface="Cambria Math" panose="02040503050406030204" pitchFamily="18" charset="0"/>
                  <a:ea typeface="Cambria Math" panose="02040503050406030204" pitchFamily="18" charset="0"/>
                  <a:cs typeface="+mn-cs"/>
                </a:rPr>
                <a:t>𝛾</a:t>
              </a:r>
              <a:r>
                <a:rPr lang="it-IT" sz="1600" b="0" i="0">
                  <a:solidFill>
                    <a:schemeClr val="tx1"/>
                  </a:solidFill>
                  <a:effectLst/>
                  <a:latin typeface="Cambria Math" panose="02040503050406030204" pitchFamily="18" charset="0"/>
                  <a:ea typeface="+mn-ea"/>
                  <a:cs typeface="+mn-cs"/>
                </a:rPr>
                <a:t>_𝑚𝑒𝑑𝑖𝑜   𝐵  〖( 𝐷−0,3)</a:t>
              </a:r>
              <a:r>
                <a:rPr lang="it-IT" sz="1600" b="0" i="0">
                  <a:solidFill>
                    <a:schemeClr val="tx1"/>
                  </a:solidFill>
                  <a:effectLst/>
                  <a:latin typeface="+mn-lt"/>
                  <a:ea typeface="+mn-ea"/>
                  <a:cs typeface="+mn-cs"/>
                </a:rPr>
                <a:t>"</a:t>
              </a:r>
              <a:r>
                <a:rPr lang="it-IT" sz="1600" i="0">
                  <a:solidFill>
                    <a:schemeClr val="tx1"/>
                  </a:solidFill>
                  <a:effectLst/>
                  <a:latin typeface="+mn-lt"/>
                  <a:ea typeface="+mn-ea"/>
                  <a:cs typeface="+mn-cs"/>
                </a:rPr>
                <a:t> </a:t>
              </a:r>
              <a:r>
                <a:rPr lang="it-IT" sz="1600" i="0">
                  <a:solidFill>
                    <a:schemeClr val="tx1"/>
                  </a:solidFill>
                  <a:effectLst/>
                  <a:latin typeface="Cambria Math" panose="02040503050406030204" pitchFamily="18" charset="0"/>
                  <a:ea typeface="+mn-ea"/>
                  <a:cs typeface="+mn-cs"/>
                </a:rPr>
                <a:t>" </a:t>
              </a:r>
              <a:r>
                <a:rPr lang="it-IT" sz="1600" b="0" i="0">
                  <a:solidFill>
                    <a:schemeClr val="tx1"/>
                  </a:solidFill>
                  <a:effectLst/>
                  <a:latin typeface="Cambria Math" panose="02040503050406030204" pitchFamily="18" charset="0"/>
                  <a:ea typeface="+mn-ea"/>
                  <a:cs typeface="+mn-cs"/>
                </a:rPr>
                <a:t>〗^2/2</a:t>
              </a:r>
              <a:endParaRPr lang="it-IT" sz="1600"/>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133350</xdr:colOff>
      <xdr:row>20</xdr:row>
      <xdr:rowOff>66675</xdr:rowOff>
    </xdr:from>
    <xdr:ext cx="9956800" cy="3009900"/>
    <xdr:pic>
      <xdr:nvPicPr>
        <xdr:cNvPr id="2" name="Immagin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3876675"/>
          <a:ext cx="9956800"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228600</xdr:colOff>
      <xdr:row>0</xdr:row>
      <xdr:rowOff>0</xdr:rowOff>
    </xdr:from>
    <xdr:to>
      <xdr:col>17</xdr:col>
      <xdr:colOff>0</xdr:colOff>
      <xdr:row>21</xdr:row>
      <xdr:rowOff>112026</xdr:rowOff>
    </xdr:to>
    <xdr:pic>
      <xdr:nvPicPr>
        <xdr:cNvPr id="5" name="Immagine 4"/>
        <xdr:cNvPicPr>
          <a:picLocks noChangeAspect="1"/>
        </xdr:cNvPicPr>
      </xdr:nvPicPr>
      <xdr:blipFill>
        <a:blip xmlns:r="http://schemas.openxmlformats.org/officeDocument/2006/relationships" r:embed="rId2"/>
        <a:stretch>
          <a:fillRect/>
        </a:stretch>
      </xdr:blipFill>
      <xdr:spPr>
        <a:xfrm>
          <a:off x="228600" y="0"/>
          <a:ext cx="10134600" cy="4112526"/>
        </a:xfrm>
        <a:prstGeom prst="rect">
          <a:avLst/>
        </a:prstGeom>
      </xdr:spPr>
    </xdr:pic>
    <xdr:clientData/>
  </xdr:twoCellAnchor>
  <xdr:twoCellAnchor editAs="oneCell">
    <xdr:from>
      <xdr:col>0</xdr:col>
      <xdr:colOff>50800</xdr:colOff>
      <xdr:row>178</xdr:row>
      <xdr:rowOff>120650</xdr:rowOff>
    </xdr:from>
    <xdr:to>
      <xdr:col>21</xdr:col>
      <xdr:colOff>285054</xdr:colOff>
      <xdr:row>225</xdr:row>
      <xdr:rowOff>120650</xdr:rowOff>
    </xdr:to>
    <xdr:pic>
      <xdr:nvPicPr>
        <xdr:cNvPr id="3" name="Immagine 2"/>
        <xdr:cNvPicPr>
          <a:picLocks noChangeAspect="1"/>
        </xdr:cNvPicPr>
      </xdr:nvPicPr>
      <xdr:blipFill>
        <a:blip xmlns:r="http://schemas.openxmlformats.org/officeDocument/2006/relationships" r:embed="rId3"/>
        <a:stretch>
          <a:fillRect/>
        </a:stretch>
      </xdr:blipFill>
      <xdr:spPr>
        <a:xfrm>
          <a:off x="50800" y="34067750"/>
          <a:ext cx="13035854" cy="8953500"/>
        </a:xfrm>
        <a:prstGeom prst="rect">
          <a:avLst/>
        </a:prstGeom>
      </xdr:spPr>
    </xdr:pic>
    <xdr:clientData/>
  </xdr:twoCellAnchor>
  <xdr:twoCellAnchor editAs="oneCell">
    <xdr:from>
      <xdr:col>0</xdr:col>
      <xdr:colOff>111124</xdr:colOff>
      <xdr:row>37</xdr:row>
      <xdr:rowOff>15874</xdr:rowOff>
    </xdr:from>
    <xdr:to>
      <xdr:col>21</xdr:col>
      <xdr:colOff>158749</xdr:colOff>
      <xdr:row>87</xdr:row>
      <xdr:rowOff>189697</xdr:rowOff>
    </xdr:to>
    <xdr:pic>
      <xdr:nvPicPr>
        <xdr:cNvPr id="4" name="Immagine 3"/>
        <xdr:cNvPicPr>
          <a:picLocks noChangeAspect="1"/>
        </xdr:cNvPicPr>
      </xdr:nvPicPr>
      <xdr:blipFill>
        <a:blip xmlns:r="http://schemas.openxmlformats.org/officeDocument/2006/relationships" r:embed="rId4"/>
        <a:stretch>
          <a:fillRect/>
        </a:stretch>
      </xdr:blipFill>
      <xdr:spPr>
        <a:xfrm>
          <a:off x="111124" y="7064374"/>
          <a:ext cx="12715875" cy="9730573"/>
        </a:xfrm>
        <a:prstGeom prst="rect">
          <a:avLst/>
        </a:prstGeom>
      </xdr:spPr>
    </xdr:pic>
    <xdr:clientData/>
  </xdr:twoCellAnchor>
  <xdr:twoCellAnchor editAs="oneCell">
    <xdr:from>
      <xdr:col>0</xdr:col>
      <xdr:colOff>79374</xdr:colOff>
      <xdr:row>87</xdr:row>
      <xdr:rowOff>63499</xdr:rowOff>
    </xdr:from>
    <xdr:to>
      <xdr:col>21</xdr:col>
      <xdr:colOff>176509</xdr:colOff>
      <xdr:row>104</xdr:row>
      <xdr:rowOff>142874</xdr:rowOff>
    </xdr:to>
    <xdr:pic>
      <xdr:nvPicPr>
        <xdr:cNvPr id="7" name="Immagine 6"/>
        <xdr:cNvPicPr>
          <a:picLocks noChangeAspect="1"/>
        </xdr:cNvPicPr>
      </xdr:nvPicPr>
      <xdr:blipFill>
        <a:blip xmlns:r="http://schemas.openxmlformats.org/officeDocument/2006/relationships" r:embed="rId5"/>
        <a:stretch>
          <a:fillRect/>
        </a:stretch>
      </xdr:blipFill>
      <xdr:spPr>
        <a:xfrm>
          <a:off x="79374" y="16668749"/>
          <a:ext cx="12765385" cy="3317875"/>
        </a:xfrm>
        <a:prstGeom prst="rect">
          <a:avLst/>
        </a:prstGeom>
      </xdr:spPr>
    </xdr:pic>
    <xdr:clientData/>
  </xdr:twoCellAnchor>
  <xdr:twoCellAnchor editAs="oneCell">
    <xdr:from>
      <xdr:col>0</xdr:col>
      <xdr:colOff>0</xdr:colOff>
      <xdr:row>107</xdr:row>
      <xdr:rowOff>76200</xdr:rowOff>
    </xdr:from>
    <xdr:to>
      <xdr:col>22</xdr:col>
      <xdr:colOff>133350</xdr:colOff>
      <xdr:row>168</xdr:row>
      <xdr:rowOff>142711</xdr:rowOff>
    </xdr:to>
    <xdr:pic>
      <xdr:nvPicPr>
        <xdr:cNvPr id="8" name="Immagine 7"/>
        <xdr:cNvPicPr>
          <a:picLocks noChangeAspect="1"/>
        </xdr:cNvPicPr>
      </xdr:nvPicPr>
      <xdr:blipFill>
        <a:blip xmlns:r="http://schemas.openxmlformats.org/officeDocument/2006/relationships" r:embed="rId6"/>
        <a:stretch>
          <a:fillRect/>
        </a:stretch>
      </xdr:blipFill>
      <xdr:spPr>
        <a:xfrm>
          <a:off x="0" y="20497800"/>
          <a:ext cx="13544550" cy="11687011"/>
        </a:xfrm>
        <a:prstGeom prst="rect">
          <a:avLst/>
        </a:prstGeom>
      </xdr:spPr>
    </xdr:pic>
    <xdr:clientData/>
  </xdr:twoCellAnchor>
  <xdr:twoCellAnchor editAs="oneCell">
    <xdr:from>
      <xdr:col>0</xdr:col>
      <xdr:colOff>76200</xdr:colOff>
      <xdr:row>168</xdr:row>
      <xdr:rowOff>171450</xdr:rowOff>
    </xdr:from>
    <xdr:to>
      <xdr:col>22</xdr:col>
      <xdr:colOff>133354</xdr:colOff>
      <xdr:row>179</xdr:row>
      <xdr:rowOff>0</xdr:rowOff>
    </xdr:to>
    <xdr:pic>
      <xdr:nvPicPr>
        <xdr:cNvPr id="9" name="Immagine 8"/>
        <xdr:cNvPicPr>
          <a:picLocks noChangeAspect="1"/>
        </xdr:cNvPicPr>
      </xdr:nvPicPr>
      <xdr:blipFill>
        <a:blip xmlns:r="http://schemas.openxmlformats.org/officeDocument/2006/relationships" r:embed="rId7"/>
        <a:stretch>
          <a:fillRect/>
        </a:stretch>
      </xdr:blipFill>
      <xdr:spPr>
        <a:xfrm>
          <a:off x="76200" y="32213550"/>
          <a:ext cx="13468354" cy="1924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219074</xdr:colOff>
      <xdr:row>90</xdr:row>
      <xdr:rowOff>95250</xdr:rowOff>
    </xdr:from>
    <xdr:to>
      <xdr:col>4</xdr:col>
      <xdr:colOff>466724</xdr:colOff>
      <xdr:row>120</xdr:row>
      <xdr:rowOff>161925</xdr:rowOff>
    </xdr:to>
    <xdr:graphicFrame macro="">
      <xdr:nvGraphicFramePr>
        <xdr:cNvPr id="4" name="Gra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221191</xdr:colOff>
      <xdr:row>121</xdr:row>
      <xdr:rowOff>83607</xdr:rowOff>
    </xdr:from>
    <xdr:to>
      <xdr:col>4</xdr:col>
      <xdr:colOff>438150</xdr:colOff>
      <xdr:row>133</xdr:row>
      <xdr:rowOff>104774</xdr:rowOff>
    </xdr:to>
    <xdr:graphicFrame macro="">
      <xdr:nvGraphicFramePr>
        <xdr:cNvPr id="6" name="Gra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197906</xdr:colOff>
      <xdr:row>134</xdr:row>
      <xdr:rowOff>41274</xdr:rowOff>
    </xdr:from>
    <xdr:to>
      <xdr:col>4</xdr:col>
      <xdr:colOff>390525</xdr:colOff>
      <xdr:row>144</xdr:row>
      <xdr:rowOff>133349</xdr:rowOff>
    </xdr:to>
    <xdr:graphicFrame macro="">
      <xdr:nvGraphicFramePr>
        <xdr:cNvPr id="7" name="Gra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203200</xdr:colOff>
      <xdr:row>145</xdr:row>
      <xdr:rowOff>116417</xdr:rowOff>
    </xdr:from>
    <xdr:to>
      <xdr:col>4</xdr:col>
      <xdr:colOff>390525</xdr:colOff>
      <xdr:row>155</xdr:row>
      <xdr:rowOff>152400</xdr:rowOff>
    </xdr:to>
    <xdr:graphicFrame macro="">
      <xdr:nvGraphicFramePr>
        <xdr:cNvPr id="8" name="Gra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57150</xdr:colOff>
      <xdr:row>206</xdr:row>
      <xdr:rowOff>114300</xdr:rowOff>
    </xdr:from>
    <xdr:to>
      <xdr:col>3</xdr:col>
      <xdr:colOff>552450</xdr:colOff>
      <xdr:row>236</xdr:row>
      <xdr:rowOff>171450</xdr:rowOff>
    </xdr:to>
    <xdr:graphicFrame macro="">
      <xdr:nvGraphicFramePr>
        <xdr:cNvPr id="9" name="Gra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209549</xdr:colOff>
      <xdr:row>32</xdr:row>
      <xdr:rowOff>28575</xdr:rowOff>
    </xdr:from>
    <xdr:to>
      <xdr:col>13</xdr:col>
      <xdr:colOff>295275</xdr:colOff>
      <xdr:row>61</xdr:row>
      <xdr:rowOff>19050</xdr:rowOff>
    </xdr:to>
    <xdr:graphicFrame macro="">
      <xdr:nvGraphicFramePr>
        <xdr:cNvPr id="2" name="Gra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352424</xdr:colOff>
      <xdr:row>121</xdr:row>
      <xdr:rowOff>109535</xdr:rowOff>
    </xdr:from>
    <xdr:to>
      <xdr:col>8</xdr:col>
      <xdr:colOff>19050</xdr:colOff>
      <xdr:row>152</xdr:row>
      <xdr:rowOff>123824</xdr:rowOff>
    </xdr:to>
    <xdr:graphicFrame macro="">
      <xdr:nvGraphicFramePr>
        <xdr:cNvPr id="3" name="Gra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121</xdr:row>
      <xdr:rowOff>76200</xdr:rowOff>
    </xdr:from>
    <xdr:to>
      <xdr:col>3</xdr:col>
      <xdr:colOff>161925</xdr:colOff>
      <xdr:row>152</xdr:row>
      <xdr:rowOff>90489</xdr:rowOff>
    </xdr:to>
    <xdr:graphicFrame macro="">
      <xdr:nvGraphicFramePr>
        <xdr:cNvPr id="4" name="Gra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253997</xdr:colOff>
      <xdr:row>30</xdr:row>
      <xdr:rowOff>190500</xdr:rowOff>
    </xdr:from>
    <xdr:to>
      <xdr:col>8</xdr:col>
      <xdr:colOff>889000</xdr:colOff>
      <xdr:row>57</xdr:row>
      <xdr:rowOff>228603</xdr:rowOff>
    </xdr:to>
    <xdr:graphicFrame macro="">
      <xdr:nvGraphicFramePr>
        <xdr:cNvPr id="6" name="Gra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603250</xdr:colOff>
      <xdr:row>66</xdr:row>
      <xdr:rowOff>169333</xdr:rowOff>
    </xdr:from>
    <xdr:to>
      <xdr:col>8</xdr:col>
      <xdr:colOff>910167</xdr:colOff>
      <xdr:row>94</xdr:row>
      <xdr:rowOff>158750</xdr:rowOff>
    </xdr:to>
    <xdr:graphicFrame macro="">
      <xdr:nvGraphicFramePr>
        <xdr:cNvPr id="4" name="Gra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253997</xdr:colOff>
      <xdr:row>30</xdr:row>
      <xdr:rowOff>190500</xdr:rowOff>
    </xdr:from>
    <xdr:to>
      <xdr:col>8</xdr:col>
      <xdr:colOff>889000</xdr:colOff>
      <xdr:row>57</xdr:row>
      <xdr:rowOff>228603</xdr:rowOff>
    </xdr:to>
    <xdr:graphicFrame macro="">
      <xdr:nvGraphicFramePr>
        <xdr:cNvPr id="2" name="Grafico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730250</xdr:colOff>
      <xdr:row>66</xdr:row>
      <xdr:rowOff>179916</xdr:rowOff>
    </xdr:from>
    <xdr:to>
      <xdr:col>8</xdr:col>
      <xdr:colOff>1037167</xdr:colOff>
      <xdr:row>94</xdr:row>
      <xdr:rowOff>169333</xdr:rowOff>
    </xdr:to>
    <xdr:graphicFrame macro="">
      <xdr:nvGraphicFramePr>
        <xdr:cNvPr id="4" name="Gra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64841</xdr:colOff>
      <xdr:row>70</xdr:row>
      <xdr:rowOff>0</xdr:rowOff>
    </xdr:from>
    <xdr:to>
      <xdr:col>7</xdr:col>
      <xdr:colOff>75940</xdr:colOff>
      <xdr:row>76</xdr:row>
      <xdr:rowOff>162243</xdr:rowOff>
    </xdr:to>
    <xdr:pic>
      <xdr:nvPicPr>
        <xdr:cNvPr id="9" name="Immagin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8466" y="7477125"/>
          <a:ext cx="3431633" cy="1362393"/>
        </a:xfrm>
        <a:prstGeom prst="rect">
          <a:avLst/>
        </a:prstGeom>
      </xdr:spPr>
    </xdr:pic>
    <xdr:clientData/>
  </xdr:twoCellAnchor>
  <xdr:twoCellAnchor editAs="oneCell">
    <xdr:from>
      <xdr:col>5</xdr:col>
      <xdr:colOff>137584</xdr:colOff>
      <xdr:row>78</xdr:row>
      <xdr:rowOff>240906</xdr:rowOff>
    </xdr:from>
    <xdr:to>
      <xdr:col>6</xdr:col>
      <xdr:colOff>455084</xdr:colOff>
      <xdr:row>80</xdr:row>
      <xdr:rowOff>25396</xdr:rowOff>
    </xdr:to>
    <xdr:pic>
      <xdr:nvPicPr>
        <xdr:cNvPr id="2" name="Immagin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2584" y="9776489"/>
          <a:ext cx="1016000" cy="299898"/>
        </a:xfrm>
        <a:prstGeom prst="rect">
          <a:avLst/>
        </a:prstGeom>
      </xdr:spPr>
    </xdr:pic>
    <xdr:clientData/>
  </xdr:twoCellAnchor>
  <xdr:twoCellAnchor editAs="oneCell">
    <xdr:from>
      <xdr:col>5</xdr:col>
      <xdr:colOff>116417</xdr:colOff>
      <xdr:row>87</xdr:row>
      <xdr:rowOff>0</xdr:rowOff>
    </xdr:from>
    <xdr:to>
      <xdr:col>6</xdr:col>
      <xdr:colOff>433917</xdr:colOff>
      <xdr:row>88</xdr:row>
      <xdr:rowOff>24732</xdr:rowOff>
    </xdr:to>
    <xdr:pic>
      <xdr:nvPicPr>
        <xdr:cNvPr id="10" name="Immagin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2167" y="10837333"/>
          <a:ext cx="1016000" cy="299898"/>
        </a:xfrm>
        <a:prstGeom prst="rect">
          <a:avLst/>
        </a:prstGeom>
      </xdr:spPr>
    </xdr:pic>
    <xdr:clientData/>
  </xdr:twoCellAnchor>
  <xdr:twoCellAnchor editAs="oneCell">
    <xdr:from>
      <xdr:col>6</xdr:col>
      <xdr:colOff>179916</xdr:colOff>
      <xdr:row>102</xdr:row>
      <xdr:rowOff>21167</xdr:rowOff>
    </xdr:from>
    <xdr:to>
      <xdr:col>11</xdr:col>
      <xdr:colOff>374078</xdr:colOff>
      <xdr:row>119</xdr:row>
      <xdr:rowOff>18473</xdr:rowOff>
    </xdr:to>
    <xdr:pic>
      <xdr:nvPicPr>
        <xdr:cNvPr id="6" name="Immagine 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672"/>
        <a:stretch/>
      </xdr:blipFill>
      <xdr:spPr>
        <a:xfrm>
          <a:off x="5185833" y="13356167"/>
          <a:ext cx="3623162" cy="32358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114300</xdr:colOff>
      <xdr:row>72</xdr:row>
      <xdr:rowOff>29218</xdr:rowOff>
    </xdr:from>
    <xdr:to>
      <xdr:col>9</xdr:col>
      <xdr:colOff>508046</xdr:colOff>
      <xdr:row>78</xdr:row>
      <xdr:rowOff>182879</xdr:rowOff>
    </xdr:to>
    <xdr:pic>
      <xdr:nvPicPr>
        <xdr:cNvPr id="6" name="Immagin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6975" y="8658868"/>
          <a:ext cx="5056762" cy="1304281"/>
        </a:xfrm>
        <a:prstGeom prst="rect">
          <a:avLst/>
        </a:prstGeom>
      </xdr:spPr>
    </xdr:pic>
    <xdr:clientData/>
  </xdr:twoCellAnchor>
  <xdr:twoCellAnchor editAs="oneCell">
    <xdr:from>
      <xdr:col>5</xdr:col>
      <xdr:colOff>127000</xdr:colOff>
      <xdr:row>81</xdr:row>
      <xdr:rowOff>179916</xdr:rowOff>
    </xdr:from>
    <xdr:to>
      <xdr:col>6</xdr:col>
      <xdr:colOff>455083</xdr:colOff>
      <xdr:row>82</xdr:row>
      <xdr:rowOff>268145</xdr:rowOff>
    </xdr:to>
    <xdr:pic>
      <xdr:nvPicPr>
        <xdr:cNvPr id="7" name="Immagin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0" y="11218333"/>
          <a:ext cx="1016000" cy="299898"/>
        </a:xfrm>
        <a:prstGeom prst="rect">
          <a:avLst/>
        </a:prstGeom>
      </xdr:spPr>
    </xdr:pic>
    <xdr:clientData/>
  </xdr:twoCellAnchor>
  <xdr:twoCellAnchor editAs="oneCell">
    <xdr:from>
      <xdr:col>5</xdr:col>
      <xdr:colOff>116417</xdr:colOff>
      <xdr:row>89</xdr:row>
      <xdr:rowOff>179916</xdr:rowOff>
    </xdr:from>
    <xdr:to>
      <xdr:col>6</xdr:col>
      <xdr:colOff>444500</xdr:colOff>
      <xdr:row>91</xdr:row>
      <xdr:rowOff>3566</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03750" y="11927416"/>
          <a:ext cx="1016000" cy="299900"/>
        </a:xfrm>
        <a:prstGeom prst="rect">
          <a:avLst/>
        </a:prstGeom>
      </xdr:spPr>
    </xdr:pic>
    <xdr:clientData/>
  </xdr:twoCellAnchor>
  <xdr:twoCellAnchor editAs="oneCell">
    <xdr:from>
      <xdr:col>2</xdr:col>
      <xdr:colOff>169333</xdr:colOff>
      <xdr:row>114</xdr:row>
      <xdr:rowOff>21167</xdr:rowOff>
    </xdr:from>
    <xdr:to>
      <xdr:col>7</xdr:col>
      <xdr:colOff>482029</xdr:colOff>
      <xdr:row>130</xdr:row>
      <xdr:rowOff>166640</xdr:rowOff>
    </xdr:to>
    <xdr:pic>
      <xdr:nvPicPr>
        <xdr:cNvPr id="5" name="Immagine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672"/>
        <a:stretch/>
      </xdr:blipFill>
      <xdr:spPr>
        <a:xfrm>
          <a:off x="2709333" y="15991417"/>
          <a:ext cx="3676079" cy="3288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179916</xdr:colOff>
      <xdr:row>42</xdr:row>
      <xdr:rowOff>31748</xdr:rowOff>
    </xdr:from>
    <xdr:to>
      <xdr:col>27</xdr:col>
      <xdr:colOff>296334</xdr:colOff>
      <xdr:row>60</xdr:row>
      <xdr:rowOff>116416</xdr:rowOff>
    </xdr:to>
    <xdr:graphicFrame macro="">
      <xdr:nvGraphicFramePr>
        <xdr:cNvPr id="7" name="Gra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508000</xdr:colOff>
      <xdr:row>80</xdr:row>
      <xdr:rowOff>137583</xdr:rowOff>
    </xdr:from>
    <xdr:to>
      <xdr:col>18</xdr:col>
      <xdr:colOff>581025</xdr:colOff>
      <xdr:row>112</xdr:row>
      <xdr:rowOff>80433</xdr:rowOff>
    </xdr:to>
    <xdr:graphicFrame macro="">
      <xdr:nvGraphicFramePr>
        <xdr:cNvPr id="3" name="Gra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7407</xdr:colOff>
      <xdr:row>73</xdr:row>
      <xdr:rowOff>138641</xdr:rowOff>
    </xdr:from>
    <xdr:to>
      <xdr:col>6</xdr:col>
      <xdr:colOff>973667</xdr:colOff>
      <xdr:row>99</xdr:row>
      <xdr:rowOff>52916</xdr:rowOff>
    </xdr:to>
    <xdr:graphicFrame macro="">
      <xdr:nvGraphicFramePr>
        <xdr:cNvPr id="9" name="Grafico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132</xdr:row>
      <xdr:rowOff>95249</xdr:rowOff>
    </xdr:from>
    <xdr:to>
      <xdr:col>6</xdr:col>
      <xdr:colOff>952500</xdr:colOff>
      <xdr:row>149</xdr:row>
      <xdr:rowOff>74082</xdr:rowOff>
    </xdr:to>
    <xdr:graphicFrame macro="">
      <xdr:nvGraphicFramePr>
        <xdr:cNvPr id="3" name="Grafico 2">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21167</xdr:colOff>
      <xdr:row>117</xdr:row>
      <xdr:rowOff>52917</xdr:rowOff>
    </xdr:from>
    <xdr:to>
      <xdr:col>6</xdr:col>
      <xdr:colOff>963083</xdr:colOff>
      <xdr:row>131</xdr:row>
      <xdr:rowOff>186472</xdr:rowOff>
    </xdr:to>
    <xdr:graphicFrame macro="">
      <xdr:nvGraphicFramePr>
        <xdr:cNvPr id="4" name="Grafico 3">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la\Desktop\FONDAZIONI%20DIRETTE%20IN%20ZONA%20SISM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RUZIONI"/>
      <sheetName val="FOGLIO DEPOSITO"/>
      <sheetName val="DATI"/>
      <sheetName val="VER. GEO CONDIZIONI NON DRENATE"/>
      <sheetName val="VER. GEO CONDIZIONI DRENATE"/>
      <sheetName val="SPETTRO DI PROGETTO ORIZZONTALE"/>
      <sheetName val="FORMULE"/>
      <sheetName val="tabelle NTC 08"/>
      <sheetName val="ANALISI SISMICA PSEUDO-STATICA "/>
    </sheetNames>
    <sheetDataSet>
      <sheetData sheetId="0"/>
      <sheetData sheetId="1">
        <row r="16">
          <cell r="I16" t="str">
            <v>si</v>
          </cell>
        </row>
        <row r="17">
          <cell r="I17" t="str">
            <v>no</v>
          </cell>
        </row>
      </sheetData>
      <sheetData sheetId="2">
        <row r="51">
          <cell r="E51">
            <v>2.2999999999999998</v>
          </cell>
        </row>
      </sheetData>
      <sheetData sheetId="3"/>
      <sheetData sheetId="4"/>
      <sheetData sheetId="5"/>
      <sheetData sheetId="6"/>
      <sheetData sheetId="7"/>
      <sheetData sheetId="8"/>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3E5DB3A-156E-43AA-86C2-9D0CFA1000D7}" diskRevisions="1" version="2" protected="1">
  <header guid="{6B8D5CDA-BFE9-4D26-B342-8A277AA3253F}" dateTime="2019-02-20T01:27:57" maxSheetId="18" userName="Davide Cicchini" r:id="rId1">
    <sheetIdMap count="17">
      <sheetId val="1"/>
      <sheetId val="2"/>
      <sheetId val="3"/>
      <sheetId val="4"/>
      <sheetId val="5"/>
      <sheetId val="6"/>
      <sheetId val="7"/>
      <sheetId val="8"/>
      <sheetId val="9"/>
      <sheetId val="10"/>
      <sheetId val="11"/>
      <sheetId val="12"/>
      <sheetId val="13"/>
      <sheetId val="14"/>
      <sheetId val="15"/>
      <sheetId val="16"/>
      <sheetId val="17"/>
    </sheetIdMap>
  </header>
  <header guid="{43E5DB3A-156E-43AA-86C2-9D0CFA1000D7}" dateTime="2019-02-20T01:28:27" maxSheetId="18" userName="Davide Cicchini" r:id="rId2">
    <sheetIdMap count="17">
      <sheetId val="1"/>
      <sheetId val="2"/>
      <sheetId val="3"/>
      <sheetId val="4"/>
      <sheetId val="5"/>
      <sheetId val="6"/>
      <sheetId val="7"/>
      <sheetId val="8"/>
      <sheetId val="9"/>
      <sheetId val="10"/>
      <sheetId val="11"/>
      <sheetId val="12"/>
      <sheetId val="13"/>
      <sheetId val="14"/>
      <sheetId val="15"/>
      <sheetId val="16"/>
      <sheetId val="17"/>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E8F20A8-8220-4169-B947-2AB764A2AA7B}" action="delete"/>
  <rcv guid="{5E8F20A8-8220-4169-B947-2AB764A2AA7B}"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davidecicchini.it/"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davidecicchini.i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hyperlink" Target="http://www.geostru.com/geoapp/parametri-sismici.aspx" TargetMode="External"/><Relationship Id="rId7" Type="http://schemas.openxmlformats.org/officeDocument/2006/relationships/comments" Target="../comments1.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5"/>
  <sheetViews>
    <sheetView showGridLines="0" showRowColHeaders="0" tabSelected="1" workbookViewId="0">
      <selection activeCell="G45" sqref="G45:I45"/>
    </sheetView>
  </sheetViews>
  <sheetFormatPr defaultRowHeight="15" x14ac:dyDescent="0.25"/>
  <cols>
    <col min="1" max="1" width="3" customWidth="1"/>
  </cols>
  <sheetData>
    <row r="1" spans="2:12" x14ac:dyDescent="0.25">
      <c r="B1" s="2"/>
      <c r="C1" s="2"/>
      <c r="D1" s="2"/>
      <c r="E1" s="2"/>
      <c r="F1" s="2"/>
      <c r="G1" s="2"/>
      <c r="H1" s="2"/>
      <c r="I1" s="2"/>
      <c r="J1" s="2"/>
      <c r="K1" s="2"/>
      <c r="L1" s="2"/>
    </row>
    <row r="2" spans="2:12" x14ac:dyDescent="0.25">
      <c r="B2" s="2"/>
      <c r="C2" s="2"/>
      <c r="D2" s="2"/>
      <c r="E2" s="2"/>
      <c r="F2" s="2"/>
      <c r="G2" s="2"/>
      <c r="H2" s="2"/>
      <c r="I2" s="2"/>
      <c r="J2" s="2"/>
      <c r="K2" s="2"/>
      <c r="L2" s="2"/>
    </row>
    <row r="3" spans="2:12" x14ac:dyDescent="0.25">
      <c r="B3" s="2"/>
      <c r="C3" s="2"/>
      <c r="D3" s="2"/>
      <c r="E3" s="2"/>
      <c r="F3" s="2"/>
      <c r="G3" s="2"/>
      <c r="H3" s="2"/>
      <c r="I3" s="2"/>
      <c r="J3" s="2"/>
      <c r="K3" s="2"/>
      <c r="L3" s="2"/>
    </row>
    <row r="4" spans="2:12" x14ac:dyDescent="0.25">
      <c r="B4" s="2"/>
      <c r="C4" s="2"/>
      <c r="D4" s="2"/>
      <c r="E4" s="2"/>
      <c r="F4" s="2"/>
      <c r="G4" s="2"/>
      <c r="H4" s="2"/>
      <c r="I4" s="2"/>
      <c r="J4" s="2"/>
      <c r="K4" s="2"/>
      <c r="L4" s="2"/>
    </row>
    <row r="5" spans="2:12" ht="15.75" x14ac:dyDescent="0.25">
      <c r="B5" s="125" t="s">
        <v>1063</v>
      </c>
      <c r="C5" s="2"/>
      <c r="D5" s="2"/>
      <c r="E5" s="2"/>
      <c r="F5" s="2"/>
      <c r="G5" s="2"/>
      <c r="H5" s="2"/>
      <c r="I5" s="2"/>
      <c r="J5" s="2"/>
      <c r="K5" s="2"/>
      <c r="L5" s="2"/>
    </row>
    <row r="6" spans="2:12" ht="15.75" x14ac:dyDescent="0.25">
      <c r="B6" s="125" t="s">
        <v>1064</v>
      </c>
      <c r="C6" s="2"/>
      <c r="D6" s="2"/>
      <c r="E6" s="2"/>
      <c r="F6" s="2"/>
      <c r="G6" s="2"/>
      <c r="H6" s="2"/>
      <c r="I6" s="2"/>
      <c r="J6" s="2"/>
      <c r="K6" s="2"/>
      <c r="L6" s="2"/>
    </row>
    <row r="7" spans="2:12" s="428" customFormat="1" ht="15.75" x14ac:dyDescent="0.25">
      <c r="B7" s="125" t="s">
        <v>1065</v>
      </c>
      <c r="C7" s="429"/>
      <c r="D7" s="429"/>
      <c r="E7" s="429"/>
      <c r="F7" s="429"/>
      <c r="G7" s="429"/>
      <c r="H7" s="429"/>
      <c r="I7" s="429"/>
      <c r="J7" s="429"/>
      <c r="K7" s="429"/>
      <c r="L7" s="429"/>
    </row>
    <row r="8" spans="2:12" ht="15.75" x14ac:dyDescent="0.25">
      <c r="B8" s="125" t="s">
        <v>1066</v>
      </c>
      <c r="C8" s="2"/>
      <c r="D8" s="2"/>
      <c r="E8" s="2"/>
      <c r="F8" s="2"/>
      <c r="G8" s="2"/>
      <c r="H8" s="2"/>
      <c r="I8" s="2"/>
      <c r="J8" s="2"/>
      <c r="K8" s="2"/>
      <c r="L8" s="2"/>
    </row>
    <row r="9" spans="2:12" ht="15.75" x14ac:dyDescent="0.25">
      <c r="B9" s="125" t="s">
        <v>1068</v>
      </c>
      <c r="C9" s="2"/>
      <c r="D9" s="2"/>
      <c r="E9" s="2"/>
      <c r="F9" s="2"/>
      <c r="G9" s="2"/>
      <c r="H9" s="2"/>
      <c r="I9" s="2"/>
      <c r="J9" s="2"/>
      <c r="K9" s="2"/>
      <c r="L9" s="2"/>
    </row>
    <row r="10" spans="2:12" ht="15.75" x14ac:dyDescent="0.25">
      <c r="B10" s="125" t="s">
        <v>1067</v>
      </c>
      <c r="C10" s="2"/>
      <c r="D10" s="2"/>
      <c r="E10" s="2"/>
      <c r="F10" s="2"/>
      <c r="G10" s="2"/>
      <c r="H10" s="2"/>
      <c r="I10" s="2"/>
      <c r="J10" s="2"/>
      <c r="K10" s="2"/>
      <c r="L10" s="2"/>
    </row>
    <row r="11" spans="2:12" ht="15.75" x14ac:dyDescent="0.25">
      <c r="B11" s="125" t="s">
        <v>1069</v>
      </c>
      <c r="C11" s="2"/>
      <c r="D11" s="2"/>
      <c r="E11" s="2"/>
      <c r="F11" s="2"/>
      <c r="G11" s="2"/>
      <c r="H11" s="2"/>
      <c r="I11" s="2"/>
      <c r="J11" s="2"/>
      <c r="K11" s="2"/>
      <c r="L11" s="2"/>
    </row>
    <row r="12" spans="2:12" ht="15.75" x14ac:dyDescent="0.25">
      <c r="B12" s="125" t="s">
        <v>1074</v>
      </c>
      <c r="C12" s="2"/>
      <c r="D12" s="2"/>
      <c r="E12" s="2"/>
      <c r="F12" s="2"/>
      <c r="G12" s="2"/>
      <c r="H12" s="2"/>
      <c r="I12" s="2"/>
      <c r="J12" s="2"/>
      <c r="K12" s="2"/>
      <c r="L12" s="2"/>
    </row>
    <row r="13" spans="2:12" ht="15.75" x14ac:dyDescent="0.25">
      <c r="B13" s="125" t="s">
        <v>1070</v>
      </c>
      <c r="C13" s="2"/>
      <c r="D13" s="2"/>
      <c r="E13" s="2"/>
      <c r="F13" s="2"/>
      <c r="G13" s="2"/>
      <c r="H13" s="2"/>
      <c r="I13" s="2"/>
      <c r="J13" s="2"/>
      <c r="K13" s="2"/>
      <c r="L13" s="2"/>
    </row>
    <row r="14" spans="2:12" ht="15.75" x14ac:dyDescent="0.25">
      <c r="B14" s="125" t="s">
        <v>1071</v>
      </c>
      <c r="C14" s="2"/>
      <c r="D14" s="2"/>
      <c r="E14" s="2"/>
      <c r="F14" s="2"/>
      <c r="G14" s="2"/>
      <c r="H14" s="2"/>
      <c r="I14" s="2"/>
      <c r="J14" s="2"/>
      <c r="K14" s="2"/>
      <c r="L14" s="2"/>
    </row>
    <row r="15" spans="2:12" ht="15.75" x14ac:dyDescent="0.25">
      <c r="B15" s="125" t="s">
        <v>1072</v>
      </c>
      <c r="C15" s="2"/>
      <c r="D15" s="2"/>
      <c r="E15" s="2"/>
      <c r="F15" s="2"/>
      <c r="G15" s="2"/>
      <c r="H15" s="2"/>
      <c r="I15" s="2"/>
      <c r="J15" s="2"/>
      <c r="K15" s="2"/>
      <c r="L15" s="2"/>
    </row>
    <row r="16" spans="2:12" ht="15.75" x14ac:dyDescent="0.25">
      <c r="B16" s="125" t="s">
        <v>37</v>
      </c>
      <c r="C16" s="2"/>
      <c r="D16" s="2"/>
      <c r="E16" s="2"/>
      <c r="F16" s="2"/>
      <c r="G16" s="2"/>
      <c r="H16" s="2"/>
      <c r="I16" s="2"/>
      <c r="J16" s="2"/>
      <c r="K16" s="2"/>
      <c r="L16" s="2"/>
    </row>
    <row r="17" spans="2:12" ht="15.75" x14ac:dyDescent="0.25">
      <c r="B17" s="125" t="s">
        <v>1073</v>
      </c>
      <c r="C17" s="2"/>
      <c r="D17" s="2"/>
      <c r="E17" s="2"/>
      <c r="F17" s="2"/>
      <c r="G17" s="2"/>
      <c r="H17" s="2"/>
      <c r="I17" s="2"/>
      <c r="J17" s="2"/>
      <c r="K17" s="2"/>
      <c r="L17" s="2"/>
    </row>
    <row r="18" spans="2:12" ht="15.75" x14ac:dyDescent="0.25">
      <c r="B18" s="125" t="s">
        <v>1081</v>
      </c>
      <c r="C18" s="2"/>
      <c r="D18" s="2"/>
      <c r="E18" s="2"/>
      <c r="F18" s="2"/>
      <c r="G18" s="2"/>
      <c r="H18" s="2"/>
      <c r="I18" s="2"/>
      <c r="J18" s="2"/>
      <c r="K18" s="2"/>
      <c r="L18" s="2"/>
    </row>
    <row r="19" spans="2:12" ht="15.75" x14ac:dyDescent="0.25">
      <c r="B19" s="125" t="s">
        <v>38</v>
      </c>
      <c r="C19" s="2"/>
      <c r="D19" s="2"/>
      <c r="E19" s="2"/>
      <c r="F19" s="2"/>
      <c r="G19" s="2"/>
      <c r="H19" s="2"/>
      <c r="I19" s="2"/>
      <c r="J19" s="2"/>
      <c r="K19" s="2"/>
      <c r="L19" s="2"/>
    </row>
    <row r="20" spans="2:12" ht="15.75" x14ac:dyDescent="0.25">
      <c r="B20" s="125" t="s">
        <v>39</v>
      </c>
      <c r="C20" s="2"/>
      <c r="D20" s="2"/>
      <c r="E20" s="2"/>
      <c r="F20" s="2"/>
      <c r="G20" s="2"/>
      <c r="H20" s="2"/>
      <c r="I20" s="2"/>
      <c r="J20" s="2"/>
      <c r="K20" s="2"/>
      <c r="L20" s="2"/>
    </row>
    <row r="21" spans="2:12" ht="15.75" x14ac:dyDescent="0.25">
      <c r="B21" s="125" t="s">
        <v>1082</v>
      </c>
      <c r="C21" s="2"/>
      <c r="D21" s="2"/>
      <c r="E21" s="2"/>
      <c r="F21" s="2"/>
      <c r="G21" s="2"/>
      <c r="H21" s="2"/>
      <c r="I21" s="2"/>
      <c r="J21" s="2"/>
      <c r="K21" s="2"/>
      <c r="L21" s="2"/>
    </row>
    <row r="22" spans="2:12" ht="15.75" x14ac:dyDescent="0.25">
      <c r="B22" s="125" t="s">
        <v>40</v>
      </c>
      <c r="C22" s="2"/>
      <c r="D22" s="2"/>
      <c r="E22" s="2"/>
      <c r="F22" s="2"/>
      <c r="G22" s="2"/>
      <c r="H22" s="2"/>
      <c r="I22" s="2"/>
      <c r="J22" s="2"/>
      <c r="K22" s="2"/>
      <c r="L22" s="2"/>
    </row>
    <row r="23" spans="2:12" ht="15.75" x14ac:dyDescent="0.25">
      <c r="B23" s="125" t="s">
        <v>41</v>
      </c>
      <c r="C23" s="2"/>
      <c r="D23" s="2"/>
      <c r="E23" s="2"/>
      <c r="F23" s="2"/>
      <c r="G23" s="2"/>
      <c r="H23" s="2"/>
      <c r="I23" s="388"/>
      <c r="J23" s="2"/>
      <c r="K23" s="2"/>
      <c r="L23" s="2"/>
    </row>
    <row r="24" spans="2:12" ht="15.75" x14ac:dyDescent="0.25">
      <c r="B24" s="125" t="s">
        <v>42</v>
      </c>
      <c r="C24" s="2"/>
      <c r="D24" s="2"/>
      <c r="E24" s="2"/>
      <c r="F24" s="2"/>
      <c r="G24" s="2"/>
      <c r="H24" s="2"/>
      <c r="I24" s="2"/>
      <c r="J24" s="2"/>
      <c r="K24" s="2"/>
      <c r="L24" s="2"/>
    </row>
    <row r="25" spans="2:12" ht="15.75" x14ac:dyDescent="0.25">
      <c r="B25" s="125" t="s">
        <v>43</v>
      </c>
      <c r="C25" s="2"/>
      <c r="D25" s="2"/>
      <c r="E25" s="2"/>
      <c r="F25" s="2"/>
      <c r="G25" s="2"/>
      <c r="H25" s="2"/>
      <c r="I25" s="389"/>
      <c r="J25" s="2"/>
      <c r="K25" s="2"/>
      <c r="L25" s="2"/>
    </row>
    <row r="26" spans="2:12" ht="15.75" x14ac:dyDescent="0.25">
      <c r="B26" s="125" t="s">
        <v>44</v>
      </c>
      <c r="C26" s="2"/>
      <c r="D26" s="2"/>
      <c r="E26" s="2"/>
      <c r="F26" s="2"/>
      <c r="G26" s="2"/>
      <c r="H26" s="2"/>
      <c r="I26" s="2"/>
      <c r="J26" s="2"/>
      <c r="K26" s="2"/>
      <c r="L26" s="2"/>
    </row>
    <row r="27" spans="2:12" ht="15.75" x14ac:dyDescent="0.25">
      <c r="B27" s="125" t="s">
        <v>45</v>
      </c>
      <c r="C27" s="2"/>
      <c r="D27" s="2"/>
      <c r="E27" s="2"/>
      <c r="F27" s="2"/>
      <c r="G27" s="2"/>
      <c r="H27" s="2"/>
      <c r="I27" s="2"/>
      <c r="J27" s="2"/>
      <c r="K27" s="2"/>
      <c r="L27" s="2"/>
    </row>
    <row r="28" spans="2:12" ht="15.75" x14ac:dyDescent="0.25">
      <c r="B28" s="125" t="s">
        <v>46</v>
      </c>
      <c r="C28" s="2"/>
      <c r="D28" s="2"/>
      <c r="E28" s="2"/>
      <c r="F28" s="2"/>
      <c r="G28" s="2"/>
      <c r="H28" s="2"/>
      <c r="I28" s="2"/>
      <c r="J28" s="2"/>
      <c r="K28" s="2"/>
      <c r="L28" s="2"/>
    </row>
    <row r="29" spans="2:12" ht="15.75" x14ac:dyDescent="0.25">
      <c r="B29" s="125" t="s">
        <v>47</v>
      </c>
      <c r="C29" s="2"/>
      <c r="D29" s="2"/>
      <c r="E29" s="2"/>
      <c r="F29" s="2"/>
      <c r="G29" s="2"/>
      <c r="H29" s="2"/>
      <c r="I29" s="2"/>
      <c r="J29" s="2"/>
      <c r="K29" s="2"/>
      <c r="L29" s="2"/>
    </row>
    <row r="30" spans="2:12" ht="15.75" x14ac:dyDescent="0.25">
      <c r="B30" s="125" t="s">
        <v>48</v>
      </c>
      <c r="C30" s="2"/>
      <c r="D30" s="2"/>
      <c r="E30" s="2"/>
      <c r="F30" s="2"/>
      <c r="G30" s="2"/>
      <c r="H30" s="2"/>
      <c r="I30" s="2"/>
      <c r="J30" s="2"/>
      <c r="K30" s="2"/>
      <c r="L30" s="2"/>
    </row>
    <row r="31" spans="2:12" ht="15.75" x14ac:dyDescent="0.25">
      <c r="B31" s="125" t="s">
        <v>49</v>
      </c>
      <c r="C31" s="2"/>
      <c r="D31" s="2"/>
      <c r="E31" s="2"/>
      <c r="F31" s="2"/>
      <c r="G31" s="2"/>
      <c r="H31" s="2"/>
      <c r="I31" s="2"/>
      <c r="J31" s="2"/>
      <c r="K31" s="2"/>
      <c r="L31" s="2"/>
    </row>
    <row r="32" spans="2:12" x14ac:dyDescent="0.25">
      <c r="B32" s="2"/>
      <c r="C32" s="2"/>
      <c r="D32" s="2"/>
      <c r="E32" s="2"/>
      <c r="F32" s="2"/>
      <c r="G32" s="2"/>
      <c r="H32" s="2"/>
      <c r="I32" s="2"/>
      <c r="J32" s="2"/>
      <c r="K32" s="2"/>
      <c r="L32" s="2"/>
    </row>
    <row r="33" spans="2:12" x14ac:dyDescent="0.25">
      <c r="B33" s="2"/>
      <c r="C33" s="2"/>
      <c r="D33" s="812" t="s">
        <v>50</v>
      </c>
      <c r="E33" s="813"/>
      <c r="F33" s="813"/>
      <c r="G33" s="814"/>
      <c r="H33" s="812" t="s">
        <v>51</v>
      </c>
      <c r="I33" s="813"/>
      <c r="J33" s="813"/>
      <c r="K33" s="814"/>
      <c r="L33" s="2"/>
    </row>
    <row r="34" spans="2:12" x14ac:dyDescent="0.25">
      <c r="B34" s="829" t="s">
        <v>52</v>
      </c>
      <c r="C34" s="830"/>
      <c r="D34" s="833" t="s">
        <v>53</v>
      </c>
      <c r="E34" s="834"/>
      <c r="F34" s="834"/>
      <c r="G34" s="835"/>
      <c r="H34" s="833"/>
      <c r="I34" s="834"/>
      <c r="J34" s="834"/>
      <c r="K34" s="835"/>
      <c r="L34" s="2"/>
    </row>
    <row r="35" spans="2:12" x14ac:dyDescent="0.25">
      <c r="B35" s="831"/>
      <c r="C35" s="832"/>
      <c r="D35" s="836" t="s">
        <v>54</v>
      </c>
      <c r="E35" s="837"/>
      <c r="F35" s="837"/>
      <c r="G35" s="838"/>
      <c r="H35" s="836" t="s">
        <v>55</v>
      </c>
      <c r="I35" s="837"/>
      <c r="J35" s="837"/>
      <c r="K35" s="838"/>
      <c r="L35" s="2"/>
    </row>
    <row r="36" spans="2:12" x14ac:dyDescent="0.25">
      <c r="B36" s="815" t="s">
        <v>56</v>
      </c>
      <c r="C36" s="816"/>
      <c r="D36" s="819" t="s">
        <v>57</v>
      </c>
      <c r="E36" s="820"/>
      <c r="F36" s="823" t="s">
        <v>58</v>
      </c>
      <c r="G36" s="824"/>
      <c r="H36" s="819" t="s">
        <v>59</v>
      </c>
      <c r="I36" s="820"/>
      <c r="J36" s="820"/>
      <c r="K36" s="827"/>
      <c r="L36" s="2"/>
    </row>
    <row r="37" spans="2:12" x14ac:dyDescent="0.25">
      <c r="B37" s="817"/>
      <c r="C37" s="818"/>
      <c r="D37" s="821"/>
      <c r="E37" s="822"/>
      <c r="F37" s="825"/>
      <c r="G37" s="826"/>
      <c r="H37" s="821"/>
      <c r="I37" s="822"/>
      <c r="J37" s="822"/>
      <c r="K37" s="828"/>
      <c r="L37" s="2"/>
    </row>
    <row r="38" spans="2:12" x14ac:dyDescent="0.25">
      <c r="B38" s="2"/>
      <c r="C38" s="2"/>
      <c r="D38" s="2"/>
      <c r="E38" s="2"/>
      <c r="F38" s="2"/>
      <c r="G38" s="2"/>
      <c r="H38" s="2"/>
      <c r="I38" s="2"/>
      <c r="J38" s="2"/>
      <c r="K38" s="2"/>
      <c r="L38" s="2"/>
    </row>
    <row r="39" spans="2:12" ht="15.75" x14ac:dyDescent="0.25">
      <c r="B39" s="125" t="s">
        <v>60</v>
      </c>
      <c r="C39" s="2"/>
      <c r="D39" s="2"/>
      <c r="E39" s="2"/>
      <c r="F39" s="2"/>
      <c r="G39" s="2"/>
      <c r="H39" s="2"/>
      <c r="I39" s="2"/>
      <c r="J39" s="2"/>
      <c r="K39" s="2"/>
      <c r="L39" s="2"/>
    </row>
    <row r="40" spans="2:12" ht="15.75" x14ac:dyDescent="0.25">
      <c r="B40" s="125" t="s">
        <v>61</v>
      </c>
      <c r="C40" s="2"/>
      <c r="D40" s="2"/>
      <c r="E40" s="2"/>
      <c r="F40" s="2"/>
      <c r="G40" s="2"/>
      <c r="H40" s="2"/>
      <c r="I40" s="2"/>
      <c r="J40" s="2"/>
      <c r="K40" s="2"/>
      <c r="L40" s="2"/>
    </row>
    <row r="41" spans="2:12" ht="15.75" x14ac:dyDescent="0.25">
      <c r="B41" s="125"/>
      <c r="C41" s="2"/>
      <c r="D41" s="2"/>
      <c r="E41" s="2"/>
      <c r="F41" s="2"/>
      <c r="G41" s="2"/>
      <c r="H41" s="2"/>
      <c r="I41" s="2"/>
      <c r="J41" s="2"/>
      <c r="K41" s="2"/>
      <c r="L41" s="2"/>
    </row>
    <row r="42" spans="2:12" ht="15.75" x14ac:dyDescent="0.25">
      <c r="B42" s="839" t="s">
        <v>1107</v>
      </c>
      <c r="C42" s="839"/>
      <c r="D42" s="839"/>
      <c r="E42" s="2"/>
      <c r="F42" s="2"/>
      <c r="G42" s="2"/>
      <c r="H42" s="2"/>
      <c r="I42" s="2"/>
      <c r="J42" s="2"/>
      <c r="K42" s="2"/>
      <c r="L42" s="2"/>
    </row>
    <row r="43" spans="2:12" x14ac:dyDescent="0.25">
      <c r="B43" s="840">
        <v>43516</v>
      </c>
      <c r="C43" s="841"/>
      <c r="D43" s="841"/>
      <c r="F43" s="2"/>
      <c r="G43" s="809" t="s">
        <v>62</v>
      </c>
      <c r="H43" s="809"/>
      <c r="I43" s="809"/>
      <c r="J43" s="2"/>
      <c r="K43" s="2"/>
      <c r="L43" s="2"/>
    </row>
    <row r="44" spans="2:12" x14ac:dyDescent="0.25">
      <c r="B44" s="811" t="s">
        <v>63</v>
      </c>
      <c r="C44" s="811"/>
      <c r="D44" s="811"/>
      <c r="E44" s="2"/>
      <c r="F44" s="2"/>
      <c r="G44" s="2"/>
      <c r="H44" s="2"/>
      <c r="I44" s="2"/>
      <c r="J44" s="2"/>
      <c r="K44" s="2"/>
      <c r="L44" s="2"/>
    </row>
    <row r="45" spans="2:12" ht="15.75" x14ac:dyDescent="0.25">
      <c r="B45" s="16"/>
      <c r="G45" s="810" t="s">
        <v>63</v>
      </c>
      <c r="H45" s="810"/>
      <c r="I45" s="810"/>
    </row>
  </sheetData>
  <sheetProtection algorithmName="SHA-512" hashValue="HCvnxyjfHL5V9tVTjWpSnIyaciAYCptex2bWeAqFnm4QOwOYSm7rXsxjX6MAua51hGoqNNzqQvuLczXfZAdfVg==" saltValue="G0pA1UfG0jwC+zJOt0TI8w==" spinCount="100000" sheet="1" selectLockedCells="1"/>
  <customSheetViews>
    <customSheetView guid="{5E8F20A8-8220-4169-B947-2AB764A2AA7B}" showGridLines="0" showRowCol="0">
      <selection activeCell="G45" sqref="G45:I45"/>
      <pageMargins left="0.7" right="0.7" top="0.75" bottom="0.75" header="0.3" footer="0.3"/>
      <pageSetup paperSize="9" orientation="portrait" r:id="rId1"/>
    </customSheetView>
    <customSheetView guid="{9F540994-A66B-4083-BD64-035E71878618}" showGridLines="0" showRowCol="0" topLeftCell="A19">
      <selection activeCell="G45" sqref="G45:I45"/>
      <pageMargins left="0.7" right="0.7" top="0.75" bottom="0.75" header="0.3" footer="0.3"/>
      <pageSetup paperSize="9" orientation="portrait" r:id="rId2"/>
    </customSheetView>
  </customSheetViews>
  <mergeCells count="16">
    <mergeCell ref="G43:I43"/>
    <mergeCell ref="G45:I45"/>
    <mergeCell ref="B44:D44"/>
    <mergeCell ref="D33:G33"/>
    <mergeCell ref="H33:K33"/>
    <mergeCell ref="B36:C37"/>
    <mergeCell ref="D36:E37"/>
    <mergeCell ref="F36:G37"/>
    <mergeCell ref="H36:K37"/>
    <mergeCell ref="B34:C35"/>
    <mergeCell ref="D34:G34"/>
    <mergeCell ref="H34:K34"/>
    <mergeCell ref="D35:G35"/>
    <mergeCell ref="H35:K35"/>
    <mergeCell ref="B42:D42"/>
    <mergeCell ref="B43:D43"/>
  </mergeCells>
  <hyperlinks>
    <hyperlink ref="B44" r:id="rId3"/>
    <hyperlink ref="G45" r:id="rId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Q345"/>
  <sheetViews>
    <sheetView topLeftCell="A193" workbookViewId="0">
      <selection activeCell="Q191" sqref="Q191"/>
    </sheetView>
  </sheetViews>
  <sheetFormatPr defaultRowHeight="15" x14ac:dyDescent="0.25"/>
  <sheetData>
    <row r="2" spans="2:13" ht="15.75" x14ac:dyDescent="0.25">
      <c r="B2" s="15" t="s">
        <v>996</v>
      </c>
      <c r="C2" s="429"/>
      <c r="D2" s="428"/>
      <c r="E2" s="428"/>
      <c r="F2" s="428"/>
      <c r="G2" s="428"/>
      <c r="H2" s="429"/>
      <c r="I2" s="429"/>
      <c r="J2" s="429"/>
      <c r="K2" s="429"/>
      <c r="L2" s="429"/>
      <c r="M2" s="428"/>
    </row>
    <row r="3" spans="2:13" x14ac:dyDescent="0.25">
      <c r="B3" s="428"/>
      <c r="C3" s="428"/>
      <c r="D3" s="428"/>
      <c r="E3" s="428"/>
      <c r="F3" s="428"/>
      <c r="G3" s="428"/>
      <c r="H3" s="428"/>
      <c r="I3" s="428"/>
      <c r="J3" s="428"/>
      <c r="K3" s="428"/>
      <c r="L3" s="428"/>
      <c r="M3" s="428"/>
    </row>
    <row r="4" spans="2:13" x14ac:dyDescent="0.25">
      <c r="B4" s="431" t="s">
        <v>995</v>
      </c>
      <c r="C4" s="428"/>
      <c r="D4" s="428"/>
      <c r="E4" s="428"/>
      <c r="F4" s="428"/>
      <c r="G4" s="428"/>
      <c r="H4" s="428"/>
      <c r="I4" s="428"/>
      <c r="J4" s="428"/>
      <c r="K4" s="428"/>
      <c r="L4" s="428"/>
      <c r="M4" s="428"/>
    </row>
    <row r="5" spans="2:13" x14ac:dyDescent="0.25">
      <c r="B5" s="428"/>
      <c r="C5" s="428"/>
      <c r="D5" s="428"/>
      <c r="E5" s="428"/>
      <c r="F5" s="428"/>
      <c r="G5" s="428"/>
      <c r="H5" s="428"/>
      <c r="I5" s="428"/>
      <c r="J5" s="428"/>
      <c r="K5" s="428"/>
      <c r="L5" s="428"/>
      <c r="M5" s="428"/>
    </row>
    <row r="6" spans="2:13" ht="15.75" thickBot="1" x14ac:dyDescent="0.3">
      <c r="B6" s="428"/>
      <c r="C6" s="574" t="s">
        <v>948</v>
      </c>
      <c r="D6" s="438" t="s">
        <v>985</v>
      </c>
      <c r="E6" s="428"/>
      <c r="F6" s="428"/>
      <c r="G6" s="428"/>
      <c r="H6" s="428"/>
      <c r="I6" s="428"/>
      <c r="J6" s="428"/>
      <c r="K6" s="428"/>
      <c r="L6" s="428"/>
      <c r="M6" s="428"/>
    </row>
    <row r="7" spans="2:13" ht="17.25" thickTop="1" thickBot="1" x14ac:dyDescent="0.3">
      <c r="B7" s="526" t="s">
        <v>908</v>
      </c>
      <c r="C7" s="597" t="s">
        <v>155</v>
      </c>
      <c r="D7" s="266" t="s">
        <v>962</v>
      </c>
      <c r="E7" s="428"/>
      <c r="F7" s="428"/>
      <c r="G7" s="428"/>
      <c r="H7" s="428"/>
      <c r="I7" s="428"/>
      <c r="J7" s="428"/>
      <c r="K7" s="428"/>
      <c r="L7" s="428"/>
      <c r="M7" s="428"/>
    </row>
    <row r="8" spans="2:13" ht="17.25" thickTop="1" thickBot="1" x14ac:dyDescent="0.3">
      <c r="B8" s="526" t="s">
        <v>907</v>
      </c>
      <c r="C8" s="597" t="s">
        <v>158</v>
      </c>
      <c r="D8" s="266" t="s">
        <v>961</v>
      </c>
      <c r="E8" s="428"/>
      <c r="F8" s="428"/>
      <c r="G8" s="428"/>
      <c r="H8" s="428"/>
      <c r="I8" s="428"/>
      <c r="J8" s="428"/>
      <c r="K8" s="428"/>
      <c r="L8" s="428"/>
      <c r="M8" s="428"/>
    </row>
    <row r="9" spans="2:13" ht="17.25" thickTop="1" thickBot="1" x14ac:dyDescent="0.3">
      <c r="B9" s="526" t="s">
        <v>904</v>
      </c>
      <c r="C9" s="597" t="s">
        <v>155</v>
      </c>
      <c r="D9" s="266" t="s">
        <v>961</v>
      </c>
      <c r="E9" s="428"/>
      <c r="F9" s="428"/>
      <c r="G9" s="428"/>
      <c r="H9" s="428"/>
      <c r="I9" s="428"/>
      <c r="J9" s="428"/>
      <c r="K9" s="428"/>
      <c r="L9" s="428"/>
      <c r="M9" s="428"/>
    </row>
    <row r="10" spans="2:13" ht="17.25" thickTop="1" thickBot="1" x14ac:dyDescent="0.3">
      <c r="B10" s="526" t="s">
        <v>905</v>
      </c>
      <c r="C10" s="597" t="s">
        <v>158</v>
      </c>
      <c r="D10" s="266" t="s">
        <v>962</v>
      </c>
      <c r="E10" s="428"/>
      <c r="F10" s="428"/>
      <c r="G10" s="428"/>
      <c r="H10" s="428"/>
      <c r="I10" s="428"/>
      <c r="J10" s="428"/>
      <c r="K10" s="428"/>
      <c r="L10" s="428"/>
      <c r="M10" s="428"/>
    </row>
    <row r="11" spans="2:13" ht="17.25" thickTop="1" thickBot="1" x14ac:dyDescent="0.3">
      <c r="B11" s="526" t="s">
        <v>906</v>
      </c>
      <c r="C11" s="597" t="s">
        <v>158</v>
      </c>
      <c r="D11" s="266" t="s">
        <v>962</v>
      </c>
      <c r="E11" s="428"/>
      <c r="F11" s="428"/>
      <c r="G11" s="428"/>
      <c r="H11" s="428"/>
      <c r="I11" s="428"/>
      <c r="J11" s="428"/>
      <c r="K11" s="428"/>
      <c r="L11" s="428"/>
      <c r="M11" s="428"/>
    </row>
    <row r="12" spans="2:13" ht="16.5" thickTop="1" x14ac:dyDescent="0.25">
      <c r="B12" s="585"/>
      <c r="C12" s="603"/>
      <c r="D12" s="133"/>
      <c r="E12" s="428"/>
      <c r="F12" s="428"/>
      <c r="G12" s="428"/>
      <c r="H12" s="428"/>
      <c r="I12" s="428"/>
      <c r="J12" s="428"/>
      <c r="K12" s="428"/>
      <c r="L12" s="428"/>
      <c r="M12" s="428"/>
    </row>
    <row r="13" spans="2:13" ht="15.75" x14ac:dyDescent="0.25">
      <c r="B13" s="585"/>
      <c r="C13" s="603"/>
      <c r="D13" s="133"/>
      <c r="E13" s="428"/>
      <c r="F13" s="428"/>
      <c r="G13" s="428"/>
      <c r="H13" s="428"/>
      <c r="I13" s="428"/>
      <c r="J13" s="428"/>
      <c r="K13" s="428"/>
      <c r="L13" s="428"/>
      <c r="M13" s="428"/>
    </row>
    <row r="14" spans="2:13" x14ac:dyDescent="0.25">
      <c r="B14" s="428"/>
      <c r="C14" s="428"/>
      <c r="D14" s="428"/>
      <c r="E14" s="428"/>
      <c r="F14" s="428"/>
      <c r="G14" s="428"/>
      <c r="H14" s="428"/>
      <c r="I14" s="428"/>
      <c r="J14" s="428"/>
      <c r="K14" s="428"/>
      <c r="L14" s="428"/>
      <c r="M14" s="428"/>
    </row>
    <row r="15" spans="2:13" ht="15.75" x14ac:dyDescent="0.25">
      <c r="B15" s="537"/>
      <c r="C15" s="537"/>
      <c r="D15" s="583"/>
      <c r="E15" s="582"/>
      <c r="F15" s="577"/>
      <c r="G15" s="428"/>
      <c r="H15" s="428"/>
      <c r="I15" s="428"/>
      <c r="J15" s="596"/>
      <c r="K15" s="428"/>
      <c r="L15" s="428"/>
      <c r="M15" s="595"/>
    </row>
    <row r="16" spans="2:13" ht="15.75" x14ac:dyDescent="0.25">
      <c r="B16" s="537"/>
      <c r="C16" s="537"/>
      <c r="D16" s="583"/>
      <c r="E16" s="582"/>
      <c r="F16" s="577"/>
      <c r="G16" s="428"/>
      <c r="H16" s="428"/>
      <c r="I16" s="595" t="str">
        <f>IF(DATI!$G$218="sx","←POS 1","←POS 5")</f>
        <v>←POS 5</v>
      </c>
      <c r="J16" s="596" t="str">
        <f>IF(I16="←POS 5",IF(C11="NO","SPENTA",""),IF(C7="NO","SPENTA",""))</f>
        <v/>
      </c>
      <c r="K16" s="428" t="str">
        <f>IF(DATI!C69="muro a contrafforti","estremo esterno della costola","")</f>
        <v/>
      </c>
      <c r="L16" s="428"/>
      <c r="M16" s="595"/>
    </row>
    <row r="17" spans="2:13" ht="15.75" x14ac:dyDescent="0.25">
      <c r="B17" s="537"/>
      <c r="C17" s="537"/>
      <c r="D17" s="583"/>
      <c r="E17" s="582"/>
      <c r="F17" s="577"/>
      <c r="G17" s="428"/>
      <c r="H17" s="428"/>
      <c r="I17" s="428"/>
      <c r="J17" s="428"/>
      <c r="K17" s="428"/>
      <c r="L17" s="428"/>
      <c r="M17" s="595"/>
    </row>
    <row r="18" spans="2:13" ht="15.75" x14ac:dyDescent="0.25">
      <c r="B18" s="537"/>
      <c r="C18" s="537"/>
      <c r="D18" s="583"/>
      <c r="E18" s="582"/>
      <c r="F18" s="577"/>
      <c r="G18" s="428"/>
      <c r="H18" s="428"/>
      <c r="I18" s="595"/>
      <c r="J18" s="428"/>
      <c r="K18" s="428"/>
      <c r="L18" s="428"/>
      <c r="M18" s="595"/>
    </row>
    <row r="19" spans="2:13" ht="15.75" x14ac:dyDescent="0.25">
      <c r="B19" s="537"/>
      <c r="C19" s="537"/>
      <c r="D19" s="583"/>
      <c r="E19" s="582"/>
      <c r="F19" s="577"/>
      <c r="G19" s="428"/>
      <c r="H19" s="428"/>
      <c r="I19" s="595"/>
      <c r="J19" s="428"/>
      <c r="K19" s="428"/>
      <c r="L19" s="428"/>
      <c r="M19" s="595"/>
    </row>
    <row r="20" spans="2:13" ht="15.75" x14ac:dyDescent="0.25">
      <c r="B20" s="537"/>
      <c r="C20" s="537"/>
      <c r="D20" s="583"/>
      <c r="E20" s="582"/>
      <c r="F20" s="577"/>
      <c r="G20" s="428"/>
      <c r="H20" s="428"/>
      <c r="I20" s="428"/>
      <c r="J20" s="428"/>
      <c r="K20" s="428"/>
      <c r="L20" s="428"/>
      <c r="M20" s="595"/>
    </row>
    <row r="21" spans="2:13" ht="15.75" x14ac:dyDescent="0.25">
      <c r="B21" s="537"/>
      <c r="C21" s="537"/>
      <c r="D21" s="583"/>
      <c r="E21" s="582"/>
      <c r="F21" s="577"/>
      <c r="G21" s="428"/>
      <c r="H21" s="428"/>
      <c r="I21" s="595" t="str">
        <f>IF(DATI!$G$218="sx","←POS 2","←POS 4")</f>
        <v>←POS 4</v>
      </c>
      <c r="J21" s="596" t="str">
        <f>IF(I21="←POS 4",IF(C10="NO","SPENTA",""),IF(C8="NO","SPENTA",""))</f>
        <v/>
      </c>
      <c r="K21" s="428" t="str">
        <f>IF(DATI!C69="muro a contrafforti","estremo interno della costola","")</f>
        <v/>
      </c>
      <c r="L21" s="428"/>
      <c r="M21" s="595"/>
    </row>
    <row r="22" spans="2:13" ht="15.75" x14ac:dyDescent="0.25">
      <c r="B22" s="537"/>
      <c r="C22" s="537"/>
      <c r="D22" s="583"/>
      <c r="E22" s="582"/>
      <c r="F22" s="577"/>
      <c r="G22" s="428"/>
      <c r="H22" s="428"/>
      <c r="I22" s="595" t="s">
        <v>986</v>
      </c>
      <c r="J22" s="596" t="str">
        <f>IF(C9="NO","SPENTA","")</f>
        <v>SPENTA</v>
      </c>
      <c r="K22" s="428" t="str">
        <f>IF(DATI!C69="muro a contrafforti","Bordo interno del paramento","")</f>
        <v/>
      </c>
      <c r="L22" s="428"/>
      <c r="M22" s="595"/>
    </row>
    <row r="23" spans="2:13" ht="15.75" x14ac:dyDescent="0.25">
      <c r="B23" s="537"/>
      <c r="C23" s="537"/>
      <c r="D23" s="583"/>
      <c r="E23" s="582"/>
      <c r="F23" s="577"/>
      <c r="G23" s="428"/>
      <c r="H23" s="428"/>
      <c r="I23" s="595" t="str">
        <f>IF(DATI!$G$218="sx","←POS 4","←POS 2")</f>
        <v>←POS 2</v>
      </c>
      <c r="J23" s="596" t="str">
        <f>IF(I23="←POS 2",IF(C8="NO","SPENTA",""),IF(C10="NO","SPENTA",""))</f>
        <v/>
      </c>
      <c r="K23" s="428" t="str">
        <f>IF(DATI!C69="muro a contrafforti","al centro del parmento","")</f>
        <v/>
      </c>
      <c r="L23" s="428"/>
      <c r="M23" s="595"/>
    </row>
    <row r="24" spans="2:13" ht="15.75" x14ac:dyDescent="0.25">
      <c r="B24" s="537"/>
      <c r="C24" s="537"/>
      <c r="D24" s="583"/>
      <c r="E24" s="582"/>
      <c r="F24" s="577"/>
      <c r="G24" s="428"/>
      <c r="H24" s="428"/>
      <c r="I24" s="595" t="str">
        <f>IF(DATI!$G$218="sx","←POS 5","←POS 1")</f>
        <v>←POS 1</v>
      </c>
      <c r="J24" s="596" t="str">
        <f>IF(I24="←POS 1",IF(C7="NO","SPENTA",""),IF(C11="NO","SPENTA",""))</f>
        <v>SPENTA</v>
      </c>
      <c r="K24" s="428" t="str">
        <f>IF(DATI!C69="muro a contrafforti","Bordo esterno del paramento","")</f>
        <v/>
      </c>
      <c r="L24" s="428"/>
      <c r="M24" s="595"/>
    </row>
    <row r="25" spans="2:13" ht="15.75" x14ac:dyDescent="0.25">
      <c r="B25" s="537"/>
      <c r="C25" s="537"/>
      <c r="D25" s="583"/>
      <c r="E25" s="582"/>
      <c r="F25" s="577"/>
      <c r="G25" s="428"/>
      <c r="H25" s="428"/>
      <c r="I25" s="595"/>
      <c r="J25" s="596"/>
      <c r="K25" s="428"/>
      <c r="L25" s="428"/>
      <c r="M25" s="595"/>
    </row>
    <row r="26" spans="2:13" ht="15.75" x14ac:dyDescent="0.25">
      <c r="B26" s="537"/>
      <c r="C26" s="537"/>
      <c r="D26" s="583"/>
      <c r="E26" s="582"/>
      <c r="F26" s="577"/>
      <c r="G26" s="428"/>
      <c r="H26" s="428"/>
      <c r="I26" s="595"/>
      <c r="J26" s="596"/>
      <c r="K26" s="428"/>
      <c r="L26" s="428"/>
      <c r="M26" s="595"/>
    </row>
    <row r="27" spans="2:13" ht="15.75" x14ac:dyDescent="0.25">
      <c r="B27" s="537"/>
      <c r="C27" s="537"/>
      <c r="D27" s="583"/>
      <c r="E27" s="582"/>
      <c r="F27" s="577"/>
      <c r="G27" s="428"/>
      <c r="H27" s="428"/>
      <c r="I27" s="428"/>
      <c r="J27" s="428"/>
      <c r="K27" s="428"/>
      <c r="L27" s="428"/>
      <c r="M27" s="595"/>
    </row>
    <row r="28" spans="2:13" ht="15.75" x14ac:dyDescent="0.25">
      <c r="B28" s="537"/>
      <c r="C28" s="537"/>
      <c r="D28" s="583"/>
      <c r="E28" s="582"/>
      <c r="F28" s="577"/>
      <c r="G28" s="428"/>
      <c r="H28" s="428"/>
      <c r="I28" s="428"/>
      <c r="J28" s="428"/>
      <c r="K28" s="428"/>
      <c r="L28" s="428"/>
      <c r="M28" s="595"/>
    </row>
    <row r="29" spans="2:13" ht="15.75" x14ac:dyDescent="0.25">
      <c r="B29" s="537"/>
      <c r="C29" s="537"/>
      <c r="D29" s="583"/>
      <c r="E29" s="582"/>
      <c r="F29" s="577"/>
      <c r="G29" s="428"/>
      <c r="H29" s="428"/>
      <c r="I29" s="428"/>
      <c r="J29" s="428"/>
      <c r="K29" s="428"/>
      <c r="L29" s="428"/>
      <c r="M29" s="595"/>
    </row>
    <row r="30" spans="2:13" ht="15.75" x14ac:dyDescent="0.25">
      <c r="B30" s="537"/>
      <c r="C30" s="537"/>
      <c r="D30" s="583"/>
      <c r="E30" s="582"/>
      <c r="F30" s="577"/>
      <c r="G30" s="428"/>
      <c r="H30" s="428"/>
      <c r="I30" s="595" t="str">
        <f>IF(DATI!$G$218="sx","←POS 1","←POS 5")</f>
        <v>←POS 5</v>
      </c>
      <c r="J30" s="596" t="str">
        <f>IF(I16="←POS 5",IF(C11="NO","SPENTA",""),IF(C7="NO","SPENTA",""))</f>
        <v/>
      </c>
      <c r="K30" s="428" t="str">
        <f>IF(DATI!C69="muro a contrafforti","estremo esterno della costola","")</f>
        <v/>
      </c>
      <c r="L30" s="428"/>
      <c r="M30" s="595"/>
    </row>
    <row r="31" spans="2:13" ht="15.75" x14ac:dyDescent="0.25">
      <c r="B31" s="537"/>
      <c r="C31" s="537"/>
      <c r="D31" s="583"/>
      <c r="E31" s="582"/>
      <c r="F31" s="577"/>
      <c r="G31" s="428"/>
      <c r="H31" s="428"/>
      <c r="I31" s="428"/>
      <c r="J31" s="428"/>
      <c r="K31" s="428"/>
      <c r="L31" s="428"/>
      <c r="M31" s="595"/>
    </row>
    <row r="32" spans="2:13" ht="15.75" x14ac:dyDescent="0.25">
      <c r="B32" s="537"/>
      <c r="C32" s="537"/>
      <c r="D32" s="583"/>
      <c r="E32" s="582"/>
      <c r="F32" s="577"/>
      <c r="G32" s="428"/>
      <c r="H32" s="428"/>
      <c r="I32" s="595" t="str">
        <f>IF(DATI!$G$218="sx","←POS 2","←POS 4")</f>
        <v>←POS 4</v>
      </c>
      <c r="J32" s="596" t="str">
        <f>IF(I21="←POS 4",IF(C10="NO","SPENTA",""),IF(C8="NO","SPENTA",""))</f>
        <v/>
      </c>
      <c r="K32" s="428" t="str">
        <f>IF(DATI!C69="muro a contrafforti","estremo interno della costola","")</f>
        <v/>
      </c>
      <c r="L32" s="428"/>
      <c r="M32" s="595"/>
    </row>
    <row r="33" spans="2:13" ht="15.75" x14ac:dyDescent="0.25">
      <c r="B33" s="537"/>
      <c r="C33" s="537"/>
      <c r="D33" s="583"/>
      <c r="E33" s="582"/>
      <c r="F33" s="577"/>
      <c r="G33" s="428"/>
      <c r="H33" s="428"/>
      <c r="I33" s="595" t="s">
        <v>986</v>
      </c>
      <c r="J33" s="596" t="str">
        <f>IF(C9="NO","SPENTA","")</f>
        <v>SPENTA</v>
      </c>
      <c r="K33" s="428" t="str">
        <f>IF(DATI!C69="muro a contrafforti","Bordo interno del paramento","")</f>
        <v/>
      </c>
      <c r="L33" s="428"/>
      <c r="M33" s="595"/>
    </row>
    <row r="34" spans="2:13" ht="15.75" x14ac:dyDescent="0.25">
      <c r="B34" s="537"/>
      <c r="C34" s="537"/>
      <c r="D34" s="583"/>
      <c r="E34" s="582"/>
      <c r="F34" s="577"/>
      <c r="G34" s="428"/>
      <c r="H34" s="428"/>
      <c r="I34" s="595" t="str">
        <f>IF(DATI!$G$218="sx","←POS 4","←POS 2")</f>
        <v>←POS 2</v>
      </c>
      <c r="J34" s="596" t="str">
        <f>IF(I23="←POS 2",IF(C8="NO","SPENTA",""),IF(C10="NO","SPENTA",""))</f>
        <v/>
      </c>
      <c r="K34" s="428" t="str">
        <f>IF(DATI!C69="muro a contrafforti","al centro del parmento","")</f>
        <v/>
      </c>
      <c r="L34" s="428"/>
      <c r="M34" s="595"/>
    </row>
    <row r="35" spans="2:13" ht="15.75" x14ac:dyDescent="0.25">
      <c r="B35" s="537"/>
      <c r="C35" s="537"/>
      <c r="D35" s="583"/>
      <c r="E35" s="582"/>
      <c r="F35" s="577"/>
      <c r="G35" s="428"/>
      <c r="H35" s="428"/>
      <c r="I35" s="595" t="str">
        <f>IF(DATI!$G$218="sx","←POS 5","←POS 1")</f>
        <v>←POS 1</v>
      </c>
      <c r="J35" s="596" t="str">
        <f>IF(I24="←POS 1",IF(C7="NO","SPENTA",""),IF(C11="NO","SPENTA",""))</f>
        <v>SPENTA</v>
      </c>
      <c r="K35" s="428" t="str">
        <f>IF(DATI!C69="muro a contrafforti","Bordo esterno del paramento","")</f>
        <v/>
      </c>
      <c r="L35" s="428"/>
      <c r="M35" s="595"/>
    </row>
    <row r="36" spans="2:13" ht="15.75" x14ac:dyDescent="0.25">
      <c r="B36" s="537"/>
      <c r="C36" s="537"/>
      <c r="D36" s="583"/>
      <c r="E36" s="582"/>
      <c r="F36" s="577"/>
      <c r="G36" s="428"/>
      <c r="H36" s="428"/>
      <c r="I36" s="595"/>
      <c r="J36" s="596"/>
      <c r="K36" s="428"/>
      <c r="L36" s="428"/>
      <c r="M36" s="595"/>
    </row>
    <row r="37" spans="2:13" ht="15.75" x14ac:dyDescent="0.25">
      <c r="B37" s="537"/>
      <c r="C37" s="537"/>
      <c r="D37" s="583"/>
      <c r="E37" s="582"/>
      <c r="F37" s="577"/>
      <c r="G37" s="428"/>
      <c r="H37" s="428"/>
      <c r="I37" s="595"/>
      <c r="J37" s="596"/>
      <c r="K37" s="428"/>
      <c r="L37" s="428"/>
      <c r="M37" s="595"/>
    </row>
    <row r="38" spans="2:13" ht="15.75" x14ac:dyDescent="0.25">
      <c r="B38" s="431" t="s">
        <v>997</v>
      </c>
      <c r="C38" s="428"/>
      <c r="D38" s="428"/>
      <c r="E38" s="428"/>
      <c r="F38" s="577"/>
      <c r="G38" s="428"/>
      <c r="H38" s="428"/>
      <c r="I38" s="595"/>
      <c r="J38" s="596"/>
      <c r="K38" s="428"/>
      <c r="L38" s="428"/>
      <c r="M38" s="595"/>
    </row>
    <row r="39" spans="2:13" ht="16.5" thickBot="1" x14ac:dyDescent="0.3">
      <c r="B39" s="428"/>
      <c r="C39" s="428"/>
      <c r="D39" s="428"/>
      <c r="E39" s="428"/>
      <c r="F39" s="577"/>
      <c r="G39" s="428"/>
      <c r="H39" s="428"/>
      <c r="I39" s="595"/>
      <c r="J39" s="596"/>
      <c r="K39" s="428"/>
      <c r="L39" s="428"/>
      <c r="M39" s="595"/>
    </row>
    <row r="40" spans="2:13" ht="17.25" thickTop="1" thickBot="1" x14ac:dyDescent="0.3">
      <c r="B40" s="537" t="s">
        <v>944</v>
      </c>
      <c r="C40" s="537"/>
      <c r="D40" s="528" t="s">
        <v>439</v>
      </c>
      <c r="E40" s="552">
        <v>40</v>
      </c>
      <c r="F40" s="577"/>
      <c r="G40" s="428"/>
      <c r="H40" s="428"/>
      <c r="I40" s="595"/>
      <c r="J40" s="596"/>
      <c r="K40" s="428"/>
      <c r="L40" s="428"/>
      <c r="M40" s="595"/>
    </row>
    <row r="41" spans="2:13" ht="16.5" thickTop="1" x14ac:dyDescent="0.25">
      <c r="B41" s="537"/>
      <c r="C41" s="537"/>
      <c r="D41" s="583"/>
      <c r="E41" s="582"/>
      <c r="F41" s="577"/>
      <c r="G41" s="428"/>
      <c r="H41" s="428"/>
      <c r="I41" s="595"/>
      <c r="J41" s="596"/>
      <c r="K41" s="428"/>
      <c r="L41" s="428"/>
      <c r="M41" s="595"/>
    </row>
    <row r="42" spans="2:13" ht="15.75" x14ac:dyDescent="0.25">
      <c r="B42" s="431" t="s">
        <v>998</v>
      </c>
      <c r="C42" s="537"/>
      <c r="D42" s="583"/>
      <c r="E42" s="582"/>
      <c r="F42" s="577"/>
      <c r="G42" s="428"/>
      <c r="H42" s="428"/>
      <c r="I42" s="595"/>
      <c r="J42" s="596"/>
      <c r="K42" s="428"/>
      <c r="L42" s="428"/>
      <c r="M42" s="595"/>
    </row>
    <row r="43" spans="2:13" ht="15.75" x14ac:dyDescent="0.25">
      <c r="B43" s="599" t="s">
        <v>994</v>
      </c>
      <c r="C43" s="537"/>
      <c r="D43" s="583"/>
      <c r="E43" s="582"/>
      <c r="F43" s="577"/>
      <c r="G43" s="428"/>
      <c r="H43" s="428"/>
      <c r="I43" s="595"/>
      <c r="J43" s="596"/>
      <c r="K43" s="428"/>
      <c r="L43" s="428"/>
      <c r="M43" s="595"/>
    </row>
    <row r="44" spans="2:13" ht="15.75" x14ac:dyDescent="0.25">
      <c r="B44" s="537"/>
      <c r="C44" s="537"/>
      <c r="D44" s="583"/>
      <c r="E44" s="582"/>
      <c r="F44" s="577"/>
      <c r="G44" s="428"/>
      <c r="H44" s="428"/>
      <c r="I44" s="428"/>
      <c r="J44" s="428"/>
      <c r="K44" s="428"/>
      <c r="L44" s="428"/>
      <c r="M44" s="595"/>
    </row>
    <row r="45" spans="2:13" ht="15.75" x14ac:dyDescent="0.25">
      <c r="B45" s="567" t="s">
        <v>940</v>
      </c>
      <c r="C45" s="428"/>
      <c r="D45" s="600" t="s">
        <v>991</v>
      </c>
      <c r="E45" s="602">
        <f>'Progetto del paramento slu'!C154</f>
        <v>3.35</v>
      </c>
      <c r="F45" s="601" t="s">
        <v>992</v>
      </c>
      <c r="G45" s="602">
        <f>'Progetto del paramento slu'!C156</f>
        <v>2.7813701923076923</v>
      </c>
      <c r="H45" s="429"/>
      <c r="I45" s="428"/>
      <c r="J45" s="428"/>
      <c r="K45" s="428"/>
      <c r="L45" s="428"/>
      <c r="M45" s="428"/>
    </row>
    <row r="46" spans="2:13" x14ac:dyDescent="0.25">
      <c r="B46" s="428"/>
      <c r="C46" s="428"/>
      <c r="D46" s="428"/>
      <c r="E46" s="428"/>
      <c r="F46" s="428"/>
      <c r="G46" s="428"/>
      <c r="H46" s="429"/>
      <c r="I46" s="428"/>
      <c r="J46" s="428"/>
      <c r="K46" s="428"/>
      <c r="L46" s="428"/>
      <c r="M46" s="428"/>
    </row>
    <row r="47" spans="2:13" ht="15.75" thickBot="1" x14ac:dyDescent="0.3">
      <c r="B47" s="428"/>
      <c r="C47" s="428"/>
      <c r="D47" s="428"/>
      <c r="E47" s="428"/>
      <c r="F47" s="62" t="s">
        <v>909</v>
      </c>
      <c r="G47" s="428"/>
      <c r="H47" s="429"/>
      <c r="I47" s="428"/>
      <c r="J47" s="428"/>
      <c r="K47" s="428"/>
      <c r="L47" s="428"/>
      <c r="M47" s="428"/>
    </row>
    <row r="48" spans="2:13" ht="16.5" thickTop="1" thickBot="1" x14ac:dyDescent="0.3">
      <c r="B48" s="526" t="str">
        <f>IF($C$7="NO","SPENTO","POS 1")</f>
        <v>SPENTO</v>
      </c>
      <c r="C48" s="84">
        <v>10</v>
      </c>
      <c r="D48" s="579">
        <v>4</v>
      </c>
      <c r="E48" s="588" t="str">
        <f>IF($D$7=sezione!$AC$2,"passo in cm","numero ferri")</f>
        <v>numero ferri</v>
      </c>
      <c r="F48" s="550">
        <f>IF($C$7="no",0,IF(D7=sezione!$AC$2,100/D48*(C48/2)^2*PI(),D48*(C48/2)^2*PI()))</f>
        <v>0</v>
      </c>
      <c r="G48" s="428"/>
      <c r="H48" s="429"/>
      <c r="I48" s="429"/>
      <c r="J48" s="428"/>
      <c r="K48" s="428"/>
      <c r="L48" s="428"/>
      <c r="M48" s="428"/>
    </row>
    <row r="49" spans="2:13" ht="16.5" thickTop="1" thickBot="1" x14ac:dyDescent="0.3">
      <c r="B49" s="526" t="str">
        <f>IF($C$8="NO","SPENTO","POS 2")</f>
        <v>POS 2</v>
      </c>
      <c r="C49" s="84">
        <v>10</v>
      </c>
      <c r="D49" s="579">
        <v>15</v>
      </c>
      <c r="E49" s="588" t="str">
        <f>IF($D$8=sezione!$AC$2,"passo in cm","numero ferri")</f>
        <v>passo in cm</v>
      </c>
      <c r="F49" s="550">
        <f>IF($C$8="no",0,IF(D8=sezione!$AC$2,100/D49*(C49/2)^2*PI(),D49*(C49/2)^2*PI()))</f>
        <v>523.59877559829886</v>
      </c>
      <c r="G49" s="428"/>
      <c r="H49" s="429"/>
      <c r="I49" s="428"/>
      <c r="J49" s="428"/>
      <c r="K49" s="428"/>
      <c r="L49" s="428"/>
      <c r="M49" s="428"/>
    </row>
    <row r="50" spans="2:13" ht="16.5" thickTop="1" thickBot="1" x14ac:dyDescent="0.3">
      <c r="B50" s="526" t="str">
        <f>IF($C$9="NO","SPENTO","POS 3")</f>
        <v>SPENTO</v>
      </c>
      <c r="C50" s="84">
        <v>10</v>
      </c>
      <c r="D50" s="579">
        <v>20</v>
      </c>
      <c r="E50" s="588" t="str">
        <f>IF($D$9=sezione!$AC$2,"passo in cm","numero ferri")</f>
        <v>passo in cm</v>
      </c>
      <c r="F50" s="550">
        <f>IF($C$9="no",0,IF(D9=sezione!$AC$2,100/D50*(C50/2)^2*PI(),D50*(C50/2)^2*PI()))</f>
        <v>0</v>
      </c>
      <c r="G50" s="565"/>
      <c r="H50" s="429"/>
      <c r="I50" s="428"/>
      <c r="J50" s="428"/>
      <c r="K50" s="428"/>
      <c r="L50" s="428"/>
      <c r="M50" s="428"/>
    </row>
    <row r="51" spans="2:13" ht="16.5" thickTop="1" thickBot="1" x14ac:dyDescent="0.3">
      <c r="B51" s="526" t="str">
        <f>IF($C$10="NO","SPENTO","POS 4")</f>
        <v>POS 4</v>
      </c>
      <c r="C51" s="84">
        <v>14</v>
      </c>
      <c r="D51" s="579">
        <v>4</v>
      </c>
      <c r="E51" s="588" t="str">
        <f>IF($D$10=sezione!$AC$2,"passo in cm","numero ferri")</f>
        <v>numero ferri</v>
      </c>
      <c r="F51" s="550">
        <f>IF($C$10="no",0,IF(D10=sezione!$AC$2,100/D51*(C51/2)^2*PI(),D51*(C51/2)^2*PI()))</f>
        <v>615.75216010359941</v>
      </c>
      <c r="G51" s="565"/>
      <c r="H51" s="429"/>
      <c r="I51" s="428"/>
      <c r="J51" s="428"/>
      <c r="K51" s="428"/>
      <c r="L51" s="428"/>
      <c r="M51" s="428"/>
    </row>
    <row r="52" spans="2:13" ht="16.5" thickTop="1" thickBot="1" x14ac:dyDescent="0.3">
      <c r="B52" s="526" t="str">
        <f>IF($C$11="NO","SPENTO","POS 5")</f>
        <v>POS 5</v>
      </c>
      <c r="C52" s="84">
        <v>14</v>
      </c>
      <c r="D52" s="579">
        <v>4</v>
      </c>
      <c r="E52" s="588" t="str">
        <f>IF($D$11=sezione!$AC$2,"passo in cm","numero ferri")</f>
        <v>numero ferri</v>
      </c>
      <c r="F52" s="550">
        <f>IF($C$11="no",0,IF(D11=sezione!$AC$2,100/D52*(C52/2)^2*PI(),D52*(C52/2)^2*PI()))</f>
        <v>615.75216010359941</v>
      </c>
      <c r="G52" s="565"/>
      <c r="H52" s="429"/>
      <c r="I52" s="428"/>
      <c r="J52" s="428"/>
      <c r="K52" s="428"/>
      <c r="L52" s="428"/>
      <c r="M52" s="428"/>
    </row>
    <row r="53" spans="2:13" ht="15.75" thickTop="1" x14ac:dyDescent="0.25">
      <c r="B53" s="526"/>
      <c r="C53" s="449"/>
      <c r="D53" s="336"/>
      <c r="E53" s="563"/>
      <c r="F53" s="564"/>
      <c r="G53" s="565"/>
      <c r="H53" s="429"/>
      <c r="I53" s="428"/>
      <c r="J53" s="428"/>
      <c r="K53" s="428"/>
      <c r="L53" s="428"/>
      <c r="M53" s="428"/>
    </row>
    <row r="54" spans="2:13" x14ac:dyDescent="0.25">
      <c r="B54" s="526"/>
      <c r="C54" s="449"/>
      <c r="D54" s="336"/>
      <c r="E54" s="563"/>
      <c r="F54" s="564"/>
      <c r="G54" s="565"/>
      <c r="H54" s="429"/>
      <c r="I54" s="428"/>
      <c r="J54" s="428"/>
      <c r="K54" s="428"/>
      <c r="L54" s="428"/>
      <c r="M54" s="428"/>
    </row>
    <row r="55" spans="2:13" ht="15.75" x14ac:dyDescent="0.25">
      <c r="B55" s="567" t="s">
        <v>941</v>
      </c>
      <c r="C55" s="428"/>
      <c r="D55" s="600" t="s">
        <v>991</v>
      </c>
      <c r="E55" s="602">
        <f>'Progetto del paramento slu'!C156</f>
        <v>2.7813701923076923</v>
      </c>
      <c r="F55" s="601" t="s">
        <v>992</v>
      </c>
      <c r="G55" s="602">
        <f>'Progetto del paramento slu'!C158</f>
        <v>2.212740384615385</v>
      </c>
      <c r="H55" s="429"/>
      <c r="I55" s="428"/>
      <c r="J55" s="428"/>
      <c r="K55" s="428"/>
      <c r="L55" s="428"/>
      <c r="M55" s="428"/>
    </row>
    <row r="56" spans="2:13" x14ac:dyDescent="0.25">
      <c r="B56" s="428"/>
      <c r="C56" s="428"/>
      <c r="D56" s="428"/>
      <c r="E56" s="428"/>
      <c r="F56" s="564"/>
      <c r="G56" s="565"/>
      <c r="H56" s="429"/>
      <c r="I56" s="428"/>
      <c r="J56" s="428"/>
      <c r="K56" s="428"/>
      <c r="L56" s="428"/>
      <c r="M56" s="428"/>
    </row>
    <row r="57" spans="2:13" ht="15.75" thickBot="1" x14ac:dyDescent="0.3">
      <c r="B57" s="428"/>
      <c r="C57" s="428"/>
      <c r="D57" s="428"/>
      <c r="E57" s="428"/>
      <c r="F57" s="438" t="s">
        <v>909</v>
      </c>
      <c r="G57" s="565"/>
      <c r="H57" s="429"/>
      <c r="I57" s="428"/>
      <c r="J57" s="428"/>
      <c r="K57" s="428"/>
      <c r="L57" s="428"/>
      <c r="M57" s="428"/>
    </row>
    <row r="58" spans="2:13" ht="16.5" thickTop="1" thickBot="1" x14ac:dyDescent="0.3">
      <c r="B58" s="526" t="str">
        <f>IF($C$7="NO","SPENTO","POS 1")</f>
        <v>SPENTO</v>
      </c>
      <c r="C58" s="84">
        <v>10</v>
      </c>
      <c r="D58" s="579">
        <v>4</v>
      </c>
      <c r="E58" s="588" t="str">
        <f>IF($D$7=sezione!$AC$2,"passo in cm","numero ferri")</f>
        <v>numero ferri</v>
      </c>
      <c r="F58" s="550">
        <f>IF($C$7="no",0,IF(D7=sezione!$AC$2,100/D58*(C58/2)^2*PI(),D58*(C58/2)^2*PI()))</f>
        <v>0</v>
      </c>
      <c r="G58" s="565"/>
      <c r="H58" s="429"/>
      <c r="I58" s="428"/>
      <c r="J58" s="428"/>
      <c r="K58" s="428"/>
      <c r="L58" s="428"/>
      <c r="M58" s="428"/>
    </row>
    <row r="59" spans="2:13" ht="16.5" thickTop="1" thickBot="1" x14ac:dyDescent="0.3">
      <c r="B59" s="526" t="str">
        <f>IF($C$8="NO","SPENTO","POS 2")</f>
        <v>POS 2</v>
      </c>
      <c r="C59" s="84">
        <v>10</v>
      </c>
      <c r="D59" s="579">
        <v>20</v>
      </c>
      <c r="E59" s="588" t="str">
        <f>IF($D$8=sezione!$AC$2,"passo in cm","numero ferri")</f>
        <v>passo in cm</v>
      </c>
      <c r="F59" s="550">
        <f>IF($C$8="no",0,IF(D8=sezione!$AC$2,100/D59*(C59/2)^2*PI(),D59*(C59/2)^2*PI()))</f>
        <v>392.69908169872411</v>
      </c>
      <c r="G59" s="565"/>
      <c r="H59" s="429"/>
      <c r="I59" s="428"/>
      <c r="J59" s="428"/>
      <c r="K59" s="428"/>
      <c r="L59" s="428"/>
      <c r="M59" s="428"/>
    </row>
    <row r="60" spans="2:13" ht="16.5" thickTop="1" thickBot="1" x14ac:dyDescent="0.3">
      <c r="B60" s="526" t="str">
        <f>IF($C$9="NO","SPENTO","POS 3")</f>
        <v>SPENTO</v>
      </c>
      <c r="C60" s="84">
        <v>10</v>
      </c>
      <c r="D60" s="579">
        <v>20</v>
      </c>
      <c r="E60" s="588" t="str">
        <f>IF($D$9=sezione!$AC$2,"passo in cm","numero ferri")</f>
        <v>passo in cm</v>
      </c>
      <c r="F60" s="550">
        <f>IF($C$9="no",0,IF(D9=sezione!$AC$2,100/D60*(C60/2)^2*PI(),D60*(C60/2)^2*PI()))</f>
        <v>0</v>
      </c>
      <c r="G60" s="565"/>
      <c r="H60" s="429"/>
      <c r="I60" s="428"/>
      <c r="J60" s="428"/>
      <c r="K60" s="428"/>
      <c r="L60" s="428"/>
      <c r="M60" s="428"/>
    </row>
    <row r="61" spans="2:13" ht="16.5" thickTop="1" thickBot="1" x14ac:dyDescent="0.3">
      <c r="B61" s="526" t="str">
        <f>IF($C$10="NO","SPENTO","POS 4")</f>
        <v>POS 4</v>
      </c>
      <c r="C61" s="84">
        <v>14</v>
      </c>
      <c r="D61" s="579">
        <v>4</v>
      </c>
      <c r="E61" s="588" t="str">
        <f>IF($D$10=sezione!$AC$2,"passo in cm","numero ferri")</f>
        <v>numero ferri</v>
      </c>
      <c r="F61" s="550">
        <f>IF($C$10="no",0,IF(D10=sezione!$AC$2,100/D61*(C61/2)^2*PI(),D61*(C61/2)^2*PI()))</f>
        <v>615.75216010359941</v>
      </c>
      <c r="G61" s="565"/>
      <c r="H61" s="429"/>
      <c r="I61" s="428"/>
      <c r="J61" s="428"/>
      <c r="K61" s="428"/>
      <c r="L61" s="428"/>
      <c r="M61" s="428"/>
    </row>
    <row r="62" spans="2:13" ht="16.5" thickTop="1" thickBot="1" x14ac:dyDescent="0.3">
      <c r="B62" s="526" t="str">
        <f>IF($C$11="NO","SPENTO","POS 5")</f>
        <v>POS 5</v>
      </c>
      <c r="C62" s="84">
        <v>16</v>
      </c>
      <c r="D62" s="579">
        <v>4</v>
      </c>
      <c r="E62" s="588" t="str">
        <f>IF($D$11=sezione!$AC$2,"passo in cm","numero ferri")</f>
        <v>numero ferri</v>
      </c>
      <c r="F62" s="550">
        <f>IF($C$11="no",0,IF(D11=sezione!$AC$2,100/D62*(C62/2)^2*PI(),D62*(C62/2)^2*PI()))</f>
        <v>804.24771931898704</v>
      </c>
      <c r="G62" s="565"/>
      <c r="H62" s="429"/>
      <c r="I62" s="428"/>
      <c r="J62" s="428"/>
      <c r="K62" s="428"/>
      <c r="L62" s="428"/>
      <c r="M62" s="428"/>
    </row>
    <row r="63" spans="2:13" ht="15.75" thickTop="1" x14ac:dyDescent="0.25">
      <c r="B63" s="526"/>
      <c r="C63" s="449"/>
      <c r="D63" s="336"/>
      <c r="E63" s="428"/>
      <c r="F63" s="563"/>
      <c r="G63" s="565"/>
      <c r="H63" s="429"/>
      <c r="I63" s="428"/>
      <c r="J63" s="428"/>
      <c r="K63" s="428"/>
      <c r="L63" s="428"/>
      <c r="M63" s="428"/>
    </row>
    <row r="64" spans="2:13" x14ac:dyDescent="0.25">
      <c r="B64" s="526"/>
      <c r="C64" s="449"/>
      <c r="D64" s="336"/>
      <c r="E64" s="428"/>
      <c r="F64" s="563"/>
      <c r="G64" s="565"/>
      <c r="H64" s="429"/>
      <c r="I64" s="428"/>
      <c r="J64" s="428"/>
      <c r="K64" s="428"/>
      <c r="L64" s="428"/>
      <c r="M64" s="428"/>
    </row>
    <row r="65" spans="2:13" ht="15.75" x14ac:dyDescent="0.25">
      <c r="B65" s="567" t="s">
        <v>942</v>
      </c>
      <c r="C65" s="428"/>
      <c r="D65" s="600" t="s">
        <v>991</v>
      </c>
      <c r="E65" s="602">
        <f>'Progetto del paramento slu'!C158</f>
        <v>2.212740384615385</v>
      </c>
      <c r="F65" s="601" t="s">
        <v>992</v>
      </c>
      <c r="G65" s="602">
        <f>'Progetto del paramento slu'!C160</f>
        <v>1.644110576923077</v>
      </c>
      <c r="H65" s="429"/>
      <c r="I65" s="428"/>
      <c r="J65" s="428"/>
      <c r="K65" s="428"/>
      <c r="L65" s="428"/>
      <c r="M65" s="428"/>
    </row>
    <row r="66" spans="2:13" x14ac:dyDescent="0.25">
      <c r="B66" s="428"/>
      <c r="C66" s="428"/>
      <c r="D66" s="428"/>
      <c r="E66" s="428"/>
      <c r="F66" s="428"/>
      <c r="G66" s="565"/>
      <c r="H66" s="429"/>
      <c r="I66" s="428"/>
      <c r="J66" s="428"/>
      <c r="K66" s="428"/>
      <c r="L66" s="428"/>
      <c r="M66" s="428"/>
    </row>
    <row r="67" spans="2:13" ht="15.75" thickBot="1" x14ac:dyDescent="0.3">
      <c r="B67" s="428"/>
      <c r="C67" s="428"/>
      <c r="D67" s="428"/>
      <c r="E67" s="428"/>
      <c r="F67" s="438" t="s">
        <v>909</v>
      </c>
      <c r="G67" s="565"/>
      <c r="H67" s="429"/>
      <c r="I67" s="428"/>
      <c r="J67" s="428"/>
      <c r="K67" s="428"/>
      <c r="L67" s="428"/>
      <c r="M67" s="428"/>
    </row>
    <row r="68" spans="2:13" ht="16.5" thickTop="1" thickBot="1" x14ac:dyDescent="0.3">
      <c r="B68" s="526" t="str">
        <f>IF($C$7="NO","SPENTO","POS 1")</f>
        <v>SPENTO</v>
      </c>
      <c r="C68" s="84">
        <v>10</v>
      </c>
      <c r="D68" s="579">
        <v>4</v>
      </c>
      <c r="E68" s="588" t="str">
        <f>IF($D$7=sezione!$AC$2,"passo in cm","numero ferri")</f>
        <v>numero ferri</v>
      </c>
      <c r="F68" s="550">
        <f>IF($C$7="no",0,IF(D7=sezione!$AC$2,100/D68*(C68/2)^2*PI(),D68*(C68/2)^2*PI()))</f>
        <v>0</v>
      </c>
      <c r="G68" s="565"/>
      <c r="H68" s="429"/>
      <c r="I68" s="428"/>
      <c r="J68" s="429"/>
      <c r="K68" s="429"/>
      <c r="L68" s="428"/>
      <c r="M68" s="428"/>
    </row>
    <row r="69" spans="2:13" ht="16.5" thickTop="1" thickBot="1" x14ac:dyDescent="0.3">
      <c r="B69" s="526" t="str">
        <f>IF($C$8="NO","SPENTO","POS 2")</f>
        <v>POS 2</v>
      </c>
      <c r="C69" s="84">
        <v>10</v>
      </c>
      <c r="D69" s="579">
        <v>20</v>
      </c>
      <c r="E69" s="588" t="str">
        <f>IF($D$8=sezione!$AC$2,"passo in cm","numero ferri")</f>
        <v>passo in cm</v>
      </c>
      <c r="F69" s="550">
        <f>IF($C$8="no",0,IF(D8=sezione!$AC$2,100/D69*(C69/2)^2*PI(),D69*(C69/2)^2*PI()))</f>
        <v>392.69908169872411</v>
      </c>
      <c r="G69" s="565"/>
      <c r="H69" s="429"/>
      <c r="I69" s="428"/>
      <c r="J69" s="429"/>
      <c r="K69" s="429"/>
      <c r="L69" s="428"/>
      <c r="M69" s="428"/>
    </row>
    <row r="70" spans="2:13" ht="16.5" thickTop="1" thickBot="1" x14ac:dyDescent="0.3">
      <c r="B70" s="526" t="str">
        <f>IF($C$9="NO","SPENTO","POS 3")</f>
        <v>SPENTO</v>
      </c>
      <c r="C70" s="84">
        <v>10</v>
      </c>
      <c r="D70" s="579">
        <v>20</v>
      </c>
      <c r="E70" s="588" t="str">
        <f>IF($D$9=sezione!$AC$2,"passo in cm","numero ferri")</f>
        <v>passo in cm</v>
      </c>
      <c r="F70" s="550">
        <f>IF($C$9="no",0,IF(D9=sezione!$AC$2,100/D70*(C70/2)^2*PI(),D70*(C70/2)^2*PI()))</f>
        <v>0</v>
      </c>
      <c r="G70" s="565"/>
      <c r="H70" s="429"/>
      <c r="I70" s="428"/>
      <c r="J70" s="429"/>
      <c r="K70" s="429"/>
      <c r="L70" s="428"/>
      <c r="M70" s="428"/>
    </row>
    <row r="71" spans="2:13" ht="16.5" thickTop="1" thickBot="1" x14ac:dyDescent="0.3">
      <c r="B71" s="526" t="str">
        <f>IF($C$10="NO","SPENTO","POS 4")</f>
        <v>POS 4</v>
      </c>
      <c r="C71" s="84">
        <v>16</v>
      </c>
      <c r="D71" s="579">
        <v>4</v>
      </c>
      <c r="E71" s="588" t="str">
        <f>IF($D$10=sezione!$AC$2,"passo in cm","numero ferri")</f>
        <v>numero ferri</v>
      </c>
      <c r="F71" s="550">
        <f>IF($C$10="no",0,IF(D10=sezione!$AC$2,100/D71*(C71/2)^2*PI(),D71*(C71/2)^2*PI()))</f>
        <v>804.24771931898704</v>
      </c>
      <c r="G71" s="565"/>
      <c r="H71" s="429"/>
      <c r="I71" s="428"/>
      <c r="J71" s="429"/>
      <c r="K71" s="429"/>
      <c r="L71" s="428"/>
      <c r="M71" s="428"/>
    </row>
    <row r="72" spans="2:13" ht="16.5" thickTop="1" thickBot="1" x14ac:dyDescent="0.3">
      <c r="B72" s="526" t="str">
        <f>IF($C$11="NO","SPENTO","POS 5")</f>
        <v>POS 5</v>
      </c>
      <c r="C72" s="84">
        <v>20</v>
      </c>
      <c r="D72" s="579">
        <v>4</v>
      </c>
      <c r="E72" s="588" t="str">
        <f>IF($D$11=sezione!$AC$2,"passo in cm","numero ferri")</f>
        <v>numero ferri</v>
      </c>
      <c r="F72" s="550">
        <f>IF($C$11="no",0,IF(D11=sezione!$AC$2,100/D72*(C72/2)^2*PI(),D72*(C72/2)^2*PI()))</f>
        <v>1256.6370614359173</v>
      </c>
      <c r="G72" s="565"/>
      <c r="H72" s="429"/>
      <c r="I72" s="428"/>
      <c r="J72" s="429"/>
      <c r="K72" s="429"/>
      <c r="L72" s="428"/>
      <c r="M72" s="428"/>
    </row>
    <row r="73" spans="2:13" ht="15.75" thickTop="1" x14ac:dyDescent="0.25">
      <c r="B73" s="526"/>
      <c r="C73" s="449"/>
      <c r="D73" s="336"/>
      <c r="E73" s="428"/>
      <c r="F73" s="563"/>
      <c r="G73" s="565"/>
      <c r="H73" s="429"/>
      <c r="I73" s="428"/>
      <c r="J73" s="429"/>
      <c r="K73" s="429"/>
      <c r="L73" s="428"/>
      <c r="M73" s="428"/>
    </row>
    <row r="74" spans="2:13" x14ac:dyDescent="0.25">
      <c r="B74" s="526"/>
      <c r="C74" s="449"/>
      <c r="D74" s="336"/>
      <c r="E74" s="428"/>
      <c r="F74" s="563"/>
      <c r="G74" s="565"/>
      <c r="H74" s="429"/>
      <c r="I74" s="428"/>
      <c r="J74" s="429"/>
      <c r="K74" s="429"/>
      <c r="L74" s="428"/>
      <c r="M74" s="428"/>
    </row>
    <row r="75" spans="2:13" ht="15.75" x14ac:dyDescent="0.25">
      <c r="B75" s="567" t="s">
        <v>943</v>
      </c>
      <c r="C75" s="428"/>
      <c r="D75" s="600" t="s">
        <v>991</v>
      </c>
      <c r="E75" s="602">
        <f>'Progetto del paramento slu'!C160</f>
        <v>1.644110576923077</v>
      </c>
      <c r="F75" s="601" t="s">
        <v>992</v>
      </c>
      <c r="G75" s="602">
        <f>'Progetto del paramento slu'!C162</f>
        <v>1.0754807692307695</v>
      </c>
      <c r="H75" s="429"/>
      <c r="I75" s="428"/>
      <c r="J75" s="429"/>
      <c r="K75" s="429"/>
      <c r="L75" s="428"/>
      <c r="M75" s="428"/>
    </row>
    <row r="76" spans="2:13" x14ac:dyDescent="0.25">
      <c r="B76" s="428"/>
      <c r="C76" s="428"/>
      <c r="D76" s="428"/>
      <c r="E76" s="428"/>
      <c r="F76" s="428"/>
      <c r="G76" s="565"/>
      <c r="H76" s="429"/>
      <c r="I76" s="428"/>
      <c r="J76" s="429"/>
      <c r="K76" s="429"/>
      <c r="L76" s="428"/>
      <c r="M76" s="428"/>
    </row>
    <row r="77" spans="2:13" ht="15.75" thickBot="1" x14ac:dyDescent="0.3">
      <c r="B77" s="428"/>
      <c r="C77" s="428"/>
      <c r="D77" s="428"/>
      <c r="E77" s="428"/>
      <c r="F77" s="438" t="s">
        <v>909</v>
      </c>
      <c r="G77" s="565"/>
      <c r="H77" s="429"/>
      <c r="I77" s="428"/>
      <c r="J77" s="429"/>
      <c r="K77" s="429"/>
      <c r="L77" s="428"/>
      <c r="M77" s="428"/>
    </row>
    <row r="78" spans="2:13" ht="16.5" thickTop="1" thickBot="1" x14ac:dyDescent="0.3">
      <c r="B78" s="526" t="str">
        <f>IF($C$7="NO","SPENTO","POS 1")</f>
        <v>SPENTO</v>
      </c>
      <c r="C78" s="84">
        <v>10</v>
      </c>
      <c r="D78" s="579">
        <v>4</v>
      </c>
      <c r="E78" s="588" t="str">
        <f>IF($D$7=sezione!$AC$2,"passo in cm","numero ferri")</f>
        <v>numero ferri</v>
      </c>
      <c r="F78" s="550">
        <f>IF($C$7="no",0,IF(D7=sezione!$AC$2,100/D78*(C78/2)^2*PI(),D78*(C78/2)^2*PI()))</f>
        <v>0</v>
      </c>
      <c r="G78" s="565"/>
      <c r="H78" s="429"/>
      <c r="I78" s="428"/>
      <c r="J78" s="429"/>
      <c r="K78" s="429"/>
      <c r="L78" s="428"/>
      <c r="M78" s="428"/>
    </row>
    <row r="79" spans="2:13" ht="16.5" thickTop="1" thickBot="1" x14ac:dyDescent="0.3">
      <c r="B79" s="526" t="str">
        <f>IF($C$8="NO","SPENTO","POS 2")</f>
        <v>POS 2</v>
      </c>
      <c r="C79" s="84">
        <v>10</v>
      </c>
      <c r="D79" s="579">
        <v>20</v>
      </c>
      <c r="E79" s="588" t="str">
        <f>IF($D$8=sezione!$AC$2,"passo in cm","numero ferri")</f>
        <v>passo in cm</v>
      </c>
      <c r="F79" s="550">
        <f>IF($C$8="no",0,IF(D8=sezione!$AC$2,100/D79*(C79/2)^2*PI(),D79*(C79/2)^2*PI()))</f>
        <v>392.69908169872411</v>
      </c>
      <c r="G79" s="565"/>
      <c r="H79" s="429"/>
      <c r="I79" s="428"/>
      <c r="J79" s="429"/>
      <c r="K79" s="429"/>
      <c r="L79" s="428"/>
      <c r="M79" s="428"/>
    </row>
    <row r="80" spans="2:13" ht="16.5" thickTop="1" thickBot="1" x14ac:dyDescent="0.3">
      <c r="B80" s="526" t="str">
        <f>IF($C$9="NO","SPENTO","POS 3")</f>
        <v>SPENTO</v>
      </c>
      <c r="C80" s="84">
        <v>10</v>
      </c>
      <c r="D80" s="579">
        <v>20</v>
      </c>
      <c r="E80" s="588" t="str">
        <f>IF($D$9=sezione!$AC$2,"passo in cm","numero ferri")</f>
        <v>passo in cm</v>
      </c>
      <c r="F80" s="550">
        <f>IF($C$9="no",0,IF(D9=sezione!$AC$2,100/D80*(C80/2)^2*PI(),D80*(C80/2)^2*PI()))</f>
        <v>0</v>
      </c>
      <c r="G80" s="565"/>
      <c r="H80" s="429"/>
      <c r="I80" s="428"/>
      <c r="J80" s="429"/>
      <c r="K80" s="429"/>
      <c r="L80" s="428"/>
      <c r="M80" s="428"/>
    </row>
    <row r="81" spans="2:13" ht="16.5" thickTop="1" thickBot="1" x14ac:dyDescent="0.3">
      <c r="B81" s="526" t="str">
        <f>IF($C$10="NO","SPENTO","POS 4")</f>
        <v>POS 4</v>
      </c>
      <c r="C81" s="84">
        <v>18</v>
      </c>
      <c r="D81" s="579">
        <v>4</v>
      </c>
      <c r="E81" s="588" t="str">
        <f>IF($D$10=sezione!$AC$2,"passo in cm","numero ferri")</f>
        <v>numero ferri</v>
      </c>
      <c r="F81" s="550">
        <f>IF($C$10="no",0,IF(D10=sezione!$AC$2,100/D81*(C81/2)^2*PI(),D81*(C81/2)^2*PI()))</f>
        <v>1017.8760197630929</v>
      </c>
      <c r="G81" s="565"/>
      <c r="H81" s="429"/>
      <c r="I81" s="428"/>
      <c r="J81" s="429"/>
      <c r="K81" s="429"/>
      <c r="L81" s="428"/>
      <c r="M81" s="428"/>
    </row>
    <row r="82" spans="2:13" ht="16.5" thickTop="1" thickBot="1" x14ac:dyDescent="0.3">
      <c r="B82" s="526" t="str">
        <f>IF($C$11="NO","SPENTO","POS 5")</f>
        <v>POS 5</v>
      </c>
      <c r="C82" s="84">
        <v>22</v>
      </c>
      <c r="D82" s="579">
        <v>6</v>
      </c>
      <c r="E82" s="588" t="str">
        <f>IF($D$11=sezione!$AC$2,"passo in cm","numero ferri")</f>
        <v>numero ferri</v>
      </c>
      <c r="F82" s="550">
        <f>IF($C$11="no",0,IF(D11=sezione!$AC$2,100/D82*(C82/2)^2*PI(),D82*(C82/2)^2*PI()))</f>
        <v>2280.79626650619</v>
      </c>
      <c r="G82" s="565"/>
      <c r="H82" s="429"/>
      <c r="I82" s="428"/>
      <c r="J82" s="429"/>
      <c r="K82" s="429"/>
      <c r="L82" s="428"/>
      <c r="M82" s="428"/>
    </row>
    <row r="83" spans="2:13" ht="15.75" thickTop="1" x14ac:dyDescent="0.25">
      <c r="B83" s="540"/>
      <c r="C83" s="563"/>
      <c r="D83" s="564"/>
      <c r="E83" s="428"/>
      <c r="F83" s="565"/>
      <c r="G83" s="565"/>
      <c r="H83" s="429"/>
      <c r="I83" s="428"/>
      <c r="J83" s="429"/>
      <c r="K83" s="429"/>
      <c r="L83" s="428"/>
      <c r="M83" s="428"/>
    </row>
    <row r="84" spans="2:13" x14ac:dyDescent="0.25">
      <c r="B84" s="540"/>
      <c r="C84" s="563"/>
      <c r="D84" s="564"/>
      <c r="E84" s="428"/>
      <c r="F84" s="565"/>
      <c r="G84" s="565"/>
      <c r="H84" s="429"/>
      <c r="I84" s="428"/>
      <c r="J84" s="429"/>
      <c r="K84" s="429"/>
      <c r="L84" s="428"/>
      <c r="M84" s="428"/>
    </row>
    <row r="85" spans="2:13" ht="15.75" x14ac:dyDescent="0.25">
      <c r="B85" s="567" t="s">
        <v>955</v>
      </c>
      <c r="C85" s="428"/>
      <c r="D85" s="600" t="s">
        <v>991</v>
      </c>
      <c r="E85" s="602">
        <f>'Progetto del paramento slu'!C162</f>
        <v>1.0754807692307695</v>
      </c>
      <c r="F85" s="601" t="s">
        <v>992</v>
      </c>
      <c r="G85" s="602">
        <f>'Progetto del paramento slu'!C164</f>
        <v>0.5</v>
      </c>
      <c r="H85" s="429"/>
      <c r="I85" s="428"/>
      <c r="J85" s="429"/>
      <c r="K85" s="428"/>
      <c r="L85" s="428"/>
      <c r="M85" s="428"/>
    </row>
    <row r="86" spans="2:13" x14ac:dyDescent="0.25">
      <c r="B86" s="428"/>
      <c r="C86" s="428"/>
      <c r="D86" s="428"/>
      <c r="E86" s="428"/>
      <c r="F86" s="428"/>
      <c r="G86" s="565"/>
      <c r="H86" s="429"/>
      <c r="I86" s="428"/>
      <c r="J86" s="429"/>
      <c r="K86" s="429"/>
      <c r="L86" s="428"/>
      <c r="M86" s="428"/>
    </row>
    <row r="87" spans="2:13" ht="15.75" thickBot="1" x14ac:dyDescent="0.3">
      <c r="B87" s="428"/>
      <c r="C87" s="428"/>
      <c r="D87" s="428"/>
      <c r="E87" s="428"/>
      <c r="F87" s="561" t="s">
        <v>909</v>
      </c>
      <c r="G87" s="565"/>
      <c r="H87" s="429"/>
      <c r="I87" s="428"/>
      <c r="J87" s="429"/>
      <c r="K87" s="429"/>
      <c r="L87" s="428"/>
      <c r="M87" s="428"/>
    </row>
    <row r="88" spans="2:13" ht="16.5" thickTop="1" thickBot="1" x14ac:dyDescent="0.3">
      <c r="B88" s="540" t="str">
        <f>IF($C$7="NO","SPENTO","POS 1")</f>
        <v>SPENTO</v>
      </c>
      <c r="C88" s="84">
        <v>10</v>
      </c>
      <c r="D88" s="579">
        <v>4</v>
      </c>
      <c r="E88" s="588" t="str">
        <f>IF($D$7=sezione!$AC$2,"passo in cm","numero ferri")</f>
        <v>numero ferri</v>
      </c>
      <c r="F88" s="550">
        <f>IF($C$7="no",0,IF(D7=sezione!$AC$2,100/D88*(C88/2)^2*PI(),D88*(C88/2)^2*PI()))</f>
        <v>0</v>
      </c>
      <c r="G88" s="565"/>
      <c r="H88" s="429"/>
      <c r="I88" s="428"/>
      <c r="J88" s="429"/>
      <c r="K88" s="429"/>
      <c r="L88" s="428"/>
      <c r="M88" s="428"/>
    </row>
    <row r="89" spans="2:13" ht="16.5" thickTop="1" thickBot="1" x14ac:dyDescent="0.3">
      <c r="B89" s="540" t="str">
        <f>IF($C$8="NO","SPENTO","POS 2")</f>
        <v>POS 2</v>
      </c>
      <c r="C89" s="84">
        <v>10</v>
      </c>
      <c r="D89" s="579">
        <v>20</v>
      </c>
      <c r="E89" s="588" t="str">
        <f>IF($D$8=sezione!$AC$2,"passo in cm","numero ferri")</f>
        <v>passo in cm</v>
      </c>
      <c r="F89" s="550">
        <f>IF($C$8="no",0,IF(D8=sezione!$AC$2,100/D89*(C89/2)^2*PI(),D89*(C89/2)^2*PI()))</f>
        <v>392.69908169872411</v>
      </c>
      <c r="G89" s="565"/>
      <c r="H89" s="429"/>
      <c r="I89" s="428"/>
      <c r="J89" s="429"/>
      <c r="K89" s="429"/>
      <c r="L89" s="428"/>
      <c r="M89" s="428"/>
    </row>
    <row r="90" spans="2:13" ht="16.5" thickTop="1" thickBot="1" x14ac:dyDescent="0.3">
      <c r="B90" s="540" t="str">
        <f>IF($C$9="NO","SPENTO","POS 3")</f>
        <v>SPENTO</v>
      </c>
      <c r="C90" s="84">
        <v>10</v>
      </c>
      <c r="D90" s="579">
        <v>20</v>
      </c>
      <c r="E90" s="588" t="str">
        <f>IF($D$9=sezione!$AC$2,"passo in cm","numero ferri")</f>
        <v>passo in cm</v>
      </c>
      <c r="F90" s="550">
        <f>IF($C$9="no",0,IF(D9=sezione!$AC$2,100/D90*(C90/2)^2*PI(),D90*(C90/2)^2*PI()))</f>
        <v>0</v>
      </c>
      <c r="G90" s="565"/>
      <c r="H90" s="429"/>
      <c r="I90" s="428"/>
      <c r="J90" s="429"/>
      <c r="K90" s="429"/>
      <c r="L90" s="428"/>
      <c r="M90" s="428"/>
    </row>
    <row r="91" spans="2:13" ht="16.5" thickTop="1" thickBot="1" x14ac:dyDescent="0.3">
      <c r="B91" s="540" t="str">
        <f>IF($C$10="NO","SPENTO","POS 4")</f>
        <v>POS 4</v>
      </c>
      <c r="C91" s="84">
        <v>22</v>
      </c>
      <c r="D91" s="579">
        <v>6</v>
      </c>
      <c r="E91" s="588" t="str">
        <f>IF($D$10=sezione!$AC$2,"passo in cm","numero ferri")</f>
        <v>numero ferri</v>
      </c>
      <c r="F91" s="550">
        <f>IF($C$10="no",0,IF(D10=sezione!$AC$2,100/D91*(C91/2)^2*PI(),D91*(C91/2)^2*PI()))</f>
        <v>2280.79626650619</v>
      </c>
      <c r="G91" s="565"/>
      <c r="H91" s="429"/>
      <c r="I91" s="428"/>
      <c r="J91" s="429"/>
      <c r="K91" s="429"/>
      <c r="L91" s="428"/>
      <c r="M91" s="428"/>
    </row>
    <row r="92" spans="2:13" ht="16.5" thickTop="1" thickBot="1" x14ac:dyDescent="0.3">
      <c r="B92" s="540" t="str">
        <f>IF($C$11="NO","SPENTO","POS 5")</f>
        <v>POS 5</v>
      </c>
      <c r="C92" s="84">
        <v>26</v>
      </c>
      <c r="D92" s="579">
        <v>8</v>
      </c>
      <c r="E92" s="588" t="str">
        <f>IF($D$11=sezione!$AC$2,"passo in cm","numero ferri")</f>
        <v>numero ferri</v>
      </c>
      <c r="F92" s="550">
        <f>IF($C$11="no",0,IF(D11=sezione!$AC$2,100/D92*(C92/2)^2*PI(),D92*(C92/2)^2*PI()))</f>
        <v>4247.4332676534004</v>
      </c>
      <c r="G92" s="565"/>
      <c r="H92" s="429"/>
      <c r="I92" s="428"/>
      <c r="J92" s="429"/>
      <c r="K92" s="429"/>
      <c r="L92" s="428"/>
      <c r="M92" s="428"/>
    </row>
    <row r="93" spans="2:13" ht="15.75" thickTop="1" x14ac:dyDescent="0.25">
      <c r="B93" s="540"/>
      <c r="C93" s="449"/>
      <c r="D93" s="336"/>
      <c r="E93" s="563"/>
      <c r="F93" s="564"/>
      <c r="G93" s="565"/>
      <c r="H93" s="429"/>
      <c r="I93" s="428"/>
      <c r="J93" s="429"/>
      <c r="K93" s="429"/>
      <c r="L93" s="428"/>
      <c r="M93" s="428"/>
    </row>
    <row r="94" spans="2:13" x14ac:dyDescent="0.25">
      <c r="B94" s="431" t="s">
        <v>999</v>
      </c>
      <c r="C94" s="449"/>
      <c r="D94" s="336"/>
      <c r="E94" s="563"/>
      <c r="F94" s="564"/>
      <c r="G94" s="565"/>
      <c r="H94" s="428"/>
      <c r="I94" s="428"/>
      <c r="J94" s="429"/>
      <c r="K94" s="429"/>
      <c r="L94" s="428"/>
      <c r="M94" s="428"/>
    </row>
    <row r="95" spans="2:13" x14ac:dyDescent="0.25">
      <c r="B95" s="431"/>
      <c r="C95" s="449"/>
      <c r="D95" s="336"/>
      <c r="E95" s="563"/>
      <c r="F95" s="564"/>
      <c r="G95" s="565"/>
      <c r="H95" s="429"/>
      <c r="I95" s="428"/>
      <c r="J95" s="429"/>
      <c r="K95" s="429"/>
      <c r="L95" s="428"/>
      <c r="M95" s="428"/>
    </row>
    <row r="96" spans="2:13" x14ac:dyDescent="0.25">
      <c r="B96" s="431" t="s">
        <v>1000</v>
      </c>
      <c r="C96" s="449"/>
      <c r="D96" s="336"/>
      <c r="E96" s="563"/>
      <c r="F96" s="564"/>
      <c r="G96" s="565"/>
      <c r="H96" s="429"/>
      <c r="I96" s="428"/>
      <c r="J96" s="429"/>
      <c r="K96" s="429"/>
      <c r="L96" s="428"/>
      <c r="M96" s="428"/>
    </row>
    <row r="97" spans="2:13" x14ac:dyDescent="0.25">
      <c r="B97" s="526"/>
      <c r="C97" s="449"/>
      <c r="D97" s="336"/>
      <c r="E97" s="563"/>
      <c r="F97" s="564"/>
      <c r="G97" s="565"/>
      <c r="H97" s="429"/>
      <c r="I97" s="428"/>
      <c r="J97" s="429"/>
      <c r="K97" s="429"/>
      <c r="L97" s="428"/>
      <c r="M97" s="428"/>
    </row>
    <row r="98" spans="2:13" x14ac:dyDescent="0.25">
      <c r="B98" s="967" t="s">
        <v>21</v>
      </c>
      <c r="C98" s="969" t="s">
        <v>993</v>
      </c>
      <c r="D98" s="963" t="s">
        <v>23</v>
      </c>
      <c r="E98" s="965" t="s">
        <v>31</v>
      </c>
      <c r="F98" s="965" t="s">
        <v>931</v>
      </c>
      <c r="G98" s="965" t="s">
        <v>930</v>
      </c>
      <c r="H98" s="965" t="s">
        <v>938</v>
      </c>
      <c r="I98" s="965" t="s">
        <v>989</v>
      </c>
      <c r="J98" s="428"/>
      <c r="K98" s="428"/>
      <c r="L98" s="428"/>
      <c r="M98" s="428"/>
    </row>
    <row r="99" spans="2:13" x14ac:dyDescent="0.25">
      <c r="B99" s="968"/>
      <c r="C99" s="970"/>
      <c r="D99" s="963"/>
      <c r="E99" s="966"/>
      <c r="F99" s="966"/>
      <c r="G99" s="966"/>
      <c r="H99" s="966"/>
      <c r="I99" s="966"/>
      <c r="J99" s="428"/>
      <c r="K99" s="428"/>
      <c r="L99" s="428"/>
      <c r="M99" s="428"/>
    </row>
    <row r="100" spans="2:13" x14ac:dyDescent="0.25">
      <c r="B100" s="529">
        <v>0</v>
      </c>
      <c r="C100" s="532">
        <f>'Progetto del paramento slu'!C154</f>
        <v>3.35</v>
      </c>
      <c r="D100" s="551">
        <f>VLOOKUP(C100,'SOLLECITAZ NASCOSTO'!$C$23:$M$468,2,TRUE)</f>
        <v>0</v>
      </c>
      <c r="E100" s="169">
        <f>'Progetto del paramento slu'!E154</f>
        <v>0</v>
      </c>
      <c r="F100" s="360">
        <f>IF('Progetto del paramento slu'!F154=0,IF(F101&lt;0,-0.0001,0.0001),'Progetto del paramento slu'!F154)</f>
        <v>-1E-4</v>
      </c>
      <c r="G100" s="417">
        <f>IF(G101&lt;0,-K133,K133)</f>
        <v>-161.42827347438211</v>
      </c>
      <c r="H100" s="530" t="str">
        <f>IF(sezione!AA47&gt;=sezione!Z47,"Verificato","NON VERIFICATO")</f>
        <v>Verificato</v>
      </c>
      <c r="I100" s="598">
        <f t="shared" ref="I100:I110" si="0">G100/F100</f>
        <v>1614282.734743821</v>
      </c>
      <c r="J100" s="428"/>
      <c r="K100" s="428"/>
      <c r="L100" s="428"/>
      <c r="M100" s="428"/>
    </row>
    <row r="101" spans="2:13" x14ac:dyDescent="0.25">
      <c r="B101" s="529">
        <f t="shared" ref="B101:B110" si="1">B100+1</f>
        <v>1</v>
      </c>
      <c r="C101" s="532">
        <f>'Progetto del paramento slu'!C155</f>
        <v>3.0691105769230771</v>
      </c>
      <c r="D101" s="551">
        <f>VLOOKUP(C101,'SOLLECITAZ NASCOSTO'!$C$23:$M$468,2,TRUE)</f>
        <v>0</v>
      </c>
      <c r="E101" s="169">
        <f>'Progetto del paramento slu'!E155</f>
        <v>1.4411854045006565</v>
      </c>
      <c r="F101" s="360">
        <f>'Progetto del paramento slu'!F155</f>
        <v>-0.18943953028727276</v>
      </c>
      <c r="G101" s="417">
        <f t="shared" ref="G101:G110" si="2">IF(F101&lt;0,-K134,K134)</f>
        <v>-161.42853062364338</v>
      </c>
      <c r="H101" s="594" t="str">
        <f>IF(sezione!AA48&gt;=sezione!Z48,"Verificato","NON VERIFICATO")</f>
        <v>Verificato</v>
      </c>
      <c r="I101" s="598">
        <f t="shared" si="0"/>
        <v>852.13751522107077</v>
      </c>
      <c r="J101" s="428"/>
      <c r="K101" s="428"/>
      <c r="L101" s="428"/>
      <c r="M101" s="428"/>
    </row>
    <row r="102" spans="2:13" x14ac:dyDescent="0.25">
      <c r="B102" s="529">
        <f t="shared" si="1"/>
        <v>2</v>
      </c>
      <c r="C102" s="532">
        <f>'Progetto del paramento slu'!C156</f>
        <v>2.7813701923076923</v>
      </c>
      <c r="D102" s="551">
        <f>VLOOKUP(C102,'SOLLECITAZ NASCOSTO'!$C$23:$M$468,2,TRUE)</f>
        <v>0.30000973557692284</v>
      </c>
      <c r="E102" s="169">
        <f>'Progetto del paramento slu'!E156</f>
        <v>3.4922793755436494</v>
      </c>
      <c r="F102" s="360">
        <f>'Progetto del paramento slu'!F156</f>
        <v>-0.88527816845511631</v>
      </c>
      <c r="G102" s="417">
        <f t="shared" si="2"/>
        <v>-161.42879404528236</v>
      </c>
      <c r="H102" s="594" t="str">
        <f>IF(sezione!AA49&gt;=sezione!Z49,"Verificato","NON VERIFICATO")</f>
        <v>Verificato</v>
      </c>
      <c r="I102" s="598">
        <f t="shared" si="0"/>
        <v>182.34810232244737</v>
      </c>
      <c r="J102" s="428"/>
      <c r="K102" s="428"/>
      <c r="L102" s="428"/>
      <c r="M102" s="428"/>
    </row>
    <row r="103" spans="2:13" x14ac:dyDescent="0.25">
      <c r="B103" s="529">
        <f t="shared" si="1"/>
        <v>3</v>
      </c>
      <c r="C103" s="532">
        <f>'Progetto del paramento slu'!C157</f>
        <v>2.5004807692307693</v>
      </c>
      <c r="D103" s="551">
        <f>VLOOKUP(C103,'SOLLECITAZ NASCOSTO'!$C$23:$M$468,2,TRUE)</f>
        <v>0.30000874999999977</v>
      </c>
      <c r="E103" s="169">
        <f>'Progetto del paramento slu'!E157</f>
        <v>6.0556107716507457</v>
      </c>
      <c r="F103" s="360">
        <f>'Progetto del paramento slu'!F157</f>
        <v>-2.2132615078574891</v>
      </c>
      <c r="G103" s="417">
        <f t="shared" si="2"/>
        <v>-171.90247810253885</v>
      </c>
      <c r="H103" s="594" t="str">
        <f>IF(sezione!AA50&gt;=sezione!Z50,"Verificato","NON VERIFICATO")</f>
        <v>Verificato</v>
      </c>
      <c r="I103" s="598">
        <f t="shared" si="0"/>
        <v>77.669302742695862</v>
      </c>
      <c r="J103" s="428"/>
      <c r="K103" s="428"/>
      <c r="L103" s="428"/>
      <c r="M103" s="428"/>
    </row>
    <row r="104" spans="2:13" x14ac:dyDescent="0.25">
      <c r="B104" s="529">
        <f t="shared" si="1"/>
        <v>4</v>
      </c>
      <c r="C104" s="532">
        <f>'Progetto del paramento slu'!C158</f>
        <v>2.212740384615385</v>
      </c>
      <c r="D104" s="551">
        <f>VLOOKUP(C104,'SOLLECITAZ NASCOSTO'!$C$23:$M$468,2,TRUE)</f>
        <v>0.3000077403846152</v>
      </c>
      <c r="E104" s="169">
        <f>'Progetto del paramento slu'!E158</f>
        <v>9.2562201487296036</v>
      </c>
      <c r="F104" s="360">
        <f>'Progetto del paramento slu'!F158</f>
        <v>-4.40223767847512</v>
      </c>
      <c r="G104" s="417">
        <f t="shared" si="2"/>
        <v>-171.90281478567334</v>
      </c>
      <c r="H104" s="594" t="str">
        <f>IF(sezione!AA51&gt;=sezione!Z51,"Verificato","NON VERIFICATO")</f>
        <v>Verificato</v>
      </c>
      <c r="I104" s="598">
        <f t="shared" si="0"/>
        <v>39.048962673278083</v>
      </c>
      <c r="J104" s="428"/>
      <c r="K104" s="428"/>
      <c r="L104" s="428"/>
      <c r="M104" s="428"/>
    </row>
    <row r="105" spans="2:13" x14ac:dyDescent="0.25">
      <c r="B105" s="529">
        <f t="shared" si="1"/>
        <v>5</v>
      </c>
      <c r="C105" s="532">
        <f>'Progetto del paramento slu'!C159</f>
        <v>1.925</v>
      </c>
      <c r="D105" s="551">
        <f>VLOOKUP(C105,'SOLLECITAZ NASCOSTO'!$C$23:$M$468,2,TRUE)</f>
        <v>0.30000673076923062</v>
      </c>
      <c r="E105" s="169">
        <f>'Progetto del paramento slu'!E159</f>
        <v>13.038512020429026</v>
      </c>
      <c r="F105" s="360">
        <f>'Progetto del paramento slu'!F159</f>
        <v>-7.5958451946201109</v>
      </c>
      <c r="G105" s="417">
        <f t="shared" si="2"/>
        <v>-230.64709143925316</v>
      </c>
      <c r="H105" s="594" t="str">
        <f>IF(sezione!AA52&gt;=sezione!Z52,"Verificato","NON VERIFICATO")</f>
        <v>Verificato</v>
      </c>
      <c r="I105" s="598">
        <f t="shared" si="0"/>
        <v>30.364901538885096</v>
      </c>
      <c r="J105" s="428"/>
      <c r="K105" s="428"/>
      <c r="L105" s="428"/>
      <c r="M105" s="428"/>
    </row>
    <row r="106" spans="2:13" x14ac:dyDescent="0.25">
      <c r="B106" s="529">
        <f t="shared" si="1"/>
        <v>6</v>
      </c>
      <c r="C106" s="532">
        <f>'Progetto del paramento slu'!C160</f>
        <v>1.644110576923077</v>
      </c>
      <c r="D106" s="551">
        <f>VLOOKUP(C106,'SOLLECITAZ NASCOSTO'!$C$23:$M$468,2,TRUE)</f>
        <v>0.30000574519230755</v>
      </c>
      <c r="E106" s="169">
        <f>'Progetto del paramento slu'!E160</f>
        <v>17.291822319557873</v>
      </c>
      <c r="F106" s="360">
        <f>'Progetto del paramento slu'!F160</f>
        <v>-11.8426129137434</v>
      </c>
      <c r="G106" s="417">
        <f t="shared" si="2"/>
        <v>-230.64761083876141</v>
      </c>
      <c r="H106" s="594" t="str">
        <f>IF(sezione!AA53&gt;=sezione!Z53,"Verificato","NON VERIFICATO")</f>
        <v>Verificato</v>
      </c>
      <c r="I106" s="598">
        <f t="shared" si="0"/>
        <v>19.476074454066968</v>
      </c>
      <c r="J106" s="428"/>
      <c r="K106" s="428"/>
      <c r="L106" s="428"/>
      <c r="M106" s="428"/>
    </row>
    <row r="107" spans="2:13" x14ac:dyDescent="0.25">
      <c r="B107" s="529">
        <f t="shared" si="1"/>
        <v>7</v>
      </c>
      <c r="C107" s="532">
        <f>'Progetto del paramento slu'!C161</f>
        <v>1.3563701923076925</v>
      </c>
      <c r="D107" s="551">
        <f>VLOOKUP(C107,'SOLLECITAZ NASCOSTO'!$C$23:$M$468,2,TRUE)</f>
        <v>0.30000473557692298</v>
      </c>
      <c r="E107" s="169">
        <f>'Progetto del paramento slu'!E161</f>
        <v>22.223629597293154</v>
      </c>
      <c r="F107" s="360">
        <f>'Progetto del paramento slu'!F161</f>
        <v>-17.513768691665764</v>
      </c>
      <c r="G107" s="417">
        <f t="shared" si="2"/>
        <v>-327.81310174719664</v>
      </c>
      <c r="H107" s="594" t="str">
        <f>IF(sezione!AA54&gt;=sezione!Z54,"Verificato","NON VERIFICATO")</f>
        <v>Verificato</v>
      </c>
      <c r="I107" s="598">
        <f t="shared" si="0"/>
        <v>18.717450682284749</v>
      </c>
      <c r="J107" s="428"/>
      <c r="K107" s="428"/>
      <c r="L107" s="428"/>
      <c r="M107" s="428"/>
    </row>
    <row r="108" spans="2:13" x14ac:dyDescent="0.25">
      <c r="B108" s="529">
        <f t="shared" si="1"/>
        <v>8</v>
      </c>
      <c r="C108" s="532">
        <f>'Progetto del paramento slu'!C162</f>
        <v>1.0754807692307695</v>
      </c>
      <c r="D108" s="551">
        <f>VLOOKUP(C108,'SOLLECITAZ NASCOSTO'!$C$23:$M$468,2,TRUE)</f>
        <v>0.3000037499999999</v>
      </c>
      <c r="E108" s="169">
        <f>'Progetto del paramento slu'!E162</f>
        <v>27.599085888028444</v>
      </c>
      <c r="F108" s="360">
        <f>'Progetto del paramento slu'!F162</f>
        <v>-24.498138257943335</v>
      </c>
      <c r="G108" s="417">
        <f t="shared" si="2"/>
        <v>-327.81399237307892</v>
      </c>
      <c r="H108" s="594" t="str">
        <f>IF(sezione!AA55&gt;=sezione!Z55,"Verificato","NON VERIFICATO")</f>
        <v>Verificato</v>
      </c>
      <c r="I108" s="598">
        <f t="shared" si="0"/>
        <v>13.381179782785646</v>
      </c>
      <c r="J108" s="428"/>
      <c r="K108" s="428"/>
      <c r="L108" s="428"/>
      <c r="M108" s="428"/>
    </row>
    <row r="109" spans="2:13" x14ac:dyDescent="0.25">
      <c r="B109" s="529">
        <f t="shared" si="1"/>
        <v>9</v>
      </c>
      <c r="C109" s="532">
        <f>'Progetto del paramento slu'!C163</f>
        <v>0.78774038461538476</v>
      </c>
      <c r="D109" s="551">
        <f>VLOOKUP(C109,'SOLLECITAZ NASCOSTO'!$C$23:$M$468,2,TRUE)</f>
        <v>0.30000274038461533</v>
      </c>
      <c r="E109" s="169">
        <f>'Progetto del paramento slu'!E163</f>
        <v>33.680408571799653</v>
      </c>
      <c r="F109" s="360">
        <f>'Progetto del paramento slu'!F163</f>
        <v>-33.300491021916606</v>
      </c>
      <c r="G109" s="417">
        <f t="shared" si="2"/>
        <v>-536.02467902300441</v>
      </c>
      <c r="H109" s="594" t="str">
        <f>IF(sezione!AA56&gt;=sezione!Z56,"Verificato","NON VERIFICATO")</f>
        <v>Verificato</v>
      </c>
      <c r="I109" s="598">
        <f t="shared" si="0"/>
        <v>16.096599857047799</v>
      </c>
      <c r="J109" s="428"/>
      <c r="K109" s="428"/>
      <c r="L109" s="428"/>
      <c r="M109" s="428"/>
    </row>
    <row r="110" spans="2:13" x14ac:dyDescent="0.25">
      <c r="B110" s="529">
        <f t="shared" si="1"/>
        <v>10</v>
      </c>
      <c r="C110" s="532">
        <f>'Progetto del paramento slu'!C164</f>
        <v>0.5</v>
      </c>
      <c r="D110" s="551">
        <f>VLOOKUP(C110,'SOLLECITAZ NASCOSTO'!$C$23:$M$468,2,TRUE)</f>
        <v>0.3000017307692307</v>
      </c>
      <c r="E110" s="169">
        <f>'Progetto del paramento slu'!E164</f>
        <v>40.361306950783039</v>
      </c>
      <c r="F110" s="360">
        <f>'Progetto del paramento slu'!F164</f>
        <v>-43.936434027868202</v>
      </c>
      <c r="G110" s="417">
        <f t="shared" si="2"/>
        <v>-536.0267328442452</v>
      </c>
      <c r="H110" s="594" t="str">
        <f>IF(sezione!AA57&gt;=sezione!Z57,"Verificato","NON VERIFICATO")</f>
        <v>Verificato</v>
      </c>
      <c r="I110" s="598">
        <f t="shared" si="0"/>
        <v>12.20005093049317</v>
      </c>
      <c r="J110" s="428"/>
      <c r="K110" s="428"/>
      <c r="L110" s="428"/>
      <c r="M110" s="428"/>
    </row>
    <row r="111" spans="2:13" x14ac:dyDescent="0.25">
      <c r="B111" s="47"/>
      <c r="C111" s="227"/>
      <c r="D111" s="336"/>
      <c r="E111" s="194"/>
      <c r="F111" s="366"/>
      <c r="G111" s="293"/>
      <c r="H111" s="116"/>
      <c r="I111" s="612"/>
      <c r="J111" s="428"/>
      <c r="K111" s="428"/>
      <c r="L111" s="428"/>
      <c r="M111" s="428"/>
    </row>
    <row r="112" spans="2:13" x14ac:dyDescent="0.25">
      <c r="B112" s="47"/>
      <c r="C112" s="227"/>
      <c r="D112" s="336"/>
      <c r="E112" s="194"/>
      <c r="F112" s="366"/>
      <c r="G112" s="293"/>
      <c r="H112" s="116"/>
      <c r="I112" s="612"/>
      <c r="J112" s="428"/>
      <c r="K112" s="428"/>
      <c r="L112" s="428"/>
      <c r="M112" s="428"/>
    </row>
    <row r="113" spans="2:13" x14ac:dyDescent="0.25">
      <c r="B113" s="47"/>
      <c r="C113" s="227"/>
      <c r="D113" s="336"/>
      <c r="E113" s="194"/>
      <c r="F113" s="366"/>
      <c r="G113" s="293"/>
      <c r="H113" s="116"/>
      <c r="I113" s="612"/>
      <c r="J113" s="428"/>
      <c r="K113" s="428"/>
      <c r="L113" s="428"/>
      <c r="M113" s="428"/>
    </row>
    <row r="114" spans="2:13" x14ac:dyDescent="0.25">
      <c r="B114" s="47"/>
      <c r="C114" s="227"/>
      <c r="D114" s="336"/>
      <c r="E114" s="194"/>
      <c r="F114" s="366"/>
      <c r="G114" s="293"/>
      <c r="H114" s="116"/>
      <c r="I114" s="612"/>
      <c r="J114" s="428"/>
      <c r="K114" s="428"/>
      <c r="L114" s="428"/>
      <c r="M114" s="428"/>
    </row>
    <row r="115" spans="2:13" x14ac:dyDescent="0.25">
      <c r="B115" s="47"/>
      <c r="C115" s="227"/>
      <c r="D115" s="336"/>
      <c r="E115" s="194"/>
      <c r="F115" s="366"/>
      <c r="G115" s="293"/>
      <c r="H115" s="116"/>
      <c r="I115" s="612"/>
      <c r="J115" s="428"/>
      <c r="K115" s="428"/>
      <c r="L115" s="428"/>
      <c r="M115" s="428"/>
    </row>
    <row r="116" spans="2:13" x14ac:dyDescent="0.25">
      <c r="B116" s="47"/>
      <c r="C116" s="227"/>
      <c r="D116" s="336"/>
      <c r="E116" s="194"/>
      <c r="F116" s="366"/>
      <c r="G116" s="293"/>
      <c r="H116" s="116"/>
      <c r="I116" s="612"/>
      <c r="J116" s="428"/>
      <c r="K116" s="428"/>
      <c r="L116" s="428"/>
      <c r="M116" s="428"/>
    </row>
    <row r="117" spans="2:13" x14ac:dyDescent="0.25">
      <c r="B117" s="47"/>
      <c r="C117" s="227"/>
      <c r="D117" s="336"/>
      <c r="E117" s="194"/>
      <c r="F117" s="366"/>
      <c r="G117" s="293"/>
      <c r="H117" s="116"/>
      <c r="I117" s="612"/>
      <c r="J117" s="428"/>
      <c r="K117" s="428"/>
      <c r="L117" s="428"/>
      <c r="M117" s="428"/>
    </row>
    <row r="118" spans="2:13" x14ac:dyDescent="0.25">
      <c r="B118" s="47"/>
      <c r="C118" s="227"/>
      <c r="D118" s="336"/>
      <c r="E118" s="194"/>
      <c r="F118" s="366"/>
      <c r="G118" s="293"/>
      <c r="H118" s="116"/>
      <c r="I118" s="612"/>
      <c r="J118" s="428"/>
      <c r="K118" s="428"/>
      <c r="L118" s="428"/>
      <c r="M118" s="428"/>
    </row>
    <row r="119" spans="2:13" x14ac:dyDescent="0.25">
      <c r="B119" s="47"/>
      <c r="C119" s="227"/>
      <c r="D119" s="336"/>
      <c r="E119" s="194"/>
      <c r="F119" s="366"/>
      <c r="G119" s="293"/>
      <c r="H119" s="116"/>
      <c r="I119" s="612"/>
      <c r="J119" s="428"/>
      <c r="K119" s="428"/>
      <c r="L119" s="428"/>
      <c r="M119" s="428"/>
    </row>
    <row r="120" spans="2:13" x14ac:dyDescent="0.25">
      <c r="B120" s="47"/>
      <c r="C120" s="227"/>
      <c r="D120" s="336"/>
      <c r="E120" s="194"/>
      <c r="F120" s="366"/>
      <c r="G120" s="293"/>
      <c r="H120" s="116"/>
      <c r="I120" s="612"/>
      <c r="J120" s="428"/>
      <c r="K120" s="428"/>
      <c r="L120" s="428"/>
      <c r="M120" s="428"/>
    </row>
    <row r="121" spans="2:13" x14ac:dyDescent="0.25">
      <c r="B121" s="47"/>
      <c r="C121" s="227"/>
      <c r="D121" s="336"/>
      <c r="E121" s="194"/>
      <c r="F121" s="366"/>
      <c r="G121" s="293"/>
      <c r="H121" s="116"/>
      <c r="I121" s="612"/>
      <c r="J121" s="428"/>
      <c r="K121" s="428"/>
      <c r="L121" s="428"/>
      <c r="M121" s="428"/>
    </row>
    <row r="122" spans="2:13" x14ac:dyDescent="0.25">
      <c r="B122" s="47"/>
      <c r="C122" s="227"/>
      <c r="D122" s="336"/>
      <c r="E122" s="194"/>
      <c r="F122" s="366"/>
      <c r="G122" s="293"/>
      <c r="H122" s="116"/>
      <c r="I122" s="612"/>
      <c r="J122" s="428"/>
      <c r="K122" s="428"/>
      <c r="L122" s="428"/>
      <c r="M122" s="428"/>
    </row>
    <row r="123" spans="2:13" x14ac:dyDescent="0.25">
      <c r="B123" s="47"/>
      <c r="C123" s="227"/>
      <c r="D123" s="336"/>
      <c r="E123" s="194"/>
      <c r="F123" s="366"/>
      <c r="G123" s="293"/>
      <c r="H123" s="116"/>
      <c r="I123" s="612"/>
      <c r="J123" s="428"/>
      <c r="K123" s="428"/>
      <c r="L123" s="428"/>
      <c r="M123" s="428"/>
    </row>
    <row r="124" spans="2:13" x14ac:dyDescent="0.25">
      <c r="B124" s="47"/>
      <c r="C124" s="227"/>
      <c r="D124" s="336"/>
      <c r="E124" s="194"/>
      <c r="F124" s="366"/>
      <c r="G124" s="293"/>
      <c r="H124" s="116"/>
      <c r="I124" s="612"/>
      <c r="J124" s="428"/>
      <c r="K124" s="428"/>
      <c r="L124" s="428"/>
      <c r="M124" s="428"/>
    </row>
    <row r="125" spans="2:13" x14ac:dyDescent="0.25">
      <c r="B125" s="47"/>
      <c r="C125" s="227"/>
      <c r="D125" s="336"/>
      <c r="E125" s="194"/>
      <c r="F125" s="366"/>
      <c r="G125" s="293"/>
      <c r="H125" s="116"/>
      <c r="I125" s="612"/>
      <c r="J125" s="428"/>
      <c r="K125" s="428"/>
      <c r="L125" s="428"/>
      <c r="M125" s="428"/>
    </row>
    <row r="126" spans="2:13" x14ac:dyDescent="0.25">
      <c r="B126" s="47"/>
      <c r="C126" s="227"/>
      <c r="D126" s="336"/>
      <c r="E126" s="194"/>
      <c r="F126" s="366"/>
      <c r="G126" s="293"/>
      <c r="H126" s="116"/>
      <c r="I126" s="612"/>
      <c r="J126" s="428"/>
      <c r="K126" s="428"/>
      <c r="L126" s="428"/>
      <c r="M126" s="428"/>
    </row>
    <row r="127" spans="2:13" x14ac:dyDescent="0.25">
      <c r="B127" s="47"/>
      <c r="C127" s="227"/>
      <c r="D127" s="336"/>
      <c r="E127" s="194"/>
      <c r="F127" s="366"/>
      <c r="G127" s="293"/>
      <c r="H127" s="116"/>
      <c r="I127" s="612"/>
      <c r="J127" s="428"/>
      <c r="K127" s="428"/>
      <c r="L127" s="428"/>
      <c r="M127" s="428"/>
    </row>
    <row r="128" spans="2:13" x14ac:dyDescent="0.25">
      <c r="B128" s="428"/>
      <c r="C128" s="428"/>
      <c r="D128" s="428"/>
      <c r="E128" s="428"/>
      <c r="F128" s="428"/>
      <c r="G128" s="428"/>
      <c r="H128" s="428"/>
      <c r="I128" s="428"/>
      <c r="J128" s="428"/>
      <c r="K128" s="428"/>
      <c r="L128" s="428"/>
      <c r="M128" s="428"/>
    </row>
    <row r="129" spans="2:13" x14ac:dyDescent="0.25">
      <c r="B129" s="431" t="s">
        <v>1001</v>
      </c>
      <c r="C129" s="428"/>
      <c r="D129" s="428"/>
      <c r="E129" s="428"/>
      <c r="F129" s="428"/>
      <c r="G129" s="428"/>
      <c r="H129" s="428"/>
      <c r="I129" s="428"/>
      <c r="J129" s="428"/>
      <c r="K129" s="428"/>
      <c r="L129" s="428"/>
      <c r="M129" s="428"/>
    </row>
    <row r="130" spans="2:13" x14ac:dyDescent="0.25">
      <c r="B130" s="428"/>
      <c r="C130" s="428"/>
      <c r="D130" s="428"/>
      <c r="E130" s="428"/>
      <c r="F130" s="428"/>
      <c r="G130" s="428"/>
      <c r="H130" s="428"/>
      <c r="I130" s="428"/>
      <c r="J130" s="428"/>
      <c r="K130" s="428"/>
      <c r="L130" s="428"/>
      <c r="M130" s="428"/>
    </row>
    <row r="131" spans="2:13" x14ac:dyDescent="0.25">
      <c r="B131" s="967" t="s">
        <v>21</v>
      </c>
      <c r="C131" s="969" t="s">
        <v>993</v>
      </c>
      <c r="D131" s="963" t="s">
        <v>134</v>
      </c>
      <c r="E131" s="963" t="s">
        <v>956</v>
      </c>
      <c r="F131" s="963" t="s">
        <v>933</v>
      </c>
      <c r="G131" s="963" t="s">
        <v>934</v>
      </c>
      <c r="H131" s="963" t="s">
        <v>935</v>
      </c>
      <c r="I131" s="963" t="s">
        <v>936</v>
      </c>
      <c r="J131" s="963" t="s">
        <v>937</v>
      </c>
      <c r="K131" s="972" t="s">
        <v>1023</v>
      </c>
      <c r="L131" s="428"/>
      <c r="M131" s="428"/>
    </row>
    <row r="132" spans="2:13" x14ac:dyDescent="0.25">
      <c r="B132" s="968"/>
      <c r="C132" s="970"/>
      <c r="D132" s="963"/>
      <c r="E132" s="963"/>
      <c r="F132" s="963"/>
      <c r="G132" s="963"/>
      <c r="H132" s="963"/>
      <c r="I132" s="963"/>
      <c r="J132" s="963"/>
      <c r="K132" s="972"/>
      <c r="L132" s="428"/>
      <c r="M132" s="428"/>
    </row>
    <row r="133" spans="2:13" ht="15.75" x14ac:dyDescent="0.25">
      <c r="B133" s="529">
        <v>0</v>
      </c>
      <c r="C133" s="532">
        <f t="shared" ref="C133:C143" si="3">C100</f>
        <v>3.35</v>
      </c>
      <c r="D133" s="615">
        <f>VLOOKUP(sezione!$AA$4,sezione!$A$5:$O$247,3,FALSE)</f>
        <v>49.120433017591289</v>
      </c>
      <c r="E133" s="360">
        <f>ABS(VLOOKUP(sezione!$AA$4,sezione!$A$5:$O$247,4,FALSE)*10^-6)</f>
        <v>19.862308469651197</v>
      </c>
      <c r="F133" s="360" t="str">
        <f>IF(C7="no","",VLOOKUP(sezione!$AA$4,sezione!$A$5:$O$247,5,FALSE)*10^-6)</f>
        <v/>
      </c>
      <c r="G133" s="360">
        <f>IF(C8="no","",VLOOKUP(sezione!$AA$4,sezione!$A$5:$O$247,6,FALSE)*10^-6)</f>
        <v>20.66885912147313</v>
      </c>
      <c r="H133" s="360" t="str">
        <f>IF(C9="no","",VLOOKUP(sezione!$AA$4,sezione!$A$5:$O$247,7,FALSE)*10^-6)</f>
        <v/>
      </c>
      <c r="I133" s="360">
        <f>IF(C10="no","",VLOOKUP(sezione!$AA$4,sezione!$A$5:$O$247,8,FALSE)*10^-6)</f>
        <v>70.086412838902618</v>
      </c>
      <c r="J133" s="360">
        <f>IF(C11="no","",VLOOKUP(sezione!$AA$4,sezione!$A$5:$O$247,9,FALSE)*10^-6)</f>
        <v>50.810693044355162</v>
      </c>
      <c r="K133" s="34">
        <f t="shared" ref="K133:K143" si="4">IF(F133="",0,ABS(F133))+IF(G133="",0,ABS(G133))+IF(H133="",0,ABS(H133))+IF(I133="",0,ABS(I133))+IF(J133="",0,ABS(J133))+ABS(E133)</f>
        <v>161.42827347438211</v>
      </c>
      <c r="L133" s="577" t="str">
        <f>IF(DATI!$C$69="muro a contrafforti",IF(DATI!$G$218="dx",IF(D133&lt;=DATI!$E$62*1000,"","Aumenta spessore del paramento"),IF(sezione!AB4&lt;=((sezione!AQ27)),"","Aumenta lunghezza delle costole")),"")</f>
        <v/>
      </c>
      <c r="M133" s="428"/>
    </row>
    <row r="134" spans="2:13" ht="15.75" x14ac:dyDescent="0.25">
      <c r="B134" s="529">
        <f t="shared" ref="B134:B143" si="5">B133+1</f>
        <v>1</v>
      </c>
      <c r="C134" s="532">
        <f t="shared" si="3"/>
        <v>3.0691105769230771</v>
      </c>
      <c r="D134" s="615">
        <f>VLOOKUP(sezione!$AA$5,sezione!A253:O495,3,FALSE)</f>
        <v>49.120594390808741</v>
      </c>
      <c r="E134" s="360">
        <f>ABS(VLOOKUP(sezione!$AA$5,sezione!A253:O495,4,FALSE)*10^-6)</f>
        <v>19.862438975418012</v>
      </c>
      <c r="F134" s="360" t="str">
        <f>IF(C7="no","",VLOOKUP(sezione!$AA$5,sezione!A253:O495,5,FALSE)*10^-6)</f>
        <v/>
      </c>
      <c r="G134" s="360">
        <f>IF(C8="no","",VLOOKUP(sezione!$AA$5,sezione!A253:O495,6,FALSE)*10^-6)</f>
        <v>20.668826058283059</v>
      </c>
      <c r="H134" s="360" t="str">
        <f>IF(C9="no","",VLOOKUP(sezione!$AA$5,sezione!A253:O495,7,FALSE)*10^-6)</f>
        <v/>
      </c>
      <c r="I134" s="360">
        <f>IF(C10="no","",IF(C10="no","",VLOOKUP(sezione!$AA$5,sezione!A253:O495,8,FALSE)*10^-6))</f>
        <v>70.086373956591103</v>
      </c>
      <c r="J134" s="360">
        <f>IF(C11="no","",VLOOKUP(sezione!$AA$5,sezione!A253:O495,9,FALSE)*10^-6)</f>
        <v>50.810891633351204</v>
      </c>
      <c r="K134" s="34">
        <f t="shared" si="4"/>
        <v>161.42853062364338</v>
      </c>
      <c r="L134" s="577" t="str">
        <f>IF(DATI!$C$69="muro a contrafforti",IF(DATI!$G$218="dx",IF(D134&lt;=DATI!$E$62*1000,"","Aumenta spessore del paramento"),IF(sezione!AB5&lt;=((sezione!AQ28)),"","Aumenta lunghezza delle costole")),"")</f>
        <v/>
      </c>
      <c r="M134" s="428"/>
    </row>
    <row r="135" spans="2:13" ht="15.75" x14ac:dyDescent="0.25">
      <c r="B135" s="529">
        <f t="shared" si="5"/>
        <v>2</v>
      </c>
      <c r="C135" s="532">
        <f t="shared" si="3"/>
        <v>2.7813701923076923</v>
      </c>
      <c r="D135" s="615">
        <f>VLOOKUP(sezione!$AA$6,sezione!A501:O743,3,FALSE)</f>
        <v>49.120759699958292</v>
      </c>
      <c r="E135" s="360">
        <f>ABS(VLOOKUP(sezione!$AA$6,sezione!A501:O743,4,FALSE)*10^-6)</f>
        <v>19.862572664696849</v>
      </c>
      <c r="F135" s="360" t="str">
        <f>IF(C7="no","",VLOOKUP(sezione!$AA$6,sezione!A501:O743,5,FALSE)*10^-6)</f>
        <v/>
      </c>
      <c r="G135" s="360">
        <f>IF(C8="no","",VLOOKUP(sezione!$AA$6,sezione!A501:O743,6,FALSE)*10^-6)</f>
        <v>20.668792188673727</v>
      </c>
      <c r="H135" s="360" t="str">
        <f>IF(C9="no","",VLOOKUP(sezione!$AA$6,sezione!A501:O743,7,FALSE)*10^-6)</f>
        <v/>
      </c>
      <c r="I135" s="360">
        <f>IF(C10="no","",VLOOKUP(sezione!$AA$6,sezione!A501:O743,8,FALSE)*10^-6)</f>
        <v>70.08633412593052</v>
      </c>
      <c r="J135" s="360">
        <f>IF(C11="no","",VLOOKUP(sezione!$AA$6,sezione!A501:O743,9,FALSE)*10^-6)</f>
        <v>50.811095065981284</v>
      </c>
      <c r="K135" s="34">
        <f t="shared" si="4"/>
        <v>161.42879404528236</v>
      </c>
      <c r="L135" s="577" t="str">
        <f>IF(DATI!$C$69="muro a contrafforti",IF(DATI!$G$218="dx",IF(D135&lt;=DATI!$E$62*1000,"","Aumenta spessore del paramento"),IF(sezione!AB6&lt;=((sezione!AQ29)),"","Aumenta lunghezza delle costole")),"")</f>
        <v/>
      </c>
      <c r="M135" s="428"/>
    </row>
    <row r="136" spans="2:13" ht="15.75" x14ac:dyDescent="0.25">
      <c r="B136" s="529">
        <f t="shared" si="5"/>
        <v>3</v>
      </c>
      <c r="C136" s="532">
        <f t="shared" si="3"/>
        <v>2.5004807692307693</v>
      </c>
      <c r="D136" s="615">
        <f>VLOOKUP(sezione!$AA$7,sezione!A749:O991,3,FALSE)</f>
        <v>49.932837123972035</v>
      </c>
      <c r="E136" s="360">
        <f>ABS(VLOOKUP(sezione!$AA$7,sezione!A749:O991,4,FALSE)*10^-6)</f>
        <v>20.524748055397581</v>
      </c>
      <c r="F136" s="360" t="str">
        <f>IF(C7="no","",VLOOKUP(sezione!$AA$7,sezione!A749:O991,5,FALSE)*10^-6)</f>
        <v/>
      </c>
      <c r="G136" s="360">
        <f>IF(C8="no","",VLOOKUP(sezione!$AA$7,sezione!A749:O991,6,FALSE)*10^-6)</f>
        <v>15.376806379413722</v>
      </c>
      <c r="H136" s="360" t="str">
        <f>IF(C9="no","",VLOOKUP(sezione!$AA$7,sezione!A749:O991,7,FALSE)*10^-6)</f>
        <v/>
      </c>
      <c r="I136" s="360">
        <f>IF(C10="no","",VLOOKUP(sezione!$AA$7,sezione!A749:O991,8,FALSE)*10^-6)</f>
        <v>69.890666914970936</v>
      </c>
      <c r="J136" s="360">
        <f>IF(C11="no","",VLOOKUP(sezione!$AA$7,sezione!A749:O991,9,FALSE)*10^-6)</f>
        <v>66.110256752756584</v>
      </c>
      <c r="K136" s="34">
        <f t="shared" si="4"/>
        <v>171.90247810253885</v>
      </c>
      <c r="L136" s="577" t="str">
        <f>IF(DATI!$C$69="muro a contrafforti",IF(DATI!$G$218="dx",IF(D136&lt;=DATI!$E$62*1000,"","Aumenta spessore del paramento"),IF(sezione!AB7&lt;=((sezione!AQ30)),"","Aumenta lunghezza delle costole")),"")</f>
        <v/>
      </c>
      <c r="M136" s="428"/>
    </row>
    <row r="137" spans="2:13" ht="15.75" x14ac:dyDescent="0.25">
      <c r="B137" s="529">
        <f t="shared" si="5"/>
        <v>4</v>
      </c>
      <c r="C137" s="532">
        <f t="shared" si="3"/>
        <v>2.212740384615385</v>
      </c>
      <c r="D137" s="615">
        <f>VLOOKUP(sezione!$AA$8,sezione!A997:O1239,3,FALSE)</f>
        <v>49.933005165504248</v>
      </c>
      <c r="E137" s="360">
        <f>ABS(VLOOKUP(sezione!$AA$8,sezione!A997:O1239,4,FALSE)*10^-6)</f>
        <v>20.524886201600111</v>
      </c>
      <c r="F137" s="360" t="str">
        <f>IF(C7="no","",VLOOKUP(sezione!$AA$8,sezione!A997:O1239,5,FALSE)*10^-6)</f>
        <v/>
      </c>
      <c r="G137" s="360">
        <f>IF(C8="no","",VLOOKUP(sezione!$AA$8,sezione!A997:O1239,6,FALSE)*10^-6)</f>
        <v>15.376780557335524</v>
      </c>
      <c r="H137" s="360" t="str">
        <f>IF(C9="no","",VLOOKUP(sezione!$AA$8,sezione!A997:O1239,7,FALSE)*10^-6)</f>
        <v/>
      </c>
      <c r="I137" s="360">
        <f>IF(C10="no","",VLOOKUP(sezione!$AA$8,sezione!A997:O1239,8,FALSE)*10^-6)</f>
        <v>69.890626425952306</v>
      </c>
      <c r="J137" s="360">
        <f>IF(C11="no","",VLOOKUP(sezione!$AA$8,sezione!A997:O1239,9,FALSE)*10^-6)</f>
        <v>66.110521600785404</v>
      </c>
      <c r="K137" s="34">
        <f t="shared" si="4"/>
        <v>171.90281478567334</v>
      </c>
      <c r="L137" s="577" t="str">
        <f>IF(DATI!$C$69="muro a contrafforti",IF(DATI!$G$218="dx",IF(D137&lt;=DATI!$E$62*1000,"","Aumenta spessore del paramento"),IF(sezione!AB8&lt;=((sezione!AQ31)),"","Aumenta lunghezza delle costole")),"")</f>
        <v/>
      </c>
      <c r="M137" s="428"/>
    </row>
    <row r="138" spans="2:13" ht="15.75" x14ac:dyDescent="0.25">
      <c r="B138" s="529">
        <f t="shared" si="5"/>
        <v>5</v>
      </c>
      <c r="C138" s="532">
        <f t="shared" si="3"/>
        <v>1.925</v>
      </c>
      <c r="D138" s="615">
        <f>VLOOKUP(sezione!$AA$9,sezione!A1245:O1487,3,FALSE)</f>
        <v>67.795446549390931</v>
      </c>
      <c r="E138" s="360">
        <f>ABS(VLOOKUP(sezione!$AA$9,sezione!A1245:O1487,4,FALSE)*10^-6)</f>
        <v>37.836103116454034</v>
      </c>
      <c r="F138" s="360" t="str">
        <f>IF(C7="no","",VLOOKUP(sezione!$AA$9,sezione!A1245:O1487,5,FALSE)*10^-6)</f>
        <v/>
      </c>
      <c r="G138" s="360">
        <f>IF(C8="no","",VLOOKUP(sezione!$AA$9,sezione!A1245:O1487,6,FALSE)*10^-6)</f>
        <v>12.631951037546557</v>
      </c>
      <c r="H138" s="360" t="str">
        <f>IF(C9="no","",VLOOKUP(sezione!$AA$9,sezione!A1245:O1487,7,FALSE)*10^-6)</f>
        <v/>
      </c>
      <c r="I138" s="360">
        <f>IF(C10="no","",VLOOKUP(sezione!$AA$9,sezione!A1245:O1487,8,FALSE)*10^-6)</f>
        <v>85.664305291654827</v>
      </c>
      <c r="J138" s="360">
        <f>IF(C11="no","",VLOOKUP(sezione!$AA$9,sezione!A1245:O1487,9,FALSE)*10^-6)</f>
        <v>94.514731993597735</v>
      </c>
      <c r="K138" s="34">
        <f t="shared" si="4"/>
        <v>230.64709143925316</v>
      </c>
      <c r="L138" s="577" t="str">
        <f>IF(DATI!$C$69="muro a contrafforti",IF(DATI!$G$218="dx",IF(D138&lt;=DATI!$E$62*1000,"","Aumenta spessore del paramento"),IF(sezione!AB9&lt;=((sezione!AQ32)),"","Aumenta lunghezza delle costole")),"")</f>
        <v/>
      </c>
      <c r="M138" s="428"/>
    </row>
    <row r="139" spans="2:13" ht="15.75" x14ac:dyDescent="0.25">
      <c r="B139" s="529">
        <f t="shared" si="5"/>
        <v>6</v>
      </c>
      <c r="C139" s="532">
        <f t="shared" si="3"/>
        <v>1.644110576923077</v>
      </c>
      <c r="D139" s="615">
        <f>VLOOKUP(sezione!$AA$10,sezione!A1493:O1735,3,FALSE)</f>
        <v>67.795669271104259</v>
      </c>
      <c r="E139" s="360">
        <f>ABS(VLOOKUP(sezione!$AA$10,sezione!A1493:O1735,4,FALSE)*10^-6)</f>
        <v>37.836351715319672</v>
      </c>
      <c r="F139" s="360" t="str">
        <f>IF(C7="no","",VLOOKUP(sezione!$AA$10,sezione!A1493:O1735,5,FALSE)*10^-6)</f>
        <v/>
      </c>
      <c r="G139" s="360">
        <f>IF(C8="no","",VLOOKUP(sezione!$AA$10,sezione!A1493:O1735,6,FALSE)*10^-6)</f>
        <v>12.631916813046091</v>
      </c>
      <c r="H139" s="360" t="str">
        <f>IF(C9="no","",VLOOKUP(sezione!$AA$10,sezione!A1493:O1735,7,FALSE)*10^-6)</f>
        <v/>
      </c>
      <c r="I139" s="360">
        <f>IF(C10="no","",VLOOKUP(sezione!$AA$10,sezione!A1493:O1735,8,FALSE)*10^-6)</f>
        <v>85.664235199877865</v>
      </c>
      <c r="J139" s="360">
        <f>IF(C11="no","",VLOOKUP(sezione!$AA$10,sezione!A1493:O1735,9,FALSE)*10^-6)</f>
        <v>94.515107110517789</v>
      </c>
      <c r="K139" s="34">
        <f t="shared" si="4"/>
        <v>230.64761083876141</v>
      </c>
      <c r="L139" s="577" t="str">
        <f>IF(DATI!$C$69="muro a contrafforti",IF(DATI!$G$218="dx",IF(D139&lt;=DATI!$E$62*1000,"","Aumenta spessore del paramento"),IF(sezione!AB10&lt;=((sezione!AQ33)),"","Aumenta lunghezza delle costole")),"")</f>
        <v/>
      </c>
      <c r="M139" s="428"/>
    </row>
    <row r="140" spans="2:13" ht="15.75" x14ac:dyDescent="0.25">
      <c r="B140" s="529">
        <f t="shared" si="5"/>
        <v>7</v>
      </c>
      <c r="C140" s="532">
        <f t="shared" si="3"/>
        <v>1.3563701923076925</v>
      </c>
      <c r="D140" s="615">
        <f>VLOOKUP(sezione!$AA$11,sezione!A1741:O1983,3,FALSE)</f>
        <v>101.08490095112916</v>
      </c>
      <c r="E140" s="360">
        <f>ABS(VLOOKUP(sezione!$AA$11,sezione!A1741:O1983,4,FALSE)*10^-6)</f>
        <v>84.115867620508524</v>
      </c>
      <c r="F140" s="360" t="str">
        <f>IF(C7="no","",VLOOKUP(sezione!$AA$11,sezione!A1741:O1983,5,FALSE)*10^-6)</f>
        <v/>
      </c>
      <c r="G140" s="360">
        <f>IF(C8="no","",VLOOKUP(sezione!$AA$11,sezione!A1741:O1983,6,FALSE)*10^-6)</f>
        <v>6.7018504907686491</v>
      </c>
      <c r="H140" s="360" t="str">
        <f>IF(C9="no","",VLOOKUP(sezione!$AA$11,sezione!A1741:O1983,7,FALSE)*10^-6)</f>
        <v/>
      </c>
      <c r="I140" s="360">
        <f>IF(C10="no","",VLOOKUP(sezione!$AA$11,sezione!A1741:O1983,8,FALSE)*10^-6)</f>
        <v>95.159719596979485</v>
      </c>
      <c r="J140" s="360">
        <f>IF(C11="no","",VLOOKUP(sezione!$AA$11,sezione!A1741:O1983,9,FALSE)*10^-6)</f>
        <v>141.83566403894</v>
      </c>
      <c r="K140" s="34">
        <f t="shared" si="4"/>
        <v>327.81310174719664</v>
      </c>
      <c r="L140" s="577" t="str">
        <f>IF(DATI!$C$69="muro a contrafforti",IF(DATI!$G$218="dx",IF(D140&lt;=DATI!$E$62*1000,"","Aumenta spessore del paramento"),IF(sezione!AB11&lt;=((sezione!AQ34)),"","Aumenta lunghezza delle costole")),"")</f>
        <v/>
      </c>
      <c r="M140" s="428"/>
    </row>
    <row r="141" spans="2:13" ht="15.75" x14ac:dyDescent="0.25">
      <c r="B141" s="529">
        <f t="shared" si="5"/>
        <v>8</v>
      </c>
      <c r="C141" s="532">
        <f t="shared" si="3"/>
        <v>1.0754807692307695</v>
      </c>
      <c r="D141" s="615">
        <f>VLOOKUP(sezione!$AA$12,sezione!A1989:O2231,3,FALSE)</f>
        <v>101.08523303320473</v>
      </c>
      <c r="E141" s="360">
        <f>ABS(VLOOKUP(sezione!$AA$12,sezione!A1989:O2231,4,FALSE)*10^-6)</f>
        <v>84.116420292916146</v>
      </c>
      <c r="F141" s="360" t="str">
        <f>IF(C7="no","",VLOOKUP(sezione!$AA$12,sezione!A1989:O2231,5,FALSE)*10^-6)</f>
        <v/>
      </c>
      <c r="G141" s="360">
        <f>IF(C8="no","",VLOOKUP(sezione!$AA$12,sezione!A1989:O2231,6,FALSE)*10^-6)</f>
        <v>6.7017374776327081</v>
      </c>
      <c r="H141" s="360" t="str">
        <f>IF(C9="no","",VLOOKUP(sezione!$AA$12,sezione!A1989:O2231,7,FALSE)*10^-6)</f>
        <v/>
      </c>
      <c r="I141" s="360">
        <f>IF(C10="no","",VLOOKUP(sezione!$AA$12,sezione!A1989:O2231,8,FALSE)*10^-6)</f>
        <v>95.159587328917226</v>
      </c>
      <c r="J141" s="360">
        <f>IF(C11="no","",VLOOKUP(sezione!$AA$12,sezione!A1989:O2231,9,FALSE)*10^-6)</f>
        <v>141.83624727361286</v>
      </c>
      <c r="K141" s="34">
        <f t="shared" si="4"/>
        <v>327.81399237307892</v>
      </c>
      <c r="L141" s="577" t="str">
        <f>IF(DATI!$C$69="muro a contrafforti",IF(DATI!$G$218="dx",IF(D141&lt;=DATI!$E$62*1000,"","Aumenta spessore del paramento"),IF(sezione!AB12&lt;=((sezione!AQ35)),"","Aumenta lunghezza delle costole")),"")</f>
        <v/>
      </c>
      <c r="M141" s="428"/>
    </row>
    <row r="142" spans="2:13" ht="15.75" x14ac:dyDescent="0.25">
      <c r="B142" s="529">
        <f t="shared" si="5"/>
        <v>9</v>
      </c>
      <c r="C142" s="532">
        <f t="shared" si="3"/>
        <v>0.78774038461538476</v>
      </c>
      <c r="D142" s="615">
        <f>VLOOKUP(sezione!$AA$13,sezione!A2237:O2479,3,FALSE)</f>
        <v>170.09981998802934</v>
      </c>
      <c r="E142" s="360">
        <f>ABS(VLOOKUP(sezione!$AA$13,sezione!A2237:O2479,4,FALSE)*10^-6)</f>
        <v>238.18425924784293</v>
      </c>
      <c r="F142" s="360" t="str">
        <f>IF(C7="no","",VLOOKUP(sezione!$AA$13,sezione!A2237:O2479,5,FALSE)*10^-6)</f>
        <v/>
      </c>
      <c r="G142" s="360">
        <f>IF(C8="no","",VLOOKUP(sezione!$AA$13,sezione!A2237:O2479,6,FALSE)*10^-6)</f>
        <v>-0.67247420827672733</v>
      </c>
      <c r="H142" s="360" t="str">
        <f>IF(C9="no","",VLOOKUP(sezione!$AA$13,sezione!A2237:O2479,7,FALSE)*10^-6)</f>
        <v/>
      </c>
      <c r="I142" s="360">
        <f>IF(C10="no","",VLOOKUP(sezione!$AA$13,sezione!A2237:O2479,8,FALSE)*10^-6)</f>
        <v>151.63344635870828</v>
      </c>
      <c r="J142" s="360">
        <f>IF(C11="no","",VLOOKUP(sezione!$AA$13,sezione!A2237:O2479,9,FALSE)*10^-6)</f>
        <v>145.53449920817656</v>
      </c>
      <c r="K142" s="34">
        <f t="shared" si="4"/>
        <v>536.02467902300441</v>
      </c>
      <c r="L142" s="577" t="str">
        <f>IF(DATI!$C$69="muro a contrafforti",IF(DATI!$G$218="dx",IF(D142&lt;=DATI!$E$62*1000,"","Aumenta spessore del paramento"),IF(sezione!AB13&lt;=((sezione!AQ36)),"","Aumenta lunghezza delle costole")),"")</f>
        <v/>
      </c>
      <c r="M142" s="428"/>
    </row>
    <row r="143" spans="2:13" ht="15.75" x14ac:dyDescent="0.25">
      <c r="B143" s="529">
        <f t="shared" si="5"/>
        <v>10</v>
      </c>
      <c r="C143" s="532">
        <f t="shared" si="3"/>
        <v>0.5</v>
      </c>
      <c r="D143" s="615">
        <f>VLOOKUP(sezione!$AA$14,sezione!A2485:O2727,3,FALSE)</f>
        <v>170.1003924221919</v>
      </c>
      <c r="E143" s="360">
        <f>ABS(VLOOKUP(sezione!$AA$14,sezione!A2485:O2727,4,FALSE)*10^-6)</f>
        <v>238.18586236578165</v>
      </c>
      <c r="F143" s="360" t="str">
        <f>IF(C7="no","",VLOOKUP(sezione!$AA$14,sezione!A2485:O2727,5,FALSE)*10^-6)</f>
        <v/>
      </c>
      <c r="G143" s="360">
        <f>IF(C8="no","",VLOOKUP(sezione!$AA$14,sezione!A2485:O2727,6,FALSE)*10^-6)</f>
        <v>-0.67251024918237912</v>
      </c>
      <c r="H143" s="360" t="str">
        <f>IF(C9="no","",VLOOKUP(sezione!$AA$14,sezione!A2485:O2727,7,FALSE)*10^-6)</f>
        <v/>
      </c>
      <c r="I143" s="360">
        <f>IF(C10="no","",VLOOKUP(sezione!$AA$14,sezione!A2485:O2727,8,FALSE)*10^-6)</f>
        <v>151.63293546952104</v>
      </c>
      <c r="J143" s="360">
        <f>IF(C11="no","",VLOOKUP(sezione!$AA$14,sezione!A2485:O2727,9,FALSE)*10^-6)</f>
        <v>145.53542475976013</v>
      </c>
      <c r="K143" s="34">
        <f t="shared" si="4"/>
        <v>536.0267328442452</v>
      </c>
      <c r="L143" s="577" t="str">
        <f>IF(DATI!$C$69="muro a contrafforti",IF(DATI!$G$218="dx",IF(D143&lt;=DATI!$E$62*1000,"","Aumenta spessore del paramento"),IF(sezione!AB14&lt;=((sezione!AQ37)),"","Aumenta lunghezza delle costole")),"")</f>
        <v/>
      </c>
      <c r="M143" s="428"/>
    </row>
    <row r="144" spans="2:13" x14ac:dyDescent="0.25">
      <c r="B144" s="428"/>
      <c r="C144" s="428"/>
      <c r="D144" s="428"/>
      <c r="E144" s="428"/>
      <c r="F144" s="428"/>
      <c r="G144" s="428"/>
      <c r="H144" s="428"/>
      <c r="I144" s="428"/>
      <c r="J144" s="428"/>
      <c r="K144" s="428"/>
      <c r="L144" s="428"/>
      <c r="M144" s="428"/>
    </row>
    <row r="145" spans="2:13" x14ac:dyDescent="0.25">
      <c r="B145" s="431" t="s">
        <v>1002</v>
      </c>
      <c r="C145" s="428"/>
      <c r="D145" s="428"/>
      <c r="E145" s="428"/>
      <c r="F145" s="428"/>
      <c r="G145" s="428"/>
      <c r="H145" s="428"/>
      <c r="I145" s="428"/>
      <c r="J145" s="428"/>
      <c r="K145" s="428"/>
      <c r="L145" s="428"/>
      <c r="M145" s="428"/>
    </row>
    <row r="146" spans="2:13" x14ac:dyDescent="0.25">
      <c r="B146" s="599" t="s">
        <v>990</v>
      </c>
      <c r="C146" s="428"/>
      <c r="D146" s="428"/>
      <c r="E146" s="428"/>
      <c r="F146" s="428"/>
      <c r="G146" s="428"/>
      <c r="H146" s="428"/>
      <c r="I146" s="428"/>
      <c r="J146" s="428"/>
      <c r="K146" s="428"/>
      <c r="L146" s="428"/>
      <c r="M146" s="428"/>
    </row>
    <row r="147" spans="2:13" x14ac:dyDescent="0.25">
      <c r="B147" s="599" t="s">
        <v>988</v>
      </c>
      <c r="C147" s="428"/>
      <c r="D147" s="428"/>
      <c r="E147" s="428"/>
      <c r="F147" s="428"/>
      <c r="G147" s="428"/>
      <c r="H147" s="428"/>
      <c r="I147" s="428"/>
      <c r="J147" s="428"/>
      <c r="K147" s="428"/>
      <c r="L147" s="428"/>
      <c r="M147" s="428"/>
    </row>
    <row r="148" spans="2:13" x14ac:dyDescent="0.25">
      <c r="B148" s="599" t="s">
        <v>987</v>
      </c>
      <c r="C148" s="428"/>
      <c r="D148" s="428"/>
      <c r="E148" s="428"/>
      <c r="F148" s="428"/>
      <c r="G148" s="428"/>
      <c r="H148" s="428"/>
      <c r="I148" s="428"/>
      <c r="J148" s="428"/>
      <c r="K148" s="428"/>
      <c r="L148" s="428"/>
      <c r="M148" s="428"/>
    </row>
    <row r="149" spans="2:13" x14ac:dyDescent="0.25">
      <c r="B149" s="599" t="s">
        <v>1024</v>
      </c>
      <c r="C149" s="428"/>
      <c r="D149" s="428"/>
      <c r="E149" s="428"/>
      <c r="F149" s="428"/>
      <c r="G149" s="428"/>
      <c r="H149" s="428"/>
      <c r="I149" s="428"/>
      <c r="J149" s="428"/>
      <c r="K149" s="428"/>
      <c r="L149" s="428"/>
      <c r="M149" s="428"/>
    </row>
    <row r="150" spans="2:13" x14ac:dyDescent="0.25">
      <c r="B150" s="428"/>
      <c r="C150" s="428"/>
      <c r="D150" s="428"/>
      <c r="E150" s="428"/>
      <c r="F150" s="428"/>
      <c r="G150" s="428"/>
      <c r="H150" s="428"/>
      <c r="I150" s="428"/>
      <c r="J150" s="428"/>
      <c r="K150" s="428"/>
      <c r="L150" s="428"/>
      <c r="M150" s="143"/>
    </row>
    <row r="151" spans="2:13" x14ac:dyDescent="0.25">
      <c r="B151" s="967" t="s">
        <v>21</v>
      </c>
      <c r="C151" s="969" t="s">
        <v>993</v>
      </c>
      <c r="D151" s="963" t="s">
        <v>134</v>
      </c>
      <c r="E151" s="963" t="s">
        <v>23</v>
      </c>
      <c r="F151" s="963" t="s">
        <v>928</v>
      </c>
      <c r="G151" s="971" t="s">
        <v>923</v>
      </c>
      <c r="H151" s="971" t="s">
        <v>924</v>
      </c>
      <c r="I151" s="971" t="s">
        <v>925</v>
      </c>
      <c r="J151" s="971" t="s">
        <v>926</v>
      </c>
      <c r="K151" s="971" t="s">
        <v>927</v>
      </c>
      <c r="L151" s="428"/>
      <c r="M151" s="569"/>
    </row>
    <row r="152" spans="2:13" x14ac:dyDescent="0.25">
      <c r="B152" s="968"/>
      <c r="C152" s="970"/>
      <c r="D152" s="963"/>
      <c r="E152" s="963"/>
      <c r="F152" s="963"/>
      <c r="G152" s="971"/>
      <c r="H152" s="971"/>
      <c r="I152" s="971"/>
      <c r="J152" s="971"/>
      <c r="K152" s="971"/>
      <c r="L152" s="428"/>
      <c r="M152" s="570"/>
    </row>
    <row r="153" spans="2:13" x14ac:dyDescent="0.25">
      <c r="B153" s="529">
        <v>0</v>
      </c>
      <c r="C153" s="532">
        <f t="shared" ref="C153:D163" si="6">C133</f>
        <v>3.35</v>
      </c>
      <c r="D153" s="614">
        <f t="shared" si="6"/>
        <v>49.120433017591289</v>
      </c>
      <c r="E153" s="556">
        <f>'Progetto del paramento slu'!D154*1000</f>
        <v>300</v>
      </c>
      <c r="F153" s="556">
        <f t="shared" ref="F153:F163" si="7">E153-$E$40</f>
        <v>260</v>
      </c>
      <c r="G153" s="575" t="str">
        <f>IF(C7="no","",VLOOKUP(sezione!$AA$4,sezione!$A$5:$O$247,11,FALSE))</f>
        <v/>
      </c>
      <c r="H153" s="575">
        <f>IF(C8="no","",VLOOKUP(sezione!$AA$4,sezione!$A$5:$O$247,12,FALSE))</f>
        <v>7.1880165289256309E-3</v>
      </c>
      <c r="I153" s="575" t="str">
        <f>IF(C9="no","",VLOOKUP(sezione!$AA$4,sezione!$A$5:$O$247,13,FALSE))</f>
        <v/>
      </c>
      <c r="J153" s="575">
        <f>IF(C10="no","",VLOOKUP(sezione!$AA$4,sezione!$A$5:$O$247,14,FALSE))</f>
        <v>2.0726170798898099E-2</v>
      </c>
      <c r="K153" s="575">
        <f>IF(C11="no","",VLOOKUP(sezione!$AA$4,sezione!$A$5:$O$247,15,FALSE))</f>
        <v>1.5025895316804427E-2</v>
      </c>
      <c r="L153" s="32"/>
      <c r="M153" s="138"/>
    </row>
    <row r="154" spans="2:13" x14ac:dyDescent="0.25">
      <c r="B154" s="529">
        <f t="shared" ref="B154:B163" si="8">B153+1</f>
        <v>1</v>
      </c>
      <c r="C154" s="532">
        <f t="shared" si="6"/>
        <v>3.0691105769230771</v>
      </c>
      <c r="D154" s="615">
        <f t="shared" si="6"/>
        <v>49.120594390808741</v>
      </c>
      <c r="E154" s="556">
        <f>'Progetto del paramento slu'!D155*1000</f>
        <v>300.00098557692309</v>
      </c>
      <c r="F154" s="556">
        <f t="shared" si="7"/>
        <v>260.00098557692309</v>
      </c>
      <c r="G154" s="575" t="str">
        <f>IF(C7="no","",VLOOKUP(sezione!$AA$5,sezione!A253:O495,11,FALSE))</f>
        <v/>
      </c>
      <c r="H154" s="575">
        <f>IF(C8="no","",VLOOKUP(sezione!$AA$5,sezione!A253:O495,12,FALSE))</f>
        <v>7.1879814161661688E-3</v>
      </c>
      <c r="I154" s="575" t="str">
        <f>IF(C9="no","",VLOOKUP(sezione!$AA$5,sezione!A253:O495,13,FALSE))</f>
        <v/>
      </c>
      <c r="J154" s="575">
        <f>IF(C10="no","",VLOOKUP(sezione!$AA$5,sezione!A253:O495,14,FALSE))</f>
        <v>2.0726091209976653E-2</v>
      </c>
      <c r="K154" s="575">
        <f>IF(C11="no","",VLOOKUP(sezione!$AA$5,sezione!A253:O495,15,FALSE))</f>
        <v>1.5025904680206948E-2</v>
      </c>
      <c r="L154" s="32"/>
      <c r="M154" s="138"/>
    </row>
    <row r="155" spans="2:13" x14ac:dyDescent="0.25">
      <c r="B155" s="529">
        <f t="shared" si="8"/>
        <v>2</v>
      </c>
      <c r="C155" s="532">
        <f t="shared" si="6"/>
        <v>2.7813701923076923</v>
      </c>
      <c r="D155" s="615">
        <f t="shared" si="6"/>
        <v>49.120759699958292</v>
      </c>
      <c r="E155" s="556">
        <f>'Progetto del paramento slu'!D156*1000</f>
        <v>300.00199519230762</v>
      </c>
      <c r="F155" s="556">
        <f t="shared" si="7"/>
        <v>260.00199519230762</v>
      </c>
      <c r="G155" s="575" t="str">
        <f>IF(C7="no","",VLOOKUP(sezione!$AA$6,sezione!A501:O743,11,FALSE))</f>
        <v/>
      </c>
      <c r="H155" s="575">
        <f>IF(C8="no","",VLOOKUP(sezione!$AA$6,sezione!A501:O743,12,FALSE))</f>
        <v>7.1879454472371642E-3</v>
      </c>
      <c r="I155" s="575" t="str">
        <f>IF(C9="no","",VLOOKUP(sezione!$AA$6,sezione!A501:O743,13,FALSE))</f>
        <v/>
      </c>
      <c r="J155" s="575">
        <f>IF(C10="no","",VLOOKUP(sezione!$AA$6,sezione!A501:O743,14,FALSE))</f>
        <v>2.072600968040424E-2</v>
      </c>
      <c r="K155" s="575">
        <f>IF(C11="no","",VLOOKUP(sezione!$AA$6,sezione!A501:O743,15,FALSE))</f>
        <v>1.5025914271921357E-2</v>
      </c>
      <c r="L155" s="428"/>
      <c r="M155" s="428"/>
    </row>
    <row r="156" spans="2:13" x14ac:dyDescent="0.25">
      <c r="B156" s="529">
        <f t="shared" si="8"/>
        <v>3</v>
      </c>
      <c r="C156" s="532">
        <f t="shared" si="6"/>
        <v>2.5004807692307693</v>
      </c>
      <c r="D156" s="615">
        <f t="shared" si="6"/>
        <v>49.932837123972035</v>
      </c>
      <c r="E156" s="556">
        <f>'Progetto del paramento slu'!D157*1000</f>
        <v>300.0029807692307</v>
      </c>
      <c r="F156" s="556">
        <f t="shared" si="7"/>
        <v>260.0029807692307</v>
      </c>
      <c r="G156" s="575" t="str">
        <f>IF(C7="no","",VLOOKUP(sezione!$AA$7,sezione!A749:O991,11,FALSE))</f>
        <v/>
      </c>
      <c r="H156" s="575">
        <f>IF(C8="no","",IF(C8="no","",VLOOKUP(sezione!$AA$7,sezione!A749:O991,12,FALSE)))</f>
        <v>7.0141231750269423E-3</v>
      </c>
      <c r="I156" s="575" t="str">
        <f>IF(C9="no","",VLOOKUP(sezione!$AA$7,sezione!A749:O991,13,FALSE))</f>
        <v/>
      </c>
      <c r="J156" s="575">
        <f>IF(C10="no","",VLOOKUP(sezione!$AA$7,sezione!A749:O991,14,FALSE))</f>
        <v>2.0332012530061068E-2</v>
      </c>
      <c r="K156" s="575">
        <f>IF(C11="no","",VLOOKUP(sezione!$AA$7,sezione!A749:O991,15,FALSE))</f>
        <v>1.4724689104545685E-2</v>
      </c>
      <c r="L156" s="428"/>
      <c r="M156" s="428"/>
    </row>
    <row r="157" spans="2:13" x14ac:dyDescent="0.25">
      <c r="B157" s="529">
        <f t="shared" si="8"/>
        <v>4</v>
      </c>
      <c r="C157" s="532">
        <f t="shared" si="6"/>
        <v>2.212740384615385</v>
      </c>
      <c r="D157" s="615">
        <f t="shared" si="6"/>
        <v>49.933005165504248</v>
      </c>
      <c r="E157" s="556">
        <f>'Progetto del paramento slu'!D158*1000</f>
        <v>300.00399038461529</v>
      </c>
      <c r="F157" s="556">
        <f t="shared" si="7"/>
        <v>260.00399038461529</v>
      </c>
      <c r="G157" s="575" t="str">
        <f>IF(C7="no","",VLOOKUP(sezione!$AA$8,sezione!A997:O1239,11,FALSE))</f>
        <v/>
      </c>
      <c r="H157" s="575">
        <f>IF(C8="no","",VLOOKUP(sezione!$AA$8,sezione!A997:O1239,12,FALSE))</f>
        <v>7.0140877914292125E-3</v>
      </c>
      <c r="I157" s="575" t="str">
        <f>IF(C9="no","",VLOOKUP(sezione!$AA$8,sezione!A997:O1239,13,FALSE))</f>
        <v/>
      </c>
      <c r="J157" s="575">
        <f>IF(C10="no","",VLOOKUP(sezione!$AA$8,sezione!A997:O1239,14,FALSE))</f>
        <v>2.0331932327239545E-2</v>
      </c>
      <c r="K157" s="575">
        <f>IF(C11="no","",VLOOKUP(sezione!$AA$8,sezione!A997:O1239,15,FALSE))</f>
        <v>1.4724698540171745E-2</v>
      </c>
      <c r="L157" s="428"/>
      <c r="M157" s="428"/>
    </row>
    <row r="158" spans="2:13" x14ac:dyDescent="0.25">
      <c r="B158" s="529">
        <f t="shared" si="8"/>
        <v>5</v>
      </c>
      <c r="C158" s="532">
        <f t="shared" si="6"/>
        <v>1.925</v>
      </c>
      <c r="D158" s="615">
        <f t="shared" si="6"/>
        <v>67.795446549390931</v>
      </c>
      <c r="E158" s="556">
        <f>'Progetto del paramento slu'!D159*1000</f>
        <v>300.00499999999988</v>
      </c>
      <c r="F158" s="556">
        <f t="shared" si="7"/>
        <v>260.00499999999988</v>
      </c>
      <c r="G158" s="575" t="str">
        <f>IF(C7="no","",VLOOKUP(sezione!$AA$9,sezione!A1245:O1487,11,FALSE))</f>
        <v/>
      </c>
      <c r="H158" s="575">
        <f>IF(C8="no","",VLOOKUP(sezione!$AA$9,sezione!A1245:O1487,12,FALSE))</f>
        <v>4.2438829113327307E-3</v>
      </c>
      <c r="I158" s="575" t="str">
        <f>IF(C9="no","",VLOOKUP(sezione!$AA$9,sezione!A1245:O1487,13,FALSE))</f>
        <v/>
      </c>
      <c r="J158" s="575">
        <f>IF(C10="no","",VLOOKUP(sezione!$AA$9,sezione!A1245:O1487,14,FALSE))</f>
        <v>1.4052801265687524E-2</v>
      </c>
      <c r="K158" s="575">
        <f>IF(C11="no","",VLOOKUP(sezione!$AA$9,sezione!A1245:O1487,15,FALSE))</f>
        <v>9.9229885090737716E-3</v>
      </c>
      <c r="L158" s="428"/>
      <c r="M158" s="428"/>
    </row>
    <row r="159" spans="2:13" x14ac:dyDescent="0.25">
      <c r="B159" s="529">
        <f t="shared" si="8"/>
        <v>6</v>
      </c>
      <c r="C159" s="532">
        <f t="shared" si="6"/>
        <v>1.644110576923077</v>
      </c>
      <c r="D159" s="615">
        <f t="shared" si="6"/>
        <v>67.795669271104259</v>
      </c>
      <c r="E159" s="556">
        <f>'Progetto del paramento slu'!D160*1000</f>
        <v>300.00598557692291</v>
      </c>
      <c r="F159" s="556">
        <f t="shared" si="7"/>
        <v>260.00598557692291</v>
      </c>
      <c r="G159" s="575" t="str">
        <f>IF(C7="no","",VLOOKUP(sezione!$AA$10,sezione!A1493:O1735,11,FALSE))</f>
        <v/>
      </c>
      <c r="H159" s="575">
        <f>IF(C8="no","",VLOOKUP(sezione!$AA$10,sezione!A1493:O1735,12,FALSE))</f>
        <v>4.2438574711993367E-3</v>
      </c>
      <c r="I159" s="575" t="str">
        <f>IF(C9="no","",VLOOKUP(sezione!$AA$10,sezione!A1493:O1735,13,FALSE))</f>
        <v/>
      </c>
      <c r="J159" s="575">
        <f>IF(C10="no","",VLOOKUP(sezione!$AA$10,sezione!A1493:O1735,14,FALSE))</f>
        <v>1.4052743601385163E-2</v>
      </c>
      <c r="K159" s="575">
        <f>IF(C11="no","",VLOOKUP(sezione!$AA$10,sezione!A1493:O1735,15,FALSE))</f>
        <v>9.9229952931093428E-3</v>
      </c>
      <c r="L159" s="428"/>
      <c r="M159" s="428"/>
    </row>
    <row r="160" spans="2:13" x14ac:dyDescent="0.25">
      <c r="B160" s="529">
        <f t="shared" si="8"/>
        <v>7</v>
      </c>
      <c r="C160" s="532">
        <f t="shared" si="6"/>
        <v>1.3563701923076925</v>
      </c>
      <c r="D160" s="615">
        <f t="shared" si="6"/>
        <v>101.08490095112916</v>
      </c>
      <c r="E160" s="556">
        <f>'Progetto del paramento slu'!D161*1000</f>
        <v>300.0069951923075</v>
      </c>
      <c r="F160" s="556">
        <f t="shared" si="7"/>
        <v>260.0069951923075</v>
      </c>
      <c r="G160" s="575" t="str">
        <f>IF(C7="no","",VLOOKUP(sezione!$AA$11,sezione!A1741:O1983,11,FALSE))</f>
        <v/>
      </c>
      <c r="H160" s="575">
        <f>IF(C8="no","",VLOOKUP(sezione!$AA$11,sezione!A1741:O1983,12,FALSE))</f>
        <v>1.6936539983732908E-3</v>
      </c>
      <c r="I160" s="575" t="str">
        <f>IF(C9="no","",VLOOKUP(sezione!$AA$11,sezione!A1741:O1983,13,FALSE))</f>
        <v/>
      </c>
      <c r="J160" s="575">
        <f>IF(C10="no","",VLOOKUP(sezione!$AA$11,sezione!A1741:O1983,14,FALSE))</f>
        <v>8.2722823963127922E-3</v>
      </c>
      <c r="K160" s="575">
        <f>IF(C11="no","",VLOOKUP(sezione!$AA$11,sezione!A1741:O1983,15,FALSE))</f>
        <v>5.5025758012370194E-3</v>
      </c>
      <c r="L160" s="428"/>
      <c r="M160" s="428"/>
    </row>
    <row r="161" spans="2:13" x14ac:dyDescent="0.25">
      <c r="B161" s="529">
        <f t="shared" si="8"/>
        <v>8</v>
      </c>
      <c r="C161" s="532">
        <f t="shared" si="6"/>
        <v>1.0754807692307695</v>
      </c>
      <c r="D161" s="615">
        <f t="shared" si="6"/>
        <v>101.08523303320473</v>
      </c>
      <c r="E161" s="556">
        <f>'Progetto del paramento slu'!D162*1000</f>
        <v>300.00798076923058</v>
      </c>
      <c r="F161" s="556">
        <f t="shared" si="7"/>
        <v>260.00798076923058</v>
      </c>
      <c r="G161" s="575" t="str">
        <f>IF(C7="no","",VLOOKUP(sezione!$AA$12,sezione!A1989:O2231,11,FALSE))</f>
        <v/>
      </c>
      <c r="H161" s="575">
        <f>IF(C8="no","",VLOOKUP(sezione!$AA$12,sezione!A1989:O2231,12,FALSE))</f>
        <v>1.6936369363420934E-3</v>
      </c>
      <c r="I161" s="575" t="str">
        <f>IF(C9="no","",VLOOKUP(sezione!$AA$12,sezione!A1989:O2231,13,FALSE))</f>
        <v/>
      </c>
      <c r="J161" s="575">
        <f>IF(C10="no","",VLOOKUP(sezione!$AA$12,sezione!A1989:O2231,14,FALSE))</f>
        <v>8.2722437223754133E-3</v>
      </c>
      <c r="K161" s="575">
        <f>IF(C11="no","",VLOOKUP(sezione!$AA$12,sezione!A1989:O2231,15,FALSE))</f>
        <v>5.5025803511120049E-3</v>
      </c>
      <c r="L161" s="428"/>
      <c r="M161" s="428"/>
    </row>
    <row r="162" spans="2:13" x14ac:dyDescent="0.25">
      <c r="B162" s="529">
        <f t="shared" si="8"/>
        <v>9</v>
      </c>
      <c r="C162" s="532">
        <f t="shared" si="6"/>
        <v>0.78774038461538476</v>
      </c>
      <c r="D162" s="615">
        <f t="shared" si="6"/>
        <v>170.09981998802934</v>
      </c>
      <c r="E162" s="556">
        <f>'Progetto del paramento slu'!D163*1000</f>
        <v>300.00899038461517</v>
      </c>
      <c r="F162" s="556">
        <f t="shared" si="7"/>
        <v>260.00899038461517</v>
      </c>
      <c r="G162" s="575" t="str">
        <f>IF(C7="no","",VLOOKUP(sezione!$AA$13,sezione!A2237:O2479,11,FALSE))</f>
        <v/>
      </c>
      <c r="H162" s="575">
        <f>IF(C8="no","",VLOOKUP(sezione!$AA$13,sezione!A2237:O2479,12,FALSE))</f>
        <v>-4.135769806402704E-4</v>
      </c>
      <c r="I162" s="575" t="str">
        <f>IF(C9="no","",VLOOKUP(sezione!$AA$13,sezione!A2237:O2479,13,FALSE))</f>
        <v/>
      </c>
      <c r="J162" s="575">
        <f>IF(C10="no","",VLOOKUP(sezione!$AA$13,sezione!A2237:O2479,14,FALSE))</f>
        <v>3.4958921772153873E-3</v>
      </c>
      <c r="K162" s="575">
        <f>IF(C11="no","",VLOOKUP(sezione!$AA$13,sezione!A2237:O2479,15,FALSE))</f>
        <v>1.8499848877570593E-3</v>
      </c>
      <c r="L162" s="428"/>
      <c r="M162" s="428"/>
    </row>
    <row r="163" spans="2:13" x14ac:dyDescent="0.25">
      <c r="B163" s="529">
        <f t="shared" si="8"/>
        <v>10</v>
      </c>
      <c r="C163" s="532">
        <f t="shared" si="6"/>
        <v>0.5</v>
      </c>
      <c r="D163" s="615">
        <f t="shared" si="6"/>
        <v>170.1003924221919</v>
      </c>
      <c r="E163" s="556">
        <f>'Progetto del paramento slu'!D164*1000</f>
        <v>300.00999999999976</v>
      </c>
      <c r="F163" s="556">
        <f t="shared" si="7"/>
        <v>260.00999999999976</v>
      </c>
      <c r="G163" s="575" t="str">
        <f>IF(C7="no","",VLOOKUP(sezione!$AA$14,sezione!A2485:O2727,11,FALSE))</f>
        <v/>
      </c>
      <c r="H163" s="575">
        <f>IF(C8="no","",VLOOKUP(sezione!$AA$14,sezione!A2485:O2727,12,FALSE))</f>
        <v>-4.1358736729459403E-4</v>
      </c>
      <c r="I163" s="575" t="str">
        <f>IF(C9="no","",VLOOKUP(sezione!$AA$14,sezione!A2485:O2727,13,FALSE))</f>
        <v/>
      </c>
      <c r="J163" s="575">
        <f>IF(C10="no","",VLOOKUP(sezione!$AA$14,sezione!A2485:O2727,14,FALSE))</f>
        <v>3.4958686341322533E-3</v>
      </c>
      <c r="K163" s="575">
        <f>IF(C11="no","",VLOOKUP(sezione!$AA$14,sezione!A2485:O2727,15,FALSE))</f>
        <v>1.8499876575315459E-3</v>
      </c>
      <c r="L163" s="428"/>
      <c r="M163" s="428"/>
    </row>
    <row r="164" spans="2:13" x14ac:dyDescent="0.25">
      <c r="B164" s="428"/>
      <c r="C164" s="428"/>
      <c r="D164" s="428"/>
      <c r="E164" s="428"/>
      <c r="F164" s="428"/>
      <c r="G164" s="428"/>
      <c r="H164" s="428"/>
      <c r="I164" s="428"/>
      <c r="J164" s="428"/>
      <c r="K164" s="428"/>
      <c r="L164" s="428"/>
      <c r="M164" s="428"/>
    </row>
    <row r="165" spans="2:13" x14ac:dyDescent="0.25">
      <c r="B165" s="428"/>
      <c r="C165" s="428"/>
      <c r="D165" s="428"/>
      <c r="E165" s="428"/>
      <c r="F165" s="428"/>
      <c r="G165" s="428"/>
      <c r="H165" s="428"/>
      <c r="I165" s="428"/>
      <c r="J165" s="428"/>
      <c r="K165" s="428"/>
      <c r="L165" s="428"/>
      <c r="M165" s="428"/>
    </row>
    <row r="166" spans="2:13" x14ac:dyDescent="0.25">
      <c r="B166" s="428"/>
      <c r="C166" s="428"/>
      <c r="D166" s="428"/>
      <c r="E166" s="428"/>
      <c r="F166" s="428"/>
      <c r="G166" s="428"/>
      <c r="H166" s="428"/>
      <c r="I166" s="428"/>
      <c r="J166" s="428"/>
      <c r="K166" s="428"/>
      <c r="L166" s="428"/>
      <c r="M166" s="428"/>
    </row>
    <row r="167" spans="2:13" x14ac:dyDescent="0.25">
      <c r="B167" s="428"/>
      <c r="C167" s="428"/>
      <c r="D167" s="428"/>
      <c r="E167" s="428"/>
      <c r="F167" s="428"/>
      <c r="G167" s="428"/>
      <c r="H167" s="428"/>
      <c r="I167" s="428"/>
      <c r="J167" s="428"/>
      <c r="K167" s="428"/>
      <c r="L167" s="428"/>
      <c r="M167" s="428"/>
    </row>
    <row r="168" spans="2:13" x14ac:dyDescent="0.25">
      <c r="B168" s="428"/>
      <c r="C168" s="428"/>
      <c r="D168" s="428"/>
      <c r="E168" s="428"/>
      <c r="F168" s="428"/>
      <c r="G168" s="428"/>
      <c r="H168" s="428"/>
      <c r="I168" s="428"/>
      <c r="J168" s="428"/>
      <c r="K168" s="428"/>
      <c r="L168" s="428"/>
      <c r="M168" s="428"/>
    </row>
    <row r="169" spans="2:13" x14ac:dyDescent="0.25">
      <c r="B169" s="428"/>
      <c r="C169" s="428"/>
      <c r="D169" s="428"/>
      <c r="E169" s="428"/>
      <c r="F169" s="428"/>
      <c r="G169" s="428"/>
      <c r="H169" s="428"/>
      <c r="I169" s="428"/>
      <c r="J169" s="428"/>
      <c r="K169" s="428"/>
      <c r="L169" s="428"/>
      <c r="M169" s="428"/>
    </row>
    <row r="170" spans="2:13" x14ac:dyDescent="0.25">
      <c r="B170" s="428"/>
      <c r="C170" s="428"/>
      <c r="D170" s="428"/>
      <c r="E170" s="428"/>
      <c r="F170" s="428"/>
      <c r="G170" s="428"/>
      <c r="H170" s="428"/>
      <c r="I170" s="428"/>
      <c r="J170" s="428"/>
      <c r="K170" s="428"/>
      <c r="L170" s="428"/>
      <c r="M170" s="428"/>
    </row>
    <row r="171" spans="2:13" x14ac:dyDescent="0.25">
      <c r="B171" s="428"/>
      <c r="C171" s="428"/>
      <c r="D171" s="428"/>
      <c r="E171" s="428"/>
      <c r="F171" s="428"/>
      <c r="G171" s="428"/>
      <c r="H171" s="434" t="str">
        <f>IF(DATI!$G$218="sx",IF('Foglio deposito bis'!$F100&lt;=0,"← ZONA COMPRESSA( lato libero )","← ZONA TESA ( lato libero )"),IF('Foglio deposito bis'!$F100&gt;0,"← ZONA COMPRESSA( lato libero )","← ZONA TESA ( lato terreno )"))</f>
        <v>← ZONA TESA ( lato terreno )</v>
      </c>
      <c r="I171" s="428"/>
      <c r="J171" s="428"/>
      <c r="K171" s="428"/>
      <c r="L171" s="428"/>
      <c r="M171" s="428"/>
    </row>
    <row r="172" spans="2:13" x14ac:dyDescent="0.25">
      <c r="B172" s="428"/>
      <c r="C172" s="428"/>
      <c r="D172" s="428"/>
      <c r="E172" s="428"/>
      <c r="F172" s="428"/>
      <c r="G172" s="428"/>
      <c r="H172" s="428"/>
      <c r="I172" s="428"/>
      <c r="J172" s="428"/>
      <c r="K172" s="428"/>
      <c r="L172" s="428"/>
      <c r="M172" s="428"/>
    </row>
    <row r="173" spans="2:13" x14ac:dyDescent="0.25">
      <c r="B173" s="428"/>
      <c r="C173" s="428"/>
      <c r="D173" s="428"/>
      <c r="E173" s="428"/>
      <c r="F173" s="428"/>
      <c r="G173" s="428"/>
      <c r="H173" s="428"/>
      <c r="I173" s="428"/>
      <c r="J173" s="428"/>
      <c r="K173" s="428"/>
      <c r="L173" s="428"/>
      <c r="M173" s="428"/>
    </row>
    <row r="174" spans="2:13" x14ac:dyDescent="0.25">
      <c r="B174" s="428"/>
      <c r="C174" s="428"/>
      <c r="D174" s="428"/>
      <c r="E174" s="428"/>
      <c r="F174" s="428"/>
      <c r="G174" s="428"/>
      <c r="H174" s="428"/>
      <c r="I174" s="428"/>
      <c r="J174" s="428"/>
      <c r="K174" s="428"/>
      <c r="L174" s="428"/>
      <c r="M174" s="428"/>
    </row>
    <row r="175" spans="2:13" x14ac:dyDescent="0.25">
      <c r="B175" s="428"/>
      <c r="C175" s="428"/>
      <c r="D175" s="428"/>
      <c r="E175" s="428"/>
      <c r="F175" s="428"/>
      <c r="G175" s="428"/>
      <c r="H175" s="428"/>
      <c r="I175" s="428"/>
      <c r="J175" s="428"/>
      <c r="K175" s="428"/>
      <c r="L175" s="428"/>
      <c r="M175" s="428"/>
    </row>
    <row r="176" spans="2:13" x14ac:dyDescent="0.25">
      <c r="B176" s="428"/>
      <c r="C176" s="428"/>
      <c r="D176" s="428"/>
      <c r="E176" s="428"/>
      <c r="F176" s="428"/>
      <c r="G176" s="428"/>
      <c r="H176" s="434" t="str">
        <f>IF(DATI!$G$218="dx",IF('Foglio deposito bis'!$F100&lt;=0,"← ZONA COMPRESSA ( lato libero )","← ZONA TESA ( lato terreno )"),IF('Foglio deposito bis'!$F100&gt;0,"← ZONA COMPRESSA ( lato terreno )","← ZONA TESA ( lato terreno )"))</f>
        <v>← ZONA COMPRESSA ( lato libero )</v>
      </c>
      <c r="I176" s="428"/>
      <c r="J176" s="428"/>
      <c r="K176" s="428"/>
      <c r="L176" s="428"/>
      <c r="M176" s="428"/>
    </row>
    <row r="177" spans="2:13" x14ac:dyDescent="0.25">
      <c r="B177" s="428"/>
      <c r="C177" s="428"/>
      <c r="D177" s="428"/>
      <c r="E177" s="428"/>
      <c r="F177" s="428"/>
      <c r="G177" s="428"/>
      <c r="H177" s="428"/>
      <c r="I177" s="428"/>
      <c r="J177" s="428"/>
      <c r="K177" s="428"/>
      <c r="L177" s="428"/>
      <c r="M177" s="428"/>
    </row>
    <row r="178" spans="2:13" x14ac:dyDescent="0.25">
      <c r="B178" s="428"/>
      <c r="C178" s="428"/>
      <c r="D178" s="428"/>
      <c r="E178" s="428"/>
      <c r="F178" s="428"/>
      <c r="G178" s="428"/>
      <c r="H178" s="428"/>
      <c r="I178" s="428"/>
      <c r="J178" s="428"/>
      <c r="K178" s="428"/>
      <c r="L178" s="428"/>
      <c r="M178" s="428"/>
    </row>
    <row r="179" spans="2:13" x14ac:dyDescent="0.25">
      <c r="B179" s="428"/>
      <c r="C179" s="428"/>
      <c r="D179" s="428"/>
      <c r="E179" s="428"/>
      <c r="F179" s="428"/>
      <c r="G179" s="428"/>
      <c r="H179" s="428"/>
      <c r="I179" s="428"/>
      <c r="J179" s="428"/>
      <c r="K179" s="428"/>
      <c r="L179" s="428"/>
      <c r="M179" s="428"/>
    </row>
    <row r="180" spans="2:13" x14ac:dyDescent="0.25">
      <c r="B180" s="428"/>
      <c r="C180" s="428"/>
      <c r="D180" s="428"/>
      <c r="E180" s="428"/>
      <c r="F180" s="428"/>
      <c r="G180" s="428"/>
      <c r="H180" s="428"/>
      <c r="I180" s="428"/>
      <c r="J180" s="428"/>
      <c r="K180" s="428"/>
      <c r="L180" s="428"/>
      <c r="M180" s="428"/>
    </row>
    <row r="181" spans="2:13" x14ac:dyDescent="0.25">
      <c r="B181" s="428"/>
      <c r="C181" s="428"/>
      <c r="D181" s="428"/>
      <c r="E181" s="428"/>
      <c r="F181" s="428"/>
      <c r="G181" s="428"/>
      <c r="H181" s="428"/>
      <c r="I181" s="428"/>
      <c r="J181" s="428"/>
      <c r="K181" s="428"/>
      <c r="L181" s="428"/>
      <c r="M181" s="428"/>
    </row>
    <row r="182" spans="2:13" x14ac:dyDescent="0.25">
      <c r="B182" s="428"/>
      <c r="C182" s="428"/>
      <c r="D182" s="428"/>
      <c r="E182" s="428"/>
      <c r="F182" s="428"/>
      <c r="G182" s="428"/>
      <c r="H182" s="428"/>
      <c r="I182" s="428"/>
      <c r="J182" s="428"/>
      <c r="K182" s="428"/>
      <c r="L182" s="428"/>
      <c r="M182" s="428"/>
    </row>
    <row r="183" spans="2:13" x14ac:dyDescent="0.25">
      <c r="B183" s="428"/>
      <c r="C183" s="428"/>
      <c r="D183" s="428"/>
      <c r="E183" s="428"/>
      <c r="F183" s="428"/>
      <c r="G183" s="428"/>
      <c r="H183" s="434" t="str">
        <f>IF(DATI!$G$218="sx","← ZONA COMPRESSA( lato libero )","← ZONA TESA ( lato terreno )")</f>
        <v>← ZONA TESA ( lato terreno )</v>
      </c>
      <c r="I183" s="428"/>
      <c r="J183" s="428"/>
      <c r="K183" s="428"/>
      <c r="L183" s="428"/>
      <c r="M183" s="428"/>
    </row>
    <row r="184" spans="2:13" x14ac:dyDescent="0.25">
      <c r="B184" s="428"/>
      <c r="C184" s="428"/>
      <c r="D184" s="428"/>
      <c r="E184" s="428"/>
      <c r="F184" s="428"/>
      <c r="G184" s="428"/>
      <c r="H184" s="428"/>
      <c r="I184" s="428"/>
      <c r="J184" s="428"/>
      <c r="K184" s="428"/>
      <c r="L184" s="428"/>
      <c r="M184" s="428"/>
    </row>
    <row r="185" spans="2:13" x14ac:dyDescent="0.25">
      <c r="B185" s="428"/>
      <c r="C185" s="428"/>
      <c r="D185" s="428"/>
      <c r="E185" s="428"/>
      <c r="F185" s="428"/>
      <c r="G185" s="428"/>
      <c r="H185" s="428"/>
      <c r="I185" s="428"/>
      <c r="J185" s="428"/>
      <c r="K185" s="428"/>
      <c r="L185" s="428"/>
      <c r="M185" s="428"/>
    </row>
    <row r="186" spans="2:13" x14ac:dyDescent="0.25">
      <c r="B186" s="428"/>
      <c r="C186" s="428"/>
      <c r="D186" s="428"/>
      <c r="E186" s="428"/>
      <c r="F186" s="428"/>
      <c r="G186" s="428"/>
      <c r="H186" s="428"/>
      <c r="I186" s="428"/>
      <c r="J186" s="428"/>
      <c r="K186" s="428"/>
      <c r="L186" s="428"/>
      <c r="M186" s="428"/>
    </row>
    <row r="187" spans="2:13" x14ac:dyDescent="0.25">
      <c r="B187" s="428"/>
      <c r="C187" s="428"/>
      <c r="D187" s="428"/>
      <c r="E187" s="428"/>
      <c r="F187" s="428"/>
      <c r="G187" s="428"/>
      <c r="H187" s="428"/>
      <c r="I187" s="428"/>
      <c r="J187" s="428"/>
      <c r="K187" s="428"/>
      <c r="L187" s="428"/>
      <c r="M187" s="428"/>
    </row>
    <row r="188" spans="2:13" x14ac:dyDescent="0.25">
      <c r="B188" s="428"/>
      <c r="C188" s="428"/>
      <c r="D188" s="428"/>
      <c r="E188" s="428"/>
      <c r="F188" s="428"/>
      <c r="G188" s="428"/>
      <c r="H188" s="434" t="str">
        <f>IF(DATI!$G$218="dx","← ZONA COMPRESSA ( lato libero )","← ZONA TESA ( lato terreno )")</f>
        <v>← ZONA COMPRESSA ( lato libero )</v>
      </c>
      <c r="I188" s="428"/>
      <c r="J188" s="428"/>
      <c r="K188" s="428"/>
      <c r="L188" s="428"/>
      <c r="M188" s="428"/>
    </row>
    <row r="189" spans="2:13" x14ac:dyDescent="0.25">
      <c r="B189" s="428"/>
      <c r="C189" s="428"/>
      <c r="D189" s="428"/>
      <c r="E189" s="428"/>
      <c r="F189" s="428"/>
      <c r="G189" s="428"/>
      <c r="H189" s="428"/>
      <c r="I189" s="428"/>
      <c r="J189" s="428"/>
      <c r="K189" s="428"/>
      <c r="L189" s="428"/>
      <c r="M189" s="428"/>
    </row>
    <row r="190" spans="2:13" x14ac:dyDescent="0.25">
      <c r="B190" s="428"/>
      <c r="C190" s="428"/>
      <c r="D190" s="428"/>
      <c r="E190" s="428"/>
      <c r="F190" s="428"/>
      <c r="G190" s="428"/>
      <c r="H190" s="428"/>
      <c r="I190" s="428"/>
      <c r="J190" s="428"/>
      <c r="K190" s="428"/>
      <c r="L190" s="428"/>
      <c r="M190" s="428"/>
    </row>
    <row r="191" spans="2:13" x14ac:dyDescent="0.25">
      <c r="B191" s="428"/>
      <c r="C191" s="428"/>
      <c r="D191" s="428"/>
      <c r="E191" s="428"/>
      <c r="F191" s="428"/>
      <c r="G191" s="428"/>
      <c r="H191" s="428"/>
      <c r="I191" s="428"/>
      <c r="J191" s="428"/>
      <c r="K191" s="428"/>
      <c r="L191" s="428"/>
      <c r="M191" s="428"/>
    </row>
    <row r="192" spans="2:13" x14ac:dyDescent="0.25">
      <c r="B192" s="428"/>
      <c r="C192" s="428"/>
      <c r="D192" s="428"/>
      <c r="E192" s="428"/>
      <c r="F192" s="428"/>
      <c r="G192" s="428"/>
      <c r="H192" s="428"/>
      <c r="I192" s="428"/>
      <c r="J192" s="428"/>
      <c r="K192" s="428"/>
      <c r="L192" s="428"/>
      <c r="M192" s="428"/>
    </row>
    <row r="193" spans="2:13" ht="15.75" x14ac:dyDescent="0.25">
      <c r="B193" s="15" t="s">
        <v>1004</v>
      </c>
      <c r="C193" s="428"/>
      <c r="D193" s="428"/>
      <c r="E193" s="428"/>
      <c r="F193" s="428"/>
      <c r="G193" s="428"/>
      <c r="H193" s="428"/>
      <c r="I193" s="428"/>
      <c r="J193" s="428"/>
      <c r="K193" s="428"/>
      <c r="L193" s="428"/>
      <c r="M193" s="428"/>
    </row>
    <row r="194" spans="2:13" x14ac:dyDescent="0.25">
      <c r="B194" s="428"/>
      <c r="C194" s="428"/>
      <c r="D194" s="428"/>
      <c r="E194" s="428"/>
      <c r="F194" s="428"/>
      <c r="G194" s="428"/>
      <c r="H194" s="428"/>
      <c r="I194" s="428"/>
      <c r="J194" s="428"/>
      <c r="K194" s="428"/>
      <c r="L194" s="428"/>
      <c r="M194" s="428"/>
    </row>
    <row r="195" spans="2:13" x14ac:dyDescent="0.25">
      <c r="B195" s="428" t="s">
        <v>1028</v>
      </c>
      <c r="C195" s="428"/>
      <c r="D195" s="428"/>
      <c r="E195" s="428"/>
      <c r="F195" s="428"/>
      <c r="G195" s="428"/>
      <c r="H195" s="428"/>
      <c r="I195" s="428"/>
      <c r="J195" s="428"/>
      <c r="K195" s="428"/>
      <c r="L195" s="428"/>
      <c r="M195" s="428"/>
    </row>
    <row r="196" spans="2:13" x14ac:dyDescent="0.25">
      <c r="B196" s="428"/>
      <c r="C196" s="428"/>
      <c r="D196" s="428"/>
      <c r="E196" s="428"/>
      <c r="F196" s="428"/>
      <c r="G196" s="428"/>
      <c r="H196" s="428"/>
      <c r="I196" s="428"/>
      <c r="J196" s="428"/>
      <c r="K196" s="428"/>
      <c r="L196" s="428"/>
      <c r="M196" s="428"/>
    </row>
    <row r="197" spans="2:13" x14ac:dyDescent="0.25">
      <c r="B197" s="428"/>
      <c r="C197" s="428"/>
      <c r="D197" s="428"/>
      <c r="E197" s="428"/>
      <c r="F197" s="428"/>
      <c r="G197" s="428"/>
      <c r="H197" s="428"/>
      <c r="I197" s="428"/>
      <c r="J197" s="428"/>
      <c r="K197" s="428"/>
      <c r="L197" s="428"/>
      <c r="M197" s="428"/>
    </row>
    <row r="198" spans="2:13" x14ac:dyDescent="0.25">
      <c r="B198" s="967" t="s">
        <v>21</v>
      </c>
      <c r="C198" s="969" t="s">
        <v>993</v>
      </c>
      <c r="D198" s="963" t="s">
        <v>23</v>
      </c>
      <c r="E198" s="963" t="s">
        <v>928</v>
      </c>
      <c r="F198" s="965" t="s">
        <v>31</v>
      </c>
      <c r="G198" s="964" t="s">
        <v>1029</v>
      </c>
      <c r="H198" s="964" t="s">
        <v>689</v>
      </c>
      <c r="I198" s="873" t="s">
        <v>690</v>
      </c>
      <c r="J198" s="873" t="s">
        <v>691</v>
      </c>
      <c r="K198" s="962" t="s">
        <v>686</v>
      </c>
      <c r="L198" s="962" t="s">
        <v>688</v>
      </c>
      <c r="M198" s="428"/>
    </row>
    <row r="199" spans="2:13" x14ac:dyDescent="0.25">
      <c r="B199" s="968"/>
      <c r="C199" s="970"/>
      <c r="D199" s="963"/>
      <c r="E199" s="963"/>
      <c r="F199" s="966"/>
      <c r="G199" s="964"/>
      <c r="H199" s="964"/>
      <c r="I199" s="873"/>
      <c r="J199" s="873"/>
      <c r="K199" s="962"/>
      <c r="L199" s="962"/>
      <c r="M199" s="428"/>
    </row>
    <row r="200" spans="2:13" x14ac:dyDescent="0.25">
      <c r="B200" s="618">
        <v>0</v>
      </c>
      <c r="C200" s="532">
        <f>'Progetto del paramento slu'!C154</f>
        <v>3.35</v>
      </c>
      <c r="D200" s="556">
        <f t="shared" ref="D200:E210" si="9">E153</f>
        <v>300</v>
      </c>
      <c r="E200" s="556">
        <f t="shared" si="9"/>
        <v>260</v>
      </c>
      <c r="F200" s="169">
        <f>'Progetto del paramento slu'!E154</f>
        <v>0</v>
      </c>
      <c r="G200" s="428"/>
      <c r="H200" s="619">
        <f>G200/(1000*('FOGLIO DEPOSITO'!D124*1000+'Foglio deposito bis'!E40))</f>
        <v>0</v>
      </c>
      <c r="I200" s="619">
        <f>1+(200/('FOGLIO DEPOSITO'!D124*1000-E40))^0.5</f>
        <v>1.8770580193070292</v>
      </c>
      <c r="J200" s="617" t="e">
        <f>(0.035*I200^(3/2)*(#REF!*0.83)^0.5*1000*('FOGLIO DEPOSITO'!D124*1000-'Foglio deposito bis'!E40))/1000</f>
        <v>#REF!</v>
      </c>
      <c r="K200" s="618"/>
      <c r="L200" s="620" t="e">
        <f>IF(C238&gt;=J200,IF(C238&gt;=ABS(C239),"VERIFICATO","NON VERIFICATO"),"NON VERIFICATO")</f>
        <v>#REF!</v>
      </c>
      <c r="M200" s="428"/>
    </row>
    <row r="201" spans="2:13" x14ac:dyDescent="0.25">
      <c r="B201" s="618">
        <f t="shared" ref="B201:B210" si="10">B200+1</f>
        <v>1</v>
      </c>
      <c r="C201" s="532">
        <f>'Progetto del paramento slu'!C155</f>
        <v>3.0691105769230771</v>
      </c>
      <c r="D201" s="556">
        <f t="shared" si="9"/>
        <v>300.00098557692309</v>
      </c>
      <c r="E201" s="556">
        <f t="shared" si="9"/>
        <v>260.00098557692309</v>
      </c>
      <c r="F201" s="169">
        <f>'Progetto del paramento slu'!E155</f>
        <v>1.4411854045006565</v>
      </c>
      <c r="G201" s="428"/>
      <c r="H201" s="428"/>
      <c r="I201" s="428"/>
      <c r="J201" s="428"/>
      <c r="K201" s="428"/>
      <c r="L201" s="428"/>
      <c r="M201" s="428"/>
    </row>
    <row r="202" spans="2:13" x14ac:dyDescent="0.25">
      <c r="B202" s="618">
        <f t="shared" si="10"/>
        <v>2</v>
      </c>
      <c r="C202" s="532">
        <f>'Progetto del paramento slu'!C156</f>
        <v>2.7813701923076923</v>
      </c>
      <c r="D202" s="556">
        <f t="shared" si="9"/>
        <v>300.00199519230762</v>
      </c>
      <c r="E202" s="556">
        <f t="shared" si="9"/>
        <v>260.00199519230762</v>
      </c>
      <c r="F202" s="169">
        <f>'Progetto del paramento slu'!E156</f>
        <v>3.4922793755436494</v>
      </c>
      <c r="G202" s="428"/>
      <c r="H202" s="428"/>
      <c r="I202" s="428"/>
      <c r="J202" s="428"/>
      <c r="K202" s="428"/>
      <c r="L202" s="428"/>
      <c r="M202" s="428"/>
    </row>
    <row r="203" spans="2:13" x14ac:dyDescent="0.25">
      <c r="B203" s="618">
        <f t="shared" si="10"/>
        <v>3</v>
      </c>
      <c r="C203" s="532">
        <f>'Progetto del paramento slu'!C157</f>
        <v>2.5004807692307693</v>
      </c>
      <c r="D203" s="556">
        <f t="shared" si="9"/>
        <v>300.0029807692307</v>
      </c>
      <c r="E203" s="556">
        <f t="shared" si="9"/>
        <v>260.0029807692307</v>
      </c>
      <c r="F203" s="169">
        <f>'Progetto del paramento slu'!E157</f>
        <v>6.0556107716507457</v>
      </c>
      <c r="G203" s="428"/>
      <c r="H203" s="428"/>
      <c r="I203" s="428"/>
      <c r="J203" s="428"/>
      <c r="K203" s="428"/>
      <c r="L203" s="428"/>
      <c r="M203" s="428"/>
    </row>
    <row r="204" spans="2:13" x14ac:dyDescent="0.25">
      <c r="B204" s="618">
        <f t="shared" si="10"/>
        <v>4</v>
      </c>
      <c r="C204" s="532">
        <f>'Progetto del paramento slu'!C158</f>
        <v>2.212740384615385</v>
      </c>
      <c r="D204" s="556">
        <f t="shared" si="9"/>
        <v>300.00399038461529</v>
      </c>
      <c r="E204" s="556">
        <f t="shared" si="9"/>
        <v>260.00399038461529</v>
      </c>
      <c r="F204" s="169">
        <f>'Progetto del paramento slu'!E158</f>
        <v>9.2562201487296036</v>
      </c>
      <c r="G204" s="428"/>
      <c r="H204" s="428"/>
      <c r="I204" s="428"/>
      <c r="J204" s="428"/>
      <c r="K204" s="428"/>
      <c r="L204" s="428"/>
      <c r="M204" s="428"/>
    </row>
    <row r="205" spans="2:13" x14ac:dyDescent="0.25">
      <c r="B205" s="618">
        <f t="shared" si="10"/>
        <v>5</v>
      </c>
      <c r="C205" s="532">
        <f>'Progetto del paramento slu'!C159</f>
        <v>1.925</v>
      </c>
      <c r="D205" s="556">
        <f t="shared" si="9"/>
        <v>300.00499999999988</v>
      </c>
      <c r="E205" s="556">
        <f t="shared" si="9"/>
        <v>260.00499999999988</v>
      </c>
      <c r="F205" s="169">
        <f>'Progetto del paramento slu'!E159</f>
        <v>13.038512020429026</v>
      </c>
      <c r="G205" s="428"/>
      <c r="H205" s="428"/>
      <c r="I205" s="428"/>
      <c r="J205" s="428"/>
      <c r="K205" s="428"/>
      <c r="L205" s="428"/>
      <c r="M205" s="428"/>
    </row>
    <row r="206" spans="2:13" x14ac:dyDescent="0.25">
      <c r="B206" s="618">
        <f t="shared" si="10"/>
        <v>6</v>
      </c>
      <c r="C206" s="532">
        <f>'Progetto del paramento slu'!C160</f>
        <v>1.644110576923077</v>
      </c>
      <c r="D206" s="556">
        <f t="shared" si="9"/>
        <v>300.00598557692291</v>
      </c>
      <c r="E206" s="556">
        <f t="shared" si="9"/>
        <v>260.00598557692291</v>
      </c>
      <c r="F206" s="169">
        <f>'Progetto del paramento slu'!E160</f>
        <v>17.291822319557873</v>
      </c>
      <c r="G206" s="428"/>
      <c r="H206" s="428"/>
      <c r="I206" s="428"/>
      <c r="J206" s="428"/>
      <c r="K206" s="428"/>
      <c r="L206" s="428"/>
      <c r="M206" s="428"/>
    </row>
    <row r="207" spans="2:13" x14ac:dyDescent="0.25">
      <c r="B207" s="618">
        <f t="shared" si="10"/>
        <v>7</v>
      </c>
      <c r="C207" s="532">
        <f>'Progetto del paramento slu'!C161</f>
        <v>1.3563701923076925</v>
      </c>
      <c r="D207" s="556">
        <f t="shared" si="9"/>
        <v>300.0069951923075</v>
      </c>
      <c r="E207" s="556">
        <f t="shared" si="9"/>
        <v>260.0069951923075</v>
      </c>
      <c r="F207" s="169">
        <f>'Progetto del paramento slu'!E161</f>
        <v>22.223629597293154</v>
      </c>
      <c r="G207" s="428"/>
      <c r="H207" s="428"/>
      <c r="I207" s="428"/>
      <c r="J207" s="428"/>
      <c r="K207" s="428"/>
      <c r="L207" s="428"/>
      <c r="M207" s="428"/>
    </row>
    <row r="208" spans="2:13" x14ac:dyDescent="0.25">
      <c r="B208" s="618">
        <f t="shared" si="10"/>
        <v>8</v>
      </c>
      <c r="C208" s="532">
        <f>'Progetto del paramento slu'!C162</f>
        <v>1.0754807692307695</v>
      </c>
      <c r="D208" s="556">
        <f t="shared" si="9"/>
        <v>300.00798076923058</v>
      </c>
      <c r="E208" s="556">
        <f t="shared" si="9"/>
        <v>260.00798076923058</v>
      </c>
      <c r="F208" s="169">
        <f>'Progetto del paramento slu'!E162</f>
        <v>27.599085888028444</v>
      </c>
      <c r="G208" s="428"/>
      <c r="H208" s="428"/>
      <c r="I208" s="428"/>
      <c r="J208" s="428"/>
      <c r="K208" s="428"/>
      <c r="L208" s="428"/>
      <c r="M208" s="428"/>
    </row>
    <row r="209" spans="2:13" x14ac:dyDescent="0.25">
      <c r="B209" s="618">
        <f t="shared" si="10"/>
        <v>9</v>
      </c>
      <c r="C209" s="532">
        <f>'Progetto del paramento slu'!C163</f>
        <v>0.78774038461538476</v>
      </c>
      <c r="D209" s="556">
        <f t="shared" si="9"/>
        <v>300.00899038461517</v>
      </c>
      <c r="E209" s="556">
        <f t="shared" si="9"/>
        <v>260.00899038461517</v>
      </c>
      <c r="F209" s="169">
        <f>'Progetto del paramento slu'!E163</f>
        <v>33.680408571799653</v>
      </c>
      <c r="G209" s="428"/>
      <c r="H209" s="428"/>
      <c r="I209" s="428"/>
      <c r="J209" s="428"/>
      <c r="K209" s="428"/>
      <c r="L209" s="428"/>
      <c r="M209" s="428"/>
    </row>
    <row r="210" spans="2:13" x14ac:dyDescent="0.25">
      <c r="B210" s="618">
        <f t="shared" si="10"/>
        <v>10</v>
      </c>
      <c r="C210" s="532">
        <f>'Progetto del paramento slu'!C164</f>
        <v>0.5</v>
      </c>
      <c r="D210" s="556">
        <f t="shared" si="9"/>
        <v>300.00999999999976</v>
      </c>
      <c r="E210" s="556">
        <f t="shared" si="9"/>
        <v>260.00999999999976</v>
      </c>
      <c r="F210" s="169">
        <f>'Progetto del paramento slu'!E164</f>
        <v>40.361306950783039</v>
      </c>
      <c r="G210" s="428"/>
      <c r="H210" s="428"/>
      <c r="I210" s="428"/>
      <c r="J210" s="428"/>
      <c r="K210" s="428"/>
      <c r="L210" s="428"/>
      <c r="M210" s="428"/>
    </row>
    <row r="211" spans="2:13" x14ac:dyDescent="0.25">
      <c r="B211" s="428"/>
      <c r="C211" s="428"/>
      <c r="D211" s="428"/>
      <c r="E211" s="428"/>
      <c r="F211" s="428"/>
      <c r="G211" s="428"/>
      <c r="H211" s="428"/>
      <c r="I211" s="428"/>
      <c r="J211" s="428"/>
      <c r="K211" s="428"/>
      <c r="L211" s="428"/>
      <c r="M211" s="428"/>
    </row>
    <row r="212" spans="2:13" x14ac:dyDescent="0.25">
      <c r="B212" s="428"/>
      <c r="C212" s="428"/>
      <c r="D212" s="428"/>
      <c r="E212" s="428"/>
      <c r="F212" s="428"/>
      <c r="G212" s="428"/>
      <c r="H212" s="428"/>
      <c r="I212" s="428"/>
      <c r="J212" s="428"/>
      <c r="K212" s="428"/>
      <c r="L212" s="428"/>
      <c r="M212" s="428"/>
    </row>
    <row r="213" spans="2:13" x14ac:dyDescent="0.25">
      <c r="B213" s="428"/>
      <c r="C213" s="428"/>
      <c r="D213" s="428"/>
      <c r="E213" s="428"/>
      <c r="F213" s="428"/>
      <c r="G213" s="428"/>
      <c r="H213" s="428"/>
      <c r="I213" s="428"/>
      <c r="J213" s="428"/>
      <c r="K213" s="428"/>
      <c r="L213" s="428"/>
      <c r="M213" s="428"/>
    </row>
    <row r="214" spans="2:13" x14ac:dyDescent="0.25">
      <c r="B214" s="428"/>
      <c r="C214" s="428"/>
      <c r="D214" s="428"/>
      <c r="E214" s="428"/>
      <c r="F214" s="428"/>
      <c r="G214" s="428"/>
      <c r="H214" s="428"/>
      <c r="I214" s="428"/>
      <c r="J214" s="428"/>
      <c r="K214" s="428"/>
      <c r="L214" s="428"/>
      <c r="M214" s="428"/>
    </row>
    <row r="215" spans="2:13" x14ac:dyDescent="0.25">
      <c r="B215" s="428"/>
      <c r="C215" s="428"/>
      <c r="D215" s="428"/>
      <c r="E215" s="428"/>
      <c r="F215" s="428"/>
      <c r="G215" s="428"/>
      <c r="H215" s="428"/>
      <c r="I215" s="428"/>
      <c r="J215" s="428"/>
      <c r="K215" s="428"/>
      <c r="L215" s="428"/>
      <c r="M215" s="428"/>
    </row>
    <row r="216" spans="2:13" x14ac:dyDescent="0.25">
      <c r="B216" s="428"/>
      <c r="C216" s="428"/>
      <c r="D216" s="428"/>
      <c r="E216" s="428"/>
      <c r="F216" s="428"/>
      <c r="G216" s="428"/>
      <c r="H216" s="428"/>
      <c r="I216" s="428"/>
      <c r="J216" s="428"/>
      <c r="K216" s="428"/>
      <c r="L216" s="428"/>
      <c r="M216" s="428"/>
    </row>
    <row r="217" spans="2:13" x14ac:dyDescent="0.25">
      <c r="B217" s="428"/>
      <c r="C217" s="428"/>
      <c r="D217" s="428"/>
      <c r="E217" s="428"/>
      <c r="F217" s="428"/>
      <c r="G217" s="428"/>
      <c r="H217" s="428"/>
      <c r="I217" s="428"/>
      <c r="J217" s="428"/>
      <c r="K217" s="428"/>
      <c r="L217" s="428"/>
      <c r="M217" s="428"/>
    </row>
    <row r="218" spans="2:13" x14ac:dyDescent="0.25">
      <c r="B218" s="428"/>
      <c r="C218" s="428"/>
      <c r="D218" s="428"/>
      <c r="E218" s="428"/>
      <c r="F218" s="428"/>
      <c r="G218" s="428"/>
      <c r="H218" s="428"/>
      <c r="I218" s="428"/>
      <c r="J218" s="428"/>
      <c r="K218" s="428"/>
      <c r="L218" s="428"/>
      <c r="M218" s="428"/>
    </row>
    <row r="219" spans="2:13" x14ac:dyDescent="0.25">
      <c r="B219" s="428"/>
      <c r="C219" s="428"/>
      <c r="D219" s="428"/>
      <c r="E219" s="428"/>
      <c r="F219" s="428"/>
      <c r="G219" s="428"/>
      <c r="H219" s="428"/>
      <c r="I219" s="428"/>
      <c r="J219" s="428"/>
      <c r="K219" s="428"/>
      <c r="L219" s="428"/>
      <c r="M219" s="428"/>
    </row>
    <row r="220" spans="2:13" x14ac:dyDescent="0.25">
      <c r="B220" s="428"/>
      <c r="C220" s="428"/>
      <c r="D220" s="428"/>
      <c r="E220" s="428"/>
      <c r="F220" s="428"/>
      <c r="G220" s="428"/>
      <c r="H220" s="428"/>
      <c r="I220" s="428"/>
      <c r="J220" s="428"/>
      <c r="K220" s="428"/>
      <c r="L220" s="428"/>
      <c r="M220" s="428"/>
    </row>
    <row r="221" spans="2:13" x14ac:dyDescent="0.25">
      <c r="B221" s="428"/>
      <c r="C221" s="428"/>
      <c r="D221" s="428"/>
      <c r="E221" s="428"/>
      <c r="F221" s="428"/>
      <c r="G221" s="428"/>
      <c r="H221" s="428"/>
      <c r="I221" s="428"/>
      <c r="J221" s="428"/>
      <c r="K221" s="428"/>
      <c r="L221" s="428"/>
      <c r="M221" s="428"/>
    </row>
    <row r="222" spans="2:13" x14ac:dyDescent="0.25">
      <c r="B222" s="953" t="s">
        <v>680</v>
      </c>
      <c r="C222" s="953"/>
      <c r="D222" s="953"/>
      <c r="E222" s="428"/>
      <c r="F222" s="58"/>
      <c r="G222" s="115"/>
      <c r="H222" s="428"/>
      <c r="I222" s="428"/>
      <c r="J222" s="428"/>
      <c r="K222" s="428"/>
      <c r="L222" s="428"/>
      <c r="M222" s="428"/>
    </row>
    <row r="223" spans="2:13" x14ac:dyDescent="0.25">
      <c r="B223" s="87"/>
      <c r="C223" s="87"/>
      <c r="D223" s="86"/>
      <c r="E223" s="86"/>
      <c r="F223" s="58"/>
      <c r="G223" s="115"/>
      <c r="H223" s="428"/>
      <c r="I223" s="428"/>
      <c r="J223" s="428"/>
      <c r="K223" s="428"/>
      <c r="L223" s="428"/>
      <c r="M223" s="428"/>
    </row>
    <row r="224" spans="2:13" x14ac:dyDescent="0.25">
      <c r="B224" s="2"/>
      <c r="C224" s="2"/>
      <c r="D224" s="2"/>
      <c r="E224" s="2"/>
      <c r="F224" s="58"/>
      <c r="G224" s="115"/>
      <c r="H224" s="428"/>
      <c r="I224" s="428"/>
      <c r="J224" s="428"/>
      <c r="K224" s="428"/>
      <c r="L224" s="428"/>
      <c r="M224" s="428"/>
    </row>
    <row r="225" spans="2:13" ht="17.25" x14ac:dyDescent="0.25">
      <c r="B225" s="112" t="s">
        <v>681</v>
      </c>
      <c r="C225" s="113" t="e">
        <f>'Progetto del paramento slu'!G67*10^6/(0.9*#REF!/1.15*('FOGLIO DEPOSITO'!D124*1000-E40))</f>
        <v>#REF!</v>
      </c>
      <c r="D225" s="954" t="e">
        <f>IF(F48&gt;=C225,"VERIFICATO","NON VERIFICATO")</f>
        <v>#REF!</v>
      </c>
      <c r="E225" s="955"/>
      <c r="F225" s="58"/>
      <c r="G225" s="115"/>
      <c r="H225" s="428"/>
      <c r="I225" s="428"/>
      <c r="J225" s="428"/>
      <c r="K225" s="428"/>
      <c r="L225" s="428"/>
      <c r="M225" s="428"/>
    </row>
    <row r="226" spans="2:13" x14ac:dyDescent="0.25">
      <c r="B226" s="58"/>
      <c r="C226" s="115"/>
      <c r="D226" s="116"/>
      <c r="E226" s="116"/>
      <c r="F226" s="58"/>
      <c r="G226" s="115"/>
      <c r="H226" s="428"/>
      <c r="I226" s="428"/>
      <c r="J226" s="428"/>
      <c r="K226" s="428"/>
      <c r="L226" s="428"/>
      <c r="M226" s="428"/>
    </row>
    <row r="227" spans="2:13" x14ac:dyDescent="0.25">
      <c r="B227" s="58"/>
      <c r="C227" s="115"/>
      <c r="D227" s="116"/>
      <c r="E227" s="116"/>
      <c r="F227" s="58"/>
      <c r="G227" s="115"/>
      <c r="H227" s="428"/>
      <c r="I227" s="428"/>
      <c r="J227" s="428"/>
      <c r="K227" s="428"/>
      <c r="L227" s="428"/>
      <c r="M227" s="428"/>
    </row>
    <row r="228" spans="2:13" x14ac:dyDescent="0.25">
      <c r="B228" s="58"/>
      <c r="C228" s="115"/>
      <c r="D228" s="116"/>
      <c r="E228" s="116"/>
      <c r="F228" s="58"/>
      <c r="G228" s="115"/>
      <c r="H228" s="428"/>
      <c r="I228" s="428"/>
      <c r="J228" s="428"/>
      <c r="K228" s="428"/>
      <c r="L228" s="428"/>
      <c r="M228" s="428"/>
    </row>
    <row r="229" spans="2:13" ht="15.75" thickBot="1" x14ac:dyDescent="0.3">
      <c r="B229" s="2"/>
      <c r="C229" s="2"/>
      <c r="D229" s="2"/>
      <c r="E229" s="2"/>
      <c r="F229" s="2"/>
      <c r="G229" s="2"/>
      <c r="H229" s="428"/>
      <c r="I229" s="428"/>
      <c r="J229" s="428"/>
      <c r="K229" s="428"/>
      <c r="L229" s="428"/>
      <c r="M229" s="428"/>
    </row>
    <row r="230" spans="2:13" ht="16.5" thickTop="1" thickBot="1" x14ac:dyDescent="0.3">
      <c r="B230" s="953" t="s">
        <v>683</v>
      </c>
      <c r="C230" s="953"/>
      <c r="D230" s="953"/>
      <c r="E230" s="84">
        <v>8</v>
      </c>
      <c r="F230" s="85">
        <v>15</v>
      </c>
      <c r="G230" s="2"/>
      <c r="H230" s="428"/>
      <c r="I230" s="428"/>
      <c r="J230" s="428"/>
      <c r="K230" s="428"/>
      <c r="L230" s="428"/>
      <c r="M230" s="428"/>
    </row>
    <row r="231" spans="2:13" ht="15.75" thickTop="1" x14ac:dyDescent="0.25">
      <c r="B231" s="2"/>
      <c r="C231" s="2"/>
      <c r="D231" s="2"/>
      <c r="E231" s="2"/>
      <c r="F231" s="2"/>
      <c r="G231" s="2"/>
      <c r="H231" s="428"/>
      <c r="I231" s="428"/>
      <c r="J231" s="428"/>
      <c r="K231" s="428"/>
      <c r="L231" s="428"/>
      <c r="M231" s="428"/>
    </row>
    <row r="232" spans="2:13" ht="17.25" x14ac:dyDescent="0.25">
      <c r="B232" s="403" t="s">
        <v>684</v>
      </c>
      <c r="C232" s="114">
        <f>F48*0.2</f>
        <v>0</v>
      </c>
      <c r="D232" s="957" t="str">
        <f>IF(G232&gt;=C232,"VERIFICATO","NON VERIFICATO")</f>
        <v>VERIFICATO</v>
      </c>
      <c r="E232" s="955"/>
      <c r="F232" s="112" t="s">
        <v>682</v>
      </c>
      <c r="G232" s="114">
        <f>100/F230*(E230/2)^2*PI()</f>
        <v>335.10321638291128</v>
      </c>
      <c r="H232" s="428"/>
      <c r="I232" s="428"/>
      <c r="J232" s="428"/>
      <c r="K232" s="428"/>
      <c r="L232" s="428"/>
      <c r="M232" s="428"/>
    </row>
    <row r="233" spans="2:13" x14ac:dyDescent="0.25">
      <c r="B233" s="117"/>
      <c r="C233" s="115"/>
      <c r="D233" s="116"/>
      <c r="E233" s="116"/>
      <c r="F233" s="58"/>
      <c r="G233" s="115"/>
      <c r="H233" s="428"/>
      <c r="I233" s="428"/>
      <c r="J233" s="428"/>
      <c r="K233" s="428"/>
      <c r="L233" s="428"/>
      <c r="M233" s="428"/>
    </row>
    <row r="234" spans="2:13" ht="15.75" x14ac:dyDescent="0.25">
      <c r="B234" s="15"/>
      <c r="C234" s="2"/>
      <c r="D234" s="2"/>
      <c r="E234" s="2"/>
      <c r="F234" s="2"/>
      <c r="G234" s="2"/>
      <c r="H234" s="428"/>
      <c r="I234" s="428"/>
      <c r="J234" s="428"/>
      <c r="K234" s="428"/>
      <c r="L234" s="428"/>
      <c r="M234" s="428"/>
    </row>
    <row r="235" spans="2:13" ht="15.75" x14ac:dyDescent="0.25">
      <c r="B235" s="15" t="s">
        <v>685</v>
      </c>
      <c r="C235" s="2"/>
      <c r="D235" s="2"/>
      <c r="E235" s="2"/>
      <c r="F235" s="2"/>
      <c r="G235" s="2"/>
      <c r="H235" s="428"/>
      <c r="I235" s="428"/>
      <c r="J235" s="428"/>
      <c r="K235" s="428"/>
      <c r="L235" s="428"/>
      <c r="M235" s="428"/>
    </row>
    <row r="236" spans="2:13" x14ac:dyDescent="0.25">
      <c r="B236" s="2"/>
      <c r="C236" s="2"/>
      <c r="D236" s="2"/>
      <c r="E236" s="2"/>
      <c r="F236" s="2"/>
      <c r="G236" s="2"/>
      <c r="H236" s="428"/>
      <c r="I236" s="428"/>
      <c r="J236" s="428"/>
      <c r="K236" s="428"/>
      <c r="L236" s="428"/>
      <c r="M236" s="428"/>
    </row>
    <row r="237" spans="2:13" x14ac:dyDescent="0.25">
      <c r="B237" s="2"/>
      <c r="C237" s="2"/>
      <c r="D237" s="2"/>
      <c r="E237" s="2"/>
      <c r="F237" s="2"/>
      <c r="G237" s="2"/>
      <c r="H237" s="428"/>
      <c r="I237" s="428"/>
      <c r="J237" s="428"/>
      <c r="K237" s="428"/>
      <c r="L237" s="428"/>
      <c r="M237" s="428"/>
    </row>
    <row r="238" spans="2:13" x14ac:dyDescent="0.25">
      <c r="B238" s="428"/>
      <c r="C238" s="846" t="e">
        <f>(0.18*I200*(100*H200*#REF!*0.83)^(1/3)/1.5*1000*('FOGLIO DEPOSITO'!D124*1000-'Foglio deposito bis'!E40))/1000</f>
        <v>#REF!</v>
      </c>
      <c r="D238" s="846"/>
      <c r="E238" s="2"/>
      <c r="F238" s="2"/>
      <c r="G238" s="2"/>
      <c r="H238" s="428"/>
      <c r="I238" s="428"/>
      <c r="J238" s="428"/>
      <c r="K238" s="428"/>
      <c r="L238" s="428"/>
      <c r="M238" s="428"/>
    </row>
    <row r="239" spans="2:13" ht="18" x14ac:dyDescent="0.25">
      <c r="B239" s="118" t="s">
        <v>687</v>
      </c>
      <c r="C239" s="846">
        <f>ABS('Progetto del paramento slu'!G66)</f>
        <v>54.684656336963357</v>
      </c>
      <c r="D239" s="846"/>
      <c r="E239" s="2"/>
      <c r="F239" s="2"/>
      <c r="G239" s="2"/>
      <c r="H239" s="428"/>
      <c r="I239" s="428"/>
      <c r="J239" s="428"/>
      <c r="K239" s="428"/>
      <c r="L239" s="428"/>
      <c r="M239" s="428"/>
    </row>
    <row r="240" spans="2:13" x14ac:dyDescent="0.25">
      <c r="B240" s="428"/>
      <c r="C240" s="428"/>
      <c r="D240" s="428"/>
      <c r="E240" s="2"/>
      <c r="F240" s="2"/>
      <c r="G240" s="2"/>
      <c r="H240" s="428"/>
      <c r="I240" s="428"/>
      <c r="J240" s="428"/>
      <c r="K240" s="428"/>
      <c r="L240" s="428"/>
      <c r="M240" s="428"/>
    </row>
    <row r="241" spans="2:17" x14ac:dyDescent="0.25">
      <c r="B241" s="428"/>
      <c r="C241" s="428"/>
      <c r="D241" s="428"/>
      <c r="E241" s="2"/>
      <c r="F241" s="2"/>
      <c r="G241" s="2"/>
      <c r="H241" s="428"/>
      <c r="I241" s="428"/>
      <c r="J241" s="428"/>
      <c r="K241" s="428"/>
      <c r="L241" s="428"/>
      <c r="M241" s="428"/>
    </row>
    <row r="242" spans="2:17" x14ac:dyDescent="0.25">
      <c r="B242" s="428"/>
      <c r="C242" s="428"/>
      <c r="D242" s="652"/>
      <c r="E242" s="2"/>
      <c r="F242" s="2"/>
      <c r="G242" s="2"/>
      <c r="H242" s="428"/>
      <c r="I242" s="428"/>
      <c r="J242" s="428"/>
      <c r="K242" s="428"/>
      <c r="L242" s="428"/>
      <c r="M242" s="428"/>
    </row>
    <row r="243" spans="2:17" x14ac:dyDescent="0.25">
      <c r="B243" s="83"/>
      <c r="C243" s="587"/>
      <c r="D243" s="587"/>
      <c r="E243" s="429"/>
      <c r="F243" s="429"/>
      <c r="G243" s="429"/>
      <c r="H243" s="428"/>
      <c r="I243" s="428"/>
      <c r="J243" s="428"/>
      <c r="K243" s="428"/>
      <c r="L243" s="428"/>
      <c r="M243" s="428"/>
    </row>
    <row r="244" spans="2:17" x14ac:dyDescent="0.25">
      <c r="B244" s="428"/>
      <c r="C244" s="428"/>
      <c r="D244" s="653"/>
      <c r="E244" s="428"/>
      <c r="F244" s="428"/>
      <c r="G244" s="428"/>
      <c r="H244" s="428"/>
      <c r="I244" s="428"/>
      <c r="J244" s="428"/>
      <c r="K244" s="428"/>
      <c r="L244" s="428"/>
      <c r="M244" s="428"/>
    </row>
    <row r="245" spans="2:17" x14ac:dyDescent="0.25">
      <c r="B245" s="428"/>
      <c r="C245" s="428"/>
      <c r="D245" s="428"/>
      <c r="E245" s="428"/>
      <c r="F245" s="428"/>
      <c r="G245" s="428"/>
      <c r="H245" s="428"/>
      <c r="I245" s="428"/>
      <c r="J245" s="428"/>
      <c r="K245" s="428"/>
      <c r="L245" s="428"/>
      <c r="M245" s="428"/>
    </row>
    <row r="246" spans="2:17" x14ac:dyDescent="0.25">
      <c r="B246" s="428"/>
      <c r="C246" s="428"/>
      <c r="D246" s="428"/>
      <c r="E246" s="428"/>
      <c r="F246" s="428"/>
      <c r="G246" s="428"/>
      <c r="H246" s="428"/>
      <c r="I246" s="428"/>
      <c r="J246" s="428"/>
      <c r="K246" s="428"/>
      <c r="L246" s="428"/>
      <c r="M246" s="428"/>
    </row>
    <row r="247" spans="2:17" x14ac:dyDescent="0.25">
      <c r="B247" s="43"/>
      <c r="C247" s="43"/>
      <c r="D247" s="43"/>
      <c r="E247" s="43"/>
      <c r="F247" s="43"/>
      <c r="G247" s="43"/>
      <c r="H247" s="43"/>
      <c r="I247" s="43"/>
      <c r="J247" s="43"/>
      <c r="K247" s="43"/>
      <c r="L247" s="43"/>
      <c r="M247" s="43"/>
      <c r="N247" s="43"/>
      <c r="O247" s="43"/>
      <c r="P247" s="43"/>
      <c r="Q247" s="43"/>
    </row>
    <row r="249" spans="2:17" ht="15.75" x14ac:dyDescent="0.25">
      <c r="B249" s="15" t="s">
        <v>661</v>
      </c>
      <c r="C249" s="2"/>
      <c r="D249" s="2"/>
      <c r="E249" s="2"/>
      <c r="F249" s="2"/>
      <c r="G249" s="2"/>
      <c r="H249" s="2"/>
      <c r="I249" s="2"/>
      <c r="J249" s="2"/>
      <c r="K249" s="4"/>
      <c r="L249" s="4"/>
    </row>
    <row r="250" spans="2:17" x14ac:dyDescent="0.25">
      <c r="B250" s="2"/>
      <c r="C250" s="2"/>
      <c r="D250" s="2"/>
      <c r="E250" s="2"/>
      <c r="F250" s="2"/>
      <c r="G250" s="2"/>
      <c r="H250" s="2"/>
      <c r="I250" s="2"/>
      <c r="J250" s="2"/>
      <c r="K250" s="2"/>
      <c r="L250" s="2"/>
    </row>
    <row r="251" spans="2:17" ht="15.75" x14ac:dyDescent="0.25">
      <c r="B251" s="15" t="s">
        <v>692</v>
      </c>
      <c r="C251" s="2"/>
      <c r="D251" s="2"/>
      <c r="E251" s="2"/>
      <c r="F251" s="2"/>
      <c r="G251" s="2"/>
      <c r="H251" s="2"/>
      <c r="I251" s="2"/>
      <c r="J251" s="2"/>
      <c r="K251" s="2"/>
      <c r="L251" s="2"/>
    </row>
    <row r="252" spans="2:17" x14ac:dyDescent="0.25">
      <c r="B252" s="2"/>
      <c r="C252" s="2"/>
      <c r="D252" s="2"/>
      <c r="E252" s="2"/>
      <c r="F252" s="2"/>
      <c r="G252" s="2"/>
      <c r="H252" s="2"/>
      <c r="I252" s="2"/>
      <c r="J252" s="2"/>
      <c r="K252" s="2"/>
      <c r="L252" s="2"/>
    </row>
    <row r="253" spans="2:17" x14ac:dyDescent="0.25">
      <c r="B253" s="121" t="s">
        <v>662</v>
      </c>
      <c r="C253" s="24"/>
      <c r="D253" s="24"/>
      <c r="E253" s="2"/>
      <c r="F253" s="121" t="s">
        <v>663</v>
      </c>
      <c r="G253" s="24"/>
      <c r="H253" s="24"/>
      <c r="I253" s="2"/>
      <c r="J253" s="121" t="s">
        <v>664</v>
      </c>
      <c r="K253" s="2"/>
      <c r="L253" s="2"/>
    </row>
    <row r="254" spans="2:17" x14ac:dyDescent="0.25">
      <c r="B254" s="24"/>
      <c r="C254" s="24"/>
      <c r="D254" s="24"/>
      <c r="E254" s="2"/>
      <c r="F254" s="24"/>
      <c r="G254" s="24"/>
      <c r="H254" s="24"/>
      <c r="I254" s="2"/>
      <c r="J254" s="2"/>
      <c r="K254" s="2"/>
      <c r="L254" s="2"/>
    </row>
    <row r="255" spans="2:17" ht="18.75" x14ac:dyDescent="0.25">
      <c r="B255" s="83" t="s">
        <v>665</v>
      </c>
      <c r="C255" s="397">
        <f>-C260*C261^2/6</f>
        <v>-12.575285761494506</v>
      </c>
      <c r="D255" s="83" t="s">
        <v>666</v>
      </c>
      <c r="E255" s="4"/>
      <c r="F255" s="83" t="s">
        <v>665</v>
      </c>
      <c r="G255" s="397">
        <f>-G260*G261^2/2</f>
        <v>-90.025168850956533</v>
      </c>
      <c r="H255" s="83" t="s">
        <v>666</v>
      </c>
      <c r="I255" s="4"/>
      <c r="J255" s="83" t="s">
        <v>665</v>
      </c>
      <c r="K255" s="397">
        <f>C255+G255</f>
        <v>-102.60045461245105</v>
      </c>
      <c r="L255" s="83" t="s">
        <v>666</v>
      </c>
    </row>
    <row r="256" spans="2:17" ht="18.75" x14ac:dyDescent="0.25">
      <c r="B256" s="83" t="s">
        <v>667</v>
      </c>
      <c r="C256" s="397">
        <f>-C260*C261/2</f>
        <v>-23.578660802802204</v>
      </c>
      <c r="D256" s="83" t="s">
        <v>668</v>
      </c>
      <c r="E256" s="4"/>
      <c r="F256" s="83" t="s">
        <v>667</v>
      </c>
      <c r="G256" s="397">
        <f>-G260*G261</f>
        <v>-112.5314610636957</v>
      </c>
      <c r="H256" s="83" t="s">
        <v>668</v>
      </c>
      <c r="I256" s="4"/>
      <c r="J256" s="83" t="s">
        <v>667</v>
      </c>
      <c r="K256" s="397">
        <f>C256+G256</f>
        <v>-136.11012186649791</v>
      </c>
      <c r="L256" s="83" t="s">
        <v>668</v>
      </c>
    </row>
    <row r="257" spans="2:12" x14ac:dyDescent="0.25">
      <c r="B257" s="83"/>
      <c r="C257" s="397"/>
      <c r="D257" s="83"/>
      <c r="E257" s="4"/>
      <c r="F257" s="83"/>
      <c r="G257" s="397"/>
      <c r="H257" s="83"/>
      <c r="I257" s="4"/>
      <c r="J257" s="83"/>
      <c r="K257" s="397"/>
      <c r="L257" s="83"/>
    </row>
    <row r="258" spans="2:12" ht="18.75" x14ac:dyDescent="0.25">
      <c r="B258" s="83" t="s">
        <v>693</v>
      </c>
      <c r="C258" s="397">
        <f>-C256</f>
        <v>23.578660802802204</v>
      </c>
      <c r="D258" s="83" t="s">
        <v>668</v>
      </c>
      <c r="E258" s="4"/>
      <c r="F258" s="83" t="s">
        <v>693</v>
      </c>
      <c r="G258" s="397">
        <f>-G256</f>
        <v>112.5314610636957</v>
      </c>
      <c r="H258" s="83" t="s">
        <v>668</v>
      </c>
      <c r="I258" s="4"/>
      <c r="J258" s="83" t="s">
        <v>693</v>
      </c>
      <c r="K258" s="397">
        <f>C258+G258</f>
        <v>136.11012186649791</v>
      </c>
      <c r="L258" s="83" t="s">
        <v>668</v>
      </c>
    </row>
    <row r="259" spans="2:12" x14ac:dyDescent="0.25">
      <c r="B259" s="4"/>
      <c r="C259" s="4"/>
      <c r="D259" s="4"/>
      <c r="E259" s="4"/>
      <c r="F259" s="4"/>
      <c r="G259" s="4"/>
      <c r="H259" s="4"/>
      <c r="I259" s="4"/>
      <c r="J259" s="4"/>
      <c r="K259" s="4"/>
      <c r="L259" s="4"/>
    </row>
    <row r="260" spans="2:12" ht="18.75" x14ac:dyDescent="0.25">
      <c r="B260" s="83" t="s">
        <v>670</v>
      </c>
      <c r="C260" s="108">
        <f>ABS(MAX('FOGLIO DEPOSITO'!C159,'FOGLIO DEPOSITO'!F157)-MIN('FOGLIO DEPOSITO'!C159,'FOGLIO DEPOSITO'!F157))</f>
        <v>29.473326003502763</v>
      </c>
      <c r="D260" s="83" t="s">
        <v>660</v>
      </c>
      <c r="E260" s="4"/>
      <c r="F260" s="83" t="s">
        <v>671</v>
      </c>
      <c r="G260" s="108">
        <f>ABS(IF('FOGLIO DEPOSITO'!F157&lt;0,MAX('FOGLIO DEPOSITO'!C159,'FOGLIO DEPOSITO'!F157),MIN('FOGLIO DEPOSITO'!C159,'FOGLIO DEPOSITO'!F157)))</f>
        <v>70.332163164809828</v>
      </c>
      <c r="H260" s="83" t="s">
        <v>660</v>
      </c>
      <c r="I260" s="4"/>
      <c r="J260" s="4"/>
      <c r="K260" s="4"/>
      <c r="L260" s="4"/>
    </row>
    <row r="261" spans="2:12" ht="18.75" x14ac:dyDescent="0.25">
      <c r="B261" s="109" t="s">
        <v>672</v>
      </c>
      <c r="C261" s="108">
        <f>'FOGLIO DEPOSITO'!D120-'FOGLIO DEPOSITO'!D124/2</f>
        <v>1.5999999999999996</v>
      </c>
      <c r="D261" s="83" t="s">
        <v>233</v>
      </c>
      <c r="E261" s="4"/>
      <c r="F261" s="109" t="s">
        <v>672</v>
      </c>
      <c r="G261" s="108">
        <f>C261</f>
        <v>1.5999999999999996</v>
      </c>
      <c r="H261" s="83" t="s">
        <v>233</v>
      </c>
      <c r="I261" s="4"/>
      <c r="J261" s="4"/>
      <c r="K261" s="4"/>
      <c r="L261" s="4"/>
    </row>
    <row r="262" spans="2:12" ht="18.75" x14ac:dyDescent="0.25">
      <c r="B262" s="109" t="s">
        <v>301</v>
      </c>
      <c r="C262" s="110">
        <f>22000*((0.83*C283+8)/10)^0.3*1000</f>
        <v>31447161.439943485</v>
      </c>
      <c r="D262" s="83" t="s">
        <v>673</v>
      </c>
      <c r="E262" s="4"/>
      <c r="F262" s="109" t="s">
        <v>301</v>
      </c>
      <c r="G262" s="110">
        <f>C262</f>
        <v>31447161.439943485</v>
      </c>
      <c r="H262" s="83" t="s">
        <v>673</v>
      </c>
      <c r="I262" s="4"/>
      <c r="J262" s="4"/>
      <c r="K262" s="4"/>
      <c r="L262" s="4"/>
    </row>
    <row r="263" spans="2:12" ht="18.75" x14ac:dyDescent="0.25">
      <c r="B263" s="109" t="s">
        <v>674</v>
      </c>
      <c r="C263" s="108">
        <f>'FOGLIO DEPOSITO'!D121^3*1/12</f>
        <v>1.0416666666666666E-2</v>
      </c>
      <c r="D263" s="83" t="s">
        <v>675</v>
      </c>
      <c r="E263" s="4"/>
      <c r="F263" s="109" t="s">
        <v>674</v>
      </c>
      <c r="G263" s="108">
        <f>C263</f>
        <v>1.0416666666666666E-2</v>
      </c>
      <c r="H263" s="83" t="s">
        <v>675</v>
      </c>
      <c r="I263" s="4"/>
      <c r="J263" s="4"/>
      <c r="K263" s="4"/>
      <c r="L263" s="4"/>
    </row>
    <row r="264" spans="2:12" x14ac:dyDescent="0.25">
      <c r="B264" s="4"/>
      <c r="C264" s="4"/>
      <c r="D264" s="4"/>
      <c r="E264" s="4"/>
      <c r="F264" s="4"/>
      <c r="G264" s="4"/>
      <c r="H264" s="4"/>
      <c r="I264" s="4"/>
      <c r="J264" s="4"/>
      <c r="K264" s="4"/>
      <c r="L264" s="4"/>
    </row>
    <row r="265" spans="2:12" x14ac:dyDescent="0.25">
      <c r="B265" s="2"/>
      <c r="C265" s="2"/>
      <c r="D265" s="2"/>
      <c r="E265" s="2"/>
      <c r="F265" s="2"/>
      <c r="G265" s="2"/>
      <c r="H265" s="2"/>
      <c r="I265" s="2"/>
      <c r="J265" s="2"/>
      <c r="K265" s="2"/>
      <c r="L265" s="2"/>
    </row>
    <row r="266" spans="2:12" ht="15.75" x14ac:dyDescent="0.25">
      <c r="B266" s="15" t="s">
        <v>694</v>
      </c>
      <c r="C266" s="2"/>
      <c r="D266" s="2"/>
      <c r="E266" s="2"/>
      <c r="F266" s="2"/>
      <c r="G266" s="2"/>
      <c r="H266" s="2"/>
      <c r="I266" s="2"/>
      <c r="J266" s="2"/>
      <c r="K266" s="2"/>
      <c r="L266" s="2"/>
    </row>
    <row r="267" spans="2:12" x14ac:dyDescent="0.25">
      <c r="B267" s="2"/>
      <c r="C267" s="2"/>
      <c r="D267" s="2"/>
      <c r="E267" s="2"/>
      <c r="F267" s="2"/>
      <c r="G267" s="2"/>
      <c r="H267" s="2"/>
      <c r="I267" s="2"/>
      <c r="J267" s="2"/>
      <c r="K267" s="2"/>
      <c r="L267" s="2"/>
    </row>
    <row r="268" spans="2:12" x14ac:dyDescent="0.25">
      <c r="B268" s="121" t="s">
        <v>662</v>
      </c>
      <c r="C268" s="24"/>
      <c r="D268" s="24"/>
      <c r="E268" s="2"/>
      <c r="F268" s="121" t="s">
        <v>663</v>
      </c>
      <c r="G268" s="24"/>
      <c r="H268" s="24"/>
      <c r="I268" s="2"/>
      <c r="J268" s="121" t="s">
        <v>664</v>
      </c>
      <c r="K268" s="2"/>
      <c r="L268" s="2"/>
    </row>
    <row r="269" spans="2:12" x14ac:dyDescent="0.25">
      <c r="B269" s="24"/>
      <c r="C269" s="24"/>
      <c r="D269" s="24"/>
      <c r="E269" s="2"/>
      <c r="F269" s="24"/>
      <c r="G269" s="24"/>
      <c r="H269" s="24"/>
      <c r="I269" s="2"/>
      <c r="J269" s="2"/>
      <c r="K269" s="2"/>
      <c r="L269" s="2"/>
    </row>
    <row r="270" spans="2:12" ht="18.75" x14ac:dyDescent="0.25">
      <c r="B270" s="83" t="s">
        <v>665</v>
      </c>
      <c r="C270" s="397">
        <f>-C275*C276^2/6</f>
        <v>-5.5843764603364336</v>
      </c>
      <c r="D270" s="83" t="s">
        <v>666</v>
      </c>
      <c r="E270" s="2"/>
      <c r="F270" s="83" t="s">
        <v>665</v>
      </c>
      <c r="G270" s="397">
        <f>-G275*G276^2/2</f>
        <v>-12.782207431163863</v>
      </c>
      <c r="H270" s="83" t="s">
        <v>666</v>
      </c>
      <c r="I270" s="2"/>
      <c r="J270" s="83" t="s">
        <v>665</v>
      </c>
      <c r="K270" s="397">
        <f>C270+G270</f>
        <v>-18.366583891500298</v>
      </c>
      <c r="L270" s="83" t="s">
        <v>666</v>
      </c>
    </row>
    <row r="271" spans="2:12" ht="18.75" x14ac:dyDescent="0.25">
      <c r="B271" s="83" t="s">
        <v>667</v>
      </c>
      <c r="C271" s="397">
        <f>-C275*C276/2</f>
        <v>-41.882823452523247</v>
      </c>
      <c r="D271" s="83" t="s">
        <v>668</v>
      </c>
      <c r="E271" s="2"/>
      <c r="F271" s="83" t="s">
        <v>667</v>
      </c>
      <c r="G271" s="397">
        <f>-G275*G276</f>
        <v>-63.911037155819308</v>
      </c>
      <c r="H271" s="83" t="s">
        <v>668</v>
      </c>
      <c r="I271" s="2"/>
      <c r="J271" s="83" t="s">
        <v>667</v>
      </c>
      <c r="K271" s="397">
        <f>C271+G271</f>
        <v>-105.79386060834256</v>
      </c>
      <c r="L271" s="83" t="s">
        <v>668</v>
      </c>
    </row>
    <row r="272" spans="2:12" x14ac:dyDescent="0.25">
      <c r="B272" s="83"/>
      <c r="C272" s="397"/>
      <c r="D272" s="83"/>
      <c r="E272" s="2"/>
      <c r="F272" s="83"/>
      <c r="G272" s="397"/>
      <c r="H272" s="83"/>
      <c r="I272" s="2"/>
      <c r="J272" s="83"/>
      <c r="K272" s="397"/>
      <c r="L272" s="83"/>
    </row>
    <row r="273" spans="2:12" ht="18.75" x14ac:dyDescent="0.25">
      <c r="B273" s="83" t="s">
        <v>693</v>
      </c>
      <c r="C273" s="397">
        <f>-C271</f>
        <v>41.882823452523247</v>
      </c>
      <c r="D273" s="83" t="s">
        <v>668</v>
      </c>
      <c r="E273" s="2"/>
      <c r="F273" s="83" t="s">
        <v>693</v>
      </c>
      <c r="G273" s="397">
        <f>-G271</f>
        <v>63.911037155819308</v>
      </c>
      <c r="H273" s="83" t="s">
        <v>668</v>
      </c>
      <c r="I273" s="2"/>
      <c r="J273" s="83" t="s">
        <v>693</v>
      </c>
      <c r="K273" s="397">
        <f>C273+G273</f>
        <v>105.79386060834256</v>
      </c>
      <c r="L273" s="83" t="s">
        <v>668</v>
      </c>
    </row>
    <row r="274" spans="2:12" x14ac:dyDescent="0.25">
      <c r="B274" s="2"/>
      <c r="C274" s="2"/>
      <c r="D274" s="2"/>
      <c r="E274" s="2"/>
      <c r="F274" s="2"/>
      <c r="G274" s="2"/>
      <c r="H274" s="2"/>
      <c r="I274" s="2"/>
      <c r="J274" s="24"/>
      <c r="K274" s="400"/>
      <c r="L274" s="24"/>
    </row>
    <row r="275" spans="2:12" ht="18.75" x14ac:dyDescent="0.25">
      <c r="B275" s="83" t="s">
        <v>670</v>
      </c>
      <c r="C275" s="108">
        <f>ABS(MAX('FOGLIO DEPOSITO'!E152,'FOGLIO DEPOSITO'!G150)-MIN('FOGLIO DEPOSITO'!E152,'FOGLIO DEPOSITO'!G150))</f>
        <v>209.41411726261623</v>
      </c>
      <c r="D275" s="61" t="s">
        <v>660</v>
      </c>
      <c r="E275" s="2"/>
      <c r="F275" s="83" t="s">
        <v>671</v>
      </c>
      <c r="G275" s="108">
        <f>ABS(IF('FOGLIO DEPOSITO'!E152&lt;0,MAX('FOGLIO DEPOSITO'!E152,'FOGLIO DEPOSITO'!G150),MIN('FOGLIO DEPOSITO'!E152,'FOGLIO DEPOSITO'!G150)))</f>
        <v>159.77759288954826</v>
      </c>
      <c r="H275" s="61" t="s">
        <v>660</v>
      </c>
      <c r="I275" s="2"/>
      <c r="J275" s="24"/>
      <c r="K275" s="400"/>
      <c r="L275" s="24"/>
    </row>
    <row r="276" spans="2:12" ht="18.75" x14ac:dyDescent="0.25">
      <c r="B276" s="109" t="s">
        <v>672</v>
      </c>
      <c r="C276" s="108">
        <f>'FOGLIO DEPOSITO'!D119-'FOGLIO DEPOSITO'!D124/2</f>
        <v>0.4</v>
      </c>
      <c r="D276" s="61" t="s">
        <v>233</v>
      </c>
      <c r="E276" s="2"/>
      <c r="F276" s="109" t="s">
        <v>672</v>
      </c>
      <c r="G276" s="108">
        <f>C276</f>
        <v>0.4</v>
      </c>
      <c r="H276" s="61" t="s">
        <v>233</v>
      </c>
      <c r="I276" s="2"/>
      <c r="J276" s="2"/>
      <c r="K276" s="2"/>
      <c r="L276" s="2"/>
    </row>
    <row r="277" spans="2:12" ht="18.75" x14ac:dyDescent="0.25">
      <c r="B277" s="109" t="s">
        <v>301</v>
      </c>
      <c r="C277" s="110">
        <f>22000*((0.83*C283+8)/10)^0.3*1000</f>
        <v>31447161.439943485</v>
      </c>
      <c r="D277" s="61" t="s">
        <v>673</v>
      </c>
      <c r="E277" s="2"/>
      <c r="F277" s="109" t="s">
        <v>301</v>
      </c>
      <c r="G277" s="110">
        <f>C277</f>
        <v>31447161.439943485</v>
      </c>
      <c r="H277" s="61" t="s">
        <v>673</v>
      </c>
      <c r="I277" s="2"/>
      <c r="J277" s="2"/>
      <c r="K277" s="2"/>
      <c r="L277" s="2"/>
    </row>
    <row r="278" spans="2:12" ht="18.75" x14ac:dyDescent="0.25">
      <c r="B278" s="109" t="s">
        <v>674</v>
      </c>
      <c r="C278" s="122">
        <f>G263</f>
        <v>1.0416666666666666E-2</v>
      </c>
      <c r="D278" s="61" t="s">
        <v>675</v>
      </c>
      <c r="E278" s="2"/>
      <c r="F278" s="109" t="s">
        <v>674</v>
      </c>
      <c r="G278" s="122">
        <f>G263</f>
        <v>1.0416666666666666E-2</v>
      </c>
      <c r="H278" s="61" t="s">
        <v>675</v>
      </c>
      <c r="I278" s="2"/>
      <c r="J278" s="2"/>
      <c r="K278" s="2"/>
      <c r="L278" s="2"/>
    </row>
    <row r="279" spans="2:12" x14ac:dyDescent="0.25">
      <c r="B279" s="2"/>
      <c r="C279" s="2"/>
      <c r="D279" s="2"/>
      <c r="E279" s="2"/>
      <c r="F279" s="2"/>
      <c r="G279" s="2"/>
      <c r="H279" s="2"/>
      <c r="I279" s="2"/>
      <c r="J279" s="2"/>
      <c r="K279" s="2"/>
      <c r="L279" s="2"/>
    </row>
    <row r="280" spans="2:12" x14ac:dyDescent="0.25">
      <c r="B280" s="2"/>
      <c r="C280" s="2"/>
      <c r="D280" s="2"/>
      <c r="E280" s="2"/>
      <c r="F280" s="2"/>
      <c r="G280" s="2"/>
      <c r="H280" s="2"/>
      <c r="I280" s="2"/>
      <c r="J280" s="2"/>
      <c r="K280" s="2"/>
      <c r="L280" s="2"/>
    </row>
    <row r="281" spans="2:12" ht="15.75" x14ac:dyDescent="0.25">
      <c r="B281" s="15" t="s">
        <v>695</v>
      </c>
      <c r="C281" s="2"/>
      <c r="D281" s="2"/>
      <c r="E281" s="2"/>
      <c r="F281" s="2"/>
      <c r="G281" s="2"/>
      <c r="H281" s="2"/>
      <c r="I281" s="2"/>
      <c r="J281" s="2"/>
      <c r="K281" s="2"/>
      <c r="L281" s="2"/>
    </row>
    <row r="282" spans="2:12" ht="15.75" thickBot="1" x14ac:dyDescent="0.3">
      <c r="B282" s="2"/>
      <c r="C282" s="2"/>
      <c r="D282" s="2"/>
      <c r="E282" s="2"/>
      <c r="F282" s="2"/>
      <c r="G282" s="2"/>
      <c r="H282" s="2"/>
      <c r="I282" s="2"/>
      <c r="J282" s="2"/>
      <c r="K282" s="2"/>
      <c r="L282" s="2"/>
    </row>
    <row r="283" spans="2:12" ht="18.75" thickTop="1" thickBot="1" x14ac:dyDescent="0.3">
      <c r="B283" s="388" t="s">
        <v>676</v>
      </c>
      <c r="C283" s="67">
        <v>30</v>
      </c>
      <c r="D283" s="4" t="s">
        <v>677</v>
      </c>
      <c r="E283" s="2"/>
      <c r="F283" s="2"/>
      <c r="G283" s="2"/>
      <c r="H283" s="2"/>
      <c r="I283" s="2"/>
      <c r="J283" s="2"/>
      <c r="K283" s="2"/>
      <c r="L283" s="2"/>
    </row>
    <row r="284" spans="2:12" ht="18.75" thickTop="1" thickBot="1" x14ac:dyDescent="0.3">
      <c r="B284" s="388" t="s">
        <v>678</v>
      </c>
      <c r="C284" s="67">
        <v>450</v>
      </c>
      <c r="D284" s="4" t="s">
        <v>677</v>
      </c>
      <c r="E284" s="2"/>
      <c r="F284" s="2"/>
      <c r="G284" s="2"/>
      <c r="H284" s="2"/>
      <c r="I284" s="2"/>
      <c r="J284" s="2"/>
      <c r="K284" s="2"/>
      <c r="L284" s="2"/>
    </row>
    <row r="285" spans="2:12" ht="16.5" thickTop="1" thickBot="1" x14ac:dyDescent="0.3">
      <c r="B285" s="396" t="s">
        <v>679</v>
      </c>
      <c r="C285" s="67">
        <v>60</v>
      </c>
      <c r="D285" s="4" t="s">
        <v>669</v>
      </c>
      <c r="E285" s="2"/>
      <c r="F285" s="2"/>
      <c r="G285" s="2"/>
      <c r="H285" s="2"/>
      <c r="I285" s="2"/>
      <c r="J285" s="2"/>
      <c r="K285" s="2"/>
      <c r="L285" s="2"/>
    </row>
    <row r="286" spans="2:12" ht="15.75" thickTop="1" x14ac:dyDescent="0.25">
      <c r="B286" s="2"/>
      <c r="C286" s="2"/>
      <c r="D286" s="2"/>
      <c r="E286" s="2"/>
      <c r="F286" s="2"/>
      <c r="G286" s="2"/>
      <c r="H286" s="2"/>
      <c r="I286" s="2"/>
      <c r="J286" s="2"/>
      <c r="K286" s="2"/>
      <c r="L286" s="2"/>
    </row>
    <row r="287" spans="2:12" x14ac:dyDescent="0.25">
      <c r="B287" s="2"/>
      <c r="C287" s="2"/>
      <c r="D287" s="2"/>
      <c r="E287" s="2"/>
      <c r="F287" s="2"/>
      <c r="G287" s="2"/>
      <c r="H287" s="2"/>
      <c r="I287" s="2"/>
      <c r="J287" s="2"/>
      <c r="K287" s="2"/>
      <c r="L287" s="2"/>
    </row>
    <row r="288" spans="2:12" ht="15.75" x14ac:dyDescent="0.25">
      <c r="B288" s="15" t="s">
        <v>696</v>
      </c>
      <c r="C288" s="2"/>
      <c r="D288" s="2"/>
      <c r="E288" s="2"/>
      <c r="F288" s="2"/>
      <c r="G288" s="2"/>
      <c r="H288" s="2"/>
      <c r="I288" s="2"/>
      <c r="J288" s="2"/>
      <c r="K288" s="2"/>
      <c r="L288" s="2"/>
    </row>
    <row r="289" spans="2:12" ht="15.75" thickBot="1" x14ac:dyDescent="0.3">
      <c r="B289" s="2"/>
      <c r="C289" s="2"/>
      <c r="D289" s="2"/>
      <c r="E289" s="2"/>
      <c r="F289" s="2"/>
      <c r="G289" s="2"/>
      <c r="H289" s="2"/>
      <c r="I289" s="2"/>
      <c r="J289" s="2"/>
      <c r="K289" s="2"/>
      <c r="L289" s="2"/>
    </row>
    <row r="290" spans="2:12" ht="16.5" thickTop="1" thickBot="1" x14ac:dyDescent="0.3">
      <c r="B290" s="953" t="s">
        <v>680</v>
      </c>
      <c r="C290" s="953"/>
      <c r="D290" s="953"/>
      <c r="E290" s="84">
        <v>16</v>
      </c>
      <c r="F290" s="85">
        <v>10</v>
      </c>
      <c r="G290" s="2"/>
      <c r="H290" s="2"/>
      <c r="I290" s="2"/>
      <c r="J290" s="2"/>
      <c r="K290" s="2"/>
      <c r="L290" s="2"/>
    </row>
    <row r="291" spans="2:12" ht="15.75" thickTop="1" x14ac:dyDescent="0.25">
      <c r="B291" s="87"/>
      <c r="C291" s="87"/>
      <c r="D291" s="86"/>
      <c r="E291" s="86"/>
      <c r="F291" s="86"/>
      <c r="G291" s="111"/>
      <c r="H291" s="2"/>
      <c r="I291" s="2"/>
      <c r="J291" s="2"/>
      <c r="K291" s="2"/>
      <c r="L291" s="2"/>
    </row>
    <row r="292" spans="2:12" x14ac:dyDescent="0.25">
      <c r="B292" s="2"/>
      <c r="C292" s="2"/>
      <c r="D292" s="2"/>
      <c r="E292" s="2"/>
      <c r="F292" s="2"/>
      <c r="G292" s="2"/>
      <c r="H292" s="2"/>
      <c r="I292" s="2"/>
      <c r="J292" s="2"/>
      <c r="K292" s="2"/>
      <c r="L292" s="2"/>
    </row>
    <row r="293" spans="2:12" ht="17.25" x14ac:dyDescent="0.25">
      <c r="B293" s="112" t="s">
        <v>681</v>
      </c>
      <c r="C293" s="113">
        <f>-K255*10^6/(0.9*C284/1.15*('FOGLIO DEPOSITO'!D124*1000-C285))</f>
        <v>1213.8942675341427</v>
      </c>
      <c r="D293" s="954" t="str">
        <f>IF(G293&gt;=C293,"VERIFICATO","NON VERIFICATO")</f>
        <v>VERIFICATO</v>
      </c>
      <c r="E293" s="955"/>
      <c r="F293" s="62" t="s">
        <v>682</v>
      </c>
      <c r="G293" s="114">
        <f>(C261*100)/F290*(E290/2)^2*PI()</f>
        <v>3216.9908772759472</v>
      </c>
      <c r="H293" s="2"/>
      <c r="I293" s="2"/>
      <c r="J293" s="2"/>
      <c r="K293" s="2"/>
      <c r="L293" s="2"/>
    </row>
    <row r="294" spans="2:12" x14ac:dyDescent="0.25">
      <c r="B294" s="58"/>
      <c r="C294" s="115"/>
      <c r="D294" s="116"/>
      <c r="E294" s="116"/>
      <c r="F294" s="58"/>
      <c r="G294" s="115"/>
      <c r="H294" s="2"/>
      <c r="I294" s="2"/>
      <c r="J294" s="2"/>
      <c r="K294" s="2"/>
      <c r="L294" s="2"/>
    </row>
    <row r="295" spans="2:12" x14ac:dyDescent="0.25">
      <c r="B295" s="2"/>
      <c r="C295" s="2"/>
      <c r="D295" s="2"/>
      <c r="E295" s="2"/>
      <c r="F295" s="8"/>
      <c r="G295" s="2"/>
      <c r="H295" s="2"/>
      <c r="I295" s="2"/>
      <c r="J295" s="2"/>
      <c r="K295" s="2"/>
      <c r="L295" s="2"/>
    </row>
    <row r="296" spans="2:12" ht="15.75" x14ac:dyDescent="0.25">
      <c r="B296" s="15" t="s">
        <v>697</v>
      </c>
      <c r="C296" s="2"/>
      <c r="D296" s="2"/>
      <c r="E296" s="2"/>
      <c r="F296" s="2"/>
      <c r="G296" s="2"/>
      <c r="H296" s="2"/>
      <c r="I296" s="2"/>
      <c r="J296" s="2"/>
      <c r="K296" s="2"/>
      <c r="L296" s="2"/>
    </row>
    <row r="297" spans="2:12" ht="15.75" thickBot="1" x14ac:dyDescent="0.3">
      <c r="B297" s="2"/>
      <c r="C297" s="2"/>
      <c r="D297" s="2"/>
      <c r="E297" s="2"/>
      <c r="F297" s="2"/>
      <c r="G297" s="2"/>
      <c r="H297" s="2"/>
      <c r="I297" s="2"/>
      <c r="J297" s="2"/>
      <c r="K297" s="2"/>
      <c r="L297" s="2"/>
    </row>
    <row r="298" spans="2:12" ht="16.5" thickTop="1" thickBot="1" x14ac:dyDescent="0.3">
      <c r="B298" s="953" t="s">
        <v>683</v>
      </c>
      <c r="C298" s="953"/>
      <c r="D298" s="953"/>
      <c r="E298" s="84">
        <v>12</v>
      </c>
      <c r="F298" s="85">
        <v>20</v>
      </c>
      <c r="G298" s="2"/>
      <c r="H298" s="2"/>
      <c r="I298" s="2"/>
      <c r="J298" s="2"/>
      <c r="K298" s="2"/>
      <c r="L298" s="2"/>
    </row>
    <row r="299" spans="2:12" ht="15.75" thickTop="1" x14ac:dyDescent="0.25">
      <c r="B299" s="2"/>
      <c r="C299" s="2"/>
      <c r="D299" s="2"/>
      <c r="E299" s="2"/>
      <c r="F299" s="2"/>
      <c r="G299" s="2"/>
      <c r="H299" s="2"/>
      <c r="I299" s="2"/>
      <c r="J299" s="2"/>
      <c r="K299" s="2"/>
      <c r="L299" s="2"/>
    </row>
    <row r="300" spans="2:12" ht="17.25" x14ac:dyDescent="0.25">
      <c r="B300" s="403" t="s">
        <v>684</v>
      </c>
      <c r="C300" s="114">
        <f>G293*0.2</f>
        <v>643.39817545518952</v>
      </c>
      <c r="D300" s="957" t="str">
        <f>IF(G300&gt;=C300,"VERIFICATO","NON VERIFICATO")</f>
        <v>VERIFICATO</v>
      </c>
      <c r="E300" s="955"/>
      <c r="F300" s="112" t="s">
        <v>682</v>
      </c>
      <c r="G300" s="114">
        <f>(C261*100)/F298*(E298/2)^2*PI()</f>
        <v>904.77868423386019</v>
      </c>
      <c r="H300" s="2"/>
      <c r="I300" s="2"/>
      <c r="J300" s="2"/>
      <c r="K300" s="2"/>
      <c r="L300" s="2"/>
    </row>
    <row r="301" spans="2:12" x14ac:dyDescent="0.25">
      <c r="B301" s="117"/>
      <c r="C301" s="115"/>
      <c r="D301" s="116"/>
      <c r="E301" s="116"/>
      <c r="F301" s="58"/>
      <c r="G301" s="115"/>
      <c r="H301" s="2"/>
      <c r="I301" s="2"/>
      <c r="J301" s="2"/>
      <c r="K301" s="2"/>
      <c r="L301" s="2"/>
    </row>
    <row r="302" spans="2:12" ht="15.75" x14ac:dyDescent="0.25">
      <c r="B302" s="15"/>
      <c r="C302" s="2"/>
      <c r="D302" s="2"/>
      <c r="E302" s="2"/>
      <c r="F302" s="2"/>
      <c r="G302" s="2"/>
      <c r="H302" s="2"/>
      <c r="I302" s="2"/>
      <c r="J302" s="2"/>
      <c r="K302" s="2"/>
      <c r="L302" s="2"/>
    </row>
    <row r="303" spans="2:12" ht="15.75" x14ac:dyDescent="0.25">
      <c r="B303" s="15" t="s">
        <v>698</v>
      </c>
      <c r="C303" s="2"/>
      <c r="D303" s="2"/>
      <c r="E303" s="2"/>
      <c r="F303" s="2"/>
      <c r="G303" s="2"/>
      <c r="H303" s="2"/>
      <c r="I303" s="2"/>
      <c r="J303" s="2"/>
      <c r="K303" s="2"/>
      <c r="L303" s="2"/>
    </row>
    <row r="304" spans="2:12" x14ac:dyDescent="0.25">
      <c r="B304" s="2"/>
      <c r="C304" s="2"/>
      <c r="D304" s="2"/>
      <c r="E304" s="2"/>
      <c r="F304" s="2"/>
      <c r="G304" s="2"/>
      <c r="H304" s="2"/>
      <c r="I304" s="2"/>
      <c r="J304" s="2"/>
      <c r="K304" s="2"/>
      <c r="L304" s="2"/>
    </row>
    <row r="305" spans="2:12" x14ac:dyDescent="0.25">
      <c r="B305" s="2"/>
      <c r="C305" s="2"/>
      <c r="D305" s="2"/>
      <c r="E305" s="2"/>
      <c r="F305" s="58"/>
      <c r="G305" s="2"/>
      <c r="H305" s="2"/>
      <c r="I305" s="2"/>
      <c r="J305" s="2"/>
      <c r="K305" s="2"/>
      <c r="L305" s="2"/>
    </row>
    <row r="306" spans="2:12" x14ac:dyDescent="0.25">
      <c r="B306" s="2"/>
      <c r="C306" s="2"/>
      <c r="D306" s="2"/>
      <c r="E306" s="2"/>
      <c r="F306" s="58"/>
      <c r="G306" s="2"/>
      <c r="H306" s="2"/>
      <c r="I306" s="2"/>
      <c r="J306" s="2"/>
      <c r="K306" s="2"/>
      <c r="L306" s="2"/>
    </row>
    <row r="307" spans="2:12" x14ac:dyDescent="0.25">
      <c r="B307" s="2"/>
      <c r="C307" s="2"/>
      <c r="D307" s="2"/>
      <c r="E307" s="2"/>
      <c r="F307" s="58"/>
      <c r="G307" s="2"/>
      <c r="H307" s="2"/>
      <c r="I307" s="2"/>
      <c r="J307" s="2"/>
      <c r="K307" s="2"/>
      <c r="L307" s="2"/>
    </row>
    <row r="308" spans="2:12" x14ac:dyDescent="0.25">
      <c r="B308" s="2"/>
      <c r="C308" s="2"/>
      <c r="D308" s="2"/>
      <c r="E308" s="2"/>
      <c r="F308" s="117"/>
      <c r="G308" s="24"/>
      <c r="H308" s="24"/>
      <c r="I308" s="2"/>
      <c r="J308" s="2"/>
      <c r="K308" s="2"/>
      <c r="L308" s="2"/>
    </row>
    <row r="309" spans="2:12" x14ac:dyDescent="0.25">
      <c r="B309" s="2"/>
      <c r="C309" s="2"/>
      <c r="D309" s="2"/>
      <c r="E309" s="2"/>
      <c r="F309" s="2"/>
      <c r="G309" s="123"/>
      <c r="H309" s="123"/>
      <c r="I309" s="2"/>
      <c r="J309" s="2"/>
      <c r="K309" s="2"/>
      <c r="L309" s="2"/>
    </row>
    <row r="310" spans="2:12" ht="18" x14ac:dyDescent="0.25">
      <c r="B310" s="118" t="s">
        <v>686</v>
      </c>
      <c r="C310" s="846">
        <f>(0.18*C314*(100*C313*C283*0.83)^(1/3)/1.5*1000*('FOGLIO DEPOSITO'!D124*1000-C285))/1000</f>
        <v>157.93131127295928</v>
      </c>
      <c r="D310" s="846"/>
      <c r="E310" s="2"/>
      <c r="F310" s="2"/>
      <c r="G310" s="124"/>
      <c r="H310" s="400"/>
      <c r="I310" s="2"/>
      <c r="J310" s="2"/>
      <c r="K310" s="2"/>
      <c r="L310" s="2"/>
    </row>
    <row r="311" spans="2:12" ht="18" x14ac:dyDescent="0.25">
      <c r="B311" s="118" t="s">
        <v>687</v>
      </c>
      <c r="C311" s="846">
        <f>ABS(K256)</f>
        <v>136.11012186649791</v>
      </c>
      <c r="D311" s="846"/>
      <c r="E311" s="2"/>
      <c r="F311" s="2"/>
      <c r="G311" s="124"/>
      <c r="H311" s="400"/>
      <c r="I311" s="2"/>
      <c r="J311" s="2"/>
      <c r="K311" s="2"/>
      <c r="L311" s="2"/>
    </row>
    <row r="312" spans="2:12" ht="18" x14ac:dyDescent="0.25">
      <c r="B312" s="118" t="s">
        <v>688</v>
      </c>
      <c r="C312" s="958" t="str">
        <f>IF(C310&gt;=C315,IF(C310&gt;=-K256,"VERIFICATO","NON VERIFICATO"),"NON VERIFICATO")</f>
        <v>VERIFICATO</v>
      </c>
      <c r="D312" s="958"/>
      <c r="E312" s="2"/>
      <c r="F312" s="2"/>
      <c r="G312" s="124"/>
      <c r="H312" s="400"/>
      <c r="I312" s="2"/>
      <c r="J312" s="2"/>
      <c r="K312" s="2"/>
      <c r="L312" s="2"/>
    </row>
    <row r="313" spans="2:12" ht="18" x14ac:dyDescent="0.25">
      <c r="B313" s="119" t="s">
        <v>689</v>
      </c>
      <c r="C313" s="956">
        <f>G293/(1000*('FOGLIO DEPOSITO'!D124*1000+'Foglio deposito bis'!E40))</f>
        <v>9.461737874341021E-3</v>
      </c>
      <c r="D313" s="956"/>
      <c r="E313" s="2"/>
      <c r="F313" s="2"/>
      <c r="G313" s="124"/>
      <c r="H313" s="400"/>
      <c r="I313" s="2"/>
      <c r="J313" s="2"/>
      <c r="K313" s="2"/>
      <c r="L313" s="2"/>
    </row>
    <row r="314" spans="2:12" x14ac:dyDescent="0.25">
      <c r="B314" s="83" t="s">
        <v>690</v>
      </c>
      <c r="C314" s="956">
        <f>1+(200/('FOGLIO DEPOSITO'!D124*1000-C285))^0.5</f>
        <v>1.912870929175277</v>
      </c>
      <c r="D314" s="956"/>
      <c r="E314" s="2"/>
      <c r="F314" s="2"/>
      <c r="G314" s="124"/>
      <c r="H314" s="400"/>
      <c r="I314" s="2"/>
      <c r="J314" s="2"/>
      <c r="K314" s="2"/>
      <c r="L314" s="2"/>
    </row>
    <row r="315" spans="2:12" ht="18" x14ac:dyDescent="0.25">
      <c r="B315" s="83" t="s">
        <v>691</v>
      </c>
      <c r="C315" s="846">
        <f>(0.035*C314^(3/2)*(C283*0.83)^0.5*1000*('FOGLIO DEPOSITO'!D124*1000-C285))/1000</f>
        <v>110.89384964997335</v>
      </c>
      <c r="D315" s="846"/>
      <c r="E315" s="2"/>
      <c r="F315" s="2"/>
      <c r="G315" s="124"/>
      <c r="H315" s="400"/>
      <c r="I315" s="2"/>
      <c r="J315" s="2"/>
      <c r="K315" s="2"/>
      <c r="L315" s="2"/>
    </row>
    <row r="316" spans="2:12" x14ac:dyDescent="0.25">
      <c r="B316" s="2"/>
      <c r="C316" s="2"/>
      <c r="D316" s="2"/>
      <c r="E316" s="2"/>
      <c r="F316" s="2"/>
      <c r="G316" s="2"/>
      <c r="H316" s="2"/>
      <c r="I316" s="2"/>
      <c r="J316" s="2"/>
      <c r="K316" s="2"/>
      <c r="L316" s="2"/>
    </row>
    <row r="317" spans="2:12" x14ac:dyDescent="0.25">
      <c r="B317" s="2"/>
      <c r="C317" s="2"/>
      <c r="D317" s="2"/>
      <c r="E317" s="2"/>
      <c r="F317" s="2"/>
      <c r="G317" s="2"/>
      <c r="H317" s="2"/>
      <c r="I317" s="2"/>
      <c r="J317" s="2"/>
      <c r="K317" s="2"/>
      <c r="L317" s="2"/>
    </row>
    <row r="318" spans="2:12" ht="15.75" x14ac:dyDescent="0.25">
      <c r="B318" s="15" t="s">
        <v>699</v>
      </c>
      <c r="C318" s="2"/>
      <c r="D318" s="2"/>
      <c r="E318" s="2"/>
      <c r="F318" s="2"/>
      <c r="G318" s="2"/>
      <c r="H318" s="2"/>
      <c r="I318" s="2"/>
      <c r="J318" s="2"/>
      <c r="K318" s="2"/>
      <c r="L318" s="2"/>
    </row>
    <row r="319" spans="2:12" ht="15.75" thickBot="1" x14ac:dyDescent="0.3">
      <c r="B319" s="2"/>
      <c r="C319" s="2"/>
      <c r="D319" s="2"/>
      <c r="E319" s="2"/>
      <c r="F319" s="2"/>
      <c r="G319" s="2"/>
      <c r="H319" s="2"/>
      <c r="I319" s="2"/>
      <c r="J319" s="2"/>
      <c r="K319" s="2"/>
      <c r="L319" s="2"/>
    </row>
    <row r="320" spans="2:12" ht="16.5" thickTop="1" thickBot="1" x14ac:dyDescent="0.3">
      <c r="B320" s="953" t="s">
        <v>680</v>
      </c>
      <c r="C320" s="953"/>
      <c r="D320" s="961"/>
      <c r="E320" s="84">
        <v>16</v>
      </c>
      <c r="F320" s="85">
        <v>10</v>
      </c>
      <c r="G320" s="2"/>
      <c r="H320" s="2"/>
      <c r="I320" s="24"/>
      <c r="J320" s="24"/>
      <c r="K320" s="24"/>
      <c r="L320" s="24"/>
    </row>
    <row r="321" spans="2:12" ht="15.75" thickTop="1" x14ac:dyDescent="0.25">
      <c r="B321" s="87"/>
      <c r="C321" s="87"/>
      <c r="D321" s="86"/>
      <c r="E321" s="86"/>
      <c r="F321" s="86"/>
      <c r="G321" s="111"/>
      <c r="H321" s="2"/>
      <c r="I321" s="2"/>
      <c r="J321" s="2"/>
      <c r="K321" s="2"/>
      <c r="L321" s="24"/>
    </row>
    <row r="322" spans="2:12" x14ac:dyDescent="0.25">
      <c r="B322" s="2"/>
      <c r="C322" s="2"/>
      <c r="D322" s="2"/>
      <c r="E322" s="2"/>
      <c r="F322" s="2"/>
      <c r="G322" s="2"/>
      <c r="H322" s="2"/>
      <c r="I322" s="2"/>
      <c r="J322" s="2"/>
      <c r="K322" s="2"/>
      <c r="L322" s="24"/>
    </row>
    <row r="323" spans="2:12" ht="17.25" x14ac:dyDescent="0.25">
      <c r="B323" s="112" t="s">
        <v>681</v>
      </c>
      <c r="C323" s="113">
        <f>-K270*10^6/(0.9*C284/1.15*('FOGLIO DEPOSITO'!D124*1000-C285))</f>
        <v>217.30011805787385</v>
      </c>
      <c r="D323" s="954" t="str">
        <f>IF(G323&gt;=C323,"VERIFICATO","NON VERIFICATO")</f>
        <v>VERIFICATO</v>
      </c>
      <c r="E323" s="955"/>
      <c r="F323" s="62" t="s">
        <v>682</v>
      </c>
      <c r="G323" s="114">
        <f>(C276*100)/F320*(E320/2)^2*PI()</f>
        <v>804.24771931898704</v>
      </c>
      <c r="H323" s="2"/>
      <c r="I323" s="24"/>
      <c r="J323" s="400"/>
      <c r="K323" s="24"/>
      <c r="L323" s="24"/>
    </row>
    <row r="324" spans="2:12" x14ac:dyDescent="0.25">
      <c r="B324" s="58"/>
      <c r="C324" s="115"/>
      <c r="D324" s="116"/>
      <c r="E324" s="116"/>
      <c r="F324" s="58"/>
      <c r="G324" s="115"/>
      <c r="H324" s="2"/>
      <c r="I324" s="24"/>
      <c r="J324" s="400"/>
      <c r="K324" s="24"/>
      <c r="L324" s="24"/>
    </row>
    <row r="325" spans="2:12" x14ac:dyDescent="0.25">
      <c r="B325" s="2"/>
      <c r="C325" s="2"/>
      <c r="D325" s="2"/>
      <c r="E325" s="2"/>
      <c r="F325" s="8"/>
      <c r="G325" s="2"/>
      <c r="H325" s="2"/>
      <c r="I325" s="2"/>
      <c r="J325" s="2"/>
      <c r="K325" s="2"/>
      <c r="L325" s="2"/>
    </row>
    <row r="326" spans="2:12" ht="15.75" x14ac:dyDescent="0.25">
      <c r="B326" s="15" t="s">
        <v>700</v>
      </c>
      <c r="C326" s="2"/>
      <c r="D326" s="2"/>
      <c r="E326" s="2"/>
      <c r="F326" s="2"/>
      <c r="G326" s="2"/>
      <c r="H326" s="2"/>
      <c r="I326" s="2"/>
      <c r="J326" s="2"/>
      <c r="K326" s="2"/>
      <c r="L326" s="2"/>
    </row>
    <row r="327" spans="2:12" ht="15.75" thickBot="1" x14ac:dyDescent="0.3">
      <c r="B327" s="2"/>
      <c r="C327" s="2"/>
      <c r="D327" s="2"/>
      <c r="E327" s="2"/>
      <c r="F327" s="2"/>
      <c r="G327" s="2"/>
      <c r="H327" s="2"/>
      <c r="I327" s="2"/>
      <c r="J327" s="2"/>
      <c r="K327" s="2"/>
      <c r="L327" s="2"/>
    </row>
    <row r="328" spans="2:12" ht="16.5" thickTop="1" thickBot="1" x14ac:dyDescent="0.3">
      <c r="B328" s="953" t="s">
        <v>683</v>
      </c>
      <c r="C328" s="953"/>
      <c r="D328" s="961"/>
      <c r="E328" s="84">
        <v>12</v>
      </c>
      <c r="F328" s="85">
        <v>20</v>
      </c>
      <c r="G328" s="2"/>
      <c r="H328" s="2"/>
      <c r="I328" s="2"/>
      <c r="J328" s="2"/>
      <c r="K328" s="2"/>
      <c r="L328" s="2"/>
    </row>
    <row r="329" spans="2:12" ht="15.75" thickTop="1" x14ac:dyDescent="0.25">
      <c r="B329" s="2"/>
      <c r="C329" s="2"/>
      <c r="D329" s="2"/>
      <c r="E329" s="2"/>
      <c r="F329" s="2"/>
      <c r="G329" s="2"/>
      <c r="H329" s="2"/>
      <c r="I329" s="2"/>
      <c r="J329" s="2"/>
      <c r="K329" s="2"/>
      <c r="L329" s="2"/>
    </row>
    <row r="330" spans="2:12" ht="17.25" x14ac:dyDescent="0.25">
      <c r="B330" s="403" t="s">
        <v>684</v>
      </c>
      <c r="C330" s="114">
        <f>G323*0.2</f>
        <v>160.84954386379741</v>
      </c>
      <c r="D330" s="954" t="str">
        <f>IF(G330&gt;=C330,"VERIFICATO","NON VERIFICATO")</f>
        <v>VERIFICATO</v>
      </c>
      <c r="E330" s="955"/>
      <c r="F330" s="112" t="s">
        <v>682</v>
      </c>
      <c r="G330" s="114">
        <f>(C276*100)/F328*(E328/2)^2*PI()</f>
        <v>226.1946710584651</v>
      </c>
      <c r="H330" s="2"/>
      <c r="I330" s="2"/>
      <c r="J330" s="2"/>
      <c r="K330" s="2"/>
      <c r="L330" s="2"/>
    </row>
    <row r="331" spans="2:12" x14ac:dyDescent="0.25">
      <c r="B331" s="117"/>
      <c r="C331" s="115"/>
      <c r="D331" s="116"/>
      <c r="E331" s="116"/>
      <c r="F331" s="58"/>
      <c r="G331" s="115"/>
      <c r="H331" s="2"/>
      <c r="I331" s="2"/>
      <c r="J331" s="2"/>
      <c r="K331" s="2"/>
      <c r="L331" s="2"/>
    </row>
    <row r="332" spans="2:12" ht="15.75" x14ac:dyDescent="0.25">
      <c r="B332" s="15"/>
      <c r="C332" s="2"/>
      <c r="D332" s="2"/>
      <c r="E332" s="2"/>
      <c r="F332" s="2"/>
      <c r="G332" s="2"/>
      <c r="H332" s="2"/>
      <c r="I332" s="2"/>
      <c r="J332" s="2"/>
      <c r="K332" s="2"/>
      <c r="L332" s="2"/>
    </row>
    <row r="333" spans="2:12" ht="15.75" x14ac:dyDescent="0.25">
      <c r="B333" s="15" t="s">
        <v>701</v>
      </c>
      <c r="C333" s="2"/>
      <c r="D333" s="2"/>
      <c r="E333" s="2"/>
      <c r="F333" s="2"/>
      <c r="G333" s="2"/>
      <c r="H333" s="2"/>
      <c r="I333" s="2"/>
      <c r="J333" s="2"/>
      <c r="K333" s="2"/>
      <c r="L333" s="2"/>
    </row>
    <row r="334" spans="2:12" x14ac:dyDescent="0.25">
      <c r="B334" s="2"/>
      <c r="C334" s="2"/>
      <c r="D334" s="2"/>
      <c r="E334" s="2"/>
      <c r="F334" s="2"/>
      <c r="G334" s="2"/>
      <c r="H334" s="2"/>
      <c r="I334" s="2"/>
      <c r="J334" s="2"/>
      <c r="K334" s="2"/>
      <c r="L334" s="2"/>
    </row>
    <row r="335" spans="2:12" x14ac:dyDescent="0.25">
      <c r="B335" s="2"/>
      <c r="C335" s="2"/>
      <c r="D335" s="2"/>
      <c r="E335" s="2"/>
      <c r="F335" s="58"/>
      <c r="G335" s="2"/>
      <c r="H335" s="2"/>
      <c r="I335" s="2"/>
      <c r="J335" s="2"/>
      <c r="K335" s="2"/>
      <c r="L335" s="2"/>
    </row>
    <row r="336" spans="2:12" x14ac:dyDescent="0.25">
      <c r="B336" s="2"/>
      <c r="C336" s="2"/>
      <c r="D336" s="2"/>
      <c r="E336" s="2"/>
      <c r="F336" s="58"/>
      <c r="G336" s="2"/>
      <c r="H336" s="2"/>
      <c r="I336" s="2"/>
      <c r="J336" s="2"/>
      <c r="K336" s="2"/>
      <c r="L336" s="2"/>
    </row>
    <row r="337" spans="2:12" x14ac:dyDescent="0.25">
      <c r="B337" s="2"/>
      <c r="C337" s="2"/>
      <c r="D337" s="2"/>
      <c r="E337" s="2"/>
      <c r="F337" s="58"/>
      <c r="G337" s="2"/>
      <c r="H337" s="2"/>
      <c r="I337" s="2"/>
      <c r="J337" s="2"/>
      <c r="K337" s="2"/>
      <c r="L337" s="2"/>
    </row>
    <row r="338" spans="2:12" x14ac:dyDescent="0.25">
      <c r="B338" s="2"/>
      <c r="C338" s="2"/>
      <c r="D338" s="2"/>
      <c r="E338" s="2"/>
      <c r="F338" s="117"/>
      <c r="G338" s="2"/>
      <c r="H338" s="2"/>
      <c r="I338" s="2"/>
      <c r="J338" s="2"/>
      <c r="K338" s="2"/>
      <c r="L338" s="2"/>
    </row>
    <row r="339" spans="2:12" x14ac:dyDescent="0.25">
      <c r="B339" s="2"/>
      <c r="C339" s="2"/>
      <c r="D339" s="2"/>
      <c r="E339" s="2"/>
      <c r="F339" s="2"/>
      <c r="G339" s="2"/>
      <c r="H339" s="2"/>
      <c r="I339" s="2"/>
      <c r="J339" s="2"/>
      <c r="K339" s="2"/>
      <c r="L339" s="2"/>
    </row>
    <row r="340" spans="2:12" ht="18" x14ac:dyDescent="0.25">
      <c r="B340" s="118" t="s">
        <v>686</v>
      </c>
      <c r="C340" s="847">
        <f>(0.18*C344*(100*C343*C283*0.83)^(1/3)/1.5*1000*('FOGLIO DEPOSITO'!D124*1000-C285))/1000</f>
        <v>99.490491755150458</v>
      </c>
      <c r="D340" s="848"/>
      <c r="E340" s="2"/>
      <c r="F340" s="2"/>
      <c r="G340" s="2"/>
      <c r="H340" s="2"/>
      <c r="I340" s="2"/>
      <c r="J340" s="2"/>
      <c r="K340" s="2"/>
      <c r="L340" s="2"/>
    </row>
    <row r="341" spans="2:12" ht="18" x14ac:dyDescent="0.25">
      <c r="B341" s="118" t="s">
        <v>687</v>
      </c>
      <c r="C341" s="847">
        <f>ABS(K271)</f>
        <v>105.79386060834256</v>
      </c>
      <c r="D341" s="848"/>
      <c r="E341" s="2"/>
      <c r="F341" s="2"/>
      <c r="G341" s="2"/>
      <c r="H341" s="2"/>
      <c r="I341" s="2"/>
      <c r="J341" s="2"/>
      <c r="K341" s="2"/>
      <c r="L341" s="2"/>
    </row>
    <row r="342" spans="2:12" ht="18" x14ac:dyDescent="0.25">
      <c r="B342" s="118" t="s">
        <v>688</v>
      </c>
      <c r="C342" s="954" t="str">
        <f>IF(C340&gt;=C345,IF(C340&gt;=-K286,"VERIFICATO","NON VERIFICATO"),"NON VERIFICATO")</f>
        <v>NON VERIFICATO</v>
      </c>
      <c r="D342" s="955"/>
      <c r="E342" s="2"/>
      <c r="F342" s="2"/>
      <c r="G342" s="2"/>
      <c r="H342" s="2"/>
      <c r="I342" s="2"/>
      <c r="J342" s="2"/>
      <c r="K342" s="2"/>
      <c r="L342" s="2"/>
    </row>
    <row r="343" spans="2:12" ht="18" x14ac:dyDescent="0.25">
      <c r="B343" s="119" t="s">
        <v>689</v>
      </c>
      <c r="C343" s="959">
        <f>G323/(1000*('FOGLIO DEPOSITO'!D124*1000+'Foglio deposito bis'!E40))</f>
        <v>2.3654344685852561E-3</v>
      </c>
      <c r="D343" s="960"/>
      <c r="E343" s="2"/>
      <c r="F343" s="2"/>
      <c r="G343" s="2"/>
      <c r="H343" s="2"/>
      <c r="I343" s="2"/>
      <c r="J343" s="2"/>
      <c r="K343" s="2"/>
      <c r="L343" s="2"/>
    </row>
    <row r="344" spans="2:12" x14ac:dyDescent="0.25">
      <c r="B344" s="83" t="s">
        <v>690</v>
      </c>
      <c r="C344" s="959">
        <f>1+(200/('FOGLIO DEPOSITO'!D124*1000-C285))^0.5</f>
        <v>1.912870929175277</v>
      </c>
      <c r="D344" s="960"/>
      <c r="E344" s="2"/>
      <c r="F344" s="2"/>
      <c r="G344" s="2"/>
      <c r="H344" s="2"/>
      <c r="I344" s="24"/>
      <c r="J344" s="24"/>
      <c r="K344" s="24"/>
      <c r="L344" s="24"/>
    </row>
    <row r="345" spans="2:12" ht="18" x14ac:dyDescent="0.25">
      <c r="B345" s="83" t="s">
        <v>691</v>
      </c>
      <c r="C345" s="847">
        <f>(0.035*C344^(3/2)*(C283*0.83)^0.5*1000*('FOGLIO DEPOSITO'!D124*1000-C285))/1000</f>
        <v>110.89384964997335</v>
      </c>
      <c r="D345" s="848"/>
      <c r="E345" s="2"/>
      <c r="F345" s="2"/>
      <c r="G345" s="2"/>
      <c r="H345" s="2"/>
      <c r="I345" s="24"/>
      <c r="J345" s="24"/>
      <c r="K345" s="24"/>
      <c r="L345" s="24"/>
    </row>
  </sheetData>
  <protectedRanges>
    <protectedRange sqref="F88:F92 G232:G233 F48:F52 F78:F84 F58:F62 F68:F72 E40:E44 G50:G54 G222:G228 G56:G64 G66:G74 G76:G84 G86:G97 E15:E37" name="Intervallo1"/>
    <protectedRange sqref="D223:E223 B223" name="Intervallo2_3"/>
    <protectedRange sqref="C7:C13 C53:C54 C63:C64 C73:C74 C93:C97" name="Intervallo1_4_1"/>
    <protectedRange sqref="C283:C285" name="Intervallo1_2"/>
    <protectedRange sqref="G300:G301 G293:G294 G330:G331 G323:G324" name="Intervallo1_5_1"/>
    <protectedRange sqref="D291:F291 B291 D321:F321 B321" name="Intervallo2_3_4_1"/>
  </protectedRanges>
  <customSheetViews>
    <customSheetView guid="{5E8F20A8-8220-4169-B947-2AB764A2AA7B}" state="hidden" topLeftCell="A193">
      <selection activeCell="Q191" sqref="Q191"/>
      <pageMargins left="0.7" right="0.7" top="0.75" bottom="0.75" header="0.3" footer="0.3"/>
    </customSheetView>
    <customSheetView guid="{9F540994-A66B-4083-BD64-035E71878618}" state="hidden">
      <selection activeCell="Q191" sqref="Q191"/>
      <pageMargins left="0.7" right="0.7" top="0.75" bottom="0.75" header="0.3" footer="0.3"/>
    </customSheetView>
  </customSheetViews>
  <mergeCells count="65">
    <mergeCell ref="I151:I152"/>
    <mergeCell ref="J151:J152"/>
    <mergeCell ref="K151:K152"/>
    <mergeCell ref="J131:J132"/>
    <mergeCell ref="D151:D152"/>
    <mergeCell ref="E151:E152"/>
    <mergeCell ref="F151:F152"/>
    <mergeCell ref="K131:K132"/>
    <mergeCell ref="D131:D132"/>
    <mergeCell ref="G151:G152"/>
    <mergeCell ref="H151:H152"/>
    <mergeCell ref="F131:F132"/>
    <mergeCell ref="G131:G132"/>
    <mergeCell ref="H131:H132"/>
    <mergeCell ref="I131:I132"/>
    <mergeCell ref="B98:B99"/>
    <mergeCell ref="G98:G99"/>
    <mergeCell ref="I98:I99"/>
    <mergeCell ref="H98:H99"/>
    <mergeCell ref="C98:C99"/>
    <mergeCell ref="D98:D99"/>
    <mergeCell ref="E98:E99"/>
    <mergeCell ref="F98:F99"/>
    <mergeCell ref="C238:D238"/>
    <mergeCell ref="C239:D239"/>
    <mergeCell ref="B131:B132"/>
    <mergeCell ref="C131:C132"/>
    <mergeCell ref="B198:B199"/>
    <mergeCell ref="C198:C199"/>
    <mergeCell ref="D198:D199"/>
    <mergeCell ref="B222:D222"/>
    <mergeCell ref="D225:E225"/>
    <mergeCell ref="B230:D230"/>
    <mergeCell ref="E131:E132"/>
    <mergeCell ref="B151:B152"/>
    <mergeCell ref="C151:C152"/>
    <mergeCell ref="D232:E232"/>
    <mergeCell ref="L198:L199"/>
    <mergeCell ref="E198:E199"/>
    <mergeCell ref="G198:G199"/>
    <mergeCell ref="F198:F199"/>
    <mergeCell ref="H198:H199"/>
    <mergeCell ref="I198:I199"/>
    <mergeCell ref="J198:J199"/>
    <mergeCell ref="K198:K199"/>
    <mergeCell ref="C314:D314"/>
    <mergeCell ref="C345:D345"/>
    <mergeCell ref="C340:D340"/>
    <mergeCell ref="C341:D341"/>
    <mergeCell ref="C342:D342"/>
    <mergeCell ref="C343:D343"/>
    <mergeCell ref="C344:D344"/>
    <mergeCell ref="C315:D315"/>
    <mergeCell ref="B320:D320"/>
    <mergeCell ref="D323:E323"/>
    <mergeCell ref="B328:D328"/>
    <mergeCell ref="D330:E330"/>
    <mergeCell ref="B290:D290"/>
    <mergeCell ref="D293:E293"/>
    <mergeCell ref="B298:D298"/>
    <mergeCell ref="C313:D313"/>
    <mergeCell ref="D300:E300"/>
    <mergeCell ref="C310:D310"/>
    <mergeCell ref="C311:D311"/>
    <mergeCell ref="C312:D312"/>
  </mergeCells>
  <conditionalFormatting sqref="D225:E228 L200">
    <cfRule type="cellIs" dxfId="16" priority="17" operator="equal">
      <formula>"VERIFICATO"</formula>
    </cfRule>
  </conditionalFormatting>
  <conditionalFormatting sqref="D232:E233">
    <cfRule type="cellIs" dxfId="15" priority="16" operator="equal">
      <formula>"VERIFICATO"</formula>
    </cfRule>
  </conditionalFormatting>
  <conditionalFormatting sqref="H100">
    <cfRule type="cellIs" dxfId="14" priority="15" operator="equal">
      <formula>"VERIFICATO"</formula>
    </cfRule>
  </conditionalFormatting>
  <conditionalFormatting sqref="G153:K163">
    <cfRule type="cellIs" dxfId="13" priority="11" operator="equal">
      <formula>""</formula>
    </cfRule>
    <cfRule type="cellIs" dxfId="12" priority="12" operator="lessThan">
      <formula>-0.065</formula>
    </cfRule>
    <cfRule type="cellIs" dxfId="11" priority="13" operator="greaterThan">
      <formula>0.065</formula>
    </cfRule>
    <cfRule type="cellIs" dxfId="10" priority="14" operator="between">
      <formula>-0.00187</formula>
      <formula>0.00187</formula>
    </cfRule>
  </conditionalFormatting>
  <conditionalFormatting sqref="C7:C13">
    <cfRule type="cellIs" dxfId="9" priority="10" operator="equal">
      <formula>"si"</formula>
    </cfRule>
  </conditionalFormatting>
  <conditionalFormatting sqref="I101:I127">
    <cfRule type="cellIs" dxfId="8" priority="9" operator="equal">
      <formula>"VERIFICATO"</formula>
    </cfRule>
  </conditionalFormatting>
  <conditionalFormatting sqref="I100">
    <cfRule type="cellIs" dxfId="7" priority="8" operator="equal">
      <formula>"VERIFICATO"</formula>
    </cfRule>
  </conditionalFormatting>
  <conditionalFormatting sqref="H101:H127">
    <cfRule type="cellIs" dxfId="6" priority="7" operator="equal">
      <formula>"VERIFICATO"</formula>
    </cfRule>
  </conditionalFormatting>
  <conditionalFormatting sqref="D330:E331">
    <cfRule type="cellIs" dxfId="5" priority="1" operator="equal">
      <formula>"VERIFICATO"</formula>
    </cfRule>
  </conditionalFormatting>
  <conditionalFormatting sqref="C312:D312">
    <cfRule type="cellIs" dxfId="4" priority="6" operator="equal">
      <formula>"VERIFICATO"</formula>
    </cfRule>
  </conditionalFormatting>
  <conditionalFormatting sqref="D293:E294">
    <cfRule type="cellIs" dxfId="3" priority="5" operator="equal">
      <formula>"VERIFICATO"</formula>
    </cfRule>
  </conditionalFormatting>
  <conditionalFormatting sqref="D300:E301">
    <cfRule type="cellIs" dxfId="2" priority="4" operator="equal">
      <formula>"VERIFICATO"</formula>
    </cfRule>
  </conditionalFormatting>
  <conditionalFormatting sqref="C342">
    <cfRule type="cellIs" dxfId="1" priority="3" operator="equal">
      <formula>"VERIFICATO"</formula>
    </cfRule>
  </conditionalFormatting>
  <conditionalFormatting sqref="D323:E324">
    <cfRule type="cellIs" dxfId="0" priority="2" operator="equal">
      <formula>"VERIFICATO"</formula>
    </cfRule>
  </conditionalFormatting>
  <dataValidations count="2">
    <dataValidation type="list" allowBlank="1" showInputMessage="1" showErrorMessage="1" sqref="D7:D13">
      <formula1>dis</formula1>
    </dataValidation>
    <dataValidation type="list" allowBlank="1" showInputMessage="1" showErrorMessage="1" sqref="C94:C97 C7:C11">
      <formula1>sn</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286"/>
  <sheetViews>
    <sheetView topLeftCell="A221" zoomScaleNormal="100" workbookViewId="0">
      <selection activeCell="A225" sqref="A225:XFD225"/>
    </sheetView>
  </sheetViews>
  <sheetFormatPr defaultRowHeight="15" x14ac:dyDescent="0.25"/>
  <cols>
    <col min="2" max="2" width="48" customWidth="1"/>
    <col min="4" max="4" width="11.85546875" customWidth="1"/>
    <col min="6" max="6" width="46.42578125" customWidth="1"/>
    <col min="9" max="9" width="10" customWidth="1"/>
    <col min="11" max="11" width="10.140625" bestFit="1" customWidth="1"/>
    <col min="12" max="12" width="16.140625" customWidth="1"/>
    <col min="13" max="13" width="9.7109375" bestFit="1" customWidth="1"/>
    <col min="14" max="14" width="24.7109375" customWidth="1"/>
    <col min="15" max="15" width="11.5703125" customWidth="1"/>
    <col min="16" max="16" width="10.28515625" customWidth="1"/>
    <col min="17" max="17" width="10.140625" customWidth="1"/>
    <col min="18" max="19" width="11.42578125" customWidth="1"/>
    <col min="20" max="20" width="12.28515625" customWidth="1"/>
    <col min="22" max="22" width="16.42578125" customWidth="1"/>
    <col min="23" max="23" width="19.5703125" customWidth="1"/>
    <col min="24" max="24" width="11.85546875" customWidth="1"/>
    <col min="28" max="28" width="10.42578125" customWidth="1"/>
    <col min="30" max="30" width="12.7109375" bestFit="1" customWidth="1"/>
    <col min="40" max="40" width="10.5703125" customWidth="1"/>
  </cols>
  <sheetData>
    <row r="1" spans="1:21" x14ac:dyDescent="0.25">
      <c r="B1" t="s">
        <v>145</v>
      </c>
      <c r="Q1" s="44">
        <f>DATI!G216</f>
        <v>3.35</v>
      </c>
      <c r="R1" s="44">
        <f>S1-DATI!E178</f>
        <v>0.51366666666666694</v>
      </c>
      <c r="S1" s="208">
        <f>Q1</f>
        <v>3.35</v>
      </c>
      <c r="U1" s="162" t="s">
        <v>146</v>
      </c>
    </row>
    <row r="2" spans="1:21" x14ac:dyDescent="0.25">
      <c r="P2" s="209">
        <v>0</v>
      </c>
      <c r="Q2" s="42">
        <f t="shared" ref="Q2:Q33" si="0">$Q$1/$P$152*P2</f>
        <v>0</v>
      </c>
      <c r="R2" s="42">
        <f t="shared" ref="R2:R33" si="1">$R$1/$P$152*P2</f>
        <v>0</v>
      </c>
      <c r="S2" s="211"/>
      <c r="T2" s="211"/>
      <c r="U2">
        <v>0</v>
      </c>
    </row>
    <row r="3" spans="1:21" ht="23.25" x14ac:dyDescent="0.25">
      <c r="A3" s="4" t="s">
        <v>147</v>
      </c>
      <c r="B3" t="s">
        <v>148</v>
      </c>
      <c r="P3" s="209">
        <f t="shared" ref="P3:P34" si="2">P2+1</f>
        <v>1</v>
      </c>
      <c r="Q3" s="42">
        <f t="shared" si="0"/>
        <v>2.2333333333333334E-2</v>
      </c>
      <c r="R3" s="42">
        <f t="shared" si="1"/>
        <v>3.4244444444444461E-3</v>
      </c>
      <c r="S3" s="211"/>
      <c r="T3" s="211"/>
      <c r="U3">
        <f t="shared" ref="U3:U22" si="3">U2+5</f>
        <v>5</v>
      </c>
    </row>
    <row r="4" spans="1:21" x14ac:dyDescent="0.25">
      <c r="P4" s="209">
        <f t="shared" si="2"/>
        <v>2</v>
      </c>
      <c r="Q4" s="42">
        <f t="shared" si="0"/>
        <v>4.4666666666666667E-2</v>
      </c>
      <c r="R4" s="42">
        <f t="shared" si="1"/>
        <v>6.8488888888888922E-3</v>
      </c>
      <c r="S4" s="211"/>
      <c r="T4" s="211"/>
      <c r="U4">
        <f t="shared" si="3"/>
        <v>10</v>
      </c>
    </row>
    <row r="5" spans="1:21" ht="23.25" x14ac:dyDescent="0.25">
      <c r="A5" s="4" t="s">
        <v>149</v>
      </c>
      <c r="B5" t="s">
        <v>150</v>
      </c>
      <c r="P5" s="209">
        <f t="shared" si="2"/>
        <v>3</v>
      </c>
      <c r="Q5" s="42">
        <f t="shared" si="0"/>
        <v>6.7000000000000004E-2</v>
      </c>
      <c r="R5" s="42">
        <f t="shared" si="1"/>
        <v>1.0273333333333339E-2</v>
      </c>
      <c r="S5" s="211"/>
      <c r="T5" s="211"/>
      <c r="U5">
        <f t="shared" si="3"/>
        <v>15</v>
      </c>
    </row>
    <row r="6" spans="1:21" x14ac:dyDescent="0.25">
      <c r="P6" s="209">
        <f t="shared" si="2"/>
        <v>4</v>
      </c>
      <c r="Q6" s="42">
        <f t="shared" si="0"/>
        <v>8.9333333333333334E-2</v>
      </c>
      <c r="R6" s="42">
        <f t="shared" si="1"/>
        <v>1.3697777777777784E-2</v>
      </c>
      <c r="S6" s="211"/>
      <c r="T6" s="211"/>
      <c r="U6">
        <f t="shared" si="3"/>
        <v>20</v>
      </c>
    </row>
    <row r="7" spans="1:21" ht="23.25" x14ac:dyDescent="0.25">
      <c r="A7" s="4" t="s">
        <v>151</v>
      </c>
      <c r="B7" t="s">
        <v>152</v>
      </c>
      <c r="P7" s="209">
        <f t="shared" si="2"/>
        <v>5</v>
      </c>
      <c r="Q7" s="42">
        <f t="shared" si="0"/>
        <v>0.11166666666666666</v>
      </c>
      <c r="R7" s="42">
        <f t="shared" si="1"/>
        <v>1.712222222222223E-2</v>
      </c>
      <c r="S7" s="211"/>
      <c r="T7" s="211"/>
      <c r="U7">
        <f t="shared" si="3"/>
        <v>25</v>
      </c>
    </row>
    <row r="8" spans="1:21" x14ac:dyDescent="0.25">
      <c r="P8" s="209">
        <f t="shared" si="2"/>
        <v>6</v>
      </c>
      <c r="Q8" s="42">
        <f t="shared" si="0"/>
        <v>0.13400000000000001</v>
      </c>
      <c r="R8" s="42">
        <f t="shared" si="1"/>
        <v>2.0546666666666678E-2</v>
      </c>
      <c r="S8" s="211"/>
      <c r="T8" s="211"/>
      <c r="U8">
        <f t="shared" si="3"/>
        <v>30</v>
      </c>
    </row>
    <row r="9" spans="1:21" ht="15.75" thickBot="1" x14ac:dyDescent="0.3">
      <c r="P9" s="209">
        <f t="shared" si="2"/>
        <v>7</v>
      </c>
      <c r="Q9" s="42">
        <f t="shared" si="0"/>
        <v>0.15633333333333332</v>
      </c>
      <c r="R9" s="42">
        <f t="shared" si="1"/>
        <v>2.3971111111111124E-2</v>
      </c>
      <c r="S9" s="211"/>
      <c r="T9" s="211"/>
      <c r="U9">
        <f t="shared" si="3"/>
        <v>35</v>
      </c>
    </row>
    <row r="10" spans="1:21" ht="16.5" thickTop="1" thickBot="1" x14ac:dyDescent="0.3">
      <c r="A10" s="2" t="s">
        <v>153</v>
      </c>
      <c r="B10" s="396"/>
      <c r="C10" s="12" t="s">
        <v>154</v>
      </c>
      <c r="D10" s="8" t="str">
        <f>IF(C10="Q","",IF(C10="N","","FATAL ERROR! Inserisci si oppure no"))</f>
        <v/>
      </c>
      <c r="E10">
        <v>1</v>
      </c>
      <c r="P10" s="209">
        <f t="shared" si="2"/>
        <v>8</v>
      </c>
      <c r="Q10" s="42">
        <f t="shared" si="0"/>
        <v>0.17866666666666667</v>
      </c>
      <c r="R10" s="42">
        <f t="shared" si="1"/>
        <v>2.7395555555555569E-2</v>
      </c>
      <c r="S10" s="211"/>
      <c r="T10" s="211"/>
      <c r="U10">
        <f t="shared" si="3"/>
        <v>40</v>
      </c>
    </row>
    <row r="11" spans="1:21" ht="15.75" thickTop="1" x14ac:dyDescent="0.25">
      <c r="E11">
        <v>2</v>
      </c>
      <c r="P11" s="209">
        <f t="shared" si="2"/>
        <v>9</v>
      </c>
      <c r="Q11" s="42">
        <f t="shared" si="0"/>
        <v>0.20100000000000001</v>
      </c>
      <c r="R11" s="42">
        <f t="shared" si="1"/>
        <v>3.0820000000000014E-2</v>
      </c>
      <c r="S11" s="211"/>
      <c r="T11" s="211"/>
      <c r="U11">
        <f t="shared" si="3"/>
        <v>45</v>
      </c>
    </row>
    <row r="12" spans="1:21" x14ac:dyDescent="0.25">
      <c r="E12">
        <v>3</v>
      </c>
      <c r="P12" s="209">
        <f t="shared" si="2"/>
        <v>10</v>
      </c>
      <c r="Q12" s="211">
        <f t="shared" si="0"/>
        <v>0.22333333333333333</v>
      </c>
      <c r="R12" s="42">
        <f t="shared" si="1"/>
        <v>3.4244444444444459E-2</v>
      </c>
      <c r="S12" s="211"/>
      <c r="T12" s="211"/>
      <c r="U12">
        <f t="shared" si="3"/>
        <v>50</v>
      </c>
    </row>
    <row r="13" spans="1:21" x14ac:dyDescent="0.25">
      <c r="P13" s="209">
        <f t="shared" si="2"/>
        <v>11</v>
      </c>
      <c r="Q13" s="42">
        <f t="shared" si="0"/>
        <v>0.24566666666666667</v>
      </c>
      <c r="R13" s="42">
        <f t="shared" si="1"/>
        <v>3.7668888888888905E-2</v>
      </c>
      <c r="S13" s="211"/>
      <c r="T13" s="211"/>
      <c r="U13">
        <f t="shared" si="3"/>
        <v>55</v>
      </c>
    </row>
    <row r="14" spans="1:21" x14ac:dyDescent="0.25">
      <c r="B14" t="s">
        <v>1025</v>
      </c>
      <c r="P14" s="209">
        <f t="shared" si="2"/>
        <v>12</v>
      </c>
      <c r="Q14" s="42">
        <f t="shared" si="0"/>
        <v>0.26800000000000002</v>
      </c>
      <c r="R14" s="42">
        <f t="shared" si="1"/>
        <v>4.1093333333333357E-2</v>
      </c>
      <c r="S14" s="211"/>
      <c r="T14" s="211"/>
      <c r="U14">
        <f t="shared" si="3"/>
        <v>60</v>
      </c>
    </row>
    <row r="15" spans="1:21" x14ac:dyDescent="0.25">
      <c r="B15" t="s">
        <v>1026</v>
      </c>
      <c r="P15" s="209">
        <f t="shared" si="2"/>
        <v>13</v>
      </c>
      <c r="Q15" s="42">
        <f t="shared" si="0"/>
        <v>0.29033333333333333</v>
      </c>
      <c r="R15" s="42">
        <f t="shared" si="1"/>
        <v>4.4517777777777802E-2</v>
      </c>
      <c r="S15" s="211"/>
      <c r="T15" s="211"/>
      <c r="U15">
        <f t="shared" si="3"/>
        <v>65</v>
      </c>
    </row>
    <row r="16" spans="1:21" x14ac:dyDescent="0.25">
      <c r="B16" t="s">
        <v>1027</v>
      </c>
      <c r="P16" s="209">
        <f t="shared" si="2"/>
        <v>14</v>
      </c>
      <c r="Q16" s="42">
        <f t="shared" si="0"/>
        <v>0.31266666666666665</v>
      </c>
      <c r="R16" s="42">
        <f t="shared" si="1"/>
        <v>4.7942222222222247E-2</v>
      </c>
      <c r="S16" s="211"/>
      <c r="T16" s="211"/>
      <c r="U16">
        <f t="shared" si="3"/>
        <v>70</v>
      </c>
    </row>
    <row r="17" spans="2:21" x14ac:dyDescent="0.25">
      <c r="P17" s="209">
        <f t="shared" si="2"/>
        <v>15</v>
      </c>
      <c r="Q17" s="42">
        <f t="shared" si="0"/>
        <v>0.33500000000000002</v>
      </c>
      <c r="R17" s="42">
        <f t="shared" si="1"/>
        <v>5.1366666666666692E-2</v>
      </c>
      <c r="S17" s="211"/>
      <c r="T17" s="211"/>
      <c r="U17">
        <f t="shared" si="3"/>
        <v>75</v>
      </c>
    </row>
    <row r="18" spans="2:21" x14ac:dyDescent="0.25">
      <c r="P18" s="209">
        <f t="shared" si="2"/>
        <v>16</v>
      </c>
      <c r="Q18" s="42">
        <f t="shared" si="0"/>
        <v>0.35733333333333334</v>
      </c>
      <c r="R18" s="42">
        <f t="shared" si="1"/>
        <v>5.4791111111111138E-2</v>
      </c>
      <c r="S18" s="211"/>
      <c r="T18" s="211"/>
      <c r="U18">
        <f t="shared" si="3"/>
        <v>80</v>
      </c>
    </row>
    <row r="19" spans="2:21" x14ac:dyDescent="0.25">
      <c r="P19" s="209">
        <f t="shared" si="2"/>
        <v>17</v>
      </c>
      <c r="Q19" s="42">
        <f t="shared" si="0"/>
        <v>0.37966666666666665</v>
      </c>
      <c r="R19" s="42">
        <f t="shared" si="1"/>
        <v>5.8215555555555583E-2</v>
      </c>
      <c r="S19" s="211"/>
      <c r="T19" s="211"/>
      <c r="U19">
        <f t="shared" si="3"/>
        <v>85</v>
      </c>
    </row>
    <row r="20" spans="2:21" x14ac:dyDescent="0.25">
      <c r="P20" s="209">
        <f t="shared" si="2"/>
        <v>18</v>
      </c>
      <c r="Q20" s="42">
        <f t="shared" si="0"/>
        <v>0.40200000000000002</v>
      </c>
      <c r="R20" s="42">
        <f t="shared" si="1"/>
        <v>6.1640000000000028E-2</v>
      </c>
      <c r="S20" s="211"/>
      <c r="T20" s="211"/>
      <c r="U20">
        <f t="shared" si="3"/>
        <v>90</v>
      </c>
    </row>
    <row r="21" spans="2:21" x14ac:dyDescent="0.25">
      <c r="P21" s="209">
        <f t="shared" si="2"/>
        <v>19</v>
      </c>
      <c r="Q21" s="42">
        <f t="shared" si="0"/>
        <v>0.42433333333333334</v>
      </c>
      <c r="R21" s="42">
        <f t="shared" si="1"/>
        <v>6.506444444444448E-2</v>
      </c>
      <c r="S21" s="211"/>
      <c r="T21" s="211"/>
      <c r="U21">
        <f t="shared" si="3"/>
        <v>95</v>
      </c>
    </row>
    <row r="22" spans="2:21" x14ac:dyDescent="0.25">
      <c r="P22" s="209">
        <f t="shared" si="2"/>
        <v>20</v>
      </c>
      <c r="Q22" s="42">
        <f t="shared" si="0"/>
        <v>0.44666666666666666</v>
      </c>
      <c r="R22" s="42">
        <f t="shared" si="1"/>
        <v>6.8488888888888919E-2</v>
      </c>
      <c r="S22" s="211"/>
      <c r="T22" s="211"/>
      <c r="U22">
        <f t="shared" si="3"/>
        <v>100</v>
      </c>
    </row>
    <row r="23" spans="2:21" x14ac:dyDescent="0.25">
      <c r="P23" s="209">
        <f t="shared" si="2"/>
        <v>21</v>
      </c>
      <c r="Q23" s="42">
        <f t="shared" si="0"/>
        <v>0.46900000000000003</v>
      </c>
      <c r="R23" s="42">
        <f t="shared" si="1"/>
        <v>7.1913333333333371E-2</v>
      </c>
      <c r="S23" s="211"/>
      <c r="T23" s="211"/>
    </row>
    <row r="24" spans="2:21" x14ac:dyDescent="0.25">
      <c r="P24" s="209">
        <f t="shared" si="2"/>
        <v>22</v>
      </c>
      <c r="Q24" s="42">
        <f t="shared" si="0"/>
        <v>0.49133333333333334</v>
      </c>
      <c r="R24" s="42">
        <f t="shared" si="1"/>
        <v>7.5337777777777809E-2</v>
      </c>
      <c r="S24" s="211"/>
      <c r="T24" s="211"/>
    </row>
    <row r="25" spans="2:21" ht="15.75" thickBot="1" x14ac:dyDescent="0.3">
      <c r="P25" s="209">
        <f t="shared" si="2"/>
        <v>23</v>
      </c>
      <c r="Q25" s="42">
        <f t="shared" si="0"/>
        <v>0.51366666666666672</v>
      </c>
      <c r="R25" s="42">
        <f t="shared" si="1"/>
        <v>7.8762222222222261E-2</v>
      </c>
      <c r="S25" s="211"/>
      <c r="T25" s="211"/>
    </row>
    <row r="26" spans="2:21" ht="17.25" thickTop="1" thickBot="1" x14ac:dyDescent="0.3">
      <c r="B26" t="s">
        <v>156</v>
      </c>
      <c r="E26" s="4">
        <v>1</v>
      </c>
      <c r="F26" s="6" t="s">
        <v>157</v>
      </c>
      <c r="G26" s="22">
        <f>IF('VER. GEO CONDIZIONI DRENATE'!E49='FOGLIO DEPOSITO'!F26,1,IF('VER. GEO CONDIZIONI DRENATE'!E49='FOGLIO DEPOSITO'!F27,2,IF('VER. GEO CONDIZIONI DRENATE'!E49='FOGLIO DEPOSITO'!F28,3,"")))</f>
        <v>3</v>
      </c>
      <c r="H26" s="4"/>
      <c r="I26" t="s">
        <v>158</v>
      </c>
      <c r="P26" s="209">
        <f t="shared" si="2"/>
        <v>24</v>
      </c>
      <c r="Q26" s="42">
        <f t="shared" si="0"/>
        <v>0.53600000000000003</v>
      </c>
      <c r="R26" s="42">
        <f t="shared" si="1"/>
        <v>8.2186666666666713E-2</v>
      </c>
      <c r="S26" s="211"/>
      <c r="T26" s="211"/>
    </row>
    <row r="27" spans="2:21" ht="15.75" thickTop="1" x14ac:dyDescent="0.25">
      <c r="B27" t="s">
        <v>159</v>
      </c>
      <c r="E27" s="4">
        <v>2</v>
      </c>
      <c r="F27" s="6" t="s">
        <v>160</v>
      </c>
      <c r="G27" s="4"/>
      <c r="H27" s="4"/>
      <c r="I27" t="s">
        <v>155</v>
      </c>
      <c r="P27" s="209">
        <f t="shared" si="2"/>
        <v>25</v>
      </c>
      <c r="Q27" s="42">
        <f t="shared" si="0"/>
        <v>0.55833333333333335</v>
      </c>
      <c r="R27" s="42">
        <f t="shared" si="1"/>
        <v>8.5611111111111152E-2</v>
      </c>
      <c r="S27" s="211"/>
      <c r="T27" s="211"/>
    </row>
    <row r="28" spans="2:21" x14ac:dyDescent="0.25">
      <c r="E28" s="4">
        <v>3</v>
      </c>
      <c r="F28" s="6" t="s">
        <v>161</v>
      </c>
      <c r="G28" s="4"/>
      <c r="H28" s="4"/>
      <c r="P28" s="209">
        <f t="shared" si="2"/>
        <v>26</v>
      </c>
      <c r="Q28" s="42">
        <f t="shared" si="0"/>
        <v>0.58066666666666666</v>
      </c>
      <c r="R28" s="42">
        <f t="shared" si="1"/>
        <v>8.9035555555555604E-2</v>
      </c>
      <c r="S28" s="211"/>
      <c r="T28" s="211"/>
    </row>
    <row r="29" spans="2:21" x14ac:dyDescent="0.25">
      <c r="P29" s="209">
        <f t="shared" si="2"/>
        <v>27</v>
      </c>
      <c r="Q29" s="42">
        <f t="shared" si="0"/>
        <v>0.60299999999999998</v>
      </c>
      <c r="R29" s="42">
        <f t="shared" si="1"/>
        <v>9.2460000000000042E-2</v>
      </c>
      <c r="S29" s="211"/>
      <c r="T29" s="211"/>
    </row>
    <row r="30" spans="2:21" x14ac:dyDescent="0.25">
      <c r="P30" s="209">
        <f t="shared" si="2"/>
        <v>28</v>
      </c>
      <c r="Q30" s="42">
        <f t="shared" si="0"/>
        <v>0.6253333333333333</v>
      </c>
      <c r="R30" s="42">
        <f t="shared" si="1"/>
        <v>9.5884444444444494E-2</v>
      </c>
      <c r="S30" s="211"/>
      <c r="T30" s="211"/>
    </row>
    <row r="31" spans="2:21" x14ac:dyDescent="0.25">
      <c r="P31" s="209">
        <f t="shared" si="2"/>
        <v>29</v>
      </c>
      <c r="Q31" s="42">
        <f t="shared" si="0"/>
        <v>0.64766666666666672</v>
      </c>
      <c r="R31" s="42">
        <f t="shared" si="1"/>
        <v>9.9308888888888933E-2</v>
      </c>
      <c r="S31" s="211"/>
      <c r="T31" s="211"/>
    </row>
    <row r="32" spans="2:21" x14ac:dyDescent="0.25">
      <c r="P32" s="209">
        <f t="shared" si="2"/>
        <v>30</v>
      </c>
      <c r="Q32" s="42">
        <f t="shared" si="0"/>
        <v>0.67</v>
      </c>
      <c r="R32" s="42">
        <f t="shared" si="1"/>
        <v>0.10273333333333338</v>
      </c>
      <c r="S32" s="211"/>
      <c r="T32" s="211"/>
    </row>
    <row r="33" spans="2:20" x14ac:dyDescent="0.25">
      <c r="P33" s="209">
        <f t="shared" si="2"/>
        <v>31</v>
      </c>
      <c r="Q33" s="42">
        <f t="shared" si="0"/>
        <v>0.69233333333333336</v>
      </c>
      <c r="R33" s="42">
        <f t="shared" si="1"/>
        <v>0.10615777777777782</v>
      </c>
      <c r="S33" s="211"/>
      <c r="T33" s="211"/>
    </row>
    <row r="34" spans="2:20" x14ac:dyDescent="0.25">
      <c r="B34" s="1" t="s">
        <v>162</v>
      </c>
      <c r="C34" s="2"/>
      <c r="D34" s="4"/>
      <c r="E34" s="2"/>
      <c r="F34" s="2"/>
      <c r="G34" s="2"/>
      <c r="H34" s="2"/>
      <c r="P34" s="209">
        <f t="shared" si="2"/>
        <v>32</v>
      </c>
      <c r="Q34" s="42">
        <f t="shared" ref="Q34:Q65" si="4">$Q$1/$P$152*P34</f>
        <v>0.71466666666666667</v>
      </c>
      <c r="R34" s="42">
        <f t="shared" ref="R34:R65" si="5">$R$1/$P$152*P34</f>
        <v>0.10958222222222228</v>
      </c>
      <c r="S34" s="211"/>
      <c r="T34" s="211"/>
    </row>
    <row r="35" spans="2:20" x14ac:dyDescent="0.25">
      <c r="B35" s="14" t="s">
        <v>163</v>
      </c>
      <c r="C35" s="2"/>
      <c r="D35" s="4"/>
      <c r="E35" s="2"/>
      <c r="F35" s="2"/>
      <c r="G35" s="2"/>
      <c r="H35" s="2"/>
      <c r="P35" s="209">
        <f t="shared" ref="P35:P67" si="6">P34+1</f>
        <v>33</v>
      </c>
      <c r="Q35" s="42">
        <f t="shared" si="4"/>
        <v>0.73699999999999999</v>
      </c>
      <c r="R35" s="42">
        <f t="shared" si="5"/>
        <v>0.11300666666666673</v>
      </c>
      <c r="S35" s="211"/>
      <c r="T35" s="211"/>
    </row>
    <row r="36" spans="2:20" x14ac:dyDescent="0.25">
      <c r="B36" s="14" t="s">
        <v>164</v>
      </c>
      <c r="C36" s="2"/>
      <c r="D36" s="4"/>
      <c r="E36" s="2"/>
      <c r="F36" s="2"/>
      <c r="G36" s="2"/>
      <c r="H36" s="2"/>
      <c r="P36" s="209">
        <f t="shared" si="6"/>
        <v>34</v>
      </c>
      <c r="Q36" s="42">
        <f t="shared" si="4"/>
        <v>0.7593333333333333</v>
      </c>
      <c r="R36" s="42">
        <f t="shared" si="5"/>
        <v>0.11643111111111117</v>
      </c>
      <c r="S36" s="211"/>
      <c r="T36" s="211"/>
    </row>
    <row r="37" spans="2:20" x14ac:dyDescent="0.25">
      <c r="B37" s="14" t="s">
        <v>165</v>
      </c>
      <c r="C37" s="2"/>
      <c r="D37" s="4"/>
      <c r="E37" s="2"/>
      <c r="F37" s="2"/>
      <c r="G37" s="2"/>
      <c r="H37" s="2"/>
      <c r="P37" s="209">
        <f t="shared" si="6"/>
        <v>35</v>
      </c>
      <c r="Q37" s="42">
        <f t="shared" si="4"/>
        <v>0.78166666666666662</v>
      </c>
      <c r="R37" s="42">
        <f t="shared" si="5"/>
        <v>0.11985555555555562</v>
      </c>
      <c r="S37" s="211"/>
      <c r="T37" s="211"/>
    </row>
    <row r="38" spans="2:20" x14ac:dyDescent="0.25">
      <c r="B38" s="2" t="s">
        <v>166</v>
      </c>
      <c r="C38" s="2"/>
      <c r="D38" s="2"/>
      <c r="E38" s="2"/>
      <c r="F38" s="2"/>
      <c r="G38" s="2"/>
      <c r="H38" s="2"/>
      <c r="P38" s="209">
        <f t="shared" si="6"/>
        <v>36</v>
      </c>
      <c r="Q38" s="42">
        <f t="shared" si="4"/>
        <v>0.80400000000000005</v>
      </c>
      <c r="R38" s="42">
        <f t="shared" si="5"/>
        <v>0.12328000000000006</v>
      </c>
      <c r="S38" s="211"/>
      <c r="T38" s="211"/>
    </row>
    <row r="39" spans="2:20" ht="15.75" thickBot="1" x14ac:dyDescent="0.3">
      <c r="B39" s="2"/>
      <c r="C39" s="2"/>
      <c r="D39" s="396" t="s">
        <v>167</v>
      </c>
      <c r="E39" s="396" t="s">
        <v>168</v>
      </c>
      <c r="F39" s="396" t="s">
        <v>169</v>
      </c>
      <c r="G39" s="2"/>
      <c r="H39" s="2"/>
      <c r="P39" s="209">
        <f t="shared" si="6"/>
        <v>37</v>
      </c>
      <c r="Q39" s="42">
        <f t="shared" si="4"/>
        <v>0.82633333333333336</v>
      </c>
      <c r="R39" s="42">
        <f t="shared" si="5"/>
        <v>0.12670444444444451</v>
      </c>
      <c r="S39" s="211"/>
      <c r="T39" s="211"/>
    </row>
    <row r="40" spans="2:20" ht="16.5" thickTop="1" thickBot="1" x14ac:dyDescent="0.3">
      <c r="B40" s="2" t="s">
        <v>170</v>
      </c>
      <c r="C40" s="396" t="s">
        <v>171</v>
      </c>
      <c r="D40" s="37">
        <f>'Progetto della zattera slu'!E72+MAXA('ANALISI DELLE SPINTE'!AA97,'ANALISI DELLE SPINTE'!AA114)</f>
        <v>139.48251939085117</v>
      </c>
      <c r="E40" s="36"/>
      <c r="F40" s="36"/>
      <c r="G40" s="4" t="s">
        <v>12</v>
      </c>
      <c r="P40" s="209">
        <f t="shared" si="6"/>
        <v>38</v>
      </c>
      <c r="Q40" s="42">
        <f t="shared" si="4"/>
        <v>0.84866666666666668</v>
      </c>
      <c r="R40" s="42">
        <f t="shared" si="5"/>
        <v>0.13012888888888896</v>
      </c>
      <c r="S40" s="211"/>
      <c r="T40" s="211"/>
    </row>
    <row r="41" spans="2:20" ht="16.5" thickTop="1" thickBot="1" x14ac:dyDescent="0.3">
      <c r="B41" s="2" t="s">
        <v>172</v>
      </c>
      <c r="C41" s="396" t="s">
        <v>173</v>
      </c>
      <c r="D41" s="37"/>
      <c r="E41" s="37"/>
      <c r="F41" s="37"/>
      <c r="G41" s="4" t="s">
        <v>12</v>
      </c>
      <c r="P41" s="209">
        <f t="shared" si="6"/>
        <v>39</v>
      </c>
      <c r="Q41" s="42">
        <f t="shared" si="4"/>
        <v>0.871</v>
      </c>
      <c r="R41" s="42">
        <f t="shared" si="5"/>
        <v>0.13355333333333338</v>
      </c>
      <c r="S41" s="211"/>
      <c r="T41" s="211"/>
    </row>
    <row r="42" spans="2:20" ht="16.5" thickTop="1" thickBot="1" x14ac:dyDescent="0.3">
      <c r="B42" s="2" t="s">
        <v>174</v>
      </c>
      <c r="C42" s="396" t="s">
        <v>175</v>
      </c>
      <c r="D42" s="37">
        <f>'Progetto della zattera slu'!F60</f>
        <v>54.684656336963357</v>
      </c>
      <c r="E42" s="37"/>
      <c r="F42" s="37"/>
      <c r="G42" s="4" t="s">
        <v>12</v>
      </c>
      <c r="P42" s="209">
        <f t="shared" si="6"/>
        <v>40</v>
      </c>
      <c r="Q42" s="42">
        <f t="shared" si="4"/>
        <v>0.89333333333333331</v>
      </c>
      <c r="R42" s="42">
        <f t="shared" si="5"/>
        <v>0.13697777777777784</v>
      </c>
      <c r="S42" s="211"/>
      <c r="T42" s="211"/>
    </row>
    <row r="43" spans="2:20" ht="16.5" thickTop="1" thickBot="1" x14ac:dyDescent="0.3">
      <c r="B43" s="2" t="s">
        <v>176</v>
      </c>
      <c r="C43" s="396" t="s">
        <v>177</v>
      </c>
      <c r="D43" s="36"/>
      <c r="E43" s="36"/>
      <c r="F43" s="36"/>
      <c r="G43" s="4" t="s">
        <v>14</v>
      </c>
      <c r="P43" s="209">
        <f t="shared" si="6"/>
        <v>41</v>
      </c>
      <c r="Q43" s="42">
        <f t="shared" si="4"/>
        <v>0.91566666666666663</v>
      </c>
      <c r="R43" s="42">
        <f t="shared" si="5"/>
        <v>0.14040222222222229</v>
      </c>
      <c r="S43" s="211"/>
      <c r="T43" s="211"/>
    </row>
    <row r="44" spans="2:20" ht="16.5" thickTop="1" thickBot="1" x14ac:dyDescent="0.3">
      <c r="B44" s="2" t="s">
        <v>178</v>
      </c>
      <c r="C44" s="396" t="s">
        <v>179</v>
      </c>
      <c r="D44" s="37">
        <v>0</v>
      </c>
      <c r="E44" s="37"/>
      <c r="F44" s="37"/>
      <c r="G44" s="4" t="s">
        <v>14</v>
      </c>
      <c r="P44" s="209">
        <f t="shared" si="6"/>
        <v>42</v>
      </c>
      <c r="Q44" s="42">
        <f t="shared" si="4"/>
        <v>0.93800000000000006</v>
      </c>
      <c r="R44" s="42">
        <f t="shared" si="5"/>
        <v>0.14382666666666674</v>
      </c>
      <c r="S44" s="211"/>
      <c r="T44" s="211"/>
    </row>
    <row r="45" spans="2:20" ht="15.75" thickTop="1" x14ac:dyDescent="0.25">
      <c r="C45" s="396"/>
      <c r="D45" s="20"/>
      <c r="E45" s="20"/>
      <c r="F45" s="20"/>
      <c r="G45" s="4"/>
      <c r="P45" s="209">
        <f t="shared" si="6"/>
        <v>43</v>
      </c>
      <c r="Q45" s="42">
        <f t="shared" si="4"/>
        <v>0.96033333333333337</v>
      </c>
      <c r="R45" s="42">
        <f t="shared" si="5"/>
        <v>0.14725111111111119</v>
      </c>
      <c r="S45" s="211"/>
      <c r="T45" s="211"/>
    </row>
    <row r="46" spans="2:20" x14ac:dyDescent="0.25">
      <c r="B46" s="2" t="s">
        <v>180</v>
      </c>
      <c r="C46" s="396" t="s">
        <v>181</v>
      </c>
      <c r="D46" s="34">
        <f>(D41^2+D42^2)^0.5</f>
        <v>54.684656336963357</v>
      </c>
      <c r="E46" s="34">
        <f>(E41^2+E42^2)^0.5</f>
        <v>0</v>
      </c>
      <c r="F46" s="34">
        <f>(F41^2+F42^2)^0.5</f>
        <v>0</v>
      </c>
      <c r="G46" s="4" t="s">
        <v>12</v>
      </c>
      <c r="P46" s="209">
        <f t="shared" si="6"/>
        <v>44</v>
      </c>
      <c r="Q46" s="42">
        <f t="shared" si="4"/>
        <v>0.98266666666666669</v>
      </c>
      <c r="R46" s="42">
        <f t="shared" si="5"/>
        <v>0.15067555555555562</v>
      </c>
      <c r="S46" s="211"/>
      <c r="T46" s="211"/>
    </row>
    <row r="47" spans="2:20" x14ac:dyDescent="0.25">
      <c r="B47" s="2"/>
      <c r="H47" s="2"/>
      <c r="P47" s="209">
        <f t="shared" si="6"/>
        <v>45</v>
      </c>
      <c r="Q47" s="42">
        <f t="shared" si="4"/>
        <v>1.0050000000000001</v>
      </c>
      <c r="R47" s="42">
        <f t="shared" si="5"/>
        <v>0.15410000000000007</v>
      </c>
      <c r="S47" s="211"/>
      <c r="T47" s="211"/>
    </row>
    <row r="48" spans="2:20" ht="15.75" x14ac:dyDescent="0.25">
      <c r="B48" s="27" t="s">
        <v>182</v>
      </c>
      <c r="C48" s="396"/>
      <c r="D48" s="20"/>
      <c r="E48" s="4"/>
      <c r="F48" s="2"/>
      <c r="G48" s="2"/>
      <c r="H48" s="2"/>
      <c r="P48" s="209">
        <f t="shared" si="6"/>
        <v>46</v>
      </c>
      <c r="Q48" s="42">
        <f t="shared" si="4"/>
        <v>1.0273333333333334</v>
      </c>
      <c r="R48" s="42">
        <f t="shared" si="5"/>
        <v>0.15752444444444452</v>
      </c>
      <c r="S48" s="211"/>
      <c r="T48" s="211"/>
    </row>
    <row r="49" spans="2:20" x14ac:dyDescent="0.25">
      <c r="B49" s="2" t="s">
        <v>183</v>
      </c>
      <c r="C49" s="396"/>
      <c r="D49" s="20"/>
      <c r="E49" s="4"/>
      <c r="F49" s="2"/>
      <c r="G49" s="2"/>
      <c r="H49" s="2"/>
      <c r="P49" s="209">
        <f t="shared" si="6"/>
        <v>47</v>
      </c>
      <c r="Q49" s="42">
        <f t="shared" si="4"/>
        <v>1.0496666666666667</v>
      </c>
      <c r="R49" s="42">
        <f t="shared" si="5"/>
        <v>0.16094888888888897</v>
      </c>
      <c r="S49" s="211"/>
      <c r="T49" s="211"/>
    </row>
    <row r="50" spans="2:20" x14ac:dyDescent="0.25">
      <c r="B50" s="2" t="s">
        <v>184</v>
      </c>
      <c r="C50" s="396"/>
      <c r="D50" s="20"/>
      <c r="E50" s="4"/>
      <c r="F50" s="2"/>
      <c r="G50" s="2"/>
      <c r="H50" s="2"/>
      <c r="P50" s="209">
        <f t="shared" si="6"/>
        <v>48</v>
      </c>
      <c r="Q50" s="42">
        <f t="shared" si="4"/>
        <v>1.0720000000000001</v>
      </c>
      <c r="R50" s="42">
        <f t="shared" si="5"/>
        <v>0.16437333333333343</v>
      </c>
      <c r="S50" s="211"/>
      <c r="T50" s="211"/>
    </row>
    <row r="51" spans="2:20" x14ac:dyDescent="0.25">
      <c r="B51" s="2" t="s">
        <v>185</v>
      </c>
      <c r="C51" s="396"/>
      <c r="D51" s="20"/>
      <c r="E51" s="4"/>
      <c r="F51" s="2"/>
      <c r="G51" s="2"/>
      <c r="H51" s="2"/>
      <c r="P51" s="209">
        <f t="shared" si="6"/>
        <v>49</v>
      </c>
      <c r="Q51" s="42">
        <f t="shared" si="4"/>
        <v>1.0943333333333334</v>
      </c>
      <c r="R51" s="42">
        <f t="shared" si="5"/>
        <v>0.16779777777777785</v>
      </c>
      <c r="S51" s="211"/>
      <c r="T51" s="211"/>
    </row>
    <row r="52" spans="2:20" x14ac:dyDescent="0.25">
      <c r="B52" s="2" t="s">
        <v>186</v>
      </c>
      <c r="C52" s="396"/>
      <c r="D52" s="20"/>
      <c r="E52" s="4"/>
      <c r="F52" s="2"/>
      <c r="G52" s="2"/>
      <c r="H52" s="2"/>
      <c r="P52" s="209">
        <f t="shared" si="6"/>
        <v>50</v>
      </c>
      <c r="Q52" s="42">
        <f t="shared" si="4"/>
        <v>1.1166666666666667</v>
      </c>
      <c r="R52" s="42">
        <f t="shared" si="5"/>
        <v>0.1712222222222223</v>
      </c>
      <c r="S52" s="211"/>
      <c r="T52" s="211"/>
    </row>
    <row r="53" spans="2:20" x14ac:dyDescent="0.25">
      <c r="B53" s="33"/>
      <c r="C53" s="33"/>
      <c r="D53" s="33"/>
      <c r="E53" s="33"/>
      <c r="F53" s="33"/>
      <c r="P53" s="209">
        <f t="shared" si="6"/>
        <v>51</v>
      </c>
      <c r="Q53" s="42">
        <f t="shared" si="4"/>
        <v>1.139</v>
      </c>
      <c r="R53" s="42">
        <f t="shared" si="5"/>
        <v>0.17464666666666676</v>
      </c>
      <c r="S53" s="211"/>
      <c r="T53" s="211"/>
    </row>
    <row r="54" spans="2:20" x14ac:dyDescent="0.25">
      <c r="B54" s="33"/>
      <c r="C54" s="33"/>
      <c r="D54" s="33"/>
      <c r="E54" s="33"/>
      <c r="F54" s="33"/>
      <c r="P54" s="209">
        <f t="shared" si="6"/>
        <v>52</v>
      </c>
      <c r="Q54" s="42">
        <f t="shared" si="4"/>
        <v>1.1613333333333333</v>
      </c>
      <c r="R54" s="42">
        <f t="shared" si="5"/>
        <v>0.17807111111111121</v>
      </c>
      <c r="S54" s="211"/>
      <c r="T54" s="211"/>
    </row>
    <row r="55" spans="2:20" x14ac:dyDescent="0.25">
      <c r="B55" s="333"/>
      <c r="C55" s="333"/>
      <c r="D55" s="333"/>
      <c r="E55" s="333"/>
      <c r="F55" s="333"/>
      <c r="P55" s="209">
        <f t="shared" si="6"/>
        <v>53</v>
      </c>
      <c r="Q55" s="42">
        <f t="shared" si="4"/>
        <v>1.1836666666666666</v>
      </c>
      <c r="R55" s="42">
        <f t="shared" si="5"/>
        <v>0.18149555555555563</v>
      </c>
      <c r="S55" s="211"/>
      <c r="T55" s="211"/>
    </row>
    <row r="56" spans="2:20" x14ac:dyDescent="0.25">
      <c r="B56" s="333"/>
      <c r="C56" s="333"/>
      <c r="D56" s="333"/>
      <c r="E56" s="333"/>
      <c r="F56" s="333"/>
      <c r="P56" s="209">
        <f t="shared" si="6"/>
        <v>54</v>
      </c>
      <c r="Q56" s="42">
        <f t="shared" si="4"/>
        <v>1.206</v>
      </c>
      <c r="R56" s="42">
        <f t="shared" si="5"/>
        <v>0.18492000000000008</v>
      </c>
      <c r="S56" s="211"/>
      <c r="T56" s="211"/>
    </row>
    <row r="57" spans="2:20" x14ac:dyDescent="0.25">
      <c r="B57" s="33"/>
      <c r="C57" s="33"/>
      <c r="D57" s="33"/>
      <c r="E57" s="33"/>
      <c r="F57" s="33"/>
      <c r="P57" s="209">
        <f t="shared" si="6"/>
        <v>55</v>
      </c>
      <c r="Q57" s="42">
        <f t="shared" si="4"/>
        <v>1.2283333333333333</v>
      </c>
      <c r="R57" s="42">
        <f t="shared" si="5"/>
        <v>0.18834444444444454</v>
      </c>
      <c r="S57" s="211"/>
      <c r="T57" s="211"/>
    </row>
    <row r="58" spans="2:20" x14ac:dyDescent="0.25">
      <c r="B58" s="24"/>
      <c r="C58" s="58"/>
      <c r="D58" s="180"/>
      <c r="E58" s="20"/>
      <c r="F58" s="33"/>
      <c r="P58" s="209">
        <f t="shared" si="6"/>
        <v>56</v>
      </c>
      <c r="Q58" s="42">
        <f t="shared" si="4"/>
        <v>1.2506666666666666</v>
      </c>
      <c r="R58" s="42">
        <f t="shared" si="5"/>
        <v>0.19176888888888899</v>
      </c>
      <c r="S58" s="211"/>
      <c r="T58" s="211"/>
    </row>
    <row r="59" spans="2:20" x14ac:dyDescent="0.25">
      <c r="B59" s="24"/>
      <c r="C59" s="58"/>
      <c r="D59" s="180"/>
      <c r="E59" s="20"/>
      <c r="F59" s="33"/>
      <c r="P59" s="209">
        <f t="shared" si="6"/>
        <v>57</v>
      </c>
      <c r="Q59" s="42">
        <f t="shared" si="4"/>
        <v>1.2729999999999999</v>
      </c>
      <c r="R59" s="42">
        <f t="shared" si="5"/>
        <v>0.19519333333333344</v>
      </c>
      <c r="S59" s="211"/>
      <c r="T59" s="211"/>
    </row>
    <row r="60" spans="2:20" x14ac:dyDescent="0.25">
      <c r="B60" s="331"/>
      <c r="C60" s="331"/>
      <c r="D60" s="332"/>
      <c r="E60" s="20"/>
      <c r="F60" s="33"/>
      <c r="P60" s="209">
        <f t="shared" si="6"/>
        <v>58</v>
      </c>
      <c r="Q60" s="42">
        <f t="shared" si="4"/>
        <v>1.2953333333333334</v>
      </c>
      <c r="R60" s="42">
        <f t="shared" si="5"/>
        <v>0.19861777777777787</v>
      </c>
      <c r="S60" s="211"/>
      <c r="T60" s="211"/>
    </row>
    <row r="61" spans="2:20" x14ac:dyDescent="0.25">
      <c r="B61" s="46"/>
      <c r="C61" s="46"/>
      <c r="D61" s="33"/>
      <c r="E61" s="33"/>
      <c r="F61" s="33"/>
      <c r="P61" s="209">
        <f t="shared" si="6"/>
        <v>59</v>
      </c>
      <c r="Q61" s="42">
        <f t="shared" si="4"/>
        <v>1.3176666666666668</v>
      </c>
      <c r="R61" s="42">
        <f t="shared" si="5"/>
        <v>0.20204222222222232</v>
      </c>
      <c r="S61" s="211"/>
      <c r="T61" s="211"/>
    </row>
    <row r="62" spans="2:20" x14ac:dyDescent="0.25">
      <c r="P62" s="209">
        <f t="shared" si="6"/>
        <v>60</v>
      </c>
      <c r="Q62" s="42">
        <f t="shared" si="4"/>
        <v>1.34</v>
      </c>
      <c r="R62" s="42">
        <f t="shared" si="5"/>
        <v>0.20546666666666677</v>
      </c>
      <c r="S62" s="211"/>
      <c r="T62" s="211"/>
    </row>
    <row r="63" spans="2:20" ht="15.75" x14ac:dyDescent="0.25">
      <c r="B63" s="52" t="s">
        <v>187</v>
      </c>
      <c r="C63" s="53"/>
      <c r="D63" s="53"/>
      <c r="E63" s="53"/>
      <c r="F63" s="53"/>
      <c r="G63" s="54"/>
      <c r="H63" s="294"/>
      <c r="I63" s="267"/>
      <c r="J63" s="267"/>
      <c r="K63" s="267"/>
      <c r="L63" s="268"/>
      <c r="P63" s="209">
        <f t="shared" si="6"/>
        <v>61</v>
      </c>
      <c r="Q63" s="42">
        <f t="shared" si="4"/>
        <v>1.3623333333333334</v>
      </c>
      <c r="R63" s="42">
        <f t="shared" si="5"/>
        <v>0.20889111111111122</v>
      </c>
      <c r="S63" s="211"/>
      <c r="T63" s="211"/>
    </row>
    <row r="64" spans="2:20" ht="15.75" x14ac:dyDescent="0.25">
      <c r="B64" s="55"/>
      <c r="C64" s="24"/>
      <c r="D64" s="997" t="s">
        <v>188</v>
      </c>
      <c r="E64" s="997"/>
      <c r="F64" s="997" t="s">
        <v>189</v>
      </c>
      <c r="G64" s="998"/>
      <c r="H64" s="228"/>
      <c r="I64" s="33"/>
      <c r="J64" s="33"/>
      <c r="K64" s="33"/>
      <c r="L64" s="210"/>
      <c r="P64" s="209">
        <f t="shared" si="6"/>
        <v>62</v>
      </c>
      <c r="Q64" s="42">
        <f t="shared" si="4"/>
        <v>1.3846666666666667</v>
      </c>
      <c r="R64" s="42">
        <f t="shared" si="5"/>
        <v>0.21231555555555565</v>
      </c>
      <c r="S64" s="211"/>
      <c r="T64" s="211"/>
    </row>
    <row r="65" spans="2:20" x14ac:dyDescent="0.25">
      <c r="B65" s="55"/>
      <c r="C65" s="24"/>
      <c r="D65" s="999" t="s">
        <v>190</v>
      </c>
      <c r="E65" s="999"/>
      <c r="F65" s="999" t="s">
        <v>191</v>
      </c>
      <c r="G65" s="1000"/>
      <c r="H65" s="228"/>
      <c r="I65" s="33"/>
      <c r="J65" s="33"/>
      <c r="K65" s="33"/>
      <c r="L65" s="210"/>
      <c r="P65" s="209">
        <f t="shared" si="6"/>
        <v>63</v>
      </c>
      <c r="Q65" s="42">
        <f t="shared" si="4"/>
        <v>1.407</v>
      </c>
      <c r="R65" s="42">
        <f t="shared" si="5"/>
        <v>0.2157400000000001</v>
      </c>
      <c r="S65" s="211"/>
      <c r="T65" s="211"/>
    </row>
    <row r="66" spans="2:20" x14ac:dyDescent="0.25">
      <c r="B66" s="55"/>
      <c r="C66" s="395" t="s">
        <v>167</v>
      </c>
      <c r="D66" s="400">
        <v>0.9</v>
      </c>
      <c r="E66" s="400">
        <f>IF('FOGLIO DEPOSITO'!B222='FOGLIO DEPOSITO'!I72,1,1.3)</f>
        <v>1.3</v>
      </c>
      <c r="F66" s="400">
        <v>1</v>
      </c>
      <c r="G66" s="56">
        <v>1</v>
      </c>
      <c r="H66" s="228"/>
      <c r="I66" s="321" t="s">
        <v>192</v>
      </c>
      <c r="J66" s="33"/>
      <c r="K66" s="33"/>
      <c r="L66" s="210"/>
      <c r="P66" s="209">
        <f t="shared" si="6"/>
        <v>64</v>
      </c>
      <c r="Q66" s="42">
        <f t="shared" ref="Q66:Q97" si="7">$Q$1/$P$152*P66</f>
        <v>1.4293333333333333</v>
      </c>
      <c r="R66" s="42">
        <f t="shared" ref="R66:R97" si="8">$R$1/$P$152*P66</f>
        <v>0.21916444444444455</v>
      </c>
      <c r="S66" s="211"/>
      <c r="T66" s="211"/>
    </row>
    <row r="67" spans="2:20" x14ac:dyDescent="0.25">
      <c r="B67" s="55"/>
      <c r="C67" s="395" t="s">
        <v>168</v>
      </c>
      <c r="D67" s="400">
        <v>0</v>
      </c>
      <c r="E67" s="400">
        <f>IF('FOGLIO DEPOSITO'!B222='FOGLIO DEPOSITO'!I72,1,1.5)</f>
        <v>1.5</v>
      </c>
      <c r="F67" s="400">
        <v>0</v>
      </c>
      <c r="G67" s="56">
        <f>IF('FOGLIO DEPOSITO'!B222='FOGLIO DEPOSITO'!I72,1,1.3)</f>
        <v>1.3</v>
      </c>
      <c r="H67" s="228"/>
      <c r="I67" s="321" t="s">
        <v>193</v>
      </c>
      <c r="J67" s="33"/>
      <c r="K67" s="33"/>
      <c r="L67" s="210"/>
      <c r="P67" s="209">
        <f t="shared" si="6"/>
        <v>65</v>
      </c>
      <c r="Q67" s="42">
        <f t="shared" si="7"/>
        <v>1.4516666666666667</v>
      </c>
      <c r="R67" s="42">
        <f t="shared" si="8"/>
        <v>0.222588888888889</v>
      </c>
      <c r="S67" s="211"/>
      <c r="T67" s="211"/>
    </row>
    <row r="68" spans="2:20" x14ac:dyDescent="0.25">
      <c r="B68" s="55"/>
      <c r="C68" s="395" t="s">
        <v>169</v>
      </c>
      <c r="D68" s="400">
        <v>0</v>
      </c>
      <c r="E68" s="400">
        <f>IF('FOGLIO DEPOSITO'!B222='FOGLIO DEPOSITO'!I72,1,1.5)</f>
        <v>1.5</v>
      </c>
      <c r="F68" s="400">
        <v>0</v>
      </c>
      <c r="G68" s="56">
        <f>IF('FOGLIO DEPOSITO'!B222='FOGLIO DEPOSITO'!I72,1,1.3)</f>
        <v>1.3</v>
      </c>
      <c r="H68" s="228"/>
      <c r="I68" s="321" t="s">
        <v>194</v>
      </c>
      <c r="J68" s="33"/>
      <c r="K68" s="33"/>
      <c r="L68" s="210"/>
      <c r="P68" s="209">
        <f t="shared" ref="P68:P72" si="9">P67+1</f>
        <v>66</v>
      </c>
      <c r="Q68" s="42">
        <f t="shared" si="7"/>
        <v>1.474</v>
      </c>
      <c r="R68" s="42">
        <f t="shared" si="8"/>
        <v>0.22601333333333345</v>
      </c>
      <c r="S68" s="211"/>
      <c r="T68" s="211"/>
    </row>
    <row r="69" spans="2:20" ht="15.75" thickBot="1" x14ac:dyDescent="0.3">
      <c r="B69" s="55"/>
      <c r="C69" s="24"/>
      <c r="D69" s="24"/>
      <c r="E69" s="20"/>
      <c r="F69" s="24"/>
      <c r="G69" s="57"/>
      <c r="H69" s="228"/>
      <c r="I69" s="24" t="s">
        <v>195</v>
      </c>
      <c r="J69" s="33"/>
      <c r="K69" s="33"/>
      <c r="L69" s="210"/>
      <c r="P69" s="209">
        <f t="shared" si="9"/>
        <v>67</v>
      </c>
      <c r="Q69" s="42">
        <f t="shared" si="7"/>
        <v>1.4963333333333333</v>
      </c>
      <c r="R69" s="42">
        <f t="shared" si="8"/>
        <v>0.22943777777777788</v>
      </c>
      <c r="S69" s="211"/>
      <c r="T69" s="211"/>
    </row>
    <row r="70" spans="2:20" ht="17.25" thickTop="1" thickBot="1" x14ac:dyDescent="0.3">
      <c r="B70" s="55"/>
      <c r="C70" s="24"/>
      <c r="D70" s="395" t="s">
        <v>196</v>
      </c>
      <c r="E70" s="395" t="s">
        <v>197</v>
      </c>
      <c r="F70" s="24"/>
      <c r="G70" s="57"/>
      <c r="H70" s="228"/>
      <c r="I70" s="26">
        <f>IF(DATI!C268='FOGLIO DEPOSITO'!I66,1,IF(DATI!C268='FOGLIO DEPOSITO'!I67,2,IF(DATI!C268='FOGLIO DEPOSITO'!I68,3,0)))</f>
        <v>3</v>
      </c>
      <c r="J70" s="33"/>
      <c r="K70" s="33"/>
      <c r="L70" s="210"/>
      <c r="P70" s="209">
        <f t="shared" si="9"/>
        <v>68</v>
      </c>
      <c r="Q70" s="42">
        <f t="shared" si="7"/>
        <v>1.5186666666666666</v>
      </c>
      <c r="R70" s="42">
        <f t="shared" si="8"/>
        <v>0.23286222222222233</v>
      </c>
      <c r="S70" s="211"/>
      <c r="T70" s="211"/>
    </row>
    <row r="71" spans="2:20" ht="15.75" thickTop="1" x14ac:dyDescent="0.25">
      <c r="B71" s="55"/>
      <c r="C71" s="395" t="s">
        <v>198</v>
      </c>
      <c r="D71" s="400">
        <v>1</v>
      </c>
      <c r="E71" s="400">
        <v>1.25</v>
      </c>
      <c r="F71" s="24"/>
      <c r="G71" s="57"/>
      <c r="H71" s="228"/>
      <c r="I71" s="33"/>
      <c r="J71" s="33"/>
      <c r="K71" s="33"/>
      <c r="L71" s="210"/>
      <c r="P71" s="209">
        <f t="shared" si="9"/>
        <v>69</v>
      </c>
      <c r="Q71" s="42">
        <f t="shared" si="7"/>
        <v>1.5409999999999999</v>
      </c>
      <c r="R71" s="42">
        <f t="shared" si="8"/>
        <v>0.23628666666666678</v>
      </c>
      <c r="S71" s="211"/>
      <c r="T71" s="211"/>
    </row>
    <row r="72" spans="2:20" x14ac:dyDescent="0.25">
      <c r="B72" s="55"/>
      <c r="C72" s="395" t="s">
        <v>199</v>
      </c>
      <c r="D72" s="400">
        <v>1</v>
      </c>
      <c r="E72" s="400">
        <v>1.25</v>
      </c>
      <c r="F72" s="24"/>
      <c r="G72" s="57"/>
      <c r="H72" s="228"/>
      <c r="I72" s="33" t="s">
        <v>200</v>
      </c>
      <c r="J72" s="33"/>
      <c r="K72" s="33"/>
      <c r="L72" s="210"/>
      <c r="P72" s="209">
        <f t="shared" si="9"/>
        <v>70</v>
      </c>
      <c r="Q72" s="42">
        <f t="shared" si="7"/>
        <v>1.5633333333333332</v>
      </c>
      <c r="R72" s="42">
        <f t="shared" si="8"/>
        <v>0.23971111111111124</v>
      </c>
      <c r="S72" s="211"/>
      <c r="T72" s="211"/>
    </row>
    <row r="73" spans="2:20" x14ac:dyDescent="0.25">
      <c r="B73" s="55"/>
      <c r="C73" s="395" t="s">
        <v>201</v>
      </c>
      <c r="D73" s="400">
        <v>1</v>
      </c>
      <c r="E73" s="400">
        <v>1.4</v>
      </c>
      <c r="F73" s="24"/>
      <c r="G73" s="57"/>
      <c r="H73" s="228"/>
      <c r="I73" s="33" t="str">
        <f>IF('ANALISI DELLE SPINTE'!C76='FOGLIO DEPOSITO'!N181,'FOGLIO DEPOSITO'!I72,IF('ANALISI DELLE SPINTE'!C76='FOGLIO DEPOSITO'!N182,'FOGLIO DEPOSITO'!I72,"STATICA"))</f>
        <v xml:space="preserve">SISMICA </v>
      </c>
      <c r="J73" s="33"/>
      <c r="K73" s="33"/>
      <c r="L73" s="210"/>
      <c r="P73" s="209">
        <f t="shared" ref="P73:P125" si="10">P72+1</f>
        <v>71</v>
      </c>
      <c r="Q73" s="42">
        <f t="shared" si="7"/>
        <v>1.5856666666666668</v>
      </c>
      <c r="R73" s="42">
        <f t="shared" si="8"/>
        <v>0.24313555555555566</v>
      </c>
      <c r="S73" s="211"/>
      <c r="T73" s="211"/>
    </row>
    <row r="74" spans="2:20" x14ac:dyDescent="0.25">
      <c r="B74" s="55"/>
      <c r="C74" s="58" t="s">
        <v>202</v>
      </c>
      <c r="D74" s="400">
        <v>1</v>
      </c>
      <c r="E74" s="400">
        <v>1</v>
      </c>
      <c r="F74" s="24"/>
      <c r="G74" s="57"/>
      <c r="H74" s="228"/>
      <c r="I74" s="33"/>
      <c r="J74" s="33"/>
      <c r="K74" s="33"/>
      <c r="L74" s="210"/>
      <c r="P74" s="209">
        <f t="shared" si="10"/>
        <v>72</v>
      </c>
      <c r="Q74" s="42">
        <f t="shared" si="7"/>
        <v>1.6080000000000001</v>
      </c>
      <c r="R74" s="42">
        <f t="shared" si="8"/>
        <v>0.24656000000000011</v>
      </c>
      <c r="S74" s="211"/>
      <c r="T74" s="211"/>
    </row>
    <row r="75" spans="2:20" x14ac:dyDescent="0.25">
      <c r="B75" s="55"/>
      <c r="C75" s="24"/>
      <c r="D75" s="24"/>
      <c r="E75" s="20"/>
      <c r="F75" s="24"/>
      <c r="G75" s="57"/>
      <c r="H75" s="228"/>
      <c r="I75" s="33"/>
      <c r="J75" s="33"/>
      <c r="K75" s="33"/>
      <c r="L75" s="210"/>
      <c r="P75" s="209">
        <f t="shared" si="10"/>
        <v>73</v>
      </c>
      <c r="Q75" s="42">
        <f t="shared" si="7"/>
        <v>1.6303333333333334</v>
      </c>
      <c r="R75" s="42">
        <f t="shared" si="8"/>
        <v>0.24998444444444456</v>
      </c>
      <c r="S75" s="211"/>
      <c r="T75" s="211"/>
    </row>
    <row r="76" spans="2:20" x14ac:dyDescent="0.25">
      <c r="B76" s="55"/>
      <c r="C76" s="24"/>
      <c r="D76" s="395" t="s">
        <v>203</v>
      </c>
      <c r="E76" s="395" t="s">
        <v>204</v>
      </c>
      <c r="F76" s="395" t="s">
        <v>205</v>
      </c>
      <c r="G76" s="57"/>
      <c r="H76" s="228"/>
      <c r="I76" s="33"/>
      <c r="J76" s="33"/>
      <c r="K76" s="33"/>
      <c r="L76" s="210"/>
      <c r="P76" s="209">
        <f t="shared" si="10"/>
        <v>74</v>
      </c>
      <c r="Q76" s="42">
        <f t="shared" si="7"/>
        <v>1.6526666666666667</v>
      </c>
      <c r="R76" s="42">
        <f t="shared" si="8"/>
        <v>0.25340888888888902</v>
      </c>
      <c r="S76" s="211"/>
      <c r="T76" s="211"/>
    </row>
    <row r="77" spans="2:20" x14ac:dyDescent="0.25">
      <c r="B77" s="228"/>
      <c r="C77" s="319" t="s">
        <v>206</v>
      </c>
      <c r="D77" s="400">
        <v>1</v>
      </c>
      <c r="E77" s="400">
        <v>1</v>
      </c>
      <c r="F77" s="400">
        <v>1.4</v>
      </c>
      <c r="G77" s="57"/>
      <c r="H77" s="228"/>
      <c r="I77" s="33"/>
      <c r="J77" s="33"/>
      <c r="K77" s="33"/>
      <c r="L77" s="210"/>
      <c r="P77" s="209">
        <f t="shared" si="10"/>
        <v>75</v>
      </c>
      <c r="Q77" s="42">
        <f t="shared" si="7"/>
        <v>1.675</v>
      </c>
      <c r="R77" s="42">
        <f t="shared" si="8"/>
        <v>0.25683333333333347</v>
      </c>
      <c r="S77" s="211"/>
      <c r="T77" s="211"/>
    </row>
    <row r="78" spans="2:20" x14ac:dyDescent="0.25">
      <c r="B78" s="252"/>
      <c r="C78" s="320" t="s">
        <v>207</v>
      </c>
      <c r="D78" s="59">
        <v>1</v>
      </c>
      <c r="E78" s="59">
        <v>1</v>
      </c>
      <c r="F78" s="59">
        <v>1.1000000000000001</v>
      </c>
      <c r="G78" s="60"/>
      <c r="H78" s="252"/>
      <c r="I78" s="43"/>
      <c r="J78" s="43"/>
      <c r="K78" s="43"/>
      <c r="L78" s="253"/>
      <c r="P78" s="209">
        <f t="shared" si="10"/>
        <v>76</v>
      </c>
      <c r="Q78" s="42">
        <f t="shared" si="7"/>
        <v>1.6973333333333334</v>
      </c>
      <c r="R78" s="42">
        <f t="shared" si="8"/>
        <v>0.26025777777777792</v>
      </c>
      <c r="S78" s="211"/>
      <c r="T78" s="211"/>
    </row>
    <row r="79" spans="2:20" x14ac:dyDescent="0.25">
      <c r="P79" s="209">
        <f t="shared" si="10"/>
        <v>77</v>
      </c>
      <c r="Q79" s="42">
        <f t="shared" si="7"/>
        <v>1.7196666666666667</v>
      </c>
      <c r="R79" s="42">
        <f t="shared" si="8"/>
        <v>0.26368222222222237</v>
      </c>
      <c r="S79" s="211"/>
      <c r="T79" s="211"/>
    </row>
    <row r="80" spans="2:20" x14ac:dyDescent="0.25">
      <c r="P80" s="209">
        <f t="shared" si="10"/>
        <v>78</v>
      </c>
      <c r="Q80" s="42">
        <f t="shared" si="7"/>
        <v>1.742</v>
      </c>
      <c r="R80" s="42">
        <f t="shared" si="8"/>
        <v>0.26710666666666677</v>
      </c>
      <c r="S80" s="211"/>
      <c r="T80" s="211"/>
    </row>
    <row r="81" spans="2:20" x14ac:dyDescent="0.25">
      <c r="B81" s="1" t="s">
        <v>208</v>
      </c>
      <c r="C81" s="2"/>
      <c r="D81" s="2"/>
      <c r="E81" s="2"/>
      <c r="P81" s="209">
        <f t="shared" si="10"/>
        <v>79</v>
      </c>
      <c r="Q81" s="42">
        <f t="shared" si="7"/>
        <v>1.7643333333333333</v>
      </c>
      <c r="R81" s="42">
        <f t="shared" si="8"/>
        <v>0.27053111111111122</v>
      </c>
      <c r="S81" s="211"/>
      <c r="T81" s="211"/>
    </row>
    <row r="82" spans="2:20" ht="15.75" thickBot="1" x14ac:dyDescent="0.3">
      <c r="B82" s="1"/>
      <c r="C82" s="2"/>
      <c r="D82" s="2"/>
      <c r="E82" s="2"/>
      <c r="P82" s="209">
        <f t="shared" si="10"/>
        <v>80</v>
      </c>
      <c r="Q82" s="42">
        <f t="shared" si="7"/>
        <v>1.7866666666666666</v>
      </c>
      <c r="R82" s="42">
        <f t="shared" si="8"/>
        <v>0.27395555555555567</v>
      </c>
      <c r="S82" s="211"/>
      <c r="T82" s="211"/>
    </row>
    <row r="83" spans="2:20" ht="16.5" thickTop="1" thickBot="1" x14ac:dyDescent="0.3">
      <c r="B83" s="2" t="s">
        <v>209</v>
      </c>
      <c r="C83" s="396" t="s">
        <v>210</v>
      </c>
      <c r="D83" s="37">
        <f>'Progetto della zattera slu'!$G$129</f>
        <v>1.9999999999999996</v>
      </c>
      <c r="E83" s="4" t="s">
        <v>2</v>
      </c>
      <c r="P83" s="209">
        <f t="shared" si="10"/>
        <v>81</v>
      </c>
      <c r="Q83" s="42">
        <f t="shared" si="7"/>
        <v>1.8089999999999999</v>
      </c>
      <c r="R83" s="42">
        <f t="shared" si="8"/>
        <v>0.27738000000000013</v>
      </c>
      <c r="S83" s="211"/>
      <c r="T83" s="211"/>
    </row>
    <row r="84" spans="2:20" ht="16.5" thickTop="1" thickBot="1" x14ac:dyDescent="0.3">
      <c r="B84" s="2" t="s">
        <v>211</v>
      </c>
      <c r="C84" s="396" t="s">
        <v>4</v>
      </c>
      <c r="D84" s="37">
        <f>DATI!E61</f>
        <v>1</v>
      </c>
      <c r="E84" s="4" t="s">
        <v>2</v>
      </c>
      <c r="P84" s="209">
        <f t="shared" ref="P84:P91" si="11">P83+1</f>
        <v>82</v>
      </c>
      <c r="Q84" s="42">
        <f t="shared" si="7"/>
        <v>1.8313333333333333</v>
      </c>
      <c r="R84" s="42">
        <f t="shared" si="8"/>
        <v>0.28080444444444458</v>
      </c>
      <c r="S84" s="211"/>
      <c r="T84" s="211"/>
    </row>
    <row r="85" spans="2:20" ht="16.5" thickTop="1" thickBot="1" x14ac:dyDescent="0.3">
      <c r="B85" s="2" t="s">
        <v>212</v>
      </c>
      <c r="C85" s="396" t="s">
        <v>181</v>
      </c>
      <c r="D85" s="37">
        <f>'FOGLIO DEPOSITO'!D121</f>
        <v>0.5</v>
      </c>
      <c r="E85" s="4" t="s">
        <v>2</v>
      </c>
      <c r="P85" s="209">
        <f t="shared" si="11"/>
        <v>83</v>
      </c>
      <c r="Q85" s="42">
        <f t="shared" si="7"/>
        <v>1.8536666666666666</v>
      </c>
      <c r="R85" s="42">
        <f t="shared" si="8"/>
        <v>0.28422888888888903</v>
      </c>
      <c r="S85" s="211"/>
      <c r="T85" s="211"/>
    </row>
    <row r="86" spans="2:20" ht="15.75" thickTop="1" x14ac:dyDescent="0.25">
      <c r="P86" s="209">
        <f t="shared" si="11"/>
        <v>84</v>
      </c>
      <c r="Q86" s="42">
        <f t="shared" si="7"/>
        <v>1.8760000000000001</v>
      </c>
      <c r="R86" s="42">
        <f t="shared" si="8"/>
        <v>0.28765333333333348</v>
      </c>
      <c r="S86" s="211"/>
      <c r="T86" s="211"/>
    </row>
    <row r="87" spans="2:20" x14ac:dyDescent="0.25">
      <c r="P87" s="209">
        <f t="shared" si="11"/>
        <v>85</v>
      </c>
      <c r="Q87" s="42">
        <f t="shared" si="7"/>
        <v>1.8983333333333334</v>
      </c>
      <c r="R87" s="42">
        <f t="shared" si="8"/>
        <v>0.29107777777777794</v>
      </c>
      <c r="S87" s="211"/>
      <c r="T87" s="211"/>
    </row>
    <row r="88" spans="2:20" x14ac:dyDescent="0.25">
      <c r="E88" s="8" t="str">
        <f>IF(DATI!E261="SI","",IF(DATI!E261="no","","FATAL ERROR! Inserisci si oppure no"))</f>
        <v/>
      </c>
      <c r="P88" s="209">
        <f t="shared" si="11"/>
        <v>86</v>
      </c>
      <c r="Q88" s="42">
        <f t="shared" si="7"/>
        <v>1.9206666666666667</v>
      </c>
      <c r="R88" s="42">
        <f t="shared" si="8"/>
        <v>0.29450222222222239</v>
      </c>
      <c r="S88" s="211"/>
      <c r="T88" s="211"/>
    </row>
    <row r="89" spans="2:20" x14ac:dyDescent="0.25">
      <c r="P89" s="209">
        <f t="shared" si="11"/>
        <v>87</v>
      </c>
      <c r="Q89" s="42">
        <f t="shared" si="7"/>
        <v>1.9430000000000001</v>
      </c>
      <c r="R89" s="42">
        <f t="shared" si="8"/>
        <v>0.29792666666666678</v>
      </c>
      <c r="S89" s="211"/>
      <c r="T89" s="211"/>
    </row>
    <row r="90" spans="2:20" x14ac:dyDescent="0.25">
      <c r="P90" s="209">
        <f t="shared" si="11"/>
        <v>88</v>
      </c>
      <c r="Q90" s="42">
        <f t="shared" si="7"/>
        <v>1.9653333333333334</v>
      </c>
      <c r="R90" s="42">
        <f t="shared" si="8"/>
        <v>0.30135111111111124</v>
      </c>
      <c r="S90" s="211"/>
      <c r="T90" s="211"/>
    </row>
    <row r="91" spans="2:20" x14ac:dyDescent="0.25">
      <c r="P91" s="209">
        <f t="shared" si="11"/>
        <v>89</v>
      </c>
      <c r="Q91" s="42">
        <f t="shared" si="7"/>
        <v>1.9876666666666667</v>
      </c>
      <c r="R91" s="42">
        <f t="shared" si="8"/>
        <v>0.30477555555555569</v>
      </c>
      <c r="S91" s="211"/>
      <c r="T91" s="211"/>
    </row>
    <row r="92" spans="2:20" x14ac:dyDescent="0.25">
      <c r="P92" s="209">
        <f t="shared" si="10"/>
        <v>90</v>
      </c>
      <c r="Q92" s="42">
        <f t="shared" si="7"/>
        <v>2.0100000000000002</v>
      </c>
      <c r="R92" s="42">
        <f t="shared" si="8"/>
        <v>0.30820000000000014</v>
      </c>
      <c r="S92" s="211"/>
      <c r="T92" s="211"/>
    </row>
    <row r="93" spans="2:20" x14ac:dyDescent="0.25">
      <c r="B93" s="396" t="s">
        <v>213</v>
      </c>
      <c r="C93" s="9">
        <f>'FOGLIO DEPOSITO'!D43*DATI!$E$272+'FOGLIO DEPOSITO'!E43*DATI!$E$273+'FOGLIO DEPOSITO'!F43*DATI!$E$274</f>
        <v>0</v>
      </c>
      <c r="D93" s="4" t="s">
        <v>14</v>
      </c>
      <c r="P93" s="209">
        <f t="shared" si="10"/>
        <v>91</v>
      </c>
      <c r="Q93" s="42">
        <f t="shared" si="7"/>
        <v>2.0323333333333333</v>
      </c>
      <c r="R93" s="42">
        <f t="shared" si="8"/>
        <v>0.31162444444444459</v>
      </c>
      <c r="S93" s="211"/>
      <c r="T93" s="211"/>
    </row>
    <row r="94" spans="2:20" x14ac:dyDescent="0.25">
      <c r="P94" s="209">
        <f t="shared" si="10"/>
        <v>92</v>
      </c>
      <c r="Q94" s="42">
        <f t="shared" si="7"/>
        <v>2.0546666666666669</v>
      </c>
      <c r="R94" s="42">
        <f t="shared" si="8"/>
        <v>0.31504888888888904</v>
      </c>
      <c r="S94" s="211"/>
      <c r="T94" s="211"/>
    </row>
    <row r="95" spans="2:20" x14ac:dyDescent="0.25">
      <c r="P95" s="209">
        <f t="shared" si="10"/>
        <v>93</v>
      </c>
      <c r="Q95" s="42">
        <f t="shared" si="7"/>
        <v>2.077</v>
      </c>
      <c r="R95" s="42">
        <f t="shared" si="8"/>
        <v>0.3184733333333335</v>
      </c>
      <c r="S95" s="211"/>
      <c r="T95" s="211"/>
    </row>
    <row r="96" spans="2:20" x14ac:dyDescent="0.25">
      <c r="B96" s="396" t="s">
        <v>213</v>
      </c>
      <c r="C96" s="9">
        <f>'FOGLIO DEPOSITO'!D43*DATI!$E$272+'FOGLIO DEPOSITO'!E43*DATI!$E$273+'FOGLIO DEPOSITO'!F43*DATI!$E$274</f>
        <v>0</v>
      </c>
      <c r="D96" s="4" t="s">
        <v>14</v>
      </c>
      <c r="P96" s="209">
        <f t="shared" si="10"/>
        <v>94</v>
      </c>
      <c r="Q96" s="42">
        <f t="shared" si="7"/>
        <v>2.0993333333333335</v>
      </c>
      <c r="R96" s="42">
        <f t="shared" si="8"/>
        <v>0.32189777777777795</v>
      </c>
      <c r="S96" s="211"/>
      <c r="T96" s="211"/>
    </row>
    <row r="97" spans="2:20" x14ac:dyDescent="0.25">
      <c r="P97" s="209">
        <f t="shared" si="10"/>
        <v>95</v>
      </c>
      <c r="Q97" s="42">
        <f t="shared" si="7"/>
        <v>2.1216666666666666</v>
      </c>
      <c r="R97" s="42">
        <f t="shared" si="8"/>
        <v>0.3253222222222224</v>
      </c>
      <c r="S97" s="211"/>
      <c r="T97" s="211"/>
    </row>
    <row r="98" spans="2:20" x14ac:dyDescent="0.25">
      <c r="P98" s="209">
        <f t="shared" si="10"/>
        <v>96</v>
      </c>
      <c r="Q98" s="42">
        <f t="shared" ref="Q98:Q129" si="12">$Q$1/$P$152*P98</f>
        <v>2.1440000000000001</v>
      </c>
      <c r="R98" s="42">
        <f t="shared" ref="R98:R129" si="13">$R$1/$P$152*P98</f>
        <v>0.32874666666666685</v>
      </c>
      <c r="S98" s="211"/>
      <c r="T98" s="211"/>
    </row>
    <row r="99" spans="2:20" ht="15.75" thickBot="1" x14ac:dyDescent="0.3">
      <c r="P99" s="209">
        <f t="shared" si="10"/>
        <v>97</v>
      </c>
      <c r="Q99" s="42">
        <f t="shared" si="12"/>
        <v>2.1663333333333332</v>
      </c>
      <c r="R99" s="42">
        <f t="shared" si="13"/>
        <v>0.33217111111111125</v>
      </c>
      <c r="S99" s="211"/>
      <c r="T99" s="211"/>
    </row>
    <row r="100" spans="2:20" ht="16.5" thickTop="1" thickBot="1" x14ac:dyDescent="0.3">
      <c r="B100" s="416" t="s">
        <v>214</v>
      </c>
      <c r="C100" s="416"/>
      <c r="D100" s="416"/>
      <c r="E100" s="416"/>
      <c r="F100" s="3">
        <f>MAXA('VER. GEO CONDIZIONI DRENATE'!D45,'VER. GEO CONDIZIONI NON DRENATE'!D45)</f>
        <v>1.777734882488504</v>
      </c>
      <c r="G100" s="6" t="s">
        <v>2</v>
      </c>
      <c r="I100" s="36">
        <f>IF(DATI!E194="si",DATI!E259,'FOGLIO DEPOSITO'!F100+1)</f>
        <v>1.9999999999999996</v>
      </c>
      <c r="P100" s="209">
        <f t="shared" si="10"/>
        <v>98</v>
      </c>
      <c r="Q100" s="42">
        <f t="shared" si="12"/>
        <v>2.1886666666666668</v>
      </c>
      <c r="R100" s="42">
        <f t="shared" si="13"/>
        <v>0.3355955555555557</v>
      </c>
      <c r="S100" s="211"/>
      <c r="T100" s="211"/>
    </row>
    <row r="101" spans="2:20" ht="15.75" thickTop="1" x14ac:dyDescent="0.25">
      <c r="P101" s="209">
        <f t="shared" si="10"/>
        <v>99</v>
      </c>
      <c r="Q101" s="42">
        <f t="shared" si="12"/>
        <v>2.2109999999999999</v>
      </c>
      <c r="R101" s="42">
        <f t="shared" si="13"/>
        <v>0.33902000000000015</v>
      </c>
      <c r="S101" s="211"/>
      <c r="T101" s="211"/>
    </row>
    <row r="102" spans="2:20" x14ac:dyDescent="0.25">
      <c r="P102" s="209">
        <f t="shared" si="10"/>
        <v>100</v>
      </c>
      <c r="Q102" s="42">
        <f t="shared" si="12"/>
        <v>2.2333333333333334</v>
      </c>
      <c r="R102" s="42">
        <f t="shared" si="13"/>
        <v>0.34244444444444461</v>
      </c>
      <c r="S102" s="211"/>
      <c r="T102" s="211"/>
    </row>
    <row r="103" spans="2:20" x14ac:dyDescent="0.25">
      <c r="C103" s="49">
        <f>SUM('Progetto della zattera slu'!G66:G69)</f>
        <v>153.76017505075035</v>
      </c>
      <c r="P103" s="209">
        <f t="shared" si="10"/>
        <v>101</v>
      </c>
      <c r="Q103" s="42">
        <f t="shared" si="12"/>
        <v>2.2556666666666665</v>
      </c>
      <c r="R103" s="42">
        <f t="shared" si="13"/>
        <v>0.34586888888888906</v>
      </c>
    </row>
    <row r="104" spans="2:20" x14ac:dyDescent="0.25">
      <c r="P104" s="209">
        <f t="shared" si="10"/>
        <v>102</v>
      </c>
      <c r="Q104" s="42">
        <f t="shared" si="12"/>
        <v>2.278</v>
      </c>
      <c r="R104" s="42">
        <f t="shared" si="13"/>
        <v>0.34929333333333351</v>
      </c>
    </row>
    <row r="105" spans="2:20" x14ac:dyDescent="0.25">
      <c r="P105" s="209">
        <f t="shared" si="10"/>
        <v>103</v>
      </c>
      <c r="Q105" s="42">
        <f t="shared" si="12"/>
        <v>2.3003333333333336</v>
      </c>
      <c r="R105" s="42">
        <f t="shared" si="13"/>
        <v>0.35271777777777796</v>
      </c>
    </row>
    <row r="106" spans="2:20" x14ac:dyDescent="0.25">
      <c r="P106" s="209">
        <f t="shared" si="10"/>
        <v>104</v>
      </c>
      <c r="Q106" s="42">
        <f t="shared" si="12"/>
        <v>2.3226666666666667</v>
      </c>
      <c r="R106" s="42">
        <f t="shared" si="13"/>
        <v>0.35614222222222242</v>
      </c>
    </row>
    <row r="107" spans="2:20" x14ac:dyDescent="0.25">
      <c r="P107" s="209">
        <f t="shared" si="10"/>
        <v>105</v>
      </c>
      <c r="Q107" s="42">
        <f t="shared" si="12"/>
        <v>2.3450000000000002</v>
      </c>
      <c r="R107" s="42">
        <f t="shared" si="13"/>
        <v>0.35956666666666687</v>
      </c>
    </row>
    <row r="108" spans="2:20" ht="21" x14ac:dyDescent="0.25">
      <c r="B108" s="396" t="s">
        <v>215</v>
      </c>
      <c r="C108" s="3">
        <f>'FOGLIO DEPOSITO'!K108</f>
        <v>1</v>
      </c>
      <c r="D108" s="4" t="s">
        <v>2</v>
      </c>
      <c r="F108" s="4" t="s">
        <v>216</v>
      </c>
      <c r="G108" s="3">
        <v>0</v>
      </c>
      <c r="H108" s="4" t="s">
        <v>2</v>
      </c>
      <c r="I108" s="2"/>
      <c r="J108" s="396" t="s">
        <v>215</v>
      </c>
      <c r="K108" s="3">
        <f>IF('VER. GEO CONDIZIONI DRENATE'!N40=0,'FOGLIO DEPOSITO'!D84,IF(G108&gt;'FOGLIO DEPOSITO'!D84/2,0,'FOGLIO DEPOSITO'!D84-2*G108))</f>
        <v>1</v>
      </c>
      <c r="L108" s="4" t="s">
        <v>2</v>
      </c>
      <c r="P108" s="209">
        <f t="shared" si="10"/>
        <v>106</v>
      </c>
      <c r="Q108" s="42">
        <f t="shared" si="12"/>
        <v>2.3673333333333333</v>
      </c>
      <c r="R108" s="42">
        <f t="shared" si="13"/>
        <v>0.36299111111111126</v>
      </c>
    </row>
    <row r="109" spans="2:20" x14ac:dyDescent="0.25">
      <c r="P109" s="209">
        <f t="shared" si="10"/>
        <v>107</v>
      </c>
      <c r="Q109" s="42">
        <f t="shared" si="12"/>
        <v>2.3896666666666668</v>
      </c>
      <c r="R109" s="42">
        <f t="shared" si="13"/>
        <v>0.36641555555555572</v>
      </c>
    </row>
    <row r="110" spans="2:20" ht="21" x14ac:dyDescent="0.25">
      <c r="B110" s="396" t="s">
        <v>215</v>
      </c>
      <c r="C110" s="3">
        <f>'FOGLIO DEPOSITO'!K110</f>
        <v>1</v>
      </c>
      <c r="D110" s="4" t="s">
        <v>2</v>
      </c>
      <c r="F110" s="4" t="s">
        <v>216</v>
      </c>
      <c r="G110" s="3">
        <v>0</v>
      </c>
      <c r="H110" s="4" t="s">
        <v>2</v>
      </c>
      <c r="J110" s="396" t="s">
        <v>215</v>
      </c>
      <c r="K110" s="3">
        <f>IF('VER. GEO CONDIZIONI NON DRENATE'!N40=0,'FOGLIO DEPOSITO'!D84,IF('FOGLIO DEPOSITO'!G110&gt;'FOGLIO DEPOSITO'!D84/2,0,'FOGLIO DEPOSITO'!D84-2*'FOGLIO DEPOSITO'!G110))</f>
        <v>1</v>
      </c>
      <c r="L110" s="4" t="s">
        <v>2</v>
      </c>
      <c r="P110" s="209">
        <f t="shared" si="10"/>
        <v>108</v>
      </c>
      <c r="Q110" s="42">
        <f t="shared" si="12"/>
        <v>2.4119999999999999</v>
      </c>
      <c r="R110" s="42">
        <f t="shared" si="13"/>
        <v>0.36984000000000017</v>
      </c>
    </row>
    <row r="111" spans="2:20" x14ac:dyDescent="0.25">
      <c r="P111" s="209">
        <f t="shared" si="10"/>
        <v>109</v>
      </c>
      <c r="Q111" s="42">
        <f t="shared" si="12"/>
        <v>2.4343333333333335</v>
      </c>
      <c r="R111" s="42">
        <f t="shared" si="13"/>
        <v>0.37326444444444462</v>
      </c>
    </row>
    <row r="112" spans="2:20" x14ac:dyDescent="0.25">
      <c r="P112" s="209">
        <f t="shared" si="10"/>
        <v>110</v>
      </c>
      <c r="Q112" s="42">
        <f t="shared" si="12"/>
        <v>2.4566666666666666</v>
      </c>
      <c r="R112" s="42">
        <f t="shared" si="13"/>
        <v>0.37668888888888907</v>
      </c>
    </row>
    <row r="113" spans="2:18" ht="15.75" thickBot="1" x14ac:dyDescent="0.3">
      <c r="P113" s="209">
        <f t="shared" si="10"/>
        <v>111</v>
      </c>
      <c r="Q113" s="42">
        <f t="shared" si="12"/>
        <v>2.4790000000000001</v>
      </c>
      <c r="R113" s="42">
        <f t="shared" si="13"/>
        <v>0.38011333333333353</v>
      </c>
    </row>
    <row r="114" spans="2:18" ht="16.5" thickTop="1" thickBot="1" x14ac:dyDescent="0.3">
      <c r="B114" s="80"/>
      <c r="C114" s="13"/>
      <c r="P114" s="209">
        <f t="shared" si="10"/>
        <v>112</v>
      </c>
      <c r="Q114" s="42">
        <f t="shared" si="12"/>
        <v>2.5013333333333332</v>
      </c>
      <c r="R114" s="42">
        <f t="shared" si="13"/>
        <v>0.38353777777777798</v>
      </c>
    </row>
    <row r="115" spans="2:18" ht="16.5" thickTop="1" thickBot="1" x14ac:dyDescent="0.3">
      <c r="B115" s="80"/>
      <c r="C115" s="13"/>
      <c r="P115" s="209">
        <f t="shared" si="10"/>
        <v>113</v>
      </c>
      <c r="Q115" s="42">
        <f t="shared" si="12"/>
        <v>2.5236666666666667</v>
      </c>
      <c r="R115" s="42">
        <f t="shared" si="13"/>
        <v>0.38696222222222243</v>
      </c>
    </row>
    <row r="116" spans="2:18" ht="16.5" thickTop="1" thickBot="1" x14ac:dyDescent="0.3">
      <c r="B116" s="80"/>
      <c r="C116" s="13"/>
      <c r="P116" s="209">
        <f t="shared" si="10"/>
        <v>114</v>
      </c>
      <c r="Q116" s="42">
        <f t="shared" si="12"/>
        <v>2.5459999999999998</v>
      </c>
      <c r="R116" s="42">
        <f t="shared" si="13"/>
        <v>0.39038666666666688</v>
      </c>
    </row>
    <row r="117" spans="2:18" ht="15.75" thickTop="1" x14ac:dyDescent="0.25">
      <c r="P117" s="209">
        <f t="shared" si="10"/>
        <v>115</v>
      </c>
      <c r="Q117" s="42">
        <f t="shared" si="12"/>
        <v>2.5683333333333334</v>
      </c>
      <c r="R117" s="42">
        <f t="shared" si="13"/>
        <v>0.39381111111111128</v>
      </c>
    </row>
    <row r="118" spans="2:18" ht="15.75" thickBot="1" x14ac:dyDescent="0.3">
      <c r="P118" s="209">
        <f t="shared" si="10"/>
        <v>116</v>
      </c>
      <c r="Q118" s="42">
        <f t="shared" si="12"/>
        <v>2.5906666666666669</v>
      </c>
      <c r="R118" s="42">
        <f t="shared" si="13"/>
        <v>0.39723555555555573</v>
      </c>
    </row>
    <row r="119" spans="2:18" ht="19.5" thickTop="1" thickBot="1" x14ac:dyDescent="0.3">
      <c r="B119" s="2" t="s">
        <v>217</v>
      </c>
      <c r="C119" s="63" t="s">
        <v>113</v>
      </c>
      <c r="D119" s="66">
        <f>DATI!E75+DATI!E62/2</f>
        <v>0.55000000000000004</v>
      </c>
      <c r="P119" s="209">
        <f t="shared" si="10"/>
        <v>117</v>
      </c>
      <c r="Q119" s="42">
        <f t="shared" si="12"/>
        <v>2.613</v>
      </c>
      <c r="R119" s="42">
        <f t="shared" si="13"/>
        <v>0.40066000000000018</v>
      </c>
    </row>
    <row r="120" spans="2:18" ht="19.5" thickTop="1" thickBot="1" x14ac:dyDescent="0.3">
      <c r="B120" s="2" t="s">
        <v>218</v>
      </c>
      <c r="C120" s="63" t="s">
        <v>115</v>
      </c>
      <c r="D120" s="66">
        <f>'FOGLIO DEPOSITO'!D212+DATI!E62/2+D211</f>
        <v>1.7499999999999996</v>
      </c>
      <c r="P120" s="209">
        <f t="shared" si="10"/>
        <v>118</v>
      </c>
      <c r="Q120" s="42">
        <f t="shared" si="12"/>
        <v>2.6353333333333335</v>
      </c>
      <c r="R120" s="42">
        <f t="shared" si="13"/>
        <v>0.40408444444444463</v>
      </c>
    </row>
    <row r="121" spans="2:18" ht="19.5" thickTop="1" thickBot="1" x14ac:dyDescent="0.3">
      <c r="B121" s="2" t="s">
        <v>110</v>
      </c>
      <c r="C121" s="63" t="s">
        <v>111</v>
      </c>
      <c r="D121" s="66">
        <f>DATI!E74</f>
        <v>0.5</v>
      </c>
      <c r="P121" s="209">
        <f t="shared" si="10"/>
        <v>119</v>
      </c>
      <c r="Q121" s="42">
        <f t="shared" si="12"/>
        <v>2.6576666666666666</v>
      </c>
      <c r="R121" s="42">
        <f t="shared" si="13"/>
        <v>0.40750888888888909</v>
      </c>
    </row>
    <row r="122" spans="2:18" ht="16.5" thickTop="1" thickBot="1" x14ac:dyDescent="0.3">
      <c r="P122" s="209">
        <f t="shared" si="10"/>
        <v>120</v>
      </c>
      <c r="Q122" s="42">
        <f t="shared" si="12"/>
        <v>2.68</v>
      </c>
      <c r="R122" s="42">
        <f t="shared" si="13"/>
        <v>0.41093333333333354</v>
      </c>
    </row>
    <row r="123" spans="2:18" ht="16.5" thickTop="1" thickBot="1" x14ac:dyDescent="0.3">
      <c r="B123" s="2" t="s">
        <v>93</v>
      </c>
      <c r="D123" s="66">
        <f>DATI!E60</f>
        <v>2.85</v>
      </c>
      <c r="P123" s="209">
        <f t="shared" si="10"/>
        <v>121</v>
      </c>
      <c r="Q123" s="42">
        <f t="shared" si="12"/>
        <v>2.7023333333333333</v>
      </c>
      <c r="R123" s="42">
        <f t="shared" si="13"/>
        <v>0.41435777777777799</v>
      </c>
    </row>
    <row r="124" spans="2:18" ht="16.5" thickTop="1" thickBot="1" x14ac:dyDescent="0.3">
      <c r="B124" s="2" t="s">
        <v>97</v>
      </c>
      <c r="D124" s="66">
        <f>DATI!E62</f>
        <v>0.3</v>
      </c>
      <c r="P124" s="209">
        <f t="shared" si="10"/>
        <v>122</v>
      </c>
      <c r="Q124" s="42">
        <f t="shared" si="12"/>
        <v>2.7246666666666668</v>
      </c>
      <c r="R124" s="42">
        <f t="shared" si="13"/>
        <v>0.41778222222222244</v>
      </c>
    </row>
    <row r="125" spans="2:18" ht="15.75" thickTop="1" x14ac:dyDescent="0.25">
      <c r="P125" s="209">
        <f t="shared" si="10"/>
        <v>123</v>
      </c>
      <c r="Q125" s="42">
        <f t="shared" si="12"/>
        <v>2.7469999999999999</v>
      </c>
      <c r="R125" s="42">
        <f t="shared" si="13"/>
        <v>0.4212066666666669</v>
      </c>
    </row>
    <row r="126" spans="2:18" x14ac:dyDescent="0.25">
      <c r="P126" s="209">
        <f t="shared" ref="P126:P136" si="14">P125+1</f>
        <v>124</v>
      </c>
      <c r="Q126" s="42">
        <f t="shared" si="12"/>
        <v>2.7693333333333334</v>
      </c>
      <c r="R126" s="42">
        <f t="shared" si="13"/>
        <v>0.42463111111111129</v>
      </c>
    </row>
    <row r="127" spans="2:18" x14ac:dyDescent="0.25">
      <c r="P127" s="209">
        <f t="shared" si="14"/>
        <v>125</v>
      </c>
      <c r="Q127" s="42">
        <f t="shared" si="12"/>
        <v>2.7916666666666665</v>
      </c>
      <c r="R127" s="42">
        <f t="shared" si="13"/>
        <v>0.42805555555555574</v>
      </c>
    </row>
    <row r="128" spans="2:18" x14ac:dyDescent="0.25">
      <c r="B128" s="7"/>
      <c r="C128" s="24"/>
      <c r="D128" s="75" t="s">
        <v>219</v>
      </c>
      <c r="E128" s="4"/>
      <c r="F128" s="7"/>
      <c r="G128" s="4"/>
      <c r="P128" s="209">
        <f t="shared" si="14"/>
        <v>126</v>
      </c>
      <c r="Q128" s="42">
        <f t="shared" si="12"/>
        <v>2.8140000000000001</v>
      </c>
      <c r="R128" s="42">
        <f t="shared" si="13"/>
        <v>0.4314800000000002</v>
      </c>
    </row>
    <row r="129" spans="2:24" x14ac:dyDescent="0.25">
      <c r="B129" s="2"/>
      <c r="C129" s="24"/>
      <c r="D129" s="99">
        <f>IF(B146&gt;=G144,1,-1)*(B146-G144)/(F137)*IF(B146&gt;=G144,F139,F138)+IF(B146&gt;=G144,G144,B146)</f>
        <v>119.9686875378778</v>
      </c>
      <c r="E129" s="100"/>
      <c r="F129" s="4"/>
      <c r="G129" s="4"/>
      <c r="P129" s="209">
        <f t="shared" si="14"/>
        <v>127</v>
      </c>
      <c r="Q129" s="42">
        <f t="shared" si="12"/>
        <v>2.8363333333333332</v>
      </c>
      <c r="R129" s="42">
        <f t="shared" si="13"/>
        <v>0.43490444444444465</v>
      </c>
    </row>
    <row r="130" spans="2:24" x14ac:dyDescent="0.25">
      <c r="B130" s="2"/>
      <c r="C130" s="24"/>
      <c r="D130" s="101"/>
      <c r="E130" s="102"/>
      <c r="F130" s="4"/>
      <c r="G130" s="4"/>
      <c r="P130" s="209">
        <f t="shared" si="14"/>
        <v>128</v>
      </c>
      <c r="Q130" s="42">
        <f t="shared" ref="Q130:Q152" si="15">$Q$1/$P$152*P130</f>
        <v>2.8586666666666667</v>
      </c>
      <c r="R130" s="42">
        <f t="shared" ref="R130:R152" si="16">$R$1/$P$152*P130</f>
        <v>0.4383288888888891</v>
      </c>
    </row>
    <row r="131" spans="2:24" ht="18" x14ac:dyDescent="0.25">
      <c r="B131" s="2"/>
      <c r="C131" s="103"/>
      <c r="D131" s="104"/>
      <c r="E131" s="102"/>
      <c r="F131" s="68" t="s">
        <v>220</v>
      </c>
      <c r="G131" s="401">
        <f>IF(('Progetto della zattera slu'!$E$72/(F137*'Progetto della zattera slu'!G130)*(1+(IF(DATI!G218="sx",-1,1))*6*'FOGLIO DEPOSITO'!L142/(F137)))&lt;0,0,('Progetto della zattera slu'!$E$72/(F137*'Progetto della zattera slu'!G130)*(1+(IF(DATI!G218="sx",-1,1))*6*'FOGLIO DEPOSITO'!L142/(F137))))</f>
        <v>181.35786210060076</v>
      </c>
      <c r="P131" s="209">
        <f t="shared" si="14"/>
        <v>129</v>
      </c>
      <c r="Q131" s="42">
        <f t="shared" si="15"/>
        <v>2.8810000000000002</v>
      </c>
      <c r="R131" s="42">
        <f t="shared" si="16"/>
        <v>0.44175333333333355</v>
      </c>
    </row>
    <row r="132" spans="2:24" x14ac:dyDescent="0.25">
      <c r="B132" s="2"/>
      <c r="C132" s="981" t="s">
        <v>221</v>
      </c>
      <c r="D132" s="982"/>
      <c r="E132" s="102"/>
      <c r="F132" s="4"/>
      <c r="G132" s="4"/>
      <c r="P132" s="209">
        <f t="shared" si="14"/>
        <v>130</v>
      </c>
      <c r="Q132" s="42">
        <f t="shared" si="15"/>
        <v>2.9033333333333333</v>
      </c>
      <c r="R132" s="42">
        <f t="shared" si="16"/>
        <v>0.44517777777777801</v>
      </c>
    </row>
    <row r="133" spans="2:24" x14ac:dyDescent="0.25">
      <c r="B133" s="401">
        <f>IF(('Progetto della zattera slu'!$E$72/(F137*'Progetto della zattera slu'!G130)*(1-(IF(DATI!G218="sx",-1,1))*6*'FOGLIO DEPOSITO'!L142/(F137)))&lt;0,0,('Progetto della zattera slu'!$E$72/(F137*'Progetto della zattera slu'!G130)*(1-(IF(DATI!G218="sx",-1,1))*6*'FOGLIO DEPOSITO'!L142/(F137))))</f>
        <v>0</v>
      </c>
      <c r="C133" s="55"/>
      <c r="D133" s="104"/>
      <c r="E133" s="102"/>
      <c r="F133" s="4"/>
      <c r="G133" s="4"/>
      <c r="P133" s="209">
        <f t="shared" si="14"/>
        <v>131</v>
      </c>
      <c r="Q133" s="42">
        <f t="shared" si="15"/>
        <v>2.9256666666666669</v>
      </c>
      <c r="R133" s="42">
        <f t="shared" si="16"/>
        <v>0.44860222222222246</v>
      </c>
    </row>
    <row r="134" spans="2:24" x14ac:dyDescent="0.25">
      <c r="B134" s="2"/>
      <c r="C134" s="105"/>
      <c r="D134" s="106"/>
      <c r="E134" s="107"/>
      <c r="F134" s="4"/>
      <c r="G134" s="4"/>
      <c r="P134" s="209">
        <f t="shared" si="14"/>
        <v>132</v>
      </c>
      <c r="Q134" s="42">
        <f t="shared" si="15"/>
        <v>2.948</v>
      </c>
      <c r="R134" s="42">
        <f t="shared" si="16"/>
        <v>0.45202666666666691</v>
      </c>
    </row>
    <row r="135" spans="2:24" x14ac:dyDescent="0.25">
      <c r="I135" s="468" t="str">
        <f>IF(F139&lt;=I139,"Asse neutro su zatt sx","Asse neutro su zatt dx")</f>
        <v>Asse neutro su zatt sx</v>
      </c>
      <c r="J135" s="249"/>
      <c r="K135" s="249"/>
      <c r="P135" s="209">
        <f t="shared" si="14"/>
        <v>133</v>
      </c>
      <c r="Q135" s="42">
        <f t="shared" si="15"/>
        <v>2.9703333333333335</v>
      </c>
      <c r="R135" s="42">
        <f t="shared" si="16"/>
        <v>0.45545111111111131</v>
      </c>
    </row>
    <row r="136" spans="2:24" x14ac:dyDescent="0.25">
      <c r="I136" s="32">
        <f>IF(F139&lt;=I139,1,0)</f>
        <v>1</v>
      </c>
      <c r="P136" s="209">
        <f t="shared" si="14"/>
        <v>134</v>
      </c>
      <c r="Q136" s="42">
        <f t="shared" si="15"/>
        <v>2.9926666666666666</v>
      </c>
      <c r="R136" s="42">
        <f t="shared" si="16"/>
        <v>0.45887555555555576</v>
      </c>
    </row>
    <row r="137" spans="2:24" x14ac:dyDescent="0.25">
      <c r="B137" t="s">
        <v>578</v>
      </c>
      <c r="E137" s="466" t="s">
        <v>579</v>
      </c>
      <c r="F137" s="467">
        <f>'Progetto della zattera slu'!G129</f>
        <v>1.9999999999999996</v>
      </c>
      <c r="P137" s="209">
        <f t="shared" ref="P137:P152" si="17">P136+1</f>
        <v>135</v>
      </c>
      <c r="Q137" s="42">
        <f t="shared" si="15"/>
        <v>3.0150000000000001</v>
      </c>
      <c r="R137" s="42">
        <f t="shared" si="16"/>
        <v>0.46230000000000021</v>
      </c>
    </row>
    <row r="138" spans="2:24" x14ac:dyDescent="0.25">
      <c r="E138" s="249" t="s">
        <v>793</v>
      </c>
      <c r="F138" s="174">
        <f>F137-DATI!E75-DATI!E62/2</f>
        <v>1.4499999999999997</v>
      </c>
      <c r="G138" s="936" t="s">
        <v>789</v>
      </c>
      <c r="H138" s="937"/>
      <c r="I138" s="464">
        <f>IF(DATI!G218="sx",'FOGLIO DEPOSITO'!F137-(F137*ABS(G144)/(ABS(B146)+ABS(G144))),F137*ABS(G144)/(ABS(B146)+ABS(G144)))</f>
        <v>1.6248275834596275</v>
      </c>
      <c r="J138" t="s">
        <v>790</v>
      </c>
      <c r="P138" s="209">
        <f t="shared" si="17"/>
        <v>136</v>
      </c>
      <c r="Q138" s="42">
        <f t="shared" si="15"/>
        <v>3.0373333333333332</v>
      </c>
      <c r="R138" s="42">
        <f t="shared" si="16"/>
        <v>0.46572444444444466</v>
      </c>
    </row>
    <row r="139" spans="2:24" x14ac:dyDescent="0.25">
      <c r="E139" s="249" t="s">
        <v>792</v>
      </c>
      <c r="F139" s="174">
        <f>F137-F138</f>
        <v>0.54999999999999982</v>
      </c>
      <c r="G139" s="936"/>
      <c r="H139" s="937"/>
      <c r="I139" s="464">
        <f>F137*ABS(G144)/(ABS(B146)+ABS(G144))</f>
        <v>1.6248275834596275</v>
      </c>
      <c r="J139" t="s">
        <v>791</v>
      </c>
      <c r="P139" s="209">
        <f t="shared" si="17"/>
        <v>137</v>
      </c>
      <c r="Q139" s="42">
        <f t="shared" si="15"/>
        <v>3.0596666666666668</v>
      </c>
      <c r="R139" s="42">
        <f t="shared" si="16"/>
        <v>0.46914888888888912</v>
      </c>
    </row>
    <row r="140" spans="2:24" x14ac:dyDescent="0.25">
      <c r="I140" s="464">
        <f>-I144/I142</f>
        <v>-1.6248275834596273</v>
      </c>
      <c r="P140" s="209">
        <f t="shared" si="17"/>
        <v>138</v>
      </c>
      <c r="Q140" s="42">
        <f t="shared" si="15"/>
        <v>3.0819999999999999</v>
      </c>
      <c r="R140" s="42">
        <f t="shared" si="16"/>
        <v>0.47257333333333357</v>
      </c>
    </row>
    <row r="141" spans="2:24" x14ac:dyDescent="0.25">
      <c r="C141" s="24"/>
      <c r="D141" s="75" t="s">
        <v>219</v>
      </c>
      <c r="E141" s="457"/>
      <c r="F141" s="430"/>
      <c r="G141" s="457"/>
      <c r="H141" s="2"/>
      <c r="K141" s="402" t="s">
        <v>222</v>
      </c>
      <c r="L141" s="3">
        <f>'Progetto della zattera slu'!$G$125</f>
        <v>0.46651949728645231</v>
      </c>
      <c r="P141" s="209">
        <f t="shared" si="17"/>
        <v>139</v>
      </c>
      <c r="Q141" s="42">
        <f t="shared" si="15"/>
        <v>3.1043333333333334</v>
      </c>
      <c r="R141" s="42">
        <f t="shared" si="16"/>
        <v>0.47599777777777802</v>
      </c>
      <c r="X141">
        <f>VLOOKUP(V150,AD150:AG158,2,FALSE)</f>
        <v>0.99999999999384426</v>
      </c>
    </row>
    <row r="142" spans="2:24" x14ac:dyDescent="0.25">
      <c r="B142" s="429"/>
      <c r="C142" s="24"/>
      <c r="D142" s="99">
        <f>IF(B146&gt;=G144,1,-1)*(B146-G144)/(F137)*IF(B146&gt;=G144,F139,F138)+IF(B146&gt;=G144,G144,B146)</f>
        <v>119.9686875378778</v>
      </c>
      <c r="E142" s="100"/>
      <c r="F142" s="457"/>
      <c r="G142" s="457"/>
      <c r="H142" s="460" t="s">
        <v>233</v>
      </c>
      <c r="I142" s="471">
        <f>(MAXA(B146,G144)-MINA(B146,G144))/F137</f>
        <v>111.6166810231327</v>
      </c>
      <c r="K142" s="68" t="s">
        <v>223</v>
      </c>
      <c r="L142" s="3">
        <f>'Progetto della zattera slu'!G126</f>
        <v>0.53348050271354741</v>
      </c>
      <c r="P142" s="209">
        <f t="shared" si="17"/>
        <v>140</v>
      </c>
      <c r="Q142" s="42">
        <f t="shared" si="15"/>
        <v>3.1266666666666665</v>
      </c>
      <c r="R142" s="42">
        <f t="shared" si="16"/>
        <v>0.47942222222222247</v>
      </c>
    </row>
    <row r="143" spans="2:24" x14ac:dyDescent="0.25">
      <c r="B143" s="429"/>
      <c r="C143" s="24"/>
      <c r="D143" s="101"/>
      <c r="E143" s="102"/>
      <c r="F143" s="457"/>
      <c r="G143" s="457"/>
      <c r="H143" s="460" t="s">
        <v>134</v>
      </c>
      <c r="I143" s="471">
        <f>IF(I145&lt;0,0,IF(B146&gt;=G144,-1,1)*MINA(B146,G144)/I142)</f>
        <v>0</v>
      </c>
      <c r="K143" s="396" t="s">
        <v>224</v>
      </c>
      <c r="L143" s="129">
        <f>('FOGLIO DEPOSITO'!D119+'FOGLIO DEPOSITO'!D120)/6</f>
        <v>0.3833333333333333</v>
      </c>
      <c r="P143" s="209">
        <f t="shared" si="17"/>
        <v>141</v>
      </c>
      <c r="Q143" s="42">
        <f t="shared" si="15"/>
        <v>3.149</v>
      </c>
      <c r="R143" s="42">
        <f t="shared" si="16"/>
        <v>0.48284666666666692</v>
      </c>
    </row>
    <row r="144" spans="2:24" ht="18" x14ac:dyDescent="0.25">
      <c r="B144" s="429"/>
      <c r="C144" s="103"/>
      <c r="D144" s="104"/>
      <c r="E144" s="102"/>
      <c r="F144" s="68" t="s">
        <v>220</v>
      </c>
      <c r="G144" s="456">
        <f>('Progetto della zattera slu'!$E$72/(F137*'Progetto della zattera slu'!G130)*(1+(IF(DATI!G218="sx",-1,1))*6*'FOGLIO DEPOSITO'!L142/(F137)))</f>
        <v>181.35786210060076</v>
      </c>
      <c r="H144" s="314" t="s">
        <v>800</v>
      </c>
      <c r="I144" s="471">
        <f>IF(I146=13,MAXA(B146,G144),MIN(B146,G144))</f>
        <v>181.35786210060076</v>
      </c>
      <c r="P144" s="209">
        <f t="shared" si="17"/>
        <v>142</v>
      </c>
      <c r="Q144" s="42">
        <f t="shared" si="15"/>
        <v>3.1713333333333336</v>
      </c>
      <c r="R144" s="42">
        <f t="shared" si="16"/>
        <v>0.48627111111111132</v>
      </c>
    </row>
    <row r="145" spans="2:41" x14ac:dyDescent="0.25">
      <c r="B145" s="429"/>
      <c r="C145" s="981" t="s">
        <v>221</v>
      </c>
      <c r="D145" s="982"/>
      <c r="E145" s="102"/>
      <c r="F145" s="457"/>
      <c r="G145" s="457"/>
      <c r="H145" s="460" t="s">
        <v>801</v>
      </c>
      <c r="I145" s="471">
        <f>B146*G144/1000</f>
        <v>-7.5944511445395531</v>
      </c>
      <c r="P145" s="209">
        <f t="shared" si="17"/>
        <v>143</v>
      </c>
      <c r="Q145" s="42">
        <f t="shared" si="15"/>
        <v>3.1936666666666667</v>
      </c>
      <c r="R145" s="42">
        <f t="shared" si="16"/>
        <v>0.48969555555555577</v>
      </c>
      <c r="V145" s="986" t="s">
        <v>895</v>
      </c>
      <c r="W145" s="987"/>
      <c r="X145" s="987"/>
      <c r="Y145" s="987"/>
      <c r="Z145" s="987"/>
      <c r="AA145" s="987"/>
      <c r="AB145" s="988"/>
    </row>
    <row r="146" spans="2:41" x14ac:dyDescent="0.25">
      <c r="B146" s="456">
        <f>('Progetto della zattera slu'!$E$72/(F137*'Progetto della zattera slu'!G130)*(1-(IF(DATI!G218="sx",-1,1))*6*'FOGLIO DEPOSITO'!L142/(F137)))</f>
        <v>-41.875499945664586</v>
      </c>
      <c r="C146" s="55"/>
      <c r="D146" s="104"/>
      <c r="E146" s="102"/>
      <c r="F146" s="457"/>
      <c r="G146" s="457"/>
      <c r="H146" s="472" t="s">
        <v>802</v>
      </c>
      <c r="I146" s="461">
        <f>IF(B146&lt;G144,13,24)</f>
        <v>13</v>
      </c>
      <c r="P146" s="209">
        <f t="shared" si="17"/>
        <v>144</v>
      </c>
      <c r="Q146" s="42">
        <f t="shared" si="15"/>
        <v>3.2160000000000002</v>
      </c>
      <c r="R146" s="42">
        <f t="shared" si="16"/>
        <v>0.49312000000000022</v>
      </c>
      <c r="V146" s="983" t="s">
        <v>244</v>
      </c>
      <c r="W146" s="984"/>
      <c r="X146" s="984"/>
      <c r="Y146" s="984"/>
      <c r="Z146" s="984"/>
      <c r="AA146" s="984"/>
      <c r="AB146" s="985"/>
    </row>
    <row r="147" spans="2:41" x14ac:dyDescent="0.25">
      <c r="B147" s="429"/>
      <c r="C147" s="105"/>
      <c r="D147" s="106"/>
      <c r="E147" s="107"/>
      <c r="F147" s="457"/>
      <c r="G147" s="457"/>
      <c r="H147" s="465"/>
      <c r="J147" s="434" t="s">
        <v>873</v>
      </c>
      <c r="P147" s="209">
        <f t="shared" si="17"/>
        <v>145</v>
      </c>
      <c r="Q147" s="42">
        <f t="shared" si="15"/>
        <v>3.2383333333333333</v>
      </c>
      <c r="R147" s="42">
        <f t="shared" si="16"/>
        <v>0.49654444444444468</v>
      </c>
      <c r="V147" s="282"/>
      <c r="W147" s="47"/>
      <c r="X147" s="47"/>
      <c r="Y147" s="47"/>
      <c r="Z147" s="47"/>
      <c r="AA147" s="47"/>
      <c r="AB147" s="209"/>
    </row>
    <row r="148" spans="2:41" x14ac:dyDescent="0.25">
      <c r="B148" s="2"/>
      <c r="C148" s="2"/>
      <c r="D148" s="2"/>
      <c r="E148" s="76"/>
      <c r="F148" s="2"/>
      <c r="G148" s="2"/>
      <c r="H148" s="2"/>
      <c r="K148" s="371">
        <f>'Progetto della zattera slu'!H114*K154</f>
        <v>1.4170708414872801</v>
      </c>
      <c r="P148" s="209">
        <f t="shared" si="17"/>
        <v>146</v>
      </c>
      <c r="Q148" s="42">
        <f t="shared" si="15"/>
        <v>3.2606666666666668</v>
      </c>
      <c r="R148" s="42">
        <f t="shared" si="16"/>
        <v>0.49996888888888913</v>
      </c>
      <c r="V148" s="283" t="s">
        <v>241</v>
      </c>
      <c r="W148" s="47"/>
      <c r="X148" s="47"/>
      <c r="Y148" s="47"/>
      <c r="Z148" s="47" t="s">
        <v>247</v>
      </c>
      <c r="AA148" s="47"/>
      <c r="AB148" s="209"/>
    </row>
    <row r="149" spans="2:41" ht="18.75" x14ac:dyDescent="0.25">
      <c r="B149" s="2"/>
      <c r="C149" s="2"/>
      <c r="D149" s="2"/>
      <c r="E149" s="76"/>
      <c r="F149" s="2"/>
      <c r="G149" s="68" t="s">
        <v>225</v>
      </c>
      <c r="H149" s="2"/>
      <c r="J149" s="28" t="s">
        <v>226</v>
      </c>
      <c r="P149" s="209">
        <f t="shared" si="17"/>
        <v>147</v>
      </c>
      <c r="Q149" s="42">
        <f t="shared" si="15"/>
        <v>3.2829999999999999</v>
      </c>
      <c r="R149" s="42">
        <f t="shared" si="16"/>
        <v>0.50339333333333358</v>
      </c>
      <c r="V149" s="166" t="s">
        <v>22</v>
      </c>
      <c r="W149" s="242" t="s">
        <v>250</v>
      </c>
      <c r="X149" s="243" t="s">
        <v>246</v>
      </c>
      <c r="Y149" s="47"/>
      <c r="Z149" s="166" t="s">
        <v>22</v>
      </c>
      <c r="AA149" s="242" t="s">
        <v>250</v>
      </c>
      <c r="AB149" s="243" t="s">
        <v>246</v>
      </c>
      <c r="AD149" s="546"/>
      <c r="AE149" s="546" t="s">
        <v>896</v>
      </c>
      <c r="AF149" s="546" t="s">
        <v>897</v>
      </c>
      <c r="AG149" s="546" t="s">
        <v>898</v>
      </c>
    </row>
    <row r="150" spans="2:41" x14ac:dyDescent="0.25">
      <c r="B150" s="2"/>
      <c r="C150" s="2"/>
      <c r="D150" s="24"/>
      <c r="E150" s="76"/>
      <c r="F150" s="2"/>
      <c r="G150" s="401">
        <f>G131-K152-IF(M154="Sx",K150,K148)</f>
        <v>159.77759288954826</v>
      </c>
      <c r="H150" s="2"/>
      <c r="J150" s="314" t="s">
        <v>139</v>
      </c>
      <c r="K150" s="371">
        <f>SUM('Progetto della zattera slu'!H111:H113)*K154</f>
        <v>50.168964795244619</v>
      </c>
      <c r="P150" s="209">
        <f t="shared" si="17"/>
        <v>148</v>
      </c>
      <c r="Q150" s="42">
        <f t="shared" si="15"/>
        <v>3.3053333333333335</v>
      </c>
      <c r="R150" s="42">
        <f t="shared" si="16"/>
        <v>0.50681777777777803</v>
      </c>
      <c r="V150" s="625">
        <f>IF('ANALISI DELLE SPINTE'!J132='FOGLIO DEPOSITO'!$AD$171,"",M166)</f>
        <v>0</v>
      </c>
      <c r="W150" s="46"/>
      <c r="X150" s="221">
        <f>X166*VLOOKUP(V150,AD150:AG158,2,FALSE)+VLOOKUP(V150,AD150:AG158,3,FALSE)+VLOOKUP(V150,AD150:AG158,4,FALSE)</f>
        <v>4.8716633374040814</v>
      </c>
      <c r="Y150" s="47"/>
      <c r="Z150" s="545">
        <f t="shared" ref="Z150:Z158" si="18">V150</f>
        <v>0</v>
      </c>
      <c r="AA150" s="46"/>
      <c r="AB150" s="281">
        <f>AB166*VLOOKUP(V150,AD150:AG158,2,FALSE)+VLOOKUP(V150,AD150:AG158,3,FALSE)+VLOOKUP(V150,AD150:AG158,4,FALSE)</f>
        <v>4.8716633374040814</v>
      </c>
      <c r="AC150" s="443">
        <f>VLOOKUP(V150,AD150:AG158,2,FALSE)+VLOOKUP(V150,AD150:AG158,3,FALSE)+VLOOKUP(V150,AD150:AG158,4,FALSE)</f>
        <v>4.3107817682561018</v>
      </c>
      <c r="AD150" s="623" t="str">
        <f>'Progetto del paramento slu'!B112</f>
        <v/>
      </c>
      <c r="AE150" s="548" t="str">
        <f>'Progetto del paramento slu'!D112</f>
        <v/>
      </c>
      <c r="AF150" s="549" t="str">
        <f>'Progetto del paramento slu'!E112</f>
        <v/>
      </c>
      <c r="AG150" s="549" t="str">
        <f>'Progetto del paramento slu'!F112</f>
        <v/>
      </c>
    </row>
    <row r="151" spans="2:41" ht="18" x14ac:dyDescent="0.25">
      <c r="B151" s="990" t="s">
        <v>227</v>
      </c>
      <c r="C151" s="990"/>
      <c r="D151" s="24"/>
      <c r="E151" s="75" t="s">
        <v>228</v>
      </c>
      <c r="F151" s="120"/>
      <c r="G151" s="2"/>
      <c r="H151" s="2"/>
      <c r="J151" s="28" t="s">
        <v>229</v>
      </c>
      <c r="P151" s="209">
        <f t="shared" si="17"/>
        <v>149</v>
      </c>
      <c r="Q151" s="42">
        <f t="shared" si="15"/>
        <v>3.3276666666666666</v>
      </c>
      <c r="R151" s="42">
        <f t="shared" si="16"/>
        <v>0.51024222222222249</v>
      </c>
      <c r="V151" s="244">
        <f>IF('ANALISI DELLE SPINTE'!J133='FOGLIO DEPOSITO'!$AD$171,"",M167)</f>
        <v>2.8363333333333332</v>
      </c>
      <c r="W151" s="46"/>
      <c r="X151" s="281">
        <f>X167*VLOOKUP(V150,AD150:AG158,2,FALSE)+VLOOKUP(V150,AD150:AG158,3,FALSE)+VLOOKUP(V150,AD150:AG158,4,FALSE)</f>
        <v>24.182631020149174</v>
      </c>
      <c r="Y151" s="47"/>
      <c r="Z151" s="244">
        <f t="shared" si="18"/>
        <v>2.8363333333333332</v>
      </c>
      <c r="AA151" s="46"/>
      <c r="AB151" s="281">
        <f>AB167*VLOOKUP(V150,AD150:AG158,2,FALSE)+VLOOKUP(V150,AD150:AG158,3,FALSE)+VLOOKUP(V150,AD150:AG158,4,FALSE)</f>
        <v>24.182631020149174</v>
      </c>
      <c r="AD151" s="547" t="str">
        <f>'Progetto del paramento slu'!B111</f>
        <v/>
      </c>
      <c r="AE151" s="548" t="str">
        <f>'Progetto del paramento slu'!D111</f>
        <v/>
      </c>
      <c r="AF151" s="549" t="str">
        <f>'Progetto del paramento slu'!E111</f>
        <v/>
      </c>
      <c r="AG151" s="549" t="str">
        <f>'Progetto del paramento slu'!F111</f>
        <v/>
      </c>
    </row>
    <row r="152" spans="2:41" x14ac:dyDescent="0.25">
      <c r="B152" s="2"/>
      <c r="C152" s="2"/>
      <c r="D152" s="24"/>
      <c r="E152" s="81">
        <f>-(D129-K152-IF(M154="dx",K150,0))</f>
        <v>-49.636524373067971</v>
      </c>
      <c r="F152" s="993" t="s">
        <v>230</v>
      </c>
      <c r="G152" s="2"/>
      <c r="H152" s="17"/>
      <c r="K152" s="371">
        <f>'Progetto della zattera slu'!H115*K154</f>
        <v>20.163198369565215</v>
      </c>
      <c r="P152" s="209">
        <f t="shared" si="17"/>
        <v>150</v>
      </c>
      <c r="Q152" s="42">
        <f t="shared" si="15"/>
        <v>3.35</v>
      </c>
      <c r="R152" s="42">
        <f t="shared" si="16"/>
        <v>0.51366666666666694</v>
      </c>
      <c r="V152" s="247">
        <f>IF('ANALISI DELLE SPINTE'!J134='FOGLIO DEPOSITO'!$AD$171,"",M168)</f>
        <v>2.8363333333333332</v>
      </c>
      <c r="W152" s="44"/>
      <c r="X152" s="281">
        <f>X168*VLOOKUP(V150,AD150:AG158,2,FALSE)+VLOOKUP(V150,AD150:AG158,3,FALSE)+VLOOKUP(V150,AD150:AG158,4,FALSE)</f>
        <v>24.182631020149174</v>
      </c>
      <c r="Y152" s="47"/>
      <c r="Z152" s="247">
        <f t="shared" si="18"/>
        <v>2.8363333333333332</v>
      </c>
      <c r="AA152" s="44"/>
      <c r="AB152" s="223">
        <f>AB168*VLOOKUP(V150,AD150:AG158,2,FALSE)+VLOOKUP(V150,AD150:AG158,3,FALSE)+VLOOKUP(V150,AD150:AG158,4,FALSE)</f>
        <v>24.182631020149174</v>
      </c>
      <c r="AD152" s="547" t="str">
        <f>'Progetto del paramento slu'!B110</f>
        <v/>
      </c>
      <c r="AE152" s="548" t="str">
        <f>'Progetto del paramento slu'!D110</f>
        <v/>
      </c>
      <c r="AF152" s="549" t="str">
        <f>'Progetto del paramento slu'!E110</f>
        <v/>
      </c>
      <c r="AG152" s="549" t="str">
        <f>'Progetto del paramento slu'!F110</f>
        <v/>
      </c>
    </row>
    <row r="153" spans="2:41" x14ac:dyDescent="0.25">
      <c r="B153" s="2"/>
      <c r="C153" s="2"/>
      <c r="D153" s="24"/>
      <c r="E153" s="57"/>
      <c r="F153" s="994"/>
      <c r="G153" s="2"/>
      <c r="H153" s="2"/>
      <c r="V153" s="244">
        <f>IF('ANALISI DELLE SPINTE'!J135='FOGLIO DEPOSITO'!$AD$171,"",M169)</f>
        <v>2.8363333333333332</v>
      </c>
      <c r="W153" s="46"/>
      <c r="X153" s="221">
        <f>X169*VLOOKUP(V150,AD150:AG158,2,FALSE)+VLOOKUP(V150,AD150:AG158,3,FALSE)+VLOOKUP(V150,AD150:AG158,4,FALSE)</f>
        <v>24.182631020149174</v>
      </c>
      <c r="Y153" s="47"/>
      <c r="Z153" s="244">
        <f t="shared" si="18"/>
        <v>2.8363333333333332</v>
      </c>
      <c r="AA153" s="46"/>
      <c r="AB153" s="281">
        <f>AB169*VLOOKUP(V150,AD150:AG158,2,FALSE)+VLOOKUP(V150,AD150:AG158,3,FALSE)+VLOOKUP(V150,AD150:AG158,4,FALSE)</f>
        <v>26.790262112874075</v>
      </c>
      <c r="AD153" s="547">
        <f>'Progetto del paramento slu'!B109</f>
        <v>0</v>
      </c>
      <c r="AE153" s="548">
        <f>'Progetto del paramento slu'!D109</f>
        <v>0.99999999999384426</v>
      </c>
      <c r="AF153" s="549">
        <f>'Progetto del paramento slu'!E109</f>
        <v>3.3107817682622578</v>
      </c>
      <c r="AG153" s="549">
        <f>'Progetto del paramento slu'!F109</f>
        <v>0</v>
      </c>
    </row>
    <row r="154" spans="2:41" x14ac:dyDescent="0.25">
      <c r="B154" s="2"/>
      <c r="C154" s="2"/>
      <c r="D154" s="995" t="s">
        <v>231</v>
      </c>
      <c r="E154" s="996"/>
      <c r="F154" s="53"/>
      <c r="G154" s="2"/>
      <c r="H154" s="4"/>
      <c r="J154" t="s">
        <v>232</v>
      </c>
      <c r="K154" s="32">
        <f>DATI!E61</f>
        <v>1</v>
      </c>
      <c r="L154" s="372" t="s">
        <v>233</v>
      </c>
      <c r="M154" s="144" t="str">
        <f>DATI!G218</f>
        <v>dx</v>
      </c>
      <c r="V154" s="244">
        <f>IF('ANALISI DELLE SPINTE'!J136='FOGLIO DEPOSITO'!$AD$171,"",M170)</f>
        <v>3.35</v>
      </c>
      <c r="W154" s="46"/>
      <c r="X154" s="281">
        <f>X170*VLOOKUP(V150,AD150:AG158,2,FALSE)+VLOOKUP(V150,AD150:AG158,3,FALSE)+VLOOKUP(V150,AD150:AG158,4,FALSE)</f>
        <v>27.430088465110245</v>
      </c>
      <c r="Y154" s="47"/>
      <c r="Z154" s="244">
        <f t="shared" si="18"/>
        <v>3.35</v>
      </c>
      <c r="AA154" s="46"/>
      <c r="AB154" s="281">
        <f>AB170*VLOOKUP(V150,AD150:AG158,2,FALSE)+VLOOKUP(V150,AD150:AG158,3,FALSE)+VLOOKUP(V150,AD150:AG158,4,FALSE)</f>
        <v>30.443441681619454</v>
      </c>
      <c r="AD154" s="547">
        <f>'Progetto del paramento slu'!B108</f>
        <v>0</v>
      </c>
      <c r="AE154" s="548">
        <f>'Progetto del paramento slu'!D108</f>
        <v>0.99999999999384426</v>
      </c>
      <c r="AF154" s="549">
        <f>'Progetto del paramento slu'!E108</f>
        <v>3.3107817682622578</v>
      </c>
      <c r="AG154" s="549">
        <f>'Progetto del paramento slu'!F108</f>
        <v>0</v>
      </c>
    </row>
    <row r="155" spans="2:41" x14ac:dyDescent="0.25">
      <c r="B155" s="2"/>
      <c r="C155" s="2"/>
      <c r="D155" s="991" t="s">
        <v>234</v>
      </c>
      <c r="E155" s="992"/>
      <c r="F155" s="2"/>
      <c r="G155" s="2"/>
      <c r="H155" s="4"/>
      <c r="V155" s="247">
        <f>IF('ANALISI DELLE SPINTE'!J137='FOGLIO DEPOSITO'!$AD$171,"",M171)</f>
        <v>3.35</v>
      </c>
      <c r="W155" s="44"/>
      <c r="X155" s="281">
        <f>X171*VLOOKUP(V150,AD150:AG158,2,FALSE)+VLOOKUP(V150,AD150:AG158,3,FALSE)+VLOOKUP(V150,AD150:AG158,4,FALSE)</f>
        <v>27.430088465110245</v>
      </c>
      <c r="Y155" s="47"/>
      <c r="Z155" s="247">
        <f t="shared" si="18"/>
        <v>3.35</v>
      </c>
      <c r="AA155" s="44"/>
      <c r="AB155" s="223">
        <f>AB171*VLOOKUP(V150,AD150:AG158,2,FALSE)+VLOOKUP(V150,AD150:AG158,3,FALSE)+VLOOKUP(V150,AD150:AG158,4,FALSE)</f>
        <v>30.443441681619454</v>
      </c>
      <c r="AD155" s="547">
        <f>'Progetto del paramento slu'!B107</f>
        <v>0.51366666666666694</v>
      </c>
      <c r="AE155" s="548">
        <f>'Progetto del paramento slu'!D107</f>
        <v>0.99999999999384426</v>
      </c>
      <c r="AF155" s="549">
        <f>'Progetto del paramento slu'!E107</f>
        <v>3.1992193305037393</v>
      </c>
      <c r="AG155" s="549">
        <f>'Progetto del paramento slu'!F107</f>
        <v>0</v>
      </c>
    </row>
    <row r="156" spans="2:41" ht="18" x14ac:dyDescent="0.25">
      <c r="B156" s="2"/>
      <c r="C156" s="2"/>
      <c r="D156" s="55"/>
      <c r="E156" s="78"/>
      <c r="F156" s="79" t="s">
        <v>228</v>
      </c>
      <c r="G156" s="2"/>
      <c r="H156" s="4"/>
      <c r="J156" t="s">
        <v>235</v>
      </c>
      <c r="M156" s="164" t="s">
        <v>236</v>
      </c>
      <c r="N156" s="368">
        <f>'Progetto della zattera slu'!G119*K154</f>
        <v>69.74118107746807</v>
      </c>
      <c r="V156" s="624">
        <f>IF('ANALISI DELLE SPINTE'!J138='FOGLIO DEPOSITO'!$AD$171,"",M172)</f>
        <v>3.35</v>
      </c>
      <c r="W156" s="46"/>
      <c r="X156" s="221">
        <f>X172*VLOOKUP(V150,AD150:AG158,2,FALSE)+VLOOKUP(V150,AD150:AG158,3,FALSE)+VLOOKUP(V150,AD150:AG158,4,FALSE)</f>
        <v>27.430088465110245</v>
      </c>
      <c r="Y156" s="47"/>
      <c r="Z156" s="244">
        <f t="shared" si="18"/>
        <v>3.35</v>
      </c>
      <c r="AA156" s="46"/>
      <c r="AB156" s="281">
        <f>AB172*VLOOKUP(V150,AD150:AG158,2,FALSE)+VLOOKUP(V150,AD150:AG158,3,FALSE)+VLOOKUP(V150,AD150:AG158,4,FALSE)</f>
        <v>30.443441681619454</v>
      </c>
      <c r="AD156" s="547">
        <f>'Progetto del paramento slu'!B106</f>
        <v>0.51366666666666694</v>
      </c>
      <c r="AE156" s="548">
        <f>'Progetto del paramento slu'!D106</f>
        <v>0.99999999999384426</v>
      </c>
      <c r="AF156" s="549">
        <f>'Progetto del paramento slu'!E106</f>
        <v>3.1992193305037393</v>
      </c>
      <c r="AG156" s="549">
        <f>'Progetto del paramento slu'!F106</f>
        <v>0</v>
      </c>
    </row>
    <row r="157" spans="2:41" x14ac:dyDescent="0.25">
      <c r="B157" s="2"/>
      <c r="C157" s="989" t="s">
        <v>225</v>
      </c>
      <c r="D157" s="77"/>
      <c r="E157" s="76"/>
      <c r="F157" s="82">
        <f>-(D129-K152-IF(M154="sx",K150,0))</f>
        <v>-99.80548916831259</v>
      </c>
      <c r="G157" s="2"/>
      <c r="H157" s="4"/>
      <c r="J157" t="s">
        <v>237</v>
      </c>
      <c r="M157" s="164" t="s">
        <v>238</v>
      </c>
      <c r="N157" s="368">
        <f>'Progetto della zattera slu'!G120*K154</f>
        <v>181.3578621006007</v>
      </c>
      <c r="V157" s="244">
        <f>IF('ANALISI DELLE SPINTE'!J139='FOGLIO DEPOSITO'!$AD$171,"",M173)</f>
        <v>3.35</v>
      </c>
      <c r="W157" s="46"/>
      <c r="X157" s="281">
        <f>X173*VLOOKUP(V150,AD150:AG158,2,FALSE)+VLOOKUP(V150,AD150:AG158,3,FALSE)+VLOOKUP(V150,AD150:AG158,4,FALSE)</f>
        <v>27.430088465110245</v>
      </c>
      <c r="Y157" s="47"/>
      <c r="Z157" s="244">
        <f t="shared" si="18"/>
        <v>3.35</v>
      </c>
      <c r="AA157" s="46"/>
      <c r="AB157" s="281">
        <f>AB173*VLOOKUP(V150,AD150:AG158,2,FALSE)+VLOOKUP(V150,AD150:AG158,3,FALSE)+VLOOKUP(V150,AD150:AG158,4,FALSE)</f>
        <v>30.443441681619454</v>
      </c>
      <c r="AD157" s="621">
        <f>'Progetto del paramento slu'!B105</f>
        <v>0.51366666666666694</v>
      </c>
      <c r="AE157" s="548">
        <f>'Progetto del paramento slu'!D105</f>
        <v>0.99999999999384426</v>
      </c>
      <c r="AF157" s="549">
        <f>'Progetto del paramento slu'!E105</f>
        <v>3.1992193305037393</v>
      </c>
      <c r="AG157" s="549">
        <f>'Progetto del paramento slu'!F105</f>
        <v>0</v>
      </c>
    </row>
    <row r="158" spans="2:41" x14ac:dyDescent="0.25">
      <c r="B158" s="2"/>
      <c r="C158" s="989"/>
      <c r="D158" s="24"/>
      <c r="E158" s="76"/>
      <c r="F158" s="2"/>
      <c r="G158" s="2"/>
      <c r="H158" s="4"/>
      <c r="J158" t="s">
        <v>239</v>
      </c>
      <c r="M158" s="164" t="s">
        <v>240</v>
      </c>
      <c r="N158" s="368">
        <f>'Progetto della zattera slu'!G121*K154</f>
        <v>-41.875499945664579</v>
      </c>
      <c r="V158" s="626">
        <f>IF('ANALISI DELLE SPINTE'!J140='FOGLIO DEPOSITO'!$AD$171,"",M174)</f>
        <v>3.35</v>
      </c>
      <c r="W158" s="44"/>
      <c r="X158" s="223">
        <f>X174*VLOOKUP(V150,AD150:AG158,2,FALSE)+VLOOKUP(V150,AD150:AG158,3,FALSE)+VLOOKUP(V150,AD150:AG158,4,FALSE)</f>
        <v>27.430088465110245</v>
      </c>
      <c r="Y158" s="149"/>
      <c r="Z158" s="247">
        <f t="shared" si="18"/>
        <v>3.35</v>
      </c>
      <c r="AA158" s="44"/>
      <c r="AB158" s="223">
        <f>AB174*VLOOKUP(V150,AD150:AG158,2,FALSE)+VLOOKUP(V150,AD150:AG158,3,FALSE)+VLOOKUP(V150,AD150:AG158,4,FALSE)</f>
        <v>30.443441681619454</v>
      </c>
      <c r="AD158" s="622">
        <f>'Progetto del paramento slu'!B104</f>
        <v>3.35</v>
      </c>
      <c r="AE158" s="548">
        <f>'Progetto del paramento slu'!D104</f>
        <v>0.99999999999384426</v>
      </c>
      <c r="AF158" s="549">
        <f>'Progetto del paramento slu'!E104</f>
        <v>2.5832006524458331</v>
      </c>
      <c r="AG158" s="549">
        <f>'Progetto del paramento slu'!F104</f>
        <v>0</v>
      </c>
    </row>
    <row r="159" spans="2:41" ht="15.75" x14ac:dyDescent="0.25">
      <c r="B159" s="2"/>
      <c r="C159" s="401">
        <f>B133-K152-IF(M154="Dx",K150,K148)</f>
        <v>-70.332163164809828</v>
      </c>
      <c r="D159" s="24"/>
      <c r="E159" s="373"/>
      <c r="F159" s="2"/>
      <c r="G159" s="2"/>
      <c r="H159" s="4"/>
      <c r="J159" s="428"/>
      <c r="M159" s="164"/>
      <c r="V159" s="160"/>
      <c r="W159" s="527"/>
      <c r="X159" s="527"/>
      <c r="Y159" s="527"/>
      <c r="Z159" s="160"/>
      <c r="AA159" s="160"/>
      <c r="AB159" s="527"/>
    </row>
    <row r="160" spans="2:41" x14ac:dyDescent="0.25">
      <c r="E160" s="192"/>
      <c r="AM160" s="933" t="s">
        <v>241</v>
      </c>
      <c r="AN160" s="933"/>
      <c r="AO160" s="933"/>
    </row>
    <row r="161" spans="2:41" x14ac:dyDescent="0.25">
      <c r="V161" s="986" t="s">
        <v>242</v>
      </c>
      <c r="W161" s="987"/>
      <c r="X161" s="987"/>
      <c r="Y161" s="987"/>
      <c r="Z161" s="987"/>
      <c r="AA161" s="987"/>
      <c r="AB161" s="988"/>
      <c r="AM161" s="290" t="s">
        <v>243</v>
      </c>
    </row>
    <row r="162" spans="2:41" ht="18.75" x14ac:dyDescent="0.25">
      <c r="M162" s="926" t="s">
        <v>244</v>
      </c>
      <c r="N162" s="927"/>
      <c r="O162" s="927"/>
      <c r="P162" s="927"/>
      <c r="Q162" s="927"/>
      <c r="R162" s="927"/>
      <c r="S162" s="927"/>
      <c r="T162" s="928"/>
      <c r="V162" s="983" t="s">
        <v>244</v>
      </c>
      <c r="W162" s="984"/>
      <c r="X162" s="984"/>
      <c r="Y162" s="984"/>
      <c r="Z162" s="984"/>
      <c r="AA162" s="984"/>
      <c r="AB162" s="985"/>
      <c r="AM162" s="298" t="s">
        <v>245</v>
      </c>
      <c r="AN162" s="285" t="s">
        <v>246</v>
      </c>
    </row>
    <row r="163" spans="2:41" x14ac:dyDescent="0.25">
      <c r="M163" s="228"/>
      <c r="N163" s="33"/>
      <c r="O163" s="33"/>
      <c r="P163" s="33"/>
      <c r="Q163" s="33"/>
      <c r="R163" s="33"/>
      <c r="S163" s="267"/>
      <c r="T163" s="210"/>
      <c r="V163" s="282"/>
      <c r="W163" s="47"/>
      <c r="X163" s="47"/>
      <c r="Y163" s="47"/>
      <c r="Z163" s="47"/>
      <c r="AA163" s="47"/>
      <c r="AB163" s="209"/>
      <c r="AM163" s="288"/>
      <c r="AN163" s="286">
        <f>'FOGLIO DEPOSITO'!G225+'FOGLIO DEPOSITO'!H225+'FOGLIO DEPOSITO'!I225</f>
        <v>1.5608815691514315</v>
      </c>
      <c r="AO163" s="476">
        <f>'FOGLIO DEPOSITO'!K225</f>
        <v>1.5608815691514315</v>
      </c>
    </row>
    <row r="164" spans="2:41" x14ac:dyDescent="0.25">
      <c r="B164" s="402"/>
      <c r="C164" s="3"/>
      <c r="D164" s="69"/>
      <c r="E164" s="396"/>
      <c r="F164" s="4"/>
      <c r="M164" s="926" t="s">
        <v>241</v>
      </c>
      <c r="N164" s="927"/>
      <c r="O164" s="927"/>
      <c r="P164" s="928"/>
      <c r="Q164" s="926" t="s">
        <v>247</v>
      </c>
      <c r="R164" s="927"/>
      <c r="S164" s="927"/>
      <c r="T164" s="928"/>
      <c r="V164" s="283" t="s">
        <v>241</v>
      </c>
      <c r="W164" s="47"/>
      <c r="X164" s="47"/>
      <c r="Y164" s="47"/>
      <c r="Z164" s="47" t="s">
        <v>247</v>
      </c>
      <c r="AA164" s="47"/>
      <c r="AB164" s="209"/>
      <c r="AD164" t="s">
        <v>248</v>
      </c>
      <c r="AM164" s="288">
        <f>IF(AN163&lt;0,IF(AN164&lt;0,IF('ANALISI DELLE SPINTE'!C89='ANALISI DELLE SPINTE'!C88,0,'ANALISI DELLE SPINTE'!D89),IF('ANALISI DELLE SPINTE'!C89='ANALISI DELLE SPINTE'!C88,0,IF('ANALISI DELLE SPINTE'!C89='ANALISI DELLE SPINTE'!C88,'ANALISI DELLE SPINTE'!C89,-('ANALISI DELLE SPINTE'!C89-'ANALISI DELLE SPINTE'!C88)/(AN164-AN163)*AN163))),0)</f>
        <v>0</v>
      </c>
      <c r="AN164" s="286">
        <f>'FOGLIO DEPOSITO'!G226+'FOGLIO DEPOSITO'!H226+'FOGLIO DEPOSITO'!I226</f>
        <v>20.871849252015398</v>
      </c>
      <c r="AO164">
        <f>'FOGLIO DEPOSITO'!K226</f>
        <v>20.871849252015398</v>
      </c>
    </row>
    <row r="165" spans="2:41" ht="18.75" x14ac:dyDescent="0.25">
      <c r="B165" s="402"/>
      <c r="C165" s="3"/>
      <c r="D165" s="69"/>
      <c r="E165" s="396"/>
      <c r="F165" s="4"/>
      <c r="H165" s="1007" t="s">
        <v>249</v>
      </c>
      <c r="I165" s="1008"/>
      <c r="J165" s="1009"/>
      <c r="M165" s="166" t="s">
        <v>22</v>
      </c>
      <c r="N165" s="242" t="s">
        <v>250</v>
      </c>
      <c r="O165" s="166" t="s">
        <v>22</v>
      </c>
      <c r="P165" s="243" t="s">
        <v>246</v>
      </c>
      <c r="Q165" s="240" t="s">
        <v>22</v>
      </c>
      <c r="R165" s="242" t="s">
        <v>250</v>
      </c>
      <c r="S165" s="166" t="s">
        <v>22</v>
      </c>
      <c r="T165" s="243" t="s">
        <v>246</v>
      </c>
      <c r="V165" s="166" t="s">
        <v>22</v>
      </c>
      <c r="W165" s="242" t="s">
        <v>250</v>
      </c>
      <c r="X165" s="243" t="s">
        <v>246</v>
      </c>
      <c r="Y165" s="47"/>
      <c r="Z165" s="166" t="s">
        <v>22</v>
      </c>
      <c r="AA165" s="242" t="s">
        <v>250</v>
      </c>
      <c r="AB165" s="243" t="s">
        <v>246</v>
      </c>
      <c r="AD165" t="s">
        <v>251</v>
      </c>
      <c r="AM165" s="289">
        <f>IF(AN164&lt;0,IF(AN165&lt;0,IF('ANALISI DELLE SPINTE'!C90='ANALISI DELLE SPINTE'!C89,0,'ANALISI DELLE SPINTE'!D90-'ANALISI DELLE SPINTE'!D89),IF('ANALISI DELLE SPINTE'!C90='ANALISI DELLE SPINTE'!C89,0,IF('ANALISI DELLE SPINTE'!C90='ANALISI DELLE SPINTE'!C89,'ANALISI DELLE SPINTE'!C90,-('ANALISI DELLE SPINTE'!C90-'ANALISI DELLE SPINTE'!C89)/(AN165-AN164)*AN164))),0)</f>
        <v>0</v>
      </c>
      <c r="AN165" s="287">
        <f>'FOGLIO DEPOSITO'!G227+'FOGLIO DEPOSITO'!H227+'FOGLIO DEPOSITO'!I227</f>
        <v>20.871849252015398</v>
      </c>
      <c r="AO165">
        <f>'FOGLIO DEPOSITO'!K227</f>
        <v>20.871849252015398</v>
      </c>
    </row>
    <row r="166" spans="2:41" x14ac:dyDescent="0.25">
      <c r="B166" s="402"/>
      <c r="C166" s="47" t="s">
        <v>210</v>
      </c>
      <c r="D166" s="47" t="s">
        <v>4</v>
      </c>
      <c r="E166" s="33"/>
      <c r="F166" s="4"/>
      <c r="H166" s="1010" t="s">
        <v>252</v>
      </c>
      <c r="I166" s="1011"/>
      <c r="J166" s="1012"/>
      <c r="M166" s="254">
        <f>'ANALISI DELLE SPINTE'!C88</f>
        <v>0</v>
      </c>
      <c r="N166" s="255">
        <f>'FOGLIO DEPOSITO'!J225</f>
        <v>5</v>
      </c>
      <c r="O166" s="254">
        <f>IF('ANALISI DELLE SPINTE'!J131='FOGLIO DEPOSITO'!AD165,"",M166)</f>
        <v>0</v>
      </c>
      <c r="P166" s="257">
        <f>IF('ANALISI DELLE SPINTE'!J131='FOGLIO DEPOSITO'!AD165,"",'FOGLIO DEPOSITO'!AN163)</f>
        <v>1.5608815691514315</v>
      </c>
      <c r="Q166" s="256">
        <f>'ANALISI DELLE SPINTE'!C105</f>
        <v>0</v>
      </c>
      <c r="R166" s="255">
        <f>'FOGLIO DEPOSITO'!J242</f>
        <v>5</v>
      </c>
      <c r="S166" s="254">
        <f>IF('ANALISI DELLE SPINTE'!J128='FOGLIO DEPOSITO'!$AD$168,"",Q166)</f>
        <v>0</v>
      </c>
      <c r="T166" s="257">
        <f>IF('ANALISI DELLE SPINTE'!J128='FOGLIO DEPOSITO'!$AD$168,"",'FOGLIO DEPOSITO'!AN176)</f>
        <v>1.5608815691514315</v>
      </c>
      <c r="V166" s="244">
        <f>IF('ANALISI DELLE SPINTE'!J132='FOGLIO DEPOSITO'!$AD$171,"",M166)</f>
        <v>0</v>
      </c>
      <c r="W166" s="46"/>
      <c r="X166" s="46">
        <f>IF('ANALISI DELLE SPINTE'!J132='FOGLIO DEPOSITO'!$AD$171,"",'FOGLIO DEPOSITO'!K225)</f>
        <v>1.5608815691514315</v>
      </c>
      <c r="Y166" s="47"/>
      <c r="Z166" s="227">
        <f>IF('ANALISI DELLE SPINTE'!J129='FOGLIO DEPOSITO'!$AD$174,"",Q166)</f>
        <v>0</v>
      </c>
      <c r="AA166" s="46"/>
      <c r="AB166" s="281">
        <f>IF('ANALISI DELLE SPINTE'!J129='FOGLIO DEPOSITO'!$AD$174,"",'FOGLIO DEPOSITO'!K242)</f>
        <v>1.5608815691514315</v>
      </c>
      <c r="AM166" s="288">
        <f>IF(($AM$164+$AM$165)=0,0,IF(AN165&lt;0,IF(AN166&lt;0,IF('ANALISI DELLE SPINTE'!C91='ANALISI DELLE SPINTE'!C90,0,'ANALISI DELLE SPINTE'!D91-'ANALISI DELLE SPINTE'!D90),IF('ANALISI DELLE SPINTE'!C91='ANALISI DELLE SPINTE'!C90,0,IF('ANALISI DELLE SPINTE'!C91='ANALISI DELLE SPINTE'!C90,'ANALISI DELLE SPINTE'!C91,-('ANALISI DELLE SPINTE'!C91-'ANALISI DELLE SPINTE'!C90)/(AN166-AN165)*AN165))),0))</f>
        <v>0</v>
      </c>
      <c r="AN166" s="286">
        <f>IF('ANALISI DELLE SPINTE'!D45=0,"",'FOGLIO DEPOSITO'!G228+'FOGLIO DEPOSITO'!H228+'FOGLIO DEPOSITO'!I228)</f>
        <v>20.871849252015398</v>
      </c>
      <c r="AO166">
        <f>'FOGLIO DEPOSITO'!K228</f>
        <v>20.871849252015398</v>
      </c>
    </row>
    <row r="167" spans="2:41" x14ac:dyDescent="0.25">
      <c r="B167" s="402"/>
      <c r="C167" s="46">
        <f>DATI!E75+DATI!E76</f>
        <v>1.7000000000000002</v>
      </c>
      <c r="D167" s="46">
        <f>DATI!E61</f>
        <v>1</v>
      </c>
      <c r="E167" s="807">
        <f>MAX(C167:D167)/MINA(C167:D167)</f>
        <v>1.7000000000000002</v>
      </c>
      <c r="F167" s="4"/>
      <c r="H167" s="228"/>
      <c r="I167" s="33"/>
      <c r="J167" s="210"/>
      <c r="M167" s="254">
        <f>'ANALISI DELLE SPINTE'!C89</f>
        <v>2.8363333333333332</v>
      </c>
      <c r="N167" s="255">
        <f>'FOGLIO DEPOSITO'!J226</f>
        <v>64.562999999999988</v>
      </c>
      <c r="O167" s="254">
        <f>IF('ANALISI DELLE SPINTE'!J131='FOGLIO DEPOSITO'!AD165,"",M167)</f>
        <v>2.8363333333333332</v>
      </c>
      <c r="P167" s="257">
        <f>IF('ANALISI DELLE SPINTE'!J131='FOGLIO DEPOSITO'!AD165,"",'FOGLIO DEPOSITO'!AN164)</f>
        <v>20.871849252015398</v>
      </c>
      <c r="Q167" s="256">
        <f>'ANALISI DELLE SPINTE'!C106</f>
        <v>2.8363333333333332</v>
      </c>
      <c r="R167" s="255">
        <f>'FOGLIO DEPOSITO'!J243</f>
        <v>64.562999999999988</v>
      </c>
      <c r="S167" s="254">
        <f>IF('ANALISI DELLE SPINTE'!J128='FOGLIO DEPOSITO'!$AD$168,"",Q167)</f>
        <v>2.8363333333333332</v>
      </c>
      <c r="T167" s="257">
        <f>IF('ANALISI DELLE SPINTE'!J128='FOGLIO DEPOSITO'!$AD$168,"",'FOGLIO DEPOSITO'!AN177)</f>
        <v>20.871849252015398</v>
      </c>
      <c r="V167" s="244">
        <f>IF('ANALISI DELLE SPINTE'!J132='FOGLIO DEPOSITO'!$AD$171,"",M167)</f>
        <v>2.8363333333333332</v>
      </c>
      <c r="W167" s="46"/>
      <c r="X167" s="46">
        <f>IF('ANALISI DELLE SPINTE'!J132='FOGLIO DEPOSITO'!$AD$171,"",'FOGLIO DEPOSITO'!K226)</f>
        <v>20.871849252015398</v>
      </c>
      <c r="Y167" s="47"/>
      <c r="Z167" s="227">
        <f>IF('ANALISI DELLE SPINTE'!J129='FOGLIO DEPOSITO'!$AD$174,"",Q167)</f>
        <v>2.8363333333333332</v>
      </c>
      <c r="AA167" s="46"/>
      <c r="AB167" s="281">
        <f>IF('ANALISI DELLE SPINTE'!J129='FOGLIO DEPOSITO'!$AD$174,"",'FOGLIO DEPOSITO'!K243)</f>
        <v>20.871849252015398</v>
      </c>
      <c r="AD167" t="s">
        <v>253</v>
      </c>
      <c r="AM167" s="288">
        <f>IF(($AM$164+$AM$165)=0,0,IF(AN166&lt;0,IF(AN167&lt;0,IF('ANALISI DELLE SPINTE'!C92='ANALISI DELLE SPINTE'!C91,0,'ANALISI DELLE SPINTE'!D92-'ANALISI DELLE SPINTE'!D91),IF('ANALISI DELLE SPINTE'!C92='ANALISI DELLE SPINTE'!C91,0,IF('ANALISI DELLE SPINTE'!C92='ANALISI DELLE SPINTE'!C91,'ANALISI DELLE SPINTE'!C92,-('ANALISI DELLE SPINTE'!C92-'ANALISI DELLE SPINTE'!C91)/(AN167-AN166)*AN166))),0))</f>
        <v>0</v>
      </c>
      <c r="AN167" s="286">
        <f>IF('ANALISI DELLE SPINTE'!D45=0,"",'FOGLIO DEPOSITO'!G229+'FOGLIO DEPOSITO'!H229+'FOGLIO DEPOSITO'!I229)</f>
        <v>24.11930669699646</v>
      </c>
      <c r="AO167">
        <f>'FOGLIO DEPOSITO'!K229</f>
        <v>24.11930669699646</v>
      </c>
    </row>
    <row r="168" spans="2:41" x14ac:dyDescent="0.25">
      <c r="B168" s="402"/>
      <c r="C168" s="33"/>
      <c r="D168" s="33"/>
      <c r="E168" s="33"/>
      <c r="F168" s="4"/>
      <c r="H168" s="1010" t="s">
        <v>254</v>
      </c>
      <c r="I168" s="1011"/>
      <c r="J168" s="1012"/>
      <c r="M168" s="258">
        <f>'ANALISI DELLE SPINTE'!C90</f>
        <v>2.8363333333333332</v>
      </c>
      <c r="N168" s="259">
        <f>'FOGLIO DEPOSITO'!J227</f>
        <v>64.562999999999988</v>
      </c>
      <c r="O168" s="258">
        <f>IF('ANALISI DELLE SPINTE'!J131='FOGLIO DEPOSITO'!AD165,"",M168)</f>
        <v>2.8363333333333332</v>
      </c>
      <c r="P168" s="261">
        <f>IF('ANALISI DELLE SPINTE'!J131='FOGLIO DEPOSITO'!AD165,"",'FOGLIO DEPOSITO'!AN165)</f>
        <v>20.871849252015398</v>
      </c>
      <c r="Q168" s="260">
        <f>'ANALISI DELLE SPINTE'!C107</f>
        <v>2.8363333333333332</v>
      </c>
      <c r="R168" s="259">
        <f>'FOGLIO DEPOSITO'!J244</f>
        <v>64.562999999999988</v>
      </c>
      <c r="S168" s="258">
        <f>IF('ANALISI DELLE SPINTE'!J128='FOGLIO DEPOSITO'!$AD$168,"",Q168)</f>
        <v>2.8363333333333332</v>
      </c>
      <c r="T168" s="261">
        <f>IF('ANALISI DELLE SPINTE'!J128='FOGLIO DEPOSITO'!$AD$168,"",'FOGLIO DEPOSITO'!AN178)</f>
        <v>20.871849252015398</v>
      </c>
      <c r="V168" s="247">
        <f>IF('ANALISI DELLE SPINTE'!J132='FOGLIO DEPOSITO'!$AD$171,"",M168)</f>
        <v>2.8363333333333332</v>
      </c>
      <c r="W168" s="44"/>
      <c r="X168" s="44">
        <f>IF('ANALISI DELLE SPINTE'!J132='FOGLIO DEPOSITO'!$AD$171,"",'FOGLIO DEPOSITO'!K227)</f>
        <v>20.871849252015398</v>
      </c>
      <c r="Y168" s="47"/>
      <c r="Z168" s="226">
        <f>IF('ANALISI DELLE SPINTE'!J129='FOGLIO DEPOSITO'!$AD$174,"",Q168)</f>
        <v>2.8363333333333332</v>
      </c>
      <c r="AA168" s="44"/>
      <c r="AB168" s="223">
        <f>IF('ANALISI DELLE SPINTE'!J129='FOGLIO DEPOSITO'!$AD$174,"",'FOGLIO DEPOSITO'!K244)</f>
        <v>20.871849252015398</v>
      </c>
      <c r="AD168" t="s">
        <v>255</v>
      </c>
      <c r="AM168" s="289">
        <f>IF(($AM$164+$AM$165)=0,0,IF(AN167&lt;0,IF(AN168&lt;0,IF('ANALISI DELLE SPINTE'!C93='ANALISI DELLE SPINTE'!C92,0,'ANALISI DELLE SPINTE'!D93-'ANALISI DELLE SPINTE'!D92),IF('ANALISI DELLE SPINTE'!C93='ANALISI DELLE SPINTE'!C92,0,IF('ANALISI DELLE SPINTE'!C93='ANALISI DELLE SPINTE'!C92,'ANALISI DELLE SPINTE'!C93,-('ANALISI DELLE SPINTE'!C93-'ANALISI DELLE SPINTE'!C92)/(AN168-AN167)*AN167))),0))</f>
        <v>0</v>
      </c>
      <c r="AN168" s="287">
        <f>IF('ANALISI DELLE SPINTE'!D45=0,"",'FOGLIO DEPOSITO'!G230+'FOGLIO DEPOSITO'!H230+'FOGLIO DEPOSITO'!I230)</f>
        <v>24.11930669699646</v>
      </c>
      <c r="AO168">
        <f>'FOGLIO DEPOSITO'!K230</f>
        <v>24.11930669699646</v>
      </c>
    </row>
    <row r="169" spans="2:41" x14ac:dyDescent="0.25">
      <c r="B169" s="402"/>
      <c r="C169" s="806">
        <v>1</v>
      </c>
      <c r="D169" s="806">
        <v>1.06</v>
      </c>
      <c r="E169" s="805">
        <f>VLOOKUP(E167,C169:D173,2,TRUE)</f>
        <v>1.06</v>
      </c>
      <c r="F169" s="4"/>
      <c r="H169" s="1010" t="s">
        <v>256</v>
      </c>
      <c r="I169" s="1011"/>
      <c r="J169" s="1012"/>
      <c r="M169" s="254">
        <f>IF('FOGLIO DEPOSITO'!J228="",M168,'ANALISI DELLE SPINTE'!C91)</f>
        <v>2.8363333333333332</v>
      </c>
      <c r="N169" s="255">
        <f>IF('FOGLIO DEPOSITO'!J228="",N168,'FOGLIO DEPOSITO'!J228)</f>
        <v>64.562999999999988</v>
      </c>
      <c r="O169" s="254">
        <f>IF('ANALISI DELLE SPINTE'!J131='FOGLIO DEPOSITO'!AD165,"",M169)</f>
        <v>2.8363333333333332</v>
      </c>
      <c r="P169" s="257">
        <f>IF('ANALISI DELLE SPINTE'!J131='FOGLIO DEPOSITO'!AD165,"",IF('FOGLIO DEPOSITO'!J228="",P168,'FOGLIO DEPOSITO'!AN166))</f>
        <v>20.871849252015398</v>
      </c>
      <c r="Q169" s="256">
        <f>IF('FOGLIO DEPOSITO'!J245="",Q168,'ANALISI DELLE SPINTE'!C108)</f>
        <v>2.8363333333333332</v>
      </c>
      <c r="R169" s="255">
        <f>IF('FOGLIO DEPOSITO'!J245="",R168,'FOGLIO DEPOSITO'!J245)</f>
        <v>64.562999999999988</v>
      </c>
      <c r="S169" s="254">
        <f>IF('ANALISI DELLE SPINTE'!J128='FOGLIO DEPOSITO'!$AD$168,"",Q169)</f>
        <v>2.8363333333333332</v>
      </c>
      <c r="T169" s="257">
        <f>IF('ANALISI DELLE SPINTE'!J128='FOGLIO DEPOSITO'!$AD$168,"",IF('FOGLIO DEPOSITO'!J245="",T168,'FOGLIO DEPOSITO'!AN179))</f>
        <v>23.47948034475635</v>
      </c>
      <c r="V169" s="244">
        <f>IF('ANALISI DELLE SPINTE'!J132='FOGLIO DEPOSITO'!$AD$171,"",M169)</f>
        <v>2.8363333333333332</v>
      </c>
      <c r="W169" s="46"/>
      <c r="X169" s="46">
        <f>IF('ANALISI DELLE SPINTE'!J132='FOGLIO DEPOSITO'!$AD$171,"",IF('FOGLIO DEPOSITO'!J228="",$X$168,'FOGLIO DEPOSITO'!K228))</f>
        <v>20.871849252015398</v>
      </c>
      <c r="Y169" s="47"/>
      <c r="Z169" s="227">
        <f>IF('ANALISI DELLE SPINTE'!J129='FOGLIO DEPOSITO'!$AD$174,"",Q169)</f>
        <v>2.8363333333333332</v>
      </c>
      <c r="AA169" s="46"/>
      <c r="AB169" s="281">
        <f>IF('ANALISI DELLE SPINTE'!J129='FOGLIO DEPOSITO'!$AD$174,"",IF('FOGLIO DEPOSITO'!J245="",$AB$168,'FOGLIO DEPOSITO'!K245))</f>
        <v>23.47948034475635</v>
      </c>
      <c r="AM169" s="288">
        <f>IF(($AM$164+$AM$165)=0,0,IF(AN168&lt;0,IF(AN169&lt;0,IF('ANALISI DELLE SPINTE'!C94='ANALISI DELLE SPINTE'!C93,0,'ANALISI DELLE SPINTE'!D94-'ANALISI DELLE SPINTE'!D93),IF('ANALISI DELLE SPINTE'!C94='ANALISI DELLE SPINTE'!C93,0,IF('ANALISI DELLE SPINTE'!C94='ANALISI DELLE SPINTE'!C93,'ANALISI DELLE SPINTE'!C94,-('ANALISI DELLE SPINTE'!C94-'ANALISI DELLE SPINTE'!C93)/(AN169-AN168)*AN168))),0))</f>
        <v>0</v>
      </c>
      <c r="AN169" s="286" t="str">
        <f>IF('ANALISI DELLE SPINTE'!D52=0,"",'FOGLIO DEPOSITO'!G231+'FOGLIO DEPOSITO'!H231+'FOGLIO DEPOSITO'!I231)</f>
        <v/>
      </c>
      <c r="AO169" t="str">
        <f>'FOGLIO DEPOSITO'!K231</f>
        <v/>
      </c>
    </row>
    <row r="170" spans="2:41" x14ac:dyDescent="0.25">
      <c r="B170" s="402"/>
      <c r="C170" s="47">
        <v>2</v>
      </c>
      <c r="D170" s="47">
        <v>1.0900000000000001</v>
      </c>
      <c r="E170" s="33"/>
      <c r="F170" s="4"/>
      <c r="H170" s="228"/>
      <c r="I170" s="33"/>
      <c r="J170" s="210"/>
      <c r="M170" s="254">
        <f>IF('FOGLIO DEPOSITO'!J228="",M168,'ANALISI DELLE SPINTE'!C92)</f>
        <v>3.35</v>
      </c>
      <c r="N170" s="255">
        <f>IF('FOGLIO DEPOSITO'!J228="",N168,'FOGLIO DEPOSITO'!J229)</f>
        <v>74.579499999999996</v>
      </c>
      <c r="O170" s="254">
        <f>IF('ANALISI DELLE SPINTE'!J131='FOGLIO DEPOSITO'!AD165,"",M170)</f>
        <v>3.35</v>
      </c>
      <c r="P170" s="257">
        <f>IF('ANALISI DELLE SPINTE'!J131='FOGLIO DEPOSITO'!AD165,"",IF('FOGLIO DEPOSITO'!J228="",P168,'FOGLIO DEPOSITO'!AN167))</f>
        <v>24.11930669699646</v>
      </c>
      <c r="Q170" s="256">
        <f>IF('FOGLIO DEPOSITO'!J245="",Q168,'ANALISI DELLE SPINTE'!C109)</f>
        <v>3.35</v>
      </c>
      <c r="R170" s="255">
        <f>IF('FOGLIO DEPOSITO'!J245="",R168,'FOGLIO DEPOSITO'!J246)</f>
        <v>74.579499999999996</v>
      </c>
      <c r="S170" s="254">
        <f>IF('ANALISI DELLE SPINTE'!J128='FOGLIO DEPOSITO'!$AD$168,"",Q170)</f>
        <v>3.35</v>
      </c>
      <c r="T170" s="257">
        <f>IF('ANALISI DELLE SPINTE'!J128='FOGLIO DEPOSITO'!$AD$168,"",IF('FOGLIO DEPOSITO'!J245="",T168,'FOGLIO DEPOSITO'!AN180))</f>
        <v>27.132659913524215</v>
      </c>
      <c r="V170" s="244">
        <f>IF('ANALISI DELLE SPINTE'!J132='FOGLIO DEPOSITO'!$AD$171,"",M170)</f>
        <v>3.35</v>
      </c>
      <c r="W170" s="46"/>
      <c r="X170" s="46">
        <f>IF('ANALISI DELLE SPINTE'!J132='FOGLIO DEPOSITO'!$AD$171,"",IF('FOGLIO DEPOSITO'!J229="",$X$168,'FOGLIO DEPOSITO'!K229))</f>
        <v>24.11930669699646</v>
      </c>
      <c r="Y170" s="47"/>
      <c r="Z170" s="227">
        <f>IF('ANALISI DELLE SPINTE'!J129='FOGLIO DEPOSITO'!$AD$174,"",Q170)</f>
        <v>3.35</v>
      </c>
      <c r="AA170" s="46"/>
      <c r="AB170" s="281">
        <f>IF('ANALISI DELLE SPINTE'!J129='FOGLIO DEPOSITO'!$AD$174,"",IF('FOGLIO DEPOSITO'!J246="",$AB$168,'FOGLIO DEPOSITO'!K246))</f>
        <v>27.132659913524215</v>
      </c>
      <c r="AD170" t="s">
        <v>257</v>
      </c>
      <c r="AM170" s="288">
        <f>IF(($AM$164+$AM$165)=0,0,IF(AN169&lt;0,IF(AN170&lt;0,IF('ANALISI DELLE SPINTE'!C95='ANALISI DELLE SPINTE'!C94,0,'ANALISI DELLE SPINTE'!D95-'ANALISI DELLE SPINTE'!D94),IF('ANALISI DELLE SPINTE'!C95='ANALISI DELLE SPINTE'!C94,0,IF('ANALISI DELLE SPINTE'!C95='ANALISI DELLE SPINTE'!C94,'ANALISI DELLE SPINTE'!C95,-('ANALISI DELLE SPINTE'!C95-'ANALISI DELLE SPINTE'!C94)/(AN170-AN169)*AN169))),0))</f>
        <v>0</v>
      </c>
      <c r="AN170" s="286" t="str">
        <f>IF('ANALISI DELLE SPINTE'!D52=0,"",'FOGLIO DEPOSITO'!G232+'FOGLIO DEPOSITO'!H232+'FOGLIO DEPOSITO'!I232)</f>
        <v/>
      </c>
      <c r="AO170" t="str">
        <f>'FOGLIO DEPOSITO'!K232</f>
        <v/>
      </c>
    </row>
    <row r="171" spans="2:41" x14ac:dyDescent="0.25">
      <c r="B171" s="402"/>
      <c r="C171" s="47">
        <v>5</v>
      </c>
      <c r="D171" s="47">
        <v>1.22</v>
      </c>
      <c r="E171" s="33"/>
      <c r="F171" s="4"/>
      <c r="H171" s="1010" t="s">
        <v>258</v>
      </c>
      <c r="I171" s="1011"/>
      <c r="J171" s="1012"/>
      <c r="M171" s="258">
        <f>IF('FOGLIO DEPOSITO'!J228="",M168,'ANALISI DELLE SPINTE'!C93)</f>
        <v>3.35</v>
      </c>
      <c r="N171" s="259">
        <f>IF('FOGLIO DEPOSITO'!J228="",N168,'FOGLIO DEPOSITO'!J230)</f>
        <v>74.579499999999996</v>
      </c>
      <c r="O171" s="258">
        <f>IF('ANALISI DELLE SPINTE'!J131='FOGLIO DEPOSITO'!AD165,"",M171)</f>
        <v>3.35</v>
      </c>
      <c r="P171" s="261">
        <f>IF('ANALISI DELLE SPINTE'!J131='FOGLIO DEPOSITO'!AD165,"",IF('FOGLIO DEPOSITO'!J228="",P168,'FOGLIO DEPOSITO'!AN168))</f>
        <v>24.11930669699646</v>
      </c>
      <c r="Q171" s="260">
        <f>IF('FOGLIO DEPOSITO'!J245="",Q168,'ANALISI DELLE SPINTE'!C110)</f>
        <v>3.35</v>
      </c>
      <c r="R171" s="259">
        <f>IF('FOGLIO DEPOSITO'!J245="",R168,'FOGLIO DEPOSITO'!J247)</f>
        <v>74.579499999999996</v>
      </c>
      <c r="S171" s="258">
        <f>IF('ANALISI DELLE SPINTE'!J128='FOGLIO DEPOSITO'!$AD$168,"",Q171)</f>
        <v>3.35</v>
      </c>
      <c r="T171" s="261">
        <f>IF('ANALISI DELLE SPINTE'!J128='FOGLIO DEPOSITO'!$AD$168,"",IF('FOGLIO DEPOSITO'!J245="",T168,'FOGLIO DEPOSITO'!AN181))</f>
        <v>27.132659913524215</v>
      </c>
      <c r="V171" s="247">
        <f>IF('ANALISI DELLE SPINTE'!J132='FOGLIO DEPOSITO'!$AD$171,"",M171)</f>
        <v>3.35</v>
      </c>
      <c r="W171" s="44"/>
      <c r="X171" s="44">
        <f>IF('ANALISI DELLE SPINTE'!J132='FOGLIO DEPOSITO'!$AD$171,"",IF('FOGLIO DEPOSITO'!J230="",$X$168,'FOGLIO DEPOSITO'!K230))</f>
        <v>24.11930669699646</v>
      </c>
      <c r="Y171" s="47"/>
      <c r="Z171" s="226">
        <f>IF('ANALISI DELLE SPINTE'!J129='FOGLIO DEPOSITO'!$AD$174,"",Q171)</f>
        <v>3.35</v>
      </c>
      <c r="AA171" s="44"/>
      <c r="AB171" s="223">
        <f>IF('ANALISI DELLE SPINTE'!J129='FOGLIO DEPOSITO'!$AD$174,"",IF('FOGLIO DEPOSITO'!J247="",$AB$168,'FOGLIO DEPOSITO'!K247))</f>
        <v>27.132659913524215</v>
      </c>
      <c r="AD171" t="s">
        <v>259</v>
      </c>
      <c r="AM171" s="289">
        <f>IF(($AM$164+$AM$165)=0,0,IF(AN170&lt;0,IF(AN171&lt;0,IF('ANALISI DELLE SPINTE'!C96='ANALISI DELLE SPINTE'!C95,0,'ANALISI DELLE SPINTE'!D96-'ANALISI DELLE SPINTE'!D95),IF('ANALISI DELLE SPINTE'!C96='ANALISI DELLE SPINTE'!C95,0,IF('ANALISI DELLE SPINTE'!C96='ANALISI DELLE SPINTE'!C95,'ANALISI DELLE SPINTE'!C96,-('ANALISI DELLE SPINTE'!C96-'ANALISI DELLE SPINTE'!C95)/(AN171-AN170)*AN170))),0))</f>
        <v>0</v>
      </c>
      <c r="AN171" s="287" t="str">
        <f>IF('ANALISI DELLE SPINTE'!D52=0,"",'FOGLIO DEPOSITO'!G233+'FOGLIO DEPOSITO'!H233+'FOGLIO DEPOSITO'!I233)</f>
        <v/>
      </c>
      <c r="AO171" t="str">
        <f>'FOGLIO DEPOSITO'!K233</f>
        <v/>
      </c>
    </row>
    <row r="172" spans="2:41" x14ac:dyDescent="0.25">
      <c r="B172" s="402"/>
      <c r="C172" s="47">
        <v>10</v>
      </c>
      <c r="D172" s="47">
        <v>1.41</v>
      </c>
      <c r="E172" s="33"/>
      <c r="F172" s="4"/>
      <c r="H172" s="1004" t="s">
        <v>260</v>
      </c>
      <c r="I172" s="1005"/>
      <c r="J172" s="1006"/>
      <c r="M172" s="254">
        <f>IF('FOGLIO DEPOSITO'!J231="",M171,'ANALISI DELLE SPINTE'!C94)</f>
        <v>3.35</v>
      </c>
      <c r="N172" s="255">
        <f>IF('FOGLIO DEPOSITO'!J231="",N171,'FOGLIO DEPOSITO'!J231)</f>
        <v>74.579499999999996</v>
      </c>
      <c r="O172" s="254">
        <f>IF('ANALISI DELLE SPINTE'!J131='FOGLIO DEPOSITO'!AD165,"",M172)</f>
        <v>3.35</v>
      </c>
      <c r="P172" s="257">
        <f>IF('ANALISI DELLE SPINTE'!J131='FOGLIO DEPOSITO'!AD165,"",IF('FOGLIO DEPOSITO'!J231="",P171,'FOGLIO DEPOSITO'!AN169))</f>
        <v>24.11930669699646</v>
      </c>
      <c r="Q172" s="256">
        <f>IF('FOGLIO DEPOSITO'!J248="",Q171,'ANALISI DELLE SPINTE'!C111)</f>
        <v>3.35</v>
      </c>
      <c r="R172" s="255">
        <f>IF('FOGLIO DEPOSITO'!J248="",R171,'FOGLIO DEPOSITO'!J248)</f>
        <v>74.579499999999996</v>
      </c>
      <c r="S172" s="254">
        <f>IF('ANALISI DELLE SPINTE'!J128='FOGLIO DEPOSITO'!$AD$168,"",Q172)</f>
        <v>3.35</v>
      </c>
      <c r="T172" s="257">
        <f>IF('ANALISI DELLE SPINTE'!J128='FOGLIO DEPOSITO'!$AD$168,"",IF('FOGLIO DEPOSITO'!J248="",T171,'FOGLIO DEPOSITO'!AN182))</f>
        <v>27.132659913524215</v>
      </c>
      <c r="V172" s="244">
        <f>IF('ANALISI DELLE SPINTE'!J132='FOGLIO DEPOSITO'!$AD$171,"",M172)</f>
        <v>3.35</v>
      </c>
      <c r="W172" s="46"/>
      <c r="X172" s="46">
        <f>IF('ANALISI DELLE SPINTE'!J132='FOGLIO DEPOSITO'!$AD$171,"",IF('FOGLIO DEPOSITO'!J231="",$X$171,'FOGLIO DEPOSITO'!K231))</f>
        <v>24.11930669699646</v>
      </c>
      <c r="Y172" s="47"/>
      <c r="Z172" s="227">
        <f>IF('ANALISI DELLE SPINTE'!J129='FOGLIO DEPOSITO'!$AD$174,"",Q172)</f>
        <v>3.35</v>
      </c>
      <c r="AA172" s="46"/>
      <c r="AB172" s="281">
        <f>IF('ANALISI DELLE SPINTE'!J129='FOGLIO DEPOSITO'!$AD$174,"",IF('FOGLIO DEPOSITO'!J248="",$AB$171,'FOGLIO DEPOSITO'!K248))</f>
        <v>27.132659913524215</v>
      </c>
    </row>
    <row r="173" spans="2:41" x14ac:dyDescent="0.25">
      <c r="B173" s="402"/>
      <c r="C173" s="138">
        <v>100</v>
      </c>
      <c r="D173" s="138">
        <v>2.7</v>
      </c>
      <c r="E173" s="33"/>
      <c r="F173" s="4"/>
      <c r="M173" s="254">
        <f>IF('FOGLIO DEPOSITO'!J231="",M171,'ANALISI DELLE SPINTE'!C95)</f>
        <v>3.35</v>
      </c>
      <c r="N173" s="255">
        <f>IF('FOGLIO DEPOSITO'!J231="",N171,'FOGLIO DEPOSITO'!J232)</f>
        <v>74.579499999999996</v>
      </c>
      <c r="O173" s="254">
        <f>IF('ANALISI DELLE SPINTE'!J131='FOGLIO DEPOSITO'!AD165,"",M173)</f>
        <v>3.35</v>
      </c>
      <c r="P173" s="257">
        <f>IF('ANALISI DELLE SPINTE'!J131='FOGLIO DEPOSITO'!AD165,"",IF('FOGLIO DEPOSITO'!J231="",P171,'FOGLIO DEPOSITO'!AN170))</f>
        <v>24.11930669699646</v>
      </c>
      <c r="Q173" s="256">
        <f>IF('FOGLIO DEPOSITO'!J248="",Q171,'ANALISI DELLE SPINTE'!C112)</f>
        <v>3.35</v>
      </c>
      <c r="R173" s="255">
        <f>IF('FOGLIO DEPOSITO'!J248="",R171,'FOGLIO DEPOSITO'!J249)</f>
        <v>74.579499999999996</v>
      </c>
      <c r="S173" s="254">
        <f>IF('ANALISI DELLE SPINTE'!J128='FOGLIO DEPOSITO'!$AD$168,"",Q173)</f>
        <v>3.35</v>
      </c>
      <c r="T173" s="257">
        <f>IF('ANALISI DELLE SPINTE'!J128='FOGLIO DEPOSITO'!$AD$168,"",IF('FOGLIO DEPOSITO'!J248="",T171,'FOGLIO DEPOSITO'!AN183))</f>
        <v>27.132659913524215</v>
      </c>
      <c r="V173" s="244">
        <f>IF('ANALISI DELLE SPINTE'!J132='FOGLIO DEPOSITO'!$AD$171,"",M173)</f>
        <v>3.35</v>
      </c>
      <c r="W173" s="46"/>
      <c r="X173" s="46">
        <f>IF('ANALISI DELLE SPINTE'!J132='FOGLIO DEPOSITO'!$AD$171,"",IF('FOGLIO DEPOSITO'!J232="",$X$171,'FOGLIO DEPOSITO'!K232))</f>
        <v>24.11930669699646</v>
      </c>
      <c r="Y173" s="47"/>
      <c r="Z173" s="227">
        <f>IF('ANALISI DELLE SPINTE'!J129='FOGLIO DEPOSITO'!$AD$174,"",Q173)</f>
        <v>3.35</v>
      </c>
      <c r="AA173" s="46"/>
      <c r="AB173" s="281">
        <f>IF('ANALISI DELLE SPINTE'!J129='FOGLIO DEPOSITO'!$AD$174,"",IF('FOGLIO DEPOSITO'!J249="",$AB$171,'FOGLIO DEPOSITO'!K249))</f>
        <v>27.132659913524215</v>
      </c>
      <c r="AD173" t="s">
        <v>261</v>
      </c>
      <c r="AM173" s="933" t="s">
        <v>247</v>
      </c>
      <c r="AN173" s="933"/>
      <c r="AO173" s="933"/>
    </row>
    <row r="174" spans="2:41" x14ac:dyDescent="0.25">
      <c r="B174" s="402"/>
      <c r="C174" s="3"/>
      <c r="D174" s="69"/>
      <c r="E174" s="396"/>
      <c r="F174" s="4"/>
      <c r="H174" s="165" t="s">
        <v>262</v>
      </c>
      <c r="I174" s="137"/>
      <c r="J174" s="315"/>
      <c r="M174" s="258">
        <f>IF('FOGLIO DEPOSITO'!J231="",M171,'ANALISI DELLE SPINTE'!C96)</f>
        <v>3.35</v>
      </c>
      <c r="N174" s="259">
        <f>IF('FOGLIO DEPOSITO'!J231="",N171,'FOGLIO DEPOSITO'!J233)</f>
        <v>74.579499999999996</v>
      </c>
      <c r="O174" s="258">
        <f>IF('ANALISI DELLE SPINTE'!J131='FOGLIO DEPOSITO'!AD165,"",M174)</f>
        <v>3.35</v>
      </c>
      <c r="P174" s="261">
        <f>IF('ANALISI DELLE SPINTE'!J131='FOGLIO DEPOSITO'!AD165,"",IF('FOGLIO DEPOSITO'!J231="",P171,'FOGLIO DEPOSITO'!AN171))</f>
        <v>24.11930669699646</v>
      </c>
      <c r="Q174" s="260">
        <f>IF('FOGLIO DEPOSITO'!J248="",Q171,'ANALISI DELLE SPINTE'!C113)</f>
        <v>3.35</v>
      </c>
      <c r="R174" s="259">
        <f>IF('FOGLIO DEPOSITO'!J248="",R171,'FOGLIO DEPOSITO'!J250)</f>
        <v>74.579499999999996</v>
      </c>
      <c r="S174" s="254">
        <f>IF('ANALISI DELLE SPINTE'!J128='FOGLIO DEPOSITO'!$AD$168,"",Q174)</f>
        <v>3.35</v>
      </c>
      <c r="T174" s="261">
        <f>IF('ANALISI DELLE SPINTE'!J128='FOGLIO DEPOSITO'!$AD$168,"",IF('FOGLIO DEPOSITO'!J248="",T171,'FOGLIO DEPOSITO'!AN184))</f>
        <v>27.132659913524215</v>
      </c>
      <c r="V174" s="247">
        <f>IF('ANALISI DELLE SPINTE'!J132='FOGLIO DEPOSITO'!$AD$171,"",M174)</f>
        <v>3.35</v>
      </c>
      <c r="W174" s="44"/>
      <c r="X174" s="44">
        <f>IF('ANALISI DELLE SPINTE'!J132='FOGLIO DEPOSITO'!$AD$171,"",IF('FOGLIO DEPOSITO'!J233="",$X$171,'FOGLIO DEPOSITO'!K233))</f>
        <v>24.11930669699646</v>
      </c>
      <c r="Y174" s="149"/>
      <c r="Z174" s="226">
        <f>IF('ANALISI DELLE SPINTE'!J129='FOGLIO DEPOSITO'!$AD$174,"",Q174)</f>
        <v>3.35</v>
      </c>
      <c r="AA174" s="44"/>
      <c r="AB174" s="223">
        <f>IF('ANALISI DELLE SPINTE'!J129='FOGLIO DEPOSITO'!$AD$174,"",IF('FOGLIO DEPOSITO'!J250="",$AB$171,'FOGLIO DEPOSITO'!K250))</f>
        <v>27.132659913524215</v>
      </c>
      <c r="AD174" t="s">
        <v>263</v>
      </c>
      <c r="AM174" s="290" t="s">
        <v>243</v>
      </c>
    </row>
    <row r="175" spans="2:41" ht="18.75" x14ac:dyDescent="0.25">
      <c r="B175" s="402"/>
      <c r="C175" s="3"/>
      <c r="D175" s="69"/>
      <c r="E175" s="396"/>
      <c r="F175" s="4"/>
      <c r="H175" s="316" t="s">
        <v>264</v>
      </c>
      <c r="I175" s="296"/>
      <c r="J175" s="317"/>
      <c r="N175" s="291"/>
      <c r="O175" s="979">
        <v>1</v>
      </c>
      <c r="P175" s="979"/>
      <c r="Q175" s="160"/>
      <c r="R175" s="394"/>
      <c r="S175" s="1001">
        <v>2</v>
      </c>
      <c r="T175" s="1001"/>
      <c r="V175" s="160"/>
      <c r="W175" s="394"/>
      <c r="X175" s="394">
        <v>3</v>
      </c>
      <c r="Y175" s="394"/>
      <c r="Z175" s="160"/>
      <c r="AA175" s="160"/>
      <c r="AB175" s="394">
        <v>4</v>
      </c>
      <c r="AM175" s="298" t="s">
        <v>245</v>
      </c>
      <c r="AN175" s="285" t="s">
        <v>246</v>
      </c>
    </row>
    <row r="176" spans="2:41" x14ac:dyDescent="0.25">
      <c r="B176" s="402"/>
      <c r="C176" s="3"/>
      <c r="D176" s="69"/>
      <c r="E176" s="396"/>
      <c r="F176" s="4"/>
      <c r="H176" s="33"/>
      <c r="I176" s="46"/>
      <c r="AM176" s="288"/>
      <c r="AN176" s="286">
        <f>'FOGLIO DEPOSITO'!G242+'FOGLIO DEPOSITO'!H242+'FOGLIO DEPOSITO'!I242</f>
        <v>1.5608815691514315</v>
      </c>
      <c r="AO176">
        <f>'FOGLIO DEPOSITO'!K242</f>
        <v>1.5608815691514315</v>
      </c>
    </row>
    <row r="177" spans="2:41" x14ac:dyDescent="0.25">
      <c r="B177" s="402"/>
      <c r="C177" s="3"/>
      <c r="D177" s="69"/>
      <c r="E177" s="396"/>
      <c r="F177" s="4"/>
      <c r="O177" s="32" t="s">
        <v>133</v>
      </c>
      <c r="P177" s="32" t="s">
        <v>136</v>
      </c>
      <c r="Q177" s="32" t="s">
        <v>138</v>
      </c>
      <c r="R177" s="138" t="s">
        <v>266</v>
      </c>
      <c r="S177" s="138" t="s">
        <v>778</v>
      </c>
      <c r="AM177" s="288">
        <f>IF(AN176&lt;0,IF(AN177&lt;0,IF('ANALISI DELLE SPINTE'!C106='ANALISI DELLE SPINTE'!C105,0,'ANALISI DELLE SPINTE'!D106),IF('ANALISI DELLE SPINTE'!C106='ANALISI DELLE SPINTE'!C105,0,IF('ANALISI DELLE SPINTE'!C106='ANALISI DELLE SPINTE'!C105,'ANALISI DELLE SPINTE'!C106,-('ANALISI DELLE SPINTE'!C106-'ANALISI DELLE SPINTE'!C105)/(AN177-AN176)*AN176))),0)</f>
        <v>0</v>
      </c>
      <c r="AN177" s="286">
        <f>'FOGLIO DEPOSITO'!G243+'FOGLIO DEPOSITO'!H243+'FOGLIO DEPOSITO'!I243</f>
        <v>20.871849252015398</v>
      </c>
      <c r="AO177">
        <f>'FOGLIO DEPOSITO'!K243</f>
        <v>20.871849252015398</v>
      </c>
    </row>
    <row r="178" spans="2:41" x14ac:dyDescent="0.25">
      <c r="B178" s="402"/>
      <c r="C178" s="3"/>
      <c r="D178" s="2"/>
      <c r="E178" s="2"/>
      <c r="F178" s="4"/>
      <c r="H178" s="1002" t="s">
        <v>265</v>
      </c>
      <c r="I178" s="1003"/>
      <c r="K178" s="276" t="s">
        <v>265</v>
      </c>
      <c r="L178" s="277"/>
      <c r="N178" s="28" t="str">
        <f>K178</f>
        <v>Rankine</v>
      </c>
      <c r="O178" s="324">
        <f>H179</f>
        <v>0.27099005412014432</v>
      </c>
      <c r="P178" s="324">
        <f>H180</f>
        <v>0.30725852452246849</v>
      </c>
      <c r="Q178" s="324">
        <f>H181</f>
        <v>0.27099005412014432</v>
      </c>
      <c r="R178" s="324">
        <v>0</v>
      </c>
      <c r="S178" s="324">
        <v>0</v>
      </c>
      <c r="AM178" s="289">
        <f>IF(AN177&lt;0,IF(AN178&lt;0,IF('ANALISI DELLE SPINTE'!C107='ANALISI DELLE SPINTE'!C106,0,'ANALISI DELLE SPINTE'!D107-'ANALISI DELLE SPINTE'!D106),IF('ANALISI DELLE SPINTE'!C107='ANALISI DELLE SPINTE'!C106,0,IF('ANALISI DELLE SPINTE'!C107='ANALISI DELLE SPINTE'!C106,'ANALISI DELLE SPINTE'!C107,-('ANALISI DELLE SPINTE'!C107-'ANALISI DELLE SPINTE'!C106)/(AN178-AN177)*AN177))),0)</f>
        <v>0</v>
      </c>
      <c r="AN178" s="287">
        <f>'FOGLIO DEPOSITO'!G244+'FOGLIO DEPOSITO'!H244+'FOGLIO DEPOSITO'!I244</f>
        <v>20.871849252015398</v>
      </c>
      <c r="AO178">
        <f>'FOGLIO DEPOSITO'!K244</f>
        <v>20.871849252015398</v>
      </c>
    </row>
    <row r="179" spans="2:41" x14ac:dyDescent="0.25">
      <c r="B179" s="402"/>
      <c r="C179" s="3" t="s">
        <v>1101</v>
      </c>
      <c r="D179" s="805" t="s">
        <v>1102</v>
      </c>
      <c r="E179" s="2"/>
      <c r="F179" s="4"/>
      <c r="H179" s="228">
        <f>(TAN((45-'ANALISI DELLE SPINTE'!D33/2)*PI()/180))^2</f>
        <v>0.27099005412014432</v>
      </c>
      <c r="I179" s="210"/>
      <c r="K179" s="276" t="s">
        <v>267</v>
      </c>
      <c r="L179" s="277"/>
      <c r="N179" s="28" t="str">
        <f>K179</f>
        <v>Muller-Breslau</v>
      </c>
      <c r="O179" s="324">
        <f>H184</f>
        <v>0.27099138569611753</v>
      </c>
      <c r="P179" s="324">
        <f>H185</f>
        <v>0.30725987186793075</v>
      </c>
      <c r="Q179" s="324">
        <f>H186</f>
        <v>0.27099138569611753</v>
      </c>
      <c r="R179" s="324">
        <v>0</v>
      </c>
      <c r="S179" s="324">
        <v>0</v>
      </c>
      <c r="T179" t="s">
        <v>268</v>
      </c>
      <c r="AM179" s="288">
        <f>IF(($AM$177+$AM$178)=0,0,IF(AN178&lt;0,IF(AN179&lt;0,IF('ANALISI DELLE SPINTE'!C108='ANALISI DELLE SPINTE'!C107,0,'ANALISI DELLE SPINTE'!D108-'ANALISI DELLE SPINTE'!D107),IF('ANALISI DELLE SPINTE'!C108='ANALISI DELLE SPINTE'!C107,0,IF('ANALISI DELLE SPINTE'!C108='ANALISI DELLE SPINTE'!C107,'ANALISI DELLE SPINTE'!C108,-('ANALISI DELLE SPINTE'!C108-'ANALISI DELLE SPINTE'!C107)/(AN179-AN178)*AN178))),0))</f>
        <v>0</v>
      </c>
      <c r="AN179" s="286">
        <f>IF('ANALISI DELLE SPINTE'!D45=0,"",'FOGLIO DEPOSITO'!G245+'FOGLIO DEPOSITO'!H245+'FOGLIO DEPOSITO'!I245)</f>
        <v>23.47948034475635</v>
      </c>
      <c r="AO179">
        <f>'FOGLIO DEPOSITO'!K245</f>
        <v>23.47948034475635</v>
      </c>
    </row>
    <row r="180" spans="2:41" x14ac:dyDescent="0.25">
      <c r="B180" s="402"/>
      <c r="C180" s="806">
        <v>1</v>
      </c>
      <c r="D180" s="806">
        <v>1.06</v>
      </c>
      <c r="H180" s="228">
        <f>(TAN((45-'ANALISI DELLE SPINTE'!D40/2)*PI()/180))^2</f>
        <v>0.30725852452246849</v>
      </c>
      <c r="I180" s="210"/>
      <c r="K180" s="278" t="s">
        <v>269</v>
      </c>
      <c r="L180" s="279"/>
      <c r="N180" s="28" t="str">
        <f>K180</f>
        <v>Lancellotta</v>
      </c>
      <c r="O180" s="325">
        <f>H189</f>
        <v>0.27099005412014443</v>
      </c>
      <c r="P180" s="325">
        <f>H190</f>
        <v>0.30725852452246843</v>
      </c>
      <c r="Q180" s="325">
        <f>H191</f>
        <v>0.27099005412014443</v>
      </c>
      <c r="R180" s="324">
        <v>0</v>
      </c>
      <c r="S180" s="324">
        <v>0</v>
      </c>
      <c r="T180" t="s">
        <v>270</v>
      </c>
      <c r="AM180" s="288">
        <f>IF(($AM$177+$AM$178)=0,0,IF(AN179&lt;0,IF(AN180&lt;0,IF('ANALISI DELLE SPINTE'!C109='ANALISI DELLE SPINTE'!C108,0,'ANALISI DELLE SPINTE'!D109-'ANALISI DELLE SPINTE'!D108),IF('ANALISI DELLE SPINTE'!C109='ANALISI DELLE SPINTE'!C108,0,IF('ANALISI DELLE SPINTE'!C109='ANALISI DELLE SPINTE'!C108,'ANALISI DELLE SPINTE'!C109,-('ANALISI DELLE SPINTE'!C109-'ANALISI DELLE SPINTE'!C108)/(AN180-AN179)*AN179))),0))</f>
        <v>0</v>
      </c>
      <c r="AN180" s="286">
        <f>IF('ANALISI DELLE SPINTE'!D45=0,"",'FOGLIO DEPOSITO'!G246+'FOGLIO DEPOSITO'!H246+'FOGLIO DEPOSITO'!I246)</f>
        <v>27.132659913524215</v>
      </c>
      <c r="AO180">
        <f>'FOGLIO DEPOSITO'!K246</f>
        <v>27.132659913524215</v>
      </c>
    </row>
    <row r="181" spans="2:41" x14ac:dyDescent="0.25">
      <c r="C181" s="47">
        <v>2</v>
      </c>
      <c r="D181" s="47">
        <v>1.0900000000000001</v>
      </c>
      <c r="H181" s="252">
        <f>(TAN((45-'ANALISI DELLE SPINTE'!D47/2)*PI()/180))^2</f>
        <v>0.27099005412014432</v>
      </c>
      <c r="I181" s="253"/>
      <c r="N181" s="322" t="s">
        <v>271</v>
      </c>
      <c r="O181" s="300">
        <f>IFERROR(IF(T188&gt;=0,N188,U188),U188)</f>
        <v>0.31217631383028632</v>
      </c>
      <c r="P181" s="324">
        <f>IFERROR(IF(T189&gt;=0,N189,U189),U189)</f>
        <v>0.35117816040995664</v>
      </c>
      <c r="Q181" s="324">
        <f>IFERROR(IF(T190&gt;=0,N190,U190),U190)</f>
        <v>0.31217631383028632</v>
      </c>
      <c r="R181" s="324">
        <f>S188</f>
        <v>3.8550275341627575E-2</v>
      </c>
      <c r="S181" s="324">
        <f>DATI!E51</f>
        <v>7.7100550683255151E-2</v>
      </c>
      <c r="AM181" s="289">
        <f>IF(($AM$177+$AM$178)=0,0,IF(AN180&lt;0,IF(AN181&lt;0,IF('ANALISI DELLE SPINTE'!C110='ANALISI DELLE SPINTE'!C109,0,'ANALISI DELLE SPINTE'!D110-'ANALISI DELLE SPINTE'!D109),IF('ANALISI DELLE SPINTE'!C110='ANALISI DELLE SPINTE'!C109,0,IF('ANALISI DELLE SPINTE'!C110='ANALISI DELLE SPINTE'!C109,'ANALISI DELLE SPINTE'!C110,-('ANALISI DELLE SPINTE'!C110-'ANALISI DELLE SPINTE'!C109)/(AN181-AN180)*AN180))),0))</f>
        <v>0</v>
      </c>
      <c r="AN181" s="287">
        <f>IF('ANALISI DELLE SPINTE'!D45=0,"",'FOGLIO DEPOSITO'!G247+'FOGLIO DEPOSITO'!H247+'FOGLIO DEPOSITO'!I247)</f>
        <v>27.132659913524215</v>
      </c>
      <c r="AO181">
        <f>'FOGLIO DEPOSITO'!K247</f>
        <v>27.132659913524215</v>
      </c>
    </row>
    <row r="182" spans="2:41" x14ac:dyDescent="0.25">
      <c r="C182" s="47">
        <v>5</v>
      </c>
      <c r="D182" s="47">
        <v>1.22</v>
      </c>
      <c r="N182" s="323" t="s">
        <v>272</v>
      </c>
      <c r="O182" s="324">
        <f>IFERROR(IF(T188&gt;=0,O188,W188),W188)</f>
        <v>0.31571269268048763</v>
      </c>
      <c r="P182" s="324">
        <f>IFERROR(IF(T189&gt;=0,O189,W189),W189)</f>
        <v>0.35495676159947348</v>
      </c>
      <c r="Q182" s="324">
        <f>IFERROR(IF(T190&gt;=0,O190,W190),W190)</f>
        <v>0.31571269268048763</v>
      </c>
      <c r="R182" s="324">
        <f>S188</f>
        <v>3.8550275341627575E-2</v>
      </c>
      <c r="S182" s="324">
        <f>DATI!E51</f>
        <v>7.7100550683255151E-2</v>
      </c>
      <c r="AM182" s="288">
        <f>IF(($AM$177+$AM$178)=0,0,IF(AN181&lt;0,IF(AN182&lt;0,IF('ANALISI DELLE SPINTE'!C111='ANALISI DELLE SPINTE'!C110,0,'ANALISI DELLE SPINTE'!D111-'ANALISI DELLE SPINTE'!D110),IF('ANALISI DELLE SPINTE'!C111='ANALISI DELLE SPINTE'!C110,0,IF('ANALISI DELLE SPINTE'!C111='ANALISI DELLE SPINTE'!C110,'ANALISI DELLE SPINTE'!C111,-('ANALISI DELLE SPINTE'!C111-'ANALISI DELLE SPINTE'!C110)/(AN182-AN181)*AN181))),0))</f>
        <v>0</v>
      </c>
      <c r="AN182" s="286" t="str">
        <f>IF('ANALISI DELLE SPINTE'!D52=0,"",'FOGLIO DEPOSITO'!G248+'FOGLIO DEPOSITO'!H248+'FOGLIO DEPOSITO'!I248)</f>
        <v/>
      </c>
      <c r="AO182" t="str">
        <f>'FOGLIO DEPOSITO'!K248</f>
        <v/>
      </c>
    </row>
    <row r="183" spans="2:41" x14ac:dyDescent="0.25">
      <c r="C183" s="47">
        <v>10</v>
      </c>
      <c r="D183" s="47">
        <v>1.41</v>
      </c>
      <c r="H183" s="1002" t="s">
        <v>267</v>
      </c>
      <c r="I183" s="1003"/>
      <c r="N183" s="28" t="s">
        <v>779</v>
      </c>
      <c r="O183" s="324">
        <f>1-SIN(RADIANS('ANALISI DELLE SPINTE'!D33))</f>
        <v>0.42642356364895395</v>
      </c>
      <c r="P183" s="324">
        <f>1-SIN(RADIANS('ANALISI DELLE SPINTE'!D40))</f>
        <v>0.4700807357667951</v>
      </c>
      <c r="Q183" s="324">
        <f>1-SIN(RADIANS('ANALISI DELLE SPINTE'!D47))</f>
        <v>0.42642356364895395</v>
      </c>
      <c r="R183" s="159">
        <v>0</v>
      </c>
      <c r="S183" s="324">
        <v>0</v>
      </c>
      <c r="AM183" s="288">
        <f>IF(($AM$177+$AM$178)=0,0,IF(AN182&lt;0,IF(AN183&lt;0,IF('ANALISI DELLE SPINTE'!C112='ANALISI DELLE SPINTE'!C111,0,'ANALISI DELLE SPINTE'!D112-'ANALISI DELLE SPINTE'!D111),IF('ANALISI DELLE SPINTE'!C112='ANALISI DELLE SPINTE'!C111,0,IF('ANALISI DELLE SPINTE'!C112='ANALISI DELLE SPINTE'!C111,'ANALISI DELLE SPINTE'!C112,-('ANALISI DELLE SPINTE'!C112-'ANALISI DELLE SPINTE'!C111)/(AN183-AN182)*AN182))),0))</f>
        <v>0</v>
      </c>
      <c r="AN183" s="286" t="str">
        <f>IF('ANALISI DELLE SPINTE'!D52=0,"",'FOGLIO DEPOSITO'!G249+'FOGLIO DEPOSITO'!H249+'FOGLIO DEPOSITO'!I249)</f>
        <v/>
      </c>
      <c r="AO183" t="str">
        <f>'FOGLIO DEPOSITO'!K249</f>
        <v/>
      </c>
    </row>
    <row r="184" spans="2:41" x14ac:dyDescent="0.25">
      <c r="C184" s="138">
        <v>100</v>
      </c>
      <c r="D184" s="138">
        <v>2.7</v>
      </c>
      <c r="H184" s="228">
        <f>(COS(RADIANS('ANALISI DELLE SPINTE'!D33-'ANALISI DELLE SPINTE'!D63)))^2/(COS(RADIANS('ANALISI DELLE SPINTE'!D63))^2*COS(RADIANS('ANALISI DELLE SPINTE'!D63+'ANALISI DELLE SPINTE'!D37))*(1+((SIN(RADIANS('ANALISI DELLE SPINTE'!D33+'ANALISI DELLE SPINTE'!D37))*SIN(RADIANS('ANALISI DELLE SPINTE'!D33-'ANALISI DELLE SPINTE'!D56)))/(COS(RADIANS('ANALISI DELLE SPINTE'!D37+'ANALISI DELLE SPINTE'!D63))*COS(RADIANS('ANALISI DELLE SPINTE'!D63-'ANALISI DELLE SPINTE'!D56))))^0.5)^2)</f>
        <v>0.27099138569611753</v>
      </c>
      <c r="I184" s="160">
        <f>(COS(RADIANS('ANALISI DELLE SPINTE'!D33-'ANALISI DELLE SPINTE'!D63)))^2/(COS(RADIANS('ANALISI DELLE SPINTE'!D63))^2*COS(RADIANS('ANALISI DELLE SPINTE'!D63+'ANALISI DELLE SPINTE'!D37)))</f>
        <v>0.67101336883810569</v>
      </c>
      <c r="N184" s="434" t="s">
        <v>777</v>
      </c>
      <c r="O184" s="324">
        <f>O183</f>
        <v>0.42642356364895395</v>
      </c>
      <c r="P184" s="324">
        <f>P183</f>
        <v>0.4700807357667951</v>
      </c>
      <c r="Q184" s="324">
        <f>Q183</f>
        <v>0.42642356364895395</v>
      </c>
      <c r="R184" s="324">
        <f>S188</f>
        <v>3.8550275341627575E-2</v>
      </c>
      <c r="S184" s="324">
        <f>DATI!E51</f>
        <v>7.7100550683255151E-2</v>
      </c>
      <c r="AM184" s="289">
        <f>IF(($AM$177+$AM$178)=0,0,IF(AN183&lt;0,IF(AN184&lt;0,IF('ANALISI DELLE SPINTE'!C113='ANALISI DELLE SPINTE'!C112,0,'ANALISI DELLE SPINTE'!D113-'ANALISI DELLE SPINTE'!D112),IF('ANALISI DELLE SPINTE'!C113='ANALISI DELLE SPINTE'!C112,0,IF('ANALISI DELLE SPINTE'!C113='ANALISI DELLE SPINTE'!C112,'ANALISI DELLE SPINTE'!C113,-('ANALISI DELLE SPINTE'!C113-'ANALISI DELLE SPINTE'!C112)/(AN184-AN183)*AN183))),0))</f>
        <v>0</v>
      </c>
      <c r="AN184" s="287" t="str">
        <f>IF('ANALISI DELLE SPINTE'!D52=0,"",'FOGLIO DEPOSITO'!G250+'FOGLIO DEPOSITO'!H250+'FOGLIO DEPOSITO'!I250)</f>
        <v/>
      </c>
      <c r="AO184" t="str">
        <f>'FOGLIO DEPOSITO'!K250</f>
        <v/>
      </c>
    </row>
    <row r="185" spans="2:41" x14ac:dyDescent="0.25">
      <c r="H185" s="228">
        <f>(COS(RADIANS('ANALISI DELLE SPINTE'!D40-'ANALISI DELLE SPINTE'!D63)))^2/(COS(RADIANS('ANALISI DELLE SPINTE'!D63))^2*COS(RADIANS('ANALISI DELLE SPINTE'!D63+'ANALISI DELLE SPINTE'!D44))*(1+((SIN(RADIANS('ANALISI DELLE SPINTE'!D40+'ANALISI DELLE SPINTE'!D44))*SIN(RADIANS('ANALISI DELLE SPINTE'!D40-'ANALISI DELLE SPINTE'!D56)))/(COS(RADIANS('ANALISI DELLE SPINTE'!D44+'ANALISI DELLE SPINTE'!D63))*COS(RADIANS('ANALISI DELLE SPINTE'!D63-'ANALISI DELLE SPINTE'!D56))))^0.5)^2)</f>
        <v>0.30725987186793075</v>
      </c>
      <c r="I185" s="524">
        <f>(COS(RADIANS('ANALISI DELLE SPINTE'!D40-'ANALISI DELLE SPINTE'!D63)))^2/(COS(RADIANS('ANALISI DELLE SPINTE'!D63))^2*COS(RADIANS('ANALISI DELLE SPINTE'!D63+'ANALISI DELLE SPINTE'!D44)))</f>
        <v>0.71918872706574333</v>
      </c>
    </row>
    <row r="186" spans="2:41" x14ac:dyDescent="0.25">
      <c r="H186" s="252">
        <f>(COS(RADIANS('ANALISI DELLE SPINTE'!D47-'ANALISI DELLE SPINTE'!D63)))^2/(COS(RADIANS('ANALISI DELLE SPINTE'!D63))^2*COS(RADIANS('ANALISI DELLE SPINTE'!D63+'ANALISI DELLE SPINTE'!D51))*(1+((SIN(RADIANS('ANALISI DELLE SPINTE'!D47+'ANALISI DELLE SPINTE'!D51))*SIN(RADIANS('ANALISI DELLE SPINTE'!D47-'ANALISI DELLE SPINTE'!D56)))/(COS(RADIANS('ANALISI DELLE SPINTE'!D51+'ANALISI DELLE SPINTE'!D63))*COS(RADIANS('ANALISI DELLE SPINTE'!D63-'ANALISI DELLE SPINTE'!D56))))^0.5)^2)</f>
        <v>0.27099138569611753</v>
      </c>
      <c r="I186" s="525">
        <f>(COS(RADIANS('ANALISI DELLE SPINTE'!D47-'ANALISI DELLE SPINTE'!D63)))^2/(COS(RADIANS('ANALISI DELLE SPINTE'!D63))^2*COS(RADIANS('ANALISI DELLE SPINTE'!D63+'ANALISI DELLE SPINTE'!D51)))</f>
        <v>0.67101336883810569</v>
      </c>
      <c r="N186" s="974" t="s">
        <v>273</v>
      </c>
      <c r="O186" s="975"/>
      <c r="P186" s="178"/>
      <c r="Q186" s="178"/>
      <c r="R186" s="178"/>
      <c r="S186" s="178"/>
      <c r="T186" s="178"/>
      <c r="U186" s="178"/>
      <c r="V186" s="178"/>
      <c r="W186" s="455"/>
      <c r="Y186" s="974" t="s">
        <v>267</v>
      </c>
      <c r="Z186" s="975"/>
      <c r="AA186" s="178"/>
      <c r="AB186" s="178"/>
      <c r="AC186" s="178"/>
      <c r="AD186" s="178"/>
      <c r="AE186" s="178"/>
      <c r="AF186" s="178"/>
      <c r="AG186" s="178"/>
      <c r="AH186" s="455"/>
    </row>
    <row r="187" spans="2:41" ht="15.75" thickBot="1" x14ac:dyDescent="0.3">
      <c r="N187" s="269" t="s">
        <v>274</v>
      </c>
      <c r="O187" s="270" t="s">
        <v>275</v>
      </c>
      <c r="P187" s="270" t="s">
        <v>276</v>
      </c>
      <c r="Q187" s="270" t="s">
        <v>277</v>
      </c>
      <c r="R187" s="451" t="s">
        <v>278</v>
      </c>
      <c r="S187" s="451" t="s">
        <v>279</v>
      </c>
      <c r="T187" s="452" t="s">
        <v>775</v>
      </c>
      <c r="U187" s="453" t="s">
        <v>274</v>
      </c>
      <c r="V187" s="454" t="s">
        <v>776</v>
      </c>
      <c r="W187" s="453" t="s">
        <v>275</v>
      </c>
      <c r="Y187" s="522" t="s">
        <v>874</v>
      </c>
      <c r="Z187" s="521"/>
      <c r="AA187" s="521" t="s">
        <v>276</v>
      </c>
      <c r="AB187" s="521"/>
      <c r="AC187" s="451"/>
      <c r="AD187" s="451"/>
      <c r="AE187" s="452" t="s">
        <v>775</v>
      </c>
      <c r="AF187" s="522" t="s">
        <v>874</v>
      </c>
      <c r="AG187" s="454"/>
      <c r="AH187" s="453"/>
    </row>
    <row r="188" spans="2:41" ht="16.5" thickTop="1" thickBot="1" x14ac:dyDescent="0.3">
      <c r="H188" s="974" t="s">
        <v>269</v>
      </c>
      <c r="I188" s="980"/>
      <c r="N188" s="275">
        <f>(SIN(RADIANS('ANALISI DELLE SPINTE'!D62+'ANALISI DELLE SPINTE'!D33-P188))^2)/(COS(RADIANS(P188))*SIN(RADIANS('ANALISI DELLE SPINTE'!D62))^2*SIN(RADIANS('ANALISI DELLE SPINTE'!D62-'ANALISI DELLE SPINTE'!D37-P188))*(1+((SIN(RADIANS('ANALISI DELLE SPINTE'!D33+'ANALISI DELLE SPINTE'!D37))*SIN(RADIANS('ANALISI DELLE SPINTE'!D33-'ANALISI DELLE SPINTE'!D56-P188)))/(SIN(RADIANS('ANALISI DELLE SPINTE'!D62+'ANALISI DELLE SPINTE'!D37+P188))*SIN(RADIANS('ANALISI DELLE SPINTE'!D62+'ANALISI DELLE SPINTE'!D56))))^0.5)^2)</f>
        <v>0.31217631383028632</v>
      </c>
      <c r="O188" s="190">
        <f>(SIN(RADIANS('ANALISI DELLE SPINTE'!D62+'ANALISI DELLE SPINTE'!D33-Q188))^2)/(COS(RADIANS(Q188))*SIN(RADIANS('ANALISI DELLE SPINTE'!D62))^2*SIN(RADIANS('ANALISI DELLE SPINTE'!D62-'ANALISI DELLE SPINTE'!D37-Q188))*(1+((SIN(RADIANS('ANALISI DELLE SPINTE'!D33+'ANALISI DELLE SPINTE'!D37))*SIN(RADIANS('ANALISI DELLE SPINTE'!D33-'ANALISI DELLE SPINTE'!D56-Q188)))/(SIN(RADIANS('ANALISI DELLE SPINTE'!D62+'ANALISI DELLE SPINTE'!D37+Q188))*SIN(RADIANS('ANALISI DELLE SPINTE'!D62+'ANALISI DELLE SPINTE'!D56))))^0.5)^2)</f>
        <v>0.31571269268048763</v>
      </c>
      <c r="P188" s="271">
        <f>180/PI()*IF('ANALISI DELLE SPINTE'!D38&lt;='FOGLIO DEPOSITO'!C226,1,('ANALISI DELLE SPINTE'!D34/('ANALISI DELLE SPINTE'!D34-'ANALISI DELLE SPINTE'!D61)))*ATAN(R188/(1+S188))</f>
        <v>4.2457716524727713</v>
      </c>
      <c r="Q188" s="271">
        <f>180/PI()*IF('ANALISI DELLE SPINTE'!D38&lt;='FOGLIO DEPOSITO'!C226,1,('ANALISI DELLE SPINTE'!D34/('ANALISI DELLE SPINTE'!D34-'ANALISI DELLE SPINTE'!D61)))*ATAN(R188/(1-S188))</f>
        <v>4.5848504072806522</v>
      </c>
      <c r="R188" s="266">
        <f>DATI!E51</f>
        <v>7.7100550683255151E-2</v>
      </c>
      <c r="S188" s="266">
        <f>0.5*R188</f>
        <v>3.8550275341627575E-2</v>
      </c>
      <c r="T188" s="45">
        <f>'ANALISI DELLE SPINTE'!D33-'FOGLIO DEPOSITO'!P188</f>
        <v>30.754228347527228</v>
      </c>
      <c r="U188" s="47">
        <f>(SIN(RADIANS('ANALISI DELLE SPINTE'!D62+'ANALISI DELLE SPINTE'!D33-'FOGLIO DEPOSITO'!P188))^2)/(COS(RADIANS(P188)*(SIN(RADIANS('ANALISI DELLE SPINTE'!D62))^2)*SIN(RADIANS('ANALISI DELLE SPINTE'!D62-'FOGLIO DEPOSITO'!P188-'ANALISI DELLE SPINTE'!D37))))</f>
        <v>0.74053876700980503</v>
      </c>
      <c r="V188" s="45">
        <f>'ANALISI DELLE SPINTE'!D33-'FOGLIO DEPOSITO'!P188</f>
        <v>30.754228347527228</v>
      </c>
      <c r="W188" s="209">
        <f>(SIN(RADIANS('ANALISI DELLE SPINTE'!D62+'ANALISI DELLE SPINTE'!D33-'FOGLIO DEPOSITO'!Q188))^2)/(COS(RADIANS(Q188)*(SIN(RADIANS('ANALISI DELLE SPINTE'!D62))^2)*SIN(RADIANS('ANALISI DELLE SPINTE'!D62-'FOGLIO DEPOSITO'!Q188-'ANALISI DELLE SPINTE'!D37))))</f>
        <v>0.74607420262728785</v>
      </c>
      <c r="Y188" s="275">
        <f>(SIN(RADIANS('ANALISI DELLE SPINTE'!D62+'ANALISI DELLE SPINTE'!D33-AA188))^2)/(COS(RADIANS(AA188))*SIN(RADIANS('ANALISI DELLE SPINTE'!D62))^2*SIN(RADIANS('ANALISI DELLE SPINTE'!D62-'ANALISI DELLE SPINTE'!D37-AA188))*(1+((SIN(RADIANS('ANALISI DELLE SPINTE'!D33+'ANALISI DELLE SPINTE'!D37))*SIN(RADIANS('ANALISI DELLE SPINTE'!D33-'ANALISI DELLE SPINTE'!D56-AA188)))/(SIN(RADIANS('ANALISI DELLE SPINTE'!D62+'ANALISI DELLE SPINTE'!D37+AA188))*SIN(RADIANS('ANALISI DELLE SPINTE'!D62+'ANALISI DELLE SPINTE'!D56))))^0.5)^2)</f>
        <v>0.27099138569611753</v>
      </c>
      <c r="Z188" s="190"/>
      <c r="AA188" s="271">
        <v>0</v>
      </c>
      <c r="AB188" s="271"/>
      <c r="AC188" s="266"/>
      <c r="AD188" s="266"/>
      <c r="AE188" s="45">
        <f>'ANALISI DELLE SPINTE'!D33-'FOGLIO DEPOSITO'!P188</f>
        <v>30.754228347527228</v>
      </c>
      <c r="AF188" s="47">
        <f>(SIN(RADIANS('ANALISI DELLE SPINTE'!D62+'ANALISI DELLE SPINTE'!D33-'FOGLIO DEPOSITO'!AA188))^2)/(COS(RADIANS(AA188)*(SIN(RADIANS('ANALISI DELLE SPINTE'!D62))^2)*SIN(RADIANS('ANALISI DELLE SPINTE'!D62-'FOGLIO DEPOSITO'!AA188-'ANALISI DELLE SPINTE'!D37))))</f>
        <v>0.67101336882571394</v>
      </c>
      <c r="AG188" s="45"/>
      <c r="AH188" s="209"/>
    </row>
    <row r="189" spans="2:41" ht="15.75" thickTop="1" x14ac:dyDescent="0.25">
      <c r="H189" s="272">
        <f>((COS(RADIANS('ANALISI DELLE SPINTE'!D37))/(1+SIN(RADIANS('ANALISI DELLE SPINTE'!D33))))*(COS(RADIANS('ANALISI DELLE SPINTE'!D37))-(SIN(RADIANS('ANALISI DELLE SPINTE'!D33))^2-SIN(RADIANS('ANALISI DELLE SPINTE'!D37))^2)^0.5))*EXP(-I189*TAN(RADIANS('ANALISI DELLE SPINTE'!D33)))</f>
        <v>0.27099005412014443</v>
      </c>
      <c r="I189" s="262">
        <f>(ASIN(SIN(RADIANS('ANALISI DELLE SPINTE'!D37))/SIN(RADIANS('ANALISI DELLE SPINTE'!D33)))-RADIANS('ANALISI DELLE SPINTE'!D37))</f>
        <v>0</v>
      </c>
      <c r="N189" s="275">
        <f>(SIN(RADIANS('ANALISI DELLE SPINTE'!D62+'ANALISI DELLE SPINTE'!D40-P189))^2)/(COS(RADIANS(P189))*SIN(RADIANS('ANALISI DELLE SPINTE'!D62))^2*SIN(RADIANS('ANALISI DELLE SPINTE'!D62-'ANALISI DELLE SPINTE'!D44-P189))*(1+((SIN(RADIANS('ANALISI DELLE SPINTE'!D40+'ANALISI DELLE SPINTE'!D44))*SIN(RADIANS('ANALISI DELLE SPINTE'!D40-'ANALISI DELLE SPINTE'!D56-P189)))/(SIN(RADIANS('ANALISI DELLE SPINTE'!D62+'ANALISI DELLE SPINTE'!D44+P189))*SIN(RADIANS('ANALISI DELLE SPINTE'!D62+'ANALISI DELLE SPINTE'!D56))))^0.5)^2)</f>
        <v>0.35117816040995664</v>
      </c>
      <c r="O189" s="190">
        <f>(SIN(RADIANS('ANALISI DELLE SPINTE'!D62+'ANALISI DELLE SPINTE'!D40-Q189))^2)/(COS(RADIANS(Q189))*SIN(RADIANS('ANALISI DELLE SPINTE'!D62))^2*SIN(RADIANS('ANALISI DELLE SPINTE'!D62-'ANALISI DELLE SPINTE'!D44-Q189))*(1+((SIN(RADIANS('ANALISI DELLE SPINTE'!D40+'ANALISI DELLE SPINTE'!D44))*SIN(RADIANS('ANALISI DELLE SPINTE'!D40-'ANALISI DELLE SPINTE'!D56-Q189)))/(SIN(RADIANS('ANALISI DELLE SPINTE'!D62+'ANALISI DELLE SPINTE'!D44+Q189))*SIN(RADIANS('ANALISI DELLE SPINTE'!D62+'ANALISI DELLE SPINTE'!D56))))^0.5)^2)</f>
        <v>0.35495676159947348</v>
      </c>
      <c r="P189" s="271">
        <f>180/PI()*IF(('ANALISI DELLE SPINTE'!D45+'ANALISI DELLE SPINTE'!D38)&lt;='FOGLIO DEPOSITO'!C226,1,('ANALISI DELLE SPINTE'!D41/('ANALISI DELLE SPINTE'!D41-'ANALISI DELLE SPINTE'!D61)))*ATAN(R188/(1+S188))</f>
        <v>4.2457716524727713</v>
      </c>
      <c r="Q189" s="271">
        <f>180/PI()*IF(('ANALISI DELLE SPINTE'!D45+'ANALISI DELLE SPINTE'!D38)&lt;='FOGLIO DEPOSITO'!C226,1,('ANALISI DELLE SPINTE'!D41/('ANALISI DELLE SPINTE'!D41-'ANALISI DELLE SPINTE'!D61)))*ATAN(R188/(1-S188))</f>
        <v>4.5848504072806522</v>
      </c>
      <c r="R189" s="33"/>
      <c r="S189" s="33"/>
      <c r="T189" s="45">
        <f>'ANALISI DELLE SPINTE'!D40-'FOGLIO DEPOSITO'!P189</f>
        <v>27.754228347527228</v>
      </c>
      <c r="U189" s="47">
        <f>(SIN(RADIANS('ANALISI DELLE SPINTE'!D62+'ANALISI DELLE SPINTE'!D40-'FOGLIO DEPOSITO'!P189))^2)/(COS(RADIANS(P189)*(SIN(RADIANS('ANALISI DELLE SPINTE'!D62))^2)*SIN(RADIANS('ANALISI DELLE SPINTE'!D62-'FOGLIO DEPOSITO'!P189-'ANALISI DELLE SPINTE'!D44))))</f>
        <v>0.78528848504584237</v>
      </c>
      <c r="V189" s="45">
        <f>'ANALISI DELLE SPINTE'!D40-'FOGLIO DEPOSITO'!P189</f>
        <v>27.754228347527228</v>
      </c>
      <c r="W189" s="209">
        <f>(SIN(RADIANS('ANALISI DELLE SPINTE'!D62+'ANALISI DELLE SPINTE'!D40-'FOGLIO DEPOSITO'!Q189))^2)/(COS(RADIANS(Q189)*(SIN(RADIANS('ANALISI DELLE SPINTE'!D62))^2)*SIN(RADIANS('ANALISI DELLE SPINTE'!D62-'FOGLIO DEPOSITO'!Q189-'ANALISI DELLE SPINTE'!D44))))</f>
        <v>0.79051638196822605</v>
      </c>
      <c r="Y189" s="275">
        <f>(SIN(RADIANS('ANALISI DELLE SPINTE'!D62+'ANALISI DELLE SPINTE'!D40-AA189))^2)/(COS(RADIANS(AA189))*SIN(RADIANS('ANALISI DELLE SPINTE'!D62))^2*SIN(RADIANS('ANALISI DELLE SPINTE'!D62-'ANALISI DELLE SPINTE'!D44-AA189))*(1+((SIN(RADIANS('ANALISI DELLE SPINTE'!D40+'ANALISI DELLE SPINTE'!D44))*SIN(RADIANS('ANALISI DELLE SPINTE'!D40-'ANALISI DELLE SPINTE'!D56-AA189)))/(SIN(RADIANS('ANALISI DELLE SPINTE'!D62+'ANALISI DELLE SPINTE'!D44+AA189))*SIN(RADIANS('ANALISI DELLE SPINTE'!D62+'ANALISI DELLE SPINTE'!D56))))^0.5)^2)</f>
        <v>0.30725987186793069</v>
      </c>
      <c r="Z189" s="190"/>
      <c r="AA189" s="271">
        <v>0</v>
      </c>
      <c r="AB189" s="271"/>
      <c r="AC189" s="33"/>
      <c r="AD189" s="33"/>
      <c r="AE189" s="45">
        <f>'ANALISI DELLE SPINTE'!D40-'FOGLIO DEPOSITO'!P189</f>
        <v>27.754228347527228</v>
      </c>
      <c r="AF189" s="47">
        <f>(SIN(RADIANS('ANALISI DELLE SPINTE'!D62+'ANALISI DELLE SPINTE'!D40-'FOGLIO DEPOSITO'!AA189))^2)/(COS(RADIANS(AA189)*(SIN(RADIANS('ANALISI DELLE SPINTE'!D62))^2)*SIN(RADIANS('ANALISI DELLE SPINTE'!D62-'FOGLIO DEPOSITO'!AA189-'ANALISI DELLE SPINTE'!D44))))</f>
        <v>0.71918872705246184</v>
      </c>
      <c r="AG189" s="45"/>
      <c r="AH189" s="209"/>
    </row>
    <row r="190" spans="2:41" x14ac:dyDescent="0.25">
      <c r="H190" s="273">
        <f>((COS(RADIANS('ANALISI DELLE SPINTE'!D44))/(1+SIN(RADIANS('ANALISI DELLE SPINTE'!D40))))*(COS(RADIANS('ANALISI DELLE SPINTE'!D44))-(SIN(RADIANS('ANALISI DELLE SPINTE'!D40))^2-SIN(RADIANS('ANALISI DELLE SPINTE'!D44))^2)^0.5))*EXP(-I190*TAN(RADIANS('ANALISI DELLE SPINTE'!D40)))</f>
        <v>0.30725852452246843</v>
      </c>
      <c r="I190" s="263">
        <f>(ASIN(SIN(RADIANS('ANALISI DELLE SPINTE'!D44))/SIN(RADIANS('ANALISI DELLE SPINTE'!D40)))-RADIANS('ANALISI DELLE SPINTE'!D44))</f>
        <v>0</v>
      </c>
      <c r="N190" s="275">
        <f>(SIN(RADIANS('ANALISI DELLE SPINTE'!D62+'ANALISI DELLE SPINTE'!D47-P190))^2)/(COS(RADIANS(P190))*SIN(RADIANS('ANALISI DELLE SPINTE'!D62))^2*SIN(RADIANS('ANALISI DELLE SPINTE'!D62-'ANALISI DELLE SPINTE'!D51-P190))*(1+((SIN(RADIANS('ANALISI DELLE SPINTE'!D47+'ANALISI DELLE SPINTE'!D51))*SIN(RADIANS('ANALISI DELLE SPINTE'!D47-'ANALISI DELLE SPINTE'!D56-P190)))/(SIN(RADIANS('ANALISI DELLE SPINTE'!D62+'ANALISI DELLE SPINTE'!D51+P190))*SIN(RADIANS('ANALISI DELLE SPINTE'!D62+'ANALISI DELLE SPINTE'!D56))))^0.5)^2)</f>
        <v>0.31217631383028632</v>
      </c>
      <c r="O190" s="190">
        <f>(SIN(RADIANS('ANALISI DELLE SPINTE'!D62+'ANALISI DELLE SPINTE'!D47-Q190))^2)/(COS(RADIANS(Q190))*SIN(RADIANS('ANALISI DELLE SPINTE'!D62))^2*SIN(RADIANS('ANALISI DELLE SPINTE'!D62-'ANALISI DELLE SPINTE'!D51-Q190))*(1+((SIN(RADIANS('ANALISI DELLE SPINTE'!D47+'ANALISI DELLE SPINTE'!D51))*SIN(RADIANS('ANALISI DELLE SPINTE'!D47-'ANALISI DELLE SPINTE'!D56-Q190)))/(SIN(RADIANS('ANALISI DELLE SPINTE'!D62+'ANALISI DELLE SPINTE'!D51+Q190))*SIN(RADIANS('ANALISI DELLE SPINTE'!D62+'ANALISI DELLE SPINTE'!D56))))^0.5)^2)</f>
        <v>0.31571269268048763</v>
      </c>
      <c r="P190" s="271">
        <f>180/PI()*IF(('ANALISI DELLE SPINTE'!D38+'ANALISI DELLE SPINTE'!D45+'ANALISI DELLE SPINTE'!D52)&lt;='FOGLIO DEPOSITO'!C226,1,('ANALISI DELLE SPINTE'!D48/('ANALISI DELLE SPINTE'!D48-'ANALISI DELLE SPINTE'!D61)))*ATAN(R188/(1+S188))</f>
        <v>4.2457716524727713</v>
      </c>
      <c r="Q190" s="271">
        <f>180/PI()*IF(('ANALISI DELLE SPINTE'!D38+'ANALISI DELLE SPINTE'!D45+'ANALISI DELLE SPINTE'!D52)&lt;='FOGLIO DEPOSITO'!C226,1,('ANALISI DELLE SPINTE'!D48/('ANALISI DELLE SPINTE'!D48-'ANALISI DELLE SPINTE'!D61)))*ATAN(R188/(1-S188))</f>
        <v>4.5848504072806522</v>
      </c>
      <c r="R190" s="33"/>
      <c r="S190" s="33"/>
      <c r="T190" s="45">
        <f>'ANALISI DELLE SPINTE'!D47-'FOGLIO DEPOSITO'!P190</f>
        <v>30.754228347527228</v>
      </c>
      <c r="U190" s="47">
        <f>(SIN(RADIANS('ANALISI DELLE SPINTE'!D62+'ANALISI DELLE SPINTE'!D47-'FOGLIO DEPOSITO'!P190))^2)/(COS(RADIANS(P190)*(SIN(RADIANS('ANALISI DELLE SPINTE'!D62))^2)*SIN(RADIANS('ANALISI DELLE SPINTE'!D62-'FOGLIO DEPOSITO'!P190-'ANALISI DELLE SPINTE'!D51))))</f>
        <v>0.74053876700980503</v>
      </c>
      <c r="V190" s="45">
        <f>'ANALISI DELLE SPINTE'!D47-'FOGLIO DEPOSITO'!P190</f>
        <v>30.754228347527228</v>
      </c>
      <c r="W190" s="209">
        <f>(SIN(RADIANS('ANALISI DELLE SPINTE'!D62+'ANALISI DELLE SPINTE'!D47-'FOGLIO DEPOSITO'!Q190))^2)/(COS(RADIANS(Q190)*(SIN(RADIANS('ANALISI DELLE SPINTE'!D62))^2)*SIN(RADIANS('ANALISI DELLE SPINTE'!D62-'FOGLIO DEPOSITO'!Q190-'ANALISI DELLE SPINTE'!D51))))</f>
        <v>0.74607420262728785</v>
      </c>
      <c r="Y190" s="275">
        <f>(SIN(RADIANS('ANALISI DELLE SPINTE'!D62+'ANALISI DELLE SPINTE'!D47-AA190))^2)/(COS(RADIANS(AA190))*SIN(RADIANS('ANALISI DELLE SPINTE'!D62))^2*SIN(RADIANS('ANALISI DELLE SPINTE'!D62-'ANALISI DELLE SPINTE'!D51-AA190))*(1+((SIN(RADIANS('ANALISI DELLE SPINTE'!D47+'ANALISI DELLE SPINTE'!D51))*SIN(RADIANS('ANALISI DELLE SPINTE'!D47-'ANALISI DELLE SPINTE'!D56-AA190)))/(SIN(RADIANS('ANALISI DELLE SPINTE'!D62+'ANALISI DELLE SPINTE'!D51+AA190))*SIN(RADIANS('ANALISI DELLE SPINTE'!D62+'ANALISI DELLE SPINTE'!D56))))^0.5)^2)</f>
        <v>0.27099138569611753</v>
      </c>
      <c r="Z190" s="190"/>
      <c r="AA190" s="271">
        <v>0</v>
      </c>
      <c r="AB190" s="271"/>
      <c r="AC190" s="33"/>
      <c r="AD190" s="33"/>
      <c r="AE190" s="45">
        <f>'ANALISI DELLE SPINTE'!D47-'FOGLIO DEPOSITO'!P190</f>
        <v>30.754228347527228</v>
      </c>
      <c r="AF190" s="47">
        <f>(SIN(RADIANS('ANALISI DELLE SPINTE'!D62+'ANALISI DELLE SPINTE'!D47-'FOGLIO DEPOSITO'!AA190))^2)/(COS(RADIANS(AA190)*(SIN(RADIANS('ANALISI DELLE SPINTE'!D62))^2)*SIN(RADIANS('ANALISI DELLE SPINTE'!D62-'FOGLIO DEPOSITO'!AA190-'ANALISI DELLE SPINTE'!D51))))</f>
        <v>0.67101336882571394</v>
      </c>
      <c r="AG190" s="45"/>
      <c r="AH190" s="209"/>
    </row>
    <row r="191" spans="2:41" x14ac:dyDescent="0.25">
      <c r="H191" s="274">
        <f>((COS(RADIANS('ANALISI DELLE SPINTE'!D51))/(1+SIN(RADIANS('ANALISI DELLE SPINTE'!D47))))*(COS(RADIANS('ANALISI DELLE SPINTE'!D51))-(SIN(RADIANS('ANALISI DELLE SPINTE'!D47))^2-SIN(RADIANS('ANALISI DELLE SPINTE'!D51))^2)^0.5))*EXP(-I191*TAN(RADIANS('ANALISI DELLE SPINTE'!D47)))</f>
        <v>0.27099005412014443</v>
      </c>
      <c r="I191" s="264">
        <f>(ASIN(SIN(RADIANS('ANALISI DELLE SPINTE'!D51))/SIN(RADIANS('ANALISI DELLE SPINTE'!D47)))-RADIANS('ANALISI DELLE SPINTE'!D51))</f>
        <v>0</v>
      </c>
      <c r="N191" s="228"/>
      <c r="O191" s="33"/>
      <c r="P191" s="33"/>
      <c r="Q191" s="33"/>
      <c r="R191" s="33"/>
      <c r="S191" s="33"/>
      <c r="T191" s="33"/>
      <c r="U191" s="33"/>
      <c r="V191" s="33"/>
      <c r="W191" s="210"/>
      <c r="Y191" s="228"/>
      <c r="Z191" s="33"/>
      <c r="AA191" s="33"/>
      <c r="AB191" s="33"/>
      <c r="AC191" s="33"/>
      <c r="AD191" s="33"/>
      <c r="AE191" s="33"/>
      <c r="AF191" s="33"/>
      <c r="AG191" s="33"/>
      <c r="AH191" s="210"/>
    </row>
    <row r="192" spans="2:41" x14ac:dyDescent="0.25">
      <c r="N192" s="252"/>
      <c r="O192" s="43"/>
      <c r="P192" s="43"/>
      <c r="Q192" s="43"/>
      <c r="R192" s="43"/>
      <c r="S192" s="43"/>
      <c r="T192" s="43"/>
      <c r="U192" s="43"/>
      <c r="V192" s="43"/>
      <c r="W192" s="253"/>
      <c r="Y192" s="252"/>
      <c r="Z192" s="43"/>
      <c r="AA192" s="43"/>
      <c r="AB192" s="43"/>
      <c r="AC192" s="43"/>
      <c r="AD192" s="43"/>
      <c r="AE192" s="43"/>
      <c r="AF192" s="43"/>
      <c r="AG192" s="43"/>
      <c r="AH192" s="253"/>
    </row>
    <row r="195" spans="2:19" ht="15.75" thickBot="1" x14ac:dyDescent="0.3">
      <c r="M195" t="s">
        <v>280</v>
      </c>
    </row>
    <row r="196" spans="2:19" ht="16.5" thickTop="1" thickBot="1" x14ac:dyDescent="0.3">
      <c r="C196" s="164" t="s">
        <v>281</v>
      </c>
      <c r="D196" s="182">
        <f>90-'FOGLIO DEPOSITO'!D201</f>
        <v>2.0103782284763838E-4</v>
      </c>
    </row>
    <row r="197" spans="2:19" ht="15.75" thickTop="1" x14ac:dyDescent="0.25">
      <c r="G197" t="s">
        <v>282</v>
      </c>
      <c r="H197" s="32">
        <f>10</f>
        <v>10</v>
      </c>
      <c r="J197" t="s">
        <v>283</v>
      </c>
      <c r="K197" s="32">
        <v>450</v>
      </c>
      <c r="M197" s="294"/>
      <c r="N197" s="393" t="s">
        <v>284</v>
      </c>
      <c r="O197" s="308" t="s">
        <v>285</v>
      </c>
      <c r="P197" s="308" t="s">
        <v>286</v>
      </c>
      <c r="Q197" s="267"/>
      <c r="R197" s="267" t="s">
        <v>25</v>
      </c>
      <c r="S197" s="268" t="s">
        <v>287</v>
      </c>
    </row>
    <row r="198" spans="2:19" x14ac:dyDescent="0.25">
      <c r="B198" s="2" t="s">
        <v>288</v>
      </c>
      <c r="C198" s="391" t="s">
        <v>109</v>
      </c>
      <c r="D198" s="132">
        <f>TAN('FOGLIO DEPOSITO'!D196*PI()/180)</f>
        <v>3.5087719297467721E-6</v>
      </c>
      <c r="G198" t="s">
        <v>289</v>
      </c>
      <c r="H198" s="32">
        <v>15</v>
      </c>
      <c r="J198" t="s">
        <v>290</v>
      </c>
      <c r="K198" s="32">
        <v>430</v>
      </c>
      <c r="M198" s="228" t="s">
        <v>25</v>
      </c>
      <c r="N198" s="47">
        <v>1</v>
      </c>
      <c r="O198" s="309">
        <v>1</v>
      </c>
      <c r="P198" s="310">
        <v>1</v>
      </c>
      <c r="Q198" s="33"/>
      <c r="R198" s="33" t="s">
        <v>210</v>
      </c>
      <c r="S198" s="210" t="s">
        <v>291</v>
      </c>
    </row>
    <row r="199" spans="2:19" x14ac:dyDescent="0.25">
      <c r="G199" t="s">
        <v>292</v>
      </c>
      <c r="H199" s="32">
        <v>20</v>
      </c>
      <c r="M199" s="228" t="s">
        <v>210</v>
      </c>
      <c r="N199" s="47">
        <f>MIN(1.4-0.4*DATI!E33*DATI!E32/DATI!E38,1.2)</f>
        <v>1.2</v>
      </c>
      <c r="O199" s="309">
        <f>1.1*DATI!E34^(-0.2)</f>
        <v>1.4032477125581015</v>
      </c>
      <c r="P199" s="310">
        <v>1.2</v>
      </c>
      <c r="Q199" s="33"/>
      <c r="R199" s="33" t="s">
        <v>293</v>
      </c>
      <c r="S199" s="210" t="s">
        <v>294</v>
      </c>
    </row>
    <row r="200" spans="2:19" ht="15.75" thickBot="1" x14ac:dyDescent="0.3">
      <c r="G200" t="s">
        <v>295</v>
      </c>
      <c r="H200" s="32">
        <v>25</v>
      </c>
      <c r="M200" s="228" t="s">
        <v>293</v>
      </c>
      <c r="N200" s="47">
        <f>MIN(1.7-0.6*DATI!E33*DATI!E32/DATI!E38,1.5)</f>
        <v>1.4487130736283906</v>
      </c>
      <c r="O200" s="309">
        <f>1.05*DATI!E34^(-0.33)</f>
        <v>1.5691448450853034</v>
      </c>
      <c r="P200" s="311">
        <v>1.2</v>
      </c>
      <c r="Q200" s="33"/>
      <c r="R200" s="33" t="s">
        <v>296</v>
      </c>
      <c r="S200" s="210" t="s">
        <v>297</v>
      </c>
    </row>
    <row r="201" spans="2:19" ht="16.5" thickTop="1" thickBot="1" x14ac:dyDescent="0.3">
      <c r="B201" s="2" t="s">
        <v>298</v>
      </c>
      <c r="C201" s="7" t="s">
        <v>299</v>
      </c>
      <c r="D201" s="335">
        <f>D202</f>
        <v>89.999798962177152</v>
      </c>
      <c r="G201" t="s">
        <v>300</v>
      </c>
      <c r="H201" s="32">
        <v>30</v>
      </c>
      <c r="M201" s="228" t="s">
        <v>296</v>
      </c>
      <c r="N201" s="47">
        <f>MIN(2.4-1.5*DATI!E33*DATI!E32/DATI!E38,1.8)</f>
        <v>1.7717826840709767</v>
      </c>
      <c r="O201" s="312">
        <f>1.25*DATI!E34^(-0.5)</f>
        <v>2.2975456940431491</v>
      </c>
      <c r="P201" s="310">
        <v>1.4</v>
      </c>
      <c r="Q201" s="33"/>
      <c r="R201" s="33" t="s">
        <v>301</v>
      </c>
      <c r="S201" s="210"/>
    </row>
    <row r="202" spans="2:19" ht="16.5" thickTop="1" thickBot="1" x14ac:dyDescent="0.3">
      <c r="D202">
        <f>90-DEGREES(ATAN(('FOGLIO DEPOSITO'!D210-'FOGLIO DEPOSITO'!D209)/DATI!E60))</f>
        <v>89.999798962177152</v>
      </c>
      <c r="G202" t="s">
        <v>1089</v>
      </c>
      <c r="H202" s="32">
        <v>37</v>
      </c>
      <c r="M202" s="252" t="s">
        <v>301</v>
      </c>
      <c r="N202" s="149">
        <f>MIN(2-1.1*DATI!E33*DATI!E32/DATI!E38,1.6)</f>
        <v>1.5393073016520498</v>
      </c>
      <c r="O202" s="313">
        <f>1.15*DATI!E34^(-0.4)</f>
        <v>1.8714626150574183</v>
      </c>
      <c r="P202" s="43"/>
      <c r="Q202" s="43"/>
      <c r="R202" s="43"/>
      <c r="S202" s="253"/>
    </row>
    <row r="203" spans="2:19" ht="15.75" thickTop="1" x14ac:dyDescent="0.25">
      <c r="C203" s="2"/>
      <c r="D203" s="334">
        <f>'geom masse muro+tensioni'!$F$8</f>
        <v>9.9999999997879563E-6</v>
      </c>
      <c r="G203" t="s">
        <v>302</v>
      </c>
      <c r="H203" s="32">
        <v>45</v>
      </c>
    </row>
    <row r="204" spans="2:19" x14ac:dyDescent="0.25">
      <c r="G204" t="s">
        <v>304</v>
      </c>
      <c r="H204" s="32">
        <v>50</v>
      </c>
    </row>
    <row r="205" spans="2:19" x14ac:dyDescent="0.25">
      <c r="C205" t="s">
        <v>303</v>
      </c>
      <c r="G205" t="s">
        <v>307</v>
      </c>
      <c r="H205" s="32">
        <v>55</v>
      </c>
      <c r="M205" t="s">
        <v>305</v>
      </c>
    </row>
    <row r="206" spans="2:19" x14ac:dyDescent="0.25">
      <c r="C206" t="s">
        <v>306</v>
      </c>
      <c r="G206" t="s">
        <v>309</v>
      </c>
      <c r="H206" s="32">
        <v>60</v>
      </c>
      <c r="M206">
        <f>IF((IF('ANALISI DELLE SPINTE'!D65="si",0,IF(DATI!E194="no",0,7/12*DATI!E51*'ANALISI DELLE SPINTE'!D61*(DATI!E60+DATI!E74-DATI!E195))))&lt;0,0,IF('ANALISI DELLE SPINTE'!D65="si",0,IF(DATI!E194="no",0,7/12*DATI!E51*'ANALISI DELLE SPINTE'!D61*(DATI!E60+DATI!E74-DATI!E195))))</f>
        <v>0</v>
      </c>
    </row>
    <row r="207" spans="2:19" x14ac:dyDescent="0.25">
      <c r="C207" t="s">
        <v>308</v>
      </c>
      <c r="G207" t="s">
        <v>1090</v>
      </c>
      <c r="H207" s="32">
        <v>67</v>
      </c>
    </row>
    <row r="209" spans="2:26" ht="18.75" thickBot="1" x14ac:dyDescent="0.3">
      <c r="B209" s="337" t="s">
        <v>105</v>
      </c>
      <c r="C209" s="338" t="s">
        <v>106</v>
      </c>
      <c r="D209" s="339">
        <f>DATI!E66-DATI!E62</f>
        <v>0</v>
      </c>
    </row>
    <row r="210" spans="2:26" ht="19.5" thickTop="1" thickBot="1" x14ac:dyDescent="0.3">
      <c r="B210" s="55" t="s">
        <v>310</v>
      </c>
      <c r="C210" s="340" t="s">
        <v>311</v>
      </c>
      <c r="D210" s="341">
        <f>'FOGLIO DEPOSITO'!B229-DATI!E62</f>
        <v>1.0000000000010001E-5</v>
      </c>
      <c r="G210" s="197" t="s">
        <v>312</v>
      </c>
      <c r="H210" s="32"/>
    </row>
    <row r="211" spans="2:26" ht="15.75" thickTop="1" x14ac:dyDescent="0.25">
      <c r="B211" s="55" t="s">
        <v>313</v>
      </c>
      <c r="C211" s="43"/>
      <c r="D211" s="342">
        <f>'FOGLIO DEPOSITO'!D203+DATI!E62</f>
        <v>0.30000999999999978</v>
      </c>
      <c r="G211" s="398" t="s">
        <v>25</v>
      </c>
      <c r="H211" s="398" t="s">
        <v>314</v>
      </c>
      <c r="J211" s="352" t="s">
        <v>315</v>
      </c>
      <c r="K211" s="353">
        <f>DATI!E272</f>
        <v>1</v>
      </c>
    </row>
    <row r="212" spans="2:26" x14ac:dyDescent="0.25">
      <c r="B212" s="344" t="s">
        <v>316</v>
      </c>
      <c r="C212" s="178"/>
      <c r="D212" s="345">
        <f>IF(DATI!D77='FOGLIO DEPOSITO'!C207,DATI!E76,IF(DATI!D77='FOGLIO DEPOSITO'!C206,DATI!E76-'FOGLIO DEPOSITO'!D210,DATI!E76-'FOGLIO DEPOSITO'!D210-DATI!E62/2))</f>
        <v>1.29999</v>
      </c>
      <c r="G212" s="398" t="s">
        <v>317</v>
      </c>
      <c r="H212" s="398" t="s">
        <v>317</v>
      </c>
      <c r="J212" s="352" t="s">
        <v>318</v>
      </c>
      <c r="K212" s="353">
        <f>DATI!E273</f>
        <v>1</v>
      </c>
    </row>
    <row r="213" spans="2:26" x14ac:dyDescent="0.25">
      <c r="B213" s="343" t="s">
        <v>319</v>
      </c>
      <c r="F213" s="314" t="s">
        <v>320</v>
      </c>
      <c r="G213" s="398">
        <v>0.38</v>
      </c>
      <c r="H213" s="398">
        <v>0.38</v>
      </c>
      <c r="J213" s="352" t="s">
        <v>321</v>
      </c>
      <c r="K213" s="353">
        <f>DATI!E274</f>
        <v>1</v>
      </c>
    </row>
    <row r="214" spans="2:26" x14ac:dyDescent="0.25">
      <c r="F214" s="314" t="s">
        <v>322</v>
      </c>
      <c r="G214" s="398">
        <v>0.38</v>
      </c>
      <c r="H214" s="398">
        <v>0.38</v>
      </c>
      <c r="J214" s="367" t="s">
        <v>323</v>
      </c>
    </row>
    <row r="215" spans="2:26" x14ac:dyDescent="0.25">
      <c r="F215" s="314" t="s">
        <v>324</v>
      </c>
      <c r="G215" s="398">
        <v>0.38</v>
      </c>
      <c r="H215" s="398">
        <v>0.38</v>
      </c>
    </row>
    <row r="216" spans="2:26" x14ac:dyDescent="0.25">
      <c r="F216" s="303"/>
      <c r="G216" s="117" t="s">
        <v>325</v>
      </c>
      <c r="H216" s="117" t="s">
        <v>325</v>
      </c>
      <c r="I216" s="32"/>
    </row>
    <row r="217" spans="2:26" x14ac:dyDescent="0.25">
      <c r="F217" s="303"/>
      <c r="G217" s="304">
        <f>IF(DATI!E39&lt;=0.1,G215,IF(DATI!E39&lt;=0.2,G214,G213))</f>
        <v>0.38</v>
      </c>
      <c r="H217" s="304">
        <f>IF(DATI!E39&lt;=0.1,H215,IF(DATI!E39&lt;=0.2,H214,H213))</f>
        <v>0.38</v>
      </c>
      <c r="I217" s="32"/>
    </row>
    <row r="218" spans="2:26" x14ac:dyDescent="0.25">
      <c r="H218" s="32"/>
      <c r="I218" s="32"/>
    </row>
    <row r="219" spans="2:26" x14ac:dyDescent="0.25">
      <c r="H219" s="32"/>
      <c r="I219" s="32"/>
    </row>
    <row r="220" spans="2:26" x14ac:dyDescent="0.25">
      <c r="B220" s="18" t="s">
        <v>326</v>
      </c>
      <c r="C220" s="2"/>
      <c r="D220" s="2"/>
    </row>
    <row r="221" spans="2:26" ht="15.75" thickBot="1" x14ac:dyDescent="0.3">
      <c r="B221" s="18"/>
      <c r="C221" s="2"/>
      <c r="D221" s="2"/>
      <c r="M221" s="978" t="s">
        <v>836</v>
      </c>
      <c r="N221" s="978"/>
      <c r="O221" s="978"/>
      <c r="P221" s="978"/>
      <c r="Q221" s="978"/>
    </row>
    <row r="222" spans="2:26" ht="17.25" thickTop="1" thickBot="1" x14ac:dyDescent="0.3">
      <c r="B222" s="22" t="s">
        <v>327</v>
      </c>
      <c r="C222" s="2"/>
    </row>
    <row r="223" spans="2:26" ht="16.5" thickTop="1" thickBot="1" x14ac:dyDescent="0.3">
      <c r="G223" s="977" t="s">
        <v>490</v>
      </c>
      <c r="H223" s="977"/>
      <c r="I223" s="977"/>
      <c r="J223" s="976" t="s">
        <v>819</v>
      </c>
      <c r="K223" s="976"/>
      <c r="M223" s="977" t="s">
        <v>490</v>
      </c>
      <c r="N223" s="977"/>
      <c r="O223" s="977"/>
      <c r="P223" s="976" t="s">
        <v>819</v>
      </c>
      <c r="Q223" s="976"/>
      <c r="V223" s="7" t="s">
        <v>58</v>
      </c>
      <c r="W223" s="182">
        <f>DATI!E174</f>
        <v>35</v>
      </c>
      <c r="Y223" s="479">
        <f>IF(DATI!E190=0,IF('FOGLIO DEPOSITO'!W223='FOGLIO DEPOSITO'!W229,1,0),IF('FOGLIO DEPOSITO'!W223='FOGLIO DEPOSITO'!W229,IF('FOGLIO DEPOSITO'!W229='FOGLIO DEPOSITO'!W235,1,0),0))</f>
        <v>0</v>
      </c>
      <c r="Z223" s="2" t="s">
        <v>823</v>
      </c>
    </row>
    <row r="224" spans="2:26" ht="20.25" thickTop="1" thickBot="1" x14ac:dyDescent="0.3">
      <c r="G224" s="250" t="s">
        <v>498</v>
      </c>
      <c r="H224" s="250" t="s">
        <v>499</v>
      </c>
      <c r="I224" s="251" t="s">
        <v>500</v>
      </c>
      <c r="J224" s="242" t="s">
        <v>501</v>
      </c>
      <c r="K224" s="243" t="s">
        <v>502</v>
      </c>
      <c r="M224" s="250" t="s">
        <v>810</v>
      </c>
      <c r="N224" s="250" t="s">
        <v>827</v>
      </c>
      <c r="O224" s="251" t="s">
        <v>812</v>
      </c>
      <c r="P224" s="242" t="s">
        <v>501</v>
      </c>
      <c r="Q224" s="243" t="s">
        <v>502</v>
      </c>
      <c r="V224" s="7" t="s">
        <v>435</v>
      </c>
      <c r="W224" s="225">
        <f>DATI!E175</f>
        <v>21</v>
      </c>
      <c r="Y224" s="475">
        <f>IF(DATI!E190=0,IF('FOGLIO DEPOSITO'!W224='FOGLIO DEPOSITO'!W230,1,0),IF('FOGLIO DEPOSITO'!W224='FOGLIO DEPOSITO'!W230,IF('FOGLIO DEPOSITO'!W230='FOGLIO DEPOSITO'!W236,1,0),0))</f>
        <v>0</v>
      </c>
      <c r="Z224" s="429" t="s">
        <v>824</v>
      </c>
    </row>
    <row r="225" spans="2:26" ht="16.5" thickTop="1" thickBot="1" x14ac:dyDescent="0.3">
      <c r="G225" s="229">
        <f>('ANALISI DELLE SPINTE'!F88*'FOGLIO DEPOSITO'!C242-'ANALISI DELLE SPINTE'!G88+'FOGLIO DEPOSITO'!D242)*'FOGLIO DEPOSITO'!$K$211*H236</f>
        <v>0</v>
      </c>
      <c r="H225" s="229">
        <f>'ANALISI DELLE SPINTE'!J88*'ANALISI DELLE SPINTE'!F88*'FOGLIO DEPOSITO'!$K$212</f>
        <v>0</v>
      </c>
      <c r="I225" s="234">
        <f>'ANALISI DELLE SPINTE'!K88*'ANALISI DELLE SPINTE'!F88*'FOGLIO DEPOSITO'!$K$213</f>
        <v>1.5608815691514315</v>
      </c>
      <c r="J225" s="238">
        <f>'FOGLIO DEPOSITO'!C242+'ANALISI DELLE SPINTE'!K88+'ANALISI DELLE SPINTE'!J88</f>
        <v>5</v>
      </c>
      <c r="K225" s="284">
        <f>IF(('FOGLIO DEPOSITO'!G225+'FOGLIO DEPOSITO'!H225+'FOGLIO DEPOSITO'!I225)&lt;0,0,('FOGLIO DEPOSITO'!G225+'FOGLIO DEPOSITO'!H225+'FOGLIO DEPOSITO'!I225)+'ANALISI DELLE SPINTE'!$C$100-'FOGLIO DEPOSITO'!D242)+IF('ANALISI DELLE SPINTE'!AH90="",0,'ANALISI DELLE SPINTE'!AH90)/(DATI!E61*'FOGLIO DEPOSITO'!W227)</f>
        <v>1.5608815691514315</v>
      </c>
      <c r="M225" s="229">
        <f t="shared" ref="M225:M233" si="19">G225/$K$211</f>
        <v>0</v>
      </c>
      <c r="N225" s="229">
        <f t="shared" ref="N225:N233" si="20">H225/$K$212</f>
        <v>0</v>
      </c>
      <c r="O225" s="229">
        <f t="shared" ref="O225:O233" si="21">I225/$K$213</f>
        <v>1.5608815691514315</v>
      </c>
      <c r="P225" s="238">
        <f>'FOGLIO DEPOSITO'!C242+'ANALISI DELLE SPINTE'!K88+'ANALISI DELLE SPINTE'!J88</f>
        <v>5</v>
      </c>
      <c r="Q225" s="284">
        <f>IF(('FOGLIO DEPOSITO'!M225+'FOGLIO DEPOSITO'!N225+'FOGLIO DEPOSITO'!O225)&lt;0,0,('FOGLIO DEPOSITO'!M225+'FOGLIO DEPOSITO'!N225+'FOGLIO DEPOSITO'!O225)+'ANALISI DELLE SPINTE'!$C$100-'FOGLIO DEPOSITO'!D242)+IF('ANALISI DELLE SPINTE'!AH90="",0,'ANALISI DELLE SPINTE'!AH90)/(DATI!E61*'FOGLIO DEPOSITO'!W227)</f>
        <v>1.5608815691514315</v>
      </c>
      <c r="V225" s="396" t="s">
        <v>437</v>
      </c>
      <c r="W225" s="187">
        <f>DATI!E176</f>
        <v>0</v>
      </c>
      <c r="Y225" s="475">
        <f>IF(DATI!E190=0,IF('FOGLIO DEPOSITO'!W225='FOGLIO DEPOSITO'!W231,1,0),IF('FOGLIO DEPOSITO'!W225='FOGLIO DEPOSITO'!W231,IF('FOGLIO DEPOSITO'!W231='FOGLIO DEPOSITO'!W237,1,0),0))</f>
        <v>1</v>
      </c>
      <c r="Z225" s="429" t="s">
        <v>825</v>
      </c>
    </row>
    <row r="226" spans="2:26" ht="16.5" thickTop="1" thickBot="1" x14ac:dyDescent="0.3">
      <c r="B226" t="s">
        <v>328</v>
      </c>
      <c r="C226" s="224">
        <f>IF('ANALISI DELLE SPINTE'!D65="si",DATI!E60+DATI!E74+10,IF(DATI!E194="SI",DATI!E195,DATI!E60+DATI!E74+10))</f>
        <v>13.35</v>
      </c>
      <c r="G226" s="229">
        <f>('ANALISI DELLE SPINTE'!F89*'FOGLIO DEPOSITO'!C243-'ANALISI DELLE SPINTE'!G89+'FOGLIO DEPOSITO'!D243)*'FOGLIO DEPOSITO'!$K$211*H236</f>
        <v>19.310967682863968</v>
      </c>
      <c r="H226" s="229">
        <f>'ANALISI DELLE SPINTE'!J89*'ANALISI DELLE SPINTE'!F89*'FOGLIO DEPOSITO'!$K$212</f>
        <v>0</v>
      </c>
      <c r="I226" s="234">
        <f>'ANALISI DELLE SPINTE'!K89*'ANALISI DELLE SPINTE'!F89*'FOGLIO DEPOSITO'!$K$213</f>
        <v>1.5608815691514315</v>
      </c>
      <c r="J226" s="238">
        <f>'FOGLIO DEPOSITO'!C243+'ANALISI DELLE SPINTE'!K89+'ANALISI DELLE SPINTE'!J89</f>
        <v>64.562999999999988</v>
      </c>
      <c r="K226" s="246">
        <f>IF(('FOGLIO DEPOSITO'!G226+'FOGLIO DEPOSITO'!H226+'FOGLIO DEPOSITO'!I226)&lt;0,(IF('ANALISI DELLE SPINTE'!C89&lt;'ANALISI DELLE SPINTE'!$C$99,'ANALISI DELLE SPINTE'!$D$61*'ANALISI DELLE SPINTE'!C89,'ANALISI DELLE SPINTE'!$C$100)),('FOGLIO DEPOSITO'!G226+'FOGLIO DEPOSITO'!H226+'FOGLIO DEPOSITO'!I226)+'ANALISI DELLE SPINTE'!$C$100)+IF('ANALISI DELLE SPINTE'!AH90="",0,'ANALISI DELLE SPINTE'!AH90)/(DATI!E61*'FOGLIO DEPOSITO'!W227)</f>
        <v>20.871849252015398</v>
      </c>
      <c r="M226" s="229">
        <f t="shared" si="19"/>
        <v>19.310967682863968</v>
      </c>
      <c r="N226" s="229">
        <f t="shared" si="20"/>
        <v>0</v>
      </c>
      <c r="O226" s="229">
        <f t="shared" si="21"/>
        <v>1.5608815691514315</v>
      </c>
      <c r="P226" s="238">
        <f>'FOGLIO DEPOSITO'!C243+'ANALISI DELLE SPINTE'!K89+'ANALISI DELLE SPINTE'!J89</f>
        <v>64.562999999999988</v>
      </c>
      <c r="Q226" s="246">
        <f>IF(('FOGLIO DEPOSITO'!M226+'FOGLIO DEPOSITO'!N226+'FOGLIO DEPOSITO'!O226)&lt;0,(IF('ANALISI DELLE SPINTE'!C89&lt;'ANALISI DELLE SPINTE'!$C$99,'ANALISI DELLE SPINTE'!$D$61*'ANALISI DELLE SPINTE'!C89,'ANALISI DELLE SPINTE'!$C$100)),('FOGLIO DEPOSITO'!M226+'FOGLIO DEPOSITO'!N226+'FOGLIO DEPOSITO'!O226)+'ANALISI DELLE SPINTE'!$C$100)+IF('ANALISI DELLE SPINTE'!AH90="",0,'ANALISI DELLE SPINTE'!AH90)/(DATI!E61*'FOGLIO DEPOSITO'!W227)</f>
        <v>20.871849252015398</v>
      </c>
      <c r="V226" s="396" t="s">
        <v>439</v>
      </c>
      <c r="W226" s="187">
        <f>DATI!E177</f>
        <v>0</v>
      </c>
      <c r="Y226" s="475">
        <f>IF(DATI!E190=0,IF('FOGLIO DEPOSITO'!W226='FOGLIO DEPOSITO'!W232,1,0),IF('FOGLIO DEPOSITO'!W226='FOGLIO DEPOSITO'!W232,IF('FOGLIO DEPOSITO'!W232='FOGLIO DEPOSITO'!W238,1,0),0))</f>
        <v>1</v>
      </c>
      <c r="Z226" s="429" t="s">
        <v>826</v>
      </c>
    </row>
    <row r="227" spans="2:26" ht="16.5" thickTop="1" thickBot="1" x14ac:dyDescent="0.3">
      <c r="G227" s="233">
        <f>('ANALISI DELLE SPINTE'!F90*'FOGLIO DEPOSITO'!C244-'ANALISI DELLE SPINTE'!G90+'FOGLIO DEPOSITO'!D244)*'FOGLIO DEPOSITO'!$K$211*H236</f>
        <v>19.310967682863968</v>
      </c>
      <c r="H227" s="231">
        <f>'ANALISI DELLE SPINTE'!J90*'ANALISI DELLE SPINTE'!F90*'FOGLIO DEPOSITO'!$K$212</f>
        <v>0</v>
      </c>
      <c r="I227" s="235">
        <f>'ANALISI DELLE SPINTE'!K90*'ANALISI DELLE SPINTE'!F90*'FOGLIO DEPOSITO'!$K$213</f>
        <v>1.5608815691514315</v>
      </c>
      <c r="J227" s="239">
        <f>'FOGLIO DEPOSITO'!C244+'ANALISI DELLE SPINTE'!K90+'ANALISI DELLE SPINTE'!J90</f>
        <v>64.562999999999988</v>
      </c>
      <c r="K227" s="248">
        <f>IF(('FOGLIO DEPOSITO'!G227+'FOGLIO DEPOSITO'!H227+'FOGLIO DEPOSITO'!I227)&lt;0,(IF('ANALISI DELLE SPINTE'!C90&lt;'ANALISI DELLE SPINTE'!$C$99,'ANALISI DELLE SPINTE'!$D$61*'ANALISI DELLE SPINTE'!C90,'ANALISI DELLE SPINTE'!$C$100)),('FOGLIO DEPOSITO'!G227+'FOGLIO DEPOSITO'!H227+'FOGLIO DEPOSITO'!I227)+'ANALISI DELLE SPINTE'!$C$100)+IF('ANALISI DELLE SPINTE'!AH90="",0,'ANALISI DELLE SPINTE'!AH90)/(DATI!E61*'FOGLIO DEPOSITO'!W227)</f>
        <v>20.871849252015398</v>
      </c>
      <c r="M227" s="231">
        <f t="shared" si="19"/>
        <v>19.310967682863968</v>
      </c>
      <c r="N227" s="231">
        <f t="shared" si="20"/>
        <v>0</v>
      </c>
      <c r="O227" s="231">
        <f t="shared" si="21"/>
        <v>1.5608815691514315</v>
      </c>
      <c r="P227" s="238">
        <f>'FOGLIO DEPOSITO'!C244+'ANALISI DELLE SPINTE'!K90+'ANALISI DELLE SPINTE'!J90</f>
        <v>64.562999999999988</v>
      </c>
      <c r="Q227" s="248">
        <f>IF(('FOGLIO DEPOSITO'!M227+'FOGLIO DEPOSITO'!N227+'FOGLIO DEPOSITO'!O227)&lt;0,(IF('ANALISI DELLE SPINTE'!C90&lt;'ANALISI DELLE SPINTE'!$C$99,'ANALISI DELLE SPINTE'!$D$61*'ANALISI DELLE SPINTE'!C90,'ANALISI DELLE SPINTE'!$C$100)),('FOGLIO DEPOSITO'!M227+'FOGLIO DEPOSITO'!N227+'FOGLIO DEPOSITO'!O227)+'ANALISI DELLE SPINTE'!$C$100)+IF('ANALISI DELLE SPINTE'!AH90="",0,'ANALISI DELLE SPINTE'!AH90)/(DATI!E61*'FOGLIO DEPOSITO'!W227)</f>
        <v>20.871849252015398</v>
      </c>
      <c r="V227" s="7" t="s">
        <v>441</v>
      </c>
      <c r="W227" s="186">
        <f>IF('FOGLIO DEPOSITO'!Y228=1,'ANALISI DELLE SPINTE'!D60,DATI!E178)</f>
        <v>2.8363333333333332</v>
      </c>
      <c r="Y227" s="475"/>
      <c r="Z227" s="429"/>
    </row>
    <row r="228" spans="2:26" ht="16.5" thickTop="1" thickBot="1" x14ac:dyDescent="0.3">
      <c r="G228" s="229">
        <f>IF('ANALISI DELLE SPINTE'!D45=0,"",('ANALISI DELLE SPINTE'!F91*'FOGLIO DEPOSITO'!C245-'ANALISI DELLE SPINTE'!G91+'FOGLIO DEPOSITO'!D245)*'FOGLIO DEPOSITO'!$K$211*H236)</f>
        <v>19.310967682863968</v>
      </c>
      <c r="H228" s="229">
        <f>IF('ANALISI DELLE SPINTE'!$D$45=0,"",'ANALISI DELLE SPINTE'!J91*'ANALISI DELLE SPINTE'!F91*'FOGLIO DEPOSITO'!$K$212)</f>
        <v>0</v>
      </c>
      <c r="I228" s="234">
        <f>IF('ANALISI DELLE SPINTE'!$D$45=0,"",'ANALISI DELLE SPINTE'!K91*'ANALISI DELLE SPINTE'!F91*'FOGLIO DEPOSITO'!$K$213)</f>
        <v>1.5608815691514315</v>
      </c>
      <c r="J228" s="238">
        <f>IF('ANALISI DELLE SPINTE'!D45=0,"",'FOGLIO DEPOSITO'!C245+'ANALISI DELLE SPINTE'!K91+'ANALISI DELLE SPINTE'!J91)</f>
        <v>64.562999999999988</v>
      </c>
      <c r="K228" s="246">
        <f>IF('ANALISI DELLE SPINTE'!D45=0,"",IF(('FOGLIO DEPOSITO'!G228+'FOGLIO DEPOSITO'!H228+'FOGLIO DEPOSITO'!I228)&lt;0,(IF('ANALISI DELLE SPINTE'!C91&lt;'ANALISI DELLE SPINTE'!$C$99,'ANALISI DELLE SPINTE'!$D$61*'ANALISI DELLE SPINTE'!C91,'ANALISI DELLE SPINTE'!$C$100)),('FOGLIO DEPOSITO'!G228+'FOGLIO DEPOSITO'!H228+'FOGLIO DEPOSITO'!I228)+'ANALISI DELLE SPINTE'!$C$100)+IF('ANALISI DELLE SPINTE'!AH93="",0,'ANALISI DELLE SPINTE'!AH93)/(DATI!E61*'FOGLIO DEPOSITO'!W233))</f>
        <v>20.871849252015398</v>
      </c>
      <c r="M228" s="229">
        <f t="shared" si="19"/>
        <v>19.310967682863968</v>
      </c>
      <c r="N228" s="229">
        <f t="shared" si="20"/>
        <v>0</v>
      </c>
      <c r="O228" s="229">
        <f t="shared" si="21"/>
        <v>1.5608815691514315</v>
      </c>
      <c r="P228" s="238">
        <f>'FOGLIO DEPOSITO'!C245+'ANALISI DELLE SPINTE'!K91+'ANALISI DELLE SPINTE'!J91</f>
        <v>64.562999999999988</v>
      </c>
      <c r="Q228" s="246">
        <f>IF('ANALISI DELLE SPINTE'!D45=0,"",IF(('FOGLIO DEPOSITO'!M228+'FOGLIO DEPOSITO'!N228+'FOGLIO DEPOSITO'!O228)&lt;0,(IF('ANALISI DELLE SPINTE'!C91&lt;'ANALISI DELLE SPINTE'!$C$99,'ANALISI DELLE SPINTE'!$D$61*'ANALISI DELLE SPINTE'!C91,'ANALISI DELLE SPINTE'!$C$100)),('FOGLIO DEPOSITO'!M228+'FOGLIO DEPOSITO'!N228+'FOGLIO DEPOSITO'!O228)+'ANALISI DELLE SPINTE'!$C$100)+IF('ANALISI DELLE SPINTE'!AH93="",0,'ANALISI DELLE SPINTE'!AH93)/(DATI!E61*'FOGLIO DEPOSITO'!W233))</f>
        <v>20.871849252015398</v>
      </c>
      <c r="V228" s="7"/>
      <c r="W228" s="126"/>
      <c r="Y228" s="11">
        <f>Y223*Y224*Y225*Y226</f>
        <v>0</v>
      </c>
      <c r="Z228" s="2"/>
    </row>
    <row r="229" spans="2:26" ht="16.5" thickTop="1" thickBot="1" x14ac:dyDescent="0.3">
      <c r="B229" s="183">
        <f>DATI!E67+0.00001</f>
        <v>0.30001</v>
      </c>
      <c r="D229" s="604">
        <f>0.79999+0.00001</f>
        <v>0.79999999999999993</v>
      </c>
      <c r="G229" s="229">
        <f>IF('ANALISI DELLE SPINTE'!D45=0,"",('ANALISI DELLE SPINTE'!F92*'FOGLIO DEPOSITO'!C246-'ANALISI DELLE SPINTE'!G92+'FOGLIO DEPOSITO'!D246)*'FOGLIO DEPOSITO'!$K$211*H236)</f>
        <v>22.55842512784503</v>
      </c>
      <c r="H229" s="229">
        <f>IF('ANALISI DELLE SPINTE'!$D$45=0,"",'ANALISI DELLE SPINTE'!J92*'ANALISI DELLE SPINTE'!F92*'FOGLIO DEPOSITO'!$K$212)</f>
        <v>0</v>
      </c>
      <c r="I229" s="234">
        <f>IF('ANALISI DELLE SPINTE'!$D$45=0,"",'ANALISI DELLE SPINTE'!K92*'ANALISI DELLE SPINTE'!F92*'FOGLIO DEPOSITO'!$K$213)</f>
        <v>1.5608815691514315</v>
      </c>
      <c r="J229" s="238">
        <f>IF('ANALISI DELLE SPINTE'!D45=0,"",'FOGLIO DEPOSITO'!C246+'ANALISI DELLE SPINTE'!K92+'ANALISI DELLE SPINTE'!J92)</f>
        <v>74.579499999999996</v>
      </c>
      <c r="K229" s="246">
        <f>IF('ANALISI DELLE SPINTE'!D45=0,"",IF(('FOGLIO DEPOSITO'!G229+'FOGLIO DEPOSITO'!H229+'FOGLIO DEPOSITO'!I229)&lt;0,(IF('ANALISI DELLE SPINTE'!C92&lt;'ANALISI DELLE SPINTE'!$C$99,'ANALISI DELLE SPINTE'!$D$61*'ANALISI DELLE SPINTE'!C92,'ANALISI DELLE SPINTE'!$C$100)),('FOGLIO DEPOSITO'!G229+'FOGLIO DEPOSITO'!H229+'FOGLIO DEPOSITO'!I229)+'ANALISI DELLE SPINTE'!$C$100)+IF('ANALISI DELLE SPINTE'!AH93="",0,'ANALISI DELLE SPINTE'!AH93)/(DATI!E61*'FOGLIO DEPOSITO'!W233))</f>
        <v>24.11930669699646</v>
      </c>
      <c r="M229" s="229">
        <f t="shared" si="19"/>
        <v>22.55842512784503</v>
      </c>
      <c r="N229" s="229">
        <f t="shared" si="20"/>
        <v>0</v>
      </c>
      <c r="O229" s="229">
        <f t="shared" si="21"/>
        <v>1.5608815691514315</v>
      </c>
      <c r="P229" s="238">
        <f>'FOGLIO DEPOSITO'!C246+'ANALISI DELLE SPINTE'!K92+'ANALISI DELLE SPINTE'!J92</f>
        <v>74.579499999999996</v>
      </c>
      <c r="Q229" s="246">
        <f>IF('ANALISI DELLE SPINTE'!D45=0,"",IF(('FOGLIO DEPOSITO'!M229+'FOGLIO DEPOSITO'!N229+'FOGLIO DEPOSITO'!O229)&lt;0,(IF('ANALISI DELLE SPINTE'!C92&lt;'ANALISI DELLE SPINTE'!$C$99,'ANALISI DELLE SPINTE'!$D$61*'ANALISI DELLE SPINTE'!C92,'ANALISI DELLE SPINTE'!$C$100)),('FOGLIO DEPOSITO'!M229+'FOGLIO DEPOSITO'!N229+'FOGLIO DEPOSITO'!O229)+'ANALISI DELLE SPINTE'!$C$100)+IF('ANALISI DELLE SPINTE'!AH93="",0,'ANALISI DELLE SPINTE'!AH93)/(DATI!E61*'FOGLIO DEPOSITO'!W233))</f>
        <v>24.11930669699646</v>
      </c>
      <c r="V229" s="7" t="s">
        <v>58</v>
      </c>
      <c r="W229" s="182">
        <f>DATI!E180</f>
        <v>32</v>
      </c>
    </row>
    <row r="230" spans="2:26" ht="16.5" thickTop="1" thickBot="1" x14ac:dyDescent="0.3">
      <c r="B230" t="s">
        <v>1011</v>
      </c>
      <c r="G230" s="231">
        <f>IF('ANALISI DELLE SPINTE'!D45=0,"",('ANALISI DELLE SPINTE'!F93*'FOGLIO DEPOSITO'!C247-'ANALISI DELLE SPINTE'!G93+'FOGLIO DEPOSITO'!D247)*'FOGLIO DEPOSITO'!K211*H236)</f>
        <v>22.55842512784503</v>
      </c>
      <c r="H230" s="231">
        <f>IF('ANALISI DELLE SPINTE'!$D$45=0,"",'ANALISI DELLE SPINTE'!J93*'ANALISI DELLE SPINTE'!F93*'FOGLIO DEPOSITO'!$K$212)</f>
        <v>0</v>
      </c>
      <c r="I230" s="235">
        <f>IF('ANALISI DELLE SPINTE'!$D$45=0,"",'ANALISI DELLE SPINTE'!K93*'ANALISI DELLE SPINTE'!F93*'FOGLIO DEPOSITO'!$K$213)</f>
        <v>1.5608815691514315</v>
      </c>
      <c r="J230" s="239">
        <f>IF('ANALISI DELLE SPINTE'!D45=0,"",'FOGLIO DEPOSITO'!C247+'ANALISI DELLE SPINTE'!K93+'ANALISI DELLE SPINTE'!J93)</f>
        <v>74.579499999999996</v>
      </c>
      <c r="K230" s="248">
        <f>IF('ANALISI DELLE SPINTE'!D45=0,"",IF(('FOGLIO DEPOSITO'!G230+'FOGLIO DEPOSITO'!H230+'FOGLIO DEPOSITO'!I230)&lt;0,(IF('ANALISI DELLE SPINTE'!C93&lt;'ANALISI DELLE SPINTE'!$C$99,'ANALISI DELLE SPINTE'!$D$61*'ANALISI DELLE SPINTE'!C93,'ANALISI DELLE SPINTE'!$C$100)),('FOGLIO DEPOSITO'!G230+'FOGLIO DEPOSITO'!H230+'FOGLIO DEPOSITO'!I230)+'ANALISI DELLE SPINTE'!$C$100)+IF('ANALISI DELLE SPINTE'!AH93="",0,'ANALISI DELLE SPINTE'!AH93)/(DATI!E61*'FOGLIO DEPOSITO'!W233))</f>
        <v>24.11930669699646</v>
      </c>
      <c r="M230" s="231">
        <f t="shared" si="19"/>
        <v>22.55842512784503</v>
      </c>
      <c r="N230" s="231">
        <f t="shared" si="20"/>
        <v>0</v>
      </c>
      <c r="O230" s="231">
        <f t="shared" si="21"/>
        <v>1.5608815691514315</v>
      </c>
      <c r="P230" s="238">
        <f>'FOGLIO DEPOSITO'!C247+'ANALISI DELLE SPINTE'!K93+'ANALISI DELLE SPINTE'!J93</f>
        <v>74.579499999999996</v>
      </c>
      <c r="Q230" s="248">
        <f>IF('ANALISI DELLE SPINTE'!D45=0,"",IF(('FOGLIO DEPOSITO'!M230+'FOGLIO DEPOSITO'!N230+'FOGLIO DEPOSITO'!O230)&lt;0,(IF('ANALISI DELLE SPINTE'!C93&lt;'ANALISI DELLE SPINTE'!$C$99,'ANALISI DELLE SPINTE'!$D$61*'ANALISI DELLE SPINTE'!C93,'ANALISI DELLE SPINTE'!$C$100)),('FOGLIO DEPOSITO'!M230+'FOGLIO DEPOSITO'!N230+'FOGLIO DEPOSITO'!O230)+'ANALISI DELLE SPINTE'!$C$100)+IF('ANALISI DELLE SPINTE'!AH93="",0,'ANALISI DELLE SPINTE'!AH93)/(DATI!E61*'FOGLIO DEPOSITO'!W233))</f>
        <v>24.11930669699646</v>
      </c>
      <c r="V230" s="7" t="s">
        <v>435</v>
      </c>
      <c r="W230" s="225">
        <f>DATI!E181</f>
        <v>19.5</v>
      </c>
    </row>
    <row r="231" spans="2:26" ht="16.5" thickTop="1" thickBot="1" x14ac:dyDescent="0.3">
      <c r="G231" s="229" t="str">
        <f>IF('ANALISI DELLE SPINTE'!D52=0,"",('ANALISI DELLE SPINTE'!F94*'FOGLIO DEPOSITO'!C248-'ANALISI DELLE SPINTE'!G94+'FOGLIO DEPOSITO'!D248)*'FOGLIO DEPOSITO'!K211*H236)</f>
        <v/>
      </c>
      <c r="H231" s="229" t="str">
        <f>IF('ANALISI DELLE SPINTE'!$D$52=0,"",'ANALISI DELLE SPINTE'!J94*'ANALISI DELLE SPINTE'!F94*'FOGLIO DEPOSITO'!$K$212)</f>
        <v/>
      </c>
      <c r="I231" s="234" t="str">
        <f>IF('ANALISI DELLE SPINTE'!$D$52=0,"",'ANALISI DELLE SPINTE'!K94*'ANALISI DELLE SPINTE'!F94*'FOGLIO DEPOSITO'!$K$213)</f>
        <v/>
      </c>
      <c r="J231" s="238" t="str">
        <f>IF('ANALISI DELLE SPINTE'!D52=0,"",'FOGLIO DEPOSITO'!C248+'ANALISI DELLE SPINTE'!K94+'ANALISI DELLE SPINTE'!J94)</f>
        <v/>
      </c>
      <c r="K231" s="246" t="str">
        <f>IF('ANALISI DELLE SPINTE'!D52=0,"",IF(('FOGLIO DEPOSITO'!G231+'FOGLIO DEPOSITO'!H231+'FOGLIO DEPOSITO'!I231)&lt;0,(IF('ANALISI DELLE SPINTE'!C94&lt;'ANALISI DELLE SPINTE'!$C$99,'ANALISI DELLE SPINTE'!$D$61*'ANALISI DELLE SPINTE'!C94,'ANALISI DELLE SPINTE'!$C$100)),('FOGLIO DEPOSITO'!G231+'FOGLIO DEPOSITO'!H231+'FOGLIO DEPOSITO'!I231)+'ANALISI DELLE SPINTE'!$C$100)+IF('ANALISI DELLE SPINTE'!AH96="",0,'ANALISI DELLE SPINTE'!AH96)/(DATI!E61*'FOGLIO DEPOSITO'!W239))</f>
        <v/>
      </c>
      <c r="M231" s="229" t="e">
        <f t="shared" si="19"/>
        <v>#VALUE!</v>
      </c>
      <c r="N231" s="229" t="e">
        <f t="shared" si="20"/>
        <v>#VALUE!</v>
      </c>
      <c r="O231" s="229" t="e">
        <f t="shared" si="21"/>
        <v>#VALUE!</v>
      </c>
      <c r="P231" s="238" t="e">
        <f>'FOGLIO DEPOSITO'!C248+'ANALISI DELLE SPINTE'!K94+'ANALISI DELLE SPINTE'!J94</f>
        <v>#VALUE!</v>
      </c>
      <c r="Q231" s="246" t="str">
        <f>IF('ANALISI DELLE SPINTE'!D52=0,"",IF(('FOGLIO DEPOSITO'!M231+'FOGLIO DEPOSITO'!N231+'FOGLIO DEPOSITO'!O231)&lt;0,(IF('ANALISI DELLE SPINTE'!C94&lt;'ANALISI DELLE SPINTE'!$C$99,'ANALISI DELLE SPINTE'!$D$61*'ANALISI DELLE SPINTE'!C94,'ANALISI DELLE SPINTE'!$C$100)),('FOGLIO DEPOSITO'!M231+'FOGLIO DEPOSITO'!N231+'FOGLIO DEPOSITO'!O231)+'ANALISI DELLE SPINTE'!$C$100)+IF('ANALISI DELLE SPINTE'!AH96="",0,'ANALISI DELLE SPINTE'!AH96)/(DATI!E61*'FOGLIO DEPOSITO'!W239))</f>
        <v/>
      </c>
      <c r="V231" s="396" t="s">
        <v>437</v>
      </c>
      <c r="W231" s="187">
        <f>DATI!E182</f>
        <v>0</v>
      </c>
    </row>
    <row r="232" spans="2:26" ht="16.5" thickTop="1" thickBot="1" x14ac:dyDescent="0.3">
      <c r="G232" s="229" t="str">
        <f>IF('ANALISI DELLE SPINTE'!D52=0,"",('ANALISI DELLE SPINTE'!F95*'FOGLIO DEPOSITO'!C249-'ANALISI DELLE SPINTE'!G95+'FOGLIO DEPOSITO'!D249)*'FOGLIO DEPOSITO'!K211*H236)</f>
        <v/>
      </c>
      <c r="H232" s="229" t="str">
        <f>IF('ANALISI DELLE SPINTE'!$D$52=0,"",'ANALISI DELLE SPINTE'!J95*'ANALISI DELLE SPINTE'!F95*'FOGLIO DEPOSITO'!$K$212)</f>
        <v/>
      </c>
      <c r="I232" s="234" t="str">
        <f>IF('ANALISI DELLE SPINTE'!$D$52=0,"",'ANALISI DELLE SPINTE'!K95*'ANALISI DELLE SPINTE'!F95*'FOGLIO DEPOSITO'!$K$213)</f>
        <v/>
      </c>
      <c r="J232" s="238" t="str">
        <f>IF('ANALISI DELLE SPINTE'!D52=0,"",'FOGLIO DEPOSITO'!C249+'ANALISI DELLE SPINTE'!K95+'ANALISI DELLE SPINTE'!J95)</f>
        <v/>
      </c>
      <c r="K232" s="246" t="str">
        <f>IF('ANALISI DELLE SPINTE'!D52=0,"",IF(('FOGLIO DEPOSITO'!G232+'FOGLIO DEPOSITO'!H232+'FOGLIO DEPOSITO'!I232)&lt;0,(IF('ANALISI DELLE SPINTE'!C95&lt;'ANALISI DELLE SPINTE'!$C$99,'ANALISI DELLE SPINTE'!$D$61*'ANALISI DELLE SPINTE'!C95,'ANALISI DELLE SPINTE'!$C$100)),('FOGLIO DEPOSITO'!G232+'FOGLIO DEPOSITO'!H232+'FOGLIO DEPOSITO'!I232)+'ANALISI DELLE SPINTE'!$C$100)+IF('ANALISI DELLE SPINTE'!AH96="",0,'ANALISI DELLE SPINTE'!AH96)/(DATI!E61*'FOGLIO DEPOSITO'!W239))</f>
        <v/>
      </c>
      <c r="M232" s="229" t="e">
        <f t="shared" si="19"/>
        <v>#VALUE!</v>
      </c>
      <c r="N232" s="229" t="e">
        <f t="shared" si="20"/>
        <v>#VALUE!</v>
      </c>
      <c r="O232" s="229" t="e">
        <f t="shared" si="21"/>
        <v>#VALUE!</v>
      </c>
      <c r="P232" s="238" t="e">
        <f>'FOGLIO DEPOSITO'!C249+'ANALISI DELLE SPINTE'!K95+'ANALISI DELLE SPINTE'!J95</f>
        <v>#VALUE!</v>
      </c>
      <c r="Q232" s="246" t="str">
        <f>IF('ANALISI DELLE SPINTE'!D52=0,"",IF(('FOGLIO DEPOSITO'!M232+'FOGLIO DEPOSITO'!N232+'FOGLIO DEPOSITO'!O232)&lt;0,(IF('ANALISI DELLE SPINTE'!C95&lt;'ANALISI DELLE SPINTE'!$C$99,'ANALISI DELLE SPINTE'!$D$61*'ANALISI DELLE SPINTE'!C95,'ANALISI DELLE SPINTE'!$C$100)),('FOGLIO DEPOSITO'!M232+'FOGLIO DEPOSITO'!N232+'FOGLIO DEPOSITO'!O232)+'ANALISI DELLE SPINTE'!$C$100)+IF('ANALISI DELLE SPINTE'!AH96="",0,'ANALISI DELLE SPINTE'!AH96)/(DATI!E61*'FOGLIO DEPOSITO'!W239))</f>
        <v/>
      </c>
      <c r="V232" s="396" t="s">
        <v>439</v>
      </c>
      <c r="W232" s="187">
        <f>DATI!E183</f>
        <v>0</v>
      </c>
    </row>
    <row r="233" spans="2:26" ht="16.5" thickTop="1" thickBot="1" x14ac:dyDescent="0.3">
      <c r="G233" s="231" t="str">
        <f>IF('ANALISI DELLE SPINTE'!D52=0,"",('ANALISI DELLE SPINTE'!F96*'FOGLIO DEPOSITO'!C250-'ANALISI DELLE SPINTE'!G96+'FOGLIO DEPOSITO'!D250)*'FOGLIO DEPOSITO'!$K$211*H236)</f>
        <v/>
      </c>
      <c r="H233" s="231" t="str">
        <f>IF('ANALISI DELLE SPINTE'!$D$52=0,"",'ANALISI DELLE SPINTE'!J96*'ANALISI DELLE SPINTE'!F96*'FOGLIO DEPOSITO'!$K$212)</f>
        <v/>
      </c>
      <c r="I233" s="235" t="str">
        <f>IF('ANALISI DELLE SPINTE'!$D$52=0,"",'ANALISI DELLE SPINTE'!K96*'ANALISI DELLE SPINTE'!F96*'FOGLIO DEPOSITO'!$K$213)</f>
        <v/>
      </c>
      <c r="J233" s="239" t="str">
        <f>IF('ANALISI DELLE SPINTE'!D52=0,"",'FOGLIO DEPOSITO'!C250+'ANALISI DELLE SPINTE'!K96+'ANALISI DELLE SPINTE'!J96)</f>
        <v/>
      </c>
      <c r="K233" s="248" t="str">
        <f>IF('ANALISI DELLE SPINTE'!D52=0,"",IF(('FOGLIO DEPOSITO'!G233+'FOGLIO DEPOSITO'!H233+'FOGLIO DEPOSITO'!I233)&lt;0,(IF('ANALISI DELLE SPINTE'!C96&lt;'ANALISI DELLE SPINTE'!$C$99,'ANALISI DELLE SPINTE'!$D$61*'ANALISI DELLE SPINTE'!C96,'ANALISI DELLE SPINTE'!$C$100)),('FOGLIO DEPOSITO'!G233+'FOGLIO DEPOSITO'!H233+'FOGLIO DEPOSITO'!I233)+'ANALISI DELLE SPINTE'!$C$100)+IF('ANALISI DELLE SPINTE'!AH96="",0,'ANALISI DELLE SPINTE'!AH96)/(DATI!E61*'FOGLIO DEPOSITO'!W239))</f>
        <v/>
      </c>
      <c r="M233" s="229" t="e">
        <f t="shared" si="19"/>
        <v>#VALUE!</v>
      </c>
      <c r="N233" s="229" t="e">
        <f t="shared" si="20"/>
        <v>#VALUE!</v>
      </c>
      <c r="O233" s="229" t="e">
        <f t="shared" si="21"/>
        <v>#VALUE!</v>
      </c>
      <c r="P233" s="238" t="e">
        <f>'FOGLIO DEPOSITO'!C250+'ANALISI DELLE SPINTE'!K96+'ANALISI DELLE SPINTE'!J96</f>
        <v>#VALUE!</v>
      </c>
      <c r="Q233" s="248" t="str">
        <f>IF('ANALISI DELLE SPINTE'!D52=0,"",IF(('FOGLIO DEPOSITO'!M233+'FOGLIO DEPOSITO'!N233+'FOGLIO DEPOSITO'!O233)&lt;0,(IF('ANALISI DELLE SPINTE'!C96&lt;'ANALISI DELLE SPINTE'!$C$99,'ANALISI DELLE SPINTE'!$D$61*'ANALISI DELLE SPINTE'!C96,'ANALISI DELLE SPINTE'!$C$100)),('FOGLIO DEPOSITO'!M233+'FOGLIO DEPOSITO'!N233+'FOGLIO DEPOSITO'!O233)+'ANALISI DELLE SPINTE'!$C$100)+IF('ANALISI DELLE SPINTE'!AH96="",0,'ANALISI DELLE SPINTE'!AH96)/(DATI!E61*'FOGLIO DEPOSITO'!W239))</f>
        <v/>
      </c>
      <c r="V233" s="7" t="s">
        <v>441</v>
      </c>
      <c r="W233" s="186">
        <f>IF('FOGLIO DEPOSITO'!Y228=1,0,DATI!E184)</f>
        <v>0.51366666666666694</v>
      </c>
    </row>
    <row r="234" spans="2:26" ht="16.5" thickTop="1" thickBot="1" x14ac:dyDescent="0.3">
      <c r="G234" s="229"/>
      <c r="H234" s="229"/>
      <c r="I234" s="229"/>
      <c r="J234" s="238"/>
      <c r="K234" s="238"/>
      <c r="M234" s="229"/>
      <c r="N234" s="229"/>
      <c r="O234" s="229"/>
      <c r="P234" s="238"/>
      <c r="Q234" s="238"/>
      <c r="V234" s="7"/>
      <c r="W234" s="126"/>
    </row>
    <row r="235" spans="2:26" ht="16.5" thickTop="1" thickBot="1" x14ac:dyDescent="0.3">
      <c r="G235" s="229"/>
      <c r="H235" s="229"/>
      <c r="I235" s="229"/>
      <c r="J235" s="238"/>
      <c r="K235" s="238"/>
      <c r="M235" s="229"/>
      <c r="N235" s="229"/>
      <c r="O235" s="229"/>
      <c r="P235" s="238"/>
      <c r="Q235" s="238"/>
      <c r="V235" s="7" t="s">
        <v>58</v>
      </c>
      <c r="W235" s="182">
        <f>DATI!E186</f>
        <v>35</v>
      </c>
    </row>
    <row r="236" spans="2:26" ht="16.5" thickTop="1" thickBot="1" x14ac:dyDescent="0.3">
      <c r="G236" s="507" t="s">
        <v>856</v>
      </c>
      <c r="H236" s="249">
        <f>IF('ANALISI DELLE SPINTE'!C76='FOGLIO DEPOSITO'!N181,1+'FOGLIO DEPOSITO'!S188,IF('ANALISI DELLE SPINTE'!C76='FOGLIO DEPOSITO'!N182,1-'FOGLIO DEPOSITO'!S188,1))</f>
        <v>1.0385502753416276</v>
      </c>
      <c r="I236" s="229"/>
      <c r="J236" s="238"/>
      <c r="K236" s="238"/>
      <c r="M236" s="229"/>
      <c r="N236" s="229"/>
      <c r="O236" s="229"/>
      <c r="P236" s="238"/>
      <c r="Q236" s="238"/>
      <c r="V236" s="7" t="s">
        <v>435</v>
      </c>
      <c r="W236" s="225">
        <f>DATI!E187</f>
        <v>21</v>
      </c>
    </row>
    <row r="237" spans="2:26" ht="16.5" thickTop="1" thickBot="1" x14ac:dyDescent="0.3">
      <c r="G237" s="229"/>
      <c r="H237" s="229"/>
      <c r="I237" s="229"/>
      <c r="J237" s="238"/>
      <c r="M237" s="229"/>
      <c r="N237" s="229"/>
      <c r="O237" s="229"/>
      <c r="P237" s="238"/>
      <c r="Q237" s="428"/>
      <c r="V237" s="396" t="s">
        <v>437</v>
      </c>
      <c r="W237" s="187">
        <f>DATI!E188</f>
        <v>0</v>
      </c>
    </row>
    <row r="238" spans="2:26" ht="16.5" thickTop="1" thickBot="1" x14ac:dyDescent="0.3">
      <c r="G238" s="229"/>
      <c r="H238" s="229"/>
      <c r="I238" s="229"/>
      <c r="J238" s="238"/>
      <c r="K238" s="428"/>
      <c r="M238" s="229"/>
      <c r="N238" s="229"/>
      <c r="O238" s="229"/>
      <c r="P238" s="238"/>
      <c r="Q238" s="428"/>
      <c r="V238" s="396" t="s">
        <v>439</v>
      </c>
      <c r="W238" s="187">
        <f>DATI!E189</f>
        <v>0</v>
      </c>
    </row>
    <row r="239" spans="2:26" ht="15.75" thickTop="1" x14ac:dyDescent="0.25">
      <c r="C239" t="s">
        <v>1018</v>
      </c>
      <c r="G239" s="47"/>
      <c r="M239" s="47"/>
      <c r="N239" s="428"/>
      <c r="O239" s="428"/>
      <c r="P239" s="428"/>
      <c r="Q239" s="428"/>
      <c r="V239" s="7" t="s">
        <v>441</v>
      </c>
      <c r="W239" s="188">
        <f>IF('FOGLIO DEPOSITO'!Y228=1,0,DATI!E190)</f>
        <v>0</v>
      </c>
    </row>
    <row r="240" spans="2:26" x14ac:dyDescent="0.25">
      <c r="G240" s="977" t="s">
        <v>490</v>
      </c>
      <c r="H240" s="977"/>
      <c r="I240" s="977"/>
      <c r="J240" s="976" t="s">
        <v>819</v>
      </c>
      <c r="K240" s="976"/>
      <c r="M240" s="977" t="s">
        <v>490</v>
      </c>
      <c r="N240" s="977"/>
      <c r="O240" s="977"/>
      <c r="P240" s="976" t="s">
        <v>819</v>
      </c>
      <c r="Q240" s="976"/>
    </row>
    <row r="241" spans="3:17" ht="18.75" x14ac:dyDescent="0.25">
      <c r="C241" s="179" t="s">
        <v>495</v>
      </c>
      <c r="D241" s="241" t="s">
        <v>493</v>
      </c>
      <c r="G241" s="250" t="s">
        <v>498</v>
      </c>
      <c r="H241" s="250" t="s">
        <v>499</v>
      </c>
      <c r="I241" s="251" t="s">
        <v>500</v>
      </c>
      <c r="J241" s="242" t="s">
        <v>501</v>
      </c>
      <c r="K241" s="243" t="s">
        <v>502</v>
      </c>
      <c r="M241" s="250" t="s">
        <v>810</v>
      </c>
      <c r="N241" s="250" t="s">
        <v>827</v>
      </c>
      <c r="O241" s="251" t="s">
        <v>812</v>
      </c>
      <c r="P241" s="242" t="s">
        <v>501</v>
      </c>
      <c r="Q241" s="243" t="s">
        <v>502</v>
      </c>
    </row>
    <row r="242" spans="3:17" x14ac:dyDescent="0.25">
      <c r="C242" s="232">
        <f>'ANALISI DELLE SPINTE'!H88-'FOGLIO DEPOSITO'!D242</f>
        <v>0</v>
      </c>
      <c r="D242" s="245">
        <f>IF('ANALISI DELLE SPINTE'!F33='FOGLIO DEPOSITO'!H166,'ANALISI DELLE SPINTE'!E105,0)</f>
        <v>0</v>
      </c>
      <c r="G242" s="229">
        <f>('ANALISI DELLE SPINTE'!F105*'ANALISI DELLE SPINTE'!I105-'ANALISI DELLE SPINTE'!G105+'ANALISI DELLE SPINTE'!E105)*'FOGLIO DEPOSITO'!$K$211*H236</f>
        <v>0</v>
      </c>
      <c r="H242" s="229">
        <f>'ANALISI DELLE SPINTE'!J105*'ANALISI DELLE SPINTE'!F105*'FOGLIO DEPOSITO'!$K$212</f>
        <v>0</v>
      </c>
      <c r="I242" s="234">
        <f>'ANALISI DELLE SPINTE'!K105*'ANALISI DELLE SPINTE'!F105*'FOGLIO DEPOSITO'!$K$213</f>
        <v>1.5608815691514315</v>
      </c>
      <c r="J242" s="238">
        <f>'ANALISI DELLE SPINTE'!I105+'ANALISI DELLE SPINTE'!K105+'ANALISI DELLE SPINTE'!J105</f>
        <v>5</v>
      </c>
      <c r="K242" s="284">
        <f>IF(('FOGLIO DEPOSITO'!G242+'FOGLIO DEPOSITO'!H242+'FOGLIO DEPOSITO'!I242)&lt;0,0,('FOGLIO DEPOSITO'!G242+'FOGLIO DEPOSITO'!H242+'FOGLIO DEPOSITO'!I242)+'ANALISI DELLE SPINTE'!$C$117)+IF('ANALISI DELLE SPINTE'!AH90="",0,'ANALISI DELLE SPINTE'!AH90)/(DATI!E61*'FOGLIO DEPOSITO'!W227)</f>
        <v>1.5608815691514315</v>
      </c>
      <c r="M242" s="229">
        <f t="shared" ref="M242:M250" si="22">G242/$K$211</f>
        <v>0</v>
      </c>
      <c r="N242" s="229">
        <f t="shared" ref="N242:N250" si="23">H242/$K$212</f>
        <v>0</v>
      </c>
      <c r="O242" s="229">
        <f t="shared" ref="O242:O250" si="24">I242/$K$213</f>
        <v>1.5608815691514315</v>
      </c>
      <c r="P242" s="238">
        <f>'ANALISI DELLE SPINTE'!I105+'ANALISI DELLE SPINTE'!K105+'ANALISI DELLE SPINTE'!J105</f>
        <v>5</v>
      </c>
      <c r="Q242" s="284">
        <f>IF(('FOGLIO DEPOSITO'!M242+'FOGLIO DEPOSITO'!N242+'FOGLIO DEPOSITO'!O242)&lt;0,0,('FOGLIO DEPOSITO'!M242+'FOGLIO DEPOSITO'!N242+'FOGLIO DEPOSITO'!O242)+'ANALISI DELLE SPINTE'!$C$117)+IF('ANALISI DELLE SPINTE'!AH90="",0,'ANALISI DELLE SPINTE'!AH90)/(DATI!E61*'FOGLIO DEPOSITO'!W227)</f>
        <v>1.5608815691514315</v>
      </c>
    </row>
    <row r="243" spans="3:17" x14ac:dyDescent="0.25">
      <c r="C243" s="232">
        <f>'ANALISI DELLE SPINTE'!H89-'FOGLIO DEPOSITO'!D243</f>
        <v>59.562999999999995</v>
      </c>
      <c r="D243" s="245">
        <f>IF('ANALISI DELLE SPINTE'!F33='FOGLIO DEPOSITO'!H166,'ANALISI DELLE SPINTE'!E106,0)</f>
        <v>0</v>
      </c>
      <c r="G243" s="229">
        <f>('ANALISI DELLE SPINTE'!F106*'ANALISI DELLE SPINTE'!I106-'ANALISI DELLE SPINTE'!G106+'ANALISI DELLE SPINTE'!E106)*'FOGLIO DEPOSITO'!$K$211*H236</f>
        <v>19.310967682863968</v>
      </c>
      <c r="H243" s="229">
        <f>'ANALISI DELLE SPINTE'!J106*'ANALISI DELLE SPINTE'!F106*'FOGLIO DEPOSITO'!$K$212</f>
        <v>0</v>
      </c>
      <c r="I243" s="234">
        <f>'ANALISI DELLE SPINTE'!K106*'ANALISI DELLE SPINTE'!F106*'FOGLIO DEPOSITO'!$K$213</f>
        <v>1.5608815691514315</v>
      </c>
      <c r="J243" s="238">
        <f>'ANALISI DELLE SPINTE'!I106+'ANALISI DELLE SPINTE'!K106+'ANALISI DELLE SPINTE'!J106</f>
        <v>64.562999999999988</v>
      </c>
      <c r="K243" s="246">
        <f>IF(('FOGLIO DEPOSITO'!G243+'FOGLIO DEPOSITO'!H243+'FOGLIO DEPOSITO'!I243)&lt;0,(IF('ANALISI DELLE SPINTE'!C106&lt;'ANALISI DELLE SPINTE'!$C$116,'ANALISI DELLE SPINTE'!$D$61*'ANALISI DELLE SPINTE'!C106,'ANALISI DELLE SPINTE'!$C$117)),('FOGLIO DEPOSITO'!G243+'FOGLIO DEPOSITO'!H243+'FOGLIO DEPOSITO'!I243)+'ANALISI DELLE SPINTE'!$C$117)+IF('ANALISI DELLE SPINTE'!AH90="",0,'ANALISI DELLE SPINTE'!AH90)/(DATI!E61*'FOGLIO DEPOSITO'!W227)</f>
        <v>20.871849252015398</v>
      </c>
      <c r="M243" s="229">
        <f t="shared" si="22"/>
        <v>19.310967682863968</v>
      </c>
      <c r="N243" s="229">
        <f t="shared" si="23"/>
        <v>0</v>
      </c>
      <c r="O243" s="229">
        <f t="shared" si="24"/>
        <v>1.5608815691514315</v>
      </c>
      <c r="P243" s="238">
        <f>'ANALISI DELLE SPINTE'!I106+'ANALISI DELLE SPINTE'!K106+'ANALISI DELLE SPINTE'!J106</f>
        <v>64.562999999999988</v>
      </c>
      <c r="Q243" s="246">
        <f>IF(('FOGLIO DEPOSITO'!M243+'FOGLIO DEPOSITO'!N243+'FOGLIO DEPOSITO'!O243)&lt;0,(IF('ANALISI DELLE SPINTE'!C106&lt;'ANALISI DELLE SPINTE'!$C$116,'ANALISI DELLE SPINTE'!$D$61*'ANALISI DELLE SPINTE'!C106,'ANALISI DELLE SPINTE'!$C$117)),('FOGLIO DEPOSITO'!M243+'FOGLIO DEPOSITO'!N243+'FOGLIO DEPOSITO'!O243)+'ANALISI DELLE SPINTE'!$C$117)+IF('ANALISI DELLE SPINTE'!AH90="",0,'ANALISI DELLE SPINTE'!AH90)/(DATI!E61*'FOGLIO DEPOSITO'!W227)</f>
        <v>20.871849252015398</v>
      </c>
    </row>
    <row r="244" spans="3:17" x14ac:dyDescent="0.25">
      <c r="C244" s="233">
        <f>'ANALISI DELLE SPINTE'!H90-'FOGLIO DEPOSITO'!D244</f>
        <v>59.562999999999995</v>
      </c>
      <c r="D244" s="230">
        <f>IF('ANALISI DELLE SPINTE'!F33='FOGLIO DEPOSITO'!H166,'ANALISI DELLE SPINTE'!E107,0)</f>
        <v>0</v>
      </c>
      <c r="G244" s="233">
        <f>('ANALISI DELLE SPINTE'!F107*'ANALISI DELLE SPINTE'!I107-'ANALISI DELLE SPINTE'!G107+'ANALISI DELLE SPINTE'!E107)*'FOGLIO DEPOSITO'!$K$211*H236</f>
        <v>19.310967682863968</v>
      </c>
      <c r="H244" s="231">
        <f>'ANALISI DELLE SPINTE'!J107*'ANALISI DELLE SPINTE'!F107*'FOGLIO DEPOSITO'!$K$212</f>
        <v>0</v>
      </c>
      <c r="I244" s="235">
        <f>'ANALISI DELLE SPINTE'!K107*'ANALISI DELLE SPINTE'!F107*'FOGLIO DEPOSITO'!$K$213</f>
        <v>1.5608815691514315</v>
      </c>
      <c r="J244" s="239">
        <f>'ANALISI DELLE SPINTE'!I107+'ANALISI DELLE SPINTE'!K107+'ANALISI DELLE SPINTE'!J107</f>
        <v>64.562999999999988</v>
      </c>
      <c r="K244" s="248">
        <f>IF(('FOGLIO DEPOSITO'!G244+'FOGLIO DEPOSITO'!H244+'FOGLIO DEPOSITO'!I244)&lt;0,(IF('ANALISI DELLE SPINTE'!C107&lt;'ANALISI DELLE SPINTE'!$C$116,'ANALISI DELLE SPINTE'!$D$61*'ANALISI DELLE SPINTE'!C107,'ANALISI DELLE SPINTE'!$C$117)),('FOGLIO DEPOSITO'!G244+'FOGLIO DEPOSITO'!H244+'FOGLIO DEPOSITO'!I244)+'ANALISI DELLE SPINTE'!$C$117)+IF('ANALISI DELLE SPINTE'!AH90="",0,'ANALISI DELLE SPINTE'!AH90)/(DATI!E61*'FOGLIO DEPOSITO'!W227)</f>
        <v>20.871849252015398</v>
      </c>
      <c r="M244" s="231">
        <f t="shared" si="22"/>
        <v>19.310967682863968</v>
      </c>
      <c r="N244" s="231">
        <f t="shared" si="23"/>
        <v>0</v>
      </c>
      <c r="O244" s="231">
        <f t="shared" si="24"/>
        <v>1.5608815691514315</v>
      </c>
      <c r="P244" s="238">
        <f>'ANALISI DELLE SPINTE'!I107+'ANALISI DELLE SPINTE'!K107+'ANALISI DELLE SPINTE'!J107</f>
        <v>64.562999999999988</v>
      </c>
      <c r="Q244" s="248">
        <f>IF(('FOGLIO DEPOSITO'!M244+'FOGLIO DEPOSITO'!N244+'FOGLIO DEPOSITO'!O244)&lt;0,(IF('ANALISI DELLE SPINTE'!C107&lt;'ANALISI DELLE SPINTE'!$C$116,'ANALISI DELLE SPINTE'!$D$61*'ANALISI DELLE SPINTE'!C107,'ANALISI DELLE SPINTE'!$C$117)),('FOGLIO DEPOSITO'!M244+'FOGLIO DEPOSITO'!N244+'FOGLIO DEPOSITO'!O244)+'ANALISI DELLE SPINTE'!$C$117)+IF('ANALISI DELLE SPINTE'!AH90="",0,'ANALISI DELLE SPINTE'!AH90)/(DATI!E61*'FOGLIO DEPOSITO'!W227)</f>
        <v>20.871849252015398</v>
      </c>
    </row>
    <row r="245" spans="3:17" x14ac:dyDescent="0.25">
      <c r="C245" s="232">
        <f>IF('ANALISI DELLE SPINTE'!D45=0,"",'ANALISI DELLE SPINTE'!H91-'FOGLIO DEPOSITO'!D245)</f>
        <v>59.562999999999995</v>
      </c>
      <c r="D245" s="245">
        <f>IF('ANALISI DELLE SPINTE'!D45=0,"",IF('ANALISI DELLE SPINTE'!F40='FOGLIO DEPOSITO'!H169,'ANALISI DELLE SPINTE'!E108,0))</f>
        <v>0</v>
      </c>
      <c r="G245" s="229">
        <f>IF('ANALISI DELLE SPINTE'!$D$45=0,"",('ANALISI DELLE SPINTE'!F108*'ANALISI DELLE SPINTE'!I108-'ANALISI DELLE SPINTE'!G108+'ANALISI DELLE SPINTE'!E108)*'FOGLIO DEPOSITO'!$K$211*H236)</f>
        <v>21.723589542706566</v>
      </c>
      <c r="H245" s="229">
        <f>IF('ANALISI DELLE SPINTE'!$D$45=0,"",'ANALISI DELLE SPINTE'!J108*'ANALISI DELLE SPINTE'!F108*'FOGLIO DEPOSITO'!$K$212)</f>
        <v>0</v>
      </c>
      <c r="I245" s="234">
        <f>IF('ANALISI DELLE SPINTE'!$D$45=0,"",'ANALISI DELLE SPINTE'!K108*'ANALISI DELLE SPINTE'!F108*'FOGLIO DEPOSITO'!$K$213)</f>
        <v>1.7558908020497832</v>
      </c>
      <c r="J245" s="238">
        <f>IF('ANALISI DELLE SPINTE'!D45=0,"",'ANALISI DELLE SPINTE'!I108+'ANALISI DELLE SPINTE'!K108+'ANALISI DELLE SPINTE'!J108)</f>
        <v>64.562999999999988</v>
      </c>
      <c r="K245" s="246">
        <f>IF('ANALISI DELLE SPINTE'!D45=0,"",IF(('FOGLIO DEPOSITO'!G245+'FOGLIO DEPOSITO'!H245+'FOGLIO DEPOSITO'!I245)&lt;0,(IF('ANALISI DELLE SPINTE'!C108&lt;'ANALISI DELLE SPINTE'!$C$116,'ANALISI DELLE SPINTE'!$D$61*'ANALISI DELLE SPINTE'!C108,'ANALISI DELLE SPINTE'!$C$117)),('FOGLIO DEPOSITO'!G245+'FOGLIO DEPOSITO'!H245+'FOGLIO DEPOSITO'!I245)+'ANALISI DELLE SPINTE'!$C$117)+IF('ANALISI DELLE SPINTE'!AH93="",0,'ANALISI DELLE SPINTE'!AH93)/(DATI!E61*'FOGLIO DEPOSITO'!W233))</f>
        <v>23.47948034475635</v>
      </c>
      <c r="M245" s="229">
        <f t="shared" si="22"/>
        <v>21.723589542706566</v>
      </c>
      <c r="N245" s="229">
        <f t="shared" si="23"/>
        <v>0</v>
      </c>
      <c r="O245" s="229">
        <f t="shared" si="24"/>
        <v>1.7558908020497832</v>
      </c>
      <c r="P245" s="238">
        <f>'ANALISI DELLE SPINTE'!I108+'ANALISI DELLE SPINTE'!K108+'ANALISI DELLE SPINTE'!J108</f>
        <v>64.562999999999988</v>
      </c>
      <c r="Q245" s="246">
        <f>IF('ANALISI DELLE SPINTE'!D45=0,"",IF(('FOGLIO DEPOSITO'!M245+'FOGLIO DEPOSITO'!N245+'FOGLIO DEPOSITO'!O245)&lt;0,(IF('ANALISI DELLE SPINTE'!C108&lt;'ANALISI DELLE SPINTE'!$C$116,'ANALISI DELLE SPINTE'!$D$61*'ANALISI DELLE SPINTE'!C108,'ANALISI DELLE SPINTE'!$C$117)),('FOGLIO DEPOSITO'!M245+'FOGLIO DEPOSITO'!N245+'FOGLIO DEPOSITO'!O245)+'ANALISI DELLE SPINTE'!$C$117)+IF('ANALISI DELLE SPINTE'!AH93="",0,'ANALISI DELLE SPINTE'!AH93)/(DATI!E61*'FOGLIO DEPOSITO'!W233))</f>
        <v>23.47948034475635</v>
      </c>
    </row>
    <row r="246" spans="3:17" x14ac:dyDescent="0.25">
      <c r="C246" s="232">
        <f>IF('ANALISI DELLE SPINTE'!D45=0,"",'ANALISI DELLE SPINTE'!H92-'FOGLIO DEPOSITO'!D246)</f>
        <v>69.579499999999996</v>
      </c>
      <c r="D246" s="245">
        <f>IF('ANALISI DELLE SPINTE'!D45=0,"",IF('ANALISI DELLE SPINTE'!F40='FOGLIO DEPOSITO'!H169,'ANALISI DELLE SPINTE'!E109,0))</f>
        <v>0</v>
      </c>
      <c r="G246" s="229">
        <f>IF('ANALISI DELLE SPINTE'!$D$45=0,"",('ANALISI DELLE SPINTE'!F109*'ANALISI DELLE SPINTE'!I109-'ANALISI DELLE SPINTE'!G109+'ANALISI DELLE SPINTE'!E109)*'FOGLIO DEPOSITO'!$K$211*H236)</f>
        <v>25.376769111474431</v>
      </c>
      <c r="H246" s="229">
        <f>IF('ANALISI DELLE SPINTE'!$D$45=0,"",'ANALISI DELLE SPINTE'!J109*'ANALISI DELLE SPINTE'!F109*'FOGLIO DEPOSITO'!$K$212)</f>
        <v>0</v>
      </c>
      <c r="I246" s="234">
        <f>IF('ANALISI DELLE SPINTE'!$D$45=0,"",'ANALISI DELLE SPINTE'!K109*'ANALISI DELLE SPINTE'!F109*'FOGLIO DEPOSITO'!$K$213)</f>
        <v>1.7558908020497832</v>
      </c>
      <c r="J246" s="238">
        <f>IF('ANALISI DELLE SPINTE'!D45=0,"",'ANALISI DELLE SPINTE'!I109+'ANALISI DELLE SPINTE'!K109+'ANALISI DELLE SPINTE'!J109)</f>
        <v>74.579499999999996</v>
      </c>
      <c r="K246" s="246">
        <f>IF('ANALISI DELLE SPINTE'!D45=0,"",IF(('FOGLIO DEPOSITO'!G246+'FOGLIO DEPOSITO'!H246+'FOGLIO DEPOSITO'!I246)&lt;0,(IF('ANALISI DELLE SPINTE'!C109&lt;'ANALISI DELLE SPINTE'!$C$116,'ANALISI DELLE SPINTE'!$D$61*'ANALISI DELLE SPINTE'!C109,'ANALISI DELLE SPINTE'!$C$117)),('FOGLIO DEPOSITO'!G246+'FOGLIO DEPOSITO'!H246+'FOGLIO DEPOSITO'!I246)+'ANALISI DELLE SPINTE'!$C$117)+IF('ANALISI DELLE SPINTE'!AH93="",0,'ANALISI DELLE SPINTE'!AH93)/(DATI!E61*'FOGLIO DEPOSITO'!W233))</f>
        <v>27.132659913524215</v>
      </c>
      <c r="M246" s="229">
        <f t="shared" si="22"/>
        <v>25.376769111474431</v>
      </c>
      <c r="N246" s="229">
        <f t="shared" si="23"/>
        <v>0</v>
      </c>
      <c r="O246" s="229">
        <f t="shared" si="24"/>
        <v>1.7558908020497832</v>
      </c>
      <c r="P246" s="238">
        <f>'ANALISI DELLE SPINTE'!I109+'ANALISI DELLE SPINTE'!K109+'ANALISI DELLE SPINTE'!J109</f>
        <v>74.579499999999996</v>
      </c>
      <c r="Q246" s="246">
        <f>IF('ANALISI DELLE SPINTE'!D45=0,"",IF(('FOGLIO DEPOSITO'!M246+'FOGLIO DEPOSITO'!N246+'FOGLIO DEPOSITO'!O246)&lt;0,(IF('ANALISI DELLE SPINTE'!C109&lt;'ANALISI DELLE SPINTE'!$C$116,'ANALISI DELLE SPINTE'!$D$61*'ANALISI DELLE SPINTE'!C109,'ANALISI DELLE SPINTE'!$C$117)),('FOGLIO DEPOSITO'!M246+'FOGLIO DEPOSITO'!N246+'FOGLIO DEPOSITO'!O246)+'ANALISI DELLE SPINTE'!$C$117)+IF('ANALISI DELLE SPINTE'!AH93="",0,'ANALISI DELLE SPINTE'!AH93)/(DATI!E61*'FOGLIO DEPOSITO'!W233))</f>
        <v>27.132659913524215</v>
      </c>
    </row>
    <row r="247" spans="3:17" x14ac:dyDescent="0.25">
      <c r="C247" s="233">
        <f>IF('ANALISI DELLE SPINTE'!D45=0,"",'ANALISI DELLE SPINTE'!H93-'FOGLIO DEPOSITO'!D247)</f>
        <v>69.579499999999996</v>
      </c>
      <c r="D247" s="230">
        <f>IF('ANALISI DELLE SPINTE'!D45=0,"",IF('ANALISI DELLE SPINTE'!F40='FOGLIO DEPOSITO'!H169,'ANALISI DELLE SPINTE'!E110,0))</f>
        <v>0</v>
      </c>
      <c r="G247" s="233">
        <f>IF('ANALISI DELLE SPINTE'!$D$45=0,"",('ANALISI DELLE SPINTE'!F110*'ANALISI DELLE SPINTE'!I110-'ANALISI DELLE SPINTE'!G110+'ANALISI DELLE SPINTE'!E110)*'FOGLIO DEPOSITO'!$K$211*H236)</f>
        <v>25.376769111474431</v>
      </c>
      <c r="H247" s="231">
        <f>IF('ANALISI DELLE SPINTE'!$D$45=0,"",'ANALISI DELLE SPINTE'!J110*'ANALISI DELLE SPINTE'!F110*'FOGLIO DEPOSITO'!$K$212)</f>
        <v>0</v>
      </c>
      <c r="I247" s="235">
        <f>IF('ANALISI DELLE SPINTE'!$D$45=0,"",'ANALISI DELLE SPINTE'!K110*'ANALISI DELLE SPINTE'!F110*'FOGLIO DEPOSITO'!$K$213)</f>
        <v>1.7558908020497832</v>
      </c>
      <c r="J247" s="239">
        <f>IF('ANALISI DELLE SPINTE'!D45=0,"",'ANALISI DELLE SPINTE'!I110+'ANALISI DELLE SPINTE'!K110+'ANALISI DELLE SPINTE'!J110)</f>
        <v>74.579499999999996</v>
      </c>
      <c r="K247" s="248">
        <f>IF('ANALISI DELLE SPINTE'!D45=0,"",IF(('FOGLIO DEPOSITO'!G247+'FOGLIO DEPOSITO'!H247+'FOGLIO DEPOSITO'!I247)&lt;0,(IF('ANALISI DELLE SPINTE'!C110&lt;'ANALISI DELLE SPINTE'!$C$116,'ANALISI DELLE SPINTE'!$D$61*'ANALISI DELLE SPINTE'!C110,'ANALISI DELLE SPINTE'!$C$117)),('FOGLIO DEPOSITO'!G247+'FOGLIO DEPOSITO'!H247+'FOGLIO DEPOSITO'!I247)+'ANALISI DELLE SPINTE'!$C$117)+IF('ANALISI DELLE SPINTE'!AH93="",0,'ANALISI DELLE SPINTE'!AH93)/(DATI!E61*'FOGLIO DEPOSITO'!W233))</f>
        <v>27.132659913524215</v>
      </c>
      <c r="M247" s="231">
        <f t="shared" si="22"/>
        <v>25.376769111474431</v>
      </c>
      <c r="N247" s="231">
        <f t="shared" si="23"/>
        <v>0</v>
      </c>
      <c r="O247" s="231">
        <f t="shared" si="24"/>
        <v>1.7558908020497832</v>
      </c>
      <c r="P247" s="238">
        <f>'ANALISI DELLE SPINTE'!I110+'ANALISI DELLE SPINTE'!K110+'ANALISI DELLE SPINTE'!J110</f>
        <v>74.579499999999996</v>
      </c>
      <c r="Q247" s="248">
        <f>IF('ANALISI DELLE SPINTE'!D45=0,"",IF(('FOGLIO DEPOSITO'!M247+'FOGLIO DEPOSITO'!N247+'FOGLIO DEPOSITO'!O247)&lt;0,(IF('ANALISI DELLE SPINTE'!C110&lt;'ANALISI DELLE SPINTE'!$C$116,'ANALISI DELLE SPINTE'!$D$61*'ANALISI DELLE SPINTE'!C110,'ANALISI DELLE SPINTE'!$C$117)),('FOGLIO DEPOSITO'!M247+'FOGLIO DEPOSITO'!N247+'FOGLIO DEPOSITO'!O247)+'ANALISI DELLE SPINTE'!$C$117)+IF('ANALISI DELLE SPINTE'!AH93="",0,'ANALISI DELLE SPINTE'!AH93)/(DATI!E61*'FOGLIO DEPOSITO'!W233))</f>
        <v>27.132659913524215</v>
      </c>
    </row>
    <row r="248" spans="3:17" x14ac:dyDescent="0.25">
      <c r="C248" s="232" t="str">
        <f>IF('ANALISI DELLE SPINTE'!D52=0,"",'ANALISI DELLE SPINTE'!H94-'FOGLIO DEPOSITO'!D248)</f>
        <v/>
      </c>
      <c r="D248" s="245" t="str">
        <f>IF('ANALISI DELLE SPINTE'!D52=0,"",IF('ANALISI DELLE SPINTE'!F47='FOGLIO DEPOSITO'!H172,'ANALISI DELLE SPINTE'!E111,0))</f>
        <v/>
      </c>
      <c r="G248" s="229" t="str">
        <f>IF('ANALISI DELLE SPINTE'!$D$52=0,"",('ANALISI DELLE SPINTE'!F111*'ANALISI DELLE SPINTE'!I111-'ANALISI DELLE SPINTE'!G111+'ANALISI DELLE SPINTE'!E111)*'FOGLIO DEPOSITO'!$K$211*H236)</f>
        <v/>
      </c>
      <c r="H248" s="229" t="str">
        <f>IF('ANALISI DELLE SPINTE'!$D$52=0,"",'ANALISI DELLE SPINTE'!J111*'ANALISI DELLE SPINTE'!F111*'FOGLIO DEPOSITO'!$K$212)</f>
        <v/>
      </c>
      <c r="I248" s="234" t="str">
        <f>IF('ANALISI DELLE SPINTE'!$D$52=0,"",'ANALISI DELLE SPINTE'!K111*'ANALISI DELLE SPINTE'!F111*'FOGLIO DEPOSITO'!$K$213)</f>
        <v/>
      </c>
      <c r="J248" s="238" t="str">
        <f>IF('ANALISI DELLE SPINTE'!D52=0,"",'ANALISI DELLE SPINTE'!I111+'ANALISI DELLE SPINTE'!K111+'ANALISI DELLE SPINTE'!J111)</f>
        <v/>
      </c>
      <c r="K248" s="246" t="str">
        <f>IF('ANALISI DELLE SPINTE'!D52=0,"",IF(('FOGLIO DEPOSITO'!G248+'FOGLIO DEPOSITO'!H248+'FOGLIO DEPOSITO'!I248)&lt;0,(IF('ANALISI DELLE SPINTE'!C111&lt;'ANALISI DELLE SPINTE'!$C$116,'ANALISI DELLE SPINTE'!$D$61*'ANALISI DELLE SPINTE'!C111,'ANALISI DELLE SPINTE'!$C$117)),('FOGLIO DEPOSITO'!G248+'FOGLIO DEPOSITO'!H248+'FOGLIO DEPOSITO'!I248)+'ANALISI DELLE SPINTE'!$C$117)+IF('ANALISI DELLE SPINTE'!AH96="",0,'ANALISI DELLE SPINTE'!AH96)/(DATI!E61*'FOGLIO DEPOSITO'!W239))</f>
        <v/>
      </c>
      <c r="M248" s="229" t="e">
        <f t="shared" si="22"/>
        <v>#VALUE!</v>
      </c>
      <c r="N248" s="229" t="e">
        <f t="shared" si="23"/>
        <v>#VALUE!</v>
      </c>
      <c r="O248" s="229" t="e">
        <f t="shared" si="24"/>
        <v>#VALUE!</v>
      </c>
      <c r="P248" s="238" t="e">
        <f>'ANALISI DELLE SPINTE'!I111+'ANALISI DELLE SPINTE'!K111+'ANALISI DELLE SPINTE'!J111</f>
        <v>#VALUE!</v>
      </c>
      <c r="Q248" s="246" t="str">
        <f>IF('ANALISI DELLE SPINTE'!D52=0,"",IF(('FOGLIO DEPOSITO'!M248+'FOGLIO DEPOSITO'!N248+'FOGLIO DEPOSITO'!O248)&lt;0,(IF('ANALISI DELLE SPINTE'!C111&lt;'ANALISI DELLE SPINTE'!$C$116,'ANALISI DELLE SPINTE'!$D$61*'ANALISI DELLE SPINTE'!C111,'ANALISI DELLE SPINTE'!$C$117)),('FOGLIO DEPOSITO'!M248+'FOGLIO DEPOSITO'!N248+'FOGLIO DEPOSITO'!O248)+'ANALISI DELLE SPINTE'!$C$117)+IF('ANALISI DELLE SPINTE'!AH96="",0,'ANALISI DELLE SPINTE'!AH96)/(DATI!E61*'FOGLIO DEPOSITO'!W239))</f>
        <v/>
      </c>
    </row>
    <row r="249" spans="3:17" x14ac:dyDescent="0.25">
      <c r="C249" s="232" t="str">
        <f>IF('ANALISI DELLE SPINTE'!D52=0,"",'ANALISI DELLE SPINTE'!H95-'FOGLIO DEPOSITO'!D249)</f>
        <v/>
      </c>
      <c r="D249" s="245" t="str">
        <f>IF('ANALISI DELLE SPINTE'!D52=0,"",IF('ANALISI DELLE SPINTE'!F47='FOGLIO DEPOSITO'!H172,'ANALISI DELLE SPINTE'!E112,0))</f>
        <v/>
      </c>
      <c r="G249" s="229" t="str">
        <f>IF('ANALISI DELLE SPINTE'!$D$52=0,"",('ANALISI DELLE SPINTE'!F112*'ANALISI DELLE SPINTE'!I112-'ANALISI DELLE SPINTE'!G112+'ANALISI DELLE SPINTE'!E112)*'FOGLIO DEPOSITO'!$K$211*H236)</f>
        <v/>
      </c>
      <c r="H249" s="229" t="str">
        <f>IF('ANALISI DELLE SPINTE'!$D$52=0,"",'ANALISI DELLE SPINTE'!J112*'ANALISI DELLE SPINTE'!F112*'FOGLIO DEPOSITO'!$K$212)</f>
        <v/>
      </c>
      <c r="I249" s="234" t="str">
        <f>IF('ANALISI DELLE SPINTE'!$D$52=0,"",'ANALISI DELLE SPINTE'!K112*'ANALISI DELLE SPINTE'!F112*'FOGLIO DEPOSITO'!$K$213)</f>
        <v/>
      </c>
      <c r="J249" s="238" t="str">
        <f>IF('ANALISI DELLE SPINTE'!D52=0,"",'ANALISI DELLE SPINTE'!I112+'ANALISI DELLE SPINTE'!K112+'ANALISI DELLE SPINTE'!J112)</f>
        <v/>
      </c>
      <c r="K249" s="246" t="str">
        <f>IF('ANALISI DELLE SPINTE'!D52=0,"",IF(('FOGLIO DEPOSITO'!G249+'FOGLIO DEPOSITO'!H249+'FOGLIO DEPOSITO'!I249)&lt;0,(IF('ANALISI DELLE SPINTE'!C112&lt;'ANALISI DELLE SPINTE'!$C$116,'ANALISI DELLE SPINTE'!$D$61*'ANALISI DELLE SPINTE'!C112,'ANALISI DELLE SPINTE'!$C$117)),('FOGLIO DEPOSITO'!G249+'FOGLIO DEPOSITO'!H249+'FOGLIO DEPOSITO'!I249)+'ANALISI DELLE SPINTE'!$C$117)+IF('ANALISI DELLE SPINTE'!AH96="",0,'ANALISI DELLE SPINTE'!AH96)/(DATI!E61*'FOGLIO DEPOSITO'!W239))</f>
        <v/>
      </c>
      <c r="M249" s="229" t="e">
        <f t="shared" si="22"/>
        <v>#VALUE!</v>
      </c>
      <c r="N249" s="229" t="e">
        <f t="shared" si="23"/>
        <v>#VALUE!</v>
      </c>
      <c r="O249" s="229" t="e">
        <f t="shared" si="24"/>
        <v>#VALUE!</v>
      </c>
      <c r="P249" s="238" t="e">
        <f>'ANALISI DELLE SPINTE'!I112+'ANALISI DELLE SPINTE'!K112+'ANALISI DELLE SPINTE'!J112</f>
        <v>#VALUE!</v>
      </c>
      <c r="Q249" s="246" t="str">
        <f>IF('ANALISI DELLE SPINTE'!D52=0,"",IF(('FOGLIO DEPOSITO'!M249+'FOGLIO DEPOSITO'!N249+'FOGLIO DEPOSITO'!O249)&lt;0,(IF('ANALISI DELLE SPINTE'!C112&lt;'ANALISI DELLE SPINTE'!$C$116,'ANALISI DELLE SPINTE'!$D$61*'ANALISI DELLE SPINTE'!C112,'ANALISI DELLE SPINTE'!$C$117)),('FOGLIO DEPOSITO'!M249+'FOGLIO DEPOSITO'!N249+'FOGLIO DEPOSITO'!O249)+'ANALISI DELLE SPINTE'!$C$117)+IF('ANALISI DELLE SPINTE'!AH96="",0,'ANALISI DELLE SPINTE'!AH96)/(DATI!E61*'FOGLIO DEPOSITO'!W239))</f>
        <v/>
      </c>
    </row>
    <row r="250" spans="3:17" x14ac:dyDescent="0.25">
      <c r="C250" s="233" t="str">
        <f>IF('ANALISI DELLE SPINTE'!D52=0,"",'ANALISI DELLE SPINTE'!H96-'FOGLIO DEPOSITO'!D250)</f>
        <v/>
      </c>
      <c r="D250" s="230" t="str">
        <f>IF('ANALISI DELLE SPINTE'!D52=0,"",IF('ANALISI DELLE SPINTE'!F47='FOGLIO DEPOSITO'!H172,'ANALISI DELLE SPINTE'!E113,0))</f>
        <v/>
      </c>
      <c r="G250" s="233" t="str">
        <f>IF('ANALISI DELLE SPINTE'!$D$52=0,"",('ANALISI DELLE SPINTE'!F113*'ANALISI DELLE SPINTE'!I113-'ANALISI DELLE SPINTE'!G113+'ANALISI DELLE SPINTE'!E113)*'FOGLIO DEPOSITO'!$K$211*H236)</f>
        <v/>
      </c>
      <c r="H250" s="231" t="str">
        <f>IF('ANALISI DELLE SPINTE'!$D$52=0,"",'ANALISI DELLE SPINTE'!J113*'ANALISI DELLE SPINTE'!F113*'FOGLIO DEPOSITO'!$K$212)</f>
        <v/>
      </c>
      <c r="I250" s="235" t="str">
        <f>IF('ANALISI DELLE SPINTE'!$D$52=0,"",'ANALISI DELLE SPINTE'!K113*'ANALISI DELLE SPINTE'!F113*'FOGLIO DEPOSITO'!$K$213)</f>
        <v/>
      </c>
      <c r="J250" s="239" t="str">
        <f>IF('ANALISI DELLE SPINTE'!D52=0,"",'ANALISI DELLE SPINTE'!I113+'ANALISI DELLE SPINTE'!K113+'ANALISI DELLE SPINTE'!J113)</f>
        <v/>
      </c>
      <c r="K250" s="248" t="str">
        <f>IF('ANALISI DELLE SPINTE'!D52=0,"",IF(('FOGLIO DEPOSITO'!G250+'FOGLIO DEPOSITO'!H250+'FOGLIO DEPOSITO'!I250)&lt;0,(IF('ANALISI DELLE SPINTE'!C113&lt;'ANALISI DELLE SPINTE'!$C$116,'ANALISI DELLE SPINTE'!$D$61*'ANALISI DELLE SPINTE'!C113,'ANALISI DELLE SPINTE'!$C$117)),('FOGLIO DEPOSITO'!G250+'FOGLIO DEPOSITO'!H250+'FOGLIO DEPOSITO'!I250)+'ANALISI DELLE SPINTE'!$C$117)+IF('ANALISI DELLE SPINTE'!AH96="",0,'ANALISI DELLE SPINTE'!AH96)/(DATI!E61*'FOGLIO DEPOSITO'!W239))</f>
        <v/>
      </c>
      <c r="M250" s="229" t="e">
        <f t="shared" si="22"/>
        <v>#VALUE!</v>
      </c>
      <c r="N250" s="229" t="e">
        <f t="shared" si="23"/>
        <v>#VALUE!</v>
      </c>
      <c r="O250" s="229" t="e">
        <f t="shared" si="24"/>
        <v>#VALUE!</v>
      </c>
      <c r="P250" s="238" t="e">
        <f>'ANALISI DELLE SPINTE'!I113+'ANALISI DELLE SPINTE'!K113+'ANALISI DELLE SPINTE'!J113</f>
        <v>#VALUE!</v>
      </c>
      <c r="Q250" s="248" t="str">
        <f>IF('ANALISI DELLE SPINTE'!D52=0,"",IF(('FOGLIO DEPOSITO'!M250+'FOGLIO DEPOSITO'!N250+'FOGLIO DEPOSITO'!O250)&lt;0,(IF('ANALISI DELLE SPINTE'!C113&lt;'ANALISI DELLE SPINTE'!$C$116,'ANALISI DELLE SPINTE'!$D$61*'ANALISI DELLE SPINTE'!C113,'ANALISI DELLE SPINTE'!$C$117)),('FOGLIO DEPOSITO'!M250+'FOGLIO DEPOSITO'!N250+'FOGLIO DEPOSITO'!O250)+'ANALISI DELLE SPINTE'!$C$117)+IF('ANALISI DELLE SPINTE'!AH96="",0,'ANALISI DELLE SPINTE'!AH96)/(DATI!E61*'FOGLIO DEPOSITO'!W239))</f>
        <v/>
      </c>
    </row>
    <row r="253" spans="3:17" x14ac:dyDescent="0.25">
      <c r="C253" s="428" t="s">
        <v>1017</v>
      </c>
      <c r="G253" s="11" t="str">
        <f>'FOGLIO DEPOSITO'!N183</f>
        <v>Spinta a riposo</v>
      </c>
      <c r="H253" s="429"/>
      <c r="I253" s="300">
        <f>'FOGLIO DEPOSITO'!O183</f>
        <v>0.42642356364895395</v>
      </c>
      <c r="J253" s="300">
        <f>'FOGLIO DEPOSITO'!P183</f>
        <v>0.4700807357667951</v>
      </c>
      <c r="K253" s="300">
        <f>'FOGLIO DEPOSITO'!Q183</f>
        <v>0.42642356364895395</v>
      </c>
    </row>
    <row r="254" spans="3:17" x14ac:dyDescent="0.25">
      <c r="G254" s="11" t="str">
        <f>'FOGLIO DEPOSITO'!N184</f>
        <v>Wood</v>
      </c>
      <c r="H254" s="429"/>
      <c r="I254" s="300">
        <f>'FOGLIO DEPOSITO'!O184</f>
        <v>0.42642356364895395</v>
      </c>
      <c r="J254" s="300">
        <f>'FOGLIO DEPOSITO'!P184</f>
        <v>0.4700807357667951</v>
      </c>
      <c r="K254" s="300">
        <f>'FOGLIO DEPOSITO'!Q184</f>
        <v>0.42642356364895395</v>
      </c>
    </row>
    <row r="255" spans="3:17" ht="18.75" x14ac:dyDescent="0.25">
      <c r="D255" s="179" t="s">
        <v>495</v>
      </c>
    </row>
    <row r="256" spans="3:17" x14ac:dyDescent="0.25">
      <c r="D256" s="609">
        <f>'ANALISI DELLE SPINTE'!I105+'ANALISI DELLE SPINTE'!E105</f>
        <v>0</v>
      </c>
    </row>
    <row r="257" spans="4:4" x14ac:dyDescent="0.25">
      <c r="D257" s="610">
        <f>'ANALISI DELLE SPINTE'!I106+'ANALISI DELLE SPINTE'!E106</f>
        <v>59.562999999999995</v>
      </c>
    </row>
    <row r="258" spans="4:4" x14ac:dyDescent="0.25">
      <c r="D258" s="608">
        <f>'ANALISI DELLE SPINTE'!I107+'ANALISI DELLE SPINTE'!E107</f>
        <v>59.562999999999995</v>
      </c>
    </row>
    <row r="259" spans="4:4" x14ac:dyDescent="0.25">
      <c r="D259" s="610">
        <f>IF('ANALISI DELLE SPINTE'!D45=0,"",'ANALISI DELLE SPINTE'!I108+'ANALISI DELLE SPINTE'!E108)</f>
        <v>59.562999999999995</v>
      </c>
    </row>
    <row r="260" spans="4:4" x14ac:dyDescent="0.25">
      <c r="D260" s="610">
        <f>IF('ANALISI DELLE SPINTE'!D45=0,"",'ANALISI DELLE SPINTE'!I109+'ANALISI DELLE SPINTE'!E109)</f>
        <v>69.579499999999996</v>
      </c>
    </row>
    <row r="261" spans="4:4" x14ac:dyDescent="0.25">
      <c r="D261" s="608">
        <f>IF('ANALISI DELLE SPINTE'!D45=0,"",'ANALISI DELLE SPINTE'!I110+'ANALISI DELLE SPINTE'!E110)</f>
        <v>69.579499999999996</v>
      </c>
    </row>
    <row r="262" spans="4:4" x14ac:dyDescent="0.25">
      <c r="D262" s="610" t="str">
        <f>IF('ANALISI DELLE SPINTE'!D52=0,"",'ANALISI DELLE SPINTE'!I111+'ANALISI DELLE SPINTE'!E111)</f>
        <v/>
      </c>
    </row>
    <row r="263" spans="4:4" x14ac:dyDescent="0.25">
      <c r="D263" s="610" t="str">
        <f>IF('ANALISI DELLE SPINTE'!D52=0,"",'ANALISI DELLE SPINTE'!I112+'ANALISI DELLE SPINTE'!E112)</f>
        <v/>
      </c>
    </row>
    <row r="264" spans="4:4" x14ac:dyDescent="0.25">
      <c r="D264" s="608" t="str">
        <f>IF('ANALISI DELLE SPINTE'!D52=0,"",'ANALISI DELLE SPINTE'!I113+'ANALISI DELLE SPINTE'!E113)</f>
        <v/>
      </c>
    </row>
    <row r="273" spans="2:9" x14ac:dyDescent="0.25">
      <c r="B273" s="428"/>
      <c r="C273" s="973" t="s">
        <v>1049</v>
      </c>
      <c r="D273" s="973"/>
      <c r="E273" s="973"/>
      <c r="F273" s="645" t="s">
        <v>1048</v>
      </c>
      <c r="G273" s="645" t="s">
        <v>1047</v>
      </c>
      <c r="H273" s="645" t="s">
        <v>1046</v>
      </c>
      <c r="I273" s="167"/>
    </row>
    <row r="274" spans="2:9" x14ac:dyDescent="0.25">
      <c r="B274" s="428"/>
      <c r="C274" s="645" t="s">
        <v>1045</v>
      </c>
      <c r="D274" s="645" t="s">
        <v>1044</v>
      </c>
      <c r="E274" s="645" t="s">
        <v>1043</v>
      </c>
      <c r="F274" s="670" t="s">
        <v>1042</v>
      </c>
      <c r="G274" s="634"/>
      <c r="H274" s="546"/>
      <c r="I274" s="428"/>
    </row>
    <row r="275" spans="2:9" x14ac:dyDescent="0.25">
      <c r="B275" s="634" t="s">
        <v>1041</v>
      </c>
      <c r="C275" s="634">
        <v>15300</v>
      </c>
      <c r="D275" s="634">
        <v>2040</v>
      </c>
      <c r="E275" s="634">
        <f t="shared" ref="E275:E286" si="25">AVERAGE(C275:D275)</f>
        <v>8670</v>
      </c>
      <c r="F275" s="647">
        <v>0.5</v>
      </c>
      <c r="G275" s="634" t="s">
        <v>19</v>
      </c>
      <c r="H275" s="546">
        <f t="shared" ref="H275:H286" si="26">E275/((1-2*F275^2)/((1-F275)))</f>
        <v>8670</v>
      </c>
      <c r="I275" s="669">
        <v>0</v>
      </c>
    </row>
    <row r="276" spans="2:9" x14ac:dyDescent="0.25">
      <c r="B276" s="634" t="s">
        <v>1040</v>
      </c>
      <c r="C276" s="634">
        <v>25500</v>
      </c>
      <c r="D276" s="634">
        <v>5100</v>
      </c>
      <c r="E276" s="634">
        <f t="shared" si="25"/>
        <v>15300</v>
      </c>
      <c r="F276" s="647">
        <v>0.4</v>
      </c>
      <c r="G276" s="634" t="s">
        <v>19</v>
      </c>
      <c r="H276" s="546">
        <f t="shared" si="26"/>
        <v>13500</v>
      </c>
      <c r="I276" s="669">
        <v>0</v>
      </c>
    </row>
    <row r="277" spans="2:9" x14ac:dyDescent="0.25">
      <c r="B277" s="634" t="s">
        <v>1039</v>
      </c>
      <c r="C277" s="634">
        <v>51000</v>
      </c>
      <c r="D277" s="634">
        <v>15300</v>
      </c>
      <c r="E277" s="634">
        <f t="shared" si="25"/>
        <v>33150</v>
      </c>
      <c r="F277" s="647">
        <v>0.3</v>
      </c>
      <c r="G277" s="634" t="s">
        <v>19</v>
      </c>
      <c r="H277" s="546">
        <f t="shared" si="26"/>
        <v>28298.780487804877</v>
      </c>
      <c r="I277" s="669">
        <v>0</v>
      </c>
    </row>
    <row r="278" spans="2:9" x14ac:dyDescent="0.25">
      <c r="B278" s="634" t="s">
        <v>1038</v>
      </c>
      <c r="C278" s="634">
        <v>102000</v>
      </c>
      <c r="D278" s="634">
        <v>51000</v>
      </c>
      <c r="E278" s="634">
        <f t="shared" si="25"/>
        <v>76500</v>
      </c>
      <c r="F278" s="647">
        <v>0.1</v>
      </c>
      <c r="G278" s="634" t="s">
        <v>19</v>
      </c>
      <c r="H278" s="546">
        <f t="shared" si="26"/>
        <v>70255.102040816331</v>
      </c>
      <c r="I278" s="138">
        <v>0</v>
      </c>
    </row>
    <row r="279" spans="2:9" x14ac:dyDescent="0.25">
      <c r="B279" s="634" t="s">
        <v>1037</v>
      </c>
      <c r="C279" s="634">
        <v>255000</v>
      </c>
      <c r="D279" s="634">
        <v>25500</v>
      </c>
      <c r="E279" s="634">
        <f t="shared" si="25"/>
        <v>140250</v>
      </c>
      <c r="F279" s="647">
        <v>0.25</v>
      </c>
      <c r="G279" s="634" t="s">
        <v>19</v>
      </c>
      <c r="H279" s="546">
        <f t="shared" si="26"/>
        <v>120214.28571428571</v>
      </c>
      <c r="I279" s="138">
        <v>0</v>
      </c>
    </row>
    <row r="280" spans="2:9" x14ac:dyDescent="0.25">
      <c r="B280" s="634" t="s">
        <v>1036</v>
      </c>
      <c r="C280" s="634">
        <v>20400</v>
      </c>
      <c r="D280" s="634">
        <v>2040</v>
      </c>
      <c r="E280" s="634">
        <f t="shared" si="25"/>
        <v>11220</v>
      </c>
      <c r="F280" s="647">
        <v>0.35</v>
      </c>
      <c r="G280" s="634" t="s">
        <v>19</v>
      </c>
      <c r="H280" s="546">
        <f t="shared" si="26"/>
        <v>9659.6026490066233</v>
      </c>
      <c r="I280" s="138">
        <v>0</v>
      </c>
    </row>
    <row r="281" spans="2:9" x14ac:dyDescent="0.25">
      <c r="B281" s="408" t="s">
        <v>1035</v>
      </c>
      <c r="C281" s="634">
        <v>20400</v>
      </c>
      <c r="D281" s="634">
        <v>5100</v>
      </c>
      <c r="E281" s="634">
        <f t="shared" si="25"/>
        <v>12750</v>
      </c>
      <c r="F281" s="647">
        <v>0.3</v>
      </c>
      <c r="G281" s="634" t="str">
        <f t="shared" ref="G281:G286" si="27">IF(E281&lt;30000,"0-0,3",IF(E281&lt;50000,"0,3-0,7","0,7-1"))</f>
        <v>0-0,3</v>
      </c>
      <c r="H281" s="546">
        <f t="shared" si="26"/>
        <v>10884.146341463415</v>
      </c>
      <c r="I281" s="138">
        <v>1</v>
      </c>
    </row>
    <row r="282" spans="2:9" x14ac:dyDescent="0.25">
      <c r="B282" s="408" t="s">
        <v>1034</v>
      </c>
      <c r="C282" s="634">
        <v>25500</v>
      </c>
      <c r="D282" s="634">
        <v>10200</v>
      </c>
      <c r="E282" s="634">
        <f t="shared" si="25"/>
        <v>17850</v>
      </c>
      <c r="F282" s="647">
        <v>0.35</v>
      </c>
      <c r="G282" s="634" t="str">
        <f t="shared" si="27"/>
        <v>0-0,3</v>
      </c>
      <c r="H282" s="546">
        <f t="shared" si="26"/>
        <v>15367.549668874173</v>
      </c>
      <c r="I282" s="138">
        <v>1</v>
      </c>
    </row>
    <row r="283" spans="2:9" x14ac:dyDescent="0.25">
      <c r="B283" s="408" t="s">
        <v>1033</v>
      </c>
      <c r="C283" s="634">
        <v>81600</v>
      </c>
      <c r="D283" s="634">
        <v>51000</v>
      </c>
      <c r="E283" s="634">
        <f t="shared" si="25"/>
        <v>66300</v>
      </c>
      <c r="F283" s="647">
        <v>0.2</v>
      </c>
      <c r="G283" s="634" t="str">
        <f t="shared" si="27"/>
        <v>0,7-1</v>
      </c>
      <c r="H283" s="546">
        <f t="shared" si="26"/>
        <v>57652.17391304348</v>
      </c>
      <c r="I283" s="138">
        <v>1</v>
      </c>
    </row>
    <row r="284" spans="2:9" x14ac:dyDescent="0.25">
      <c r="B284" s="408" t="s">
        <v>1032</v>
      </c>
      <c r="C284" s="634">
        <v>153000</v>
      </c>
      <c r="D284" s="634">
        <v>51000</v>
      </c>
      <c r="E284" s="634">
        <f t="shared" si="25"/>
        <v>102000</v>
      </c>
      <c r="F284" s="647">
        <v>0.4</v>
      </c>
      <c r="G284" s="634" t="str">
        <f t="shared" si="27"/>
        <v>0,7-1</v>
      </c>
      <c r="H284" s="546">
        <f t="shared" si="26"/>
        <v>90000</v>
      </c>
      <c r="I284" s="138">
        <v>1</v>
      </c>
    </row>
    <row r="285" spans="2:9" x14ac:dyDescent="0.25">
      <c r="B285" s="408" t="s">
        <v>1031</v>
      </c>
      <c r="C285" s="634">
        <v>204000</v>
      </c>
      <c r="D285" s="634">
        <v>10200</v>
      </c>
      <c r="E285" s="634">
        <f t="shared" si="25"/>
        <v>107100</v>
      </c>
      <c r="F285" s="647">
        <v>0.3</v>
      </c>
      <c r="G285" s="634" t="str">
        <f t="shared" si="27"/>
        <v>0,7-1</v>
      </c>
      <c r="H285" s="546">
        <f t="shared" si="26"/>
        <v>91426.829268292684</v>
      </c>
      <c r="I285" s="138">
        <v>1</v>
      </c>
    </row>
    <row r="286" spans="2:9" x14ac:dyDescent="0.25">
      <c r="B286" s="408" t="s">
        <v>1030</v>
      </c>
      <c r="C286" s="634">
        <v>61200</v>
      </c>
      <c r="D286" s="634">
        <v>15300</v>
      </c>
      <c r="E286" s="634">
        <f t="shared" si="25"/>
        <v>38250</v>
      </c>
      <c r="F286" s="647">
        <v>0.2</v>
      </c>
      <c r="G286" s="634" t="str">
        <f t="shared" si="27"/>
        <v>0,3-0,7</v>
      </c>
      <c r="H286" s="546">
        <f t="shared" si="26"/>
        <v>33260.869565217392</v>
      </c>
      <c r="I286" s="138">
        <v>1</v>
      </c>
    </row>
  </sheetData>
  <protectedRanges>
    <protectedRange sqref="C10" name="Intervallo4"/>
    <protectedRange sqref="C10" name="Intervallo1"/>
    <protectedRange sqref="I70" name="Intervallo1_1"/>
    <protectedRange sqref="G26" name="Intervallo1_2"/>
    <protectedRange sqref="D40:F44" name="Intervallo1_6"/>
    <protectedRange sqref="D58:D60" name="Intervallo1_8"/>
    <protectedRange sqref="D83:D85" name="Intervallo1_5"/>
    <protectedRange sqref="I100" name="Intervallo1_3"/>
    <protectedRange sqref="C226" name="Intervallo1_9"/>
    <protectedRange sqref="C226" name="Intervallo1_5_1"/>
    <protectedRange sqref="W234:W238 W223:W226 W228:W232" name="Intervallo1_4"/>
    <protectedRange sqref="W234:W238 W223:W226 W228:W232" name="Intervallo1_5_2"/>
  </protectedRanges>
  <customSheetViews>
    <customSheetView guid="{5E8F20A8-8220-4169-B947-2AB764A2AA7B}" state="hidden" topLeftCell="A221">
      <selection activeCell="A225" sqref="A225:XFD225"/>
      <pageMargins left="0.7" right="0.7" top="0.75" bottom="0.75" header="0.3" footer="0.3"/>
      <pageSetup paperSize="9" orientation="portrait" r:id="rId1"/>
    </customSheetView>
    <customSheetView guid="{9F540994-A66B-4083-BD64-035E71878618}" state="hidden" topLeftCell="A161">
      <selection activeCell="B185" sqref="B185"/>
      <pageMargins left="0.7" right="0.7" top="0.75" bottom="0.75" header="0.3" footer="0.3"/>
      <pageSetup paperSize="9" orientation="portrait" r:id="rId2"/>
    </customSheetView>
  </customSheetViews>
  <mergeCells count="44">
    <mergeCell ref="S175:T175"/>
    <mergeCell ref="M164:P164"/>
    <mergeCell ref="Q164:T164"/>
    <mergeCell ref="H183:I183"/>
    <mergeCell ref="H178:I178"/>
    <mergeCell ref="H172:J172"/>
    <mergeCell ref="H165:J165"/>
    <mergeCell ref="H166:J166"/>
    <mergeCell ref="H168:J168"/>
    <mergeCell ref="H169:J169"/>
    <mergeCell ref="H171:J171"/>
    <mergeCell ref="F64:G64"/>
    <mergeCell ref="F65:G65"/>
    <mergeCell ref="D65:E65"/>
    <mergeCell ref="D64:E64"/>
    <mergeCell ref="C132:D132"/>
    <mergeCell ref="C145:D145"/>
    <mergeCell ref="AM160:AO160"/>
    <mergeCell ref="AM173:AO173"/>
    <mergeCell ref="V162:AB162"/>
    <mergeCell ref="V161:AB161"/>
    <mergeCell ref="C157:C158"/>
    <mergeCell ref="B151:C151"/>
    <mergeCell ref="D155:E155"/>
    <mergeCell ref="F152:F153"/>
    <mergeCell ref="M162:T162"/>
    <mergeCell ref="D154:E154"/>
    <mergeCell ref="V145:AB145"/>
    <mergeCell ref="V146:AB146"/>
    <mergeCell ref="G138:H139"/>
    <mergeCell ref="O175:P175"/>
    <mergeCell ref="H188:I188"/>
    <mergeCell ref="G223:I223"/>
    <mergeCell ref="G240:I240"/>
    <mergeCell ref="J223:K223"/>
    <mergeCell ref="J240:K240"/>
    <mergeCell ref="N186:O186"/>
    <mergeCell ref="M223:O223"/>
    <mergeCell ref="C273:E273"/>
    <mergeCell ref="Y186:Z186"/>
    <mergeCell ref="P223:Q223"/>
    <mergeCell ref="M240:O240"/>
    <mergeCell ref="P240:Q240"/>
    <mergeCell ref="M221:Q221"/>
  </mergeCells>
  <dataValidations count="1">
    <dataValidation type="list" allowBlank="1" showInputMessage="1" showErrorMessage="1" sqref="B222">
      <formula1>SISM</formula1>
    </dataValidation>
  </dataValidations>
  <pageMargins left="0.7" right="0.7" top="0.75" bottom="0.75" header="0.3" footer="0.3"/>
  <pageSetup paperSize="9" orientation="portrait" r:id="rId3"/>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68"/>
  <sheetViews>
    <sheetView topLeftCell="V80" zoomScale="80" zoomScaleNormal="80" workbookViewId="0">
      <selection activeCell="AA88" sqref="AA88"/>
    </sheetView>
  </sheetViews>
  <sheetFormatPr defaultRowHeight="15" x14ac:dyDescent="0.25"/>
  <cols>
    <col min="2" max="3" width="13.140625" customWidth="1"/>
    <col min="4" max="7" width="9.5703125" customWidth="1"/>
    <col min="8" max="8" width="11" customWidth="1"/>
    <col min="9" max="9" width="11.7109375" customWidth="1"/>
    <col min="10" max="10" width="11.28515625" customWidth="1"/>
    <col min="11" max="11" width="9.5703125" customWidth="1"/>
    <col min="12" max="12" width="10.5703125" customWidth="1"/>
    <col min="13" max="13" width="11.28515625" bestFit="1" customWidth="1"/>
    <col min="15" max="15" width="10.28515625" customWidth="1"/>
    <col min="16" max="22" width="10.28515625" style="428" customWidth="1"/>
    <col min="23" max="23" width="17" customWidth="1"/>
    <col min="24" max="24" width="11" customWidth="1"/>
    <col min="25" max="25" width="11.140625" customWidth="1"/>
    <col min="26" max="26" width="10" customWidth="1"/>
    <col min="27" max="27" width="10.5703125" bestFit="1" customWidth="1"/>
    <col min="28" max="28" width="10.5703125" customWidth="1"/>
    <col min="37" max="38" width="9.140625" style="428"/>
    <col min="41" max="41" width="9.85546875" customWidth="1"/>
  </cols>
  <sheetData>
    <row r="1" spans="1:26" ht="15" customHeight="1" x14ac:dyDescent="0.25">
      <c r="P1" s="1027" t="s">
        <v>22</v>
      </c>
    </row>
    <row r="2" spans="1:26" ht="15" customHeight="1" x14ac:dyDescent="0.25">
      <c r="B2" s="926" t="s">
        <v>0</v>
      </c>
      <c r="C2" s="927"/>
      <c r="D2" s="928"/>
      <c r="F2" s="137"/>
      <c r="G2" s="137"/>
      <c r="H2" s="137"/>
      <c r="I2" s="137"/>
      <c r="J2" s="387"/>
      <c r="K2" s="33"/>
      <c r="L2" s="137"/>
      <c r="M2" s="137"/>
      <c r="N2" s="137"/>
      <c r="O2" s="33"/>
      <c r="P2" s="1028"/>
      <c r="Q2" s="33"/>
      <c r="R2" s="33"/>
      <c r="S2" s="33"/>
      <c r="T2" s="33"/>
      <c r="U2" s="33"/>
      <c r="V2" s="33"/>
      <c r="W2" s="136"/>
      <c r="X2" s="136"/>
      <c r="Y2" s="33"/>
      <c r="Z2" s="33"/>
    </row>
    <row r="3" spans="1:26" s="428" customFormat="1" ht="15" customHeight="1" x14ac:dyDescent="0.25">
      <c r="B3" s="500"/>
      <c r="C3" s="500"/>
      <c r="D3" s="500"/>
      <c r="F3" s="137"/>
      <c r="G3" s="137"/>
      <c r="H3" s="137"/>
      <c r="I3" s="137"/>
      <c r="J3" s="500"/>
      <c r="K3" s="1025" t="s">
        <v>901</v>
      </c>
      <c r="L3" s="1026" t="s">
        <v>902</v>
      </c>
      <c r="M3" s="137"/>
      <c r="N3" s="137"/>
      <c r="O3" s="33"/>
      <c r="P3" s="1029"/>
      <c r="R3" s="33"/>
      <c r="S3" s="33"/>
      <c r="T3" s="33"/>
      <c r="U3" s="33"/>
      <c r="V3" s="33"/>
      <c r="W3" s="136"/>
      <c r="X3" s="136"/>
      <c r="Y3" s="33"/>
      <c r="Z3" s="33"/>
    </row>
    <row r="4" spans="1:26" ht="15" customHeight="1" x14ac:dyDescent="0.25">
      <c r="B4" s="499" t="s">
        <v>844</v>
      </c>
      <c r="D4" s="32">
        <f>DATI!E60</f>
        <v>2.85</v>
      </c>
      <c r="F4" s="33"/>
      <c r="G4" s="33"/>
      <c r="H4" s="33"/>
      <c r="I4" s="33"/>
      <c r="J4" s="33"/>
      <c r="K4" s="1025"/>
      <c r="L4" s="1026"/>
      <c r="M4" s="33"/>
      <c r="N4" s="33"/>
      <c r="O4" s="33"/>
      <c r="P4" s="532">
        <v>0</v>
      </c>
      <c r="Q4" s="249"/>
      <c r="R4" s="33"/>
      <c r="S4" s="33"/>
      <c r="T4" s="33"/>
      <c r="U4" s="33"/>
      <c r="V4" s="33"/>
      <c r="W4" s="48"/>
      <c r="X4" s="47"/>
      <c r="Y4" s="33"/>
      <c r="Z4" s="33"/>
    </row>
    <row r="5" spans="1:26" x14ac:dyDescent="0.25">
      <c r="B5" s="391" t="s">
        <v>1</v>
      </c>
      <c r="D5" s="47">
        <f>DATI!E60</f>
        <v>2.85</v>
      </c>
      <c r="E5" s="32" t="s">
        <v>2</v>
      </c>
      <c r="F5" s="33"/>
      <c r="G5" s="33"/>
      <c r="H5" s="47"/>
      <c r="I5" s="33"/>
      <c r="J5" s="33"/>
      <c r="K5" s="1025"/>
      <c r="L5" s="1026"/>
      <c r="M5" s="47"/>
      <c r="N5" s="33"/>
      <c r="O5" s="33"/>
      <c r="P5" s="532">
        <f>'ANALISI DELLE SPINTE'!C89+'SOLLECITAZ NASCOSTO'!W23</f>
        <v>2.8363333333333332</v>
      </c>
      <c r="Q5" s="249"/>
      <c r="R5" s="493" t="s">
        <v>841</v>
      </c>
      <c r="S5"/>
      <c r="T5" s="33"/>
      <c r="U5" s="33"/>
      <c r="V5" s="33"/>
      <c r="W5" s="48"/>
      <c r="X5" s="46"/>
      <c r="Y5" s="33"/>
      <c r="Z5" s="33"/>
    </row>
    <row r="6" spans="1:26" ht="15.75" thickBot="1" x14ac:dyDescent="0.3">
      <c r="B6" s="477" t="s">
        <v>846</v>
      </c>
      <c r="D6" s="47">
        <f>'ANALISI DELLE SPINTE'!D60-DATI!E74</f>
        <v>2.85</v>
      </c>
      <c r="F6" s="33"/>
      <c r="G6" s="33"/>
      <c r="H6" s="47"/>
      <c r="I6" s="33"/>
      <c r="J6" s="33"/>
      <c r="K6" s="33">
        <f>IF('ANALISI DELLE SPINTE'!$AB$99&gt;='ANALISI DELLE SPINTE'!$AB$116,'ANALISI DELLE SPINTE'!$AB$99,'ANALISI DELLE SPINTE'!$AB$116)/D7-N33</f>
        <v>12.179695789446182</v>
      </c>
      <c r="L6" s="46">
        <f>N33</f>
        <v>4.1440822215876558</v>
      </c>
      <c r="M6" s="47"/>
      <c r="N6" s="33"/>
      <c r="O6" s="33"/>
      <c r="P6" s="532">
        <f>'ANALISI DELLE SPINTE'!C90+'SOLLECITAZ NASCOSTO'!W24</f>
        <v>2.8363333333333332</v>
      </c>
      <c r="Q6" s="249"/>
      <c r="R6" s="194">
        <f>IF('ANALISI DELLE SPINTE'!$AB$99&gt;='ANALISI DELLE SPINTE'!$AB$116,'ANALISI DELLE SPINTE'!AB99-'SOLLECITAZ NASCOSTO'!H11+'SOLLECITAZ NASCOSTO'!I9,'ANALISI DELLE SPINTE'!AB116-'SOLLECITAZ NASCOSTO'!H11+'SOLLECITAZ NASCOSTO'!I9)</f>
        <v>1.7772771482789551E-2</v>
      </c>
      <c r="S6" s="494">
        <f>R6/('SOLLECITAZ NASCOSTO'!H11+'SOLLECITAZ NASCOSTO'!I9)</f>
        <v>3.2511038353779835E-4</v>
      </c>
      <c r="T6" s="33"/>
      <c r="U6" s="33"/>
      <c r="V6" s="33"/>
      <c r="W6" s="48"/>
      <c r="X6" s="46"/>
      <c r="Y6" s="48"/>
      <c r="Z6" s="46"/>
    </row>
    <row r="7" spans="1:26" ht="16.5" thickTop="1" thickBot="1" x14ac:dyDescent="0.3">
      <c r="A7" s="1011"/>
      <c r="B7" s="507" t="s">
        <v>847</v>
      </c>
      <c r="D7" s="32">
        <f>'ANALISI DELLE SPINTE'!D60</f>
        <v>3.35</v>
      </c>
      <c r="F7" s="33"/>
      <c r="G7" s="504" t="s">
        <v>845</v>
      </c>
      <c r="H7" s="505">
        <v>0</v>
      </c>
      <c r="I7" s="506">
        <f>VLOOKUP(H7,AQ23:AR43,2,FALSE)</f>
        <v>0</v>
      </c>
      <c r="J7" s="33"/>
      <c r="K7" s="33"/>
      <c r="L7" s="33"/>
      <c r="M7" s="33"/>
      <c r="N7" s="33"/>
      <c r="O7" s="33"/>
      <c r="P7" s="532">
        <f>IF('Progetto del paramento slu'!C107="","",'ANALISI DELLE SPINTE'!C91+'SOLLECITAZ NASCOSTO'!Q3)</f>
        <v>2.8363333333333332</v>
      </c>
      <c r="Q7" s="249"/>
      <c r="R7"/>
      <c r="S7"/>
      <c r="T7" s="33"/>
      <c r="U7" s="33"/>
      <c r="V7" s="33"/>
      <c r="W7" s="48"/>
      <c r="X7" s="46"/>
      <c r="Y7" s="48"/>
      <c r="Z7" s="46"/>
    </row>
    <row r="8" spans="1:26" ht="16.5" thickTop="1" thickBot="1" x14ac:dyDescent="0.3">
      <c r="A8" s="1011"/>
      <c r="B8" s="391" t="s">
        <v>3</v>
      </c>
      <c r="D8" s="47">
        <f>DATI!E61</f>
        <v>1</v>
      </c>
      <c r="E8" s="32" t="s">
        <v>2</v>
      </c>
      <c r="F8" s="33"/>
      <c r="G8" s="133"/>
      <c r="H8" s="488"/>
      <c r="I8" s="138"/>
      <c r="J8" s="33"/>
      <c r="K8" s="47" t="s">
        <v>899</v>
      </c>
      <c r="L8" s="47" t="s">
        <v>900</v>
      </c>
      <c r="M8" s="47" t="s">
        <v>703</v>
      </c>
      <c r="N8" s="33"/>
      <c r="O8" s="33"/>
      <c r="P8" s="532">
        <f>IF('Progetto del paramento slu'!C108="","",'ANALISI DELLE SPINTE'!C92+'SOLLECITAZ NASCOSTO'!Q4)</f>
        <v>3.35</v>
      </c>
      <c r="Q8" s="249"/>
      <c r="R8" s="493" t="str">
        <f>IF('SOLLECITAZ NASCOSTO'!I9=0,"ΔM dovuto alle approssimazioni","")</f>
        <v>ΔM dovuto alle approssimazioni</v>
      </c>
      <c r="T8" s="33"/>
      <c r="U8" s="33"/>
      <c r="V8" s="33"/>
      <c r="W8" s="135"/>
      <c r="X8" s="46"/>
      <c r="Y8" s="33"/>
      <c r="Z8" s="33"/>
    </row>
    <row r="9" spans="1:26" ht="16.5" thickTop="1" thickBot="1" x14ac:dyDescent="0.3">
      <c r="A9" s="33"/>
      <c r="B9" s="391" t="s">
        <v>5</v>
      </c>
      <c r="D9" s="47">
        <f>DATI!E62</f>
        <v>0.3</v>
      </c>
      <c r="E9" s="32" t="s">
        <v>2</v>
      </c>
      <c r="F9" s="33"/>
      <c r="G9" s="492" t="s">
        <v>838</v>
      </c>
      <c r="H9" s="487">
        <v>0</v>
      </c>
      <c r="I9" s="488">
        <f>IF('ANALISI DELLE SPINTE'!C76="Spinta a riposo",-'SOLLECITAZ NASCOSTO'!M9,IF('ANALISI DELLE SPINTE'!C76="Wood",-'SOLLECITAZ NASCOSTO'!M9,VLOOKUP(H9,'SOLLECITAZ NASCOSTO'!AN23:AO43,2,FALSE)))</f>
        <v>0</v>
      </c>
      <c r="J9" s="33"/>
      <c r="K9">
        <f>K6*D7/10</f>
        <v>4.0801980894644707</v>
      </c>
      <c r="L9" s="33">
        <f>L6*D7*3/8</f>
        <v>5.2060032908694929</v>
      </c>
      <c r="M9" s="33">
        <f>K9+L9</f>
        <v>9.2862013803339636</v>
      </c>
      <c r="N9" s="33"/>
      <c r="O9" s="33"/>
      <c r="P9" s="532">
        <f>IF('Progetto del paramento slu'!C109="","",'ANALISI DELLE SPINTE'!C93+'SOLLECITAZ NASCOSTO'!Q5)</f>
        <v>3.35</v>
      </c>
      <c r="Q9" s="581"/>
      <c r="R9" s="366">
        <f>IF('SOLLECITAZ NASCOSTO'!I9=0,IF('ANALISI DELLE SPINTE'!$AB$100&gt;='ANALISI DELLE SPINTE'!$AB$117,'ANALISI DELLE SPINTE'!AB100+'SOLLECITAZ NASCOSTO'!H12+'SOLLECITAZ NASCOSTO'!I7,'ANALISI DELLE SPINTE'!AB117+'SOLLECITAZ NASCOSTO'!H12+'SOLLECITAZ NASCOSTO'!I7),"")</f>
        <v>8.7995175562269878E-3</v>
      </c>
      <c r="S9" s="494">
        <f>IF('SOLLECITAZ NASCOSTO'!I9=0,R9/(-'SOLLECITAZ NASCOSTO'!H12),"")</f>
        <v>1.3013702145229646E-4</v>
      </c>
      <c r="T9" s="33"/>
      <c r="U9" s="33"/>
      <c r="V9" s="33"/>
      <c r="W9" s="135"/>
      <c r="X9" s="46"/>
      <c r="Y9" s="33"/>
      <c r="Z9" s="33"/>
    </row>
    <row r="10" spans="1:26" ht="15.75" thickTop="1" x14ac:dyDescent="0.25">
      <c r="B10" s="391" t="s">
        <v>4</v>
      </c>
      <c r="D10" s="42">
        <f>C448</f>
        <v>2.85</v>
      </c>
      <c r="E10" s="32" t="s">
        <v>2</v>
      </c>
      <c r="F10" s="33"/>
      <c r="G10" s="28"/>
      <c r="H10" s="47"/>
      <c r="I10" s="32"/>
      <c r="J10" s="33"/>
      <c r="K10" s="33"/>
      <c r="L10" s="33"/>
      <c r="M10" s="33"/>
      <c r="N10" s="33"/>
      <c r="O10" s="33"/>
      <c r="P10" s="532" t="str">
        <f>IF('Progetto del paramento slu'!C110="","",'ANALISI DELLE SPINTE'!C94+'SOLLECITAZ NASCOSTO'!Q6)</f>
        <v/>
      </c>
      <c r="Q10" s="581"/>
      <c r="R10" s="33"/>
      <c r="S10" s="33"/>
      <c r="T10" s="33"/>
      <c r="U10" s="33"/>
      <c r="V10" s="33"/>
      <c r="W10" s="33"/>
      <c r="X10" s="33"/>
      <c r="Y10" s="33"/>
      <c r="Z10" s="33"/>
    </row>
    <row r="11" spans="1:26" x14ac:dyDescent="0.25">
      <c r="B11" s="391" t="s">
        <v>9</v>
      </c>
      <c r="D11" s="47">
        <f>DATI!E63</f>
        <v>1</v>
      </c>
      <c r="E11" s="32" t="s">
        <v>10</v>
      </c>
      <c r="F11" s="33"/>
      <c r="G11" s="489" t="s">
        <v>839</v>
      </c>
      <c r="H11" s="490">
        <f>L468</f>
        <v>54.666883565480568</v>
      </c>
      <c r="I11" s="478" t="s">
        <v>12</v>
      </c>
      <c r="J11" s="33"/>
      <c r="K11" s="33"/>
      <c r="L11" s="33"/>
      <c r="M11" s="33"/>
      <c r="N11" s="33"/>
      <c r="O11" s="33"/>
      <c r="P11" s="532" t="str">
        <f>IF('Progetto del paramento slu'!C111="","",'ANALISI DELLE SPINTE'!C95+'SOLLECITAZ NASCOSTO'!Q7)</f>
        <v/>
      </c>
      <c r="Q11" s="581"/>
      <c r="R11" s="33"/>
      <c r="S11" s="33"/>
      <c r="T11" s="33"/>
      <c r="U11" s="33"/>
      <c r="V11" s="33"/>
      <c r="W11" s="135"/>
      <c r="X11" s="33"/>
      <c r="Y11" s="33"/>
      <c r="Z11" s="33"/>
    </row>
    <row r="12" spans="1:26" x14ac:dyDescent="0.25">
      <c r="B12" s="391" t="s">
        <v>11</v>
      </c>
      <c r="D12" s="387">
        <f>DATI!E64</f>
        <v>1</v>
      </c>
      <c r="E12" s="32" t="s">
        <v>2</v>
      </c>
      <c r="F12" s="33"/>
      <c r="G12" s="489" t="s">
        <v>840</v>
      </c>
      <c r="H12" s="491">
        <f>M468</f>
        <v>-67.617327168138502</v>
      </c>
      <c r="I12" s="478" t="s">
        <v>14</v>
      </c>
      <c r="J12" s="33"/>
      <c r="K12" s="33"/>
      <c r="L12" s="33"/>
      <c r="M12" s="33"/>
      <c r="N12" s="33"/>
      <c r="O12" s="33"/>
      <c r="P12" s="532" t="str">
        <f>IF('Progetto del paramento slu'!C112="","",'ANALISI DELLE SPINTE'!C96+'SOLLECITAZ NASCOSTO'!Q8)</f>
        <v/>
      </c>
      <c r="Q12" s="581"/>
      <c r="R12" s="33"/>
      <c r="S12" s="33"/>
      <c r="T12" s="33"/>
      <c r="U12" s="33"/>
      <c r="V12" s="33"/>
      <c r="W12" s="33"/>
      <c r="X12" s="33"/>
      <c r="Y12" s="33"/>
      <c r="Z12" s="33"/>
    </row>
    <row r="13" spans="1:26" x14ac:dyDescent="0.25">
      <c r="B13" s="134" t="s">
        <v>13</v>
      </c>
      <c r="D13" s="47">
        <f>DATI!E65</f>
        <v>0</v>
      </c>
      <c r="E13" s="32" t="s">
        <v>2</v>
      </c>
      <c r="F13" s="33"/>
      <c r="G13" s="33"/>
      <c r="H13" s="33"/>
      <c r="I13" s="33"/>
      <c r="J13" s="33"/>
      <c r="K13" s="33"/>
      <c r="L13" s="33"/>
      <c r="M13" s="33"/>
      <c r="N13" s="33"/>
      <c r="O13" s="33"/>
      <c r="P13" s="33"/>
      <c r="Q13" s="33"/>
      <c r="R13" s="33"/>
      <c r="S13" s="33"/>
      <c r="T13" s="33"/>
      <c r="U13" s="33"/>
      <c r="V13" s="33"/>
      <c r="W13" s="33"/>
      <c r="X13" s="33"/>
      <c r="Y13" s="33"/>
      <c r="Z13" s="33"/>
    </row>
    <row r="14" spans="1:26" x14ac:dyDescent="0.25">
      <c r="B14" s="391" t="s">
        <v>15</v>
      </c>
      <c r="D14" s="47">
        <f>J15-D16*I15</f>
        <v>0</v>
      </c>
      <c r="E14" s="32" t="s">
        <v>2</v>
      </c>
      <c r="G14" s="133"/>
      <c r="I14" s="32" t="s">
        <v>22</v>
      </c>
      <c r="J14" s="32" t="s">
        <v>134</v>
      </c>
      <c r="L14" t="s">
        <v>800</v>
      </c>
    </row>
    <row r="15" spans="1:26" x14ac:dyDescent="0.25">
      <c r="B15" s="391" t="s">
        <v>16</v>
      </c>
      <c r="D15" s="47">
        <f>'FOGLIO DEPOSITO'!D196</f>
        <v>2.0103782284763838E-4</v>
      </c>
      <c r="E15" s="32" t="s">
        <v>17</v>
      </c>
      <c r="I15">
        <f>DATI!G216-DATI!E60-DATI!E74</f>
        <v>0</v>
      </c>
      <c r="J15">
        <f>'FOGLIO DEPOSITO'!D209</f>
        <v>0</v>
      </c>
      <c r="L15">
        <f>J15-D16*I15</f>
        <v>0</v>
      </c>
    </row>
    <row r="16" spans="1:26" x14ac:dyDescent="0.25">
      <c r="B16" s="391" t="s">
        <v>18</v>
      </c>
      <c r="D16" s="45">
        <f>TAN(D15*PI()/180)</f>
        <v>3.5087719297467721E-6</v>
      </c>
      <c r="E16" s="32" t="s">
        <v>19</v>
      </c>
    </row>
    <row r="17" spans="1:44" x14ac:dyDescent="0.25">
      <c r="B17" s="391"/>
      <c r="D17" s="45"/>
      <c r="E17" s="32"/>
    </row>
    <row r="18" spans="1:44" x14ac:dyDescent="0.25">
      <c r="B18" s="391"/>
      <c r="D18" s="45">
        <f>($D$8-2*($D$13-D12/2))</f>
        <v>2</v>
      </c>
      <c r="E18" s="32" t="e">
        <f>D18/(D11-1)</f>
        <v>#DIV/0!</v>
      </c>
    </row>
    <row r="19" spans="1:44" x14ac:dyDescent="0.25">
      <c r="B19" s="391"/>
      <c r="C19" s="132"/>
      <c r="D19" s="32"/>
      <c r="AO19" s="486">
        <f>-IF('ANALISI DELLE SPINTE'!$AB$99&gt;='ANALISI DELLE SPINTE'!$AB$116,'ANALISI DELLE SPINTE'!$AB$99,'ANALISI DELLE SPINTE'!$AB$116)*0.375</f>
        <v>-20.506746126361257</v>
      </c>
      <c r="AR19" s="249">
        <f>-IF('ANALISI DELLE SPINTE'!$AB$100&gt;='ANALISI DELLE SPINTE'!$AB$117,'ANALISI DELLE SPINTE'!$AB$100,'ANALISI DELLE SPINTE'!$AB$117)*1</f>
        <v>-67.626126685694729</v>
      </c>
    </row>
    <row r="20" spans="1:44" ht="15.75" customHeight="1" x14ac:dyDescent="0.25">
      <c r="A20" s="1023" t="s">
        <v>835</v>
      </c>
      <c r="B20" s="1024"/>
      <c r="C20" s="1024"/>
      <c r="D20" s="1024"/>
      <c r="E20" s="1024"/>
      <c r="F20" s="1024"/>
      <c r="G20" s="1024"/>
      <c r="H20" s="1024"/>
      <c r="I20" s="1024"/>
      <c r="J20" s="1024"/>
      <c r="K20" s="1024"/>
      <c r="L20" s="1024"/>
      <c r="M20" s="1024"/>
      <c r="N20" s="1024"/>
      <c r="O20" s="1024"/>
      <c r="P20" s="501"/>
      <c r="Q20" s="501"/>
      <c r="R20" s="501"/>
      <c r="S20" s="1030" t="s">
        <v>843</v>
      </c>
      <c r="T20" s="1030"/>
      <c r="U20" s="1030"/>
      <c r="V20" s="1030"/>
    </row>
    <row r="21" spans="1:44" x14ac:dyDescent="0.25">
      <c r="B21" s="391" t="s">
        <v>21</v>
      </c>
      <c r="C21" s="391" t="s">
        <v>22</v>
      </c>
      <c r="D21" s="391" t="s">
        <v>23</v>
      </c>
      <c r="E21" s="391" t="s">
        <v>24</v>
      </c>
      <c r="F21" s="391" t="s">
        <v>25</v>
      </c>
      <c r="G21" s="391" t="s">
        <v>26</v>
      </c>
      <c r="H21" s="391" t="s">
        <v>27</v>
      </c>
      <c r="I21" s="391" t="s">
        <v>28</v>
      </c>
      <c r="J21" s="391" t="s">
        <v>29</v>
      </c>
      <c r="K21" s="391" t="s">
        <v>30</v>
      </c>
      <c r="L21" s="391" t="s">
        <v>31</v>
      </c>
      <c r="M21" s="391" t="s">
        <v>32</v>
      </c>
      <c r="N21" s="477" t="s">
        <v>6</v>
      </c>
      <c r="O21" s="477" t="s">
        <v>8</v>
      </c>
      <c r="P21" s="499"/>
      <c r="Q21" s="499"/>
      <c r="R21" s="499" t="s">
        <v>22</v>
      </c>
      <c r="S21" s="502" t="s">
        <v>22</v>
      </c>
      <c r="T21" s="502" t="s">
        <v>22</v>
      </c>
      <c r="U21" s="502" t="s">
        <v>31</v>
      </c>
      <c r="V21" s="502" t="s">
        <v>32</v>
      </c>
      <c r="AN21" s="477" t="s">
        <v>21</v>
      </c>
      <c r="AO21" s="489" t="s">
        <v>838</v>
      </c>
      <c r="AQ21" s="499" t="s">
        <v>21</v>
      </c>
      <c r="AR21" s="489" t="s">
        <v>845</v>
      </c>
    </row>
    <row r="22" spans="1:44" x14ac:dyDescent="0.25">
      <c r="B22" s="32" t="s">
        <v>10</v>
      </c>
      <c r="C22" s="32" t="s">
        <v>2</v>
      </c>
      <c r="D22" s="32" t="s">
        <v>2</v>
      </c>
      <c r="E22" s="32" t="s">
        <v>2</v>
      </c>
      <c r="F22" s="32" t="s">
        <v>33</v>
      </c>
      <c r="G22" s="32" t="s">
        <v>34</v>
      </c>
      <c r="H22" s="32" t="s">
        <v>34</v>
      </c>
      <c r="I22" s="32" t="s">
        <v>2</v>
      </c>
      <c r="J22" s="32" t="s">
        <v>2</v>
      </c>
      <c r="K22" s="32" t="s">
        <v>35</v>
      </c>
      <c r="L22" s="32" t="s">
        <v>12</v>
      </c>
      <c r="M22" s="32" t="s">
        <v>14</v>
      </c>
      <c r="N22" s="32" t="s">
        <v>7</v>
      </c>
      <c r="O22" s="32" t="s">
        <v>7</v>
      </c>
      <c r="P22" s="32"/>
      <c r="Q22" s="32"/>
      <c r="R22" s="32" t="s">
        <v>2</v>
      </c>
      <c r="S22" s="502" t="s">
        <v>2</v>
      </c>
      <c r="T22" s="502" t="s">
        <v>2</v>
      </c>
      <c r="U22" s="502" t="s">
        <v>12</v>
      </c>
      <c r="V22" s="502" t="s">
        <v>14</v>
      </c>
      <c r="AN22" s="32" t="s">
        <v>10</v>
      </c>
      <c r="AO22" s="32" t="s">
        <v>12</v>
      </c>
      <c r="AQ22" s="32" t="s">
        <v>10</v>
      </c>
      <c r="AR22" s="32" t="s">
        <v>14</v>
      </c>
    </row>
    <row r="23" spans="1:44" x14ac:dyDescent="0.25">
      <c r="B23" s="32"/>
      <c r="C23" s="441"/>
      <c r="D23" s="1022"/>
      <c r="E23" s="1022"/>
      <c r="F23" s="1022"/>
      <c r="G23" s="1022"/>
      <c r="H23" s="1022"/>
      <c r="I23" s="1022"/>
      <c r="J23" s="1022"/>
      <c r="K23" s="1022"/>
      <c r="L23" s="42"/>
      <c r="M23" s="42"/>
      <c r="N23" s="32"/>
      <c r="O23" s="32"/>
      <c r="P23" s="32"/>
      <c r="Q23" s="32"/>
      <c r="R23" s="441"/>
      <c r="S23" s="503"/>
      <c r="T23" s="211"/>
      <c r="U23" s="211"/>
      <c r="V23" s="211"/>
      <c r="AN23" s="32">
        <v>0</v>
      </c>
      <c r="AO23" s="42">
        <f t="shared" ref="AO23:AO43" si="0">$AO$19/$AN$43*AN23</f>
        <v>0</v>
      </c>
      <c r="AQ23" s="32">
        <v>0</v>
      </c>
      <c r="AR23" s="42">
        <f>$AR$19/$AN$43*AQ23</f>
        <v>0</v>
      </c>
    </row>
    <row r="24" spans="1:44" x14ac:dyDescent="0.25">
      <c r="B24" s="32"/>
      <c r="C24" s="441"/>
      <c r="D24" s="1022"/>
      <c r="E24" s="1022"/>
      <c r="F24" s="1022"/>
      <c r="G24" s="1022"/>
      <c r="H24" s="1022"/>
      <c r="I24" s="1022"/>
      <c r="J24" s="1022"/>
      <c r="K24" s="1022"/>
      <c r="L24" s="42"/>
      <c r="M24" s="42"/>
      <c r="N24" s="32"/>
      <c r="O24" s="32"/>
      <c r="P24" s="32"/>
      <c r="Q24" s="32"/>
      <c r="R24" s="441"/>
      <c r="S24" s="503"/>
      <c r="T24" s="211"/>
      <c r="U24" s="211"/>
      <c r="V24" s="211"/>
      <c r="W24" s="428"/>
      <c r="AN24" s="32">
        <f>AN23+5</f>
        <v>5</v>
      </c>
      <c r="AO24" s="42">
        <f t="shared" si="0"/>
        <v>-1.0253373063180629</v>
      </c>
      <c r="AQ24" s="32">
        <f>AQ23+5</f>
        <v>5</v>
      </c>
      <c r="AR24" s="42">
        <f t="shared" ref="AR24:AR43" si="1">$AR$19/$AN$43*AQ24</f>
        <v>-3.3813063342847367</v>
      </c>
    </row>
    <row r="25" spans="1:44" x14ac:dyDescent="0.25">
      <c r="B25" s="32"/>
      <c r="C25" s="441"/>
      <c r="D25" s="1022"/>
      <c r="E25" s="1022"/>
      <c r="F25" s="1022"/>
      <c r="G25" s="1022"/>
      <c r="H25" s="1022"/>
      <c r="I25" s="1022"/>
      <c r="J25" s="1022"/>
      <c r="K25" s="1022"/>
      <c r="L25" s="42"/>
      <c r="M25" s="42"/>
      <c r="N25" s="32"/>
      <c r="O25" s="32"/>
      <c r="P25" s="32"/>
      <c r="Q25" s="32"/>
      <c r="R25" s="441"/>
      <c r="S25" s="503"/>
      <c r="T25" s="211"/>
      <c r="U25" s="211"/>
      <c r="V25" s="211"/>
      <c r="AN25" s="32">
        <f t="shared" ref="AN25:AN43" si="2">AN24+5</f>
        <v>10</v>
      </c>
      <c r="AO25" s="42">
        <f t="shared" si="0"/>
        <v>-2.0506746126361257</v>
      </c>
      <c r="AQ25" s="32">
        <f t="shared" ref="AQ25:AQ43" si="3">AQ24+5</f>
        <v>10</v>
      </c>
      <c r="AR25" s="42">
        <f t="shared" si="1"/>
        <v>-6.7626126685694734</v>
      </c>
    </row>
    <row r="26" spans="1:44" x14ac:dyDescent="0.25">
      <c r="B26" s="32"/>
      <c r="C26" s="441"/>
      <c r="D26" s="1022"/>
      <c r="E26" s="1022"/>
      <c r="F26" s="1022"/>
      <c r="G26" s="1022"/>
      <c r="H26" s="1022"/>
      <c r="I26" s="1022"/>
      <c r="J26" s="1022"/>
      <c r="K26" s="1022"/>
      <c r="L26" s="42"/>
      <c r="M26" s="42"/>
      <c r="N26" s="32"/>
      <c r="O26" s="32"/>
      <c r="P26" s="32"/>
      <c r="R26" s="441"/>
      <c r="S26" s="503"/>
      <c r="T26" s="211"/>
      <c r="U26" s="211"/>
      <c r="V26" s="211"/>
      <c r="AN26" s="32">
        <f t="shared" si="2"/>
        <v>15</v>
      </c>
      <c r="AO26" s="42">
        <f t="shared" si="0"/>
        <v>-3.0760119189541886</v>
      </c>
      <c r="AQ26" s="32">
        <f t="shared" si="3"/>
        <v>15</v>
      </c>
      <c r="AR26" s="42">
        <f t="shared" si="1"/>
        <v>-10.14391900285421</v>
      </c>
    </row>
    <row r="27" spans="1:44" x14ac:dyDescent="0.25">
      <c r="B27" s="32"/>
      <c r="C27" s="441"/>
      <c r="D27" s="1022"/>
      <c r="E27" s="1022"/>
      <c r="F27" s="1022"/>
      <c r="G27" s="1022"/>
      <c r="H27" s="1022"/>
      <c r="I27" s="1022"/>
      <c r="J27" s="1022"/>
      <c r="K27" s="1022"/>
      <c r="L27" s="42"/>
      <c r="M27" s="42"/>
      <c r="N27" s="32"/>
      <c r="O27" s="32"/>
      <c r="P27" s="32"/>
      <c r="Q27" s="32"/>
      <c r="R27" s="441"/>
      <c r="S27" s="503"/>
      <c r="T27" s="211"/>
      <c r="U27" s="211"/>
      <c r="V27" s="211"/>
      <c r="AN27" s="32">
        <f t="shared" si="2"/>
        <v>20</v>
      </c>
      <c r="AO27" s="42">
        <f t="shared" si="0"/>
        <v>-4.1013492252722514</v>
      </c>
      <c r="AQ27" s="32">
        <f t="shared" si="3"/>
        <v>20</v>
      </c>
      <c r="AR27" s="42">
        <f t="shared" si="1"/>
        <v>-13.525225337138947</v>
      </c>
    </row>
    <row r="28" spans="1:44" x14ac:dyDescent="0.25">
      <c r="B28" s="32"/>
      <c r="C28" s="441"/>
      <c r="D28" s="1022"/>
      <c r="E28" s="1022"/>
      <c r="F28" s="1022"/>
      <c r="G28" s="1022"/>
      <c r="H28" s="1022"/>
      <c r="I28" s="1022"/>
      <c r="J28" s="1022"/>
      <c r="K28" s="1022"/>
      <c r="L28" s="42"/>
      <c r="M28" s="428">
        <f>VLOOKUP(sezione!AG49,'SOLLECITAZ NASCOSTO'!$C$23:$M$468,2,TRUE)</f>
        <v>0.30000199519230764</v>
      </c>
      <c r="N28" s="429">
        <f>VLOOKUP('Foglio deposito bis'!C100,'SOLLECITAZ NASCOSTO'!$T$32:$V$448,2,TRUE)</f>
        <v>40.361306950783039</v>
      </c>
      <c r="O28" s="32"/>
      <c r="P28" s="428">
        <f>ABS(VLOOKUP('Foglio deposito bis'!C103,'SOLLECITAZ NASCOSTO'!$C$23:$M$468,11,TRUE))</f>
        <v>31.044651556197305</v>
      </c>
      <c r="Q28" s="32"/>
      <c r="R28" s="441"/>
      <c r="S28" s="503"/>
      <c r="T28" s="211"/>
      <c r="U28" s="211"/>
      <c r="V28" s="211"/>
      <c r="AN28" s="32">
        <f t="shared" si="2"/>
        <v>25</v>
      </c>
      <c r="AO28" s="42">
        <f t="shared" si="0"/>
        <v>-5.1266865315903143</v>
      </c>
      <c r="AQ28" s="32">
        <f t="shared" si="3"/>
        <v>25</v>
      </c>
      <c r="AR28" s="42">
        <f t="shared" si="1"/>
        <v>-16.906531671423682</v>
      </c>
    </row>
    <row r="29" spans="1:44" x14ac:dyDescent="0.25">
      <c r="B29" s="32"/>
      <c r="C29" s="441"/>
      <c r="D29" s="1022"/>
      <c r="E29" s="1022"/>
      <c r="F29" s="1022"/>
      <c r="G29" s="1022"/>
      <c r="H29" s="1022"/>
      <c r="I29" s="1022"/>
      <c r="J29" s="1022"/>
      <c r="K29" s="1022"/>
      <c r="L29" s="42"/>
      <c r="M29" s="42"/>
      <c r="O29" s="32"/>
      <c r="P29" s="32"/>
      <c r="Q29" s="32"/>
      <c r="R29" s="441"/>
      <c r="S29" s="503"/>
      <c r="T29" s="211"/>
      <c r="U29" s="211"/>
      <c r="V29" s="211"/>
      <c r="AN29" s="32">
        <f t="shared" si="2"/>
        <v>30</v>
      </c>
      <c r="AO29" s="42">
        <f t="shared" si="0"/>
        <v>-6.1520238379083771</v>
      </c>
      <c r="AQ29" s="32">
        <f t="shared" si="3"/>
        <v>30</v>
      </c>
      <c r="AR29" s="42">
        <f t="shared" si="1"/>
        <v>-20.287838005708419</v>
      </c>
    </row>
    <row r="30" spans="1:44" x14ac:dyDescent="0.25">
      <c r="B30" s="32"/>
      <c r="C30" s="441"/>
      <c r="D30" s="1022"/>
      <c r="E30" s="1022"/>
      <c r="F30" s="1022"/>
      <c r="G30" s="1022"/>
      <c r="H30" s="1022"/>
      <c r="I30" s="1022"/>
      <c r="J30" s="1022"/>
      <c r="K30" s="1022"/>
      <c r="L30" s="42"/>
      <c r="M30" s="42"/>
      <c r="N30" s="32"/>
      <c r="O30" s="32"/>
      <c r="P30" s="32"/>
      <c r="Q30" s="32"/>
      <c r="R30" s="441"/>
      <c r="S30" s="503"/>
      <c r="T30" s="211"/>
      <c r="U30" s="211"/>
      <c r="V30" s="211"/>
      <c r="AN30" s="32">
        <f t="shared" si="2"/>
        <v>35</v>
      </c>
      <c r="AO30" s="42">
        <f t="shared" si="0"/>
        <v>-7.17736114422644</v>
      </c>
      <c r="AQ30" s="32">
        <f t="shared" si="3"/>
        <v>35</v>
      </c>
      <c r="AR30" s="42">
        <f t="shared" si="1"/>
        <v>-23.669144339993156</v>
      </c>
    </row>
    <row r="31" spans="1:44" x14ac:dyDescent="0.25">
      <c r="B31" s="32"/>
      <c r="C31" s="441"/>
      <c r="D31" s="1022"/>
      <c r="E31" s="1022"/>
      <c r="F31" s="1022"/>
      <c r="G31" s="1022"/>
      <c r="H31" s="1022"/>
      <c r="I31" s="1022"/>
      <c r="J31" s="1022"/>
      <c r="K31" s="1022"/>
      <c r="L31" s="42"/>
      <c r="M31" s="42"/>
      <c r="N31" s="32"/>
      <c r="O31" s="32"/>
      <c r="P31" s="32"/>
      <c r="Q31" s="32"/>
      <c r="R31" s="441"/>
      <c r="S31" s="503"/>
      <c r="T31" s="211"/>
      <c r="U31" s="211"/>
      <c r="V31" s="211"/>
      <c r="W31" s="428"/>
      <c r="AB31" s="443"/>
      <c r="AN31" s="32">
        <f>AN30+5</f>
        <v>40</v>
      </c>
      <c r="AO31" s="42">
        <f t="shared" si="0"/>
        <v>-8.2026984505445029</v>
      </c>
      <c r="AQ31" s="32">
        <f>AQ30+5</f>
        <v>40</v>
      </c>
      <c r="AR31" s="42">
        <f t="shared" si="1"/>
        <v>-27.050450674277894</v>
      </c>
    </row>
    <row r="32" spans="1:44" x14ac:dyDescent="0.25">
      <c r="A32" s="589">
        <f>E32</f>
        <v>0</v>
      </c>
      <c r="B32" s="32">
        <v>0</v>
      </c>
      <c r="C32" s="441">
        <f>'SOLLECITAZ NASCOSTO'!$D$6/'SOLLECITAZ NASCOSTO'!$B$448*'SOLLECITAZ NASCOSTO'!B32</f>
        <v>0</v>
      </c>
      <c r="D32" s="132">
        <f>D9+D14</f>
        <v>0.3</v>
      </c>
      <c r="E32" s="132">
        <f t="shared" ref="E32:E95" si="4">D32-$D$9</f>
        <v>0</v>
      </c>
      <c r="F32" s="132">
        <f t="shared" ref="F32:F95" si="5">E32*$D$12*$D$11+$D$8*$D$9</f>
        <v>0.3</v>
      </c>
      <c r="G32" s="132">
        <f t="shared" ref="G32:G95" si="6">$D$12*E32*$D$11*($D$9+E32/2)+$D$9*$D$8*$D$9/2</f>
        <v>4.4999999999999998E-2</v>
      </c>
      <c r="H32" s="132">
        <f t="shared" ref="H32:H62" si="7">I32*F32</f>
        <v>0</v>
      </c>
      <c r="I32" s="132">
        <v>0</v>
      </c>
      <c r="J32" s="131">
        <f t="shared" ref="J32:J62" si="8">G32/F32</f>
        <v>0.15</v>
      </c>
      <c r="K32" s="130">
        <f t="shared" ref="K32:K95" si="9">$D$8*$D$9^3/12+$D$8*$D$9*(J32-$D$9/2)^2+$D$11*$D$12*(J32-$D$9)^3/3+$D$11*$D$12*(E32-(J32-$D$9))^3/3</f>
        <v>2.2499999999999998E-3</v>
      </c>
      <c r="L32" s="42">
        <f>'SOLLECITAZ NASCOSTO'!I9</f>
        <v>0</v>
      </c>
      <c r="M32" s="42">
        <f>I7</f>
        <v>0</v>
      </c>
      <c r="N32" s="483"/>
      <c r="O32" s="483"/>
      <c r="P32" s="483"/>
      <c r="Q32" s="483"/>
      <c r="R32" s="441">
        <f t="shared" ref="R32:R95" si="10">C32</f>
        <v>0</v>
      </c>
      <c r="S32" s="503">
        <f>C32</f>
        <v>0</v>
      </c>
      <c r="T32" s="211">
        <f>$R$468-S32</f>
        <v>3.35</v>
      </c>
      <c r="U32" s="211">
        <f>L32</f>
        <v>0</v>
      </c>
      <c r="V32" s="211">
        <f>M32</f>
        <v>0</v>
      </c>
      <c r="W32" s="428"/>
      <c r="X32" s="477"/>
      <c r="AN32" s="32">
        <f t="shared" si="2"/>
        <v>45</v>
      </c>
      <c r="AO32" s="42">
        <f t="shared" si="0"/>
        <v>-9.2280357568625657</v>
      </c>
      <c r="AQ32" s="32">
        <f t="shared" si="3"/>
        <v>45</v>
      </c>
      <c r="AR32" s="42">
        <f t="shared" si="1"/>
        <v>-30.431757008562631</v>
      </c>
    </row>
    <row r="33" spans="1:44" x14ac:dyDescent="0.25">
      <c r="A33" s="589">
        <f t="shared" ref="A33:A96" si="11">E33</f>
        <v>2.4038461554631851E-8</v>
      </c>
      <c r="B33" s="32">
        <f t="shared" ref="B33:B61" si="12">B32+1</f>
        <v>1</v>
      </c>
      <c r="C33" s="441">
        <f>'SOLLECITAZ NASCOSTO'!$D$6/'SOLLECITAZ NASCOSTO'!$B$448*'SOLLECITAZ NASCOSTO'!B33</f>
        <v>6.8509615384615384E-3</v>
      </c>
      <c r="D33" s="132">
        <f>$D$9+$D$14+$D$16*C33</f>
        <v>0.30000002403846154</v>
      </c>
      <c r="E33" s="132">
        <f t="shared" si="4"/>
        <v>2.4038461554631851E-8</v>
      </c>
      <c r="F33" s="132">
        <f t="shared" si="5"/>
        <v>0.30000002403846154</v>
      </c>
      <c r="G33" s="132">
        <f t="shared" si="6"/>
        <v>4.5000007211538753E-2</v>
      </c>
      <c r="H33" s="132">
        <f t="shared" si="7"/>
        <v>0</v>
      </c>
      <c r="I33" s="132">
        <v>0</v>
      </c>
      <c r="J33" s="131">
        <f t="shared" si="8"/>
        <v>0.15000001201923077</v>
      </c>
      <c r="K33" s="130">
        <f t="shared" si="9"/>
        <v>2.2500005408654282E-3</v>
      </c>
      <c r="L33" s="42">
        <f>N33*C33+O33*C33/2+L32</f>
        <v>2.8555823902857984E-2</v>
      </c>
      <c r="M33" s="42">
        <f>M32-(L33+L32)*(C33-C32)/2</f>
        <v>-9.7817425628780351E-5</v>
      </c>
      <c r="N33" s="42">
        <f>IF(C33&lt;='SOLLECITAZ NASCOSTO'!$P$12,IF(C33&lt;='SOLLECITAZ NASCOSTO'!$P$11,IF(C33&lt;='SOLLECITAZ NASCOSTO'!$P$10,IF(C33&lt;='SOLLECITAZ NASCOSTO'!$P$9,IF(C33&lt;='SOLLECITAZ NASCOSTO'!$P$8,IF(C33&lt;='SOLLECITAZ NASCOSTO'!$P$7,IF(C33&lt;='SOLLECITAZ NASCOSTO'!$P$6,IF(C33&lt;='SOLLECITAZ NASCOSTO'!$P$5,'Progetto del paramento slu'!$G$104,'Progetto del paramento slu'!$G$105),'Progetto del paramento slu'!$G$106),'Progetto del paramento slu'!$G$107),'Progetto del paramento slu'!$G$108),'Progetto del paramento slu'!$G$109),'Progetto del paramento slu'!$G$110),'Progetto del paramento slu'!$G$111),'Progetto del paramento slu'!$G$112)</f>
        <v>4.1440822215876558</v>
      </c>
      <c r="O33" s="42">
        <f>IF(C33&lt;='SOLLECITAZ NASCOSTO'!$P$12,IF(C33&lt;='SOLLECITAZ NASCOSTO'!$P$11,IF(C33&lt;='SOLLECITAZ NASCOSTO'!$P$10,IF(C33&lt;='SOLLECITAZ NASCOSTO'!$P$9,IF(C33&lt;='SOLLECITAZ NASCOSTO'!$P$8,IF(C33&lt;='SOLLECITAZ NASCOSTO'!$P$7,IF(C33&lt;='SOLLECITAZ NASCOSTO'!$P$6,IF(C33&lt;='SOLLECITAZ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slu'!$G$111),55555)*(C33-C32)/IF(C33&lt;='SOLLECITAZ NASCOSTO'!$P$12,IF(C33&lt;='SOLLECITAZ NASCOSTO'!$P$11,IF(C33&lt;='SOLLECITAZ NASCOSTO'!$P$10,IF(C33&lt;='SOLLECITAZ NASCOSTO'!$P$9,IF(C33&lt;='SOLLECITAZ NASCOSTO'!$P$8,IF(C33&lt;='SOLLECITAZ NASCOSTO'!$P$7,IF(C33&lt;='SOLLECITAZ NASCOSTO'!$P$6,IF(C33&lt;='SOLLECITAZ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4.8132218992352468E-2</v>
      </c>
      <c r="P33" s="42">
        <v>0</v>
      </c>
      <c r="Q33" s="42">
        <f>IF(C33&lt;=$D$6,1,0+P32)</f>
        <v>1</v>
      </c>
      <c r="R33" s="441">
        <f t="shared" si="10"/>
        <v>6.8509615384615384E-3</v>
      </c>
      <c r="S33" s="42">
        <f>IF(C33&lt;=$D$4,C33,"")</f>
        <v>6.8509615384615384E-3</v>
      </c>
      <c r="T33" s="211">
        <f t="shared" ref="T33:T96" si="13">$R$468-S33</f>
        <v>3.3431490384615388</v>
      </c>
      <c r="U33" s="42">
        <f>IF(C33&lt;=$D$4,L33,"")</f>
        <v>2.8555823902857984E-2</v>
      </c>
      <c r="V33" s="42">
        <f>IF(C33&lt;=$D$4,M33,"")</f>
        <v>-9.7817425628780351E-5</v>
      </c>
      <c r="W33" s="428"/>
      <c r="AN33" s="32">
        <f t="shared" si="2"/>
        <v>50</v>
      </c>
      <c r="AO33" s="42">
        <f t="shared" si="0"/>
        <v>-10.253373063180629</v>
      </c>
      <c r="AQ33" s="32">
        <f t="shared" si="3"/>
        <v>50</v>
      </c>
      <c r="AR33" s="42">
        <f t="shared" si="1"/>
        <v>-33.813063342847364</v>
      </c>
    </row>
    <row r="34" spans="1:44" x14ac:dyDescent="0.25">
      <c r="A34" s="589">
        <f t="shared" si="11"/>
        <v>4.8076923053752552E-8</v>
      </c>
      <c r="B34" s="32">
        <f t="shared" si="12"/>
        <v>2</v>
      </c>
      <c r="C34" s="441">
        <f>'SOLLECITAZ NASCOSTO'!$D$6/'SOLLECITAZ NASCOSTO'!$B$448*'SOLLECITAZ NASCOSTO'!B34</f>
        <v>1.3701923076923077E-2</v>
      </c>
      <c r="D34" s="132">
        <f t="shared" ref="D34:D96" si="14">$D$9+$D$14+$D$16*C34</f>
        <v>0.30000004807692304</v>
      </c>
      <c r="E34" s="132">
        <f t="shared" si="4"/>
        <v>4.8076923053752552E-8</v>
      </c>
      <c r="F34" s="132">
        <f t="shared" si="5"/>
        <v>0.30000004807692304</v>
      </c>
      <c r="G34" s="132">
        <f t="shared" si="6"/>
        <v>4.500001442307807E-2</v>
      </c>
      <c r="H34" s="132">
        <f t="shared" si="7"/>
        <v>0</v>
      </c>
      <c r="I34" s="132">
        <v>0</v>
      </c>
      <c r="J34" s="131">
        <f t="shared" si="8"/>
        <v>0.15000002403846152</v>
      </c>
      <c r="K34" s="130">
        <f t="shared" si="9"/>
        <v>2.2500010817309421E-3</v>
      </c>
      <c r="L34" s="42">
        <f>L33+N34*(C34-C33)+O34*(C34-C33)/2</f>
        <v>5.7441399786793378E-2</v>
      </c>
      <c r="M34" s="42">
        <f t="shared" ref="M34:M353" si="15">M33-(L34+L33)*(C34-C33)/2</f>
        <v>-3.9239926158491782E-4</v>
      </c>
      <c r="N34" s="42">
        <f>(IF(C33&lt;='SOLLECITAZ NASCOSTO'!$P$12,IF(C33&lt;='SOLLECITAZ NASCOSTO'!$P$11,IF(C33&lt;='SOLLECITAZ NASCOSTO'!$P$10,IF(C33&lt;='SOLLECITAZ NASCOSTO'!$P$9,IF(C33&lt;='SOLLECITAZ NASCOSTO'!$P$8,IF(C33&lt;='SOLLECITAZ NASCOSTO'!$P$7,IF(C33&lt;='SOLLECITAZ NASCOSTO'!$P$6,IF(C33&lt;='SOLLECITAZ NASCOSTO'!$P$5,'Progetto del paramento slu'!$G$105,'Progetto del paramento slu'!$G$106),'Progetto del paramento slu'!$G$107),'Progetto del paramento slu'!$G$108),'Progetto del paramento slu'!$G$109),'Progetto del paramento slu'!$G$110),'Progetto del paramento slu'!$G$111),'Progetto del paramento slu'!$G$112),55555)-IF(C33&lt;='SOLLECITAZ NASCOSTO'!$P$12,IF(C33&lt;='SOLLECITAZ NASCOSTO'!$P$11,IF(C33&lt;='SOLLECITAZ NASCOSTO'!$P$10,IF(C33&lt;='SOLLECITAZ NASCOSTO'!$P$9,IF(C33&lt;='SOLLECITAZ NASCOSTO'!$P$8,IF(C33&lt;='SOLLECITAZ NASCOSTO'!$P$7,IF(C33&lt;='SOLLECITAZ NASCOSTO'!$P$6,IF(C33&lt;='SOLLECITAZ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slu'!$G$112))*(C33-IF(C33&lt;='SOLLECITAZ NASCOSTO'!$P$12,IF(C33&lt;='SOLLECITAZ NASCOSTO'!$P$11,IF(C33&lt;='SOLLECITAZ NASCOSTO'!$P$10,IF(C33&lt;='SOLLECITAZ NASCOSTO'!$P$9,IF(C33&lt;='SOLLECITAZ NASCOSTO'!$P$8,IF(C33&lt;='SOLLECITAZ NASCOSTO'!$P$7,IF(C33&lt;='SOLLECITAZ NASCOSTO'!$P$6,IF(C33&lt;='SOLLECITAZ NASCOSTO'!$P$5,'SOLLECITAZ NASCOSTO'!$P$3,'SOLLECITAZ NASCOSTO'!$P$5),'SOLLECITAZ NASCOSTO'!$P$5),'SOLLECITAZ NASCOSTO'!$P$7),'SOLLECITAZ NASCOSTO'!$P$8),'SOLLECITAZ NASCOSTO'!$P$9),'SOLLECITAZ NASCOSTO'!$P$10),'SOLLECITAZ NASCOSTO'!$P$11),'SOLLECITAZ NASCOSTO'!$P$12))/IF(C33&lt;='SOLLECITAZ NASCOSTO'!$P$12,IF(C33&lt;='SOLLECITAZ NASCOSTO'!$P$11,IF(C33&lt;='SOLLECITAZ NASCOSTO'!$P$10,IF(C33&lt;='SOLLECITAZ NASCOSTO'!$P$9,IF(C33&lt;='SOLLECITAZ NASCOSTO'!$P$8,IF(C33&lt;='SOLLECITAZ NASCOSTO'!$P$7,IF(C33&lt;='SOLLECITAZ NASCOSTO'!$P$6,IF(C33&lt;='SOLLECITAZ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slu'!$C$112)+IF(C33&lt;='SOLLECITAZ NASCOSTO'!$P$12,IF(C33&lt;='SOLLECITAZ NASCOSTO'!$P$11,IF(C33&lt;='SOLLECITAZ NASCOSTO'!$P$10,IF(C33&lt;='SOLLECITAZ NASCOSTO'!$P$9,IF(C33&lt;='SOLLECITAZ NASCOSTO'!$P$8,IF(C33&lt;='SOLLECITAZ NASCOSTO'!$P$7,IF(C33&lt;='SOLLECITAZ NASCOSTO'!$P$6,IF(C33&lt;='SOLLECITAZ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4.1922144405800079</v>
      </c>
      <c r="O34" s="42">
        <f>IF(C34&lt;='SOLLECITAZ NASCOSTO'!$P$12,IF(C34&lt;='SOLLECITAZ NASCOSTO'!$P$11,IF(C34&lt;='SOLLECITAZ NASCOSTO'!$P$10,IF(C34&lt;='SOLLECITAZ NASCOSTO'!$P$9,IF(C34&lt;='SOLLECITAZ NASCOSTO'!$P$8,IF(C34&lt;='SOLLECITAZ NASCOSTO'!$P$7,IF(C34&lt;='SOLLECITAZ NASCOSTO'!$P$6,IF(C34&lt;='SOLLECITAZ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slu'!$G$111),55555)*(C34-C33)/IF(C34&lt;='SOLLECITAZ NASCOSTO'!$P$12,IF(C34&lt;='SOLLECITAZ NASCOSTO'!$P$11,IF(C34&lt;='SOLLECITAZ NASCOSTO'!$P$10,IF(C34&lt;='SOLLECITAZ NASCOSTO'!$P$9,IF(C34&lt;='SOLLECITAZ NASCOSTO'!$P$8,IF(C34&lt;='SOLLECITAZ NASCOSTO'!$P$7,IF(C34&lt;='SOLLECITAZ NASCOSTO'!$P$6,IF(C34&lt;='SOLLECITAZ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4.8132218992352468E-2</v>
      </c>
      <c r="P34" s="42">
        <f>P33+0.000001</f>
        <v>9.9999999999999995E-7</v>
      </c>
      <c r="Q34" s="42">
        <f>IF(C34&lt;=$D$6,1,0+P33)</f>
        <v>1</v>
      </c>
      <c r="R34" s="441">
        <f t="shared" si="10"/>
        <v>1.3701923076923077E-2</v>
      </c>
      <c r="S34" s="46">
        <f>IF(Q34=1,C33,0)</f>
        <v>6.8509615384615384E-3</v>
      </c>
      <c r="T34" s="211">
        <f t="shared" si="13"/>
        <v>3.3431490384615388</v>
      </c>
      <c r="U34" s="46">
        <f t="shared" ref="U34:U97" si="16">IF(Q34=1,L34,0)</f>
        <v>5.7441399786793378E-2</v>
      </c>
      <c r="V34" s="46">
        <f t="shared" ref="V34:V97" si="17">IF(Q34=1,M34,0)</f>
        <v>-3.9239926158491782E-4</v>
      </c>
      <c r="W34" s="428"/>
      <c r="AN34" s="32">
        <f t="shared" si="2"/>
        <v>55</v>
      </c>
      <c r="AO34" s="42">
        <f t="shared" si="0"/>
        <v>-11.278710369498691</v>
      </c>
      <c r="AQ34" s="32">
        <f t="shared" si="3"/>
        <v>55</v>
      </c>
      <c r="AR34" s="42">
        <f t="shared" si="1"/>
        <v>-37.194369677132102</v>
      </c>
    </row>
    <row r="35" spans="1:44" x14ac:dyDescent="0.25">
      <c r="A35" s="589">
        <f t="shared" si="11"/>
        <v>7.2115384608384403E-8</v>
      </c>
      <c r="B35" s="32">
        <f t="shared" si="12"/>
        <v>3</v>
      </c>
      <c r="C35" s="441">
        <f>'SOLLECITAZ NASCOSTO'!$D$6/'SOLLECITAZ NASCOSTO'!$B$448*'SOLLECITAZ NASCOSTO'!B35</f>
        <v>2.0552884615384615E-2</v>
      </c>
      <c r="D35" s="132">
        <f t="shared" si="14"/>
        <v>0.3000000721153846</v>
      </c>
      <c r="E35" s="132">
        <f t="shared" si="4"/>
        <v>7.2115384608384403E-8</v>
      </c>
      <c r="F35" s="132">
        <f t="shared" si="5"/>
        <v>0.3000000721153846</v>
      </c>
      <c r="G35" s="132">
        <f t="shared" si="6"/>
        <v>4.5000021634617984E-2</v>
      </c>
      <c r="H35" s="132">
        <f t="shared" si="7"/>
        <v>0</v>
      </c>
      <c r="I35" s="132">
        <v>0</v>
      </c>
      <c r="J35" s="131">
        <f t="shared" si="8"/>
        <v>0.15000003605769233</v>
      </c>
      <c r="K35" s="130">
        <f t="shared" si="9"/>
        <v>2.2500016225965435E-3</v>
      </c>
      <c r="L35" s="42">
        <f>L34+N35*(C35-C34)+O35*(C35-C34)/2</f>
        <v>8.6656727651806181E-2</v>
      </c>
      <c r="M35" s="42">
        <f t="shared" si="15"/>
        <v>-8.8600462600800533E-4</v>
      </c>
      <c r="N35" s="42">
        <f>(IF(C34&lt;='SOLLECITAZ NASCOSTO'!$P$12,IF(C34&lt;='SOLLECITAZ NASCOSTO'!$P$11,IF(C34&lt;='SOLLECITAZ NASCOSTO'!$P$10,IF(C34&lt;='SOLLECITAZ NASCOSTO'!$P$9,IF(C34&lt;='SOLLECITAZ NASCOSTO'!$P$8,IF(C34&lt;='SOLLECITAZ NASCOSTO'!$P$7,IF(C34&lt;='SOLLECITAZ NASCOSTO'!$P$6,IF(C34&lt;='SOLLECITAZ NASCOSTO'!$P$5,'Progetto del paramento slu'!$G$105,'Progetto del paramento slu'!$G$106),'Progetto del paramento slu'!$G$107),'Progetto del paramento slu'!$G$108),'Progetto del paramento slu'!$G$109),'Progetto del paramento slu'!$G$110),'Progetto del paramento slu'!$G$111),'Progetto del paramento slu'!$G$112),55555)-IF(C34&lt;='SOLLECITAZ NASCOSTO'!$P$12,IF(C34&lt;='SOLLECITAZ NASCOSTO'!$P$11,IF(C34&lt;='SOLLECITAZ NASCOSTO'!$P$10,IF(C34&lt;='SOLLECITAZ NASCOSTO'!$P$9,IF(C34&lt;='SOLLECITAZ NASCOSTO'!$P$8,IF(C34&lt;='SOLLECITAZ NASCOSTO'!$P$7,IF(C34&lt;='SOLLECITAZ NASCOSTO'!$P$6,IF(C34&lt;='SOLLECITAZ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slu'!$G$112))*(C34-IF(C34&lt;='SOLLECITAZ NASCOSTO'!$P$12,IF(C34&lt;='SOLLECITAZ NASCOSTO'!$P$11,IF(C34&lt;='SOLLECITAZ NASCOSTO'!$P$10,IF(C34&lt;='SOLLECITAZ NASCOSTO'!$P$9,IF(C34&lt;='SOLLECITAZ NASCOSTO'!$P$8,IF(C34&lt;='SOLLECITAZ NASCOSTO'!$P$7,IF(C34&lt;='SOLLECITAZ NASCOSTO'!$P$6,IF(C34&lt;='SOLLECITAZ NASCOSTO'!$P$5,'SOLLECITAZ NASCOSTO'!$P$3,'SOLLECITAZ NASCOSTO'!$P$5),'SOLLECITAZ NASCOSTO'!$P$5),'SOLLECITAZ NASCOSTO'!$P$7),'SOLLECITAZ NASCOSTO'!$P$8),'SOLLECITAZ NASCOSTO'!$P$9),'SOLLECITAZ NASCOSTO'!$P$10),'SOLLECITAZ NASCOSTO'!$P$11),'SOLLECITAZ NASCOSTO'!$P$12))/IF(C34&lt;='SOLLECITAZ NASCOSTO'!$P$12,IF(C34&lt;='SOLLECITAZ NASCOSTO'!$P$11,IF(C34&lt;='SOLLECITAZ NASCOSTO'!$P$10,IF(C34&lt;='SOLLECITAZ NASCOSTO'!$P$9,IF(C34&lt;='SOLLECITAZ NASCOSTO'!$P$8,IF(C34&lt;='SOLLECITAZ NASCOSTO'!$P$7,IF(C34&lt;='SOLLECITAZ NASCOSTO'!$P$6,IF(C34&lt;='SOLLECITAZ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slu'!$C$112)+IF(C34&lt;='SOLLECITAZ NASCOSTO'!$P$12,IF(C34&lt;='SOLLECITAZ NASCOSTO'!$P$11,IF(C34&lt;='SOLLECITAZ NASCOSTO'!$P$10,IF(C34&lt;='SOLLECITAZ NASCOSTO'!$P$9,IF(C34&lt;='SOLLECITAZ NASCOSTO'!$P$8,IF(C34&lt;='SOLLECITAZ NASCOSTO'!$P$7,IF(C34&lt;='SOLLECITAZ NASCOSTO'!$P$6,IF(C34&lt;='SOLLECITAZ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4.2403466595723609</v>
      </c>
      <c r="O35" s="42">
        <f>IF(C35&lt;='SOLLECITAZ NASCOSTO'!$P$12,IF(C35&lt;='SOLLECITAZ NASCOSTO'!$P$11,IF(C35&lt;='SOLLECITAZ NASCOSTO'!$P$10,IF(C35&lt;='SOLLECITAZ NASCOSTO'!$P$9,IF(C35&lt;='SOLLECITAZ NASCOSTO'!$P$8,IF(C35&lt;='SOLLECITAZ NASCOSTO'!$P$7,IF(C35&lt;='SOLLECITAZ NASCOSTO'!$P$6,IF(C35&lt;='SOLLECITAZ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slu'!$G$111),55555)*(C35-C34)/IF(C35&lt;='SOLLECITAZ NASCOSTO'!$P$12,IF(C35&lt;='SOLLECITAZ NASCOSTO'!$P$11,IF(C35&lt;='SOLLECITAZ NASCOSTO'!$P$10,IF(C35&lt;='SOLLECITAZ NASCOSTO'!$P$9,IF(C35&lt;='SOLLECITAZ NASCOSTO'!$P$8,IF(C35&lt;='SOLLECITAZ NASCOSTO'!$P$7,IF(C35&lt;='SOLLECITAZ NASCOSTO'!$P$6,IF(C35&lt;='SOLLECITAZ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4.8132218992352468E-2</v>
      </c>
      <c r="P35" s="42">
        <f>P34+0.000001</f>
        <v>1.9999999999999999E-6</v>
      </c>
      <c r="Q35" s="42">
        <f t="shared" ref="Q35:Q98" si="18">IF(C35&lt;=$D$6,1,0+P35)</f>
        <v>1</v>
      </c>
      <c r="R35" s="441">
        <f t="shared" si="10"/>
        <v>2.0552884615384615E-2</v>
      </c>
      <c r="S35" s="46">
        <f t="shared" ref="S35:S98" si="19">IF(Q35&lt;1,VLOOKUP(0,$Q$34:$R$468,2,TRUE),C35)</f>
        <v>2.0552884615384615E-2</v>
      </c>
      <c r="T35" s="211">
        <f t="shared" si="13"/>
        <v>3.3294471153846157</v>
      </c>
      <c r="U35" s="46">
        <f t="shared" si="16"/>
        <v>8.6656727651806181E-2</v>
      </c>
      <c r="V35" s="46">
        <f t="shared" si="17"/>
        <v>-8.8600462600800533E-4</v>
      </c>
      <c r="W35" s="428"/>
      <c r="AN35" s="32">
        <f t="shared" si="2"/>
        <v>60</v>
      </c>
      <c r="AO35" s="42">
        <f t="shared" si="0"/>
        <v>-12.304047675816754</v>
      </c>
      <c r="AQ35" s="32">
        <f t="shared" si="3"/>
        <v>60</v>
      </c>
      <c r="AR35" s="42">
        <f t="shared" si="1"/>
        <v>-40.575676011416839</v>
      </c>
    </row>
    <row r="36" spans="1:44" x14ac:dyDescent="0.25">
      <c r="A36" s="589">
        <f t="shared" si="11"/>
        <v>9.6153846163016254E-8</v>
      </c>
      <c r="B36" s="32">
        <f t="shared" si="12"/>
        <v>4</v>
      </c>
      <c r="C36" s="441">
        <f>'SOLLECITAZ NASCOSTO'!$D$6/'SOLLECITAZ NASCOSTO'!$B$448*'SOLLECITAZ NASCOSTO'!B36</f>
        <v>2.7403846153846154E-2</v>
      </c>
      <c r="D36" s="132">
        <f t="shared" si="14"/>
        <v>0.30000009615384615</v>
      </c>
      <c r="E36" s="132">
        <f t="shared" si="4"/>
        <v>9.6153846163016254E-8</v>
      </c>
      <c r="F36" s="132">
        <f t="shared" si="5"/>
        <v>0.30000009615384615</v>
      </c>
      <c r="G36" s="132">
        <f t="shared" si="6"/>
        <v>4.5000028846158467E-2</v>
      </c>
      <c r="H36" s="132">
        <f t="shared" si="7"/>
        <v>0</v>
      </c>
      <c r="I36" s="132">
        <v>0</v>
      </c>
      <c r="J36" s="131">
        <f t="shared" si="8"/>
        <v>0.15000004807692308</v>
      </c>
      <c r="K36" s="130">
        <f t="shared" si="9"/>
        <v>2.2500021634622317E-3</v>
      </c>
      <c r="L36" s="42">
        <f t="shared" ref="L36:L354" si="20">L35+N36*(C36-C35)+O36*(C36-C35)/2</f>
        <v>0.11620180749789639</v>
      </c>
      <c r="M36" s="42">
        <f t="shared" si="15"/>
        <v>-1.5808926370376357E-3</v>
      </c>
      <c r="N36" s="42">
        <f>(IF(C35&lt;='SOLLECITAZ NASCOSTO'!$P$12,IF(C35&lt;='SOLLECITAZ NASCOSTO'!$P$11,IF(C35&lt;='SOLLECITAZ NASCOSTO'!$P$10,IF(C35&lt;='SOLLECITAZ NASCOSTO'!$P$9,IF(C35&lt;='SOLLECITAZ NASCOSTO'!$P$8,IF(C35&lt;='SOLLECITAZ NASCOSTO'!$P$7,IF(C35&lt;='SOLLECITAZ NASCOSTO'!$P$6,IF(C35&lt;='SOLLECITAZ NASCOSTO'!$P$5,'Progetto del paramento slu'!$G$105,'Progetto del paramento slu'!$G$106),'Progetto del paramento slu'!$G$107),'Progetto del paramento slu'!$G$108),'Progetto del paramento slu'!$G$109),'Progetto del paramento slu'!$G$110),'Progetto del paramento slu'!$G$111),'Progetto del paramento slu'!$G$112),55555)-IF(C35&lt;='SOLLECITAZ NASCOSTO'!$P$12,IF(C35&lt;='SOLLECITAZ NASCOSTO'!$P$11,IF(C35&lt;='SOLLECITAZ NASCOSTO'!$P$10,IF(C35&lt;='SOLLECITAZ NASCOSTO'!$P$9,IF(C35&lt;='SOLLECITAZ NASCOSTO'!$P$8,IF(C35&lt;='SOLLECITAZ NASCOSTO'!$P$7,IF(C35&lt;='SOLLECITAZ NASCOSTO'!$P$6,IF(C35&lt;='SOLLECITAZ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slu'!$G$112))*(C35-IF(C35&lt;='SOLLECITAZ NASCOSTO'!$P$12,IF(C35&lt;='SOLLECITAZ NASCOSTO'!$P$11,IF(C35&lt;='SOLLECITAZ NASCOSTO'!$P$10,IF(C35&lt;='SOLLECITAZ NASCOSTO'!$P$9,IF(C35&lt;='SOLLECITAZ NASCOSTO'!$P$8,IF(C35&lt;='SOLLECITAZ NASCOSTO'!$P$7,IF(C35&lt;='SOLLECITAZ NASCOSTO'!$P$6,IF(C35&lt;='SOLLECITAZ NASCOSTO'!$P$5,'SOLLECITAZ NASCOSTO'!$P$3,'SOLLECITAZ NASCOSTO'!$P$5),'SOLLECITAZ NASCOSTO'!$P$5),'SOLLECITAZ NASCOSTO'!$P$7),'SOLLECITAZ NASCOSTO'!$P$8),'SOLLECITAZ NASCOSTO'!$P$9),'SOLLECITAZ NASCOSTO'!$P$10),'SOLLECITAZ NASCOSTO'!$P$11),'SOLLECITAZ NASCOSTO'!$P$12))/IF(C35&lt;='SOLLECITAZ NASCOSTO'!$P$12,IF(C35&lt;='SOLLECITAZ NASCOSTO'!$P$11,IF(C35&lt;='SOLLECITAZ NASCOSTO'!$P$10,IF(C35&lt;='SOLLECITAZ NASCOSTO'!$P$9,IF(C35&lt;='SOLLECITAZ NASCOSTO'!$P$8,IF(C35&lt;='SOLLECITAZ NASCOSTO'!$P$7,IF(C35&lt;='SOLLECITAZ NASCOSTO'!$P$6,IF(C35&lt;='SOLLECITAZ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slu'!$C$112)+IF(C35&lt;='SOLLECITAZ NASCOSTO'!$P$12,IF(C35&lt;='SOLLECITAZ NASCOSTO'!$P$11,IF(C35&lt;='SOLLECITAZ NASCOSTO'!$P$10,IF(C35&lt;='SOLLECITAZ NASCOSTO'!$P$9,IF(C35&lt;='SOLLECITAZ NASCOSTO'!$P$8,IF(C35&lt;='SOLLECITAZ NASCOSTO'!$P$7,IF(C35&lt;='SOLLECITAZ NASCOSTO'!$P$6,IF(C35&lt;='SOLLECITAZ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4.288478878564713</v>
      </c>
      <c r="O36" s="42">
        <f>IF(C36&lt;='SOLLECITAZ NASCOSTO'!$P$12,IF(C36&lt;='SOLLECITAZ NASCOSTO'!$P$11,IF(C36&lt;='SOLLECITAZ NASCOSTO'!$P$10,IF(C36&lt;='SOLLECITAZ NASCOSTO'!$P$9,IF(C36&lt;='SOLLECITAZ NASCOSTO'!$P$8,IF(C36&lt;='SOLLECITAZ NASCOSTO'!$P$7,IF(C36&lt;='SOLLECITAZ NASCOSTO'!$P$6,IF(C36&lt;='SOLLECITAZ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slu'!$G$111),55555)*(C36-C35)/IF(C36&lt;='SOLLECITAZ NASCOSTO'!$P$12,IF(C36&lt;='SOLLECITAZ NASCOSTO'!$P$11,IF(C36&lt;='SOLLECITAZ NASCOSTO'!$P$10,IF(C36&lt;='SOLLECITAZ NASCOSTO'!$P$9,IF(C36&lt;='SOLLECITAZ NASCOSTO'!$P$8,IF(C36&lt;='SOLLECITAZ NASCOSTO'!$P$7,IF(C36&lt;='SOLLECITAZ NASCOSTO'!$P$6,IF(C36&lt;='SOLLECITAZ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4.8132218992352468E-2</v>
      </c>
      <c r="P36" s="42">
        <f t="shared" ref="P36:P99" si="21">P35+0.000001</f>
        <v>3.0000000000000001E-6</v>
      </c>
      <c r="Q36" s="42">
        <f t="shared" si="18"/>
        <v>1</v>
      </c>
      <c r="R36" s="441">
        <f t="shared" si="10"/>
        <v>2.7403846153846154E-2</v>
      </c>
      <c r="S36" s="46">
        <f t="shared" si="19"/>
        <v>2.7403846153846154E-2</v>
      </c>
      <c r="T36" s="211">
        <f t="shared" si="13"/>
        <v>3.3225961538461539</v>
      </c>
      <c r="U36" s="46">
        <f t="shared" si="16"/>
        <v>0.11620180749789639</v>
      </c>
      <c r="V36" s="46">
        <f t="shared" si="17"/>
        <v>-1.5808926370376357E-3</v>
      </c>
      <c r="W36" s="428"/>
      <c r="AN36" s="32">
        <f t="shared" si="2"/>
        <v>65</v>
      </c>
      <c r="AO36" s="42">
        <f t="shared" si="0"/>
        <v>-13.329384982134817</v>
      </c>
      <c r="AQ36" s="32">
        <f t="shared" si="3"/>
        <v>65</v>
      </c>
      <c r="AR36" s="42">
        <f t="shared" si="1"/>
        <v>-43.956982345701576</v>
      </c>
    </row>
    <row r="37" spans="1:44" x14ac:dyDescent="0.25">
      <c r="A37" s="589">
        <f t="shared" si="11"/>
        <v>1.2019230766213695E-7</v>
      </c>
      <c r="B37" s="32">
        <f t="shared" si="12"/>
        <v>5</v>
      </c>
      <c r="C37" s="441">
        <f>'SOLLECITAZ NASCOSTO'!$D$6/'SOLLECITAZ NASCOSTO'!$B$448*'SOLLECITAZ NASCOSTO'!B37</f>
        <v>3.4254807692307696E-2</v>
      </c>
      <c r="D37" s="132">
        <f t="shared" si="14"/>
        <v>0.30000012019230765</v>
      </c>
      <c r="E37" s="132">
        <f t="shared" si="4"/>
        <v>1.2019230766213695E-7</v>
      </c>
      <c r="F37" s="132">
        <f t="shared" si="5"/>
        <v>0.30000012019230765</v>
      </c>
      <c r="G37" s="132">
        <f t="shared" si="6"/>
        <v>4.5000036057699519E-2</v>
      </c>
      <c r="H37" s="132">
        <f t="shared" si="7"/>
        <v>0</v>
      </c>
      <c r="I37" s="132">
        <v>0</v>
      </c>
      <c r="J37" s="131">
        <f t="shared" si="8"/>
        <v>0.15000006009615383</v>
      </c>
      <c r="K37" s="130">
        <f t="shared" si="9"/>
        <v>2.2500027043280057E-3</v>
      </c>
      <c r="L37" s="42">
        <f t="shared" si="20"/>
        <v>0.14607663932506407</v>
      </c>
      <c r="M37" s="42">
        <f t="shared" si="15"/>
        <v>-2.4793224128134023E-3</v>
      </c>
      <c r="N37" s="42">
        <f>(IF(C36&lt;='SOLLECITAZ NASCOSTO'!$P$12,IF(C36&lt;='SOLLECITAZ NASCOSTO'!$P$11,IF(C36&lt;='SOLLECITAZ NASCOSTO'!$P$10,IF(C36&lt;='SOLLECITAZ NASCOSTO'!$P$9,IF(C36&lt;='SOLLECITAZ NASCOSTO'!$P$8,IF(C36&lt;='SOLLECITAZ NASCOSTO'!$P$7,IF(C36&lt;='SOLLECITAZ NASCOSTO'!$P$6,IF(C36&lt;='SOLLECITAZ NASCOSTO'!$P$5,'Progetto del paramento slu'!$G$105,'Progetto del paramento slu'!$G$106),'Progetto del paramento slu'!$G$107),'Progetto del paramento slu'!$G$108),'Progetto del paramento slu'!$G$109),'Progetto del paramento slu'!$G$110),'Progetto del paramento slu'!$G$111),'Progetto del paramento slu'!$G$112),55555)-IF(C36&lt;='SOLLECITAZ NASCOSTO'!$P$12,IF(C36&lt;='SOLLECITAZ NASCOSTO'!$P$11,IF(C36&lt;='SOLLECITAZ NASCOSTO'!$P$10,IF(C36&lt;='SOLLECITAZ NASCOSTO'!$P$9,IF(C36&lt;='SOLLECITAZ NASCOSTO'!$P$8,IF(C36&lt;='SOLLECITAZ NASCOSTO'!$P$7,IF(C36&lt;='SOLLECITAZ NASCOSTO'!$P$6,IF(C36&lt;='SOLLECITAZ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slu'!$G$112))*(C36-IF(C36&lt;='SOLLECITAZ NASCOSTO'!$P$12,IF(C36&lt;='SOLLECITAZ NASCOSTO'!$P$11,IF(C36&lt;='SOLLECITAZ NASCOSTO'!$P$10,IF(C36&lt;='SOLLECITAZ NASCOSTO'!$P$9,IF(C36&lt;='SOLLECITAZ NASCOSTO'!$P$8,IF(C36&lt;='SOLLECITAZ NASCOSTO'!$P$7,IF(C36&lt;='SOLLECITAZ NASCOSTO'!$P$6,IF(C36&lt;='SOLLECITAZ NASCOSTO'!$P$5,'SOLLECITAZ NASCOSTO'!$P$3,'SOLLECITAZ NASCOSTO'!$P$5),'SOLLECITAZ NASCOSTO'!$P$5),'SOLLECITAZ NASCOSTO'!$P$7),'SOLLECITAZ NASCOSTO'!$P$8),'SOLLECITAZ NASCOSTO'!$P$9),'SOLLECITAZ NASCOSTO'!$P$10),'SOLLECITAZ NASCOSTO'!$P$11),'SOLLECITAZ NASCOSTO'!$P$12))/IF(C36&lt;='SOLLECITAZ NASCOSTO'!$P$12,IF(C36&lt;='SOLLECITAZ NASCOSTO'!$P$11,IF(C36&lt;='SOLLECITAZ NASCOSTO'!$P$10,IF(C36&lt;='SOLLECITAZ NASCOSTO'!$P$9,IF(C36&lt;='SOLLECITAZ NASCOSTO'!$P$8,IF(C36&lt;='SOLLECITAZ NASCOSTO'!$P$7,IF(C36&lt;='SOLLECITAZ NASCOSTO'!$P$6,IF(C36&lt;='SOLLECITAZ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slu'!$C$112)+IF(C36&lt;='SOLLECITAZ NASCOSTO'!$P$12,IF(C36&lt;='SOLLECITAZ NASCOSTO'!$P$11,IF(C36&lt;='SOLLECITAZ NASCOSTO'!$P$10,IF(C36&lt;='SOLLECITAZ NASCOSTO'!$P$9,IF(C36&lt;='SOLLECITAZ NASCOSTO'!$P$8,IF(C36&lt;='SOLLECITAZ NASCOSTO'!$P$7,IF(C36&lt;='SOLLECITAZ NASCOSTO'!$P$6,IF(C36&lt;='SOLLECITAZ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4.336611097557066</v>
      </c>
      <c r="O37" s="42">
        <f>IF(C37&lt;='SOLLECITAZ NASCOSTO'!$P$12,IF(C37&lt;='SOLLECITAZ NASCOSTO'!$P$11,IF(C37&lt;='SOLLECITAZ NASCOSTO'!$P$10,IF(C37&lt;='SOLLECITAZ NASCOSTO'!$P$9,IF(C37&lt;='SOLLECITAZ NASCOSTO'!$P$8,IF(C37&lt;='SOLLECITAZ NASCOSTO'!$P$7,IF(C37&lt;='SOLLECITAZ NASCOSTO'!$P$6,IF(C37&lt;='SOLLECITAZ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slu'!$G$111),55555)*(C37-C36)/IF(C37&lt;='SOLLECITAZ NASCOSTO'!$P$12,IF(C37&lt;='SOLLECITAZ NASCOSTO'!$P$11,IF(C37&lt;='SOLLECITAZ NASCOSTO'!$P$10,IF(C37&lt;='SOLLECITAZ NASCOSTO'!$P$9,IF(C37&lt;='SOLLECITAZ NASCOSTO'!$P$8,IF(C37&lt;='SOLLECITAZ NASCOSTO'!$P$7,IF(C37&lt;='SOLLECITAZ NASCOSTO'!$P$6,IF(C37&lt;='SOLLECITAZ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7" s="42">
        <f t="shared" si="21"/>
        <v>3.9999999999999998E-6</v>
      </c>
      <c r="Q37" s="42">
        <f t="shared" si="18"/>
        <v>1</v>
      </c>
      <c r="R37" s="441">
        <f t="shared" si="10"/>
        <v>3.4254807692307696E-2</v>
      </c>
      <c r="S37" s="46">
        <f t="shared" si="19"/>
        <v>3.4254807692307696E-2</v>
      </c>
      <c r="T37" s="211">
        <f t="shared" si="13"/>
        <v>3.3157451923076926</v>
      </c>
      <c r="U37" s="46">
        <f t="shared" si="16"/>
        <v>0.14607663932506407</v>
      </c>
      <c r="V37" s="46">
        <f t="shared" si="17"/>
        <v>-2.4793224128134023E-3</v>
      </c>
      <c r="AN37" s="32">
        <f t="shared" si="2"/>
        <v>70</v>
      </c>
      <c r="AO37" s="42">
        <f t="shared" si="0"/>
        <v>-14.35472228845288</v>
      </c>
      <c r="AQ37" s="32">
        <f t="shared" si="3"/>
        <v>70</v>
      </c>
      <c r="AR37" s="42">
        <f t="shared" si="1"/>
        <v>-47.338288679986313</v>
      </c>
    </row>
    <row r="38" spans="1:44" x14ac:dyDescent="0.25">
      <c r="A38" s="589">
        <f t="shared" si="11"/>
        <v>1.4423076921676881E-7</v>
      </c>
      <c r="B38" s="32">
        <f t="shared" si="12"/>
        <v>6</v>
      </c>
      <c r="C38" s="441">
        <f>'SOLLECITAZ NASCOSTO'!$D$6/'SOLLECITAZ NASCOSTO'!$B$448*'SOLLECITAZ NASCOSTO'!B38</f>
        <v>4.110576923076923E-2</v>
      </c>
      <c r="D38" s="132">
        <f t="shared" si="14"/>
        <v>0.30000014423076921</v>
      </c>
      <c r="E38" s="132">
        <f t="shared" si="4"/>
        <v>1.4423076921676881E-7</v>
      </c>
      <c r="F38" s="132">
        <f t="shared" si="5"/>
        <v>0.30000014423076921</v>
      </c>
      <c r="G38" s="132">
        <f t="shared" si="6"/>
        <v>4.5000043269241168E-2</v>
      </c>
      <c r="H38" s="132">
        <f t="shared" si="7"/>
        <v>0</v>
      </c>
      <c r="I38" s="132">
        <v>0</v>
      </c>
      <c r="J38" s="131">
        <f t="shared" si="8"/>
        <v>0.15000007211538463</v>
      </c>
      <c r="K38" s="130">
        <f t="shared" si="9"/>
        <v>2.2500032451938674E-3</v>
      </c>
      <c r="L38" s="42">
        <f t="shared" si="20"/>
        <v>0.17628122313330913</v>
      </c>
      <c r="M38" s="42">
        <f t="shared" si="15"/>
        <v>-3.5835530714748965E-3</v>
      </c>
      <c r="N38" s="42">
        <f>(IF(C37&lt;='SOLLECITAZ NASCOSTO'!$P$12,IF(C37&lt;='SOLLECITAZ NASCOSTO'!$P$11,IF(C37&lt;='SOLLECITAZ NASCOSTO'!$P$10,IF(C37&lt;='SOLLECITAZ NASCOSTO'!$P$9,IF(C37&lt;='SOLLECITAZ NASCOSTO'!$P$8,IF(C37&lt;='SOLLECITAZ NASCOSTO'!$P$7,IF(C37&lt;='SOLLECITAZ NASCOSTO'!$P$6,IF(C37&lt;='SOLLECITAZ NASCOSTO'!$P$5,'Progetto del paramento slu'!$G$105,'Progetto del paramento slu'!$G$106),'Progetto del paramento slu'!$G$107),'Progetto del paramento slu'!$G$108),'Progetto del paramento slu'!$G$109),'Progetto del paramento slu'!$G$110),'Progetto del paramento slu'!$G$111),'Progetto del paramento slu'!$G$112),55555)-IF(C37&lt;='SOLLECITAZ NASCOSTO'!$P$12,IF(C37&lt;='SOLLECITAZ NASCOSTO'!$P$11,IF(C37&lt;='SOLLECITAZ NASCOSTO'!$P$10,IF(C37&lt;='SOLLECITAZ NASCOSTO'!$P$9,IF(C37&lt;='SOLLECITAZ NASCOSTO'!$P$8,IF(C37&lt;='SOLLECITAZ NASCOSTO'!$P$7,IF(C37&lt;='SOLLECITAZ NASCOSTO'!$P$6,IF(C37&lt;='SOLLECITAZ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slu'!$G$112))*(C37-IF(C37&lt;='SOLLECITAZ NASCOSTO'!$P$12,IF(C37&lt;='SOLLECITAZ NASCOSTO'!$P$11,IF(C37&lt;='SOLLECITAZ NASCOSTO'!$P$10,IF(C37&lt;='SOLLECITAZ NASCOSTO'!$P$9,IF(C37&lt;='SOLLECITAZ NASCOSTO'!$P$8,IF(C37&lt;='SOLLECITAZ NASCOSTO'!$P$7,IF(C37&lt;='SOLLECITAZ NASCOSTO'!$P$6,IF(C37&lt;='SOLLECITAZ NASCOSTO'!$P$5,'SOLLECITAZ NASCOSTO'!$P$3,'SOLLECITAZ NASCOSTO'!$P$5),'SOLLECITAZ NASCOSTO'!$P$5),'SOLLECITAZ NASCOSTO'!$P$7),'SOLLECITAZ NASCOSTO'!$P$8),'SOLLECITAZ NASCOSTO'!$P$9),'SOLLECITAZ NASCOSTO'!$P$10),'SOLLECITAZ NASCOSTO'!$P$11),'SOLLECITAZ NASCOSTO'!$P$12))/IF(C37&lt;='SOLLECITAZ NASCOSTO'!$P$12,IF(C37&lt;='SOLLECITAZ NASCOSTO'!$P$11,IF(C37&lt;='SOLLECITAZ NASCOSTO'!$P$10,IF(C37&lt;='SOLLECITAZ NASCOSTO'!$P$9,IF(C37&lt;='SOLLECITAZ NASCOSTO'!$P$8,IF(C37&lt;='SOLLECITAZ NASCOSTO'!$P$7,IF(C37&lt;='SOLLECITAZ NASCOSTO'!$P$6,IF(C37&lt;='SOLLECITAZ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slu'!$C$112)+IF(C37&lt;='SOLLECITAZ NASCOSTO'!$P$12,IF(C37&lt;='SOLLECITAZ NASCOSTO'!$P$11,IF(C37&lt;='SOLLECITAZ NASCOSTO'!$P$10,IF(C37&lt;='SOLLECITAZ NASCOSTO'!$P$9,IF(C37&lt;='SOLLECITAZ NASCOSTO'!$P$8,IF(C37&lt;='SOLLECITAZ NASCOSTO'!$P$7,IF(C37&lt;='SOLLECITAZ NASCOSTO'!$P$6,IF(C37&lt;='SOLLECITAZ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4.3847433165494181</v>
      </c>
      <c r="O38" s="42">
        <f>IF(C38&lt;='SOLLECITAZ NASCOSTO'!$P$12,IF(C38&lt;='SOLLECITAZ NASCOSTO'!$P$11,IF(C38&lt;='SOLLECITAZ NASCOSTO'!$P$10,IF(C38&lt;='SOLLECITAZ NASCOSTO'!$P$9,IF(C38&lt;='SOLLECITAZ NASCOSTO'!$P$8,IF(C38&lt;='SOLLECITAZ NASCOSTO'!$P$7,IF(C38&lt;='SOLLECITAZ NASCOSTO'!$P$6,IF(C38&lt;='SOLLECITAZ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slu'!$G$111),55555)*(C38-C37)/IF(C38&lt;='SOLLECITAZ NASCOSTO'!$P$12,IF(C38&lt;='SOLLECITAZ NASCOSTO'!$P$11,IF(C38&lt;='SOLLECITAZ NASCOSTO'!$P$10,IF(C38&lt;='SOLLECITAZ NASCOSTO'!$P$9,IF(C38&lt;='SOLLECITAZ NASCOSTO'!$P$8,IF(C38&lt;='SOLLECITAZ NASCOSTO'!$P$7,IF(C38&lt;='SOLLECITAZ NASCOSTO'!$P$6,IF(C38&lt;='SOLLECITAZ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4.8132218992352434E-2</v>
      </c>
      <c r="P38" s="42">
        <f t="shared" si="21"/>
        <v>4.9999999999999996E-6</v>
      </c>
      <c r="Q38" s="42">
        <f t="shared" si="18"/>
        <v>1</v>
      </c>
      <c r="R38" s="441">
        <f t="shared" si="10"/>
        <v>4.110576923076923E-2</v>
      </c>
      <c r="S38" s="46">
        <f t="shared" si="19"/>
        <v>4.110576923076923E-2</v>
      </c>
      <c r="T38" s="211">
        <f t="shared" si="13"/>
        <v>3.3088942307692308</v>
      </c>
      <c r="U38" s="46">
        <f t="shared" si="16"/>
        <v>0.17628122313330913</v>
      </c>
      <c r="V38" s="46">
        <f t="shared" si="17"/>
        <v>-3.5835530714748965E-3</v>
      </c>
      <c r="W38" s="496"/>
      <c r="AN38" s="32">
        <f t="shared" si="2"/>
        <v>75</v>
      </c>
      <c r="AO38" s="42">
        <f t="shared" si="0"/>
        <v>-15.380059594770943</v>
      </c>
      <c r="AQ38" s="32">
        <f t="shared" si="3"/>
        <v>75</v>
      </c>
      <c r="AR38" s="42">
        <f t="shared" si="1"/>
        <v>-50.71959501427105</v>
      </c>
    </row>
    <row r="39" spans="1:44" x14ac:dyDescent="0.25">
      <c r="A39" s="589">
        <f t="shared" si="11"/>
        <v>1.6826923077140066E-7</v>
      </c>
      <c r="B39" s="32">
        <f>B38+1</f>
        <v>7</v>
      </c>
      <c r="C39" s="441">
        <f>'SOLLECITAZ NASCOSTO'!$D$6/'SOLLECITAZ NASCOSTO'!$B$448*'SOLLECITAZ NASCOSTO'!B39</f>
        <v>4.7956730769230765E-2</v>
      </c>
      <c r="D39" s="132">
        <f t="shared" si="14"/>
        <v>0.30000016826923076</v>
      </c>
      <c r="E39" s="132">
        <f t="shared" si="4"/>
        <v>1.6826923077140066E-7</v>
      </c>
      <c r="F39" s="132">
        <f t="shared" si="5"/>
        <v>0.30000016826923076</v>
      </c>
      <c r="G39" s="132">
        <f t="shared" si="6"/>
        <v>4.5000050480783385E-2</v>
      </c>
      <c r="H39" s="132">
        <f t="shared" si="7"/>
        <v>0</v>
      </c>
      <c r="I39" s="132">
        <v>0</v>
      </c>
      <c r="J39" s="131">
        <f t="shared" si="8"/>
        <v>0.15000008413461538</v>
      </c>
      <c r="K39" s="130">
        <f t="shared" si="9"/>
        <v>2.2500037860598157E-3</v>
      </c>
      <c r="L39" s="42">
        <f>L38+N39*(C39-C38)+O39*(C39-C38)/2</f>
        <v>0.20681555892263159</v>
      </c>
      <c r="M39" s="42">
        <f t="shared" si="15"/>
        <v>-4.8958437311617115E-3</v>
      </c>
      <c r="N39" s="42">
        <f>(IF(C38&lt;='SOLLECITAZ NASCOSTO'!$P$12,IF(C38&lt;='SOLLECITAZ NASCOSTO'!$P$11,IF(C38&lt;='SOLLECITAZ NASCOSTO'!$P$10,IF(C38&lt;='SOLLECITAZ NASCOSTO'!$P$9,IF(C38&lt;='SOLLECITAZ NASCOSTO'!$P$8,IF(C38&lt;='SOLLECITAZ NASCOSTO'!$P$7,IF(C38&lt;='SOLLECITAZ NASCOSTO'!$P$6,IF(C38&lt;='SOLLECITAZ NASCOSTO'!$P$5,'Progetto del paramento slu'!$G$105,'Progetto del paramento slu'!$G$106),'Progetto del paramento slu'!$G$107),'Progetto del paramento slu'!$G$108),'Progetto del paramento slu'!$G$109),'Progetto del paramento slu'!$G$110),'Progetto del paramento slu'!$G$111),'Progetto del paramento slu'!$G$112),55555)-IF(C38&lt;='SOLLECITAZ NASCOSTO'!$P$12,IF(C38&lt;='SOLLECITAZ NASCOSTO'!$P$11,IF(C38&lt;='SOLLECITAZ NASCOSTO'!$P$10,IF(C38&lt;='SOLLECITAZ NASCOSTO'!$P$9,IF(C38&lt;='SOLLECITAZ NASCOSTO'!$P$8,IF(C38&lt;='SOLLECITAZ NASCOSTO'!$P$7,IF(C38&lt;='SOLLECITAZ NASCOSTO'!$P$6,IF(C38&lt;='SOLLECITAZ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slu'!$G$112))*(C38-IF(C38&lt;='SOLLECITAZ NASCOSTO'!$P$12,IF(C38&lt;='SOLLECITAZ NASCOSTO'!$P$11,IF(C38&lt;='SOLLECITAZ NASCOSTO'!$P$10,IF(C38&lt;='SOLLECITAZ NASCOSTO'!$P$9,IF(C38&lt;='SOLLECITAZ NASCOSTO'!$P$8,IF(C38&lt;='SOLLECITAZ NASCOSTO'!$P$7,IF(C38&lt;='SOLLECITAZ NASCOSTO'!$P$6,IF(C38&lt;='SOLLECITAZ NASCOSTO'!$P$5,'SOLLECITAZ NASCOSTO'!$P$3,'SOLLECITAZ NASCOSTO'!$P$5),'SOLLECITAZ NASCOSTO'!$P$5),'SOLLECITAZ NASCOSTO'!$P$7),'SOLLECITAZ NASCOSTO'!$P$8),'SOLLECITAZ NASCOSTO'!$P$9),'SOLLECITAZ NASCOSTO'!$P$10),'SOLLECITAZ NASCOSTO'!$P$11),'SOLLECITAZ NASCOSTO'!$P$12))/IF(C38&lt;='SOLLECITAZ NASCOSTO'!$P$12,IF(C38&lt;='SOLLECITAZ NASCOSTO'!$P$11,IF(C38&lt;='SOLLECITAZ NASCOSTO'!$P$10,IF(C38&lt;='SOLLECITAZ NASCOSTO'!$P$9,IF(C38&lt;='SOLLECITAZ NASCOSTO'!$P$8,IF(C38&lt;='SOLLECITAZ NASCOSTO'!$P$7,IF(C38&lt;='SOLLECITAZ NASCOSTO'!$P$6,IF(C38&lt;='SOLLECITAZ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slu'!$C$112)+IF(C38&lt;='SOLLECITAZ NASCOSTO'!$P$12,IF(C38&lt;='SOLLECITAZ NASCOSTO'!$P$11,IF(C38&lt;='SOLLECITAZ NASCOSTO'!$P$10,IF(C38&lt;='SOLLECITAZ NASCOSTO'!$P$9,IF(C38&lt;='SOLLECITAZ NASCOSTO'!$P$8,IF(C38&lt;='SOLLECITAZ NASCOSTO'!$P$7,IF(C38&lt;='SOLLECITAZ NASCOSTO'!$P$6,IF(C38&lt;='SOLLECITAZ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4.4328755355417702</v>
      </c>
      <c r="O39" s="42">
        <f>IF(C39&lt;='SOLLECITAZ NASCOSTO'!$P$12,IF(C39&lt;='SOLLECITAZ NASCOSTO'!$P$11,IF(C39&lt;='SOLLECITAZ NASCOSTO'!$P$10,IF(C39&lt;='SOLLECITAZ NASCOSTO'!$P$9,IF(C39&lt;='SOLLECITAZ NASCOSTO'!$P$8,IF(C39&lt;='SOLLECITAZ NASCOSTO'!$P$7,IF(C39&lt;='SOLLECITAZ NASCOSTO'!$P$6,IF(C39&lt;='SOLLECITAZ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slu'!$G$111),55555)*(C39-C38)/IF(C39&lt;='SOLLECITAZ NASCOSTO'!$P$12,IF(C39&lt;='SOLLECITAZ NASCOSTO'!$P$11,IF(C39&lt;='SOLLECITAZ NASCOSTO'!$P$10,IF(C39&lt;='SOLLECITAZ NASCOSTO'!$P$9,IF(C39&lt;='SOLLECITAZ NASCOSTO'!$P$8,IF(C39&lt;='SOLLECITAZ NASCOSTO'!$P$7,IF(C39&lt;='SOLLECITAZ NASCOSTO'!$P$6,IF(C39&lt;='SOLLECITAZ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4.8132218992352434E-2</v>
      </c>
      <c r="P39" s="42">
        <f t="shared" si="21"/>
        <v>5.9999999999999993E-6</v>
      </c>
      <c r="Q39" s="42">
        <f t="shared" si="18"/>
        <v>1</v>
      </c>
      <c r="R39" s="441">
        <f t="shared" si="10"/>
        <v>4.7956730769230765E-2</v>
      </c>
      <c r="S39" s="46">
        <f t="shared" si="19"/>
        <v>4.7956730769230765E-2</v>
      </c>
      <c r="T39" s="211">
        <f t="shared" si="13"/>
        <v>3.3020432692307695</v>
      </c>
      <c r="U39" s="46">
        <f t="shared" si="16"/>
        <v>0.20681555892263159</v>
      </c>
      <c r="V39" s="46">
        <f t="shared" si="17"/>
        <v>-4.8958437311617115E-3</v>
      </c>
      <c r="W39" s="496"/>
      <c r="AN39" s="32">
        <f t="shared" si="2"/>
        <v>80</v>
      </c>
      <c r="AO39" s="42">
        <f t="shared" si="0"/>
        <v>-16.405396901089006</v>
      </c>
      <c r="AQ39" s="32">
        <f t="shared" si="3"/>
        <v>80</v>
      </c>
      <c r="AR39" s="42">
        <f t="shared" si="1"/>
        <v>-54.100901348555787</v>
      </c>
    </row>
    <row r="40" spans="1:44" x14ac:dyDescent="0.25">
      <c r="A40" s="589">
        <f t="shared" si="11"/>
        <v>1.9230769232603251E-7</v>
      </c>
      <c r="B40" s="32">
        <f t="shared" si="12"/>
        <v>8</v>
      </c>
      <c r="C40" s="441">
        <f>'SOLLECITAZ NASCOSTO'!$D$6/'SOLLECITAZ NASCOSTO'!$B$448*'SOLLECITAZ NASCOSTO'!B40</f>
        <v>5.4807692307692307E-2</v>
      </c>
      <c r="D40" s="132">
        <f t="shared" si="14"/>
        <v>0.30000019230769231</v>
      </c>
      <c r="E40" s="132">
        <f t="shared" si="4"/>
        <v>1.9230769232603251E-7</v>
      </c>
      <c r="F40" s="132">
        <f t="shared" si="5"/>
        <v>0.30000019230769231</v>
      </c>
      <c r="G40" s="132">
        <f t="shared" si="6"/>
        <v>4.5000057692326186E-2</v>
      </c>
      <c r="H40" s="132">
        <f t="shared" si="7"/>
        <v>0</v>
      </c>
      <c r="I40" s="132">
        <v>0</v>
      </c>
      <c r="J40" s="131">
        <f t="shared" si="8"/>
        <v>0.15000009615384616</v>
      </c>
      <c r="K40" s="130">
        <f t="shared" si="9"/>
        <v>2.2500043269258509E-3</v>
      </c>
      <c r="L40" s="42">
        <f t="shared" si="20"/>
        <v>0.23767964669303152</v>
      </c>
      <c r="M40" s="42">
        <f t="shared" si="15"/>
        <v>-6.4184535100134431E-3</v>
      </c>
      <c r="N40" s="42">
        <f>(IF(C39&lt;='SOLLECITAZ NASCOSTO'!$P$12,IF(C39&lt;='SOLLECITAZ NASCOSTO'!$P$11,IF(C39&lt;='SOLLECITAZ NASCOSTO'!$P$10,IF(C39&lt;='SOLLECITAZ NASCOSTO'!$P$9,IF(C39&lt;='SOLLECITAZ NASCOSTO'!$P$8,IF(C39&lt;='SOLLECITAZ NASCOSTO'!$P$7,IF(C39&lt;='SOLLECITAZ NASCOSTO'!$P$6,IF(C39&lt;='SOLLECITAZ NASCOSTO'!$P$5,'Progetto del paramento slu'!$G$105,'Progetto del paramento slu'!$G$106),'Progetto del paramento slu'!$G$107),'Progetto del paramento slu'!$G$108),'Progetto del paramento slu'!$G$109),'Progetto del paramento slu'!$G$110),'Progetto del paramento slu'!$G$111),'Progetto del paramento slu'!$G$112),55555)-IF(C39&lt;='SOLLECITAZ NASCOSTO'!$P$12,IF(C39&lt;='SOLLECITAZ NASCOSTO'!$P$11,IF(C39&lt;='SOLLECITAZ NASCOSTO'!$P$10,IF(C39&lt;='SOLLECITAZ NASCOSTO'!$P$9,IF(C39&lt;='SOLLECITAZ NASCOSTO'!$P$8,IF(C39&lt;='SOLLECITAZ NASCOSTO'!$P$7,IF(C39&lt;='SOLLECITAZ NASCOSTO'!$P$6,IF(C39&lt;='SOLLECITAZ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slu'!$G$112))*(C39-IF(C39&lt;='SOLLECITAZ NASCOSTO'!$P$12,IF(C39&lt;='SOLLECITAZ NASCOSTO'!$P$11,IF(C39&lt;='SOLLECITAZ NASCOSTO'!$P$10,IF(C39&lt;='SOLLECITAZ NASCOSTO'!$P$9,IF(C39&lt;='SOLLECITAZ NASCOSTO'!$P$8,IF(C39&lt;='SOLLECITAZ NASCOSTO'!$P$7,IF(C39&lt;='SOLLECITAZ NASCOSTO'!$P$6,IF(C39&lt;='SOLLECITAZ NASCOSTO'!$P$5,'SOLLECITAZ NASCOSTO'!$P$3,'SOLLECITAZ NASCOSTO'!$P$5),'SOLLECITAZ NASCOSTO'!$P$5),'SOLLECITAZ NASCOSTO'!$P$7),'SOLLECITAZ NASCOSTO'!$P$8),'SOLLECITAZ NASCOSTO'!$P$9),'SOLLECITAZ NASCOSTO'!$P$10),'SOLLECITAZ NASCOSTO'!$P$11),'SOLLECITAZ NASCOSTO'!$P$12))/IF(C39&lt;='SOLLECITAZ NASCOSTO'!$P$12,IF(C39&lt;='SOLLECITAZ NASCOSTO'!$P$11,IF(C39&lt;='SOLLECITAZ NASCOSTO'!$P$10,IF(C39&lt;='SOLLECITAZ NASCOSTO'!$P$9,IF(C39&lt;='SOLLECITAZ NASCOSTO'!$P$8,IF(C39&lt;='SOLLECITAZ NASCOSTO'!$P$7,IF(C39&lt;='SOLLECITAZ NASCOSTO'!$P$6,IF(C39&lt;='SOLLECITAZ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slu'!$C$112)+IF(C39&lt;='SOLLECITAZ NASCOSTO'!$P$12,IF(C39&lt;='SOLLECITAZ NASCOSTO'!$P$11,IF(C39&lt;='SOLLECITAZ NASCOSTO'!$P$10,IF(C39&lt;='SOLLECITAZ NASCOSTO'!$P$9,IF(C39&lt;='SOLLECITAZ NASCOSTO'!$P$8,IF(C39&lt;='SOLLECITAZ NASCOSTO'!$P$7,IF(C39&lt;='SOLLECITAZ NASCOSTO'!$P$6,IF(C39&lt;='SOLLECITAZ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4.4810077545341231</v>
      </c>
      <c r="O40" s="42">
        <f>IF(C40&lt;='SOLLECITAZ NASCOSTO'!$P$12,IF(C40&lt;='SOLLECITAZ NASCOSTO'!$P$11,IF(C40&lt;='SOLLECITAZ NASCOSTO'!$P$10,IF(C40&lt;='SOLLECITAZ NASCOSTO'!$P$9,IF(C40&lt;='SOLLECITAZ NASCOSTO'!$P$8,IF(C40&lt;='SOLLECITAZ NASCOSTO'!$P$7,IF(C40&lt;='SOLLECITAZ NASCOSTO'!$P$6,IF(C40&lt;='SOLLECITAZ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slu'!$G$111),55555)*(C40-C39)/IF(C40&lt;='SOLLECITAZ NASCOSTO'!$P$12,IF(C40&lt;='SOLLECITAZ NASCOSTO'!$P$11,IF(C40&lt;='SOLLECITAZ NASCOSTO'!$P$10,IF(C40&lt;='SOLLECITAZ NASCOSTO'!$P$9,IF(C40&lt;='SOLLECITAZ NASCOSTO'!$P$8,IF(C40&lt;='SOLLECITAZ NASCOSTO'!$P$7,IF(C40&lt;='SOLLECITAZ NASCOSTO'!$P$6,IF(C40&lt;='SOLLECITAZ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0" s="42">
        <f t="shared" si="21"/>
        <v>6.999999999999999E-6</v>
      </c>
      <c r="Q40" s="42">
        <f t="shared" si="18"/>
        <v>1</v>
      </c>
      <c r="R40" s="441">
        <f t="shared" si="10"/>
        <v>5.4807692307692307E-2</v>
      </c>
      <c r="S40" s="46">
        <f t="shared" si="19"/>
        <v>5.4807692307692307E-2</v>
      </c>
      <c r="T40" s="211">
        <f t="shared" si="13"/>
        <v>3.2951923076923078</v>
      </c>
      <c r="U40" s="46">
        <f t="shared" si="16"/>
        <v>0.23767964669303152</v>
      </c>
      <c r="V40" s="46">
        <f t="shared" si="17"/>
        <v>-6.4184535100134431E-3</v>
      </c>
      <c r="W40" s="496"/>
      <c r="AN40" s="32">
        <f t="shared" si="2"/>
        <v>85</v>
      </c>
      <c r="AO40" s="42">
        <f t="shared" si="0"/>
        <v>-17.43073420740707</v>
      </c>
      <c r="AQ40" s="32">
        <f t="shared" si="3"/>
        <v>85</v>
      </c>
      <c r="AR40" s="42">
        <f t="shared" si="1"/>
        <v>-57.482207682840524</v>
      </c>
    </row>
    <row r="41" spans="1:44" x14ac:dyDescent="0.25">
      <c r="A41" s="589">
        <f t="shared" si="11"/>
        <v>2.1634615382515321E-7</v>
      </c>
      <c r="B41" s="32">
        <f t="shared" si="12"/>
        <v>9</v>
      </c>
      <c r="C41" s="441">
        <f>'SOLLECITAZ NASCOSTO'!$D$6/'SOLLECITAZ NASCOSTO'!$B$448*'SOLLECITAZ NASCOSTO'!B41</f>
        <v>6.1658653846153849E-2</v>
      </c>
      <c r="D41" s="132">
        <f t="shared" si="14"/>
        <v>0.30000021634615381</v>
      </c>
      <c r="E41" s="132">
        <f t="shared" si="4"/>
        <v>2.1634615382515321E-7</v>
      </c>
      <c r="F41" s="132">
        <f t="shared" si="5"/>
        <v>0.30000021634615381</v>
      </c>
      <c r="G41" s="132">
        <f t="shared" si="6"/>
        <v>4.5000064903869548E-2</v>
      </c>
      <c r="H41" s="132">
        <f t="shared" si="7"/>
        <v>0</v>
      </c>
      <c r="I41" s="132">
        <v>0</v>
      </c>
      <c r="J41" s="131">
        <f t="shared" si="8"/>
        <v>0.15000010817307691</v>
      </c>
      <c r="K41" s="130">
        <f t="shared" si="9"/>
        <v>2.250004867791971E-3</v>
      </c>
      <c r="L41" s="42">
        <f t="shared" si="20"/>
        <v>0.26887348644450881</v>
      </c>
      <c r="M41" s="42">
        <f t="shared" si="15"/>
        <v>-8.1536415261696821E-3</v>
      </c>
      <c r="N41" s="42">
        <f>(IF(C40&lt;='SOLLECITAZ NASCOSTO'!$P$12,IF(C40&lt;='SOLLECITAZ NASCOSTO'!$P$11,IF(C40&lt;='SOLLECITAZ NASCOSTO'!$P$10,IF(C40&lt;='SOLLECITAZ NASCOSTO'!$P$9,IF(C40&lt;='SOLLECITAZ NASCOSTO'!$P$8,IF(C40&lt;='SOLLECITAZ NASCOSTO'!$P$7,IF(C40&lt;='SOLLECITAZ NASCOSTO'!$P$6,IF(C40&lt;='SOLLECITAZ NASCOSTO'!$P$5,'Progetto del paramento slu'!$G$105,'Progetto del paramento slu'!$G$106),'Progetto del paramento slu'!$G$107),'Progetto del paramento slu'!$G$108),'Progetto del paramento slu'!$G$109),'Progetto del paramento slu'!$G$110),'Progetto del paramento slu'!$G$111),'Progetto del paramento slu'!$G$112),55555)-IF(C40&lt;='SOLLECITAZ NASCOSTO'!$P$12,IF(C40&lt;='SOLLECITAZ NASCOSTO'!$P$11,IF(C40&lt;='SOLLECITAZ NASCOSTO'!$P$10,IF(C40&lt;='SOLLECITAZ NASCOSTO'!$P$9,IF(C40&lt;='SOLLECITAZ NASCOSTO'!$P$8,IF(C40&lt;='SOLLECITAZ NASCOSTO'!$P$7,IF(C40&lt;='SOLLECITAZ NASCOSTO'!$P$6,IF(C40&lt;='SOLLECITAZ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slu'!$G$112))*(C40-IF(C40&lt;='SOLLECITAZ NASCOSTO'!$P$12,IF(C40&lt;='SOLLECITAZ NASCOSTO'!$P$11,IF(C40&lt;='SOLLECITAZ NASCOSTO'!$P$10,IF(C40&lt;='SOLLECITAZ NASCOSTO'!$P$9,IF(C40&lt;='SOLLECITAZ NASCOSTO'!$P$8,IF(C40&lt;='SOLLECITAZ NASCOSTO'!$P$7,IF(C40&lt;='SOLLECITAZ NASCOSTO'!$P$6,IF(C40&lt;='SOLLECITAZ NASCOSTO'!$P$5,'SOLLECITAZ NASCOSTO'!$P$3,'SOLLECITAZ NASCOSTO'!$P$5),'SOLLECITAZ NASCOSTO'!$P$5),'SOLLECITAZ NASCOSTO'!$P$7),'SOLLECITAZ NASCOSTO'!$P$8),'SOLLECITAZ NASCOSTO'!$P$9),'SOLLECITAZ NASCOSTO'!$P$10),'SOLLECITAZ NASCOSTO'!$P$11),'SOLLECITAZ NASCOSTO'!$P$12))/IF(C40&lt;='SOLLECITAZ NASCOSTO'!$P$12,IF(C40&lt;='SOLLECITAZ NASCOSTO'!$P$11,IF(C40&lt;='SOLLECITAZ NASCOSTO'!$P$10,IF(C40&lt;='SOLLECITAZ NASCOSTO'!$P$9,IF(C40&lt;='SOLLECITAZ NASCOSTO'!$P$8,IF(C40&lt;='SOLLECITAZ NASCOSTO'!$P$7,IF(C40&lt;='SOLLECITAZ NASCOSTO'!$P$6,IF(C40&lt;='SOLLECITAZ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slu'!$C$112)+IF(C40&lt;='SOLLECITAZ NASCOSTO'!$P$12,IF(C40&lt;='SOLLECITAZ NASCOSTO'!$P$11,IF(C40&lt;='SOLLECITAZ NASCOSTO'!$P$10,IF(C40&lt;='SOLLECITAZ NASCOSTO'!$P$9,IF(C40&lt;='SOLLECITAZ NASCOSTO'!$P$8,IF(C40&lt;='SOLLECITAZ NASCOSTO'!$P$7,IF(C40&lt;='SOLLECITAZ NASCOSTO'!$P$6,IF(C40&lt;='SOLLECITAZ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4.5291399735264752</v>
      </c>
      <c r="O41" s="42">
        <f>IF(C41&lt;='SOLLECITAZ NASCOSTO'!$P$12,IF(C41&lt;='SOLLECITAZ NASCOSTO'!$P$11,IF(C41&lt;='SOLLECITAZ NASCOSTO'!$P$10,IF(C41&lt;='SOLLECITAZ NASCOSTO'!$P$9,IF(C41&lt;='SOLLECITAZ NASCOSTO'!$P$8,IF(C41&lt;='SOLLECITAZ NASCOSTO'!$P$7,IF(C41&lt;='SOLLECITAZ NASCOSTO'!$P$6,IF(C41&lt;='SOLLECITAZ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slu'!$G$111),55555)*(C41-C40)/IF(C41&lt;='SOLLECITAZ NASCOSTO'!$P$12,IF(C41&lt;='SOLLECITAZ NASCOSTO'!$P$11,IF(C41&lt;='SOLLECITAZ NASCOSTO'!$P$10,IF(C41&lt;='SOLLECITAZ NASCOSTO'!$P$9,IF(C41&lt;='SOLLECITAZ NASCOSTO'!$P$8,IF(C41&lt;='SOLLECITAZ NASCOSTO'!$P$7,IF(C41&lt;='SOLLECITAZ NASCOSTO'!$P$6,IF(C41&lt;='SOLLECITAZ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1" s="42">
        <f t="shared" si="21"/>
        <v>7.9999999999999996E-6</v>
      </c>
      <c r="Q41" s="42">
        <f t="shared" si="18"/>
        <v>1</v>
      </c>
      <c r="R41" s="441">
        <f t="shared" si="10"/>
        <v>6.1658653846153849E-2</v>
      </c>
      <c r="S41" s="46">
        <f t="shared" si="19"/>
        <v>6.1658653846153849E-2</v>
      </c>
      <c r="T41" s="211">
        <f t="shared" si="13"/>
        <v>3.2883413461538464</v>
      </c>
      <c r="U41" s="46">
        <f t="shared" si="16"/>
        <v>0.26887348644450881</v>
      </c>
      <c r="V41" s="46">
        <f t="shared" si="17"/>
        <v>-8.1536415261696821E-3</v>
      </c>
      <c r="W41" s="496"/>
      <c r="AN41" s="32">
        <f t="shared" si="2"/>
        <v>90</v>
      </c>
      <c r="AO41" s="42">
        <f t="shared" si="0"/>
        <v>-18.456071513725131</v>
      </c>
      <c r="AQ41" s="32">
        <f t="shared" si="3"/>
        <v>90</v>
      </c>
      <c r="AR41" s="42">
        <f t="shared" si="1"/>
        <v>-60.863514017125262</v>
      </c>
    </row>
    <row r="42" spans="1:44" x14ac:dyDescent="0.25">
      <c r="A42" s="589">
        <f t="shared" si="11"/>
        <v>2.4038461537978506E-7</v>
      </c>
      <c r="B42" s="32">
        <f t="shared" si="12"/>
        <v>10</v>
      </c>
      <c r="C42" s="441">
        <f>'SOLLECITAZ NASCOSTO'!$D$6/'SOLLECITAZ NASCOSTO'!$B$448*'SOLLECITAZ NASCOSTO'!B42</f>
        <v>6.8509615384615391E-2</v>
      </c>
      <c r="D42" s="132">
        <f t="shared" si="14"/>
        <v>0.30000024038461537</v>
      </c>
      <c r="E42" s="132">
        <f t="shared" si="4"/>
        <v>2.4038461537978506E-7</v>
      </c>
      <c r="F42" s="132">
        <f t="shared" si="5"/>
        <v>0.30000024038461537</v>
      </c>
      <c r="G42" s="132">
        <f t="shared" si="6"/>
        <v>4.5000072115413507E-2</v>
      </c>
      <c r="H42" s="132">
        <f t="shared" si="7"/>
        <v>0</v>
      </c>
      <c r="I42" s="132">
        <v>0</v>
      </c>
      <c r="J42" s="131">
        <f t="shared" si="8"/>
        <v>0.15000012019230771</v>
      </c>
      <c r="K42" s="130">
        <f t="shared" si="9"/>
        <v>2.2500054086581796E-3</v>
      </c>
      <c r="L42" s="42">
        <f t="shared" si="20"/>
        <v>0.30039707817706357</v>
      </c>
      <c r="M42" s="42">
        <f t="shared" si="15"/>
        <v>-1.0103666897770021E-2</v>
      </c>
      <c r="N42" s="42">
        <f>(IF(C41&lt;='SOLLECITAZ NASCOSTO'!$P$12,IF(C41&lt;='SOLLECITAZ NASCOSTO'!$P$11,IF(C41&lt;='SOLLECITAZ NASCOSTO'!$P$10,IF(C41&lt;='SOLLECITAZ NASCOSTO'!$P$9,IF(C41&lt;='SOLLECITAZ NASCOSTO'!$P$8,IF(C41&lt;='SOLLECITAZ NASCOSTO'!$P$7,IF(C41&lt;='SOLLECITAZ NASCOSTO'!$P$6,IF(C41&lt;='SOLLECITAZ NASCOSTO'!$P$5,'Progetto del paramento slu'!$G$105,'Progetto del paramento slu'!$G$106),'Progetto del paramento slu'!$G$107),'Progetto del paramento slu'!$G$108),'Progetto del paramento slu'!$G$109),'Progetto del paramento slu'!$G$110),'Progetto del paramento slu'!$G$111),'Progetto del paramento slu'!$G$112),55555)-IF(C41&lt;='SOLLECITAZ NASCOSTO'!$P$12,IF(C41&lt;='SOLLECITAZ NASCOSTO'!$P$11,IF(C41&lt;='SOLLECITAZ NASCOSTO'!$P$10,IF(C41&lt;='SOLLECITAZ NASCOSTO'!$P$9,IF(C41&lt;='SOLLECITAZ NASCOSTO'!$P$8,IF(C41&lt;='SOLLECITAZ NASCOSTO'!$P$7,IF(C41&lt;='SOLLECITAZ NASCOSTO'!$P$6,IF(C41&lt;='SOLLECITAZ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slu'!$G$112))*(C41-IF(C41&lt;='SOLLECITAZ NASCOSTO'!$P$12,IF(C41&lt;='SOLLECITAZ NASCOSTO'!$P$11,IF(C41&lt;='SOLLECITAZ NASCOSTO'!$P$10,IF(C41&lt;='SOLLECITAZ NASCOSTO'!$P$9,IF(C41&lt;='SOLLECITAZ NASCOSTO'!$P$8,IF(C41&lt;='SOLLECITAZ NASCOSTO'!$P$7,IF(C41&lt;='SOLLECITAZ NASCOSTO'!$P$6,IF(C41&lt;='SOLLECITAZ NASCOSTO'!$P$5,'SOLLECITAZ NASCOSTO'!$P$3,'SOLLECITAZ NASCOSTO'!$P$5),'SOLLECITAZ NASCOSTO'!$P$5),'SOLLECITAZ NASCOSTO'!$P$7),'SOLLECITAZ NASCOSTO'!$P$8),'SOLLECITAZ NASCOSTO'!$P$9),'SOLLECITAZ NASCOSTO'!$P$10),'SOLLECITAZ NASCOSTO'!$P$11),'SOLLECITAZ NASCOSTO'!$P$12))/IF(C41&lt;='SOLLECITAZ NASCOSTO'!$P$12,IF(C41&lt;='SOLLECITAZ NASCOSTO'!$P$11,IF(C41&lt;='SOLLECITAZ NASCOSTO'!$P$10,IF(C41&lt;='SOLLECITAZ NASCOSTO'!$P$9,IF(C41&lt;='SOLLECITAZ NASCOSTO'!$P$8,IF(C41&lt;='SOLLECITAZ NASCOSTO'!$P$7,IF(C41&lt;='SOLLECITAZ NASCOSTO'!$P$6,IF(C41&lt;='SOLLECITAZ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slu'!$C$112)+IF(C41&lt;='SOLLECITAZ NASCOSTO'!$P$12,IF(C41&lt;='SOLLECITAZ NASCOSTO'!$P$11,IF(C41&lt;='SOLLECITAZ NASCOSTO'!$P$10,IF(C41&lt;='SOLLECITAZ NASCOSTO'!$P$9,IF(C41&lt;='SOLLECITAZ NASCOSTO'!$P$8,IF(C41&lt;='SOLLECITAZ NASCOSTO'!$P$7,IF(C41&lt;='SOLLECITAZ NASCOSTO'!$P$6,IF(C41&lt;='SOLLECITAZ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4.5772721925188282</v>
      </c>
      <c r="O42" s="42">
        <f>IF(C42&lt;='SOLLECITAZ NASCOSTO'!$P$12,IF(C42&lt;='SOLLECITAZ NASCOSTO'!$P$11,IF(C42&lt;='SOLLECITAZ NASCOSTO'!$P$10,IF(C42&lt;='SOLLECITAZ NASCOSTO'!$P$9,IF(C42&lt;='SOLLECITAZ NASCOSTO'!$P$8,IF(C42&lt;='SOLLECITAZ NASCOSTO'!$P$7,IF(C42&lt;='SOLLECITAZ NASCOSTO'!$P$6,IF(C42&lt;='SOLLECITAZ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slu'!$G$111),55555)*(C42-C41)/IF(C42&lt;='SOLLECITAZ NASCOSTO'!$P$12,IF(C42&lt;='SOLLECITAZ NASCOSTO'!$P$11,IF(C42&lt;='SOLLECITAZ NASCOSTO'!$P$10,IF(C42&lt;='SOLLECITAZ NASCOSTO'!$P$9,IF(C42&lt;='SOLLECITAZ NASCOSTO'!$P$8,IF(C42&lt;='SOLLECITAZ NASCOSTO'!$P$7,IF(C42&lt;='SOLLECITAZ NASCOSTO'!$P$6,IF(C42&lt;='SOLLECITAZ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2" s="42">
        <f t="shared" si="21"/>
        <v>9.0000000000000002E-6</v>
      </c>
      <c r="Q42" s="42">
        <f t="shared" si="18"/>
        <v>1</v>
      </c>
      <c r="R42" s="441">
        <f t="shared" si="10"/>
        <v>6.8509615384615391E-2</v>
      </c>
      <c r="S42" s="46">
        <f t="shared" si="19"/>
        <v>6.8509615384615391E-2</v>
      </c>
      <c r="T42" s="211">
        <f t="shared" si="13"/>
        <v>3.2814903846153847</v>
      </c>
      <c r="U42" s="46">
        <f t="shared" si="16"/>
        <v>0.30039707817706357</v>
      </c>
      <c r="V42" s="46">
        <f t="shared" si="17"/>
        <v>-1.0103666897770021E-2</v>
      </c>
      <c r="W42" s="496"/>
      <c r="AN42" s="32">
        <f t="shared" si="2"/>
        <v>95</v>
      </c>
      <c r="AO42" s="42">
        <f t="shared" si="0"/>
        <v>-19.481408820043196</v>
      </c>
      <c r="AQ42" s="32">
        <f t="shared" si="3"/>
        <v>95</v>
      </c>
      <c r="AR42" s="42">
        <f t="shared" si="1"/>
        <v>-64.244820351409999</v>
      </c>
    </row>
    <row r="43" spans="1:44" x14ac:dyDescent="0.25">
      <c r="A43" s="589">
        <f t="shared" si="11"/>
        <v>2.6442307693441691E-7</v>
      </c>
      <c r="B43" s="32">
        <f t="shared" si="12"/>
        <v>11</v>
      </c>
      <c r="C43" s="441">
        <f>'SOLLECITAZ NASCOSTO'!$D$6/'SOLLECITAZ NASCOSTO'!$B$448*'SOLLECITAZ NASCOSTO'!B43</f>
        <v>7.5360576923076919E-2</v>
      </c>
      <c r="D43" s="132">
        <f t="shared" si="14"/>
        <v>0.30000026442307692</v>
      </c>
      <c r="E43" s="132">
        <f t="shared" si="4"/>
        <v>2.6442307693441691E-7</v>
      </c>
      <c r="F43" s="132">
        <f t="shared" si="5"/>
        <v>0.30000026442307692</v>
      </c>
      <c r="G43" s="132">
        <f t="shared" si="6"/>
        <v>4.5000079326958035E-2</v>
      </c>
      <c r="H43" s="132">
        <f t="shared" si="7"/>
        <v>0</v>
      </c>
      <c r="I43" s="132">
        <v>0</v>
      </c>
      <c r="J43" s="131">
        <f t="shared" si="8"/>
        <v>0.15000013221153846</v>
      </c>
      <c r="K43" s="130">
        <f t="shared" si="9"/>
        <v>2.2500059495244749E-3</v>
      </c>
      <c r="L43" s="42">
        <f t="shared" si="20"/>
        <v>0.33225042189069565</v>
      </c>
      <c r="M43" s="42">
        <f t="shared" si="15"/>
        <v>-1.2270788742954048E-2</v>
      </c>
      <c r="N43" s="42">
        <f>(IF(C42&lt;='SOLLECITAZ NASCOSTO'!$P$12,IF(C42&lt;='SOLLECITAZ NASCOSTO'!$P$11,IF(C42&lt;='SOLLECITAZ NASCOSTO'!$P$10,IF(C42&lt;='SOLLECITAZ NASCOSTO'!$P$9,IF(C42&lt;='SOLLECITAZ NASCOSTO'!$P$8,IF(C42&lt;='SOLLECITAZ NASCOSTO'!$P$7,IF(C42&lt;='SOLLECITAZ NASCOSTO'!$P$6,IF(C42&lt;='SOLLECITAZ NASCOSTO'!$P$5,'Progetto del paramento slu'!$G$105,'Progetto del paramento slu'!$G$106),'Progetto del paramento slu'!$G$107),'Progetto del paramento slu'!$G$108),'Progetto del paramento slu'!$G$109),'Progetto del paramento slu'!$G$110),'Progetto del paramento slu'!$G$111),'Progetto del paramento slu'!$G$112),55555)-IF(C42&lt;='SOLLECITAZ NASCOSTO'!$P$12,IF(C42&lt;='SOLLECITAZ NASCOSTO'!$P$11,IF(C42&lt;='SOLLECITAZ NASCOSTO'!$P$10,IF(C42&lt;='SOLLECITAZ NASCOSTO'!$P$9,IF(C42&lt;='SOLLECITAZ NASCOSTO'!$P$8,IF(C42&lt;='SOLLECITAZ NASCOSTO'!$P$7,IF(C42&lt;='SOLLECITAZ NASCOSTO'!$P$6,IF(C42&lt;='SOLLECITAZ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slu'!$G$112))*(C42-IF(C42&lt;='SOLLECITAZ NASCOSTO'!$P$12,IF(C42&lt;='SOLLECITAZ NASCOSTO'!$P$11,IF(C42&lt;='SOLLECITAZ NASCOSTO'!$P$10,IF(C42&lt;='SOLLECITAZ NASCOSTO'!$P$9,IF(C42&lt;='SOLLECITAZ NASCOSTO'!$P$8,IF(C42&lt;='SOLLECITAZ NASCOSTO'!$P$7,IF(C42&lt;='SOLLECITAZ NASCOSTO'!$P$6,IF(C42&lt;='SOLLECITAZ NASCOSTO'!$P$5,'SOLLECITAZ NASCOSTO'!$P$3,'SOLLECITAZ NASCOSTO'!$P$5),'SOLLECITAZ NASCOSTO'!$P$5),'SOLLECITAZ NASCOSTO'!$P$7),'SOLLECITAZ NASCOSTO'!$P$8),'SOLLECITAZ NASCOSTO'!$P$9),'SOLLECITAZ NASCOSTO'!$P$10),'SOLLECITAZ NASCOSTO'!$P$11),'SOLLECITAZ NASCOSTO'!$P$12))/IF(C42&lt;='SOLLECITAZ NASCOSTO'!$P$12,IF(C42&lt;='SOLLECITAZ NASCOSTO'!$P$11,IF(C42&lt;='SOLLECITAZ NASCOSTO'!$P$10,IF(C42&lt;='SOLLECITAZ NASCOSTO'!$P$9,IF(C42&lt;='SOLLECITAZ NASCOSTO'!$P$8,IF(C42&lt;='SOLLECITAZ NASCOSTO'!$P$7,IF(C42&lt;='SOLLECITAZ NASCOSTO'!$P$6,IF(C42&lt;='SOLLECITAZ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slu'!$C$112)+IF(C42&lt;='SOLLECITAZ NASCOSTO'!$P$12,IF(C42&lt;='SOLLECITAZ NASCOSTO'!$P$11,IF(C42&lt;='SOLLECITAZ NASCOSTO'!$P$10,IF(C42&lt;='SOLLECITAZ NASCOSTO'!$P$9,IF(C42&lt;='SOLLECITAZ NASCOSTO'!$P$8,IF(C42&lt;='SOLLECITAZ NASCOSTO'!$P$7,IF(C42&lt;='SOLLECITAZ NASCOSTO'!$P$6,IF(C42&lt;='SOLLECITAZ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4.6254044115111803</v>
      </c>
      <c r="O43" s="42">
        <f>IF(C43&lt;='SOLLECITAZ NASCOSTO'!$P$12,IF(C43&lt;='SOLLECITAZ NASCOSTO'!$P$11,IF(C43&lt;='SOLLECITAZ NASCOSTO'!$P$10,IF(C43&lt;='SOLLECITAZ NASCOSTO'!$P$9,IF(C43&lt;='SOLLECITAZ NASCOSTO'!$P$8,IF(C43&lt;='SOLLECITAZ NASCOSTO'!$P$7,IF(C43&lt;='SOLLECITAZ NASCOSTO'!$P$6,IF(C43&lt;='SOLLECITAZ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slu'!$G$111),55555)*(C43-C42)/IF(C43&lt;='SOLLECITAZ NASCOSTO'!$P$12,IF(C43&lt;='SOLLECITAZ NASCOSTO'!$P$11,IF(C43&lt;='SOLLECITAZ NASCOSTO'!$P$10,IF(C43&lt;='SOLLECITAZ NASCOSTO'!$P$9,IF(C43&lt;='SOLLECITAZ NASCOSTO'!$P$8,IF(C43&lt;='SOLLECITAZ NASCOSTO'!$P$7,IF(C43&lt;='SOLLECITAZ NASCOSTO'!$P$6,IF(C43&lt;='SOLLECITAZ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4.8132218992352385E-2</v>
      </c>
      <c r="P43" s="42">
        <f t="shared" si="21"/>
        <v>1.0000000000000001E-5</v>
      </c>
      <c r="Q43" s="42">
        <f t="shared" si="18"/>
        <v>1</v>
      </c>
      <c r="R43" s="441">
        <f t="shared" si="10"/>
        <v>7.5360576923076919E-2</v>
      </c>
      <c r="S43" s="46">
        <f t="shared" si="19"/>
        <v>7.5360576923076919E-2</v>
      </c>
      <c r="T43" s="211">
        <f t="shared" si="13"/>
        <v>3.2746394230769234</v>
      </c>
      <c r="U43" s="46">
        <f t="shared" si="16"/>
        <v>0.33225042189069565</v>
      </c>
      <c r="V43" s="46">
        <f t="shared" si="17"/>
        <v>-1.2270788742954048E-2</v>
      </c>
      <c r="W43" s="496"/>
      <c r="AN43" s="32">
        <f t="shared" si="2"/>
        <v>100</v>
      </c>
      <c r="AO43" s="42">
        <f t="shared" si="0"/>
        <v>-20.506746126361257</v>
      </c>
      <c r="AQ43" s="32">
        <f t="shared" si="3"/>
        <v>100</v>
      </c>
      <c r="AR43" s="42">
        <f t="shared" si="1"/>
        <v>-67.626126685694729</v>
      </c>
    </row>
    <row r="44" spans="1:44" ht="15" customHeight="1" x14ac:dyDescent="0.25">
      <c r="A44" s="589">
        <f t="shared" si="11"/>
        <v>2.8846153843353761E-7</v>
      </c>
      <c r="B44" s="32">
        <f t="shared" si="12"/>
        <v>12</v>
      </c>
      <c r="C44" s="441">
        <f>'SOLLECITAZ NASCOSTO'!$D$6/'SOLLECITAZ NASCOSTO'!$B$448*'SOLLECITAZ NASCOSTO'!B44</f>
        <v>8.2211538461538461E-2</v>
      </c>
      <c r="D44" s="132">
        <f t="shared" si="14"/>
        <v>0.30000028846153842</v>
      </c>
      <c r="E44" s="132">
        <f t="shared" si="4"/>
        <v>2.8846153843353761E-7</v>
      </c>
      <c r="F44" s="132">
        <f t="shared" si="5"/>
        <v>0.30000028846153842</v>
      </c>
      <c r="G44" s="132">
        <f t="shared" si="6"/>
        <v>4.5000086538503133E-2</v>
      </c>
      <c r="H44" s="132">
        <f t="shared" si="7"/>
        <v>0</v>
      </c>
      <c r="I44" s="132">
        <v>0</v>
      </c>
      <c r="J44" s="131">
        <f t="shared" si="8"/>
        <v>0.15000014423076921</v>
      </c>
      <c r="K44" s="130">
        <f t="shared" si="9"/>
        <v>2.2500064903908552E-3</v>
      </c>
      <c r="L44" s="42">
        <f t="shared" si="20"/>
        <v>0.36443351758540521</v>
      </c>
      <c r="M44" s="42">
        <f t="shared" si="15"/>
        <v>-1.4657266179861366E-2</v>
      </c>
      <c r="N44" s="42">
        <f>(IF(C43&lt;='SOLLECITAZ NASCOSTO'!$P$12,IF(C43&lt;='SOLLECITAZ NASCOSTO'!$P$11,IF(C43&lt;='SOLLECITAZ NASCOSTO'!$P$10,IF(C43&lt;='SOLLECITAZ NASCOSTO'!$P$9,IF(C43&lt;='SOLLECITAZ NASCOSTO'!$P$8,IF(C43&lt;='SOLLECITAZ NASCOSTO'!$P$7,IF(C43&lt;='SOLLECITAZ NASCOSTO'!$P$6,IF(C43&lt;='SOLLECITAZ NASCOSTO'!$P$5,'Progetto del paramento slu'!$G$105,'Progetto del paramento slu'!$G$106),'Progetto del paramento slu'!$G$107),'Progetto del paramento slu'!$G$108),'Progetto del paramento slu'!$G$109),'Progetto del paramento slu'!$G$110),'Progetto del paramento slu'!$G$111),'Progetto del paramento slu'!$G$112),55555)-IF(C43&lt;='SOLLECITAZ NASCOSTO'!$P$12,IF(C43&lt;='SOLLECITAZ NASCOSTO'!$P$11,IF(C43&lt;='SOLLECITAZ NASCOSTO'!$P$10,IF(C43&lt;='SOLLECITAZ NASCOSTO'!$P$9,IF(C43&lt;='SOLLECITAZ NASCOSTO'!$P$8,IF(C43&lt;='SOLLECITAZ NASCOSTO'!$P$7,IF(C43&lt;='SOLLECITAZ NASCOSTO'!$P$6,IF(C43&lt;='SOLLECITAZ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slu'!$G$112))*(C43-IF(C43&lt;='SOLLECITAZ NASCOSTO'!$P$12,IF(C43&lt;='SOLLECITAZ NASCOSTO'!$P$11,IF(C43&lt;='SOLLECITAZ NASCOSTO'!$P$10,IF(C43&lt;='SOLLECITAZ NASCOSTO'!$P$9,IF(C43&lt;='SOLLECITAZ NASCOSTO'!$P$8,IF(C43&lt;='SOLLECITAZ NASCOSTO'!$P$7,IF(C43&lt;='SOLLECITAZ NASCOSTO'!$P$6,IF(C43&lt;='SOLLECITAZ NASCOSTO'!$P$5,'SOLLECITAZ NASCOSTO'!$P$3,'SOLLECITAZ NASCOSTO'!$P$5),'SOLLECITAZ NASCOSTO'!$P$5),'SOLLECITAZ NASCOSTO'!$P$7),'SOLLECITAZ NASCOSTO'!$P$8),'SOLLECITAZ NASCOSTO'!$P$9),'SOLLECITAZ NASCOSTO'!$P$10),'SOLLECITAZ NASCOSTO'!$P$11),'SOLLECITAZ NASCOSTO'!$P$12))/IF(C43&lt;='SOLLECITAZ NASCOSTO'!$P$12,IF(C43&lt;='SOLLECITAZ NASCOSTO'!$P$11,IF(C43&lt;='SOLLECITAZ NASCOSTO'!$P$10,IF(C43&lt;='SOLLECITAZ NASCOSTO'!$P$9,IF(C43&lt;='SOLLECITAZ NASCOSTO'!$P$8,IF(C43&lt;='SOLLECITAZ NASCOSTO'!$P$7,IF(C43&lt;='SOLLECITAZ NASCOSTO'!$P$6,IF(C43&lt;='SOLLECITAZ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slu'!$C$112)+IF(C43&lt;='SOLLECITAZ NASCOSTO'!$P$12,IF(C43&lt;='SOLLECITAZ NASCOSTO'!$P$11,IF(C43&lt;='SOLLECITAZ NASCOSTO'!$P$10,IF(C43&lt;='SOLLECITAZ NASCOSTO'!$P$9,IF(C43&lt;='SOLLECITAZ NASCOSTO'!$P$8,IF(C43&lt;='SOLLECITAZ NASCOSTO'!$P$7,IF(C43&lt;='SOLLECITAZ NASCOSTO'!$P$6,IF(C43&lt;='SOLLECITAZ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4.6735366305035333</v>
      </c>
      <c r="O44" s="42">
        <f>IF(C44&lt;='SOLLECITAZ NASCOSTO'!$P$12,IF(C44&lt;='SOLLECITAZ NASCOSTO'!$P$11,IF(C44&lt;='SOLLECITAZ NASCOSTO'!$P$10,IF(C44&lt;='SOLLECITAZ NASCOSTO'!$P$9,IF(C44&lt;='SOLLECITAZ NASCOSTO'!$P$8,IF(C44&lt;='SOLLECITAZ NASCOSTO'!$P$7,IF(C44&lt;='SOLLECITAZ NASCOSTO'!$P$6,IF(C44&lt;='SOLLECITAZ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slu'!$G$111),55555)*(C44-C43)/IF(C44&lt;='SOLLECITAZ NASCOSTO'!$P$12,IF(C44&lt;='SOLLECITAZ NASCOSTO'!$P$11,IF(C44&lt;='SOLLECITAZ NASCOSTO'!$P$10,IF(C44&lt;='SOLLECITAZ NASCOSTO'!$P$9,IF(C44&lt;='SOLLECITAZ NASCOSTO'!$P$8,IF(C44&lt;='SOLLECITAZ NASCOSTO'!$P$7,IF(C44&lt;='SOLLECITAZ NASCOSTO'!$P$6,IF(C44&lt;='SOLLECITAZ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4" s="42">
        <f t="shared" si="21"/>
        <v>1.1000000000000001E-5</v>
      </c>
      <c r="Q44" s="42">
        <f t="shared" si="18"/>
        <v>1</v>
      </c>
      <c r="R44" s="441">
        <f t="shared" si="10"/>
        <v>8.2211538461538461E-2</v>
      </c>
      <c r="S44" s="46">
        <f t="shared" si="19"/>
        <v>8.2211538461538461E-2</v>
      </c>
      <c r="T44" s="211">
        <f t="shared" si="13"/>
        <v>3.2677884615384616</v>
      </c>
      <c r="U44" s="46">
        <f t="shared" si="16"/>
        <v>0.36443351758540521</v>
      </c>
      <c r="V44" s="46">
        <f t="shared" si="17"/>
        <v>-1.4657266179861366E-2</v>
      </c>
      <c r="W44" s="496"/>
      <c r="AN44" s="428"/>
    </row>
    <row r="45" spans="1:44" x14ac:dyDescent="0.25">
      <c r="A45" s="589">
        <f t="shared" si="11"/>
        <v>3.1249999998816946E-7</v>
      </c>
      <c r="B45" s="32">
        <f t="shared" si="12"/>
        <v>13</v>
      </c>
      <c r="C45" s="441">
        <f>'SOLLECITAZ NASCOSTO'!$D$6/'SOLLECITAZ NASCOSTO'!$B$448*'SOLLECITAZ NASCOSTO'!B45</f>
        <v>8.9062500000000003E-2</v>
      </c>
      <c r="D45" s="132">
        <f t="shared" si="14"/>
        <v>0.30000031249999998</v>
      </c>
      <c r="E45" s="132">
        <f t="shared" si="4"/>
        <v>3.1249999998816946E-7</v>
      </c>
      <c r="F45" s="132">
        <f t="shared" si="5"/>
        <v>0.30000031249999998</v>
      </c>
      <c r="G45" s="132">
        <f t="shared" si="6"/>
        <v>4.500009375004882E-2</v>
      </c>
      <c r="H45" s="132">
        <f t="shared" si="7"/>
        <v>0</v>
      </c>
      <c r="I45" s="132">
        <v>0</v>
      </c>
      <c r="J45" s="131">
        <f t="shared" si="8"/>
        <v>0.15000015624999999</v>
      </c>
      <c r="K45" s="130">
        <f t="shared" si="9"/>
        <v>2.2500070312573236E-3</v>
      </c>
      <c r="L45" s="42">
        <f t="shared" si="20"/>
        <v>0.3969463652611922</v>
      </c>
      <c r="M45" s="42">
        <f t="shared" si="15"/>
        <v>-1.7265358326631564E-2</v>
      </c>
      <c r="N45" s="42">
        <f>(IF(C44&lt;='SOLLECITAZ NASCOSTO'!$P$12,IF(C44&lt;='SOLLECITAZ NASCOSTO'!$P$11,IF(C44&lt;='SOLLECITAZ NASCOSTO'!$P$10,IF(C44&lt;='SOLLECITAZ NASCOSTO'!$P$9,IF(C44&lt;='SOLLECITAZ NASCOSTO'!$P$8,IF(C44&lt;='SOLLECITAZ NASCOSTO'!$P$7,IF(C44&lt;='SOLLECITAZ NASCOSTO'!$P$6,IF(C44&lt;='SOLLECITAZ NASCOSTO'!$P$5,'Progetto del paramento slu'!$G$105,'Progetto del paramento slu'!$G$106),'Progetto del paramento slu'!$G$107),'Progetto del paramento slu'!$G$108),'Progetto del paramento slu'!$G$109),'Progetto del paramento slu'!$G$110),'Progetto del paramento slu'!$G$111),'Progetto del paramento slu'!$G$112),55555)-IF(C44&lt;='SOLLECITAZ NASCOSTO'!$P$12,IF(C44&lt;='SOLLECITAZ NASCOSTO'!$P$11,IF(C44&lt;='SOLLECITAZ NASCOSTO'!$P$10,IF(C44&lt;='SOLLECITAZ NASCOSTO'!$P$9,IF(C44&lt;='SOLLECITAZ NASCOSTO'!$P$8,IF(C44&lt;='SOLLECITAZ NASCOSTO'!$P$7,IF(C44&lt;='SOLLECITAZ NASCOSTO'!$P$6,IF(C44&lt;='SOLLECITAZ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slu'!$G$112))*(C44-IF(C44&lt;='SOLLECITAZ NASCOSTO'!$P$12,IF(C44&lt;='SOLLECITAZ NASCOSTO'!$P$11,IF(C44&lt;='SOLLECITAZ NASCOSTO'!$P$10,IF(C44&lt;='SOLLECITAZ NASCOSTO'!$P$9,IF(C44&lt;='SOLLECITAZ NASCOSTO'!$P$8,IF(C44&lt;='SOLLECITAZ NASCOSTO'!$P$7,IF(C44&lt;='SOLLECITAZ NASCOSTO'!$P$6,IF(C44&lt;='SOLLECITAZ NASCOSTO'!$P$5,'SOLLECITAZ NASCOSTO'!$P$3,'SOLLECITAZ NASCOSTO'!$P$5),'SOLLECITAZ NASCOSTO'!$P$5),'SOLLECITAZ NASCOSTO'!$P$7),'SOLLECITAZ NASCOSTO'!$P$8),'SOLLECITAZ NASCOSTO'!$P$9),'SOLLECITAZ NASCOSTO'!$P$10),'SOLLECITAZ NASCOSTO'!$P$11),'SOLLECITAZ NASCOSTO'!$P$12))/IF(C44&lt;='SOLLECITAZ NASCOSTO'!$P$12,IF(C44&lt;='SOLLECITAZ NASCOSTO'!$P$11,IF(C44&lt;='SOLLECITAZ NASCOSTO'!$P$10,IF(C44&lt;='SOLLECITAZ NASCOSTO'!$P$9,IF(C44&lt;='SOLLECITAZ NASCOSTO'!$P$8,IF(C44&lt;='SOLLECITAZ NASCOSTO'!$P$7,IF(C44&lt;='SOLLECITAZ NASCOSTO'!$P$6,IF(C44&lt;='SOLLECITAZ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slu'!$C$112)+IF(C44&lt;='SOLLECITAZ NASCOSTO'!$P$12,IF(C44&lt;='SOLLECITAZ NASCOSTO'!$P$11,IF(C44&lt;='SOLLECITAZ NASCOSTO'!$P$10,IF(C44&lt;='SOLLECITAZ NASCOSTO'!$P$9,IF(C44&lt;='SOLLECITAZ NASCOSTO'!$P$8,IF(C44&lt;='SOLLECITAZ NASCOSTO'!$P$7,IF(C44&lt;='SOLLECITAZ NASCOSTO'!$P$6,IF(C44&lt;='SOLLECITAZ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4.7216688494958854</v>
      </c>
      <c r="O45" s="42">
        <f>IF(C45&lt;='SOLLECITAZ NASCOSTO'!$P$12,IF(C45&lt;='SOLLECITAZ NASCOSTO'!$P$11,IF(C45&lt;='SOLLECITAZ NASCOSTO'!$P$10,IF(C45&lt;='SOLLECITAZ NASCOSTO'!$P$9,IF(C45&lt;='SOLLECITAZ NASCOSTO'!$P$8,IF(C45&lt;='SOLLECITAZ NASCOSTO'!$P$7,IF(C45&lt;='SOLLECITAZ NASCOSTO'!$P$6,IF(C45&lt;='SOLLECITAZ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slu'!$G$111),55555)*(C45-C44)/IF(C45&lt;='SOLLECITAZ NASCOSTO'!$P$12,IF(C45&lt;='SOLLECITAZ NASCOSTO'!$P$11,IF(C45&lt;='SOLLECITAZ NASCOSTO'!$P$10,IF(C45&lt;='SOLLECITAZ NASCOSTO'!$P$9,IF(C45&lt;='SOLLECITAZ NASCOSTO'!$P$8,IF(C45&lt;='SOLLECITAZ NASCOSTO'!$P$7,IF(C45&lt;='SOLLECITAZ NASCOSTO'!$P$6,IF(C45&lt;='SOLLECITAZ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5" s="42">
        <f t="shared" si="21"/>
        <v>1.2000000000000002E-5</v>
      </c>
      <c r="Q45" s="42">
        <f t="shared" si="18"/>
        <v>1</v>
      </c>
      <c r="R45" s="441">
        <f t="shared" si="10"/>
        <v>8.9062500000000003E-2</v>
      </c>
      <c r="S45" s="46">
        <f t="shared" si="19"/>
        <v>8.9062500000000003E-2</v>
      </c>
      <c r="T45" s="211">
        <f t="shared" si="13"/>
        <v>3.2609375000000003</v>
      </c>
      <c r="U45" s="46">
        <f t="shared" si="16"/>
        <v>0.3969463652611922</v>
      </c>
      <c r="V45" s="46">
        <f t="shared" si="17"/>
        <v>-1.7265358326631564E-2</v>
      </c>
      <c r="W45" s="496"/>
      <c r="AN45" s="428"/>
    </row>
    <row r="46" spans="1:44" x14ac:dyDescent="0.25">
      <c r="A46" s="589">
        <f t="shared" si="11"/>
        <v>3.3653846154280131E-7</v>
      </c>
      <c r="B46" s="32">
        <f t="shared" si="12"/>
        <v>14</v>
      </c>
      <c r="C46" s="441">
        <f>'SOLLECITAZ NASCOSTO'!$D$6/'SOLLECITAZ NASCOSTO'!$B$448*'SOLLECITAZ NASCOSTO'!B46</f>
        <v>9.5913461538461531E-2</v>
      </c>
      <c r="D46" s="132">
        <f t="shared" si="14"/>
        <v>0.30000033653846153</v>
      </c>
      <c r="E46" s="132">
        <f t="shared" si="4"/>
        <v>3.3653846154280131E-7</v>
      </c>
      <c r="F46" s="132">
        <f t="shared" si="5"/>
        <v>0.30000033653846153</v>
      </c>
      <c r="G46" s="132">
        <f t="shared" si="6"/>
        <v>4.5000100961595089E-2</v>
      </c>
      <c r="H46" s="132">
        <f t="shared" si="7"/>
        <v>0</v>
      </c>
      <c r="I46" s="132">
        <v>0</v>
      </c>
      <c r="J46" s="131">
        <f t="shared" si="8"/>
        <v>0.15000016826923077</v>
      </c>
      <c r="K46" s="130">
        <f t="shared" si="9"/>
        <v>2.2500075721238791E-3</v>
      </c>
      <c r="L46" s="42">
        <f t="shared" si="20"/>
        <v>0.42978896491805652</v>
      </c>
      <c r="M46" s="42">
        <f t="shared" si="15"/>
        <v>-2.0097324301404228E-2</v>
      </c>
      <c r="N46" s="42">
        <f>(IF(C45&lt;='SOLLECITAZ NASCOSTO'!$P$12,IF(C45&lt;='SOLLECITAZ NASCOSTO'!$P$11,IF(C45&lt;='SOLLECITAZ NASCOSTO'!$P$10,IF(C45&lt;='SOLLECITAZ NASCOSTO'!$P$9,IF(C45&lt;='SOLLECITAZ NASCOSTO'!$P$8,IF(C45&lt;='SOLLECITAZ NASCOSTO'!$P$7,IF(C45&lt;='SOLLECITAZ NASCOSTO'!$P$6,IF(C45&lt;='SOLLECITAZ NASCOSTO'!$P$5,'Progetto del paramento slu'!$G$105,'Progetto del paramento slu'!$G$106),'Progetto del paramento slu'!$G$107),'Progetto del paramento slu'!$G$108),'Progetto del paramento slu'!$G$109),'Progetto del paramento slu'!$G$110),'Progetto del paramento slu'!$G$111),'Progetto del paramento slu'!$G$112),55555)-IF(C45&lt;='SOLLECITAZ NASCOSTO'!$P$12,IF(C45&lt;='SOLLECITAZ NASCOSTO'!$P$11,IF(C45&lt;='SOLLECITAZ NASCOSTO'!$P$10,IF(C45&lt;='SOLLECITAZ NASCOSTO'!$P$9,IF(C45&lt;='SOLLECITAZ NASCOSTO'!$P$8,IF(C45&lt;='SOLLECITAZ NASCOSTO'!$P$7,IF(C45&lt;='SOLLECITAZ NASCOSTO'!$P$6,IF(C45&lt;='SOLLECITAZ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slu'!$G$112))*(C45-IF(C45&lt;='SOLLECITAZ NASCOSTO'!$P$12,IF(C45&lt;='SOLLECITAZ NASCOSTO'!$P$11,IF(C45&lt;='SOLLECITAZ NASCOSTO'!$P$10,IF(C45&lt;='SOLLECITAZ NASCOSTO'!$P$9,IF(C45&lt;='SOLLECITAZ NASCOSTO'!$P$8,IF(C45&lt;='SOLLECITAZ NASCOSTO'!$P$7,IF(C45&lt;='SOLLECITAZ NASCOSTO'!$P$6,IF(C45&lt;='SOLLECITAZ NASCOSTO'!$P$5,'SOLLECITAZ NASCOSTO'!$P$3,'SOLLECITAZ NASCOSTO'!$P$5),'SOLLECITAZ NASCOSTO'!$P$5),'SOLLECITAZ NASCOSTO'!$P$7),'SOLLECITAZ NASCOSTO'!$P$8),'SOLLECITAZ NASCOSTO'!$P$9),'SOLLECITAZ NASCOSTO'!$P$10),'SOLLECITAZ NASCOSTO'!$P$11),'SOLLECITAZ NASCOSTO'!$P$12))/IF(C45&lt;='SOLLECITAZ NASCOSTO'!$P$12,IF(C45&lt;='SOLLECITAZ NASCOSTO'!$P$11,IF(C45&lt;='SOLLECITAZ NASCOSTO'!$P$10,IF(C45&lt;='SOLLECITAZ NASCOSTO'!$P$9,IF(C45&lt;='SOLLECITAZ NASCOSTO'!$P$8,IF(C45&lt;='SOLLECITAZ NASCOSTO'!$P$7,IF(C45&lt;='SOLLECITAZ NASCOSTO'!$P$6,IF(C45&lt;='SOLLECITAZ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slu'!$C$112)+IF(C45&lt;='SOLLECITAZ NASCOSTO'!$P$12,IF(C45&lt;='SOLLECITAZ NASCOSTO'!$P$11,IF(C45&lt;='SOLLECITAZ NASCOSTO'!$P$10,IF(C45&lt;='SOLLECITAZ NASCOSTO'!$P$9,IF(C45&lt;='SOLLECITAZ NASCOSTO'!$P$8,IF(C45&lt;='SOLLECITAZ NASCOSTO'!$P$7,IF(C45&lt;='SOLLECITAZ NASCOSTO'!$P$6,IF(C45&lt;='SOLLECITAZ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4.7698010684882384</v>
      </c>
      <c r="O46" s="42">
        <f>IF(C46&lt;='SOLLECITAZ NASCOSTO'!$P$12,IF(C46&lt;='SOLLECITAZ NASCOSTO'!$P$11,IF(C46&lt;='SOLLECITAZ NASCOSTO'!$P$10,IF(C46&lt;='SOLLECITAZ NASCOSTO'!$P$9,IF(C46&lt;='SOLLECITAZ NASCOSTO'!$P$8,IF(C46&lt;='SOLLECITAZ NASCOSTO'!$P$7,IF(C46&lt;='SOLLECITAZ NASCOSTO'!$P$6,IF(C46&lt;='SOLLECITAZ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slu'!$G$111),55555)*(C46-C45)/IF(C46&lt;='SOLLECITAZ NASCOSTO'!$P$12,IF(C46&lt;='SOLLECITAZ NASCOSTO'!$P$11,IF(C46&lt;='SOLLECITAZ NASCOSTO'!$P$10,IF(C46&lt;='SOLLECITAZ NASCOSTO'!$P$9,IF(C46&lt;='SOLLECITAZ NASCOSTO'!$P$8,IF(C46&lt;='SOLLECITAZ NASCOSTO'!$P$7,IF(C46&lt;='SOLLECITAZ NASCOSTO'!$P$6,IF(C46&lt;='SOLLECITAZ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4.8132218992352385E-2</v>
      </c>
      <c r="P46" s="42">
        <f t="shared" si="21"/>
        <v>1.3000000000000003E-5</v>
      </c>
      <c r="Q46" s="42">
        <f t="shared" si="18"/>
        <v>1</v>
      </c>
      <c r="R46" s="441">
        <f t="shared" si="10"/>
        <v>9.5913461538461531E-2</v>
      </c>
      <c r="S46" s="46">
        <f t="shared" si="19"/>
        <v>9.5913461538461531E-2</v>
      </c>
      <c r="T46" s="211">
        <f t="shared" si="13"/>
        <v>3.2540865384615385</v>
      </c>
      <c r="U46" s="46">
        <f t="shared" si="16"/>
        <v>0.42978896491805652</v>
      </c>
      <c r="V46" s="46">
        <f t="shared" si="17"/>
        <v>-2.0097324301404228E-2</v>
      </c>
      <c r="W46" s="496"/>
      <c r="AN46" s="428"/>
    </row>
    <row r="47" spans="1:44" x14ac:dyDescent="0.25">
      <c r="A47" s="589">
        <f t="shared" si="11"/>
        <v>3.6057692304192202E-7</v>
      </c>
      <c r="B47" s="32">
        <f t="shared" si="12"/>
        <v>15</v>
      </c>
      <c r="C47" s="441">
        <f>'SOLLECITAZ NASCOSTO'!$D$6/'SOLLECITAZ NASCOSTO'!$B$448*'SOLLECITAZ NASCOSTO'!B47</f>
        <v>0.10276442307692307</v>
      </c>
      <c r="D47" s="132">
        <f t="shared" si="14"/>
        <v>0.30000036057692303</v>
      </c>
      <c r="E47" s="132">
        <f t="shared" si="4"/>
        <v>3.6057692304192202E-7</v>
      </c>
      <c r="F47" s="132">
        <f t="shared" si="5"/>
        <v>0.30000036057692303</v>
      </c>
      <c r="G47" s="132">
        <f t="shared" si="6"/>
        <v>4.5000108173141921E-2</v>
      </c>
      <c r="H47" s="132">
        <f t="shared" si="7"/>
        <v>0</v>
      </c>
      <c r="I47" s="132">
        <v>0</v>
      </c>
      <c r="J47" s="131">
        <f t="shared" si="8"/>
        <v>0.15000018028846154</v>
      </c>
      <c r="K47" s="130">
        <f t="shared" si="9"/>
        <v>2.2500081129905192E-3</v>
      </c>
      <c r="L47" s="42">
        <f t="shared" si="20"/>
        <v>0.46296131655599831</v>
      </c>
      <c r="M47" s="42">
        <f t="shared" si="15"/>
        <v>-2.315542322231896E-2</v>
      </c>
      <c r="N47" s="42">
        <f>(IF(C46&lt;='SOLLECITAZ NASCOSTO'!$P$12,IF(C46&lt;='SOLLECITAZ NASCOSTO'!$P$11,IF(C46&lt;='SOLLECITAZ NASCOSTO'!$P$10,IF(C46&lt;='SOLLECITAZ NASCOSTO'!$P$9,IF(C46&lt;='SOLLECITAZ NASCOSTO'!$P$8,IF(C46&lt;='SOLLECITAZ NASCOSTO'!$P$7,IF(C46&lt;='SOLLECITAZ NASCOSTO'!$P$6,IF(C46&lt;='SOLLECITAZ NASCOSTO'!$P$5,'Progetto del paramento slu'!$G$105,'Progetto del paramento slu'!$G$106),'Progetto del paramento slu'!$G$107),'Progetto del paramento slu'!$G$108),'Progetto del paramento slu'!$G$109),'Progetto del paramento slu'!$G$110),'Progetto del paramento slu'!$G$111),'Progetto del paramento slu'!$G$112),55555)-IF(C46&lt;='SOLLECITAZ NASCOSTO'!$P$12,IF(C46&lt;='SOLLECITAZ NASCOSTO'!$P$11,IF(C46&lt;='SOLLECITAZ NASCOSTO'!$P$10,IF(C46&lt;='SOLLECITAZ NASCOSTO'!$P$9,IF(C46&lt;='SOLLECITAZ NASCOSTO'!$P$8,IF(C46&lt;='SOLLECITAZ NASCOSTO'!$P$7,IF(C46&lt;='SOLLECITAZ NASCOSTO'!$P$6,IF(C46&lt;='SOLLECITAZ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slu'!$G$112))*(C46-IF(C46&lt;='SOLLECITAZ NASCOSTO'!$P$12,IF(C46&lt;='SOLLECITAZ NASCOSTO'!$P$11,IF(C46&lt;='SOLLECITAZ NASCOSTO'!$P$10,IF(C46&lt;='SOLLECITAZ NASCOSTO'!$P$9,IF(C46&lt;='SOLLECITAZ NASCOSTO'!$P$8,IF(C46&lt;='SOLLECITAZ NASCOSTO'!$P$7,IF(C46&lt;='SOLLECITAZ NASCOSTO'!$P$6,IF(C46&lt;='SOLLECITAZ NASCOSTO'!$P$5,'SOLLECITAZ NASCOSTO'!$P$3,'SOLLECITAZ NASCOSTO'!$P$5),'SOLLECITAZ NASCOSTO'!$P$5),'SOLLECITAZ NASCOSTO'!$P$7),'SOLLECITAZ NASCOSTO'!$P$8),'SOLLECITAZ NASCOSTO'!$P$9),'SOLLECITAZ NASCOSTO'!$P$10),'SOLLECITAZ NASCOSTO'!$P$11),'SOLLECITAZ NASCOSTO'!$P$12))/IF(C46&lt;='SOLLECITAZ NASCOSTO'!$P$12,IF(C46&lt;='SOLLECITAZ NASCOSTO'!$P$11,IF(C46&lt;='SOLLECITAZ NASCOSTO'!$P$10,IF(C46&lt;='SOLLECITAZ NASCOSTO'!$P$9,IF(C46&lt;='SOLLECITAZ NASCOSTO'!$P$8,IF(C46&lt;='SOLLECITAZ NASCOSTO'!$P$7,IF(C46&lt;='SOLLECITAZ NASCOSTO'!$P$6,IF(C46&lt;='SOLLECITAZ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slu'!$C$112)+IF(C46&lt;='SOLLECITAZ NASCOSTO'!$P$12,IF(C46&lt;='SOLLECITAZ NASCOSTO'!$P$11,IF(C46&lt;='SOLLECITAZ NASCOSTO'!$P$10,IF(C46&lt;='SOLLECITAZ NASCOSTO'!$P$9,IF(C46&lt;='SOLLECITAZ NASCOSTO'!$P$8,IF(C46&lt;='SOLLECITAZ NASCOSTO'!$P$7,IF(C46&lt;='SOLLECITAZ NASCOSTO'!$P$6,IF(C46&lt;='SOLLECITAZ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4.8179332874805905</v>
      </c>
      <c r="O47" s="42">
        <f>IF(C47&lt;='SOLLECITAZ NASCOSTO'!$P$12,IF(C47&lt;='SOLLECITAZ NASCOSTO'!$P$11,IF(C47&lt;='SOLLECITAZ NASCOSTO'!$P$10,IF(C47&lt;='SOLLECITAZ NASCOSTO'!$P$9,IF(C47&lt;='SOLLECITAZ NASCOSTO'!$P$8,IF(C47&lt;='SOLLECITAZ NASCOSTO'!$P$7,IF(C47&lt;='SOLLECITAZ NASCOSTO'!$P$6,IF(C47&lt;='SOLLECITAZ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slu'!$G$111),55555)*(C47-C46)/IF(C47&lt;='SOLLECITAZ NASCOSTO'!$P$12,IF(C47&lt;='SOLLECITAZ NASCOSTO'!$P$11,IF(C47&lt;='SOLLECITAZ NASCOSTO'!$P$10,IF(C47&lt;='SOLLECITAZ NASCOSTO'!$P$9,IF(C47&lt;='SOLLECITAZ NASCOSTO'!$P$8,IF(C47&lt;='SOLLECITAZ NASCOSTO'!$P$7,IF(C47&lt;='SOLLECITAZ NASCOSTO'!$P$6,IF(C47&lt;='SOLLECITAZ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7" s="42">
        <f t="shared" si="21"/>
        <v>1.4000000000000003E-5</v>
      </c>
      <c r="Q47" s="42">
        <f t="shared" si="18"/>
        <v>1</v>
      </c>
      <c r="R47" s="441">
        <f t="shared" si="10"/>
        <v>0.10276442307692307</v>
      </c>
      <c r="S47" s="46">
        <f t="shared" si="19"/>
        <v>0.10276442307692307</v>
      </c>
      <c r="T47" s="211">
        <f t="shared" si="13"/>
        <v>3.2472355769230772</v>
      </c>
      <c r="U47" s="46">
        <f t="shared" si="16"/>
        <v>0.46296131655599831</v>
      </c>
      <c r="V47" s="46">
        <f t="shared" si="17"/>
        <v>-2.315542322231896E-2</v>
      </c>
      <c r="W47" s="496"/>
      <c r="AN47" s="428"/>
    </row>
    <row r="48" spans="1:44" x14ac:dyDescent="0.25">
      <c r="A48" s="589">
        <f t="shared" si="11"/>
        <v>3.8461538459655387E-7</v>
      </c>
      <c r="B48" s="32">
        <f t="shared" si="12"/>
        <v>16</v>
      </c>
      <c r="C48" s="441">
        <f>'SOLLECITAZ NASCOSTO'!$D$6/'SOLLECITAZ NASCOSTO'!$B$448*'SOLLECITAZ NASCOSTO'!B48</f>
        <v>0.10961538461538461</v>
      </c>
      <c r="D48" s="132">
        <f t="shared" si="14"/>
        <v>0.30000038461538459</v>
      </c>
      <c r="E48" s="132">
        <f t="shared" si="4"/>
        <v>3.8461538459655387E-7</v>
      </c>
      <c r="F48" s="132">
        <f t="shared" si="5"/>
        <v>0.30000038461538459</v>
      </c>
      <c r="G48" s="132">
        <f t="shared" si="6"/>
        <v>4.5000115384689343E-2</v>
      </c>
      <c r="H48" s="132">
        <f t="shared" si="7"/>
        <v>0</v>
      </c>
      <c r="I48" s="132">
        <v>0</v>
      </c>
      <c r="J48" s="131">
        <f t="shared" si="8"/>
        <v>0.15000019230769229</v>
      </c>
      <c r="K48" s="130">
        <f t="shared" si="9"/>
        <v>2.2500086538572482E-3</v>
      </c>
      <c r="L48" s="42">
        <f t="shared" si="20"/>
        <v>0.49646342017501754</v>
      </c>
      <c r="M48" s="42">
        <f t="shared" si="15"/>
        <v>-2.6441914207515349E-2</v>
      </c>
      <c r="N48" s="42">
        <f>(IF(C47&lt;='SOLLECITAZ NASCOSTO'!$P$12,IF(C47&lt;='SOLLECITAZ NASCOSTO'!$P$11,IF(C47&lt;='SOLLECITAZ NASCOSTO'!$P$10,IF(C47&lt;='SOLLECITAZ NASCOSTO'!$P$9,IF(C47&lt;='SOLLECITAZ NASCOSTO'!$P$8,IF(C47&lt;='SOLLECITAZ NASCOSTO'!$P$7,IF(C47&lt;='SOLLECITAZ NASCOSTO'!$P$6,IF(C47&lt;='SOLLECITAZ NASCOSTO'!$P$5,'Progetto del paramento slu'!$G$105,'Progetto del paramento slu'!$G$106),'Progetto del paramento slu'!$G$107),'Progetto del paramento slu'!$G$108),'Progetto del paramento slu'!$G$109),'Progetto del paramento slu'!$G$110),'Progetto del paramento slu'!$G$111),'Progetto del paramento slu'!$G$112),55555)-IF(C47&lt;='SOLLECITAZ NASCOSTO'!$P$12,IF(C47&lt;='SOLLECITAZ NASCOSTO'!$P$11,IF(C47&lt;='SOLLECITAZ NASCOSTO'!$P$10,IF(C47&lt;='SOLLECITAZ NASCOSTO'!$P$9,IF(C47&lt;='SOLLECITAZ NASCOSTO'!$P$8,IF(C47&lt;='SOLLECITAZ NASCOSTO'!$P$7,IF(C47&lt;='SOLLECITAZ NASCOSTO'!$P$6,IF(C47&lt;='SOLLECITAZ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slu'!$G$112))*(C47-IF(C47&lt;='SOLLECITAZ NASCOSTO'!$P$12,IF(C47&lt;='SOLLECITAZ NASCOSTO'!$P$11,IF(C47&lt;='SOLLECITAZ NASCOSTO'!$P$10,IF(C47&lt;='SOLLECITAZ NASCOSTO'!$P$9,IF(C47&lt;='SOLLECITAZ NASCOSTO'!$P$8,IF(C47&lt;='SOLLECITAZ NASCOSTO'!$P$7,IF(C47&lt;='SOLLECITAZ NASCOSTO'!$P$6,IF(C47&lt;='SOLLECITAZ NASCOSTO'!$P$5,'SOLLECITAZ NASCOSTO'!$P$3,'SOLLECITAZ NASCOSTO'!$P$5),'SOLLECITAZ NASCOSTO'!$P$5),'SOLLECITAZ NASCOSTO'!$P$7),'SOLLECITAZ NASCOSTO'!$P$8),'SOLLECITAZ NASCOSTO'!$P$9),'SOLLECITAZ NASCOSTO'!$P$10),'SOLLECITAZ NASCOSTO'!$P$11),'SOLLECITAZ NASCOSTO'!$P$12))/IF(C47&lt;='SOLLECITAZ NASCOSTO'!$P$12,IF(C47&lt;='SOLLECITAZ NASCOSTO'!$P$11,IF(C47&lt;='SOLLECITAZ NASCOSTO'!$P$10,IF(C47&lt;='SOLLECITAZ NASCOSTO'!$P$9,IF(C47&lt;='SOLLECITAZ NASCOSTO'!$P$8,IF(C47&lt;='SOLLECITAZ NASCOSTO'!$P$7,IF(C47&lt;='SOLLECITAZ NASCOSTO'!$P$6,IF(C47&lt;='SOLLECITAZ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slu'!$C$112)+IF(C47&lt;='SOLLECITAZ NASCOSTO'!$P$12,IF(C47&lt;='SOLLECITAZ NASCOSTO'!$P$11,IF(C47&lt;='SOLLECITAZ NASCOSTO'!$P$10,IF(C47&lt;='SOLLECITAZ NASCOSTO'!$P$9,IF(C47&lt;='SOLLECITAZ NASCOSTO'!$P$8,IF(C47&lt;='SOLLECITAZ NASCOSTO'!$P$7,IF(C47&lt;='SOLLECITAZ NASCOSTO'!$P$6,IF(C47&lt;='SOLLECITAZ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4.8660655064729426</v>
      </c>
      <c r="O48" s="42">
        <f>IF(C48&lt;='SOLLECITAZ NASCOSTO'!$P$12,IF(C48&lt;='SOLLECITAZ NASCOSTO'!$P$11,IF(C48&lt;='SOLLECITAZ NASCOSTO'!$P$10,IF(C48&lt;='SOLLECITAZ NASCOSTO'!$P$9,IF(C48&lt;='SOLLECITAZ NASCOSTO'!$P$8,IF(C48&lt;='SOLLECITAZ NASCOSTO'!$P$7,IF(C48&lt;='SOLLECITAZ NASCOSTO'!$P$6,IF(C48&lt;='SOLLECITAZ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slu'!$G$111),55555)*(C48-C47)/IF(C48&lt;='SOLLECITAZ NASCOSTO'!$P$12,IF(C48&lt;='SOLLECITAZ NASCOSTO'!$P$11,IF(C48&lt;='SOLLECITAZ NASCOSTO'!$P$10,IF(C48&lt;='SOLLECITAZ NASCOSTO'!$P$9,IF(C48&lt;='SOLLECITAZ NASCOSTO'!$P$8,IF(C48&lt;='SOLLECITAZ NASCOSTO'!$P$7,IF(C48&lt;='SOLLECITAZ NASCOSTO'!$P$6,IF(C48&lt;='SOLLECITAZ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8" s="42">
        <f t="shared" si="21"/>
        <v>1.5000000000000004E-5</v>
      </c>
      <c r="Q48" s="42">
        <f t="shared" si="18"/>
        <v>1</v>
      </c>
      <c r="R48" s="441">
        <f t="shared" si="10"/>
        <v>0.10961538461538461</v>
      </c>
      <c r="S48" s="46">
        <f t="shared" si="19"/>
        <v>0.10961538461538461</v>
      </c>
      <c r="T48" s="211">
        <f t="shared" si="13"/>
        <v>3.2403846153846154</v>
      </c>
      <c r="U48" s="46">
        <f t="shared" si="16"/>
        <v>0.49646342017501754</v>
      </c>
      <c r="V48" s="46">
        <f t="shared" si="17"/>
        <v>-2.6441914207515349E-2</v>
      </c>
      <c r="W48" s="496"/>
      <c r="AN48" s="428"/>
    </row>
    <row r="49" spans="1:40" x14ac:dyDescent="0.25">
      <c r="A49" s="589">
        <f t="shared" si="11"/>
        <v>4.0865384615118572E-7</v>
      </c>
      <c r="B49" s="32">
        <f t="shared" si="12"/>
        <v>17</v>
      </c>
      <c r="C49" s="441">
        <f>'SOLLECITAZ NASCOSTO'!$D$6/'SOLLECITAZ NASCOSTO'!$B$448*'SOLLECITAZ NASCOSTO'!B49</f>
        <v>0.11646634615384616</v>
      </c>
      <c r="D49" s="132">
        <f t="shared" si="14"/>
        <v>0.30000040865384614</v>
      </c>
      <c r="E49" s="132">
        <f t="shared" si="4"/>
        <v>4.0865384615118572E-7</v>
      </c>
      <c r="F49" s="132">
        <f t="shared" si="5"/>
        <v>0.30000040865384614</v>
      </c>
      <c r="G49" s="132">
        <f t="shared" si="6"/>
        <v>4.5000122596237341E-2</v>
      </c>
      <c r="H49" s="132">
        <f t="shared" si="7"/>
        <v>0</v>
      </c>
      <c r="I49" s="132">
        <v>0</v>
      </c>
      <c r="J49" s="131">
        <f t="shared" si="8"/>
        <v>0.15000020432692307</v>
      </c>
      <c r="K49" s="130">
        <f t="shared" si="9"/>
        <v>2.2500091947240631E-3</v>
      </c>
      <c r="L49" s="42">
        <f t="shared" si="20"/>
        <v>0.53029527577511415</v>
      </c>
      <c r="M49" s="42">
        <f t="shared" si="15"/>
        <v>-2.9959056375132988E-2</v>
      </c>
      <c r="N49" s="42">
        <f>(IF(C48&lt;='SOLLECITAZ NASCOSTO'!$P$12,IF(C48&lt;='SOLLECITAZ NASCOSTO'!$P$11,IF(C48&lt;='SOLLECITAZ NASCOSTO'!$P$10,IF(C48&lt;='SOLLECITAZ NASCOSTO'!$P$9,IF(C48&lt;='SOLLECITAZ NASCOSTO'!$P$8,IF(C48&lt;='SOLLECITAZ NASCOSTO'!$P$7,IF(C48&lt;='SOLLECITAZ NASCOSTO'!$P$6,IF(C48&lt;='SOLLECITAZ NASCOSTO'!$P$5,'Progetto del paramento slu'!$G$105,'Progetto del paramento slu'!$G$106),'Progetto del paramento slu'!$G$107),'Progetto del paramento slu'!$G$108),'Progetto del paramento slu'!$G$109),'Progetto del paramento slu'!$G$110),'Progetto del paramento slu'!$G$111),'Progetto del paramento slu'!$G$112),55555)-IF(C48&lt;='SOLLECITAZ NASCOSTO'!$P$12,IF(C48&lt;='SOLLECITAZ NASCOSTO'!$P$11,IF(C48&lt;='SOLLECITAZ NASCOSTO'!$P$10,IF(C48&lt;='SOLLECITAZ NASCOSTO'!$P$9,IF(C48&lt;='SOLLECITAZ NASCOSTO'!$P$8,IF(C48&lt;='SOLLECITAZ NASCOSTO'!$P$7,IF(C48&lt;='SOLLECITAZ NASCOSTO'!$P$6,IF(C48&lt;='SOLLECITAZ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slu'!$G$112))*(C48-IF(C48&lt;='SOLLECITAZ NASCOSTO'!$P$12,IF(C48&lt;='SOLLECITAZ NASCOSTO'!$P$11,IF(C48&lt;='SOLLECITAZ NASCOSTO'!$P$10,IF(C48&lt;='SOLLECITAZ NASCOSTO'!$P$9,IF(C48&lt;='SOLLECITAZ NASCOSTO'!$P$8,IF(C48&lt;='SOLLECITAZ NASCOSTO'!$P$7,IF(C48&lt;='SOLLECITAZ NASCOSTO'!$P$6,IF(C48&lt;='SOLLECITAZ NASCOSTO'!$P$5,'SOLLECITAZ NASCOSTO'!$P$3,'SOLLECITAZ NASCOSTO'!$P$5),'SOLLECITAZ NASCOSTO'!$P$5),'SOLLECITAZ NASCOSTO'!$P$7),'SOLLECITAZ NASCOSTO'!$P$8),'SOLLECITAZ NASCOSTO'!$P$9),'SOLLECITAZ NASCOSTO'!$P$10),'SOLLECITAZ NASCOSTO'!$P$11),'SOLLECITAZ NASCOSTO'!$P$12))/IF(C48&lt;='SOLLECITAZ NASCOSTO'!$P$12,IF(C48&lt;='SOLLECITAZ NASCOSTO'!$P$11,IF(C48&lt;='SOLLECITAZ NASCOSTO'!$P$10,IF(C48&lt;='SOLLECITAZ NASCOSTO'!$P$9,IF(C48&lt;='SOLLECITAZ NASCOSTO'!$P$8,IF(C48&lt;='SOLLECITAZ NASCOSTO'!$P$7,IF(C48&lt;='SOLLECITAZ NASCOSTO'!$P$6,IF(C48&lt;='SOLLECITAZ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slu'!$C$112)+IF(C48&lt;='SOLLECITAZ NASCOSTO'!$P$12,IF(C48&lt;='SOLLECITAZ NASCOSTO'!$P$11,IF(C48&lt;='SOLLECITAZ NASCOSTO'!$P$10,IF(C48&lt;='SOLLECITAZ NASCOSTO'!$P$9,IF(C48&lt;='SOLLECITAZ NASCOSTO'!$P$8,IF(C48&lt;='SOLLECITAZ NASCOSTO'!$P$7,IF(C48&lt;='SOLLECITAZ NASCOSTO'!$P$6,IF(C48&lt;='SOLLECITAZ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4.9141977254652955</v>
      </c>
      <c r="O49" s="42">
        <f>IF(C49&lt;='SOLLECITAZ NASCOSTO'!$P$12,IF(C49&lt;='SOLLECITAZ NASCOSTO'!$P$11,IF(C49&lt;='SOLLECITAZ NASCOSTO'!$P$10,IF(C49&lt;='SOLLECITAZ NASCOSTO'!$P$9,IF(C49&lt;='SOLLECITAZ NASCOSTO'!$P$8,IF(C49&lt;='SOLLECITAZ NASCOSTO'!$P$7,IF(C49&lt;='SOLLECITAZ NASCOSTO'!$P$6,IF(C49&lt;='SOLLECITAZ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slu'!$G$111),55555)*(C49-C48)/IF(C49&lt;='SOLLECITAZ NASCOSTO'!$P$12,IF(C49&lt;='SOLLECITAZ NASCOSTO'!$P$11,IF(C49&lt;='SOLLECITAZ NASCOSTO'!$P$10,IF(C49&lt;='SOLLECITAZ NASCOSTO'!$P$9,IF(C49&lt;='SOLLECITAZ NASCOSTO'!$P$8,IF(C49&lt;='SOLLECITAZ NASCOSTO'!$P$7,IF(C49&lt;='SOLLECITAZ NASCOSTO'!$P$6,IF(C49&lt;='SOLLECITAZ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49" s="42">
        <f t="shared" si="21"/>
        <v>1.6000000000000003E-5</v>
      </c>
      <c r="Q49" s="42">
        <f t="shared" si="18"/>
        <v>1</v>
      </c>
      <c r="R49" s="441">
        <f t="shared" si="10"/>
        <v>0.11646634615384616</v>
      </c>
      <c r="S49" s="46">
        <f t="shared" si="19"/>
        <v>0.11646634615384616</v>
      </c>
      <c r="T49" s="211">
        <f t="shared" si="13"/>
        <v>3.2335336538461541</v>
      </c>
      <c r="U49" s="46">
        <f t="shared" si="16"/>
        <v>0.53029527577511415</v>
      </c>
      <c r="V49" s="46">
        <f t="shared" si="17"/>
        <v>-2.9959056375132988E-2</v>
      </c>
      <c r="W49" s="496"/>
      <c r="X49" s="434"/>
      <c r="AN49" s="428"/>
    </row>
    <row r="50" spans="1:40" x14ac:dyDescent="0.25">
      <c r="A50" s="589">
        <f t="shared" si="11"/>
        <v>4.3269230770581757E-7</v>
      </c>
      <c r="B50" s="32">
        <f t="shared" si="12"/>
        <v>18</v>
      </c>
      <c r="C50" s="441">
        <f>'SOLLECITAZ NASCOSTO'!$D$6/'SOLLECITAZ NASCOSTO'!$B$448*'SOLLECITAZ NASCOSTO'!B50</f>
        <v>0.1233173076923077</v>
      </c>
      <c r="D50" s="132">
        <f t="shared" si="14"/>
        <v>0.30000043269230769</v>
      </c>
      <c r="E50" s="132">
        <f t="shared" si="4"/>
        <v>4.3269230770581757E-7</v>
      </c>
      <c r="F50" s="132">
        <f t="shared" si="5"/>
        <v>0.30000043269230769</v>
      </c>
      <c r="G50" s="132">
        <f t="shared" si="6"/>
        <v>4.5000129807785921E-2</v>
      </c>
      <c r="H50" s="132">
        <f t="shared" si="7"/>
        <v>0</v>
      </c>
      <c r="I50" s="132">
        <v>0</v>
      </c>
      <c r="J50" s="131">
        <f t="shared" si="8"/>
        <v>0.15000021634615385</v>
      </c>
      <c r="K50" s="130">
        <f t="shared" si="9"/>
        <v>2.2500097355909652E-3</v>
      </c>
      <c r="L50" s="42">
        <f t="shared" si="20"/>
        <v>0.56445688335628819</v>
      </c>
      <c r="M50" s="42">
        <f t="shared" si="15"/>
        <v>-3.3709108843311471E-2</v>
      </c>
      <c r="N50" s="42">
        <f>(IF(C49&lt;='SOLLECITAZ NASCOSTO'!$P$12,IF(C49&lt;='SOLLECITAZ NASCOSTO'!$P$11,IF(C49&lt;='SOLLECITAZ NASCOSTO'!$P$10,IF(C49&lt;='SOLLECITAZ NASCOSTO'!$P$9,IF(C49&lt;='SOLLECITAZ NASCOSTO'!$P$8,IF(C49&lt;='SOLLECITAZ NASCOSTO'!$P$7,IF(C49&lt;='SOLLECITAZ NASCOSTO'!$P$6,IF(C49&lt;='SOLLECITAZ NASCOSTO'!$P$5,'Progetto del paramento slu'!$G$105,'Progetto del paramento slu'!$G$106),'Progetto del paramento slu'!$G$107),'Progetto del paramento slu'!$G$108),'Progetto del paramento slu'!$G$109),'Progetto del paramento slu'!$G$110),'Progetto del paramento slu'!$G$111),'Progetto del paramento slu'!$G$112),55555)-IF(C49&lt;='SOLLECITAZ NASCOSTO'!$P$12,IF(C49&lt;='SOLLECITAZ NASCOSTO'!$P$11,IF(C49&lt;='SOLLECITAZ NASCOSTO'!$P$10,IF(C49&lt;='SOLLECITAZ NASCOSTO'!$P$9,IF(C49&lt;='SOLLECITAZ NASCOSTO'!$P$8,IF(C49&lt;='SOLLECITAZ NASCOSTO'!$P$7,IF(C49&lt;='SOLLECITAZ NASCOSTO'!$P$6,IF(C49&lt;='SOLLECITAZ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slu'!$G$112))*(C49-IF(C49&lt;='SOLLECITAZ NASCOSTO'!$P$12,IF(C49&lt;='SOLLECITAZ NASCOSTO'!$P$11,IF(C49&lt;='SOLLECITAZ NASCOSTO'!$P$10,IF(C49&lt;='SOLLECITAZ NASCOSTO'!$P$9,IF(C49&lt;='SOLLECITAZ NASCOSTO'!$P$8,IF(C49&lt;='SOLLECITAZ NASCOSTO'!$P$7,IF(C49&lt;='SOLLECITAZ NASCOSTO'!$P$6,IF(C49&lt;='SOLLECITAZ NASCOSTO'!$P$5,'SOLLECITAZ NASCOSTO'!$P$3,'SOLLECITAZ NASCOSTO'!$P$5),'SOLLECITAZ NASCOSTO'!$P$5),'SOLLECITAZ NASCOSTO'!$P$7),'SOLLECITAZ NASCOSTO'!$P$8),'SOLLECITAZ NASCOSTO'!$P$9),'SOLLECITAZ NASCOSTO'!$P$10),'SOLLECITAZ NASCOSTO'!$P$11),'SOLLECITAZ NASCOSTO'!$P$12))/IF(C49&lt;='SOLLECITAZ NASCOSTO'!$P$12,IF(C49&lt;='SOLLECITAZ NASCOSTO'!$P$11,IF(C49&lt;='SOLLECITAZ NASCOSTO'!$P$10,IF(C49&lt;='SOLLECITAZ NASCOSTO'!$P$9,IF(C49&lt;='SOLLECITAZ NASCOSTO'!$P$8,IF(C49&lt;='SOLLECITAZ NASCOSTO'!$P$7,IF(C49&lt;='SOLLECITAZ NASCOSTO'!$P$6,IF(C49&lt;='SOLLECITAZ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slu'!$C$112)+IF(C49&lt;='SOLLECITAZ NASCOSTO'!$P$12,IF(C49&lt;='SOLLECITAZ NASCOSTO'!$P$11,IF(C49&lt;='SOLLECITAZ NASCOSTO'!$P$10,IF(C49&lt;='SOLLECITAZ NASCOSTO'!$P$9,IF(C49&lt;='SOLLECITAZ NASCOSTO'!$P$8,IF(C49&lt;='SOLLECITAZ NASCOSTO'!$P$7,IF(C49&lt;='SOLLECITAZ NASCOSTO'!$P$6,IF(C49&lt;='SOLLECITAZ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4.9623299444576476</v>
      </c>
      <c r="O50" s="42">
        <f>IF(C50&lt;='SOLLECITAZ NASCOSTO'!$P$12,IF(C50&lt;='SOLLECITAZ NASCOSTO'!$P$11,IF(C50&lt;='SOLLECITAZ NASCOSTO'!$P$10,IF(C50&lt;='SOLLECITAZ NASCOSTO'!$P$9,IF(C50&lt;='SOLLECITAZ NASCOSTO'!$P$8,IF(C50&lt;='SOLLECITAZ NASCOSTO'!$P$7,IF(C50&lt;='SOLLECITAZ NASCOSTO'!$P$6,IF(C50&lt;='SOLLECITAZ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slu'!$G$111),55555)*(C50-C49)/IF(C50&lt;='SOLLECITAZ NASCOSTO'!$P$12,IF(C50&lt;='SOLLECITAZ NASCOSTO'!$P$11,IF(C50&lt;='SOLLECITAZ NASCOSTO'!$P$10,IF(C50&lt;='SOLLECITAZ NASCOSTO'!$P$9,IF(C50&lt;='SOLLECITAZ NASCOSTO'!$P$8,IF(C50&lt;='SOLLECITAZ NASCOSTO'!$P$7,IF(C50&lt;='SOLLECITAZ NASCOSTO'!$P$6,IF(C50&lt;='SOLLECITAZ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0" s="42">
        <f t="shared" si="21"/>
        <v>1.7000000000000003E-5</v>
      </c>
      <c r="Q50" s="42">
        <f t="shared" si="18"/>
        <v>1</v>
      </c>
      <c r="R50" s="441">
        <f t="shared" si="10"/>
        <v>0.1233173076923077</v>
      </c>
      <c r="S50" s="46">
        <f t="shared" si="19"/>
        <v>0.1233173076923077</v>
      </c>
      <c r="T50" s="211">
        <f t="shared" si="13"/>
        <v>3.2266826923076923</v>
      </c>
      <c r="U50" s="46">
        <f t="shared" si="16"/>
        <v>0.56445688335628819</v>
      </c>
      <c r="V50" s="46">
        <f t="shared" si="17"/>
        <v>-3.3709108843311471E-2</v>
      </c>
      <c r="W50" s="496"/>
    </row>
    <row r="51" spans="1:40" x14ac:dyDescent="0.25">
      <c r="A51" s="589">
        <f t="shared" si="11"/>
        <v>4.5673076920493827E-7</v>
      </c>
      <c r="B51" s="32">
        <f t="shared" si="12"/>
        <v>19</v>
      </c>
      <c r="C51" s="441">
        <f>'SOLLECITAZ NASCOSTO'!$D$6/'SOLLECITAZ NASCOSTO'!$B$448*'SOLLECITAZ NASCOSTO'!B51</f>
        <v>0.13016826923076924</v>
      </c>
      <c r="D51" s="132">
        <f t="shared" si="14"/>
        <v>0.30000045673076919</v>
      </c>
      <c r="E51" s="132">
        <f t="shared" si="4"/>
        <v>4.5673076920493827E-7</v>
      </c>
      <c r="F51" s="132">
        <f t="shared" si="5"/>
        <v>0.30000045673076919</v>
      </c>
      <c r="G51" s="132">
        <f t="shared" si="6"/>
        <v>4.5000137019335064E-2</v>
      </c>
      <c r="H51" s="132">
        <f t="shared" si="7"/>
        <v>0</v>
      </c>
      <c r="I51" s="132">
        <v>0</v>
      </c>
      <c r="J51" s="131">
        <f t="shared" si="8"/>
        <v>0.15000022836538462</v>
      </c>
      <c r="K51" s="130">
        <f t="shared" si="9"/>
        <v>2.2500102764579522E-3</v>
      </c>
      <c r="L51" s="42">
        <f t="shared" si="20"/>
        <v>0.59894824291853965</v>
      </c>
      <c r="M51" s="42">
        <f t="shared" si="15"/>
        <v>-3.7694330730190392E-2</v>
      </c>
      <c r="N51" s="42">
        <f>(IF(C50&lt;='SOLLECITAZ NASCOSTO'!$P$12,IF(C50&lt;='SOLLECITAZ NASCOSTO'!$P$11,IF(C50&lt;='SOLLECITAZ NASCOSTO'!$P$10,IF(C50&lt;='SOLLECITAZ NASCOSTO'!$P$9,IF(C50&lt;='SOLLECITAZ NASCOSTO'!$P$8,IF(C50&lt;='SOLLECITAZ NASCOSTO'!$P$7,IF(C50&lt;='SOLLECITAZ NASCOSTO'!$P$6,IF(C50&lt;='SOLLECITAZ NASCOSTO'!$P$5,'Progetto del paramento slu'!$G$105,'Progetto del paramento slu'!$G$106),'Progetto del paramento slu'!$G$107),'Progetto del paramento slu'!$G$108),'Progetto del paramento slu'!$G$109),'Progetto del paramento slu'!$G$110),'Progetto del paramento slu'!$G$111),'Progetto del paramento slu'!$G$112),55555)-IF(C50&lt;='SOLLECITAZ NASCOSTO'!$P$12,IF(C50&lt;='SOLLECITAZ NASCOSTO'!$P$11,IF(C50&lt;='SOLLECITAZ NASCOSTO'!$P$10,IF(C50&lt;='SOLLECITAZ NASCOSTO'!$P$9,IF(C50&lt;='SOLLECITAZ NASCOSTO'!$P$8,IF(C50&lt;='SOLLECITAZ NASCOSTO'!$P$7,IF(C50&lt;='SOLLECITAZ NASCOSTO'!$P$6,IF(C50&lt;='SOLLECITAZ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slu'!$G$112))*(C50-IF(C50&lt;='SOLLECITAZ NASCOSTO'!$P$12,IF(C50&lt;='SOLLECITAZ NASCOSTO'!$P$11,IF(C50&lt;='SOLLECITAZ NASCOSTO'!$P$10,IF(C50&lt;='SOLLECITAZ NASCOSTO'!$P$9,IF(C50&lt;='SOLLECITAZ NASCOSTO'!$P$8,IF(C50&lt;='SOLLECITAZ NASCOSTO'!$P$7,IF(C50&lt;='SOLLECITAZ NASCOSTO'!$P$6,IF(C50&lt;='SOLLECITAZ NASCOSTO'!$P$5,'SOLLECITAZ NASCOSTO'!$P$3,'SOLLECITAZ NASCOSTO'!$P$5),'SOLLECITAZ NASCOSTO'!$P$5),'SOLLECITAZ NASCOSTO'!$P$7),'SOLLECITAZ NASCOSTO'!$P$8),'SOLLECITAZ NASCOSTO'!$P$9),'SOLLECITAZ NASCOSTO'!$P$10),'SOLLECITAZ NASCOSTO'!$P$11),'SOLLECITAZ NASCOSTO'!$P$12))/IF(C50&lt;='SOLLECITAZ NASCOSTO'!$P$12,IF(C50&lt;='SOLLECITAZ NASCOSTO'!$P$11,IF(C50&lt;='SOLLECITAZ NASCOSTO'!$P$10,IF(C50&lt;='SOLLECITAZ NASCOSTO'!$P$9,IF(C50&lt;='SOLLECITAZ NASCOSTO'!$P$8,IF(C50&lt;='SOLLECITAZ NASCOSTO'!$P$7,IF(C50&lt;='SOLLECITAZ NASCOSTO'!$P$6,IF(C50&lt;='SOLLECITAZ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slu'!$C$112)+IF(C50&lt;='SOLLECITAZ NASCOSTO'!$P$12,IF(C50&lt;='SOLLECITAZ NASCOSTO'!$P$11,IF(C50&lt;='SOLLECITAZ NASCOSTO'!$P$10,IF(C50&lt;='SOLLECITAZ NASCOSTO'!$P$9,IF(C50&lt;='SOLLECITAZ NASCOSTO'!$P$8,IF(C50&lt;='SOLLECITAZ NASCOSTO'!$P$7,IF(C50&lt;='SOLLECITAZ NASCOSTO'!$P$6,IF(C50&lt;='SOLLECITAZ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5.0104621634500006</v>
      </c>
      <c r="O51" s="42">
        <f>IF(C51&lt;='SOLLECITAZ NASCOSTO'!$P$12,IF(C51&lt;='SOLLECITAZ NASCOSTO'!$P$11,IF(C51&lt;='SOLLECITAZ NASCOSTO'!$P$10,IF(C51&lt;='SOLLECITAZ NASCOSTO'!$P$9,IF(C51&lt;='SOLLECITAZ NASCOSTO'!$P$8,IF(C51&lt;='SOLLECITAZ NASCOSTO'!$P$7,IF(C51&lt;='SOLLECITAZ NASCOSTO'!$P$6,IF(C51&lt;='SOLLECITAZ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slu'!$G$111),55555)*(C51-C50)/IF(C51&lt;='SOLLECITAZ NASCOSTO'!$P$12,IF(C51&lt;='SOLLECITAZ NASCOSTO'!$P$11,IF(C51&lt;='SOLLECITAZ NASCOSTO'!$P$10,IF(C51&lt;='SOLLECITAZ NASCOSTO'!$P$9,IF(C51&lt;='SOLLECITAZ NASCOSTO'!$P$8,IF(C51&lt;='SOLLECITAZ NASCOSTO'!$P$7,IF(C51&lt;='SOLLECITAZ NASCOSTO'!$P$6,IF(C51&lt;='SOLLECITAZ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1" s="42">
        <f t="shared" si="21"/>
        <v>1.8000000000000004E-5</v>
      </c>
      <c r="Q51" s="42">
        <f t="shared" si="18"/>
        <v>1</v>
      </c>
      <c r="R51" s="441">
        <f t="shared" si="10"/>
        <v>0.13016826923076924</v>
      </c>
      <c r="S51" s="46">
        <f t="shared" si="19"/>
        <v>0.13016826923076924</v>
      </c>
      <c r="T51" s="211">
        <f t="shared" si="13"/>
        <v>3.219831730769231</v>
      </c>
      <c r="U51" s="46">
        <f t="shared" si="16"/>
        <v>0.59894824291853965</v>
      </c>
      <c r="V51" s="46">
        <f t="shared" si="17"/>
        <v>-3.7694330730190392E-2</v>
      </c>
      <c r="W51" s="496"/>
      <c r="Y51" s="42"/>
      <c r="Z51" s="495"/>
    </row>
    <row r="52" spans="1:40" x14ac:dyDescent="0.25">
      <c r="A52" s="589">
        <f t="shared" si="11"/>
        <v>4.8076923075957012E-7</v>
      </c>
      <c r="B52" s="32">
        <f t="shared" si="12"/>
        <v>20</v>
      </c>
      <c r="C52" s="441">
        <f>'SOLLECITAZ NASCOSTO'!$D$6/'SOLLECITAZ NASCOSTO'!$B$448*'SOLLECITAZ NASCOSTO'!B52</f>
        <v>0.13701923076923078</v>
      </c>
      <c r="D52" s="132">
        <f t="shared" si="14"/>
        <v>0.30000048076923075</v>
      </c>
      <c r="E52" s="132">
        <f t="shared" si="4"/>
        <v>4.8076923075957012E-7</v>
      </c>
      <c r="F52" s="132">
        <f t="shared" si="5"/>
        <v>0.30000048076923075</v>
      </c>
      <c r="G52" s="132">
        <f t="shared" si="6"/>
        <v>4.5000144230884796E-2</v>
      </c>
      <c r="H52" s="132">
        <f t="shared" si="7"/>
        <v>0</v>
      </c>
      <c r="I52" s="132">
        <v>0</v>
      </c>
      <c r="J52" s="131">
        <f t="shared" si="8"/>
        <v>0.15000024038461537</v>
      </c>
      <c r="K52" s="130">
        <f t="shared" si="9"/>
        <v>2.2500108173250273E-3</v>
      </c>
      <c r="L52" s="42">
        <f t="shared" si="20"/>
        <v>0.63376935446186855</v>
      </c>
      <c r="M52" s="42">
        <f t="shared" si="15"/>
        <v>-4.1916981153909343E-2</v>
      </c>
      <c r="N52" s="42">
        <f>(IF(C51&lt;='SOLLECITAZ NASCOSTO'!$P$12,IF(C51&lt;='SOLLECITAZ NASCOSTO'!$P$11,IF(C51&lt;='SOLLECITAZ NASCOSTO'!$P$10,IF(C51&lt;='SOLLECITAZ NASCOSTO'!$P$9,IF(C51&lt;='SOLLECITAZ NASCOSTO'!$P$8,IF(C51&lt;='SOLLECITAZ NASCOSTO'!$P$7,IF(C51&lt;='SOLLECITAZ NASCOSTO'!$P$6,IF(C51&lt;='SOLLECITAZ NASCOSTO'!$P$5,'Progetto del paramento slu'!$G$105,'Progetto del paramento slu'!$G$106),'Progetto del paramento slu'!$G$107),'Progetto del paramento slu'!$G$108),'Progetto del paramento slu'!$G$109),'Progetto del paramento slu'!$G$110),'Progetto del paramento slu'!$G$111),'Progetto del paramento slu'!$G$112),55555)-IF(C51&lt;='SOLLECITAZ NASCOSTO'!$P$12,IF(C51&lt;='SOLLECITAZ NASCOSTO'!$P$11,IF(C51&lt;='SOLLECITAZ NASCOSTO'!$P$10,IF(C51&lt;='SOLLECITAZ NASCOSTO'!$P$9,IF(C51&lt;='SOLLECITAZ NASCOSTO'!$P$8,IF(C51&lt;='SOLLECITAZ NASCOSTO'!$P$7,IF(C51&lt;='SOLLECITAZ NASCOSTO'!$P$6,IF(C51&lt;='SOLLECITAZ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slu'!$G$112))*(C51-IF(C51&lt;='SOLLECITAZ NASCOSTO'!$P$12,IF(C51&lt;='SOLLECITAZ NASCOSTO'!$P$11,IF(C51&lt;='SOLLECITAZ NASCOSTO'!$P$10,IF(C51&lt;='SOLLECITAZ NASCOSTO'!$P$9,IF(C51&lt;='SOLLECITAZ NASCOSTO'!$P$8,IF(C51&lt;='SOLLECITAZ NASCOSTO'!$P$7,IF(C51&lt;='SOLLECITAZ NASCOSTO'!$P$6,IF(C51&lt;='SOLLECITAZ NASCOSTO'!$P$5,'SOLLECITAZ NASCOSTO'!$P$3,'SOLLECITAZ NASCOSTO'!$P$5),'SOLLECITAZ NASCOSTO'!$P$5),'SOLLECITAZ NASCOSTO'!$P$7),'SOLLECITAZ NASCOSTO'!$P$8),'SOLLECITAZ NASCOSTO'!$P$9),'SOLLECITAZ NASCOSTO'!$P$10),'SOLLECITAZ NASCOSTO'!$P$11),'SOLLECITAZ NASCOSTO'!$P$12))/IF(C51&lt;='SOLLECITAZ NASCOSTO'!$P$12,IF(C51&lt;='SOLLECITAZ NASCOSTO'!$P$11,IF(C51&lt;='SOLLECITAZ NASCOSTO'!$P$10,IF(C51&lt;='SOLLECITAZ NASCOSTO'!$P$9,IF(C51&lt;='SOLLECITAZ NASCOSTO'!$P$8,IF(C51&lt;='SOLLECITAZ NASCOSTO'!$P$7,IF(C51&lt;='SOLLECITAZ NASCOSTO'!$P$6,IF(C51&lt;='SOLLECITAZ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slu'!$C$112)+IF(C51&lt;='SOLLECITAZ NASCOSTO'!$P$12,IF(C51&lt;='SOLLECITAZ NASCOSTO'!$P$11,IF(C51&lt;='SOLLECITAZ NASCOSTO'!$P$10,IF(C51&lt;='SOLLECITAZ NASCOSTO'!$P$9,IF(C51&lt;='SOLLECITAZ NASCOSTO'!$P$8,IF(C51&lt;='SOLLECITAZ NASCOSTO'!$P$7,IF(C51&lt;='SOLLECITAZ NASCOSTO'!$P$6,IF(C51&lt;='SOLLECITAZ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5.0585943824423527</v>
      </c>
      <c r="O52" s="42">
        <f>IF(C52&lt;='SOLLECITAZ NASCOSTO'!$P$12,IF(C52&lt;='SOLLECITAZ NASCOSTO'!$P$11,IF(C52&lt;='SOLLECITAZ NASCOSTO'!$P$10,IF(C52&lt;='SOLLECITAZ NASCOSTO'!$P$9,IF(C52&lt;='SOLLECITAZ NASCOSTO'!$P$8,IF(C52&lt;='SOLLECITAZ NASCOSTO'!$P$7,IF(C52&lt;='SOLLECITAZ NASCOSTO'!$P$6,IF(C52&lt;='SOLLECITAZ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slu'!$G$111),55555)*(C52-C51)/IF(C52&lt;='SOLLECITAZ NASCOSTO'!$P$12,IF(C52&lt;='SOLLECITAZ NASCOSTO'!$P$11,IF(C52&lt;='SOLLECITAZ NASCOSTO'!$P$10,IF(C52&lt;='SOLLECITAZ NASCOSTO'!$P$9,IF(C52&lt;='SOLLECITAZ NASCOSTO'!$P$8,IF(C52&lt;='SOLLECITAZ NASCOSTO'!$P$7,IF(C52&lt;='SOLLECITAZ NASCOSTO'!$P$6,IF(C52&lt;='SOLLECITAZ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2" s="42">
        <f t="shared" si="21"/>
        <v>1.9000000000000004E-5</v>
      </c>
      <c r="Q52" s="42">
        <f t="shared" si="18"/>
        <v>1</v>
      </c>
      <c r="R52" s="441">
        <f t="shared" si="10"/>
        <v>0.13701923076923078</v>
      </c>
      <c r="S52" s="46">
        <f t="shared" si="19"/>
        <v>0.13701923076923078</v>
      </c>
      <c r="T52" s="211">
        <f t="shared" si="13"/>
        <v>3.2129807692307693</v>
      </c>
      <c r="U52" s="46">
        <f t="shared" si="16"/>
        <v>0.63376935446186855</v>
      </c>
      <c r="V52" s="46">
        <f t="shared" si="17"/>
        <v>-4.1916981153909343E-2</v>
      </c>
      <c r="W52" s="496"/>
    </row>
    <row r="53" spans="1:40" x14ac:dyDescent="0.25">
      <c r="A53" s="589">
        <f t="shared" si="11"/>
        <v>5.0480769231420197E-7</v>
      </c>
      <c r="B53" s="32">
        <f t="shared" si="12"/>
        <v>21</v>
      </c>
      <c r="C53" s="441">
        <f>'SOLLECITAZ NASCOSTO'!$D$6/'SOLLECITAZ NASCOSTO'!$B$448*'SOLLECITAZ NASCOSTO'!B53</f>
        <v>0.1438701923076923</v>
      </c>
      <c r="D53" s="132">
        <f t="shared" si="14"/>
        <v>0.3000005048076923</v>
      </c>
      <c r="E53" s="132">
        <f t="shared" si="4"/>
        <v>5.0480769231420197E-7</v>
      </c>
      <c r="F53" s="132">
        <f t="shared" si="5"/>
        <v>0.3000005048076923</v>
      </c>
      <c r="G53" s="132">
        <f t="shared" si="6"/>
        <v>4.5000151442435105E-2</v>
      </c>
      <c r="H53" s="132">
        <f t="shared" si="7"/>
        <v>0</v>
      </c>
      <c r="I53" s="132">
        <v>0</v>
      </c>
      <c r="J53" s="131">
        <f t="shared" si="8"/>
        <v>0.15000025240384615</v>
      </c>
      <c r="K53" s="130">
        <f t="shared" si="9"/>
        <v>2.2500113581921891E-3</v>
      </c>
      <c r="L53" s="42">
        <f t="shared" si="20"/>
        <v>0.66892021798627466</v>
      </c>
      <c r="M53" s="42">
        <f t="shared" si="15"/>
        <v>-4.6379319232607893E-2</v>
      </c>
      <c r="N53" s="42">
        <f>(IF(C52&lt;='SOLLECITAZ NASCOSTO'!$P$12,IF(C52&lt;='SOLLECITAZ NASCOSTO'!$P$11,IF(C52&lt;='SOLLECITAZ NASCOSTO'!$P$10,IF(C52&lt;='SOLLECITAZ NASCOSTO'!$P$9,IF(C52&lt;='SOLLECITAZ NASCOSTO'!$P$8,IF(C52&lt;='SOLLECITAZ NASCOSTO'!$P$7,IF(C52&lt;='SOLLECITAZ NASCOSTO'!$P$6,IF(C52&lt;='SOLLECITAZ NASCOSTO'!$P$5,'Progetto del paramento slu'!$G$105,'Progetto del paramento slu'!$G$106),'Progetto del paramento slu'!$G$107),'Progetto del paramento slu'!$G$108),'Progetto del paramento slu'!$G$109),'Progetto del paramento slu'!$G$110),'Progetto del paramento slu'!$G$111),'Progetto del paramento slu'!$G$112),55555)-IF(C52&lt;='SOLLECITAZ NASCOSTO'!$P$12,IF(C52&lt;='SOLLECITAZ NASCOSTO'!$P$11,IF(C52&lt;='SOLLECITAZ NASCOSTO'!$P$10,IF(C52&lt;='SOLLECITAZ NASCOSTO'!$P$9,IF(C52&lt;='SOLLECITAZ NASCOSTO'!$P$8,IF(C52&lt;='SOLLECITAZ NASCOSTO'!$P$7,IF(C52&lt;='SOLLECITAZ NASCOSTO'!$P$6,IF(C52&lt;='SOLLECITAZ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slu'!$G$112))*(C52-IF(C52&lt;='SOLLECITAZ NASCOSTO'!$P$12,IF(C52&lt;='SOLLECITAZ NASCOSTO'!$P$11,IF(C52&lt;='SOLLECITAZ NASCOSTO'!$P$10,IF(C52&lt;='SOLLECITAZ NASCOSTO'!$P$9,IF(C52&lt;='SOLLECITAZ NASCOSTO'!$P$8,IF(C52&lt;='SOLLECITAZ NASCOSTO'!$P$7,IF(C52&lt;='SOLLECITAZ NASCOSTO'!$P$6,IF(C52&lt;='SOLLECITAZ NASCOSTO'!$P$5,'SOLLECITAZ NASCOSTO'!$P$3,'SOLLECITAZ NASCOSTO'!$P$5),'SOLLECITAZ NASCOSTO'!$P$5),'SOLLECITAZ NASCOSTO'!$P$7),'SOLLECITAZ NASCOSTO'!$P$8),'SOLLECITAZ NASCOSTO'!$P$9),'SOLLECITAZ NASCOSTO'!$P$10),'SOLLECITAZ NASCOSTO'!$P$11),'SOLLECITAZ NASCOSTO'!$P$12))/IF(C52&lt;='SOLLECITAZ NASCOSTO'!$P$12,IF(C52&lt;='SOLLECITAZ NASCOSTO'!$P$11,IF(C52&lt;='SOLLECITAZ NASCOSTO'!$P$10,IF(C52&lt;='SOLLECITAZ NASCOSTO'!$P$9,IF(C52&lt;='SOLLECITAZ NASCOSTO'!$P$8,IF(C52&lt;='SOLLECITAZ NASCOSTO'!$P$7,IF(C52&lt;='SOLLECITAZ NASCOSTO'!$P$6,IF(C52&lt;='SOLLECITAZ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slu'!$C$112)+IF(C52&lt;='SOLLECITAZ NASCOSTO'!$P$12,IF(C52&lt;='SOLLECITAZ NASCOSTO'!$P$11,IF(C52&lt;='SOLLECITAZ NASCOSTO'!$P$10,IF(C52&lt;='SOLLECITAZ NASCOSTO'!$P$9,IF(C52&lt;='SOLLECITAZ NASCOSTO'!$P$8,IF(C52&lt;='SOLLECITAZ NASCOSTO'!$P$7,IF(C52&lt;='SOLLECITAZ NASCOSTO'!$P$6,IF(C52&lt;='SOLLECITAZ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5.1067266014347048</v>
      </c>
      <c r="O53" s="42">
        <f>IF(C53&lt;='SOLLECITAZ NASCOSTO'!$P$12,IF(C53&lt;='SOLLECITAZ NASCOSTO'!$P$11,IF(C53&lt;='SOLLECITAZ NASCOSTO'!$P$10,IF(C53&lt;='SOLLECITAZ NASCOSTO'!$P$9,IF(C53&lt;='SOLLECITAZ NASCOSTO'!$P$8,IF(C53&lt;='SOLLECITAZ NASCOSTO'!$P$7,IF(C53&lt;='SOLLECITAZ NASCOSTO'!$P$6,IF(C53&lt;='SOLLECITAZ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slu'!$G$111),55555)*(C53-C52)/IF(C53&lt;='SOLLECITAZ NASCOSTO'!$P$12,IF(C53&lt;='SOLLECITAZ NASCOSTO'!$P$11,IF(C53&lt;='SOLLECITAZ NASCOSTO'!$P$10,IF(C53&lt;='SOLLECITAZ NASCOSTO'!$P$9,IF(C53&lt;='SOLLECITAZ NASCOSTO'!$P$8,IF(C53&lt;='SOLLECITAZ NASCOSTO'!$P$7,IF(C53&lt;='SOLLECITAZ NASCOSTO'!$P$6,IF(C53&lt;='SOLLECITAZ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4.8132218992352302E-2</v>
      </c>
      <c r="P53" s="42">
        <f t="shared" si="21"/>
        <v>2.0000000000000005E-5</v>
      </c>
      <c r="Q53" s="42">
        <f t="shared" si="18"/>
        <v>1</v>
      </c>
      <c r="R53" s="441">
        <f t="shared" si="10"/>
        <v>0.1438701923076923</v>
      </c>
      <c r="S53" s="46">
        <f t="shared" si="19"/>
        <v>0.1438701923076923</v>
      </c>
      <c r="T53" s="211">
        <f t="shared" si="13"/>
        <v>3.2061298076923079</v>
      </c>
      <c r="U53" s="46">
        <f t="shared" si="16"/>
        <v>0.66892021798627466</v>
      </c>
      <c r="V53" s="46">
        <f t="shared" si="17"/>
        <v>-4.6379319232607893E-2</v>
      </c>
      <c r="W53" s="496"/>
    </row>
    <row r="54" spans="1:40" s="428" customFormat="1" ht="28.5" customHeight="1" x14ac:dyDescent="0.25">
      <c r="A54" s="589">
        <f t="shared" si="11"/>
        <v>5.2884615381332267E-7</v>
      </c>
      <c r="B54" s="32">
        <f t="shared" si="12"/>
        <v>22</v>
      </c>
      <c r="C54" s="441">
        <f>'SOLLECITAZ NASCOSTO'!$D$6/'SOLLECITAZ NASCOSTO'!$B$448*'SOLLECITAZ NASCOSTO'!B54</f>
        <v>0.15072115384615384</v>
      </c>
      <c r="D54" s="132">
        <f t="shared" si="14"/>
        <v>0.3000005288461538</v>
      </c>
      <c r="E54" s="132">
        <f t="shared" si="4"/>
        <v>5.2884615381332267E-7</v>
      </c>
      <c r="F54" s="132">
        <f t="shared" si="5"/>
        <v>0.3000005288461538</v>
      </c>
      <c r="G54" s="132">
        <f t="shared" si="6"/>
        <v>4.5000158653985982E-2</v>
      </c>
      <c r="H54" s="132">
        <f t="shared" si="7"/>
        <v>0</v>
      </c>
      <c r="I54" s="132">
        <v>0</v>
      </c>
      <c r="J54" s="131">
        <f t="shared" si="8"/>
        <v>0.1500002644230769</v>
      </c>
      <c r="K54" s="130">
        <f t="shared" si="9"/>
        <v>2.2500118990594364E-3</v>
      </c>
      <c r="L54" s="42">
        <f t="shared" si="20"/>
        <v>0.70440083349175842</v>
      </c>
      <c r="M54" s="42">
        <f t="shared" si="15"/>
        <v>-5.1083604084425679E-2</v>
      </c>
      <c r="N54" s="42">
        <f>(IF(C53&lt;='SOLLECITAZ NASCOSTO'!$P$12,IF(C53&lt;='SOLLECITAZ NASCOSTO'!$P$11,IF(C53&lt;='SOLLECITAZ NASCOSTO'!$P$10,IF(C53&lt;='SOLLECITAZ NASCOSTO'!$P$9,IF(C53&lt;='SOLLECITAZ NASCOSTO'!$P$8,IF(C53&lt;='SOLLECITAZ NASCOSTO'!$P$7,IF(C53&lt;='SOLLECITAZ NASCOSTO'!$P$6,IF(C53&lt;='SOLLECITAZ NASCOSTO'!$P$5,'Progetto del paramento slu'!$G$105,'Progetto del paramento slu'!$G$106),'Progetto del paramento slu'!$G$107),'Progetto del paramento slu'!$G$108),'Progetto del paramento slu'!$G$109),'Progetto del paramento slu'!$G$110),'Progetto del paramento slu'!$G$111),'Progetto del paramento slu'!$G$112),55555)-IF(C53&lt;='SOLLECITAZ NASCOSTO'!$P$12,IF(C53&lt;='SOLLECITAZ NASCOSTO'!$P$11,IF(C53&lt;='SOLLECITAZ NASCOSTO'!$P$10,IF(C53&lt;='SOLLECITAZ NASCOSTO'!$P$9,IF(C53&lt;='SOLLECITAZ NASCOSTO'!$P$8,IF(C53&lt;='SOLLECITAZ NASCOSTO'!$P$7,IF(C53&lt;='SOLLECITAZ NASCOSTO'!$P$6,IF(C53&lt;='SOLLECITAZ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slu'!$G$112))*(C53-IF(C53&lt;='SOLLECITAZ NASCOSTO'!$P$12,IF(C53&lt;='SOLLECITAZ NASCOSTO'!$P$11,IF(C53&lt;='SOLLECITAZ NASCOSTO'!$P$10,IF(C53&lt;='SOLLECITAZ NASCOSTO'!$P$9,IF(C53&lt;='SOLLECITAZ NASCOSTO'!$P$8,IF(C53&lt;='SOLLECITAZ NASCOSTO'!$P$7,IF(C53&lt;='SOLLECITAZ NASCOSTO'!$P$6,IF(C53&lt;='SOLLECITAZ NASCOSTO'!$P$5,'SOLLECITAZ NASCOSTO'!$P$3,'SOLLECITAZ NASCOSTO'!$P$5),'SOLLECITAZ NASCOSTO'!$P$5),'SOLLECITAZ NASCOSTO'!$P$7),'SOLLECITAZ NASCOSTO'!$P$8),'SOLLECITAZ NASCOSTO'!$P$9),'SOLLECITAZ NASCOSTO'!$P$10),'SOLLECITAZ NASCOSTO'!$P$11),'SOLLECITAZ NASCOSTO'!$P$12))/IF(C53&lt;='SOLLECITAZ NASCOSTO'!$P$12,IF(C53&lt;='SOLLECITAZ NASCOSTO'!$P$11,IF(C53&lt;='SOLLECITAZ NASCOSTO'!$P$10,IF(C53&lt;='SOLLECITAZ NASCOSTO'!$P$9,IF(C53&lt;='SOLLECITAZ NASCOSTO'!$P$8,IF(C53&lt;='SOLLECITAZ NASCOSTO'!$P$7,IF(C53&lt;='SOLLECITAZ NASCOSTO'!$P$6,IF(C53&lt;='SOLLECITAZ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slu'!$C$112)+IF(C53&lt;='SOLLECITAZ NASCOSTO'!$P$12,IF(C53&lt;='SOLLECITAZ NASCOSTO'!$P$11,IF(C53&lt;='SOLLECITAZ NASCOSTO'!$P$10,IF(C53&lt;='SOLLECITAZ NASCOSTO'!$P$9,IF(C53&lt;='SOLLECITAZ NASCOSTO'!$P$8,IF(C53&lt;='SOLLECITAZ NASCOSTO'!$P$7,IF(C53&lt;='SOLLECITAZ NASCOSTO'!$P$6,IF(C53&lt;='SOLLECITAZ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5.1548588204270578</v>
      </c>
      <c r="O54" s="42">
        <f>IF(C54&lt;='SOLLECITAZ NASCOSTO'!$P$12,IF(C54&lt;='SOLLECITAZ NASCOSTO'!$P$11,IF(C54&lt;='SOLLECITAZ NASCOSTO'!$P$10,IF(C54&lt;='SOLLECITAZ NASCOSTO'!$P$9,IF(C54&lt;='SOLLECITAZ NASCOSTO'!$P$8,IF(C54&lt;='SOLLECITAZ NASCOSTO'!$P$7,IF(C54&lt;='SOLLECITAZ NASCOSTO'!$P$6,IF(C54&lt;='SOLLECITAZ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slu'!$G$111),55555)*(C54-C53)/IF(C54&lt;='SOLLECITAZ NASCOSTO'!$P$12,IF(C54&lt;='SOLLECITAZ NASCOSTO'!$P$11,IF(C54&lt;='SOLLECITAZ NASCOSTO'!$P$10,IF(C54&lt;='SOLLECITAZ NASCOSTO'!$P$9,IF(C54&lt;='SOLLECITAZ NASCOSTO'!$P$8,IF(C54&lt;='SOLLECITAZ NASCOSTO'!$P$7,IF(C54&lt;='SOLLECITAZ NASCOSTO'!$P$6,IF(C54&lt;='SOLLECITAZ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4" s="42">
        <f t="shared" si="21"/>
        <v>2.1000000000000006E-5</v>
      </c>
      <c r="Q54" s="42">
        <f t="shared" si="18"/>
        <v>1</v>
      </c>
      <c r="R54" s="441">
        <f t="shared" si="10"/>
        <v>0.15072115384615384</v>
      </c>
      <c r="S54" s="46">
        <f t="shared" si="19"/>
        <v>0.15072115384615384</v>
      </c>
      <c r="T54" s="211">
        <f t="shared" si="13"/>
        <v>3.1992788461538462</v>
      </c>
      <c r="U54" s="46">
        <f t="shared" si="16"/>
        <v>0.70440083349175842</v>
      </c>
      <c r="V54" s="46">
        <f t="shared" si="17"/>
        <v>-5.1083604084425679E-2</v>
      </c>
      <c r="W54" s="496"/>
    </row>
    <row r="55" spans="1:40" s="428" customFormat="1" x14ac:dyDescent="0.25">
      <c r="A55" s="589">
        <f t="shared" si="11"/>
        <v>5.5288461536795452E-7</v>
      </c>
      <c r="B55" s="32">
        <f t="shared" si="12"/>
        <v>23</v>
      </c>
      <c r="C55" s="441">
        <f>'SOLLECITAZ NASCOSTO'!$D$6/'SOLLECITAZ NASCOSTO'!$B$448*'SOLLECITAZ NASCOSTO'!B55</f>
        <v>0.15757211538461538</v>
      </c>
      <c r="D55" s="132">
        <f t="shared" si="14"/>
        <v>0.30000055288461536</v>
      </c>
      <c r="E55" s="132">
        <f t="shared" si="4"/>
        <v>5.5288461536795452E-7</v>
      </c>
      <c r="F55" s="132">
        <f t="shared" si="5"/>
        <v>0.30000055288461536</v>
      </c>
      <c r="G55" s="132">
        <f t="shared" si="6"/>
        <v>4.5000165865537449E-2</v>
      </c>
      <c r="H55" s="132">
        <f t="shared" si="7"/>
        <v>0</v>
      </c>
      <c r="I55" s="132">
        <v>0</v>
      </c>
      <c r="J55" s="131">
        <f t="shared" si="8"/>
        <v>0.15000027644230768</v>
      </c>
      <c r="K55" s="130">
        <f t="shared" si="9"/>
        <v>2.2500124399267717E-3</v>
      </c>
      <c r="L55" s="42">
        <f t="shared" si="20"/>
        <v>0.74021120097831961</v>
      </c>
      <c r="M55" s="42">
        <f t="shared" si="15"/>
        <v>-5.6032094827502273E-2</v>
      </c>
      <c r="N55" s="42">
        <f>(IF(C54&lt;='SOLLECITAZ NASCOSTO'!$P$12,IF(C54&lt;='SOLLECITAZ NASCOSTO'!$P$11,IF(C54&lt;='SOLLECITAZ NASCOSTO'!$P$10,IF(C54&lt;='SOLLECITAZ NASCOSTO'!$P$9,IF(C54&lt;='SOLLECITAZ NASCOSTO'!$P$8,IF(C54&lt;='SOLLECITAZ NASCOSTO'!$P$7,IF(C54&lt;='SOLLECITAZ NASCOSTO'!$P$6,IF(C54&lt;='SOLLECITAZ NASCOSTO'!$P$5,'Progetto del paramento slu'!$G$105,'Progetto del paramento slu'!$G$106),'Progetto del paramento slu'!$G$107),'Progetto del paramento slu'!$G$108),'Progetto del paramento slu'!$G$109),'Progetto del paramento slu'!$G$110),'Progetto del paramento slu'!$G$111),'Progetto del paramento slu'!$G$112),55555)-IF(C54&lt;='SOLLECITAZ NASCOSTO'!$P$12,IF(C54&lt;='SOLLECITAZ NASCOSTO'!$P$11,IF(C54&lt;='SOLLECITAZ NASCOSTO'!$P$10,IF(C54&lt;='SOLLECITAZ NASCOSTO'!$P$9,IF(C54&lt;='SOLLECITAZ NASCOSTO'!$P$8,IF(C54&lt;='SOLLECITAZ NASCOSTO'!$P$7,IF(C54&lt;='SOLLECITAZ NASCOSTO'!$P$6,IF(C54&lt;='SOLLECITAZ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slu'!$G$112))*(C54-IF(C54&lt;='SOLLECITAZ NASCOSTO'!$P$12,IF(C54&lt;='SOLLECITAZ NASCOSTO'!$P$11,IF(C54&lt;='SOLLECITAZ NASCOSTO'!$P$10,IF(C54&lt;='SOLLECITAZ NASCOSTO'!$P$9,IF(C54&lt;='SOLLECITAZ NASCOSTO'!$P$8,IF(C54&lt;='SOLLECITAZ NASCOSTO'!$P$7,IF(C54&lt;='SOLLECITAZ NASCOSTO'!$P$6,IF(C54&lt;='SOLLECITAZ NASCOSTO'!$P$5,'SOLLECITAZ NASCOSTO'!$P$3,'SOLLECITAZ NASCOSTO'!$P$5),'SOLLECITAZ NASCOSTO'!$P$5),'SOLLECITAZ NASCOSTO'!$P$7),'SOLLECITAZ NASCOSTO'!$P$8),'SOLLECITAZ NASCOSTO'!$P$9),'SOLLECITAZ NASCOSTO'!$P$10),'SOLLECITAZ NASCOSTO'!$P$11),'SOLLECITAZ NASCOSTO'!$P$12))/IF(C54&lt;='SOLLECITAZ NASCOSTO'!$P$12,IF(C54&lt;='SOLLECITAZ NASCOSTO'!$P$11,IF(C54&lt;='SOLLECITAZ NASCOSTO'!$P$10,IF(C54&lt;='SOLLECITAZ NASCOSTO'!$P$9,IF(C54&lt;='SOLLECITAZ NASCOSTO'!$P$8,IF(C54&lt;='SOLLECITAZ NASCOSTO'!$P$7,IF(C54&lt;='SOLLECITAZ NASCOSTO'!$P$6,IF(C54&lt;='SOLLECITAZ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slu'!$C$112)+IF(C54&lt;='SOLLECITAZ NASCOSTO'!$P$12,IF(C54&lt;='SOLLECITAZ NASCOSTO'!$P$11,IF(C54&lt;='SOLLECITAZ NASCOSTO'!$P$10,IF(C54&lt;='SOLLECITAZ NASCOSTO'!$P$9,IF(C54&lt;='SOLLECITAZ NASCOSTO'!$P$8,IF(C54&lt;='SOLLECITAZ NASCOSTO'!$P$7,IF(C54&lt;='SOLLECITAZ NASCOSTO'!$P$6,IF(C54&lt;='SOLLECITAZ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5.2029910394194099</v>
      </c>
      <c r="O55" s="42">
        <f>IF(C55&lt;='SOLLECITAZ NASCOSTO'!$P$12,IF(C55&lt;='SOLLECITAZ NASCOSTO'!$P$11,IF(C55&lt;='SOLLECITAZ NASCOSTO'!$P$10,IF(C55&lt;='SOLLECITAZ NASCOSTO'!$P$9,IF(C55&lt;='SOLLECITAZ NASCOSTO'!$P$8,IF(C55&lt;='SOLLECITAZ NASCOSTO'!$P$7,IF(C55&lt;='SOLLECITAZ NASCOSTO'!$P$6,IF(C55&lt;='SOLLECITAZ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slu'!$G$111),55555)*(C55-C54)/IF(C55&lt;='SOLLECITAZ NASCOSTO'!$P$12,IF(C55&lt;='SOLLECITAZ NASCOSTO'!$P$11,IF(C55&lt;='SOLLECITAZ NASCOSTO'!$P$10,IF(C55&lt;='SOLLECITAZ NASCOSTO'!$P$9,IF(C55&lt;='SOLLECITAZ NASCOSTO'!$P$8,IF(C55&lt;='SOLLECITAZ NASCOSTO'!$P$7,IF(C55&lt;='SOLLECITAZ NASCOSTO'!$P$6,IF(C55&lt;='SOLLECITAZ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5" s="42">
        <f t="shared" si="21"/>
        <v>2.2000000000000006E-5</v>
      </c>
      <c r="Q55" s="42">
        <f t="shared" si="18"/>
        <v>1</v>
      </c>
      <c r="R55" s="441">
        <f t="shared" si="10"/>
        <v>0.15757211538461538</v>
      </c>
      <c r="S55" s="46">
        <f t="shared" si="19"/>
        <v>0.15757211538461538</v>
      </c>
      <c r="T55" s="211">
        <f t="shared" si="13"/>
        <v>3.1924278846153848</v>
      </c>
      <c r="U55" s="46">
        <f t="shared" si="16"/>
        <v>0.74021120097831961</v>
      </c>
      <c r="V55" s="46">
        <f t="shared" si="17"/>
        <v>-5.6032094827502273E-2</v>
      </c>
      <c r="W55" s="496"/>
    </row>
    <row r="56" spans="1:40" s="428" customFormat="1" x14ac:dyDescent="0.25">
      <c r="A56" s="589">
        <f t="shared" si="11"/>
        <v>5.7692307692258638E-7</v>
      </c>
      <c r="B56" s="32">
        <f t="shared" si="12"/>
        <v>24</v>
      </c>
      <c r="C56" s="441">
        <f>'SOLLECITAZ NASCOSTO'!$D$6/'SOLLECITAZ NASCOSTO'!$B$448*'SOLLECITAZ NASCOSTO'!B56</f>
        <v>0.16442307692307692</v>
      </c>
      <c r="D56" s="132">
        <f t="shared" si="14"/>
        <v>0.30000057692307691</v>
      </c>
      <c r="E56" s="132">
        <f t="shared" si="4"/>
        <v>5.7692307692258638E-7</v>
      </c>
      <c r="F56" s="132">
        <f t="shared" si="5"/>
        <v>0.30000057692307691</v>
      </c>
      <c r="G56" s="132">
        <f t="shared" si="6"/>
        <v>4.5000173077089492E-2</v>
      </c>
      <c r="H56" s="132">
        <f t="shared" si="7"/>
        <v>0</v>
      </c>
      <c r="I56" s="132">
        <v>0</v>
      </c>
      <c r="J56" s="131">
        <f t="shared" si="8"/>
        <v>0.15000028846153846</v>
      </c>
      <c r="K56" s="130">
        <f t="shared" si="9"/>
        <v>2.2500129807941937E-3</v>
      </c>
      <c r="L56" s="42">
        <f t="shared" si="20"/>
        <v>0.77635132044595812</v>
      </c>
      <c r="M56" s="42">
        <f t="shared" si="15"/>
        <v>-6.1227050579977266E-2</v>
      </c>
      <c r="N56" s="42">
        <f>(IF(C55&lt;='SOLLECITAZ NASCOSTO'!$P$12,IF(C55&lt;='SOLLECITAZ NASCOSTO'!$P$11,IF(C55&lt;='SOLLECITAZ NASCOSTO'!$P$10,IF(C55&lt;='SOLLECITAZ NASCOSTO'!$P$9,IF(C55&lt;='SOLLECITAZ NASCOSTO'!$P$8,IF(C55&lt;='SOLLECITAZ NASCOSTO'!$P$7,IF(C55&lt;='SOLLECITAZ NASCOSTO'!$P$6,IF(C55&lt;='SOLLECITAZ NASCOSTO'!$P$5,'Progetto del paramento slu'!$G$105,'Progetto del paramento slu'!$G$106),'Progetto del paramento slu'!$G$107),'Progetto del paramento slu'!$G$108),'Progetto del paramento slu'!$G$109),'Progetto del paramento slu'!$G$110),'Progetto del paramento slu'!$G$111),'Progetto del paramento slu'!$G$112),55555)-IF(C55&lt;='SOLLECITAZ NASCOSTO'!$P$12,IF(C55&lt;='SOLLECITAZ NASCOSTO'!$P$11,IF(C55&lt;='SOLLECITAZ NASCOSTO'!$P$10,IF(C55&lt;='SOLLECITAZ NASCOSTO'!$P$9,IF(C55&lt;='SOLLECITAZ NASCOSTO'!$P$8,IF(C55&lt;='SOLLECITAZ NASCOSTO'!$P$7,IF(C55&lt;='SOLLECITAZ NASCOSTO'!$P$6,IF(C55&lt;='SOLLECITAZ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slu'!$G$112))*(C55-IF(C55&lt;='SOLLECITAZ NASCOSTO'!$P$12,IF(C55&lt;='SOLLECITAZ NASCOSTO'!$P$11,IF(C55&lt;='SOLLECITAZ NASCOSTO'!$P$10,IF(C55&lt;='SOLLECITAZ NASCOSTO'!$P$9,IF(C55&lt;='SOLLECITAZ NASCOSTO'!$P$8,IF(C55&lt;='SOLLECITAZ NASCOSTO'!$P$7,IF(C55&lt;='SOLLECITAZ NASCOSTO'!$P$6,IF(C55&lt;='SOLLECITAZ NASCOSTO'!$P$5,'SOLLECITAZ NASCOSTO'!$P$3,'SOLLECITAZ NASCOSTO'!$P$5),'SOLLECITAZ NASCOSTO'!$P$5),'SOLLECITAZ NASCOSTO'!$P$7),'SOLLECITAZ NASCOSTO'!$P$8),'SOLLECITAZ NASCOSTO'!$P$9),'SOLLECITAZ NASCOSTO'!$P$10),'SOLLECITAZ NASCOSTO'!$P$11),'SOLLECITAZ NASCOSTO'!$P$12))/IF(C55&lt;='SOLLECITAZ NASCOSTO'!$P$12,IF(C55&lt;='SOLLECITAZ NASCOSTO'!$P$11,IF(C55&lt;='SOLLECITAZ NASCOSTO'!$P$10,IF(C55&lt;='SOLLECITAZ NASCOSTO'!$P$9,IF(C55&lt;='SOLLECITAZ NASCOSTO'!$P$8,IF(C55&lt;='SOLLECITAZ NASCOSTO'!$P$7,IF(C55&lt;='SOLLECITAZ NASCOSTO'!$P$6,IF(C55&lt;='SOLLECITAZ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slu'!$C$112)+IF(C55&lt;='SOLLECITAZ NASCOSTO'!$P$12,IF(C55&lt;='SOLLECITAZ NASCOSTO'!$P$11,IF(C55&lt;='SOLLECITAZ NASCOSTO'!$P$10,IF(C55&lt;='SOLLECITAZ NASCOSTO'!$P$9,IF(C55&lt;='SOLLECITAZ NASCOSTO'!$P$8,IF(C55&lt;='SOLLECITAZ NASCOSTO'!$P$7,IF(C55&lt;='SOLLECITAZ NASCOSTO'!$P$6,IF(C55&lt;='SOLLECITAZ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5.2511232584117629</v>
      </c>
      <c r="O56" s="42">
        <f>IF(C56&lt;='SOLLECITAZ NASCOSTO'!$P$12,IF(C56&lt;='SOLLECITAZ NASCOSTO'!$P$11,IF(C56&lt;='SOLLECITAZ NASCOSTO'!$P$10,IF(C56&lt;='SOLLECITAZ NASCOSTO'!$P$9,IF(C56&lt;='SOLLECITAZ NASCOSTO'!$P$8,IF(C56&lt;='SOLLECITAZ NASCOSTO'!$P$7,IF(C56&lt;='SOLLECITAZ NASCOSTO'!$P$6,IF(C56&lt;='SOLLECITAZ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slu'!$G$111),55555)*(C56-C55)/IF(C56&lt;='SOLLECITAZ NASCOSTO'!$P$12,IF(C56&lt;='SOLLECITAZ NASCOSTO'!$P$11,IF(C56&lt;='SOLLECITAZ NASCOSTO'!$P$10,IF(C56&lt;='SOLLECITAZ NASCOSTO'!$P$9,IF(C56&lt;='SOLLECITAZ NASCOSTO'!$P$8,IF(C56&lt;='SOLLECITAZ NASCOSTO'!$P$7,IF(C56&lt;='SOLLECITAZ NASCOSTO'!$P$6,IF(C56&lt;='SOLLECITAZ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6" s="42">
        <f t="shared" si="21"/>
        <v>2.3000000000000007E-5</v>
      </c>
      <c r="Q56" s="42">
        <f t="shared" si="18"/>
        <v>1</v>
      </c>
      <c r="R56" s="441">
        <f t="shared" si="10"/>
        <v>0.16442307692307692</v>
      </c>
      <c r="S56" s="46">
        <f t="shared" si="19"/>
        <v>0.16442307692307692</v>
      </c>
      <c r="T56" s="211">
        <f t="shared" si="13"/>
        <v>3.1855769230769231</v>
      </c>
      <c r="U56" s="46">
        <f t="shared" si="16"/>
        <v>0.77635132044595812</v>
      </c>
      <c r="V56" s="46">
        <f t="shared" si="17"/>
        <v>-6.1227050579977266E-2</v>
      </c>
      <c r="W56" s="496"/>
    </row>
    <row r="57" spans="1:40" s="428" customFormat="1" ht="18.75" customHeight="1" x14ac:dyDescent="0.25">
      <c r="A57" s="589">
        <f t="shared" si="11"/>
        <v>6.0096153842170708E-7</v>
      </c>
      <c r="B57" s="32">
        <f t="shared" si="12"/>
        <v>25</v>
      </c>
      <c r="C57" s="441">
        <f>'SOLLECITAZ NASCOSTO'!$D$6/'SOLLECITAZ NASCOSTO'!$B$448*'SOLLECITAZ NASCOSTO'!B57</f>
        <v>0.17127403846153846</v>
      </c>
      <c r="D57" s="132">
        <f t="shared" si="14"/>
        <v>0.30000060096153841</v>
      </c>
      <c r="E57" s="132">
        <f t="shared" si="4"/>
        <v>6.0096153842170708E-7</v>
      </c>
      <c r="F57" s="132">
        <f t="shared" si="5"/>
        <v>0.30000060096153841</v>
      </c>
      <c r="G57" s="132">
        <f t="shared" si="6"/>
        <v>4.5000180288642104E-2</v>
      </c>
      <c r="H57" s="132">
        <f t="shared" si="7"/>
        <v>0</v>
      </c>
      <c r="I57" s="132">
        <v>0</v>
      </c>
      <c r="J57" s="131">
        <f t="shared" si="8"/>
        <v>0.15000030048076921</v>
      </c>
      <c r="K57" s="130">
        <f t="shared" si="9"/>
        <v>2.2500135216617012E-3</v>
      </c>
      <c r="L57" s="42">
        <f t="shared" si="20"/>
        <v>0.81282119189467406</v>
      </c>
      <c r="M57" s="42">
        <f t="shared" si="15"/>
        <v>-6.6670730459990252E-2</v>
      </c>
      <c r="N57" s="42">
        <f>(IF(C56&lt;='SOLLECITAZ NASCOSTO'!$P$12,IF(C56&lt;='SOLLECITAZ NASCOSTO'!$P$11,IF(C56&lt;='SOLLECITAZ NASCOSTO'!$P$10,IF(C56&lt;='SOLLECITAZ NASCOSTO'!$P$9,IF(C56&lt;='SOLLECITAZ NASCOSTO'!$P$8,IF(C56&lt;='SOLLECITAZ NASCOSTO'!$P$7,IF(C56&lt;='SOLLECITAZ NASCOSTO'!$P$6,IF(C56&lt;='SOLLECITAZ NASCOSTO'!$P$5,'Progetto del paramento slu'!$G$105,'Progetto del paramento slu'!$G$106),'Progetto del paramento slu'!$G$107),'Progetto del paramento slu'!$G$108),'Progetto del paramento slu'!$G$109),'Progetto del paramento slu'!$G$110),'Progetto del paramento slu'!$G$111),'Progetto del paramento slu'!$G$112),55555)-IF(C56&lt;='SOLLECITAZ NASCOSTO'!$P$12,IF(C56&lt;='SOLLECITAZ NASCOSTO'!$P$11,IF(C56&lt;='SOLLECITAZ NASCOSTO'!$P$10,IF(C56&lt;='SOLLECITAZ NASCOSTO'!$P$9,IF(C56&lt;='SOLLECITAZ NASCOSTO'!$P$8,IF(C56&lt;='SOLLECITAZ NASCOSTO'!$P$7,IF(C56&lt;='SOLLECITAZ NASCOSTO'!$P$6,IF(C56&lt;='SOLLECITAZ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slu'!$G$112))*(C56-IF(C56&lt;='SOLLECITAZ NASCOSTO'!$P$12,IF(C56&lt;='SOLLECITAZ NASCOSTO'!$P$11,IF(C56&lt;='SOLLECITAZ NASCOSTO'!$P$10,IF(C56&lt;='SOLLECITAZ NASCOSTO'!$P$9,IF(C56&lt;='SOLLECITAZ NASCOSTO'!$P$8,IF(C56&lt;='SOLLECITAZ NASCOSTO'!$P$7,IF(C56&lt;='SOLLECITAZ NASCOSTO'!$P$6,IF(C56&lt;='SOLLECITAZ NASCOSTO'!$P$5,'SOLLECITAZ NASCOSTO'!$P$3,'SOLLECITAZ NASCOSTO'!$P$5),'SOLLECITAZ NASCOSTO'!$P$5),'SOLLECITAZ NASCOSTO'!$P$7),'SOLLECITAZ NASCOSTO'!$P$8),'SOLLECITAZ NASCOSTO'!$P$9),'SOLLECITAZ NASCOSTO'!$P$10),'SOLLECITAZ NASCOSTO'!$P$11),'SOLLECITAZ NASCOSTO'!$P$12))/IF(C56&lt;='SOLLECITAZ NASCOSTO'!$P$12,IF(C56&lt;='SOLLECITAZ NASCOSTO'!$P$11,IF(C56&lt;='SOLLECITAZ NASCOSTO'!$P$10,IF(C56&lt;='SOLLECITAZ NASCOSTO'!$P$9,IF(C56&lt;='SOLLECITAZ NASCOSTO'!$P$8,IF(C56&lt;='SOLLECITAZ NASCOSTO'!$P$7,IF(C56&lt;='SOLLECITAZ NASCOSTO'!$P$6,IF(C56&lt;='SOLLECITAZ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slu'!$C$112)+IF(C56&lt;='SOLLECITAZ NASCOSTO'!$P$12,IF(C56&lt;='SOLLECITAZ NASCOSTO'!$P$11,IF(C56&lt;='SOLLECITAZ NASCOSTO'!$P$10,IF(C56&lt;='SOLLECITAZ NASCOSTO'!$P$9,IF(C56&lt;='SOLLECITAZ NASCOSTO'!$P$8,IF(C56&lt;='SOLLECITAZ NASCOSTO'!$P$7,IF(C56&lt;='SOLLECITAZ NASCOSTO'!$P$6,IF(C56&lt;='SOLLECITAZ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5.299255477404115</v>
      </c>
      <c r="O57" s="42">
        <f>IF(C57&lt;='SOLLECITAZ NASCOSTO'!$P$12,IF(C57&lt;='SOLLECITAZ NASCOSTO'!$P$11,IF(C57&lt;='SOLLECITAZ NASCOSTO'!$P$10,IF(C57&lt;='SOLLECITAZ NASCOSTO'!$P$9,IF(C57&lt;='SOLLECITAZ NASCOSTO'!$P$8,IF(C57&lt;='SOLLECITAZ NASCOSTO'!$P$7,IF(C57&lt;='SOLLECITAZ NASCOSTO'!$P$6,IF(C57&lt;='SOLLECITAZ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slu'!$G$111),55555)*(C57-C56)/IF(C57&lt;='SOLLECITAZ NASCOSTO'!$P$12,IF(C57&lt;='SOLLECITAZ NASCOSTO'!$P$11,IF(C57&lt;='SOLLECITAZ NASCOSTO'!$P$10,IF(C57&lt;='SOLLECITAZ NASCOSTO'!$P$9,IF(C57&lt;='SOLLECITAZ NASCOSTO'!$P$8,IF(C57&lt;='SOLLECITAZ NASCOSTO'!$P$7,IF(C57&lt;='SOLLECITAZ NASCOSTO'!$P$6,IF(C57&lt;='SOLLECITAZ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7" s="42">
        <f t="shared" si="21"/>
        <v>2.4000000000000007E-5</v>
      </c>
      <c r="Q57" s="42">
        <f t="shared" si="18"/>
        <v>1</v>
      </c>
      <c r="R57" s="441">
        <f t="shared" si="10"/>
        <v>0.17127403846153846</v>
      </c>
      <c r="S57" s="46">
        <f t="shared" si="19"/>
        <v>0.17127403846153846</v>
      </c>
      <c r="T57" s="211">
        <f t="shared" si="13"/>
        <v>3.1787259615384618</v>
      </c>
      <c r="U57" s="46">
        <f t="shared" si="16"/>
        <v>0.81282119189467406</v>
      </c>
      <c r="V57" s="46">
        <f t="shared" si="17"/>
        <v>-6.6670730459990252E-2</v>
      </c>
      <c r="W57" s="496"/>
    </row>
    <row r="58" spans="1:40" s="428" customFormat="1" x14ac:dyDescent="0.25">
      <c r="A58" s="589">
        <f t="shared" si="11"/>
        <v>6.2499999997633893E-7</v>
      </c>
      <c r="B58" s="32">
        <f>B57+1</f>
        <v>26</v>
      </c>
      <c r="C58" s="441">
        <f>'SOLLECITAZ NASCOSTO'!$D$6/'SOLLECITAZ NASCOSTO'!$B$448*'SOLLECITAZ NASCOSTO'!B58</f>
        <v>0.17812500000000001</v>
      </c>
      <c r="D58" s="132">
        <f t="shared" si="14"/>
        <v>0.30000062499999997</v>
      </c>
      <c r="E58" s="132">
        <f t="shared" si="4"/>
        <v>6.2499999997633893E-7</v>
      </c>
      <c r="F58" s="132">
        <f t="shared" si="5"/>
        <v>0.30000062499999997</v>
      </c>
      <c r="G58" s="132">
        <f t="shared" si="6"/>
        <v>4.5000187500195306E-2</v>
      </c>
      <c r="H58" s="132">
        <f t="shared" si="7"/>
        <v>0</v>
      </c>
      <c r="I58" s="132">
        <v>0</v>
      </c>
      <c r="J58" s="131">
        <f t="shared" si="8"/>
        <v>0.15000031249999998</v>
      </c>
      <c r="K58" s="130">
        <f t="shared" si="9"/>
        <v>2.2500140625292958E-3</v>
      </c>
      <c r="L58" s="42">
        <f>L57+N58*(C58-C57)+O58*(C58-C57)/2</f>
        <v>0.84962081532446743</v>
      </c>
      <c r="M58" s="42">
        <f>M57-(L58+L57)*(C58-C57)/2</f>
        <v>-7.2365393585680823E-2</v>
      </c>
      <c r="N58" s="42">
        <f>(IF(C57&lt;='SOLLECITAZ NASCOSTO'!$P$12,IF(C57&lt;='SOLLECITAZ NASCOSTO'!$P$11,IF(C57&lt;='SOLLECITAZ NASCOSTO'!$P$10,IF(C57&lt;='SOLLECITAZ NASCOSTO'!$P$9,IF(C57&lt;='SOLLECITAZ NASCOSTO'!$P$8,IF(C57&lt;='SOLLECITAZ NASCOSTO'!$P$7,IF(C57&lt;='SOLLECITAZ NASCOSTO'!$P$6,IF(C57&lt;='SOLLECITAZ NASCOSTO'!$P$5,'Progetto del paramento slu'!$G$105,'Progetto del paramento slu'!$G$106),'Progetto del paramento slu'!$G$107),'Progetto del paramento slu'!$G$108),'Progetto del paramento slu'!$G$109),'Progetto del paramento slu'!$G$110),'Progetto del paramento slu'!$G$111),'Progetto del paramento slu'!$G$112),55555)-IF(C57&lt;='SOLLECITAZ NASCOSTO'!$P$12,IF(C57&lt;='SOLLECITAZ NASCOSTO'!$P$11,IF(C57&lt;='SOLLECITAZ NASCOSTO'!$P$10,IF(C57&lt;='SOLLECITAZ NASCOSTO'!$P$9,IF(C57&lt;='SOLLECITAZ NASCOSTO'!$P$8,IF(C57&lt;='SOLLECITAZ NASCOSTO'!$P$7,IF(C57&lt;='SOLLECITAZ NASCOSTO'!$P$6,IF(C57&lt;='SOLLECITAZ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slu'!$G$112))*(C57-IF(C57&lt;='SOLLECITAZ NASCOSTO'!$P$12,IF(C57&lt;='SOLLECITAZ NASCOSTO'!$P$11,IF(C57&lt;='SOLLECITAZ NASCOSTO'!$P$10,IF(C57&lt;='SOLLECITAZ NASCOSTO'!$P$9,IF(C57&lt;='SOLLECITAZ NASCOSTO'!$P$8,IF(C57&lt;='SOLLECITAZ NASCOSTO'!$P$7,IF(C57&lt;='SOLLECITAZ NASCOSTO'!$P$6,IF(C57&lt;='SOLLECITAZ NASCOSTO'!$P$5,'SOLLECITAZ NASCOSTO'!$P$3,'SOLLECITAZ NASCOSTO'!$P$5),'SOLLECITAZ NASCOSTO'!$P$5),'SOLLECITAZ NASCOSTO'!$P$7),'SOLLECITAZ NASCOSTO'!$P$8),'SOLLECITAZ NASCOSTO'!$P$9),'SOLLECITAZ NASCOSTO'!$P$10),'SOLLECITAZ NASCOSTO'!$P$11),'SOLLECITAZ NASCOSTO'!$P$12))/IF(C57&lt;='SOLLECITAZ NASCOSTO'!$P$12,IF(C57&lt;='SOLLECITAZ NASCOSTO'!$P$11,IF(C57&lt;='SOLLECITAZ NASCOSTO'!$P$10,IF(C57&lt;='SOLLECITAZ NASCOSTO'!$P$9,IF(C57&lt;='SOLLECITAZ NASCOSTO'!$P$8,IF(C57&lt;='SOLLECITAZ NASCOSTO'!$P$7,IF(C57&lt;='SOLLECITAZ NASCOSTO'!$P$6,IF(C57&lt;='SOLLECITAZ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slu'!$C$112)+IF(C57&lt;='SOLLECITAZ NASCOSTO'!$P$12,IF(C57&lt;='SOLLECITAZ NASCOSTO'!$P$11,IF(C57&lt;='SOLLECITAZ NASCOSTO'!$P$10,IF(C57&lt;='SOLLECITAZ NASCOSTO'!$P$9,IF(C57&lt;='SOLLECITAZ NASCOSTO'!$P$8,IF(C57&lt;='SOLLECITAZ NASCOSTO'!$P$7,IF(C57&lt;='SOLLECITAZ NASCOSTO'!$P$6,IF(C57&lt;='SOLLECITAZ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5.347387696396467</v>
      </c>
      <c r="O58" s="42">
        <f>IF(C58&lt;='SOLLECITAZ NASCOSTO'!$P$12,IF(C58&lt;='SOLLECITAZ NASCOSTO'!$P$11,IF(C58&lt;='SOLLECITAZ NASCOSTO'!$P$10,IF(C58&lt;='SOLLECITAZ NASCOSTO'!$P$9,IF(C58&lt;='SOLLECITAZ NASCOSTO'!$P$8,IF(C58&lt;='SOLLECITAZ NASCOSTO'!$P$7,IF(C58&lt;='SOLLECITAZ NASCOSTO'!$P$6,IF(C58&lt;='SOLLECITAZ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slu'!$G$111),55555)*(C58-C57)/IF(C58&lt;='SOLLECITAZ NASCOSTO'!$P$12,IF(C58&lt;='SOLLECITAZ NASCOSTO'!$P$11,IF(C58&lt;='SOLLECITAZ NASCOSTO'!$P$10,IF(C58&lt;='SOLLECITAZ NASCOSTO'!$P$9,IF(C58&lt;='SOLLECITAZ NASCOSTO'!$P$8,IF(C58&lt;='SOLLECITAZ NASCOSTO'!$P$7,IF(C58&lt;='SOLLECITAZ NASCOSTO'!$P$6,IF(C58&lt;='SOLLECITAZ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8" s="42">
        <f t="shared" si="21"/>
        <v>2.5000000000000008E-5</v>
      </c>
      <c r="Q58" s="42">
        <f t="shared" si="18"/>
        <v>1</v>
      </c>
      <c r="R58" s="441">
        <f t="shared" si="10"/>
        <v>0.17812500000000001</v>
      </c>
      <c r="S58" s="46">
        <f t="shared" si="19"/>
        <v>0.17812500000000001</v>
      </c>
      <c r="T58" s="211">
        <f t="shared" si="13"/>
        <v>3.171875</v>
      </c>
      <c r="U58" s="46">
        <f t="shared" si="16"/>
        <v>0.84962081532446743</v>
      </c>
      <c r="V58" s="46">
        <f t="shared" si="17"/>
        <v>-7.2365393585680823E-2</v>
      </c>
      <c r="W58" s="496"/>
    </row>
    <row r="59" spans="1:40" s="428" customFormat="1" x14ac:dyDescent="0.25">
      <c r="A59" s="589">
        <f t="shared" si="11"/>
        <v>6.4903846153097078E-7</v>
      </c>
      <c r="B59" s="32">
        <f t="shared" si="12"/>
        <v>27</v>
      </c>
      <c r="C59" s="441">
        <f>'SOLLECITAZ NASCOSTO'!$D$6/'SOLLECITAZ NASCOSTO'!$B$448*'SOLLECITAZ NASCOSTO'!B59</f>
        <v>0.18497596153846155</v>
      </c>
      <c r="D59" s="132">
        <f t="shared" si="14"/>
        <v>0.30000064903846152</v>
      </c>
      <c r="E59" s="132">
        <f t="shared" si="4"/>
        <v>6.4903846153097078E-7</v>
      </c>
      <c r="F59" s="132">
        <f t="shared" si="5"/>
        <v>0.30000064903846152</v>
      </c>
      <c r="G59" s="132">
        <f t="shared" si="6"/>
        <v>4.5000194711749084E-2</v>
      </c>
      <c r="H59" s="132">
        <f t="shared" si="7"/>
        <v>0</v>
      </c>
      <c r="I59" s="132">
        <v>0</v>
      </c>
      <c r="J59" s="131">
        <f t="shared" si="8"/>
        <v>0.15000032451923076</v>
      </c>
      <c r="K59" s="130">
        <f t="shared" si="9"/>
        <v>2.250014603396978E-3</v>
      </c>
      <c r="L59" s="42">
        <f t="shared" si="20"/>
        <v>0.88675019073533823</v>
      </c>
      <c r="M59" s="42">
        <f t="shared" si="15"/>
        <v>-7.831329907518858E-2</v>
      </c>
      <c r="N59" s="42">
        <f>(IF(C58&lt;='SOLLECITAZ NASCOSTO'!$P$12,IF(C58&lt;='SOLLECITAZ NASCOSTO'!$P$11,IF(C58&lt;='SOLLECITAZ NASCOSTO'!$P$10,IF(C58&lt;='SOLLECITAZ NASCOSTO'!$P$9,IF(C58&lt;='SOLLECITAZ NASCOSTO'!$P$8,IF(C58&lt;='SOLLECITAZ NASCOSTO'!$P$7,IF(C58&lt;='SOLLECITAZ NASCOSTO'!$P$6,IF(C58&lt;='SOLLECITAZ NASCOSTO'!$P$5,'Progetto del paramento slu'!$G$105,'Progetto del paramento slu'!$G$106),'Progetto del paramento slu'!$G$107),'Progetto del paramento slu'!$G$108),'Progetto del paramento slu'!$G$109),'Progetto del paramento slu'!$G$110),'Progetto del paramento slu'!$G$111),'Progetto del paramento slu'!$G$112),55555)-IF(C58&lt;='SOLLECITAZ NASCOSTO'!$P$12,IF(C58&lt;='SOLLECITAZ NASCOSTO'!$P$11,IF(C58&lt;='SOLLECITAZ NASCOSTO'!$P$10,IF(C58&lt;='SOLLECITAZ NASCOSTO'!$P$9,IF(C58&lt;='SOLLECITAZ NASCOSTO'!$P$8,IF(C58&lt;='SOLLECITAZ NASCOSTO'!$P$7,IF(C58&lt;='SOLLECITAZ NASCOSTO'!$P$6,IF(C58&lt;='SOLLECITAZ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slu'!$G$112))*(C58-IF(C58&lt;='SOLLECITAZ NASCOSTO'!$P$12,IF(C58&lt;='SOLLECITAZ NASCOSTO'!$P$11,IF(C58&lt;='SOLLECITAZ NASCOSTO'!$P$10,IF(C58&lt;='SOLLECITAZ NASCOSTO'!$P$9,IF(C58&lt;='SOLLECITAZ NASCOSTO'!$P$8,IF(C58&lt;='SOLLECITAZ NASCOSTO'!$P$7,IF(C58&lt;='SOLLECITAZ NASCOSTO'!$P$6,IF(C58&lt;='SOLLECITAZ NASCOSTO'!$P$5,'SOLLECITAZ NASCOSTO'!$P$3,'SOLLECITAZ NASCOSTO'!$P$5),'SOLLECITAZ NASCOSTO'!$P$5),'SOLLECITAZ NASCOSTO'!$P$7),'SOLLECITAZ NASCOSTO'!$P$8),'SOLLECITAZ NASCOSTO'!$P$9),'SOLLECITAZ NASCOSTO'!$P$10),'SOLLECITAZ NASCOSTO'!$P$11),'SOLLECITAZ NASCOSTO'!$P$12))/IF(C58&lt;='SOLLECITAZ NASCOSTO'!$P$12,IF(C58&lt;='SOLLECITAZ NASCOSTO'!$P$11,IF(C58&lt;='SOLLECITAZ NASCOSTO'!$P$10,IF(C58&lt;='SOLLECITAZ NASCOSTO'!$P$9,IF(C58&lt;='SOLLECITAZ NASCOSTO'!$P$8,IF(C58&lt;='SOLLECITAZ NASCOSTO'!$P$7,IF(C58&lt;='SOLLECITAZ NASCOSTO'!$P$6,IF(C58&lt;='SOLLECITAZ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slu'!$C$112)+IF(C58&lt;='SOLLECITAZ NASCOSTO'!$P$12,IF(C58&lt;='SOLLECITAZ NASCOSTO'!$P$11,IF(C58&lt;='SOLLECITAZ NASCOSTO'!$P$10,IF(C58&lt;='SOLLECITAZ NASCOSTO'!$P$9,IF(C58&lt;='SOLLECITAZ NASCOSTO'!$P$8,IF(C58&lt;='SOLLECITAZ NASCOSTO'!$P$7,IF(C58&lt;='SOLLECITAZ NASCOSTO'!$P$6,IF(C58&lt;='SOLLECITAZ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5.39551991538882</v>
      </c>
      <c r="O59" s="42">
        <f>IF(C59&lt;='SOLLECITAZ NASCOSTO'!$P$12,IF(C59&lt;='SOLLECITAZ NASCOSTO'!$P$11,IF(C59&lt;='SOLLECITAZ NASCOSTO'!$P$10,IF(C59&lt;='SOLLECITAZ NASCOSTO'!$P$9,IF(C59&lt;='SOLLECITAZ NASCOSTO'!$P$8,IF(C59&lt;='SOLLECITAZ NASCOSTO'!$P$7,IF(C59&lt;='SOLLECITAZ NASCOSTO'!$P$6,IF(C59&lt;='SOLLECITAZ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slu'!$G$111),55555)*(C59-C58)/IF(C59&lt;='SOLLECITAZ NASCOSTO'!$P$12,IF(C59&lt;='SOLLECITAZ NASCOSTO'!$P$11,IF(C59&lt;='SOLLECITAZ NASCOSTO'!$P$10,IF(C59&lt;='SOLLECITAZ NASCOSTO'!$P$9,IF(C59&lt;='SOLLECITAZ NASCOSTO'!$P$8,IF(C59&lt;='SOLLECITAZ NASCOSTO'!$P$7,IF(C59&lt;='SOLLECITAZ NASCOSTO'!$P$6,IF(C59&lt;='SOLLECITAZ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59" s="42">
        <f t="shared" si="21"/>
        <v>2.6000000000000009E-5</v>
      </c>
      <c r="Q59" s="42">
        <f t="shared" si="18"/>
        <v>1</v>
      </c>
      <c r="R59" s="441">
        <f t="shared" si="10"/>
        <v>0.18497596153846155</v>
      </c>
      <c r="S59" s="46">
        <f t="shared" si="19"/>
        <v>0.18497596153846155</v>
      </c>
      <c r="T59" s="211">
        <f t="shared" si="13"/>
        <v>3.1650240384615387</v>
      </c>
      <c r="U59" s="46">
        <f t="shared" si="16"/>
        <v>0.88675019073533823</v>
      </c>
      <c r="V59" s="46">
        <f t="shared" si="17"/>
        <v>-7.831329907518858E-2</v>
      </c>
      <c r="W59" s="496"/>
    </row>
    <row r="60" spans="1:40" s="428" customFormat="1" x14ac:dyDescent="0.25">
      <c r="A60" s="589">
        <f t="shared" si="11"/>
        <v>6.7307692308560263E-7</v>
      </c>
      <c r="B60" s="32">
        <f t="shared" si="12"/>
        <v>28</v>
      </c>
      <c r="C60" s="441">
        <f>'SOLLECITAZ NASCOSTO'!$D$6/'SOLLECITAZ NASCOSTO'!$B$448*'SOLLECITAZ NASCOSTO'!B60</f>
        <v>0.19182692307692306</v>
      </c>
      <c r="D60" s="132">
        <f t="shared" si="14"/>
        <v>0.30000067307692307</v>
      </c>
      <c r="E60" s="132">
        <f t="shared" si="4"/>
        <v>6.7307692308560263E-7</v>
      </c>
      <c r="F60" s="132">
        <f t="shared" si="5"/>
        <v>0.30000067307692307</v>
      </c>
      <c r="G60" s="132">
        <f t="shared" si="6"/>
        <v>4.5000201923303437E-2</v>
      </c>
      <c r="H60" s="132">
        <f t="shared" si="7"/>
        <v>0</v>
      </c>
      <c r="I60" s="132">
        <v>0</v>
      </c>
      <c r="J60" s="131">
        <f t="shared" si="8"/>
        <v>0.15000033653846154</v>
      </c>
      <c r="K60" s="130">
        <f t="shared" si="9"/>
        <v>2.250015144264747E-3</v>
      </c>
      <c r="L60" s="42">
        <f t="shared" si="20"/>
        <v>0.92420931812728624</v>
      </c>
      <c r="M60" s="42">
        <f t="shared" si="15"/>
        <v>-8.4516706046653081E-2</v>
      </c>
      <c r="N60" s="42">
        <f>(IF(C59&lt;='SOLLECITAZ NASCOSTO'!$P$12,IF(C59&lt;='SOLLECITAZ NASCOSTO'!$P$11,IF(C59&lt;='SOLLECITAZ NASCOSTO'!$P$10,IF(C59&lt;='SOLLECITAZ NASCOSTO'!$P$9,IF(C59&lt;='SOLLECITAZ NASCOSTO'!$P$8,IF(C59&lt;='SOLLECITAZ NASCOSTO'!$P$7,IF(C59&lt;='SOLLECITAZ NASCOSTO'!$P$6,IF(C59&lt;='SOLLECITAZ NASCOSTO'!$P$5,'Progetto del paramento slu'!$G$105,'Progetto del paramento slu'!$G$106),'Progetto del paramento slu'!$G$107),'Progetto del paramento slu'!$G$108),'Progetto del paramento slu'!$G$109),'Progetto del paramento slu'!$G$110),'Progetto del paramento slu'!$G$111),'Progetto del paramento slu'!$G$112),55555)-IF(C59&lt;='SOLLECITAZ NASCOSTO'!$P$12,IF(C59&lt;='SOLLECITAZ NASCOSTO'!$P$11,IF(C59&lt;='SOLLECITAZ NASCOSTO'!$P$10,IF(C59&lt;='SOLLECITAZ NASCOSTO'!$P$9,IF(C59&lt;='SOLLECITAZ NASCOSTO'!$P$8,IF(C59&lt;='SOLLECITAZ NASCOSTO'!$P$7,IF(C59&lt;='SOLLECITAZ NASCOSTO'!$P$6,IF(C59&lt;='SOLLECITAZ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slu'!$G$112))*(C59-IF(C59&lt;='SOLLECITAZ NASCOSTO'!$P$12,IF(C59&lt;='SOLLECITAZ NASCOSTO'!$P$11,IF(C59&lt;='SOLLECITAZ NASCOSTO'!$P$10,IF(C59&lt;='SOLLECITAZ NASCOSTO'!$P$9,IF(C59&lt;='SOLLECITAZ NASCOSTO'!$P$8,IF(C59&lt;='SOLLECITAZ NASCOSTO'!$P$7,IF(C59&lt;='SOLLECITAZ NASCOSTO'!$P$6,IF(C59&lt;='SOLLECITAZ NASCOSTO'!$P$5,'SOLLECITAZ NASCOSTO'!$P$3,'SOLLECITAZ NASCOSTO'!$P$5),'SOLLECITAZ NASCOSTO'!$P$5),'SOLLECITAZ NASCOSTO'!$P$7),'SOLLECITAZ NASCOSTO'!$P$8),'SOLLECITAZ NASCOSTO'!$P$9),'SOLLECITAZ NASCOSTO'!$P$10),'SOLLECITAZ NASCOSTO'!$P$11),'SOLLECITAZ NASCOSTO'!$P$12))/IF(C59&lt;='SOLLECITAZ NASCOSTO'!$P$12,IF(C59&lt;='SOLLECITAZ NASCOSTO'!$P$11,IF(C59&lt;='SOLLECITAZ NASCOSTO'!$P$10,IF(C59&lt;='SOLLECITAZ NASCOSTO'!$P$9,IF(C59&lt;='SOLLECITAZ NASCOSTO'!$P$8,IF(C59&lt;='SOLLECITAZ NASCOSTO'!$P$7,IF(C59&lt;='SOLLECITAZ NASCOSTO'!$P$6,IF(C59&lt;='SOLLECITAZ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slu'!$C$112)+IF(C59&lt;='SOLLECITAZ NASCOSTO'!$P$12,IF(C59&lt;='SOLLECITAZ NASCOSTO'!$P$11,IF(C59&lt;='SOLLECITAZ NASCOSTO'!$P$10,IF(C59&lt;='SOLLECITAZ NASCOSTO'!$P$9,IF(C59&lt;='SOLLECITAZ NASCOSTO'!$P$8,IF(C59&lt;='SOLLECITAZ NASCOSTO'!$P$7,IF(C59&lt;='SOLLECITAZ NASCOSTO'!$P$6,IF(C59&lt;='SOLLECITAZ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5.4436521343811721</v>
      </c>
      <c r="O60" s="42">
        <f>IF(C60&lt;='SOLLECITAZ NASCOSTO'!$P$12,IF(C60&lt;='SOLLECITAZ NASCOSTO'!$P$11,IF(C60&lt;='SOLLECITAZ NASCOSTO'!$P$10,IF(C60&lt;='SOLLECITAZ NASCOSTO'!$P$9,IF(C60&lt;='SOLLECITAZ NASCOSTO'!$P$8,IF(C60&lt;='SOLLECITAZ NASCOSTO'!$P$7,IF(C60&lt;='SOLLECITAZ NASCOSTO'!$P$6,IF(C60&lt;='SOLLECITAZ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slu'!$G$111),55555)*(C60-C59)/IF(C60&lt;='SOLLECITAZ NASCOSTO'!$P$12,IF(C60&lt;='SOLLECITAZ NASCOSTO'!$P$11,IF(C60&lt;='SOLLECITAZ NASCOSTO'!$P$10,IF(C60&lt;='SOLLECITAZ NASCOSTO'!$P$9,IF(C60&lt;='SOLLECITAZ NASCOSTO'!$P$8,IF(C60&lt;='SOLLECITAZ NASCOSTO'!$P$7,IF(C60&lt;='SOLLECITAZ NASCOSTO'!$P$6,IF(C60&lt;='SOLLECITAZ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4.8132218992352302E-2</v>
      </c>
      <c r="P60" s="42">
        <f t="shared" si="21"/>
        <v>2.7000000000000009E-5</v>
      </c>
      <c r="Q60" s="42">
        <f t="shared" si="18"/>
        <v>1</v>
      </c>
      <c r="R60" s="441">
        <f t="shared" si="10"/>
        <v>0.19182692307692306</v>
      </c>
      <c r="S60" s="46">
        <f t="shared" si="19"/>
        <v>0.19182692307692306</v>
      </c>
      <c r="T60" s="211">
        <f t="shared" si="13"/>
        <v>3.1581730769230769</v>
      </c>
      <c r="U60" s="46">
        <f t="shared" si="16"/>
        <v>0.92420931812728624</v>
      </c>
      <c r="V60" s="46">
        <f t="shared" si="17"/>
        <v>-8.4516706046653081E-2</v>
      </c>
      <c r="W60" s="496"/>
    </row>
    <row r="61" spans="1:40" s="428" customFormat="1" x14ac:dyDescent="0.25">
      <c r="A61" s="589">
        <f t="shared" si="11"/>
        <v>6.9711538458472333E-7</v>
      </c>
      <c r="B61" s="32">
        <f t="shared" si="12"/>
        <v>29</v>
      </c>
      <c r="C61" s="441">
        <f>'SOLLECITAZ NASCOSTO'!$D$6/'SOLLECITAZ NASCOSTO'!$B$448*'SOLLECITAZ NASCOSTO'!B61</f>
        <v>0.1986778846153846</v>
      </c>
      <c r="D61" s="132">
        <f t="shared" si="14"/>
        <v>0.30000069711538457</v>
      </c>
      <c r="E61" s="132">
        <f t="shared" si="4"/>
        <v>6.9711538458472333E-7</v>
      </c>
      <c r="F61" s="132">
        <f t="shared" si="5"/>
        <v>0.30000069711538457</v>
      </c>
      <c r="G61" s="132">
        <f t="shared" si="6"/>
        <v>4.500020913485836E-2</v>
      </c>
      <c r="H61" s="132">
        <f t="shared" si="7"/>
        <v>0</v>
      </c>
      <c r="I61" s="132">
        <v>0</v>
      </c>
      <c r="J61" s="131">
        <f t="shared" si="8"/>
        <v>0.15000034855769229</v>
      </c>
      <c r="K61" s="130">
        <f t="shared" si="9"/>
        <v>2.250015685132601E-3</v>
      </c>
      <c r="L61" s="42">
        <f t="shared" si="20"/>
        <v>0.9619981975003119</v>
      </c>
      <c r="M61" s="42">
        <f t="shared" si="15"/>
        <v>-9.0977873618213967E-2</v>
      </c>
      <c r="N61" s="42">
        <f>(IF(C60&lt;='SOLLECITAZ NASCOSTO'!$P$12,IF(C60&lt;='SOLLECITAZ NASCOSTO'!$P$11,IF(C60&lt;='SOLLECITAZ NASCOSTO'!$P$10,IF(C60&lt;='SOLLECITAZ NASCOSTO'!$P$9,IF(C60&lt;='SOLLECITAZ NASCOSTO'!$P$8,IF(C60&lt;='SOLLECITAZ NASCOSTO'!$P$7,IF(C60&lt;='SOLLECITAZ NASCOSTO'!$P$6,IF(C60&lt;='SOLLECITAZ NASCOSTO'!$P$5,'Progetto del paramento slu'!$G$105,'Progetto del paramento slu'!$G$106),'Progetto del paramento slu'!$G$107),'Progetto del paramento slu'!$G$108),'Progetto del paramento slu'!$G$109),'Progetto del paramento slu'!$G$110),'Progetto del paramento slu'!$G$111),'Progetto del paramento slu'!$G$112),55555)-IF(C60&lt;='SOLLECITAZ NASCOSTO'!$P$12,IF(C60&lt;='SOLLECITAZ NASCOSTO'!$P$11,IF(C60&lt;='SOLLECITAZ NASCOSTO'!$P$10,IF(C60&lt;='SOLLECITAZ NASCOSTO'!$P$9,IF(C60&lt;='SOLLECITAZ NASCOSTO'!$P$8,IF(C60&lt;='SOLLECITAZ NASCOSTO'!$P$7,IF(C60&lt;='SOLLECITAZ NASCOSTO'!$P$6,IF(C60&lt;='SOLLECITAZ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slu'!$G$112))*(C60-IF(C60&lt;='SOLLECITAZ NASCOSTO'!$P$12,IF(C60&lt;='SOLLECITAZ NASCOSTO'!$P$11,IF(C60&lt;='SOLLECITAZ NASCOSTO'!$P$10,IF(C60&lt;='SOLLECITAZ NASCOSTO'!$P$9,IF(C60&lt;='SOLLECITAZ NASCOSTO'!$P$8,IF(C60&lt;='SOLLECITAZ NASCOSTO'!$P$7,IF(C60&lt;='SOLLECITAZ NASCOSTO'!$P$6,IF(C60&lt;='SOLLECITAZ NASCOSTO'!$P$5,'SOLLECITAZ NASCOSTO'!$P$3,'SOLLECITAZ NASCOSTO'!$P$5),'SOLLECITAZ NASCOSTO'!$P$5),'SOLLECITAZ NASCOSTO'!$P$7),'SOLLECITAZ NASCOSTO'!$P$8),'SOLLECITAZ NASCOSTO'!$P$9),'SOLLECITAZ NASCOSTO'!$P$10),'SOLLECITAZ NASCOSTO'!$P$11),'SOLLECITAZ NASCOSTO'!$P$12))/IF(C60&lt;='SOLLECITAZ NASCOSTO'!$P$12,IF(C60&lt;='SOLLECITAZ NASCOSTO'!$P$11,IF(C60&lt;='SOLLECITAZ NASCOSTO'!$P$10,IF(C60&lt;='SOLLECITAZ NASCOSTO'!$P$9,IF(C60&lt;='SOLLECITAZ NASCOSTO'!$P$8,IF(C60&lt;='SOLLECITAZ NASCOSTO'!$P$7,IF(C60&lt;='SOLLECITAZ NASCOSTO'!$P$6,IF(C60&lt;='SOLLECITAZ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slu'!$C$112)+IF(C60&lt;='SOLLECITAZ NASCOSTO'!$P$12,IF(C60&lt;='SOLLECITAZ NASCOSTO'!$P$11,IF(C60&lt;='SOLLECITAZ NASCOSTO'!$P$10,IF(C60&lt;='SOLLECITAZ NASCOSTO'!$P$9,IF(C60&lt;='SOLLECITAZ NASCOSTO'!$P$8,IF(C60&lt;='SOLLECITAZ NASCOSTO'!$P$7,IF(C60&lt;='SOLLECITAZ NASCOSTO'!$P$6,IF(C60&lt;='SOLLECITAZ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5.4917843533735251</v>
      </c>
      <c r="O61" s="42">
        <f>IF(C61&lt;='SOLLECITAZ NASCOSTO'!$P$12,IF(C61&lt;='SOLLECITAZ NASCOSTO'!$P$11,IF(C61&lt;='SOLLECITAZ NASCOSTO'!$P$10,IF(C61&lt;='SOLLECITAZ NASCOSTO'!$P$9,IF(C61&lt;='SOLLECITAZ NASCOSTO'!$P$8,IF(C61&lt;='SOLLECITAZ NASCOSTO'!$P$7,IF(C61&lt;='SOLLECITAZ NASCOSTO'!$P$6,IF(C61&lt;='SOLLECITAZ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slu'!$G$111),55555)*(C61-C60)/IF(C61&lt;='SOLLECITAZ NASCOSTO'!$P$12,IF(C61&lt;='SOLLECITAZ NASCOSTO'!$P$11,IF(C61&lt;='SOLLECITAZ NASCOSTO'!$P$10,IF(C61&lt;='SOLLECITAZ NASCOSTO'!$P$9,IF(C61&lt;='SOLLECITAZ NASCOSTO'!$P$8,IF(C61&lt;='SOLLECITAZ NASCOSTO'!$P$7,IF(C61&lt;='SOLLECITAZ NASCOSTO'!$P$6,IF(C61&lt;='SOLLECITAZ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1" s="42">
        <f t="shared" si="21"/>
        <v>2.800000000000001E-5</v>
      </c>
      <c r="Q61" s="42">
        <f t="shared" si="18"/>
        <v>1</v>
      </c>
      <c r="R61" s="441">
        <f t="shared" si="10"/>
        <v>0.1986778846153846</v>
      </c>
      <c r="S61" s="46">
        <f t="shared" si="19"/>
        <v>0.1986778846153846</v>
      </c>
      <c r="T61" s="211">
        <f t="shared" si="13"/>
        <v>3.1513221153846156</v>
      </c>
      <c r="U61" s="46">
        <f t="shared" si="16"/>
        <v>0.9619981975003119</v>
      </c>
      <c r="V61" s="46">
        <f t="shared" si="17"/>
        <v>-9.0977873618213967E-2</v>
      </c>
      <c r="W61" s="496"/>
    </row>
    <row r="62" spans="1:40" s="428" customFormat="1" x14ac:dyDescent="0.25">
      <c r="A62" s="589">
        <f t="shared" si="11"/>
        <v>7.2115384613935518E-7</v>
      </c>
      <c r="B62" s="32">
        <f>B61+1</f>
        <v>30</v>
      </c>
      <c r="C62" s="441">
        <f>'SOLLECITAZ NASCOSTO'!$D$6/'SOLLECITAZ NASCOSTO'!$B$448*'SOLLECITAZ NASCOSTO'!B62</f>
        <v>0.20552884615384615</v>
      </c>
      <c r="D62" s="132">
        <f t="shared" si="14"/>
        <v>0.30000072115384613</v>
      </c>
      <c r="E62" s="132">
        <f t="shared" si="4"/>
        <v>7.2115384613935518E-7</v>
      </c>
      <c r="F62" s="132">
        <f t="shared" si="5"/>
        <v>0.30000072115384613</v>
      </c>
      <c r="G62" s="132">
        <f t="shared" si="6"/>
        <v>4.5000216346413872E-2</v>
      </c>
      <c r="H62" s="132">
        <f t="shared" si="7"/>
        <v>0</v>
      </c>
      <c r="I62" s="132">
        <v>0</v>
      </c>
      <c r="J62" s="131">
        <f t="shared" si="8"/>
        <v>0.15000036057692306</v>
      </c>
      <c r="K62" s="130">
        <f t="shared" si="9"/>
        <v>2.250016226000543E-3</v>
      </c>
      <c r="L62" s="42">
        <f>L61+N62*(C62-C61)+O62*(C62-C61)/2</f>
        <v>1.0001168288544149</v>
      </c>
      <c r="M62" s="42">
        <f t="shared" si="15"/>
        <v>-9.769906090801081E-2</v>
      </c>
      <c r="N62" s="42">
        <f>(IF(C61&lt;='SOLLECITAZ NASCOSTO'!$P$12,IF(C61&lt;='SOLLECITAZ NASCOSTO'!$P$11,IF(C61&lt;='SOLLECITAZ NASCOSTO'!$P$10,IF(C61&lt;='SOLLECITAZ NASCOSTO'!$P$9,IF(C61&lt;='SOLLECITAZ NASCOSTO'!$P$8,IF(C61&lt;='SOLLECITAZ NASCOSTO'!$P$7,IF(C61&lt;='SOLLECITAZ NASCOSTO'!$P$6,IF(C61&lt;='SOLLECITAZ NASCOSTO'!$P$5,'Progetto del paramento slu'!$G$105,'Progetto del paramento slu'!$G$106),'Progetto del paramento slu'!$G$107),'Progetto del paramento slu'!$G$108),'Progetto del paramento slu'!$G$109),'Progetto del paramento slu'!$G$110),'Progetto del paramento slu'!$G$111),'Progetto del paramento slu'!$G$112),55555)-IF(C61&lt;='SOLLECITAZ NASCOSTO'!$P$12,IF(C61&lt;='SOLLECITAZ NASCOSTO'!$P$11,IF(C61&lt;='SOLLECITAZ NASCOSTO'!$P$10,IF(C61&lt;='SOLLECITAZ NASCOSTO'!$P$9,IF(C61&lt;='SOLLECITAZ NASCOSTO'!$P$8,IF(C61&lt;='SOLLECITAZ NASCOSTO'!$P$7,IF(C61&lt;='SOLLECITAZ NASCOSTO'!$P$6,IF(C61&lt;='SOLLECITAZ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slu'!$G$112))*(C61-IF(C61&lt;='SOLLECITAZ NASCOSTO'!$P$12,IF(C61&lt;='SOLLECITAZ NASCOSTO'!$P$11,IF(C61&lt;='SOLLECITAZ NASCOSTO'!$P$10,IF(C61&lt;='SOLLECITAZ NASCOSTO'!$P$9,IF(C61&lt;='SOLLECITAZ NASCOSTO'!$P$8,IF(C61&lt;='SOLLECITAZ NASCOSTO'!$P$7,IF(C61&lt;='SOLLECITAZ NASCOSTO'!$P$6,IF(C61&lt;='SOLLECITAZ NASCOSTO'!$P$5,'SOLLECITAZ NASCOSTO'!$P$3,'SOLLECITAZ NASCOSTO'!$P$5),'SOLLECITAZ NASCOSTO'!$P$5),'SOLLECITAZ NASCOSTO'!$P$7),'SOLLECITAZ NASCOSTO'!$P$8),'SOLLECITAZ NASCOSTO'!$P$9),'SOLLECITAZ NASCOSTO'!$P$10),'SOLLECITAZ NASCOSTO'!$P$11),'SOLLECITAZ NASCOSTO'!$P$12))/IF(C61&lt;='SOLLECITAZ NASCOSTO'!$P$12,IF(C61&lt;='SOLLECITAZ NASCOSTO'!$P$11,IF(C61&lt;='SOLLECITAZ NASCOSTO'!$P$10,IF(C61&lt;='SOLLECITAZ NASCOSTO'!$P$9,IF(C61&lt;='SOLLECITAZ NASCOSTO'!$P$8,IF(C61&lt;='SOLLECITAZ NASCOSTO'!$P$7,IF(C61&lt;='SOLLECITAZ NASCOSTO'!$P$6,IF(C61&lt;='SOLLECITAZ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slu'!$C$112)+IF(C61&lt;='SOLLECITAZ NASCOSTO'!$P$12,IF(C61&lt;='SOLLECITAZ NASCOSTO'!$P$11,IF(C61&lt;='SOLLECITAZ NASCOSTO'!$P$10,IF(C61&lt;='SOLLECITAZ NASCOSTO'!$P$9,IF(C61&lt;='SOLLECITAZ NASCOSTO'!$P$8,IF(C61&lt;='SOLLECITAZ NASCOSTO'!$P$7,IF(C61&lt;='SOLLECITAZ NASCOSTO'!$P$6,IF(C61&lt;='SOLLECITAZ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5.5399165723658772</v>
      </c>
      <c r="O62" s="42">
        <f>IF(C62&lt;='SOLLECITAZ NASCOSTO'!$P$12,IF(C62&lt;='SOLLECITAZ NASCOSTO'!$P$11,IF(C62&lt;='SOLLECITAZ NASCOSTO'!$P$10,IF(C62&lt;='SOLLECITAZ NASCOSTO'!$P$9,IF(C62&lt;='SOLLECITAZ NASCOSTO'!$P$8,IF(C62&lt;='SOLLECITAZ NASCOSTO'!$P$7,IF(C62&lt;='SOLLECITAZ NASCOSTO'!$P$6,IF(C62&lt;='SOLLECITAZ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slu'!$G$111),55555)*(C62-C61)/IF(C62&lt;='SOLLECITAZ NASCOSTO'!$P$12,IF(C62&lt;='SOLLECITAZ NASCOSTO'!$P$11,IF(C62&lt;='SOLLECITAZ NASCOSTO'!$P$10,IF(C62&lt;='SOLLECITAZ NASCOSTO'!$P$9,IF(C62&lt;='SOLLECITAZ NASCOSTO'!$P$8,IF(C62&lt;='SOLLECITAZ NASCOSTO'!$P$7,IF(C62&lt;='SOLLECITAZ NASCOSTO'!$P$6,IF(C62&lt;='SOLLECITAZ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2" s="42">
        <f t="shared" si="21"/>
        <v>2.900000000000001E-5</v>
      </c>
      <c r="Q62" s="42">
        <f t="shared" si="18"/>
        <v>1</v>
      </c>
      <c r="R62" s="441">
        <f t="shared" si="10"/>
        <v>0.20552884615384615</v>
      </c>
      <c r="S62" s="46">
        <f t="shared" si="19"/>
        <v>0.20552884615384615</v>
      </c>
      <c r="T62" s="211">
        <f t="shared" si="13"/>
        <v>3.1444711538461538</v>
      </c>
      <c r="U62" s="46">
        <f t="shared" si="16"/>
        <v>1.0001168288544149</v>
      </c>
      <c r="V62" s="46">
        <f t="shared" si="17"/>
        <v>-9.769906090801081E-2</v>
      </c>
      <c r="W62" s="496"/>
    </row>
    <row r="63" spans="1:40" s="428" customFormat="1" x14ac:dyDescent="0.25">
      <c r="A63" s="589">
        <f t="shared" si="11"/>
        <v>7.4519230769398703E-7</v>
      </c>
      <c r="B63" s="32">
        <f t="shared" ref="B63:B126" si="22">B62+1</f>
        <v>31</v>
      </c>
      <c r="C63" s="441">
        <f>'SOLLECITAZ NASCOSTO'!$D$6/'SOLLECITAZ NASCOSTO'!$B$448*'SOLLECITAZ NASCOSTO'!B63</f>
        <v>0.21237980769230769</v>
      </c>
      <c r="D63" s="441">
        <f t="shared" si="14"/>
        <v>0.30000074519230768</v>
      </c>
      <c r="E63" s="441">
        <f t="shared" si="4"/>
        <v>7.4519230769398703E-7</v>
      </c>
      <c r="F63" s="441">
        <f t="shared" si="5"/>
        <v>0.30000074519230768</v>
      </c>
      <c r="G63" s="441">
        <f t="shared" si="6"/>
        <v>4.5000223557969961E-2</v>
      </c>
      <c r="H63" s="441">
        <f t="shared" ref="H63:H126" si="23">I63*F63</f>
        <v>0</v>
      </c>
      <c r="I63" s="441">
        <v>0</v>
      </c>
      <c r="J63" s="131">
        <f t="shared" ref="J63:J126" si="24">G63/F63</f>
        <v>0.15000037259615384</v>
      </c>
      <c r="K63" s="130">
        <f t="shared" si="9"/>
        <v>2.2500167668685718E-3</v>
      </c>
      <c r="L63" s="42">
        <f t="shared" ref="L63:L126" si="25">L62+N63*(C63-C62)+O63*(C63-C62)/2</f>
        <v>1.0385652121895952</v>
      </c>
      <c r="M63" s="42">
        <f t="shared" ref="M63:M126" si="26">M62-(L63+L62)*(C63-C62)/2</f>
        <v>-0.10468252703418321</v>
      </c>
      <c r="N63" s="42">
        <f>(IF(C62&lt;='SOLLECITAZ NASCOSTO'!$P$12,IF(C62&lt;='SOLLECITAZ NASCOSTO'!$P$11,IF(C62&lt;='SOLLECITAZ NASCOSTO'!$P$10,IF(C62&lt;='SOLLECITAZ NASCOSTO'!$P$9,IF(C62&lt;='SOLLECITAZ NASCOSTO'!$P$8,IF(C62&lt;='SOLLECITAZ NASCOSTO'!$P$7,IF(C62&lt;='SOLLECITAZ NASCOSTO'!$P$6,IF(C62&lt;='SOLLECITAZ NASCOSTO'!$P$5,'Progetto del paramento slu'!$G$105,'Progetto del paramento slu'!$G$106),'Progetto del paramento slu'!$G$107),'Progetto del paramento slu'!$G$108),'Progetto del paramento slu'!$G$109),'Progetto del paramento slu'!$G$110),'Progetto del paramento slu'!$G$111),'Progetto del paramento slu'!$G$112),55555)-IF(C62&lt;='SOLLECITAZ NASCOSTO'!$P$12,IF(C62&lt;='SOLLECITAZ NASCOSTO'!$P$11,IF(C62&lt;='SOLLECITAZ NASCOSTO'!$P$10,IF(C62&lt;='SOLLECITAZ NASCOSTO'!$P$9,IF(C62&lt;='SOLLECITAZ NASCOSTO'!$P$8,IF(C62&lt;='SOLLECITAZ NASCOSTO'!$P$7,IF(C62&lt;='SOLLECITAZ NASCOSTO'!$P$6,IF(C62&lt;='SOLLECITAZ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slu'!$G$112))*(C62-IF(C62&lt;='SOLLECITAZ NASCOSTO'!$P$12,IF(C62&lt;='SOLLECITAZ NASCOSTO'!$P$11,IF(C62&lt;='SOLLECITAZ NASCOSTO'!$P$10,IF(C62&lt;='SOLLECITAZ NASCOSTO'!$P$9,IF(C62&lt;='SOLLECITAZ NASCOSTO'!$P$8,IF(C62&lt;='SOLLECITAZ NASCOSTO'!$P$7,IF(C62&lt;='SOLLECITAZ NASCOSTO'!$P$6,IF(C62&lt;='SOLLECITAZ NASCOSTO'!$P$5,'SOLLECITAZ NASCOSTO'!$P$3,'SOLLECITAZ NASCOSTO'!$P$5),'SOLLECITAZ NASCOSTO'!$P$5),'SOLLECITAZ NASCOSTO'!$P$7),'SOLLECITAZ NASCOSTO'!$P$8),'SOLLECITAZ NASCOSTO'!$P$9),'SOLLECITAZ NASCOSTO'!$P$10),'SOLLECITAZ NASCOSTO'!$P$11),'SOLLECITAZ NASCOSTO'!$P$12))/IF(C62&lt;='SOLLECITAZ NASCOSTO'!$P$12,IF(C62&lt;='SOLLECITAZ NASCOSTO'!$P$11,IF(C62&lt;='SOLLECITAZ NASCOSTO'!$P$10,IF(C62&lt;='SOLLECITAZ NASCOSTO'!$P$9,IF(C62&lt;='SOLLECITAZ NASCOSTO'!$P$8,IF(C62&lt;='SOLLECITAZ NASCOSTO'!$P$7,IF(C62&lt;='SOLLECITAZ NASCOSTO'!$P$6,IF(C62&lt;='SOLLECITAZ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slu'!$C$112)+IF(C62&lt;='SOLLECITAZ NASCOSTO'!$P$12,IF(C62&lt;='SOLLECITAZ NASCOSTO'!$P$11,IF(C62&lt;='SOLLECITAZ NASCOSTO'!$P$10,IF(C62&lt;='SOLLECITAZ NASCOSTO'!$P$9,IF(C62&lt;='SOLLECITAZ NASCOSTO'!$P$8,IF(C62&lt;='SOLLECITAZ NASCOSTO'!$P$7,IF(C62&lt;='SOLLECITAZ NASCOSTO'!$P$6,IF(C62&lt;='SOLLECITAZ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5.5880487913582293</v>
      </c>
      <c r="O63" s="42">
        <f>IF(C63&lt;='SOLLECITAZ NASCOSTO'!$P$12,IF(C63&lt;='SOLLECITAZ NASCOSTO'!$P$11,IF(C63&lt;='SOLLECITAZ NASCOSTO'!$P$10,IF(C63&lt;='SOLLECITAZ NASCOSTO'!$P$9,IF(C63&lt;='SOLLECITAZ NASCOSTO'!$P$8,IF(C63&lt;='SOLLECITAZ NASCOSTO'!$P$7,IF(C63&lt;='SOLLECITAZ NASCOSTO'!$P$6,IF(C63&lt;='SOLLECITAZ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slu'!$G$111),55555)*(C63-C62)/IF(C63&lt;='SOLLECITAZ NASCOSTO'!$P$12,IF(C63&lt;='SOLLECITAZ NASCOSTO'!$P$11,IF(C63&lt;='SOLLECITAZ NASCOSTO'!$P$10,IF(C63&lt;='SOLLECITAZ NASCOSTO'!$P$9,IF(C63&lt;='SOLLECITAZ NASCOSTO'!$P$8,IF(C63&lt;='SOLLECITAZ NASCOSTO'!$P$7,IF(C63&lt;='SOLLECITAZ NASCOSTO'!$P$6,IF(C63&lt;='SOLLECITAZ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3" s="42">
        <f t="shared" si="21"/>
        <v>3.0000000000000011E-5</v>
      </c>
      <c r="Q63" s="42">
        <f t="shared" si="18"/>
        <v>1</v>
      </c>
      <c r="R63" s="441">
        <f t="shared" si="10"/>
        <v>0.21237980769230769</v>
      </c>
      <c r="S63" s="46">
        <f t="shared" si="19"/>
        <v>0.21237980769230769</v>
      </c>
      <c r="T63" s="211">
        <f t="shared" si="13"/>
        <v>3.1376201923076925</v>
      </c>
      <c r="U63" s="46">
        <f t="shared" si="16"/>
        <v>1.0385652121895952</v>
      </c>
      <c r="V63" s="46">
        <f t="shared" si="17"/>
        <v>-0.10468252703418321</v>
      </c>
      <c r="W63" s="496"/>
    </row>
    <row r="64" spans="1:40" s="428" customFormat="1" x14ac:dyDescent="0.25">
      <c r="A64" s="589">
        <f t="shared" si="11"/>
        <v>7.6923076919310773E-7</v>
      </c>
      <c r="B64" s="32">
        <f t="shared" si="22"/>
        <v>32</v>
      </c>
      <c r="C64" s="441">
        <f>'SOLLECITAZ NASCOSTO'!$D$6/'SOLLECITAZ NASCOSTO'!$B$448*'SOLLECITAZ NASCOSTO'!B64</f>
        <v>0.21923076923076923</v>
      </c>
      <c r="D64" s="441">
        <f t="shared" si="14"/>
        <v>0.30000076923076918</v>
      </c>
      <c r="E64" s="441">
        <f t="shared" si="4"/>
        <v>7.6923076919310773E-7</v>
      </c>
      <c r="F64" s="441">
        <f t="shared" si="5"/>
        <v>0.30000076923076918</v>
      </c>
      <c r="G64" s="441">
        <f t="shared" si="6"/>
        <v>4.5000230769526611E-2</v>
      </c>
      <c r="H64" s="441">
        <f t="shared" si="23"/>
        <v>0</v>
      </c>
      <c r="I64" s="441">
        <v>0</v>
      </c>
      <c r="J64" s="131">
        <f t="shared" si="24"/>
        <v>0.15000038461538459</v>
      </c>
      <c r="K64" s="130">
        <f t="shared" si="9"/>
        <v>2.2500173077366851E-3</v>
      </c>
      <c r="L64" s="42">
        <f t="shared" si="25"/>
        <v>1.0773433475058529</v>
      </c>
      <c r="M64" s="42">
        <f t="shared" si="26"/>
        <v>-0.11193053111487075</v>
      </c>
      <c r="N64" s="42">
        <f>(IF(C63&lt;='SOLLECITAZ NASCOSTO'!$P$12,IF(C63&lt;='SOLLECITAZ NASCOSTO'!$P$11,IF(C63&lt;='SOLLECITAZ NASCOSTO'!$P$10,IF(C63&lt;='SOLLECITAZ NASCOSTO'!$P$9,IF(C63&lt;='SOLLECITAZ NASCOSTO'!$P$8,IF(C63&lt;='SOLLECITAZ NASCOSTO'!$P$7,IF(C63&lt;='SOLLECITAZ NASCOSTO'!$P$6,IF(C63&lt;='SOLLECITAZ NASCOSTO'!$P$5,'Progetto del paramento slu'!$G$105,'Progetto del paramento slu'!$G$106),'Progetto del paramento slu'!$G$107),'Progetto del paramento slu'!$G$108),'Progetto del paramento slu'!$G$109),'Progetto del paramento slu'!$G$110),'Progetto del paramento slu'!$G$111),'Progetto del paramento slu'!$G$112),55555)-IF(C63&lt;='SOLLECITAZ NASCOSTO'!$P$12,IF(C63&lt;='SOLLECITAZ NASCOSTO'!$P$11,IF(C63&lt;='SOLLECITAZ NASCOSTO'!$P$10,IF(C63&lt;='SOLLECITAZ NASCOSTO'!$P$9,IF(C63&lt;='SOLLECITAZ NASCOSTO'!$P$8,IF(C63&lt;='SOLLECITAZ NASCOSTO'!$P$7,IF(C63&lt;='SOLLECITAZ NASCOSTO'!$P$6,IF(C63&lt;='SOLLECITAZ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slu'!$G$112))*(C63-IF(C63&lt;='SOLLECITAZ NASCOSTO'!$P$12,IF(C63&lt;='SOLLECITAZ NASCOSTO'!$P$11,IF(C63&lt;='SOLLECITAZ NASCOSTO'!$P$10,IF(C63&lt;='SOLLECITAZ NASCOSTO'!$P$9,IF(C63&lt;='SOLLECITAZ NASCOSTO'!$P$8,IF(C63&lt;='SOLLECITAZ NASCOSTO'!$P$7,IF(C63&lt;='SOLLECITAZ NASCOSTO'!$P$6,IF(C63&lt;='SOLLECITAZ NASCOSTO'!$P$5,'SOLLECITAZ NASCOSTO'!$P$3,'SOLLECITAZ NASCOSTO'!$P$5),'SOLLECITAZ NASCOSTO'!$P$5),'SOLLECITAZ NASCOSTO'!$P$7),'SOLLECITAZ NASCOSTO'!$P$8),'SOLLECITAZ NASCOSTO'!$P$9),'SOLLECITAZ NASCOSTO'!$P$10),'SOLLECITAZ NASCOSTO'!$P$11),'SOLLECITAZ NASCOSTO'!$P$12))/IF(C63&lt;='SOLLECITAZ NASCOSTO'!$P$12,IF(C63&lt;='SOLLECITAZ NASCOSTO'!$P$11,IF(C63&lt;='SOLLECITAZ NASCOSTO'!$P$10,IF(C63&lt;='SOLLECITAZ NASCOSTO'!$P$9,IF(C63&lt;='SOLLECITAZ NASCOSTO'!$P$8,IF(C63&lt;='SOLLECITAZ NASCOSTO'!$P$7,IF(C63&lt;='SOLLECITAZ NASCOSTO'!$P$6,IF(C63&lt;='SOLLECITAZ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slu'!$C$112)+IF(C63&lt;='SOLLECITAZ NASCOSTO'!$P$12,IF(C63&lt;='SOLLECITAZ NASCOSTO'!$P$11,IF(C63&lt;='SOLLECITAZ NASCOSTO'!$P$10,IF(C63&lt;='SOLLECITAZ NASCOSTO'!$P$9,IF(C63&lt;='SOLLECITAZ NASCOSTO'!$P$8,IF(C63&lt;='SOLLECITAZ NASCOSTO'!$P$7,IF(C63&lt;='SOLLECITAZ NASCOSTO'!$P$6,IF(C63&lt;='SOLLECITAZ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5.6361810103505823</v>
      </c>
      <c r="O64" s="42">
        <f>IF(C64&lt;='SOLLECITAZ NASCOSTO'!$P$12,IF(C64&lt;='SOLLECITAZ NASCOSTO'!$P$11,IF(C64&lt;='SOLLECITAZ NASCOSTO'!$P$10,IF(C64&lt;='SOLLECITAZ NASCOSTO'!$P$9,IF(C64&lt;='SOLLECITAZ NASCOSTO'!$P$8,IF(C64&lt;='SOLLECITAZ NASCOSTO'!$P$7,IF(C64&lt;='SOLLECITAZ NASCOSTO'!$P$6,IF(C64&lt;='SOLLECITAZ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slu'!$G$111),55555)*(C64-C63)/IF(C64&lt;='SOLLECITAZ NASCOSTO'!$P$12,IF(C64&lt;='SOLLECITAZ NASCOSTO'!$P$11,IF(C64&lt;='SOLLECITAZ NASCOSTO'!$P$10,IF(C64&lt;='SOLLECITAZ NASCOSTO'!$P$9,IF(C64&lt;='SOLLECITAZ NASCOSTO'!$P$8,IF(C64&lt;='SOLLECITAZ NASCOSTO'!$P$7,IF(C64&lt;='SOLLECITAZ NASCOSTO'!$P$6,IF(C64&lt;='SOLLECITAZ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4" s="42">
        <f t="shared" si="21"/>
        <v>3.1000000000000008E-5</v>
      </c>
      <c r="Q64" s="42">
        <f t="shared" si="18"/>
        <v>1</v>
      </c>
      <c r="R64" s="441">
        <f t="shared" si="10"/>
        <v>0.21923076923076923</v>
      </c>
      <c r="S64" s="46">
        <f t="shared" si="19"/>
        <v>0.21923076923076923</v>
      </c>
      <c r="T64" s="211">
        <f t="shared" si="13"/>
        <v>3.1307692307692307</v>
      </c>
      <c r="U64" s="46">
        <f t="shared" si="16"/>
        <v>1.0773433475058529</v>
      </c>
      <c r="V64" s="46">
        <f t="shared" si="17"/>
        <v>-0.11193053111487075</v>
      </c>
      <c r="W64" s="496"/>
    </row>
    <row r="65" spans="1:27" s="428" customFormat="1" x14ac:dyDescent="0.25">
      <c r="A65" s="589">
        <f t="shared" si="11"/>
        <v>7.9326923074773958E-7</v>
      </c>
      <c r="B65" s="32">
        <f t="shared" si="22"/>
        <v>33</v>
      </c>
      <c r="C65" s="441">
        <f>'SOLLECITAZ NASCOSTO'!$D$6/'SOLLECITAZ NASCOSTO'!$B$448*'SOLLECITAZ NASCOSTO'!B65</f>
        <v>0.22608173076923077</v>
      </c>
      <c r="D65" s="441">
        <f t="shared" si="14"/>
        <v>0.30000079326923074</v>
      </c>
      <c r="E65" s="441">
        <f t="shared" si="4"/>
        <v>7.9326923074773958E-7</v>
      </c>
      <c r="F65" s="441">
        <f t="shared" si="5"/>
        <v>0.30000079326923074</v>
      </c>
      <c r="G65" s="441">
        <f t="shared" si="6"/>
        <v>4.5000237981083858E-2</v>
      </c>
      <c r="H65" s="441">
        <f t="shared" si="23"/>
        <v>0</v>
      </c>
      <c r="I65" s="441">
        <v>0</v>
      </c>
      <c r="J65" s="131">
        <f t="shared" si="24"/>
        <v>0.15000039663461537</v>
      </c>
      <c r="K65" s="130">
        <f t="shared" si="9"/>
        <v>2.2500178486048873E-3</v>
      </c>
      <c r="L65" s="42">
        <f t="shared" si="25"/>
        <v>1.1164512348031881</v>
      </c>
      <c r="M65" s="42">
        <f t="shared" si="26"/>
        <v>-0.11944533226821302</v>
      </c>
      <c r="N65" s="42">
        <f>(IF(C64&lt;='SOLLECITAZ NASCOSTO'!$P$12,IF(C64&lt;='SOLLECITAZ NASCOSTO'!$P$11,IF(C64&lt;='SOLLECITAZ NASCOSTO'!$P$10,IF(C64&lt;='SOLLECITAZ NASCOSTO'!$P$9,IF(C64&lt;='SOLLECITAZ NASCOSTO'!$P$8,IF(C64&lt;='SOLLECITAZ NASCOSTO'!$P$7,IF(C64&lt;='SOLLECITAZ NASCOSTO'!$P$6,IF(C64&lt;='SOLLECITAZ NASCOSTO'!$P$5,'Progetto del paramento slu'!$G$105,'Progetto del paramento slu'!$G$106),'Progetto del paramento slu'!$G$107),'Progetto del paramento slu'!$G$108),'Progetto del paramento slu'!$G$109),'Progetto del paramento slu'!$G$110),'Progetto del paramento slu'!$G$111),'Progetto del paramento slu'!$G$112),55555)-IF(C64&lt;='SOLLECITAZ NASCOSTO'!$P$12,IF(C64&lt;='SOLLECITAZ NASCOSTO'!$P$11,IF(C64&lt;='SOLLECITAZ NASCOSTO'!$P$10,IF(C64&lt;='SOLLECITAZ NASCOSTO'!$P$9,IF(C64&lt;='SOLLECITAZ NASCOSTO'!$P$8,IF(C64&lt;='SOLLECITAZ NASCOSTO'!$P$7,IF(C64&lt;='SOLLECITAZ NASCOSTO'!$P$6,IF(C64&lt;='SOLLECITAZ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slu'!$G$112))*(C64-IF(C64&lt;='SOLLECITAZ NASCOSTO'!$P$12,IF(C64&lt;='SOLLECITAZ NASCOSTO'!$P$11,IF(C64&lt;='SOLLECITAZ NASCOSTO'!$P$10,IF(C64&lt;='SOLLECITAZ NASCOSTO'!$P$9,IF(C64&lt;='SOLLECITAZ NASCOSTO'!$P$8,IF(C64&lt;='SOLLECITAZ NASCOSTO'!$P$7,IF(C64&lt;='SOLLECITAZ NASCOSTO'!$P$6,IF(C64&lt;='SOLLECITAZ NASCOSTO'!$P$5,'SOLLECITAZ NASCOSTO'!$P$3,'SOLLECITAZ NASCOSTO'!$P$5),'SOLLECITAZ NASCOSTO'!$P$5),'SOLLECITAZ NASCOSTO'!$P$7),'SOLLECITAZ NASCOSTO'!$P$8),'SOLLECITAZ NASCOSTO'!$P$9),'SOLLECITAZ NASCOSTO'!$P$10),'SOLLECITAZ NASCOSTO'!$P$11),'SOLLECITAZ NASCOSTO'!$P$12))/IF(C64&lt;='SOLLECITAZ NASCOSTO'!$P$12,IF(C64&lt;='SOLLECITAZ NASCOSTO'!$P$11,IF(C64&lt;='SOLLECITAZ NASCOSTO'!$P$10,IF(C64&lt;='SOLLECITAZ NASCOSTO'!$P$9,IF(C64&lt;='SOLLECITAZ NASCOSTO'!$P$8,IF(C64&lt;='SOLLECITAZ NASCOSTO'!$P$7,IF(C64&lt;='SOLLECITAZ NASCOSTO'!$P$6,IF(C64&lt;='SOLLECITAZ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slu'!$C$112)+IF(C64&lt;='SOLLECITAZ NASCOSTO'!$P$12,IF(C64&lt;='SOLLECITAZ NASCOSTO'!$P$11,IF(C64&lt;='SOLLECITAZ NASCOSTO'!$P$10,IF(C64&lt;='SOLLECITAZ NASCOSTO'!$P$9,IF(C64&lt;='SOLLECITAZ NASCOSTO'!$P$8,IF(C64&lt;='SOLLECITAZ NASCOSTO'!$P$7,IF(C64&lt;='SOLLECITAZ NASCOSTO'!$P$6,IF(C64&lt;='SOLLECITAZ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5.6843132293429353</v>
      </c>
      <c r="O65" s="42">
        <f>IF(C65&lt;='SOLLECITAZ NASCOSTO'!$P$12,IF(C65&lt;='SOLLECITAZ NASCOSTO'!$P$11,IF(C65&lt;='SOLLECITAZ NASCOSTO'!$P$10,IF(C65&lt;='SOLLECITAZ NASCOSTO'!$P$9,IF(C65&lt;='SOLLECITAZ NASCOSTO'!$P$8,IF(C65&lt;='SOLLECITAZ NASCOSTO'!$P$7,IF(C65&lt;='SOLLECITAZ NASCOSTO'!$P$6,IF(C65&lt;='SOLLECITAZ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slu'!$G$111),55555)*(C65-C64)/IF(C65&lt;='SOLLECITAZ NASCOSTO'!$P$12,IF(C65&lt;='SOLLECITAZ NASCOSTO'!$P$11,IF(C65&lt;='SOLLECITAZ NASCOSTO'!$P$10,IF(C65&lt;='SOLLECITAZ NASCOSTO'!$P$9,IF(C65&lt;='SOLLECITAZ NASCOSTO'!$P$8,IF(C65&lt;='SOLLECITAZ NASCOSTO'!$P$7,IF(C65&lt;='SOLLECITAZ NASCOSTO'!$P$6,IF(C65&lt;='SOLLECITAZ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5" s="42">
        <f t="shared" si="21"/>
        <v>3.2000000000000005E-5</v>
      </c>
      <c r="Q65" s="42">
        <f t="shared" si="18"/>
        <v>1</v>
      </c>
      <c r="R65" s="441">
        <f t="shared" si="10"/>
        <v>0.22608173076923077</v>
      </c>
      <c r="S65" s="46">
        <f t="shared" si="19"/>
        <v>0.22608173076923077</v>
      </c>
      <c r="T65" s="211">
        <f t="shared" si="13"/>
        <v>3.1239182692307694</v>
      </c>
      <c r="U65" s="46">
        <f t="shared" si="16"/>
        <v>1.1164512348031881</v>
      </c>
      <c r="V65" s="46">
        <f t="shared" si="17"/>
        <v>-0.11944533226821302</v>
      </c>
      <c r="W65" s="496"/>
    </row>
    <row r="66" spans="1:27" s="428" customFormat="1" x14ac:dyDescent="0.25">
      <c r="A66" s="589">
        <f t="shared" si="11"/>
        <v>8.1730769230237144E-7</v>
      </c>
      <c r="B66" s="32">
        <f t="shared" si="22"/>
        <v>34</v>
      </c>
      <c r="C66" s="441">
        <f>'SOLLECITAZ NASCOSTO'!$D$6/'SOLLECITAZ NASCOSTO'!$B$448*'SOLLECITAZ NASCOSTO'!B66</f>
        <v>0.23293269230769231</v>
      </c>
      <c r="D66" s="441">
        <f t="shared" si="14"/>
        <v>0.30000081730769229</v>
      </c>
      <c r="E66" s="441">
        <f t="shared" si="4"/>
        <v>8.1730769230237144E-7</v>
      </c>
      <c r="F66" s="441">
        <f t="shared" si="5"/>
        <v>0.30000081730769229</v>
      </c>
      <c r="G66" s="441">
        <f t="shared" si="6"/>
        <v>4.5000245192641682E-2</v>
      </c>
      <c r="H66" s="441">
        <f t="shared" si="23"/>
        <v>0</v>
      </c>
      <c r="I66" s="441">
        <v>0</v>
      </c>
      <c r="J66" s="131">
        <f t="shared" si="24"/>
        <v>0.15000040865384615</v>
      </c>
      <c r="K66" s="130">
        <f t="shared" si="9"/>
        <v>2.2500183894731758E-3</v>
      </c>
      <c r="L66" s="42">
        <f t="shared" si="25"/>
        <v>1.1558888740816007</v>
      </c>
      <c r="M66" s="42">
        <f t="shared" si="26"/>
        <v>-0.12722918961234964</v>
      </c>
      <c r="N66" s="42">
        <f>(IF(C65&lt;='SOLLECITAZ NASCOSTO'!$P$12,IF(C65&lt;='SOLLECITAZ NASCOSTO'!$P$11,IF(C65&lt;='SOLLECITAZ NASCOSTO'!$P$10,IF(C65&lt;='SOLLECITAZ NASCOSTO'!$P$9,IF(C65&lt;='SOLLECITAZ NASCOSTO'!$P$8,IF(C65&lt;='SOLLECITAZ NASCOSTO'!$P$7,IF(C65&lt;='SOLLECITAZ NASCOSTO'!$P$6,IF(C65&lt;='SOLLECITAZ NASCOSTO'!$P$5,'Progetto del paramento slu'!$G$105,'Progetto del paramento slu'!$G$106),'Progetto del paramento slu'!$G$107),'Progetto del paramento slu'!$G$108),'Progetto del paramento slu'!$G$109),'Progetto del paramento slu'!$G$110),'Progetto del paramento slu'!$G$111),'Progetto del paramento slu'!$G$112),55555)-IF(C65&lt;='SOLLECITAZ NASCOSTO'!$P$12,IF(C65&lt;='SOLLECITAZ NASCOSTO'!$P$11,IF(C65&lt;='SOLLECITAZ NASCOSTO'!$P$10,IF(C65&lt;='SOLLECITAZ NASCOSTO'!$P$9,IF(C65&lt;='SOLLECITAZ NASCOSTO'!$P$8,IF(C65&lt;='SOLLECITAZ NASCOSTO'!$P$7,IF(C65&lt;='SOLLECITAZ NASCOSTO'!$P$6,IF(C65&lt;='SOLLECITAZ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slu'!$G$112))*(C65-IF(C65&lt;='SOLLECITAZ NASCOSTO'!$P$12,IF(C65&lt;='SOLLECITAZ NASCOSTO'!$P$11,IF(C65&lt;='SOLLECITAZ NASCOSTO'!$P$10,IF(C65&lt;='SOLLECITAZ NASCOSTO'!$P$9,IF(C65&lt;='SOLLECITAZ NASCOSTO'!$P$8,IF(C65&lt;='SOLLECITAZ NASCOSTO'!$P$7,IF(C65&lt;='SOLLECITAZ NASCOSTO'!$P$6,IF(C65&lt;='SOLLECITAZ NASCOSTO'!$P$5,'SOLLECITAZ NASCOSTO'!$P$3,'SOLLECITAZ NASCOSTO'!$P$5),'SOLLECITAZ NASCOSTO'!$P$5),'SOLLECITAZ NASCOSTO'!$P$7),'SOLLECITAZ NASCOSTO'!$P$8),'SOLLECITAZ NASCOSTO'!$P$9),'SOLLECITAZ NASCOSTO'!$P$10),'SOLLECITAZ NASCOSTO'!$P$11),'SOLLECITAZ NASCOSTO'!$P$12))/IF(C65&lt;='SOLLECITAZ NASCOSTO'!$P$12,IF(C65&lt;='SOLLECITAZ NASCOSTO'!$P$11,IF(C65&lt;='SOLLECITAZ NASCOSTO'!$P$10,IF(C65&lt;='SOLLECITAZ NASCOSTO'!$P$9,IF(C65&lt;='SOLLECITAZ NASCOSTO'!$P$8,IF(C65&lt;='SOLLECITAZ NASCOSTO'!$P$7,IF(C65&lt;='SOLLECITAZ NASCOSTO'!$P$6,IF(C65&lt;='SOLLECITAZ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slu'!$C$112)+IF(C65&lt;='SOLLECITAZ NASCOSTO'!$P$12,IF(C65&lt;='SOLLECITAZ NASCOSTO'!$P$11,IF(C65&lt;='SOLLECITAZ NASCOSTO'!$P$10,IF(C65&lt;='SOLLECITAZ NASCOSTO'!$P$9,IF(C65&lt;='SOLLECITAZ NASCOSTO'!$P$8,IF(C65&lt;='SOLLECITAZ NASCOSTO'!$P$7,IF(C65&lt;='SOLLECITAZ NASCOSTO'!$P$6,IF(C65&lt;='SOLLECITAZ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5.7324454483352874</v>
      </c>
      <c r="O66" s="42">
        <f>IF(C66&lt;='SOLLECITAZ NASCOSTO'!$P$12,IF(C66&lt;='SOLLECITAZ NASCOSTO'!$P$11,IF(C66&lt;='SOLLECITAZ NASCOSTO'!$P$10,IF(C66&lt;='SOLLECITAZ NASCOSTO'!$P$9,IF(C66&lt;='SOLLECITAZ NASCOSTO'!$P$8,IF(C66&lt;='SOLLECITAZ NASCOSTO'!$P$7,IF(C66&lt;='SOLLECITAZ NASCOSTO'!$P$6,IF(C66&lt;='SOLLECITAZ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slu'!$G$111),55555)*(C66-C65)/IF(C66&lt;='SOLLECITAZ NASCOSTO'!$P$12,IF(C66&lt;='SOLLECITAZ NASCOSTO'!$P$11,IF(C66&lt;='SOLLECITAZ NASCOSTO'!$P$10,IF(C66&lt;='SOLLECITAZ NASCOSTO'!$P$9,IF(C66&lt;='SOLLECITAZ NASCOSTO'!$P$8,IF(C66&lt;='SOLLECITAZ NASCOSTO'!$P$7,IF(C66&lt;='SOLLECITAZ NASCOSTO'!$P$6,IF(C66&lt;='SOLLECITAZ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6" s="42">
        <f t="shared" si="21"/>
        <v>3.3000000000000003E-5</v>
      </c>
      <c r="Q66" s="42">
        <f t="shared" si="18"/>
        <v>1</v>
      </c>
      <c r="R66" s="441">
        <f t="shared" si="10"/>
        <v>0.23293269230769231</v>
      </c>
      <c r="S66" s="46">
        <f t="shared" si="19"/>
        <v>0.23293269230769231</v>
      </c>
      <c r="T66" s="211">
        <f t="shared" si="13"/>
        <v>3.1170673076923077</v>
      </c>
      <c r="U66" s="46">
        <f t="shared" si="16"/>
        <v>1.1558888740816007</v>
      </c>
      <c r="V66" s="46">
        <f t="shared" si="17"/>
        <v>-0.12722918961234964</v>
      </c>
      <c r="W66" s="496"/>
    </row>
    <row r="67" spans="1:27" s="428" customFormat="1" x14ac:dyDescent="0.25">
      <c r="A67" s="589">
        <f t="shared" si="11"/>
        <v>8.4134615380149214E-7</v>
      </c>
      <c r="B67" s="32">
        <f t="shared" si="22"/>
        <v>35</v>
      </c>
      <c r="C67" s="441">
        <f>'SOLLECITAZ NASCOSTO'!$D$6/'SOLLECITAZ NASCOSTO'!$B$448*'SOLLECITAZ NASCOSTO'!B67</f>
        <v>0.23978365384615385</v>
      </c>
      <c r="D67" s="441">
        <f t="shared" si="14"/>
        <v>0.30000084134615379</v>
      </c>
      <c r="E67" s="441">
        <f t="shared" si="4"/>
        <v>8.4134615380149214E-7</v>
      </c>
      <c r="F67" s="441">
        <f t="shared" si="5"/>
        <v>0.30000084134615379</v>
      </c>
      <c r="G67" s="441">
        <f t="shared" si="6"/>
        <v>4.5000252404200074E-2</v>
      </c>
      <c r="H67" s="441">
        <f t="shared" si="23"/>
        <v>0</v>
      </c>
      <c r="I67" s="441">
        <v>0</v>
      </c>
      <c r="J67" s="131">
        <f t="shared" si="24"/>
        <v>0.15000042067307692</v>
      </c>
      <c r="K67" s="130">
        <f t="shared" si="9"/>
        <v>2.2500189303415507E-3</v>
      </c>
      <c r="L67" s="42">
        <f t="shared" si="25"/>
        <v>1.1956562653410907</v>
      </c>
      <c r="M67" s="42">
        <f t="shared" si="26"/>
        <v>-0.13528436226542015</v>
      </c>
      <c r="N67" s="42">
        <f>(IF(C66&lt;='SOLLECITAZ NASCOSTO'!$P$12,IF(C66&lt;='SOLLECITAZ NASCOSTO'!$P$11,IF(C66&lt;='SOLLECITAZ NASCOSTO'!$P$10,IF(C66&lt;='SOLLECITAZ NASCOSTO'!$P$9,IF(C66&lt;='SOLLECITAZ NASCOSTO'!$P$8,IF(C66&lt;='SOLLECITAZ NASCOSTO'!$P$7,IF(C66&lt;='SOLLECITAZ NASCOSTO'!$P$6,IF(C66&lt;='SOLLECITAZ NASCOSTO'!$P$5,'Progetto del paramento slu'!$G$105,'Progetto del paramento slu'!$G$106),'Progetto del paramento slu'!$G$107),'Progetto del paramento slu'!$G$108),'Progetto del paramento slu'!$G$109),'Progetto del paramento slu'!$G$110),'Progetto del paramento slu'!$G$111),'Progetto del paramento slu'!$G$112),55555)-IF(C66&lt;='SOLLECITAZ NASCOSTO'!$P$12,IF(C66&lt;='SOLLECITAZ NASCOSTO'!$P$11,IF(C66&lt;='SOLLECITAZ NASCOSTO'!$P$10,IF(C66&lt;='SOLLECITAZ NASCOSTO'!$P$9,IF(C66&lt;='SOLLECITAZ NASCOSTO'!$P$8,IF(C66&lt;='SOLLECITAZ NASCOSTO'!$P$7,IF(C66&lt;='SOLLECITAZ NASCOSTO'!$P$6,IF(C66&lt;='SOLLECITAZ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slu'!$G$112))*(C66-IF(C66&lt;='SOLLECITAZ NASCOSTO'!$P$12,IF(C66&lt;='SOLLECITAZ NASCOSTO'!$P$11,IF(C66&lt;='SOLLECITAZ NASCOSTO'!$P$10,IF(C66&lt;='SOLLECITAZ NASCOSTO'!$P$9,IF(C66&lt;='SOLLECITAZ NASCOSTO'!$P$8,IF(C66&lt;='SOLLECITAZ NASCOSTO'!$P$7,IF(C66&lt;='SOLLECITAZ NASCOSTO'!$P$6,IF(C66&lt;='SOLLECITAZ NASCOSTO'!$P$5,'SOLLECITAZ NASCOSTO'!$P$3,'SOLLECITAZ NASCOSTO'!$P$5),'SOLLECITAZ NASCOSTO'!$P$5),'SOLLECITAZ NASCOSTO'!$P$7),'SOLLECITAZ NASCOSTO'!$P$8),'SOLLECITAZ NASCOSTO'!$P$9),'SOLLECITAZ NASCOSTO'!$P$10),'SOLLECITAZ NASCOSTO'!$P$11),'SOLLECITAZ NASCOSTO'!$P$12))/IF(C66&lt;='SOLLECITAZ NASCOSTO'!$P$12,IF(C66&lt;='SOLLECITAZ NASCOSTO'!$P$11,IF(C66&lt;='SOLLECITAZ NASCOSTO'!$P$10,IF(C66&lt;='SOLLECITAZ NASCOSTO'!$P$9,IF(C66&lt;='SOLLECITAZ NASCOSTO'!$P$8,IF(C66&lt;='SOLLECITAZ NASCOSTO'!$P$7,IF(C66&lt;='SOLLECITAZ NASCOSTO'!$P$6,IF(C66&lt;='SOLLECITAZ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slu'!$C$112)+IF(C66&lt;='SOLLECITAZ NASCOSTO'!$P$12,IF(C66&lt;='SOLLECITAZ NASCOSTO'!$P$11,IF(C66&lt;='SOLLECITAZ NASCOSTO'!$P$10,IF(C66&lt;='SOLLECITAZ NASCOSTO'!$P$9,IF(C66&lt;='SOLLECITAZ NASCOSTO'!$P$8,IF(C66&lt;='SOLLECITAZ NASCOSTO'!$P$7,IF(C66&lt;='SOLLECITAZ NASCOSTO'!$P$6,IF(C66&lt;='SOLLECITAZ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5.7805776673276394</v>
      </c>
      <c r="O67" s="42">
        <f>IF(C67&lt;='SOLLECITAZ NASCOSTO'!$P$12,IF(C67&lt;='SOLLECITAZ NASCOSTO'!$P$11,IF(C67&lt;='SOLLECITAZ NASCOSTO'!$P$10,IF(C67&lt;='SOLLECITAZ NASCOSTO'!$P$9,IF(C67&lt;='SOLLECITAZ NASCOSTO'!$P$8,IF(C67&lt;='SOLLECITAZ NASCOSTO'!$P$7,IF(C67&lt;='SOLLECITAZ NASCOSTO'!$P$6,IF(C67&lt;='SOLLECITAZ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slu'!$G$111),55555)*(C67-C66)/IF(C67&lt;='SOLLECITAZ NASCOSTO'!$P$12,IF(C67&lt;='SOLLECITAZ NASCOSTO'!$P$11,IF(C67&lt;='SOLLECITAZ NASCOSTO'!$P$10,IF(C67&lt;='SOLLECITAZ NASCOSTO'!$P$9,IF(C67&lt;='SOLLECITAZ NASCOSTO'!$P$8,IF(C67&lt;='SOLLECITAZ NASCOSTO'!$P$7,IF(C67&lt;='SOLLECITAZ NASCOSTO'!$P$6,IF(C67&lt;='SOLLECITAZ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7" s="42">
        <f t="shared" si="21"/>
        <v>3.4E-5</v>
      </c>
      <c r="Q67" s="42">
        <f t="shared" si="18"/>
        <v>1</v>
      </c>
      <c r="R67" s="441">
        <f t="shared" si="10"/>
        <v>0.23978365384615385</v>
      </c>
      <c r="S67" s="46">
        <f t="shared" si="19"/>
        <v>0.23978365384615385</v>
      </c>
      <c r="T67" s="211">
        <f t="shared" si="13"/>
        <v>3.1102163461538463</v>
      </c>
      <c r="U67" s="46">
        <f t="shared" si="16"/>
        <v>1.1956562653410907</v>
      </c>
      <c r="V67" s="46">
        <f t="shared" si="17"/>
        <v>-0.13528436226542015</v>
      </c>
      <c r="W67" s="496"/>
    </row>
    <row r="68" spans="1:27" s="428" customFormat="1" x14ac:dyDescent="0.25">
      <c r="A68" s="589">
        <f t="shared" si="11"/>
        <v>8.6538461535612399E-7</v>
      </c>
      <c r="B68" s="32">
        <f t="shared" si="22"/>
        <v>36</v>
      </c>
      <c r="C68" s="441">
        <f>'SOLLECITAZ NASCOSTO'!$D$6/'SOLLECITAZ NASCOSTO'!$B$448*'SOLLECITAZ NASCOSTO'!B68</f>
        <v>0.2466346153846154</v>
      </c>
      <c r="D68" s="441">
        <f t="shared" si="14"/>
        <v>0.30000086538461535</v>
      </c>
      <c r="E68" s="441">
        <f t="shared" si="4"/>
        <v>8.6538461535612399E-7</v>
      </c>
      <c r="F68" s="441">
        <f t="shared" si="5"/>
        <v>0.30000086538461535</v>
      </c>
      <c r="G68" s="441">
        <f t="shared" si="6"/>
        <v>4.5000259615759049E-2</v>
      </c>
      <c r="H68" s="441">
        <f t="shared" si="23"/>
        <v>0</v>
      </c>
      <c r="I68" s="441">
        <v>0</v>
      </c>
      <c r="J68" s="131">
        <f t="shared" si="24"/>
        <v>0.15000043269230767</v>
      </c>
      <c r="K68" s="130">
        <f t="shared" si="9"/>
        <v>2.2500194712100122E-3</v>
      </c>
      <c r="L68" s="42">
        <f t="shared" si="25"/>
        <v>1.2357534085816582</v>
      </c>
      <c r="M68" s="42">
        <f t="shared" si="26"/>
        <v>-0.14361310934556418</v>
      </c>
      <c r="N68" s="42">
        <f>(IF(C67&lt;='SOLLECITAZ NASCOSTO'!$P$12,IF(C67&lt;='SOLLECITAZ NASCOSTO'!$P$11,IF(C67&lt;='SOLLECITAZ NASCOSTO'!$P$10,IF(C67&lt;='SOLLECITAZ NASCOSTO'!$P$9,IF(C67&lt;='SOLLECITAZ NASCOSTO'!$P$8,IF(C67&lt;='SOLLECITAZ NASCOSTO'!$P$7,IF(C67&lt;='SOLLECITAZ NASCOSTO'!$P$6,IF(C67&lt;='SOLLECITAZ NASCOSTO'!$P$5,'Progetto del paramento slu'!$G$105,'Progetto del paramento slu'!$G$106),'Progetto del paramento slu'!$G$107),'Progetto del paramento slu'!$G$108),'Progetto del paramento slu'!$G$109),'Progetto del paramento slu'!$G$110),'Progetto del paramento slu'!$G$111),'Progetto del paramento slu'!$G$112),55555)-IF(C67&lt;='SOLLECITAZ NASCOSTO'!$P$12,IF(C67&lt;='SOLLECITAZ NASCOSTO'!$P$11,IF(C67&lt;='SOLLECITAZ NASCOSTO'!$P$10,IF(C67&lt;='SOLLECITAZ NASCOSTO'!$P$9,IF(C67&lt;='SOLLECITAZ NASCOSTO'!$P$8,IF(C67&lt;='SOLLECITAZ NASCOSTO'!$P$7,IF(C67&lt;='SOLLECITAZ NASCOSTO'!$P$6,IF(C67&lt;='SOLLECITAZ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slu'!$G$112))*(C67-IF(C67&lt;='SOLLECITAZ NASCOSTO'!$P$12,IF(C67&lt;='SOLLECITAZ NASCOSTO'!$P$11,IF(C67&lt;='SOLLECITAZ NASCOSTO'!$P$10,IF(C67&lt;='SOLLECITAZ NASCOSTO'!$P$9,IF(C67&lt;='SOLLECITAZ NASCOSTO'!$P$8,IF(C67&lt;='SOLLECITAZ NASCOSTO'!$P$7,IF(C67&lt;='SOLLECITAZ NASCOSTO'!$P$6,IF(C67&lt;='SOLLECITAZ NASCOSTO'!$P$5,'SOLLECITAZ NASCOSTO'!$P$3,'SOLLECITAZ NASCOSTO'!$P$5),'SOLLECITAZ NASCOSTO'!$P$5),'SOLLECITAZ NASCOSTO'!$P$7),'SOLLECITAZ NASCOSTO'!$P$8),'SOLLECITAZ NASCOSTO'!$P$9),'SOLLECITAZ NASCOSTO'!$P$10),'SOLLECITAZ NASCOSTO'!$P$11),'SOLLECITAZ NASCOSTO'!$P$12))/IF(C67&lt;='SOLLECITAZ NASCOSTO'!$P$12,IF(C67&lt;='SOLLECITAZ NASCOSTO'!$P$11,IF(C67&lt;='SOLLECITAZ NASCOSTO'!$P$10,IF(C67&lt;='SOLLECITAZ NASCOSTO'!$P$9,IF(C67&lt;='SOLLECITAZ NASCOSTO'!$P$8,IF(C67&lt;='SOLLECITAZ NASCOSTO'!$P$7,IF(C67&lt;='SOLLECITAZ NASCOSTO'!$P$6,IF(C67&lt;='SOLLECITAZ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slu'!$C$112)+IF(C67&lt;='SOLLECITAZ NASCOSTO'!$P$12,IF(C67&lt;='SOLLECITAZ NASCOSTO'!$P$11,IF(C67&lt;='SOLLECITAZ NASCOSTO'!$P$10,IF(C67&lt;='SOLLECITAZ NASCOSTO'!$P$9,IF(C67&lt;='SOLLECITAZ NASCOSTO'!$P$8,IF(C67&lt;='SOLLECITAZ NASCOSTO'!$P$7,IF(C67&lt;='SOLLECITAZ NASCOSTO'!$P$6,IF(C67&lt;='SOLLECITAZ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5.8287098863199915</v>
      </c>
      <c r="O68" s="42">
        <f>IF(C68&lt;='SOLLECITAZ NASCOSTO'!$P$12,IF(C68&lt;='SOLLECITAZ NASCOSTO'!$P$11,IF(C68&lt;='SOLLECITAZ NASCOSTO'!$P$10,IF(C68&lt;='SOLLECITAZ NASCOSTO'!$P$9,IF(C68&lt;='SOLLECITAZ NASCOSTO'!$P$8,IF(C68&lt;='SOLLECITAZ NASCOSTO'!$P$7,IF(C68&lt;='SOLLECITAZ NASCOSTO'!$P$6,IF(C68&lt;='SOLLECITAZ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slu'!$G$111),55555)*(C68-C67)/IF(C68&lt;='SOLLECITAZ NASCOSTO'!$P$12,IF(C68&lt;='SOLLECITAZ NASCOSTO'!$P$11,IF(C68&lt;='SOLLECITAZ NASCOSTO'!$P$10,IF(C68&lt;='SOLLECITAZ NASCOSTO'!$P$9,IF(C68&lt;='SOLLECITAZ NASCOSTO'!$P$8,IF(C68&lt;='SOLLECITAZ NASCOSTO'!$P$7,IF(C68&lt;='SOLLECITAZ NASCOSTO'!$P$6,IF(C68&lt;='SOLLECITAZ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8" s="42">
        <f t="shared" si="21"/>
        <v>3.4999999999999997E-5</v>
      </c>
      <c r="Q68" s="42">
        <f t="shared" si="18"/>
        <v>1</v>
      </c>
      <c r="R68" s="441">
        <f t="shared" si="10"/>
        <v>0.2466346153846154</v>
      </c>
      <c r="S68" s="46">
        <f t="shared" si="19"/>
        <v>0.2466346153846154</v>
      </c>
      <c r="T68" s="211">
        <f t="shared" si="13"/>
        <v>3.1033653846153846</v>
      </c>
      <c r="U68" s="46">
        <f t="shared" si="16"/>
        <v>1.2357534085816582</v>
      </c>
      <c r="V68" s="46">
        <f t="shared" si="17"/>
        <v>-0.14361310934556418</v>
      </c>
      <c r="W68" s="496"/>
    </row>
    <row r="69" spans="1:27" s="428" customFormat="1" x14ac:dyDescent="0.25">
      <c r="A69" s="589">
        <f t="shared" si="11"/>
        <v>8.8942307691075584E-7</v>
      </c>
      <c r="B69" s="32">
        <f t="shared" si="22"/>
        <v>37</v>
      </c>
      <c r="C69" s="441">
        <f>'SOLLECITAZ NASCOSTO'!$D$6/'SOLLECITAZ NASCOSTO'!$B$448*'SOLLECITAZ NASCOSTO'!B69</f>
        <v>0.25348557692307694</v>
      </c>
      <c r="D69" s="441">
        <f t="shared" si="14"/>
        <v>0.3000008894230769</v>
      </c>
      <c r="E69" s="441">
        <f t="shared" si="4"/>
        <v>8.8942307691075584E-7</v>
      </c>
      <c r="F69" s="441">
        <f t="shared" si="5"/>
        <v>0.3000008894230769</v>
      </c>
      <c r="G69" s="441">
        <f t="shared" si="6"/>
        <v>4.5000266827318607E-2</v>
      </c>
      <c r="H69" s="441">
        <f t="shared" si="23"/>
        <v>0</v>
      </c>
      <c r="I69" s="441">
        <v>0</v>
      </c>
      <c r="J69" s="131">
        <f t="shared" si="24"/>
        <v>0.15000044471153845</v>
      </c>
      <c r="K69" s="130">
        <f t="shared" si="9"/>
        <v>2.250020012078561E-3</v>
      </c>
      <c r="L69" s="42">
        <f t="shared" si="25"/>
        <v>1.2761803038033031</v>
      </c>
      <c r="M69" s="42">
        <f t="shared" si="26"/>
        <v>-0.15221768997092133</v>
      </c>
      <c r="N69" s="42">
        <f>(IF(C68&lt;='SOLLECITAZ NASCOSTO'!$P$12,IF(C68&lt;='SOLLECITAZ NASCOSTO'!$P$11,IF(C68&lt;='SOLLECITAZ NASCOSTO'!$P$10,IF(C68&lt;='SOLLECITAZ NASCOSTO'!$P$9,IF(C68&lt;='SOLLECITAZ NASCOSTO'!$P$8,IF(C68&lt;='SOLLECITAZ NASCOSTO'!$P$7,IF(C68&lt;='SOLLECITAZ NASCOSTO'!$P$6,IF(C68&lt;='SOLLECITAZ NASCOSTO'!$P$5,'Progetto del paramento slu'!$G$105,'Progetto del paramento slu'!$G$106),'Progetto del paramento slu'!$G$107),'Progetto del paramento slu'!$G$108),'Progetto del paramento slu'!$G$109),'Progetto del paramento slu'!$G$110),'Progetto del paramento slu'!$G$111),'Progetto del paramento slu'!$G$112),55555)-IF(C68&lt;='SOLLECITAZ NASCOSTO'!$P$12,IF(C68&lt;='SOLLECITAZ NASCOSTO'!$P$11,IF(C68&lt;='SOLLECITAZ NASCOSTO'!$P$10,IF(C68&lt;='SOLLECITAZ NASCOSTO'!$P$9,IF(C68&lt;='SOLLECITAZ NASCOSTO'!$P$8,IF(C68&lt;='SOLLECITAZ NASCOSTO'!$P$7,IF(C68&lt;='SOLLECITAZ NASCOSTO'!$P$6,IF(C68&lt;='SOLLECITAZ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slu'!$G$112))*(C68-IF(C68&lt;='SOLLECITAZ NASCOSTO'!$P$12,IF(C68&lt;='SOLLECITAZ NASCOSTO'!$P$11,IF(C68&lt;='SOLLECITAZ NASCOSTO'!$P$10,IF(C68&lt;='SOLLECITAZ NASCOSTO'!$P$9,IF(C68&lt;='SOLLECITAZ NASCOSTO'!$P$8,IF(C68&lt;='SOLLECITAZ NASCOSTO'!$P$7,IF(C68&lt;='SOLLECITAZ NASCOSTO'!$P$6,IF(C68&lt;='SOLLECITAZ NASCOSTO'!$P$5,'SOLLECITAZ NASCOSTO'!$P$3,'SOLLECITAZ NASCOSTO'!$P$5),'SOLLECITAZ NASCOSTO'!$P$5),'SOLLECITAZ NASCOSTO'!$P$7),'SOLLECITAZ NASCOSTO'!$P$8),'SOLLECITAZ NASCOSTO'!$P$9),'SOLLECITAZ NASCOSTO'!$P$10),'SOLLECITAZ NASCOSTO'!$P$11),'SOLLECITAZ NASCOSTO'!$P$12))/IF(C68&lt;='SOLLECITAZ NASCOSTO'!$P$12,IF(C68&lt;='SOLLECITAZ NASCOSTO'!$P$11,IF(C68&lt;='SOLLECITAZ NASCOSTO'!$P$10,IF(C68&lt;='SOLLECITAZ NASCOSTO'!$P$9,IF(C68&lt;='SOLLECITAZ NASCOSTO'!$P$8,IF(C68&lt;='SOLLECITAZ NASCOSTO'!$P$7,IF(C68&lt;='SOLLECITAZ NASCOSTO'!$P$6,IF(C68&lt;='SOLLECITAZ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slu'!$C$112)+IF(C68&lt;='SOLLECITAZ NASCOSTO'!$P$12,IF(C68&lt;='SOLLECITAZ NASCOSTO'!$P$11,IF(C68&lt;='SOLLECITAZ NASCOSTO'!$P$10,IF(C68&lt;='SOLLECITAZ NASCOSTO'!$P$9,IF(C68&lt;='SOLLECITAZ NASCOSTO'!$P$8,IF(C68&lt;='SOLLECITAZ NASCOSTO'!$P$7,IF(C68&lt;='SOLLECITAZ NASCOSTO'!$P$6,IF(C68&lt;='SOLLECITAZ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5.8768421053123445</v>
      </c>
      <c r="O69" s="42">
        <f>IF(C69&lt;='SOLLECITAZ NASCOSTO'!$P$12,IF(C69&lt;='SOLLECITAZ NASCOSTO'!$P$11,IF(C69&lt;='SOLLECITAZ NASCOSTO'!$P$10,IF(C69&lt;='SOLLECITAZ NASCOSTO'!$P$9,IF(C69&lt;='SOLLECITAZ NASCOSTO'!$P$8,IF(C69&lt;='SOLLECITAZ NASCOSTO'!$P$7,IF(C69&lt;='SOLLECITAZ NASCOSTO'!$P$6,IF(C69&lt;='SOLLECITAZ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slu'!$G$111),55555)*(C69-C68)/IF(C69&lt;='SOLLECITAZ NASCOSTO'!$P$12,IF(C69&lt;='SOLLECITAZ NASCOSTO'!$P$11,IF(C69&lt;='SOLLECITAZ NASCOSTO'!$P$10,IF(C69&lt;='SOLLECITAZ NASCOSTO'!$P$9,IF(C69&lt;='SOLLECITAZ NASCOSTO'!$P$8,IF(C69&lt;='SOLLECITAZ NASCOSTO'!$P$7,IF(C69&lt;='SOLLECITAZ NASCOSTO'!$P$6,IF(C69&lt;='SOLLECITAZ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69" s="42">
        <f t="shared" si="21"/>
        <v>3.5999999999999994E-5</v>
      </c>
      <c r="Q69" s="42">
        <f t="shared" si="18"/>
        <v>1</v>
      </c>
      <c r="R69" s="441">
        <f t="shared" si="10"/>
        <v>0.25348557692307694</v>
      </c>
      <c r="S69" s="46">
        <f t="shared" si="19"/>
        <v>0.25348557692307694</v>
      </c>
      <c r="T69" s="211">
        <f t="shared" si="13"/>
        <v>3.0965144230769233</v>
      </c>
      <c r="U69" s="46">
        <f t="shared" si="16"/>
        <v>1.2761803038033031</v>
      </c>
      <c r="V69" s="46">
        <f t="shared" si="17"/>
        <v>-0.15221768997092133</v>
      </c>
      <c r="W69" s="496"/>
    </row>
    <row r="70" spans="1:27" s="428" customFormat="1" x14ac:dyDescent="0.25">
      <c r="A70" s="589">
        <f t="shared" si="11"/>
        <v>9.1346153846538769E-7</v>
      </c>
      <c r="B70" s="32">
        <f t="shared" si="22"/>
        <v>38</v>
      </c>
      <c r="C70" s="441">
        <f>'SOLLECITAZ NASCOSTO'!$D$6/'SOLLECITAZ NASCOSTO'!$B$448*'SOLLECITAZ NASCOSTO'!B70</f>
        <v>0.26033653846153848</v>
      </c>
      <c r="D70" s="441">
        <f t="shared" si="14"/>
        <v>0.30000091346153845</v>
      </c>
      <c r="E70" s="441">
        <f t="shared" si="4"/>
        <v>9.1346153846538769E-7</v>
      </c>
      <c r="F70" s="441">
        <f t="shared" si="5"/>
        <v>0.30000091346153845</v>
      </c>
      <c r="G70" s="441">
        <f t="shared" si="6"/>
        <v>4.5000274038878747E-2</v>
      </c>
      <c r="H70" s="441">
        <f t="shared" si="23"/>
        <v>0</v>
      </c>
      <c r="I70" s="441">
        <v>0</v>
      </c>
      <c r="J70" s="131">
        <f t="shared" si="24"/>
        <v>0.15000045673076925</v>
      </c>
      <c r="K70" s="130">
        <f t="shared" si="9"/>
        <v>2.2500205529471964E-3</v>
      </c>
      <c r="L70" s="42">
        <f t="shared" si="25"/>
        <v>1.3169369510060254</v>
      </c>
      <c r="M70" s="42">
        <f t="shared" si="26"/>
        <v>-0.16110036325963117</v>
      </c>
      <c r="N70" s="42">
        <f>(IF(C69&lt;='SOLLECITAZ NASCOSTO'!$P$12,IF(C69&lt;='SOLLECITAZ NASCOSTO'!$P$11,IF(C69&lt;='SOLLECITAZ NASCOSTO'!$P$10,IF(C69&lt;='SOLLECITAZ NASCOSTO'!$P$9,IF(C69&lt;='SOLLECITAZ NASCOSTO'!$P$8,IF(C69&lt;='SOLLECITAZ NASCOSTO'!$P$7,IF(C69&lt;='SOLLECITAZ NASCOSTO'!$P$6,IF(C69&lt;='SOLLECITAZ NASCOSTO'!$P$5,'Progetto del paramento slu'!$G$105,'Progetto del paramento slu'!$G$106),'Progetto del paramento slu'!$G$107),'Progetto del paramento slu'!$G$108),'Progetto del paramento slu'!$G$109),'Progetto del paramento slu'!$G$110),'Progetto del paramento slu'!$G$111),'Progetto del paramento slu'!$G$112),55555)-IF(C69&lt;='SOLLECITAZ NASCOSTO'!$P$12,IF(C69&lt;='SOLLECITAZ NASCOSTO'!$P$11,IF(C69&lt;='SOLLECITAZ NASCOSTO'!$P$10,IF(C69&lt;='SOLLECITAZ NASCOSTO'!$P$9,IF(C69&lt;='SOLLECITAZ NASCOSTO'!$P$8,IF(C69&lt;='SOLLECITAZ NASCOSTO'!$P$7,IF(C69&lt;='SOLLECITAZ NASCOSTO'!$P$6,IF(C69&lt;='SOLLECITAZ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slu'!$G$112))*(C69-IF(C69&lt;='SOLLECITAZ NASCOSTO'!$P$12,IF(C69&lt;='SOLLECITAZ NASCOSTO'!$P$11,IF(C69&lt;='SOLLECITAZ NASCOSTO'!$P$10,IF(C69&lt;='SOLLECITAZ NASCOSTO'!$P$9,IF(C69&lt;='SOLLECITAZ NASCOSTO'!$P$8,IF(C69&lt;='SOLLECITAZ NASCOSTO'!$P$7,IF(C69&lt;='SOLLECITAZ NASCOSTO'!$P$6,IF(C69&lt;='SOLLECITAZ NASCOSTO'!$P$5,'SOLLECITAZ NASCOSTO'!$P$3,'SOLLECITAZ NASCOSTO'!$P$5),'SOLLECITAZ NASCOSTO'!$P$5),'SOLLECITAZ NASCOSTO'!$P$7),'SOLLECITAZ NASCOSTO'!$P$8),'SOLLECITAZ NASCOSTO'!$P$9),'SOLLECITAZ NASCOSTO'!$P$10),'SOLLECITAZ NASCOSTO'!$P$11),'SOLLECITAZ NASCOSTO'!$P$12))/IF(C69&lt;='SOLLECITAZ NASCOSTO'!$P$12,IF(C69&lt;='SOLLECITAZ NASCOSTO'!$P$11,IF(C69&lt;='SOLLECITAZ NASCOSTO'!$P$10,IF(C69&lt;='SOLLECITAZ NASCOSTO'!$P$9,IF(C69&lt;='SOLLECITAZ NASCOSTO'!$P$8,IF(C69&lt;='SOLLECITAZ NASCOSTO'!$P$7,IF(C69&lt;='SOLLECITAZ NASCOSTO'!$P$6,IF(C69&lt;='SOLLECITAZ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slu'!$C$112)+IF(C69&lt;='SOLLECITAZ NASCOSTO'!$P$12,IF(C69&lt;='SOLLECITAZ NASCOSTO'!$P$11,IF(C69&lt;='SOLLECITAZ NASCOSTO'!$P$10,IF(C69&lt;='SOLLECITAZ NASCOSTO'!$P$9,IF(C69&lt;='SOLLECITAZ NASCOSTO'!$P$8,IF(C69&lt;='SOLLECITAZ NASCOSTO'!$P$7,IF(C69&lt;='SOLLECITAZ NASCOSTO'!$P$6,IF(C69&lt;='SOLLECITAZ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5.9249743243046975</v>
      </c>
      <c r="O70" s="42">
        <f>IF(C70&lt;='SOLLECITAZ NASCOSTO'!$P$12,IF(C70&lt;='SOLLECITAZ NASCOSTO'!$P$11,IF(C70&lt;='SOLLECITAZ NASCOSTO'!$P$10,IF(C70&lt;='SOLLECITAZ NASCOSTO'!$P$9,IF(C70&lt;='SOLLECITAZ NASCOSTO'!$P$8,IF(C70&lt;='SOLLECITAZ NASCOSTO'!$P$7,IF(C70&lt;='SOLLECITAZ NASCOSTO'!$P$6,IF(C70&lt;='SOLLECITAZ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slu'!$G$111),55555)*(C70-C69)/IF(C70&lt;='SOLLECITAZ NASCOSTO'!$P$12,IF(C70&lt;='SOLLECITAZ NASCOSTO'!$P$11,IF(C70&lt;='SOLLECITAZ NASCOSTO'!$P$10,IF(C70&lt;='SOLLECITAZ NASCOSTO'!$P$9,IF(C70&lt;='SOLLECITAZ NASCOSTO'!$P$8,IF(C70&lt;='SOLLECITAZ NASCOSTO'!$P$7,IF(C70&lt;='SOLLECITAZ NASCOSTO'!$P$6,IF(C70&lt;='SOLLECITAZ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0" s="42">
        <f t="shared" si="21"/>
        <v>3.6999999999999991E-5</v>
      </c>
      <c r="Q70" s="42">
        <f t="shared" si="18"/>
        <v>1</v>
      </c>
      <c r="R70" s="441">
        <f t="shared" si="10"/>
        <v>0.26033653846153848</v>
      </c>
      <c r="S70" s="46">
        <f t="shared" si="19"/>
        <v>0.26033653846153848</v>
      </c>
      <c r="T70" s="211">
        <f t="shared" si="13"/>
        <v>3.0896634615384615</v>
      </c>
      <c r="U70" s="46">
        <f t="shared" si="16"/>
        <v>1.3169369510060254</v>
      </c>
      <c r="V70" s="46">
        <f t="shared" si="17"/>
        <v>-0.16110036325963117</v>
      </c>
      <c r="W70" s="496"/>
    </row>
    <row r="71" spans="1:27" s="428" customFormat="1" x14ac:dyDescent="0.25">
      <c r="A71" s="589">
        <f t="shared" si="11"/>
        <v>9.3749999996450839E-7</v>
      </c>
      <c r="B71" s="32">
        <f t="shared" si="22"/>
        <v>39</v>
      </c>
      <c r="C71" s="441">
        <f>'SOLLECITAZ NASCOSTO'!$D$6/'SOLLECITAZ NASCOSTO'!$B$448*'SOLLECITAZ NASCOSTO'!B71</f>
        <v>0.26718750000000002</v>
      </c>
      <c r="D71" s="441">
        <f t="shared" si="14"/>
        <v>0.30000093749999995</v>
      </c>
      <c r="E71" s="441">
        <f t="shared" si="4"/>
        <v>9.3749999996450839E-7</v>
      </c>
      <c r="F71" s="441">
        <f t="shared" si="5"/>
        <v>0.30000093749999995</v>
      </c>
      <c r="G71" s="441">
        <f t="shared" si="6"/>
        <v>4.5000281250439443E-2</v>
      </c>
      <c r="H71" s="441">
        <f t="shared" si="23"/>
        <v>0</v>
      </c>
      <c r="I71" s="441">
        <v>0</v>
      </c>
      <c r="J71" s="131">
        <f t="shared" si="24"/>
        <v>0.15000046874999998</v>
      </c>
      <c r="K71" s="130">
        <f t="shared" si="9"/>
        <v>2.2500210938159169E-3</v>
      </c>
      <c r="L71" s="42">
        <f t="shared" si="25"/>
        <v>1.3580233501898251</v>
      </c>
      <c r="M71" s="42">
        <f t="shared" si="26"/>
        <v>-0.17026338832983332</v>
      </c>
      <c r="N71" s="42">
        <f>(IF(C70&lt;='SOLLECITAZ NASCOSTO'!$P$12,IF(C70&lt;='SOLLECITAZ NASCOSTO'!$P$11,IF(C70&lt;='SOLLECITAZ NASCOSTO'!$P$10,IF(C70&lt;='SOLLECITAZ NASCOSTO'!$P$9,IF(C70&lt;='SOLLECITAZ NASCOSTO'!$P$8,IF(C70&lt;='SOLLECITAZ NASCOSTO'!$P$7,IF(C70&lt;='SOLLECITAZ NASCOSTO'!$P$6,IF(C70&lt;='SOLLECITAZ NASCOSTO'!$P$5,'Progetto del paramento slu'!$G$105,'Progetto del paramento slu'!$G$106),'Progetto del paramento slu'!$G$107),'Progetto del paramento slu'!$G$108),'Progetto del paramento slu'!$G$109),'Progetto del paramento slu'!$G$110),'Progetto del paramento slu'!$G$111),'Progetto del paramento slu'!$G$112),55555)-IF(C70&lt;='SOLLECITAZ NASCOSTO'!$P$12,IF(C70&lt;='SOLLECITAZ NASCOSTO'!$P$11,IF(C70&lt;='SOLLECITAZ NASCOSTO'!$P$10,IF(C70&lt;='SOLLECITAZ NASCOSTO'!$P$9,IF(C70&lt;='SOLLECITAZ NASCOSTO'!$P$8,IF(C70&lt;='SOLLECITAZ NASCOSTO'!$P$7,IF(C70&lt;='SOLLECITAZ NASCOSTO'!$P$6,IF(C70&lt;='SOLLECITAZ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slu'!$G$112))*(C70-IF(C70&lt;='SOLLECITAZ NASCOSTO'!$P$12,IF(C70&lt;='SOLLECITAZ NASCOSTO'!$P$11,IF(C70&lt;='SOLLECITAZ NASCOSTO'!$P$10,IF(C70&lt;='SOLLECITAZ NASCOSTO'!$P$9,IF(C70&lt;='SOLLECITAZ NASCOSTO'!$P$8,IF(C70&lt;='SOLLECITAZ NASCOSTO'!$P$7,IF(C70&lt;='SOLLECITAZ NASCOSTO'!$P$6,IF(C70&lt;='SOLLECITAZ NASCOSTO'!$P$5,'SOLLECITAZ NASCOSTO'!$P$3,'SOLLECITAZ NASCOSTO'!$P$5),'SOLLECITAZ NASCOSTO'!$P$5),'SOLLECITAZ NASCOSTO'!$P$7),'SOLLECITAZ NASCOSTO'!$P$8),'SOLLECITAZ NASCOSTO'!$P$9),'SOLLECITAZ NASCOSTO'!$P$10),'SOLLECITAZ NASCOSTO'!$P$11),'SOLLECITAZ NASCOSTO'!$P$12))/IF(C70&lt;='SOLLECITAZ NASCOSTO'!$P$12,IF(C70&lt;='SOLLECITAZ NASCOSTO'!$P$11,IF(C70&lt;='SOLLECITAZ NASCOSTO'!$P$10,IF(C70&lt;='SOLLECITAZ NASCOSTO'!$P$9,IF(C70&lt;='SOLLECITAZ NASCOSTO'!$P$8,IF(C70&lt;='SOLLECITAZ NASCOSTO'!$P$7,IF(C70&lt;='SOLLECITAZ NASCOSTO'!$P$6,IF(C70&lt;='SOLLECITAZ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slu'!$C$112)+IF(C70&lt;='SOLLECITAZ NASCOSTO'!$P$12,IF(C70&lt;='SOLLECITAZ NASCOSTO'!$P$11,IF(C70&lt;='SOLLECITAZ NASCOSTO'!$P$10,IF(C70&lt;='SOLLECITAZ NASCOSTO'!$P$9,IF(C70&lt;='SOLLECITAZ NASCOSTO'!$P$8,IF(C70&lt;='SOLLECITAZ NASCOSTO'!$P$7,IF(C70&lt;='SOLLECITAZ NASCOSTO'!$P$6,IF(C70&lt;='SOLLECITAZ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5.9731065432970496</v>
      </c>
      <c r="O71" s="42">
        <f>IF(C71&lt;='SOLLECITAZ NASCOSTO'!$P$12,IF(C71&lt;='SOLLECITAZ NASCOSTO'!$P$11,IF(C71&lt;='SOLLECITAZ NASCOSTO'!$P$10,IF(C71&lt;='SOLLECITAZ NASCOSTO'!$P$9,IF(C71&lt;='SOLLECITAZ NASCOSTO'!$P$8,IF(C71&lt;='SOLLECITAZ NASCOSTO'!$P$7,IF(C71&lt;='SOLLECITAZ NASCOSTO'!$P$6,IF(C71&lt;='SOLLECITAZ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slu'!$G$111),55555)*(C71-C70)/IF(C71&lt;='SOLLECITAZ NASCOSTO'!$P$12,IF(C71&lt;='SOLLECITAZ NASCOSTO'!$P$11,IF(C71&lt;='SOLLECITAZ NASCOSTO'!$P$10,IF(C71&lt;='SOLLECITAZ NASCOSTO'!$P$9,IF(C71&lt;='SOLLECITAZ NASCOSTO'!$P$8,IF(C71&lt;='SOLLECITAZ NASCOSTO'!$P$7,IF(C71&lt;='SOLLECITAZ NASCOSTO'!$P$6,IF(C71&lt;='SOLLECITAZ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1" s="42">
        <f t="shared" si="21"/>
        <v>3.7999999999999989E-5</v>
      </c>
      <c r="Q71" s="42">
        <f t="shared" si="18"/>
        <v>1</v>
      </c>
      <c r="R71" s="441">
        <f t="shared" si="10"/>
        <v>0.26718750000000002</v>
      </c>
      <c r="S71" s="46">
        <f t="shared" si="19"/>
        <v>0.26718750000000002</v>
      </c>
      <c r="T71" s="211">
        <f t="shared" si="13"/>
        <v>3.0828125000000002</v>
      </c>
      <c r="U71" s="46">
        <f t="shared" si="16"/>
        <v>1.3580233501898251</v>
      </c>
      <c r="V71" s="46">
        <f t="shared" si="17"/>
        <v>-0.17026338832983332</v>
      </c>
      <c r="W71" s="496"/>
    </row>
    <row r="72" spans="1:27" s="428" customFormat="1" x14ac:dyDescent="0.25">
      <c r="A72" s="590">
        <f t="shared" si="11"/>
        <v>9.6153846151914024E-7</v>
      </c>
      <c r="B72" s="32">
        <f t="shared" si="22"/>
        <v>40</v>
      </c>
      <c r="C72" s="441">
        <f>'SOLLECITAZ NASCOSTO'!$D$6/'SOLLECITAZ NASCOSTO'!$B$448*'SOLLECITAZ NASCOSTO'!B72</f>
        <v>0.27403846153846156</v>
      </c>
      <c r="D72" s="441">
        <f t="shared" si="14"/>
        <v>0.30000096153846151</v>
      </c>
      <c r="E72" s="441">
        <f t="shared" si="4"/>
        <v>9.6153846151914024E-7</v>
      </c>
      <c r="F72" s="441">
        <f t="shared" si="5"/>
        <v>0.30000096153846151</v>
      </c>
      <c r="G72" s="441">
        <f t="shared" si="6"/>
        <v>4.5000288462000729E-2</v>
      </c>
      <c r="H72" s="441">
        <f t="shared" si="23"/>
        <v>0</v>
      </c>
      <c r="I72" s="441">
        <v>0</v>
      </c>
      <c r="J72" s="131">
        <f t="shared" si="24"/>
        <v>0.15000048076923075</v>
      </c>
      <c r="K72" s="130">
        <f t="shared" si="9"/>
        <v>2.2500216346847258E-3</v>
      </c>
      <c r="L72" s="42">
        <f t="shared" si="25"/>
        <v>1.3994395013547023</v>
      </c>
      <c r="M72" s="42">
        <f t="shared" si="26"/>
        <v>-0.17970902429966734</v>
      </c>
      <c r="N72" s="42">
        <f>(IF(C71&lt;='SOLLECITAZ NASCOSTO'!$P$12,IF(C71&lt;='SOLLECITAZ NASCOSTO'!$P$11,IF(C71&lt;='SOLLECITAZ NASCOSTO'!$P$10,IF(C71&lt;='SOLLECITAZ NASCOSTO'!$P$9,IF(C71&lt;='SOLLECITAZ NASCOSTO'!$P$8,IF(C71&lt;='SOLLECITAZ NASCOSTO'!$P$7,IF(C71&lt;='SOLLECITAZ NASCOSTO'!$P$6,IF(C71&lt;='SOLLECITAZ NASCOSTO'!$P$5,'Progetto del paramento slu'!$G$105,'Progetto del paramento slu'!$G$106),'Progetto del paramento slu'!$G$107),'Progetto del paramento slu'!$G$108),'Progetto del paramento slu'!$G$109),'Progetto del paramento slu'!$G$110),'Progetto del paramento slu'!$G$111),'Progetto del paramento slu'!$G$112),55555)-IF(C71&lt;='SOLLECITAZ NASCOSTO'!$P$12,IF(C71&lt;='SOLLECITAZ NASCOSTO'!$P$11,IF(C71&lt;='SOLLECITAZ NASCOSTO'!$P$10,IF(C71&lt;='SOLLECITAZ NASCOSTO'!$P$9,IF(C71&lt;='SOLLECITAZ NASCOSTO'!$P$8,IF(C71&lt;='SOLLECITAZ NASCOSTO'!$P$7,IF(C71&lt;='SOLLECITAZ NASCOSTO'!$P$6,IF(C71&lt;='SOLLECITAZ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slu'!$G$112))*(C71-IF(C71&lt;='SOLLECITAZ NASCOSTO'!$P$12,IF(C71&lt;='SOLLECITAZ NASCOSTO'!$P$11,IF(C71&lt;='SOLLECITAZ NASCOSTO'!$P$10,IF(C71&lt;='SOLLECITAZ NASCOSTO'!$P$9,IF(C71&lt;='SOLLECITAZ NASCOSTO'!$P$8,IF(C71&lt;='SOLLECITAZ NASCOSTO'!$P$7,IF(C71&lt;='SOLLECITAZ NASCOSTO'!$P$6,IF(C71&lt;='SOLLECITAZ NASCOSTO'!$P$5,'SOLLECITAZ NASCOSTO'!$P$3,'SOLLECITAZ NASCOSTO'!$P$5),'SOLLECITAZ NASCOSTO'!$P$5),'SOLLECITAZ NASCOSTO'!$P$7),'SOLLECITAZ NASCOSTO'!$P$8),'SOLLECITAZ NASCOSTO'!$P$9),'SOLLECITAZ NASCOSTO'!$P$10),'SOLLECITAZ NASCOSTO'!$P$11),'SOLLECITAZ NASCOSTO'!$P$12))/IF(C71&lt;='SOLLECITAZ NASCOSTO'!$P$12,IF(C71&lt;='SOLLECITAZ NASCOSTO'!$P$11,IF(C71&lt;='SOLLECITAZ NASCOSTO'!$P$10,IF(C71&lt;='SOLLECITAZ NASCOSTO'!$P$9,IF(C71&lt;='SOLLECITAZ NASCOSTO'!$P$8,IF(C71&lt;='SOLLECITAZ NASCOSTO'!$P$7,IF(C71&lt;='SOLLECITAZ NASCOSTO'!$P$6,IF(C71&lt;='SOLLECITAZ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slu'!$C$112)+IF(C71&lt;='SOLLECITAZ NASCOSTO'!$P$12,IF(C71&lt;='SOLLECITAZ NASCOSTO'!$P$11,IF(C71&lt;='SOLLECITAZ NASCOSTO'!$P$10,IF(C71&lt;='SOLLECITAZ NASCOSTO'!$P$9,IF(C71&lt;='SOLLECITAZ NASCOSTO'!$P$8,IF(C71&lt;='SOLLECITAZ NASCOSTO'!$P$7,IF(C71&lt;='SOLLECITAZ NASCOSTO'!$P$6,IF(C71&lt;='SOLLECITAZ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6.0212387622894017</v>
      </c>
      <c r="O72" s="42">
        <f>IF(C72&lt;='SOLLECITAZ NASCOSTO'!$P$12,IF(C72&lt;='SOLLECITAZ NASCOSTO'!$P$11,IF(C72&lt;='SOLLECITAZ NASCOSTO'!$P$10,IF(C72&lt;='SOLLECITAZ NASCOSTO'!$P$9,IF(C72&lt;='SOLLECITAZ NASCOSTO'!$P$8,IF(C72&lt;='SOLLECITAZ NASCOSTO'!$P$7,IF(C72&lt;='SOLLECITAZ NASCOSTO'!$P$6,IF(C72&lt;='SOLLECITAZ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slu'!$G$111),55555)*(C72-C71)/IF(C72&lt;='SOLLECITAZ NASCOSTO'!$P$12,IF(C72&lt;='SOLLECITAZ NASCOSTO'!$P$11,IF(C72&lt;='SOLLECITAZ NASCOSTO'!$P$10,IF(C72&lt;='SOLLECITAZ NASCOSTO'!$P$9,IF(C72&lt;='SOLLECITAZ NASCOSTO'!$P$8,IF(C72&lt;='SOLLECITAZ NASCOSTO'!$P$7,IF(C72&lt;='SOLLECITAZ NASCOSTO'!$P$6,IF(C72&lt;='SOLLECITAZ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2" s="42">
        <f t="shared" si="21"/>
        <v>3.8999999999999986E-5</v>
      </c>
      <c r="Q72" s="42">
        <f t="shared" si="18"/>
        <v>1</v>
      </c>
      <c r="R72" s="441">
        <f t="shared" si="10"/>
        <v>0.27403846153846156</v>
      </c>
      <c r="S72" s="46">
        <f t="shared" si="19"/>
        <v>0.27403846153846156</v>
      </c>
      <c r="T72" s="211">
        <f t="shared" si="13"/>
        <v>3.0759615384615384</v>
      </c>
      <c r="U72" s="46">
        <f t="shared" si="16"/>
        <v>1.3994395013547023</v>
      </c>
      <c r="V72" s="46">
        <f t="shared" si="17"/>
        <v>-0.17970902429966734</v>
      </c>
      <c r="W72" s="496"/>
    </row>
    <row r="73" spans="1:27" s="428" customFormat="1" x14ac:dyDescent="0.25">
      <c r="A73" s="590">
        <f t="shared" si="11"/>
        <v>9.8557692307377209E-7</v>
      </c>
      <c r="B73" s="32">
        <f t="shared" si="22"/>
        <v>41</v>
      </c>
      <c r="C73" s="441">
        <f>'SOLLECITAZ NASCOSTO'!$D$6/'SOLLECITAZ NASCOSTO'!$B$448*'SOLLECITAZ NASCOSTO'!B73</f>
        <v>0.28088942307692305</v>
      </c>
      <c r="D73" s="441">
        <f t="shared" si="14"/>
        <v>0.30000098557692306</v>
      </c>
      <c r="E73" s="441">
        <f t="shared" si="4"/>
        <v>9.8557692307377209E-7</v>
      </c>
      <c r="F73" s="441">
        <f t="shared" si="5"/>
        <v>0.30000098557692306</v>
      </c>
      <c r="G73" s="441">
        <f t="shared" si="6"/>
        <v>4.5000295673562604E-2</v>
      </c>
      <c r="H73" s="441">
        <f t="shared" si="23"/>
        <v>0</v>
      </c>
      <c r="I73" s="441">
        <v>0</v>
      </c>
      <c r="J73" s="131">
        <f t="shared" si="24"/>
        <v>0.15000049278846156</v>
      </c>
      <c r="K73" s="130">
        <f t="shared" si="9"/>
        <v>2.2500221755536211E-3</v>
      </c>
      <c r="L73" s="42">
        <f t="shared" si="25"/>
        <v>1.4411854045006565</v>
      </c>
      <c r="M73" s="42">
        <f t="shared" si="26"/>
        <v>-0.18943953028727276</v>
      </c>
      <c r="N73" s="42">
        <f>(IF(C72&lt;='SOLLECITAZ NASCOSTO'!$P$12,IF(C72&lt;='SOLLECITAZ NASCOSTO'!$P$11,IF(C72&lt;='SOLLECITAZ NASCOSTO'!$P$10,IF(C72&lt;='SOLLECITAZ NASCOSTO'!$P$9,IF(C72&lt;='SOLLECITAZ NASCOSTO'!$P$8,IF(C72&lt;='SOLLECITAZ NASCOSTO'!$P$7,IF(C72&lt;='SOLLECITAZ NASCOSTO'!$P$6,IF(C72&lt;='SOLLECITAZ NASCOSTO'!$P$5,'Progetto del paramento slu'!$G$105,'Progetto del paramento slu'!$G$106),'Progetto del paramento slu'!$G$107),'Progetto del paramento slu'!$G$108),'Progetto del paramento slu'!$G$109),'Progetto del paramento slu'!$G$110),'Progetto del paramento slu'!$G$111),'Progetto del paramento slu'!$G$112),55555)-IF(C72&lt;='SOLLECITAZ NASCOSTO'!$P$12,IF(C72&lt;='SOLLECITAZ NASCOSTO'!$P$11,IF(C72&lt;='SOLLECITAZ NASCOSTO'!$P$10,IF(C72&lt;='SOLLECITAZ NASCOSTO'!$P$9,IF(C72&lt;='SOLLECITAZ NASCOSTO'!$P$8,IF(C72&lt;='SOLLECITAZ NASCOSTO'!$P$7,IF(C72&lt;='SOLLECITAZ NASCOSTO'!$P$6,IF(C72&lt;='SOLLECITAZ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slu'!$G$112))*(C72-IF(C72&lt;='SOLLECITAZ NASCOSTO'!$P$12,IF(C72&lt;='SOLLECITAZ NASCOSTO'!$P$11,IF(C72&lt;='SOLLECITAZ NASCOSTO'!$P$10,IF(C72&lt;='SOLLECITAZ NASCOSTO'!$P$9,IF(C72&lt;='SOLLECITAZ NASCOSTO'!$P$8,IF(C72&lt;='SOLLECITAZ NASCOSTO'!$P$7,IF(C72&lt;='SOLLECITAZ NASCOSTO'!$P$6,IF(C72&lt;='SOLLECITAZ NASCOSTO'!$P$5,'SOLLECITAZ NASCOSTO'!$P$3,'SOLLECITAZ NASCOSTO'!$P$5),'SOLLECITAZ NASCOSTO'!$P$5),'SOLLECITAZ NASCOSTO'!$P$7),'SOLLECITAZ NASCOSTO'!$P$8),'SOLLECITAZ NASCOSTO'!$P$9),'SOLLECITAZ NASCOSTO'!$P$10),'SOLLECITAZ NASCOSTO'!$P$11),'SOLLECITAZ NASCOSTO'!$P$12))/IF(C72&lt;='SOLLECITAZ NASCOSTO'!$P$12,IF(C72&lt;='SOLLECITAZ NASCOSTO'!$P$11,IF(C72&lt;='SOLLECITAZ NASCOSTO'!$P$10,IF(C72&lt;='SOLLECITAZ NASCOSTO'!$P$9,IF(C72&lt;='SOLLECITAZ NASCOSTO'!$P$8,IF(C72&lt;='SOLLECITAZ NASCOSTO'!$P$7,IF(C72&lt;='SOLLECITAZ NASCOSTO'!$P$6,IF(C72&lt;='SOLLECITAZ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slu'!$C$112)+IF(C72&lt;='SOLLECITAZ NASCOSTO'!$P$12,IF(C72&lt;='SOLLECITAZ NASCOSTO'!$P$11,IF(C72&lt;='SOLLECITAZ NASCOSTO'!$P$10,IF(C72&lt;='SOLLECITAZ NASCOSTO'!$P$9,IF(C72&lt;='SOLLECITAZ NASCOSTO'!$P$8,IF(C72&lt;='SOLLECITAZ NASCOSTO'!$P$7,IF(C72&lt;='SOLLECITAZ NASCOSTO'!$P$6,IF(C72&lt;='SOLLECITAZ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6.0693709812817547</v>
      </c>
      <c r="O73" s="42">
        <f>IF(C73&lt;='SOLLECITAZ NASCOSTO'!$P$12,IF(C73&lt;='SOLLECITAZ NASCOSTO'!$P$11,IF(C73&lt;='SOLLECITAZ NASCOSTO'!$P$10,IF(C73&lt;='SOLLECITAZ NASCOSTO'!$P$9,IF(C73&lt;='SOLLECITAZ NASCOSTO'!$P$8,IF(C73&lt;='SOLLECITAZ NASCOSTO'!$P$7,IF(C73&lt;='SOLLECITAZ NASCOSTO'!$P$6,IF(C73&lt;='SOLLECITAZ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slu'!$G$111),55555)*(C73-C72)/IF(C73&lt;='SOLLECITAZ NASCOSTO'!$P$12,IF(C73&lt;='SOLLECITAZ NASCOSTO'!$P$11,IF(C73&lt;='SOLLECITAZ NASCOSTO'!$P$10,IF(C73&lt;='SOLLECITAZ NASCOSTO'!$P$9,IF(C73&lt;='SOLLECITAZ NASCOSTO'!$P$8,IF(C73&lt;='SOLLECITAZ NASCOSTO'!$P$7,IF(C73&lt;='SOLLECITAZ NASCOSTO'!$P$6,IF(C73&lt;='SOLLECITAZ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4.8132218992352101E-2</v>
      </c>
      <c r="P73" s="42">
        <f t="shared" si="21"/>
        <v>3.9999999999999983E-5</v>
      </c>
      <c r="Q73" s="42">
        <f t="shared" si="18"/>
        <v>1</v>
      </c>
      <c r="R73" s="441">
        <f t="shared" si="10"/>
        <v>0.28088942307692305</v>
      </c>
      <c r="S73" s="46">
        <f t="shared" si="19"/>
        <v>0.28088942307692305</v>
      </c>
      <c r="T73" s="211">
        <f t="shared" si="13"/>
        <v>3.0691105769230771</v>
      </c>
      <c r="U73" s="46">
        <f t="shared" si="16"/>
        <v>1.4411854045006565</v>
      </c>
      <c r="V73" s="46">
        <f t="shared" si="17"/>
        <v>-0.18943953028727276</v>
      </c>
      <c r="W73" s="496"/>
    </row>
    <row r="74" spans="1:27" s="428" customFormat="1" x14ac:dyDescent="0.25">
      <c r="A74" s="590">
        <f t="shared" si="11"/>
        <v>1.0096153845728928E-6</v>
      </c>
      <c r="B74" s="32">
        <f t="shared" si="22"/>
        <v>42</v>
      </c>
      <c r="C74" s="441">
        <f>'SOLLECITAZ NASCOSTO'!$D$6/'SOLLECITAZ NASCOSTO'!$B$448*'SOLLECITAZ NASCOSTO'!B74</f>
        <v>0.28774038461538459</v>
      </c>
      <c r="D74" s="441">
        <f t="shared" si="14"/>
        <v>0.30000100961538456</v>
      </c>
      <c r="E74" s="441">
        <f t="shared" si="4"/>
        <v>1.0096153845728928E-6</v>
      </c>
      <c r="F74" s="441">
        <f t="shared" si="5"/>
        <v>0.30000100961538456</v>
      </c>
      <c r="G74" s="441">
        <f t="shared" si="6"/>
        <v>4.5000302885125035E-2</v>
      </c>
      <c r="H74" s="441">
        <f t="shared" si="23"/>
        <v>0</v>
      </c>
      <c r="I74" s="441">
        <v>0</v>
      </c>
      <c r="J74" s="131">
        <f t="shared" si="24"/>
        <v>0.15000050480769231</v>
      </c>
      <c r="K74" s="130">
        <f t="shared" si="9"/>
        <v>2.2500227164226018E-3</v>
      </c>
      <c r="L74" s="42">
        <f t="shared" si="25"/>
        <v>1.4832610596276883</v>
      </c>
      <c r="M74" s="42">
        <f t="shared" si="26"/>
        <v>-0.19945716541078934</v>
      </c>
      <c r="N74" s="42">
        <f>(IF(C73&lt;='SOLLECITAZ NASCOSTO'!$P$12,IF(C73&lt;='SOLLECITAZ NASCOSTO'!$P$11,IF(C73&lt;='SOLLECITAZ NASCOSTO'!$P$10,IF(C73&lt;='SOLLECITAZ NASCOSTO'!$P$9,IF(C73&lt;='SOLLECITAZ NASCOSTO'!$P$8,IF(C73&lt;='SOLLECITAZ NASCOSTO'!$P$7,IF(C73&lt;='SOLLECITAZ NASCOSTO'!$P$6,IF(C73&lt;='SOLLECITAZ NASCOSTO'!$P$5,'Progetto del paramento slu'!$G$105,'Progetto del paramento slu'!$G$106),'Progetto del paramento slu'!$G$107),'Progetto del paramento slu'!$G$108),'Progetto del paramento slu'!$G$109),'Progetto del paramento slu'!$G$110),'Progetto del paramento slu'!$G$111),'Progetto del paramento slu'!$G$112),55555)-IF(C73&lt;='SOLLECITAZ NASCOSTO'!$P$12,IF(C73&lt;='SOLLECITAZ NASCOSTO'!$P$11,IF(C73&lt;='SOLLECITAZ NASCOSTO'!$P$10,IF(C73&lt;='SOLLECITAZ NASCOSTO'!$P$9,IF(C73&lt;='SOLLECITAZ NASCOSTO'!$P$8,IF(C73&lt;='SOLLECITAZ NASCOSTO'!$P$7,IF(C73&lt;='SOLLECITAZ NASCOSTO'!$P$6,IF(C73&lt;='SOLLECITAZ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slu'!$G$112))*(C73-IF(C73&lt;='SOLLECITAZ NASCOSTO'!$P$12,IF(C73&lt;='SOLLECITAZ NASCOSTO'!$P$11,IF(C73&lt;='SOLLECITAZ NASCOSTO'!$P$10,IF(C73&lt;='SOLLECITAZ NASCOSTO'!$P$9,IF(C73&lt;='SOLLECITAZ NASCOSTO'!$P$8,IF(C73&lt;='SOLLECITAZ NASCOSTO'!$P$7,IF(C73&lt;='SOLLECITAZ NASCOSTO'!$P$6,IF(C73&lt;='SOLLECITAZ NASCOSTO'!$P$5,'SOLLECITAZ NASCOSTO'!$P$3,'SOLLECITAZ NASCOSTO'!$P$5),'SOLLECITAZ NASCOSTO'!$P$5),'SOLLECITAZ NASCOSTO'!$P$7),'SOLLECITAZ NASCOSTO'!$P$8),'SOLLECITAZ NASCOSTO'!$P$9),'SOLLECITAZ NASCOSTO'!$P$10),'SOLLECITAZ NASCOSTO'!$P$11),'SOLLECITAZ NASCOSTO'!$P$12))/IF(C73&lt;='SOLLECITAZ NASCOSTO'!$P$12,IF(C73&lt;='SOLLECITAZ NASCOSTO'!$P$11,IF(C73&lt;='SOLLECITAZ NASCOSTO'!$P$10,IF(C73&lt;='SOLLECITAZ NASCOSTO'!$P$9,IF(C73&lt;='SOLLECITAZ NASCOSTO'!$P$8,IF(C73&lt;='SOLLECITAZ NASCOSTO'!$P$7,IF(C73&lt;='SOLLECITAZ NASCOSTO'!$P$6,IF(C73&lt;='SOLLECITAZ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slu'!$C$112)+IF(C73&lt;='SOLLECITAZ NASCOSTO'!$P$12,IF(C73&lt;='SOLLECITAZ NASCOSTO'!$P$11,IF(C73&lt;='SOLLECITAZ NASCOSTO'!$P$10,IF(C73&lt;='SOLLECITAZ NASCOSTO'!$P$9,IF(C73&lt;='SOLLECITAZ NASCOSTO'!$P$8,IF(C73&lt;='SOLLECITAZ NASCOSTO'!$P$7,IF(C73&lt;='SOLLECITAZ NASCOSTO'!$P$6,IF(C73&lt;='SOLLECITAZ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6.1175032002741068</v>
      </c>
      <c r="O74" s="42">
        <f>IF(C74&lt;='SOLLECITAZ NASCOSTO'!$P$12,IF(C74&lt;='SOLLECITAZ NASCOSTO'!$P$11,IF(C74&lt;='SOLLECITAZ NASCOSTO'!$P$10,IF(C74&lt;='SOLLECITAZ NASCOSTO'!$P$9,IF(C74&lt;='SOLLECITAZ NASCOSTO'!$P$8,IF(C74&lt;='SOLLECITAZ NASCOSTO'!$P$7,IF(C74&lt;='SOLLECITAZ NASCOSTO'!$P$6,IF(C74&lt;='SOLLECITAZ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slu'!$G$111),55555)*(C74-C73)/IF(C74&lt;='SOLLECITAZ NASCOSTO'!$P$12,IF(C74&lt;='SOLLECITAZ NASCOSTO'!$P$11,IF(C74&lt;='SOLLECITAZ NASCOSTO'!$P$10,IF(C74&lt;='SOLLECITAZ NASCOSTO'!$P$9,IF(C74&lt;='SOLLECITAZ NASCOSTO'!$P$8,IF(C74&lt;='SOLLECITAZ NASCOSTO'!$P$7,IF(C74&lt;='SOLLECITAZ NASCOSTO'!$P$6,IF(C74&lt;='SOLLECITAZ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4" s="42">
        <f t="shared" si="21"/>
        <v>4.099999999999998E-5</v>
      </c>
      <c r="Q74" s="42">
        <f t="shared" si="18"/>
        <v>1</v>
      </c>
      <c r="R74" s="441">
        <f t="shared" si="10"/>
        <v>0.28774038461538459</v>
      </c>
      <c r="S74" s="46">
        <f t="shared" si="19"/>
        <v>0.28774038461538459</v>
      </c>
      <c r="T74" s="211">
        <f t="shared" si="13"/>
        <v>3.0622596153846153</v>
      </c>
      <c r="U74" s="46">
        <f t="shared" si="16"/>
        <v>1.4832610596276883</v>
      </c>
      <c r="V74" s="46">
        <f t="shared" si="17"/>
        <v>-0.19945716541078934</v>
      </c>
      <c r="W74" s="496"/>
    </row>
    <row r="75" spans="1:27" s="428" customFormat="1" x14ac:dyDescent="0.25">
      <c r="A75" s="589">
        <f t="shared" si="11"/>
        <v>1.0336538461275246E-6</v>
      </c>
      <c r="B75" s="32">
        <f t="shared" si="22"/>
        <v>43</v>
      </c>
      <c r="C75" s="441">
        <f>'SOLLECITAZ NASCOSTO'!$D$6/'SOLLECITAZ NASCOSTO'!$B$448*'SOLLECITAZ NASCOSTO'!B75</f>
        <v>0.29459134615384613</v>
      </c>
      <c r="D75" s="441">
        <f t="shared" si="14"/>
        <v>0.30000103365384612</v>
      </c>
      <c r="E75" s="441">
        <f t="shared" si="4"/>
        <v>1.0336538461275246E-6</v>
      </c>
      <c r="F75" s="441">
        <f t="shared" si="5"/>
        <v>0.30000103365384612</v>
      </c>
      <c r="G75" s="441">
        <f t="shared" si="6"/>
        <v>4.5000310096688055E-2</v>
      </c>
      <c r="H75" s="441">
        <f t="shared" si="23"/>
        <v>0</v>
      </c>
      <c r="I75" s="441">
        <v>0</v>
      </c>
      <c r="J75" s="131">
        <f t="shared" si="24"/>
        <v>0.15000051682692306</v>
      </c>
      <c r="K75" s="130">
        <f t="shared" si="9"/>
        <v>2.2500232572916705E-3</v>
      </c>
      <c r="L75" s="42">
        <f t="shared" si="25"/>
        <v>1.5256664667357975</v>
      </c>
      <c r="M75" s="42">
        <f t="shared" si="26"/>
        <v>-0.20976418878835656</v>
      </c>
      <c r="N75" s="42">
        <f>(IF(C74&lt;='SOLLECITAZ NASCOSTO'!$P$12,IF(C74&lt;='SOLLECITAZ NASCOSTO'!$P$11,IF(C74&lt;='SOLLECITAZ NASCOSTO'!$P$10,IF(C74&lt;='SOLLECITAZ NASCOSTO'!$P$9,IF(C74&lt;='SOLLECITAZ NASCOSTO'!$P$8,IF(C74&lt;='SOLLECITAZ NASCOSTO'!$P$7,IF(C74&lt;='SOLLECITAZ NASCOSTO'!$P$6,IF(C74&lt;='SOLLECITAZ NASCOSTO'!$P$5,'Progetto del paramento slu'!$G$105,'Progetto del paramento slu'!$G$106),'Progetto del paramento slu'!$G$107),'Progetto del paramento slu'!$G$108),'Progetto del paramento slu'!$G$109),'Progetto del paramento slu'!$G$110),'Progetto del paramento slu'!$G$111),'Progetto del paramento slu'!$G$112),55555)-IF(C74&lt;='SOLLECITAZ NASCOSTO'!$P$12,IF(C74&lt;='SOLLECITAZ NASCOSTO'!$P$11,IF(C74&lt;='SOLLECITAZ NASCOSTO'!$P$10,IF(C74&lt;='SOLLECITAZ NASCOSTO'!$P$9,IF(C74&lt;='SOLLECITAZ NASCOSTO'!$P$8,IF(C74&lt;='SOLLECITAZ NASCOSTO'!$P$7,IF(C74&lt;='SOLLECITAZ NASCOSTO'!$P$6,IF(C74&lt;='SOLLECITAZ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slu'!$G$112))*(C74-IF(C74&lt;='SOLLECITAZ NASCOSTO'!$P$12,IF(C74&lt;='SOLLECITAZ NASCOSTO'!$P$11,IF(C74&lt;='SOLLECITAZ NASCOSTO'!$P$10,IF(C74&lt;='SOLLECITAZ NASCOSTO'!$P$9,IF(C74&lt;='SOLLECITAZ NASCOSTO'!$P$8,IF(C74&lt;='SOLLECITAZ NASCOSTO'!$P$7,IF(C74&lt;='SOLLECITAZ NASCOSTO'!$P$6,IF(C74&lt;='SOLLECITAZ NASCOSTO'!$P$5,'SOLLECITAZ NASCOSTO'!$P$3,'SOLLECITAZ NASCOSTO'!$P$5),'SOLLECITAZ NASCOSTO'!$P$5),'SOLLECITAZ NASCOSTO'!$P$7),'SOLLECITAZ NASCOSTO'!$P$8),'SOLLECITAZ NASCOSTO'!$P$9),'SOLLECITAZ NASCOSTO'!$P$10),'SOLLECITAZ NASCOSTO'!$P$11),'SOLLECITAZ NASCOSTO'!$P$12))/IF(C74&lt;='SOLLECITAZ NASCOSTO'!$P$12,IF(C74&lt;='SOLLECITAZ NASCOSTO'!$P$11,IF(C74&lt;='SOLLECITAZ NASCOSTO'!$P$10,IF(C74&lt;='SOLLECITAZ NASCOSTO'!$P$9,IF(C74&lt;='SOLLECITAZ NASCOSTO'!$P$8,IF(C74&lt;='SOLLECITAZ NASCOSTO'!$P$7,IF(C74&lt;='SOLLECITAZ NASCOSTO'!$P$6,IF(C74&lt;='SOLLECITAZ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slu'!$C$112)+IF(C74&lt;='SOLLECITAZ NASCOSTO'!$P$12,IF(C74&lt;='SOLLECITAZ NASCOSTO'!$P$11,IF(C74&lt;='SOLLECITAZ NASCOSTO'!$P$10,IF(C74&lt;='SOLLECITAZ NASCOSTO'!$P$9,IF(C74&lt;='SOLLECITAZ NASCOSTO'!$P$8,IF(C74&lt;='SOLLECITAZ NASCOSTO'!$P$7,IF(C74&lt;='SOLLECITAZ NASCOSTO'!$P$6,IF(C74&lt;='SOLLECITAZ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6.1656354192664597</v>
      </c>
      <c r="O75" s="42">
        <f>IF(C75&lt;='SOLLECITAZ NASCOSTO'!$P$12,IF(C75&lt;='SOLLECITAZ NASCOSTO'!$P$11,IF(C75&lt;='SOLLECITAZ NASCOSTO'!$P$10,IF(C75&lt;='SOLLECITAZ NASCOSTO'!$P$9,IF(C75&lt;='SOLLECITAZ NASCOSTO'!$P$8,IF(C75&lt;='SOLLECITAZ NASCOSTO'!$P$7,IF(C75&lt;='SOLLECITAZ NASCOSTO'!$P$6,IF(C75&lt;='SOLLECITAZ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slu'!$G$111),55555)*(C75-C74)/IF(C75&lt;='SOLLECITAZ NASCOSTO'!$P$12,IF(C75&lt;='SOLLECITAZ NASCOSTO'!$P$11,IF(C75&lt;='SOLLECITAZ NASCOSTO'!$P$10,IF(C75&lt;='SOLLECITAZ NASCOSTO'!$P$9,IF(C75&lt;='SOLLECITAZ NASCOSTO'!$P$8,IF(C75&lt;='SOLLECITAZ NASCOSTO'!$P$7,IF(C75&lt;='SOLLECITAZ NASCOSTO'!$P$6,IF(C75&lt;='SOLLECITAZ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5" s="42">
        <f t="shared" si="21"/>
        <v>4.1999999999999977E-5</v>
      </c>
      <c r="Q75" s="42">
        <f t="shared" si="18"/>
        <v>1</v>
      </c>
      <c r="R75" s="441">
        <f t="shared" si="10"/>
        <v>0.29459134615384613</v>
      </c>
      <c r="S75" s="46">
        <f t="shared" si="19"/>
        <v>0.29459134615384613</v>
      </c>
      <c r="T75" s="211">
        <f t="shared" si="13"/>
        <v>3.055408653846154</v>
      </c>
      <c r="U75" s="46">
        <f t="shared" si="16"/>
        <v>1.5256664667357975</v>
      </c>
      <c r="V75" s="46">
        <f t="shared" si="17"/>
        <v>-0.20976418878835656</v>
      </c>
      <c r="W75" s="496"/>
    </row>
    <row r="76" spans="1:27" s="428" customFormat="1" x14ac:dyDescent="0.25">
      <c r="A76" s="589">
        <f t="shared" si="11"/>
        <v>1.0576923076821565E-6</v>
      </c>
      <c r="B76" s="32">
        <f t="shared" si="22"/>
        <v>44</v>
      </c>
      <c r="C76" s="441">
        <f>'SOLLECITAZ NASCOSTO'!$D$6/'SOLLECITAZ NASCOSTO'!$B$448*'SOLLECITAZ NASCOSTO'!B76</f>
        <v>0.30144230769230768</v>
      </c>
      <c r="D76" s="441">
        <f t="shared" si="14"/>
        <v>0.30000105769230767</v>
      </c>
      <c r="E76" s="441">
        <f t="shared" si="4"/>
        <v>1.0576923076821565E-6</v>
      </c>
      <c r="F76" s="441">
        <f t="shared" si="5"/>
        <v>0.30000105769230767</v>
      </c>
      <c r="G76" s="441">
        <f t="shared" si="6"/>
        <v>4.5000317308251658E-2</v>
      </c>
      <c r="H76" s="441">
        <f t="shared" si="23"/>
        <v>0</v>
      </c>
      <c r="I76" s="441">
        <v>0</v>
      </c>
      <c r="J76" s="131">
        <f t="shared" si="24"/>
        <v>0.15000052884615384</v>
      </c>
      <c r="K76" s="130">
        <f t="shared" si="9"/>
        <v>2.2500237981608264E-3</v>
      </c>
      <c r="L76" s="42">
        <f t="shared" si="25"/>
        <v>1.5684016258249842</v>
      </c>
      <c r="M76" s="42">
        <f t="shared" si="26"/>
        <v>-0.22036285953811405</v>
      </c>
      <c r="N76" s="42">
        <f>(IF(C75&lt;='SOLLECITAZ NASCOSTO'!$P$12,IF(C75&lt;='SOLLECITAZ NASCOSTO'!$P$11,IF(C75&lt;='SOLLECITAZ NASCOSTO'!$P$10,IF(C75&lt;='SOLLECITAZ NASCOSTO'!$P$9,IF(C75&lt;='SOLLECITAZ NASCOSTO'!$P$8,IF(C75&lt;='SOLLECITAZ NASCOSTO'!$P$7,IF(C75&lt;='SOLLECITAZ NASCOSTO'!$P$6,IF(C75&lt;='SOLLECITAZ NASCOSTO'!$P$5,'Progetto del paramento slu'!$G$105,'Progetto del paramento slu'!$G$106),'Progetto del paramento slu'!$G$107),'Progetto del paramento slu'!$G$108),'Progetto del paramento slu'!$G$109),'Progetto del paramento slu'!$G$110),'Progetto del paramento slu'!$G$111),'Progetto del paramento slu'!$G$112),55555)-IF(C75&lt;='SOLLECITAZ NASCOSTO'!$P$12,IF(C75&lt;='SOLLECITAZ NASCOSTO'!$P$11,IF(C75&lt;='SOLLECITAZ NASCOSTO'!$P$10,IF(C75&lt;='SOLLECITAZ NASCOSTO'!$P$9,IF(C75&lt;='SOLLECITAZ NASCOSTO'!$P$8,IF(C75&lt;='SOLLECITAZ NASCOSTO'!$P$7,IF(C75&lt;='SOLLECITAZ NASCOSTO'!$P$6,IF(C75&lt;='SOLLECITAZ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slu'!$G$112))*(C75-IF(C75&lt;='SOLLECITAZ NASCOSTO'!$P$12,IF(C75&lt;='SOLLECITAZ NASCOSTO'!$P$11,IF(C75&lt;='SOLLECITAZ NASCOSTO'!$P$10,IF(C75&lt;='SOLLECITAZ NASCOSTO'!$P$9,IF(C75&lt;='SOLLECITAZ NASCOSTO'!$P$8,IF(C75&lt;='SOLLECITAZ NASCOSTO'!$P$7,IF(C75&lt;='SOLLECITAZ NASCOSTO'!$P$6,IF(C75&lt;='SOLLECITAZ NASCOSTO'!$P$5,'SOLLECITAZ NASCOSTO'!$P$3,'SOLLECITAZ NASCOSTO'!$P$5),'SOLLECITAZ NASCOSTO'!$P$5),'SOLLECITAZ NASCOSTO'!$P$7),'SOLLECITAZ NASCOSTO'!$P$8),'SOLLECITAZ NASCOSTO'!$P$9),'SOLLECITAZ NASCOSTO'!$P$10),'SOLLECITAZ NASCOSTO'!$P$11),'SOLLECITAZ NASCOSTO'!$P$12))/IF(C75&lt;='SOLLECITAZ NASCOSTO'!$P$12,IF(C75&lt;='SOLLECITAZ NASCOSTO'!$P$11,IF(C75&lt;='SOLLECITAZ NASCOSTO'!$P$10,IF(C75&lt;='SOLLECITAZ NASCOSTO'!$P$9,IF(C75&lt;='SOLLECITAZ NASCOSTO'!$P$8,IF(C75&lt;='SOLLECITAZ NASCOSTO'!$P$7,IF(C75&lt;='SOLLECITAZ NASCOSTO'!$P$6,IF(C75&lt;='SOLLECITAZ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slu'!$C$112)+IF(C75&lt;='SOLLECITAZ NASCOSTO'!$P$12,IF(C75&lt;='SOLLECITAZ NASCOSTO'!$P$11,IF(C75&lt;='SOLLECITAZ NASCOSTO'!$P$10,IF(C75&lt;='SOLLECITAZ NASCOSTO'!$P$9,IF(C75&lt;='SOLLECITAZ NASCOSTO'!$P$8,IF(C75&lt;='SOLLECITAZ NASCOSTO'!$P$7,IF(C75&lt;='SOLLECITAZ NASCOSTO'!$P$6,IF(C75&lt;='SOLLECITAZ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6.2137676382588118</v>
      </c>
      <c r="O76" s="42">
        <f>IF(C76&lt;='SOLLECITAZ NASCOSTO'!$P$12,IF(C76&lt;='SOLLECITAZ NASCOSTO'!$P$11,IF(C76&lt;='SOLLECITAZ NASCOSTO'!$P$10,IF(C76&lt;='SOLLECITAZ NASCOSTO'!$P$9,IF(C76&lt;='SOLLECITAZ NASCOSTO'!$P$8,IF(C76&lt;='SOLLECITAZ NASCOSTO'!$P$7,IF(C76&lt;='SOLLECITAZ NASCOSTO'!$P$6,IF(C76&lt;='SOLLECITAZ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slu'!$G$111),55555)*(C76-C75)/IF(C76&lt;='SOLLECITAZ NASCOSTO'!$P$12,IF(C76&lt;='SOLLECITAZ NASCOSTO'!$P$11,IF(C76&lt;='SOLLECITAZ NASCOSTO'!$P$10,IF(C76&lt;='SOLLECITAZ NASCOSTO'!$P$9,IF(C76&lt;='SOLLECITAZ NASCOSTO'!$P$8,IF(C76&lt;='SOLLECITAZ NASCOSTO'!$P$7,IF(C76&lt;='SOLLECITAZ NASCOSTO'!$P$6,IF(C76&lt;='SOLLECITAZ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6" s="42">
        <f t="shared" si="21"/>
        <v>4.2999999999999975E-5</v>
      </c>
      <c r="Q76" s="42">
        <f t="shared" si="18"/>
        <v>1</v>
      </c>
      <c r="R76" s="441">
        <f t="shared" si="10"/>
        <v>0.30144230769230768</v>
      </c>
      <c r="S76" s="46">
        <f t="shared" si="19"/>
        <v>0.30144230769230768</v>
      </c>
      <c r="T76" s="211">
        <f t="shared" si="13"/>
        <v>3.0485576923076922</v>
      </c>
      <c r="U76" s="46">
        <f t="shared" si="16"/>
        <v>1.5684016258249842</v>
      </c>
      <c r="V76" s="46">
        <f t="shared" si="17"/>
        <v>-0.22036285953811405</v>
      </c>
      <c r="W76" s="496"/>
    </row>
    <row r="77" spans="1:27" s="428" customFormat="1" x14ac:dyDescent="0.25">
      <c r="A77" s="589">
        <f t="shared" si="11"/>
        <v>1.0817307691812772E-6</v>
      </c>
      <c r="B77" s="32">
        <f t="shared" si="22"/>
        <v>45</v>
      </c>
      <c r="C77" s="441">
        <f>'SOLLECITAZ NASCOSTO'!$D$6/'SOLLECITAZ NASCOSTO'!$B$448*'SOLLECITAZ NASCOSTO'!B77</f>
        <v>0.30829326923076922</v>
      </c>
      <c r="D77" s="441">
        <f t="shared" si="14"/>
        <v>0.30000108173076917</v>
      </c>
      <c r="E77" s="441">
        <f t="shared" si="4"/>
        <v>1.0817307691812772E-6</v>
      </c>
      <c r="F77" s="441">
        <f t="shared" si="5"/>
        <v>0.30000108173076917</v>
      </c>
      <c r="G77" s="441">
        <f t="shared" si="6"/>
        <v>4.5000324519815824E-2</v>
      </c>
      <c r="H77" s="441">
        <f t="shared" si="23"/>
        <v>0</v>
      </c>
      <c r="I77" s="441">
        <v>0</v>
      </c>
      <c r="J77" s="131">
        <f t="shared" si="24"/>
        <v>0.15000054086538459</v>
      </c>
      <c r="K77" s="130">
        <f t="shared" si="9"/>
        <v>2.2500243390300672E-3</v>
      </c>
      <c r="L77" s="42">
        <f t="shared" si="25"/>
        <v>1.6114665368952483</v>
      </c>
      <c r="M77" s="42">
        <f t="shared" si="26"/>
        <v>-0.2312554367782014</v>
      </c>
      <c r="N77" s="42">
        <f>(IF(C76&lt;='SOLLECITAZ NASCOSTO'!$P$12,IF(C76&lt;='SOLLECITAZ NASCOSTO'!$P$11,IF(C76&lt;='SOLLECITAZ NASCOSTO'!$P$10,IF(C76&lt;='SOLLECITAZ NASCOSTO'!$P$9,IF(C76&lt;='SOLLECITAZ NASCOSTO'!$P$8,IF(C76&lt;='SOLLECITAZ NASCOSTO'!$P$7,IF(C76&lt;='SOLLECITAZ NASCOSTO'!$P$6,IF(C76&lt;='SOLLECITAZ NASCOSTO'!$P$5,'Progetto del paramento slu'!$G$105,'Progetto del paramento slu'!$G$106),'Progetto del paramento slu'!$G$107),'Progetto del paramento slu'!$G$108),'Progetto del paramento slu'!$G$109),'Progetto del paramento slu'!$G$110),'Progetto del paramento slu'!$G$111),'Progetto del paramento slu'!$G$112),55555)-IF(C76&lt;='SOLLECITAZ NASCOSTO'!$P$12,IF(C76&lt;='SOLLECITAZ NASCOSTO'!$P$11,IF(C76&lt;='SOLLECITAZ NASCOSTO'!$P$10,IF(C76&lt;='SOLLECITAZ NASCOSTO'!$P$9,IF(C76&lt;='SOLLECITAZ NASCOSTO'!$P$8,IF(C76&lt;='SOLLECITAZ NASCOSTO'!$P$7,IF(C76&lt;='SOLLECITAZ NASCOSTO'!$P$6,IF(C76&lt;='SOLLECITAZ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slu'!$G$112))*(C76-IF(C76&lt;='SOLLECITAZ NASCOSTO'!$P$12,IF(C76&lt;='SOLLECITAZ NASCOSTO'!$P$11,IF(C76&lt;='SOLLECITAZ NASCOSTO'!$P$10,IF(C76&lt;='SOLLECITAZ NASCOSTO'!$P$9,IF(C76&lt;='SOLLECITAZ NASCOSTO'!$P$8,IF(C76&lt;='SOLLECITAZ NASCOSTO'!$P$7,IF(C76&lt;='SOLLECITAZ NASCOSTO'!$P$6,IF(C76&lt;='SOLLECITAZ NASCOSTO'!$P$5,'SOLLECITAZ NASCOSTO'!$P$3,'SOLLECITAZ NASCOSTO'!$P$5),'SOLLECITAZ NASCOSTO'!$P$5),'SOLLECITAZ NASCOSTO'!$P$7),'SOLLECITAZ NASCOSTO'!$P$8),'SOLLECITAZ NASCOSTO'!$P$9),'SOLLECITAZ NASCOSTO'!$P$10),'SOLLECITAZ NASCOSTO'!$P$11),'SOLLECITAZ NASCOSTO'!$P$12))/IF(C76&lt;='SOLLECITAZ NASCOSTO'!$P$12,IF(C76&lt;='SOLLECITAZ NASCOSTO'!$P$11,IF(C76&lt;='SOLLECITAZ NASCOSTO'!$P$10,IF(C76&lt;='SOLLECITAZ NASCOSTO'!$P$9,IF(C76&lt;='SOLLECITAZ NASCOSTO'!$P$8,IF(C76&lt;='SOLLECITAZ NASCOSTO'!$P$7,IF(C76&lt;='SOLLECITAZ NASCOSTO'!$P$6,IF(C76&lt;='SOLLECITAZ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slu'!$C$112)+IF(C76&lt;='SOLLECITAZ NASCOSTO'!$P$12,IF(C76&lt;='SOLLECITAZ NASCOSTO'!$P$11,IF(C76&lt;='SOLLECITAZ NASCOSTO'!$P$10,IF(C76&lt;='SOLLECITAZ NASCOSTO'!$P$9,IF(C76&lt;='SOLLECITAZ NASCOSTO'!$P$8,IF(C76&lt;='SOLLECITAZ NASCOSTO'!$P$7,IF(C76&lt;='SOLLECITAZ NASCOSTO'!$P$6,IF(C76&lt;='SOLLECITAZ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6.2618998572511639</v>
      </c>
      <c r="O77" s="42">
        <f>IF(C77&lt;='SOLLECITAZ NASCOSTO'!$P$12,IF(C77&lt;='SOLLECITAZ NASCOSTO'!$P$11,IF(C77&lt;='SOLLECITAZ NASCOSTO'!$P$10,IF(C77&lt;='SOLLECITAZ NASCOSTO'!$P$9,IF(C77&lt;='SOLLECITAZ NASCOSTO'!$P$8,IF(C77&lt;='SOLLECITAZ NASCOSTO'!$P$7,IF(C77&lt;='SOLLECITAZ NASCOSTO'!$P$6,IF(C77&lt;='SOLLECITAZ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slu'!$G$111),55555)*(C77-C76)/IF(C77&lt;='SOLLECITAZ NASCOSTO'!$P$12,IF(C77&lt;='SOLLECITAZ NASCOSTO'!$P$11,IF(C77&lt;='SOLLECITAZ NASCOSTO'!$P$10,IF(C77&lt;='SOLLECITAZ NASCOSTO'!$P$9,IF(C77&lt;='SOLLECITAZ NASCOSTO'!$P$8,IF(C77&lt;='SOLLECITAZ NASCOSTO'!$P$7,IF(C77&lt;='SOLLECITAZ NASCOSTO'!$P$6,IF(C77&lt;='SOLLECITAZ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7" s="42">
        <f t="shared" si="21"/>
        <v>4.3999999999999972E-5</v>
      </c>
      <c r="Q77" s="42">
        <f t="shared" si="18"/>
        <v>1</v>
      </c>
      <c r="R77" s="441">
        <f t="shared" si="10"/>
        <v>0.30829326923076922</v>
      </c>
      <c r="S77" s="46">
        <f t="shared" si="19"/>
        <v>0.30829326923076922</v>
      </c>
      <c r="T77" s="211">
        <f t="shared" si="13"/>
        <v>3.0417067307692309</v>
      </c>
      <c r="U77" s="46">
        <f t="shared" si="16"/>
        <v>1.6114665368952483</v>
      </c>
      <c r="V77" s="46">
        <f t="shared" si="17"/>
        <v>-0.2312554367782014</v>
      </c>
      <c r="W77" s="496"/>
    </row>
    <row r="78" spans="1:27" s="428" customFormat="1" x14ac:dyDescent="0.25">
      <c r="A78" s="589">
        <f t="shared" si="11"/>
        <v>1.105769230735909E-6</v>
      </c>
      <c r="B78" s="32">
        <f t="shared" si="22"/>
        <v>46</v>
      </c>
      <c r="C78" s="441">
        <f>'SOLLECITAZ NASCOSTO'!$D$6/'SOLLECITAZ NASCOSTO'!$B$448*'SOLLECITAZ NASCOSTO'!B78</f>
        <v>0.31514423076923076</v>
      </c>
      <c r="D78" s="441">
        <f t="shared" si="14"/>
        <v>0.30000110576923072</v>
      </c>
      <c r="E78" s="441">
        <f t="shared" si="4"/>
        <v>1.105769230735909E-6</v>
      </c>
      <c r="F78" s="441">
        <f t="shared" si="5"/>
        <v>0.30000110576923072</v>
      </c>
      <c r="G78" s="441">
        <f t="shared" si="6"/>
        <v>4.5000331731380579E-2</v>
      </c>
      <c r="H78" s="441">
        <f t="shared" si="23"/>
        <v>0</v>
      </c>
      <c r="I78" s="441">
        <v>0</v>
      </c>
      <c r="J78" s="131">
        <f t="shared" si="24"/>
        <v>0.15000055288461536</v>
      </c>
      <c r="K78" s="130">
        <f t="shared" si="9"/>
        <v>2.2500248798993957E-3</v>
      </c>
      <c r="L78" s="42">
        <f t="shared" si="25"/>
        <v>1.6548611999465899</v>
      </c>
      <c r="M78" s="42">
        <f t="shared" si="26"/>
        <v>-0.24244417962675818</v>
      </c>
      <c r="N78" s="42">
        <f>(IF(C77&lt;='SOLLECITAZ NASCOSTO'!$P$12,IF(C77&lt;='SOLLECITAZ NASCOSTO'!$P$11,IF(C77&lt;='SOLLECITAZ NASCOSTO'!$P$10,IF(C77&lt;='SOLLECITAZ NASCOSTO'!$P$9,IF(C77&lt;='SOLLECITAZ NASCOSTO'!$P$8,IF(C77&lt;='SOLLECITAZ NASCOSTO'!$P$7,IF(C77&lt;='SOLLECITAZ NASCOSTO'!$P$6,IF(C77&lt;='SOLLECITAZ NASCOSTO'!$P$5,'Progetto del paramento slu'!$G$105,'Progetto del paramento slu'!$G$106),'Progetto del paramento slu'!$G$107),'Progetto del paramento slu'!$G$108),'Progetto del paramento slu'!$G$109),'Progetto del paramento slu'!$G$110),'Progetto del paramento slu'!$G$111),'Progetto del paramento slu'!$G$112),55555)-IF(C77&lt;='SOLLECITAZ NASCOSTO'!$P$12,IF(C77&lt;='SOLLECITAZ NASCOSTO'!$P$11,IF(C77&lt;='SOLLECITAZ NASCOSTO'!$P$10,IF(C77&lt;='SOLLECITAZ NASCOSTO'!$P$9,IF(C77&lt;='SOLLECITAZ NASCOSTO'!$P$8,IF(C77&lt;='SOLLECITAZ NASCOSTO'!$P$7,IF(C77&lt;='SOLLECITAZ NASCOSTO'!$P$6,IF(C77&lt;='SOLLECITAZ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slu'!$G$112))*(C77-IF(C77&lt;='SOLLECITAZ NASCOSTO'!$P$12,IF(C77&lt;='SOLLECITAZ NASCOSTO'!$P$11,IF(C77&lt;='SOLLECITAZ NASCOSTO'!$P$10,IF(C77&lt;='SOLLECITAZ NASCOSTO'!$P$9,IF(C77&lt;='SOLLECITAZ NASCOSTO'!$P$8,IF(C77&lt;='SOLLECITAZ NASCOSTO'!$P$7,IF(C77&lt;='SOLLECITAZ NASCOSTO'!$P$6,IF(C77&lt;='SOLLECITAZ NASCOSTO'!$P$5,'SOLLECITAZ NASCOSTO'!$P$3,'SOLLECITAZ NASCOSTO'!$P$5),'SOLLECITAZ NASCOSTO'!$P$5),'SOLLECITAZ NASCOSTO'!$P$7),'SOLLECITAZ NASCOSTO'!$P$8),'SOLLECITAZ NASCOSTO'!$P$9),'SOLLECITAZ NASCOSTO'!$P$10),'SOLLECITAZ NASCOSTO'!$P$11),'SOLLECITAZ NASCOSTO'!$P$12))/IF(C77&lt;='SOLLECITAZ NASCOSTO'!$P$12,IF(C77&lt;='SOLLECITAZ NASCOSTO'!$P$11,IF(C77&lt;='SOLLECITAZ NASCOSTO'!$P$10,IF(C77&lt;='SOLLECITAZ NASCOSTO'!$P$9,IF(C77&lt;='SOLLECITAZ NASCOSTO'!$P$8,IF(C77&lt;='SOLLECITAZ NASCOSTO'!$P$7,IF(C77&lt;='SOLLECITAZ NASCOSTO'!$P$6,IF(C77&lt;='SOLLECITAZ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slu'!$C$112)+IF(C77&lt;='SOLLECITAZ NASCOSTO'!$P$12,IF(C77&lt;='SOLLECITAZ NASCOSTO'!$P$11,IF(C77&lt;='SOLLECITAZ NASCOSTO'!$P$10,IF(C77&lt;='SOLLECITAZ NASCOSTO'!$P$9,IF(C77&lt;='SOLLECITAZ NASCOSTO'!$P$8,IF(C77&lt;='SOLLECITAZ NASCOSTO'!$P$7,IF(C77&lt;='SOLLECITAZ NASCOSTO'!$P$6,IF(C77&lt;='SOLLECITAZ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6.310032076243516</v>
      </c>
      <c r="O78" s="42">
        <f>IF(C78&lt;='SOLLECITAZ NASCOSTO'!$P$12,IF(C78&lt;='SOLLECITAZ NASCOSTO'!$P$11,IF(C78&lt;='SOLLECITAZ NASCOSTO'!$P$10,IF(C78&lt;='SOLLECITAZ NASCOSTO'!$P$9,IF(C78&lt;='SOLLECITAZ NASCOSTO'!$P$8,IF(C78&lt;='SOLLECITAZ NASCOSTO'!$P$7,IF(C78&lt;='SOLLECITAZ NASCOSTO'!$P$6,IF(C78&lt;='SOLLECITAZ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slu'!$G$111),55555)*(C78-C77)/IF(C78&lt;='SOLLECITAZ NASCOSTO'!$P$12,IF(C78&lt;='SOLLECITAZ NASCOSTO'!$P$11,IF(C78&lt;='SOLLECITAZ NASCOSTO'!$P$10,IF(C78&lt;='SOLLECITAZ NASCOSTO'!$P$9,IF(C78&lt;='SOLLECITAZ NASCOSTO'!$P$8,IF(C78&lt;='SOLLECITAZ NASCOSTO'!$P$7,IF(C78&lt;='SOLLECITAZ NASCOSTO'!$P$6,IF(C78&lt;='SOLLECITAZ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8" s="42">
        <f t="shared" si="21"/>
        <v>4.4999999999999969E-5</v>
      </c>
      <c r="Q78" s="42">
        <f t="shared" si="18"/>
        <v>1</v>
      </c>
      <c r="R78" s="441">
        <f t="shared" si="10"/>
        <v>0.31514423076923076</v>
      </c>
      <c r="S78" s="46">
        <f t="shared" si="19"/>
        <v>0.31514423076923076</v>
      </c>
      <c r="T78" s="211">
        <f t="shared" si="13"/>
        <v>3.0348557692307692</v>
      </c>
      <c r="U78" s="46">
        <f t="shared" si="16"/>
        <v>1.6548611999465899</v>
      </c>
      <c r="V78" s="46">
        <f t="shared" si="17"/>
        <v>-0.24244417962675818</v>
      </c>
      <c r="W78" s="496"/>
    </row>
    <row r="79" spans="1:27" s="428" customFormat="1" x14ac:dyDescent="0.25">
      <c r="A79" s="589">
        <f t="shared" si="11"/>
        <v>1.1298076922905409E-6</v>
      </c>
      <c r="B79" s="32">
        <f t="shared" si="22"/>
        <v>47</v>
      </c>
      <c r="C79" s="441">
        <f>'SOLLECITAZ NASCOSTO'!$D$6/'SOLLECITAZ NASCOSTO'!$B$448*'SOLLECITAZ NASCOSTO'!B79</f>
        <v>0.3219951923076923</v>
      </c>
      <c r="D79" s="441">
        <f t="shared" si="14"/>
        <v>0.30000112980769228</v>
      </c>
      <c r="E79" s="441">
        <f t="shared" si="4"/>
        <v>1.1298076922905409E-6</v>
      </c>
      <c r="F79" s="441">
        <f t="shared" si="5"/>
        <v>0.30000112980769228</v>
      </c>
      <c r="G79" s="441">
        <f t="shared" si="6"/>
        <v>4.5000338942945917E-2</v>
      </c>
      <c r="H79" s="441">
        <f t="shared" si="23"/>
        <v>0</v>
      </c>
      <c r="I79" s="441">
        <v>0</v>
      </c>
      <c r="J79" s="131">
        <f t="shared" si="24"/>
        <v>0.15000056490384614</v>
      </c>
      <c r="K79" s="130">
        <f t="shared" si="9"/>
        <v>2.2500254207688114E-3</v>
      </c>
      <c r="L79" s="42">
        <f t="shared" si="25"/>
        <v>1.6985856149790088</v>
      </c>
      <c r="M79" s="42">
        <f t="shared" si="26"/>
        <v>-0.25393134720192401</v>
      </c>
      <c r="N79" s="42">
        <f>(IF(C78&lt;='SOLLECITAZ NASCOSTO'!$P$12,IF(C78&lt;='SOLLECITAZ NASCOSTO'!$P$11,IF(C78&lt;='SOLLECITAZ NASCOSTO'!$P$10,IF(C78&lt;='SOLLECITAZ NASCOSTO'!$P$9,IF(C78&lt;='SOLLECITAZ NASCOSTO'!$P$8,IF(C78&lt;='SOLLECITAZ NASCOSTO'!$P$7,IF(C78&lt;='SOLLECITAZ NASCOSTO'!$P$6,IF(C78&lt;='SOLLECITAZ NASCOSTO'!$P$5,'Progetto del paramento slu'!$G$105,'Progetto del paramento slu'!$G$106),'Progetto del paramento slu'!$G$107),'Progetto del paramento slu'!$G$108),'Progetto del paramento slu'!$G$109),'Progetto del paramento slu'!$G$110),'Progetto del paramento slu'!$G$111),'Progetto del paramento slu'!$G$112),55555)-IF(C78&lt;='SOLLECITAZ NASCOSTO'!$P$12,IF(C78&lt;='SOLLECITAZ NASCOSTO'!$P$11,IF(C78&lt;='SOLLECITAZ NASCOSTO'!$P$10,IF(C78&lt;='SOLLECITAZ NASCOSTO'!$P$9,IF(C78&lt;='SOLLECITAZ NASCOSTO'!$P$8,IF(C78&lt;='SOLLECITAZ NASCOSTO'!$P$7,IF(C78&lt;='SOLLECITAZ NASCOSTO'!$P$6,IF(C78&lt;='SOLLECITAZ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slu'!$G$112))*(C78-IF(C78&lt;='SOLLECITAZ NASCOSTO'!$P$12,IF(C78&lt;='SOLLECITAZ NASCOSTO'!$P$11,IF(C78&lt;='SOLLECITAZ NASCOSTO'!$P$10,IF(C78&lt;='SOLLECITAZ NASCOSTO'!$P$9,IF(C78&lt;='SOLLECITAZ NASCOSTO'!$P$8,IF(C78&lt;='SOLLECITAZ NASCOSTO'!$P$7,IF(C78&lt;='SOLLECITAZ NASCOSTO'!$P$6,IF(C78&lt;='SOLLECITAZ NASCOSTO'!$P$5,'SOLLECITAZ NASCOSTO'!$P$3,'SOLLECITAZ NASCOSTO'!$P$5),'SOLLECITAZ NASCOSTO'!$P$5),'SOLLECITAZ NASCOSTO'!$P$7),'SOLLECITAZ NASCOSTO'!$P$8),'SOLLECITAZ NASCOSTO'!$P$9),'SOLLECITAZ NASCOSTO'!$P$10),'SOLLECITAZ NASCOSTO'!$P$11),'SOLLECITAZ NASCOSTO'!$P$12))/IF(C78&lt;='SOLLECITAZ NASCOSTO'!$P$12,IF(C78&lt;='SOLLECITAZ NASCOSTO'!$P$11,IF(C78&lt;='SOLLECITAZ NASCOSTO'!$P$10,IF(C78&lt;='SOLLECITAZ NASCOSTO'!$P$9,IF(C78&lt;='SOLLECITAZ NASCOSTO'!$P$8,IF(C78&lt;='SOLLECITAZ NASCOSTO'!$P$7,IF(C78&lt;='SOLLECITAZ NASCOSTO'!$P$6,IF(C78&lt;='SOLLECITAZ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slu'!$C$112)+IF(C78&lt;='SOLLECITAZ NASCOSTO'!$P$12,IF(C78&lt;='SOLLECITAZ NASCOSTO'!$P$11,IF(C78&lt;='SOLLECITAZ NASCOSTO'!$P$10,IF(C78&lt;='SOLLECITAZ NASCOSTO'!$P$9,IF(C78&lt;='SOLLECITAZ NASCOSTO'!$P$8,IF(C78&lt;='SOLLECITAZ NASCOSTO'!$P$7,IF(C78&lt;='SOLLECITAZ NASCOSTO'!$P$6,IF(C78&lt;='SOLLECITAZ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6.358164295235869</v>
      </c>
      <c r="O79" s="42">
        <f>IF(C79&lt;='SOLLECITAZ NASCOSTO'!$P$12,IF(C79&lt;='SOLLECITAZ NASCOSTO'!$P$11,IF(C79&lt;='SOLLECITAZ NASCOSTO'!$P$10,IF(C79&lt;='SOLLECITAZ NASCOSTO'!$P$9,IF(C79&lt;='SOLLECITAZ NASCOSTO'!$P$8,IF(C79&lt;='SOLLECITAZ NASCOSTO'!$P$7,IF(C79&lt;='SOLLECITAZ NASCOSTO'!$P$6,IF(C79&lt;='SOLLECITAZ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slu'!$G$111),55555)*(C79-C78)/IF(C79&lt;='SOLLECITAZ NASCOSTO'!$P$12,IF(C79&lt;='SOLLECITAZ NASCOSTO'!$P$11,IF(C79&lt;='SOLLECITAZ NASCOSTO'!$P$10,IF(C79&lt;='SOLLECITAZ NASCOSTO'!$P$9,IF(C79&lt;='SOLLECITAZ NASCOSTO'!$P$8,IF(C79&lt;='SOLLECITAZ NASCOSTO'!$P$7,IF(C79&lt;='SOLLECITAZ NASCOSTO'!$P$6,IF(C79&lt;='SOLLECITAZ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79" s="42">
        <f t="shared" si="21"/>
        <v>4.5999999999999966E-5</v>
      </c>
      <c r="Q79" s="42">
        <f t="shared" si="18"/>
        <v>1</v>
      </c>
      <c r="R79" s="441">
        <f t="shared" si="10"/>
        <v>0.3219951923076923</v>
      </c>
      <c r="S79" s="46">
        <f t="shared" si="19"/>
        <v>0.3219951923076923</v>
      </c>
      <c r="T79" s="211">
        <f t="shared" si="13"/>
        <v>3.0280048076923078</v>
      </c>
      <c r="U79" s="46">
        <f t="shared" si="16"/>
        <v>1.6985856149790088</v>
      </c>
      <c r="V79" s="46">
        <f t="shared" si="17"/>
        <v>-0.25393134720192401</v>
      </c>
      <c r="W79" s="496"/>
    </row>
    <row r="80" spans="1:27" s="428" customFormat="1" x14ac:dyDescent="0.25">
      <c r="A80" s="589">
        <f t="shared" si="11"/>
        <v>1.1538461538451728E-6</v>
      </c>
      <c r="B80" s="32">
        <f t="shared" si="22"/>
        <v>48</v>
      </c>
      <c r="C80" s="441">
        <f>'SOLLECITAZ NASCOSTO'!$D$6/'SOLLECITAZ NASCOSTO'!$B$448*'SOLLECITAZ NASCOSTO'!B80</f>
        <v>0.32884615384615384</v>
      </c>
      <c r="D80" s="441">
        <f t="shared" si="14"/>
        <v>0.30000115384615383</v>
      </c>
      <c r="E80" s="441">
        <f t="shared" si="4"/>
        <v>1.1538461538451728E-6</v>
      </c>
      <c r="F80" s="441">
        <f t="shared" si="5"/>
        <v>0.30000115384615383</v>
      </c>
      <c r="G80" s="441">
        <f t="shared" si="6"/>
        <v>4.5000346154511831E-2</v>
      </c>
      <c r="H80" s="441">
        <f t="shared" si="23"/>
        <v>0</v>
      </c>
      <c r="I80" s="441">
        <v>0</v>
      </c>
      <c r="J80" s="131">
        <f t="shared" si="24"/>
        <v>0.15000057692307692</v>
      </c>
      <c r="K80" s="130">
        <f t="shared" si="9"/>
        <v>2.2500259616383134E-3</v>
      </c>
      <c r="L80" s="42">
        <f t="shared" si="25"/>
        <v>1.7426397819925052</v>
      </c>
      <c r="M80" s="42">
        <f t="shared" si="26"/>
        <v>-0.26571919862183846</v>
      </c>
      <c r="N80" s="42">
        <f>(IF(C79&lt;='SOLLECITAZ NASCOSTO'!$P$12,IF(C79&lt;='SOLLECITAZ NASCOSTO'!$P$11,IF(C79&lt;='SOLLECITAZ NASCOSTO'!$P$10,IF(C79&lt;='SOLLECITAZ NASCOSTO'!$P$9,IF(C79&lt;='SOLLECITAZ NASCOSTO'!$P$8,IF(C79&lt;='SOLLECITAZ NASCOSTO'!$P$7,IF(C79&lt;='SOLLECITAZ NASCOSTO'!$P$6,IF(C79&lt;='SOLLECITAZ NASCOSTO'!$P$5,'Progetto del paramento slu'!$G$105,'Progetto del paramento slu'!$G$106),'Progetto del paramento slu'!$G$107),'Progetto del paramento slu'!$G$108),'Progetto del paramento slu'!$G$109),'Progetto del paramento slu'!$G$110),'Progetto del paramento slu'!$G$111),'Progetto del paramento slu'!$G$112),55555)-IF(C79&lt;='SOLLECITAZ NASCOSTO'!$P$12,IF(C79&lt;='SOLLECITAZ NASCOSTO'!$P$11,IF(C79&lt;='SOLLECITAZ NASCOSTO'!$P$10,IF(C79&lt;='SOLLECITAZ NASCOSTO'!$P$9,IF(C79&lt;='SOLLECITAZ NASCOSTO'!$P$8,IF(C79&lt;='SOLLECITAZ NASCOSTO'!$P$7,IF(C79&lt;='SOLLECITAZ NASCOSTO'!$P$6,IF(C79&lt;='SOLLECITAZ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slu'!$G$112))*(C79-IF(C79&lt;='SOLLECITAZ NASCOSTO'!$P$12,IF(C79&lt;='SOLLECITAZ NASCOSTO'!$P$11,IF(C79&lt;='SOLLECITAZ NASCOSTO'!$P$10,IF(C79&lt;='SOLLECITAZ NASCOSTO'!$P$9,IF(C79&lt;='SOLLECITAZ NASCOSTO'!$P$8,IF(C79&lt;='SOLLECITAZ NASCOSTO'!$P$7,IF(C79&lt;='SOLLECITAZ NASCOSTO'!$P$6,IF(C79&lt;='SOLLECITAZ NASCOSTO'!$P$5,'SOLLECITAZ NASCOSTO'!$P$3,'SOLLECITAZ NASCOSTO'!$P$5),'SOLLECITAZ NASCOSTO'!$P$5),'SOLLECITAZ NASCOSTO'!$P$7),'SOLLECITAZ NASCOSTO'!$P$8),'SOLLECITAZ NASCOSTO'!$P$9),'SOLLECITAZ NASCOSTO'!$P$10),'SOLLECITAZ NASCOSTO'!$P$11),'SOLLECITAZ NASCOSTO'!$P$12))/IF(C79&lt;='SOLLECITAZ NASCOSTO'!$P$12,IF(C79&lt;='SOLLECITAZ NASCOSTO'!$P$11,IF(C79&lt;='SOLLECITAZ NASCOSTO'!$P$10,IF(C79&lt;='SOLLECITAZ NASCOSTO'!$P$9,IF(C79&lt;='SOLLECITAZ NASCOSTO'!$P$8,IF(C79&lt;='SOLLECITAZ NASCOSTO'!$P$7,IF(C79&lt;='SOLLECITAZ NASCOSTO'!$P$6,IF(C79&lt;='SOLLECITAZ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slu'!$C$112)+IF(C79&lt;='SOLLECITAZ NASCOSTO'!$P$12,IF(C79&lt;='SOLLECITAZ NASCOSTO'!$P$11,IF(C79&lt;='SOLLECITAZ NASCOSTO'!$P$10,IF(C79&lt;='SOLLECITAZ NASCOSTO'!$P$9,IF(C79&lt;='SOLLECITAZ NASCOSTO'!$P$8,IF(C79&lt;='SOLLECITAZ NASCOSTO'!$P$7,IF(C79&lt;='SOLLECITAZ NASCOSTO'!$P$6,IF(C79&lt;='SOLLECITAZ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6.406296514228222</v>
      </c>
      <c r="O80" s="42">
        <f>IF(C80&lt;='SOLLECITAZ NASCOSTO'!$P$12,IF(C80&lt;='SOLLECITAZ NASCOSTO'!$P$11,IF(C80&lt;='SOLLECITAZ NASCOSTO'!$P$10,IF(C80&lt;='SOLLECITAZ NASCOSTO'!$P$9,IF(C80&lt;='SOLLECITAZ NASCOSTO'!$P$8,IF(C80&lt;='SOLLECITAZ NASCOSTO'!$P$7,IF(C80&lt;='SOLLECITAZ NASCOSTO'!$P$6,IF(C80&lt;='SOLLECITAZ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slu'!$G$111),55555)*(C80-C79)/IF(C80&lt;='SOLLECITAZ NASCOSTO'!$P$12,IF(C80&lt;='SOLLECITAZ NASCOSTO'!$P$11,IF(C80&lt;='SOLLECITAZ NASCOSTO'!$P$10,IF(C80&lt;='SOLLECITAZ NASCOSTO'!$P$9,IF(C80&lt;='SOLLECITAZ NASCOSTO'!$P$8,IF(C80&lt;='SOLLECITAZ NASCOSTO'!$P$7,IF(C80&lt;='SOLLECITAZ NASCOSTO'!$P$6,IF(C80&lt;='SOLLECITAZ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0" s="42">
        <f t="shared" si="21"/>
        <v>4.6999999999999963E-5</v>
      </c>
      <c r="Q80" s="42">
        <f t="shared" si="18"/>
        <v>1</v>
      </c>
      <c r="R80" s="441">
        <f t="shared" si="10"/>
        <v>0.32884615384615384</v>
      </c>
      <c r="S80" s="46">
        <f t="shared" si="19"/>
        <v>0.32884615384615384</v>
      </c>
      <c r="T80" s="211">
        <f t="shared" si="13"/>
        <v>3.0211538461538461</v>
      </c>
      <c r="U80" s="46">
        <f t="shared" si="16"/>
        <v>1.7426397819925052</v>
      </c>
      <c r="V80" s="46">
        <f t="shared" si="17"/>
        <v>-0.26571919862183846</v>
      </c>
      <c r="W80" s="496"/>
      <c r="X80" s="497"/>
      <c r="Y80" s="497"/>
      <c r="Z80" s="498"/>
      <c r="AA80" s="47"/>
    </row>
    <row r="81" spans="1:28" s="428" customFormat="1" x14ac:dyDescent="0.25">
      <c r="A81" s="589">
        <f t="shared" si="11"/>
        <v>1.1778846153442935E-6</v>
      </c>
      <c r="B81" s="32">
        <f t="shared" si="22"/>
        <v>49</v>
      </c>
      <c r="C81" s="441">
        <f>'SOLLECITAZ NASCOSTO'!$D$6/'SOLLECITAZ NASCOSTO'!$B$448*'SOLLECITAZ NASCOSTO'!B81</f>
        <v>0.33569711538461539</v>
      </c>
      <c r="D81" s="441">
        <f t="shared" si="14"/>
        <v>0.30000117788461533</v>
      </c>
      <c r="E81" s="441">
        <f t="shared" si="4"/>
        <v>1.1778846153442935E-6</v>
      </c>
      <c r="F81" s="441">
        <f t="shared" si="5"/>
        <v>0.30000117788461533</v>
      </c>
      <c r="G81" s="441">
        <f t="shared" si="6"/>
        <v>4.5000353366078306E-2</v>
      </c>
      <c r="H81" s="441">
        <f t="shared" si="23"/>
        <v>0</v>
      </c>
      <c r="I81" s="441">
        <v>0</v>
      </c>
      <c r="J81" s="131">
        <f t="shared" si="24"/>
        <v>0.15000058894230767</v>
      </c>
      <c r="K81" s="130">
        <f t="shared" si="9"/>
        <v>2.2500265025079012E-3</v>
      </c>
      <c r="L81" s="42">
        <f t="shared" si="25"/>
        <v>1.7870237009870791</v>
      </c>
      <c r="M81" s="42">
        <f t="shared" si="26"/>
        <v>-0.27780999300464115</v>
      </c>
      <c r="N81" s="42">
        <f>(IF(C80&lt;='SOLLECITAZ NASCOSTO'!$P$12,IF(C80&lt;='SOLLECITAZ NASCOSTO'!$P$11,IF(C80&lt;='SOLLECITAZ NASCOSTO'!$P$10,IF(C80&lt;='SOLLECITAZ NASCOSTO'!$P$9,IF(C80&lt;='SOLLECITAZ NASCOSTO'!$P$8,IF(C80&lt;='SOLLECITAZ NASCOSTO'!$P$7,IF(C80&lt;='SOLLECITAZ NASCOSTO'!$P$6,IF(C80&lt;='SOLLECITAZ NASCOSTO'!$P$5,'Progetto del paramento slu'!$G$105,'Progetto del paramento slu'!$G$106),'Progetto del paramento slu'!$G$107),'Progetto del paramento slu'!$G$108),'Progetto del paramento slu'!$G$109),'Progetto del paramento slu'!$G$110),'Progetto del paramento slu'!$G$111),'Progetto del paramento slu'!$G$112),55555)-IF(C80&lt;='SOLLECITAZ NASCOSTO'!$P$12,IF(C80&lt;='SOLLECITAZ NASCOSTO'!$P$11,IF(C80&lt;='SOLLECITAZ NASCOSTO'!$P$10,IF(C80&lt;='SOLLECITAZ NASCOSTO'!$P$9,IF(C80&lt;='SOLLECITAZ NASCOSTO'!$P$8,IF(C80&lt;='SOLLECITAZ NASCOSTO'!$P$7,IF(C80&lt;='SOLLECITAZ NASCOSTO'!$P$6,IF(C80&lt;='SOLLECITAZ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slu'!$G$112))*(C80-IF(C80&lt;='SOLLECITAZ NASCOSTO'!$P$12,IF(C80&lt;='SOLLECITAZ NASCOSTO'!$P$11,IF(C80&lt;='SOLLECITAZ NASCOSTO'!$P$10,IF(C80&lt;='SOLLECITAZ NASCOSTO'!$P$9,IF(C80&lt;='SOLLECITAZ NASCOSTO'!$P$8,IF(C80&lt;='SOLLECITAZ NASCOSTO'!$P$7,IF(C80&lt;='SOLLECITAZ NASCOSTO'!$P$6,IF(C80&lt;='SOLLECITAZ NASCOSTO'!$P$5,'SOLLECITAZ NASCOSTO'!$P$3,'SOLLECITAZ NASCOSTO'!$P$5),'SOLLECITAZ NASCOSTO'!$P$5),'SOLLECITAZ NASCOSTO'!$P$7),'SOLLECITAZ NASCOSTO'!$P$8),'SOLLECITAZ NASCOSTO'!$P$9),'SOLLECITAZ NASCOSTO'!$P$10),'SOLLECITAZ NASCOSTO'!$P$11),'SOLLECITAZ NASCOSTO'!$P$12))/IF(C80&lt;='SOLLECITAZ NASCOSTO'!$P$12,IF(C80&lt;='SOLLECITAZ NASCOSTO'!$P$11,IF(C80&lt;='SOLLECITAZ NASCOSTO'!$P$10,IF(C80&lt;='SOLLECITAZ NASCOSTO'!$P$9,IF(C80&lt;='SOLLECITAZ NASCOSTO'!$P$8,IF(C80&lt;='SOLLECITAZ NASCOSTO'!$P$7,IF(C80&lt;='SOLLECITAZ NASCOSTO'!$P$6,IF(C80&lt;='SOLLECITAZ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slu'!$C$112)+IF(C80&lt;='SOLLECITAZ NASCOSTO'!$P$12,IF(C80&lt;='SOLLECITAZ NASCOSTO'!$P$11,IF(C80&lt;='SOLLECITAZ NASCOSTO'!$P$10,IF(C80&lt;='SOLLECITAZ NASCOSTO'!$P$9,IF(C80&lt;='SOLLECITAZ NASCOSTO'!$P$8,IF(C80&lt;='SOLLECITAZ NASCOSTO'!$P$7,IF(C80&lt;='SOLLECITAZ NASCOSTO'!$P$6,IF(C80&lt;='SOLLECITAZ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6.4544287332205741</v>
      </c>
      <c r="O81" s="42">
        <f>IF(C81&lt;='SOLLECITAZ NASCOSTO'!$P$12,IF(C81&lt;='SOLLECITAZ NASCOSTO'!$P$11,IF(C81&lt;='SOLLECITAZ NASCOSTO'!$P$10,IF(C81&lt;='SOLLECITAZ NASCOSTO'!$P$9,IF(C81&lt;='SOLLECITAZ NASCOSTO'!$P$8,IF(C81&lt;='SOLLECITAZ NASCOSTO'!$P$7,IF(C81&lt;='SOLLECITAZ NASCOSTO'!$P$6,IF(C81&lt;='SOLLECITAZ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slu'!$G$111),55555)*(C81-C80)/IF(C81&lt;='SOLLECITAZ NASCOSTO'!$P$12,IF(C81&lt;='SOLLECITAZ NASCOSTO'!$P$11,IF(C81&lt;='SOLLECITAZ NASCOSTO'!$P$10,IF(C81&lt;='SOLLECITAZ NASCOSTO'!$P$9,IF(C81&lt;='SOLLECITAZ NASCOSTO'!$P$8,IF(C81&lt;='SOLLECITAZ NASCOSTO'!$P$7,IF(C81&lt;='SOLLECITAZ NASCOSTO'!$P$6,IF(C81&lt;='SOLLECITAZ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1" s="42">
        <f t="shared" si="21"/>
        <v>4.7999999999999961E-5</v>
      </c>
      <c r="Q81" s="42">
        <f t="shared" si="18"/>
        <v>1</v>
      </c>
      <c r="R81" s="441">
        <f t="shared" si="10"/>
        <v>0.33569711538461539</v>
      </c>
      <c r="S81" s="46">
        <f t="shared" si="19"/>
        <v>0.33569711538461539</v>
      </c>
      <c r="T81" s="211">
        <f t="shared" si="13"/>
        <v>3.0143028846153848</v>
      </c>
      <c r="U81" s="46">
        <f t="shared" si="16"/>
        <v>1.7870237009870791</v>
      </c>
      <c r="V81" s="46">
        <f t="shared" si="17"/>
        <v>-0.27780999300464115</v>
      </c>
      <c r="W81" s="496"/>
      <c r="X81" s="1031" t="s">
        <v>848</v>
      </c>
      <c r="Y81" s="1031"/>
      <c r="Z81" s="1031"/>
      <c r="AA81" s="47"/>
    </row>
    <row r="82" spans="1:28" s="428" customFormat="1" x14ac:dyDescent="0.25">
      <c r="A82" s="589">
        <f t="shared" si="11"/>
        <v>1.2019230768989253E-6</v>
      </c>
      <c r="B82" s="32">
        <f t="shared" si="22"/>
        <v>50</v>
      </c>
      <c r="C82" s="441">
        <f>'SOLLECITAZ NASCOSTO'!$D$6/'SOLLECITAZ NASCOSTO'!$B$448*'SOLLECITAZ NASCOSTO'!B82</f>
        <v>0.34254807692307693</v>
      </c>
      <c r="D82" s="441">
        <f t="shared" si="14"/>
        <v>0.30000120192307689</v>
      </c>
      <c r="E82" s="441">
        <f t="shared" si="4"/>
        <v>1.2019230768989253E-6</v>
      </c>
      <c r="F82" s="441">
        <f t="shared" si="5"/>
        <v>0.30000120192307689</v>
      </c>
      <c r="G82" s="441">
        <f t="shared" si="6"/>
        <v>4.5000360577645379E-2</v>
      </c>
      <c r="H82" s="441">
        <f t="shared" si="23"/>
        <v>0</v>
      </c>
      <c r="I82" s="441">
        <v>0</v>
      </c>
      <c r="J82" s="131">
        <f t="shared" si="24"/>
        <v>0.15000060096153844</v>
      </c>
      <c r="K82" s="130">
        <f t="shared" si="9"/>
        <v>2.2500270433775766E-3</v>
      </c>
      <c r="L82" s="42">
        <f t="shared" si="25"/>
        <v>1.8317373719627303</v>
      </c>
      <c r="M82" s="42">
        <f t="shared" si="26"/>
        <v>-0.29020598946847165</v>
      </c>
      <c r="N82" s="42">
        <f>(IF(C81&lt;='SOLLECITAZ NASCOSTO'!$P$12,IF(C81&lt;='SOLLECITAZ NASCOSTO'!$P$11,IF(C81&lt;='SOLLECITAZ NASCOSTO'!$P$10,IF(C81&lt;='SOLLECITAZ NASCOSTO'!$P$9,IF(C81&lt;='SOLLECITAZ NASCOSTO'!$P$8,IF(C81&lt;='SOLLECITAZ NASCOSTO'!$P$7,IF(C81&lt;='SOLLECITAZ NASCOSTO'!$P$6,IF(C81&lt;='SOLLECITAZ NASCOSTO'!$P$5,'Progetto del paramento slu'!$G$105,'Progetto del paramento slu'!$G$106),'Progetto del paramento slu'!$G$107),'Progetto del paramento slu'!$G$108),'Progetto del paramento slu'!$G$109),'Progetto del paramento slu'!$G$110),'Progetto del paramento slu'!$G$111),'Progetto del paramento slu'!$G$112),55555)-IF(C81&lt;='SOLLECITAZ NASCOSTO'!$P$12,IF(C81&lt;='SOLLECITAZ NASCOSTO'!$P$11,IF(C81&lt;='SOLLECITAZ NASCOSTO'!$P$10,IF(C81&lt;='SOLLECITAZ NASCOSTO'!$P$9,IF(C81&lt;='SOLLECITAZ NASCOSTO'!$P$8,IF(C81&lt;='SOLLECITAZ NASCOSTO'!$P$7,IF(C81&lt;='SOLLECITAZ NASCOSTO'!$P$6,IF(C81&lt;='SOLLECITAZ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slu'!$G$112))*(C81-IF(C81&lt;='SOLLECITAZ NASCOSTO'!$P$12,IF(C81&lt;='SOLLECITAZ NASCOSTO'!$P$11,IF(C81&lt;='SOLLECITAZ NASCOSTO'!$P$10,IF(C81&lt;='SOLLECITAZ NASCOSTO'!$P$9,IF(C81&lt;='SOLLECITAZ NASCOSTO'!$P$8,IF(C81&lt;='SOLLECITAZ NASCOSTO'!$P$7,IF(C81&lt;='SOLLECITAZ NASCOSTO'!$P$6,IF(C81&lt;='SOLLECITAZ NASCOSTO'!$P$5,'SOLLECITAZ NASCOSTO'!$P$3,'SOLLECITAZ NASCOSTO'!$P$5),'SOLLECITAZ NASCOSTO'!$P$5),'SOLLECITAZ NASCOSTO'!$P$7),'SOLLECITAZ NASCOSTO'!$P$8),'SOLLECITAZ NASCOSTO'!$P$9),'SOLLECITAZ NASCOSTO'!$P$10),'SOLLECITAZ NASCOSTO'!$P$11),'SOLLECITAZ NASCOSTO'!$P$12))/IF(C81&lt;='SOLLECITAZ NASCOSTO'!$P$12,IF(C81&lt;='SOLLECITAZ NASCOSTO'!$P$11,IF(C81&lt;='SOLLECITAZ NASCOSTO'!$P$10,IF(C81&lt;='SOLLECITAZ NASCOSTO'!$P$9,IF(C81&lt;='SOLLECITAZ NASCOSTO'!$P$8,IF(C81&lt;='SOLLECITAZ NASCOSTO'!$P$7,IF(C81&lt;='SOLLECITAZ NASCOSTO'!$P$6,IF(C81&lt;='SOLLECITAZ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slu'!$C$112)+IF(C81&lt;='SOLLECITAZ NASCOSTO'!$P$12,IF(C81&lt;='SOLLECITAZ NASCOSTO'!$P$11,IF(C81&lt;='SOLLECITAZ NASCOSTO'!$P$10,IF(C81&lt;='SOLLECITAZ NASCOSTO'!$P$9,IF(C81&lt;='SOLLECITAZ NASCOSTO'!$P$8,IF(C81&lt;='SOLLECITAZ NASCOSTO'!$P$7,IF(C81&lt;='SOLLECITAZ NASCOSTO'!$P$6,IF(C81&lt;='SOLLECITAZ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6.5025609522129262</v>
      </c>
      <c r="O82" s="42">
        <f>IF(C82&lt;='SOLLECITAZ NASCOSTO'!$P$12,IF(C82&lt;='SOLLECITAZ NASCOSTO'!$P$11,IF(C82&lt;='SOLLECITAZ NASCOSTO'!$P$10,IF(C82&lt;='SOLLECITAZ NASCOSTO'!$P$9,IF(C82&lt;='SOLLECITAZ NASCOSTO'!$P$8,IF(C82&lt;='SOLLECITAZ NASCOSTO'!$P$7,IF(C82&lt;='SOLLECITAZ NASCOSTO'!$P$6,IF(C82&lt;='SOLLECITAZ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slu'!$G$111),55555)*(C82-C81)/IF(C82&lt;='SOLLECITAZ NASCOSTO'!$P$12,IF(C82&lt;='SOLLECITAZ NASCOSTO'!$P$11,IF(C82&lt;='SOLLECITAZ NASCOSTO'!$P$10,IF(C82&lt;='SOLLECITAZ NASCOSTO'!$P$9,IF(C82&lt;='SOLLECITAZ NASCOSTO'!$P$8,IF(C82&lt;='SOLLECITAZ NASCOSTO'!$P$7,IF(C82&lt;='SOLLECITAZ NASCOSTO'!$P$6,IF(C82&lt;='SOLLECITAZ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2" s="42">
        <f t="shared" si="21"/>
        <v>4.8999999999999958E-5</v>
      </c>
      <c r="Q82" s="42">
        <f t="shared" si="18"/>
        <v>1</v>
      </c>
      <c r="R82" s="441">
        <f t="shared" si="10"/>
        <v>0.34254807692307693</v>
      </c>
      <c r="S82" s="46">
        <f t="shared" si="19"/>
        <v>0.34254807692307693</v>
      </c>
      <c r="T82" s="211">
        <f t="shared" si="13"/>
        <v>3.007451923076923</v>
      </c>
      <c r="U82" s="46">
        <f t="shared" si="16"/>
        <v>1.8317373719627303</v>
      </c>
      <c r="V82" s="46">
        <f t="shared" si="17"/>
        <v>-0.29020598946847165</v>
      </c>
      <c r="W82" s="496"/>
      <c r="X82" s="497"/>
      <c r="Y82" s="497"/>
      <c r="Z82" s="498"/>
      <c r="AA82" s="47"/>
    </row>
    <row r="83" spans="1:28" s="428" customFormat="1" x14ac:dyDescent="0.25">
      <c r="A83" s="589">
        <f t="shared" si="11"/>
        <v>1.2259615384535572E-6</v>
      </c>
      <c r="B83" s="32">
        <f t="shared" si="22"/>
        <v>51</v>
      </c>
      <c r="C83" s="441">
        <f>'SOLLECITAZ NASCOSTO'!$D$6/'SOLLECITAZ NASCOSTO'!$B$448*'SOLLECITAZ NASCOSTO'!B83</f>
        <v>0.34939903846153847</v>
      </c>
      <c r="D83" s="441">
        <f t="shared" si="14"/>
        <v>0.30000122596153844</v>
      </c>
      <c r="E83" s="441">
        <f t="shared" si="4"/>
        <v>1.2259615384535572E-6</v>
      </c>
      <c r="F83" s="441">
        <f t="shared" si="5"/>
        <v>0.30000122596153844</v>
      </c>
      <c r="G83" s="441">
        <f t="shared" si="6"/>
        <v>4.5000367789213028E-2</v>
      </c>
      <c r="H83" s="441">
        <f t="shared" si="23"/>
        <v>0</v>
      </c>
      <c r="I83" s="441">
        <v>0</v>
      </c>
      <c r="J83" s="131">
        <f t="shared" si="24"/>
        <v>0.15000061298076922</v>
      </c>
      <c r="K83" s="130">
        <f t="shared" si="9"/>
        <v>2.2500275842473388E-3</v>
      </c>
      <c r="L83" s="42">
        <f t="shared" si="25"/>
        <v>1.876780794919459</v>
      </c>
      <c r="M83" s="42">
        <f t="shared" si="26"/>
        <v>-0.30290944713146956</v>
      </c>
      <c r="N83" s="42">
        <f>(IF(C82&lt;='SOLLECITAZ NASCOSTO'!$P$12,IF(C82&lt;='SOLLECITAZ NASCOSTO'!$P$11,IF(C82&lt;='SOLLECITAZ NASCOSTO'!$P$10,IF(C82&lt;='SOLLECITAZ NASCOSTO'!$P$9,IF(C82&lt;='SOLLECITAZ NASCOSTO'!$P$8,IF(C82&lt;='SOLLECITAZ NASCOSTO'!$P$7,IF(C82&lt;='SOLLECITAZ NASCOSTO'!$P$6,IF(C82&lt;='SOLLECITAZ NASCOSTO'!$P$5,'Progetto del paramento slu'!$G$105,'Progetto del paramento slu'!$G$106),'Progetto del paramento slu'!$G$107),'Progetto del paramento slu'!$G$108),'Progetto del paramento slu'!$G$109),'Progetto del paramento slu'!$G$110),'Progetto del paramento slu'!$G$111),'Progetto del paramento slu'!$G$112),55555)-IF(C82&lt;='SOLLECITAZ NASCOSTO'!$P$12,IF(C82&lt;='SOLLECITAZ NASCOSTO'!$P$11,IF(C82&lt;='SOLLECITAZ NASCOSTO'!$P$10,IF(C82&lt;='SOLLECITAZ NASCOSTO'!$P$9,IF(C82&lt;='SOLLECITAZ NASCOSTO'!$P$8,IF(C82&lt;='SOLLECITAZ NASCOSTO'!$P$7,IF(C82&lt;='SOLLECITAZ NASCOSTO'!$P$6,IF(C82&lt;='SOLLECITAZ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slu'!$G$112))*(C82-IF(C82&lt;='SOLLECITAZ NASCOSTO'!$P$12,IF(C82&lt;='SOLLECITAZ NASCOSTO'!$P$11,IF(C82&lt;='SOLLECITAZ NASCOSTO'!$P$10,IF(C82&lt;='SOLLECITAZ NASCOSTO'!$P$9,IF(C82&lt;='SOLLECITAZ NASCOSTO'!$P$8,IF(C82&lt;='SOLLECITAZ NASCOSTO'!$P$7,IF(C82&lt;='SOLLECITAZ NASCOSTO'!$P$6,IF(C82&lt;='SOLLECITAZ NASCOSTO'!$P$5,'SOLLECITAZ NASCOSTO'!$P$3,'SOLLECITAZ NASCOSTO'!$P$5),'SOLLECITAZ NASCOSTO'!$P$5),'SOLLECITAZ NASCOSTO'!$P$7),'SOLLECITAZ NASCOSTO'!$P$8),'SOLLECITAZ NASCOSTO'!$P$9),'SOLLECITAZ NASCOSTO'!$P$10),'SOLLECITAZ NASCOSTO'!$P$11),'SOLLECITAZ NASCOSTO'!$P$12))/IF(C82&lt;='SOLLECITAZ NASCOSTO'!$P$12,IF(C82&lt;='SOLLECITAZ NASCOSTO'!$P$11,IF(C82&lt;='SOLLECITAZ NASCOSTO'!$P$10,IF(C82&lt;='SOLLECITAZ NASCOSTO'!$P$9,IF(C82&lt;='SOLLECITAZ NASCOSTO'!$P$8,IF(C82&lt;='SOLLECITAZ NASCOSTO'!$P$7,IF(C82&lt;='SOLLECITAZ NASCOSTO'!$P$6,IF(C82&lt;='SOLLECITAZ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slu'!$C$112)+IF(C82&lt;='SOLLECITAZ NASCOSTO'!$P$12,IF(C82&lt;='SOLLECITAZ NASCOSTO'!$P$11,IF(C82&lt;='SOLLECITAZ NASCOSTO'!$P$10,IF(C82&lt;='SOLLECITAZ NASCOSTO'!$P$9,IF(C82&lt;='SOLLECITAZ NASCOSTO'!$P$8,IF(C82&lt;='SOLLECITAZ NASCOSTO'!$P$7,IF(C82&lt;='SOLLECITAZ NASCOSTO'!$P$6,IF(C82&lt;='SOLLECITAZ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6.5506931712052792</v>
      </c>
      <c r="O83" s="42">
        <f>IF(C83&lt;='SOLLECITAZ NASCOSTO'!$P$12,IF(C83&lt;='SOLLECITAZ NASCOSTO'!$P$11,IF(C83&lt;='SOLLECITAZ NASCOSTO'!$P$10,IF(C83&lt;='SOLLECITAZ NASCOSTO'!$P$9,IF(C83&lt;='SOLLECITAZ NASCOSTO'!$P$8,IF(C83&lt;='SOLLECITAZ NASCOSTO'!$P$7,IF(C83&lt;='SOLLECITAZ NASCOSTO'!$P$6,IF(C83&lt;='SOLLECITAZ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slu'!$G$111),55555)*(C83-C82)/IF(C83&lt;='SOLLECITAZ NASCOSTO'!$P$12,IF(C83&lt;='SOLLECITAZ NASCOSTO'!$P$11,IF(C83&lt;='SOLLECITAZ NASCOSTO'!$P$10,IF(C83&lt;='SOLLECITAZ NASCOSTO'!$P$9,IF(C83&lt;='SOLLECITAZ NASCOSTO'!$P$8,IF(C83&lt;='SOLLECITAZ NASCOSTO'!$P$7,IF(C83&lt;='SOLLECITAZ NASCOSTO'!$P$6,IF(C83&lt;='SOLLECITAZ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3" s="42">
        <f t="shared" si="21"/>
        <v>4.9999999999999955E-5</v>
      </c>
      <c r="Q83" s="42">
        <f t="shared" si="18"/>
        <v>1</v>
      </c>
      <c r="R83" s="441">
        <f t="shared" si="10"/>
        <v>0.34939903846153847</v>
      </c>
      <c r="S83" s="46">
        <f t="shared" si="19"/>
        <v>0.34939903846153847</v>
      </c>
      <c r="T83" s="211">
        <f t="shared" si="13"/>
        <v>3.0006009615384617</v>
      </c>
      <c r="U83" s="46">
        <f t="shared" si="16"/>
        <v>1.876780794919459</v>
      </c>
      <c r="V83" s="46">
        <f t="shared" si="17"/>
        <v>-0.30290944713146956</v>
      </c>
      <c r="W83" s="496"/>
      <c r="X83" s="508" t="s">
        <v>25</v>
      </c>
      <c r="Y83" s="42">
        <f>IF('ANALISI DELLE SPINTE'!K76="",0,('ANALISI DELLE SPINTE'!AD97))</f>
        <v>9.8724205546860517</v>
      </c>
      <c r="Z83" s="498"/>
      <c r="AA83" s="47"/>
    </row>
    <row r="84" spans="1:28" s="428" customFormat="1" x14ac:dyDescent="0.25">
      <c r="A84" s="589">
        <f t="shared" si="11"/>
        <v>1.2499999999526779E-6</v>
      </c>
      <c r="B84" s="32">
        <f t="shared" si="22"/>
        <v>52</v>
      </c>
      <c r="C84" s="441">
        <f>'SOLLECITAZ NASCOSTO'!$D$6/'SOLLECITAZ NASCOSTO'!$B$448*'SOLLECITAZ NASCOSTO'!B84</f>
        <v>0.35625000000000001</v>
      </c>
      <c r="D84" s="441">
        <f t="shared" si="14"/>
        <v>0.30000124999999994</v>
      </c>
      <c r="E84" s="441">
        <f t="shared" si="4"/>
        <v>1.2499999999526779E-6</v>
      </c>
      <c r="F84" s="441">
        <f t="shared" si="5"/>
        <v>0.30000124999999994</v>
      </c>
      <c r="G84" s="441">
        <f t="shared" si="6"/>
        <v>4.5000375000781231E-2</v>
      </c>
      <c r="H84" s="441">
        <f t="shared" si="23"/>
        <v>0</v>
      </c>
      <c r="I84" s="441">
        <v>0</v>
      </c>
      <c r="J84" s="131">
        <f t="shared" si="24"/>
        <v>0.15000062499999997</v>
      </c>
      <c r="K84" s="130">
        <f t="shared" si="9"/>
        <v>2.2500281251171864E-3</v>
      </c>
      <c r="L84" s="42">
        <f t="shared" si="25"/>
        <v>1.9221539698572652</v>
      </c>
      <c r="M84" s="42">
        <f t="shared" si="26"/>
        <v>-0.31592262511177444</v>
      </c>
      <c r="N84" s="42">
        <f>(IF(C83&lt;='SOLLECITAZ NASCOSTO'!$P$12,IF(C83&lt;='SOLLECITAZ NASCOSTO'!$P$11,IF(C83&lt;='SOLLECITAZ NASCOSTO'!$P$10,IF(C83&lt;='SOLLECITAZ NASCOSTO'!$P$9,IF(C83&lt;='SOLLECITAZ NASCOSTO'!$P$8,IF(C83&lt;='SOLLECITAZ NASCOSTO'!$P$7,IF(C83&lt;='SOLLECITAZ NASCOSTO'!$P$6,IF(C83&lt;='SOLLECITAZ NASCOSTO'!$P$5,'Progetto del paramento slu'!$G$105,'Progetto del paramento slu'!$G$106),'Progetto del paramento slu'!$G$107),'Progetto del paramento slu'!$G$108),'Progetto del paramento slu'!$G$109),'Progetto del paramento slu'!$G$110),'Progetto del paramento slu'!$G$111),'Progetto del paramento slu'!$G$112),55555)-IF(C83&lt;='SOLLECITAZ NASCOSTO'!$P$12,IF(C83&lt;='SOLLECITAZ NASCOSTO'!$P$11,IF(C83&lt;='SOLLECITAZ NASCOSTO'!$P$10,IF(C83&lt;='SOLLECITAZ NASCOSTO'!$P$9,IF(C83&lt;='SOLLECITAZ NASCOSTO'!$P$8,IF(C83&lt;='SOLLECITAZ NASCOSTO'!$P$7,IF(C83&lt;='SOLLECITAZ NASCOSTO'!$P$6,IF(C83&lt;='SOLLECITAZ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slu'!$G$112))*(C83-IF(C83&lt;='SOLLECITAZ NASCOSTO'!$P$12,IF(C83&lt;='SOLLECITAZ NASCOSTO'!$P$11,IF(C83&lt;='SOLLECITAZ NASCOSTO'!$P$10,IF(C83&lt;='SOLLECITAZ NASCOSTO'!$P$9,IF(C83&lt;='SOLLECITAZ NASCOSTO'!$P$8,IF(C83&lt;='SOLLECITAZ NASCOSTO'!$P$7,IF(C83&lt;='SOLLECITAZ NASCOSTO'!$P$6,IF(C83&lt;='SOLLECITAZ NASCOSTO'!$P$5,'SOLLECITAZ NASCOSTO'!$P$3,'SOLLECITAZ NASCOSTO'!$P$5),'SOLLECITAZ NASCOSTO'!$P$5),'SOLLECITAZ NASCOSTO'!$P$7),'SOLLECITAZ NASCOSTO'!$P$8),'SOLLECITAZ NASCOSTO'!$P$9),'SOLLECITAZ NASCOSTO'!$P$10),'SOLLECITAZ NASCOSTO'!$P$11),'SOLLECITAZ NASCOSTO'!$P$12))/IF(C83&lt;='SOLLECITAZ NASCOSTO'!$P$12,IF(C83&lt;='SOLLECITAZ NASCOSTO'!$P$11,IF(C83&lt;='SOLLECITAZ NASCOSTO'!$P$10,IF(C83&lt;='SOLLECITAZ NASCOSTO'!$P$9,IF(C83&lt;='SOLLECITAZ NASCOSTO'!$P$8,IF(C83&lt;='SOLLECITAZ NASCOSTO'!$P$7,IF(C83&lt;='SOLLECITAZ NASCOSTO'!$P$6,IF(C83&lt;='SOLLECITAZ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slu'!$C$112)+IF(C83&lt;='SOLLECITAZ NASCOSTO'!$P$12,IF(C83&lt;='SOLLECITAZ NASCOSTO'!$P$11,IF(C83&lt;='SOLLECITAZ NASCOSTO'!$P$10,IF(C83&lt;='SOLLECITAZ NASCOSTO'!$P$9,IF(C83&lt;='SOLLECITAZ NASCOSTO'!$P$8,IF(C83&lt;='SOLLECITAZ NASCOSTO'!$P$7,IF(C83&lt;='SOLLECITAZ NASCOSTO'!$P$6,IF(C83&lt;='SOLLECITAZ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6.5988253901976321</v>
      </c>
      <c r="O84" s="42">
        <f>IF(C84&lt;='SOLLECITAZ NASCOSTO'!$P$12,IF(C84&lt;='SOLLECITAZ NASCOSTO'!$P$11,IF(C84&lt;='SOLLECITAZ NASCOSTO'!$P$10,IF(C84&lt;='SOLLECITAZ NASCOSTO'!$P$9,IF(C84&lt;='SOLLECITAZ NASCOSTO'!$P$8,IF(C84&lt;='SOLLECITAZ NASCOSTO'!$P$7,IF(C84&lt;='SOLLECITAZ NASCOSTO'!$P$6,IF(C84&lt;='SOLLECITAZ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slu'!$G$111),55555)*(C84-C83)/IF(C84&lt;='SOLLECITAZ NASCOSTO'!$P$12,IF(C84&lt;='SOLLECITAZ NASCOSTO'!$P$11,IF(C84&lt;='SOLLECITAZ NASCOSTO'!$P$10,IF(C84&lt;='SOLLECITAZ NASCOSTO'!$P$9,IF(C84&lt;='SOLLECITAZ NASCOSTO'!$P$8,IF(C84&lt;='SOLLECITAZ NASCOSTO'!$P$7,IF(C84&lt;='SOLLECITAZ NASCOSTO'!$P$6,IF(C84&lt;='SOLLECITAZ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4" s="42">
        <f t="shared" si="21"/>
        <v>5.0999999999999952E-5</v>
      </c>
      <c r="Q84" s="42">
        <f t="shared" si="18"/>
        <v>1</v>
      </c>
      <c r="R84" s="441">
        <f t="shared" si="10"/>
        <v>0.35625000000000001</v>
      </c>
      <c r="S84" s="46">
        <f t="shared" si="19"/>
        <v>0.35625000000000001</v>
      </c>
      <c r="T84" s="211">
        <f t="shared" si="13"/>
        <v>2.9937499999999999</v>
      </c>
      <c r="U84" s="46">
        <f t="shared" si="16"/>
        <v>1.9221539698572652</v>
      </c>
      <c r="V84" s="46">
        <f t="shared" si="17"/>
        <v>-0.31592262511177444</v>
      </c>
      <c r="W84" s="496"/>
      <c r="X84" s="507" t="s">
        <v>849</v>
      </c>
      <c r="Y84" s="42">
        <f>IF('ANALISI DELLE SPINTE'!K76="",0,('ANALISI DELLE SPINTE'!AD97)/D7)</f>
        <v>2.9469912103540454</v>
      </c>
    </row>
    <row r="85" spans="1:28" s="428" customFormat="1" x14ac:dyDescent="0.25">
      <c r="A85" s="589">
        <f t="shared" si="11"/>
        <v>1.2740384615073097E-6</v>
      </c>
      <c r="B85" s="32">
        <f t="shared" si="22"/>
        <v>53</v>
      </c>
      <c r="C85" s="441">
        <f>'SOLLECITAZ NASCOSTO'!$D$6/'SOLLECITAZ NASCOSTO'!$B$448*'SOLLECITAZ NASCOSTO'!B85</f>
        <v>0.36310096153846155</v>
      </c>
      <c r="D85" s="441">
        <f t="shared" si="14"/>
        <v>0.3000012740384615</v>
      </c>
      <c r="E85" s="441">
        <f t="shared" si="4"/>
        <v>1.2740384615073097E-6</v>
      </c>
      <c r="F85" s="441">
        <f t="shared" si="5"/>
        <v>0.3000012740384615</v>
      </c>
      <c r="G85" s="441">
        <f t="shared" si="6"/>
        <v>4.5000382212350039E-2</v>
      </c>
      <c r="H85" s="441">
        <f t="shared" si="23"/>
        <v>0</v>
      </c>
      <c r="I85" s="441">
        <v>0</v>
      </c>
      <c r="J85" s="131">
        <f t="shared" si="24"/>
        <v>0.15000063701923075</v>
      </c>
      <c r="K85" s="130">
        <f t="shared" si="9"/>
        <v>2.2500286659871221E-3</v>
      </c>
      <c r="L85" s="42">
        <f t="shared" si="25"/>
        <v>1.9678568967761487</v>
      </c>
      <c r="M85" s="42">
        <f t="shared" si="26"/>
        <v>-0.3292477825275259</v>
      </c>
      <c r="N85" s="42">
        <f>(IF(C84&lt;='SOLLECITAZ NASCOSTO'!$P$12,IF(C84&lt;='SOLLECITAZ NASCOSTO'!$P$11,IF(C84&lt;='SOLLECITAZ NASCOSTO'!$P$10,IF(C84&lt;='SOLLECITAZ NASCOSTO'!$P$9,IF(C84&lt;='SOLLECITAZ NASCOSTO'!$P$8,IF(C84&lt;='SOLLECITAZ NASCOSTO'!$P$7,IF(C84&lt;='SOLLECITAZ NASCOSTO'!$P$6,IF(C84&lt;='SOLLECITAZ NASCOSTO'!$P$5,'Progetto del paramento slu'!$G$105,'Progetto del paramento slu'!$G$106),'Progetto del paramento slu'!$G$107),'Progetto del paramento slu'!$G$108),'Progetto del paramento slu'!$G$109),'Progetto del paramento slu'!$G$110),'Progetto del paramento slu'!$G$111),'Progetto del paramento slu'!$G$112),55555)-IF(C84&lt;='SOLLECITAZ NASCOSTO'!$P$12,IF(C84&lt;='SOLLECITAZ NASCOSTO'!$P$11,IF(C84&lt;='SOLLECITAZ NASCOSTO'!$P$10,IF(C84&lt;='SOLLECITAZ NASCOSTO'!$P$9,IF(C84&lt;='SOLLECITAZ NASCOSTO'!$P$8,IF(C84&lt;='SOLLECITAZ NASCOSTO'!$P$7,IF(C84&lt;='SOLLECITAZ NASCOSTO'!$P$6,IF(C84&lt;='SOLLECITAZ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slu'!$G$112))*(C84-IF(C84&lt;='SOLLECITAZ NASCOSTO'!$P$12,IF(C84&lt;='SOLLECITAZ NASCOSTO'!$P$11,IF(C84&lt;='SOLLECITAZ NASCOSTO'!$P$10,IF(C84&lt;='SOLLECITAZ NASCOSTO'!$P$9,IF(C84&lt;='SOLLECITAZ NASCOSTO'!$P$8,IF(C84&lt;='SOLLECITAZ NASCOSTO'!$P$7,IF(C84&lt;='SOLLECITAZ NASCOSTO'!$P$6,IF(C84&lt;='SOLLECITAZ NASCOSTO'!$P$5,'SOLLECITAZ NASCOSTO'!$P$3,'SOLLECITAZ NASCOSTO'!$P$5),'SOLLECITAZ NASCOSTO'!$P$5),'SOLLECITAZ NASCOSTO'!$P$7),'SOLLECITAZ NASCOSTO'!$P$8),'SOLLECITAZ NASCOSTO'!$P$9),'SOLLECITAZ NASCOSTO'!$P$10),'SOLLECITAZ NASCOSTO'!$P$11),'SOLLECITAZ NASCOSTO'!$P$12))/IF(C84&lt;='SOLLECITAZ NASCOSTO'!$P$12,IF(C84&lt;='SOLLECITAZ NASCOSTO'!$P$11,IF(C84&lt;='SOLLECITAZ NASCOSTO'!$P$10,IF(C84&lt;='SOLLECITAZ NASCOSTO'!$P$9,IF(C84&lt;='SOLLECITAZ NASCOSTO'!$P$8,IF(C84&lt;='SOLLECITAZ NASCOSTO'!$P$7,IF(C84&lt;='SOLLECITAZ NASCOSTO'!$P$6,IF(C84&lt;='SOLLECITAZ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slu'!$C$112)+IF(C84&lt;='SOLLECITAZ NASCOSTO'!$P$12,IF(C84&lt;='SOLLECITAZ NASCOSTO'!$P$11,IF(C84&lt;='SOLLECITAZ NASCOSTO'!$P$10,IF(C84&lt;='SOLLECITAZ NASCOSTO'!$P$9,IF(C84&lt;='SOLLECITAZ NASCOSTO'!$P$8,IF(C84&lt;='SOLLECITAZ NASCOSTO'!$P$7,IF(C84&lt;='SOLLECITAZ NASCOSTO'!$P$6,IF(C84&lt;='SOLLECITAZ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6.6469576091899842</v>
      </c>
      <c r="O85" s="42">
        <f>IF(C85&lt;='SOLLECITAZ NASCOSTO'!$P$12,IF(C85&lt;='SOLLECITAZ NASCOSTO'!$P$11,IF(C85&lt;='SOLLECITAZ NASCOSTO'!$P$10,IF(C85&lt;='SOLLECITAZ NASCOSTO'!$P$9,IF(C85&lt;='SOLLECITAZ NASCOSTO'!$P$8,IF(C85&lt;='SOLLECITAZ NASCOSTO'!$P$7,IF(C85&lt;='SOLLECITAZ NASCOSTO'!$P$6,IF(C85&lt;='SOLLECITAZ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slu'!$G$111),55555)*(C85-C84)/IF(C85&lt;='SOLLECITAZ NASCOSTO'!$P$12,IF(C85&lt;='SOLLECITAZ NASCOSTO'!$P$11,IF(C85&lt;='SOLLECITAZ NASCOSTO'!$P$10,IF(C85&lt;='SOLLECITAZ NASCOSTO'!$P$9,IF(C85&lt;='SOLLECITAZ NASCOSTO'!$P$8,IF(C85&lt;='SOLLECITAZ NASCOSTO'!$P$7,IF(C85&lt;='SOLLECITAZ NASCOSTO'!$P$6,IF(C85&lt;='SOLLECITAZ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5" s="42">
        <f t="shared" si="21"/>
        <v>5.1999999999999949E-5</v>
      </c>
      <c r="Q85" s="42">
        <f t="shared" si="18"/>
        <v>1</v>
      </c>
      <c r="R85" s="441">
        <f t="shared" si="10"/>
        <v>0.36310096153846155</v>
      </c>
      <c r="S85" s="46">
        <f t="shared" si="19"/>
        <v>0.36310096153846155</v>
      </c>
      <c r="T85" s="211">
        <f t="shared" si="13"/>
        <v>2.9868990384615386</v>
      </c>
      <c r="U85" s="46">
        <f t="shared" si="16"/>
        <v>1.9678568967761487</v>
      </c>
      <c r="V85" s="46">
        <f t="shared" si="17"/>
        <v>-0.3292477825275259</v>
      </c>
      <c r="W85" s="496"/>
      <c r="X85" s="507" t="s">
        <v>72</v>
      </c>
      <c r="Y85" s="42">
        <f>'VER. EQU COND. NON DRENATE'!C81</f>
        <v>1.606076687939058</v>
      </c>
    </row>
    <row r="86" spans="1:28" s="428" customFormat="1" x14ac:dyDescent="0.25">
      <c r="A86" s="589">
        <f t="shared" si="11"/>
        <v>1.2980769230619416E-6</v>
      </c>
      <c r="B86" s="32">
        <f t="shared" si="22"/>
        <v>54</v>
      </c>
      <c r="C86" s="441">
        <f>'SOLLECITAZ NASCOSTO'!$D$6/'SOLLECITAZ NASCOSTO'!$B$448*'SOLLECITAZ NASCOSTO'!B86</f>
        <v>0.36995192307692309</v>
      </c>
      <c r="D86" s="441">
        <f t="shared" si="14"/>
        <v>0.30000129807692305</v>
      </c>
      <c r="E86" s="441">
        <f t="shared" si="4"/>
        <v>1.2980769230619416E-6</v>
      </c>
      <c r="F86" s="441">
        <f t="shared" si="5"/>
        <v>0.30000129807692305</v>
      </c>
      <c r="G86" s="441">
        <f t="shared" si="6"/>
        <v>4.5000389423919422E-2</v>
      </c>
      <c r="H86" s="441">
        <f t="shared" si="23"/>
        <v>0</v>
      </c>
      <c r="I86" s="441">
        <v>0</v>
      </c>
      <c r="J86" s="131">
        <f t="shared" si="24"/>
        <v>0.15000064903846155</v>
      </c>
      <c r="K86" s="130">
        <f t="shared" si="9"/>
        <v>2.2500292068571444E-3</v>
      </c>
      <c r="L86" s="42">
        <f t="shared" si="25"/>
        <v>2.0138895756761097</v>
      </c>
      <c r="M86" s="42">
        <f t="shared" si="26"/>
        <v>-0.34288717849686356</v>
      </c>
      <c r="N86" s="42">
        <f>(IF(C85&lt;='SOLLECITAZ NASCOSTO'!$P$12,IF(C85&lt;='SOLLECITAZ NASCOSTO'!$P$11,IF(C85&lt;='SOLLECITAZ NASCOSTO'!$P$10,IF(C85&lt;='SOLLECITAZ NASCOSTO'!$P$9,IF(C85&lt;='SOLLECITAZ NASCOSTO'!$P$8,IF(C85&lt;='SOLLECITAZ NASCOSTO'!$P$7,IF(C85&lt;='SOLLECITAZ NASCOSTO'!$P$6,IF(C85&lt;='SOLLECITAZ NASCOSTO'!$P$5,'Progetto del paramento slu'!$G$105,'Progetto del paramento slu'!$G$106),'Progetto del paramento slu'!$G$107),'Progetto del paramento slu'!$G$108),'Progetto del paramento slu'!$G$109),'Progetto del paramento slu'!$G$110),'Progetto del paramento slu'!$G$111),'Progetto del paramento slu'!$G$112),55555)-IF(C85&lt;='SOLLECITAZ NASCOSTO'!$P$12,IF(C85&lt;='SOLLECITAZ NASCOSTO'!$P$11,IF(C85&lt;='SOLLECITAZ NASCOSTO'!$P$10,IF(C85&lt;='SOLLECITAZ NASCOSTO'!$P$9,IF(C85&lt;='SOLLECITAZ NASCOSTO'!$P$8,IF(C85&lt;='SOLLECITAZ NASCOSTO'!$P$7,IF(C85&lt;='SOLLECITAZ NASCOSTO'!$P$6,IF(C85&lt;='SOLLECITAZ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slu'!$G$112))*(C85-IF(C85&lt;='SOLLECITAZ NASCOSTO'!$P$12,IF(C85&lt;='SOLLECITAZ NASCOSTO'!$P$11,IF(C85&lt;='SOLLECITAZ NASCOSTO'!$P$10,IF(C85&lt;='SOLLECITAZ NASCOSTO'!$P$9,IF(C85&lt;='SOLLECITAZ NASCOSTO'!$P$8,IF(C85&lt;='SOLLECITAZ NASCOSTO'!$P$7,IF(C85&lt;='SOLLECITAZ NASCOSTO'!$P$6,IF(C85&lt;='SOLLECITAZ NASCOSTO'!$P$5,'SOLLECITAZ NASCOSTO'!$P$3,'SOLLECITAZ NASCOSTO'!$P$5),'SOLLECITAZ NASCOSTO'!$P$5),'SOLLECITAZ NASCOSTO'!$P$7),'SOLLECITAZ NASCOSTO'!$P$8),'SOLLECITAZ NASCOSTO'!$P$9),'SOLLECITAZ NASCOSTO'!$P$10),'SOLLECITAZ NASCOSTO'!$P$11),'SOLLECITAZ NASCOSTO'!$P$12))/IF(C85&lt;='SOLLECITAZ NASCOSTO'!$P$12,IF(C85&lt;='SOLLECITAZ NASCOSTO'!$P$11,IF(C85&lt;='SOLLECITAZ NASCOSTO'!$P$10,IF(C85&lt;='SOLLECITAZ NASCOSTO'!$P$9,IF(C85&lt;='SOLLECITAZ NASCOSTO'!$P$8,IF(C85&lt;='SOLLECITAZ NASCOSTO'!$P$7,IF(C85&lt;='SOLLECITAZ NASCOSTO'!$P$6,IF(C85&lt;='SOLLECITAZ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slu'!$C$112)+IF(C85&lt;='SOLLECITAZ NASCOSTO'!$P$12,IF(C85&lt;='SOLLECITAZ NASCOSTO'!$P$11,IF(C85&lt;='SOLLECITAZ NASCOSTO'!$P$10,IF(C85&lt;='SOLLECITAZ NASCOSTO'!$P$9,IF(C85&lt;='SOLLECITAZ NASCOSTO'!$P$8,IF(C85&lt;='SOLLECITAZ NASCOSTO'!$P$7,IF(C85&lt;='SOLLECITAZ NASCOSTO'!$P$6,IF(C85&lt;='SOLLECITAZ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6.6950898281823363</v>
      </c>
      <c r="O86" s="42">
        <f>IF(C86&lt;='SOLLECITAZ NASCOSTO'!$P$12,IF(C86&lt;='SOLLECITAZ NASCOSTO'!$P$11,IF(C86&lt;='SOLLECITAZ NASCOSTO'!$P$10,IF(C86&lt;='SOLLECITAZ NASCOSTO'!$P$9,IF(C86&lt;='SOLLECITAZ NASCOSTO'!$P$8,IF(C86&lt;='SOLLECITAZ NASCOSTO'!$P$7,IF(C86&lt;='SOLLECITAZ NASCOSTO'!$P$6,IF(C86&lt;='SOLLECITAZ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slu'!$G$111),55555)*(C86-C85)/IF(C86&lt;='SOLLECITAZ NASCOSTO'!$P$12,IF(C86&lt;='SOLLECITAZ NASCOSTO'!$P$11,IF(C86&lt;='SOLLECITAZ NASCOSTO'!$P$10,IF(C86&lt;='SOLLECITAZ NASCOSTO'!$P$9,IF(C86&lt;='SOLLECITAZ NASCOSTO'!$P$8,IF(C86&lt;='SOLLECITAZ NASCOSTO'!$P$7,IF(C86&lt;='SOLLECITAZ NASCOSTO'!$P$6,IF(C86&lt;='SOLLECITAZ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6" s="42">
        <f t="shared" si="21"/>
        <v>5.2999999999999947E-5</v>
      </c>
      <c r="Q86" s="42">
        <f t="shared" si="18"/>
        <v>1</v>
      </c>
      <c r="R86" s="441">
        <f t="shared" si="10"/>
        <v>0.36995192307692309</v>
      </c>
      <c r="S86" s="46">
        <f t="shared" si="19"/>
        <v>0.36995192307692309</v>
      </c>
      <c r="T86" s="211">
        <f t="shared" si="13"/>
        <v>2.9800480769230768</v>
      </c>
      <c r="U86" s="46">
        <f t="shared" si="16"/>
        <v>2.0138895756761097</v>
      </c>
      <c r="V86" s="46">
        <f t="shared" si="17"/>
        <v>-0.34288717849686356</v>
      </c>
      <c r="W86" s="496"/>
      <c r="X86" s="507" t="s">
        <v>847</v>
      </c>
      <c r="Y86" s="42">
        <f>D7</f>
        <v>3.35</v>
      </c>
    </row>
    <row r="87" spans="1:28" s="428" customFormat="1" x14ac:dyDescent="0.25">
      <c r="A87" s="589">
        <f t="shared" si="11"/>
        <v>1.3221153845610623E-6</v>
      </c>
      <c r="B87" s="32">
        <f t="shared" si="22"/>
        <v>55</v>
      </c>
      <c r="C87" s="441">
        <f>'SOLLECITAZ NASCOSTO'!$D$6/'SOLLECITAZ NASCOSTO'!$B$448*'SOLLECITAZ NASCOSTO'!B87</f>
        <v>0.37680288461538464</v>
      </c>
      <c r="D87" s="441">
        <f t="shared" si="14"/>
        <v>0.30000132211538455</v>
      </c>
      <c r="E87" s="441">
        <f t="shared" si="4"/>
        <v>1.3221153845610623E-6</v>
      </c>
      <c r="F87" s="441">
        <f t="shared" si="5"/>
        <v>0.30000132211538455</v>
      </c>
      <c r="G87" s="441">
        <f t="shared" si="6"/>
        <v>4.5000396635489361E-2</v>
      </c>
      <c r="H87" s="441">
        <f t="shared" si="23"/>
        <v>0</v>
      </c>
      <c r="I87" s="441">
        <v>0</v>
      </c>
      <c r="J87" s="131">
        <f t="shared" si="24"/>
        <v>0.15000066105769227</v>
      </c>
      <c r="K87" s="130">
        <f t="shared" si="9"/>
        <v>2.2500297477272518E-3</v>
      </c>
      <c r="L87" s="42">
        <f t="shared" si="25"/>
        <v>2.0602520065571479</v>
      </c>
      <c r="M87" s="42">
        <f t="shared" si="26"/>
        <v>-0.35684307213792704</v>
      </c>
      <c r="N87" s="42">
        <f>(IF(C86&lt;='SOLLECITAZ NASCOSTO'!$P$12,IF(C86&lt;='SOLLECITAZ NASCOSTO'!$P$11,IF(C86&lt;='SOLLECITAZ NASCOSTO'!$P$10,IF(C86&lt;='SOLLECITAZ NASCOSTO'!$P$9,IF(C86&lt;='SOLLECITAZ NASCOSTO'!$P$8,IF(C86&lt;='SOLLECITAZ NASCOSTO'!$P$7,IF(C86&lt;='SOLLECITAZ NASCOSTO'!$P$6,IF(C86&lt;='SOLLECITAZ NASCOSTO'!$P$5,'Progetto del paramento slu'!$G$105,'Progetto del paramento slu'!$G$106),'Progetto del paramento slu'!$G$107),'Progetto del paramento slu'!$G$108),'Progetto del paramento slu'!$G$109),'Progetto del paramento slu'!$G$110),'Progetto del paramento slu'!$G$111),'Progetto del paramento slu'!$G$112),55555)-IF(C86&lt;='SOLLECITAZ NASCOSTO'!$P$12,IF(C86&lt;='SOLLECITAZ NASCOSTO'!$P$11,IF(C86&lt;='SOLLECITAZ NASCOSTO'!$P$10,IF(C86&lt;='SOLLECITAZ NASCOSTO'!$P$9,IF(C86&lt;='SOLLECITAZ NASCOSTO'!$P$8,IF(C86&lt;='SOLLECITAZ NASCOSTO'!$P$7,IF(C86&lt;='SOLLECITAZ NASCOSTO'!$P$6,IF(C86&lt;='SOLLECITAZ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slu'!$G$112))*(C86-IF(C86&lt;='SOLLECITAZ NASCOSTO'!$P$12,IF(C86&lt;='SOLLECITAZ NASCOSTO'!$P$11,IF(C86&lt;='SOLLECITAZ NASCOSTO'!$P$10,IF(C86&lt;='SOLLECITAZ NASCOSTO'!$P$9,IF(C86&lt;='SOLLECITAZ NASCOSTO'!$P$8,IF(C86&lt;='SOLLECITAZ NASCOSTO'!$P$7,IF(C86&lt;='SOLLECITAZ NASCOSTO'!$P$6,IF(C86&lt;='SOLLECITAZ NASCOSTO'!$P$5,'SOLLECITAZ NASCOSTO'!$P$3,'SOLLECITAZ NASCOSTO'!$P$5),'SOLLECITAZ NASCOSTO'!$P$5),'SOLLECITAZ NASCOSTO'!$P$7),'SOLLECITAZ NASCOSTO'!$P$8),'SOLLECITAZ NASCOSTO'!$P$9),'SOLLECITAZ NASCOSTO'!$P$10),'SOLLECITAZ NASCOSTO'!$P$11),'SOLLECITAZ NASCOSTO'!$P$12))/IF(C86&lt;='SOLLECITAZ NASCOSTO'!$P$12,IF(C86&lt;='SOLLECITAZ NASCOSTO'!$P$11,IF(C86&lt;='SOLLECITAZ NASCOSTO'!$P$10,IF(C86&lt;='SOLLECITAZ NASCOSTO'!$P$9,IF(C86&lt;='SOLLECITAZ NASCOSTO'!$P$8,IF(C86&lt;='SOLLECITAZ NASCOSTO'!$P$7,IF(C86&lt;='SOLLECITAZ NASCOSTO'!$P$6,IF(C86&lt;='SOLLECITAZ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slu'!$C$112)+IF(C86&lt;='SOLLECITAZ NASCOSTO'!$P$12,IF(C86&lt;='SOLLECITAZ NASCOSTO'!$P$11,IF(C86&lt;='SOLLECITAZ NASCOSTO'!$P$10,IF(C86&lt;='SOLLECITAZ NASCOSTO'!$P$9,IF(C86&lt;='SOLLECITAZ NASCOSTO'!$P$8,IF(C86&lt;='SOLLECITAZ NASCOSTO'!$P$7,IF(C86&lt;='SOLLECITAZ NASCOSTO'!$P$6,IF(C86&lt;='SOLLECITAZ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6.7432220471746884</v>
      </c>
      <c r="O87" s="42">
        <f>IF(C87&lt;='SOLLECITAZ NASCOSTO'!$P$12,IF(C87&lt;='SOLLECITAZ NASCOSTO'!$P$11,IF(C87&lt;='SOLLECITAZ NASCOSTO'!$P$10,IF(C87&lt;='SOLLECITAZ NASCOSTO'!$P$9,IF(C87&lt;='SOLLECITAZ NASCOSTO'!$P$8,IF(C87&lt;='SOLLECITAZ NASCOSTO'!$P$7,IF(C87&lt;='SOLLECITAZ NASCOSTO'!$P$6,IF(C87&lt;='SOLLECITAZ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slu'!$G$111),55555)*(C87-C86)/IF(C87&lt;='SOLLECITAZ NASCOSTO'!$P$12,IF(C87&lt;='SOLLECITAZ NASCOSTO'!$P$11,IF(C87&lt;='SOLLECITAZ NASCOSTO'!$P$10,IF(C87&lt;='SOLLECITAZ NASCOSTO'!$P$9,IF(C87&lt;='SOLLECITAZ NASCOSTO'!$P$8,IF(C87&lt;='SOLLECITAZ NASCOSTO'!$P$7,IF(C87&lt;='SOLLECITAZ NASCOSTO'!$P$6,IF(C87&lt;='SOLLECITAZ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7" s="42">
        <f t="shared" si="21"/>
        <v>5.3999999999999944E-5</v>
      </c>
      <c r="Q87" s="42">
        <f t="shared" si="18"/>
        <v>1</v>
      </c>
      <c r="R87" s="441">
        <f t="shared" si="10"/>
        <v>0.37680288461538464</v>
      </c>
      <c r="S87" s="46">
        <f t="shared" si="19"/>
        <v>0.37680288461538464</v>
      </c>
      <c r="T87" s="211">
        <f t="shared" si="13"/>
        <v>2.9731971153846155</v>
      </c>
      <c r="U87" s="46">
        <f t="shared" si="16"/>
        <v>2.0602520065571479</v>
      </c>
      <c r="V87" s="46">
        <f t="shared" si="17"/>
        <v>-0.35684307213792704</v>
      </c>
      <c r="W87" s="496"/>
    </row>
    <row r="88" spans="1:28" s="428" customFormat="1" x14ac:dyDescent="0.25">
      <c r="A88" s="589">
        <f t="shared" si="11"/>
        <v>1.3461538461156941E-6</v>
      </c>
      <c r="B88" s="32">
        <f t="shared" si="22"/>
        <v>56</v>
      </c>
      <c r="C88" s="441">
        <f>'SOLLECITAZ NASCOSTO'!$D$6/'SOLLECITAZ NASCOSTO'!$B$448*'SOLLECITAZ NASCOSTO'!B88</f>
        <v>0.38365384615384612</v>
      </c>
      <c r="D88" s="441">
        <f t="shared" si="14"/>
        <v>0.3000013461538461</v>
      </c>
      <c r="E88" s="441">
        <f t="shared" si="4"/>
        <v>1.3461538461156941E-6</v>
      </c>
      <c r="F88" s="441">
        <f t="shared" si="5"/>
        <v>0.3000013461538461</v>
      </c>
      <c r="G88" s="441">
        <f t="shared" si="6"/>
        <v>4.5000403847059896E-2</v>
      </c>
      <c r="H88" s="441">
        <f t="shared" si="23"/>
        <v>0</v>
      </c>
      <c r="I88" s="441">
        <v>0</v>
      </c>
      <c r="J88" s="131">
        <f t="shared" si="24"/>
        <v>0.15000067307692305</v>
      </c>
      <c r="K88" s="130">
        <f t="shared" si="9"/>
        <v>2.2500302885974472E-3</v>
      </c>
      <c r="L88" s="42">
        <f t="shared" si="25"/>
        <v>2.1069441894192633</v>
      </c>
      <c r="M88" s="42">
        <f t="shared" si="26"/>
        <v>-0.37111772256885572</v>
      </c>
      <c r="N88" s="42">
        <f>(IF(C87&lt;='SOLLECITAZ NASCOSTO'!$P$12,IF(C87&lt;='SOLLECITAZ NASCOSTO'!$P$11,IF(C87&lt;='SOLLECITAZ NASCOSTO'!$P$10,IF(C87&lt;='SOLLECITAZ NASCOSTO'!$P$9,IF(C87&lt;='SOLLECITAZ NASCOSTO'!$P$8,IF(C87&lt;='SOLLECITAZ NASCOSTO'!$P$7,IF(C87&lt;='SOLLECITAZ NASCOSTO'!$P$6,IF(C87&lt;='SOLLECITAZ NASCOSTO'!$P$5,'Progetto del paramento slu'!$G$105,'Progetto del paramento slu'!$G$106),'Progetto del paramento slu'!$G$107),'Progetto del paramento slu'!$G$108),'Progetto del paramento slu'!$G$109),'Progetto del paramento slu'!$G$110),'Progetto del paramento slu'!$G$111),'Progetto del paramento slu'!$G$112),55555)-IF(C87&lt;='SOLLECITAZ NASCOSTO'!$P$12,IF(C87&lt;='SOLLECITAZ NASCOSTO'!$P$11,IF(C87&lt;='SOLLECITAZ NASCOSTO'!$P$10,IF(C87&lt;='SOLLECITAZ NASCOSTO'!$P$9,IF(C87&lt;='SOLLECITAZ NASCOSTO'!$P$8,IF(C87&lt;='SOLLECITAZ NASCOSTO'!$P$7,IF(C87&lt;='SOLLECITAZ NASCOSTO'!$P$6,IF(C87&lt;='SOLLECITAZ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slu'!$G$112))*(C87-IF(C87&lt;='SOLLECITAZ NASCOSTO'!$P$12,IF(C87&lt;='SOLLECITAZ NASCOSTO'!$P$11,IF(C87&lt;='SOLLECITAZ NASCOSTO'!$P$10,IF(C87&lt;='SOLLECITAZ NASCOSTO'!$P$9,IF(C87&lt;='SOLLECITAZ NASCOSTO'!$P$8,IF(C87&lt;='SOLLECITAZ NASCOSTO'!$P$7,IF(C87&lt;='SOLLECITAZ NASCOSTO'!$P$6,IF(C87&lt;='SOLLECITAZ NASCOSTO'!$P$5,'SOLLECITAZ NASCOSTO'!$P$3,'SOLLECITAZ NASCOSTO'!$P$5),'SOLLECITAZ NASCOSTO'!$P$5),'SOLLECITAZ NASCOSTO'!$P$7),'SOLLECITAZ NASCOSTO'!$P$8),'SOLLECITAZ NASCOSTO'!$P$9),'SOLLECITAZ NASCOSTO'!$P$10),'SOLLECITAZ NASCOSTO'!$P$11),'SOLLECITAZ NASCOSTO'!$P$12))/IF(C87&lt;='SOLLECITAZ NASCOSTO'!$P$12,IF(C87&lt;='SOLLECITAZ NASCOSTO'!$P$11,IF(C87&lt;='SOLLECITAZ NASCOSTO'!$P$10,IF(C87&lt;='SOLLECITAZ NASCOSTO'!$P$9,IF(C87&lt;='SOLLECITAZ NASCOSTO'!$P$8,IF(C87&lt;='SOLLECITAZ NASCOSTO'!$P$7,IF(C87&lt;='SOLLECITAZ NASCOSTO'!$P$6,IF(C87&lt;='SOLLECITAZ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slu'!$C$112)+IF(C87&lt;='SOLLECITAZ NASCOSTO'!$P$12,IF(C87&lt;='SOLLECITAZ NASCOSTO'!$P$11,IF(C87&lt;='SOLLECITAZ NASCOSTO'!$P$10,IF(C87&lt;='SOLLECITAZ NASCOSTO'!$P$9,IF(C87&lt;='SOLLECITAZ NASCOSTO'!$P$8,IF(C87&lt;='SOLLECITAZ NASCOSTO'!$P$7,IF(C87&lt;='SOLLECITAZ NASCOSTO'!$P$6,IF(C87&lt;='SOLLECITAZ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6.7913542661670414</v>
      </c>
      <c r="O88" s="42">
        <f>IF(C88&lt;='SOLLECITAZ NASCOSTO'!$P$12,IF(C88&lt;='SOLLECITAZ NASCOSTO'!$P$11,IF(C88&lt;='SOLLECITAZ NASCOSTO'!$P$10,IF(C88&lt;='SOLLECITAZ NASCOSTO'!$P$9,IF(C88&lt;='SOLLECITAZ NASCOSTO'!$P$8,IF(C88&lt;='SOLLECITAZ NASCOSTO'!$P$7,IF(C88&lt;='SOLLECITAZ NASCOSTO'!$P$6,IF(C88&lt;='SOLLECITAZ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slu'!$G$111),55555)*(C88-C87)/IF(C88&lt;='SOLLECITAZ NASCOSTO'!$P$12,IF(C88&lt;='SOLLECITAZ NASCOSTO'!$P$11,IF(C88&lt;='SOLLECITAZ NASCOSTO'!$P$10,IF(C88&lt;='SOLLECITAZ NASCOSTO'!$P$9,IF(C88&lt;='SOLLECITAZ NASCOSTO'!$P$8,IF(C88&lt;='SOLLECITAZ NASCOSTO'!$P$7,IF(C88&lt;='SOLLECITAZ NASCOSTO'!$P$6,IF(C88&lt;='SOLLECITAZ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4.8132218992352101E-2</v>
      </c>
      <c r="P88" s="42">
        <f t="shared" si="21"/>
        <v>5.4999999999999941E-5</v>
      </c>
      <c r="Q88" s="42">
        <f t="shared" si="18"/>
        <v>1</v>
      </c>
      <c r="R88" s="441">
        <f t="shared" si="10"/>
        <v>0.38365384615384612</v>
      </c>
      <c r="S88" s="46">
        <f t="shared" si="19"/>
        <v>0.38365384615384612</v>
      </c>
      <c r="T88" s="211">
        <f t="shared" si="13"/>
        <v>2.9663461538461542</v>
      </c>
      <c r="U88" s="46">
        <f t="shared" si="16"/>
        <v>2.1069441894192633</v>
      </c>
      <c r="V88" s="46">
        <f t="shared" si="17"/>
        <v>-0.37111772256885572</v>
      </c>
      <c r="W88" s="496"/>
      <c r="X88" s="507" t="s">
        <v>293</v>
      </c>
      <c r="Y88" s="511">
        <f>6*Y84*(Y85-Y86/3)/Y86</f>
        <v>2.5832006524458331</v>
      </c>
    </row>
    <row r="89" spans="1:28" s="428" customFormat="1" x14ac:dyDescent="0.25">
      <c r="A89" s="589">
        <f t="shared" si="11"/>
        <v>1.370192307670326E-6</v>
      </c>
      <c r="B89" s="32">
        <f t="shared" si="22"/>
        <v>57</v>
      </c>
      <c r="C89" s="441">
        <f>'SOLLECITAZ NASCOSTO'!$D$6/'SOLLECITAZ NASCOSTO'!$B$448*'SOLLECITAZ NASCOSTO'!B89</f>
        <v>0.39050480769230766</v>
      </c>
      <c r="D89" s="441">
        <f t="shared" si="14"/>
        <v>0.30000137019230766</v>
      </c>
      <c r="E89" s="441">
        <f t="shared" si="4"/>
        <v>1.370192307670326E-6</v>
      </c>
      <c r="F89" s="441">
        <f t="shared" si="5"/>
        <v>0.30000137019230766</v>
      </c>
      <c r="G89" s="441">
        <f t="shared" si="6"/>
        <v>4.5000411058631014E-2</v>
      </c>
      <c r="H89" s="441">
        <f t="shared" si="23"/>
        <v>0</v>
      </c>
      <c r="I89" s="441">
        <v>0</v>
      </c>
      <c r="J89" s="131">
        <f t="shared" si="24"/>
        <v>0.15000068509615383</v>
      </c>
      <c r="K89" s="130">
        <f t="shared" si="9"/>
        <v>2.2500308294677298E-3</v>
      </c>
      <c r="L89" s="42">
        <f t="shared" si="25"/>
        <v>2.1539661242624564</v>
      </c>
      <c r="M89" s="42">
        <f t="shared" si="26"/>
        <v>-0.3857133889077895</v>
      </c>
      <c r="N89" s="42">
        <f>(IF(C88&lt;='SOLLECITAZ NASCOSTO'!$P$12,IF(C88&lt;='SOLLECITAZ NASCOSTO'!$P$11,IF(C88&lt;='SOLLECITAZ NASCOSTO'!$P$10,IF(C88&lt;='SOLLECITAZ NASCOSTO'!$P$9,IF(C88&lt;='SOLLECITAZ NASCOSTO'!$P$8,IF(C88&lt;='SOLLECITAZ NASCOSTO'!$P$7,IF(C88&lt;='SOLLECITAZ NASCOSTO'!$P$6,IF(C88&lt;='SOLLECITAZ NASCOSTO'!$P$5,'Progetto del paramento slu'!$G$105,'Progetto del paramento slu'!$G$106),'Progetto del paramento slu'!$G$107),'Progetto del paramento slu'!$G$108),'Progetto del paramento slu'!$G$109),'Progetto del paramento slu'!$G$110),'Progetto del paramento slu'!$G$111),'Progetto del paramento slu'!$G$112),55555)-IF(C88&lt;='SOLLECITAZ NASCOSTO'!$P$12,IF(C88&lt;='SOLLECITAZ NASCOSTO'!$P$11,IF(C88&lt;='SOLLECITAZ NASCOSTO'!$P$10,IF(C88&lt;='SOLLECITAZ NASCOSTO'!$P$9,IF(C88&lt;='SOLLECITAZ NASCOSTO'!$P$8,IF(C88&lt;='SOLLECITAZ NASCOSTO'!$P$7,IF(C88&lt;='SOLLECITAZ NASCOSTO'!$P$6,IF(C88&lt;='SOLLECITAZ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slu'!$G$112))*(C88-IF(C88&lt;='SOLLECITAZ NASCOSTO'!$P$12,IF(C88&lt;='SOLLECITAZ NASCOSTO'!$P$11,IF(C88&lt;='SOLLECITAZ NASCOSTO'!$P$10,IF(C88&lt;='SOLLECITAZ NASCOSTO'!$P$9,IF(C88&lt;='SOLLECITAZ NASCOSTO'!$P$8,IF(C88&lt;='SOLLECITAZ NASCOSTO'!$P$7,IF(C88&lt;='SOLLECITAZ NASCOSTO'!$P$6,IF(C88&lt;='SOLLECITAZ NASCOSTO'!$P$5,'SOLLECITAZ NASCOSTO'!$P$3,'SOLLECITAZ NASCOSTO'!$P$5),'SOLLECITAZ NASCOSTO'!$P$5),'SOLLECITAZ NASCOSTO'!$P$7),'SOLLECITAZ NASCOSTO'!$P$8),'SOLLECITAZ NASCOSTO'!$P$9),'SOLLECITAZ NASCOSTO'!$P$10),'SOLLECITAZ NASCOSTO'!$P$11),'SOLLECITAZ NASCOSTO'!$P$12))/IF(C88&lt;='SOLLECITAZ NASCOSTO'!$P$12,IF(C88&lt;='SOLLECITAZ NASCOSTO'!$P$11,IF(C88&lt;='SOLLECITAZ NASCOSTO'!$P$10,IF(C88&lt;='SOLLECITAZ NASCOSTO'!$P$9,IF(C88&lt;='SOLLECITAZ NASCOSTO'!$P$8,IF(C88&lt;='SOLLECITAZ NASCOSTO'!$P$7,IF(C88&lt;='SOLLECITAZ NASCOSTO'!$P$6,IF(C88&lt;='SOLLECITAZ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slu'!$C$112)+IF(C88&lt;='SOLLECITAZ NASCOSTO'!$P$12,IF(C88&lt;='SOLLECITAZ NASCOSTO'!$P$11,IF(C88&lt;='SOLLECITAZ NASCOSTO'!$P$10,IF(C88&lt;='SOLLECITAZ NASCOSTO'!$P$9,IF(C88&lt;='SOLLECITAZ NASCOSTO'!$P$8,IF(C88&lt;='SOLLECITAZ NASCOSTO'!$P$7,IF(C88&lt;='SOLLECITAZ NASCOSTO'!$P$6,IF(C88&lt;='SOLLECITAZ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6.8394864851593935</v>
      </c>
      <c r="O89" s="42">
        <f>IF(C89&lt;='SOLLECITAZ NASCOSTO'!$P$12,IF(C89&lt;='SOLLECITAZ NASCOSTO'!$P$11,IF(C89&lt;='SOLLECITAZ NASCOSTO'!$P$10,IF(C89&lt;='SOLLECITAZ NASCOSTO'!$P$9,IF(C89&lt;='SOLLECITAZ NASCOSTO'!$P$8,IF(C89&lt;='SOLLECITAZ NASCOSTO'!$P$7,IF(C89&lt;='SOLLECITAZ NASCOSTO'!$P$6,IF(C89&lt;='SOLLECITAZ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slu'!$G$111),55555)*(C89-C88)/IF(C89&lt;='SOLLECITAZ NASCOSTO'!$P$12,IF(C89&lt;='SOLLECITAZ NASCOSTO'!$P$11,IF(C89&lt;='SOLLECITAZ NASCOSTO'!$P$10,IF(C89&lt;='SOLLECITAZ NASCOSTO'!$P$9,IF(C89&lt;='SOLLECITAZ NASCOSTO'!$P$8,IF(C89&lt;='SOLLECITAZ NASCOSTO'!$P$7,IF(C89&lt;='SOLLECITAZ NASCOSTO'!$P$6,IF(C89&lt;='SOLLECITAZ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89" s="42">
        <f t="shared" si="21"/>
        <v>5.5999999999999938E-5</v>
      </c>
      <c r="Q89" s="42">
        <f t="shared" si="18"/>
        <v>1</v>
      </c>
      <c r="R89" s="441">
        <f t="shared" si="10"/>
        <v>0.39050480769230766</v>
      </c>
      <c r="S89" s="46">
        <f t="shared" si="19"/>
        <v>0.39050480769230766</v>
      </c>
      <c r="T89" s="211">
        <f t="shared" si="13"/>
        <v>2.9594951923076924</v>
      </c>
      <c r="U89" s="46">
        <f t="shared" si="16"/>
        <v>2.1539661242624564</v>
      </c>
      <c r="V89" s="46">
        <f t="shared" si="17"/>
        <v>-0.3857133889077895</v>
      </c>
      <c r="W89" s="496"/>
      <c r="X89" s="507" t="s">
        <v>210</v>
      </c>
      <c r="Y89" s="511">
        <f>Y84-Y88</f>
        <v>0.36379055790821235</v>
      </c>
    </row>
    <row r="90" spans="1:28" s="428" customFormat="1" x14ac:dyDescent="0.25">
      <c r="A90" s="589">
        <f t="shared" si="11"/>
        <v>1.3942307692249578E-6</v>
      </c>
      <c r="B90" s="32">
        <f t="shared" si="22"/>
        <v>58</v>
      </c>
      <c r="C90" s="441">
        <f>'SOLLECITAZ NASCOSTO'!$D$6/'SOLLECITAZ NASCOSTO'!$B$448*'SOLLECITAZ NASCOSTO'!B90</f>
        <v>0.39735576923076921</v>
      </c>
      <c r="D90" s="441">
        <f t="shared" si="14"/>
        <v>0.30000139423076921</v>
      </c>
      <c r="E90" s="441">
        <f t="shared" si="4"/>
        <v>1.3942307692249578E-6</v>
      </c>
      <c r="F90" s="441">
        <f t="shared" si="5"/>
        <v>0.30000139423076921</v>
      </c>
      <c r="G90" s="441">
        <f t="shared" si="6"/>
        <v>4.5000418270202708E-2</v>
      </c>
      <c r="H90" s="441">
        <f t="shared" si="23"/>
        <v>0</v>
      </c>
      <c r="I90" s="441">
        <v>0</v>
      </c>
      <c r="J90" s="131">
        <f t="shared" si="24"/>
        <v>0.15000069711538461</v>
      </c>
      <c r="K90" s="130">
        <f t="shared" si="9"/>
        <v>2.2500313703380983E-3</v>
      </c>
      <c r="L90" s="42">
        <f t="shared" si="25"/>
        <v>2.2013178110867271</v>
      </c>
      <c r="M90" s="42">
        <f t="shared" si="26"/>
        <v>-0.40063233027286782</v>
      </c>
      <c r="N90" s="42">
        <f>(IF(C89&lt;='SOLLECITAZ NASCOSTO'!$P$12,IF(C89&lt;='SOLLECITAZ NASCOSTO'!$P$11,IF(C89&lt;='SOLLECITAZ NASCOSTO'!$P$10,IF(C89&lt;='SOLLECITAZ NASCOSTO'!$P$9,IF(C89&lt;='SOLLECITAZ NASCOSTO'!$P$8,IF(C89&lt;='SOLLECITAZ NASCOSTO'!$P$7,IF(C89&lt;='SOLLECITAZ NASCOSTO'!$P$6,IF(C89&lt;='SOLLECITAZ NASCOSTO'!$P$5,'Progetto del paramento slu'!$G$105,'Progetto del paramento slu'!$G$106),'Progetto del paramento slu'!$G$107),'Progetto del paramento slu'!$G$108),'Progetto del paramento slu'!$G$109),'Progetto del paramento slu'!$G$110),'Progetto del paramento slu'!$G$111),'Progetto del paramento slu'!$G$112),55555)-IF(C89&lt;='SOLLECITAZ NASCOSTO'!$P$12,IF(C89&lt;='SOLLECITAZ NASCOSTO'!$P$11,IF(C89&lt;='SOLLECITAZ NASCOSTO'!$P$10,IF(C89&lt;='SOLLECITAZ NASCOSTO'!$P$9,IF(C89&lt;='SOLLECITAZ NASCOSTO'!$P$8,IF(C89&lt;='SOLLECITAZ NASCOSTO'!$P$7,IF(C89&lt;='SOLLECITAZ NASCOSTO'!$P$6,IF(C89&lt;='SOLLECITAZ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slu'!$G$112))*(C89-IF(C89&lt;='SOLLECITAZ NASCOSTO'!$P$12,IF(C89&lt;='SOLLECITAZ NASCOSTO'!$P$11,IF(C89&lt;='SOLLECITAZ NASCOSTO'!$P$10,IF(C89&lt;='SOLLECITAZ NASCOSTO'!$P$9,IF(C89&lt;='SOLLECITAZ NASCOSTO'!$P$8,IF(C89&lt;='SOLLECITAZ NASCOSTO'!$P$7,IF(C89&lt;='SOLLECITAZ NASCOSTO'!$P$6,IF(C89&lt;='SOLLECITAZ NASCOSTO'!$P$5,'SOLLECITAZ NASCOSTO'!$P$3,'SOLLECITAZ NASCOSTO'!$P$5),'SOLLECITAZ NASCOSTO'!$P$5),'SOLLECITAZ NASCOSTO'!$P$7),'SOLLECITAZ NASCOSTO'!$P$8),'SOLLECITAZ NASCOSTO'!$P$9),'SOLLECITAZ NASCOSTO'!$P$10),'SOLLECITAZ NASCOSTO'!$P$11),'SOLLECITAZ NASCOSTO'!$P$12))/IF(C89&lt;='SOLLECITAZ NASCOSTO'!$P$12,IF(C89&lt;='SOLLECITAZ NASCOSTO'!$P$11,IF(C89&lt;='SOLLECITAZ NASCOSTO'!$P$10,IF(C89&lt;='SOLLECITAZ NASCOSTO'!$P$9,IF(C89&lt;='SOLLECITAZ NASCOSTO'!$P$8,IF(C89&lt;='SOLLECITAZ NASCOSTO'!$P$7,IF(C89&lt;='SOLLECITAZ NASCOSTO'!$P$6,IF(C89&lt;='SOLLECITAZ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slu'!$C$112)+IF(C89&lt;='SOLLECITAZ NASCOSTO'!$P$12,IF(C89&lt;='SOLLECITAZ NASCOSTO'!$P$11,IF(C89&lt;='SOLLECITAZ NASCOSTO'!$P$10,IF(C89&lt;='SOLLECITAZ NASCOSTO'!$P$9,IF(C89&lt;='SOLLECITAZ NASCOSTO'!$P$8,IF(C89&lt;='SOLLECITAZ NASCOSTO'!$P$7,IF(C89&lt;='SOLLECITAZ NASCOSTO'!$P$6,IF(C89&lt;='SOLLECITAZ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6.8876187041517465</v>
      </c>
      <c r="O90" s="42">
        <f>IF(C90&lt;='SOLLECITAZ NASCOSTO'!$P$12,IF(C90&lt;='SOLLECITAZ NASCOSTO'!$P$11,IF(C90&lt;='SOLLECITAZ NASCOSTO'!$P$10,IF(C90&lt;='SOLLECITAZ NASCOSTO'!$P$9,IF(C90&lt;='SOLLECITAZ NASCOSTO'!$P$8,IF(C90&lt;='SOLLECITAZ NASCOSTO'!$P$7,IF(C90&lt;='SOLLECITAZ NASCOSTO'!$P$6,IF(C90&lt;='SOLLECITAZ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slu'!$G$111),55555)*(C90-C89)/IF(C90&lt;='SOLLECITAZ NASCOSTO'!$P$12,IF(C90&lt;='SOLLECITAZ NASCOSTO'!$P$11,IF(C90&lt;='SOLLECITAZ NASCOSTO'!$P$10,IF(C90&lt;='SOLLECITAZ NASCOSTO'!$P$9,IF(C90&lt;='SOLLECITAZ NASCOSTO'!$P$8,IF(C90&lt;='SOLLECITAZ NASCOSTO'!$P$7,IF(C90&lt;='SOLLECITAZ NASCOSTO'!$P$6,IF(C90&lt;='SOLLECITAZ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0" s="42">
        <f t="shared" si="21"/>
        <v>5.6999999999999935E-5</v>
      </c>
      <c r="Q90" s="42">
        <f t="shared" si="18"/>
        <v>1</v>
      </c>
      <c r="R90" s="441">
        <f t="shared" si="10"/>
        <v>0.39735576923076921</v>
      </c>
      <c r="S90" s="46">
        <f t="shared" si="19"/>
        <v>0.39735576923076921</v>
      </c>
      <c r="T90" s="211">
        <f t="shared" si="13"/>
        <v>2.9526442307692307</v>
      </c>
      <c r="U90" s="46">
        <f t="shared" si="16"/>
        <v>2.2013178110867271</v>
      </c>
      <c r="V90" s="46">
        <f t="shared" si="17"/>
        <v>-0.40063233027286782</v>
      </c>
      <c r="W90" s="496"/>
      <c r="X90" s="497" t="s">
        <v>25</v>
      </c>
      <c r="Y90" s="512">
        <f>Y89</f>
        <v>0.36379055790821235</v>
      </c>
      <c r="Z90" s="498"/>
      <c r="AA90" s="47"/>
    </row>
    <row r="91" spans="1:28" s="428" customFormat="1" x14ac:dyDescent="0.25">
      <c r="A91" s="589">
        <f t="shared" si="11"/>
        <v>1.4182692307240785E-6</v>
      </c>
      <c r="B91" s="32">
        <f t="shared" si="22"/>
        <v>59</v>
      </c>
      <c r="C91" s="441">
        <f>'SOLLECITAZ NASCOSTO'!$D$6/'SOLLECITAZ NASCOSTO'!$B$448*'SOLLECITAZ NASCOSTO'!B91</f>
        <v>0.40420673076923075</v>
      </c>
      <c r="D91" s="441">
        <f t="shared" si="14"/>
        <v>0.30000141826923071</v>
      </c>
      <c r="E91" s="441">
        <f t="shared" si="4"/>
        <v>1.4182692307240785E-6</v>
      </c>
      <c r="F91" s="441">
        <f t="shared" si="5"/>
        <v>0.30000141826923071</v>
      </c>
      <c r="G91" s="441">
        <f t="shared" si="6"/>
        <v>4.5000425481774957E-2</v>
      </c>
      <c r="H91" s="441">
        <f t="shared" si="23"/>
        <v>0</v>
      </c>
      <c r="I91" s="441">
        <v>0</v>
      </c>
      <c r="J91" s="131">
        <f t="shared" si="24"/>
        <v>0.15000070913461536</v>
      </c>
      <c r="K91" s="130">
        <f t="shared" si="9"/>
        <v>2.250031911208553E-3</v>
      </c>
      <c r="L91" s="42">
        <f t="shared" si="25"/>
        <v>2.248999249892075</v>
      </c>
      <c r="M91" s="42">
        <f t="shared" si="26"/>
        <v>-0.4158768057822303</v>
      </c>
      <c r="N91" s="42">
        <f>(IF(C90&lt;='SOLLECITAZ NASCOSTO'!$P$12,IF(C90&lt;='SOLLECITAZ NASCOSTO'!$P$11,IF(C90&lt;='SOLLECITAZ NASCOSTO'!$P$10,IF(C90&lt;='SOLLECITAZ NASCOSTO'!$P$9,IF(C90&lt;='SOLLECITAZ NASCOSTO'!$P$8,IF(C90&lt;='SOLLECITAZ NASCOSTO'!$P$7,IF(C90&lt;='SOLLECITAZ NASCOSTO'!$P$6,IF(C90&lt;='SOLLECITAZ NASCOSTO'!$P$5,'Progetto del paramento slu'!$G$105,'Progetto del paramento slu'!$G$106),'Progetto del paramento slu'!$G$107),'Progetto del paramento slu'!$G$108),'Progetto del paramento slu'!$G$109),'Progetto del paramento slu'!$G$110),'Progetto del paramento slu'!$G$111),'Progetto del paramento slu'!$G$112),55555)-IF(C90&lt;='SOLLECITAZ NASCOSTO'!$P$12,IF(C90&lt;='SOLLECITAZ NASCOSTO'!$P$11,IF(C90&lt;='SOLLECITAZ NASCOSTO'!$P$10,IF(C90&lt;='SOLLECITAZ NASCOSTO'!$P$9,IF(C90&lt;='SOLLECITAZ NASCOSTO'!$P$8,IF(C90&lt;='SOLLECITAZ NASCOSTO'!$P$7,IF(C90&lt;='SOLLECITAZ NASCOSTO'!$P$6,IF(C90&lt;='SOLLECITAZ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slu'!$G$112))*(C90-IF(C90&lt;='SOLLECITAZ NASCOSTO'!$P$12,IF(C90&lt;='SOLLECITAZ NASCOSTO'!$P$11,IF(C90&lt;='SOLLECITAZ NASCOSTO'!$P$10,IF(C90&lt;='SOLLECITAZ NASCOSTO'!$P$9,IF(C90&lt;='SOLLECITAZ NASCOSTO'!$P$8,IF(C90&lt;='SOLLECITAZ NASCOSTO'!$P$7,IF(C90&lt;='SOLLECITAZ NASCOSTO'!$P$6,IF(C90&lt;='SOLLECITAZ NASCOSTO'!$P$5,'SOLLECITAZ NASCOSTO'!$P$3,'SOLLECITAZ NASCOSTO'!$P$5),'SOLLECITAZ NASCOSTO'!$P$5),'SOLLECITAZ NASCOSTO'!$P$7),'SOLLECITAZ NASCOSTO'!$P$8),'SOLLECITAZ NASCOSTO'!$P$9),'SOLLECITAZ NASCOSTO'!$P$10),'SOLLECITAZ NASCOSTO'!$P$11),'SOLLECITAZ NASCOSTO'!$P$12))/IF(C90&lt;='SOLLECITAZ NASCOSTO'!$P$12,IF(C90&lt;='SOLLECITAZ NASCOSTO'!$P$11,IF(C90&lt;='SOLLECITAZ NASCOSTO'!$P$10,IF(C90&lt;='SOLLECITAZ NASCOSTO'!$P$9,IF(C90&lt;='SOLLECITAZ NASCOSTO'!$P$8,IF(C90&lt;='SOLLECITAZ NASCOSTO'!$P$7,IF(C90&lt;='SOLLECITAZ NASCOSTO'!$P$6,IF(C90&lt;='SOLLECITAZ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slu'!$C$112)+IF(C90&lt;='SOLLECITAZ NASCOSTO'!$P$12,IF(C90&lt;='SOLLECITAZ NASCOSTO'!$P$11,IF(C90&lt;='SOLLECITAZ NASCOSTO'!$P$10,IF(C90&lt;='SOLLECITAZ NASCOSTO'!$P$9,IF(C90&lt;='SOLLECITAZ NASCOSTO'!$P$8,IF(C90&lt;='SOLLECITAZ NASCOSTO'!$P$7,IF(C90&lt;='SOLLECITAZ NASCOSTO'!$P$6,IF(C90&lt;='SOLLECITAZ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6.9357509231440986</v>
      </c>
      <c r="O91" s="42">
        <f>IF(C91&lt;='SOLLECITAZ NASCOSTO'!$P$12,IF(C91&lt;='SOLLECITAZ NASCOSTO'!$P$11,IF(C91&lt;='SOLLECITAZ NASCOSTO'!$P$10,IF(C91&lt;='SOLLECITAZ NASCOSTO'!$P$9,IF(C91&lt;='SOLLECITAZ NASCOSTO'!$P$8,IF(C91&lt;='SOLLECITAZ NASCOSTO'!$P$7,IF(C91&lt;='SOLLECITAZ NASCOSTO'!$P$6,IF(C91&lt;='SOLLECITAZ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slu'!$G$111),55555)*(C91-C90)/IF(C91&lt;='SOLLECITAZ NASCOSTO'!$P$12,IF(C91&lt;='SOLLECITAZ NASCOSTO'!$P$11,IF(C91&lt;='SOLLECITAZ NASCOSTO'!$P$10,IF(C91&lt;='SOLLECITAZ NASCOSTO'!$P$9,IF(C91&lt;='SOLLECITAZ NASCOSTO'!$P$8,IF(C91&lt;='SOLLECITAZ NASCOSTO'!$P$7,IF(C91&lt;='SOLLECITAZ NASCOSTO'!$P$6,IF(C91&lt;='SOLLECITAZ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1" s="42">
        <f t="shared" si="21"/>
        <v>5.7999999999999933E-5</v>
      </c>
      <c r="Q91" s="42">
        <f t="shared" si="18"/>
        <v>1</v>
      </c>
      <c r="R91" s="441">
        <f t="shared" si="10"/>
        <v>0.40420673076923075</v>
      </c>
      <c r="S91" s="46">
        <f t="shared" si="19"/>
        <v>0.40420673076923075</v>
      </c>
      <c r="T91" s="211">
        <f t="shared" si="13"/>
        <v>2.9457932692307693</v>
      </c>
      <c r="U91" s="46">
        <f t="shared" si="16"/>
        <v>2.248999249892075</v>
      </c>
      <c r="V91" s="46">
        <f t="shared" si="17"/>
        <v>-0.4158768057822303</v>
      </c>
      <c r="W91" s="496"/>
      <c r="X91" s="497"/>
      <c r="Y91" s="497"/>
      <c r="Z91" s="498"/>
      <c r="AA91" s="47"/>
    </row>
    <row r="92" spans="1:28" s="428" customFormat="1" x14ac:dyDescent="0.25">
      <c r="A92" s="589">
        <f t="shared" si="11"/>
        <v>1.4423076922787104E-6</v>
      </c>
      <c r="B92" s="32">
        <f t="shared" si="22"/>
        <v>60</v>
      </c>
      <c r="C92" s="441">
        <f>'SOLLECITAZ NASCOSTO'!$D$6/'SOLLECITAZ NASCOSTO'!$B$448*'SOLLECITAZ NASCOSTO'!B92</f>
        <v>0.41105769230769229</v>
      </c>
      <c r="D92" s="441">
        <f t="shared" si="14"/>
        <v>0.30000144230769227</v>
      </c>
      <c r="E92" s="441">
        <f t="shared" si="4"/>
        <v>1.4423076922787104E-6</v>
      </c>
      <c r="F92" s="441">
        <f t="shared" si="5"/>
        <v>0.30000144230769227</v>
      </c>
      <c r="G92" s="441">
        <f t="shared" si="6"/>
        <v>4.500043269334781E-2</v>
      </c>
      <c r="H92" s="441">
        <f t="shared" si="23"/>
        <v>0</v>
      </c>
      <c r="I92" s="441">
        <v>0</v>
      </c>
      <c r="J92" s="131">
        <f t="shared" si="24"/>
        <v>0.15000072115384613</v>
      </c>
      <c r="K92" s="130">
        <f t="shared" si="9"/>
        <v>2.250032452079095E-3</v>
      </c>
      <c r="L92" s="42">
        <f t="shared" si="25"/>
        <v>2.2970104406785006</v>
      </c>
      <c r="M92" s="42">
        <f t="shared" si="26"/>
        <v>-0.43144907455401654</v>
      </c>
      <c r="N92" s="42">
        <f>(IF(C91&lt;='SOLLECITAZ NASCOSTO'!$P$12,IF(C91&lt;='SOLLECITAZ NASCOSTO'!$P$11,IF(C91&lt;='SOLLECITAZ NASCOSTO'!$P$10,IF(C91&lt;='SOLLECITAZ NASCOSTO'!$P$9,IF(C91&lt;='SOLLECITAZ NASCOSTO'!$P$8,IF(C91&lt;='SOLLECITAZ NASCOSTO'!$P$7,IF(C91&lt;='SOLLECITAZ NASCOSTO'!$P$6,IF(C91&lt;='SOLLECITAZ NASCOSTO'!$P$5,'Progetto del paramento slu'!$G$105,'Progetto del paramento slu'!$G$106),'Progetto del paramento slu'!$G$107),'Progetto del paramento slu'!$G$108),'Progetto del paramento slu'!$G$109),'Progetto del paramento slu'!$G$110),'Progetto del paramento slu'!$G$111),'Progetto del paramento slu'!$G$112),55555)-IF(C91&lt;='SOLLECITAZ NASCOSTO'!$P$12,IF(C91&lt;='SOLLECITAZ NASCOSTO'!$P$11,IF(C91&lt;='SOLLECITAZ NASCOSTO'!$P$10,IF(C91&lt;='SOLLECITAZ NASCOSTO'!$P$9,IF(C91&lt;='SOLLECITAZ NASCOSTO'!$P$8,IF(C91&lt;='SOLLECITAZ NASCOSTO'!$P$7,IF(C91&lt;='SOLLECITAZ NASCOSTO'!$P$6,IF(C91&lt;='SOLLECITAZ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slu'!$G$112))*(C91-IF(C91&lt;='SOLLECITAZ NASCOSTO'!$P$12,IF(C91&lt;='SOLLECITAZ NASCOSTO'!$P$11,IF(C91&lt;='SOLLECITAZ NASCOSTO'!$P$10,IF(C91&lt;='SOLLECITAZ NASCOSTO'!$P$9,IF(C91&lt;='SOLLECITAZ NASCOSTO'!$P$8,IF(C91&lt;='SOLLECITAZ NASCOSTO'!$P$7,IF(C91&lt;='SOLLECITAZ NASCOSTO'!$P$6,IF(C91&lt;='SOLLECITAZ NASCOSTO'!$P$5,'SOLLECITAZ NASCOSTO'!$P$3,'SOLLECITAZ NASCOSTO'!$P$5),'SOLLECITAZ NASCOSTO'!$P$5),'SOLLECITAZ NASCOSTO'!$P$7),'SOLLECITAZ NASCOSTO'!$P$8),'SOLLECITAZ NASCOSTO'!$P$9),'SOLLECITAZ NASCOSTO'!$P$10),'SOLLECITAZ NASCOSTO'!$P$11),'SOLLECITAZ NASCOSTO'!$P$12))/IF(C91&lt;='SOLLECITAZ NASCOSTO'!$P$12,IF(C91&lt;='SOLLECITAZ NASCOSTO'!$P$11,IF(C91&lt;='SOLLECITAZ NASCOSTO'!$P$10,IF(C91&lt;='SOLLECITAZ NASCOSTO'!$P$9,IF(C91&lt;='SOLLECITAZ NASCOSTO'!$P$8,IF(C91&lt;='SOLLECITAZ NASCOSTO'!$P$7,IF(C91&lt;='SOLLECITAZ NASCOSTO'!$P$6,IF(C91&lt;='SOLLECITAZ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slu'!$C$112)+IF(C91&lt;='SOLLECITAZ NASCOSTO'!$P$12,IF(C91&lt;='SOLLECITAZ NASCOSTO'!$P$11,IF(C91&lt;='SOLLECITAZ NASCOSTO'!$P$10,IF(C91&lt;='SOLLECITAZ NASCOSTO'!$P$9,IF(C91&lt;='SOLLECITAZ NASCOSTO'!$P$8,IF(C91&lt;='SOLLECITAZ NASCOSTO'!$P$7,IF(C91&lt;='SOLLECITAZ NASCOSTO'!$P$6,IF(C91&lt;='SOLLECITAZ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6.9838831421364507</v>
      </c>
      <c r="O92" s="42">
        <f>IF(C92&lt;='SOLLECITAZ NASCOSTO'!$P$12,IF(C92&lt;='SOLLECITAZ NASCOSTO'!$P$11,IF(C92&lt;='SOLLECITAZ NASCOSTO'!$P$10,IF(C92&lt;='SOLLECITAZ NASCOSTO'!$P$9,IF(C92&lt;='SOLLECITAZ NASCOSTO'!$P$8,IF(C92&lt;='SOLLECITAZ NASCOSTO'!$P$7,IF(C92&lt;='SOLLECITAZ NASCOSTO'!$P$6,IF(C92&lt;='SOLLECITAZ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slu'!$G$111),55555)*(C92-C91)/IF(C92&lt;='SOLLECITAZ NASCOSTO'!$P$12,IF(C92&lt;='SOLLECITAZ NASCOSTO'!$P$11,IF(C92&lt;='SOLLECITAZ NASCOSTO'!$P$10,IF(C92&lt;='SOLLECITAZ NASCOSTO'!$P$9,IF(C92&lt;='SOLLECITAZ NASCOSTO'!$P$8,IF(C92&lt;='SOLLECITAZ NASCOSTO'!$P$7,IF(C92&lt;='SOLLECITAZ NASCOSTO'!$P$6,IF(C92&lt;='SOLLECITAZ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2" s="42">
        <f t="shared" si="21"/>
        <v>5.899999999999993E-5</v>
      </c>
      <c r="Q92" s="42">
        <f t="shared" si="18"/>
        <v>1</v>
      </c>
      <c r="R92" s="441">
        <f t="shared" si="10"/>
        <v>0.41105769230769229</v>
      </c>
      <c r="S92" s="46">
        <f t="shared" si="19"/>
        <v>0.41105769230769229</v>
      </c>
      <c r="T92" s="211">
        <f t="shared" si="13"/>
        <v>2.938942307692308</v>
      </c>
      <c r="U92" s="46">
        <f t="shared" si="16"/>
        <v>2.2970104406785006</v>
      </c>
      <c r="V92" s="46">
        <f t="shared" si="17"/>
        <v>-0.43144907455401654</v>
      </c>
      <c r="W92" s="496"/>
      <c r="X92" s="497"/>
      <c r="Y92" s="497"/>
      <c r="Z92" s="498"/>
      <c r="AA92" s="47"/>
      <c r="AB92" s="290" t="s">
        <v>851</v>
      </c>
    </row>
    <row r="93" spans="1:28" s="428" customFormat="1" x14ac:dyDescent="0.25">
      <c r="A93" s="589">
        <f t="shared" si="11"/>
        <v>1.4663461538333422E-6</v>
      </c>
      <c r="B93" s="32">
        <f t="shared" si="22"/>
        <v>61</v>
      </c>
      <c r="C93" s="441">
        <f>'SOLLECITAZ NASCOSTO'!$D$6/'SOLLECITAZ NASCOSTO'!$B$448*'SOLLECITAZ NASCOSTO'!B93</f>
        <v>0.41790865384615383</v>
      </c>
      <c r="D93" s="441">
        <f t="shared" si="14"/>
        <v>0.30000146634615382</v>
      </c>
      <c r="E93" s="441">
        <f t="shared" si="4"/>
        <v>1.4663461538333422E-6</v>
      </c>
      <c r="F93" s="441">
        <f t="shared" si="5"/>
        <v>0.30000146634615382</v>
      </c>
      <c r="G93" s="441">
        <f t="shared" si="6"/>
        <v>4.5000439904921231E-2</v>
      </c>
      <c r="H93" s="441">
        <f t="shared" si="23"/>
        <v>0</v>
      </c>
      <c r="I93" s="441">
        <v>0</v>
      </c>
      <c r="J93" s="131">
        <f t="shared" si="24"/>
        <v>0.15000073317307691</v>
      </c>
      <c r="K93" s="130">
        <f t="shared" si="9"/>
        <v>2.2500329929497241E-3</v>
      </c>
      <c r="L93" s="42">
        <f t="shared" si="25"/>
        <v>2.3453513834460034</v>
      </c>
      <c r="M93" s="42">
        <f t="shared" si="26"/>
        <v>-0.44735139570636612</v>
      </c>
      <c r="N93" s="42">
        <f>(IF(C92&lt;='SOLLECITAZ NASCOSTO'!$P$12,IF(C92&lt;='SOLLECITAZ NASCOSTO'!$P$11,IF(C92&lt;='SOLLECITAZ NASCOSTO'!$P$10,IF(C92&lt;='SOLLECITAZ NASCOSTO'!$P$9,IF(C92&lt;='SOLLECITAZ NASCOSTO'!$P$8,IF(C92&lt;='SOLLECITAZ NASCOSTO'!$P$7,IF(C92&lt;='SOLLECITAZ NASCOSTO'!$P$6,IF(C92&lt;='SOLLECITAZ NASCOSTO'!$P$5,'Progetto del paramento slu'!$G$105,'Progetto del paramento slu'!$G$106),'Progetto del paramento slu'!$G$107),'Progetto del paramento slu'!$G$108),'Progetto del paramento slu'!$G$109),'Progetto del paramento slu'!$G$110),'Progetto del paramento slu'!$G$111),'Progetto del paramento slu'!$G$112),55555)-IF(C92&lt;='SOLLECITAZ NASCOSTO'!$P$12,IF(C92&lt;='SOLLECITAZ NASCOSTO'!$P$11,IF(C92&lt;='SOLLECITAZ NASCOSTO'!$P$10,IF(C92&lt;='SOLLECITAZ NASCOSTO'!$P$9,IF(C92&lt;='SOLLECITAZ NASCOSTO'!$P$8,IF(C92&lt;='SOLLECITAZ NASCOSTO'!$P$7,IF(C92&lt;='SOLLECITAZ NASCOSTO'!$P$6,IF(C92&lt;='SOLLECITAZ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slu'!$G$112))*(C92-IF(C92&lt;='SOLLECITAZ NASCOSTO'!$P$12,IF(C92&lt;='SOLLECITAZ NASCOSTO'!$P$11,IF(C92&lt;='SOLLECITAZ NASCOSTO'!$P$10,IF(C92&lt;='SOLLECITAZ NASCOSTO'!$P$9,IF(C92&lt;='SOLLECITAZ NASCOSTO'!$P$8,IF(C92&lt;='SOLLECITAZ NASCOSTO'!$P$7,IF(C92&lt;='SOLLECITAZ NASCOSTO'!$P$6,IF(C92&lt;='SOLLECITAZ NASCOSTO'!$P$5,'SOLLECITAZ NASCOSTO'!$P$3,'SOLLECITAZ NASCOSTO'!$P$5),'SOLLECITAZ NASCOSTO'!$P$5),'SOLLECITAZ NASCOSTO'!$P$7),'SOLLECITAZ NASCOSTO'!$P$8),'SOLLECITAZ NASCOSTO'!$P$9),'SOLLECITAZ NASCOSTO'!$P$10),'SOLLECITAZ NASCOSTO'!$P$11),'SOLLECITAZ NASCOSTO'!$P$12))/IF(C92&lt;='SOLLECITAZ NASCOSTO'!$P$12,IF(C92&lt;='SOLLECITAZ NASCOSTO'!$P$11,IF(C92&lt;='SOLLECITAZ NASCOSTO'!$P$10,IF(C92&lt;='SOLLECITAZ NASCOSTO'!$P$9,IF(C92&lt;='SOLLECITAZ NASCOSTO'!$P$8,IF(C92&lt;='SOLLECITAZ NASCOSTO'!$P$7,IF(C92&lt;='SOLLECITAZ NASCOSTO'!$P$6,IF(C92&lt;='SOLLECITAZ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slu'!$C$112)+IF(C92&lt;='SOLLECITAZ NASCOSTO'!$P$12,IF(C92&lt;='SOLLECITAZ NASCOSTO'!$P$11,IF(C92&lt;='SOLLECITAZ NASCOSTO'!$P$10,IF(C92&lt;='SOLLECITAZ NASCOSTO'!$P$9,IF(C92&lt;='SOLLECITAZ NASCOSTO'!$P$8,IF(C92&lt;='SOLLECITAZ NASCOSTO'!$P$7,IF(C92&lt;='SOLLECITAZ NASCOSTO'!$P$6,IF(C92&lt;='SOLLECITAZ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7.0320153611288037</v>
      </c>
      <c r="O93" s="42">
        <f>IF(C93&lt;='SOLLECITAZ NASCOSTO'!$P$12,IF(C93&lt;='SOLLECITAZ NASCOSTO'!$P$11,IF(C93&lt;='SOLLECITAZ NASCOSTO'!$P$10,IF(C93&lt;='SOLLECITAZ NASCOSTO'!$P$9,IF(C93&lt;='SOLLECITAZ NASCOSTO'!$P$8,IF(C93&lt;='SOLLECITAZ NASCOSTO'!$P$7,IF(C93&lt;='SOLLECITAZ NASCOSTO'!$P$6,IF(C93&lt;='SOLLECITAZ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slu'!$G$111),55555)*(C93-C92)/IF(C93&lt;='SOLLECITAZ NASCOSTO'!$P$12,IF(C93&lt;='SOLLECITAZ NASCOSTO'!$P$11,IF(C93&lt;='SOLLECITAZ NASCOSTO'!$P$10,IF(C93&lt;='SOLLECITAZ NASCOSTO'!$P$9,IF(C93&lt;='SOLLECITAZ NASCOSTO'!$P$8,IF(C93&lt;='SOLLECITAZ NASCOSTO'!$P$7,IF(C93&lt;='SOLLECITAZ NASCOSTO'!$P$6,IF(C93&lt;='SOLLECITAZ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3" s="42">
        <f t="shared" si="21"/>
        <v>5.9999999999999927E-5</v>
      </c>
      <c r="Q93" s="42">
        <f t="shared" si="18"/>
        <v>1</v>
      </c>
      <c r="R93" s="441">
        <f t="shared" si="10"/>
        <v>0.41790865384615383</v>
      </c>
      <c r="S93" s="46">
        <f t="shared" si="19"/>
        <v>0.41790865384615383</v>
      </c>
      <c r="T93" s="211">
        <f t="shared" si="13"/>
        <v>2.9320913461538463</v>
      </c>
      <c r="U93" s="46">
        <f t="shared" si="16"/>
        <v>2.3453513834460034</v>
      </c>
      <c r="V93" s="46">
        <f t="shared" si="17"/>
        <v>-0.44735139570636612</v>
      </c>
      <c r="W93" s="496"/>
      <c r="X93" s="514"/>
      <c r="Y93" s="513"/>
      <c r="Z93" s="516"/>
      <c r="AA93" s="1032" t="s">
        <v>847</v>
      </c>
    </row>
    <row r="94" spans="1:28" s="428" customFormat="1" x14ac:dyDescent="0.25">
      <c r="A94" s="589">
        <f t="shared" si="11"/>
        <v>1.4903846153324629E-6</v>
      </c>
      <c r="B94" s="32">
        <f t="shared" si="22"/>
        <v>62</v>
      </c>
      <c r="C94" s="441">
        <f>'SOLLECITAZ NASCOSTO'!$D$6/'SOLLECITAZ NASCOSTO'!$B$448*'SOLLECITAZ NASCOSTO'!B94</f>
        <v>0.42475961538461537</v>
      </c>
      <c r="D94" s="441">
        <f t="shared" si="14"/>
        <v>0.30000149038461532</v>
      </c>
      <c r="E94" s="441">
        <f t="shared" si="4"/>
        <v>1.4903846153324629E-6</v>
      </c>
      <c r="F94" s="441">
        <f t="shared" si="5"/>
        <v>0.30000149038461532</v>
      </c>
      <c r="G94" s="441">
        <f t="shared" si="6"/>
        <v>4.5000447116495222E-2</v>
      </c>
      <c r="H94" s="441">
        <f t="shared" si="23"/>
        <v>0</v>
      </c>
      <c r="I94" s="441">
        <v>0</v>
      </c>
      <c r="J94" s="131">
        <f t="shared" si="24"/>
        <v>0.15000074519230766</v>
      </c>
      <c r="K94" s="130">
        <f t="shared" si="9"/>
        <v>2.2500335338204386E-3</v>
      </c>
      <c r="L94" s="42">
        <f t="shared" si="25"/>
        <v>2.3940220781945833</v>
      </c>
      <c r="M94" s="42">
        <f t="shared" si="26"/>
        <v>-0.46358602835741863</v>
      </c>
      <c r="N94" s="42">
        <f>(IF(C93&lt;='SOLLECITAZ NASCOSTO'!$P$12,IF(C93&lt;='SOLLECITAZ NASCOSTO'!$P$11,IF(C93&lt;='SOLLECITAZ NASCOSTO'!$P$10,IF(C93&lt;='SOLLECITAZ NASCOSTO'!$P$9,IF(C93&lt;='SOLLECITAZ NASCOSTO'!$P$8,IF(C93&lt;='SOLLECITAZ NASCOSTO'!$P$7,IF(C93&lt;='SOLLECITAZ NASCOSTO'!$P$6,IF(C93&lt;='SOLLECITAZ NASCOSTO'!$P$5,'Progetto del paramento slu'!$G$105,'Progetto del paramento slu'!$G$106),'Progetto del paramento slu'!$G$107),'Progetto del paramento slu'!$G$108),'Progetto del paramento slu'!$G$109),'Progetto del paramento slu'!$G$110),'Progetto del paramento slu'!$G$111),'Progetto del paramento slu'!$G$112),55555)-IF(C93&lt;='SOLLECITAZ NASCOSTO'!$P$12,IF(C93&lt;='SOLLECITAZ NASCOSTO'!$P$11,IF(C93&lt;='SOLLECITAZ NASCOSTO'!$P$10,IF(C93&lt;='SOLLECITAZ NASCOSTO'!$P$9,IF(C93&lt;='SOLLECITAZ NASCOSTO'!$P$8,IF(C93&lt;='SOLLECITAZ NASCOSTO'!$P$7,IF(C93&lt;='SOLLECITAZ NASCOSTO'!$P$6,IF(C93&lt;='SOLLECITAZ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slu'!$G$112))*(C93-IF(C93&lt;='SOLLECITAZ NASCOSTO'!$P$12,IF(C93&lt;='SOLLECITAZ NASCOSTO'!$P$11,IF(C93&lt;='SOLLECITAZ NASCOSTO'!$P$10,IF(C93&lt;='SOLLECITAZ NASCOSTO'!$P$9,IF(C93&lt;='SOLLECITAZ NASCOSTO'!$P$8,IF(C93&lt;='SOLLECITAZ NASCOSTO'!$P$7,IF(C93&lt;='SOLLECITAZ NASCOSTO'!$P$6,IF(C93&lt;='SOLLECITAZ NASCOSTO'!$P$5,'SOLLECITAZ NASCOSTO'!$P$3,'SOLLECITAZ NASCOSTO'!$P$5),'SOLLECITAZ NASCOSTO'!$P$5),'SOLLECITAZ NASCOSTO'!$P$7),'SOLLECITAZ NASCOSTO'!$P$8),'SOLLECITAZ NASCOSTO'!$P$9),'SOLLECITAZ NASCOSTO'!$P$10),'SOLLECITAZ NASCOSTO'!$P$11),'SOLLECITAZ NASCOSTO'!$P$12))/IF(C93&lt;='SOLLECITAZ NASCOSTO'!$P$12,IF(C93&lt;='SOLLECITAZ NASCOSTO'!$P$11,IF(C93&lt;='SOLLECITAZ NASCOSTO'!$P$10,IF(C93&lt;='SOLLECITAZ NASCOSTO'!$P$9,IF(C93&lt;='SOLLECITAZ NASCOSTO'!$P$8,IF(C93&lt;='SOLLECITAZ NASCOSTO'!$P$7,IF(C93&lt;='SOLLECITAZ NASCOSTO'!$P$6,IF(C93&lt;='SOLLECITAZ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slu'!$C$112)+IF(C93&lt;='SOLLECITAZ NASCOSTO'!$P$12,IF(C93&lt;='SOLLECITAZ NASCOSTO'!$P$11,IF(C93&lt;='SOLLECITAZ NASCOSTO'!$P$10,IF(C93&lt;='SOLLECITAZ NASCOSTO'!$P$9,IF(C93&lt;='SOLLECITAZ NASCOSTO'!$P$8,IF(C93&lt;='SOLLECITAZ NASCOSTO'!$P$7,IF(C93&lt;='SOLLECITAZ NASCOSTO'!$P$6,IF(C93&lt;='SOLLECITAZ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7.0801475801211557</v>
      </c>
      <c r="O94" s="42">
        <f>IF(C94&lt;='SOLLECITAZ NASCOSTO'!$P$12,IF(C94&lt;='SOLLECITAZ NASCOSTO'!$P$11,IF(C94&lt;='SOLLECITAZ NASCOSTO'!$P$10,IF(C94&lt;='SOLLECITAZ NASCOSTO'!$P$9,IF(C94&lt;='SOLLECITAZ NASCOSTO'!$P$8,IF(C94&lt;='SOLLECITAZ NASCOSTO'!$P$7,IF(C94&lt;='SOLLECITAZ NASCOSTO'!$P$6,IF(C94&lt;='SOLLECITAZ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slu'!$G$111),55555)*(C94-C93)/IF(C94&lt;='SOLLECITAZ NASCOSTO'!$P$12,IF(C94&lt;='SOLLECITAZ NASCOSTO'!$P$11,IF(C94&lt;='SOLLECITAZ NASCOSTO'!$P$10,IF(C94&lt;='SOLLECITAZ NASCOSTO'!$P$9,IF(C94&lt;='SOLLECITAZ NASCOSTO'!$P$8,IF(C94&lt;='SOLLECITAZ NASCOSTO'!$P$7,IF(C94&lt;='SOLLECITAZ NASCOSTO'!$P$6,IF(C94&lt;='SOLLECITAZ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4" s="42">
        <f t="shared" si="21"/>
        <v>6.0999999999999924E-5</v>
      </c>
      <c r="Q94" s="42">
        <f t="shared" si="18"/>
        <v>1</v>
      </c>
      <c r="R94" s="441">
        <f t="shared" si="10"/>
        <v>0.42475961538461537</v>
      </c>
      <c r="S94" s="46">
        <f t="shared" si="19"/>
        <v>0.42475961538461537</v>
      </c>
      <c r="T94" s="211">
        <f t="shared" si="13"/>
        <v>2.9252403846153845</v>
      </c>
      <c r="U94" s="46">
        <f t="shared" si="16"/>
        <v>2.3940220781945833</v>
      </c>
      <c r="V94" s="46">
        <f t="shared" si="17"/>
        <v>-0.46358602835741863</v>
      </c>
      <c r="W94" s="496"/>
      <c r="X94" s="515"/>
      <c r="Y94" s="518"/>
      <c r="Z94" s="517"/>
      <c r="AA94" s="1032"/>
    </row>
    <row r="95" spans="1:28" s="428" customFormat="1" x14ac:dyDescent="0.25">
      <c r="A95" s="589">
        <f t="shared" si="11"/>
        <v>1.5144230768870948E-6</v>
      </c>
      <c r="B95" s="32">
        <f t="shared" si="22"/>
        <v>63</v>
      </c>
      <c r="C95" s="441">
        <f>'SOLLECITAZ NASCOSTO'!$D$6/'SOLLECITAZ NASCOSTO'!$B$448*'SOLLECITAZ NASCOSTO'!B95</f>
        <v>0.43161057692307692</v>
      </c>
      <c r="D95" s="441">
        <f t="shared" si="14"/>
        <v>0.30000151442307688</v>
      </c>
      <c r="E95" s="441">
        <f t="shared" si="4"/>
        <v>1.5144230768870948E-6</v>
      </c>
      <c r="F95" s="441">
        <f t="shared" si="5"/>
        <v>0.30000151442307688</v>
      </c>
      <c r="G95" s="441">
        <f t="shared" si="6"/>
        <v>4.5000454328069803E-2</v>
      </c>
      <c r="H95" s="441">
        <f t="shared" si="23"/>
        <v>0</v>
      </c>
      <c r="I95" s="441">
        <v>0</v>
      </c>
      <c r="J95" s="131">
        <f t="shared" si="24"/>
        <v>0.15000075721153844</v>
      </c>
      <c r="K95" s="130">
        <f t="shared" si="9"/>
        <v>2.2500340746912408E-3</v>
      </c>
      <c r="L95" s="42">
        <f t="shared" si="25"/>
        <v>2.443022524924241</v>
      </c>
      <c r="M95" s="42">
        <f t="shared" si="26"/>
        <v>-0.48015523162531365</v>
      </c>
      <c r="N95" s="42">
        <f>(IF(C94&lt;='SOLLECITAZ NASCOSTO'!$P$12,IF(C94&lt;='SOLLECITAZ NASCOSTO'!$P$11,IF(C94&lt;='SOLLECITAZ NASCOSTO'!$P$10,IF(C94&lt;='SOLLECITAZ NASCOSTO'!$P$9,IF(C94&lt;='SOLLECITAZ NASCOSTO'!$P$8,IF(C94&lt;='SOLLECITAZ NASCOSTO'!$P$7,IF(C94&lt;='SOLLECITAZ NASCOSTO'!$P$6,IF(C94&lt;='SOLLECITAZ NASCOSTO'!$P$5,'Progetto del paramento slu'!$G$105,'Progetto del paramento slu'!$G$106),'Progetto del paramento slu'!$G$107),'Progetto del paramento slu'!$G$108),'Progetto del paramento slu'!$G$109),'Progetto del paramento slu'!$G$110),'Progetto del paramento slu'!$G$111),'Progetto del paramento slu'!$G$112),55555)-IF(C94&lt;='SOLLECITAZ NASCOSTO'!$P$12,IF(C94&lt;='SOLLECITAZ NASCOSTO'!$P$11,IF(C94&lt;='SOLLECITAZ NASCOSTO'!$P$10,IF(C94&lt;='SOLLECITAZ NASCOSTO'!$P$9,IF(C94&lt;='SOLLECITAZ NASCOSTO'!$P$8,IF(C94&lt;='SOLLECITAZ NASCOSTO'!$P$7,IF(C94&lt;='SOLLECITAZ NASCOSTO'!$P$6,IF(C94&lt;='SOLLECITAZ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slu'!$G$112))*(C94-IF(C94&lt;='SOLLECITAZ NASCOSTO'!$P$12,IF(C94&lt;='SOLLECITAZ NASCOSTO'!$P$11,IF(C94&lt;='SOLLECITAZ NASCOSTO'!$P$10,IF(C94&lt;='SOLLECITAZ NASCOSTO'!$P$9,IF(C94&lt;='SOLLECITAZ NASCOSTO'!$P$8,IF(C94&lt;='SOLLECITAZ NASCOSTO'!$P$7,IF(C94&lt;='SOLLECITAZ NASCOSTO'!$P$6,IF(C94&lt;='SOLLECITAZ NASCOSTO'!$P$5,'SOLLECITAZ NASCOSTO'!$P$3,'SOLLECITAZ NASCOSTO'!$P$5),'SOLLECITAZ NASCOSTO'!$P$5),'SOLLECITAZ NASCOSTO'!$P$7),'SOLLECITAZ NASCOSTO'!$P$8),'SOLLECITAZ NASCOSTO'!$P$9),'SOLLECITAZ NASCOSTO'!$P$10),'SOLLECITAZ NASCOSTO'!$P$11),'SOLLECITAZ NASCOSTO'!$P$12))/IF(C94&lt;='SOLLECITAZ NASCOSTO'!$P$12,IF(C94&lt;='SOLLECITAZ NASCOSTO'!$P$11,IF(C94&lt;='SOLLECITAZ NASCOSTO'!$P$10,IF(C94&lt;='SOLLECITAZ NASCOSTO'!$P$9,IF(C94&lt;='SOLLECITAZ NASCOSTO'!$P$8,IF(C94&lt;='SOLLECITAZ NASCOSTO'!$P$7,IF(C94&lt;='SOLLECITAZ NASCOSTO'!$P$6,IF(C94&lt;='SOLLECITAZ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slu'!$C$112)+IF(C94&lt;='SOLLECITAZ NASCOSTO'!$P$12,IF(C94&lt;='SOLLECITAZ NASCOSTO'!$P$11,IF(C94&lt;='SOLLECITAZ NASCOSTO'!$P$10,IF(C94&lt;='SOLLECITAZ NASCOSTO'!$P$9,IF(C94&lt;='SOLLECITAZ NASCOSTO'!$P$8,IF(C94&lt;='SOLLECITAZ NASCOSTO'!$P$7,IF(C94&lt;='SOLLECITAZ NASCOSTO'!$P$6,IF(C94&lt;='SOLLECITAZ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7.1282797991135087</v>
      </c>
      <c r="O95" s="42">
        <f>IF(C95&lt;='SOLLECITAZ NASCOSTO'!$P$12,IF(C95&lt;='SOLLECITAZ NASCOSTO'!$P$11,IF(C95&lt;='SOLLECITAZ NASCOSTO'!$P$10,IF(C95&lt;='SOLLECITAZ NASCOSTO'!$P$9,IF(C95&lt;='SOLLECITAZ NASCOSTO'!$P$8,IF(C95&lt;='SOLLECITAZ NASCOSTO'!$P$7,IF(C95&lt;='SOLLECITAZ NASCOSTO'!$P$6,IF(C95&lt;='SOLLECITAZ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slu'!$G$111),55555)*(C95-C94)/IF(C95&lt;='SOLLECITAZ NASCOSTO'!$P$12,IF(C95&lt;='SOLLECITAZ NASCOSTO'!$P$11,IF(C95&lt;='SOLLECITAZ NASCOSTO'!$P$10,IF(C95&lt;='SOLLECITAZ NASCOSTO'!$P$9,IF(C95&lt;='SOLLECITAZ NASCOSTO'!$P$8,IF(C95&lt;='SOLLECITAZ NASCOSTO'!$P$7,IF(C95&lt;='SOLLECITAZ NASCOSTO'!$P$6,IF(C95&lt;='SOLLECITAZ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5" s="42">
        <f t="shared" si="21"/>
        <v>6.1999999999999921E-5</v>
      </c>
      <c r="Q95" s="42">
        <f t="shared" si="18"/>
        <v>1</v>
      </c>
      <c r="R95" s="441">
        <f t="shared" si="10"/>
        <v>0.43161057692307692</v>
      </c>
      <c r="S95" s="46">
        <f t="shared" si="19"/>
        <v>0.43161057692307692</v>
      </c>
      <c r="T95" s="211">
        <f t="shared" si="13"/>
        <v>2.9183894230769232</v>
      </c>
      <c r="U95" s="46">
        <f t="shared" si="16"/>
        <v>2.443022524924241</v>
      </c>
      <c r="V95" s="46">
        <f t="shared" si="17"/>
        <v>-0.48015523162531365</v>
      </c>
      <c r="W95" s="496"/>
      <c r="X95" s="497" t="s">
        <v>25</v>
      </c>
      <c r="Y95" s="497" t="s">
        <v>210</v>
      </c>
      <c r="Z95" s="498" t="s">
        <v>293</v>
      </c>
      <c r="AA95" s="47"/>
      <c r="AB95" s="290" t="s">
        <v>852</v>
      </c>
    </row>
    <row r="96" spans="1:28" s="428" customFormat="1" x14ac:dyDescent="0.25">
      <c r="A96" s="589">
        <f t="shared" si="11"/>
        <v>1.5384615384417266E-6</v>
      </c>
      <c r="B96" s="32">
        <f t="shared" si="22"/>
        <v>64</v>
      </c>
      <c r="C96" s="441">
        <f>'SOLLECITAZ NASCOSTO'!$D$6/'SOLLECITAZ NASCOSTO'!$B$448*'SOLLECITAZ NASCOSTO'!B96</f>
        <v>0.43846153846153846</v>
      </c>
      <c r="D96" s="441">
        <f t="shared" si="14"/>
        <v>0.30000153846153843</v>
      </c>
      <c r="E96" s="441">
        <f t="shared" ref="E96:E159" si="27">D96-$D$9</f>
        <v>1.5384615384417266E-6</v>
      </c>
      <c r="F96" s="441">
        <f t="shared" ref="F96:F159" si="28">E96*$D$12*$D$11+$D$8*$D$9</f>
        <v>0.30000153846153843</v>
      </c>
      <c r="G96" s="441">
        <f t="shared" ref="G96:G159" si="29">$D$12*E96*$D$11*($D$9+E96/2)+$D$9*$D$8*$D$9/2</f>
        <v>4.5000461539644966E-2</v>
      </c>
      <c r="H96" s="441">
        <f t="shared" si="23"/>
        <v>0</v>
      </c>
      <c r="I96" s="441">
        <v>0</v>
      </c>
      <c r="J96" s="131">
        <f t="shared" si="24"/>
        <v>0.15000076923076924</v>
      </c>
      <c r="K96" s="130">
        <f t="shared" ref="K96:K159" si="30">$D$8*$D$9^3/12+$D$8*$D$9*(J96-$D$9/2)^2+$D$11*$D$12*(J96-$D$9)^3/3+$D$11*$D$12*(E96-(J96-$D$9))^3/3</f>
        <v>2.2500346155621296E-3</v>
      </c>
      <c r="L96" s="42">
        <f t="shared" si="25"/>
        <v>2.4923527236349758</v>
      </c>
      <c r="M96" s="42">
        <f t="shared" si="26"/>
        <v>-0.49706126462819078</v>
      </c>
      <c r="N96" s="42">
        <f>(IF(C95&lt;='SOLLECITAZ NASCOSTO'!$P$12,IF(C95&lt;='SOLLECITAZ NASCOSTO'!$P$11,IF(C95&lt;='SOLLECITAZ NASCOSTO'!$P$10,IF(C95&lt;='SOLLECITAZ NASCOSTO'!$P$9,IF(C95&lt;='SOLLECITAZ NASCOSTO'!$P$8,IF(C95&lt;='SOLLECITAZ NASCOSTO'!$P$7,IF(C95&lt;='SOLLECITAZ NASCOSTO'!$P$6,IF(C95&lt;='SOLLECITAZ NASCOSTO'!$P$5,'Progetto del paramento slu'!$G$105,'Progetto del paramento slu'!$G$106),'Progetto del paramento slu'!$G$107),'Progetto del paramento slu'!$G$108),'Progetto del paramento slu'!$G$109),'Progetto del paramento slu'!$G$110),'Progetto del paramento slu'!$G$111),'Progetto del paramento slu'!$G$112),55555)-IF(C95&lt;='SOLLECITAZ NASCOSTO'!$P$12,IF(C95&lt;='SOLLECITAZ NASCOSTO'!$P$11,IF(C95&lt;='SOLLECITAZ NASCOSTO'!$P$10,IF(C95&lt;='SOLLECITAZ NASCOSTO'!$P$9,IF(C95&lt;='SOLLECITAZ NASCOSTO'!$P$8,IF(C95&lt;='SOLLECITAZ NASCOSTO'!$P$7,IF(C95&lt;='SOLLECITAZ NASCOSTO'!$P$6,IF(C95&lt;='SOLLECITAZ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slu'!$G$112))*(C95-IF(C95&lt;='SOLLECITAZ NASCOSTO'!$P$12,IF(C95&lt;='SOLLECITAZ NASCOSTO'!$P$11,IF(C95&lt;='SOLLECITAZ NASCOSTO'!$P$10,IF(C95&lt;='SOLLECITAZ NASCOSTO'!$P$9,IF(C95&lt;='SOLLECITAZ NASCOSTO'!$P$8,IF(C95&lt;='SOLLECITAZ NASCOSTO'!$P$7,IF(C95&lt;='SOLLECITAZ NASCOSTO'!$P$6,IF(C95&lt;='SOLLECITAZ NASCOSTO'!$P$5,'SOLLECITAZ NASCOSTO'!$P$3,'SOLLECITAZ NASCOSTO'!$P$5),'SOLLECITAZ NASCOSTO'!$P$5),'SOLLECITAZ NASCOSTO'!$P$7),'SOLLECITAZ NASCOSTO'!$P$8),'SOLLECITAZ NASCOSTO'!$P$9),'SOLLECITAZ NASCOSTO'!$P$10),'SOLLECITAZ NASCOSTO'!$P$11),'SOLLECITAZ NASCOSTO'!$P$12))/IF(C95&lt;='SOLLECITAZ NASCOSTO'!$P$12,IF(C95&lt;='SOLLECITAZ NASCOSTO'!$P$11,IF(C95&lt;='SOLLECITAZ NASCOSTO'!$P$10,IF(C95&lt;='SOLLECITAZ NASCOSTO'!$P$9,IF(C95&lt;='SOLLECITAZ NASCOSTO'!$P$8,IF(C95&lt;='SOLLECITAZ NASCOSTO'!$P$7,IF(C95&lt;='SOLLECITAZ NASCOSTO'!$P$6,IF(C95&lt;='SOLLECITAZ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slu'!$C$112)+IF(C95&lt;='SOLLECITAZ NASCOSTO'!$P$12,IF(C95&lt;='SOLLECITAZ NASCOSTO'!$P$11,IF(C95&lt;='SOLLECITAZ NASCOSTO'!$P$10,IF(C95&lt;='SOLLECITAZ NASCOSTO'!$P$9,IF(C95&lt;='SOLLECITAZ NASCOSTO'!$P$8,IF(C95&lt;='SOLLECITAZ NASCOSTO'!$P$7,IF(C95&lt;='SOLLECITAZ NASCOSTO'!$P$6,IF(C95&lt;='SOLLECITAZ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7.1764120181058608</v>
      </c>
      <c r="O96" s="42">
        <f>IF(C96&lt;='SOLLECITAZ NASCOSTO'!$P$12,IF(C96&lt;='SOLLECITAZ NASCOSTO'!$P$11,IF(C96&lt;='SOLLECITAZ NASCOSTO'!$P$10,IF(C96&lt;='SOLLECITAZ NASCOSTO'!$P$9,IF(C96&lt;='SOLLECITAZ NASCOSTO'!$P$8,IF(C96&lt;='SOLLECITAZ NASCOSTO'!$P$7,IF(C96&lt;='SOLLECITAZ NASCOSTO'!$P$6,IF(C96&lt;='SOLLECITAZ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slu'!$G$111),55555)*(C96-C95)/IF(C96&lt;='SOLLECITAZ NASCOSTO'!$P$12,IF(C96&lt;='SOLLECITAZ NASCOSTO'!$P$11,IF(C96&lt;='SOLLECITAZ NASCOSTO'!$P$10,IF(C96&lt;='SOLLECITAZ NASCOSTO'!$P$9,IF(C96&lt;='SOLLECITAZ NASCOSTO'!$P$8,IF(C96&lt;='SOLLECITAZ NASCOSTO'!$P$7,IF(C96&lt;='SOLLECITAZ NASCOSTO'!$P$6,IF(C96&lt;='SOLLECITAZ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6" s="42">
        <f t="shared" si="21"/>
        <v>6.2999999999999919E-5</v>
      </c>
      <c r="Q96" s="42">
        <f t="shared" si="18"/>
        <v>1</v>
      </c>
      <c r="R96" s="441">
        <f t="shared" ref="R96:R159" si="31">C96</f>
        <v>0.43846153846153846</v>
      </c>
      <c r="S96" s="46">
        <f t="shared" si="19"/>
        <v>0.43846153846153846</v>
      </c>
      <c r="T96" s="211">
        <f t="shared" si="13"/>
        <v>2.9115384615384619</v>
      </c>
      <c r="U96" s="46">
        <f t="shared" si="16"/>
        <v>2.4923527236349758</v>
      </c>
      <c r="V96" s="46">
        <f t="shared" si="17"/>
        <v>-0.49706126462819078</v>
      </c>
      <c r="W96" s="496"/>
      <c r="X96" s="497"/>
      <c r="Y96" s="1033" t="s">
        <v>849</v>
      </c>
      <c r="Z96" s="1034"/>
      <c r="AA96" s="47"/>
    </row>
    <row r="97" spans="1:27" s="428" customFormat="1" x14ac:dyDescent="0.25">
      <c r="A97" s="589">
        <f t="shared" ref="A97:A160" si="32">E97</f>
        <v>1.5624999999408473E-6</v>
      </c>
      <c r="B97" s="32">
        <f t="shared" si="22"/>
        <v>65</v>
      </c>
      <c r="C97" s="441">
        <f>'SOLLECITAZ NASCOSTO'!$D$6/'SOLLECITAZ NASCOSTO'!$B$448*'SOLLECITAZ NASCOSTO'!B97</f>
        <v>0.4453125</v>
      </c>
      <c r="D97" s="441">
        <f t="shared" ref="D97:D160" si="33">$D$9+$D$14+$D$16*C97</f>
        <v>0.30000156249999993</v>
      </c>
      <c r="E97" s="441">
        <f t="shared" si="27"/>
        <v>1.5624999999408473E-6</v>
      </c>
      <c r="F97" s="441">
        <f t="shared" si="28"/>
        <v>0.30000156249999993</v>
      </c>
      <c r="G97" s="441">
        <f t="shared" si="29"/>
        <v>4.5000468751220685E-2</v>
      </c>
      <c r="H97" s="441">
        <f t="shared" si="23"/>
        <v>0</v>
      </c>
      <c r="I97" s="441">
        <v>0</v>
      </c>
      <c r="J97" s="131">
        <f t="shared" si="24"/>
        <v>0.15000078124999996</v>
      </c>
      <c r="K97" s="130">
        <f t="shared" si="30"/>
        <v>2.2500351564331044E-3</v>
      </c>
      <c r="L97" s="42">
        <f t="shared" si="25"/>
        <v>2.5420126743267883</v>
      </c>
      <c r="M97" s="42">
        <f t="shared" si="26"/>
        <v>-0.51430638648418958</v>
      </c>
      <c r="N97" s="42">
        <f>(IF(C96&lt;='SOLLECITAZ NASCOSTO'!$P$12,IF(C96&lt;='SOLLECITAZ NASCOSTO'!$P$11,IF(C96&lt;='SOLLECITAZ NASCOSTO'!$P$10,IF(C96&lt;='SOLLECITAZ NASCOSTO'!$P$9,IF(C96&lt;='SOLLECITAZ NASCOSTO'!$P$8,IF(C96&lt;='SOLLECITAZ NASCOSTO'!$P$7,IF(C96&lt;='SOLLECITAZ NASCOSTO'!$P$6,IF(C96&lt;='SOLLECITAZ NASCOSTO'!$P$5,'Progetto del paramento slu'!$G$105,'Progetto del paramento slu'!$G$106),'Progetto del paramento slu'!$G$107),'Progetto del paramento slu'!$G$108),'Progetto del paramento slu'!$G$109),'Progetto del paramento slu'!$G$110),'Progetto del paramento slu'!$G$111),'Progetto del paramento slu'!$G$112),55555)-IF(C96&lt;='SOLLECITAZ NASCOSTO'!$P$12,IF(C96&lt;='SOLLECITAZ NASCOSTO'!$P$11,IF(C96&lt;='SOLLECITAZ NASCOSTO'!$P$10,IF(C96&lt;='SOLLECITAZ NASCOSTO'!$P$9,IF(C96&lt;='SOLLECITAZ NASCOSTO'!$P$8,IF(C96&lt;='SOLLECITAZ NASCOSTO'!$P$7,IF(C96&lt;='SOLLECITAZ NASCOSTO'!$P$6,IF(C96&lt;='SOLLECITAZ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slu'!$G$112))*(C96-IF(C96&lt;='SOLLECITAZ NASCOSTO'!$P$12,IF(C96&lt;='SOLLECITAZ NASCOSTO'!$P$11,IF(C96&lt;='SOLLECITAZ NASCOSTO'!$P$10,IF(C96&lt;='SOLLECITAZ NASCOSTO'!$P$9,IF(C96&lt;='SOLLECITAZ NASCOSTO'!$P$8,IF(C96&lt;='SOLLECITAZ NASCOSTO'!$P$7,IF(C96&lt;='SOLLECITAZ NASCOSTO'!$P$6,IF(C96&lt;='SOLLECITAZ NASCOSTO'!$P$5,'SOLLECITAZ NASCOSTO'!$P$3,'SOLLECITAZ NASCOSTO'!$P$5),'SOLLECITAZ NASCOSTO'!$P$5),'SOLLECITAZ NASCOSTO'!$P$7),'SOLLECITAZ NASCOSTO'!$P$8),'SOLLECITAZ NASCOSTO'!$P$9),'SOLLECITAZ NASCOSTO'!$P$10),'SOLLECITAZ NASCOSTO'!$P$11),'SOLLECITAZ NASCOSTO'!$P$12))/IF(C96&lt;='SOLLECITAZ NASCOSTO'!$P$12,IF(C96&lt;='SOLLECITAZ NASCOSTO'!$P$11,IF(C96&lt;='SOLLECITAZ NASCOSTO'!$P$10,IF(C96&lt;='SOLLECITAZ NASCOSTO'!$P$9,IF(C96&lt;='SOLLECITAZ NASCOSTO'!$P$8,IF(C96&lt;='SOLLECITAZ NASCOSTO'!$P$7,IF(C96&lt;='SOLLECITAZ NASCOSTO'!$P$6,IF(C96&lt;='SOLLECITAZ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slu'!$C$112)+IF(C96&lt;='SOLLECITAZ NASCOSTO'!$P$12,IF(C96&lt;='SOLLECITAZ NASCOSTO'!$P$11,IF(C96&lt;='SOLLECITAZ NASCOSTO'!$P$10,IF(C96&lt;='SOLLECITAZ NASCOSTO'!$P$9,IF(C96&lt;='SOLLECITAZ NASCOSTO'!$P$8,IF(C96&lt;='SOLLECITAZ NASCOSTO'!$P$7,IF(C96&lt;='SOLLECITAZ NASCOSTO'!$P$6,IF(C96&lt;='SOLLECITAZ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7.2245442370982138</v>
      </c>
      <c r="O97" s="42">
        <f>IF(C97&lt;='SOLLECITAZ NASCOSTO'!$P$12,IF(C97&lt;='SOLLECITAZ NASCOSTO'!$P$11,IF(C97&lt;='SOLLECITAZ NASCOSTO'!$P$10,IF(C97&lt;='SOLLECITAZ NASCOSTO'!$P$9,IF(C97&lt;='SOLLECITAZ NASCOSTO'!$P$8,IF(C97&lt;='SOLLECITAZ NASCOSTO'!$P$7,IF(C97&lt;='SOLLECITAZ NASCOSTO'!$P$6,IF(C97&lt;='SOLLECITAZ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slu'!$G$111),55555)*(C97-C96)/IF(C97&lt;='SOLLECITAZ NASCOSTO'!$P$12,IF(C97&lt;='SOLLECITAZ NASCOSTO'!$P$11,IF(C97&lt;='SOLLECITAZ NASCOSTO'!$P$10,IF(C97&lt;='SOLLECITAZ NASCOSTO'!$P$9,IF(C97&lt;='SOLLECITAZ NASCOSTO'!$P$8,IF(C97&lt;='SOLLECITAZ NASCOSTO'!$P$7,IF(C97&lt;='SOLLECITAZ NASCOSTO'!$P$6,IF(C97&lt;='SOLLECITAZ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7" s="42">
        <f t="shared" si="21"/>
        <v>6.3999999999999916E-5</v>
      </c>
      <c r="Q97" s="42">
        <f t="shared" si="18"/>
        <v>1</v>
      </c>
      <c r="R97" s="441">
        <f t="shared" si="31"/>
        <v>0.4453125</v>
      </c>
      <c r="S97" s="46">
        <f t="shared" si="19"/>
        <v>0.4453125</v>
      </c>
      <c r="T97" s="211">
        <f t="shared" ref="T97:T160" si="34">$R$468-S97</f>
        <v>2.9046875000000001</v>
      </c>
      <c r="U97" s="46">
        <f t="shared" si="16"/>
        <v>2.5420126743267883</v>
      </c>
      <c r="V97" s="46">
        <f t="shared" si="17"/>
        <v>-0.51430638648418958</v>
      </c>
      <c r="W97" s="496"/>
      <c r="X97" s="497"/>
      <c r="Y97" s="497"/>
      <c r="Z97" s="498"/>
      <c r="AA97" s="47"/>
    </row>
    <row r="98" spans="1:27" s="428" customFormat="1" x14ac:dyDescent="0.25">
      <c r="A98" s="589">
        <f t="shared" si="32"/>
        <v>1.5865384614954792E-6</v>
      </c>
      <c r="B98" s="32">
        <f t="shared" si="22"/>
        <v>66</v>
      </c>
      <c r="C98" s="441">
        <f>'SOLLECITAZ NASCOSTO'!$D$6/'SOLLECITAZ NASCOSTO'!$B$448*'SOLLECITAZ NASCOSTO'!B98</f>
        <v>0.45216346153846154</v>
      </c>
      <c r="D98" s="441">
        <f t="shared" si="33"/>
        <v>0.30000158653846148</v>
      </c>
      <c r="E98" s="441">
        <f t="shared" si="27"/>
        <v>1.5865384614954792E-6</v>
      </c>
      <c r="F98" s="441">
        <f t="shared" si="28"/>
        <v>0.30000158653846148</v>
      </c>
      <c r="G98" s="441">
        <f t="shared" si="29"/>
        <v>4.5000475962797E-2</v>
      </c>
      <c r="H98" s="441">
        <f t="shared" si="23"/>
        <v>0</v>
      </c>
      <c r="I98" s="441">
        <v>0</v>
      </c>
      <c r="J98" s="131">
        <f t="shared" si="24"/>
        <v>0.15000079326923074</v>
      </c>
      <c r="K98" s="130">
        <f t="shared" si="30"/>
        <v>2.2500356973041667E-3</v>
      </c>
      <c r="L98" s="42">
        <f t="shared" si="25"/>
        <v>2.5920023769996781</v>
      </c>
      <c r="M98" s="42">
        <f t="shared" si="26"/>
        <v>-0.53189285631144967</v>
      </c>
      <c r="N98" s="42">
        <f>(IF(C97&lt;='SOLLECITAZ NASCOSTO'!$P$12,IF(C97&lt;='SOLLECITAZ NASCOSTO'!$P$11,IF(C97&lt;='SOLLECITAZ NASCOSTO'!$P$10,IF(C97&lt;='SOLLECITAZ NASCOSTO'!$P$9,IF(C97&lt;='SOLLECITAZ NASCOSTO'!$P$8,IF(C97&lt;='SOLLECITAZ NASCOSTO'!$P$7,IF(C97&lt;='SOLLECITAZ NASCOSTO'!$P$6,IF(C97&lt;='SOLLECITAZ NASCOSTO'!$P$5,'Progetto del paramento slu'!$G$105,'Progetto del paramento slu'!$G$106),'Progetto del paramento slu'!$G$107),'Progetto del paramento slu'!$G$108),'Progetto del paramento slu'!$G$109),'Progetto del paramento slu'!$G$110),'Progetto del paramento slu'!$G$111),'Progetto del paramento slu'!$G$112),55555)-IF(C97&lt;='SOLLECITAZ NASCOSTO'!$P$12,IF(C97&lt;='SOLLECITAZ NASCOSTO'!$P$11,IF(C97&lt;='SOLLECITAZ NASCOSTO'!$P$10,IF(C97&lt;='SOLLECITAZ NASCOSTO'!$P$9,IF(C97&lt;='SOLLECITAZ NASCOSTO'!$P$8,IF(C97&lt;='SOLLECITAZ NASCOSTO'!$P$7,IF(C97&lt;='SOLLECITAZ NASCOSTO'!$P$6,IF(C97&lt;='SOLLECITAZ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slu'!$G$112))*(C97-IF(C97&lt;='SOLLECITAZ NASCOSTO'!$P$12,IF(C97&lt;='SOLLECITAZ NASCOSTO'!$P$11,IF(C97&lt;='SOLLECITAZ NASCOSTO'!$P$10,IF(C97&lt;='SOLLECITAZ NASCOSTO'!$P$9,IF(C97&lt;='SOLLECITAZ NASCOSTO'!$P$8,IF(C97&lt;='SOLLECITAZ NASCOSTO'!$P$7,IF(C97&lt;='SOLLECITAZ NASCOSTO'!$P$6,IF(C97&lt;='SOLLECITAZ NASCOSTO'!$P$5,'SOLLECITAZ NASCOSTO'!$P$3,'SOLLECITAZ NASCOSTO'!$P$5),'SOLLECITAZ NASCOSTO'!$P$5),'SOLLECITAZ NASCOSTO'!$P$7),'SOLLECITAZ NASCOSTO'!$P$8),'SOLLECITAZ NASCOSTO'!$P$9),'SOLLECITAZ NASCOSTO'!$P$10),'SOLLECITAZ NASCOSTO'!$P$11),'SOLLECITAZ NASCOSTO'!$P$12))/IF(C97&lt;='SOLLECITAZ NASCOSTO'!$P$12,IF(C97&lt;='SOLLECITAZ NASCOSTO'!$P$11,IF(C97&lt;='SOLLECITAZ NASCOSTO'!$P$10,IF(C97&lt;='SOLLECITAZ NASCOSTO'!$P$9,IF(C97&lt;='SOLLECITAZ NASCOSTO'!$P$8,IF(C97&lt;='SOLLECITAZ NASCOSTO'!$P$7,IF(C97&lt;='SOLLECITAZ NASCOSTO'!$P$6,IF(C97&lt;='SOLLECITAZ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slu'!$C$112)+IF(C97&lt;='SOLLECITAZ NASCOSTO'!$P$12,IF(C97&lt;='SOLLECITAZ NASCOSTO'!$P$11,IF(C97&lt;='SOLLECITAZ NASCOSTO'!$P$10,IF(C97&lt;='SOLLECITAZ NASCOSTO'!$P$9,IF(C97&lt;='SOLLECITAZ NASCOSTO'!$P$8,IF(C97&lt;='SOLLECITAZ NASCOSTO'!$P$7,IF(C97&lt;='SOLLECITAZ NASCOSTO'!$P$6,IF(C97&lt;='SOLLECITAZ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7.2726764560905668</v>
      </c>
      <c r="O98" s="42">
        <f>IF(C98&lt;='SOLLECITAZ NASCOSTO'!$P$12,IF(C98&lt;='SOLLECITAZ NASCOSTO'!$P$11,IF(C98&lt;='SOLLECITAZ NASCOSTO'!$P$10,IF(C98&lt;='SOLLECITAZ NASCOSTO'!$P$9,IF(C98&lt;='SOLLECITAZ NASCOSTO'!$P$8,IF(C98&lt;='SOLLECITAZ NASCOSTO'!$P$7,IF(C98&lt;='SOLLECITAZ NASCOSTO'!$P$6,IF(C98&lt;='SOLLECITAZ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slu'!$G$111),55555)*(C98-C97)/IF(C98&lt;='SOLLECITAZ NASCOSTO'!$P$12,IF(C98&lt;='SOLLECITAZ NASCOSTO'!$P$11,IF(C98&lt;='SOLLECITAZ NASCOSTO'!$P$10,IF(C98&lt;='SOLLECITAZ NASCOSTO'!$P$9,IF(C98&lt;='SOLLECITAZ NASCOSTO'!$P$8,IF(C98&lt;='SOLLECITAZ NASCOSTO'!$P$7,IF(C98&lt;='SOLLECITAZ NASCOSTO'!$P$6,IF(C98&lt;='SOLLECITAZ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8" s="42">
        <f t="shared" si="21"/>
        <v>6.4999999999999913E-5</v>
      </c>
      <c r="Q98" s="42">
        <f t="shared" si="18"/>
        <v>1</v>
      </c>
      <c r="R98" s="441">
        <f t="shared" si="31"/>
        <v>0.45216346153846154</v>
      </c>
      <c r="S98" s="46">
        <f t="shared" si="19"/>
        <v>0.45216346153846154</v>
      </c>
      <c r="T98" s="211">
        <f t="shared" si="34"/>
        <v>2.8978365384615383</v>
      </c>
      <c r="U98" s="46">
        <f t="shared" ref="U98:U161" si="35">IF(Q98=1,L98,0)</f>
        <v>2.5920023769996781</v>
      </c>
      <c r="V98" s="46">
        <f t="shared" ref="V98:V161" si="36">IF(Q98=1,M98,0)</f>
        <v>-0.53189285631144967</v>
      </c>
      <c r="W98" s="496"/>
      <c r="Y98" s="514"/>
      <c r="Z98" s="509"/>
      <c r="AA98" s="47"/>
    </row>
    <row r="99" spans="1:27" s="428" customFormat="1" x14ac:dyDescent="0.25">
      <c r="A99" s="589">
        <f t="shared" si="32"/>
        <v>1.610576923050111E-6</v>
      </c>
      <c r="B99" s="32">
        <f t="shared" si="22"/>
        <v>67</v>
      </c>
      <c r="C99" s="441">
        <f>'SOLLECITAZ NASCOSTO'!$D$6/'SOLLECITAZ NASCOSTO'!$B$448*'SOLLECITAZ NASCOSTO'!B99</f>
        <v>0.45901442307692308</v>
      </c>
      <c r="D99" s="441">
        <f t="shared" si="33"/>
        <v>0.30000161057692304</v>
      </c>
      <c r="E99" s="441">
        <f t="shared" si="27"/>
        <v>1.610576923050111E-6</v>
      </c>
      <c r="F99" s="441">
        <f t="shared" si="28"/>
        <v>0.30000161057692304</v>
      </c>
      <c r="G99" s="441">
        <f t="shared" si="29"/>
        <v>4.5000483174373891E-2</v>
      </c>
      <c r="H99" s="441">
        <f t="shared" si="23"/>
        <v>0</v>
      </c>
      <c r="I99" s="441">
        <v>0</v>
      </c>
      <c r="J99" s="131">
        <f t="shared" si="24"/>
        <v>0.15000080528846152</v>
      </c>
      <c r="K99" s="130">
        <f t="shared" si="30"/>
        <v>2.2500362381753154E-3</v>
      </c>
      <c r="L99" s="42">
        <f t="shared" si="25"/>
        <v>2.6423218316536454</v>
      </c>
      <c r="M99" s="42">
        <f t="shared" si="26"/>
        <v>-0.54982293322811071</v>
      </c>
      <c r="N99" s="42">
        <f>(IF(C98&lt;='SOLLECITAZ NASCOSTO'!$P$12,IF(C98&lt;='SOLLECITAZ NASCOSTO'!$P$11,IF(C98&lt;='SOLLECITAZ NASCOSTO'!$P$10,IF(C98&lt;='SOLLECITAZ NASCOSTO'!$P$9,IF(C98&lt;='SOLLECITAZ NASCOSTO'!$P$8,IF(C98&lt;='SOLLECITAZ NASCOSTO'!$P$7,IF(C98&lt;='SOLLECITAZ NASCOSTO'!$P$6,IF(C98&lt;='SOLLECITAZ NASCOSTO'!$P$5,'Progetto del paramento slu'!$G$105,'Progetto del paramento slu'!$G$106),'Progetto del paramento slu'!$G$107),'Progetto del paramento slu'!$G$108),'Progetto del paramento slu'!$G$109),'Progetto del paramento slu'!$G$110),'Progetto del paramento slu'!$G$111),'Progetto del paramento slu'!$G$112),55555)-IF(C98&lt;='SOLLECITAZ NASCOSTO'!$P$12,IF(C98&lt;='SOLLECITAZ NASCOSTO'!$P$11,IF(C98&lt;='SOLLECITAZ NASCOSTO'!$P$10,IF(C98&lt;='SOLLECITAZ NASCOSTO'!$P$9,IF(C98&lt;='SOLLECITAZ NASCOSTO'!$P$8,IF(C98&lt;='SOLLECITAZ NASCOSTO'!$P$7,IF(C98&lt;='SOLLECITAZ NASCOSTO'!$P$6,IF(C98&lt;='SOLLECITAZ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slu'!$G$112))*(C98-IF(C98&lt;='SOLLECITAZ NASCOSTO'!$P$12,IF(C98&lt;='SOLLECITAZ NASCOSTO'!$P$11,IF(C98&lt;='SOLLECITAZ NASCOSTO'!$P$10,IF(C98&lt;='SOLLECITAZ NASCOSTO'!$P$9,IF(C98&lt;='SOLLECITAZ NASCOSTO'!$P$8,IF(C98&lt;='SOLLECITAZ NASCOSTO'!$P$7,IF(C98&lt;='SOLLECITAZ NASCOSTO'!$P$6,IF(C98&lt;='SOLLECITAZ NASCOSTO'!$P$5,'SOLLECITAZ NASCOSTO'!$P$3,'SOLLECITAZ NASCOSTO'!$P$5),'SOLLECITAZ NASCOSTO'!$P$5),'SOLLECITAZ NASCOSTO'!$P$7),'SOLLECITAZ NASCOSTO'!$P$8),'SOLLECITAZ NASCOSTO'!$P$9),'SOLLECITAZ NASCOSTO'!$P$10),'SOLLECITAZ NASCOSTO'!$P$11),'SOLLECITAZ NASCOSTO'!$P$12))/IF(C98&lt;='SOLLECITAZ NASCOSTO'!$P$12,IF(C98&lt;='SOLLECITAZ NASCOSTO'!$P$11,IF(C98&lt;='SOLLECITAZ NASCOSTO'!$P$10,IF(C98&lt;='SOLLECITAZ NASCOSTO'!$P$9,IF(C98&lt;='SOLLECITAZ NASCOSTO'!$P$8,IF(C98&lt;='SOLLECITAZ NASCOSTO'!$P$7,IF(C98&lt;='SOLLECITAZ NASCOSTO'!$P$6,IF(C98&lt;='SOLLECITAZ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slu'!$C$112)+IF(C98&lt;='SOLLECITAZ NASCOSTO'!$P$12,IF(C98&lt;='SOLLECITAZ NASCOSTO'!$P$11,IF(C98&lt;='SOLLECITAZ NASCOSTO'!$P$10,IF(C98&lt;='SOLLECITAZ NASCOSTO'!$P$9,IF(C98&lt;='SOLLECITAZ NASCOSTO'!$P$8,IF(C98&lt;='SOLLECITAZ NASCOSTO'!$P$7,IF(C98&lt;='SOLLECITAZ NASCOSTO'!$P$6,IF(C98&lt;='SOLLECITAZ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7.3208086750829189</v>
      </c>
      <c r="O99" s="42">
        <f>IF(C99&lt;='SOLLECITAZ NASCOSTO'!$P$12,IF(C99&lt;='SOLLECITAZ NASCOSTO'!$P$11,IF(C99&lt;='SOLLECITAZ NASCOSTO'!$P$10,IF(C99&lt;='SOLLECITAZ NASCOSTO'!$P$9,IF(C99&lt;='SOLLECITAZ NASCOSTO'!$P$8,IF(C99&lt;='SOLLECITAZ NASCOSTO'!$P$7,IF(C99&lt;='SOLLECITAZ NASCOSTO'!$P$6,IF(C99&lt;='SOLLECITAZ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slu'!$G$111),55555)*(C99-C98)/IF(C99&lt;='SOLLECITAZ NASCOSTO'!$P$12,IF(C99&lt;='SOLLECITAZ NASCOSTO'!$P$11,IF(C99&lt;='SOLLECITAZ NASCOSTO'!$P$10,IF(C99&lt;='SOLLECITAZ NASCOSTO'!$P$9,IF(C99&lt;='SOLLECITAZ NASCOSTO'!$P$8,IF(C99&lt;='SOLLECITAZ NASCOSTO'!$P$7,IF(C99&lt;='SOLLECITAZ NASCOSTO'!$P$6,IF(C99&lt;='SOLLECITAZ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99" s="42">
        <f t="shared" si="21"/>
        <v>6.599999999999991E-5</v>
      </c>
      <c r="Q99" s="42">
        <f t="shared" ref="Q99:Q162" si="37">IF(C99&lt;=$D$6,1,0+P99)</f>
        <v>1</v>
      </c>
      <c r="R99" s="441">
        <f t="shared" si="31"/>
        <v>0.45901442307692308</v>
      </c>
      <c r="S99" s="46">
        <f t="shared" ref="S99:S162" si="38">IF(Q99&lt;1,VLOOKUP(0,$Q$34:$R$468,2,TRUE),C99)</f>
        <v>0.45901442307692308</v>
      </c>
      <c r="T99" s="211">
        <f t="shared" si="34"/>
        <v>2.890985576923077</v>
      </c>
      <c r="U99" s="46">
        <f t="shared" si="35"/>
        <v>2.6423218316536454</v>
      </c>
      <c r="V99" s="46">
        <f t="shared" si="36"/>
        <v>-0.54982293322811071</v>
      </c>
      <c r="W99" s="496"/>
      <c r="X99" s="510" t="s">
        <v>850</v>
      </c>
      <c r="Y99" s="309">
        <f>Y89+Y90</f>
        <v>0.72758111581642471</v>
      </c>
      <c r="Z99" s="509"/>
      <c r="AA99" s="47"/>
    </row>
    <row r="100" spans="1:27" s="428" customFormat="1" x14ac:dyDescent="0.25">
      <c r="A100" s="589">
        <f t="shared" si="32"/>
        <v>1.6346153846047429E-6</v>
      </c>
      <c r="B100" s="32">
        <f t="shared" si="22"/>
        <v>68</v>
      </c>
      <c r="C100" s="441">
        <f>'SOLLECITAZ NASCOSTO'!$D$6/'SOLLECITAZ NASCOSTO'!$B$448*'SOLLECITAZ NASCOSTO'!B100</f>
        <v>0.46586538461538463</v>
      </c>
      <c r="D100" s="441">
        <f t="shared" si="33"/>
        <v>0.30000163461538459</v>
      </c>
      <c r="E100" s="441">
        <f t="shared" si="27"/>
        <v>1.6346153846047429E-6</v>
      </c>
      <c r="F100" s="441">
        <f t="shared" si="28"/>
        <v>0.30000163461538459</v>
      </c>
      <c r="G100" s="441">
        <f t="shared" si="29"/>
        <v>4.5000490385951365E-2</v>
      </c>
      <c r="H100" s="441">
        <f t="shared" si="23"/>
        <v>0</v>
      </c>
      <c r="I100" s="441">
        <v>0</v>
      </c>
      <c r="J100" s="131">
        <f t="shared" si="24"/>
        <v>0.1500008173076923</v>
      </c>
      <c r="K100" s="130">
        <f t="shared" si="30"/>
        <v>2.2500367790465512E-3</v>
      </c>
      <c r="L100" s="42">
        <f t="shared" si="25"/>
        <v>2.69297103828869</v>
      </c>
      <c r="M100" s="42">
        <f t="shared" si="26"/>
        <v>-0.56809887635231227</v>
      </c>
      <c r="N100" s="42">
        <f>(IF(C99&lt;='SOLLECITAZ NASCOSTO'!$P$12,IF(C99&lt;='SOLLECITAZ NASCOSTO'!$P$11,IF(C99&lt;='SOLLECITAZ NASCOSTO'!$P$10,IF(C99&lt;='SOLLECITAZ NASCOSTO'!$P$9,IF(C99&lt;='SOLLECITAZ NASCOSTO'!$P$8,IF(C99&lt;='SOLLECITAZ NASCOSTO'!$P$7,IF(C99&lt;='SOLLECITAZ NASCOSTO'!$P$6,IF(C99&lt;='SOLLECITAZ NASCOSTO'!$P$5,'Progetto del paramento slu'!$G$105,'Progetto del paramento slu'!$G$106),'Progetto del paramento slu'!$G$107),'Progetto del paramento slu'!$G$108),'Progetto del paramento slu'!$G$109),'Progetto del paramento slu'!$G$110),'Progetto del paramento slu'!$G$111),'Progetto del paramento slu'!$G$112),55555)-IF(C99&lt;='SOLLECITAZ NASCOSTO'!$P$12,IF(C99&lt;='SOLLECITAZ NASCOSTO'!$P$11,IF(C99&lt;='SOLLECITAZ NASCOSTO'!$P$10,IF(C99&lt;='SOLLECITAZ NASCOSTO'!$P$9,IF(C99&lt;='SOLLECITAZ NASCOSTO'!$P$8,IF(C99&lt;='SOLLECITAZ NASCOSTO'!$P$7,IF(C99&lt;='SOLLECITAZ NASCOSTO'!$P$6,IF(C99&lt;='SOLLECITAZ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slu'!$G$112))*(C99-IF(C99&lt;='SOLLECITAZ NASCOSTO'!$P$12,IF(C99&lt;='SOLLECITAZ NASCOSTO'!$P$11,IF(C99&lt;='SOLLECITAZ NASCOSTO'!$P$10,IF(C99&lt;='SOLLECITAZ NASCOSTO'!$P$9,IF(C99&lt;='SOLLECITAZ NASCOSTO'!$P$8,IF(C99&lt;='SOLLECITAZ NASCOSTO'!$P$7,IF(C99&lt;='SOLLECITAZ NASCOSTO'!$P$6,IF(C99&lt;='SOLLECITAZ NASCOSTO'!$P$5,'SOLLECITAZ NASCOSTO'!$P$3,'SOLLECITAZ NASCOSTO'!$P$5),'SOLLECITAZ NASCOSTO'!$P$5),'SOLLECITAZ NASCOSTO'!$P$7),'SOLLECITAZ NASCOSTO'!$P$8),'SOLLECITAZ NASCOSTO'!$P$9),'SOLLECITAZ NASCOSTO'!$P$10),'SOLLECITAZ NASCOSTO'!$P$11),'SOLLECITAZ NASCOSTO'!$P$12))/IF(C99&lt;='SOLLECITAZ NASCOSTO'!$P$12,IF(C99&lt;='SOLLECITAZ NASCOSTO'!$P$11,IF(C99&lt;='SOLLECITAZ NASCOSTO'!$P$10,IF(C99&lt;='SOLLECITAZ NASCOSTO'!$P$9,IF(C99&lt;='SOLLECITAZ NASCOSTO'!$P$8,IF(C99&lt;='SOLLECITAZ NASCOSTO'!$P$7,IF(C99&lt;='SOLLECITAZ NASCOSTO'!$P$6,IF(C99&lt;='SOLLECITAZ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slu'!$C$112)+IF(C99&lt;='SOLLECITAZ NASCOSTO'!$P$12,IF(C99&lt;='SOLLECITAZ NASCOSTO'!$P$11,IF(C99&lt;='SOLLECITAZ NASCOSTO'!$P$10,IF(C99&lt;='SOLLECITAZ NASCOSTO'!$P$9,IF(C99&lt;='SOLLECITAZ NASCOSTO'!$P$8,IF(C99&lt;='SOLLECITAZ NASCOSTO'!$P$7,IF(C99&lt;='SOLLECITAZ NASCOSTO'!$P$6,IF(C99&lt;='SOLLECITAZ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7.368940894075271</v>
      </c>
      <c r="O100" s="42">
        <f>IF(C100&lt;='SOLLECITAZ NASCOSTO'!$P$12,IF(C100&lt;='SOLLECITAZ NASCOSTO'!$P$11,IF(C100&lt;='SOLLECITAZ NASCOSTO'!$P$10,IF(C100&lt;='SOLLECITAZ NASCOSTO'!$P$9,IF(C100&lt;='SOLLECITAZ NASCOSTO'!$P$8,IF(C100&lt;='SOLLECITAZ NASCOSTO'!$P$7,IF(C100&lt;='SOLLECITAZ NASCOSTO'!$P$6,IF(C100&lt;='SOLLECITAZ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slu'!$G$111),55555)*(C100-C99)/IF(C100&lt;='SOLLECITAZ NASCOSTO'!$P$12,IF(C100&lt;='SOLLECITAZ NASCOSTO'!$P$11,IF(C100&lt;='SOLLECITAZ NASCOSTO'!$P$10,IF(C100&lt;='SOLLECITAZ NASCOSTO'!$P$9,IF(C100&lt;='SOLLECITAZ NASCOSTO'!$P$8,IF(C100&lt;='SOLLECITAZ NASCOSTO'!$P$7,IF(C100&lt;='SOLLECITAZ NASCOSTO'!$P$6,IF(C100&lt;='SOLLECITAZ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0" s="42">
        <f t="shared" ref="P100:P163" si="39">P99+0.000001</f>
        <v>6.6999999999999907E-5</v>
      </c>
      <c r="Q100" s="42">
        <f t="shared" si="37"/>
        <v>1</v>
      </c>
      <c r="R100" s="441">
        <f t="shared" si="31"/>
        <v>0.46586538461538463</v>
      </c>
      <c r="S100" s="46">
        <f t="shared" si="38"/>
        <v>0.46586538461538463</v>
      </c>
      <c r="T100" s="211">
        <f t="shared" si="34"/>
        <v>2.8841346153846157</v>
      </c>
      <c r="U100" s="46">
        <f t="shared" si="35"/>
        <v>2.69297103828869</v>
      </c>
      <c r="V100" s="46">
        <f t="shared" si="36"/>
        <v>-0.56809887635231227</v>
      </c>
      <c r="W100" s="496"/>
      <c r="X100" s="32" t="s">
        <v>233</v>
      </c>
      <c r="Y100" s="309">
        <f>Y99/Y86</f>
        <v>0.21718839278102228</v>
      </c>
      <c r="Z100" s="509"/>
      <c r="AA100" s="47"/>
    </row>
    <row r="101" spans="1:27" s="428" customFormat="1" x14ac:dyDescent="0.25">
      <c r="A101" s="589">
        <f t="shared" si="32"/>
        <v>1.6586538461038636E-6</v>
      </c>
      <c r="B101" s="32">
        <f t="shared" si="22"/>
        <v>69</v>
      </c>
      <c r="C101" s="441">
        <f>'SOLLECITAZ NASCOSTO'!$D$6/'SOLLECITAZ NASCOSTO'!$B$448*'SOLLECITAZ NASCOSTO'!B101</f>
        <v>0.47271634615384617</v>
      </c>
      <c r="D101" s="441">
        <f t="shared" si="33"/>
        <v>0.30000165865384609</v>
      </c>
      <c r="E101" s="441">
        <f t="shared" si="27"/>
        <v>1.6586538461038636E-6</v>
      </c>
      <c r="F101" s="441">
        <f t="shared" si="28"/>
        <v>0.30000165865384609</v>
      </c>
      <c r="G101" s="441">
        <f t="shared" si="29"/>
        <v>4.5000497597529394E-2</v>
      </c>
      <c r="H101" s="441">
        <f t="shared" si="23"/>
        <v>0</v>
      </c>
      <c r="I101" s="441">
        <v>0</v>
      </c>
      <c r="J101" s="131">
        <f t="shared" si="24"/>
        <v>0.15000082932692305</v>
      </c>
      <c r="K101" s="130">
        <f t="shared" si="30"/>
        <v>2.2500373199178724E-3</v>
      </c>
      <c r="L101" s="42">
        <f t="shared" si="25"/>
        <v>2.7439499969048122</v>
      </c>
      <c r="M101" s="42">
        <f t="shared" si="26"/>
        <v>-0.58672294480219389</v>
      </c>
      <c r="N101" s="42">
        <f>(IF(C100&lt;='SOLLECITAZ NASCOSTO'!$P$12,IF(C100&lt;='SOLLECITAZ NASCOSTO'!$P$11,IF(C100&lt;='SOLLECITAZ NASCOSTO'!$P$10,IF(C100&lt;='SOLLECITAZ NASCOSTO'!$P$9,IF(C100&lt;='SOLLECITAZ NASCOSTO'!$P$8,IF(C100&lt;='SOLLECITAZ NASCOSTO'!$P$7,IF(C100&lt;='SOLLECITAZ NASCOSTO'!$P$6,IF(C100&lt;='SOLLECITAZ NASCOSTO'!$P$5,'Progetto del paramento slu'!$G$105,'Progetto del paramento slu'!$G$106),'Progetto del paramento slu'!$G$107),'Progetto del paramento slu'!$G$108),'Progetto del paramento slu'!$G$109),'Progetto del paramento slu'!$G$110),'Progetto del paramento slu'!$G$111),'Progetto del paramento slu'!$G$112),55555)-IF(C100&lt;='SOLLECITAZ NASCOSTO'!$P$12,IF(C100&lt;='SOLLECITAZ NASCOSTO'!$P$11,IF(C100&lt;='SOLLECITAZ NASCOSTO'!$P$10,IF(C100&lt;='SOLLECITAZ NASCOSTO'!$P$9,IF(C100&lt;='SOLLECITAZ NASCOSTO'!$P$8,IF(C100&lt;='SOLLECITAZ NASCOSTO'!$P$7,IF(C100&lt;='SOLLECITAZ NASCOSTO'!$P$6,IF(C100&lt;='SOLLECITAZ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slu'!$G$112))*(C100-IF(C100&lt;='SOLLECITAZ NASCOSTO'!$P$12,IF(C100&lt;='SOLLECITAZ NASCOSTO'!$P$11,IF(C100&lt;='SOLLECITAZ NASCOSTO'!$P$10,IF(C100&lt;='SOLLECITAZ NASCOSTO'!$P$9,IF(C100&lt;='SOLLECITAZ NASCOSTO'!$P$8,IF(C100&lt;='SOLLECITAZ NASCOSTO'!$P$7,IF(C100&lt;='SOLLECITAZ NASCOSTO'!$P$6,IF(C100&lt;='SOLLECITAZ NASCOSTO'!$P$5,'SOLLECITAZ NASCOSTO'!$P$3,'SOLLECITAZ NASCOSTO'!$P$5),'SOLLECITAZ NASCOSTO'!$P$5),'SOLLECITAZ NASCOSTO'!$P$7),'SOLLECITAZ NASCOSTO'!$P$8),'SOLLECITAZ NASCOSTO'!$P$9),'SOLLECITAZ NASCOSTO'!$P$10),'SOLLECITAZ NASCOSTO'!$P$11),'SOLLECITAZ NASCOSTO'!$P$12))/IF(C100&lt;='SOLLECITAZ NASCOSTO'!$P$12,IF(C100&lt;='SOLLECITAZ NASCOSTO'!$P$11,IF(C100&lt;='SOLLECITAZ NASCOSTO'!$P$10,IF(C100&lt;='SOLLECITAZ NASCOSTO'!$P$9,IF(C100&lt;='SOLLECITAZ NASCOSTO'!$P$8,IF(C100&lt;='SOLLECITAZ NASCOSTO'!$P$7,IF(C100&lt;='SOLLECITAZ NASCOSTO'!$P$6,IF(C100&lt;='SOLLECITAZ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slu'!$C$112)+IF(C100&lt;='SOLLECITAZ NASCOSTO'!$P$12,IF(C100&lt;='SOLLECITAZ NASCOSTO'!$P$11,IF(C100&lt;='SOLLECITAZ NASCOSTO'!$P$10,IF(C100&lt;='SOLLECITAZ NASCOSTO'!$P$9,IF(C100&lt;='SOLLECITAZ NASCOSTO'!$P$8,IF(C100&lt;='SOLLECITAZ NASCOSTO'!$P$7,IF(C100&lt;='SOLLECITAZ NASCOSTO'!$P$6,IF(C100&lt;='SOLLECITAZ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7.4170731130676231</v>
      </c>
      <c r="O101" s="42">
        <f>IF(C101&lt;='SOLLECITAZ NASCOSTO'!$P$12,IF(C101&lt;='SOLLECITAZ NASCOSTO'!$P$11,IF(C101&lt;='SOLLECITAZ NASCOSTO'!$P$10,IF(C101&lt;='SOLLECITAZ NASCOSTO'!$P$9,IF(C101&lt;='SOLLECITAZ NASCOSTO'!$P$8,IF(C101&lt;='SOLLECITAZ NASCOSTO'!$P$7,IF(C101&lt;='SOLLECITAZ NASCOSTO'!$P$6,IF(C101&lt;='SOLLECITAZ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slu'!$G$111),55555)*(C101-C100)/IF(C101&lt;='SOLLECITAZ NASCOSTO'!$P$12,IF(C101&lt;='SOLLECITAZ NASCOSTO'!$P$11,IF(C101&lt;='SOLLECITAZ NASCOSTO'!$P$10,IF(C101&lt;='SOLLECITAZ NASCOSTO'!$P$9,IF(C101&lt;='SOLLECITAZ NASCOSTO'!$P$8,IF(C101&lt;='SOLLECITAZ NASCOSTO'!$P$7,IF(C101&lt;='SOLLECITAZ NASCOSTO'!$P$6,IF(C101&lt;='SOLLECITAZ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1" s="42">
        <f t="shared" si="39"/>
        <v>6.7999999999999905E-5</v>
      </c>
      <c r="Q101" s="42">
        <f t="shared" si="37"/>
        <v>1</v>
      </c>
      <c r="R101" s="441">
        <f t="shared" si="31"/>
        <v>0.47271634615384617</v>
      </c>
      <c r="S101" s="46">
        <f t="shared" si="38"/>
        <v>0.47271634615384617</v>
      </c>
      <c r="T101" s="211">
        <f t="shared" si="34"/>
        <v>2.8772836538461539</v>
      </c>
      <c r="U101" s="46">
        <f t="shared" si="35"/>
        <v>2.7439499969048122</v>
      </c>
      <c r="V101" s="46">
        <f t="shared" si="36"/>
        <v>-0.58672294480219389</v>
      </c>
      <c r="W101" s="496"/>
      <c r="X101" s="32" t="s">
        <v>800</v>
      </c>
      <c r="Y101" s="312">
        <f>Y88</f>
        <v>2.5832006524458331</v>
      </c>
      <c r="Z101" s="33"/>
      <c r="AA101" s="33"/>
    </row>
    <row r="102" spans="1:27" s="428" customFormat="1" x14ac:dyDescent="0.25">
      <c r="A102" s="589">
        <f t="shared" si="32"/>
        <v>1.6826923076584954E-6</v>
      </c>
      <c r="B102" s="32">
        <f t="shared" si="22"/>
        <v>70</v>
      </c>
      <c r="C102" s="441">
        <f>'SOLLECITAZ NASCOSTO'!$D$6/'SOLLECITAZ NASCOSTO'!$B$448*'SOLLECITAZ NASCOSTO'!B102</f>
        <v>0.47956730769230771</v>
      </c>
      <c r="D102" s="441">
        <f t="shared" si="33"/>
        <v>0.30000168269230765</v>
      </c>
      <c r="E102" s="441">
        <f t="shared" si="27"/>
        <v>1.6826923076584954E-6</v>
      </c>
      <c r="F102" s="441">
        <f t="shared" si="28"/>
        <v>0.30000168269230765</v>
      </c>
      <c r="G102" s="441">
        <f t="shared" si="29"/>
        <v>4.500050480910802E-2</v>
      </c>
      <c r="H102" s="441">
        <f t="shared" si="23"/>
        <v>0</v>
      </c>
      <c r="I102" s="441">
        <v>0</v>
      </c>
      <c r="J102" s="131">
        <f t="shared" si="24"/>
        <v>0.15000084134615382</v>
      </c>
      <c r="K102" s="130">
        <f t="shared" si="30"/>
        <v>2.2500378607892817E-3</v>
      </c>
      <c r="L102" s="42">
        <f t="shared" si="25"/>
        <v>2.7952587075020117</v>
      </c>
      <c r="M102" s="42">
        <f t="shared" si="26"/>
        <v>-0.60569739769589515</v>
      </c>
      <c r="N102" s="42">
        <f>(IF(C101&lt;='SOLLECITAZ NASCOSTO'!$P$12,IF(C101&lt;='SOLLECITAZ NASCOSTO'!$P$11,IF(C101&lt;='SOLLECITAZ NASCOSTO'!$P$10,IF(C101&lt;='SOLLECITAZ NASCOSTO'!$P$9,IF(C101&lt;='SOLLECITAZ NASCOSTO'!$P$8,IF(C101&lt;='SOLLECITAZ NASCOSTO'!$P$7,IF(C101&lt;='SOLLECITAZ NASCOSTO'!$P$6,IF(C101&lt;='SOLLECITAZ NASCOSTO'!$P$5,'Progetto del paramento slu'!$G$105,'Progetto del paramento slu'!$G$106),'Progetto del paramento slu'!$G$107),'Progetto del paramento slu'!$G$108),'Progetto del paramento slu'!$G$109),'Progetto del paramento slu'!$G$110),'Progetto del paramento slu'!$G$111),'Progetto del paramento slu'!$G$112),55555)-IF(C101&lt;='SOLLECITAZ NASCOSTO'!$P$12,IF(C101&lt;='SOLLECITAZ NASCOSTO'!$P$11,IF(C101&lt;='SOLLECITAZ NASCOSTO'!$P$10,IF(C101&lt;='SOLLECITAZ NASCOSTO'!$P$9,IF(C101&lt;='SOLLECITAZ NASCOSTO'!$P$8,IF(C101&lt;='SOLLECITAZ NASCOSTO'!$P$7,IF(C101&lt;='SOLLECITAZ NASCOSTO'!$P$6,IF(C101&lt;='SOLLECITAZ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slu'!$G$112))*(C101-IF(C101&lt;='SOLLECITAZ NASCOSTO'!$P$12,IF(C101&lt;='SOLLECITAZ NASCOSTO'!$P$11,IF(C101&lt;='SOLLECITAZ NASCOSTO'!$P$10,IF(C101&lt;='SOLLECITAZ NASCOSTO'!$P$9,IF(C101&lt;='SOLLECITAZ NASCOSTO'!$P$8,IF(C101&lt;='SOLLECITAZ NASCOSTO'!$P$7,IF(C101&lt;='SOLLECITAZ NASCOSTO'!$P$6,IF(C101&lt;='SOLLECITAZ NASCOSTO'!$P$5,'SOLLECITAZ NASCOSTO'!$P$3,'SOLLECITAZ NASCOSTO'!$P$5),'SOLLECITAZ NASCOSTO'!$P$5),'SOLLECITAZ NASCOSTO'!$P$7),'SOLLECITAZ NASCOSTO'!$P$8),'SOLLECITAZ NASCOSTO'!$P$9),'SOLLECITAZ NASCOSTO'!$P$10),'SOLLECITAZ NASCOSTO'!$P$11),'SOLLECITAZ NASCOSTO'!$P$12))/IF(C101&lt;='SOLLECITAZ NASCOSTO'!$P$12,IF(C101&lt;='SOLLECITAZ NASCOSTO'!$P$11,IF(C101&lt;='SOLLECITAZ NASCOSTO'!$P$10,IF(C101&lt;='SOLLECITAZ NASCOSTO'!$P$9,IF(C101&lt;='SOLLECITAZ NASCOSTO'!$P$8,IF(C101&lt;='SOLLECITAZ NASCOSTO'!$P$7,IF(C101&lt;='SOLLECITAZ NASCOSTO'!$P$6,IF(C101&lt;='SOLLECITAZ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slu'!$C$112)+IF(C101&lt;='SOLLECITAZ NASCOSTO'!$P$12,IF(C101&lt;='SOLLECITAZ NASCOSTO'!$P$11,IF(C101&lt;='SOLLECITAZ NASCOSTO'!$P$10,IF(C101&lt;='SOLLECITAZ NASCOSTO'!$P$9,IF(C101&lt;='SOLLECITAZ NASCOSTO'!$P$8,IF(C101&lt;='SOLLECITAZ NASCOSTO'!$P$7,IF(C101&lt;='SOLLECITAZ NASCOSTO'!$P$6,IF(C101&lt;='SOLLECITAZ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7.4652053320599761</v>
      </c>
      <c r="O102" s="42">
        <f>IF(C102&lt;='SOLLECITAZ NASCOSTO'!$P$12,IF(C102&lt;='SOLLECITAZ NASCOSTO'!$P$11,IF(C102&lt;='SOLLECITAZ NASCOSTO'!$P$10,IF(C102&lt;='SOLLECITAZ NASCOSTO'!$P$9,IF(C102&lt;='SOLLECITAZ NASCOSTO'!$P$8,IF(C102&lt;='SOLLECITAZ NASCOSTO'!$P$7,IF(C102&lt;='SOLLECITAZ NASCOSTO'!$P$6,IF(C102&lt;='SOLLECITAZ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slu'!$G$111),55555)*(C102-C101)/IF(C102&lt;='SOLLECITAZ NASCOSTO'!$P$12,IF(C102&lt;='SOLLECITAZ NASCOSTO'!$P$11,IF(C102&lt;='SOLLECITAZ NASCOSTO'!$P$10,IF(C102&lt;='SOLLECITAZ NASCOSTO'!$P$9,IF(C102&lt;='SOLLECITAZ NASCOSTO'!$P$8,IF(C102&lt;='SOLLECITAZ NASCOSTO'!$P$7,IF(C102&lt;='SOLLECITAZ NASCOSTO'!$P$6,IF(C102&lt;='SOLLECITAZ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2" s="42">
        <f t="shared" si="39"/>
        <v>6.8999999999999902E-5</v>
      </c>
      <c r="Q102" s="42">
        <f t="shared" si="37"/>
        <v>1</v>
      </c>
      <c r="R102" s="441">
        <f t="shared" si="31"/>
        <v>0.47956730769230771</v>
      </c>
      <c r="S102" s="46">
        <f t="shared" si="38"/>
        <v>0.47956730769230771</v>
      </c>
      <c r="T102" s="211">
        <f t="shared" si="34"/>
        <v>2.8704326923076922</v>
      </c>
      <c r="U102" s="46">
        <f t="shared" si="35"/>
        <v>2.7952587075020117</v>
      </c>
      <c r="V102" s="46">
        <f t="shared" si="36"/>
        <v>-0.60569739769589515</v>
      </c>
      <c r="W102" s="496"/>
      <c r="X102" s="32" t="s">
        <v>853</v>
      </c>
      <c r="Y102" s="33" t="s">
        <v>854</v>
      </c>
      <c r="Z102" s="33"/>
      <c r="AA102" s="33"/>
    </row>
    <row r="103" spans="1:27" s="428" customFormat="1" x14ac:dyDescent="0.25">
      <c r="A103" s="589">
        <f t="shared" si="32"/>
        <v>1.7067307692131273E-6</v>
      </c>
      <c r="B103" s="32">
        <f t="shared" si="22"/>
        <v>71</v>
      </c>
      <c r="C103" s="441">
        <f>'SOLLECITAZ NASCOSTO'!$D$6/'SOLLECITAZ NASCOSTO'!$B$448*'SOLLECITAZ NASCOSTO'!B103</f>
        <v>0.48641826923076925</v>
      </c>
      <c r="D103" s="441">
        <f t="shared" si="33"/>
        <v>0.3000017067307692</v>
      </c>
      <c r="E103" s="441">
        <f t="shared" si="27"/>
        <v>1.7067307692131273E-6</v>
      </c>
      <c r="F103" s="441">
        <f t="shared" si="28"/>
        <v>0.3000017067307692</v>
      </c>
      <c r="G103" s="441">
        <f t="shared" si="29"/>
        <v>4.5000512020687229E-2</v>
      </c>
      <c r="H103" s="441">
        <f t="shared" si="23"/>
        <v>0</v>
      </c>
      <c r="I103" s="441">
        <v>0</v>
      </c>
      <c r="J103" s="131">
        <f t="shared" si="24"/>
        <v>0.1500008533653846</v>
      </c>
      <c r="K103" s="130">
        <f t="shared" si="30"/>
        <v>2.2500384016607769E-3</v>
      </c>
      <c r="L103" s="42">
        <f t="shared" si="25"/>
        <v>2.8468971700802888</v>
      </c>
      <c r="M103" s="42">
        <f t="shared" si="26"/>
        <v>-0.6250244941515557</v>
      </c>
      <c r="N103" s="42">
        <f>(IF(C102&lt;='SOLLECITAZ NASCOSTO'!$P$12,IF(C102&lt;='SOLLECITAZ NASCOSTO'!$P$11,IF(C102&lt;='SOLLECITAZ NASCOSTO'!$P$10,IF(C102&lt;='SOLLECITAZ NASCOSTO'!$P$9,IF(C102&lt;='SOLLECITAZ NASCOSTO'!$P$8,IF(C102&lt;='SOLLECITAZ NASCOSTO'!$P$7,IF(C102&lt;='SOLLECITAZ NASCOSTO'!$P$6,IF(C102&lt;='SOLLECITAZ NASCOSTO'!$P$5,'Progetto del paramento slu'!$G$105,'Progetto del paramento slu'!$G$106),'Progetto del paramento slu'!$G$107),'Progetto del paramento slu'!$G$108),'Progetto del paramento slu'!$G$109),'Progetto del paramento slu'!$G$110),'Progetto del paramento slu'!$G$111),'Progetto del paramento slu'!$G$112),55555)-IF(C102&lt;='SOLLECITAZ NASCOSTO'!$P$12,IF(C102&lt;='SOLLECITAZ NASCOSTO'!$P$11,IF(C102&lt;='SOLLECITAZ NASCOSTO'!$P$10,IF(C102&lt;='SOLLECITAZ NASCOSTO'!$P$9,IF(C102&lt;='SOLLECITAZ NASCOSTO'!$P$8,IF(C102&lt;='SOLLECITAZ NASCOSTO'!$P$7,IF(C102&lt;='SOLLECITAZ NASCOSTO'!$P$6,IF(C102&lt;='SOLLECITAZ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slu'!$G$112))*(C102-IF(C102&lt;='SOLLECITAZ NASCOSTO'!$P$12,IF(C102&lt;='SOLLECITAZ NASCOSTO'!$P$11,IF(C102&lt;='SOLLECITAZ NASCOSTO'!$P$10,IF(C102&lt;='SOLLECITAZ NASCOSTO'!$P$9,IF(C102&lt;='SOLLECITAZ NASCOSTO'!$P$8,IF(C102&lt;='SOLLECITAZ NASCOSTO'!$P$7,IF(C102&lt;='SOLLECITAZ NASCOSTO'!$P$6,IF(C102&lt;='SOLLECITAZ NASCOSTO'!$P$5,'SOLLECITAZ NASCOSTO'!$P$3,'SOLLECITAZ NASCOSTO'!$P$5),'SOLLECITAZ NASCOSTO'!$P$5),'SOLLECITAZ NASCOSTO'!$P$7),'SOLLECITAZ NASCOSTO'!$P$8),'SOLLECITAZ NASCOSTO'!$P$9),'SOLLECITAZ NASCOSTO'!$P$10),'SOLLECITAZ NASCOSTO'!$P$11),'SOLLECITAZ NASCOSTO'!$P$12))/IF(C102&lt;='SOLLECITAZ NASCOSTO'!$P$12,IF(C102&lt;='SOLLECITAZ NASCOSTO'!$P$11,IF(C102&lt;='SOLLECITAZ NASCOSTO'!$P$10,IF(C102&lt;='SOLLECITAZ NASCOSTO'!$P$9,IF(C102&lt;='SOLLECITAZ NASCOSTO'!$P$8,IF(C102&lt;='SOLLECITAZ NASCOSTO'!$P$7,IF(C102&lt;='SOLLECITAZ NASCOSTO'!$P$6,IF(C102&lt;='SOLLECITAZ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slu'!$C$112)+IF(C102&lt;='SOLLECITAZ NASCOSTO'!$P$12,IF(C102&lt;='SOLLECITAZ NASCOSTO'!$P$11,IF(C102&lt;='SOLLECITAZ NASCOSTO'!$P$10,IF(C102&lt;='SOLLECITAZ NASCOSTO'!$P$9,IF(C102&lt;='SOLLECITAZ NASCOSTO'!$P$8,IF(C102&lt;='SOLLECITAZ NASCOSTO'!$P$7,IF(C102&lt;='SOLLECITAZ NASCOSTO'!$P$6,IF(C102&lt;='SOLLECITAZ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7.5133375510523281</v>
      </c>
      <c r="O103" s="42">
        <f>IF(C103&lt;='SOLLECITAZ NASCOSTO'!$P$12,IF(C103&lt;='SOLLECITAZ NASCOSTO'!$P$11,IF(C103&lt;='SOLLECITAZ NASCOSTO'!$P$10,IF(C103&lt;='SOLLECITAZ NASCOSTO'!$P$9,IF(C103&lt;='SOLLECITAZ NASCOSTO'!$P$8,IF(C103&lt;='SOLLECITAZ NASCOSTO'!$P$7,IF(C103&lt;='SOLLECITAZ NASCOSTO'!$P$6,IF(C103&lt;='SOLLECITAZ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slu'!$G$111),55555)*(C103-C102)/IF(C103&lt;='SOLLECITAZ NASCOSTO'!$P$12,IF(C103&lt;='SOLLECITAZ NASCOSTO'!$P$11,IF(C103&lt;='SOLLECITAZ NASCOSTO'!$P$10,IF(C103&lt;='SOLLECITAZ NASCOSTO'!$P$9,IF(C103&lt;='SOLLECITAZ NASCOSTO'!$P$8,IF(C103&lt;='SOLLECITAZ NASCOSTO'!$P$7,IF(C103&lt;='SOLLECITAZ NASCOSTO'!$P$6,IF(C103&lt;='SOLLECITAZ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3" s="42">
        <f t="shared" si="39"/>
        <v>6.9999999999999899E-5</v>
      </c>
      <c r="Q103" s="42">
        <f t="shared" si="37"/>
        <v>1</v>
      </c>
      <c r="R103" s="441">
        <f t="shared" si="31"/>
        <v>0.48641826923076925</v>
      </c>
      <c r="S103" s="46">
        <f t="shared" si="38"/>
        <v>0.48641826923076925</v>
      </c>
      <c r="T103" s="211">
        <f t="shared" si="34"/>
        <v>2.8635817307692308</v>
      </c>
      <c r="U103" s="46">
        <f t="shared" si="35"/>
        <v>2.8468971700802888</v>
      </c>
      <c r="V103" s="46">
        <f t="shared" si="36"/>
        <v>-0.6250244941515557</v>
      </c>
      <c r="W103" s="496"/>
      <c r="X103" s="32"/>
      <c r="Y103" s="33"/>
      <c r="Z103" s="33"/>
      <c r="AA103" s="33"/>
    </row>
    <row r="104" spans="1:27" s="428" customFormat="1" x14ac:dyDescent="0.25">
      <c r="A104" s="589">
        <f t="shared" si="32"/>
        <v>1.730769230712248E-6</v>
      </c>
      <c r="B104" s="32">
        <f t="shared" si="22"/>
        <v>72</v>
      </c>
      <c r="C104" s="441">
        <f>'SOLLECITAZ NASCOSTO'!$D$6/'SOLLECITAZ NASCOSTO'!$B$448*'SOLLECITAZ NASCOSTO'!B104</f>
        <v>0.49326923076923079</v>
      </c>
      <c r="D104" s="441">
        <f t="shared" si="33"/>
        <v>0.3000017307692307</v>
      </c>
      <c r="E104" s="441">
        <f t="shared" si="27"/>
        <v>1.730769230712248E-6</v>
      </c>
      <c r="F104" s="441">
        <f t="shared" si="28"/>
        <v>0.3000017307692307</v>
      </c>
      <c r="G104" s="441">
        <f t="shared" si="29"/>
        <v>4.5000519232266993E-2</v>
      </c>
      <c r="H104" s="441">
        <f t="shared" si="23"/>
        <v>0</v>
      </c>
      <c r="I104" s="441">
        <v>0</v>
      </c>
      <c r="J104" s="131">
        <f t="shared" si="24"/>
        <v>0.15000086538461535</v>
      </c>
      <c r="K104" s="130">
        <f t="shared" si="30"/>
        <v>2.2500389425323584E-3</v>
      </c>
      <c r="L104" s="42">
        <f t="shared" si="25"/>
        <v>2.8988653846396431</v>
      </c>
      <c r="M104" s="42">
        <f t="shared" si="26"/>
        <v>-0.64470649328731511</v>
      </c>
      <c r="N104" s="42">
        <f>(IF(C103&lt;='SOLLECITAZ NASCOSTO'!$P$12,IF(C103&lt;='SOLLECITAZ NASCOSTO'!$P$11,IF(C103&lt;='SOLLECITAZ NASCOSTO'!$P$10,IF(C103&lt;='SOLLECITAZ NASCOSTO'!$P$9,IF(C103&lt;='SOLLECITAZ NASCOSTO'!$P$8,IF(C103&lt;='SOLLECITAZ NASCOSTO'!$P$7,IF(C103&lt;='SOLLECITAZ NASCOSTO'!$P$6,IF(C103&lt;='SOLLECITAZ NASCOSTO'!$P$5,'Progetto del paramento slu'!$G$105,'Progetto del paramento slu'!$G$106),'Progetto del paramento slu'!$G$107),'Progetto del paramento slu'!$G$108),'Progetto del paramento slu'!$G$109),'Progetto del paramento slu'!$G$110),'Progetto del paramento slu'!$G$111),'Progetto del paramento slu'!$G$112),55555)-IF(C103&lt;='SOLLECITAZ NASCOSTO'!$P$12,IF(C103&lt;='SOLLECITAZ NASCOSTO'!$P$11,IF(C103&lt;='SOLLECITAZ NASCOSTO'!$P$10,IF(C103&lt;='SOLLECITAZ NASCOSTO'!$P$9,IF(C103&lt;='SOLLECITAZ NASCOSTO'!$P$8,IF(C103&lt;='SOLLECITAZ NASCOSTO'!$P$7,IF(C103&lt;='SOLLECITAZ NASCOSTO'!$P$6,IF(C103&lt;='SOLLECITAZ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slu'!$G$112))*(C103-IF(C103&lt;='SOLLECITAZ NASCOSTO'!$P$12,IF(C103&lt;='SOLLECITAZ NASCOSTO'!$P$11,IF(C103&lt;='SOLLECITAZ NASCOSTO'!$P$10,IF(C103&lt;='SOLLECITAZ NASCOSTO'!$P$9,IF(C103&lt;='SOLLECITAZ NASCOSTO'!$P$8,IF(C103&lt;='SOLLECITAZ NASCOSTO'!$P$7,IF(C103&lt;='SOLLECITAZ NASCOSTO'!$P$6,IF(C103&lt;='SOLLECITAZ NASCOSTO'!$P$5,'SOLLECITAZ NASCOSTO'!$P$3,'SOLLECITAZ NASCOSTO'!$P$5),'SOLLECITAZ NASCOSTO'!$P$5),'SOLLECITAZ NASCOSTO'!$P$7),'SOLLECITAZ NASCOSTO'!$P$8),'SOLLECITAZ NASCOSTO'!$P$9),'SOLLECITAZ NASCOSTO'!$P$10),'SOLLECITAZ NASCOSTO'!$P$11),'SOLLECITAZ NASCOSTO'!$P$12))/IF(C103&lt;='SOLLECITAZ NASCOSTO'!$P$12,IF(C103&lt;='SOLLECITAZ NASCOSTO'!$P$11,IF(C103&lt;='SOLLECITAZ NASCOSTO'!$P$10,IF(C103&lt;='SOLLECITAZ NASCOSTO'!$P$9,IF(C103&lt;='SOLLECITAZ NASCOSTO'!$P$8,IF(C103&lt;='SOLLECITAZ NASCOSTO'!$P$7,IF(C103&lt;='SOLLECITAZ NASCOSTO'!$P$6,IF(C103&lt;='SOLLECITAZ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slu'!$C$112)+IF(C103&lt;='SOLLECITAZ NASCOSTO'!$P$12,IF(C103&lt;='SOLLECITAZ NASCOSTO'!$P$11,IF(C103&lt;='SOLLECITAZ NASCOSTO'!$P$10,IF(C103&lt;='SOLLECITAZ NASCOSTO'!$P$9,IF(C103&lt;='SOLLECITAZ NASCOSTO'!$P$8,IF(C103&lt;='SOLLECITAZ NASCOSTO'!$P$7,IF(C103&lt;='SOLLECITAZ NASCOSTO'!$P$6,IF(C103&lt;='SOLLECITAZ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7.5614697700446811</v>
      </c>
      <c r="O104" s="42">
        <f>IF(C104&lt;='SOLLECITAZ NASCOSTO'!$P$12,IF(C104&lt;='SOLLECITAZ NASCOSTO'!$P$11,IF(C104&lt;='SOLLECITAZ NASCOSTO'!$P$10,IF(C104&lt;='SOLLECITAZ NASCOSTO'!$P$9,IF(C104&lt;='SOLLECITAZ NASCOSTO'!$P$8,IF(C104&lt;='SOLLECITAZ NASCOSTO'!$P$7,IF(C104&lt;='SOLLECITAZ NASCOSTO'!$P$6,IF(C104&lt;='SOLLECITAZ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slu'!$G$111),55555)*(C104-C103)/IF(C104&lt;='SOLLECITAZ NASCOSTO'!$P$12,IF(C104&lt;='SOLLECITAZ NASCOSTO'!$P$11,IF(C104&lt;='SOLLECITAZ NASCOSTO'!$P$10,IF(C104&lt;='SOLLECITAZ NASCOSTO'!$P$9,IF(C104&lt;='SOLLECITAZ NASCOSTO'!$P$8,IF(C104&lt;='SOLLECITAZ NASCOSTO'!$P$7,IF(C104&lt;='SOLLECITAZ NASCOSTO'!$P$6,IF(C104&lt;='SOLLECITAZ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4" s="42">
        <f t="shared" si="39"/>
        <v>7.0999999999999896E-5</v>
      </c>
      <c r="Q104" s="42">
        <f t="shared" si="37"/>
        <v>1</v>
      </c>
      <c r="R104" s="441">
        <f t="shared" si="31"/>
        <v>0.49326923076923079</v>
      </c>
      <c r="S104" s="46">
        <f t="shared" si="38"/>
        <v>0.49326923076923079</v>
      </c>
      <c r="T104" s="211">
        <f t="shared" si="34"/>
        <v>2.8567307692307695</v>
      </c>
      <c r="U104" s="46">
        <f t="shared" si="35"/>
        <v>2.8988653846396431</v>
      </c>
      <c r="V104" s="46">
        <f t="shared" si="36"/>
        <v>-0.64470649328731511</v>
      </c>
      <c r="W104" s="496"/>
      <c r="X104" s="32" t="s">
        <v>25</v>
      </c>
      <c r="Y104" s="33">
        <f>Y99*Y86/2+Y88*Y86</f>
        <v>9.8724205546860517</v>
      </c>
      <c r="Z104" s="33"/>
      <c r="AA104" s="33"/>
    </row>
    <row r="105" spans="1:27" s="428" customFormat="1" x14ac:dyDescent="0.25">
      <c r="A105" s="589">
        <f t="shared" si="32"/>
        <v>1.7548076922668798E-6</v>
      </c>
      <c r="B105" s="32">
        <f t="shared" si="22"/>
        <v>73</v>
      </c>
      <c r="C105" s="441">
        <f>'SOLLECITAZ NASCOSTO'!$D$6/'SOLLECITAZ NASCOSTO'!$B$448*'SOLLECITAZ NASCOSTO'!B105</f>
        <v>0.50012019230769234</v>
      </c>
      <c r="D105" s="441">
        <f t="shared" si="33"/>
        <v>0.30000175480769226</v>
      </c>
      <c r="E105" s="441">
        <f t="shared" si="27"/>
        <v>1.7548076922668798E-6</v>
      </c>
      <c r="F105" s="441">
        <f t="shared" si="28"/>
        <v>0.30000175480769226</v>
      </c>
      <c r="G105" s="441">
        <f t="shared" si="29"/>
        <v>4.5000526443847354E-2</v>
      </c>
      <c r="H105" s="441">
        <f t="shared" si="23"/>
        <v>0</v>
      </c>
      <c r="I105" s="441">
        <v>0</v>
      </c>
      <c r="J105" s="131">
        <f t="shared" si="24"/>
        <v>0.15000087740384613</v>
      </c>
      <c r="K105" s="130">
        <f t="shared" si="30"/>
        <v>2.2500394834040274E-3</v>
      </c>
      <c r="L105" s="42">
        <f t="shared" si="25"/>
        <v>2.951163351180075</v>
      </c>
      <c r="M105" s="42">
        <f t="shared" si="26"/>
        <v>-0.66474565422131293</v>
      </c>
      <c r="N105" s="42">
        <f>(IF(C104&lt;='SOLLECITAZ NASCOSTO'!$P$12,IF(C104&lt;='SOLLECITAZ NASCOSTO'!$P$11,IF(C104&lt;='SOLLECITAZ NASCOSTO'!$P$10,IF(C104&lt;='SOLLECITAZ NASCOSTO'!$P$9,IF(C104&lt;='SOLLECITAZ NASCOSTO'!$P$8,IF(C104&lt;='SOLLECITAZ NASCOSTO'!$P$7,IF(C104&lt;='SOLLECITAZ NASCOSTO'!$P$6,IF(C104&lt;='SOLLECITAZ NASCOSTO'!$P$5,'Progetto del paramento slu'!$G$105,'Progetto del paramento slu'!$G$106),'Progetto del paramento slu'!$G$107),'Progetto del paramento slu'!$G$108),'Progetto del paramento slu'!$G$109),'Progetto del paramento slu'!$G$110),'Progetto del paramento slu'!$G$111),'Progetto del paramento slu'!$G$112),55555)-IF(C104&lt;='SOLLECITAZ NASCOSTO'!$P$12,IF(C104&lt;='SOLLECITAZ NASCOSTO'!$P$11,IF(C104&lt;='SOLLECITAZ NASCOSTO'!$P$10,IF(C104&lt;='SOLLECITAZ NASCOSTO'!$P$9,IF(C104&lt;='SOLLECITAZ NASCOSTO'!$P$8,IF(C104&lt;='SOLLECITAZ NASCOSTO'!$P$7,IF(C104&lt;='SOLLECITAZ NASCOSTO'!$P$6,IF(C104&lt;='SOLLECITAZ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slu'!$G$112))*(C104-IF(C104&lt;='SOLLECITAZ NASCOSTO'!$P$12,IF(C104&lt;='SOLLECITAZ NASCOSTO'!$P$11,IF(C104&lt;='SOLLECITAZ NASCOSTO'!$P$10,IF(C104&lt;='SOLLECITAZ NASCOSTO'!$P$9,IF(C104&lt;='SOLLECITAZ NASCOSTO'!$P$8,IF(C104&lt;='SOLLECITAZ NASCOSTO'!$P$7,IF(C104&lt;='SOLLECITAZ NASCOSTO'!$P$6,IF(C104&lt;='SOLLECITAZ NASCOSTO'!$P$5,'SOLLECITAZ NASCOSTO'!$P$3,'SOLLECITAZ NASCOSTO'!$P$5),'SOLLECITAZ NASCOSTO'!$P$5),'SOLLECITAZ NASCOSTO'!$P$7),'SOLLECITAZ NASCOSTO'!$P$8),'SOLLECITAZ NASCOSTO'!$P$9),'SOLLECITAZ NASCOSTO'!$P$10),'SOLLECITAZ NASCOSTO'!$P$11),'SOLLECITAZ NASCOSTO'!$P$12))/IF(C104&lt;='SOLLECITAZ NASCOSTO'!$P$12,IF(C104&lt;='SOLLECITAZ NASCOSTO'!$P$11,IF(C104&lt;='SOLLECITAZ NASCOSTO'!$P$10,IF(C104&lt;='SOLLECITAZ NASCOSTO'!$P$9,IF(C104&lt;='SOLLECITAZ NASCOSTO'!$P$8,IF(C104&lt;='SOLLECITAZ NASCOSTO'!$P$7,IF(C104&lt;='SOLLECITAZ NASCOSTO'!$P$6,IF(C104&lt;='SOLLECITAZ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slu'!$C$112)+IF(C104&lt;='SOLLECITAZ NASCOSTO'!$P$12,IF(C104&lt;='SOLLECITAZ NASCOSTO'!$P$11,IF(C104&lt;='SOLLECITAZ NASCOSTO'!$P$10,IF(C104&lt;='SOLLECITAZ NASCOSTO'!$P$9,IF(C104&lt;='SOLLECITAZ NASCOSTO'!$P$8,IF(C104&lt;='SOLLECITAZ NASCOSTO'!$P$7,IF(C104&lt;='SOLLECITAZ NASCOSTO'!$P$6,IF(C104&lt;='SOLLECITAZ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7.6096019890370332</v>
      </c>
      <c r="O105" s="42">
        <f>IF(C105&lt;='SOLLECITAZ NASCOSTO'!$P$12,IF(C105&lt;='SOLLECITAZ NASCOSTO'!$P$11,IF(C105&lt;='SOLLECITAZ NASCOSTO'!$P$10,IF(C105&lt;='SOLLECITAZ NASCOSTO'!$P$9,IF(C105&lt;='SOLLECITAZ NASCOSTO'!$P$8,IF(C105&lt;='SOLLECITAZ NASCOSTO'!$P$7,IF(C105&lt;='SOLLECITAZ NASCOSTO'!$P$6,IF(C105&lt;='SOLLECITAZ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slu'!$G$111),55555)*(C105-C104)/IF(C105&lt;='SOLLECITAZ NASCOSTO'!$P$12,IF(C105&lt;='SOLLECITAZ NASCOSTO'!$P$11,IF(C105&lt;='SOLLECITAZ NASCOSTO'!$P$10,IF(C105&lt;='SOLLECITAZ NASCOSTO'!$P$9,IF(C105&lt;='SOLLECITAZ NASCOSTO'!$P$8,IF(C105&lt;='SOLLECITAZ NASCOSTO'!$P$7,IF(C105&lt;='SOLLECITAZ NASCOSTO'!$P$6,IF(C105&lt;='SOLLECITAZ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5" s="42">
        <f t="shared" si="39"/>
        <v>7.1999999999999893E-5</v>
      </c>
      <c r="Q105" s="42">
        <f t="shared" si="37"/>
        <v>1</v>
      </c>
      <c r="R105" s="441">
        <f t="shared" si="31"/>
        <v>0.50012019230769234</v>
      </c>
      <c r="S105" s="46">
        <f t="shared" si="38"/>
        <v>0.50012019230769234</v>
      </c>
      <c r="T105" s="211">
        <f t="shared" si="34"/>
        <v>2.8498798076923078</v>
      </c>
      <c r="U105" s="46">
        <f t="shared" si="35"/>
        <v>2.951163351180075</v>
      </c>
      <c r="V105" s="46">
        <f t="shared" si="36"/>
        <v>-0.66474565422131293</v>
      </c>
      <c r="W105" s="496"/>
      <c r="X105" s="32" t="s">
        <v>375</v>
      </c>
      <c r="Y105" s="33">
        <f>Y99*Y86/2*Y86/3+Y88*Y86*Y86/2</f>
        <v>15.855864506411651</v>
      </c>
      <c r="Z105" s="33"/>
      <c r="AA105" s="33"/>
    </row>
    <row r="106" spans="1:27" s="428" customFormat="1" x14ac:dyDescent="0.25">
      <c r="A106" s="589">
        <f t="shared" si="32"/>
        <v>1.7788461538215117E-6</v>
      </c>
      <c r="B106" s="32">
        <f t="shared" si="22"/>
        <v>74</v>
      </c>
      <c r="C106" s="441">
        <f>'SOLLECITAZ NASCOSTO'!$D$6/'SOLLECITAZ NASCOSTO'!$B$448*'SOLLECITAZ NASCOSTO'!B106</f>
        <v>0.50697115384615388</v>
      </c>
      <c r="D106" s="441">
        <f t="shared" si="33"/>
        <v>0.30000177884615381</v>
      </c>
      <c r="E106" s="441">
        <f t="shared" si="27"/>
        <v>1.7788461538215117E-6</v>
      </c>
      <c r="F106" s="441">
        <f t="shared" si="28"/>
        <v>0.30000177884615381</v>
      </c>
      <c r="G106" s="441">
        <f t="shared" si="29"/>
        <v>4.500053365542829E-2</v>
      </c>
      <c r="H106" s="441">
        <f t="shared" si="23"/>
        <v>0</v>
      </c>
      <c r="I106" s="441">
        <v>0</v>
      </c>
      <c r="J106" s="131">
        <f t="shared" si="24"/>
        <v>0.15000088942307691</v>
      </c>
      <c r="K106" s="130">
        <f t="shared" si="30"/>
        <v>2.2500400242757832E-3</v>
      </c>
      <c r="L106" s="42">
        <f t="shared" si="25"/>
        <v>3.0037910697015842</v>
      </c>
      <c r="M106" s="42">
        <f t="shared" si="26"/>
        <v>-0.68514423607168884</v>
      </c>
      <c r="N106" s="42">
        <f>(IF(C105&lt;='SOLLECITAZ NASCOSTO'!$P$12,IF(C105&lt;='SOLLECITAZ NASCOSTO'!$P$11,IF(C105&lt;='SOLLECITAZ NASCOSTO'!$P$10,IF(C105&lt;='SOLLECITAZ NASCOSTO'!$P$9,IF(C105&lt;='SOLLECITAZ NASCOSTO'!$P$8,IF(C105&lt;='SOLLECITAZ NASCOSTO'!$P$7,IF(C105&lt;='SOLLECITAZ NASCOSTO'!$P$6,IF(C105&lt;='SOLLECITAZ NASCOSTO'!$P$5,'Progetto del paramento slu'!$G$105,'Progetto del paramento slu'!$G$106),'Progetto del paramento slu'!$G$107),'Progetto del paramento slu'!$G$108),'Progetto del paramento slu'!$G$109),'Progetto del paramento slu'!$G$110),'Progetto del paramento slu'!$G$111),'Progetto del paramento slu'!$G$112),55555)-IF(C105&lt;='SOLLECITAZ NASCOSTO'!$P$12,IF(C105&lt;='SOLLECITAZ NASCOSTO'!$P$11,IF(C105&lt;='SOLLECITAZ NASCOSTO'!$P$10,IF(C105&lt;='SOLLECITAZ NASCOSTO'!$P$9,IF(C105&lt;='SOLLECITAZ NASCOSTO'!$P$8,IF(C105&lt;='SOLLECITAZ NASCOSTO'!$P$7,IF(C105&lt;='SOLLECITAZ NASCOSTO'!$P$6,IF(C105&lt;='SOLLECITAZ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slu'!$G$112))*(C105-IF(C105&lt;='SOLLECITAZ NASCOSTO'!$P$12,IF(C105&lt;='SOLLECITAZ NASCOSTO'!$P$11,IF(C105&lt;='SOLLECITAZ NASCOSTO'!$P$10,IF(C105&lt;='SOLLECITAZ NASCOSTO'!$P$9,IF(C105&lt;='SOLLECITAZ NASCOSTO'!$P$8,IF(C105&lt;='SOLLECITAZ NASCOSTO'!$P$7,IF(C105&lt;='SOLLECITAZ NASCOSTO'!$P$6,IF(C105&lt;='SOLLECITAZ NASCOSTO'!$P$5,'SOLLECITAZ NASCOSTO'!$P$3,'SOLLECITAZ NASCOSTO'!$P$5),'SOLLECITAZ NASCOSTO'!$P$5),'SOLLECITAZ NASCOSTO'!$P$7),'SOLLECITAZ NASCOSTO'!$P$8),'SOLLECITAZ NASCOSTO'!$P$9),'SOLLECITAZ NASCOSTO'!$P$10),'SOLLECITAZ NASCOSTO'!$P$11),'SOLLECITAZ NASCOSTO'!$P$12))/IF(C105&lt;='SOLLECITAZ NASCOSTO'!$P$12,IF(C105&lt;='SOLLECITAZ NASCOSTO'!$P$11,IF(C105&lt;='SOLLECITAZ NASCOSTO'!$P$10,IF(C105&lt;='SOLLECITAZ NASCOSTO'!$P$9,IF(C105&lt;='SOLLECITAZ NASCOSTO'!$P$8,IF(C105&lt;='SOLLECITAZ NASCOSTO'!$P$7,IF(C105&lt;='SOLLECITAZ NASCOSTO'!$P$6,IF(C105&lt;='SOLLECITAZ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slu'!$C$112)+IF(C105&lt;='SOLLECITAZ NASCOSTO'!$P$12,IF(C105&lt;='SOLLECITAZ NASCOSTO'!$P$11,IF(C105&lt;='SOLLECITAZ NASCOSTO'!$P$10,IF(C105&lt;='SOLLECITAZ NASCOSTO'!$P$9,IF(C105&lt;='SOLLECITAZ NASCOSTO'!$P$8,IF(C105&lt;='SOLLECITAZ NASCOSTO'!$P$7,IF(C105&lt;='SOLLECITAZ NASCOSTO'!$P$6,IF(C105&lt;='SOLLECITAZ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7.6577342080293862</v>
      </c>
      <c r="O106" s="42">
        <f>IF(C106&lt;='SOLLECITAZ NASCOSTO'!$P$12,IF(C106&lt;='SOLLECITAZ NASCOSTO'!$P$11,IF(C106&lt;='SOLLECITAZ NASCOSTO'!$P$10,IF(C106&lt;='SOLLECITAZ NASCOSTO'!$P$9,IF(C106&lt;='SOLLECITAZ NASCOSTO'!$P$8,IF(C106&lt;='SOLLECITAZ NASCOSTO'!$P$7,IF(C106&lt;='SOLLECITAZ NASCOSTO'!$P$6,IF(C106&lt;='SOLLECITAZ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slu'!$G$111),55555)*(C106-C105)/IF(C106&lt;='SOLLECITAZ NASCOSTO'!$P$12,IF(C106&lt;='SOLLECITAZ NASCOSTO'!$P$11,IF(C106&lt;='SOLLECITAZ NASCOSTO'!$P$10,IF(C106&lt;='SOLLECITAZ NASCOSTO'!$P$9,IF(C106&lt;='SOLLECITAZ NASCOSTO'!$P$8,IF(C106&lt;='SOLLECITAZ NASCOSTO'!$P$7,IF(C106&lt;='SOLLECITAZ NASCOSTO'!$P$6,IF(C106&lt;='SOLLECITAZ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6" s="42">
        <f t="shared" si="39"/>
        <v>7.2999999999999891E-5</v>
      </c>
      <c r="Q106" s="42">
        <f t="shared" si="37"/>
        <v>1</v>
      </c>
      <c r="R106" s="441">
        <f t="shared" si="31"/>
        <v>0.50697115384615388</v>
      </c>
      <c r="S106" s="46">
        <f t="shared" si="38"/>
        <v>0.50697115384615388</v>
      </c>
      <c r="T106" s="211">
        <f t="shared" si="34"/>
        <v>2.843028846153846</v>
      </c>
      <c r="U106" s="46">
        <f t="shared" si="35"/>
        <v>3.0037910697015842</v>
      </c>
      <c r="V106" s="46">
        <f t="shared" si="36"/>
        <v>-0.68514423607168884</v>
      </c>
      <c r="W106" s="496"/>
      <c r="X106" s="32" t="s">
        <v>855</v>
      </c>
      <c r="Y106" s="428">
        <f>Y105/Y104</f>
        <v>1.606076687939058</v>
      </c>
    </row>
    <row r="107" spans="1:27" s="428" customFormat="1" x14ac:dyDescent="0.25">
      <c r="A107" s="589">
        <f t="shared" si="32"/>
        <v>1.8028846153206324E-6</v>
      </c>
      <c r="B107" s="32">
        <f t="shared" si="22"/>
        <v>75</v>
      </c>
      <c r="C107" s="441">
        <f>'SOLLECITAZ NASCOSTO'!$D$6/'SOLLECITAZ NASCOSTO'!$B$448*'SOLLECITAZ NASCOSTO'!B107</f>
        <v>0.51382211538461542</v>
      </c>
      <c r="D107" s="441">
        <f t="shared" si="33"/>
        <v>0.30000180288461531</v>
      </c>
      <c r="E107" s="441">
        <f t="shared" si="27"/>
        <v>1.8028846153206324E-6</v>
      </c>
      <c r="F107" s="441">
        <f t="shared" si="28"/>
        <v>0.30000180288461531</v>
      </c>
      <c r="G107" s="441">
        <f t="shared" si="29"/>
        <v>4.5000540867009789E-2</v>
      </c>
      <c r="H107" s="441">
        <f t="shared" si="23"/>
        <v>0</v>
      </c>
      <c r="I107" s="441">
        <v>0</v>
      </c>
      <c r="J107" s="131">
        <f t="shared" si="24"/>
        <v>0.15000090144230765</v>
      </c>
      <c r="K107" s="130">
        <f t="shared" si="30"/>
        <v>2.2500405651476245E-3</v>
      </c>
      <c r="L107" s="42">
        <f t="shared" si="25"/>
        <v>3.056748540204171</v>
      </c>
      <c r="M107" s="42">
        <f t="shared" si="26"/>
        <v>-0.70590449795658239</v>
      </c>
      <c r="N107" s="42">
        <f>(IF(C106&lt;='SOLLECITAZ NASCOSTO'!$P$12,IF(C106&lt;='SOLLECITAZ NASCOSTO'!$P$11,IF(C106&lt;='SOLLECITAZ NASCOSTO'!$P$10,IF(C106&lt;='SOLLECITAZ NASCOSTO'!$P$9,IF(C106&lt;='SOLLECITAZ NASCOSTO'!$P$8,IF(C106&lt;='SOLLECITAZ NASCOSTO'!$P$7,IF(C106&lt;='SOLLECITAZ NASCOSTO'!$P$6,IF(C106&lt;='SOLLECITAZ NASCOSTO'!$P$5,'Progetto del paramento slu'!$G$105,'Progetto del paramento slu'!$G$106),'Progetto del paramento slu'!$G$107),'Progetto del paramento slu'!$G$108),'Progetto del paramento slu'!$G$109),'Progetto del paramento slu'!$G$110),'Progetto del paramento slu'!$G$111),'Progetto del paramento slu'!$G$112),55555)-IF(C106&lt;='SOLLECITAZ NASCOSTO'!$P$12,IF(C106&lt;='SOLLECITAZ NASCOSTO'!$P$11,IF(C106&lt;='SOLLECITAZ NASCOSTO'!$P$10,IF(C106&lt;='SOLLECITAZ NASCOSTO'!$P$9,IF(C106&lt;='SOLLECITAZ NASCOSTO'!$P$8,IF(C106&lt;='SOLLECITAZ NASCOSTO'!$P$7,IF(C106&lt;='SOLLECITAZ NASCOSTO'!$P$6,IF(C106&lt;='SOLLECITAZ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slu'!$G$112))*(C106-IF(C106&lt;='SOLLECITAZ NASCOSTO'!$P$12,IF(C106&lt;='SOLLECITAZ NASCOSTO'!$P$11,IF(C106&lt;='SOLLECITAZ NASCOSTO'!$P$10,IF(C106&lt;='SOLLECITAZ NASCOSTO'!$P$9,IF(C106&lt;='SOLLECITAZ NASCOSTO'!$P$8,IF(C106&lt;='SOLLECITAZ NASCOSTO'!$P$7,IF(C106&lt;='SOLLECITAZ NASCOSTO'!$P$6,IF(C106&lt;='SOLLECITAZ NASCOSTO'!$P$5,'SOLLECITAZ NASCOSTO'!$P$3,'SOLLECITAZ NASCOSTO'!$P$5),'SOLLECITAZ NASCOSTO'!$P$5),'SOLLECITAZ NASCOSTO'!$P$7),'SOLLECITAZ NASCOSTO'!$P$8),'SOLLECITAZ NASCOSTO'!$P$9),'SOLLECITAZ NASCOSTO'!$P$10),'SOLLECITAZ NASCOSTO'!$P$11),'SOLLECITAZ NASCOSTO'!$P$12))/IF(C106&lt;='SOLLECITAZ NASCOSTO'!$P$12,IF(C106&lt;='SOLLECITAZ NASCOSTO'!$P$11,IF(C106&lt;='SOLLECITAZ NASCOSTO'!$P$10,IF(C106&lt;='SOLLECITAZ NASCOSTO'!$P$9,IF(C106&lt;='SOLLECITAZ NASCOSTO'!$P$8,IF(C106&lt;='SOLLECITAZ NASCOSTO'!$P$7,IF(C106&lt;='SOLLECITAZ NASCOSTO'!$P$6,IF(C106&lt;='SOLLECITAZ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slu'!$C$112)+IF(C106&lt;='SOLLECITAZ NASCOSTO'!$P$12,IF(C106&lt;='SOLLECITAZ NASCOSTO'!$P$11,IF(C106&lt;='SOLLECITAZ NASCOSTO'!$P$10,IF(C106&lt;='SOLLECITAZ NASCOSTO'!$P$9,IF(C106&lt;='SOLLECITAZ NASCOSTO'!$P$8,IF(C106&lt;='SOLLECITAZ NASCOSTO'!$P$7,IF(C106&lt;='SOLLECITAZ NASCOSTO'!$P$6,IF(C106&lt;='SOLLECITAZ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7.7058664270217392</v>
      </c>
      <c r="O107" s="42">
        <f>IF(C107&lt;='SOLLECITAZ NASCOSTO'!$P$12,IF(C107&lt;='SOLLECITAZ NASCOSTO'!$P$11,IF(C107&lt;='SOLLECITAZ NASCOSTO'!$P$10,IF(C107&lt;='SOLLECITAZ NASCOSTO'!$P$9,IF(C107&lt;='SOLLECITAZ NASCOSTO'!$P$8,IF(C107&lt;='SOLLECITAZ NASCOSTO'!$P$7,IF(C107&lt;='SOLLECITAZ NASCOSTO'!$P$6,IF(C107&lt;='SOLLECITAZ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slu'!$G$111),55555)*(C107-C106)/IF(C107&lt;='SOLLECITAZ NASCOSTO'!$P$12,IF(C107&lt;='SOLLECITAZ NASCOSTO'!$P$11,IF(C107&lt;='SOLLECITAZ NASCOSTO'!$P$10,IF(C107&lt;='SOLLECITAZ NASCOSTO'!$P$9,IF(C107&lt;='SOLLECITAZ NASCOSTO'!$P$8,IF(C107&lt;='SOLLECITAZ NASCOSTO'!$P$7,IF(C107&lt;='SOLLECITAZ NASCOSTO'!$P$6,IF(C107&lt;='SOLLECITAZ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7" s="42">
        <f t="shared" si="39"/>
        <v>7.3999999999999888E-5</v>
      </c>
      <c r="Q107" s="42">
        <f t="shared" si="37"/>
        <v>1</v>
      </c>
      <c r="R107" s="441">
        <f t="shared" si="31"/>
        <v>0.51382211538461542</v>
      </c>
      <c r="S107" s="46">
        <f t="shared" si="38"/>
        <v>0.51382211538461542</v>
      </c>
      <c r="T107" s="211">
        <f t="shared" si="34"/>
        <v>2.8361778846153847</v>
      </c>
      <c r="U107" s="46">
        <f t="shared" si="35"/>
        <v>3.056748540204171</v>
      </c>
      <c r="V107" s="46">
        <f t="shared" si="36"/>
        <v>-0.70590449795658239</v>
      </c>
      <c r="W107" s="496"/>
      <c r="X107" s="497"/>
      <c r="Y107" s="497"/>
      <c r="Z107" s="498"/>
      <c r="AA107" s="47"/>
    </row>
    <row r="108" spans="1:27" s="428" customFormat="1" x14ac:dyDescent="0.25">
      <c r="A108" s="589">
        <f t="shared" si="32"/>
        <v>1.8269230768752642E-6</v>
      </c>
      <c r="B108" s="32">
        <f t="shared" si="22"/>
        <v>76</v>
      </c>
      <c r="C108" s="441">
        <f>'SOLLECITAZ NASCOSTO'!$D$6/'SOLLECITAZ NASCOSTO'!$B$448*'SOLLECITAZ NASCOSTO'!B108</f>
        <v>0.52067307692307696</v>
      </c>
      <c r="D108" s="441">
        <f t="shared" si="33"/>
        <v>0.30000182692307686</v>
      </c>
      <c r="E108" s="441">
        <f t="shared" si="27"/>
        <v>1.8269230768752642E-6</v>
      </c>
      <c r="F108" s="441">
        <f t="shared" si="28"/>
        <v>0.30000182692307686</v>
      </c>
      <c r="G108" s="441">
        <f t="shared" si="29"/>
        <v>4.5000548078591884E-2</v>
      </c>
      <c r="H108" s="441">
        <f t="shared" si="23"/>
        <v>0</v>
      </c>
      <c r="I108" s="441">
        <v>0</v>
      </c>
      <c r="J108" s="131">
        <f t="shared" si="24"/>
        <v>0.15000091346153843</v>
      </c>
      <c r="K108" s="130">
        <f t="shared" si="30"/>
        <v>2.2500411060195537E-3</v>
      </c>
      <c r="L108" s="42">
        <f t="shared" si="25"/>
        <v>3.110035762687835</v>
      </c>
      <c r="M108" s="42">
        <f t="shared" si="26"/>
        <v>-0.72702869899413314</v>
      </c>
      <c r="N108" s="42">
        <f>(IF(C107&lt;='SOLLECITAZ NASCOSTO'!$P$12,IF(C107&lt;='SOLLECITAZ NASCOSTO'!$P$11,IF(C107&lt;='SOLLECITAZ NASCOSTO'!$P$10,IF(C107&lt;='SOLLECITAZ NASCOSTO'!$P$9,IF(C107&lt;='SOLLECITAZ NASCOSTO'!$P$8,IF(C107&lt;='SOLLECITAZ NASCOSTO'!$P$7,IF(C107&lt;='SOLLECITAZ NASCOSTO'!$P$6,IF(C107&lt;='SOLLECITAZ NASCOSTO'!$P$5,'Progetto del paramento slu'!$G$105,'Progetto del paramento slu'!$G$106),'Progetto del paramento slu'!$G$107),'Progetto del paramento slu'!$G$108),'Progetto del paramento slu'!$G$109),'Progetto del paramento slu'!$G$110),'Progetto del paramento slu'!$G$111),'Progetto del paramento slu'!$G$112),55555)-IF(C107&lt;='SOLLECITAZ NASCOSTO'!$P$12,IF(C107&lt;='SOLLECITAZ NASCOSTO'!$P$11,IF(C107&lt;='SOLLECITAZ NASCOSTO'!$P$10,IF(C107&lt;='SOLLECITAZ NASCOSTO'!$P$9,IF(C107&lt;='SOLLECITAZ NASCOSTO'!$P$8,IF(C107&lt;='SOLLECITAZ NASCOSTO'!$P$7,IF(C107&lt;='SOLLECITAZ NASCOSTO'!$P$6,IF(C107&lt;='SOLLECITAZ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slu'!$G$112))*(C107-IF(C107&lt;='SOLLECITAZ NASCOSTO'!$P$12,IF(C107&lt;='SOLLECITAZ NASCOSTO'!$P$11,IF(C107&lt;='SOLLECITAZ NASCOSTO'!$P$10,IF(C107&lt;='SOLLECITAZ NASCOSTO'!$P$9,IF(C107&lt;='SOLLECITAZ NASCOSTO'!$P$8,IF(C107&lt;='SOLLECITAZ NASCOSTO'!$P$7,IF(C107&lt;='SOLLECITAZ NASCOSTO'!$P$6,IF(C107&lt;='SOLLECITAZ NASCOSTO'!$P$5,'SOLLECITAZ NASCOSTO'!$P$3,'SOLLECITAZ NASCOSTO'!$P$5),'SOLLECITAZ NASCOSTO'!$P$5),'SOLLECITAZ NASCOSTO'!$P$7),'SOLLECITAZ NASCOSTO'!$P$8),'SOLLECITAZ NASCOSTO'!$P$9),'SOLLECITAZ NASCOSTO'!$P$10),'SOLLECITAZ NASCOSTO'!$P$11),'SOLLECITAZ NASCOSTO'!$P$12))/IF(C107&lt;='SOLLECITAZ NASCOSTO'!$P$12,IF(C107&lt;='SOLLECITAZ NASCOSTO'!$P$11,IF(C107&lt;='SOLLECITAZ NASCOSTO'!$P$10,IF(C107&lt;='SOLLECITAZ NASCOSTO'!$P$9,IF(C107&lt;='SOLLECITAZ NASCOSTO'!$P$8,IF(C107&lt;='SOLLECITAZ NASCOSTO'!$P$7,IF(C107&lt;='SOLLECITAZ NASCOSTO'!$P$6,IF(C107&lt;='SOLLECITAZ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slu'!$C$112)+IF(C107&lt;='SOLLECITAZ NASCOSTO'!$P$12,IF(C107&lt;='SOLLECITAZ NASCOSTO'!$P$11,IF(C107&lt;='SOLLECITAZ NASCOSTO'!$P$10,IF(C107&lt;='SOLLECITAZ NASCOSTO'!$P$9,IF(C107&lt;='SOLLECITAZ NASCOSTO'!$P$8,IF(C107&lt;='SOLLECITAZ NASCOSTO'!$P$7,IF(C107&lt;='SOLLECITAZ NASCOSTO'!$P$6,IF(C107&lt;='SOLLECITAZ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7.7539986460140913</v>
      </c>
      <c r="O108" s="42">
        <f>IF(C108&lt;='SOLLECITAZ NASCOSTO'!$P$12,IF(C108&lt;='SOLLECITAZ NASCOSTO'!$P$11,IF(C108&lt;='SOLLECITAZ NASCOSTO'!$P$10,IF(C108&lt;='SOLLECITAZ NASCOSTO'!$P$9,IF(C108&lt;='SOLLECITAZ NASCOSTO'!$P$8,IF(C108&lt;='SOLLECITAZ NASCOSTO'!$P$7,IF(C108&lt;='SOLLECITAZ NASCOSTO'!$P$6,IF(C108&lt;='SOLLECITAZ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slu'!$G$111),55555)*(C108-C107)/IF(C108&lt;='SOLLECITAZ NASCOSTO'!$P$12,IF(C108&lt;='SOLLECITAZ NASCOSTO'!$P$11,IF(C108&lt;='SOLLECITAZ NASCOSTO'!$P$10,IF(C108&lt;='SOLLECITAZ NASCOSTO'!$P$9,IF(C108&lt;='SOLLECITAZ NASCOSTO'!$P$8,IF(C108&lt;='SOLLECITAZ NASCOSTO'!$P$7,IF(C108&lt;='SOLLECITAZ NASCOSTO'!$P$6,IF(C108&lt;='SOLLECITAZ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8" s="42">
        <f t="shared" si="39"/>
        <v>7.4999999999999885E-5</v>
      </c>
      <c r="Q108" s="42">
        <f t="shared" si="37"/>
        <v>1</v>
      </c>
      <c r="R108" s="441">
        <f t="shared" si="31"/>
        <v>0.52067307692307696</v>
      </c>
      <c r="S108" s="46">
        <f t="shared" si="38"/>
        <v>0.52067307692307696</v>
      </c>
      <c r="T108" s="211">
        <f t="shared" si="34"/>
        <v>2.8293269230769234</v>
      </c>
      <c r="U108" s="46">
        <f t="shared" si="35"/>
        <v>3.110035762687835</v>
      </c>
      <c r="V108" s="46">
        <f t="shared" si="36"/>
        <v>-0.72702869899413314</v>
      </c>
      <c r="W108" s="496"/>
      <c r="X108" s="497"/>
      <c r="Y108" s="497"/>
      <c r="Z108" s="498"/>
      <c r="AA108" s="47"/>
    </row>
    <row r="109" spans="1:27" s="428" customFormat="1" x14ac:dyDescent="0.25">
      <c r="A109" s="589">
        <f t="shared" si="32"/>
        <v>1.8509615384298961E-6</v>
      </c>
      <c r="B109" s="32">
        <f t="shared" si="22"/>
        <v>77</v>
      </c>
      <c r="C109" s="441">
        <f>'SOLLECITAZ NASCOSTO'!$D$6/'SOLLECITAZ NASCOSTO'!$B$448*'SOLLECITAZ NASCOSTO'!B109</f>
        <v>0.5275240384615385</v>
      </c>
      <c r="D109" s="441">
        <f t="shared" si="33"/>
        <v>0.30000185096153842</v>
      </c>
      <c r="E109" s="441">
        <f t="shared" si="27"/>
        <v>1.8509615384298961E-6</v>
      </c>
      <c r="F109" s="441">
        <f t="shared" si="28"/>
        <v>0.30000185096153842</v>
      </c>
      <c r="G109" s="441">
        <f t="shared" si="29"/>
        <v>4.5000555290174556E-2</v>
      </c>
      <c r="H109" s="441">
        <f t="shared" si="23"/>
        <v>0</v>
      </c>
      <c r="I109" s="441">
        <v>0</v>
      </c>
      <c r="J109" s="131">
        <f t="shared" si="24"/>
        <v>0.15000092548076921</v>
      </c>
      <c r="K109" s="130">
        <f t="shared" si="30"/>
        <v>2.2500416468915693E-3</v>
      </c>
      <c r="L109" s="42">
        <f t="shared" si="25"/>
        <v>3.1636527371525762</v>
      </c>
      <c r="M109" s="42">
        <f t="shared" si="26"/>
        <v>-0.74851909830248076</v>
      </c>
      <c r="N109" s="42">
        <f>(IF(C108&lt;='SOLLECITAZ NASCOSTO'!$P$12,IF(C108&lt;='SOLLECITAZ NASCOSTO'!$P$11,IF(C108&lt;='SOLLECITAZ NASCOSTO'!$P$10,IF(C108&lt;='SOLLECITAZ NASCOSTO'!$P$9,IF(C108&lt;='SOLLECITAZ NASCOSTO'!$P$8,IF(C108&lt;='SOLLECITAZ NASCOSTO'!$P$7,IF(C108&lt;='SOLLECITAZ NASCOSTO'!$P$6,IF(C108&lt;='SOLLECITAZ NASCOSTO'!$P$5,'Progetto del paramento slu'!$G$105,'Progetto del paramento slu'!$G$106),'Progetto del paramento slu'!$G$107),'Progetto del paramento slu'!$G$108),'Progetto del paramento slu'!$G$109),'Progetto del paramento slu'!$G$110),'Progetto del paramento slu'!$G$111),'Progetto del paramento slu'!$G$112),55555)-IF(C108&lt;='SOLLECITAZ NASCOSTO'!$P$12,IF(C108&lt;='SOLLECITAZ NASCOSTO'!$P$11,IF(C108&lt;='SOLLECITAZ NASCOSTO'!$P$10,IF(C108&lt;='SOLLECITAZ NASCOSTO'!$P$9,IF(C108&lt;='SOLLECITAZ NASCOSTO'!$P$8,IF(C108&lt;='SOLLECITAZ NASCOSTO'!$P$7,IF(C108&lt;='SOLLECITAZ NASCOSTO'!$P$6,IF(C108&lt;='SOLLECITAZ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slu'!$G$112))*(C108-IF(C108&lt;='SOLLECITAZ NASCOSTO'!$P$12,IF(C108&lt;='SOLLECITAZ NASCOSTO'!$P$11,IF(C108&lt;='SOLLECITAZ NASCOSTO'!$P$10,IF(C108&lt;='SOLLECITAZ NASCOSTO'!$P$9,IF(C108&lt;='SOLLECITAZ NASCOSTO'!$P$8,IF(C108&lt;='SOLLECITAZ NASCOSTO'!$P$7,IF(C108&lt;='SOLLECITAZ NASCOSTO'!$P$6,IF(C108&lt;='SOLLECITAZ NASCOSTO'!$P$5,'SOLLECITAZ NASCOSTO'!$P$3,'SOLLECITAZ NASCOSTO'!$P$5),'SOLLECITAZ NASCOSTO'!$P$5),'SOLLECITAZ NASCOSTO'!$P$7),'SOLLECITAZ NASCOSTO'!$P$8),'SOLLECITAZ NASCOSTO'!$P$9),'SOLLECITAZ NASCOSTO'!$P$10),'SOLLECITAZ NASCOSTO'!$P$11),'SOLLECITAZ NASCOSTO'!$P$12))/IF(C108&lt;='SOLLECITAZ NASCOSTO'!$P$12,IF(C108&lt;='SOLLECITAZ NASCOSTO'!$P$11,IF(C108&lt;='SOLLECITAZ NASCOSTO'!$P$10,IF(C108&lt;='SOLLECITAZ NASCOSTO'!$P$9,IF(C108&lt;='SOLLECITAZ NASCOSTO'!$P$8,IF(C108&lt;='SOLLECITAZ NASCOSTO'!$P$7,IF(C108&lt;='SOLLECITAZ NASCOSTO'!$P$6,IF(C108&lt;='SOLLECITAZ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slu'!$C$112)+IF(C108&lt;='SOLLECITAZ NASCOSTO'!$P$12,IF(C108&lt;='SOLLECITAZ NASCOSTO'!$P$11,IF(C108&lt;='SOLLECITAZ NASCOSTO'!$P$10,IF(C108&lt;='SOLLECITAZ NASCOSTO'!$P$9,IF(C108&lt;='SOLLECITAZ NASCOSTO'!$P$8,IF(C108&lt;='SOLLECITAZ NASCOSTO'!$P$7,IF(C108&lt;='SOLLECITAZ NASCOSTO'!$P$6,IF(C108&lt;='SOLLECITAZ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7.8021308650064434</v>
      </c>
      <c r="O109" s="42">
        <f>IF(C109&lt;='SOLLECITAZ NASCOSTO'!$P$12,IF(C109&lt;='SOLLECITAZ NASCOSTO'!$P$11,IF(C109&lt;='SOLLECITAZ NASCOSTO'!$P$10,IF(C109&lt;='SOLLECITAZ NASCOSTO'!$P$9,IF(C109&lt;='SOLLECITAZ NASCOSTO'!$P$8,IF(C109&lt;='SOLLECITAZ NASCOSTO'!$P$7,IF(C109&lt;='SOLLECITAZ NASCOSTO'!$P$6,IF(C109&lt;='SOLLECITAZ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slu'!$G$111),55555)*(C109-C108)/IF(C109&lt;='SOLLECITAZ NASCOSTO'!$P$12,IF(C109&lt;='SOLLECITAZ NASCOSTO'!$P$11,IF(C109&lt;='SOLLECITAZ NASCOSTO'!$P$10,IF(C109&lt;='SOLLECITAZ NASCOSTO'!$P$9,IF(C109&lt;='SOLLECITAZ NASCOSTO'!$P$8,IF(C109&lt;='SOLLECITAZ NASCOSTO'!$P$7,IF(C109&lt;='SOLLECITAZ NASCOSTO'!$P$6,IF(C109&lt;='SOLLECITAZ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09" s="42">
        <f t="shared" si="39"/>
        <v>7.5999999999999882E-5</v>
      </c>
      <c r="Q109" s="42">
        <f t="shared" si="37"/>
        <v>1</v>
      </c>
      <c r="R109" s="441">
        <f t="shared" si="31"/>
        <v>0.5275240384615385</v>
      </c>
      <c r="S109" s="46">
        <f t="shared" si="38"/>
        <v>0.5275240384615385</v>
      </c>
      <c r="T109" s="211">
        <f t="shared" si="34"/>
        <v>2.8224759615384616</v>
      </c>
      <c r="U109" s="46">
        <f t="shared" si="35"/>
        <v>3.1636527371525762</v>
      </c>
      <c r="V109" s="46">
        <f t="shared" si="36"/>
        <v>-0.74851909830248076</v>
      </c>
      <c r="W109" s="496"/>
      <c r="X109" s="497"/>
      <c r="Y109" s="497"/>
      <c r="Z109" s="498"/>
      <c r="AA109" s="47"/>
    </row>
    <row r="110" spans="1:27" s="428" customFormat="1" x14ac:dyDescent="0.25">
      <c r="A110" s="589">
        <f t="shared" si="32"/>
        <v>1.8749999999845279E-6</v>
      </c>
      <c r="B110" s="32">
        <f t="shared" si="22"/>
        <v>78</v>
      </c>
      <c r="C110" s="441">
        <f>'SOLLECITAZ NASCOSTO'!$D$6/'SOLLECITAZ NASCOSTO'!$B$448*'SOLLECITAZ NASCOSTO'!B110</f>
        <v>0.53437500000000004</v>
      </c>
      <c r="D110" s="441">
        <f t="shared" si="33"/>
        <v>0.30000187499999997</v>
      </c>
      <c r="E110" s="441">
        <f t="shared" si="27"/>
        <v>1.8749999999845279E-6</v>
      </c>
      <c r="F110" s="441">
        <f t="shared" si="28"/>
        <v>0.30000187499999997</v>
      </c>
      <c r="G110" s="441">
        <f t="shared" si="29"/>
        <v>4.5000562501757803E-2</v>
      </c>
      <c r="H110" s="441">
        <f t="shared" si="23"/>
        <v>0</v>
      </c>
      <c r="I110" s="441">
        <v>0</v>
      </c>
      <c r="J110" s="131">
        <f t="shared" si="24"/>
        <v>0.15000093749999999</v>
      </c>
      <c r="K110" s="130">
        <f t="shared" si="30"/>
        <v>2.2500421877636716E-3</v>
      </c>
      <c r="L110" s="42">
        <f t="shared" si="25"/>
        <v>3.2175994635983951</v>
      </c>
      <c r="M110" s="42">
        <f t="shared" si="26"/>
        <v>-0.77037795499976469</v>
      </c>
      <c r="N110" s="42">
        <f>(IF(C109&lt;='SOLLECITAZ NASCOSTO'!$P$12,IF(C109&lt;='SOLLECITAZ NASCOSTO'!$P$11,IF(C109&lt;='SOLLECITAZ NASCOSTO'!$P$10,IF(C109&lt;='SOLLECITAZ NASCOSTO'!$P$9,IF(C109&lt;='SOLLECITAZ NASCOSTO'!$P$8,IF(C109&lt;='SOLLECITAZ NASCOSTO'!$P$7,IF(C109&lt;='SOLLECITAZ NASCOSTO'!$P$6,IF(C109&lt;='SOLLECITAZ NASCOSTO'!$P$5,'Progetto del paramento slu'!$G$105,'Progetto del paramento slu'!$G$106),'Progetto del paramento slu'!$G$107),'Progetto del paramento slu'!$G$108),'Progetto del paramento slu'!$G$109),'Progetto del paramento slu'!$G$110),'Progetto del paramento slu'!$G$111),'Progetto del paramento slu'!$G$112),55555)-IF(C109&lt;='SOLLECITAZ NASCOSTO'!$P$12,IF(C109&lt;='SOLLECITAZ NASCOSTO'!$P$11,IF(C109&lt;='SOLLECITAZ NASCOSTO'!$P$10,IF(C109&lt;='SOLLECITAZ NASCOSTO'!$P$9,IF(C109&lt;='SOLLECITAZ NASCOSTO'!$P$8,IF(C109&lt;='SOLLECITAZ NASCOSTO'!$P$7,IF(C109&lt;='SOLLECITAZ NASCOSTO'!$P$6,IF(C109&lt;='SOLLECITAZ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slu'!$G$112))*(C109-IF(C109&lt;='SOLLECITAZ NASCOSTO'!$P$12,IF(C109&lt;='SOLLECITAZ NASCOSTO'!$P$11,IF(C109&lt;='SOLLECITAZ NASCOSTO'!$P$10,IF(C109&lt;='SOLLECITAZ NASCOSTO'!$P$9,IF(C109&lt;='SOLLECITAZ NASCOSTO'!$P$8,IF(C109&lt;='SOLLECITAZ NASCOSTO'!$P$7,IF(C109&lt;='SOLLECITAZ NASCOSTO'!$P$6,IF(C109&lt;='SOLLECITAZ NASCOSTO'!$P$5,'SOLLECITAZ NASCOSTO'!$P$3,'SOLLECITAZ NASCOSTO'!$P$5),'SOLLECITAZ NASCOSTO'!$P$5),'SOLLECITAZ NASCOSTO'!$P$7),'SOLLECITAZ NASCOSTO'!$P$8),'SOLLECITAZ NASCOSTO'!$P$9),'SOLLECITAZ NASCOSTO'!$P$10),'SOLLECITAZ NASCOSTO'!$P$11),'SOLLECITAZ NASCOSTO'!$P$12))/IF(C109&lt;='SOLLECITAZ NASCOSTO'!$P$12,IF(C109&lt;='SOLLECITAZ NASCOSTO'!$P$11,IF(C109&lt;='SOLLECITAZ NASCOSTO'!$P$10,IF(C109&lt;='SOLLECITAZ NASCOSTO'!$P$9,IF(C109&lt;='SOLLECITAZ NASCOSTO'!$P$8,IF(C109&lt;='SOLLECITAZ NASCOSTO'!$P$7,IF(C109&lt;='SOLLECITAZ NASCOSTO'!$P$6,IF(C109&lt;='SOLLECITAZ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slu'!$C$112)+IF(C109&lt;='SOLLECITAZ NASCOSTO'!$P$12,IF(C109&lt;='SOLLECITAZ NASCOSTO'!$P$11,IF(C109&lt;='SOLLECITAZ NASCOSTO'!$P$10,IF(C109&lt;='SOLLECITAZ NASCOSTO'!$P$9,IF(C109&lt;='SOLLECITAZ NASCOSTO'!$P$8,IF(C109&lt;='SOLLECITAZ NASCOSTO'!$P$7,IF(C109&lt;='SOLLECITAZ NASCOSTO'!$P$6,IF(C109&lt;='SOLLECITAZ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7.8502630839987955</v>
      </c>
      <c r="O110" s="42">
        <f>IF(C110&lt;='SOLLECITAZ NASCOSTO'!$P$12,IF(C110&lt;='SOLLECITAZ NASCOSTO'!$P$11,IF(C110&lt;='SOLLECITAZ NASCOSTO'!$P$10,IF(C110&lt;='SOLLECITAZ NASCOSTO'!$P$9,IF(C110&lt;='SOLLECITAZ NASCOSTO'!$P$8,IF(C110&lt;='SOLLECITAZ NASCOSTO'!$P$7,IF(C110&lt;='SOLLECITAZ NASCOSTO'!$P$6,IF(C110&lt;='SOLLECITAZ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slu'!$G$111),55555)*(C110-C109)/IF(C110&lt;='SOLLECITAZ NASCOSTO'!$P$12,IF(C110&lt;='SOLLECITAZ NASCOSTO'!$P$11,IF(C110&lt;='SOLLECITAZ NASCOSTO'!$P$10,IF(C110&lt;='SOLLECITAZ NASCOSTO'!$P$9,IF(C110&lt;='SOLLECITAZ NASCOSTO'!$P$8,IF(C110&lt;='SOLLECITAZ NASCOSTO'!$P$7,IF(C110&lt;='SOLLECITAZ NASCOSTO'!$P$6,IF(C110&lt;='SOLLECITAZ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0" s="42">
        <f t="shared" si="39"/>
        <v>7.6999999999999879E-5</v>
      </c>
      <c r="Q110" s="42">
        <f t="shared" si="37"/>
        <v>1</v>
      </c>
      <c r="R110" s="441">
        <f t="shared" si="31"/>
        <v>0.53437500000000004</v>
      </c>
      <c r="S110" s="46">
        <f t="shared" si="38"/>
        <v>0.53437500000000004</v>
      </c>
      <c r="T110" s="211">
        <f t="shared" si="34"/>
        <v>2.8156249999999998</v>
      </c>
      <c r="U110" s="46">
        <f t="shared" si="35"/>
        <v>3.2175994635983951</v>
      </c>
      <c r="V110" s="46">
        <f t="shared" si="36"/>
        <v>-0.77037795499976469</v>
      </c>
      <c r="W110" s="496"/>
      <c r="X110" s="497"/>
      <c r="Y110" s="497"/>
      <c r="Z110" s="498"/>
      <c r="AA110" s="47"/>
    </row>
    <row r="111" spans="1:27" s="428" customFormat="1" x14ac:dyDescent="0.25">
      <c r="A111" s="589">
        <f t="shared" si="32"/>
        <v>1.8990384614836486E-6</v>
      </c>
      <c r="B111" s="32">
        <f t="shared" si="22"/>
        <v>79</v>
      </c>
      <c r="C111" s="441">
        <f>'SOLLECITAZ NASCOSTO'!$D$6/'SOLLECITAZ NASCOSTO'!$B$448*'SOLLECITAZ NASCOSTO'!B111</f>
        <v>0.54122596153846159</v>
      </c>
      <c r="D111" s="441">
        <f t="shared" si="33"/>
        <v>0.30000189903846147</v>
      </c>
      <c r="E111" s="441">
        <f t="shared" si="27"/>
        <v>1.8990384614836486E-6</v>
      </c>
      <c r="F111" s="441">
        <f t="shared" si="28"/>
        <v>0.30000189903846147</v>
      </c>
      <c r="G111" s="441">
        <f t="shared" si="29"/>
        <v>4.5000569713341619E-2</v>
      </c>
      <c r="H111" s="441">
        <f t="shared" si="23"/>
        <v>0</v>
      </c>
      <c r="I111" s="441">
        <v>0</v>
      </c>
      <c r="J111" s="131">
        <f t="shared" si="24"/>
        <v>0.15000094951923074</v>
      </c>
      <c r="K111" s="130">
        <f t="shared" si="30"/>
        <v>2.2500427286358598E-3</v>
      </c>
      <c r="L111" s="42">
        <f t="shared" si="25"/>
        <v>3.2718759420252912</v>
      </c>
      <c r="M111" s="42">
        <f t="shared" si="26"/>
        <v>-0.79260752820412472</v>
      </c>
      <c r="N111" s="42">
        <f>(IF(C110&lt;='SOLLECITAZ NASCOSTO'!$P$12,IF(C110&lt;='SOLLECITAZ NASCOSTO'!$P$11,IF(C110&lt;='SOLLECITAZ NASCOSTO'!$P$10,IF(C110&lt;='SOLLECITAZ NASCOSTO'!$P$9,IF(C110&lt;='SOLLECITAZ NASCOSTO'!$P$8,IF(C110&lt;='SOLLECITAZ NASCOSTO'!$P$7,IF(C110&lt;='SOLLECITAZ NASCOSTO'!$P$6,IF(C110&lt;='SOLLECITAZ NASCOSTO'!$P$5,'Progetto del paramento slu'!$G$105,'Progetto del paramento slu'!$G$106),'Progetto del paramento slu'!$G$107),'Progetto del paramento slu'!$G$108),'Progetto del paramento slu'!$G$109),'Progetto del paramento slu'!$G$110),'Progetto del paramento slu'!$G$111),'Progetto del paramento slu'!$G$112),55555)-IF(C110&lt;='SOLLECITAZ NASCOSTO'!$P$12,IF(C110&lt;='SOLLECITAZ NASCOSTO'!$P$11,IF(C110&lt;='SOLLECITAZ NASCOSTO'!$P$10,IF(C110&lt;='SOLLECITAZ NASCOSTO'!$P$9,IF(C110&lt;='SOLLECITAZ NASCOSTO'!$P$8,IF(C110&lt;='SOLLECITAZ NASCOSTO'!$P$7,IF(C110&lt;='SOLLECITAZ NASCOSTO'!$P$6,IF(C110&lt;='SOLLECITAZ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slu'!$G$112))*(C110-IF(C110&lt;='SOLLECITAZ NASCOSTO'!$P$12,IF(C110&lt;='SOLLECITAZ NASCOSTO'!$P$11,IF(C110&lt;='SOLLECITAZ NASCOSTO'!$P$10,IF(C110&lt;='SOLLECITAZ NASCOSTO'!$P$9,IF(C110&lt;='SOLLECITAZ NASCOSTO'!$P$8,IF(C110&lt;='SOLLECITAZ NASCOSTO'!$P$7,IF(C110&lt;='SOLLECITAZ NASCOSTO'!$P$6,IF(C110&lt;='SOLLECITAZ NASCOSTO'!$P$5,'SOLLECITAZ NASCOSTO'!$P$3,'SOLLECITAZ NASCOSTO'!$P$5),'SOLLECITAZ NASCOSTO'!$P$5),'SOLLECITAZ NASCOSTO'!$P$7),'SOLLECITAZ NASCOSTO'!$P$8),'SOLLECITAZ NASCOSTO'!$P$9),'SOLLECITAZ NASCOSTO'!$P$10),'SOLLECITAZ NASCOSTO'!$P$11),'SOLLECITAZ NASCOSTO'!$P$12))/IF(C110&lt;='SOLLECITAZ NASCOSTO'!$P$12,IF(C110&lt;='SOLLECITAZ NASCOSTO'!$P$11,IF(C110&lt;='SOLLECITAZ NASCOSTO'!$P$10,IF(C110&lt;='SOLLECITAZ NASCOSTO'!$P$9,IF(C110&lt;='SOLLECITAZ NASCOSTO'!$P$8,IF(C110&lt;='SOLLECITAZ NASCOSTO'!$P$7,IF(C110&lt;='SOLLECITAZ NASCOSTO'!$P$6,IF(C110&lt;='SOLLECITAZ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slu'!$C$112)+IF(C110&lt;='SOLLECITAZ NASCOSTO'!$P$12,IF(C110&lt;='SOLLECITAZ NASCOSTO'!$P$11,IF(C110&lt;='SOLLECITAZ NASCOSTO'!$P$10,IF(C110&lt;='SOLLECITAZ NASCOSTO'!$P$9,IF(C110&lt;='SOLLECITAZ NASCOSTO'!$P$8,IF(C110&lt;='SOLLECITAZ NASCOSTO'!$P$7,IF(C110&lt;='SOLLECITAZ NASCOSTO'!$P$6,IF(C110&lt;='SOLLECITAZ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7.8983953029911484</v>
      </c>
      <c r="O111" s="42">
        <f>IF(C111&lt;='SOLLECITAZ NASCOSTO'!$P$12,IF(C111&lt;='SOLLECITAZ NASCOSTO'!$P$11,IF(C111&lt;='SOLLECITAZ NASCOSTO'!$P$10,IF(C111&lt;='SOLLECITAZ NASCOSTO'!$P$9,IF(C111&lt;='SOLLECITAZ NASCOSTO'!$P$8,IF(C111&lt;='SOLLECITAZ NASCOSTO'!$P$7,IF(C111&lt;='SOLLECITAZ NASCOSTO'!$P$6,IF(C111&lt;='SOLLECITAZ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slu'!$G$111),55555)*(C111-C110)/IF(C111&lt;='SOLLECITAZ NASCOSTO'!$P$12,IF(C111&lt;='SOLLECITAZ NASCOSTO'!$P$11,IF(C111&lt;='SOLLECITAZ NASCOSTO'!$P$10,IF(C111&lt;='SOLLECITAZ NASCOSTO'!$P$9,IF(C111&lt;='SOLLECITAZ NASCOSTO'!$P$8,IF(C111&lt;='SOLLECITAZ NASCOSTO'!$P$7,IF(C111&lt;='SOLLECITAZ NASCOSTO'!$P$6,IF(C111&lt;='SOLLECITAZ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1" s="42">
        <f t="shared" si="39"/>
        <v>7.7999999999999877E-5</v>
      </c>
      <c r="Q111" s="42">
        <f t="shared" si="37"/>
        <v>1</v>
      </c>
      <c r="R111" s="441">
        <f t="shared" si="31"/>
        <v>0.54122596153846159</v>
      </c>
      <c r="S111" s="46">
        <f t="shared" si="38"/>
        <v>0.54122596153846159</v>
      </c>
      <c r="T111" s="211">
        <f t="shared" si="34"/>
        <v>2.8087740384615385</v>
      </c>
      <c r="U111" s="46">
        <f t="shared" si="35"/>
        <v>3.2718759420252912</v>
      </c>
      <c r="V111" s="46">
        <f t="shared" si="36"/>
        <v>-0.79260752820412472</v>
      </c>
      <c r="W111" s="496"/>
      <c r="X111" s="497"/>
      <c r="Y111" s="497"/>
      <c r="Z111" s="498"/>
      <c r="AA111" s="47"/>
    </row>
    <row r="112" spans="1:27" s="428" customFormat="1" x14ac:dyDescent="0.25">
      <c r="A112" s="589">
        <f t="shared" si="32"/>
        <v>1.9230769230382805E-6</v>
      </c>
      <c r="B112" s="32">
        <f t="shared" si="22"/>
        <v>80</v>
      </c>
      <c r="C112" s="441">
        <f>'SOLLECITAZ NASCOSTO'!$D$6/'SOLLECITAZ NASCOSTO'!$B$448*'SOLLECITAZ NASCOSTO'!B112</f>
        <v>0.54807692307692313</v>
      </c>
      <c r="D112" s="441">
        <f t="shared" si="33"/>
        <v>0.30000192307692303</v>
      </c>
      <c r="E112" s="441">
        <f t="shared" si="27"/>
        <v>1.9230769230382805E-6</v>
      </c>
      <c r="F112" s="441">
        <f t="shared" si="28"/>
        <v>0.30000192307692303</v>
      </c>
      <c r="G112" s="441">
        <f t="shared" si="29"/>
        <v>4.5000576924926025E-2</v>
      </c>
      <c r="H112" s="441">
        <f t="shared" si="23"/>
        <v>0</v>
      </c>
      <c r="I112" s="441">
        <v>0</v>
      </c>
      <c r="J112" s="131">
        <f t="shared" si="24"/>
        <v>0.15000096153846154</v>
      </c>
      <c r="K112" s="130">
        <f t="shared" si="30"/>
        <v>2.2500432695081356E-3</v>
      </c>
      <c r="L112" s="42">
        <f t="shared" si="25"/>
        <v>3.3264821724332649</v>
      </c>
      <c r="M112" s="42">
        <f t="shared" si="26"/>
        <v>-0.8152100770337003</v>
      </c>
      <c r="N112" s="42">
        <f>(IF(C111&lt;='SOLLECITAZ NASCOSTO'!$P$12,IF(C111&lt;='SOLLECITAZ NASCOSTO'!$P$11,IF(C111&lt;='SOLLECITAZ NASCOSTO'!$P$10,IF(C111&lt;='SOLLECITAZ NASCOSTO'!$P$9,IF(C111&lt;='SOLLECITAZ NASCOSTO'!$P$8,IF(C111&lt;='SOLLECITAZ NASCOSTO'!$P$7,IF(C111&lt;='SOLLECITAZ NASCOSTO'!$P$6,IF(C111&lt;='SOLLECITAZ NASCOSTO'!$P$5,'Progetto del paramento slu'!$G$105,'Progetto del paramento slu'!$G$106),'Progetto del paramento slu'!$G$107),'Progetto del paramento slu'!$G$108),'Progetto del paramento slu'!$G$109),'Progetto del paramento slu'!$G$110),'Progetto del paramento slu'!$G$111),'Progetto del paramento slu'!$G$112),55555)-IF(C111&lt;='SOLLECITAZ NASCOSTO'!$P$12,IF(C111&lt;='SOLLECITAZ NASCOSTO'!$P$11,IF(C111&lt;='SOLLECITAZ NASCOSTO'!$P$10,IF(C111&lt;='SOLLECITAZ NASCOSTO'!$P$9,IF(C111&lt;='SOLLECITAZ NASCOSTO'!$P$8,IF(C111&lt;='SOLLECITAZ NASCOSTO'!$P$7,IF(C111&lt;='SOLLECITAZ NASCOSTO'!$P$6,IF(C111&lt;='SOLLECITAZ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slu'!$G$112))*(C111-IF(C111&lt;='SOLLECITAZ NASCOSTO'!$P$12,IF(C111&lt;='SOLLECITAZ NASCOSTO'!$P$11,IF(C111&lt;='SOLLECITAZ NASCOSTO'!$P$10,IF(C111&lt;='SOLLECITAZ NASCOSTO'!$P$9,IF(C111&lt;='SOLLECITAZ NASCOSTO'!$P$8,IF(C111&lt;='SOLLECITAZ NASCOSTO'!$P$7,IF(C111&lt;='SOLLECITAZ NASCOSTO'!$P$6,IF(C111&lt;='SOLLECITAZ NASCOSTO'!$P$5,'SOLLECITAZ NASCOSTO'!$P$3,'SOLLECITAZ NASCOSTO'!$P$5),'SOLLECITAZ NASCOSTO'!$P$5),'SOLLECITAZ NASCOSTO'!$P$7),'SOLLECITAZ NASCOSTO'!$P$8),'SOLLECITAZ NASCOSTO'!$P$9),'SOLLECITAZ NASCOSTO'!$P$10),'SOLLECITAZ NASCOSTO'!$P$11),'SOLLECITAZ NASCOSTO'!$P$12))/IF(C111&lt;='SOLLECITAZ NASCOSTO'!$P$12,IF(C111&lt;='SOLLECITAZ NASCOSTO'!$P$11,IF(C111&lt;='SOLLECITAZ NASCOSTO'!$P$10,IF(C111&lt;='SOLLECITAZ NASCOSTO'!$P$9,IF(C111&lt;='SOLLECITAZ NASCOSTO'!$P$8,IF(C111&lt;='SOLLECITAZ NASCOSTO'!$P$7,IF(C111&lt;='SOLLECITAZ NASCOSTO'!$P$6,IF(C111&lt;='SOLLECITAZ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slu'!$C$112)+IF(C111&lt;='SOLLECITAZ NASCOSTO'!$P$12,IF(C111&lt;='SOLLECITAZ NASCOSTO'!$P$11,IF(C111&lt;='SOLLECITAZ NASCOSTO'!$P$10,IF(C111&lt;='SOLLECITAZ NASCOSTO'!$P$9,IF(C111&lt;='SOLLECITAZ NASCOSTO'!$P$8,IF(C111&lt;='SOLLECITAZ NASCOSTO'!$P$7,IF(C111&lt;='SOLLECITAZ NASCOSTO'!$P$6,IF(C111&lt;='SOLLECITAZ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7.9465275219835014</v>
      </c>
      <c r="O112" s="42">
        <f>IF(C112&lt;='SOLLECITAZ NASCOSTO'!$P$12,IF(C112&lt;='SOLLECITAZ NASCOSTO'!$P$11,IF(C112&lt;='SOLLECITAZ NASCOSTO'!$P$10,IF(C112&lt;='SOLLECITAZ NASCOSTO'!$P$9,IF(C112&lt;='SOLLECITAZ NASCOSTO'!$P$8,IF(C112&lt;='SOLLECITAZ NASCOSTO'!$P$7,IF(C112&lt;='SOLLECITAZ NASCOSTO'!$P$6,IF(C112&lt;='SOLLECITAZ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slu'!$G$111),55555)*(C112-C111)/IF(C112&lt;='SOLLECITAZ NASCOSTO'!$P$12,IF(C112&lt;='SOLLECITAZ NASCOSTO'!$P$11,IF(C112&lt;='SOLLECITAZ NASCOSTO'!$P$10,IF(C112&lt;='SOLLECITAZ NASCOSTO'!$P$9,IF(C112&lt;='SOLLECITAZ NASCOSTO'!$P$8,IF(C112&lt;='SOLLECITAZ NASCOSTO'!$P$7,IF(C112&lt;='SOLLECITAZ NASCOSTO'!$P$6,IF(C112&lt;='SOLLECITAZ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2" s="42">
        <f t="shared" si="39"/>
        <v>7.8999999999999874E-5</v>
      </c>
      <c r="Q112" s="42">
        <f t="shared" si="37"/>
        <v>1</v>
      </c>
      <c r="R112" s="441">
        <f t="shared" si="31"/>
        <v>0.54807692307692313</v>
      </c>
      <c r="S112" s="46">
        <f t="shared" si="38"/>
        <v>0.54807692307692313</v>
      </c>
      <c r="T112" s="211">
        <f t="shared" si="34"/>
        <v>2.8019230769230772</v>
      </c>
      <c r="U112" s="46">
        <f t="shared" si="35"/>
        <v>3.3264821724332649</v>
      </c>
      <c r="V112" s="46">
        <f t="shared" si="36"/>
        <v>-0.8152100770337003</v>
      </c>
      <c r="W112" s="496"/>
      <c r="X112" s="497"/>
      <c r="Y112" s="497"/>
      <c r="Z112" s="498"/>
      <c r="AA112" s="47"/>
    </row>
    <row r="113" spans="1:27" s="428" customFormat="1" x14ac:dyDescent="0.25">
      <c r="A113" s="589">
        <f t="shared" si="32"/>
        <v>1.9471153845929123E-6</v>
      </c>
      <c r="B113" s="32">
        <f t="shared" si="22"/>
        <v>81</v>
      </c>
      <c r="C113" s="441">
        <f>'SOLLECITAZ NASCOSTO'!$D$6/'SOLLECITAZ NASCOSTO'!$B$448*'SOLLECITAZ NASCOSTO'!B113</f>
        <v>0.55492788461538456</v>
      </c>
      <c r="D113" s="441">
        <f t="shared" si="33"/>
        <v>0.30000194711538458</v>
      </c>
      <c r="E113" s="441">
        <f t="shared" si="27"/>
        <v>1.9471153845929123E-6</v>
      </c>
      <c r="F113" s="441">
        <f t="shared" si="28"/>
        <v>0.30000194711538458</v>
      </c>
      <c r="G113" s="441">
        <f t="shared" si="29"/>
        <v>4.5000584136511007E-2</v>
      </c>
      <c r="H113" s="441">
        <f t="shared" si="23"/>
        <v>0</v>
      </c>
      <c r="I113" s="441">
        <v>0</v>
      </c>
      <c r="J113" s="131">
        <f t="shared" si="24"/>
        <v>0.15000097355769229</v>
      </c>
      <c r="K113" s="130">
        <f t="shared" si="30"/>
        <v>2.2500438103804981E-3</v>
      </c>
      <c r="L113" s="42">
        <f t="shared" si="25"/>
        <v>3.381418154822315</v>
      </c>
      <c r="M113" s="42">
        <f t="shared" si="26"/>
        <v>-0.83818786060663075</v>
      </c>
      <c r="N113" s="42">
        <f>(IF(C112&lt;='SOLLECITAZ NASCOSTO'!$P$12,IF(C112&lt;='SOLLECITAZ NASCOSTO'!$P$11,IF(C112&lt;='SOLLECITAZ NASCOSTO'!$P$10,IF(C112&lt;='SOLLECITAZ NASCOSTO'!$P$9,IF(C112&lt;='SOLLECITAZ NASCOSTO'!$P$8,IF(C112&lt;='SOLLECITAZ NASCOSTO'!$P$7,IF(C112&lt;='SOLLECITAZ NASCOSTO'!$P$6,IF(C112&lt;='SOLLECITAZ NASCOSTO'!$P$5,'Progetto del paramento slu'!$G$105,'Progetto del paramento slu'!$G$106),'Progetto del paramento slu'!$G$107),'Progetto del paramento slu'!$G$108),'Progetto del paramento slu'!$G$109),'Progetto del paramento slu'!$G$110),'Progetto del paramento slu'!$G$111),'Progetto del paramento slu'!$G$112),55555)-IF(C112&lt;='SOLLECITAZ NASCOSTO'!$P$12,IF(C112&lt;='SOLLECITAZ NASCOSTO'!$P$11,IF(C112&lt;='SOLLECITAZ NASCOSTO'!$P$10,IF(C112&lt;='SOLLECITAZ NASCOSTO'!$P$9,IF(C112&lt;='SOLLECITAZ NASCOSTO'!$P$8,IF(C112&lt;='SOLLECITAZ NASCOSTO'!$P$7,IF(C112&lt;='SOLLECITAZ NASCOSTO'!$P$6,IF(C112&lt;='SOLLECITAZ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slu'!$G$112))*(C112-IF(C112&lt;='SOLLECITAZ NASCOSTO'!$P$12,IF(C112&lt;='SOLLECITAZ NASCOSTO'!$P$11,IF(C112&lt;='SOLLECITAZ NASCOSTO'!$P$10,IF(C112&lt;='SOLLECITAZ NASCOSTO'!$P$9,IF(C112&lt;='SOLLECITAZ NASCOSTO'!$P$8,IF(C112&lt;='SOLLECITAZ NASCOSTO'!$P$7,IF(C112&lt;='SOLLECITAZ NASCOSTO'!$P$6,IF(C112&lt;='SOLLECITAZ NASCOSTO'!$P$5,'SOLLECITAZ NASCOSTO'!$P$3,'SOLLECITAZ NASCOSTO'!$P$5),'SOLLECITAZ NASCOSTO'!$P$5),'SOLLECITAZ NASCOSTO'!$P$7),'SOLLECITAZ NASCOSTO'!$P$8),'SOLLECITAZ NASCOSTO'!$P$9),'SOLLECITAZ NASCOSTO'!$P$10),'SOLLECITAZ NASCOSTO'!$P$11),'SOLLECITAZ NASCOSTO'!$P$12))/IF(C112&lt;='SOLLECITAZ NASCOSTO'!$P$12,IF(C112&lt;='SOLLECITAZ NASCOSTO'!$P$11,IF(C112&lt;='SOLLECITAZ NASCOSTO'!$P$10,IF(C112&lt;='SOLLECITAZ NASCOSTO'!$P$9,IF(C112&lt;='SOLLECITAZ NASCOSTO'!$P$8,IF(C112&lt;='SOLLECITAZ NASCOSTO'!$P$7,IF(C112&lt;='SOLLECITAZ NASCOSTO'!$P$6,IF(C112&lt;='SOLLECITAZ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slu'!$C$112)+IF(C112&lt;='SOLLECITAZ NASCOSTO'!$P$12,IF(C112&lt;='SOLLECITAZ NASCOSTO'!$P$11,IF(C112&lt;='SOLLECITAZ NASCOSTO'!$P$10,IF(C112&lt;='SOLLECITAZ NASCOSTO'!$P$9,IF(C112&lt;='SOLLECITAZ NASCOSTO'!$P$8,IF(C112&lt;='SOLLECITAZ NASCOSTO'!$P$7,IF(C112&lt;='SOLLECITAZ NASCOSTO'!$P$6,IF(C112&lt;='SOLLECITAZ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7.9946597409758535</v>
      </c>
      <c r="O113" s="42">
        <f>IF(C113&lt;='SOLLECITAZ NASCOSTO'!$P$12,IF(C113&lt;='SOLLECITAZ NASCOSTO'!$P$11,IF(C113&lt;='SOLLECITAZ NASCOSTO'!$P$10,IF(C113&lt;='SOLLECITAZ NASCOSTO'!$P$9,IF(C113&lt;='SOLLECITAZ NASCOSTO'!$P$8,IF(C113&lt;='SOLLECITAZ NASCOSTO'!$P$7,IF(C113&lt;='SOLLECITAZ NASCOSTO'!$P$6,IF(C113&lt;='SOLLECITAZ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slu'!$G$111),55555)*(C113-C112)/IF(C113&lt;='SOLLECITAZ NASCOSTO'!$P$12,IF(C113&lt;='SOLLECITAZ NASCOSTO'!$P$11,IF(C113&lt;='SOLLECITAZ NASCOSTO'!$P$10,IF(C113&lt;='SOLLECITAZ NASCOSTO'!$P$9,IF(C113&lt;='SOLLECITAZ NASCOSTO'!$P$8,IF(C113&lt;='SOLLECITAZ NASCOSTO'!$P$7,IF(C113&lt;='SOLLECITAZ NASCOSTO'!$P$6,IF(C113&lt;='SOLLECITAZ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4.8132218992351712E-2</v>
      </c>
      <c r="P113" s="42">
        <f t="shared" si="39"/>
        <v>7.9999999999999871E-5</v>
      </c>
      <c r="Q113" s="42">
        <f t="shared" si="37"/>
        <v>1</v>
      </c>
      <c r="R113" s="441">
        <f t="shared" si="31"/>
        <v>0.55492788461538456</v>
      </c>
      <c r="S113" s="46">
        <f t="shared" si="38"/>
        <v>0.55492788461538456</v>
      </c>
      <c r="T113" s="211">
        <f t="shared" si="34"/>
        <v>2.7950721153846154</v>
      </c>
      <c r="U113" s="46">
        <f t="shared" si="35"/>
        <v>3.381418154822315</v>
      </c>
      <c r="V113" s="46">
        <f t="shared" si="36"/>
        <v>-0.83818786060663075</v>
      </c>
      <c r="W113" s="496"/>
      <c r="X113" s="497"/>
      <c r="Y113" s="497"/>
      <c r="Z113" s="498"/>
      <c r="AA113" s="47"/>
    </row>
    <row r="114" spans="1:27" s="428" customFormat="1" x14ac:dyDescent="0.25">
      <c r="A114" s="589">
        <f t="shared" si="32"/>
        <v>1.971153846092033E-6</v>
      </c>
      <c r="B114" s="32">
        <f t="shared" si="22"/>
        <v>82</v>
      </c>
      <c r="C114" s="441">
        <f>'SOLLECITAZ NASCOSTO'!$D$6/'SOLLECITAZ NASCOSTO'!$B$448*'SOLLECITAZ NASCOSTO'!B114</f>
        <v>0.5617788461538461</v>
      </c>
      <c r="D114" s="441">
        <f t="shared" si="33"/>
        <v>0.30000197115384608</v>
      </c>
      <c r="E114" s="441">
        <f t="shared" si="27"/>
        <v>1.971153846092033E-6</v>
      </c>
      <c r="F114" s="441">
        <f t="shared" si="28"/>
        <v>0.30000197115384608</v>
      </c>
      <c r="G114" s="441">
        <f t="shared" si="29"/>
        <v>4.5000591348096551E-2</v>
      </c>
      <c r="H114" s="441">
        <f t="shared" si="23"/>
        <v>0</v>
      </c>
      <c r="I114" s="441">
        <v>0</v>
      </c>
      <c r="J114" s="131">
        <f t="shared" si="24"/>
        <v>0.15000098557692304</v>
      </c>
      <c r="K114" s="130">
        <f t="shared" si="30"/>
        <v>2.2500443512529461E-3</v>
      </c>
      <c r="L114" s="42">
        <f t="shared" si="25"/>
        <v>3.4366838891924436</v>
      </c>
      <c r="M114" s="42">
        <f t="shared" si="26"/>
        <v>-0.86154313804105631</v>
      </c>
      <c r="N114" s="42">
        <f>(IF(C113&lt;='SOLLECITAZ NASCOSTO'!$P$12,IF(C113&lt;='SOLLECITAZ NASCOSTO'!$P$11,IF(C113&lt;='SOLLECITAZ NASCOSTO'!$P$10,IF(C113&lt;='SOLLECITAZ NASCOSTO'!$P$9,IF(C113&lt;='SOLLECITAZ NASCOSTO'!$P$8,IF(C113&lt;='SOLLECITAZ NASCOSTO'!$P$7,IF(C113&lt;='SOLLECITAZ NASCOSTO'!$P$6,IF(C113&lt;='SOLLECITAZ NASCOSTO'!$P$5,'Progetto del paramento slu'!$G$105,'Progetto del paramento slu'!$G$106),'Progetto del paramento slu'!$G$107),'Progetto del paramento slu'!$G$108),'Progetto del paramento slu'!$G$109),'Progetto del paramento slu'!$G$110),'Progetto del paramento slu'!$G$111),'Progetto del paramento slu'!$G$112),55555)-IF(C113&lt;='SOLLECITAZ NASCOSTO'!$P$12,IF(C113&lt;='SOLLECITAZ NASCOSTO'!$P$11,IF(C113&lt;='SOLLECITAZ NASCOSTO'!$P$10,IF(C113&lt;='SOLLECITAZ NASCOSTO'!$P$9,IF(C113&lt;='SOLLECITAZ NASCOSTO'!$P$8,IF(C113&lt;='SOLLECITAZ NASCOSTO'!$P$7,IF(C113&lt;='SOLLECITAZ NASCOSTO'!$P$6,IF(C113&lt;='SOLLECITAZ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slu'!$G$112))*(C113-IF(C113&lt;='SOLLECITAZ NASCOSTO'!$P$12,IF(C113&lt;='SOLLECITAZ NASCOSTO'!$P$11,IF(C113&lt;='SOLLECITAZ NASCOSTO'!$P$10,IF(C113&lt;='SOLLECITAZ NASCOSTO'!$P$9,IF(C113&lt;='SOLLECITAZ NASCOSTO'!$P$8,IF(C113&lt;='SOLLECITAZ NASCOSTO'!$P$7,IF(C113&lt;='SOLLECITAZ NASCOSTO'!$P$6,IF(C113&lt;='SOLLECITAZ NASCOSTO'!$P$5,'SOLLECITAZ NASCOSTO'!$P$3,'SOLLECITAZ NASCOSTO'!$P$5),'SOLLECITAZ NASCOSTO'!$P$5),'SOLLECITAZ NASCOSTO'!$P$7),'SOLLECITAZ NASCOSTO'!$P$8),'SOLLECITAZ NASCOSTO'!$P$9),'SOLLECITAZ NASCOSTO'!$P$10),'SOLLECITAZ NASCOSTO'!$P$11),'SOLLECITAZ NASCOSTO'!$P$12))/IF(C113&lt;='SOLLECITAZ NASCOSTO'!$P$12,IF(C113&lt;='SOLLECITAZ NASCOSTO'!$P$11,IF(C113&lt;='SOLLECITAZ NASCOSTO'!$P$10,IF(C113&lt;='SOLLECITAZ NASCOSTO'!$P$9,IF(C113&lt;='SOLLECITAZ NASCOSTO'!$P$8,IF(C113&lt;='SOLLECITAZ NASCOSTO'!$P$7,IF(C113&lt;='SOLLECITAZ NASCOSTO'!$P$6,IF(C113&lt;='SOLLECITAZ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slu'!$C$112)+IF(C113&lt;='SOLLECITAZ NASCOSTO'!$P$12,IF(C113&lt;='SOLLECITAZ NASCOSTO'!$P$11,IF(C113&lt;='SOLLECITAZ NASCOSTO'!$P$10,IF(C113&lt;='SOLLECITAZ NASCOSTO'!$P$9,IF(C113&lt;='SOLLECITAZ NASCOSTO'!$P$8,IF(C113&lt;='SOLLECITAZ NASCOSTO'!$P$7,IF(C113&lt;='SOLLECITAZ NASCOSTO'!$P$6,IF(C113&lt;='SOLLECITAZ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8.0427919599682056</v>
      </c>
      <c r="O114" s="42">
        <f>IF(C114&lt;='SOLLECITAZ NASCOSTO'!$P$12,IF(C114&lt;='SOLLECITAZ NASCOSTO'!$P$11,IF(C114&lt;='SOLLECITAZ NASCOSTO'!$P$10,IF(C114&lt;='SOLLECITAZ NASCOSTO'!$P$9,IF(C114&lt;='SOLLECITAZ NASCOSTO'!$P$8,IF(C114&lt;='SOLLECITAZ NASCOSTO'!$P$7,IF(C114&lt;='SOLLECITAZ NASCOSTO'!$P$6,IF(C114&lt;='SOLLECITAZ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slu'!$G$111),55555)*(C114-C113)/IF(C114&lt;='SOLLECITAZ NASCOSTO'!$P$12,IF(C114&lt;='SOLLECITAZ NASCOSTO'!$P$11,IF(C114&lt;='SOLLECITAZ NASCOSTO'!$P$10,IF(C114&lt;='SOLLECITAZ NASCOSTO'!$P$9,IF(C114&lt;='SOLLECITAZ NASCOSTO'!$P$8,IF(C114&lt;='SOLLECITAZ NASCOSTO'!$P$7,IF(C114&lt;='SOLLECITAZ NASCOSTO'!$P$6,IF(C114&lt;='SOLLECITAZ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4" s="42">
        <f t="shared" si="39"/>
        <v>8.0999999999999868E-5</v>
      </c>
      <c r="Q114" s="42">
        <f t="shared" si="37"/>
        <v>1</v>
      </c>
      <c r="R114" s="441">
        <f t="shared" si="31"/>
        <v>0.5617788461538461</v>
      </c>
      <c r="S114" s="46">
        <f t="shared" si="38"/>
        <v>0.5617788461538461</v>
      </c>
      <c r="T114" s="211">
        <f t="shared" si="34"/>
        <v>2.7882211538461541</v>
      </c>
      <c r="U114" s="46">
        <f t="shared" si="35"/>
        <v>3.4366838891924436</v>
      </c>
      <c r="V114" s="46">
        <f t="shared" si="36"/>
        <v>-0.86154313804105631</v>
      </c>
      <c r="W114" s="496"/>
      <c r="X114" s="497"/>
      <c r="Y114" s="497"/>
      <c r="Z114" s="498"/>
      <c r="AA114" s="47"/>
    </row>
    <row r="115" spans="1:27" s="428" customFormat="1" x14ac:dyDescent="0.25">
      <c r="A115" s="589">
        <f t="shared" si="32"/>
        <v>1.9951923076466649E-6</v>
      </c>
      <c r="B115" s="32">
        <f t="shared" si="22"/>
        <v>83</v>
      </c>
      <c r="C115" s="441">
        <f>'SOLLECITAZ NASCOSTO'!$D$6/'SOLLECITAZ NASCOSTO'!$B$448*'SOLLECITAZ NASCOSTO'!B115</f>
        <v>0.56862980769230764</v>
      </c>
      <c r="D115" s="441">
        <f t="shared" si="33"/>
        <v>0.30000199519230764</v>
      </c>
      <c r="E115" s="441">
        <f t="shared" si="27"/>
        <v>1.9951923076466649E-6</v>
      </c>
      <c r="F115" s="441">
        <f t="shared" si="28"/>
        <v>0.30000199519230764</v>
      </c>
      <c r="G115" s="441">
        <f t="shared" si="29"/>
        <v>4.5000598559682692E-2</v>
      </c>
      <c r="H115" s="441">
        <f t="shared" si="23"/>
        <v>0</v>
      </c>
      <c r="I115" s="441">
        <v>0</v>
      </c>
      <c r="J115" s="131">
        <f t="shared" si="24"/>
        <v>0.15000099759615385</v>
      </c>
      <c r="K115" s="130">
        <f t="shared" si="30"/>
        <v>2.2500448921254821E-3</v>
      </c>
      <c r="L115" s="42">
        <f t="shared" si="25"/>
        <v>3.4922793755436494</v>
      </c>
      <c r="M115" s="42">
        <f t="shared" si="26"/>
        <v>-0.88527816845511631</v>
      </c>
      <c r="N115" s="42">
        <f>(IF(C114&lt;='SOLLECITAZ NASCOSTO'!$P$12,IF(C114&lt;='SOLLECITAZ NASCOSTO'!$P$11,IF(C114&lt;='SOLLECITAZ NASCOSTO'!$P$10,IF(C114&lt;='SOLLECITAZ NASCOSTO'!$P$9,IF(C114&lt;='SOLLECITAZ NASCOSTO'!$P$8,IF(C114&lt;='SOLLECITAZ NASCOSTO'!$P$7,IF(C114&lt;='SOLLECITAZ NASCOSTO'!$P$6,IF(C114&lt;='SOLLECITAZ NASCOSTO'!$P$5,'Progetto del paramento slu'!$G$105,'Progetto del paramento slu'!$G$106),'Progetto del paramento slu'!$G$107),'Progetto del paramento slu'!$G$108),'Progetto del paramento slu'!$G$109),'Progetto del paramento slu'!$G$110),'Progetto del paramento slu'!$G$111),'Progetto del paramento slu'!$G$112),55555)-IF(C114&lt;='SOLLECITAZ NASCOSTO'!$P$12,IF(C114&lt;='SOLLECITAZ NASCOSTO'!$P$11,IF(C114&lt;='SOLLECITAZ NASCOSTO'!$P$10,IF(C114&lt;='SOLLECITAZ NASCOSTO'!$P$9,IF(C114&lt;='SOLLECITAZ NASCOSTO'!$P$8,IF(C114&lt;='SOLLECITAZ NASCOSTO'!$P$7,IF(C114&lt;='SOLLECITAZ NASCOSTO'!$P$6,IF(C114&lt;='SOLLECITAZ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slu'!$G$112))*(C114-IF(C114&lt;='SOLLECITAZ NASCOSTO'!$P$12,IF(C114&lt;='SOLLECITAZ NASCOSTO'!$P$11,IF(C114&lt;='SOLLECITAZ NASCOSTO'!$P$10,IF(C114&lt;='SOLLECITAZ NASCOSTO'!$P$9,IF(C114&lt;='SOLLECITAZ NASCOSTO'!$P$8,IF(C114&lt;='SOLLECITAZ NASCOSTO'!$P$7,IF(C114&lt;='SOLLECITAZ NASCOSTO'!$P$6,IF(C114&lt;='SOLLECITAZ NASCOSTO'!$P$5,'SOLLECITAZ NASCOSTO'!$P$3,'SOLLECITAZ NASCOSTO'!$P$5),'SOLLECITAZ NASCOSTO'!$P$5),'SOLLECITAZ NASCOSTO'!$P$7),'SOLLECITAZ NASCOSTO'!$P$8),'SOLLECITAZ NASCOSTO'!$P$9),'SOLLECITAZ NASCOSTO'!$P$10),'SOLLECITAZ NASCOSTO'!$P$11),'SOLLECITAZ NASCOSTO'!$P$12))/IF(C114&lt;='SOLLECITAZ NASCOSTO'!$P$12,IF(C114&lt;='SOLLECITAZ NASCOSTO'!$P$11,IF(C114&lt;='SOLLECITAZ NASCOSTO'!$P$10,IF(C114&lt;='SOLLECITAZ NASCOSTO'!$P$9,IF(C114&lt;='SOLLECITAZ NASCOSTO'!$P$8,IF(C114&lt;='SOLLECITAZ NASCOSTO'!$P$7,IF(C114&lt;='SOLLECITAZ NASCOSTO'!$P$6,IF(C114&lt;='SOLLECITAZ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slu'!$C$112)+IF(C114&lt;='SOLLECITAZ NASCOSTO'!$P$12,IF(C114&lt;='SOLLECITAZ NASCOSTO'!$P$11,IF(C114&lt;='SOLLECITAZ NASCOSTO'!$P$10,IF(C114&lt;='SOLLECITAZ NASCOSTO'!$P$9,IF(C114&lt;='SOLLECITAZ NASCOSTO'!$P$8,IF(C114&lt;='SOLLECITAZ NASCOSTO'!$P$7,IF(C114&lt;='SOLLECITAZ NASCOSTO'!$P$6,IF(C114&lt;='SOLLECITAZ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8.0909241789605577</v>
      </c>
      <c r="O115" s="42">
        <f>IF(C115&lt;='SOLLECITAZ NASCOSTO'!$P$12,IF(C115&lt;='SOLLECITAZ NASCOSTO'!$P$11,IF(C115&lt;='SOLLECITAZ NASCOSTO'!$P$10,IF(C115&lt;='SOLLECITAZ NASCOSTO'!$P$9,IF(C115&lt;='SOLLECITAZ NASCOSTO'!$P$8,IF(C115&lt;='SOLLECITAZ NASCOSTO'!$P$7,IF(C115&lt;='SOLLECITAZ NASCOSTO'!$P$6,IF(C115&lt;='SOLLECITAZ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slu'!$G$111),55555)*(C115-C114)/IF(C115&lt;='SOLLECITAZ NASCOSTO'!$P$12,IF(C115&lt;='SOLLECITAZ NASCOSTO'!$P$11,IF(C115&lt;='SOLLECITAZ NASCOSTO'!$P$10,IF(C115&lt;='SOLLECITAZ NASCOSTO'!$P$9,IF(C115&lt;='SOLLECITAZ NASCOSTO'!$P$8,IF(C115&lt;='SOLLECITAZ NASCOSTO'!$P$7,IF(C115&lt;='SOLLECITAZ NASCOSTO'!$P$6,IF(C115&lt;='SOLLECITAZ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5" s="42">
        <f t="shared" si="39"/>
        <v>8.1999999999999865E-5</v>
      </c>
      <c r="Q115" s="42">
        <f t="shared" si="37"/>
        <v>1</v>
      </c>
      <c r="R115" s="441">
        <f t="shared" si="31"/>
        <v>0.56862980769230764</v>
      </c>
      <c r="S115" s="46">
        <f t="shared" si="38"/>
        <v>0.56862980769230764</v>
      </c>
      <c r="T115" s="211">
        <f t="shared" si="34"/>
        <v>2.7813701923076923</v>
      </c>
      <c r="U115" s="46">
        <f t="shared" si="35"/>
        <v>3.4922793755436494</v>
      </c>
      <c r="V115" s="46">
        <f t="shared" si="36"/>
        <v>-0.88527816845511631</v>
      </c>
      <c r="W115" s="496"/>
      <c r="X115" s="497"/>
      <c r="Y115" s="497"/>
      <c r="Z115" s="498"/>
      <c r="AA115" s="47"/>
    </row>
    <row r="116" spans="1:27" s="428" customFormat="1" x14ac:dyDescent="0.25">
      <c r="A116" s="589">
        <f t="shared" si="32"/>
        <v>2.0192307692012967E-6</v>
      </c>
      <c r="B116" s="32">
        <f t="shared" si="22"/>
        <v>84</v>
      </c>
      <c r="C116" s="441">
        <f>'SOLLECITAZ NASCOSTO'!$D$6/'SOLLECITAZ NASCOSTO'!$B$448*'SOLLECITAZ NASCOSTO'!B116</f>
        <v>0.57548076923076918</v>
      </c>
      <c r="D116" s="441">
        <f t="shared" si="33"/>
        <v>0.30000201923076919</v>
      </c>
      <c r="E116" s="441">
        <f t="shared" si="27"/>
        <v>2.0192307692012967E-6</v>
      </c>
      <c r="F116" s="441">
        <f t="shared" si="28"/>
        <v>0.30000201923076919</v>
      </c>
      <c r="G116" s="441">
        <f t="shared" si="29"/>
        <v>4.5000605771269409E-2</v>
      </c>
      <c r="H116" s="441">
        <f t="shared" si="23"/>
        <v>0</v>
      </c>
      <c r="I116" s="441">
        <v>0</v>
      </c>
      <c r="J116" s="131">
        <f t="shared" si="24"/>
        <v>0.15000100961538462</v>
      </c>
      <c r="K116" s="130">
        <f t="shared" si="30"/>
        <v>2.2500454329981044E-3</v>
      </c>
      <c r="L116" s="42">
        <f t="shared" si="25"/>
        <v>3.5482046138759329</v>
      </c>
      <c r="M116" s="42">
        <f t="shared" si="26"/>
        <v>-0.9093952109669502</v>
      </c>
      <c r="N116" s="42">
        <f>(IF(C115&lt;='SOLLECITAZ NASCOSTO'!$P$12,IF(C115&lt;='SOLLECITAZ NASCOSTO'!$P$11,IF(C115&lt;='SOLLECITAZ NASCOSTO'!$P$10,IF(C115&lt;='SOLLECITAZ NASCOSTO'!$P$9,IF(C115&lt;='SOLLECITAZ NASCOSTO'!$P$8,IF(C115&lt;='SOLLECITAZ NASCOSTO'!$P$7,IF(C115&lt;='SOLLECITAZ NASCOSTO'!$P$6,IF(C115&lt;='SOLLECITAZ NASCOSTO'!$P$5,'Progetto del paramento slu'!$G$105,'Progetto del paramento slu'!$G$106),'Progetto del paramento slu'!$G$107),'Progetto del paramento slu'!$G$108),'Progetto del paramento slu'!$G$109),'Progetto del paramento slu'!$G$110),'Progetto del paramento slu'!$G$111),'Progetto del paramento slu'!$G$112),55555)-IF(C115&lt;='SOLLECITAZ NASCOSTO'!$P$12,IF(C115&lt;='SOLLECITAZ NASCOSTO'!$P$11,IF(C115&lt;='SOLLECITAZ NASCOSTO'!$P$10,IF(C115&lt;='SOLLECITAZ NASCOSTO'!$P$9,IF(C115&lt;='SOLLECITAZ NASCOSTO'!$P$8,IF(C115&lt;='SOLLECITAZ NASCOSTO'!$P$7,IF(C115&lt;='SOLLECITAZ NASCOSTO'!$P$6,IF(C115&lt;='SOLLECITAZ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slu'!$G$112))*(C115-IF(C115&lt;='SOLLECITAZ NASCOSTO'!$P$12,IF(C115&lt;='SOLLECITAZ NASCOSTO'!$P$11,IF(C115&lt;='SOLLECITAZ NASCOSTO'!$P$10,IF(C115&lt;='SOLLECITAZ NASCOSTO'!$P$9,IF(C115&lt;='SOLLECITAZ NASCOSTO'!$P$8,IF(C115&lt;='SOLLECITAZ NASCOSTO'!$P$7,IF(C115&lt;='SOLLECITAZ NASCOSTO'!$P$6,IF(C115&lt;='SOLLECITAZ NASCOSTO'!$P$5,'SOLLECITAZ NASCOSTO'!$P$3,'SOLLECITAZ NASCOSTO'!$P$5),'SOLLECITAZ NASCOSTO'!$P$5),'SOLLECITAZ NASCOSTO'!$P$7),'SOLLECITAZ NASCOSTO'!$P$8),'SOLLECITAZ NASCOSTO'!$P$9),'SOLLECITAZ NASCOSTO'!$P$10),'SOLLECITAZ NASCOSTO'!$P$11),'SOLLECITAZ NASCOSTO'!$P$12))/IF(C115&lt;='SOLLECITAZ NASCOSTO'!$P$12,IF(C115&lt;='SOLLECITAZ NASCOSTO'!$P$11,IF(C115&lt;='SOLLECITAZ NASCOSTO'!$P$10,IF(C115&lt;='SOLLECITAZ NASCOSTO'!$P$9,IF(C115&lt;='SOLLECITAZ NASCOSTO'!$P$8,IF(C115&lt;='SOLLECITAZ NASCOSTO'!$P$7,IF(C115&lt;='SOLLECITAZ NASCOSTO'!$P$6,IF(C115&lt;='SOLLECITAZ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slu'!$C$112)+IF(C115&lt;='SOLLECITAZ NASCOSTO'!$P$12,IF(C115&lt;='SOLLECITAZ NASCOSTO'!$P$11,IF(C115&lt;='SOLLECITAZ NASCOSTO'!$P$10,IF(C115&lt;='SOLLECITAZ NASCOSTO'!$P$9,IF(C115&lt;='SOLLECITAZ NASCOSTO'!$P$8,IF(C115&lt;='SOLLECITAZ NASCOSTO'!$P$7,IF(C115&lt;='SOLLECITAZ NASCOSTO'!$P$6,IF(C115&lt;='SOLLECITAZ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8.1390563979529098</v>
      </c>
      <c r="O116" s="42">
        <f>IF(C116&lt;='SOLLECITAZ NASCOSTO'!$P$12,IF(C116&lt;='SOLLECITAZ NASCOSTO'!$P$11,IF(C116&lt;='SOLLECITAZ NASCOSTO'!$P$10,IF(C116&lt;='SOLLECITAZ NASCOSTO'!$P$9,IF(C116&lt;='SOLLECITAZ NASCOSTO'!$P$8,IF(C116&lt;='SOLLECITAZ NASCOSTO'!$P$7,IF(C116&lt;='SOLLECITAZ NASCOSTO'!$P$6,IF(C116&lt;='SOLLECITAZ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slu'!$G$111),55555)*(C116-C115)/IF(C116&lt;='SOLLECITAZ NASCOSTO'!$P$12,IF(C116&lt;='SOLLECITAZ NASCOSTO'!$P$11,IF(C116&lt;='SOLLECITAZ NASCOSTO'!$P$10,IF(C116&lt;='SOLLECITAZ NASCOSTO'!$P$9,IF(C116&lt;='SOLLECITAZ NASCOSTO'!$P$8,IF(C116&lt;='SOLLECITAZ NASCOSTO'!$P$7,IF(C116&lt;='SOLLECITAZ NASCOSTO'!$P$6,IF(C116&lt;='SOLLECITAZ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6" s="42">
        <f t="shared" si="39"/>
        <v>8.2999999999999863E-5</v>
      </c>
      <c r="Q116" s="42">
        <f t="shared" si="37"/>
        <v>1</v>
      </c>
      <c r="R116" s="441">
        <f t="shared" si="31"/>
        <v>0.57548076923076918</v>
      </c>
      <c r="S116" s="46">
        <f t="shared" si="38"/>
        <v>0.57548076923076918</v>
      </c>
      <c r="T116" s="211">
        <f t="shared" si="34"/>
        <v>2.774519230769231</v>
      </c>
      <c r="U116" s="46">
        <f t="shared" si="35"/>
        <v>3.5482046138759329</v>
      </c>
      <c r="V116" s="46">
        <f t="shared" si="36"/>
        <v>-0.9093952109669502</v>
      </c>
      <c r="W116" s="496"/>
      <c r="X116" s="497"/>
      <c r="Y116" s="497"/>
      <c r="Z116" s="498"/>
      <c r="AA116" s="47"/>
    </row>
    <row r="117" spans="1:27" s="428" customFormat="1" x14ac:dyDescent="0.25">
      <c r="A117" s="589">
        <f t="shared" si="32"/>
        <v>2.0432692307004174E-6</v>
      </c>
      <c r="B117" s="32">
        <f t="shared" si="22"/>
        <v>85</v>
      </c>
      <c r="C117" s="441">
        <f>'SOLLECITAZ NASCOSTO'!$D$6/'SOLLECITAZ NASCOSTO'!$B$448*'SOLLECITAZ NASCOSTO'!B117</f>
        <v>0.58233173076923073</v>
      </c>
      <c r="D117" s="441">
        <f t="shared" si="33"/>
        <v>0.30000204326923069</v>
      </c>
      <c r="E117" s="441">
        <f t="shared" si="27"/>
        <v>2.0432692307004174E-6</v>
      </c>
      <c r="F117" s="441">
        <f t="shared" si="28"/>
        <v>0.30000204326923069</v>
      </c>
      <c r="G117" s="441">
        <f t="shared" si="29"/>
        <v>4.500061298285668E-2</v>
      </c>
      <c r="H117" s="441">
        <f t="shared" si="23"/>
        <v>0</v>
      </c>
      <c r="I117" s="441">
        <v>0</v>
      </c>
      <c r="J117" s="131">
        <f t="shared" si="24"/>
        <v>0.15000102163461534</v>
      </c>
      <c r="K117" s="130">
        <f t="shared" si="30"/>
        <v>2.2500459738708125E-3</v>
      </c>
      <c r="L117" s="42">
        <f t="shared" si="25"/>
        <v>3.6044596041892936</v>
      </c>
      <c r="M117" s="42">
        <f t="shared" si="26"/>
        <v>-0.93389652469469764</v>
      </c>
      <c r="N117" s="42">
        <f>(IF(C116&lt;='SOLLECITAZ NASCOSTO'!$P$12,IF(C116&lt;='SOLLECITAZ NASCOSTO'!$P$11,IF(C116&lt;='SOLLECITAZ NASCOSTO'!$P$10,IF(C116&lt;='SOLLECITAZ NASCOSTO'!$P$9,IF(C116&lt;='SOLLECITAZ NASCOSTO'!$P$8,IF(C116&lt;='SOLLECITAZ NASCOSTO'!$P$7,IF(C116&lt;='SOLLECITAZ NASCOSTO'!$P$6,IF(C116&lt;='SOLLECITAZ NASCOSTO'!$P$5,'Progetto del paramento slu'!$G$105,'Progetto del paramento slu'!$G$106),'Progetto del paramento slu'!$G$107),'Progetto del paramento slu'!$G$108),'Progetto del paramento slu'!$G$109),'Progetto del paramento slu'!$G$110),'Progetto del paramento slu'!$G$111),'Progetto del paramento slu'!$G$112),55555)-IF(C116&lt;='SOLLECITAZ NASCOSTO'!$P$12,IF(C116&lt;='SOLLECITAZ NASCOSTO'!$P$11,IF(C116&lt;='SOLLECITAZ NASCOSTO'!$P$10,IF(C116&lt;='SOLLECITAZ NASCOSTO'!$P$9,IF(C116&lt;='SOLLECITAZ NASCOSTO'!$P$8,IF(C116&lt;='SOLLECITAZ NASCOSTO'!$P$7,IF(C116&lt;='SOLLECITAZ NASCOSTO'!$P$6,IF(C116&lt;='SOLLECITAZ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slu'!$G$112))*(C116-IF(C116&lt;='SOLLECITAZ NASCOSTO'!$P$12,IF(C116&lt;='SOLLECITAZ NASCOSTO'!$P$11,IF(C116&lt;='SOLLECITAZ NASCOSTO'!$P$10,IF(C116&lt;='SOLLECITAZ NASCOSTO'!$P$9,IF(C116&lt;='SOLLECITAZ NASCOSTO'!$P$8,IF(C116&lt;='SOLLECITAZ NASCOSTO'!$P$7,IF(C116&lt;='SOLLECITAZ NASCOSTO'!$P$6,IF(C116&lt;='SOLLECITAZ NASCOSTO'!$P$5,'SOLLECITAZ NASCOSTO'!$P$3,'SOLLECITAZ NASCOSTO'!$P$5),'SOLLECITAZ NASCOSTO'!$P$5),'SOLLECITAZ NASCOSTO'!$P$7),'SOLLECITAZ NASCOSTO'!$P$8),'SOLLECITAZ NASCOSTO'!$P$9),'SOLLECITAZ NASCOSTO'!$P$10),'SOLLECITAZ NASCOSTO'!$P$11),'SOLLECITAZ NASCOSTO'!$P$12))/IF(C116&lt;='SOLLECITAZ NASCOSTO'!$P$12,IF(C116&lt;='SOLLECITAZ NASCOSTO'!$P$11,IF(C116&lt;='SOLLECITAZ NASCOSTO'!$P$10,IF(C116&lt;='SOLLECITAZ NASCOSTO'!$P$9,IF(C116&lt;='SOLLECITAZ NASCOSTO'!$P$8,IF(C116&lt;='SOLLECITAZ NASCOSTO'!$P$7,IF(C116&lt;='SOLLECITAZ NASCOSTO'!$P$6,IF(C116&lt;='SOLLECITAZ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slu'!$C$112)+IF(C116&lt;='SOLLECITAZ NASCOSTO'!$P$12,IF(C116&lt;='SOLLECITAZ NASCOSTO'!$P$11,IF(C116&lt;='SOLLECITAZ NASCOSTO'!$P$10,IF(C116&lt;='SOLLECITAZ NASCOSTO'!$P$9,IF(C116&lt;='SOLLECITAZ NASCOSTO'!$P$8,IF(C116&lt;='SOLLECITAZ NASCOSTO'!$P$7,IF(C116&lt;='SOLLECITAZ NASCOSTO'!$P$6,IF(C116&lt;='SOLLECITAZ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8.1871886169452637</v>
      </c>
      <c r="O117" s="42">
        <f>IF(C117&lt;='SOLLECITAZ NASCOSTO'!$P$12,IF(C117&lt;='SOLLECITAZ NASCOSTO'!$P$11,IF(C117&lt;='SOLLECITAZ NASCOSTO'!$P$10,IF(C117&lt;='SOLLECITAZ NASCOSTO'!$P$9,IF(C117&lt;='SOLLECITAZ NASCOSTO'!$P$8,IF(C117&lt;='SOLLECITAZ NASCOSTO'!$P$7,IF(C117&lt;='SOLLECITAZ NASCOSTO'!$P$6,IF(C117&lt;='SOLLECITAZ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slu'!$G$111),55555)*(C117-C116)/IF(C117&lt;='SOLLECITAZ NASCOSTO'!$P$12,IF(C117&lt;='SOLLECITAZ NASCOSTO'!$P$11,IF(C117&lt;='SOLLECITAZ NASCOSTO'!$P$10,IF(C117&lt;='SOLLECITAZ NASCOSTO'!$P$9,IF(C117&lt;='SOLLECITAZ NASCOSTO'!$P$8,IF(C117&lt;='SOLLECITAZ NASCOSTO'!$P$7,IF(C117&lt;='SOLLECITAZ NASCOSTO'!$P$6,IF(C117&lt;='SOLLECITAZ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7" s="42">
        <f t="shared" si="39"/>
        <v>8.399999999999986E-5</v>
      </c>
      <c r="Q117" s="42">
        <f t="shared" si="37"/>
        <v>1</v>
      </c>
      <c r="R117" s="441">
        <f t="shared" si="31"/>
        <v>0.58233173076923073</v>
      </c>
      <c r="S117" s="46">
        <f t="shared" si="38"/>
        <v>0.58233173076923073</v>
      </c>
      <c r="T117" s="211">
        <f t="shared" si="34"/>
        <v>2.7676682692307693</v>
      </c>
      <c r="U117" s="46">
        <f t="shared" si="35"/>
        <v>3.6044596041892936</v>
      </c>
      <c r="V117" s="46">
        <f t="shared" si="36"/>
        <v>-0.93389652469469764</v>
      </c>
      <c r="W117" s="496"/>
      <c r="X117" s="497"/>
      <c r="Y117" s="497"/>
      <c r="Z117" s="498"/>
      <c r="AA117" s="47"/>
    </row>
    <row r="118" spans="1:27" s="428" customFormat="1" x14ac:dyDescent="0.25">
      <c r="A118" s="589">
        <f t="shared" si="32"/>
        <v>2.0673076922550493E-6</v>
      </c>
      <c r="B118" s="32">
        <f t="shared" si="22"/>
        <v>86</v>
      </c>
      <c r="C118" s="441">
        <f>'SOLLECITAZ NASCOSTO'!$D$6/'SOLLECITAZ NASCOSTO'!$B$448*'SOLLECITAZ NASCOSTO'!B118</f>
        <v>0.58918269230769227</v>
      </c>
      <c r="D118" s="441">
        <f t="shared" si="33"/>
        <v>0.30000206730769224</v>
      </c>
      <c r="E118" s="441">
        <f t="shared" si="27"/>
        <v>2.0673076922550493E-6</v>
      </c>
      <c r="F118" s="441">
        <f t="shared" si="28"/>
        <v>0.30000206730769224</v>
      </c>
      <c r="G118" s="441">
        <f t="shared" si="29"/>
        <v>4.5000620194444556E-2</v>
      </c>
      <c r="H118" s="441">
        <f t="shared" si="23"/>
        <v>0</v>
      </c>
      <c r="I118" s="441">
        <v>0</v>
      </c>
      <c r="J118" s="131">
        <f t="shared" si="24"/>
        <v>0.15000103365384612</v>
      </c>
      <c r="K118" s="130">
        <f t="shared" si="30"/>
        <v>2.2500465147436083E-3</v>
      </c>
      <c r="L118" s="42">
        <f t="shared" si="25"/>
        <v>3.6610443464837319</v>
      </c>
      <c r="M118" s="42">
        <f t="shared" si="26"/>
        <v>-0.95878436875649831</v>
      </c>
      <c r="N118" s="42">
        <f>(IF(C117&lt;='SOLLECITAZ NASCOSTO'!$P$12,IF(C117&lt;='SOLLECITAZ NASCOSTO'!$P$11,IF(C117&lt;='SOLLECITAZ NASCOSTO'!$P$10,IF(C117&lt;='SOLLECITAZ NASCOSTO'!$P$9,IF(C117&lt;='SOLLECITAZ NASCOSTO'!$P$8,IF(C117&lt;='SOLLECITAZ NASCOSTO'!$P$7,IF(C117&lt;='SOLLECITAZ NASCOSTO'!$P$6,IF(C117&lt;='SOLLECITAZ NASCOSTO'!$P$5,'Progetto del paramento slu'!$G$105,'Progetto del paramento slu'!$G$106),'Progetto del paramento slu'!$G$107),'Progetto del paramento slu'!$G$108),'Progetto del paramento slu'!$G$109),'Progetto del paramento slu'!$G$110),'Progetto del paramento slu'!$G$111),'Progetto del paramento slu'!$G$112),55555)-IF(C117&lt;='SOLLECITAZ NASCOSTO'!$P$12,IF(C117&lt;='SOLLECITAZ NASCOSTO'!$P$11,IF(C117&lt;='SOLLECITAZ NASCOSTO'!$P$10,IF(C117&lt;='SOLLECITAZ NASCOSTO'!$P$9,IF(C117&lt;='SOLLECITAZ NASCOSTO'!$P$8,IF(C117&lt;='SOLLECITAZ NASCOSTO'!$P$7,IF(C117&lt;='SOLLECITAZ NASCOSTO'!$P$6,IF(C117&lt;='SOLLECITAZ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slu'!$G$112))*(C117-IF(C117&lt;='SOLLECITAZ NASCOSTO'!$P$12,IF(C117&lt;='SOLLECITAZ NASCOSTO'!$P$11,IF(C117&lt;='SOLLECITAZ NASCOSTO'!$P$10,IF(C117&lt;='SOLLECITAZ NASCOSTO'!$P$9,IF(C117&lt;='SOLLECITAZ NASCOSTO'!$P$8,IF(C117&lt;='SOLLECITAZ NASCOSTO'!$P$7,IF(C117&lt;='SOLLECITAZ NASCOSTO'!$P$6,IF(C117&lt;='SOLLECITAZ NASCOSTO'!$P$5,'SOLLECITAZ NASCOSTO'!$P$3,'SOLLECITAZ NASCOSTO'!$P$5),'SOLLECITAZ NASCOSTO'!$P$5),'SOLLECITAZ NASCOSTO'!$P$7),'SOLLECITAZ NASCOSTO'!$P$8),'SOLLECITAZ NASCOSTO'!$P$9),'SOLLECITAZ NASCOSTO'!$P$10),'SOLLECITAZ NASCOSTO'!$P$11),'SOLLECITAZ NASCOSTO'!$P$12))/IF(C117&lt;='SOLLECITAZ NASCOSTO'!$P$12,IF(C117&lt;='SOLLECITAZ NASCOSTO'!$P$11,IF(C117&lt;='SOLLECITAZ NASCOSTO'!$P$10,IF(C117&lt;='SOLLECITAZ NASCOSTO'!$P$9,IF(C117&lt;='SOLLECITAZ NASCOSTO'!$P$8,IF(C117&lt;='SOLLECITAZ NASCOSTO'!$P$7,IF(C117&lt;='SOLLECITAZ NASCOSTO'!$P$6,IF(C117&lt;='SOLLECITAZ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slu'!$C$112)+IF(C117&lt;='SOLLECITAZ NASCOSTO'!$P$12,IF(C117&lt;='SOLLECITAZ NASCOSTO'!$P$11,IF(C117&lt;='SOLLECITAZ NASCOSTO'!$P$10,IF(C117&lt;='SOLLECITAZ NASCOSTO'!$P$9,IF(C117&lt;='SOLLECITAZ NASCOSTO'!$P$8,IF(C117&lt;='SOLLECITAZ NASCOSTO'!$P$7,IF(C117&lt;='SOLLECITAZ NASCOSTO'!$P$6,IF(C117&lt;='SOLLECITAZ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8.235320835937614</v>
      </c>
      <c r="O118" s="42">
        <f>IF(C118&lt;='SOLLECITAZ NASCOSTO'!$P$12,IF(C118&lt;='SOLLECITAZ NASCOSTO'!$P$11,IF(C118&lt;='SOLLECITAZ NASCOSTO'!$P$10,IF(C118&lt;='SOLLECITAZ NASCOSTO'!$P$9,IF(C118&lt;='SOLLECITAZ NASCOSTO'!$P$8,IF(C118&lt;='SOLLECITAZ NASCOSTO'!$P$7,IF(C118&lt;='SOLLECITAZ NASCOSTO'!$P$6,IF(C118&lt;='SOLLECITAZ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slu'!$G$111),55555)*(C118-C117)/IF(C118&lt;='SOLLECITAZ NASCOSTO'!$P$12,IF(C118&lt;='SOLLECITAZ NASCOSTO'!$P$11,IF(C118&lt;='SOLLECITAZ NASCOSTO'!$P$10,IF(C118&lt;='SOLLECITAZ NASCOSTO'!$P$9,IF(C118&lt;='SOLLECITAZ NASCOSTO'!$P$8,IF(C118&lt;='SOLLECITAZ NASCOSTO'!$P$7,IF(C118&lt;='SOLLECITAZ NASCOSTO'!$P$6,IF(C118&lt;='SOLLECITAZ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8" s="42">
        <f t="shared" si="39"/>
        <v>8.4999999999999857E-5</v>
      </c>
      <c r="Q118" s="42">
        <f t="shared" si="37"/>
        <v>1</v>
      </c>
      <c r="R118" s="441">
        <f t="shared" si="31"/>
        <v>0.58918269230769227</v>
      </c>
      <c r="S118" s="46">
        <f t="shared" si="38"/>
        <v>0.58918269230769227</v>
      </c>
      <c r="T118" s="211">
        <f t="shared" si="34"/>
        <v>2.7608173076923079</v>
      </c>
      <c r="U118" s="46">
        <f t="shared" si="35"/>
        <v>3.6610443464837319</v>
      </c>
      <c r="V118" s="46">
        <f t="shared" si="36"/>
        <v>-0.95878436875649831</v>
      </c>
      <c r="W118" s="496"/>
      <c r="X118" s="497"/>
      <c r="Y118" s="497"/>
      <c r="Z118" s="498"/>
      <c r="AA118" s="47"/>
    </row>
    <row r="119" spans="1:27" s="428" customFormat="1" x14ac:dyDescent="0.25">
      <c r="A119" s="589">
        <f t="shared" si="32"/>
        <v>2.0913461538096811E-6</v>
      </c>
      <c r="B119" s="32">
        <f t="shared" si="22"/>
        <v>87</v>
      </c>
      <c r="C119" s="441">
        <f>'SOLLECITAZ NASCOSTO'!$D$6/'SOLLECITAZ NASCOSTO'!$B$448*'SOLLECITAZ NASCOSTO'!B119</f>
        <v>0.59603365384615381</v>
      </c>
      <c r="D119" s="441">
        <f t="shared" si="33"/>
        <v>0.3000020913461538</v>
      </c>
      <c r="E119" s="441">
        <f t="shared" si="27"/>
        <v>2.0913461538096811E-6</v>
      </c>
      <c r="F119" s="441">
        <f t="shared" si="28"/>
        <v>0.3000020913461538</v>
      </c>
      <c r="G119" s="441">
        <f t="shared" si="29"/>
        <v>4.5000627406033007E-2</v>
      </c>
      <c r="H119" s="441">
        <f t="shared" si="23"/>
        <v>0</v>
      </c>
      <c r="I119" s="441">
        <v>0</v>
      </c>
      <c r="J119" s="131">
        <f t="shared" si="24"/>
        <v>0.1500010456730769</v>
      </c>
      <c r="K119" s="130">
        <f t="shared" si="30"/>
        <v>2.2500470556164908E-3</v>
      </c>
      <c r="L119" s="42">
        <f t="shared" si="25"/>
        <v>3.7179588407592474</v>
      </c>
      <c r="M119" s="42">
        <f t="shared" si="26"/>
        <v>-0.98406100227049165</v>
      </c>
      <c r="N119" s="42">
        <f>(IF(C118&lt;='SOLLECITAZ NASCOSTO'!$P$12,IF(C118&lt;='SOLLECITAZ NASCOSTO'!$P$11,IF(C118&lt;='SOLLECITAZ NASCOSTO'!$P$10,IF(C118&lt;='SOLLECITAZ NASCOSTO'!$P$9,IF(C118&lt;='SOLLECITAZ NASCOSTO'!$P$8,IF(C118&lt;='SOLLECITAZ NASCOSTO'!$P$7,IF(C118&lt;='SOLLECITAZ NASCOSTO'!$P$6,IF(C118&lt;='SOLLECITAZ NASCOSTO'!$P$5,'Progetto del paramento slu'!$G$105,'Progetto del paramento slu'!$G$106),'Progetto del paramento slu'!$G$107),'Progetto del paramento slu'!$G$108),'Progetto del paramento slu'!$G$109),'Progetto del paramento slu'!$G$110),'Progetto del paramento slu'!$G$111),'Progetto del paramento slu'!$G$112),55555)-IF(C118&lt;='SOLLECITAZ NASCOSTO'!$P$12,IF(C118&lt;='SOLLECITAZ NASCOSTO'!$P$11,IF(C118&lt;='SOLLECITAZ NASCOSTO'!$P$10,IF(C118&lt;='SOLLECITAZ NASCOSTO'!$P$9,IF(C118&lt;='SOLLECITAZ NASCOSTO'!$P$8,IF(C118&lt;='SOLLECITAZ NASCOSTO'!$P$7,IF(C118&lt;='SOLLECITAZ NASCOSTO'!$P$6,IF(C118&lt;='SOLLECITAZ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slu'!$G$112))*(C118-IF(C118&lt;='SOLLECITAZ NASCOSTO'!$P$12,IF(C118&lt;='SOLLECITAZ NASCOSTO'!$P$11,IF(C118&lt;='SOLLECITAZ NASCOSTO'!$P$10,IF(C118&lt;='SOLLECITAZ NASCOSTO'!$P$9,IF(C118&lt;='SOLLECITAZ NASCOSTO'!$P$8,IF(C118&lt;='SOLLECITAZ NASCOSTO'!$P$7,IF(C118&lt;='SOLLECITAZ NASCOSTO'!$P$6,IF(C118&lt;='SOLLECITAZ NASCOSTO'!$P$5,'SOLLECITAZ NASCOSTO'!$P$3,'SOLLECITAZ NASCOSTO'!$P$5),'SOLLECITAZ NASCOSTO'!$P$5),'SOLLECITAZ NASCOSTO'!$P$7),'SOLLECITAZ NASCOSTO'!$P$8),'SOLLECITAZ NASCOSTO'!$P$9),'SOLLECITAZ NASCOSTO'!$P$10),'SOLLECITAZ NASCOSTO'!$P$11),'SOLLECITAZ NASCOSTO'!$P$12))/IF(C118&lt;='SOLLECITAZ NASCOSTO'!$P$12,IF(C118&lt;='SOLLECITAZ NASCOSTO'!$P$11,IF(C118&lt;='SOLLECITAZ NASCOSTO'!$P$10,IF(C118&lt;='SOLLECITAZ NASCOSTO'!$P$9,IF(C118&lt;='SOLLECITAZ NASCOSTO'!$P$8,IF(C118&lt;='SOLLECITAZ NASCOSTO'!$P$7,IF(C118&lt;='SOLLECITAZ NASCOSTO'!$P$6,IF(C118&lt;='SOLLECITAZ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slu'!$C$112)+IF(C118&lt;='SOLLECITAZ NASCOSTO'!$P$12,IF(C118&lt;='SOLLECITAZ NASCOSTO'!$P$11,IF(C118&lt;='SOLLECITAZ NASCOSTO'!$P$10,IF(C118&lt;='SOLLECITAZ NASCOSTO'!$P$9,IF(C118&lt;='SOLLECITAZ NASCOSTO'!$P$8,IF(C118&lt;='SOLLECITAZ NASCOSTO'!$P$7,IF(C118&lt;='SOLLECITAZ NASCOSTO'!$P$6,IF(C118&lt;='SOLLECITAZ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8.2834530549299679</v>
      </c>
      <c r="O119" s="42">
        <f>IF(C119&lt;='SOLLECITAZ NASCOSTO'!$P$12,IF(C119&lt;='SOLLECITAZ NASCOSTO'!$P$11,IF(C119&lt;='SOLLECITAZ NASCOSTO'!$P$10,IF(C119&lt;='SOLLECITAZ NASCOSTO'!$P$9,IF(C119&lt;='SOLLECITAZ NASCOSTO'!$P$8,IF(C119&lt;='SOLLECITAZ NASCOSTO'!$P$7,IF(C119&lt;='SOLLECITAZ NASCOSTO'!$P$6,IF(C119&lt;='SOLLECITAZ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slu'!$G$111),55555)*(C119-C118)/IF(C119&lt;='SOLLECITAZ NASCOSTO'!$P$12,IF(C119&lt;='SOLLECITAZ NASCOSTO'!$P$11,IF(C119&lt;='SOLLECITAZ NASCOSTO'!$P$10,IF(C119&lt;='SOLLECITAZ NASCOSTO'!$P$9,IF(C119&lt;='SOLLECITAZ NASCOSTO'!$P$8,IF(C119&lt;='SOLLECITAZ NASCOSTO'!$P$7,IF(C119&lt;='SOLLECITAZ NASCOSTO'!$P$6,IF(C119&lt;='SOLLECITAZ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19" s="42">
        <f t="shared" si="39"/>
        <v>8.5999999999999854E-5</v>
      </c>
      <c r="Q119" s="42">
        <f t="shared" si="37"/>
        <v>1</v>
      </c>
      <c r="R119" s="441">
        <f t="shared" si="31"/>
        <v>0.59603365384615381</v>
      </c>
      <c r="S119" s="46">
        <f t="shared" si="38"/>
        <v>0.59603365384615381</v>
      </c>
      <c r="T119" s="211">
        <f t="shared" si="34"/>
        <v>2.7539663461538462</v>
      </c>
      <c r="U119" s="46">
        <f t="shared" si="35"/>
        <v>3.7179588407592474</v>
      </c>
      <c r="V119" s="46">
        <f t="shared" si="36"/>
        <v>-0.98406100227049165</v>
      </c>
      <c r="W119" s="496"/>
      <c r="X119" s="497"/>
      <c r="Y119" s="497"/>
      <c r="Z119" s="498"/>
      <c r="AA119" s="47"/>
    </row>
    <row r="120" spans="1:27" s="428" customFormat="1" x14ac:dyDescent="0.25">
      <c r="A120" s="589">
        <f t="shared" si="32"/>
        <v>2.115384615364313E-6</v>
      </c>
      <c r="B120" s="32">
        <f t="shared" si="22"/>
        <v>88</v>
      </c>
      <c r="C120" s="441">
        <f>'SOLLECITAZ NASCOSTO'!$D$6/'SOLLECITAZ NASCOSTO'!$B$448*'SOLLECITAZ NASCOSTO'!B120</f>
        <v>0.60288461538461535</v>
      </c>
      <c r="D120" s="441">
        <f t="shared" si="33"/>
        <v>0.30000211538461535</v>
      </c>
      <c r="E120" s="441">
        <f t="shared" si="27"/>
        <v>2.115384615364313E-6</v>
      </c>
      <c r="F120" s="441">
        <f t="shared" si="28"/>
        <v>0.30000211538461535</v>
      </c>
      <c r="G120" s="441">
        <f t="shared" si="29"/>
        <v>4.5000634617622035E-2</v>
      </c>
      <c r="H120" s="441">
        <f t="shared" si="23"/>
        <v>0</v>
      </c>
      <c r="I120" s="441">
        <v>0</v>
      </c>
      <c r="J120" s="131">
        <f t="shared" si="24"/>
        <v>0.15000105769230768</v>
      </c>
      <c r="K120" s="130">
        <f t="shared" si="30"/>
        <v>2.2500475964894605E-3</v>
      </c>
      <c r="L120" s="42">
        <f t="shared" si="25"/>
        <v>3.7752030870158406</v>
      </c>
      <c r="M120" s="42">
        <f t="shared" si="26"/>
        <v>-1.0097286843548174</v>
      </c>
      <c r="N120" s="42">
        <f>(IF(C119&lt;='SOLLECITAZ NASCOSTO'!$P$12,IF(C119&lt;='SOLLECITAZ NASCOSTO'!$P$11,IF(C119&lt;='SOLLECITAZ NASCOSTO'!$P$10,IF(C119&lt;='SOLLECITAZ NASCOSTO'!$P$9,IF(C119&lt;='SOLLECITAZ NASCOSTO'!$P$8,IF(C119&lt;='SOLLECITAZ NASCOSTO'!$P$7,IF(C119&lt;='SOLLECITAZ NASCOSTO'!$P$6,IF(C119&lt;='SOLLECITAZ NASCOSTO'!$P$5,'Progetto del paramento slu'!$G$105,'Progetto del paramento slu'!$G$106),'Progetto del paramento slu'!$G$107),'Progetto del paramento slu'!$G$108),'Progetto del paramento slu'!$G$109),'Progetto del paramento slu'!$G$110),'Progetto del paramento slu'!$G$111),'Progetto del paramento slu'!$G$112),55555)-IF(C119&lt;='SOLLECITAZ NASCOSTO'!$P$12,IF(C119&lt;='SOLLECITAZ NASCOSTO'!$P$11,IF(C119&lt;='SOLLECITAZ NASCOSTO'!$P$10,IF(C119&lt;='SOLLECITAZ NASCOSTO'!$P$9,IF(C119&lt;='SOLLECITAZ NASCOSTO'!$P$8,IF(C119&lt;='SOLLECITAZ NASCOSTO'!$P$7,IF(C119&lt;='SOLLECITAZ NASCOSTO'!$P$6,IF(C119&lt;='SOLLECITAZ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slu'!$G$112))*(C119-IF(C119&lt;='SOLLECITAZ NASCOSTO'!$P$12,IF(C119&lt;='SOLLECITAZ NASCOSTO'!$P$11,IF(C119&lt;='SOLLECITAZ NASCOSTO'!$P$10,IF(C119&lt;='SOLLECITAZ NASCOSTO'!$P$9,IF(C119&lt;='SOLLECITAZ NASCOSTO'!$P$8,IF(C119&lt;='SOLLECITAZ NASCOSTO'!$P$7,IF(C119&lt;='SOLLECITAZ NASCOSTO'!$P$6,IF(C119&lt;='SOLLECITAZ NASCOSTO'!$P$5,'SOLLECITAZ NASCOSTO'!$P$3,'SOLLECITAZ NASCOSTO'!$P$5),'SOLLECITAZ NASCOSTO'!$P$5),'SOLLECITAZ NASCOSTO'!$P$7),'SOLLECITAZ NASCOSTO'!$P$8),'SOLLECITAZ NASCOSTO'!$P$9),'SOLLECITAZ NASCOSTO'!$P$10),'SOLLECITAZ NASCOSTO'!$P$11),'SOLLECITAZ NASCOSTO'!$P$12))/IF(C119&lt;='SOLLECITAZ NASCOSTO'!$P$12,IF(C119&lt;='SOLLECITAZ NASCOSTO'!$P$11,IF(C119&lt;='SOLLECITAZ NASCOSTO'!$P$10,IF(C119&lt;='SOLLECITAZ NASCOSTO'!$P$9,IF(C119&lt;='SOLLECITAZ NASCOSTO'!$P$8,IF(C119&lt;='SOLLECITAZ NASCOSTO'!$P$7,IF(C119&lt;='SOLLECITAZ NASCOSTO'!$P$6,IF(C119&lt;='SOLLECITAZ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slu'!$C$112)+IF(C119&lt;='SOLLECITAZ NASCOSTO'!$P$12,IF(C119&lt;='SOLLECITAZ NASCOSTO'!$P$11,IF(C119&lt;='SOLLECITAZ NASCOSTO'!$P$10,IF(C119&lt;='SOLLECITAZ NASCOSTO'!$P$9,IF(C119&lt;='SOLLECITAZ NASCOSTO'!$P$8,IF(C119&lt;='SOLLECITAZ NASCOSTO'!$P$7,IF(C119&lt;='SOLLECITAZ NASCOSTO'!$P$6,IF(C119&lt;='SOLLECITAZ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8.33158527392232</v>
      </c>
      <c r="O120" s="42">
        <f>IF(C120&lt;='SOLLECITAZ NASCOSTO'!$P$12,IF(C120&lt;='SOLLECITAZ NASCOSTO'!$P$11,IF(C120&lt;='SOLLECITAZ NASCOSTO'!$P$10,IF(C120&lt;='SOLLECITAZ NASCOSTO'!$P$9,IF(C120&lt;='SOLLECITAZ NASCOSTO'!$P$8,IF(C120&lt;='SOLLECITAZ NASCOSTO'!$P$7,IF(C120&lt;='SOLLECITAZ NASCOSTO'!$P$6,IF(C120&lt;='SOLLECITAZ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slu'!$G$111),55555)*(C120-C119)/IF(C120&lt;='SOLLECITAZ NASCOSTO'!$P$12,IF(C120&lt;='SOLLECITAZ NASCOSTO'!$P$11,IF(C120&lt;='SOLLECITAZ NASCOSTO'!$P$10,IF(C120&lt;='SOLLECITAZ NASCOSTO'!$P$9,IF(C120&lt;='SOLLECITAZ NASCOSTO'!$P$8,IF(C120&lt;='SOLLECITAZ NASCOSTO'!$P$7,IF(C120&lt;='SOLLECITAZ NASCOSTO'!$P$6,IF(C120&lt;='SOLLECITAZ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0" s="42">
        <f t="shared" si="39"/>
        <v>8.6999999999999851E-5</v>
      </c>
      <c r="Q120" s="42">
        <f t="shared" si="37"/>
        <v>1</v>
      </c>
      <c r="R120" s="441">
        <f t="shared" si="31"/>
        <v>0.60288461538461535</v>
      </c>
      <c r="S120" s="46">
        <f t="shared" si="38"/>
        <v>0.60288461538461535</v>
      </c>
      <c r="T120" s="211">
        <f t="shared" si="34"/>
        <v>2.7471153846153848</v>
      </c>
      <c r="U120" s="46">
        <f t="shared" si="35"/>
        <v>3.7752030870158406</v>
      </c>
      <c r="V120" s="46">
        <f t="shared" si="36"/>
        <v>-1.0097286843548174</v>
      </c>
      <c r="W120" s="496"/>
      <c r="X120" s="497"/>
      <c r="Y120" s="497"/>
      <c r="Z120" s="498"/>
      <c r="AA120" s="47"/>
    </row>
    <row r="121" spans="1:27" s="428" customFormat="1" x14ac:dyDescent="0.25">
      <c r="A121" s="589">
        <f t="shared" si="32"/>
        <v>2.1394230768634337E-6</v>
      </c>
      <c r="B121" s="32">
        <f t="shared" si="22"/>
        <v>89</v>
      </c>
      <c r="C121" s="441">
        <f>'SOLLECITAZ NASCOSTO'!$D$6/'SOLLECITAZ NASCOSTO'!$B$448*'SOLLECITAZ NASCOSTO'!B121</f>
        <v>0.60973557692307689</v>
      </c>
      <c r="D121" s="441">
        <f t="shared" si="33"/>
        <v>0.30000213942307685</v>
      </c>
      <c r="E121" s="441">
        <f t="shared" si="27"/>
        <v>2.1394230768634337E-6</v>
      </c>
      <c r="F121" s="441">
        <f t="shared" si="28"/>
        <v>0.30000213942307685</v>
      </c>
      <c r="G121" s="441">
        <f t="shared" si="29"/>
        <v>4.5000641829211624E-2</v>
      </c>
      <c r="H121" s="441">
        <f t="shared" si="23"/>
        <v>0</v>
      </c>
      <c r="I121" s="441">
        <v>0</v>
      </c>
      <c r="J121" s="131">
        <f t="shared" si="24"/>
        <v>0.15000106971153843</v>
      </c>
      <c r="K121" s="130">
        <f t="shared" si="30"/>
        <v>2.2500481373625152E-3</v>
      </c>
      <c r="L121" s="42">
        <f t="shared" si="25"/>
        <v>3.832777085253511</v>
      </c>
      <c r="M121" s="42">
        <f t="shared" si="26"/>
        <v>-1.0357896741276151</v>
      </c>
      <c r="N121" s="42">
        <f>(IF(C120&lt;='SOLLECITAZ NASCOSTO'!$P$12,IF(C120&lt;='SOLLECITAZ NASCOSTO'!$P$11,IF(C120&lt;='SOLLECITAZ NASCOSTO'!$P$10,IF(C120&lt;='SOLLECITAZ NASCOSTO'!$P$9,IF(C120&lt;='SOLLECITAZ NASCOSTO'!$P$8,IF(C120&lt;='SOLLECITAZ NASCOSTO'!$P$7,IF(C120&lt;='SOLLECITAZ NASCOSTO'!$P$6,IF(C120&lt;='SOLLECITAZ NASCOSTO'!$P$5,'Progetto del paramento slu'!$G$105,'Progetto del paramento slu'!$G$106),'Progetto del paramento slu'!$G$107),'Progetto del paramento slu'!$G$108),'Progetto del paramento slu'!$G$109),'Progetto del paramento slu'!$G$110),'Progetto del paramento slu'!$G$111),'Progetto del paramento slu'!$G$112),55555)-IF(C120&lt;='SOLLECITAZ NASCOSTO'!$P$12,IF(C120&lt;='SOLLECITAZ NASCOSTO'!$P$11,IF(C120&lt;='SOLLECITAZ NASCOSTO'!$P$10,IF(C120&lt;='SOLLECITAZ NASCOSTO'!$P$9,IF(C120&lt;='SOLLECITAZ NASCOSTO'!$P$8,IF(C120&lt;='SOLLECITAZ NASCOSTO'!$P$7,IF(C120&lt;='SOLLECITAZ NASCOSTO'!$P$6,IF(C120&lt;='SOLLECITAZ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slu'!$G$112))*(C120-IF(C120&lt;='SOLLECITAZ NASCOSTO'!$P$12,IF(C120&lt;='SOLLECITAZ NASCOSTO'!$P$11,IF(C120&lt;='SOLLECITAZ NASCOSTO'!$P$10,IF(C120&lt;='SOLLECITAZ NASCOSTO'!$P$9,IF(C120&lt;='SOLLECITAZ NASCOSTO'!$P$8,IF(C120&lt;='SOLLECITAZ NASCOSTO'!$P$7,IF(C120&lt;='SOLLECITAZ NASCOSTO'!$P$6,IF(C120&lt;='SOLLECITAZ NASCOSTO'!$P$5,'SOLLECITAZ NASCOSTO'!$P$3,'SOLLECITAZ NASCOSTO'!$P$5),'SOLLECITAZ NASCOSTO'!$P$5),'SOLLECITAZ NASCOSTO'!$P$7),'SOLLECITAZ NASCOSTO'!$P$8),'SOLLECITAZ NASCOSTO'!$P$9),'SOLLECITAZ NASCOSTO'!$P$10),'SOLLECITAZ NASCOSTO'!$P$11),'SOLLECITAZ NASCOSTO'!$P$12))/IF(C120&lt;='SOLLECITAZ NASCOSTO'!$P$12,IF(C120&lt;='SOLLECITAZ NASCOSTO'!$P$11,IF(C120&lt;='SOLLECITAZ NASCOSTO'!$P$10,IF(C120&lt;='SOLLECITAZ NASCOSTO'!$P$9,IF(C120&lt;='SOLLECITAZ NASCOSTO'!$P$8,IF(C120&lt;='SOLLECITAZ NASCOSTO'!$P$7,IF(C120&lt;='SOLLECITAZ NASCOSTO'!$P$6,IF(C120&lt;='SOLLECITAZ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slu'!$C$112)+IF(C120&lt;='SOLLECITAZ NASCOSTO'!$P$12,IF(C120&lt;='SOLLECITAZ NASCOSTO'!$P$11,IF(C120&lt;='SOLLECITAZ NASCOSTO'!$P$10,IF(C120&lt;='SOLLECITAZ NASCOSTO'!$P$9,IF(C120&lt;='SOLLECITAZ NASCOSTO'!$P$8,IF(C120&lt;='SOLLECITAZ NASCOSTO'!$P$7,IF(C120&lt;='SOLLECITAZ NASCOSTO'!$P$6,IF(C120&lt;='SOLLECITAZ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8.3797174929146721</v>
      </c>
      <c r="O121" s="42">
        <f>IF(C121&lt;='SOLLECITAZ NASCOSTO'!$P$12,IF(C121&lt;='SOLLECITAZ NASCOSTO'!$P$11,IF(C121&lt;='SOLLECITAZ NASCOSTO'!$P$10,IF(C121&lt;='SOLLECITAZ NASCOSTO'!$P$9,IF(C121&lt;='SOLLECITAZ NASCOSTO'!$P$8,IF(C121&lt;='SOLLECITAZ NASCOSTO'!$P$7,IF(C121&lt;='SOLLECITAZ NASCOSTO'!$P$6,IF(C121&lt;='SOLLECITAZ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slu'!$G$111),55555)*(C121-C120)/IF(C121&lt;='SOLLECITAZ NASCOSTO'!$P$12,IF(C121&lt;='SOLLECITAZ NASCOSTO'!$P$11,IF(C121&lt;='SOLLECITAZ NASCOSTO'!$P$10,IF(C121&lt;='SOLLECITAZ NASCOSTO'!$P$9,IF(C121&lt;='SOLLECITAZ NASCOSTO'!$P$8,IF(C121&lt;='SOLLECITAZ NASCOSTO'!$P$7,IF(C121&lt;='SOLLECITAZ NASCOSTO'!$P$6,IF(C121&lt;='SOLLECITAZ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1" s="42">
        <f t="shared" si="39"/>
        <v>8.7999999999999849E-5</v>
      </c>
      <c r="Q121" s="42">
        <f t="shared" si="37"/>
        <v>1</v>
      </c>
      <c r="R121" s="441">
        <f t="shared" si="31"/>
        <v>0.60973557692307689</v>
      </c>
      <c r="S121" s="46">
        <f t="shared" si="38"/>
        <v>0.60973557692307689</v>
      </c>
      <c r="T121" s="211">
        <f t="shared" si="34"/>
        <v>2.7402644230769231</v>
      </c>
      <c r="U121" s="46">
        <f t="shared" si="35"/>
        <v>3.832777085253511</v>
      </c>
      <c r="V121" s="46">
        <f t="shared" si="36"/>
        <v>-1.0357896741276151</v>
      </c>
      <c r="W121" s="496"/>
      <c r="X121" s="497"/>
      <c r="Y121" s="497"/>
      <c r="Z121" s="498"/>
      <c r="AA121" s="47"/>
    </row>
    <row r="122" spans="1:27" s="428" customFormat="1" x14ac:dyDescent="0.25">
      <c r="A122" s="589">
        <f t="shared" si="32"/>
        <v>2.1634615384180655E-6</v>
      </c>
      <c r="B122" s="32">
        <f t="shared" si="22"/>
        <v>90</v>
      </c>
      <c r="C122" s="441">
        <f>'SOLLECITAZ NASCOSTO'!$D$6/'SOLLECITAZ NASCOSTO'!$B$448*'SOLLECITAZ NASCOSTO'!B122</f>
        <v>0.61658653846153844</v>
      </c>
      <c r="D122" s="441">
        <f t="shared" si="33"/>
        <v>0.30000216346153841</v>
      </c>
      <c r="E122" s="441">
        <f t="shared" si="27"/>
        <v>2.1634615384180655E-6</v>
      </c>
      <c r="F122" s="441">
        <f t="shared" si="28"/>
        <v>0.30000216346153841</v>
      </c>
      <c r="G122" s="441">
        <f t="shared" si="29"/>
        <v>4.500064904080181E-2</v>
      </c>
      <c r="H122" s="441">
        <f t="shared" si="23"/>
        <v>0</v>
      </c>
      <c r="I122" s="441">
        <v>0</v>
      </c>
      <c r="J122" s="131">
        <f t="shared" si="24"/>
        <v>0.15000108173076923</v>
      </c>
      <c r="K122" s="130">
        <f t="shared" si="30"/>
        <v>2.2500486782356579E-3</v>
      </c>
      <c r="L122" s="42">
        <f t="shared" si="25"/>
        <v>3.8906808354722586</v>
      </c>
      <c r="M122" s="42">
        <f t="shared" si="26"/>
        <v>-1.0622462307070244</v>
      </c>
      <c r="N122" s="42">
        <f>(IF(C121&lt;='SOLLECITAZ NASCOSTO'!$P$12,IF(C121&lt;='SOLLECITAZ NASCOSTO'!$P$11,IF(C121&lt;='SOLLECITAZ NASCOSTO'!$P$10,IF(C121&lt;='SOLLECITAZ NASCOSTO'!$P$9,IF(C121&lt;='SOLLECITAZ NASCOSTO'!$P$8,IF(C121&lt;='SOLLECITAZ NASCOSTO'!$P$7,IF(C121&lt;='SOLLECITAZ NASCOSTO'!$P$6,IF(C121&lt;='SOLLECITAZ NASCOSTO'!$P$5,'Progetto del paramento slu'!$G$105,'Progetto del paramento slu'!$G$106),'Progetto del paramento slu'!$G$107),'Progetto del paramento slu'!$G$108),'Progetto del paramento slu'!$G$109),'Progetto del paramento slu'!$G$110),'Progetto del paramento slu'!$G$111),'Progetto del paramento slu'!$G$112),55555)-IF(C121&lt;='SOLLECITAZ NASCOSTO'!$P$12,IF(C121&lt;='SOLLECITAZ NASCOSTO'!$P$11,IF(C121&lt;='SOLLECITAZ NASCOSTO'!$P$10,IF(C121&lt;='SOLLECITAZ NASCOSTO'!$P$9,IF(C121&lt;='SOLLECITAZ NASCOSTO'!$P$8,IF(C121&lt;='SOLLECITAZ NASCOSTO'!$P$7,IF(C121&lt;='SOLLECITAZ NASCOSTO'!$P$6,IF(C121&lt;='SOLLECITAZ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slu'!$G$112))*(C121-IF(C121&lt;='SOLLECITAZ NASCOSTO'!$P$12,IF(C121&lt;='SOLLECITAZ NASCOSTO'!$P$11,IF(C121&lt;='SOLLECITAZ NASCOSTO'!$P$10,IF(C121&lt;='SOLLECITAZ NASCOSTO'!$P$9,IF(C121&lt;='SOLLECITAZ NASCOSTO'!$P$8,IF(C121&lt;='SOLLECITAZ NASCOSTO'!$P$7,IF(C121&lt;='SOLLECITAZ NASCOSTO'!$P$6,IF(C121&lt;='SOLLECITAZ NASCOSTO'!$P$5,'SOLLECITAZ NASCOSTO'!$P$3,'SOLLECITAZ NASCOSTO'!$P$5),'SOLLECITAZ NASCOSTO'!$P$5),'SOLLECITAZ NASCOSTO'!$P$7),'SOLLECITAZ NASCOSTO'!$P$8),'SOLLECITAZ NASCOSTO'!$P$9),'SOLLECITAZ NASCOSTO'!$P$10),'SOLLECITAZ NASCOSTO'!$P$11),'SOLLECITAZ NASCOSTO'!$P$12))/IF(C121&lt;='SOLLECITAZ NASCOSTO'!$P$12,IF(C121&lt;='SOLLECITAZ NASCOSTO'!$P$11,IF(C121&lt;='SOLLECITAZ NASCOSTO'!$P$10,IF(C121&lt;='SOLLECITAZ NASCOSTO'!$P$9,IF(C121&lt;='SOLLECITAZ NASCOSTO'!$P$8,IF(C121&lt;='SOLLECITAZ NASCOSTO'!$P$7,IF(C121&lt;='SOLLECITAZ NASCOSTO'!$P$6,IF(C121&lt;='SOLLECITAZ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slu'!$C$112)+IF(C121&lt;='SOLLECITAZ NASCOSTO'!$P$12,IF(C121&lt;='SOLLECITAZ NASCOSTO'!$P$11,IF(C121&lt;='SOLLECITAZ NASCOSTO'!$P$10,IF(C121&lt;='SOLLECITAZ NASCOSTO'!$P$9,IF(C121&lt;='SOLLECITAZ NASCOSTO'!$P$8,IF(C121&lt;='SOLLECITAZ NASCOSTO'!$P$7,IF(C121&lt;='SOLLECITAZ NASCOSTO'!$P$6,IF(C121&lt;='SOLLECITAZ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8.4278497119070259</v>
      </c>
      <c r="O122" s="42">
        <f>IF(C122&lt;='SOLLECITAZ NASCOSTO'!$P$12,IF(C122&lt;='SOLLECITAZ NASCOSTO'!$P$11,IF(C122&lt;='SOLLECITAZ NASCOSTO'!$P$10,IF(C122&lt;='SOLLECITAZ NASCOSTO'!$P$9,IF(C122&lt;='SOLLECITAZ NASCOSTO'!$P$8,IF(C122&lt;='SOLLECITAZ NASCOSTO'!$P$7,IF(C122&lt;='SOLLECITAZ NASCOSTO'!$P$6,IF(C122&lt;='SOLLECITAZ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slu'!$G$111),55555)*(C122-C121)/IF(C122&lt;='SOLLECITAZ NASCOSTO'!$P$12,IF(C122&lt;='SOLLECITAZ NASCOSTO'!$P$11,IF(C122&lt;='SOLLECITAZ NASCOSTO'!$P$10,IF(C122&lt;='SOLLECITAZ NASCOSTO'!$P$9,IF(C122&lt;='SOLLECITAZ NASCOSTO'!$P$8,IF(C122&lt;='SOLLECITAZ NASCOSTO'!$P$7,IF(C122&lt;='SOLLECITAZ NASCOSTO'!$P$6,IF(C122&lt;='SOLLECITAZ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2" s="42">
        <f t="shared" si="39"/>
        <v>8.8999999999999846E-5</v>
      </c>
      <c r="Q122" s="42">
        <f t="shared" si="37"/>
        <v>1</v>
      </c>
      <c r="R122" s="441">
        <f t="shared" si="31"/>
        <v>0.61658653846153844</v>
      </c>
      <c r="S122" s="46">
        <f t="shared" si="38"/>
        <v>0.61658653846153844</v>
      </c>
      <c r="T122" s="211">
        <f t="shared" si="34"/>
        <v>2.7334134615384618</v>
      </c>
      <c r="U122" s="46">
        <f t="shared" si="35"/>
        <v>3.8906808354722586</v>
      </c>
      <c r="V122" s="46">
        <f t="shared" si="36"/>
        <v>-1.0622462307070244</v>
      </c>
      <c r="W122" s="496"/>
      <c r="X122" s="497"/>
      <c r="Y122" s="497"/>
      <c r="Z122" s="498"/>
      <c r="AA122" s="47"/>
    </row>
    <row r="123" spans="1:27" s="428" customFormat="1" x14ac:dyDescent="0.25">
      <c r="A123" s="589">
        <f t="shared" si="32"/>
        <v>2.1874999999726974E-6</v>
      </c>
      <c r="B123" s="32">
        <f t="shared" si="22"/>
        <v>91</v>
      </c>
      <c r="C123" s="441">
        <f>'SOLLECITAZ NASCOSTO'!$D$6/'SOLLECITAZ NASCOSTO'!$B$448*'SOLLECITAZ NASCOSTO'!B123</f>
        <v>0.62343749999999998</v>
      </c>
      <c r="D123" s="441">
        <f t="shared" si="33"/>
        <v>0.30000218749999996</v>
      </c>
      <c r="E123" s="441">
        <f t="shared" si="27"/>
        <v>2.1874999999726974E-6</v>
      </c>
      <c r="F123" s="441">
        <f t="shared" si="28"/>
        <v>0.30000218749999996</v>
      </c>
      <c r="G123" s="441">
        <f t="shared" si="29"/>
        <v>4.5000656252392565E-2</v>
      </c>
      <c r="H123" s="441">
        <f t="shared" si="23"/>
        <v>0</v>
      </c>
      <c r="I123" s="441">
        <v>0</v>
      </c>
      <c r="J123" s="131">
        <f t="shared" si="24"/>
        <v>0.15000109374999998</v>
      </c>
      <c r="K123" s="130">
        <f t="shared" si="30"/>
        <v>2.2500492191088865E-3</v>
      </c>
      <c r="L123" s="42">
        <f t="shared" si="25"/>
        <v>3.9489143376720839</v>
      </c>
      <c r="M123" s="42">
        <f t="shared" si="26"/>
        <v>-1.0891006132111847</v>
      </c>
      <c r="N123" s="42">
        <f>(IF(C122&lt;='SOLLECITAZ NASCOSTO'!$P$12,IF(C122&lt;='SOLLECITAZ NASCOSTO'!$P$11,IF(C122&lt;='SOLLECITAZ NASCOSTO'!$P$10,IF(C122&lt;='SOLLECITAZ NASCOSTO'!$P$9,IF(C122&lt;='SOLLECITAZ NASCOSTO'!$P$8,IF(C122&lt;='SOLLECITAZ NASCOSTO'!$P$7,IF(C122&lt;='SOLLECITAZ NASCOSTO'!$P$6,IF(C122&lt;='SOLLECITAZ NASCOSTO'!$P$5,'Progetto del paramento slu'!$G$105,'Progetto del paramento slu'!$G$106),'Progetto del paramento slu'!$G$107),'Progetto del paramento slu'!$G$108),'Progetto del paramento slu'!$G$109),'Progetto del paramento slu'!$G$110),'Progetto del paramento slu'!$G$111),'Progetto del paramento slu'!$G$112),55555)-IF(C122&lt;='SOLLECITAZ NASCOSTO'!$P$12,IF(C122&lt;='SOLLECITAZ NASCOSTO'!$P$11,IF(C122&lt;='SOLLECITAZ NASCOSTO'!$P$10,IF(C122&lt;='SOLLECITAZ NASCOSTO'!$P$9,IF(C122&lt;='SOLLECITAZ NASCOSTO'!$P$8,IF(C122&lt;='SOLLECITAZ NASCOSTO'!$P$7,IF(C122&lt;='SOLLECITAZ NASCOSTO'!$P$6,IF(C122&lt;='SOLLECITAZ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slu'!$G$112))*(C122-IF(C122&lt;='SOLLECITAZ NASCOSTO'!$P$12,IF(C122&lt;='SOLLECITAZ NASCOSTO'!$P$11,IF(C122&lt;='SOLLECITAZ NASCOSTO'!$P$10,IF(C122&lt;='SOLLECITAZ NASCOSTO'!$P$9,IF(C122&lt;='SOLLECITAZ NASCOSTO'!$P$8,IF(C122&lt;='SOLLECITAZ NASCOSTO'!$P$7,IF(C122&lt;='SOLLECITAZ NASCOSTO'!$P$6,IF(C122&lt;='SOLLECITAZ NASCOSTO'!$P$5,'SOLLECITAZ NASCOSTO'!$P$3,'SOLLECITAZ NASCOSTO'!$P$5),'SOLLECITAZ NASCOSTO'!$P$5),'SOLLECITAZ NASCOSTO'!$P$7),'SOLLECITAZ NASCOSTO'!$P$8),'SOLLECITAZ NASCOSTO'!$P$9),'SOLLECITAZ NASCOSTO'!$P$10),'SOLLECITAZ NASCOSTO'!$P$11),'SOLLECITAZ NASCOSTO'!$P$12))/IF(C122&lt;='SOLLECITAZ NASCOSTO'!$P$12,IF(C122&lt;='SOLLECITAZ NASCOSTO'!$P$11,IF(C122&lt;='SOLLECITAZ NASCOSTO'!$P$10,IF(C122&lt;='SOLLECITAZ NASCOSTO'!$P$9,IF(C122&lt;='SOLLECITAZ NASCOSTO'!$P$8,IF(C122&lt;='SOLLECITAZ NASCOSTO'!$P$7,IF(C122&lt;='SOLLECITAZ NASCOSTO'!$P$6,IF(C122&lt;='SOLLECITAZ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slu'!$C$112)+IF(C122&lt;='SOLLECITAZ NASCOSTO'!$P$12,IF(C122&lt;='SOLLECITAZ NASCOSTO'!$P$11,IF(C122&lt;='SOLLECITAZ NASCOSTO'!$P$10,IF(C122&lt;='SOLLECITAZ NASCOSTO'!$P$9,IF(C122&lt;='SOLLECITAZ NASCOSTO'!$P$8,IF(C122&lt;='SOLLECITAZ NASCOSTO'!$P$7,IF(C122&lt;='SOLLECITAZ NASCOSTO'!$P$6,IF(C122&lt;='SOLLECITAZ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8.4759819308993762</v>
      </c>
      <c r="O123" s="42">
        <f>IF(C123&lt;='SOLLECITAZ NASCOSTO'!$P$12,IF(C123&lt;='SOLLECITAZ NASCOSTO'!$P$11,IF(C123&lt;='SOLLECITAZ NASCOSTO'!$P$10,IF(C123&lt;='SOLLECITAZ NASCOSTO'!$P$9,IF(C123&lt;='SOLLECITAZ NASCOSTO'!$P$8,IF(C123&lt;='SOLLECITAZ NASCOSTO'!$P$7,IF(C123&lt;='SOLLECITAZ NASCOSTO'!$P$6,IF(C123&lt;='SOLLECITAZ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slu'!$G$111),55555)*(C123-C122)/IF(C123&lt;='SOLLECITAZ NASCOSTO'!$P$12,IF(C123&lt;='SOLLECITAZ NASCOSTO'!$P$11,IF(C123&lt;='SOLLECITAZ NASCOSTO'!$P$10,IF(C123&lt;='SOLLECITAZ NASCOSTO'!$P$9,IF(C123&lt;='SOLLECITAZ NASCOSTO'!$P$8,IF(C123&lt;='SOLLECITAZ NASCOSTO'!$P$7,IF(C123&lt;='SOLLECITAZ NASCOSTO'!$P$6,IF(C123&lt;='SOLLECITAZ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3" s="42">
        <f t="shared" si="39"/>
        <v>8.9999999999999843E-5</v>
      </c>
      <c r="Q123" s="42">
        <f t="shared" si="37"/>
        <v>1</v>
      </c>
      <c r="R123" s="441">
        <f t="shared" si="31"/>
        <v>0.62343749999999998</v>
      </c>
      <c r="S123" s="46">
        <f t="shared" si="38"/>
        <v>0.62343749999999998</v>
      </c>
      <c r="T123" s="211">
        <f t="shared" si="34"/>
        <v>2.7265625</v>
      </c>
      <c r="U123" s="46">
        <f t="shared" si="35"/>
        <v>3.9489143376720839</v>
      </c>
      <c r="V123" s="46">
        <f t="shared" si="36"/>
        <v>-1.0891006132111847</v>
      </c>
      <c r="W123" s="496"/>
      <c r="X123" s="497"/>
      <c r="Y123" s="497"/>
      <c r="Z123" s="498"/>
      <c r="AA123" s="47"/>
    </row>
    <row r="124" spans="1:27" s="428" customFormat="1" x14ac:dyDescent="0.25">
      <c r="A124" s="589">
        <f t="shared" si="32"/>
        <v>2.2115384614718181E-6</v>
      </c>
      <c r="B124" s="32">
        <f t="shared" si="22"/>
        <v>92</v>
      </c>
      <c r="C124" s="441">
        <f>'SOLLECITAZ NASCOSTO'!$D$6/'SOLLECITAZ NASCOSTO'!$B$448*'SOLLECITAZ NASCOSTO'!B124</f>
        <v>0.63028846153846152</v>
      </c>
      <c r="D124" s="441">
        <f t="shared" si="33"/>
        <v>0.30000221153846146</v>
      </c>
      <c r="E124" s="441">
        <f t="shared" si="27"/>
        <v>2.2115384614718181E-6</v>
      </c>
      <c r="F124" s="441">
        <f t="shared" si="28"/>
        <v>0.30000221153846146</v>
      </c>
      <c r="G124" s="441">
        <f t="shared" si="29"/>
        <v>4.5000663463983889E-2</v>
      </c>
      <c r="H124" s="441">
        <f t="shared" si="23"/>
        <v>0</v>
      </c>
      <c r="I124" s="441">
        <v>0</v>
      </c>
      <c r="J124" s="131">
        <f t="shared" si="24"/>
        <v>0.15000110576923073</v>
      </c>
      <c r="K124" s="130">
        <f t="shared" si="30"/>
        <v>2.2500497599822014E-3</v>
      </c>
      <c r="L124" s="42">
        <f t="shared" si="25"/>
        <v>4.0074775918529868</v>
      </c>
      <c r="M124" s="42">
        <f t="shared" si="26"/>
        <v>-1.1163550807582356</v>
      </c>
      <c r="N124" s="42">
        <f>(IF(C123&lt;='SOLLECITAZ NASCOSTO'!$P$12,IF(C123&lt;='SOLLECITAZ NASCOSTO'!$P$11,IF(C123&lt;='SOLLECITAZ NASCOSTO'!$P$10,IF(C123&lt;='SOLLECITAZ NASCOSTO'!$P$9,IF(C123&lt;='SOLLECITAZ NASCOSTO'!$P$8,IF(C123&lt;='SOLLECITAZ NASCOSTO'!$P$7,IF(C123&lt;='SOLLECITAZ NASCOSTO'!$P$6,IF(C123&lt;='SOLLECITAZ NASCOSTO'!$P$5,'Progetto del paramento slu'!$G$105,'Progetto del paramento slu'!$G$106),'Progetto del paramento slu'!$G$107),'Progetto del paramento slu'!$G$108),'Progetto del paramento slu'!$G$109),'Progetto del paramento slu'!$G$110),'Progetto del paramento slu'!$G$111),'Progetto del paramento slu'!$G$112),55555)-IF(C123&lt;='SOLLECITAZ NASCOSTO'!$P$12,IF(C123&lt;='SOLLECITAZ NASCOSTO'!$P$11,IF(C123&lt;='SOLLECITAZ NASCOSTO'!$P$10,IF(C123&lt;='SOLLECITAZ NASCOSTO'!$P$9,IF(C123&lt;='SOLLECITAZ NASCOSTO'!$P$8,IF(C123&lt;='SOLLECITAZ NASCOSTO'!$P$7,IF(C123&lt;='SOLLECITAZ NASCOSTO'!$P$6,IF(C123&lt;='SOLLECITAZ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slu'!$G$112))*(C123-IF(C123&lt;='SOLLECITAZ NASCOSTO'!$P$12,IF(C123&lt;='SOLLECITAZ NASCOSTO'!$P$11,IF(C123&lt;='SOLLECITAZ NASCOSTO'!$P$10,IF(C123&lt;='SOLLECITAZ NASCOSTO'!$P$9,IF(C123&lt;='SOLLECITAZ NASCOSTO'!$P$8,IF(C123&lt;='SOLLECITAZ NASCOSTO'!$P$7,IF(C123&lt;='SOLLECITAZ NASCOSTO'!$P$6,IF(C123&lt;='SOLLECITAZ NASCOSTO'!$P$5,'SOLLECITAZ NASCOSTO'!$P$3,'SOLLECITAZ NASCOSTO'!$P$5),'SOLLECITAZ NASCOSTO'!$P$5),'SOLLECITAZ NASCOSTO'!$P$7),'SOLLECITAZ NASCOSTO'!$P$8),'SOLLECITAZ NASCOSTO'!$P$9),'SOLLECITAZ NASCOSTO'!$P$10),'SOLLECITAZ NASCOSTO'!$P$11),'SOLLECITAZ NASCOSTO'!$P$12))/IF(C123&lt;='SOLLECITAZ NASCOSTO'!$P$12,IF(C123&lt;='SOLLECITAZ NASCOSTO'!$P$11,IF(C123&lt;='SOLLECITAZ NASCOSTO'!$P$10,IF(C123&lt;='SOLLECITAZ NASCOSTO'!$P$9,IF(C123&lt;='SOLLECITAZ NASCOSTO'!$P$8,IF(C123&lt;='SOLLECITAZ NASCOSTO'!$P$7,IF(C123&lt;='SOLLECITAZ NASCOSTO'!$P$6,IF(C123&lt;='SOLLECITAZ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slu'!$C$112)+IF(C123&lt;='SOLLECITAZ NASCOSTO'!$P$12,IF(C123&lt;='SOLLECITAZ NASCOSTO'!$P$11,IF(C123&lt;='SOLLECITAZ NASCOSTO'!$P$10,IF(C123&lt;='SOLLECITAZ NASCOSTO'!$P$9,IF(C123&lt;='SOLLECITAZ NASCOSTO'!$P$8,IF(C123&lt;='SOLLECITAZ NASCOSTO'!$P$7,IF(C123&lt;='SOLLECITAZ NASCOSTO'!$P$6,IF(C123&lt;='SOLLECITAZ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8.5241141498917301</v>
      </c>
      <c r="O124" s="42">
        <f>IF(C124&lt;='SOLLECITAZ NASCOSTO'!$P$12,IF(C124&lt;='SOLLECITAZ NASCOSTO'!$P$11,IF(C124&lt;='SOLLECITAZ NASCOSTO'!$P$10,IF(C124&lt;='SOLLECITAZ NASCOSTO'!$P$9,IF(C124&lt;='SOLLECITAZ NASCOSTO'!$P$8,IF(C124&lt;='SOLLECITAZ NASCOSTO'!$P$7,IF(C124&lt;='SOLLECITAZ NASCOSTO'!$P$6,IF(C124&lt;='SOLLECITAZ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slu'!$G$111),55555)*(C124-C123)/IF(C124&lt;='SOLLECITAZ NASCOSTO'!$P$12,IF(C124&lt;='SOLLECITAZ NASCOSTO'!$P$11,IF(C124&lt;='SOLLECITAZ NASCOSTO'!$P$10,IF(C124&lt;='SOLLECITAZ NASCOSTO'!$P$9,IF(C124&lt;='SOLLECITAZ NASCOSTO'!$P$8,IF(C124&lt;='SOLLECITAZ NASCOSTO'!$P$7,IF(C124&lt;='SOLLECITAZ NASCOSTO'!$P$6,IF(C124&lt;='SOLLECITAZ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4" s="42">
        <f t="shared" si="39"/>
        <v>9.099999999999984E-5</v>
      </c>
      <c r="Q124" s="42">
        <f t="shared" si="37"/>
        <v>1</v>
      </c>
      <c r="R124" s="441">
        <f t="shared" si="31"/>
        <v>0.63028846153846152</v>
      </c>
      <c r="S124" s="46">
        <f t="shared" si="38"/>
        <v>0.63028846153846152</v>
      </c>
      <c r="T124" s="211">
        <f t="shared" si="34"/>
        <v>2.7197115384615387</v>
      </c>
      <c r="U124" s="46">
        <f t="shared" si="35"/>
        <v>4.0074775918529868</v>
      </c>
      <c r="V124" s="46">
        <f t="shared" si="36"/>
        <v>-1.1163550807582356</v>
      </c>
      <c r="W124" s="496"/>
      <c r="X124" s="497"/>
      <c r="Y124" s="497"/>
      <c r="Z124" s="498"/>
      <c r="AA124" s="47"/>
    </row>
    <row r="125" spans="1:27" s="428" customFormat="1" x14ac:dyDescent="0.25">
      <c r="A125" s="589">
        <f t="shared" si="32"/>
        <v>2.2355769230264499E-6</v>
      </c>
      <c r="B125" s="32">
        <f t="shared" si="22"/>
        <v>93</v>
      </c>
      <c r="C125" s="441">
        <f>'SOLLECITAZ NASCOSTO'!$D$6/'SOLLECITAZ NASCOSTO'!$B$448*'SOLLECITAZ NASCOSTO'!B125</f>
        <v>0.63713942307692306</v>
      </c>
      <c r="D125" s="441">
        <f t="shared" si="33"/>
        <v>0.30000223557692302</v>
      </c>
      <c r="E125" s="441">
        <f t="shared" si="27"/>
        <v>2.2355769230264499E-6</v>
      </c>
      <c r="F125" s="441">
        <f t="shared" si="28"/>
        <v>0.30000223557692302</v>
      </c>
      <c r="G125" s="441">
        <f t="shared" si="29"/>
        <v>4.500067067557581E-2</v>
      </c>
      <c r="H125" s="441">
        <f t="shared" si="23"/>
        <v>0</v>
      </c>
      <c r="I125" s="441">
        <v>0</v>
      </c>
      <c r="J125" s="131">
        <f t="shared" si="24"/>
        <v>0.15000111778846151</v>
      </c>
      <c r="K125" s="130">
        <f t="shared" si="30"/>
        <v>2.2500503008556043E-3</v>
      </c>
      <c r="L125" s="42">
        <f t="shared" si="25"/>
        <v>4.0663705980149665</v>
      </c>
      <c r="M125" s="42">
        <f t="shared" si="26"/>
        <v>-1.144011892466317</v>
      </c>
      <c r="N125" s="42">
        <f>(IF(C124&lt;='SOLLECITAZ NASCOSTO'!$P$12,IF(C124&lt;='SOLLECITAZ NASCOSTO'!$P$11,IF(C124&lt;='SOLLECITAZ NASCOSTO'!$P$10,IF(C124&lt;='SOLLECITAZ NASCOSTO'!$P$9,IF(C124&lt;='SOLLECITAZ NASCOSTO'!$P$8,IF(C124&lt;='SOLLECITAZ NASCOSTO'!$P$7,IF(C124&lt;='SOLLECITAZ NASCOSTO'!$P$6,IF(C124&lt;='SOLLECITAZ NASCOSTO'!$P$5,'Progetto del paramento slu'!$G$105,'Progetto del paramento slu'!$G$106),'Progetto del paramento slu'!$G$107),'Progetto del paramento slu'!$G$108),'Progetto del paramento slu'!$G$109),'Progetto del paramento slu'!$G$110),'Progetto del paramento slu'!$G$111),'Progetto del paramento slu'!$G$112),55555)-IF(C124&lt;='SOLLECITAZ NASCOSTO'!$P$12,IF(C124&lt;='SOLLECITAZ NASCOSTO'!$P$11,IF(C124&lt;='SOLLECITAZ NASCOSTO'!$P$10,IF(C124&lt;='SOLLECITAZ NASCOSTO'!$P$9,IF(C124&lt;='SOLLECITAZ NASCOSTO'!$P$8,IF(C124&lt;='SOLLECITAZ NASCOSTO'!$P$7,IF(C124&lt;='SOLLECITAZ NASCOSTO'!$P$6,IF(C124&lt;='SOLLECITAZ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slu'!$G$112))*(C124-IF(C124&lt;='SOLLECITAZ NASCOSTO'!$P$12,IF(C124&lt;='SOLLECITAZ NASCOSTO'!$P$11,IF(C124&lt;='SOLLECITAZ NASCOSTO'!$P$10,IF(C124&lt;='SOLLECITAZ NASCOSTO'!$P$9,IF(C124&lt;='SOLLECITAZ NASCOSTO'!$P$8,IF(C124&lt;='SOLLECITAZ NASCOSTO'!$P$7,IF(C124&lt;='SOLLECITAZ NASCOSTO'!$P$6,IF(C124&lt;='SOLLECITAZ NASCOSTO'!$P$5,'SOLLECITAZ NASCOSTO'!$P$3,'SOLLECITAZ NASCOSTO'!$P$5),'SOLLECITAZ NASCOSTO'!$P$5),'SOLLECITAZ NASCOSTO'!$P$7),'SOLLECITAZ NASCOSTO'!$P$8),'SOLLECITAZ NASCOSTO'!$P$9),'SOLLECITAZ NASCOSTO'!$P$10),'SOLLECITAZ NASCOSTO'!$P$11),'SOLLECITAZ NASCOSTO'!$P$12))/IF(C124&lt;='SOLLECITAZ NASCOSTO'!$P$12,IF(C124&lt;='SOLLECITAZ NASCOSTO'!$P$11,IF(C124&lt;='SOLLECITAZ NASCOSTO'!$P$10,IF(C124&lt;='SOLLECITAZ NASCOSTO'!$P$9,IF(C124&lt;='SOLLECITAZ NASCOSTO'!$P$8,IF(C124&lt;='SOLLECITAZ NASCOSTO'!$P$7,IF(C124&lt;='SOLLECITAZ NASCOSTO'!$P$6,IF(C124&lt;='SOLLECITAZ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slu'!$C$112)+IF(C124&lt;='SOLLECITAZ NASCOSTO'!$P$12,IF(C124&lt;='SOLLECITAZ NASCOSTO'!$P$11,IF(C124&lt;='SOLLECITAZ NASCOSTO'!$P$10,IF(C124&lt;='SOLLECITAZ NASCOSTO'!$P$9,IF(C124&lt;='SOLLECITAZ NASCOSTO'!$P$8,IF(C124&lt;='SOLLECITAZ NASCOSTO'!$P$7,IF(C124&lt;='SOLLECITAZ NASCOSTO'!$P$6,IF(C124&lt;='SOLLECITAZ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8.5722463688840822</v>
      </c>
      <c r="O125" s="42">
        <f>IF(C125&lt;='SOLLECITAZ NASCOSTO'!$P$12,IF(C125&lt;='SOLLECITAZ NASCOSTO'!$P$11,IF(C125&lt;='SOLLECITAZ NASCOSTO'!$P$10,IF(C125&lt;='SOLLECITAZ NASCOSTO'!$P$9,IF(C125&lt;='SOLLECITAZ NASCOSTO'!$P$8,IF(C125&lt;='SOLLECITAZ NASCOSTO'!$P$7,IF(C125&lt;='SOLLECITAZ NASCOSTO'!$P$6,IF(C125&lt;='SOLLECITAZ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slu'!$G$111),55555)*(C125-C124)/IF(C125&lt;='SOLLECITAZ NASCOSTO'!$P$12,IF(C125&lt;='SOLLECITAZ NASCOSTO'!$P$11,IF(C125&lt;='SOLLECITAZ NASCOSTO'!$P$10,IF(C125&lt;='SOLLECITAZ NASCOSTO'!$P$9,IF(C125&lt;='SOLLECITAZ NASCOSTO'!$P$8,IF(C125&lt;='SOLLECITAZ NASCOSTO'!$P$7,IF(C125&lt;='SOLLECITAZ NASCOSTO'!$P$6,IF(C125&lt;='SOLLECITAZ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5" s="42">
        <f t="shared" si="39"/>
        <v>9.1999999999999837E-5</v>
      </c>
      <c r="Q125" s="42">
        <f t="shared" si="37"/>
        <v>1</v>
      </c>
      <c r="R125" s="441">
        <f t="shared" si="31"/>
        <v>0.63713942307692306</v>
      </c>
      <c r="S125" s="46">
        <f t="shared" si="38"/>
        <v>0.63713942307692306</v>
      </c>
      <c r="T125" s="211">
        <f t="shared" si="34"/>
        <v>2.7128605769230769</v>
      </c>
      <c r="U125" s="46">
        <f t="shared" si="35"/>
        <v>4.0663705980149665</v>
      </c>
      <c r="V125" s="46">
        <f t="shared" si="36"/>
        <v>-1.144011892466317</v>
      </c>
      <c r="W125" s="496"/>
      <c r="X125" s="497"/>
      <c r="Y125" s="497"/>
      <c r="Z125" s="498"/>
      <c r="AA125" s="47"/>
    </row>
    <row r="126" spans="1:27" s="428" customFormat="1" x14ac:dyDescent="0.25">
      <c r="A126" s="589">
        <f t="shared" si="32"/>
        <v>2.2596153845810818E-6</v>
      </c>
      <c r="B126" s="32">
        <f t="shared" si="22"/>
        <v>94</v>
      </c>
      <c r="C126" s="441">
        <f>'SOLLECITAZ NASCOSTO'!$D$6/'SOLLECITAZ NASCOSTO'!$B$448*'SOLLECITAZ NASCOSTO'!B126</f>
        <v>0.6439903846153846</v>
      </c>
      <c r="D126" s="441">
        <f t="shared" si="33"/>
        <v>0.30000225961538457</v>
      </c>
      <c r="E126" s="441">
        <f t="shared" si="27"/>
        <v>2.2596153845810818E-6</v>
      </c>
      <c r="F126" s="441">
        <f t="shared" si="28"/>
        <v>0.30000225961538457</v>
      </c>
      <c r="G126" s="441">
        <f t="shared" si="29"/>
        <v>4.5000677887168307E-2</v>
      </c>
      <c r="H126" s="441">
        <f t="shared" si="23"/>
        <v>0</v>
      </c>
      <c r="I126" s="441">
        <v>0</v>
      </c>
      <c r="J126" s="131">
        <f t="shared" si="24"/>
        <v>0.15000112980769231</v>
      </c>
      <c r="K126" s="130">
        <f t="shared" si="30"/>
        <v>2.2500508417290935E-3</v>
      </c>
      <c r="L126" s="42">
        <f t="shared" si="25"/>
        <v>4.1255933561580242</v>
      </c>
      <c r="M126" s="42">
        <f t="shared" si="26"/>
        <v>-1.1720733074535683</v>
      </c>
      <c r="N126" s="42">
        <f>(IF(C125&lt;='SOLLECITAZ NASCOSTO'!$P$12,IF(C125&lt;='SOLLECITAZ NASCOSTO'!$P$11,IF(C125&lt;='SOLLECITAZ NASCOSTO'!$P$10,IF(C125&lt;='SOLLECITAZ NASCOSTO'!$P$9,IF(C125&lt;='SOLLECITAZ NASCOSTO'!$P$8,IF(C125&lt;='SOLLECITAZ NASCOSTO'!$P$7,IF(C125&lt;='SOLLECITAZ NASCOSTO'!$P$6,IF(C125&lt;='SOLLECITAZ NASCOSTO'!$P$5,'Progetto del paramento slu'!$G$105,'Progetto del paramento slu'!$G$106),'Progetto del paramento slu'!$G$107),'Progetto del paramento slu'!$G$108),'Progetto del paramento slu'!$G$109),'Progetto del paramento slu'!$G$110),'Progetto del paramento slu'!$G$111),'Progetto del paramento slu'!$G$112),55555)-IF(C125&lt;='SOLLECITAZ NASCOSTO'!$P$12,IF(C125&lt;='SOLLECITAZ NASCOSTO'!$P$11,IF(C125&lt;='SOLLECITAZ NASCOSTO'!$P$10,IF(C125&lt;='SOLLECITAZ NASCOSTO'!$P$9,IF(C125&lt;='SOLLECITAZ NASCOSTO'!$P$8,IF(C125&lt;='SOLLECITAZ NASCOSTO'!$P$7,IF(C125&lt;='SOLLECITAZ NASCOSTO'!$P$6,IF(C125&lt;='SOLLECITAZ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slu'!$G$112))*(C125-IF(C125&lt;='SOLLECITAZ NASCOSTO'!$P$12,IF(C125&lt;='SOLLECITAZ NASCOSTO'!$P$11,IF(C125&lt;='SOLLECITAZ NASCOSTO'!$P$10,IF(C125&lt;='SOLLECITAZ NASCOSTO'!$P$9,IF(C125&lt;='SOLLECITAZ NASCOSTO'!$P$8,IF(C125&lt;='SOLLECITAZ NASCOSTO'!$P$7,IF(C125&lt;='SOLLECITAZ NASCOSTO'!$P$6,IF(C125&lt;='SOLLECITAZ NASCOSTO'!$P$5,'SOLLECITAZ NASCOSTO'!$P$3,'SOLLECITAZ NASCOSTO'!$P$5),'SOLLECITAZ NASCOSTO'!$P$5),'SOLLECITAZ NASCOSTO'!$P$7),'SOLLECITAZ NASCOSTO'!$P$8),'SOLLECITAZ NASCOSTO'!$P$9),'SOLLECITAZ NASCOSTO'!$P$10),'SOLLECITAZ NASCOSTO'!$P$11),'SOLLECITAZ NASCOSTO'!$P$12))/IF(C125&lt;='SOLLECITAZ NASCOSTO'!$P$12,IF(C125&lt;='SOLLECITAZ NASCOSTO'!$P$11,IF(C125&lt;='SOLLECITAZ NASCOSTO'!$P$10,IF(C125&lt;='SOLLECITAZ NASCOSTO'!$P$9,IF(C125&lt;='SOLLECITAZ NASCOSTO'!$P$8,IF(C125&lt;='SOLLECITAZ NASCOSTO'!$P$7,IF(C125&lt;='SOLLECITAZ NASCOSTO'!$P$6,IF(C125&lt;='SOLLECITAZ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slu'!$C$112)+IF(C125&lt;='SOLLECITAZ NASCOSTO'!$P$12,IF(C125&lt;='SOLLECITAZ NASCOSTO'!$P$11,IF(C125&lt;='SOLLECITAZ NASCOSTO'!$P$10,IF(C125&lt;='SOLLECITAZ NASCOSTO'!$P$9,IF(C125&lt;='SOLLECITAZ NASCOSTO'!$P$8,IF(C125&lt;='SOLLECITAZ NASCOSTO'!$P$7,IF(C125&lt;='SOLLECITAZ NASCOSTO'!$P$6,IF(C125&lt;='SOLLECITAZ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8.6203785878764343</v>
      </c>
      <c r="O126" s="42">
        <f>IF(C126&lt;='SOLLECITAZ NASCOSTO'!$P$12,IF(C126&lt;='SOLLECITAZ NASCOSTO'!$P$11,IF(C126&lt;='SOLLECITAZ NASCOSTO'!$P$10,IF(C126&lt;='SOLLECITAZ NASCOSTO'!$P$9,IF(C126&lt;='SOLLECITAZ NASCOSTO'!$P$8,IF(C126&lt;='SOLLECITAZ NASCOSTO'!$P$7,IF(C126&lt;='SOLLECITAZ NASCOSTO'!$P$6,IF(C126&lt;='SOLLECITAZ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slu'!$G$111),55555)*(C126-C125)/IF(C126&lt;='SOLLECITAZ NASCOSTO'!$P$12,IF(C126&lt;='SOLLECITAZ NASCOSTO'!$P$11,IF(C126&lt;='SOLLECITAZ NASCOSTO'!$P$10,IF(C126&lt;='SOLLECITAZ NASCOSTO'!$P$9,IF(C126&lt;='SOLLECITAZ NASCOSTO'!$P$8,IF(C126&lt;='SOLLECITAZ NASCOSTO'!$P$7,IF(C126&lt;='SOLLECITAZ NASCOSTO'!$P$6,IF(C126&lt;='SOLLECITAZ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6" s="42">
        <f t="shared" si="39"/>
        <v>9.2999999999999835E-5</v>
      </c>
      <c r="Q126" s="42">
        <f t="shared" si="37"/>
        <v>1</v>
      </c>
      <c r="R126" s="441">
        <f t="shared" si="31"/>
        <v>0.6439903846153846</v>
      </c>
      <c r="S126" s="46">
        <f t="shared" si="38"/>
        <v>0.6439903846153846</v>
      </c>
      <c r="T126" s="211">
        <f t="shared" si="34"/>
        <v>2.7060096153846156</v>
      </c>
      <c r="U126" s="46">
        <f t="shared" si="35"/>
        <v>4.1255933561580242</v>
      </c>
      <c r="V126" s="46">
        <f t="shared" si="36"/>
        <v>-1.1720733074535683</v>
      </c>
      <c r="W126" s="496"/>
      <c r="X126" s="497"/>
      <c r="Y126" s="497"/>
      <c r="Z126" s="498"/>
      <c r="AA126" s="47"/>
    </row>
    <row r="127" spans="1:27" s="428" customFormat="1" x14ac:dyDescent="0.25">
      <c r="A127" s="589">
        <f t="shared" si="32"/>
        <v>2.2836538460802025E-6</v>
      </c>
      <c r="B127" s="32">
        <f t="shared" ref="B127:B190" si="40">B126+1</f>
        <v>95</v>
      </c>
      <c r="C127" s="441">
        <f>'SOLLECITAZ NASCOSTO'!$D$6/'SOLLECITAZ NASCOSTO'!$B$448*'SOLLECITAZ NASCOSTO'!B127</f>
        <v>0.65084134615384615</v>
      </c>
      <c r="D127" s="441">
        <f t="shared" si="33"/>
        <v>0.30000228365384607</v>
      </c>
      <c r="E127" s="441">
        <f t="shared" si="27"/>
        <v>2.2836538460802025E-6</v>
      </c>
      <c r="F127" s="441">
        <f t="shared" si="28"/>
        <v>0.30000228365384607</v>
      </c>
      <c r="G127" s="441">
        <f t="shared" si="29"/>
        <v>4.5000685098761359E-2</v>
      </c>
      <c r="H127" s="441">
        <f t="shared" ref="H127:H190" si="41">I127*F127</f>
        <v>0</v>
      </c>
      <c r="I127" s="441">
        <v>0</v>
      </c>
      <c r="J127" s="131">
        <f t="shared" ref="J127:J190" si="42">G127/F127</f>
        <v>0.15000114182692303</v>
      </c>
      <c r="K127" s="130">
        <f t="shared" si="30"/>
        <v>2.2500513826026686E-3</v>
      </c>
      <c r="L127" s="42">
        <f t="shared" ref="L127:L190" si="43">L126+N127*(C127-C126)+O127*(C127-C126)/2</f>
        <v>4.1851458662821592</v>
      </c>
      <c r="M127" s="42">
        <f t="shared" ref="M127:M190" si="44">M126-(L127+L126)*(C127-C126)/2</f>
        <v>-1.2005415848381291</v>
      </c>
      <c r="N127" s="42">
        <f>(IF(C126&lt;='SOLLECITAZ NASCOSTO'!$P$12,IF(C126&lt;='SOLLECITAZ NASCOSTO'!$P$11,IF(C126&lt;='SOLLECITAZ NASCOSTO'!$P$10,IF(C126&lt;='SOLLECITAZ NASCOSTO'!$P$9,IF(C126&lt;='SOLLECITAZ NASCOSTO'!$P$8,IF(C126&lt;='SOLLECITAZ NASCOSTO'!$P$7,IF(C126&lt;='SOLLECITAZ NASCOSTO'!$P$6,IF(C126&lt;='SOLLECITAZ NASCOSTO'!$P$5,'Progetto del paramento slu'!$G$105,'Progetto del paramento slu'!$G$106),'Progetto del paramento slu'!$G$107),'Progetto del paramento slu'!$G$108),'Progetto del paramento slu'!$G$109),'Progetto del paramento slu'!$G$110),'Progetto del paramento slu'!$G$111),'Progetto del paramento slu'!$G$112),55555)-IF(C126&lt;='SOLLECITAZ NASCOSTO'!$P$12,IF(C126&lt;='SOLLECITAZ NASCOSTO'!$P$11,IF(C126&lt;='SOLLECITAZ NASCOSTO'!$P$10,IF(C126&lt;='SOLLECITAZ NASCOSTO'!$P$9,IF(C126&lt;='SOLLECITAZ NASCOSTO'!$P$8,IF(C126&lt;='SOLLECITAZ NASCOSTO'!$P$7,IF(C126&lt;='SOLLECITAZ NASCOSTO'!$P$6,IF(C126&lt;='SOLLECITAZ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slu'!$G$112))*(C126-IF(C126&lt;='SOLLECITAZ NASCOSTO'!$P$12,IF(C126&lt;='SOLLECITAZ NASCOSTO'!$P$11,IF(C126&lt;='SOLLECITAZ NASCOSTO'!$P$10,IF(C126&lt;='SOLLECITAZ NASCOSTO'!$P$9,IF(C126&lt;='SOLLECITAZ NASCOSTO'!$P$8,IF(C126&lt;='SOLLECITAZ NASCOSTO'!$P$7,IF(C126&lt;='SOLLECITAZ NASCOSTO'!$P$6,IF(C126&lt;='SOLLECITAZ NASCOSTO'!$P$5,'SOLLECITAZ NASCOSTO'!$P$3,'SOLLECITAZ NASCOSTO'!$P$5),'SOLLECITAZ NASCOSTO'!$P$5),'SOLLECITAZ NASCOSTO'!$P$7),'SOLLECITAZ NASCOSTO'!$P$8),'SOLLECITAZ NASCOSTO'!$P$9),'SOLLECITAZ NASCOSTO'!$P$10),'SOLLECITAZ NASCOSTO'!$P$11),'SOLLECITAZ NASCOSTO'!$P$12))/IF(C126&lt;='SOLLECITAZ NASCOSTO'!$P$12,IF(C126&lt;='SOLLECITAZ NASCOSTO'!$P$11,IF(C126&lt;='SOLLECITAZ NASCOSTO'!$P$10,IF(C126&lt;='SOLLECITAZ NASCOSTO'!$P$9,IF(C126&lt;='SOLLECITAZ NASCOSTO'!$P$8,IF(C126&lt;='SOLLECITAZ NASCOSTO'!$P$7,IF(C126&lt;='SOLLECITAZ NASCOSTO'!$P$6,IF(C126&lt;='SOLLECITAZ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slu'!$C$112)+IF(C126&lt;='SOLLECITAZ NASCOSTO'!$P$12,IF(C126&lt;='SOLLECITAZ NASCOSTO'!$P$11,IF(C126&lt;='SOLLECITAZ NASCOSTO'!$P$10,IF(C126&lt;='SOLLECITAZ NASCOSTO'!$P$9,IF(C126&lt;='SOLLECITAZ NASCOSTO'!$P$8,IF(C126&lt;='SOLLECITAZ NASCOSTO'!$P$7,IF(C126&lt;='SOLLECITAZ NASCOSTO'!$P$6,IF(C126&lt;='SOLLECITAZ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8.6685108068687882</v>
      </c>
      <c r="O127" s="42">
        <f>IF(C127&lt;='SOLLECITAZ NASCOSTO'!$P$12,IF(C127&lt;='SOLLECITAZ NASCOSTO'!$P$11,IF(C127&lt;='SOLLECITAZ NASCOSTO'!$P$10,IF(C127&lt;='SOLLECITAZ NASCOSTO'!$P$9,IF(C127&lt;='SOLLECITAZ NASCOSTO'!$P$8,IF(C127&lt;='SOLLECITAZ NASCOSTO'!$P$7,IF(C127&lt;='SOLLECITAZ NASCOSTO'!$P$6,IF(C127&lt;='SOLLECITAZ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slu'!$G$111),55555)*(C127-C126)/IF(C127&lt;='SOLLECITAZ NASCOSTO'!$P$12,IF(C127&lt;='SOLLECITAZ NASCOSTO'!$P$11,IF(C127&lt;='SOLLECITAZ NASCOSTO'!$P$10,IF(C127&lt;='SOLLECITAZ NASCOSTO'!$P$9,IF(C127&lt;='SOLLECITAZ NASCOSTO'!$P$8,IF(C127&lt;='SOLLECITAZ NASCOSTO'!$P$7,IF(C127&lt;='SOLLECITAZ NASCOSTO'!$P$6,IF(C127&lt;='SOLLECITAZ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7" s="42">
        <f t="shared" si="39"/>
        <v>9.3999999999999832E-5</v>
      </c>
      <c r="Q127" s="42">
        <f t="shared" si="37"/>
        <v>1</v>
      </c>
      <c r="R127" s="441">
        <f t="shared" si="31"/>
        <v>0.65084134615384615</v>
      </c>
      <c r="S127" s="46">
        <f t="shared" si="38"/>
        <v>0.65084134615384615</v>
      </c>
      <c r="T127" s="211">
        <f t="shared" si="34"/>
        <v>2.6991586538461538</v>
      </c>
      <c r="U127" s="46">
        <f t="shared" si="35"/>
        <v>4.1851458662821592</v>
      </c>
      <c r="V127" s="46">
        <f t="shared" si="36"/>
        <v>-1.2005415848381291</v>
      </c>
      <c r="W127" s="496"/>
      <c r="X127" s="497"/>
      <c r="Y127" s="497"/>
      <c r="Z127" s="498"/>
      <c r="AA127" s="47"/>
    </row>
    <row r="128" spans="1:27" s="428" customFormat="1" x14ac:dyDescent="0.25">
      <c r="A128" s="589">
        <f t="shared" si="32"/>
        <v>2.3076923076348343E-6</v>
      </c>
      <c r="B128" s="32">
        <f t="shared" si="40"/>
        <v>96</v>
      </c>
      <c r="C128" s="441">
        <f>'SOLLECITAZ NASCOSTO'!$D$6/'SOLLECITAZ NASCOSTO'!$B$448*'SOLLECITAZ NASCOSTO'!B128</f>
        <v>0.65769230769230769</v>
      </c>
      <c r="D128" s="441">
        <f t="shared" si="33"/>
        <v>0.30000230769230762</v>
      </c>
      <c r="E128" s="441">
        <f t="shared" si="27"/>
        <v>2.3076923076348343E-6</v>
      </c>
      <c r="F128" s="441">
        <f t="shared" si="28"/>
        <v>0.30000230769230762</v>
      </c>
      <c r="G128" s="441">
        <f t="shared" si="29"/>
        <v>4.5000692310355007E-2</v>
      </c>
      <c r="H128" s="441">
        <f t="shared" si="41"/>
        <v>0</v>
      </c>
      <c r="I128" s="441">
        <v>0</v>
      </c>
      <c r="J128" s="131">
        <f t="shared" si="42"/>
        <v>0.15000115384615381</v>
      </c>
      <c r="K128" s="130">
        <f t="shared" si="30"/>
        <v>2.2500519234763309E-3</v>
      </c>
      <c r="L128" s="42">
        <f t="shared" si="43"/>
        <v>4.2450281283873714</v>
      </c>
      <c r="M128" s="42">
        <f t="shared" si="44"/>
        <v>-1.2294189837381388</v>
      </c>
      <c r="N128" s="42">
        <f>(IF(C127&lt;='SOLLECITAZ NASCOSTO'!$P$12,IF(C127&lt;='SOLLECITAZ NASCOSTO'!$P$11,IF(C127&lt;='SOLLECITAZ NASCOSTO'!$P$10,IF(C127&lt;='SOLLECITAZ NASCOSTO'!$P$9,IF(C127&lt;='SOLLECITAZ NASCOSTO'!$P$8,IF(C127&lt;='SOLLECITAZ NASCOSTO'!$P$7,IF(C127&lt;='SOLLECITAZ NASCOSTO'!$P$6,IF(C127&lt;='SOLLECITAZ NASCOSTO'!$P$5,'Progetto del paramento slu'!$G$105,'Progetto del paramento slu'!$G$106),'Progetto del paramento slu'!$G$107),'Progetto del paramento slu'!$G$108),'Progetto del paramento slu'!$G$109),'Progetto del paramento slu'!$G$110),'Progetto del paramento slu'!$G$111),'Progetto del paramento slu'!$G$112),55555)-IF(C127&lt;='SOLLECITAZ NASCOSTO'!$P$12,IF(C127&lt;='SOLLECITAZ NASCOSTO'!$P$11,IF(C127&lt;='SOLLECITAZ NASCOSTO'!$P$10,IF(C127&lt;='SOLLECITAZ NASCOSTO'!$P$9,IF(C127&lt;='SOLLECITAZ NASCOSTO'!$P$8,IF(C127&lt;='SOLLECITAZ NASCOSTO'!$P$7,IF(C127&lt;='SOLLECITAZ NASCOSTO'!$P$6,IF(C127&lt;='SOLLECITAZ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slu'!$G$112))*(C127-IF(C127&lt;='SOLLECITAZ NASCOSTO'!$P$12,IF(C127&lt;='SOLLECITAZ NASCOSTO'!$P$11,IF(C127&lt;='SOLLECITAZ NASCOSTO'!$P$10,IF(C127&lt;='SOLLECITAZ NASCOSTO'!$P$9,IF(C127&lt;='SOLLECITAZ NASCOSTO'!$P$8,IF(C127&lt;='SOLLECITAZ NASCOSTO'!$P$7,IF(C127&lt;='SOLLECITAZ NASCOSTO'!$P$6,IF(C127&lt;='SOLLECITAZ NASCOSTO'!$P$5,'SOLLECITAZ NASCOSTO'!$P$3,'SOLLECITAZ NASCOSTO'!$P$5),'SOLLECITAZ NASCOSTO'!$P$5),'SOLLECITAZ NASCOSTO'!$P$7),'SOLLECITAZ NASCOSTO'!$P$8),'SOLLECITAZ NASCOSTO'!$P$9),'SOLLECITAZ NASCOSTO'!$P$10),'SOLLECITAZ NASCOSTO'!$P$11),'SOLLECITAZ NASCOSTO'!$P$12))/IF(C127&lt;='SOLLECITAZ NASCOSTO'!$P$12,IF(C127&lt;='SOLLECITAZ NASCOSTO'!$P$11,IF(C127&lt;='SOLLECITAZ NASCOSTO'!$P$10,IF(C127&lt;='SOLLECITAZ NASCOSTO'!$P$9,IF(C127&lt;='SOLLECITAZ NASCOSTO'!$P$8,IF(C127&lt;='SOLLECITAZ NASCOSTO'!$P$7,IF(C127&lt;='SOLLECITAZ NASCOSTO'!$P$6,IF(C127&lt;='SOLLECITAZ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slu'!$C$112)+IF(C127&lt;='SOLLECITAZ NASCOSTO'!$P$12,IF(C127&lt;='SOLLECITAZ NASCOSTO'!$P$11,IF(C127&lt;='SOLLECITAZ NASCOSTO'!$P$10,IF(C127&lt;='SOLLECITAZ NASCOSTO'!$P$9,IF(C127&lt;='SOLLECITAZ NASCOSTO'!$P$8,IF(C127&lt;='SOLLECITAZ NASCOSTO'!$P$7,IF(C127&lt;='SOLLECITAZ NASCOSTO'!$P$6,IF(C127&lt;='SOLLECITAZ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8.7166430258611403</v>
      </c>
      <c r="O128" s="42">
        <f>IF(C128&lt;='SOLLECITAZ NASCOSTO'!$P$12,IF(C128&lt;='SOLLECITAZ NASCOSTO'!$P$11,IF(C128&lt;='SOLLECITAZ NASCOSTO'!$P$10,IF(C128&lt;='SOLLECITAZ NASCOSTO'!$P$9,IF(C128&lt;='SOLLECITAZ NASCOSTO'!$P$8,IF(C128&lt;='SOLLECITAZ NASCOSTO'!$P$7,IF(C128&lt;='SOLLECITAZ NASCOSTO'!$P$6,IF(C128&lt;='SOLLECITAZ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slu'!$G$111),55555)*(C128-C127)/IF(C128&lt;='SOLLECITAZ NASCOSTO'!$P$12,IF(C128&lt;='SOLLECITAZ NASCOSTO'!$P$11,IF(C128&lt;='SOLLECITAZ NASCOSTO'!$P$10,IF(C128&lt;='SOLLECITAZ NASCOSTO'!$P$9,IF(C128&lt;='SOLLECITAZ NASCOSTO'!$P$8,IF(C128&lt;='SOLLECITAZ NASCOSTO'!$P$7,IF(C128&lt;='SOLLECITAZ NASCOSTO'!$P$6,IF(C128&lt;='SOLLECITAZ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8" s="42">
        <f t="shared" si="39"/>
        <v>9.4999999999999829E-5</v>
      </c>
      <c r="Q128" s="42">
        <f t="shared" si="37"/>
        <v>1</v>
      </c>
      <c r="R128" s="441">
        <f t="shared" si="31"/>
        <v>0.65769230769230769</v>
      </c>
      <c r="S128" s="46">
        <f t="shared" si="38"/>
        <v>0.65769230769230769</v>
      </c>
      <c r="T128" s="211">
        <f t="shared" si="34"/>
        <v>2.6923076923076925</v>
      </c>
      <c r="U128" s="46">
        <f t="shared" si="35"/>
        <v>4.2450281283873714</v>
      </c>
      <c r="V128" s="46">
        <f t="shared" si="36"/>
        <v>-1.2294189837381388</v>
      </c>
      <c r="W128" s="496"/>
      <c r="X128" s="497"/>
      <c r="Y128" s="497"/>
      <c r="Z128" s="498"/>
      <c r="AA128" s="47"/>
    </row>
    <row r="129" spans="1:27" s="428" customFormat="1" x14ac:dyDescent="0.25">
      <c r="A129" s="589">
        <f t="shared" si="32"/>
        <v>2.3317307691894662E-6</v>
      </c>
      <c r="B129" s="32">
        <f t="shared" si="40"/>
        <v>97</v>
      </c>
      <c r="C129" s="441">
        <f>'SOLLECITAZ NASCOSTO'!$D$6/'SOLLECITAZ NASCOSTO'!$B$448*'SOLLECITAZ NASCOSTO'!B129</f>
        <v>0.66454326923076923</v>
      </c>
      <c r="D129" s="441">
        <f t="shared" si="33"/>
        <v>0.30000233173076918</v>
      </c>
      <c r="E129" s="441">
        <f t="shared" si="27"/>
        <v>2.3317307691894662E-6</v>
      </c>
      <c r="F129" s="441">
        <f t="shared" si="28"/>
        <v>0.30000233173076918</v>
      </c>
      <c r="G129" s="441">
        <f t="shared" si="29"/>
        <v>4.5000699521949239E-2</v>
      </c>
      <c r="H129" s="441">
        <f t="shared" si="41"/>
        <v>0</v>
      </c>
      <c r="I129" s="441">
        <v>0</v>
      </c>
      <c r="J129" s="131">
        <f t="shared" si="42"/>
        <v>0.15000116586538459</v>
      </c>
      <c r="K129" s="130">
        <f t="shared" si="30"/>
        <v>2.2500524643500807E-3</v>
      </c>
      <c r="L129" s="42">
        <f t="shared" si="43"/>
        <v>4.3052401424736608</v>
      </c>
      <c r="M129" s="42">
        <f t="shared" si="44"/>
        <v>-1.2587077632717374</v>
      </c>
      <c r="N129" s="42">
        <f>(IF(C128&lt;='SOLLECITAZ NASCOSTO'!$P$12,IF(C128&lt;='SOLLECITAZ NASCOSTO'!$P$11,IF(C128&lt;='SOLLECITAZ NASCOSTO'!$P$10,IF(C128&lt;='SOLLECITAZ NASCOSTO'!$P$9,IF(C128&lt;='SOLLECITAZ NASCOSTO'!$P$8,IF(C128&lt;='SOLLECITAZ NASCOSTO'!$P$7,IF(C128&lt;='SOLLECITAZ NASCOSTO'!$P$6,IF(C128&lt;='SOLLECITAZ NASCOSTO'!$P$5,'Progetto del paramento slu'!$G$105,'Progetto del paramento slu'!$G$106),'Progetto del paramento slu'!$G$107),'Progetto del paramento slu'!$G$108),'Progetto del paramento slu'!$G$109),'Progetto del paramento slu'!$G$110),'Progetto del paramento slu'!$G$111),'Progetto del paramento slu'!$G$112),55555)-IF(C128&lt;='SOLLECITAZ NASCOSTO'!$P$12,IF(C128&lt;='SOLLECITAZ NASCOSTO'!$P$11,IF(C128&lt;='SOLLECITAZ NASCOSTO'!$P$10,IF(C128&lt;='SOLLECITAZ NASCOSTO'!$P$9,IF(C128&lt;='SOLLECITAZ NASCOSTO'!$P$8,IF(C128&lt;='SOLLECITAZ NASCOSTO'!$P$7,IF(C128&lt;='SOLLECITAZ NASCOSTO'!$P$6,IF(C128&lt;='SOLLECITAZ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slu'!$G$112))*(C128-IF(C128&lt;='SOLLECITAZ NASCOSTO'!$P$12,IF(C128&lt;='SOLLECITAZ NASCOSTO'!$P$11,IF(C128&lt;='SOLLECITAZ NASCOSTO'!$P$10,IF(C128&lt;='SOLLECITAZ NASCOSTO'!$P$9,IF(C128&lt;='SOLLECITAZ NASCOSTO'!$P$8,IF(C128&lt;='SOLLECITAZ NASCOSTO'!$P$7,IF(C128&lt;='SOLLECITAZ NASCOSTO'!$P$6,IF(C128&lt;='SOLLECITAZ NASCOSTO'!$P$5,'SOLLECITAZ NASCOSTO'!$P$3,'SOLLECITAZ NASCOSTO'!$P$5),'SOLLECITAZ NASCOSTO'!$P$5),'SOLLECITAZ NASCOSTO'!$P$7),'SOLLECITAZ NASCOSTO'!$P$8),'SOLLECITAZ NASCOSTO'!$P$9),'SOLLECITAZ NASCOSTO'!$P$10),'SOLLECITAZ NASCOSTO'!$P$11),'SOLLECITAZ NASCOSTO'!$P$12))/IF(C128&lt;='SOLLECITAZ NASCOSTO'!$P$12,IF(C128&lt;='SOLLECITAZ NASCOSTO'!$P$11,IF(C128&lt;='SOLLECITAZ NASCOSTO'!$P$10,IF(C128&lt;='SOLLECITAZ NASCOSTO'!$P$9,IF(C128&lt;='SOLLECITAZ NASCOSTO'!$P$8,IF(C128&lt;='SOLLECITAZ NASCOSTO'!$P$7,IF(C128&lt;='SOLLECITAZ NASCOSTO'!$P$6,IF(C128&lt;='SOLLECITAZ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slu'!$C$112)+IF(C128&lt;='SOLLECITAZ NASCOSTO'!$P$12,IF(C128&lt;='SOLLECITAZ NASCOSTO'!$P$11,IF(C128&lt;='SOLLECITAZ NASCOSTO'!$P$10,IF(C128&lt;='SOLLECITAZ NASCOSTO'!$P$9,IF(C128&lt;='SOLLECITAZ NASCOSTO'!$P$8,IF(C128&lt;='SOLLECITAZ NASCOSTO'!$P$7,IF(C128&lt;='SOLLECITAZ NASCOSTO'!$P$6,IF(C128&lt;='SOLLECITAZ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8.7647752448534924</v>
      </c>
      <c r="O129" s="42">
        <f>IF(C129&lt;='SOLLECITAZ NASCOSTO'!$P$12,IF(C129&lt;='SOLLECITAZ NASCOSTO'!$P$11,IF(C129&lt;='SOLLECITAZ NASCOSTO'!$P$10,IF(C129&lt;='SOLLECITAZ NASCOSTO'!$P$9,IF(C129&lt;='SOLLECITAZ NASCOSTO'!$P$8,IF(C129&lt;='SOLLECITAZ NASCOSTO'!$P$7,IF(C129&lt;='SOLLECITAZ NASCOSTO'!$P$6,IF(C129&lt;='SOLLECITAZ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slu'!$G$111),55555)*(C129-C128)/IF(C129&lt;='SOLLECITAZ NASCOSTO'!$P$12,IF(C129&lt;='SOLLECITAZ NASCOSTO'!$P$11,IF(C129&lt;='SOLLECITAZ NASCOSTO'!$P$10,IF(C129&lt;='SOLLECITAZ NASCOSTO'!$P$9,IF(C129&lt;='SOLLECITAZ NASCOSTO'!$P$8,IF(C129&lt;='SOLLECITAZ NASCOSTO'!$P$7,IF(C129&lt;='SOLLECITAZ NASCOSTO'!$P$6,IF(C129&lt;='SOLLECITAZ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29" s="42">
        <f t="shared" si="39"/>
        <v>9.5999999999999826E-5</v>
      </c>
      <c r="Q129" s="42">
        <f t="shared" si="37"/>
        <v>1</v>
      </c>
      <c r="R129" s="441">
        <f t="shared" si="31"/>
        <v>0.66454326923076923</v>
      </c>
      <c r="S129" s="46">
        <f t="shared" si="38"/>
        <v>0.66454326923076923</v>
      </c>
      <c r="T129" s="211">
        <f t="shared" si="34"/>
        <v>2.6854567307692307</v>
      </c>
      <c r="U129" s="46">
        <f t="shared" si="35"/>
        <v>4.3052401424736608</v>
      </c>
      <c r="V129" s="46">
        <f t="shared" si="36"/>
        <v>-1.2587077632717374</v>
      </c>
      <c r="W129" s="496"/>
      <c r="X129" s="497"/>
      <c r="Y129" s="497"/>
      <c r="Z129" s="498"/>
      <c r="AA129" s="47"/>
    </row>
    <row r="130" spans="1:27" s="428" customFormat="1" x14ac:dyDescent="0.25">
      <c r="A130" s="589">
        <f t="shared" si="32"/>
        <v>2.3557692307440981E-6</v>
      </c>
      <c r="B130" s="32">
        <f t="shared" si="40"/>
        <v>98</v>
      </c>
      <c r="C130" s="441">
        <f>'SOLLECITAZ NASCOSTO'!$D$6/'SOLLECITAZ NASCOSTO'!$B$448*'SOLLECITAZ NASCOSTO'!B130</f>
        <v>0.67139423076923077</v>
      </c>
      <c r="D130" s="441">
        <f t="shared" si="33"/>
        <v>0.30000235576923073</v>
      </c>
      <c r="E130" s="441">
        <f t="shared" si="27"/>
        <v>2.3557692307440981E-6</v>
      </c>
      <c r="F130" s="441">
        <f t="shared" si="28"/>
        <v>0.30000235576923073</v>
      </c>
      <c r="G130" s="441">
        <f t="shared" si="29"/>
        <v>4.5000706733544046E-2</v>
      </c>
      <c r="H130" s="441">
        <f t="shared" si="41"/>
        <v>0</v>
      </c>
      <c r="I130" s="441">
        <v>0</v>
      </c>
      <c r="J130" s="131">
        <f t="shared" si="42"/>
        <v>0.15000117788461537</v>
      </c>
      <c r="K130" s="130">
        <f t="shared" si="30"/>
        <v>2.2500530052239165E-3</v>
      </c>
      <c r="L130" s="42">
        <f t="shared" si="43"/>
        <v>4.3657819085410283</v>
      </c>
      <c r="M130" s="42">
        <f t="shared" si="44"/>
        <v>-1.2884101825570642</v>
      </c>
      <c r="N130" s="42">
        <f>(IF(C129&lt;='SOLLECITAZ NASCOSTO'!$P$12,IF(C129&lt;='SOLLECITAZ NASCOSTO'!$P$11,IF(C129&lt;='SOLLECITAZ NASCOSTO'!$P$10,IF(C129&lt;='SOLLECITAZ NASCOSTO'!$P$9,IF(C129&lt;='SOLLECITAZ NASCOSTO'!$P$8,IF(C129&lt;='SOLLECITAZ NASCOSTO'!$P$7,IF(C129&lt;='SOLLECITAZ NASCOSTO'!$P$6,IF(C129&lt;='SOLLECITAZ NASCOSTO'!$P$5,'Progetto del paramento slu'!$G$105,'Progetto del paramento slu'!$G$106),'Progetto del paramento slu'!$G$107),'Progetto del paramento slu'!$G$108),'Progetto del paramento slu'!$G$109),'Progetto del paramento slu'!$G$110),'Progetto del paramento slu'!$G$111),'Progetto del paramento slu'!$G$112),55555)-IF(C129&lt;='SOLLECITAZ NASCOSTO'!$P$12,IF(C129&lt;='SOLLECITAZ NASCOSTO'!$P$11,IF(C129&lt;='SOLLECITAZ NASCOSTO'!$P$10,IF(C129&lt;='SOLLECITAZ NASCOSTO'!$P$9,IF(C129&lt;='SOLLECITAZ NASCOSTO'!$P$8,IF(C129&lt;='SOLLECITAZ NASCOSTO'!$P$7,IF(C129&lt;='SOLLECITAZ NASCOSTO'!$P$6,IF(C129&lt;='SOLLECITAZ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slu'!$G$112))*(C129-IF(C129&lt;='SOLLECITAZ NASCOSTO'!$P$12,IF(C129&lt;='SOLLECITAZ NASCOSTO'!$P$11,IF(C129&lt;='SOLLECITAZ NASCOSTO'!$P$10,IF(C129&lt;='SOLLECITAZ NASCOSTO'!$P$9,IF(C129&lt;='SOLLECITAZ NASCOSTO'!$P$8,IF(C129&lt;='SOLLECITAZ NASCOSTO'!$P$7,IF(C129&lt;='SOLLECITAZ NASCOSTO'!$P$6,IF(C129&lt;='SOLLECITAZ NASCOSTO'!$P$5,'SOLLECITAZ NASCOSTO'!$P$3,'SOLLECITAZ NASCOSTO'!$P$5),'SOLLECITAZ NASCOSTO'!$P$5),'SOLLECITAZ NASCOSTO'!$P$7),'SOLLECITAZ NASCOSTO'!$P$8),'SOLLECITAZ NASCOSTO'!$P$9),'SOLLECITAZ NASCOSTO'!$P$10),'SOLLECITAZ NASCOSTO'!$P$11),'SOLLECITAZ NASCOSTO'!$P$12))/IF(C129&lt;='SOLLECITAZ NASCOSTO'!$P$12,IF(C129&lt;='SOLLECITAZ NASCOSTO'!$P$11,IF(C129&lt;='SOLLECITAZ NASCOSTO'!$P$10,IF(C129&lt;='SOLLECITAZ NASCOSTO'!$P$9,IF(C129&lt;='SOLLECITAZ NASCOSTO'!$P$8,IF(C129&lt;='SOLLECITAZ NASCOSTO'!$P$7,IF(C129&lt;='SOLLECITAZ NASCOSTO'!$P$6,IF(C129&lt;='SOLLECITAZ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slu'!$C$112)+IF(C129&lt;='SOLLECITAZ NASCOSTO'!$P$12,IF(C129&lt;='SOLLECITAZ NASCOSTO'!$P$11,IF(C129&lt;='SOLLECITAZ NASCOSTO'!$P$10,IF(C129&lt;='SOLLECITAZ NASCOSTO'!$P$9,IF(C129&lt;='SOLLECITAZ NASCOSTO'!$P$8,IF(C129&lt;='SOLLECITAZ NASCOSTO'!$P$7,IF(C129&lt;='SOLLECITAZ NASCOSTO'!$P$6,IF(C129&lt;='SOLLECITAZ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8.8129074638458462</v>
      </c>
      <c r="O130" s="42">
        <f>IF(C130&lt;='SOLLECITAZ NASCOSTO'!$P$12,IF(C130&lt;='SOLLECITAZ NASCOSTO'!$P$11,IF(C130&lt;='SOLLECITAZ NASCOSTO'!$P$10,IF(C130&lt;='SOLLECITAZ NASCOSTO'!$P$9,IF(C130&lt;='SOLLECITAZ NASCOSTO'!$P$8,IF(C130&lt;='SOLLECITAZ NASCOSTO'!$P$7,IF(C130&lt;='SOLLECITAZ NASCOSTO'!$P$6,IF(C130&lt;='SOLLECITAZ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slu'!$G$111),55555)*(C130-C129)/IF(C130&lt;='SOLLECITAZ NASCOSTO'!$P$12,IF(C130&lt;='SOLLECITAZ NASCOSTO'!$P$11,IF(C130&lt;='SOLLECITAZ NASCOSTO'!$P$10,IF(C130&lt;='SOLLECITAZ NASCOSTO'!$P$9,IF(C130&lt;='SOLLECITAZ NASCOSTO'!$P$8,IF(C130&lt;='SOLLECITAZ NASCOSTO'!$P$7,IF(C130&lt;='SOLLECITAZ NASCOSTO'!$P$6,IF(C130&lt;='SOLLECITAZ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0" s="42">
        <f t="shared" si="39"/>
        <v>9.6999999999999823E-5</v>
      </c>
      <c r="Q130" s="42">
        <f t="shared" si="37"/>
        <v>1</v>
      </c>
      <c r="R130" s="441">
        <f t="shared" si="31"/>
        <v>0.67139423076923077</v>
      </c>
      <c r="S130" s="46">
        <f t="shared" si="38"/>
        <v>0.67139423076923077</v>
      </c>
      <c r="T130" s="211">
        <f t="shared" si="34"/>
        <v>2.6786057692307694</v>
      </c>
      <c r="U130" s="46">
        <f t="shared" si="35"/>
        <v>4.3657819085410283</v>
      </c>
      <c r="V130" s="46">
        <f t="shared" si="36"/>
        <v>-1.2884101825570642</v>
      </c>
      <c r="W130" s="496"/>
      <c r="X130" s="497"/>
      <c r="Y130" s="497"/>
      <c r="Z130" s="498"/>
      <c r="AA130" s="47"/>
    </row>
    <row r="131" spans="1:27" s="428" customFormat="1" x14ac:dyDescent="0.25">
      <c r="A131" s="589">
        <f t="shared" si="32"/>
        <v>2.3798076922432188E-6</v>
      </c>
      <c r="B131" s="32">
        <f t="shared" si="40"/>
        <v>99</v>
      </c>
      <c r="C131" s="441">
        <f>'SOLLECITAZ NASCOSTO'!$D$6/'SOLLECITAZ NASCOSTO'!$B$448*'SOLLECITAZ NASCOSTO'!B131</f>
        <v>0.67824519230769231</v>
      </c>
      <c r="D131" s="441">
        <f t="shared" si="33"/>
        <v>0.30000237980769223</v>
      </c>
      <c r="E131" s="441">
        <f t="shared" si="27"/>
        <v>2.3798076922432188E-6</v>
      </c>
      <c r="F131" s="441">
        <f t="shared" si="28"/>
        <v>0.30000237980769223</v>
      </c>
      <c r="G131" s="441">
        <f t="shared" si="29"/>
        <v>4.5000713945139416E-2</v>
      </c>
      <c r="H131" s="441">
        <f t="shared" si="41"/>
        <v>0</v>
      </c>
      <c r="I131" s="441">
        <v>0</v>
      </c>
      <c r="J131" s="131">
        <f t="shared" si="42"/>
        <v>0.15000118990384612</v>
      </c>
      <c r="K131" s="130">
        <f t="shared" si="30"/>
        <v>2.2500535460978381E-3</v>
      </c>
      <c r="L131" s="42">
        <f t="shared" si="43"/>
        <v>4.426653426589473</v>
      </c>
      <c r="M131" s="42">
        <f t="shared" si="44"/>
        <v>-1.3185285007122589</v>
      </c>
      <c r="N131" s="42">
        <f>(IF(C130&lt;='SOLLECITAZ NASCOSTO'!$P$12,IF(C130&lt;='SOLLECITAZ NASCOSTO'!$P$11,IF(C130&lt;='SOLLECITAZ NASCOSTO'!$P$10,IF(C130&lt;='SOLLECITAZ NASCOSTO'!$P$9,IF(C130&lt;='SOLLECITAZ NASCOSTO'!$P$8,IF(C130&lt;='SOLLECITAZ NASCOSTO'!$P$7,IF(C130&lt;='SOLLECITAZ NASCOSTO'!$P$6,IF(C130&lt;='SOLLECITAZ NASCOSTO'!$P$5,'Progetto del paramento slu'!$G$105,'Progetto del paramento slu'!$G$106),'Progetto del paramento slu'!$G$107),'Progetto del paramento slu'!$G$108),'Progetto del paramento slu'!$G$109),'Progetto del paramento slu'!$G$110),'Progetto del paramento slu'!$G$111),'Progetto del paramento slu'!$G$112),55555)-IF(C130&lt;='SOLLECITAZ NASCOSTO'!$P$12,IF(C130&lt;='SOLLECITAZ NASCOSTO'!$P$11,IF(C130&lt;='SOLLECITAZ NASCOSTO'!$P$10,IF(C130&lt;='SOLLECITAZ NASCOSTO'!$P$9,IF(C130&lt;='SOLLECITAZ NASCOSTO'!$P$8,IF(C130&lt;='SOLLECITAZ NASCOSTO'!$P$7,IF(C130&lt;='SOLLECITAZ NASCOSTO'!$P$6,IF(C130&lt;='SOLLECITAZ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slu'!$G$112))*(C130-IF(C130&lt;='SOLLECITAZ NASCOSTO'!$P$12,IF(C130&lt;='SOLLECITAZ NASCOSTO'!$P$11,IF(C130&lt;='SOLLECITAZ NASCOSTO'!$P$10,IF(C130&lt;='SOLLECITAZ NASCOSTO'!$P$9,IF(C130&lt;='SOLLECITAZ NASCOSTO'!$P$8,IF(C130&lt;='SOLLECITAZ NASCOSTO'!$P$7,IF(C130&lt;='SOLLECITAZ NASCOSTO'!$P$6,IF(C130&lt;='SOLLECITAZ NASCOSTO'!$P$5,'SOLLECITAZ NASCOSTO'!$P$3,'SOLLECITAZ NASCOSTO'!$P$5),'SOLLECITAZ NASCOSTO'!$P$5),'SOLLECITAZ NASCOSTO'!$P$7),'SOLLECITAZ NASCOSTO'!$P$8),'SOLLECITAZ NASCOSTO'!$P$9),'SOLLECITAZ NASCOSTO'!$P$10),'SOLLECITAZ NASCOSTO'!$P$11),'SOLLECITAZ NASCOSTO'!$P$12))/IF(C130&lt;='SOLLECITAZ NASCOSTO'!$P$12,IF(C130&lt;='SOLLECITAZ NASCOSTO'!$P$11,IF(C130&lt;='SOLLECITAZ NASCOSTO'!$P$10,IF(C130&lt;='SOLLECITAZ NASCOSTO'!$P$9,IF(C130&lt;='SOLLECITAZ NASCOSTO'!$P$8,IF(C130&lt;='SOLLECITAZ NASCOSTO'!$P$7,IF(C130&lt;='SOLLECITAZ NASCOSTO'!$P$6,IF(C130&lt;='SOLLECITAZ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slu'!$C$112)+IF(C130&lt;='SOLLECITAZ NASCOSTO'!$P$12,IF(C130&lt;='SOLLECITAZ NASCOSTO'!$P$11,IF(C130&lt;='SOLLECITAZ NASCOSTO'!$P$10,IF(C130&lt;='SOLLECITAZ NASCOSTO'!$P$9,IF(C130&lt;='SOLLECITAZ NASCOSTO'!$P$8,IF(C130&lt;='SOLLECITAZ NASCOSTO'!$P$7,IF(C130&lt;='SOLLECITAZ NASCOSTO'!$P$6,IF(C130&lt;='SOLLECITAZ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8.8610396828381965</v>
      </c>
      <c r="O131" s="42">
        <f>IF(C131&lt;='SOLLECITAZ NASCOSTO'!$P$12,IF(C131&lt;='SOLLECITAZ NASCOSTO'!$P$11,IF(C131&lt;='SOLLECITAZ NASCOSTO'!$P$10,IF(C131&lt;='SOLLECITAZ NASCOSTO'!$P$9,IF(C131&lt;='SOLLECITAZ NASCOSTO'!$P$8,IF(C131&lt;='SOLLECITAZ NASCOSTO'!$P$7,IF(C131&lt;='SOLLECITAZ NASCOSTO'!$P$6,IF(C131&lt;='SOLLECITAZ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slu'!$G$111),55555)*(C131-C130)/IF(C131&lt;='SOLLECITAZ NASCOSTO'!$P$12,IF(C131&lt;='SOLLECITAZ NASCOSTO'!$P$11,IF(C131&lt;='SOLLECITAZ NASCOSTO'!$P$10,IF(C131&lt;='SOLLECITAZ NASCOSTO'!$P$9,IF(C131&lt;='SOLLECITAZ NASCOSTO'!$P$8,IF(C131&lt;='SOLLECITAZ NASCOSTO'!$P$7,IF(C131&lt;='SOLLECITAZ NASCOSTO'!$P$6,IF(C131&lt;='SOLLECITAZ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1" s="42">
        <f t="shared" si="39"/>
        <v>9.7999999999999821E-5</v>
      </c>
      <c r="Q131" s="42">
        <f t="shared" si="37"/>
        <v>1</v>
      </c>
      <c r="R131" s="441">
        <f t="shared" si="31"/>
        <v>0.67824519230769231</v>
      </c>
      <c r="S131" s="46">
        <f t="shared" si="38"/>
        <v>0.67824519230769231</v>
      </c>
      <c r="T131" s="211">
        <f t="shared" si="34"/>
        <v>2.6717548076923077</v>
      </c>
      <c r="U131" s="46">
        <f t="shared" si="35"/>
        <v>4.426653426589473</v>
      </c>
      <c r="V131" s="46">
        <f t="shared" si="36"/>
        <v>-1.3185285007122589</v>
      </c>
      <c r="W131" s="496"/>
      <c r="X131" s="497"/>
      <c r="Y131" s="497"/>
      <c r="Z131" s="498"/>
      <c r="AA131" s="47"/>
    </row>
    <row r="132" spans="1:27" s="428" customFormat="1" x14ac:dyDescent="0.25">
      <c r="A132" s="589">
        <f t="shared" si="32"/>
        <v>2.4038461537978506E-6</v>
      </c>
      <c r="B132" s="32">
        <f t="shared" si="40"/>
        <v>100</v>
      </c>
      <c r="C132" s="441">
        <f>'SOLLECITAZ NASCOSTO'!$D$6/'SOLLECITAZ NASCOSTO'!$B$448*'SOLLECITAZ NASCOSTO'!B132</f>
        <v>0.68509615384615385</v>
      </c>
      <c r="D132" s="441">
        <f t="shared" si="33"/>
        <v>0.30000240384615379</v>
      </c>
      <c r="E132" s="441">
        <f t="shared" si="27"/>
        <v>2.4038461537978506E-6</v>
      </c>
      <c r="F132" s="441">
        <f t="shared" si="28"/>
        <v>0.30000240384615379</v>
      </c>
      <c r="G132" s="441">
        <f t="shared" si="29"/>
        <v>4.5000721156735375E-2</v>
      </c>
      <c r="H132" s="441">
        <f t="shared" si="41"/>
        <v>0</v>
      </c>
      <c r="I132" s="441">
        <v>0</v>
      </c>
      <c r="J132" s="131">
        <f t="shared" si="42"/>
        <v>0.15000120192307689</v>
      </c>
      <c r="K132" s="130">
        <f t="shared" si="30"/>
        <v>2.2500540869718469E-3</v>
      </c>
      <c r="L132" s="42">
        <f t="shared" si="43"/>
        <v>4.4878546966189949</v>
      </c>
      <c r="M132" s="42">
        <f t="shared" si="44"/>
        <v>-1.349064976855461</v>
      </c>
      <c r="N132" s="42">
        <f>(IF(C131&lt;='SOLLECITAZ NASCOSTO'!$P$12,IF(C131&lt;='SOLLECITAZ NASCOSTO'!$P$11,IF(C131&lt;='SOLLECITAZ NASCOSTO'!$P$10,IF(C131&lt;='SOLLECITAZ NASCOSTO'!$P$9,IF(C131&lt;='SOLLECITAZ NASCOSTO'!$P$8,IF(C131&lt;='SOLLECITAZ NASCOSTO'!$P$7,IF(C131&lt;='SOLLECITAZ NASCOSTO'!$P$6,IF(C131&lt;='SOLLECITAZ NASCOSTO'!$P$5,'Progetto del paramento slu'!$G$105,'Progetto del paramento slu'!$G$106),'Progetto del paramento slu'!$G$107),'Progetto del paramento slu'!$G$108),'Progetto del paramento slu'!$G$109),'Progetto del paramento slu'!$G$110),'Progetto del paramento slu'!$G$111),'Progetto del paramento slu'!$G$112),55555)-IF(C131&lt;='SOLLECITAZ NASCOSTO'!$P$12,IF(C131&lt;='SOLLECITAZ NASCOSTO'!$P$11,IF(C131&lt;='SOLLECITAZ NASCOSTO'!$P$10,IF(C131&lt;='SOLLECITAZ NASCOSTO'!$P$9,IF(C131&lt;='SOLLECITAZ NASCOSTO'!$P$8,IF(C131&lt;='SOLLECITAZ NASCOSTO'!$P$7,IF(C131&lt;='SOLLECITAZ NASCOSTO'!$P$6,IF(C131&lt;='SOLLECITAZ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slu'!$G$112))*(C131-IF(C131&lt;='SOLLECITAZ NASCOSTO'!$P$12,IF(C131&lt;='SOLLECITAZ NASCOSTO'!$P$11,IF(C131&lt;='SOLLECITAZ NASCOSTO'!$P$10,IF(C131&lt;='SOLLECITAZ NASCOSTO'!$P$9,IF(C131&lt;='SOLLECITAZ NASCOSTO'!$P$8,IF(C131&lt;='SOLLECITAZ NASCOSTO'!$P$7,IF(C131&lt;='SOLLECITAZ NASCOSTO'!$P$6,IF(C131&lt;='SOLLECITAZ NASCOSTO'!$P$5,'SOLLECITAZ NASCOSTO'!$P$3,'SOLLECITAZ NASCOSTO'!$P$5),'SOLLECITAZ NASCOSTO'!$P$5),'SOLLECITAZ NASCOSTO'!$P$7),'SOLLECITAZ NASCOSTO'!$P$8),'SOLLECITAZ NASCOSTO'!$P$9),'SOLLECITAZ NASCOSTO'!$P$10),'SOLLECITAZ NASCOSTO'!$P$11),'SOLLECITAZ NASCOSTO'!$P$12))/IF(C131&lt;='SOLLECITAZ NASCOSTO'!$P$12,IF(C131&lt;='SOLLECITAZ NASCOSTO'!$P$11,IF(C131&lt;='SOLLECITAZ NASCOSTO'!$P$10,IF(C131&lt;='SOLLECITAZ NASCOSTO'!$P$9,IF(C131&lt;='SOLLECITAZ NASCOSTO'!$P$8,IF(C131&lt;='SOLLECITAZ NASCOSTO'!$P$7,IF(C131&lt;='SOLLECITAZ NASCOSTO'!$P$6,IF(C131&lt;='SOLLECITAZ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slu'!$C$112)+IF(C131&lt;='SOLLECITAZ NASCOSTO'!$P$12,IF(C131&lt;='SOLLECITAZ NASCOSTO'!$P$11,IF(C131&lt;='SOLLECITAZ NASCOSTO'!$P$10,IF(C131&lt;='SOLLECITAZ NASCOSTO'!$P$9,IF(C131&lt;='SOLLECITAZ NASCOSTO'!$P$8,IF(C131&lt;='SOLLECITAZ NASCOSTO'!$P$7,IF(C131&lt;='SOLLECITAZ NASCOSTO'!$P$6,IF(C131&lt;='SOLLECITAZ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8.9091719018305504</v>
      </c>
      <c r="O132" s="42">
        <f>IF(C132&lt;='SOLLECITAZ NASCOSTO'!$P$12,IF(C132&lt;='SOLLECITAZ NASCOSTO'!$P$11,IF(C132&lt;='SOLLECITAZ NASCOSTO'!$P$10,IF(C132&lt;='SOLLECITAZ NASCOSTO'!$P$9,IF(C132&lt;='SOLLECITAZ NASCOSTO'!$P$8,IF(C132&lt;='SOLLECITAZ NASCOSTO'!$P$7,IF(C132&lt;='SOLLECITAZ NASCOSTO'!$P$6,IF(C132&lt;='SOLLECITAZ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slu'!$G$111),55555)*(C132-C131)/IF(C132&lt;='SOLLECITAZ NASCOSTO'!$P$12,IF(C132&lt;='SOLLECITAZ NASCOSTO'!$P$11,IF(C132&lt;='SOLLECITAZ NASCOSTO'!$P$10,IF(C132&lt;='SOLLECITAZ NASCOSTO'!$P$9,IF(C132&lt;='SOLLECITAZ NASCOSTO'!$P$8,IF(C132&lt;='SOLLECITAZ NASCOSTO'!$P$7,IF(C132&lt;='SOLLECITAZ NASCOSTO'!$P$6,IF(C132&lt;='SOLLECITAZ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2" s="42">
        <f t="shared" si="39"/>
        <v>9.8999999999999818E-5</v>
      </c>
      <c r="Q132" s="42">
        <f t="shared" si="37"/>
        <v>1</v>
      </c>
      <c r="R132" s="441">
        <f t="shared" si="31"/>
        <v>0.68509615384615385</v>
      </c>
      <c r="S132" s="46">
        <f t="shared" si="38"/>
        <v>0.68509615384615385</v>
      </c>
      <c r="T132" s="211">
        <f t="shared" si="34"/>
        <v>2.6649038461538463</v>
      </c>
      <c r="U132" s="46">
        <f t="shared" si="35"/>
        <v>4.4878546966189949</v>
      </c>
      <c r="V132" s="46">
        <f t="shared" si="36"/>
        <v>-1.349064976855461</v>
      </c>
      <c r="W132" s="496"/>
      <c r="X132" s="497"/>
      <c r="Y132" s="497"/>
      <c r="Z132" s="498"/>
      <c r="AA132" s="47"/>
    </row>
    <row r="133" spans="1:27" s="428" customFormat="1" x14ac:dyDescent="0.25">
      <c r="A133" s="589">
        <f t="shared" si="32"/>
        <v>2.4278846153524825E-6</v>
      </c>
      <c r="B133" s="32">
        <f t="shared" si="40"/>
        <v>101</v>
      </c>
      <c r="C133" s="441">
        <f>'SOLLECITAZ NASCOSTO'!$D$6/'SOLLECITAZ NASCOSTO'!$B$448*'SOLLECITAZ NASCOSTO'!B133</f>
        <v>0.6919471153846154</v>
      </c>
      <c r="D133" s="441">
        <f t="shared" si="33"/>
        <v>0.30000242788461534</v>
      </c>
      <c r="E133" s="441">
        <f t="shared" si="27"/>
        <v>2.4278846153524825E-6</v>
      </c>
      <c r="F133" s="441">
        <f t="shared" si="28"/>
        <v>0.30000242788461534</v>
      </c>
      <c r="G133" s="441">
        <f t="shared" si="29"/>
        <v>4.5000728368331917E-2</v>
      </c>
      <c r="H133" s="441">
        <f t="shared" si="41"/>
        <v>0</v>
      </c>
      <c r="I133" s="441">
        <v>0</v>
      </c>
      <c r="J133" s="131">
        <f t="shared" si="42"/>
        <v>0.15000121394230767</v>
      </c>
      <c r="K133" s="130">
        <f t="shared" si="30"/>
        <v>2.2500546278459432E-3</v>
      </c>
      <c r="L133" s="42">
        <f t="shared" si="43"/>
        <v>4.5493857186295941</v>
      </c>
      <c r="M133" s="42">
        <f t="shared" si="44"/>
        <v>-1.3800218701048101</v>
      </c>
      <c r="N133" s="42">
        <f>(IF(C132&lt;='SOLLECITAZ NASCOSTO'!$P$12,IF(C132&lt;='SOLLECITAZ NASCOSTO'!$P$11,IF(C132&lt;='SOLLECITAZ NASCOSTO'!$P$10,IF(C132&lt;='SOLLECITAZ NASCOSTO'!$P$9,IF(C132&lt;='SOLLECITAZ NASCOSTO'!$P$8,IF(C132&lt;='SOLLECITAZ NASCOSTO'!$P$7,IF(C132&lt;='SOLLECITAZ NASCOSTO'!$P$6,IF(C132&lt;='SOLLECITAZ NASCOSTO'!$P$5,'Progetto del paramento slu'!$G$105,'Progetto del paramento slu'!$G$106),'Progetto del paramento slu'!$G$107),'Progetto del paramento slu'!$G$108),'Progetto del paramento slu'!$G$109),'Progetto del paramento slu'!$G$110),'Progetto del paramento slu'!$G$111),'Progetto del paramento slu'!$G$112),55555)-IF(C132&lt;='SOLLECITAZ NASCOSTO'!$P$12,IF(C132&lt;='SOLLECITAZ NASCOSTO'!$P$11,IF(C132&lt;='SOLLECITAZ NASCOSTO'!$P$10,IF(C132&lt;='SOLLECITAZ NASCOSTO'!$P$9,IF(C132&lt;='SOLLECITAZ NASCOSTO'!$P$8,IF(C132&lt;='SOLLECITAZ NASCOSTO'!$P$7,IF(C132&lt;='SOLLECITAZ NASCOSTO'!$P$6,IF(C132&lt;='SOLLECITAZ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slu'!$G$112))*(C132-IF(C132&lt;='SOLLECITAZ NASCOSTO'!$P$12,IF(C132&lt;='SOLLECITAZ NASCOSTO'!$P$11,IF(C132&lt;='SOLLECITAZ NASCOSTO'!$P$10,IF(C132&lt;='SOLLECITAZ NASCOSTO'!$P$9,IF(C132&lt;='SOLLECITAZ NASCOSTO'!$P$8,IF(C132&lt;='SOLLECITAZ NASCOSTO'!$P$7,IF(C132&lt;='SOLLECITAZ NASCOSTO'!$P$6,IF(C132&lt;='SOLLECITAZ NASCOSTO'!$P$5,'SOLLECITAZ NASCOSTO'!$P$3,'SOLLECITAZ NASCOSTO'!$P$5),'SOLLECITAZ NASCOSTO'!$P$5),'SOLLECITAZ NASCOSTO'!$P$7),'SOLLECITAZ NASCOSTO'!$P$8),'SOLLECITAZ NASCOSTO'!$P$9),'SOLLECITAZ NASCOSTO'!$P$10),'SOLLECITAZ NASCOSTO'!$P$11),'SOLLECITAZ NASCOSTO'!$P$12))/IF(C132&lt;='SOLLECITAZ NASCOSTO'!$P$12,IF(C132&lt;='SOLLECITAZ NASCOSTO'!$P$11,IF(C132&lt;='SOLLECITAZ NASCOSTO'!$P$10,IF(C132&lt;='SOLLECITAZ NASCOSTO'!$P$9,IF(C132&lt;='SOLLECITAZ NASCOSTO'!$P$8,IF(C132&lt;='SOLLECITAZ NASCOSTO'!$P$7,IF(C132&lt;='SOLLECITAZ NASCOSTO'!$P$6,IF(C132&lt;='SOLLECITAZ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slu'!$C$112)+IF(C132&lt;='SOLLECITAZ NASCOSTO'!$P$12,IF(C132&lt;='SOLLECITAZ NASCOSTO'!$P$11,IF(C132&lt;='SOLLECITAZ NASCOSTO'!$P$10,IF(C132&lt;='SOLLECITAZ NASCOSTO'!$P$9,IF(C132&lt;='SOLLECITAZ NASCOSTO'!$P$8,IF(C132&lt;='SOLLECITAZ NASCOSTO'!$P$7,IF(C132&lt;='SOLLECITAZ NASCOSTO'!$P$6,IF(C132&lt;='SOLLECITAZ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8.9573041208229025</v>
      </c>
      <c r="O133" s="42">
        <f>IF(C133&lt;='SOLLECITAZ NASCOSTO'!$P$12,IF(C133&lt;='SOLLECITAZ NASCOSTO'!$P$11,IF(C133&lt;='SOLLECITAZ NASCOSTO'!$P$10,IF(C133&lt;='SOLLECITAZ NASCOSTO'!$P$9,IF(C133&lt;='SOLLECITAZ NASCOSTO'!$P$8,IF(C133&lt;='SOLLECITAZ NASCOSTO'!$P$7,IF(C133&lt;='SOLLECITAZ NASCOSTO'!$P$6,IF(C133&lt;='SOLLECITAZ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slu'!$G$111),55555)*(C133-C132)/IF(C133&lt;='SOLLECITAZ NASCOSTO'!$P$12,IF(C133&lt;='SOLLECITAZ NASCOSTO'!$P$11,IF(C133&lt;='SOLLECITAZ NASCOSTO'!$P$10,IF(C133&lt;='SOLLECITAZ NASCOSTO'!$P$9,IF(C133&lt;='SOLLECITAZ NASCOSTO'!$P$8,IF(C133&lt;='SOLLECITAZ NASCOSTO'!$P$7,IF(C133&lt;='SOLLECITAZ NASCOSTO'!$P$6,IF(C133&lt;='SOLLECITAZ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3" s="42">
        <f t="shared" si="39"/>
        <v>9.9999999999999815E-5</v>
      </c>
      <c r="Q133" s="42">
        <f t="shared" si="37"/>
        <v>1</v>
      </c>
      <c r="R133" s="441">
        <f t="shared" si="31"/>
        <v>0.6919471153846154</v>
      </c>
      <c r="S133" s="46">
        <f t="shared" si="38"/>
        <v>0.6919471153846154</v>
      </c>
      <c r="T133" s="211">
        <f t="shared" si="34"/>
        <v>2.6580528846153846</v>
      </c>
      <c r="U133" s="46">
        <f t="shared" si="35"/>
        <v>4.5493857186295941</v>
      </c>
      <c r="V133" s="46">
        <f t="shared" si="36"/>
        <v>-1.3800218701048101</v>
      </c>
      <c r="W133" s="496"/>
      <c r="X133" s="497"/>
      <c r="Y133" s="497"/>
      <c r="Z133" s="498"/>
      <c r="AA133" s="47"/>
    </row>
    <row r="134" spans="1:27" s="428" customFormat="1" x14ac:dyDescent="0.25">
      <c r="A134" s="589">
        <f t="shared" si="32"/>
        <v>2.4519230768516032E-6</v>
      </c>
      <c r="B134" s="32">
        <f t="shared" si="40"/>
        <v>102</v>
      </c>
      <c r="C134" s="441">
        <f>'SOLLECITAZ NASCOSTO'!$D$6/'SOLLECITAZ NASCOSTO'!$B$448*'SOLLECITAZ NASCOSTO'!B134</f>
        <v>0.69879807692307694</v>
      </c>
      <c r="D134" s="441">
        <f t="shared" si="33"/>
        <v>0.30000245192307684</v>
      </c>
      <c r="E134" s="441">
        <f t="shared" si="27"/>
        <v>2.4519230768516032E-6</v>
      </c>
      <c r="F134" s="441">
        <f t="shared" si="28"/>
        <v>0.30000245192307684</v>
      </c>
      <c r="G134" s="441">
        <f t="shared" si="29"/>
        <v>4.5000735579929015E-2</v>
      </c>
      <c r="H134" s="441">
        <f t="shared" si="41"/>
        <v>0</v>
      </c>
      <c r="I134" s="441">
        <v>0</v>
      </c>
      <c r="J134" s="131">
        <f t="shared" si="42"/>
        <v>0.15000122596153842</v>
      </c>
      <c r="K134" s="130">
        <f t="shared" si="30"/>
        <v>2.2500551687201246E-3</v>
      </c>
      <c r="L134" s="42">
        <f t="shared" si="43"/>
        <v>4.6112464926212713</v>
      </c>
      <c r="M134" s="42">
        <f t="shared" si="44"/>
        <v>-1.411401439578446</v>
      </c>
      <c r="N134" s="42">
        <f>(IF(C133&lt;='SOLLECITAZ NASCOSTO'!$P$12,IF(C133&lt;='SOLLECITAZ NASCOSTO'!$P$11,IF(C133&lt;='SOLLECITAZ NASCOSTO'!$P$10,IF(C133&lt;='SOLLECITAZ NASCOSTO'!$P$9,IF(C133&lt;='SOLLECITAZ NASCOSTO'!$P$8,IF(C133&lt;='SOLLECITAZ NASCOSTO'!$P$7,IF(C133&lt;='SOLLECITAZ NASCOSTO'!$P$6,IF(C133&lt;='SOLLECITAZ NASCOSTO'!$P$5,'Progetto del paramento slu'!$G$105,'Progetto del paramento slu'!$G$106),'Progetto del paramento slu'!$G$107),'Progetto del paramento slu'!$G$108),'Progetto del paramento slu'!$G$109),'Progetto del paramento slu'!$G$110),'Progetto del paramento slu'!$G$111),'Progetto del paramento slu'!$G$112),55555)-IF(C133&lt;='SOLLECITAZ NASCOSTO'!$P$12,IF(C133&lt;='SOLLECITAZ NASCOSTO'!$P$11,IF(C133&lt;='SOLLECITAZ NASCOSTO'!$P$10,IF(C133&lt;='SOLLECITAZ NASCOSTO'!$P$9,IF(C133&lt;='SOLLECITAZ NASCOSTO'!$P$8,IF(C133&lt;='SOLLECITAZ NASCOSTO'!$P$7,IF(C133&lt;='SOLLECITAZ NASCOSTO'!$P$6,IF(C133&lt;='SOLLECITAZ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slu'!$G$112))*(C133-IF(C133&lt;='SOLLECITAZ NASCOSTO'!$P$12,IF(C133&lt;='SOLLECITAZ NASCOSTO'!$P$11,IF(C133&lt;='SOLLECITAZ NASCOSTO'!$P$10,IF(C133&lt;='SOLLECITAZ NASCOSTO'!$P$9,IF(C133&lt;='SOLLECITAZ NASCOSTO'!$P$8,IF(C133&lt;='SOLLECITAZ NASCOSTO'!$P$7,IF(C133&lt;='SOLLECITAZ NASCOSTO'!$P$6,IF(C133&lt;='SOLLECITAZ NASCOSTO'!$P$5,'SOLLECITAZ NASCOSTO'!$P$3,'SOLLECITAZ NASCOSTO'!$P$5),'SOLLECITAZ NASCOSTO'!$P$5),'SOLLECITAZ NASCOSTO'!$P$7),'SOLLECITAZ NASCOSTO'!$P$8),'SOLLECITAZ NASCOSTO'!$P$9),'SOLLECITAZ NASCOSTO'!$P$10),'SOLLECITAZ NASCOSTO'!$P$11),'SOLLECITAZ NASCOSTO'!$P$12))/IF(C133&lt;='SOLLECITAZ NASCOSTO'!$P$12,IF(C133&lt;='SOLLECITAZ NASCOSTO'!$P$11,IF(C133&lt;='SOLLECITAZ NASCOSTO'!$P$10,IF(C133&lt;='SOLLECITAZ NASCOSTO'!$P$9,IF(C133&lt;='SOLLECITAZ NASCOSTO'!$P$8,IF(C133&lt;='SOLLECITAZ NASCOSTO'!$P$7,IF(C133&lt;='SOLLECITAZ NASCOSTO'!$P$6,IF(C133&lt;='SOLLECITAZ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slu'!$C$112)+IF(C133&lt;='SOLLECITAZ NASCOSTO'!$P$12,IF(C133&lt;='SOLLECITAZ NASCOSTO'!$P$11,IF(C133&lt;='SOLLECITAZ NASCOSTO'!$P$10,IF(C133&lt;='SOLLECITAZ NASCOSTO'!$P$9,IF(C133&lt;='SOLLECITAZ NASCOSTO'!$P$8,IF(C133&lt;='SOLLECITAZ NASCOSTO'!$P$7,IF(C133&lt;='SOLLECITAZ NASCOSTO'!$P$6,IF(C133&lt;='SOLLECITAZ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9.0054363398152546</v>
      </c>
      <c r="O134" s="42">
        <f>IF(C134&lt;='SOLLECITAZ NASCOSTO'!$P$12,IF(C134&lt;='SOLLECITAZ NASCOSTO'!$P$11,IF(C134&lt;='SOLLECITAZ NASCOSTO'!$P$10,IF(C134&lt;='SOLLECITAZ NASCOSTO'!$P$9,IF(C134&lt;='SOLLECITAZ NASCOSTO'!$P$8,IF(C134&lt;='SOLLECITAZ NASCOSTO'!$P$7,IF(C134&lt;='SOLLECITAZ NASCOSTO'!$P$6,IF(C134&lt;='SOLLECITAZ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slu'!$G$111),55555)*(C134-C133)/IF(C134&lt;='SOLLECITAZ NASCOSTO'!$P$12,IF(C134&lt;='SOLLECITAZ NASCOSTO'!$P$11,IF(C134&lt;='SOLLECITAZ NASCOSTO'!$P$10,IF(C134&lt;='SOLLECITAZ NASCOSTO'!$P$9,IF(C134&lt;='SOLLECITAZ NASCOSTO'!$P$8,IF(C134&lt;='SOLLECITAZ NASCOSTO'!$P$7,IF(C134&lt;='SOLLECITAZ NASCOSTO'!$P$6,IF(C134&lt;='SOLLECITAZ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4" s="42">
        <f t="shared" si="39"/>
        <v>1.0099999999999981E-4</v>
      </c>
      <c r="Q134" s="42">
        <f t="shared" si="37"/>
        <v>1</v>
      </c>
      <c r="R134" s="441">
        <f t="shared" si="31"/>
        <v>0.69879807692307694</v>
      </c>
      <c r="S134" s="46">
        <f t="shared" si="38"/>
        <v>0.69879807692307694</v>
      </c>
      <c r="T134" s="211">
        <f t="shared" si="34"/>
        <v>2.6512019230769233</v>
      </c>
      <c r="U134" s="46">
        <f t="shared" si="35"/>
        <v>4.6112464926212713</v>
      </c>
      <c r="V134" s="46">
        <f t="shared" si="36"/>
        <v>-1.411401439578446</v>
      </c>
      <c r="W134" s="496"/>
      <c r="X134" s="497"/>
      <c r="Y134" s="497"/>
      <c r="Z134" s="498"/>
      <c r="AA134" s="47"/>
    </row>
    <row r="135" spans="1:27" s="428" customFormat="1" x14ac:dyDescent="0.25">
      <c r="A135" s="589">
        <f t="shared" si="32"/>
        <v>2.475961538406235E-6</v>
      </c>
      <c r="B135" s="32">
        <f t="shared" si="40"/>
        <v>103</v>
      </c>
      <c r="C135" s="441">
        <f>'SOLLECITAZ NASCOSTO'!$D$6/'SOLLECITAZ NASCOSTO'!$B$448*'SOLLECITAZ NASCOSTO'!B135</f>
        <v>0.70564903846153848</v>
      </c>
      <c r="D135" s="441">
        <f t="shared" si="33"/>
        <v>0.3000024759615384</v>
      </c>
      <c r="E135" s="441">
        <f t="shared" si="27"/>
        <v>2.475961538406235E-6</v>
      </c>
      <c r="F135" s="441">
        <f t="shared" si="28"/>
        <v>0.3000024759615384</v>
      </c>
      <c r="G135" s="441">
        <f t="shared" si="29"/>
        <v>4.5000742791526716E-2</v>
      </c>
      <c r="H135" s="441">
        <f t="shared" si="41"/>
        <v>0</v>
      </c>
      <c r="I135" s="441">
        <v>0</v>
      </c>
      <c r="J135" s="131">
        <f t="shared" si="42"/>
        <v>0.15000123798076923</v>
      </c>
      <c r="K135" s="130">
        <f t="shared" si="30"/>
        <v>2.2500557095943945E-3</v>
      </c>
      <c r="L135" s="42">
        <f t="shared" si="43"/>
        <v>4.6734370185940257</v>
      </c>
      <c r="M135" s="42">
        <f t="shared" si="44"/>
        <v>-1.443205944394508</v>
      </c>
      <c r="N135" s="42">
        <f>(IF(C134&lt;='SOLLECITAZ NASCOSTO'!$P$12,IF(C134&lt;='SOLLECITAZ NASCOSTO'!$P$11,IF(C134&lt;='SOLLECITAZ NASCOSTO'!$P$10,IF(C134&lt;='SOLLECITAZ NASCOSTO'!$P$9,IF(C134&lt;='SOLLECITAZ NASCOSTO'!$P$8,IF(C134&lt;='SOLLECITAZ NASCOSTO'!$P$7,IF(C134&lt;='SOLLECITAZ NASCOSTO'!$P$6,IF(C134&lt;='SOLLECITAZ NASCOSTO'!$P$5,'Progetto del paramento slu'!$G$105,'Progetto del paramento slu'!$G$106),'Progetto del paramento slu'!$G$107),'Progetto del paramento slu'!$G$108),'Progetto del paramento slu'!$G$109),'Progetto del paramento slu'!$G$110),'Progetto del paramento slu'!$G$111),'Progetto del paramento slu'!$G$112),55555)-IF(C134&lt;='SOLLECITAZ NASCOSTO'!$P$12,IF(C134&lt;='SOLLECITAZ NASCOSTO'!$P$11,IF(C134&lt;='SOLLECITAZ NASCOSTO'!$P$10,IF(C134&lt;='SOLLECITAZ NASCOSTO'!$P$9,IF(C134&lt;='SOLLECITAZ NASCOSTO'!$P$8,IF(C134&lt;='SOLLECITAZ NASCOSTO'!$P$7,IF(C134&lt;='SOLLECITAZ NASCOSTO'!$P$6,IF(C134&lt;='SOLLECITAZ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slu'!$G$112))*(C134-IF(C134&lt;='SOLLECITAZ NASCOSTO'!$P$12,IF(C134&lt;='SOLLECITAZ NASCOSTO'!$P$11,IF(C134&lt;='SOLLECITAZ NASCOSTO'!$P$10,IF(C134&lt;='SOLLECITAZ NASCOSTO'!$P$9,IF(C134&lt;='SOLLECITAZ NASCOSTO'!$P$8,IF(C134&lt;='SOLLECITAZ NASCOSTO'!$P$7,IF(C134&lt;='SOLLECITAZ NASCOSTO'!$P$6,IF(C134&lt;='SOLLECITAZ NASCOSTO'!$P$5,'SOLLECITAZ NASCOSTO'!$P$3,'SOLLECITAZ NASCOSTO'!$P$5),'SOLLECITAZ NASCOSTO'!$P$5),'SOLLECITAZ NASCOSTO'!$P$7),'SOLLECITAZ NASCOSTO'!$P$8),'SOLLECITAZ NASCOSTO'!$P$9),'SOLLECITAZ NASCOSTO'!$P$10),'SOLLECITAZ NASCOSTO'!$P$11),'SOLLECITAZ NASCOSTO'!$P$12))/IF(C134&lt;='SOLLECITAZ NASCOSTO'!$P$12,IF(C134&lt;='SOLLECITAZ NASCOSTO'!$P$11,IF(C134&lt;='SOLLECITAZ NASCOSTO'!$P$10,IF(C134&lt;='SOLLECITAZ NASCOSTO'!$P$9,IF(C134&lt;='SOLLECITAZ NASCOSTO'!$P$8,IF(C134&lt;='SOLLECITAZ NASCOSTO'!$P$7,IF(C134&lt;='SOLLECITAZ NASCOSTO'!$P$6,IF(C134&lt;='SOLLECITAZ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slu'!$C$112)+IF(C134&lt;='SOLLECITAZ NASCOSTO'!$P$12,IF(C134&lt;='SOLLECITAZ NASCOSTO'!$P$11,IF(C134&lt;='SOLLECITAZ NASCOSTO'!$P$10,IF(C134&lt;='SOLLECITAZ NASCOSTO'!$P$9,IF(C134&lt;='SOLLECITAZ NASCOSTO'!$P$8,IF(C134&lt;='SOLLECITAZ NASCOSTO'!$P$7,IF(C134&lt;='SOLLECITAZ NASCOSTO'!$P$6,IF(C134&lt;='SOLLECITAZ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9.0535685588076085</v>
      </c>
      <c r="O135" s="42">
        <f>IF(C135&lt;='SOLLECITAZ NASCOSTO'!$P$12,IF(C135&lt;='SOLLECITAZ NASCOSTO'!$P$11,IF(C135&lt;='SOLLECITAZ NASCOSTO'!$P$10,IF(C135&lt;='SOLLECITAZ NASCOSTO'!$P$9,IF(C135&lt;='SOLLECITAZ NASCOSTO'!$P$8,IF(C135&lt;='SOLLECITAZ NASCOSTO'!$P$7,IF(C135&lt;='SOLLECITAZ NASCOSTO'!$P$6,IF(C135&lt;='SOLLECITAZ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slu'!$G$111),55555)*(C135-C134)/IF(C135&lt;='SOLLECITAZ NASCOSTO'!$P$12,IF(C135&lt;='SOLLECITAZ NASCOSTO'!$P$11,IF(C135&lt;='SOLLECITAZ NASCOSTO'!$P$10,IF(C135&lt;='SOLLECITAZ NASCOSTO'!$P$9,IF(C135&lt;='SOLLECITAZ NASCOSTO'!$P$8,IF(C135&lt;='SOLLECITAZ NASCOSTO'!$P$7,IF(C135&lt;='SOLLECITAZ NASCOSTO'!$P$6,IF(C135&lt;='SOLLECITAZ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5" s="42">
        <f t="shared" si="39"/>
        <v>1.0199999999999981E-4</v>
      </c>
      <c r="Q135" s="42">
        <f t="shared" si="37"/>
        <v>1</v>
      </c>
      <c r="R135" s="441">
        <f t="shared" si="31"/>
        <v>0.70564903846153848</v>
      </c>
      <c r="S135" s="46">
        <f t="shared" si="38"/>
        <v>0.70564903846153848</v>
      </c>
      <c r="T135" s="211">
        <f t="shared" si="34"/>
        <v>2.6443509615384615</v>
      </c>
      <c r="U135" s="46">
        <f t="shared" si="35"/>
        <v>4.6734370185940257</v>
      </c>
      <c r="V135" s="46">
        <f t="shared" si="36"/>
        <v>-1.443205944394508</v>
      </c>
      <c r="W135" s="496"/>
      <c r="X135" s="497"/>
      <c r="Y135" s="497"/>
      <c r="Z135" s="498"/>
      <c r="AA135" s="47"/>
    </row>
    <row r="136" spans="1:27" s="428" customFormat="1" x14ac:dyDescent="0.25">
      <c r="A136" s="589">
        <f t="shared" si="32"/>
        <v>2.4999999999608669E-6</v>
      </c>
      <c r="B136" s="32">
        <f t="shared" si="40"/>
        <v>104</v>
      </c>
      <c r="C136" s="441">
        <f>'SOLLECITAZ NASCOSTO'!$D$6/'SOLLECITAZ NASCOSTO'!$B$448*'SOLLECITAZ NASCOSTO'!B136</f>
        <v>0.71250000000000002</v>
      </c>
      <c r="D136" s="441">
        <f t="shared" si="33"/>
        <v>0.30000249999999995</v>
      </c>
      <c r="E136" s="441">
        <f t="shared" si="27"/>
        <v>2.4999999999608669E-6</v>
      </c>
      <c r="F136" s="441">
        <f t="shared" si="28"/>
        <v>0.30000249999999995</v>
      </c>
      <c r="G136" s="441">
        <f t="shared" si="29"/>
        <v>4.5000750003124985E-2</v>
      </c>
      <c r="H136" s="441">
        <f t="shared" si="41"/>
        <v>0</v>
      </c>
      <c r="I136" s="441">
        <v>0</v>
      </c>
      <c r="J136" s="131">
        <f t="shared" si="42"/>
        <v>0.15000124999999997</v>
      </c>
      <c r="K136" s="130">
        <f t="shared" si="30"/>
        <v>2.2500562504687502E-3</v>
      </c>
      <c r="L136" s="42">
        <f t="shared" si="43"/>
        <v>4.7359572965478574</v>
      </c>
      <c r="M136" s="42">
        <f t="shared" si="44"/>
        <v>-1.4754376436711358</v>
      </c>
      <c r="N136" s="42">
        <f>(IF(C135&lt;='SOLLECITAZ NASCOSTO'!$P$12,IF(C135&lt;='SOLLECITAZ NASCOSTO'!$P$11,IF(C135&lt;='SOLLECITAZ NASCOSTO'!$P$10,IF(C135&lt;='SOLLECITAZ NASCOSTO'!$P$9,IF(C135&lt;='SOLLECITAZ NASCOSTO'!$P$8,IF(C135&lt;='SOLLECITAZ NASCOSTO'!$P$7,IF(C135&lt;='SOLLECITAZ NASCOSTO'!$P$6,IF(C135&lt;='SOLLECITAZ NASCOSTO'!$P$5,'Progetto del paramento slu'!$G$105,'Progetto del paramento slu'!$G$106),'Progetto del paramento slu'!$G$107),'Progetto del paramento slu'!$G$108),'Progetto del paramento slu'!$G$109),'Progetto del paramento slu'!$G$110),'Progetto del paramento slu'!$G$111),'Progetto del paramento slu'!$G$112),55555)-IF(C135&lt;='SOLLECITAZ NASCOSTO'!$P$12,IF(C135&lt;='SOLLECITAZ NASCOSTO'!$P$11,IF(C135&lt;='SOLLECITAZ NASCOSTO'!$P$10,IF(C135&lt;='SOLLECITAZ NASCOSTO'!$P$9,IF(C135&lt;='SOLLECITAZ NASCOSTO'!$P$8,IF(C135&lt;='SOLLECITAZ NASCOSTO'!$P$7,IF(C135&lt;='SOLLECITAZ NASCOSTO'!$P$6,IF(C135&lt;='SOLLECITAZ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slu'!$G$112))*(C135-IF(C135&lt;='SOLLECITAZ NASCOSTO'!$P$12,IF(C135&lt;='SOLLECITAZ NASCOSTO'!$P$11,IF(C135&lt;='SOLLECITAZ NASCOSTO'!$P$10,IF(C135&lt;='SOLLECITAZ NASCOSTO'!$P$9,IF(C135&lt;='SOLLECITAZ NASCOSTO'!$P$8,IF(C135&lt;='SOLLECITAZ NASCOSTO'!$P$7,IF(C135&lt;='SOLLECITAZ NASCOSTO'!$P$6,IF(C135&lt;='SOLLECITAZ NASCOSTO'!$P$5,'SOLLECITAZ NASCOSTO'!$P$3,'SOLLECITAZ NASCOSTO'!$P$5),'SOLLECITAZ NASCOSTO'!$P$5),'SOLLECITAZ NASCOSTO'!$P$7),'SOLLECITAZ NASCOSTO'!$P$8),'SOLLECITAZ NASCOSTO'!$P$9),'SOLLECITAZ NASCOSTO'!$P$10),'SOLLECITAZ NASCOSTO'!$P$11),'SOLLECITAZ NASCOSTO'!$P$12))/IF(C135&lt;='SOLLECITAZ NASCOSTO'!$P$12,IF(C135&lt;='SOLLECITAZ NASCOSTO'!$P$11,IF(C135&lt;='SOLLECITAZ NASCOSTO'!$P$10,IF(C135&lt;='SOLLECITAZ NASCOSTO'!$P$9,IF(C135&lt;='SOLLECITAZ NASCOSTO'!$P$8,IF(C135&lt;='SOLLECITAZ NASCOSTO'!$P$7,IF(C135&lt;='SOLLECITAZ NASCOSTO'!$P$6,IF(C135&lt;='SOLLECITAZ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slu'!$C$112)+IF(C135&lt;='SOLLECITAZ NASCOSTO'!$P$12,IF(C135&lt;='SOLLECITAZ NASCOSTO'!$P$11,IF(C135&lt;='SOLLECITAZ NASCOSTO'!$P$10,IF(C135&lt;='SOLLECITAZ NASCOSTO'!$P$9,IF(C135&lt;='SOLLECITAZ NASCOSTO'!$P$8,IF(C135&lt;='SOLLECITAZ NASCOSTO'!$P$7,IF(C135&lt;='SOLLECITAZ NASCOSTO'!$P$6,IF(C135&lt;='SOLLECITAZ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9.1017007777999588</v>
      </c>
      <c r="O136" s="42">
        <f>IF(C136&lt;='SOLLECITAZ NASCOSTO'!$P$12,IF(C136&lt;='SOLLECITAZ NASCOSTO'!$P$11,IF(C136&lt;='SOLLECITAZ NASCOSTO'!$P$10,IF(C136&lt;='SOLLECITAZ NASCOSTO'!$P$9,IF(C136&lt;='SOLLECITAZ NASCOSTO'!$P$8,IF(C136&lt;='SOLLECITAZ NASCOSTO'!$P$7,IF(C136&lt;='SOLLECITAZ NASCOSTO'!$P$6,IF(C136&lt;='SOLLECITAZ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slu'!$G$111),55555)*(C136-C135)/IF(C136&lt;='SOLLECITAZ NASCOSTO'!$P$12,IF(C136&lt;='SOLLECITAZ NASCOSTO'!$P$11,IF(C136&lt;='SOLLECITAZ NASCOSTO'!$P$10,IF(C136&lt;='SOLLECITAZ NASCOSTO'!$P$9,IF(C136&lt;='SOLLECITAZ NASCOSTO'!$P$8,IF(C136&lt;='SOLLECITAZ NASCOSTO'!$P$7,IF(C136&lt;='SOLLECITAZ NASCOSTO'!$P$6,IF(C136&lt;='SOLLECITAZ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6" s="42">
        <f t="shared" si="39"/>
        <v>1.0299999999999981E-4</v>
      </c>
      <c r="Q136" s="42">
        <f t="shared" si="37"/>
        <v>1</v>
      </c>
      <c r="R136" s="441">
        <f t="shared" si="31"/>
        <v>0.71250000000000002</v>
      </c>
      <c r="S136" s="46">
        <f t="shared" si="38"/>
        <v>0.71250000000000002</v>
      </c>
      <c r="T136" s="211">
        <f t="shared" si="34"/>
        <v>2.6375000000000002</v>
      </c>
      <c r="U136" s="46">
        <f t="shared" si="35"/>
        <v>4.7359572965478574</v>
      </c>
      <c r="V136" s="46">
        <f t="shared" si="36"/>
        <v>-1.4754376436711358</v>
      </c>
      <c r="W136" s="496"/>
      <c r="X136" s="497"/>
      <c r="Y136" s="497"/>
      <c r="Z136" s="498"/>
      <c r="AA136" s="47"/>
    </row>
    <row r="137" spans="1:27" s="428" customFormat="1" x14ac:dyDescent="0.25">
      <c r="A137" s="589">
        <f t="shared" si="32"/>
        <v>2.5240384614599876E-6</v>
      </c>
      <c r="B137" s="32">
        <f t="shared" si="40"/>
        <v>105</v>
      </c>
      <c r="C137" s="441">
        <f>'SOLLECITAZ NASCOSTO'!$D$6/'SOLLECITAZ NASCOSTO'!$B$448*'SOLLECITAZ NASCOSTO'!B137</f>
        <v>0.71935096153846156</v>
      </c>
      <c r="D137" s="441">
        <f t="shared" si="33"/>
        <v>0.30000252403846145</v>
      </c>
      <c r="E137" s="441">
        <f t="shared" si="27"/>
        <v>2.5240384614599876E-6</v>
      </c>
      <c r="F137" s="441">
        <f t="shared" si="28"/>
        <v>0.30000252403846145</v>
      </c>
      <c r="G137" s="441">
        <f t="shared" si="29"/>
        <v>4.5000757214723824E-2</v>
      </c>
      <c r="H137" s="441">
        <f t="shared" si="41"/>
        <v>0</v>
      </c>
      <c r="I137" s="441">
        <v>0</v>
      </c>
      <c r="J137" s="131">
        <f t="shared" si="42"/>
        <v>0.15000126201923075</v>
      </c>
      <c r="K137" s="130">
        <f t="shared" si="30"/>
        <v>2.2500567913431918E-3</v>
      </c>
      <c r="L137" s="42">
        <f t="shared" si="43"/>
        <v>4.7988073264827662</v>
      </c>
      <c r="M137" s="42">
        <f t="shared" si="44"/>
        <v>-1.5080987965264692</v>
      </c>
      <c r="N137" s="42">
        <f>(IF(C136&lt;='SOLLECITAZ NASCOSTO'!$P$12,IF(C136&lt;='SOLLECITAZ NASCOSTO'!$P$11,IF(C136&lt;='SOLLECITAZ NASCOSTO'!$P$10,IF(C136&lt;='SOLLECITAZ NASCOSTO'!$P$9,IF(C136&lt;='SOLLECITAZ NASCOSTO'!$P$8,IF(C136&lt;='SOLLECITAZ NASCOSTO'!$P$7,IF(C136&lt;='SOLLECITAZ NASCOSTO'!$P$6,IF(C136&lt;='SOLLECITAZ NASCOSTO'!$P$5,'Progetto del paramento slu'!$G$105,'Progetto del paramento slu'!$G$106),'Progetto del paramento slu'!$G$107),'Progetto del paramento slu'!$G$108),'Progetto del paramento slu'!$G$109),'Progetto del paramento slu'!$G$110),'Progetto del paramento slu'!$G$111),'Progetto del paramento slu'!$G$112),55555)-IF(C136&lt;='SOLLECITAZ NASCOSTO'!$P$12,IF(C136&lt;='SOLLECITAZ NASCOSTO'!$P$11,IF(C136&lt;='SOLLECITAZ NASCOSTO'!$P$10,IF(C136&lt;='SOLLECITAZ NASCOSTO'!$P$9,IF(C136&lt;='SOLLECITAZ NASCOSTO'!$P$8,IF(C136&lt;='SOLLECITAZ NASCOSTO'!$P$7,IF(C136&lt;='SOLLECITAZ NASCOSTO'!$P$6,IF(C136&lt;='SOLLECITAZ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slu'!$G$112))*(C136-IF(C136&lt;='SOLLECITAZ NASCOSTO'!$P$12,IF(C136&lt;='SOLLECITAZ NASCOSTO'!$P$11,IF(C136&lt;='SOLLECITAZ NASCOSTO'!$P$10,IF(C136&lt;='SOLLECITAZ NASCOSTO'!$P$9,IF(C136&lt;='SOLLECITAZ NASCOSTO'!$P$8,IF(C136&lt;='SOLLECITAZ NASCOSTO'!$P$7,IF(C136&lt;='SOLLECITAZ NASCOSTO'!$P$6,IF(C136&lt;='SOLLECITAZ NASCOSTO'!$P$5,'SOLLECITAZ NASCOSTO'!$P$3,'SOLLECITAZ NASCOSTO'!$P$5),'SOLLECITAZ NASCOSTO'!$P$5),'SOLLECITAZ NASCOSTO'!$P$7),'SOLLECITAZ NASCOSTO'!$P$8),'SOLLECITAZ NASCOSTO'!$P$9),'SOLLECITAZ NASCOSTO'!$P$10),'SOLLECITAZ NASCOSTO'!$P$11),'SOLLECITAZ NASCOSTO'!$P$12))/IF(C136&lt;='SOLLECITAZ NASCOSTO'!$P$12,IF(C136&lt;='SOLLECITAZ NASCOSTO'!$P$11,IF(C136&lt;='SOLLECITAZ NASCOSTO'!$P$10,IF(C136&lt;='SOLLECITAZ NASCOSTO'!$P$9,IF(C136&lt;='SOLLECITAZ NASCOSTO'!$P$8,IF(C136&lt;='SOLLECITAZ NASCOSTO'!$P$7,IF(C136&lt;='SOLLECITAZ NASCOSTO'!$P$6,IF(C136&lt;='SOLLECITAZ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slu'!$C$112)+IF(C136&lt;='SOLLECITAZ NASCOSTO'!$P$12,IF(C136&lt;='SOLLECITAZ NASCOSTO'!$P$11,IF(C136&lt;='SOLLECITAZ NASCOSTO'!$P$10,IF(C136&lt;='SOLLECITAZ NASCOSTO'!$P$9,IF(C136&lt;='SOLLECITAZ NASCOSTO'!$P$8,IF(C136&lt;='SOLLECITAZ NASCOSTO'!$P$7,IF(C136&lt;='SOLLECITAZ NASCOSTO'!$P$6,IF(C136&lt;='SOLLECITAZ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9.1498329967923127</v>
      </c>
      <c r="O137" s="42">
        <f>IF(C137&lt;='SOLLECITAZ NASCOSTO'!$P$12,IF(C137&lt;='SOLLECITAZ NASCOSTO'!$P$11,IF(C137&lt;='SOLLECITAZ NASCOSTO'!$P$10,IF(C137&lt;='SOLLECITAZ NASCOSTO'!$P$9,IF(C137&lt;='SOLLECITAZ NASCOSTO'!$P$8,IF(C137&lt;='SOLLECITAZ NASCOSTO'!$P$7,IF(C137&lt;='SOLLECITAZ NASCOSTO'!$P$6,IF(C137&lt;='SOLLECITAZ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slu'!$G$111),55555)*(C137-C136)/IF(C137&lt;='SOLLECITAZ NASCOSTO'!$P$12,IF(C137&lt;='SOLLECITAZ NASCOSTO'!$P$11,IF(C137&lt;='SOLLECITAZ NASCOSTO'!$P$10,IF(C137&lt;='SOLLECITAZ NASCOSTO'!$P$9,IF(C137&lt;='SOLLECITAZ NASCOSTO'!$P$8,IF(C137&lt;='SOLLECITAZ NASCOSTO'!$P$7,IF(C137&lt;='SOLLECITAZ NASCOSTO'!$P$6,IF(C137&lt;='SOLLECITAZ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7" s="42">
        <f t="shared" si="39"/>
        <v>1.039999999999998E-4</v>
      </c>
      <c r="Q137" s="42">
        <f t="shared" si="37"/>
        <v>1</v>
      </c>
      <c r="R137" s="441">
        <f t="shared" si="31"/>
        <v>0.71935096153846156</v>
      </c>
      <c r="S137" s="46">
        <f t="shared" si="38"/>
        <v>0.71935096153846156</v>
      </c>
      <c r="T137" s="211">
        <f t="shared" si="34"/>
        <v>2.6306490384615384</v>
      </c>
      <c r="U137" s="46">
        <f t="shared" si="35"/>
        <v>4.7988073264827662</v>
      </c>
      <c r="V137" s="46">
        <f t="shared" si="36"/>
        <v>-1.5080987965264692</v>
      </c>
      <c r="W137" s="496"/>
      <c r="X137" s="497"/>
      <c r="Y137" s="497"/>
      <c r="Z137" s="498"/>
      <c r="AA137" s="47"/>
    </row>
    <row r="138" spans="1:27" s="428" customFormat="1" x14ac:dyDescent="0.25">
      <c r="A138" s="589">
        <f t="shared" si="32"/>
        <v>2.5480769230146194E-6</v>
      </c>
      <c r="B138" s="32">
        <f t="shared" si="40"/>
        <v>106</v>
      </c>
      <c r="C138" s="441">
        <f>'SOLLECITAZ NASCOSTO'!$D$6/'SOLLECITAZ NASCOSTO'!$B$448*'SOLLECITAZ NASCOSTO'!B138</f>
        <v>0.72620192307692311</v>
      </c>
      <c r="D138" s="441">
        <f t="shared" si="33"/>
        <v>0.300002548076923</v>
      </c>
      <c r="E138" s="441">
        <f t="shared" si="27"/>
        <v>2.5480769230146194E-6</v>
      </c>
      <c r="F138" s="441">
        <f t="shared" si="28"/>
        <v>0.300002548076923</v>
      </c>
      <c r="G138" s="441">
        <f t="shared" si="29"/>
        <v>4.5000764426323253E-2</v>
      </c>
      <c r="H138" s="441">
        <f t="shared" si="41"/>
        <v>0</v>
      </c>
      <c r="I138" s="441">
        <v>0</v>
      </c>
      <c r="J138" s="131">
        <f t="shared" si="42"/>
        <v>0.1500012740384615</v>
      </c>
      <c r="K138" s="130">
        <f t="shared" si="30"/>
        <v>2.250057332217721E-3</v>
      </c>
      <c r="L138" s="42">
        <f t="shared" si="43"/>
        <v>4.8619871083987523</v>
      </c>
      <c r="M138" s="42">
        <f t="shared" si="44"/>
        <v>-1.5411916620786474</v>
      </c>
      <c r="N138" s="42">
        <f>(IF(C137&lt;='SOLLECITAZ NASCOSTO'!$P$12,IF(C137&lt;='SOLLECITAZ NASCOSTO'!$P$11,IF(C137&lt;='SOLLECITAZ NASCOSTO'!$P$10,IF(C137&lt;='SOLLECITAZ NASCOSTO'!$P$9,IF(C137&lt;='SOLLECITAZ NASCOSTO'!$P$8,IF(C137&lt;='SOLLECITAZ NASCOSTO'!$P$7,IF(C137&lt;='SOLLECITAZ NASCOSTO'!$P$6,IF(C137&lt;='SOLLECITAZ NASCOSTO'!$P$5,'Progetto del paramento slu'!$G$105,'Progetto del paramento slu'!$G$106),'Progetto del paramento slu'!$G$107),'Progetto del paramento slu'!$G$108),'Progetto del paramento slu'!$G$109),'Progetto del paramento slu'!$G$110),'Progetto del paramento slu'!$G$111),'Progetto del paramento slu'!$G$112),55555)-IF(C137&lt;='SOLLECITAZ NASCOSTO'!$P$12,IF(C137&lt;='SOLLECITAZ NASCOSTO'!$P$11,IF(C137&lt;='SOLLECITAZ NASCOSTO'!$P$10,IF(C137&lt;='SOLLECITAZ NASCOSTO'!$P$9,IF(C137&lt;='SOLLECITAZ NASCOSTO'!$P$8,IF(C137&lt;='SOLLECITAZ NASCOSTO'!$P$7,IF(C137&lt;='SOLLECITAZ NASCOSTO'!$P$6,IF(C137&lt;='SOLLECITAZ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slu'!$G$112))*(C137-IF(C137&lt;='SOLLECITAZ NASCOSTO'!$P$12,IF(C137&lt;='SOLLECITAZ NASCOSTO'!$P$11,IF(C137&lt;='SOLLECITAZ NASCOSTO'!$P$10,IF(C137&lt;='SOLLECITAZ NASCOSTO'!$P$9,IF(C137&lt;='SOLLECITAZ NASCOSTO'!$P$8,IF(C137&lt;='SOLLECITAZ NASCOSTO'!$P$7,IF(C137&lt;='SOLLECITAZ NASCOSTO'!$P$6,IF(C137&lt;='SOLLECITAZ NASCOSTO'!$P$5,'SOLLECITAZ NASCOSTO'!$P$3,'SOLLECITAZ NASCOSTO'!$P$5),'SOLLECITAZ NASCOSTO'!$P$5),'SOLLECITAZ NASCOSTO'!$P$7),'SOLLECITAZ NASCOSTO'!$P$8),'SOLLECITAZ NASCOSTO'!$P$9),'SOLLECITAZ NASCOSTO'!$P$10),'SOLLECITAZ NASCOSTO'!$P$11),'SOLLECITAZ NASCOSTO'!$P$12))/IF(C137&lt;='SOLLECITAZ NASCOSTO'!$P$12,IF(C137&lt;='SOLLECITAZ NASCOSTO'!$P$11,IF(C137&lt;='SOLLECITAZ NASCOSTO'!$P$10,IF(C137&lt;='SOLLECITAZ NASCOSTO'!$P$9,IF(C137&lt;='SOLLECITAZ NASCOSTO'!$P$8,IF(C137&lt;='SOLLECITAZ NASCOSTO'!$P$7,IF(C137&lt;='SOLLECITAZ NASCOSTO'!$P$6,IF(C137&lt;='SOLLECITAZ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slu'!$C$112)+IF(C137&lt;='SOLLECITAZ NASCOSTO'!$P$12,IF(C137&lt;='SOLLECITAZ NASCOSTO'!$P$11,IF(C137&lt;='SOLLECITAZ NASCOSTO'!$P$10,IF(C137&lt;='SOLLECITAZ NASCOSTO'!$P$9,IF(C137&lt;='SOLLECITAZ NASCOSTO'!$P$8,IF(C137&lt;='SOLLECITAZ NASCOSTO'!$P$7,IF(C137&lt;='SOLLECITAZ NASCOSTO'!$P$6,IF(C137&lt;='SOLLECITAZ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9.1979652157846647</v>
      </c>
      <c r="O138" s="42">
        <f>IF(C138&lt;='SOLLECITAZ NASCOSTO'!$P$12,IF(C138&lt;='SOLLECITAZ NASCOSTO'!$P$11,IF(C138&lt;='SOLLECITAZ NASCOSTO'!$P$10,IF(C138&lt;='SOLLECITAZ NASCOSTO'!$P$9,IF(C138&lt;='SOLLECITAZ NASCOSTO'!$P$8,IF(C138&lt;='SOLLECITAZ NASCOSTO'!$P$7,IF(C138&lt;='SOLLECITAZ NASCOSTO'!$P$6,IF(C138&lt;='SOLLECITAZ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slu'!$G$111),55555)*(C138-C137)/IF(C138&lt;='SOLLECITAZ NASCOSTO'!$P$12,IF(C138&lt;='SOLLECITAZ NASCOSTO'!$P$11,IF(C138&lt;='SOLLECITAZ NASCOSTO'!$P$10,IF(C138&lt;='SOLLECITAZ NASCOSTO'!$P$9,IF(C138&lt;='SOLLECITAZ NASCOSTO'!$P$8,IF(C138&lt;='SOLLECITAZ NASCOSTO'!$P$7,IF(C138&lt;='SOLLECITAZ NASCOSTO'!$P$6,IF(C138&lt;='SOLLECITAZ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8" s="42">
        <f t="shared" si="39"/>
        <v>1.049999999999998E-4</v>
      </c>
      <c r="Q138" s="42">
        <f t="shared" si="37"/>
        <v>1</v>
      </c>
      <c r="R138" s="441">
        <f t="shared" si="31"/>
        <v>0.72620192307692311</v>
      </c>
      <c r="S138" s="46">
        <f t="shared" si="38"/>
        <v>0.72620192307692311</v>
      </c>
      <c r="T138" s="211">
        <f t="shared" si="34"/>
        <v>2.6237980769230771</v>
      </c>
      <c r="U138" s="46">
        <f t="shared" si="35"/>
        <v>4.8619871083987523</v>
      </c>
      <c r="V138" s="46">
        <f t="shared" si="36"/>
        <v>-1.5411916620786474</v>
      </c>
      <c r="W138" s="496"/>
      <c r="X138" s="497"/>
      <c r="Y138" s="497"/>
      <c r="Z138" s="498"/>
      <c r="AA138" s="47"/>
    </row>
    <row r="139" spans="1:27" s="428" customFormat="1" x14ac:dyDescent="0.25">
      <c r="A139" s="589">
        <f t="shared" si="32"/>
        <v>2.5721153845692513E-6</v>
      </c>
      <c r="B139" s="32">
        <f t="shared" si="40"/>
        <v>107</v>
      </c>
      <c r="C139" s="441">
        <f>'SOLLECITAZ NASCOSTO'!$D$6/'SOLLECITAZ NASCOSTO'!$B$448*'SOLLECITAZ NASCOSTO'!B139</f>
        <v>0.73305288461538465</v>
      </c>
      <c r="D139" s="441">
        <f t="shared" si="33"/>
        <v>0.30000257211538456</v>
      </c>
      <c r="E139" s="441">
        <f t="shared" si="27"/>
        <v>2.5721153845692513E-6</v>
      </c>
      <c r="F139" s="441">
        <f t="shared" si="28"/>
        <v>0.30000257211538456</v>
      </c>
      <c r="G139" s="441">
        <f t="shared" si="29"/>
        <v>4.5000771637923258E-2</v>
      </c>
      <c r="H139" s="441">
        <f t="shared" si="41"/>
        <v>0</v>
      </c>
      <c r="I139" s="441">
        <v>0</v>
      </c>
      <c r="J139" s="131">
        <f t="shared" si="42"/>
        <v>0.15000128605769228</v>
      </c>
      <c r="K139" s="130">
        <f t="shared" si="30"/>
        <v>2.2500578730923373E-3</v>
      </c>
      <c r="L139" s="42">
        <f t="shared" si="43"/>
        <v>4.9254966422958164</v>
      </c>
      <c r="M139" s="42">
        <f t="shared" si="44"/>
        <v>-1.5747184994458103</v>
      </c>
      <c r="N139" s="42">
        <f>(IF(C138&lt;='SOLLECITAZ NASCOSTO'!$P$12,IF(C138&lt;='SOLLECITAZ NASCOSTO'!$P$11,IF(C138&lt;='SOLLECITAZ NASCOSTO'!$P$10,IF(C138&lt;='SOLLECITAZ NASCOSTO'!$P$9,IF(C138&lt;='SOLLECITAZ NASCOSTO'!$P$8,IF(C138&lt;='SOLLECITAZ NASCOSTO'!$P$7,IF(C138&lt;='SOLLECITAZ NASCOSTO'!$P$6,IF(C138&lt;='SOLLECITAZ NASCOSTO'!$P$5,'Progetto del paramento slu'!$G$105,'Progetto del paramento slu'!$G$106),'Progetto del paramento slu'!$G$107),'Progetto del paramento slu'!$G$108),'Progetto del paramento slu'!$G$109),'Progetto del paramento slu'!$G$110),'Progetto del paramento slu'!$G$111),'Progetto del paramento slu'!$G$112),55555)-IF(C138&lt;='SOLLECITAZ NASCOSTO'!$P$12,IF(C138&lt;='SOLLECITAZ NASCOSTO'!$P$11,IF(C138&lt;='SOLLECITAZ NASCOSTO'!$P$10,IF(C138&lt;='SOLLECITAZ NASCOSTO'!$P$9,IF(C138&lt;='SOLLECITAZ NASCOSTO'!$P$8,IF(C138&lt;='SOLLECITAZ NASCOSTO'!$P$7,IF(C138&lt;='SOLLECITAZ NASCOSTO'!$P$6,IF(C138&lt;='SOLLECITAZ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slu'!$G$112))*(C138-IF(C138&lt;='SOLLECITAZ NASCOSTO'!$P$12,IF(C138&lt;='SOLLECITAZ NASCOSTO'!$P$11,IF(C138&lt;='SOLLECITAZ NASCOSTO'!$P$10,IF(C138&lt;='SOLLECITAZ NASCOSTO'!$P$9,IF(C138&lt;='SOLLECITAZ NASCOSTO'!$P$8,IF(C138&lt;='SOLLECITAZ NASCOSTO'!$P$7,IF(C138&lt;='SOLLECITAZ NASCOSTO'!$P$6,IF(C138&lt;='SOLLECITAZ NASCOSTO'!$P$5,'SOLLECITAZ NASCOSTO'!$P$3,'SOLLECITAZ NASCOSTO'!$P$5),'SOLLECITAZ NASCOSTO'!$P$5),'SOLLECITAZ NASCOSTO'!$P$7),'SOLLECITAZ NASCOSTO'!$P$8),'SOLLECITAZ NASCOSTO'!$P$9),'SOLLECITAZ NASCOSTO'!$P$10),'SOLLECITAZ NASCOSTO'!$P$11),'SOLLECITAZ NASCOSTO'!$P$12))/IF(C138&lt;='SOLLECITAZ NASCOSTO'!$P$12,IF(C138&lt;='SOLLECITAZ NASCOSTO'!$P$11,IF(C138&lt;='SOLLECITAZ NASCOSTO'!$P$10,IF(C138&lt;='SOLLECITAZ NASCOSTO'!$P$9,IF(C138&lt;='SOLLECITAZ NASCOSTO'!$P$8,IF(C138&lt;='SOLLECITAZ NASCOSTO'!$P$7,IF(C138&lt;='SOLLECITAZ NASCOSTO'!$P$6,IF(C138&lt;='SOLLECITAZ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slu'!$C$112)+IF(C138&lt;='SOLLECITAZ NASCOSTO'!$P$12,IF(C138&lt;='SOLLECITAZ NASCOSTO'!$P$11,IF(C138&lt;='SOLLECITAZ NASCOSTO'!$P$10,IF(C138&lt;='SOLLECITAZ NASCOSTO'!$P$9,IF(C138&lt;='SOLLECITAZ NASCOSTO'!$P$8,IF(C138&lt;='SOLLECITAZ NASCOSTO'!$P$7,IF(C138&lt;='SOLLECITAZ NASCOSTO'!$P$6,IF(C138&lt;='SOLLECITAZ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9.2460974347770168</v>
      </c>
      <c r="O139" s="42">
        <f>IF(C139&lt;='SOLLECITAZ NASCOSTO'!$P$12,IF(C139&lt;='SOLLECITAZ NASCOSTO'!$P$11,IF(C139&lt;='SOLLECITAZ NASCOSTO'!$P$10,IF(C139&lt;='SOLLECITAZ NASCOSTO'!$P$9,IF(C139&lt;='SOLLECITAZ NASCOSTO'!$P$8,IF(C139&lt;='SOLLECITAZ NASCOSTO'!$P$7,IF(C139&lt;='SOLLECITAZ NASCOSTO'!$P$6,IF(C139&lt;='SOLLECITAZ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slu'!$G$111),55555)*(C139-C138)/IF(C139&lt;='SOLLECITAZ NASCOSTO'!$P$12,IF(C139&lt;='SOLLECITAZ NASCOSTO'!$P$11,IF(C139&lt;='SOLLECITAZ NASCOSTO'!$P$10,IF(C139&lt;='SOLLECITAZ NASCOSTO'!$P$9,IF(C139&lt;='SOLLECITAZ NASCOSTO'!$P$8,IF(C139&lt;='SOLLECITAZ NASCOSTO'!$P$7,IF(C139&lt;='SOLLECITAZ NASCOSTO'!$P$6,IF(C139&lt;='SOLLECITAZ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39" s="42">
        <f t="shared" si="39"/>
        <v>1.059999999999998E-4</v>
      </c>
      <c r="Q139" s="42">
        <f t="shared" si="37"/>
        <v>1</v>
      </c>
      <c r="R139" s="441">
        <f t="shared" si="31"/>
        <v>0.73305288461538465</v>
      </c>
      <c r="S139" s="46">
        <f t="shared" si="38"/>
        <v>0.73305288461538465</v>
      </c>
      <c r="T139" s="211">
        <f t="shared" si="34"/>
        <v>2.6169471153846153</v>
      </c>
      <c r="U139" s="46">
        <f t="shared" si="35"/>
        <v>4.9254966422958164</v>
      </c>
      <c r="V139" s="46">
        <f t="shared" si="36"/>
        <v>-1.5747184994458103</v>
      </c>
      <c r="W139" s="496"/>
      <c r="X139" s="497"/>
      <c r="Y139" s="497"/>
      <c r="Z139" s="498"/>
      <c r="AA139" s="47"/>
    </row>
    <row r="140" spans="1:27" s="428" customFormat="1" x14ac:dyDescent="0.25">
      <c r="A140" s="589">
        <f t="shared" si="32"/>
        <v>2.5961538461238831E-6</v>
      </c>
      <c r="B140" s="32">
        <f t="shared" si="40"/>
        <v>108</v>
      </c>
      <c r="C140" s="441">
        <f>'SOLLECITAZ NASCOSTO'!$D$6/'SOLLECITAZ NASCOSTO'!$B$448*'SOLLECITAZ NASCOSTO'!B140</f>
        <v>0.73990384615384619</v>
      </c>
      <c r="D140" s="441">
        <f t="shared" si="33"/>
        <v>0.30000259615384611</v>
      </c>
      <c r="E140" s="441">
        <f t="shared" si="27"/>
        <v>2.5961538461238831E-6</v>
      </c>
      <c r="F140" s="441">
        <f t="shared" si="28"/>
        <v>0.30000259615384611</v>
      </c>
      <c r="G140" s="441">
        <f t="shared" si="29"/>
        <v>4.5000778849523845E-2</v>
      </c>
      <c r="H140" s="441">
        <f t="shared" si="41"/>
        <v>0</v>
      </c>
      <c r="I140" s="441">
        <v>0</v>
      </c>
      <c r="J140" s="131">
        <f t="shared" si="42"/>
        <v>0.15000129807692306</v>
      </c>
      <c r="K140" s="130">
        <f t="shared" si="30"/>
        <v>2.25005841396704E-3</v>
      </c>
      <c r="L140" s="42">
        <f t="shared" si="43"/>
        <v>4.9893359281739578</v>
      </c>
      <c r="M140" s="42">
        <f t="shared" si="44"/>
        <v>-1.6086815677460975</v>
      </c>
      <c r="N140" s="42">
        <f>(IF(C139&lt;='SOLLECITAZ NASCOSTO'!$P$12,IF(C139&lt;='SOLLECITAZ NASCOSTO'!$P$11,IF(C139&lt;='SOLLECITAZ NASCOSTO'!$P$10,IF(C139&lt;='SOLLECITAZ NASCOSTO'!$P$9,IF(C139&lt;='SOLLECITAZ NASCOSTO'!$P$8,IF(C139&lt;='SOLLECITAZ NASCOSTO'!$P$7,IF(C139&lt;='SOLLECITAZ NASCOSTO'!$P$6,IF(C139&lt;='SOLLECITAZ NASCOSTO'!$P$5,'Progetto del paramento slu'!$G$105,'Progetto del paramento slu'!$G$106),'Progetto del paramento slu'!$G$107),'Progetto del paramento slu'!$G$108),'Progetto del paramento slu'!$G$109),'Progetto del paramento slu'!$G$110),'Progetto del paramento slu'!$G$111),'Progetto del paramento slu'!$G$112),55555)-IF(C139&lt;='SOLLECITAZ NASCOSTO'!$P$12,IF(C139&lt;='SOLLECITAZ NASCOSTO'!$P$11,IF(C139&lt;='SOLLECITAZ NASCOSTO'!$P$10,IF(C139&lt;='SOLLECITAZ NASCOSTO'!$P$9,IF(C139&lt;='SOLLECITAZ NASCOSTO'!$P$8,IF(C139&lt;='SOLLECITAZ NASCOSTO'!$P$7,IF(C139&lt;='SOLLECITAZ NASCOSTO'!$P$6,IF(C139&lt;='SOLLECITAZ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slu'!$G$112))*(C139-IF(C139&lt;='SOLLECITAZ NASCOSTO'!$P$12,IF(C139&lt;='SOLLECITAZ NASCOSTO'!$P$11,IF(C139&lt;='SOLLECITAZ NASCOSTO'!$P$10,IF(C139&lt;='SOLLECITAZ NASCOSTO'!$P$9,IF(C139&lt;='SOLLECITAZ NASCOSTO'!$P$8,IF(C139&lt;='SOLLECITAZ NASCOSTO'!$P$7,IF(C139&lt;='SOLLECITAZ NASCOSTO'!$P$6,IF(C139&lt;='SOLLECITAZ NASCOSTO'!$P$5,'SOLLECITAZ NASCOSTO'!$P$3,'SOLLECITAZ NASCOSTO'!$P$5),'SOLLECITAZ NASCOSTO'!$P$5),'SOLLECITAZ NASCOSTO'!$P$7),'SOLLECITAZ NASCOSTO'!$P$8),'SOLLECITAZ NASCOSTO'!$P$9),'SOLLECITAZ NASCOSTO'!$P$10),'SOLLECITAZ NASCOSTO'!$P$11),'SOLLECITAZ NASCOSTO'!$P$12))/IF(C139&lt;='SOLLECITAZ NASCOSTO'!$P$12,IF(C139&lt;='SOLLECITAZ NASCOSTO'!$P$11,IF(C139&lt;='SOLLECITAZ NASCOSTO'!$P$10,IF(C139&lt;='SOLLECITAZ NASCOSTO'!$P$9,IF(C139&lt;='SOLLECITAZ NASCOSTO'!$P$8,IF(C139&lt;='SOLLECITAZ NASCOSTO'!$P$7,IF(C139&lt;='SOLLECITAZ NASCOSTO'!$P$6,IF(C139&lt;='SOLLECITAZ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slu'!$C$112)+IF(C139&lt;='SOLLECITAZ NASCOSTO'!$P$12,IF(C139&lt;='SOLLECITAZ NASCOSTO'!$P$11,IF(C139&lt;='SOLLECITAZ NASCOSTO'!$P$10,IF(C139&lt;='SOLLECITAZ NASCOSTO'!$P$9,IF(C139&lt;='SOLLECITAZ NASCOSTO'!$P$8,IF(C139&lt;='SOLLECITAZ NASCOSTO'!$P$7,IF(C139&lt;='SOLLECITAZ NASCOSTO'!$P$6,IF(C139&lt;='SOLLECITAZ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9.2942296537693707</v>
      </c>
      <c r="O140" s="42">
        <f>IF(C140&lt;='SOLLECITAZ NASCOSTO'!$P$12,IF(C140&lt;='SOLLECITAZ NASCOSTO'!$P$11,IF(C140&lt;='SOLLECITAZ NASCOSTO'!$P$10,IF(C140&lt;='SOLLECITAZ NASCOSTO'!$P$9,IF(C140&lt;='SOLLECITAZ NASCOSTO'!$P$8,IF(C140&lt;='SOLLECITAZ NASCOSTO'!$P$7,IF(C140&lt;='SOLLECITAZ NASCOSTO'!$P$6,IF(C140&lt;='SOLLECITAZ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slu'!$G$111),55555)*(C140-C139)/IF(C140&lt;='SOLLECITAZ NASCOSTO'!$P$12,IF(C140&lt;='SOLLECITAZ NASCOSTO'!$P$11,IF(C140&lt;='SOLLECITAZ NASCOSTO'!$P$10,IF(C140&lt;='SOLLECITAZ NASCOSTO'!$P$9,IF(C140&lt;='SOLLECITAZ NASCOSTO'!$P$8,IF(C140&lt;='SOLLECITAZ NASCOSTO'!$P$7,IF(C140&lt;='SOLLECITAZ NASCOSTO'!$P$6,IF(C140&lt;='SOLLECITAZ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0" s="42">
        <f t="shared" si="39"/>
        <v>1.069999999999998E-4</v>
      </c>
      <c r="Q140" s="42">
        <f t="shared" si="37"/>
        <v>1</v>
      </c>
      <c r="R140" s="441">
        <f t="shared" si="31"/>
        <v>0.73990384615384619</v>
      </c>
      <c r="S140" s="46">
        <f t="shared" si="38"/>
        <v>0.73990384615384619</v>
      </c>
      <c r="T140" s="211">
        <f t="shared" si="34"/>
        <v>2.610096153846154</v>
      </c>
      <c r="U140" s="46">
        <f t="shared" si="35"/>
        <v>4.9893359281739578</v>
      </c>
      <c r="V140" s="46">
        <f t="shared" si="36"/>
        <v>-1.6086815677460975</v>
      </c>
      <c r="W140" s="496"/>
      <c r="X140" s="497"/>
      <c r="Y140" s="497"/>
      <c r="Z140" s="498"/>
      <c r="AA140" s="47"/>
    </row>
    <row r="141" spans="1:27" s="428" customFormat="1" x14ac:dyDescent="0.25">
      <c r="A141" s="589">
        <f t="shared" si="32"/>
        <v>2.6201923076230038E-6</v>
      </c>
      <c r="B141" s="32">
        <f t="shared" si="40"/>
        <v>109</v>
      </c>
      <c r="C141" s="441">
        <f>'SOLLECITAZ NASCOSTO'!$D$6/'SOLLECITAZ NASCOSTO'!$B$448*'SOLLECITAZ NASCOSTO'!B141</f>
        <v>0.74675480769230773</v>
      </c>
      <c r="D141" s="441">
        <f t="shared" si="33"/>
        <v>0.30000262019230761</v>
      </c>
      <c r="E141" s="441">
        <f t="shared" si="27"/>
        <v>2.6201923076230038E-6</v>
      </c>
      <c r="F141" s="441">
        <f t="shared" si="28"/>
        <v>0.30000262019230761</v>
      </c>
      <c r="G141" s="441">
        <f t="shared" si="29"/>
        <v>4.5000786061124988E-2</v>
      </c>
      <c r="H141" s="441">
        <f t="shared" si="41"/>
        <v>0</v>
      </c>
      <c r="I141" s="441">
        <v>0</v>
      </c>
      <c r="J141" s="131">
        <f t="shared" si="42"/>
        <v>0.15000131009615381</v>
      </c>
      <c r="K141" s="130">
        <f t="shared" si="30"/>
        <v>2.2500589548418281E-3</v>
      </c>
      <c r="L141" s="42">
        <f t="shared" si="43"/>
        <v>5.0535049660331763</v>
      </c>
      <c r="M141" s="42">
        <f t="shared" si="44"/>
        <v>-1.6430831260976484</v>
      </c>
      <c r="N141" s="42">
        <f>(IF(C140&lt;='SOLLECITAZ NASCOSTO'!$P$12,IF(C140&lt;='SOLLECITAZ NASCOSTO'!$P$11,IF(C140&lt;='SOLLECITAZ NASCOSTO'!$P$10,IF(C140&lt;='SOLLECITAZ NASCOSTO'!$P$9,IF(C140&lt;='SOLLECITAZ NASCOSTO'!$P$8,IF(C140&lt;='SOLLECITAZ NASCOSTO'!$P$7,IF(C140&lt;='SOLLECITAZ NASCOSTO'!$P$6,IF(C140&lt;='SOLLECITAZ NASCOSTO'!$P$5,'Progetto del paramento slu'!$G$105,'Progetto del paramento slu'!$G$106),'Progetto del paramento slu'!$G$107),'Progetto del paramento slu'!$G$108),'Progetto del paramento slu'!$G$109),'Progetto del paramento slu'!$G$110),'Progetto del paramento slu'!$G$111),'Progetto del paramento slu'!$G$112),55555)-IF(C140&lt;='SOLLECITAZ NASCOSTO'!$P$12,IF(C140&lt;='SOLLECITAZ NASCOSTO'!$P$11,IF(C140&lt;='SOLLECITAZ NASCOSTO'!$P$10,IF(C140&lt;='SOLLECITAZ NASCOSTO'!$P$9,IF(C140&lt;='SOLLECITAZ NASCOSTO'!$P$8,IF(C140&lt;='SOLLECITAZ NASCOSTO'!$P$7,IF(C140&lt;='SOLLECITAZ NASCOSTO'!$P$6,IF(C140&lt;='SOLLECITAZ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slu'!$G$112))*(C140-IF(C140&lt;='SOLLECITAZ NASCOSTO'!$P$12,IF(C140&lt;='SOLLECITAZ NASCOSTO'!$P$11,IF(C140&lt;='SOLLECITAZ NASCOSTO'!$P$10,IF(C140&lt;='SOLLECITAZ NASCOSTO'!$P$9,IF(C140&lt;='SOLLECITAZ NASCOSTO'!$P$8,IF(C140&lt;='SOLLECITAZ NASCOSTO'!$P$7,IF(C140&lt;='SOLLECITAZ NASCOSTO'!$P$6,IF(C140&lt;='SOLLECITAZ NASCOSTO'!$P$5,'SOLLECITAZ NASCOSTO'!$P$3,'SOLLECITAZ NASCOSTO'!$P$5),'SOLLECITAZ NASCOSTO'!$P$5),'SOLLECITAZ NASCOSTO'!$P$7),'SOLLECITAZ NASCOSTO'!$P$8),'SOLLECITAZ NASCOSTO'!$P$9),'SOLLECITAZ NASCOSTO'!$P$10),'SOLLECITAZ NASCOSTO'!$P$11),'SOLLECITAZ NASCOSTO'!$P$12))/IF(C140&lt;='SOLLECITAZ NASCOSTO'!$P$12,IF(C140&lt;='SOLLECITAZ NASCOSTO'!$P$11,IF(C140&lt;='SOLLECITAZ NASCOSTO'!$P$10,IF(C140&lt;='SOLLECITAZ NASCOSTO'!$P$9,IF(C140&lt;='SOLLECITAZ NASCOSTO'!$P$8,IF(C140&lt;='SOLLECITAZ NASCOSTO'!$P$7,IF(C140&lt;='SOLLECITAZ NASCOSTO'!$P$6,IF(C140&lt;='SOLLECITAZ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slu'!$C$112)+IF(C140&lt;='SOLLECITAZ NASCOSTO'!$P$12,IF(C140&lt;='SOLLECITAZ NASCOSTO'!$P$11,IF(C140&lt;='SOLLECITAZ NASCOSTO'!$P$10,IF(C140&lt;='SOLLECITAZ NASCOSTO'!$P$9,IF(C140&lt;='SOLLECITAZ NASCOSTO'!$P$8,IF(C140&lt;='SOLLECITAZ NASCOSTO'!$P$7,IF(C140&lt;='SOLLECITAZ NASCOSTO'!$P$6,IF(C140&lt;='SOLLECITAZ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9.342361872761721</v>
      </c>
      <c r="O141" s="42">
        <f>IF(C141&lt;='SOLLECITAZ NASCOSTO'!$P$12,IF(C141&lt;='SOLLECITAZ NASCOSTO'!$P$11,IF(C141&lt;='SOLLECITAZ NASCOSTO'!$P$10,IF(C141&lt;='SOLLECITAZ NASCOSTO'!$P$9,IF(C141&lt;='SOLLECITAZ NASCOSTO'!$P$8,IF(C141&lt;='SOLLECITAZ NASCOSTO'!$P$7,IF(C141&lt;='SOLLECITAZ NASCOSTO'!$P$6,IF(C141&lt;='SOLLECITAZ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slu'!$G$111),55555)*(C141-C140)/IF(C141&lt;='SOLLECITAZ NASCOSTO'!$P$12,IF(C141&lt;='SOLLECITAZ NASCOSTO'!$P$11,IF(C141&lt;='SOLLECITAZ NASCOSTO'!$P$10,IF(C141&lt;='SOLLECITAZ NASCOSTO'!$P$9,IF(C141&lt;='SOLLECITAZ NASCOSTO'!$P$8,IF(C141&lt;='SOLLECITAZ NASCOSTO'!$P$7,IF(C141&lt;='SOLLECITAZ NASCOSTO'!$P$6,IF(C141&lt;='SOLLECITAZ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1" s="42">
        <f t="shared" si="39"/>
        <v>1.0799999999999979E-4</v>
      </c>
      <c r="Q141" s="42">
        <f t="shared" si="37"/>
        <v>1</v>
      </c>
      <c r="R141" s="441">
        <f t="shared" si="31"/>
        <v>0.74675480769230773</v>
      </c>
      <c r="S141" s="46">
        <f t="shared" si="38"/>
        <v>0.74675480769230773</v>
      </c>
      <c r="T141" s="211">
        <f t="shared" si="34"/>
        <v>2.6032451923076922</v>
      </c>
      <c r="U141" s="46">
        <f t="shared" si="35"/>
        <v>5.0535049660331763</v>
      </c>
      <c r="V141" s="46">
        <f t="shared" si="36"/>
        <v>-1.6430831260976484</v>
      </c>
      <c r="W141" s="496"/>
      <c r="X141" s="497"/>
      <c r="Y141" s="497"/>
      <c r="Z141" s="498"/>
      <c r="AA141" s="47"/>
    </row>
    <row r="142" spans="1:27" s="428" customFormat="1" x14ac:dyDescent="0.25">
      <c r="A142" s="589">
        <f t="shared" si="32"/>
        <v>2.6442307691776357E-6</v>
      </c>
      <c r="B142" s="32">
        <f t="shared" si="40"/>
        <v>110</v>
      </c>
      <c r="C142" s="441">
        <f>'SOLLECITAZ NASCOSTO'!$D$6/'SOLLECITAZ NASCOSTO'!$B$448*'SOLLECITAZ NASCOSTO'!B142</f>
        <v>0.75360576923076927</v>
      </c>
      <c r="D142" s="441">
        <f t="shared" si="33"/>
        <v>0.30000264423076917</v>
      </c>
      <c r="E142" s="441">
        <f t="shared" si="27"/>
        <v>2.6442307691776357E-6</v>
      </c>
      <c r="F142" s="441">
        <f t="shared" si="28"/>
        <v>0.30000264423076917</v>
      </c>
      <c r="G142" s="441">
        <f t="shared" si="29"/>
        <v>4.5000793272726727E-2</v>
      </c>
      <c r="H142" s="441">
        <f t="shared" si="41"/>
        <v>0</v>
      </c>
      <c r="I142" s="441">
        <v>0</v>
      </c>
      <c r="J142" s="131">
        <f t="shared" si="42"/>
        <v>0.15000132211538458</v>
      </c>
      <c r="K142" s="130">
        <f t="shared" si="30"/>
        <v>2.2500594957167047E-3</v>
      </c>
      <c r="L142" s="42">
        <f t="shared" si="43"/>
        <v>5.1180037558734721</v>
      </c>
      <c r="M142" s="42">
        <f t="shared" si="44"/>
        <v>-1.6779254336186027</v>
      </c>
      <c r="N142" s="42">
        <f>(IF(C141&lt;='SOLLECITAZ NASCOSTO'!$P$12,IF(C141&lt;='SOLLECITAZ NASCOSTO'!$P$11,IF(C141&lt;='SOLLECITAZ NASCOSTO'!$P$10,IF(C141&lt;='SOLLECITAZ NASCOSTO'!$P$9,IF(C141&lt;='SOLLECITAZ NASCOSTO'!$P$8,IF(C141&lt;='SOLLECITAZ NASCOSTO'!$P$7,IF(C141&lt;='SOLLECITAZ NASCOSTO'!$P$6,IF(C141&lt;='SOLLECITAZ NASCOSTO'!$P$5,'Progetto del paramento slu'!$G$105,'Progetto del paramento slu'!$G$106),'Progetto del paramento slu'!$G$107),'Progetto del paramento slu'!$G$108),'Progetto del paramento slu'!$G$109),'Progetto del paramento slu'!$G$110),'Progetto del paramento slu'!$G$111),'Progetto del paramento slu'!$G$112),55555)-IF(C141&lt;='SOLLECITAZ NASCOSTO'!$P$12,IF(C141&lt;='SOLLECITAZ NASCOSTO'!$P$11,IF(C141&lt;='SOLLECITAZ NASCOSTO'!$P$10,IF(C141&lt;='SOLLECITAZ NASCOSTO'!$P$9,IF(C141&lt;='SOLLECITAZ NASCOSTO'!$P$8,IF(C141&lt;='SOLLECITAZ NASCOSTO'!$P$7,IF(C141&lt;='SOLLECITAZ NASCOSTO'!$P$6,IF(C141&lt;='SOLLECITAZ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slu'!$G$112))*(C141-IF(C141&lt;='SOLLECITAZ NASCOSTO'!$P$12,IF(C141&lt;='SOLLECITAZ NASCOSTO'!$P$11,IF(C141&lt;='SOLLECITAZ NASCOSTO'!$P$10,IF(C141&lt;='SOLLECITAZ NASCOSTO'!$P$9,IF(C141&lt;='SOLLECITAZ NASCOSTO'!$P$8,IF(C141&lt;='SOLLECITAZ NASCOSTO'!$P$7,IF(C141&lt;='SOLLECITAZ NASCOSTO'!$P$6,IF(C141&lt;='SOLLECITAZ NASCOSTO'!$P$5,'SOLLECITAZ NASCOSTO'!$P$3,'SOLLECITAZ NASCOSTO'!$P$5),'SOLLECITAZ NASCOSTO'!$P$5),'SOLLECITAZ NASCOSTO'!$P$7),'SOLLECITAZ NASCOSTO'!$P$8),'SOLLECITAZ NASCOSTO'!$P$9),'SOLLECITAZ NASCOSTO'!$P$10),'SOLLECITAZ NASCOSTO'!$P$11),'SOLLECITAZ NASCOSTO'!$P$12))/IF(C141&lt;='SOLLECITAZ NASCOSTO'!$P$12,IF(C141&lt;='SOLLECITAZ NASCOSTO'!$P$11,IF(C141&lt;='SOLLECITAZ NASCOSTO'!$P$10,IF(C141&lt;='SOLLECITAZ NASCOSTO'!$P$9,IF(C141&lt;='SOLLECITAZ NASCOSTO'!$P$8,IF(C141&lt;='SOLLECITAZ NASCOSTO'!$P$7,IF(C141&lt;='SOLLECITAZ NASCOSTO'!$P$6,IF(C141&lt;='SOLLECITAZ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slu'!$C$112)+IF(C141&lt;='SOLLECITAZ NASCOSTO'!$P$12,IF(C141&lt;='SOLLECITAZ NASCOSTO'!$P$11,IF(C141&lt;='SOLLECITAZ NASCOSTO'!$P$10,IF(C141&lt;='SOLLECITAZ NASCOSTO'!$P$9,IF(C141&lt;='SOLLECITAZ NASCOSTO'!$P$8,IF(C141&lt;='SOLLECITAZ NASCOSTO'!$P$7,IF(C141&lt;='SOLLECITAZ NASCOSTO'!$P$6,IF(C141&lt;='SOLLECITAZ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9.3904940917540749</v>
      </c>
      <c r="O142" s="42">
        <f>IF(C142&lt;='SOLLECITAZ NASCOSTO'!$P$12,IF(C142&lt;='SOLLECITAZ NASCOSTO'!$P$11,IF(C142&lt;='SOLLECITAZ NASCOSTO'!$P$10,IF(C142&lt;='SOLLECITAZ NASCOSTO'!$P$9,IF(C142&lt;='SOLLECITAZ NASCOSTO'!$P$8,IF(C142&lt;='SOLLECITAZ NASCOSTO'!$P$7,IF(C142&lt;='SOLLECITAZ NASCOSTO'!$P$6,IF(C142&lt;='SOLLECITAZ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slu'!$G$111),55555)*(C142-C141)/IF(C142&lt;='SOLLECITAZ NASCOSTO'!$P$12,IF(C142&lt;='SOLLECITAZ NASCOSTO'!$P$11,IF(C142&lt;='SOLLECITAZ NASCOSTO'!$P$10,IF(C142&lt;='SOLLECITAZ NASCOSTO'!$P$9,IF(C142&lt;='SOLLECITAZ NASCOSTO'!$P$8,IF(C142&lt;='SOLLECITAZ NASCOSTO'!$P$7,IF(C142&lt;='SOLLECITAZ NASCOSTO'!$P$6,IF(C142&lt;='SOLLECITAZ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2" s="42">
        <f t="shared" si="39"/>
        <v>1.0899999999999979E-4</v>
      </c>
      <c r="Q142" s="42">
        <f t="shared" si="37"/>
        <v>1</v>
      </c>
      <c r="R142" s="441">
        <f t="shared" si="31"/>
        <v>0.75360576923076927</v>
      </c>
      <c r="S142" s="46">
        <f t="shared" si="38"/>
        <v>0.75360576923076927</v>
      </c>
      <c r="T142" s="211">
        <f t="shared" si="34"/>
        <v>2.5963942307692309</v>
      </c>
      <c r="U142" s="46">
        <f t="shared" si="35"/>
        <v>5.1180037558734721</v>
      </c>
      <c r="V142" s="46">
        <f t="shared" si="36"/>
        <v>-1.6779254336186027</v>
      </c>
      <c r="W142" s="496"/>
      <c r="X142" s="497"/>
      <c r="Y142" s="497"/>
      <c r="Z142" s="498"/>
      <c r="AA142" s="47"/>
    </row>
    <row r="143" spans="1:27" s="428" customFormat="1" x14ac:dyDescent="0.25">
      <c r="A143" s="589">
        <f t="shared" si="32"/>
        <v>2.6682692307322675E-6</v>
      </c>
      <c r="B143" s="32">
        <f t="shared" si="40"/>
        <v>111</v>
      </c>
      <c r="C143" s="441">
        <f>'SOLLECITAZ NASCOSTO'!$D$6/'SOLLECITAZ NASCOSTO'!$B$448*'SOLLECITAZ NASCOSTO'!B143</f>
        <v>0.76045673076923082</v>
      </c>
      <c r="D143" s="441">
        <f t="shared" si="33"/>
        <v>0.30000266826923072</v>
      </c>
      <c r="E143" s="441">
        <f t="shared" si="27"/>
        <v>2.6682692307322675E-6</v>
      </c>
      <c r="F143" s="441">
        <f t="shared" si="28"/>
        <v>0.30000266826923072</v>
      </c>
      <c r="G143" s="441">
        <f t="shared" si="29"/>
        <v>4.500080048432905E-2</v>
      </c>
      <c r="H143" s="441">
        <f t="shared" si="41"/>
        <v>0</v>
      </c>
      <c r="I143" s="441">
        <v>0</v>
      </c>
      <c r="J143" s="131">
        <f t="shared" si="42"/>
        <v>0.15000133413461536</v>
      </c>
      <c r="K143" s="130">
        <f t="shared" si="30"/>
        <v>2.2500600365916671E-3</v>
      </c>
      <c r="L143" s="42">
        <f t="shared" si="43"/>
        <v>5.182832297694846</v>
      </c>
      <c r="M143" s="42">
        <f t="shared" si="44"/>
        <v>-1.7132107494271001</v>
      </c>
      <c r="N143" s="42">
        <f>(IF(C142&lt;='SOLLECITAZ NASCOSTO'!$P$12,IF(C142&lt;='SOLLECITAZ NASCOSTO'!$P$11,IF(C142&lt;='SOLLECITAZ NASCOSTO'!$P$10,IF(C142&lt;='SOLLECITAZ NASCOSTO'!$P$9,IF(C142&lt;='SOLLECITAZ NASCOSTO'!$P$8,IF(C142&lt;='SOLLECITAZ NASCOSTO'!$P$7,IF(C142&lt;='SOLLECITAZ NASCOSTO'!$P$6,IF(C142&lt;='SOLLECITAZ NASCOSTO'!$P$5,'Progetto del paramento slu'!$G$105,'Progetto del paramento slu'!$G$106),'Progetto del paramento slu'!$G$107),'Progetto del paramento slu'!$G$108),'Progetto del paramento slu'!$G$109),'Progetto del paramento slu'!$G$110),'Progetto del paramento slu'!$G$111),'Progetto del paramento slu'!$G$112),55555)-IF(C142&lt;='SOLLECITAZ NASCOSTO'!$P$12,IF(C142&lt;='SOLLECITAZ NASCOSTO'!$P$11,IF(C142&lt;='SOLLECITAZ NASCOSTO'!$P$10,IF(C142&lt;='SOLLECITAZ NASCOSTO'!$P$9,IF(C142&lt;='SOLLECITAZ NASCOSTO'!$P$8,IF(C142&lt;='SOLLECITAZ NASCOSTO'!$P$7,IF(C142&lt;='SOLLECITAZ NASCOSTO'!$P$6,IF(C142&lt;='SOLLECITAZ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slu'!$G$112))*(C142-IF(C142&lt;='SOLLECITAZ NASCOSTO'!$P$12,IF(C142&lt;='SOLLECITAZ NASCOSTO'!$P$11,IF(C142&lt;='SOLLECITAZ NASCOSTO'!$P$10,IF(C142&lt;='SOLLECITAZ NASCOSTO'!$P$9,IF(C142&lt;='SOLLECITAZ NASCOSTO'!$P$8,IF(C142&lt;='SOLLECITAZ NASCOSTO'!$P$7,IF(C142&lt;='SOLLECITAZ NASCOSTO'!$P$6,IF(C142&lt;='SOLLECITAZ NASCOSTO'!$P$5,'SOLLECITAZ NASCOSTO'!$P$3,'SOLLECITAZ NASCOSTO'!$P$5),'SOLLECITAZ NASCOSTO'!$P$5),'SOLLECITAZ NASCOSTO'!$P$7),'SOLLECITAZ NASCOSTO'!$P$8),'SOLLECITAZ NASCOSTO'!$P$9),'SOLLECITAZ NASCOSTO'!$P$10),'SOLLECITAZ NASCOSTO'!$P$11),'SOLLECITAZ NASCOSTO'!$P$12))/IF(C142&lt;='SOLLECITAZ NASCOSTO'!$P$12,IF(C142&lt;='SOLLECITAZ NASCOSTO'!$P$11,IF(C142&lt;='SOLLECITAZ NASCOSTO'!$P$10,IF(C142&lt;='SOLLECITAZ NASCOSTO'!$P$9,IF(C142&lt;='SOLLECITAZ NASCOSTO'!$P$8,IF(C142&lt;='SOLLECITAZ NASCOSTO'!$P$7,IF(C142&lt;='SOLLECITAZ NASCOSTO'!$P$6,IF(C142&lt;='SOLLECITAZ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slu'!$C$112)+IF(C142&lt;='SOLLECITAZ NASCOSTO'!$P$12,IF(C142&lt;='SOLLECITAZ NASCOSTO'!$P$11,IF(C142&lt;='SOLLECITAZ NASCOSTO'!$P$10,IF(C142&lt;='SOLLECITAZ NASCOSTO'!$P$9,IF(C142&lt;='SOLLECITAZ NASCOSTO'!$P$8,IF(C142&lt;='SOLLECITAZ NASCOSTO'!$P$7,IF(C142&lt;='SOLLECITAZ NASCOSTO'!$P$6,IF(C142&lt;='SOLLECITAZ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9.438626310746427</v>
      </c>
      <c r="O143" s="42">
        <f>IF(C143&lt;='SOLLECITAZ NASCOSTO'!$P$12,IF(C143&lt;='SOLLECITAZ NASCOSTO'!$P$11,IF(C143&lt;='SOLLECITAZ NASCOSTO'!$P$10,IF(C143&lt;='SOLLECITAZ NASCOSTO'!$P$9,IF(C143&lt;='SOLLECITAZ NASCOSTO'!$P$8,IF(C143&lt;='SOLLECITAZ NASCOSTO'!$P$7,IF(C143&lt;='SOLLECITAZ NASCOSTO'!$P$6,IF(C143&lt;='SOLLECITAZ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slu'!$G$111),55555)*(C143-C142)/IF(C143&lt;='SOLLECITAZ NASCOSTO'!$P$12,IF(C143&lt;='SOLLECITAZ NASCOSTO'!$P$11,IF(C143&lt;='SOLLECITAZ NASCOSTO'!$P$10,IF(C143&lt;='SOLLECITAZ NASCOSTO'!$P$9,IF(C143&lt;='SOLLECITAZ NASCOSTO'!$P$8,IF(C143&lt;='SOLLECITAZ NASCOSTO'!$P$7,IF(C143&lt;='SOLLECITAZ NASCOSTO'!$P$6,IF(C143&lt;='SOLLECITAZ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3" s="42">
        <f t="shared" si="39"/>
        <v>1.0999999999999979E-4</v>
      </c>
      <c r="Q143" s="42">
        <f t="shared" si="37"/>
        <v>1</v>
      </c>
      <c r="R143" s="441">
        <f t="shared" si="31"/>
        <v>0.76045673076923082</v>
      </c>
      <c r="S143" s="46">
        <f t="shared" si="38"/>
        <v>0.76045673076923082</v>
      </c>
      <c r="T143" s="211">
        <f t="shared" si="34"/>
        <v>2.5895432692307692</v>
      </c>
      <c r="U143" s="46">
        <f t="shared" si="35"/>
        <v>5.182832297694846</v>
      </c>
      <c r="V143" s="46">
        <f t="shared" si="36"/>
        <v>-1.7132107494271001</v>
      </c>
      <c r="W143" s="496"/>
      <c r="X143" s="497"/>
      <c r="Y143" s="497"/>
      <c r="Z143" s="498"/>
      <c r="AA143" s="47"/>
    </row>
    <row r="144" spans="1:27" s="428" customFormat="1" x14ac:dyDescent="0.25">
      <c r="A144" s="589">
        <f t="shared" si="32"/>
        <v>2.6923076922313882E-6</v>
      </c>
      <c r="B144" s="32">
        <f t="shared" si="40"/>
        <v>112</v>
      </c>
      <c r="C144" s="441">
        <f>'SOLLECITAZ NASCOSTO'!$D$6/'SOLLECITAZ NASCOSTO'!$B$448*'SOLLECITAZ NASCOSTO'!B144</f>
        <v>0.76730769230769225</v>
      </c>
      <c r="D144" s="441">
        <f t="shared" si="33"/>
        <v>0.30000269230769222</v>
      </c>
      <c r="E144" s="441">
        <f t="shared" si="27"/>
        <v>2.6923076922313882E-6</v>
      </c>
      <c r="F144" s="441">
        <f t="shared" si="28"/>
        <v>0.30000269230769222</v>
      </c>
      <c r="G144" s="441">
        <f t="shared" si="29"/>
        <v>4.5000807695931927E-2</v>
      </c>
      <c r="H144" s="441">
        <f t="shared" si="41"/>
        <v>0</v>
      </c>
      <c r="I144" s="441">
        <v>0</v>
      </c>
      <c r="J144" s="131">
        <f t="shared" si="42"/>
        <v>0.15000134615384611</v>
      </c>
      <c r="K144" s="130">
        <f t="shared" si="30"/>
        <v>2.2500605774667154E-3</v>
      </c>
      <c r="L144" s="42">
        <f t="shared" si="43"/>
        <v>5.2479905914972962</v>
      </c>
      <c r="M144" s="42">
        <f t="shared" si="44"/>
        <v>-1.7489413326412793</v>
      </c>
      <c r="N144" s="42">
        <f>(IF(C143&lt;='SOLLECITAZ NASCOSTO'!$P$12,IF(C143&lt;='SOLLECITAZ NASCOSTO'!$P$11,IF(C143&lt;='SOLLECITAZ NASCOSTO'!$P$10,IF(C143&lt;='SOLLECITAZ NASCOSTO'!$P$9,IF(C143&lt;='SOLLECITAZ NASCOSTO'!$P$8,IF(C143&lt;='SOLLECITAZ NASCOSTO'!$P$7,IF(C143&lt;='SOLLECITAZ NASCOSTO'!$P$6,IF(C143&lt;='SOLLECITAZ NASCOSTO'!$P$5,'Progetto del paramento slu'!$G$105,'Progetto del paramento slu'!$G$106),'Progetto del paramento slu'!$G$107),'Progetto del paramento slu'!$G$108),'Progetto del paramento slu'!$G$109),'Progetto del paramento slu'!$G$110),'Progetto del paramento slu'!$G$111),'Progetto del paramento slu'!$G$112),55555)-IF(C143&lt;='SOLLECITAZ NASCOSTO'!$P$12,IF(C143&lt;='SOLLECITAZ NASCOSTO'!$P$11,IF(C143&lt;='SOLLECITAZ NASCOSTO'!$P$10,IF(C143&lt;='SOLLECITAZ NASCOSTO'!$P$9,IF(C143&lt;='SOLLECITAZ NASCOSTO'!$P$8,IF(C143&lt;='SOLLECITAZ NASCOSTO'!$P$7,IF(C143&lt;='SOLLECITAZ NASCOSTO'!$P$6,IF(C143&lt;='SOLLECITAZ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slu'!$G$112))*(C143-IF(C143&lt;='SOLLECITAZ NASCOSTO'!$P$12,IF(C143&lt;='SOLLECITAZ NASCOSTO'!$P$11,IF(C143&lt;='SOLLECITAZ NASCOSTO'!$P$10,IF(C143&lt;='SOLLECITAZ NASCOSTO'!$P$9,IF(C143&lt;='SOLLECITAZ NASCOSTO'!$P$8,IF(C143&lt;='SOLLECITAZ NASCOSTO'!$P$7,IF(C143&lt;='SOLLECITAZ NASCOSTO'!$P$6,IF(C143&lt;='SOLLECITAZ NASCOSTO'!$P$5,'SOLLECITAZ NASCOSTO'!$P$3,'SOLLECITAZ NASCOSTO'!$P$5),'SOLLECITAZ NASCOSTO'!$P$5),'SOLLECITAZ NASCOSTO'!$P$7),'SOLLECITAZ NASCOSTO'!$P$8),'SOLLECITAZ NASCOSTO'!$P$9),'SOLLECITAZ NASCOSTO'!$P$10),'SOLLECITAZ NASCOSTO'!$P$11),'SOLLECITAZ NASCOSTO'!$P$12))/IF(C143&lt;='SOLLECITAZ NASCOSTO'!$P$12,IF(C143&lt;='SOLLECITAZ NASCOSTO'!$P$11,IF(C143&lt;='SOLLECITAZ NASCOSTO'!$P$10,IF(C143&lt;='SOLLECITAZ NASCOSTO'!$P$9,IF(C143&lt;='SOLLECITAZ NASCOSTO'!$P$8,IF(C143&lt;='SOLLECITAZ NASCOSTO'!$P$7,IF(C143&lt;='SOLLECITAZ NASCOSTO'!$P$6,IF(C143&lt;='SOLLECITAZ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slu'!$C$112)+IF(C143&lt;='SOLLECITAZ NASCOSTO'!$P$12,IF(C143&lt;='SOLLECITAZ NASCOSTO'!$P$11,IF(C143&lt;='SOLLECITAZ NASCOSTO'!$P$10,IF(C143&lt;='SOLLECITAZ NASCOSTO'!$P$9,IF(C143&lt;='SOLLECITAZ NASCOSTO'!$P$8,IF(C143&lt;='SOLLECITAZ NASCOSTO'!$P$7,IF(C143&lt;='SOLLECITAZ NASCOSTO'!$P$6,IF(C143&lt;='SOLLECITAZ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9.4867585297387791</v>
      </c>
      <c r="O144" s="42">
        <f>IF(C144&lt;='SOLLECITAZ NASCOSTO'!$P$12,IF(C144&lt;='SOLLECITAZ NASCOSTO'!$P$11,IF(C144&lt;='SOLLECITAZ NASCOSTO'!$P$10,IF(C144&lt;='SOLLECITAZ NASCOSTO'!$P$9,IF(C144&lt;='SOLLECITAZ NASCOSTO'!$P$8,IF(C144&lt;='SOLLECITAZ NASCOSTO'!$P$7,IF(C144&lt;='SOLLECITAZ NASCOSTO'!$P$6,IF(C144&lt;='SOLLECITAZ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slu'!$G$111),55555)*(C144-C143)/IF(C144&lt;='SOLLECITAZ NASCOSTO'!$P$12,IF(C144&lt;='SOLLECITAZ NASCOSTO'!$P$11,IF(C144&lt;='SOLLECITAZ NASCOSTO'!$P$10,IF(C144&lt;='SOLLECITAZ NASCOSTO'!$P$9,IF(C144&lt;='SOLLECITAZ NASCOSTO'!$P$8,IF(C144&lt;='SOLLECITAZ NASCOSTO'!$P$7,IF(C144&lt;='SOLLECITAZ NASCOSTO'!$P$6,IF(C144&lt;='SOLLECITAZ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4.8132218992351712E-2</v>
      </c>
      <c r="P144" s="42">
        <f t="shared" si="39"/>
        <v>1.1099999999999978E-4</v>
      </c>
      <c r="Q144" s="42">
        <f t="shared" si="37"/>
        <v>1</v>
      </c>
      <c r="R144" s="441">
        <f t="shared" si="31"/>
        <v>0.76730769230769225</v>
      </c>
      <c r="S144" s="46">
        <f t="shared" si="38"/>
        <v>0.76730769230769225</v>
      </c>
      <c r="T144" s="211">
        <f t="shared" si="34"/>
        <v>2.5826923076923078</v>
      </c>
      <c r="U144" s="46">
        <f t="shared" si="35"/>
        <v>5.2479905914972962</v>
      </c>
      <c r="V144" s="46">
        <f t="shared" si="36"/>
        <v>-1.7489413326412793</v>
      </c>
      <c r="W144" s="496"/>
      <c r="X144" s="497"/>
      <c r="Y144" s="497"/>
      <c r="Z144" s="498"/>
      <c r="AA144" s="47"/>
    </row>
    <row r="145" spans="1:27" s="428" customFormat="1" x14ac:dyDescent="0.25">
      <c r="A145" s="589">
        <f t="shared" si="32"/>
        <v>2.7163461537860201E-6</v>
      </c>
      <c r="B145" s="32">
        <f t="shared" si="40"/>
        <v>113</v>
      </c>
      <c r="C145" s="441">
        <f>'SOLLECITAZ NASCOSTO'!$D$6/'SOLLECITAZ NASCOSTO'!$B$448*'SOLLECITAZ NASCOSTO'!B145</f>
        <v>0.77415865384615379</v>
      </c>
      <c r="D145" s="441">
        <f t="shared" si="33"/>
        <v>0.30000271634615377</v>
      </c>
      <c r="E145" s="441">
        <f t="shared" si="27"/>
        <v>2.7163461537860201E-6</v>
      </c>
      <c r="F145" s="441">
        <f t="shared" si="28"/>
        <v>0.30000271634615377</v>
      </c>
      <c r="G145" s="441">
        <f t="shared" si="29"/>
        <v>4.5000814907535401E-2</v>
      </c>
      <c r="H145" s="441">
        <f t="shared" si="41"/>
        <v>0</v>
      </c>
      <c r="I145" s="441">
        <v>0</v>
      </c>
      <c r="J145" s="131">
        <f t="shared" si="42"/>
        <v>0.15000135817307689</v>
      </c>
      <c r="K145" s="130">
        <f t="shared" si="30"/>
        <v>2.2500611183418518E-3</v>
      </c>
      <c r="L145" s="42">
        <f t="shared" si="43"/>
        <v>5.3134786372808245</v>
      </c>
      <c r="M145" s="42">
        <f t="shared" si="44"/>
        <v>-1.7851194423792813</v>
      </c>
      <c r="N145" s="42">
        <f>(IF(C144&lt;='SOLLECITAZ NASCOSTO'!$P$12,IF(C144&lt;='SOLLECITAZ NASCOSTO'!$P$11,IF(C144&lt;='SOLLECITAZ NASCOSTO'!$P$10,IF(C144&lt;='SOLLECITAZ NASCOSTO'!$P$9,IF(C144&lt;='SOLLECITAZ NASCOSTO'!$P$8,IF(C144&lt;='SOLLECITAZ NASCOSTO'!$P$7,IF(C144&lt;='SOLLECITAZ NASCOSTO'!$P$6,IF(C144&lt;='SOLLECITAZ NASCOSTO'!$P$5,'Progetto del paramento slu'!$G$105,'Progetto del paramento slu'!$G$106),'Progetto del paramento slu'!$G$107),'Progetto del paramento slu'!$G$108),'Progetto del paramento slu'!$G$109),'Progetto del paramento slu'!$G$110),'Progetto del paramento slu'!$G$111),'Progetto del paramento slu'!$G$112),55555)-IF(C144&lt;='SOLLECITAZ NASCOSTO'!$P$12,IF(C144&lt;='SOLLECITAZ NASCOSTO'!$P$11,IF(C144&lt;='SOLLECITAZ NASCOSTO'!$P$10,IF(C144&lt;='SOLLECITAZ NASCOSTO'!$P$9,IF(C144&lt;='SOLLECITAZ NASCOSTO'!$P$8,IF(C144&lt;='SOLLECITAZ NASCOSTO'!$P$7,IF(C144&lt;='SOLLECITAZ NASCOSTO'!$P$6,IF(C144&lt;='SOLLECITAZ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slu'!$G$112))*(C144-IF(C144&lt;='SOLLECITAZ NASCOSTO'!$P$12,IF(C144&lt;='SOLLECITAZ NASCOSTO'!$P$11,IF(C144&lt;='SOLLECITAZ NASCOSTO'!$P$10,IF(C144&lt;='SOLLECITAZ NASCOSTO'!$P$9,IF(C144&lt;='SOLLECITAZ NASCOSTO'!$P$8,IF(C144&lt;='SOLLECITAZ NASCOSTO'!$P$7,IF(C144&lt;='SOLLECITAZ NASCOSTO'!$P$6,IF(C144&lt;='SOLLECITAZ NASCOSTO'!$P$5,'SOLLECITAZ NASCOSTO'!$P$3,'SOLLECITAZ NASCOSTO'!$P$5),'SOLLECITAZ NASCOSTO'!$P$5),'SOLLECITAZ NASCOSTO'!$P$7),'SOLLECITAZ NASCOSTO'!$P$8),'SOLLECITAZ NASCOSTO'!$P$9),'SOLLECITAZ NASCOSTO'!$P$10),'SOLLECITAZ NASCOSTO'!$P$11),'SOLLECITAZ NASCOSTO'!$P$12))/IF(C144&lt;='SOLLECITAZ NASCOSTO'!$P$12,IF(C144&lt;='SOLLECITAZ NASCOSTO'!$P$11,IF(C144&lt;='SOLLECITAZ NASCOSTO'!$P$10,IF(C144&lt;='SOLLECITAZ NASCOSTO'!$P$9,IF(C144&lt;='SOLLECITAZ NASCOSTO'!$P$8,IF(C144&lt;='SOLLECITAZ NASCOSTO'!$P$7,IF(C144&lt;='SOLLECITAZ NASCOSTO'!$P$6,IF(C144&lt;='SOLLECITAZ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slu'!$C$112)+IF(C144&lt;='SOLLECITAZ NASCOSTO'!$P$12,IF(C144&lt;='SOLLECITAZ NASCOSTO'!$P$11,IF(C144&lt;='SOLLECITAZ NASCOSTO'!$P$10,IF(C144&lt;='SOLLECITAZ NASCOSTO'!$P$9,IF(C144&lt;='SOLLECITAZ NASCOSTO'!$P$8,IF(C144&lt;='SOLLECITAZ NASCOSTO'!$P$7,IF(C144&lt;='SOLLECITAZ NASCOSTO'!$P$6,IF(C144&lt;='SOLLECITAZ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9.5348907487311312</v>
      </c>
      <c r="O145" s="42">
        <f>IF(C145&lt;='SOLLECITAZ NASCOSTO'!$P$12,IF(C145&lt;='SOLLECITAZ NASCOSTO'!$P$11,IF(C145&lt;='SOLLECITAZ NASCOSTO'!$P$10,IF(C145&lt;='SOLLECITAZ NASCOSTO'!$P$9,IF(C145&lt;='SOLLECITAZ NASCOSTO'!$P$8,IF(C145&lt;='SOLLECITAZ NASCOSTO'!$P$7,IF(C145&lt;='SOLLECITAZ NASCOSTO'!$P$6,IF(C145&lt;='SOLLECITAZ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slu'!$G$111),55555)*(C145-C144)/IF(C145&lt;='SOLLECITAZ NASCOSTO'!$P$12,IF(C145&lt;='SOLLECITAZ NASCOSTO'!$P$11,IF(C145&lt;='SOLLECITAZ NASCOSTO'!$P$10,IF(C145&lt;='SOLLECITAZ NASCOSTO'!$P$9,IF(C145&lt;='SOLLECITAZ NASCOSTO'!$P$8,IF(C145&lt;='SOLLECITAZ NASCOSTO'!$P$7,IF(C145&lt;='SOLLECITAZ NASCOSTO'!$P$6,IF(C145&lt;='SOLLECITAZ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5" s="42">
        <f t="shared" si="39"/>
        <v>1.1199999999999978E-4</v>
      </c>
      <c r="Q145" s="42">
        <f t="shared" si="37"/>
        <v>1</v>
      </c>
      <c r="R145" s="441">
        <f t="shared" si="31"/>
        <v>0.77415865384615379</v>
      </c>
      <c r="S145" s="46">
        <f t="shared" si="38"/>
        <v>0.77415865384615379</v>
      </c>
      <c r="T145" s="211">
        <f t="shared" si="34"/>
        <v>2.5758413461538465</v>
      </c>
      <c r="U145" s="46">
        <f t="shared" si="35"/>
        <v>5.3134786372808245</v>
      </c>
      <c r="V145" s="46">
        <f t="shared" si="36"/>
        <v>-1.7851194423792813</v>
      </c>
      <c r="W145" s="496"/>
      <c r="X145" s="497"/>
      <c r="Y145" s="497"/>
      <c r="Z145" s="498"/>
      <c r="AA145" s="47"/>
    </row>
    <row r="146" spans="1:27" s="428" customFormat="1" x14ac:dyDescent="0.25">
      <c r="A146" s="589">
        <f t="shared" si="32"/>
        <v>2.7403846153406519E-6</v>
      </c>
      <c r="B146" s="32">
        <f t="shared" si="40"/>
        <v>114</v>
      </c>
      <c r="C146" s="441">
        <f>'SOLLECITAZ NASCOSTO'!$D$6/'SOLLECITAZ NASCOSTO'!$B$448*'SOLLECITAZ NASCOSTO'!B146</f>
        <v>0.78100961538461533</v>
      </c>
      <c r="D146" s="441">
        <f t="shared" si="33"/>
        <v>0.30000274038461533</v>
      </c>
      <c r="E146" s="441">
        <f t="shared" si="27"/>
        <v>2.7403846153406519E-6</v>
      </c>
      <c r="F146" s="441">
        <f t="shared" si="28"/>
        <v>0.30000274038461533</v>
      </c>
      <c r="G146" s="441">
        <f t="shared" si="29"/>
        <v>4.5000822119139451E-2</v>
      </c>
      <c r="H146" s="441">
        <f t="shared" si="41"/>
        <v>0</v>
      </c>
      <c r="I146" s="441">
        <v>0</v>
      </c>
      <c r="J146" s="131">
        <f t="shared" si="42"/>
        <v>0.15000137019230766</v>
      </c>
      <c r="K146" s="130">
        <f t="shared" si="30"/>
        <v>2.2500616592170753E-3</v>
      </c>
      <c r="L146" s="42">
        <f t="shared" si="43"/>
        <v>5.37929643504543</v>
      </c>
      <c r="M146" s="42">
        <f t="shared" si="44"/>
        <v>-1.821747337759245</v>
      </c>
      <c r="N146" s="42">
        <f>(IF(C145&lt;='SOLLECITAZ NASCOSTO'!$P$12,IF(C145&lt;='SOLLECITAZ NASCOSTO'!$P$11,IF(C145&lt;='SOLLECITAZ NASCOSTO'!$P$10,IF(C145&lt;='SOLLECITAZ NASCOSTO'!$P$9,IF(C145&lt;='SOLLECITAZ NASCOSTO'!$P$8,IF(C145&lt;='SOLLECITAZ NASCOSTO'!$P$7,IF(C145&lt;='SOLLECITAZ NASCOSTO'!$P$6,IF(C145&lt;='SOLLECITAZ NASCOSTO'!$P$5,'Progetto del paramento slu'!$G$105,'Progetto del paramento slu'!$G$106),'Progetto del paramento slu'!$G$107),'Progetto del paramento slu'!$G$108),'Progetto del paramento slu'!$G$109),'Progetto del paramento slu'!$G$110),'Progetto del paramento slu'!$G$111),'Progetto del paramento slu'!$G$112),55555)-IF(C145&lt;='SOLLECITAZ NASCOSTO'!$P$12,IF(C145&lt;='SOLLECITAZ NASCOSTO'!$P$11,IF(C145&lt;='SOLLECITAZ NASCOSTO'!$P$10,IF(C145&lt;='SOLLECITAZ NASCOSTO'!$P$9,IF(C145&lt;='SOLLECITAZ NASCOSTO'!$P$8,IF(C145&lt;='SOLLECITAZ NASCOSTO'!$P$7,IF(C145&lt;='SOLLECITAZ NASCOSTO'!$P$6,IF(C145&lt;='SOLLECITAZ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slu'!$G$112))*(C145-IF(C145&lt;='SOLLECITAZ NASCOSTO'!$P$12,IF(C145&lt;='SOLLECITAZ NASCOSTO'!$P$11,IF(C145&lt;='SOLLECITAZ NASCOSTO'!$P$10,IF(C145&lt;='SOLLECITAZ NASCOSTO'!$P$9,IF(C145&lt;='SOLLECITAZ NASCOSTO'!$P$8,IF(C145&lt;='SOLLECITAZ NASCOSTO'!$P$7,IF(C145&lt;='SOLLECITAZ NASCOSTO'!$P$6,IF(C145&lt;='SOLLECITAZ NASCOSTO'!$P$5,'SOLLECITAZ NASCOSTO'!$P$3,'SOLLECITAZ NASCOSTO'!$P$5),'SOLLECITAZ NASCOSTO'!$P$5),'SOLLECITAZ NASCOSTO'!$P$7),'SOLLECITAZ NASCOSTO'!$P$8),'SOLLECITAZ NASCOSTO'!$P$9),'SOLLECITAZ NASCOSTO'!$P$10),'SOLLECITAZ NASCOSTO'!$P$11),'SOLLECITAZ NASCOSTO'!$P$12))/IF(C145&lt;='SOLLECITAZ NASCOSTO'!$P$12,IF(C145&lt;='SOLLECITAZ NASCOSTO'!$P$11,IF(C145&lt;='SOLLECITAZ NASCOSTO'!$P$10,IF(C145&lt;='SOLLECITAZ NASCOSTO'!$P$9,IF(C145&lt;='SOLLECITAZ NASCOSTO'!$P$8,IF(C145&lt;='SOLLECITAZ NASCOSTO'!$P$7,IF(C145&lt;='SOLLECITAZ NASCOSTO'!$P$6,IF(C145&lt;='SOLLECITAZ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slu'!$C$112)+IF(C145&lt;='SOLLECITAZ NASCOSTO'!$P$12,IF(C145&lt;='SOLLECITAZ NASCOSTO'!$P$11,IF(C145&lt;='SOLLECITAZ NASCOSTO'!$P$10,IF(C145&lt;='SOLLECITAZ NASCOSTO'!$P$9,IF(C145&lt;='SOLLECITAZ NASCOSTO'!$P$8,IF(C145&lt;='SOLLECITAZ NASCOSTO'!$P$7,IF(C145&lt;='SOLLECITAZ NASCOSTO'!$P$6,IF(C145&lt;='SOLLECITAZ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9.5830229677234833</v>
      </c>
      <c r="O146" s="42">
        <f>IF(C146&lt;='SOLLECITAZ NASCOSTO'!$P$12,IF(C146&lt;='SOLLECITAZ NASCOSTO'!$P$11,IF(C146&lt;='SOLLECITAZ NASCOSTO'!$P$10,IF(C146&lt;='SOLLECITAZ NASCOSTO'!$P$9,IF(C146&lt;='SOLLECITAZ NASCOSTO'!$P$8,IF(C146&lt;='SOLLECITAZ NASCOSTO'!$P$7,IF(C146&lt;='SOLLECITAZ NASCOSTO'!$P$6,IF(C146&lt;='SOLLECITAZ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slu'!$G$111),55555)*(C146-C145)/IF(C146&lt;='SOLLECITAZ NASCOSTO'!$P$12,IF(C146&lt;='SOLLECITAZ NASCOSTO'!$P$11,IF(C146&lt;='SOLLECITAZ NASCOSTO'!$P$10,IF(C146&lt;='SOLLECITAZ NASCOSTO'!$P$9,IF(C146&lt;='SOLLECITAZ NASCOSTO'!$P$8,IF(C146&lt;='SOLLECITAZ NASCOSTO'!$P$7,IF(C146&lt;='SOLLECITAZ NASCOSTO'!$P$6,IF(C146&lt;='SOLLECITAZ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6" s="42">
        <f t="shared" si="39"/>
        <v>1.1299999999999978E-4</v>
      </c>
      <c r="Q146" s="42">
        <f t="shared" si="37"/>
        <v>1</v>
      </c>
      <c r="R146" s="441">
        <f t="shared" si="31"/>
        <v>0.78100961538461533</v>
      </c>
      <c r="S146" s="46">
        <f t="shared" si="38"/>
        <v>0.78100961538461533</v>
      </c>
      <c r="T146" s="211">
        <f t="shared" si="34"/>
        <v>2.5689903846153848</v>
      </c>
      <c r="U146" s="46">
        <f t="shared" si="35"/>
        <v>5.37929643504543</v>
      </c>
      <c r="V146" s="46">
        <f t="shared" si="36"/>
        <v>-1.821747337759245</v>
      </c>
      <c r="W146" s="496"/>
      <c r="X146" s="497"/>
      <c r="Y146" s="497"/>
      <c r="Z146" s="498"/>
      <c r="AA146" s="47"/>
    </row>
    <row r="147" spans="1:27" s="428" customFormat="1" x14ac:dyDescent="0.25">
      <c r="A147" s="589">
        <f t="shared" si="32"/>
        <v>2.7644230768397726E-6</v>
      </c>
      <c r="B147" s="32">
        <f t="shared" si="40"/>
        <v>115</v>
      </c>
      <c r="C147" s="441">
        <f>'SOLLECITAZ NASCOSTO'!$D$6/'SOLLECITAZ NASCOSTO'!$B$448*'SOLLECITAZ NASCOSTO'!B147</f>
        <v>0.78786057692307687</v>
      </c>
      <c r="D147" s="441">
        <f t="shared" si="33"/>
        <v>0.30000276442307683</v>
      </c>
      <c r="E147" s="441">
        <f t="shared" si="27"/>
        <v>2.7644230768397726E-6</v>
      </c>
      <c r="F147" s="441">
        <f t="shared" si="28"/>
        <v>0.30000276442307683</v>
      </c>
      <c r="G147" s="441">
        <f t="shared" si="29"/>
        <v>4.500082933074407E-2</v>
      </c>
      <c r="H147" s="441">
        <f t="shared" si="41"/>
        <v>0</v>
      </c>
      <c r="I147" s="441">
        <v>0</v>
      </c>
      <c r="J147" s="131">
        <f t="shared" si="42"/>
        <v>0.15000138221153841</v>
      </c>
      <c r="K147" s="130">
        <f t="shared" si="30"/>
        <v>2.2500622000923834E-3</v>
      </c>
      <c r="L147" s="42">
        <f t="shared" si="43"/>
        <v>5.4454439847911136</v>
      </c>
      <c r="M147" s="42">
        <f t="shared" si="44"/>
        <v>-1.85882727789931</v>
      </c>
      <c r="N147" s="42">
        <f>(IF(C146&lt;='SOLLECITAZ NASCOSTO'!$P$12,IF(C146&lt;='SOLLECITAZ NASCOSTO'!$P$11,IF(C146&lt;='SOLLECITAZ NASCOSTO'!$P$10,IF(C146&lt;='SOLLECITAZ NASCOSTO'!$P$9,IF(C146&lt;='SOLLECITAZ NASCOSTO'!$P$8,IF(C146&lt;='SOLLECITAZ NASCOSTO'!$P$7,IF(C146&lt;='SOLLECITAZ NASCOSTO'!$P$6,IF(C146&lt;='SOLLECITAZ NASCOSTO'!$P$5,'Progetto del paramento slu'!$G$105,'Progetto del paramento slu'!$G$106),'Progetto del paramento slu'!$G$107),'Progetto del paramento slu'!$G$108),'Progetto del paramento slu'!$G$109),'Progetto del paramento slu'!$G$110),'Progetto del paramento slu'!$G$111),'Progetto del paramento slu'!$G$112),55555)-IF(C146&lt;='SOLLECITAZ NASCOSTO'!$P$12,IF(C146&lt;='SOLLECITAZ NASCOSTO'!$P$11,IF(C146&lt;='SOLLECITAZ NASCOSTO'!$P$10,IF(C146&lt;='SOLLECITAZ NASCOSTO'!$P$9,IF(C146&lt;='SOLLECITAZ NASCOSTO'!$P$8,IF(C146&lt;='SOLLECITAZ NASCOSTO'!$P$7,IF(C146&lt;='SOLLECITAZ NASCOSTO'!$P$6,IF(C146&lt;='SOLLECITAZ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slu'!$G$112))*(C146-IF(C146&lt;='SOLLECITAZ NASCOSTO'!$P$12,IF(C146&lt;='SOLLECITAZ NASCOSTO'!$P$11,IF(C146&lt;='SOLLECITAZ NASCOSTO'!$P$10,IF(C146&lt;='SOLLECITAZ NASCOSTO'!$P$9,IF(C146&lt;='SOLLECITAZ NASCOSTO'!$P$8,IF(C146&lt;='SOLLECITAZ NASCOSTO'!$P$7,IF(C146&lt;='SOLLECITAZ NASCOSTO'!$P$6,IF(C146&lt;='SOLLECITAZ NASCOSTO'!$P$5,'SOLLECITAZ NASCOSTO'!$P$3,'SOLLECITAZ NASCOSTO'!$P$5),'SOLLECITAZ NASCOSTO'!$P$5),'SOLLECITAZ NASCOSTO'!$P$7),'SOLLECITAZ NASCOSTO'!$P$8),'SOLLECITAZ NASCOSTO'!$P$9),'SOLLECITAZ NASCOSTO'!$P$10),'SOLLECITAZ NASCOSTO'!$P$11),'SOLLECITAZ NASCOSTO'!$P$12))/IF(C146&lt;='SOLLECITAZ NASCOSTO'!$P$12,IF(C146&lt;='SOLLECITAZ NASCOSTO'!$P$11,IF(C146&lt;='SOLLECITAZ NASCOSTO'!$P$10,IF(C146&lt;='SOLLECITAZ NASCOSTO'!$P$9,IF(C146&lt;='SOLLECITAZ NASCOSTO'!$P$8,IF(C146&lt;='SOLLECITAZ NASCOSTO'!$P$7,IF(C146&lt;='SOLLECITAZ NASCOSTO'!$P$6,IF(C146&lt;='SOLLECITAZ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slu'!$C$112)+IF(C146&lt;='SOLLECITAZ NASCOSTO'!$P$12,IF(C146&lt;='SOLLECITAZ NASCOSTO'!$P$11,IF(C146&lt;='SOLLECITAZ NASCOSTO'!$P$10,IF(C146&lt;='SOLLECITAZ NASCOSTO'!$P$9,IF(C146&lt;='SOLLECITAZ NASCOSTO'!$P$8,IF(C146&lt;='SOLLECITAZ NASCOSTO'!$P$7,IF(C146&lt;='SOLLECITAZ NASCOSTO'!$P$6,IF(C146&lt;='SOLLECITAZ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9.6311551867158371</v>
      </c>
      <c r="O147" s="42">
        <f>IF(C147&lt;='SOLLECITAZ NASCOSTO'!$P$12,IF(C147&lt;='SOLLECITAZ NASCOSTO'!$P$11,IF(C147&lt;='SOLLECITAZ NASCOSTO'!$P$10,IF(C147&lt;='SOLLECITAZ NASCOSTO'!$P$9,IF(C147&lt;='SOLLECITAZ NASCOSTO'!$P$8,IF(C147&lt;='SOLLECITAZ NASCOSTO'!$P$7,IF(C147&lt;='SOLLECITAZ NASCOSTO'!$P$6,IF(C147&lt;='SOLLECITAZ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slu'!$G$111),55555)*(C147-C146)/IF(C147&lt;='SOLLECITAZ NASCOSTO'!$P$12,IF(C147&lt;='SOLLECITAZ NASCOSTO'!$P$11,IF(C147&lt;='SOLLECITAZ NASCOSTO'!$P$10,IF(C147&lt;='SOLLECITAZ NASCOSTO'!$P$9,IF(C147&lt;='SOLLECITAZ NASCOSTO'!$P$8,IF(C147&lt;='SOLLECITAZ NASCOSTO'!$P$7,IF(C147&lt;='SOLLECITAZ NASCOSTO'!$P$6,IF(C147&lt;='SOLLECITAZ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7" s="42">
        <f t="shared" si="39"/>
        <v>1.1399999999999978E-4</v>
      </c>
      <c r="Q147" s="42">
        <f t="shared" si="37"/>
        <v>1</v>
      </c>
      <c r="R147" s="441">
        <f t="shared" si="31"/>
        <v>0.78786057692307687</v>
      </c>
      <c r="S147" s="46">
        <f t="shared" si="38"/>
        <v>0.78786057692307687</v>
      </c>
      <c r="T147" s="211">
        <f t="shared" si="34"/>
        <v>2.562139423076923</v>
      </c>
      <c r="U147" s="46">
        <f t="shared" si="35"/>
        <v>5.4454439847911136</v>
      </c>
      <c r="V147" s="46">
        <f t="shared" si="36"/>
        <v>-1.85882727789931</v>
      </c>
      <c r="W147" s="496"/>
      <c r="X147" s="497"/>
      <c r="Y147" s="497"/>
      <c r="Z147" s="498"/>
      <c r="AA147" s="47"/>
    </row>
    <row r="148" spans="1:27" s="428" customFormat="1" x14ac:dyDescent="0.25">
      <c r="A148" s="589">
        <f t="shared" si="32"/>
        <v>2.7884615383944045E-6</v>
      </c>
      <c r="B148" s="32">
        <f t="shared" si="40"/>
        <v>116</v>
      </c>
      <c r="C148" s="441">
        <f>'SOLLECITAZ NASCOSTO'!$D$6/'SOLLECITAZ NASCOSTO'!$B$448*'SOLLECITAZ NASCOSTO'!B148</f>
        <v>0.79471153846153841</v>
      </c>
      <c r="D148" s="441">
        <f t="shared" si="33"/>
        <v>0.30000278846153838</v>
      </c>
      <c r="E148" s="441">
        <f t="shared" si="27"/>
        <v>2.7884615383944045E-6</v>
      </c>
      <c r="F148" s="441">
        <f t="shared" si="28"/>
        <v>0.30000278846153838</v>
      </c>
      <c r="G148" s="441">
        <f t="shared" si="29"/>
        <v>4.5000836542349279E-2</v>
      </c>
      <c r="H148" s="441">
        <f t="shared" si="41"/>
        <v>0</v>
      </c>
      <c r="I148" s="441">
        <v>0</v>
      </c>
      <c r="J148" s="131">
        <f t="shared" si="42"/>
        <v>0.15000139423076922</v>
      </c>
      <c r="K148" s="130">
        <f t="shared" si="30"/>
        <v>2.250062740967779E-3</v>
      </c>
      <c r="L148" s="42">
        <f t="shared" si="43"/>
        <v>5.5119212865178744</v>
      </c>
      <c r="M148" s="42">
        <f t="shared" si="44"/>
        <v>-1.896361521917616</v>
      </c>
      <c r="N148" s="42">
        <f>(IF(C147&lt;='SOLLECITAZ NASCOSTO'!$P$12,IF(C147&lt;='SOLLECITAZ NASCOSTO'!$P$11,IF(C147&lt;='SOLLECITAZ NASCOSTO'!$P$10,IF(C147&lt;='SOLLECITAZ NASCOSTO'!$P$9,IF(C147&lt;='SOLLECITAZ NASCOSTO'!$P$8,IF(C147&lt;='SOLLECITAZ NASCOSTO'!$P$7,IF(C147&lt;='SOLLECITAZ NASCOSTO'!$P$6,IF(C147&lt;='SOLLECITAZ NASCOSTO'!$P$5,'Progetto del paramento slu'!$G$105,'Progetto del paramento slu'!$G$106),'Progetto del paramento slu'!$G$107),'Progetto del paramento slu'!$G$108),'Progetto del paramento slu'!$G$109),'Progetto del paramento slu'!$G$110),'Progetto del paramento slu'!$G$111),'Progetto del paramento slu'!$G$112),55555)-IF(C147&lt;='SOLLECITAZ NASCOSTO'!$P$12,IF(C147&lt;='SOLLECITAZ NASCOSTO'!$P$11,IF(C147&lt;='SOLLECITAZ NASCOSTO'!$P$10,IF(C147&lt;='SOLLECITAZ NASCOSTO'!$P$9,IF(C147&lt;='SOLLECITAZ NASCOSTO'!$P$8,IF(C147&lt;='SOLLECITAZ NASCOSTO'!$P$7,IF(C147&lt;='SOLLECITAZ NASCOSTO'!$P$6,IF(C147&lt;='SOLLECITAZ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slu'!$G$112))*(C147-IF(C147&lt;='SOLLECITAZ NASCOSTO'!$P$12,IF(C147&lt;='SOLLECITAZ NASCOSTO'!$P$11,IF(C147&lt;='SOLLECITAZ NASCOSTO'!$P$10,IF(C147&lt;='SOLLECITAZ NASCOSTO'!$P$9,IF(C147&lt;='SOLLECITAZ NASCOSTO'!$P$8,IF(C147&lt;='SOLLECITAZ NASCOSTO'!$P$7,IF(C147&lt;='SOLLECITAZ NASCOSTO'!$P$6,IF(C147&lt;='SOLLECITAZ NASCOSTO'!$P$5,'SOLLECITAZ NASCOSTO'!$P$3,'SOLLECITAZ NASCOSTO'!$P$5),'SOLLECITAZ NASCOSTO'!$P$5),'SOLLECITAZ NASCOSTO'!$P$7),'SOLLECITAZ NASCOSTO'!$P$8),'SOLLECITAZ NASCOSTO'!$P$9),'SOLLECITAZ NASCOSTO'!$P$10),'SOLLECITAZ NASCOSTO'!$P$11),'SOLLECITAZ NASCOSTO'!$P$12))/IF(C147&lt;='SOLLECITAZ NASCOSTO'!$P$12,IF(C147&lt;='SOLLECITAZ NASCOSTO'!$P$11,IF(C147&lt;='SOLLECITAZ NASCOSTO'!$P$10,IF(C147&lt;='SOLLECITAZ NASCOSTO'!$P$9,IF(C147&lt;='SOLLECITAZ NASCOSTO'!$P$8,IF(C147&lt;='SOLLECITAZ NASCOSTO'!$P$7,IF(C147&lt;='SOLLECITAZ NASCOSTO'!$P$6,IF(C147&lt;='SOLLECITAZ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slu'!$C$112)+IF(C147&lt;='SOLLECITAZ NASCOSTO'!$P$12,IF(C147&lt;='SOLLECITAZ NASCOSTO'!$P$11,IF(C147&lt;='SOLLECITAZ NASCOSTO'!$P$10,IF(C147&lt;='SOLLECITAZ NASCOSTO'!$P$9,IF(C147&lt;='SOLLECITAZ NASCOSTO'!$P$8,IF(C147&lt;='SOLLECITAZ NASCOSTO'!$P$7,IF(C147&lt;='SOLLECITAZ NASCOSTO'!$P$6,IF(C147&lt;='SOLLECITAZ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9.6792874057081892</v>
      </c>
      <c r="O148" s="42">
        <f>IF(C148&lt;='SOLLECITAZ NASCOSTO'!$P$12,IF(C148&lt;='SOLLECITAZ NASCOSTO'!$P$11,IF(C148&lt;='SOLLECITAZ NASCOSTO'!$P$10,IF(C148&lt;='SOLLECITAZ NASCOSTO'!$P$9,IF(C148&lt;='SOLLECITAZ NASCOSTO'!$P$8,IF(C148&lt;='SOLLECITAZ NASCOSTO'!$P$7,IF(C148&lt;='SOLLECITAZ NASCOSTO'!$P$6,IF(C148&lt;='SOLLECITAZ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slu'!$G$111),55555)*(C148-C147)/IF(C148&lt;='SOLLECITAZ NASCOSTO'!$P$12,IF(C148&lt;='SOLLECITAZ NASCOSTO'!$P$11,IF(C148&lt;='SOLLECITAZ NASCOSTO'!$P$10,IF(C148&lt;='SOLLECITAZ NASCOSTO'!$P$9,IF(C148&lt;='SOLLECITAZ NASCOSTO'!$P$8,IF(C148&lt;='SOLLECITAZ NASCOSTO'!$P$7,IF(C148&lt;='SOLLECITAZ NASCOSTO'!$P$6,IF(C148&lt;='SOLLECITAZ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8" s="42">
        <f t="shared" si="39"/>
        <v>1.1499999999999977E-4</v>
      </c>
      <c r="Q148" s="42">
        <f t="shared" si="37"/>
        <v>1</v>
      </c>
      <c r="R148" s="441">
        <f t="shared" si="31"/>
        <v>0.79471153846153841</v>
      </c>
      <c r="S148" s="46">
        <f t="shared" si="38"/>
        <v>0.79471153846153841</v>
      </c>
      <c r="T148" s="211">
        <f t="shared" si="34"/>
        <v>2.5552884615384617</v>
      </c>
      <c r="U148" s="46">
        <f t="shared" si="35"/>
        <v>5.5119212865178744</v>
      </c>
      <c r="V148" s="46">
        <f t="shared" si="36"/>
        <v>-1.896361521917616</v>
      </c>
      <c r="W148" s="496"/>
      <c r="X148" s="497"/>
      <c r="Y148" s="497"/>
      <c r="Z148" s="498"/>
      <c r="AA148" s="47"/>
    </row>
    <row r="149" spans="1:27" s="428" customFormat="1" x14ac:dyDescent="0.25">
      <c r="A149" s="589">
        <f t="shared" si="32"/>
        <v>2.8124999999490363E-6</v>
      </c>
      <c r="B149" s="32">
        <f t="shared" si="40"/>
        <v>117</v>
      </c>
      <c r="C149" s="441">
        <f>'SOLLECITAZ NASCOSTO'!$D$6/'SOLLECITAZ NASCOSTO'!$B$448*'SOLLECITAZ NASCOSTO'!B149</f>
        <v>0.80156249999999996</v>
      </c>
      <c r="D149" s="441">
        <f t="shared" si="33"/>
        <v>0.30000281249999994</v>
      </c>
      <c r="E149" s="441">
        <f t="shared" si="27"/>
        <v>2.8124999999490363E-6</v>
      </c>
      <c r="F149" s="441">
        <f t="shared" si="28"/>
        <v>0.30000281249999994</v>
      </c>
      <c r="G149" s="441">
        <f t="shared" si="29"/>
        <v>4.5000843753955064E-2</v>
      </c>
      <c r="H149" s="441">
        <f t="shared" si="41"/>
        <v>0</v>
      </c>
      <c r="I149" s="441">
        <v>0</v>
      </c>
      <c r="J149" s="131">
        <f t="shared" si="42"/>
        <v>0.15000140625</v>
      </c>
      <c r="K149" s="130">
        <f t="shared" si="30"/>
        <v>2.2500632818432623E-3</v>
      </c>
      <c r="L149" s="42">
        <f t="shared" si="43"/>
        <v>5.5787283402257124</v>
      </c>
      <c r="M149" s="42">
        <f t="shared" si="44"/>
        <v>-1.9343523289323026</v>
      </c>
      <c r="N149" s="42">
        <f>(IF(C148&lt;='SOLLECITAZ NASCOSTO'!$P$12,IF(C148&lt;='SOLLECITAZ NASCOSTO'!$P$11,IF(C148&lt;='SOLLECITAZ NASCOSTO'!$P$10,IF(C148&lt;='SOLLECITAZ NASCOSTO'!$P$9,IF(C148&lt;='SOLLECITAZ NASCOSTO'!$P$8,IF(C148&lt;='SOLLECITAZ NASCOSTO'!$P$7,IF(C148&lt;='SOLLECITAZ NASCOSTO'!$P$6,IF(C148&lt;='SOLLECITAZ NASCOSTO'!$P$5,'Progetto del paramento slu'!$G$105,'Progetto del paramento slu'!$G$106),'Progetto del paramento slu'!$G$107),'Progetto del paramento slu'!$G$108),'Progetto del paramento slu'!$G$109),'Progetto del paramento slu'!$G$110),'Progetto del paramento slu'!$G$111),'Progetto del paramento slu'!$G$112),55555)-IF(C148&lt;='SOLLECITAZ NASCOSTO'!$P$12,IF(C148&lt;='SOLLECITAZ NASCOSTO'!$P$11,IF(C148&lt;='SOLLECITAZ NASCOSTO'!$P$10,IF(C148&lt;='SOLLECITAZ NASCOSTO'!$P$9,IF(C148&lt;='SOLLECITAZ NASCOSTO'!$P$8,IF(C148&lt;='SOLLECITAZ NASCOSTO'!$P$7,IF(C148&lt;='SOLLECITAZ NASCOSTO'!$P$6,IF(C148&lt;='SOLLECITAZ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slu'!$G$112))*(C148-IF(C148&lt;='SOLLECITAZ NASCOSTO'!$P$12,IF(C148&lt;='SOLLECITAZ NASCOSTO'!$P$11,IF(C148&lt;='SOLLECITAZ NASCOSTO'!$P$10,IF(C148&lt;='SOLLECITAZ NASCOSTO'!$P$9,IF(C148&lt;='SOLLECITAZ NASCOSTO'!$P$8,IF(C148&lt;='SOLLECITAZ NASCOSTO'!$P$7,IF(C148&lt;='SOLLECITAZ NASCOSTO'!$P$6,IF(C148&lt;='SOLLECITAZ NASCOSTO'!$P$5,'SOLLECITAZ NASCOSTO'!$P$3,'SOLLECITAZ NASCOSTO'!$P$5),'SOLLECITAZ NASCOSTO'!$P$5),'SOLLECITAZ NASCOSTO'!$P$7),'SOLLECITAZ NASCOSTO'!$P$8),'SOLLECITAZ NASCOSTO'!$P$9),'SOLLECITAZ NASCOSTO'!$P$10),'SOLLECITAZ NASCOSTO'!$P$11),'SOLLECITAZ NASCOSTO'!$P$12))/IF(C148&lt;='SOLLECITAZ NASCOSTO'!$P$12,IF(C148&lt;='SOLLECITAZ NASCOSTO'!$P$11,IF(C148&lt;='SOLLECITAZ NASCOSTO'!$P$10,IF(C148&lt;='SOLLECITAZ NASCOSTO'!$P$9,IF(C148&lt;='SOLLECITAZ NASCOSTO'!$P$8,IF(C148&lt;='SOLLECITAZ NASCOSTO'!$P$7,IF(C148&lt;='SOLLECITAZ NASCOSTO'!$P$6,IF(C148&lt;='SOLLECITAZ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slu'!$C$112)+IF(C148&lt;='SOLLECITAZ NASCOSTO'!$P$12,IF(C148&lt;='SOLLECITAZ NASCOSTO'!$P$11,IF(C148&lt;='SOLLECITAZ NASCOSTO'!$P$10,IF(C148&lt;='SOLLECITAZ NASCOSTO'!$P$9,IF(C148&lt;='SOLLECITAZ NASCOSTO'!$P$8,IF(C148&lt;='SOLLECITAZ NASCOSTO'!$P$7,IF(C148&lt;='SOLLECITAZ NASCOSTO'!$P$6,IF(C148&lt;='SOLLECITAZ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9.7274196247005413</v>
      </c>
      <c r="O149" s="42">
        <f>IF(C149&lt;='SOLLECITAZ NASCOSTO'!$P$12,IF(C149&lt;='SOLLECITAZ NASCOSTO'!$P$11,IF(C149&lt;='SOLLECITAZ NASCOSTO'!$P$10,IF(C149&lt;='SOLLECITAZ NASCOSTO'!$P$9,IF(C149&lt;='SOLLECITAZ NASCOSTO'!$P$8,IF(C149&lt;='SOLLECITAZ NASCOSTO'!$P$7,IF(C149&lt;='SOLLECITAZ NASCOSTO'!$P$6,IF(C149&lt;='SOLLECITAZ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slu'!$G$111),55555)*(C149-C148)/IF(C149&lt;='SOLLECITAZ NASCOSTO'!$P$12,IF(C149&lt;='SOLLECITAZ NASCOSTO'!$P$11,IF(C149&lt;='SOLLECITAZ NASCOSTO'!$P$10,IF(C149&lt;='SOLLECITAZ NASCOSTO'!$P$9,IF(C149&lt;='SOLLECITAZ NASCOSTO'!$P$8,IF(C149&lt;='SOLLECITAZ NASCOSTO'!$P$7,IF(C149&lt;='SOLLECITAZ NASCOSTO'!$P$6,IF(C149&lt;='SOLLECITAZ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49" s="42">
        <f t="shared" si="39"/>
        <v>1.1599999999999977E-4</v>
      </c>
      <c r="Q149" s="42">
        <f t="shared" si="37"/>
        <v>1</v>
      </c>
      <c r="R149" s="441">
        <f t="shared" si="31"/>
        <v>0.80156249999999996</v>
      </c>
      <c r="S149" s="46">
        <f t="shared" si="38"/>
        <v>0.80156249999999996</v>
      </c>
      <c r="T149" s="211">
        <f t="shared" si="34"/>
        <v>2.5484375000000004</v>
      </c>
      <c r="U149" s="46">
        <f t="shared" si="35"/>
        <v>5.5787283402257124</v>
      </c>
      <c r="V149" s="46">
        <f t="shared" si="36"/>
        <v>-1.9343523289323026</v>
      </c>
      <c r="W149" s="496"/>
      <c r="X149" s="497"/>
      <c r="Y149" s="497"/>
      <c r="Z149" s="498"/>
      <c r="AA149" s="47"/>
    </row>
    <row r="150" spans="1:27" s="428" customFormat="1" x14ac:dyDescent="0.25">
      <c r="A150" s="589">
        <f t="shared" si="32"/>
        <v>2.836538461448157E-6</v>
      </c>
      <c r="B150" s="32">
        <f t="shared" si="40"/>
        <v>118</v>
      </c>
      <c r="C150" s="441">
        <f>'SOLLECITAZ NASCOSTO'!$D$6/'SOLLECITAZ NASCOSTO'!$B$448*'SOLLECITAZ NASCOSTO'!B150</f>
        <v>0.8084134615384615</v>
      </c>
      <c r="D150" s="441">
        <f t="shared" si="33"/>
        <v>0.30000283653846144</v>
      </c>
      <c r="E150" s="441">
        <f t="shared" si="27"/>
        <v>2.836538461448157E-6</v>
      </c>
      <c r="F150" s="441">
        <f t="shared" si="28"/>
        <v>0.30000283653846144</v>
      </c>
      <c r="G150" s="441">
        <f t="shared" si="29"/>
        <v>4.5000850965561411E-2</v>
      </c>
      <c r="H150" s="441">
        <f t="shared" si="41"/>
        <v>0</v>
      </c>
      <c r="I150" s="441">
        <v>0</v>
      </c>
      <c r="J150" s="131">
        <f t="shared" si="42"/>
        <v>0.15000141826923075</v>
      </c>
      <c r="K150" s="130">
        <f t="shared" si="30"/>
        <v>2.2500638227188306E-3</v>
      </c>
      <c r="L150" s="42">
        <f t="shared" si="43"/>
        <v>5.6458651459146276</v>
      </c>
      <c r="M150" s="42">
        <f t="shared" si="44"/>
        <v>-1.9728019580615093</v>
      </c>
      <c r="N150" s="42">
        <f>(IF(C149&lt;='SOLLECITAZ NASCOSTO'!$P$12,IF(C149&lt;='SOLLECITAZ NASCOSTO'!$P$11,IF(C149&lt;='SOLLECITAZ NASCOSTO'!$P$10,IF(C149&lt;='SOLLECITAZ NASCOSTO'!$P$9,IF(C149&lt;='SOLLECITAZ NASCOSTO'!$P$8,IF(C149&lt;='SOLLECITAZ NASCOSTO'!$P$7,IF(C149&lt;='SOLLECITAZ NASCOSTO'!$P$6,IF(C149&lt;='SOLLECITAZ NASCOSTO'!$P$5,'Progetto del paramento slu'!$G$105,'Progetto del paramento slu'!$G$106),'Progetto del paramento slu'!$G$107),'Progetto del paramento slu'!$G$108),'Progetto del paramento slu'!$G$109),'Progetto del paramento slu'!$G$110),'Progetto del paramento slu'!$G$111),'Progetto del paramento slu'!$G$112),55555)-IF(C149&lt;='SOLLECITAZ NASCOSTO'!$P$12,IF(C149&lt;='SOLLECITAZ NASCOSTO'!$P$11,IF(C149&lt;='SOLLECITAZ NASCOSTO'!$P$10,IF(C149&lt;='SOLLECITAZ NASCOSTO'!$P$9,IF(C149&lt;='SOLLECITAZ NASCOSTO'!$P$8,IF(C149&lt;='SOLLECITAZ NASCOSTO'!$P$7,IF(C149&lt;='SOLLECITAZ NASCOSTO'!$P$6,IF(C149&lt;='SOLLECITAZ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slu'!$G$112))*(C149-IF(C149&lt;='SOLLECITAZ NASCOSTO'!$P$12,IF(C149&lt;='SOLLECITAZ NASCOSTO'!$P$11,IF(C149&lt;='SOLLECITAZ NASCOSTO'!$P$10,IF(C149&lt;='SOLLECITAZ NASCOSTO'!$P$9,IF(C149&lt;='SOLLECITAZ NASCOSTO'!$P$8,IF(C149&lt;='SOLLECITAZ NASCOSTO'!$P$7,IF(C149&lt;='SOLLECITAZ NASCOSTO'!$P$6,IF(C149&lt;='SOLLECITAZ NASCOSTO'!$P$5,'SOLLECITAZ NASCOSTO'!$P$3,'SOLLECITAZ NASCOSTO'!$P$5),'SOLLECITAZ NASCOSTO'!$P$5),'SOLLECITAZ NASCOSTO'!$P$7),'SOLLECITAZ NASCOSTO'!$P$8),'SOLLECITAZ NASCOSTO'!$P$9),'SOLLECITAZ NASCOSTO'!$P$10),'SOLLECITAZ NASCOSTO'!$P$11),'SOLLECITAZ NASCOSTO'!$P$12))/IF(C149&lt;='SOLLECITAZ NASCOSTO'!$P$12,IF(C149&lt;='SOLLECITAZ NASCOSTO'!$P$11,IF(C149&lt;='SOLLECITAZ NASCOSTO'!$P$10,IF(C149&lt;='SOLLECITAZ NASCOSTO'!$P$9,IF(C149&lt;='SOLLECITAZ NASCOSTO'!$P$8,IF(C149&lt;='SOLLECITAZ NASCOSTO'!$P$7,IF(C149&lt;='SOLLECITAZ NASCOSTO'!$P$6,IF(C149&lt;='SOLLECITAZ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slu'!$C$112)+IF(C149&lt;='SOLLECITAZ NASCOSTO'!$P$12,IF(C149&lt;='SOLLECITAZ NASCOSTO'!$P$11,IF(C149&lt;='SOLLECITAZ NASCOSTO'!$P$10,IF(C149&lt;='SOLLECITAZ NASCOSTO'!$P$9,IF(C149&lt;='SOLLECITAZ NASCOSTO'!$P$8,IF(C149&lt;='SOLLECITAZ NASCOSTO'!$P$7,IF(C149&lt;='SOLLECITAZ NASCOSTO'!$P$6,IF(C149&lt;='SOLLECITAZ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9.7755518436928952</v>
      </c>
      <c r="O150" s="42">
        <f>IF(C150&lt;='SOLLECITAZ NASCOSTO'!$P$12,IF(C150&lt;='SOLLECITAZ NASCOSTO'!$P$11,IF(C150&lt;='SOLLECITAZ NASCOSTO'!$P$10,IF(C150&lt;='SOLLECITAZ NASCOSTO'!$P$9,IF(C150&lt;='SOLLECITAZ NASCOSTO'!$P$8,IF(C150&lt;='SOLLECITAZ NASCOSTO'!$P$7,IF(C150&lt;='SOLLECITAZ NASCOSTO'!$P$6,IF(C150&lt;='SOLLECITAZ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slu'!$G$111),55555)*(C150-C149)/IF(C150&lt;='SOLLECITAZ NASCOSTO'!$P$12,IF(C150&lt;='SOLLECITAZ NASCOSTO'!$P$11,IF(C150&lt;='SOLLECITAZ NASCOSTO'!$P$10,IF(C150&lt;='SOLLECITAZ NASCOSTO'!$P$9,IF(C150&lt;='SOLLECITAZ NASCOSTO'!$P$8,IF(C150&lt;='SOLLECITAZ NASCOSTO'!$P$7,IF(C150&lt;='SOLLECITAZ NASCOSTO'!$P$6,IF(C150&lt;='SOLLECITAZ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0" s="42">
        <f t="shared" si="39"/>
        <v>1.1699999999999977E-4</v>
      </c>
      <c r="Q150" s="42">
        <f t="shared" si="37"/>
        <v>1</v>
      </c>
      <c r="R150" s="441">
        <f t="shared" si="31"/>
        <v>0.8084134615384615</v>
      </c>
      <c r="S150" s="46">
        <f t="shared" si="38"/>
        <v>0.8084134615384615</v>
      </c>
      <c r="T150" s="211">
        <f t="shared" si="34"/>
        <v>2.5415865384615386</v>
      </c>
      <c r="U150" s="46">
        <f t="shared" si="35"/>
        <v>5.6458651459146276</v>
      </c>
      <c r="V150" s="46">
        <f t="shared" si="36"/>
        <v>-1.9728019580615093</v>
      </c>
      <c r="W150" s="496"/>
      <c r="X150" s="497"/>
      <c r="Y150" s="497"/>
      <c r="Z150" s="498"/>
      <c r="AA150" s="47"/>
    </row>
    <row r="151" spans="1:27" s="428" customFormat="1" x14ac:dyDescent="0.25">
      <c r="A151" s="589">
        <f t="shared" si="32"/>
        <v>2.8605769230027889E-6</v>
      </c>
      <c r="B151" s="32">
        <f t="shared" si="40"/>
        <v>119</v>
      </c>
      <c r="C151" s="441">
        <f>'SOLLECITAZ NASCOSTO'!$D$6/'SOLLECITAZ NASCOSTO'!$B$448*'SOLLECITAZ NASCOSTO'!B151</f>
        <v>0.81526442307692304</v>
      </c>
      <c r="D151" s="441">
        <f t="shared" si="33"/>
        <v>0.30000286057692299</v>
      </c>
      <c r="E151" s="441">
        <f t="shared" si="27"/>
        <v>2.8605769230027889E-6</v>
      </c>
      <c r="F151" s="441">
        <f t="shared" si="28"/>
        <v>0.30000286057692299</v>
      </c>
      <c r="G151" s="441">
        <f t="shared" si="29"/>
        <v>4.5000858177168347E-2</v>
      </c>
      <c r="H151" s="441">
        <f t="shared" si="41"/>
        <v>0</v>
      </c>
      <c r="I151" s="441">
        <v>0</v>
      </c>
      <c r="J151" s="131">
        <f t="shared" si="42"/>
        <v>0.1500014302884615</v>
      </c>
      <c r="K151" s="130">
        <f t="shared" si="30"/>
        <v>2.2500643635944865E-3</v>
      </c>
      <c r="L151" s="42">
        <f t="shared" si="43"/>
        <v>5.7133317035846201</v>
      </c>
      <c r="M151" s="42">
        <f t="shared" si="44"/>
        <v>-2.0117126684233755</v>
      </c>
      <c r="N151" s="42">
        <f>(IF(C150&lt;='SOLLECITAZ NASCOSTO'!$P$12,IF(C150&lt;='SOLLECITAZ NASCOSTO'!$P$11,IF(C150&lt;='SOLLECITAZ NASCOSTO'!$P$10,IF(C150&lt;='SOLLECITAZ NASCOSTO'!$P$9,IF(C150&lt;='SOLLECITAZ NASCOSTO'!$P$8,IF(C150&lt;='SOLLECITAZ NASCOSTO'!$P$7,IF(C150&lt;='SOLLECITAZ NASCOSTO'!$P$6,IF(C150&lt;='SOLLECITAZ NASCOSTO'!$P$5,'Progetto del paramento slu'!$G$105,'Progetto del paramento slu'!$G$106),'Progetto del paramento slu'!$G$107),'Progetto del paramento slu'!$G$108),'Progetto del paramento slu'!$G$109),'Progetto del paramento slu'!$G$110),'Progetto del paramento slu'!$G$111),'Progetto del paramento slu'!$G$112),55555)-IF(C150&lt;='SOLLECITAZ NASCOSTO'!$P$12,IF(C150&lt;='SOLLECITAZ NASCOSTO'!$P$11,IF(C150&lt;='SOLLECITAZ NASCOSTO'!$P$10,IF(C150&lt;='SOLLECITAZ NASCOSTO'!$P$9,IF(C150&lt;='SOLLECITAZ NASCOSTO'!$P$8,IF(C150&lt;='SOLLECITAZ NASCOSTO'!$P$7,IF(C150&lt;='SOLLECITAZ NASCOSTO'!$P$6,IF(C150&lt;='SOLLECITAZ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slu'!$G$112))*(C150-IF(C150&lt;='SOLLECITAZ NASCOSTO'!$P$12,IF(C150&lt;='SOLLECITAZ NASCOSTO'!$P$11,IF(C150&lt;='SOLLECITAZ NASCOSTO'!$P$10,IF(C150&lt;='SOLLECITAZ NASCOSTO'!$P$9,IF(C150&lt;='SOLLECITAZ NASCOSTO'!$P$8,IF(C150&lt;='SOLLECITAZ NASCOSTO'!$P$7,IF(C150&lt;='SOLLECITAZ NASCOSTO'!$P$6,IF(C150&lt;='SOLLECITAZ NASCOSTO'!$P$5,'SOLLECITAZ NASCOSTO'!$P$3,'SOLLECITAZ NASCOSTO'!$P$5),'SOLLECITAZ NASCOSTO'!$P$5),'SOLLECITAZ NASCOSTO'!$P$7),'SOLLECITAZ NASCOSTO'!$P$8),'SOLLECITAZ NASCOSTO'!$P$9),'SOLLECITAZ NASCOSTO'!$P$10),'SOLLECITAZ NASCOSTO'!$P$11),'SOLLECITAZ NASCOSTO'!$P$12))/IF(C150&lt;='SOLLECITAZ NASCOSTO'!$P$12,IF(C150&lt;='SOLLECITAZ NASCOSTO'!$P$11,IF(C150&lt;='SOLLECITAZ NASCOSTO'!$P$10,IF(C150&lt;='SOLLECITAZ NASCOSTO'!$P$9,IF(C150&lt;='SOLLECITAZ NASCOSTO'!$P$8,IF(C150&lt;='SOLLECITAZ NASCOSTO'!$P$7,IF(C150&lt;='SOLLECITAZ NASCOSTO'!$P$6,IF(C150&lt;='SOLLECITAZ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slu'!$C$112)+IF(C150&lt;='SOLLECITAZ NASCOSTO'!$P$12,IF(C150&lt;='SOLLECITAZ NASCOSTO'!$P$11,IF(C150&lt;='SOLLECITAZ NASCOSTO'!$P$10,IF(C150&lt;='SOLLECITAZ NASCOSTO'!$P$9,IF(C150&lt;='SOLLECITAZ NASCOSTO'!$P$8,IF(C150&lt;='SOLLECITAZ NASCOSTO'!$P$7,IF(C150&lt;='SOLLECITAZ NASCOSTO'!$P$6,IF(C150&lt;='SOLLECITAZ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9.8236840626852455</v>
      </c>
      <c r="O151" s="42">
        <f>IF(C151&lt;='SOLLECITAZ NASCOSTO'!$P$12,IF(C151&lt;='SOLLECITAZ NASCOSTO'!$P$11,IF(C151&lt;='SOLLECITAZ NASCOSTO'!$P$10,IF(C151&lt;='SOLLECITAZ NASCOSTO'!$P$9,IF(C151&lt;='SOLLECITAZ NASCOSTO'!$P$8,IF(C151&lt;='SOLLECITAZ NASCOSTO'!$P$7,IF(C151&lt;='SOLLECITAZ NASCOSTO'!$P$6,IF(C151&lt;='SOLLECITAZ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slu'!$G$111),55555)*(C151-C150)/IF(C151&lt;='SOLLECITAZ NASCOSTO'!$P$12,IF(C151&lt;='SOLLECITAZ NASCOSTO'!$P$11,IF(C151&lt;='SOLLECITAZ NASCOSTO'!$P$10,IF(C151&lt;='SOLLECITAZ NASCOSTO'!$P$9,IF(C151&lt;='SOLLECITAZ NASCOSTO'!$P$8,IF(C151&lt;='SOLLECITAZ NASCOSTO'!$P$7,IF(C151&lt;='SOLLECITAZ NASCOSTO'!$P$6,IF(C151&lt;='SOLLECITAZ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1" s="42">
        <f t="shared" si="39"/>
        <v>1.1799999999999976E-4</v>
      </c>
      <c r="Q151" s="42">
        <f t="shared" si="37"/>
        <v>1</v>
      </c>
      <c r="R151" s="441">
        <f t="shared" si="31"/>
        <v>0.81526442307692304</v>
      </c>
      <c r="S151" s="46">
        <f t="shared" si="38"/>
        <v>0.81526442307692304</v>
      </c>
      <c r="T151" s="211">
        <f t="shared" si="34"/>
        <v>2.5347355769230768</v>
      </c>
      <c r="U151" s="46">
        <f t="shared" si="35"/>
        <v>5.7133317035846201</v>
      </c>
      <c r="V151" s="46">
        <f t="shared" si="36"/>
        <v>-2.0117126684233755</v>
      </c>
      <c r="W151" s="496"/>
      <c r="X151" s="497"/>
      <c r="Y151" s="497"/>
      <c r="Z151" s="498"/>
      <c r="AA151" s="47"/>
    </row>
    <row r="152" spans="1:27" s="428" customFormat="1" x14ac:dyDescent="0.25">
      <c r="A152" s="589">
        <f t="shared" si="32"/>
        <v>2.8846153845574207E-6</v>
      </c>
      <c r="B152" s="32">
        <f t="shared" si="40"/>
        <v>120</v>
      </c>
      <c r="C152" s="441">
        <f>'SOLLECITAZ NASCOSTO'!$D$6/'SOLLECITAZ NASCOSTO'!$B$448*'SOLLECITAZ NASCOSTO'!B152</f>
        <v>0.82211538461538458</v>
      </c>
      <c r="D152" s="441">
        <f t="shared" si="33"/>
        <v>0.30000288461538455</v>
      </c>
      <c r="E152" s="441">
        <f t="shared" si="27"/>
        <v>2.8846153845574207E-6</v>
      </c>
      <c r="F152" s="441">
        <f t="shared" si="28"/>
        <v>0.30000288461538455</v>
      </c>
      <c r="G152" s="441">
        <f t="shared" si="29"/>
        <v>4.5000865388775867E-2</v>
      </c>
      <c r="H152" s="441">
        <f t="shared" si="41"/>
        <v>0</v>
      </c>
      <c r="I152" s="441">
        <v>0</v>
      </c>
      <c r="J152" s="131">
        <f t="shared" si="42"/>
        <v>0.15000144230769227</v>
      </c>
      <c r="K152" s="130">
        <f t="shared" si="30"/>
        <v>2.2500649044702296E-3</v>
      </c>
      <c r="L152" s="42">
        <f t="shared" si="43"/>
        <v>5.7811280132356906</v>
      </c>
      <c r="M152" s="42">
        <f t="shared" si="44"/>
        <v>-2.0510867191360411</v>
      </c>
      <c r="N152" s="42">
        <f>(IF(C151&lt;='SOLLECITAZ NASCOSTO'!$P$12,IF(C151&lt;='SOLLECITAZ NASCOSTO'!$P$11,IF(C151&lt;='SOLLECITAZ NASCOSTO'!$P$10,IF(C151&lt;='SOLLECITAZ NASCOSTO'!$P$9,IF(C151&lt;='SOLLECITAZ NASCOSTO'!$P$8,IF(C151&lt;='SOLLECITAZ NASCOSTO'!$P$7,IF(C151&lt;='SOLLECITAZ NASCOSTO'!$P$6,IF(C151&lt;='SOLLECITAZ NASCOSTO'!$P$5,'Progetto del paramento slu'!$G$105,'Progetto del paramento slu'!$G$106),'Progetto del paramento slu'!$G$107),'Progetto del paramento slu'!$G$108),'Progetto del paramento slu'!$G$109),'Progetto del paramento slu'!$G$110),'Progetto del paramento slu'!$G$111),'Progetto del paramento slu'!$G$112),55555)-IF(C151&lt;='SOLLECITAZ NASCOSTO'!$P$12,IF(C151&lt;='SOLLECITAZ NASCOSTO'!$P$11,IF(C151&lt;='SOLLECITAZ NASCOSTO'!$P$10,IF(C151&lt;='SOLLECITAZ NASCOSTO'!$P$9,IF(C151&lt;='SOLLECITAZ NASCOSTO'!$P$8,IF(C151&lt;='SOLLECITAZ NASCOSTO'!$P$7,IF(C151&lt;='SOLLECITAZ NASCOSTO'!$P$6,IF(C151&lt;='SOLLECITAZ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slu'!$G$112))*(C151-IF(C151&lt;='SOLLECITAZ NASCOSTO'!$P$12,IF(C151&lt;='SOLLECITAZ NASCOSTO'!$P$11,IF(C151&lt;='SOLLECITAZ NASCOSTO'!$P$10,IF(C151&lt;='SOLLECITAZ NASCOSTO'!$P$9,IF(C151&lt;='SOLLECITAZ NASCOSTO'!$P$8,IF(C151&lt;='SOLLECITAZ NASCOSTO'!$P$7,IF(C151&lt;='SOLLECITAZ NASCOSTO'!$P$6,IF(C151&lt;='SOLLECITAZ NASCOSTO'!$P$5,'SOLLECITAZ NASCOSTO'!$P$3,'SOLLECITAZ NASCOSTO'!$P$5),'SOLLECITAZ NASCOSTO'!$P$5),'SOLLECITAZ NASCOSTO'!$P$7),'SOLLECITAZ NASCOSTO'!$P$8),'SOLLECITAZ NASCOSTO'!$P$9),'SOLLECITAZ NASCOSTO'!$P$10),'SOLLECITAZ NASCOSTO'!$P$11),'SOLLECITAZ NASCOSTO'!$P$12))/IF(C151&lt;='SOLLECITAZ NASCOSTO'!$P$12,IF(C151&lt;='SOLLECITAZ NASCOSTO'!$P$11,IF(C151&lt;='SOLLECITAZ NASCOSTO'!$P$10,IF(C151&lt;='SOLLECITAZ NASCOSTO'!$P$9,IF(C151&lt;='SOLLECITAZ NASCOSTO'!$P$8,IF(C151&lt;='SOLLECITAZ NASCOSTO'!$P$7,IF(C151&lt;='SOLLECITAZ NASCOSTO'!$P$6,IF(C151&lt;='SOLLECITAZ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slu'!$C$112)+IF(C151&lt;='SOLLECITAZ NASCOSTO'!$P$12,IF(C151&lt;='SOLLECITAZ NASCOSTO'!$P$11,IF(C151&lt;='SOLLECITAZ NASCOSTO'!$P$10,IF(C151&lt;='SOLLECITAZ NASCOSTO'!$P$9,IF(C151&lt;='SOLLECITAZ NASCOSTO'!$P$8,IF(C151&lt;='SOLLECITAZ NASCOSTO'!$P$7,IF(C151&lt;='SOLLECITAZ NASCOSTO'!$P$6,IF(C151&lt;='SOLLECITAZ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9.8718162816775994</v>
      </c>
      <c r="O152" s="42">
        <f>IF(C152&lt;='SOLLECITAZ NASCOSTO'!$P$12,IF(C152&lt;='SOLLECITAZ NASCOSTO'!$P$11,IF(C152&lt;='SOLLECITAZ NASCOSTO'!$P$10,IF(C152&lt;='SOLLECITAZ NASCOSTO'!$P$9,IF(C152&lt;='SOLLECITAZ NASCOSTO'!$P$8,IF(C152&lt;='SOLLECITAZ NASCOSTO'!$P$7,IF(C152&lt;='SOLLECITAZ NASCOSTO'!$P$6,IF(C152&lt;='SOLLECITAZ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slu'!$G$111),55555)*(C152-C151)/IF(C152&lt;='SOLLECITAZ NASCOSTO'!$P$12,IF(C152&lt;='SOLLECITAZ NASCOSTO'!$P$11,IF(C152&lt;='SOLLECITAZ NASCOSTO'!$P$10,IF(C152&lt;='SOLLECITAZ NASCOSTO'!$P$9,IF(C152&lt;='SOLLECITAZ NASCOSTO'!$P$8,IF(C152&lt;='SOLLECITAZ NASCOSTO'!$P$7,IF(C152&lt;='SOLLECITAZ NASCOSTO'!$P$6,IF(C152&lt;='SOLLECITAZ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2" s="42">
        <f t="shared" si="39"/>
        <v>1.1899999999999976E-4</v>
      </c>
      <c r="Q152" s="42">
        <f t="shared" si="37"/>
        <v>1</v>
      </c>
      <c r="R152" s="441">
        <f t="shared" si="31"/>
        <v>0.82211538461538458</v>
      </c>
      <c r="S152" s="46">
        <f t="shared" si="38"/>
        <v>0.82211538461538458</v>
      </c>
      <c r="T152" s="211">
        <f t="shared" si="34"/>
        <v>2.5278846153846155</v>
      </c>
      <c r="U152" s="46">
        <f t="shared" si="35"/>
        <v>5.7811280132356906</v>
      </c>
      <c r="V152" s="46">
        <f t="shared" si="36"/>
        <v>-2.0510867191360411</v>
      </c>
      <c r="W152" s="496"/>
      <c r="X152" s="497"/>
      <c r="Y152" s="497"/>
      <c r="Z152" s="498"/>
      <c r="AA152" s="47"/>
    </row>
    <row r="153" spans="1:27" s="428" customFormat="1" x14ac:dyDescent="0.25">
      <c r="A153" s="589">
        <f t="shared" si="32"/>
        <v>2.9086538461120526E-6</v>
      </c>
      <c r="B153" s="32">
        <f t="shared" si="40"/>
        <v>121</v>
      </c>
      <c r="C153" s="441">
        <f>'SOLLECITAZ NASCOSTO'!$D$6/'SOLLECITAZ NASCOSTO'!$B$448*'SOLLECITAZ NASCOSTO'!B153</f>
        <v>0.82896634615384612</v>
      </c>
      <c r="D153" s="441">
        <f t="shared" si="33"/>
        <v>0.3000029086538461</v>
      </c>
      <c r="E153" s="441">
        <f t="shared" si="27"/>
        <v>2.9086538461120526E-6</v>
      </c>
      <c r="F153" s="441">
        <f t="shared" si="28"/>
        <v>0.3000029086538461</v>
      </c>
      <c r="G153" s="441">
        <f t="shared" si="29"/>
        <v>4.5000872600383962E-2</v>
      </c>
      <c r="H153" s="441">
        <f t="shared" si="41"/>
        <v>0</v>
      </c>
      <c r="I153" s="441">
        <v>0</v>
      </c>
      <c r="J153" s="131">
        <f t="shared" si="42"/>
        <v>0.15000145432692305</v>
      </c>
      <c r="K153" s="130">
        <f t="shared" si="30"/>
        <v>2.2500654453460594E-3</v>
      </c>
      <c r="L153" s="42">
        <f t="shared" si="43"/>
        <v>5.8492540748678383</v>
      </c>
      <c r="M153" s="42">
        <f t="shared" si="44"/>
        <v>-2.0909263693176459</v>
      </c>
      <c r="N153" s="42">
        <f>(IF(C152&lt;='SOLLECITAZ NASCOSTO'!$P$12,IF(C152&lt;='SOLLECITAZ NASCOSTO'!$P$11,IF(C152&lt;='SOLLECITAZ NASCOSTO'!$P$10,IF(C152&lt;='SOLLECITAZ NASCOSTO'!$P$9,IF(C152&lt;='SOLLECITAZ NASCOSTO'!$P$8,IF(C152&lt;='SOLLECITAZ NASCOSTO'!$P$7,IF(C152&lt;='SOLLECITAZ NASCOSTO'!$P$6,IF(C152&lt;='SOLLECITAZ NASCOSTO'!$P$5,'Progetto del paramento slu'!$G$105,'Progetto del paramento slu'!$G$106),'Progetto del paramento slu'!$G$107),'Progetto del paramento slu'!$G$108),'Progetto del paramento slu'!$G$109),'Progetto del paramento slu'!$G$110),'Progetto del paramento slu'!$G$111),'Progetto del paramento slu'!$G$112),55555)-IF(C152&lt;='SOLLECITAZ NASCOSTO'!$P$12,IF(C152&lt;='SOLLECITAZ NASCOSTO'!$P$11,IF(C152&lt;='SOLLECITAZ NASCOSTO'!$P$10,IF(C152&lt;='SOLLECITAZ NASCOSTO'!$P$9,IF(C152&lt;='SOLLECITAZ NASCOSTO'!$P$8,IF(C152&lt;='SOLLECITAZ NASCOSTO'!$P$7,IF(C152&lt;='SOLLECITAZ NASCOSTO'!$P$6,IF(C152&lt;='SOLLECITAZ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slu'!$G$112))*(C152-IF(C152&lt;='SOLLECITAZ NASCOSTO'!$P$12,IF(C152&lt;='SOLLECITAZ NASCOSTO'!$P$11,IF(C152&lt;='SOLLECITAZ NASCOSTO'!$P$10,IF(C152&lt;='SOLLECITAZ NASCOSTO'!$P$9,IF(C152&lt;='SOLLECITAZ NASCOSTO'!$P$8,IF(C152&lt;='SOLLECITAZ NASCOSTO'!$P$7,IF(C152&lt;='SOLLECITAZ NASCOSTO'!$P$6,IF(C152&lt;='SOLLECITAZ NASCOSTO'!$P$5,'SOLLECITAZ NASCOSTO'!$P$3,'SOLLECITAZ NASCOSTO'!$P$5),'SOLLECITAZ NASCOSTO'!$P$5),'SOLLECITAZ NASCOSTO'!$P$7),'SOLLECITAZ NASCOSTO'!$P$8),'SOLLECITAZ NASCOSTO'!$P$9),'SOLLECITAZ NASCOSTO'!$P$10),'SOLLECITAZ NASCOSTO'!$P$11),'SOLLECITAZ NASCOSTO'!$P$12))/IF(C152&lt;='SOLLECITAZ NASCOSTO'!$P$12,IF(C152&lt;='SOLLECITAZ NASCOSTO'!$P$11,IF(C152&lt;='SOLLECITAZ NASCOSTO'!$P$10,IF(C152&lt;='SOLLECITAZ NASCOSTO'!$P$9,IF(C152&lt;='SOLLECITAZ NASCOSTO'!$P$8,IF(C152&lt;='SOLLECITAZ NASCOSTO'!$P$7,IF(C152&lt;='SOLLECITAZ NASCOSTO'!$P$6,IF(C152&lt;='SOLLECITAZ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slu'!$C$112)+IF(C152&lt;='SOLLECITAZ NASCOSTO'!$P$12,IF(C152&lt;='SOLLECITAZ NASCOSTO'!$P$11,IF(C152&lt;='SOLLECITAZ NASCOSTO'!$P$10,IF(C152&lt;='SOLLECITAZ NASCOSTO'!$P$9,IF(C152&lt;='SOLLECITAZ NASCOSTO'!$P$8,IF(C152&lt;='SOLLECITAZ NASCOSTO'!$P$7,IF(C152&lt;='SOLLECITAZ NASCOSTO'!$P$6,IF(C152&lt;='SOLLECITAZ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9.9199485006699515</v>
      </c>
      <c r="O153" s="42">
        <f>IF(C153&lt;='SOLLECITAZ NASCOSTO'!$P$12,IF(C153&lt;='SOLLECITAZ NASCOSTO'!$P$11,IF(C153&lt;='SOLLECITAZ NASCOSTO'!$P$10,IF(C153&lt;='SOLLECITAZ NASCOSTO'!$P$9,IF(C153&lt;='SOLLECITAZ NASCOSTO'!$P$8,IF(C153&lt;='SOLLECITAZ NASCOSTO'!$P$7,IF(C153&lt;='SOLLECITAZ NASCOSTO'!$P$6,IF(C153&lt;='SOLLECITAZ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slu'!$G$111),55555)*(C153-C152)/IF(C153&lt;='SOLLECITAZ NASCOSTO'!$P$12,IF(C153&lt;='SOLLECITAZ NASCOSTO'!$P$11,IF(C153&lt;='SOLLECITAZ NASCOSTO'!$P$10,IF(C153&lt;='SOLLECITAZ NASCOSTO'!$P$9,IF(C153&lt;='SOLLECITAZ NASCOSTO'!$P$8,IF(C153&lt;='SOLLECITAZ NASCOSTO'!$P$7,IF(C153&lt;='SOLLECITAZ NASCOSTO'!$P$6,IF(C153&lt;='SOLLECITAZ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3" s="42">
        <f t="shared" si="39"/>
        <v>1.1999999999999976E-4</v>
      </c>
      <c r="Q153" s="42">
        <f t="shared" si="37"/>
        <v>1</v>
      </c>
      <c r="R153" s="441">
        <f t="shared" si="31"/>
        <v>0.82896634615384612</v>
      </c>
      <c r="S153" s="46">
        <f t="shared" si="38"/>
        <v>0.82896634615384612</v>
      </c>
      <c r="T153" s="211">
        <f t="shared" si="34"/>
        <v>2.5210336538461542</v>
      </c>
      <c r="U153" s="46">
        <f t="shared" si="35"/>
        <v>5.8492540748678383</v>
      </c>
      <c r="V153" s="46">
        <f t="shared" si="36"/>
        <v>-2.0909263693176459</v>
      </c>
      <c r="W153" s="496"/>
      <c r="X153" s="497"/>
      <c r="Y153" s="497"/>
      <c r="Z153" s="498"/>
      <c r="AA153" s="47"/>
    </row>
    <row r="154" spans="1:27" s="428" customFormat="1" x14ac:dyDescent="0.25">
      <c r="A154" s="589">
        <f t="shared" si="32"/>
        <v>2.9326923076111733E-6</v>
      </c>
      <c r="B154" s="32">
        <f t="shared" si="40"/>
        <v>122</v>
      </c>
      <c r="C154" s="441">
        <f>'SOLLECITAZ NASCOSTO'!$D$6/'SOLLECITAZ NASCOSTO'!$B$448*'SOLLECITAZ NASCOSTO'!B154</f>
        <v>0.83581730769230766</v>
      </c>
      <c r="D154" s="441">
        <f t="shared" si="33"/>
        <v>0.3000029326923076</v>
      </c>
      <c r="E154" s="441">
        <f t="shared" si="27"/>
        <v>2.9326923076111733E-6</v>
      </c>
      <c r="F154" s="441">
        <f t="shared" si="28"/>
        <v>0.3000029326923076</v>
      </c>
      <c r="G154" s="441">
        <f t="shared" si="29"/>
        <v>4.5000879811992626E-2</v>
      </c>
      <c r="H154" s="441">
        <f t="shared" si="41"/>
        <v>0</v>
      </c>
      <c r="I154" s="441">
        <v>0</v>
      </c>
      <c r="J154" s="131">
        <f t="shared" si="42"/>
        <v>0.15000146634615383</v>
      </c>
      <c r="K154" s="130">
        <f t="shared" si="30"/>
        <v>2.2500659862219746E-3</v>
      </c>
      <c r="L154" s="42">
        <f t="shared" si="43"/>
        <v>5.9177098884810633</v>
      </c>
      <c r="M154" s="42">
        <f t="shared" si="44"/>
        <v>-2.1312338780863289</v>
      </c>
      <c r="N154" s="42">
        <f>(IF(C153&lt;='SOLLECITAZ NASCOSTO'!$P$12,IF(C153&lt;='SOLLECITAZ NASCOSTO'!$P$11,IF(C153&lt;='SOLLECITAZ NASCOSTO'!$P$10,IF(C153&lt;='SOLLECITAZ NASCOSTO'!$P$9,IF(C153&lt;='SOLLECITAZ NASCOSTO'!$P$8,IF(C153&lt;='SOLLECITAZ NASCOSTO'!$P$7,IF(C153&lt;='SOLLECITAZ NASCOSTO'!$P$6,IF(C153&lt;='SOLLECITAZ NASCOSTO'!$P$5,'Progetto del paramento slu'!$G$105,'Progetto del paramento slu'!$G$106),'Progetto del paramento slu'!$G$107),'Progetto del paramento slu'!$G$108),'Progetto del paramento slu'!$G$109),'Progetto del paramento slu'!$G$110),'Progetto del paramento slu'!$G$111),'Progetto del paramento slu'!$G$112),55555)-IF(C153&lt;='SOLLECITAZ NASCOSTO'!$P$12,IF(C153&lt;='SOLLECITAZ NASCOSTO'!$P$11,IF(C153&lt;='SOLLECITAZ NASCOSTO'!$P$10,IF(C153&lt;='SOLLECITAZ NASCOSTO'!$P$9,IF(C153&lt;='SOLLECITAZ NASCOSTO'!$P$8,IF(C153&lt;='SOLLECITAZ NASCOSTO'!$P$7,IF(C153&lt;='SOLLECITAZ NASCOSTO'!$P$6,IF(C153&lt;='SOLLECITAZ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slu'!$G$112))*(C153-IF(C153&lt;='SOLLECITAZ NASCOSTO'!$P$12,IF(C153&lt;='SOLLECITAZ NASCOSTO'!$P$11,IF(C153&lt;='SOLLECITAZ NASCOSTO'!$P$10,IF(C153&lt;='SOLLECITAZ NASCOSTO'!$P$9,IF(C153&lt;='SOLLECITAZ NASCOSTO'!$P$8,IF(C153&lt;='SOLLECITAZ NASCOSTO'!$P$7,IF(C153&lt;='SOLLECITAZ NASCOSTO'!$P$6,IF(C153&lt;='SOLLECITAZ NASCOSTO'!$P$5,'SOLLECITAZ NASCOSTO'!$P$3,'SOLLECITAZ NASCOSTO'!$P$5),'SOLLECITAZ NASCOSTO'!$P$5),'SOLLECITAZ NASCOSTO'!$P$7),'SOLLECITAZ NASCOSTO'!$P$8),'SOLLECITAZ NASCOSTO'!$P$9),'SOLLECITAZ NASCOSTO'!$P$10),'SOLLECITAZ NASCOSTO'!$P$11),'SOLLECITAZ NASCOSTO'!$P$12))/IF(C153&lt;='SOLLECITAZ NASCOSTO'!$P$12,IF(C153&lt;='SOLLECITAZ NASCOSTO'!$P$11,IF(C153&lt;='SOLLECITAZ NASCOSTO'!$P$10,IF(C153&lt;='SOLLECITAZ NASCOSTO'!$P$9,IF(C153&lt;='SOLLECITAZ NASCOSTO'!$P$8,IF(C153&lt;='SOLLECITAZ NASCOSTO'!$P$7,IF(C153&lt;='SOLLECITAZ NASCOSTO'!$P$6,IF(C153&lt;='SOLLECITAZ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slu'!$C$112)+IF(C153&lt;='SOLLECITAZ NASCOSTO'!$P$12,IF(C153&lt;='SOLLECITAZ NASCOSTO'!$P$11,IF(C153&lt;='SOLLECITAZ NASCOSTO'!$P$10,IF(C153&lt;='SOLLECITAZ NASCOSTO'!$P$9,IF(C153&lt;='SOLLECITAZ NASCOSTO'!$P$8,IF(C153&lt;='SOLLECITAZ NASCOSTO'!$P$7,IF(C153&lt;='SOLLECITAZ NASCOSTO'!$P$6,IF(C153&lt;='SOLLECITAZ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9.9680807196623036</v>
      </c>
      <c r="O154" s="42">
        <f>IF(C154&lt;='SOLLECITAZ NASCOSTO'!$P$12,IF(C154&lt;='SOLLECITAZ NASCOSTO'!$P$11,IF(C154&lt;='SOLLECITAZ NASCOSTO'!$P$10,IF(C154&lt;='SOLLECITAZ NASCOSTO'!$P$9,IF(C154&lt;='SOLLECITAZ NASCOSTO'!$P$8,IF(C154&lt;='SOLLECITAZ NASCOSTO'!$P$7,IF(C154&lt;='SOLLECITAZ NASCOSTO'!$P$6,IF(C154&lt;='SOLLECITAZ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slu'!$G$111),55555)*(C154-C153)/IF(C154&lt;='SOLLECITAZ NASCOSTO'!$P$12,IF(C154&lt;='SOLLECITAZ NASCOSTO'!$P$11,IF(C154&lt;='SOLLECITAZ NASCOSTO'!$P$10,IF(C154&lt;='SOLLECITAZ NASCOSTO'!$P$9,IF(C154&lt;='SOLLECITAZ NASCOSTO'!$P$8,IF(C154&lt;='SOLLECITAZ NASCOSTO'!$P$7,IF(C154&lt;='SOLLECITAZ NASCOSTO'!$P$6,IF(C154&lt;='SOLLECITAZ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4" s="42">
        <f t="shared" si="39"/>
        <v>1.2099999999999976E-4</v>
      </c>
      <c r="Q154" s="42">
        <f t="shared" si="37"/>
        <v>1</v>
      </c>
      <c r="R154" s="441">
        <f t="shared" si="31"/>
        <v>0.83581730769230766</v>
      </c>
      <c r="S154" s="46">
        <f t="shared" si="38"/>
        <v>0.83581730769230766</v>
      </c>
      <c r="T154" s="211">
        <f t="shared" si="34"/>
        <v>2.5141826923076924</v>
      </c>
      <c r="U154" s="46">
        <f t="shared" si="35"/>
        <v>5.9177098884810633</v>
      </c>
      <c r="V154" s="46">
        <f t="shared" si="36"/>
        <v>-2.1312338780863289</v>
      </c>
      <c r="W154" s="496"/>
      <c r="X154" s="497"/>
      <c r="Y154" s="497"/>
      <c r="Z154" s="498"/>
      <c r="AA154" s="47"/>
    </row>
    <row r="155" spans="1:27" s="428" customFormat="1" x14ac:dyDescent="0.25">
      <c r="A155" s="589">
        <f t="shared" si="32"/>
        <v>2.9567307691658051E-6</v>
      </c>
      <c r="B155" s="32">
        <f t="shared" si="40"/>
        <v>123</v>
      </c>
      <c r="C155" s="441">
        <f>'SOLLECITAZ NASCOSTO'!$D$6/'SOLLECITAZ NASCOSTO'!$B$448*'SOLLECITAZ NASCOSTO'!B155</f>
        <v>0.84266826923076921</v>
      </c>
      <c r="D155" s="441">
        <f t="shared" si="33"/>
        <v>0.30000295673076915</v>
      </c>
      <c r="E155" s="441">
        <f t="shared" si="27"/>
        <v>2.9567307691658051E-6</v>
      </c>
      <c r="F155" s="441">
        <f t="shared" si="28"/>
        <v>0.30000295673076915</v>
      </c>
      <c r="G155" s="441">
        <f t="shared" si="29"/>
        <v>4.5000887023601874E-2</v>
      </c>
      <c r="H155" s="441">
        <f t="shared" si="41"/>
        <v>0</v>
      </c>
      <c r="I155" s="441">
        <v>0</v>
      </c>
      <c r="J155" s="131">
        <f t="shared" si="42"/>
        <v>0.15000147836538458</v>
      </c>
      <c r="K155" s="130">
        <f t="shared" si="30"/>
        <v>2.2500665270979775E-3</v>
      </c>
      <c r="L155" s="42">
        <f t="shared" si="43"/>
        <v>5.9864954540753654</v>
      </c>
      <c r="M155" s="42">
        <f t="shared" si="44"/>
        <v>-2.17201150456023</v>
      </c>
      <c r="N155" s="42">
        <f>(IF(C154&lt;='SOLLECITAZ NASCOSTO'!$P$12,IF(C154&lt;='SOLLECITAZ NASCOSTO'!$P$11,IF(C154&lt;='SOLLECITAZ NASCOSTO'!$P$10,IF(C154&lt;='SOLLECITAZ NASCOSTO'!$P$9,IF(C154&lt;='SOLLECITAZ NASCOSTO'!$P$8,IF(C154&lt;='SOLLECITAZ NASCOSTO'!$P$7,IF(C154&lt;='SOLLECITAZ NASCOSTO'!$P$6,IF(C154&lt;='SOLLECITAZ NASCOSTO'!$P$5,'Progetto del paramento slu'!$G$105,'Progetto del paramento slu'!$G$106),'Progetto del paramento slu'!$G$107),'Progetto del paramento slu'!$G$108),'Progetto del paramento slu'!$G$109),'Progetto del paramento slu'!$G$110),'Progetto del paramento slu'!$G$111),'Progetto del paramento slu'!$G$112),55555)-IF(C154&lt;='SOLLECITAZ NASCOSTO'!$P$12,IF(C154&lt;='SOLLECITAZ NASCOSTO'!$P$11,IF(C154&lt;='SOLLECITAZ NASCOSTO'!$P$10,IF(C154&lt;='SOLLECITAZ NASCOSTO'!$P$9,IF(C154&lt;='SOLLECITAZ NASCOSTO'!$P$8,IF(C154&lt;='SOLLECITAZ NASCOSTO'!$P$7,IF(C154&lt;='SOLLECITAZ NASCOSTO'!$P$6,IF(C154&lt;='SOLLECITAZ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slu'!$G$112))*(C154-IF(C154&lt;='SOLLECITAZ NASCOSTO'!$P$12,IF(C154&lt;='SOLLECITAZ NASCOSTO'!$P$11,IF(C154&lt;='SOLLECITAZ NASCOSTO'!$P$10,IF(C154&lt;='SOLLECITAZ NASCOSTO'!$P$9,IF(C154&lt;='SOLLECITAZ NASCOSTO'!$P$8,IF(C154&lt;='SOLLECITAZ NASCOSTO'!$P$7,IF(C154&lt;='SOLLECITAZ NASCOSTO'!$P$6,IF(C154&lt;='SOLLECITAZ NASCOSTO'!$P$5,'SOLLECITAZ NASCOSTO'!$P$3,'SOLLECITAZ NASCOSTO'!$P$5),'SOLLECITAZ NASCOSTO'!$P$5),'SOLLECITAZ NASCOSTO'!$P$7),'SOLLECITAZ NASCOSTO'!$P$8),'SOLLECITAZ NASCOSTO'!$P$9),'SOLLECITAZ NASCOSTO'!$P$10),'SOLLECITAZ NASCOSTO'!$P$11),'SOLLECITAZ NASCOSTO'!$P$12))/IF(C154&lt;='SOLLECITAZ NASCOSTO'!$P$12,IF(C154&lt;='SOLLECITAZ NASCOSTO'!$P$11,IF(C154&lt;='SOLLECITAZ NASCOSTO'!$P$10,IF(C154&lt;='SOLLECITAZ NASCOSTO'!$P$9,IF(C154&lt;='SOLLECITAZ NASCOSTO'!$P$8,IF(C154&lt;='SOLLECITAZ NASCOSTO'!$P$7,IF(C154&lt;='SOLLECITAZ NASCOSTO'!$P$6,IF(C154&lt;='SOLLECITAZ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slu'!$C$112)+IF(C154&lt;='SOLLECITAZ NASCOSTO'!$P$12,IF(C154&lt;='SOLLECITAZ NASCOSTO'!$P$11,IF(C154&lt;='SOLLECITAZ NASCOSTO'!$P$10,IF(C154&lt;='SOLLECITAZ NASCOSTO'!$P$9,IF(C154&lt;='SOLLECITAZ NASCOSTO'!$P$8,IF(C154&lt;='SOLLECITAZ NASCOSTO'!$P$7,IF(C154&lt;='SOLLECITAZ NASCOSTO'!$P$6,IF(C154&lt;='SOLLECITAZ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10.016212938654656</v>
      </c>
      <c r="O155" s="42">
        <f>IF(C155&lt;='SOLLECITAZ NASCOSTO'!$P$12,IF(C155&lt;='SOLLECITAZ NASCOSTO'!$P$11,IF(C155&lt;='SOLLECITAZ NASCOSTO'!$P$10,IF(C155&lt;='SOLLECITAZ NASCOSTO'!$P$9,IF(C155&lt;='SOLLECITAZ NASCOSTO'!$P$8,IF(C155&lt;='SOLLECITAZ NASCOSTO'!$P$7,IF(C155&lt;='SOLLECITAZ NASCOSTO'!$P$6,IF(C155&lt;='SOLLECITAZ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slu'!$G$111),55555)*(C155-C154)/IF(C155&lt;='SOLLECITAZ NASCOSTO'!$P$12,IF(C155&lt;='SOLLECITAZ NASCOSTO'!$P$11,IF(C155&lt;='SOLLECITAZ NASCOSTO'!$P$10,IF(C155&lt;='SOLLECITAZ NASCOSTO'!$P$9,IF(C155&lt;='SOLLECITAZ NASCOSTO'!$P$8,IF(C155&lt;='SOLLECITAZ NASCOSTO'!$P$7,IF(C155&lt;='SOLLECITAZ NASCOSTO'!$P$6,IF(C155&lt;='SOLLECITAZ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5" s="42">
        <f t="shared" si="39"/>
        <v>1.2199999999999975E-4</v>
      </c>
      <c r="Q155" s="42">
        <f t="shared" si="37"/>
        <v>1</v>
      </c>
      <c r="R155" s="441">
        <f t="shared" si="31"/>
        <v>0.84266826923076921</v>
      </c>
      <c r="S155" s="46">
        <f t="shared" si="38"/>
        <v>0.84266826923076921</v>
      </c>
      <c r="T155" s="211">
        <f t="shared" si="34"/>
        <v>2.5073317307692307</v>
      </c>
      <c r="U155" s="46">
        <f t="shared" si="35"/>
        <v>5.9864954540753654</v>
      </c>
      <c r="V155" s="46">
        <f t="shared" si="36"/>
        <v>-2.17201150456023</v>
      </c>
      <c r="W155" s="496"/>
      <c r="X155" s="497"/>
      <c r="Y155" s="497"/>
      <c r="Z155" s="498"/>
      <c r="AA155" s="47"/>
    </row>
    <row r="156" spans="1:27" s="428" customFormat="1" x14ac:dyDescent="0.25">
      <c r="A156" s="589">
        <f t="shared" si="32"/>
        <v>2.980769230720437E-6</v>
      </c>
      <c r="B156" s="32">
        <f t="shared" si="40"/>
        <v>124</v>
      </c>
      <c r="C156" s="441">
        <f>'SOLLECITAZ NASCOSTO'!$D$6/'SOLLECITAZ NASCOSTO'!$B$448*'SOLLECITAZ NASCOSTO'!B156</f>
        <v>0.84951923076923075</v>
      </c>
      <c r="D156" s="441">
        <f t="shared" si="33"/>
        <v>0.30000298076923071</v>
      </c>
      <c r="E156" s="441">
        <f t="shared" si="27"/>
        <v>2.980769230720437E-6</v>
      </c>
      <c r="F156" s="441">
        <f t="shared" si="28"/>
        <v>0.30000298076923071</v>
      </c>
      <c r="G156" s="441">
        <f t="shared" si="29"/>
        <v>4.5000894235211704E-2</v>
      </c>
      <c r="H156" s="441">
        <f t="shared" si="41"/>
        <v>0</v>
      </c>
      <c r="I156" s="441">
        <v>0</v>
      </c>
      <c r="J156" s="131">
        <f t="shared" si="42"/>
        <v>0.15000149038461535</v>
      </c>
      <c r="K156" s="130">
        <f t="shared" si="30"/>
        <v>2.250067067974067E-3</v>
      </c>
      <c r="L156" s="42">
        <f t="shared" si="43"/>
        <v>6.0556107716507457</v>
      </c>
      <c r="M156" s="42">
        <f t="shared" si="44"/>
        <v>-2.2132615078574891</v>
      </c>
      <c r="N156" s="42">
        <f>(IF(C155&lt;='SOLLECITAZ NASCOSTO'!$P$12,IF(C155&lt;='SOLLECITAZ NASCOSTO'!$P$11,IF(C155&lt;='SOLLECITAZ NASCOSTO'!$P$10,IF(C155&lt;='SOLLECITAZ NASCOSTO'!$P$9,IF(C155&lt;='SOLLECITAZ NASCOSTO'!$P$8,IF(C155&lt;='SOLLECITAZ NASCOSTO'!$P$7,IF(C155&lt;='SOLLECITAZ NASCOSTO'!$P$6,IF(C155&lt;='SOLLECITAZ NASCOSTO'!$P$5,'Progetto del paramento slu'!$G$105,'Progetto del paramento slu'!$G$106),'Progetto del paramento slu'!$G$107),'Progetto del paramento slu'!$G$108),'Progetto del paramento slu'!$G$109),'Progetto del paramento slu'!$G$110),'Progetto del paramento slu'!$G$111),'Progetto del paramento slu'!$G$112),55555)-IF(C155&lt;='SOLLECITAZ NASCOSTO'!$P$12,IF(C155&lt;='SOLLECITAZ NASCOSTO'!$P$11,IF(C155&lt;='SOLLECITAZ NASCOSTO'!$P$10,IF(C155&lt;='SOLLECITAZ NASCOSTO'!$P$9,IF(C155&lt;='SOLLECITAZ NASCOSTO'!$P$8,IF(C155&lt;='SOLLECITAZ NASCOSTO'!$P$7,IF(C155&lt;='SOLLECITAZ NASCOSTO'!$P$6,IF(C155&lt;='SOLLECITAZ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slu'!$G$112))*(C155-IF(C155&lt;='SOLLECITAZ NASCOSTO'!$P$12,IF(C155&lt;='SOLLECITAZ NASCOSTO'!$P$11,IF(C155&lt;='SOLLECITAZ NASCOSTO'!$P$10,IF(C155&lt;='SOLLECITAZ NASCOSTO'!$P$9,IF(C155&lt;='SOLLECITAZ NASCOSTO'!$P$8,IF(C155&lt;='SOLLECITAZ NASCOSTO'!$P$7,IF(C155&lt;='SOLLECITAZ NASCOSTO'!$P$6,IF(C155&lt;='SOLLECITAZ NASCOSTO'!$P$5,'SOLLECITAZ NASCOSTO'!$P$3,'SOLLECITAZ NASCOSTO'!$P$5),'SOLLECITAZ NASCOSTO'!$P$5),'SOLLECITAZ NASCOSTO'!$P$7),'SOLLECITAZ NASCOSTO'!$P$8),'SOLLECITAZ NASCOSTO'!$P$9),'SOLLECITAZ NASCOSTO'!$P$10),'SOLLECITAZ NASCOSTO'!$P$11),'SOLLECITAZ NASCOSTO'!$P$12))/IF(C155&lt;='SOLLECITAZ NASCOSTO'!$P$12,IF(C155&lt;='SOLLECITAZ NASCOSTO'!$P$11,IF(C155&lt;='SOLLECITAZ NASCOSTO'!$P$10,IF(C155&lt;='SOLLECITAZ NASCOSTO'!$P$9,IF(C155&lt;='SOLLECITAZ NASCOSTO'!$P$8,IF(C155&lt;='SOLLECITAZ NASCOSTO'!$P$7,IF(C155&lt;='SOLLECITAZ NASCOSTO'!$P$6,IF(C155&lt;='SOLLECITAZ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slu'!$C$112)+IF(C155&lt;='SOLLECITAZ NASCOSTO'!$P$12,IF(C155&lt;='SOLLECITAZ NASCOSTO'!$P$11,IF(C155&lt;='SOLLECITAZ NASCOSTO'!$P$10,IF(C155&lt;='SOLLECITAZ NASCOSTO'!$P$9,IF(C155&lt;='SOLLECITAZ NASCOSTO'!$P$8,IF(C155&lt;='SOLLECITAZ NASCOSTO'!$P$7,IF(C155&lt;='SOLLECITAZ NASCOSTO'!$P$6,IF(C155&lt;='SOLLECITAZ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10.064345157647008</v>
      </c>
      <c r="O156" s="42">
        <f>IF(C156&lt;='SOLLECITAZ NASCOSTO'!$P$12,IF(C156&lt;='SOLLECITAZ NASCOSTO'!$P$11,IF(C156&lt;='SOLLECITAZ NASCOSTO'!$P$10,IF(C156&lt;='SOLLECITAZ NASCOSTO'!$P$9,IF(C156&lt;='SOLLECITAZ NASCOSTO'!$P$8,IF(C156&lt;='SOLLECITAZ NASCOSTO'!$P$7,IF(C156&lt;='SOLLECITAZ NASCOSTO'!$P$6,IF(C156&lt;='SOLLECITAZ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slu'!$G$111),55555)*(C156-C155)/IF(C156&lt;='SOLLECITAZ NASCOSTO'!$P$12,IF(C156&lt;='SOLLECITAZ NASCOSTO'!$P$11,IF(C156&lt;='SOLLECITAZ NASCOSTO'!$P$10,IF(C156&lt;='SOLLECITAZ NASCOSTO'!$P$9,IF(C156&lt;='SOLLECITAZ NASCOSTO'!$P$8,IF(C156&lt;='SOLLECITAZ NASCOSTO'!$P$7,IF(C156&lt;='SOLLECITAZ NASCOSTO'!$P$6,IF(C156&lt;='SOLLECITAZ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6" s="42">
        <f t="shared" si="39"/>
        <v>1.2299999999999976E-4</v>
      </c>
      <c r="Q156" s="42">
        <f t="shared" si="37"/>
        <v>1</v>
      </c>
      <c r="R156" s="441">
        <f t="shared" si="31"/>
        <v>0.84951923076923075</v>
      </c>
      <c r="S156" s="46">
        <f t="shared" si="38"/>
        <v>0.84951923076923075</v>
      </c>
      <c r="T156" s="211">
        <f t="shared" si="34"/>
        <v>2.5004807692307693</v>
      </c>
      <c r="U156" s="46">
        <f t="shared" si="35"/>
        <v>6.0556107716507457</v>
      </c>
      <c r="V156" s="46">
        <f t="shared" si="36"/>
        <v>-2.2132615078574891</v>
      </c>
      <c r="W156" s="496"/>
      <c r="X156" s="497"/>
      <c r="Y156" s="497"/>
      <c r="Z156" s="498"/>
      <c r="AA156" s="47"/>
    </row>
    <row r="157" spans="1:27" s="428" customFormat="1" x14ac:dyDescent="0.25">
      <c r="A157" s="589">
        <f t="shared" si="32"/>
        <v>3.0048076922195577E-6</v>
      </c>
      <c r="B157" s="32">
        <f t="shared" si="40"/>
        <v>125</v>
      </c>
      <c r="C157" s="441">
        <f>'SOLLECITAZ NASCOSTO'!$D$6/'SOLLECITAZ NASCOSTO'!$B$448*'SOLLECITAZ NASCOSTO'!B157</f>
        <v>0.85637019230769229</v>
      </c>
      <c r="D157" s="441">
        <f t="shared" si="33"/>
        <v>0.30000300480769221</v>
      </c>
      <c r="E157" s="441">
        <f t="shared" si="27"/>
        <v>3.0048076922195577E-6</v>
      </c>
      <c r="F157" s="441">
        <f t="shared" si="28"/>
        <v>0.30000300480769221</v>
      </c>
      <c r="G157" s="441">
        <f t="shared" si="29"/>
        <v>4.5000901446822096E-2</v>
      </c>
      <c r="H157" s="441">
        <f t="shared" si="41"/>
        <v>0</v>
      </c>
      <c r="I157" s="441">
        <v>0</v>
      </c>
      <c r="J157" s="131">
        <f t="shared" si="42"/>
        <v>0.1500015024038461</v>
      </c>
      <c r="K157" s="130">
        <f t="shared" si="30"/>
        <v>2.2500676088502425E-3</v>
      </c>
      <c r="L157" s="42">
        <f t="shared" si="43"/>
        <v>6.1250558412072031</v>
      </c>
      <c r="M157" s="42">
        <f t="shared" si="44"/>
        <v>-2.2549861470962451</v>
      </c>
      <c r="N157" s="42">
        <f>(IF(C156&lt;='SOLLECITAZ NASCOSTO'!$P$12,IF(C156&lt;='SOLLECITAZ NASCOSTO'!$P$11,IF(C156&lt;='SOLLECITAZ NASCOSTO'!$P$10,IF(C156&lt;='SOLLECITAZ NASCOSTO'!$P$9,IF(C156&lt;='SOLLECITAZ NASCOSTO'!$P$8,IF(C156&lt;='SOLLECITAZ NASCOSTO'!$P$7,IF(C156&lt;='SOLLECITAZ NASCOSTO'!$P$6,IF(C156&lt;='SOLLECITAZ NASCOSTO'!$P$5,'Progetto del paramento slu'!$G$105,'Progetto del paramento slu'!$G$106),'Progetto del paramento slu'!$G$107),'Progetto del paramento slu'!$G$108),'Progetto del paramento slu'!$G$109),'Progetto del paramento slu'!$G$110),'Progetto del paramento slu'!$G$111),'Progetto del paramento slu'!$G$112),55555)-IF(C156&lt;='SOLLECITAZ NASCOSTO'!$P$12,IF(C156&lt;='SOLLECITAZ NASCOSTO'!$P$11,IF(C156&lt;='SOLLECITAZ NASCOSTO'!$P$10,IF(C156&lt;='SOLLECITAZ NASCOSTO'!$P$9,IF(C156&lt;='SOLLECITAZ NASCOSTO'!$P$8,IF(C156&lt;='SOLLECITAZ NASCOSTO'!$P$7,IF(C156&lt;='SOLLECITAZ NASCOSTO'!$P$6,IF(C156&lt;='SOLLECITAZ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slu'!$G$112))*(C156-IF(C156&lt;='SOLLECITAZ NASCOSTO'!$P$12,IF(C156&lt;='SOLLECITAZ NASCOSTO'!$P$11,IF(C156&lt;='SOLLECITAZ NASCOSTO'!$P$10,IF(C156&lt;='SOLLECITAZ NASCOSTO'!$P$9,IF(C156&lt;='SOLLECITAZ NASCOSTO'!$P$8,IF(C156&lt;='SOLLECITAZ NASCOSTO'!$P$7,IF(C156&lt;='SOLLECITAZ NASCOSTO'!$P$6,IF(C156&lt;='SOLLECITAZ NASCOSTO'!$P$5,'SOLLECITAZ NASCOSTO'!$P$3,'SOLLECITAZ NASCOSTO'!$P$5),'SOLLECITAZ NASCOSTO'!$P$5),'SOLLECITAZ NASCOSTO'!$P$7),'SOLLECITAZ NASCOSTO'!$P$8),'SOLLECITAZ NASCOSTO'!$P$9),'SOLLECITAZ NASCOSTO'!$P$10),'SOLLECITAZ NASCOSTO'!$P$11),'SOLLECITAZ NASCOSTO'!$P$12))/IF(C156&lt;='SOLLECITAZ NASCOSTO'!$P$12,IF(C156&lt;='SOLLECITAZ NASCOSTO'!$P$11,IF(C156&lt;='SOLLECITAZ NASCOSTO'!$P$10,IF(C156&lt;='SOLLECITAZ NASCOSTO'!$P$9,IF(C156&lt;='SOLLECITAZ NASCOSTO'!$P$8,IF(C156&lt;='SOLLECITAZ NASCOSTO'!$P$7,IF(C156&lt;='SOLLECITAZ NASCOSTO'!$P$6,IF(C156&lt;='SOLLECITAZ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slu'!$C$112)+IF(C156&lt;='SOLLECITAZ NASCOSTO'!$P$12,IF(C156&lt;='SOLLECITAZ NASCOSTO'!$P$11,IF(C156&lt;='SOLLECITAZ NASCOSTO'!$P$10,IF(C156&lt;='SOLLECITAZ NASCOSTO'!$P$9,IF(C156&lt;='SOLLECITAZ NASCOSTO'!$P$8,IF(C156&lt;='SOLLECITAZ NASCOSTO'!$P$7,IF(C156&lt;='SOLLECITAZ NASCOSTO'!$P$6,IF(C156&lt;='SOLLECITAZ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10.112477376639362</v>
      </c>
      <c r="O157" s="42">
        <f>IF(C157&lt;='SOLLECITAZ NASCOSTO'!$P$12,IF(C157&lt;='SOLLECITAZ NASCOSTO'!$P$11,IF(C157&lt;='SOLLECITAZ NASCOSTO'!$P$10,IF(C157&lt;='SOLLECITAZ NASCOSTO'!$P$9,IF(C157&lt;='SOLLECITAZ NASCOSTO'!$P$8,IF(C157&lt;='SOLLECITAZ NASCOSTO'!$P$7,IF(C157&lt;='SOLLECITAZ NASCOSTO'!$P$6,IF(C157&lt;='SOLLECITAZ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slu'!$G$111),55555)*(C157-C156)/IF(C157&lt;='SOLLECITAZ NASCOSTO'!$P$12,IF(C157&lt;='SOLLECITAZ NASCOSTO'!$P$11,IF(C157&lt;='SOLLECITAZ NASCOSTO'!$P$10,IF(C157&lt;='SOLLECITAZ NASCOSTO'!$P$9,IF(C157&lt;='SOLLECITAZ NASCOSTO'!$P$8,IF(C157&lt;='SOLLECITAZ NASCOSTO'!$P$7,IF(C157&lt;='SOLLECITAZ NASCOSTO'!$P$6,IF(C157&lt;='SOLLECITAZ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7" s="42">
        <f t="shared" si="39"/>
        <v>1.2399999999999976E-4</v>
      </c>
      <c r="Q157" s="42">
        <f t="shared" si="37"/>
        <v>1</v>
      </c>
      <c r="R157" s="441">
        <f t="shared" si="31"/>
        <v>0.85637019230769229</v>
      </c>
      <c r="S157" s="46">
        <f t="shared" si="38"/>
        <v>0.85637019230769229</v>
      </c>
      <c r="T157" s="211">
        <f t="shared" si="34"/>
        <v>2.493629807692308</v>
      </c>
      <c r="U157" s="46">
        <f t="shared" si="35"/>
        <v>6.1250558412072031</v>
      </c>
      <c r="V157" s="46">
        <f t="shared" si="36"/>
        <v>-2.2549861470962451</v>
      </c>
      <c r="W157" s="496"/>
      <c r="X157" s="497"/>
      <c r="Y157" s="497"/>
      <c r="Z157" s="498"/>
      <c r="AA157" s="47"/>
    </row>
    <row r="158" spans="1:27" s="428" customFormat="1" x14ac:dyDescent="0.25">
      <c r="A158" s="589">
        <f t="shared" si="32"/>
        <v>3.0288461537741895E-6</v>
      </c>
      <c r="B158" s="32">
        <f t="shared" si="40"/>
        <v>126</v>
      </c>
      <c r="C158" s="441">
        <f>'SOLLECITAZ NASCOSTO'!$D$6/'SOLLECITAZ NASCOSTO'!$B$448*'SOLLECITAZ NASCOSTO'!B158</f>
        <v>0.86322115384615383</v>
      </c>
      <c r="D158" s="441">
        <f t="shared" si="33"/>
        <v>0.30000302884615376</v>
      </c>
      <c r="E158" s="441">
        <f t="shared" si="27"/>
        <v>3.0288461537741895E-6</v>
      </c>
      <c r="F158" s="441">
        <f t="shared" si="28"/>
        <v>0.30000302884615376</v>
      </c>
      <c r="G158" s="441">
        <f t="shared" si="29"/>
        <v>4.5000908658433085E-2</v>
      </c>
      <c r="H158" s="441">
        <f t="shared" si="41"/>
        <v>0</v>
      </c>
      <c r="I158" s="441">
        <v>0</v>
      </c>
      <c r="J158" s="131">
        <f t="shared" si="42"/>
        <v>0.15000151442307688</v>
      </c>
      <c r="K158" s="130">
        <f t="shared" si="30"/>
        <v>2.2500681497265055E-3</v>
      </c>
      <c r="L158" s="42">
        <f t="shared" si="43"/>
        <v>6.1948306627447378</v>
      </c>
      <c r="M158" s="42">
        <f t="shared" si="44"/>
        <v>-2.2971876813946381</v>
      </c>
      <c r="N158" s="42">
        <f>(IF(C157&lt;='SOLLECITAZ NASCOSTO'!$P$12,IF(C157&lt;='SOLLECITAZ NASCOSTO'!$P$11,IF(C157&lt;='SOLLECITAZ NASCOSTO'!$P$10,IF(C157&lt;='SOLLECITAZ NASCOSTO'!$P$9,IF(C157&lt;='SOLLECITAZ NASCOSTO'!$P$8,IF(C157&lt;='SOLLECITAZ NASCOSTO'!$P$7,IF(C157&lt;='SOLLECITAZ NASCOSTO'!$P$6,IF(C157&lt;='SOLLECITAZ NASCOSTO'!$P$5,'Progetto del paramento slu'!$G$105,'Progetto del paramento slu'!$G$106),'Progetto del paramento slu'!$G$107),'Progetto del paramento slu'!$G$108),'Progetto del paramento slu'!$G$109),'Progetto del paramento slu'!$G$110),'Progetto del paramento slu'!$G$111),'Progetto del paramento slu'!$G$112),55555)-IF(C157&lt;='SOLLECITAZ NASCOSTO'!$P$12,IF(C157&lt;='SOLLECITAZ NASCOSTO'!$P$11,IF(C157&lt;='SOLLECITAZ NASCOSTO'!$P$10,IF(C157&lt;='SOLLECITAZ NASCOSTO'!$P$9,IF(C157&lt;='SOLLECITAZ NASCOSTO'!$P$8,IF(C157&lt;='SOLLECITAZ NASCOSTO'!$P$7,IF(C157&lt;='SOLLECITAZ NASCOSTO'!$P$6,IF(C157&lt;='SOLLECITAZ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slu'!$G$112))*(C157-IF(C157&lt;='SOLLECITAZ NASCOSTO'!$P$12,IF(C157&lt;='SOLLECITAZ NASCOSTO'!$P$11,IF(C157&lt;='SOLLECITAZ NASCOSTO'!$P$10,IF(C157&lt;='SOLLECITAZ NASCOSTO'!$P$9,IF(C157&lt;='SOLLECITAZ NASCOSTO'!$P$8,IF(C157&lt;='SOLLECITAZ NASCOSTO'!$P$7,IF(C157&lt;='SOLLECITAZ NASCOSTO'!$P$6,IF(C157&lt;='SOLLECITAZ NASCOSTO'!$P$5,'SOLLECITAZ NASCOSTO'!$P$3,'SOLLECITAZ NASCOSTO'!$P$5),'SOLLECITAZ NASCOSTO'!$P$5),'SOLLECITAZ NASCOSTO'!$P$7),'SOLLECITAZ NASCOSTO'!$P$8),'SOLLECITAZ NASCOSTO'!$P$9),'SOLLECITAZ NASCOSTO'!$P$10),'SOLLECITAZ NASCOSTO'!$P$11),'SOLLECITAZ NASCOSTO'!$P$12))/IF(C157&lt;='SOLLECITAZ NASCOSTO'!$P$12,IF(C157&lt;='SOLLECITAZ NASCOSTO'!$P$11,IF(C157&lt;='SOLLECITAZ NASCOSTO'!$P$10,IF(C157&lt;='SOLLECITAZ NASCOSTO'!$P$9,IF(C157&lt;='SOLLECITAZ NASCOSTO'!$P$8,IF(C157&lt;='SOLLECITAZ NASCOSTO'!$P$7,IF(C157&lt;='SOLLECITAZ NASCOSTO'!$P$6,IF(C157&lt;='SOLLECITAZ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slu'!$C$112)+IF(C157&lt;='SOLLECITAZ NASCOSTO'!$P$12,IF(C157&lt;='SOLLECITAZ NASCOSTO'!$P$11,IF(C157&lt;='SOLLECITAZ NASCOSTO'!$P$10,IF(C157&lt;='SOLLECITAZ NASCOSTO'!$P$9,IF(C157&lt;='SOLLECITAZ NASCOSTO'!$P$8,IF(C157&lt;='SOLLECITAZ NASCOSTO'!$P$7,IF(C157&lt;='SOLLECITAZ NASCOSTO'!$P$6,IF(C157&lt;='SOLLECITAZ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10.160609595631716</v>
      </c>
      <c r="O158" s="42">
        <f>IF(C158&lt;='SOLLECITAZ NASCOSTO'!$P$12,IF(C158&lt;='SOLLECITAZ NASCOSTO'!$P$11,IF(C158&lt;='SOLLECITAZ NASCOSTO'!$P$10,IF(C158&lt;='SOLLECITAZ NASCOSTO'!$P$9,IF(C158&lt;='SOLLECITAZ NASCOSTO'!$P$8,IF(C158&lt;='SOLLECITAZ NASCOSTO'!$P$7,IF(C158&lt;='SOLLECITAZ NASCOSTO'!$P$6,IF(C158&lt;='SOLLECITAZ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slu'!$G$111),55555)*(C158-C157)/IF(C158&lt;='SOLLECITAZ NASCOSTO'!$P$12,IF(C158&lt;='SOLLECITAZ NASCOSTO'!$P$11,IF(C158&lt;='SOLLECITAZ NASCOSTO'!$P$10,IF(C158&lt;='SOLLECITAZ NASCOSTO'!$P$9,IF(C158&lt;='SOLLECITAZ NASCOSTO'!$P$8,IF(C158&lt;='SOLLECITAZ NASCOSTO'!$P$7,IF(C158&lt;='SOLLECITAZ NASCOSTO'!$P$6,IF(C158&lt;='SOLLECITAZ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8" s="42">
        <f t="shared" si="39"/>
        <v>1.2499999999999976E-4</v>
      </c>
      <c r="Q158" s="42">
        <f t="shared" si="37"/>
        <v>1</v>
      </c>
      <c r="R158" s="441">
        <f t="shared" si="31"/>
        <v>0.86322115384615383</v>
      </c>
      <c r="S158" s="46">
        <f t="shared" si="38"/>
        <v>0.86322115384615383</v>
      </c>
      <c r="T158" s="211">
        <f t="shared" si="34"/>
        <v>2.4867788461538463</v>
      </c>
      <c r="U158" s="46">
        <f t="shared" si="35"/>
        <v>6.1948306627447378</v>
      </c>
      <c r="V158" s="46">
        <f t="shared" si="36"/>
        <v>-2.2971876813946381</v>
      </c>
      <c r="W158" s="496"/>
      <c r="X158" s="497"/>
      <c r="Y158" s="497"/>
      <c r="Z158" s="498"/>
      <c r="AA158" s="47"/>
    </row>
    <row r="159" spans="1:27" s="428" customFormat="1" x14ac:dyDescent="0.25">
      <c r="A159" s="589">
        <f t="shared" si="32"/>
        <v>3.0528846153288214E-6</v>
      </c>
      <c r="B159" s="32">
        <f t="shared" si="40"/>
        <v>127</v>
      </c>
      <c r="C159" s="441">
        <f>'SOLLECITAZ NASCOSTO'!$D$6/'SOLLECITAZ NASCOSTO'!$B$448*'SOLLECITAZ NASCOSTO'!B159</f>
        <v>0.87007211538461537</v>
      </c>
      <c r="D159" s="441">
        <f t="shared" si="33"/>
        <v>0.30000305288461532</v>
      </c>
      <c r="E159" s="441">
        <f t="shared" si="27"/>
        <v>3.0528846153288214E-6</v>
      </c>
      <c r="F159" s="441">
        <f t="shared" si="28"/>
        <v>0.30000305288461532</v>
      </c>
      <c r="G159" s="441">
        <f t="shared" si="29"/>
        <v>4.500091587004465E-2</v>
      </c>
      <c r="H159" s="441">
        <f t="shared" si="41"/>
        <v>0</v>
      </c>
      <c r="I159" s="441">
        <v>0</v>
      </c>
      <c r="J159" s="131">
        <f t="shared" si="42"/>
        <v>0.15000152644230766</v>
      </c>
      <c r="K159" s="130">
        <f t="shared" si="30"/>
        <v>2.2500686906028549E-3</v>
      </c>
      <c r="L159" s="42">
        <f t="shared" si="43"/>
        <v>6.2649352362633497</v>
      </c>
      <c r="M159" s="42">
        <f t="shared" si="44"/>
        <v>-2.3398683698708078</v>
      </c>
      <c r="N159" s="42">
        <f>(IF(C158&lt;='SOLLECITAZ NASCOSTO'!$P$12,IF(C158&lt;='SOLLECITAZ NASCOSTO'!$P$11,IF(C158&lt;='SOLLECITAZ NASCOSTO'!$P$10,IF(C158&lt;='SOLLECITAZ NASCOSTO'!$P$9,IF(C158&lt;='SOLLECITAZ NASCOSTO'!$P$8,IF(C158&lt;='SOLLECITAZ NASCOSTO'!$P$7,IF(C158&lt;='SOLLECITAZ NASCOSTO'!$P$6,IF(C158&lt;='SOLLECITAZ NASCOSTO'!$P$5,'Progetto del paramento slu'!$G$105,'Progetto del paramento slu'!$G$106),'Progetto del paramento slu'!$G$107),'Progetto del paramento slu'!$G$108),'Progetto del paramento slu'!$G$109),'Progetto del paramento slu'!$G$110),'Progetto del paramento slu'!$G$111),'Progetto del paramento slu'!$G$112),55555)-IF(C158&lt;='SOLLECITAZ NASCOSTO'!$P$12,IF(C158&lt;='SOLLECITAZ NASCOSTO'!$P$11,IF(C158&lt;='SOLLECITAZ NASCOSTO'!$P$10,IF(C158&lt;='SOLLECITAZ NASCOSTO'!$P$9,IF(C158&lt;='SOLLECITAZ NASCOSTO'!$P$8,IF(C158&lt;='SOLLECITAZ NASCOSTO'!$P$7,IF(C158&lt;='SOLLECITAZ NASCOSTO'!$P$6,IF(C158&lt;='SOLLECITAZ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slu'!$G$112))*(C158-IF(C158&lt;='SOLLECITAZ NASCOSTO'!$P$12,IF(C158&lt;='SOLLECITAZ NASCOSTO'!$P$11,IF(C158&lt;='SOLLECITAZ NASCOSTO'!$P$10,IF(C158&lt;='SOLLECITAZ NASCOSTO'!$P$9,IF(C158&lt;='SOLLECITAZ NASCOSTO'!$P$8,IF(C158&lt;='SOLLECITAZ NASCOSTO'!$P$7,IF(C158&lt;='SOLLECITAZ NASCOSTO'!$P$6,IF(C158&lt;='SOLLECITAZ NASCOSTO'!$P$5,'SOLLECITAZ NASCOSTO'!$P$3,'SOLLECITAZ NASCOSTO'!$P$5),'SOLLECITAZ NASCOSTO'!$P$5),'SOLLECITAZ NASCOSTO'!$P$7),'SOLLECITAZ NASCOSTO'!$P$8),'SOLLECITAZ NASCOSTO'!$P$9),'SOLLECITAZ NASCOSTO'!$P$10),'SOLLECITAZ NASCOSTO'!$P$11),'SOLLECITAZ NASCOSTO'!$P$12))/IF(C158&lt;='SOLLECITAZ NASCOSTO'!$P$12,IF(C158&lt;='SOLLECITAZ NASCOSTO'!$P$11,IF(C158&lt;='SOLLECITAZ NASCOSTO'!$P$10,IF(C158&lt;='SOLLECITAZ NASCOSTO'!$P$9,IF(C158&lt;='SOLLECITAZ NASCOSTO'!$P$8,IF(C158&lt;='SOLLECITAZ NASCOSTO'!$P$7,IF(C158&lt;='SOLLECITAZ NASCOSTO'!$P$6,IF(C158&lt;='SOLLECITAZ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slu'!$C$112)+IF(C158&lt;='SOLLECITAZ NASCOSTO'!$P$12,IF(C158&lt;='SOLLECITAZ NASCOSTO'!$P$11,IF(C158&lt;='SOLLECITAZ NASCOSTO'!$P$10,IF(C158&lt;='SOLLECITAZ NASCOSTO'!$P$9,IF(C158&lt;='SOLLECITAZ NASCOSTO'!$P$8,IF(C158&lt;='SOLLECITAZ NASCOSTO'!$P$7,IF(C158&lt;='SOLLECITAZ NASCOSTO'!$P$6,IF(C158&lt;='SOLLECITAZ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10.208741814624066</v>
      </c>
      <c r="O159" s="42">
        <f>IF(C159&lt;='SOLLECITAZ NASCOSTO'!$P$12,IF(C159&lt;='SOLLECITAZ NASCOSTO'!$P$11,IF(C159&lt;='SOLLECITAZ NASCOSTO'!$P$10,IF(C159&lt;='SOLLECITAZ NASCOSTO'!$P$9,IF(C159&lt;='SOLLECITAZ NASCOSTO'!$P$8,IF(C159&lt;='SOLLECITAZ NASCOSTO'!$P$7,IF(C159&lt;='SOLLECITAZ NASCOSTO'!$P$6,IF(C159&lt;='SOLLECITAZ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slu'!$G$111),55555)*(C159-C158)/IF(C159&lt;='SOLLECITAZ NASCOSTO'!$P$12,IF(C159&lt;='SOLLECITAZ NASCOSTO'!$P$11,IF(C159&lt;='SOLLECITAZ NASCOSTO'!$P$10,IF(C159&lt;='SOLLECITAZ NASCOSTO'!$P$9,IF(C159&lt;='SOLLECITAZ NASCOSTO'!$P$8,IF(C159&lt;='SOLLECITAZ NASCOSTO'!$P$7,IF(C159&lt;='SOLLECITAZ NASCOSTO'!$P$6,IF(C159&lt;='SOLLECITAZ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59" s="42">
        <f t="shared" si="39"/>
        <v>1.2599999999999976E-4</v>
      </c>
      <c r="Q159" s="42">
        <f t="shared" si="37"/>
        <v>1</v>
      </c>
      <c r="R159" s="441">
        <f t="shared" si="31"/>
        <v>0.87007211538461537</v>
      </c>
      <c r="S159" s="46">
        <f t="shared" si="38"/>
        <v>0.87007211538461537</v>
      </c>
      <c r="T159" s="211">
        <f t="shared" si="34"/>
        <v>2.4799278846153845</v>
      </c>
      <c r="U159" s="46">
        <f t="shared" si="35"/>
        <v>6.2649352362633497</v>
      </c>
      <c r="V159" s="46">
        <f t="shared" si="36"/>
        <v>-2.3398683698708078</v>
      </c>
      <c r="W159" s="496"/>
      <c r="X159" s="497"/>
      <c r="Y159" s="497"/>
      <c r="Z159" s="498"/>
      <c r="AA159" s="47"/>
    </row>
    <row r="160" spans="1:27" s="428" customFormat="1" x14ac:dyDescent="0.25">
      <c r="A160" s="589">
        <f t="shared" si="32"/>
        <v>3.0769230768279421E-6</v>
      </c>
      <c r="B160" s="32">
        <f t="shared" si="40"/>
        <v>128</v>
      </c>
      <c r="C160" s="441">
        <f>'SOLLECITAZ NASCOSTO'!$D$6/'SOLLECITAZ NASCOSTO'!$B$448*'SOLLECITAZ NASCOSTO'!B160</f>
        <v>0.87692307692307692</v>
      </c>
      <c r="D160" s="441">
        <f t="shared" si="33"/>
        <v>0.30000307692307682</v>
      </c>
      <c r="E160" s="441">
        <f t="shared" ref="E160:E223" si="45">D160-$D$9</f>
        <v>3.0769230768279421E-6</v>
      </c>
      <c r="F160" s="441">
        <f t="shared" ref="F160:F223" si="46">E160*$D$12*$D$11+$D$8*$D$9</f>
        <v>0.30000307692307682</v>
      </c>
      <c r="G160" s="441">
        <f t="shared" ref="G160:G223" si="47">$D$12*E160*$D$11*($D$9+E160/2)+$D$9*$D$8*$D$9/2</f>
        <v>4.5000923081656777E-2</v>
      </c>
      <c r="H160" s="441">
        <f t="shared" si="41"/>
        <v>0</v>
      </c>
      <c r="I160" s="441">
        <v>0</v>
      </c>
      <c r="J160" s="131">
        <f t="shared" si="42"/>
        <v>0.15000153846153841</v>
      </c>
      <c r="K160" s="130">
        <f t="shared" ref="K160:K223" si="48">$D$8*$D$9^3/12+$D$8*$D$9*(J160-$D$9/2)^2+$D$11*$D$12*(J160-$D$9)^3/3+$D$11*$D$12*(E160-(J160-$D$9))^3/3</f>
        <v>2.2500692314792901E-3</v>
      </c>
      <c r="L160" s="42">
        <f t="shared" si="43"/>
        <v>6.3353695617630397</v>
      </c>
      <c r="M160" s="42">
        <f t="shared" si="44"/>
        <v>-2.3830304716428934</v>
      </c>
      <c r="N160" s="42">
        <f>(IF(C159&lt;='SOLLECITAZ NASCOSTO'!$P$12,IF(C159&lt;='SOLLECITAZ NASCOSTO'!$P$11,IF(C159&lt;='SOLLECITAZ NASCOSTO'!$P$10,IF(C159&lt;='SOLLECITAZ NASCOSTO'!$P$9,IF(C159&lt;='SOLLECITAZ NASCOSTO'!$P$8,IF(C159&lt;='SOLLECITAZ NASCOSTO'!$P$7,IF(C159&lt;='SOLLECITAZ NASCOSTO'!$P$6,IF(C159&lt;='SOLLECITAZ NASCOSTO'!$P$5,'Progetto del paramento slu'!$G$105,'Progetto del paramento slu'!$G$106),'Progetto del paramento slu'!$G$107),'Progetto del paramento slu'!$G$108),'Progetto del paramento slu'!$G$109),'Progetto del paramento slu'!$G$110),'Progetto del paramento slu'!$G$111),'Progetto del paramento slu'!$G$112),55555)-IF(C159&lt;='SOLLECITAZ NASCOSTO'!$P$12,IF(C159&lt;='SOLLECITAZ NASCOSTO'!$P$11,IF(C159&lt;='SOLLECITAZ NASCOSTO'!$P$10,IF(C159&lt;='SOLLECITAZ NASCOSTO'!$P$9,IF(C159&lt;='SOLLECITAZ NASCOSTO'!$P$8,IF(C159&lt;='SOLLECITAZ NASCOSTO'!$P$7,IF(C159&lt;='SOLLECITAZ NASCOSTO'!$P$6,IF(C159&lt;='SOLLECITAZ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slu'!$G$112))*(C159-IF(C159&lt;='SOLLECITAZ NASCOSTO'!$P$12,IF(C159&lt;='SOLLECITAZ NASCOSTO'!$P$11,IF(C159&lt;='SOLLECITAZ NASCOSTO'!$P$10,IF(C159&lt;='SOLLECITAZ NASCOSTO'!$P$9,IF(C159&lt;='SOLLECITAZ NASCOSTO'!$P$8,IF(C159&lt;='SOLLECITAZ NASCOSTO'!$P$7,IF(C159&lt;='SOLLECITAZ NASCOSTO'!$P$6,IF(C159&lt;='SOLLECITAZ NASCOSTO'!$P$5,'SOLLECITAZ NASCOSTO'!$P$3,'SOLLECITAZ NASCOSTO'!$P$5),'SOLLECITAZ NASCOSTO'!$P$5),'SOLLECITAZ NASCOSTO'!$P$7),'SOLLECITAZ NASCOSTO'!$P$8),'SOLLECITAZ NASCOSTO'!$P$9),'SOLLECITAZ NASCOSTO'!$P$10),'SOLLECITAZ NASCOSTO'!$P$11),'SOLLECITAZ NASCOSTO'!$P$12))/IF(C159&lt;='SOLLECITAZ NASCOSTO'!$P$12,IF(C159&lt;='SOLLECITAZ NASCOSTO'!$P$11,IF(C159&lt;='SOLLECITAZ NASCOSTO'!$P$10,IF(C159&lt;='SOLLECITAZ NASCOSTO'!$P$9,IF(C159&lt;='SOLLECITAZ NASCOSTO'!$P$8,IF(C159&lt;='SOLLECITAZ NASCOSTO'!$P$7,IF(C159&lt;='SOLLECITAZ NASCOSTO'!$P$6,IF(C159&lt;='SOLLECITAZ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slu'!$C$112)+IF(C159&lt;='SOLLECITAZ NASCOSTO'!$P$12,IF(C159&lt;='SOLLECITAZ NASCOSTO'!$P$11,IF(C159&lt;='SOLLECITAZ NASCOSTO'!$P$10,IF(C159&lt;='SOLLECITAZ NASCOSTO'!$P$9,IF(C159&lt;='SOLLECITAZ NASCOSTO'!$P$8,IF(C159&lt;='SOLLECITAZ NASCOSTO'!$P$7,IF(C159&lt;='SOLLECITAZ NASCOSTO'!$P$6,IF(C159&lt;='SOLLECITAZ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10.25687403361642</v>
      </c>
      <c r="O160" s="42">
        <f>IF(C160&lt;='SOLLECITAZ NASCOSTO'!$P$12,IF(C160&lt;='SOLLECITAZ NASCOSTO'!$P$11,IF(C160&lt;='SOLLECITAZ NASCOSTO'!$P$10,IF(C160&lt;='SOLLECITAZ NASCOSTO'!$P$9,IF(C160&lt;='SOLLECITAZ NASCOSTO'!$P$8,IF(C160&lt;='SOLLECITAZ NASCOSTO'!$P$7,IF(C160&lt;='SOLLECITAZ NASCOSTO'!$P$6,IF(C160&lt;='SOLLECITAZ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slu'!$G$111),55555)*(C160-C159)/IF(C160&lt;='SOLLECITAZ NASCOSTO'!$P$12,IF(C160&lt;='SOLLECITAZ NASCOSTO'!$P$11,IF(C160&lt;='SOLLECITAZ NASCOSTO'!$P$10,IF(C160&lt;='SOLLECITAZ NASCOSTO'!$P$9,IF(C160&lt;='SOLLECITAZ NASCOSTO'!$P$8,IF(C160&lt;='SOLLECITAZ NASCOSTO'!$P$7,IF(C160&lt;='SOLLECITAZ NASCOSTO'!$P$6,IF(C160&lt;='SOLLECITAZ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0" s="42">
        <f t="shared" si="39"/>
        <v>1.2699999999999975E-4</v>
      </c>
      <c r="Q160" s="42">
        <f t="shared" si="37"/>
        <v>1</v>
      </c>
      <c r="R160" s="441">
        <f t="shared" ref="R160:R223" si="49">C160</f>
        <v>0.87692307692307692</v>
      </c>
      <c r="S160" s="46">
        <f t="shared" si="38"/>
        <v>0.87692307692307692</v>
      </c>
      <c r="T160" s="211">
        <f t="shared" si="34"/>
        <v>2.4730769230769232</v>
      </c>
      <c r="U160" s="46">
        <f t="shared" si="35"/>
        <v>6.3353695617630397</v>
      </c>
      <c r="V160" s="46">
        <f t="shared" si="36"/>
        <v>-2.3830304716428934</v>
      </c>
      <c r="W160" s="496"/>
      <c r="X160" s="497"/>
      <c r="Y160" s="497"/>
      <c r="Z160" s="498"/>
      <c r="AA160" s="47"/>
    </row>
    <row r="161" spans="1:27" s="428" customFormat="1" x14ac:dyDescent="0.25">
      <c r="A161" s="589">
        <f t="shared" ref="A161:A224" si="50">E161</f>
        <v>3.1009615383825739E-6</v>
      </c>
      <c r="B161" s="32">
        <f t="shared" si="40"/>
        <v>129</v>
      </c>
      <c r="C161" s="441">
        <f>'SOLLECITAZ NASCOSTO'!$D$6/'SOLLECITAZ NASCOSTO'!$B$448*'SOLLECITAZ NASCOSTO'!B161</f>
        <v>0.88377403846153846</v>
      </c>
      <c r="D161" s="441">
        <f t="shared" ref="D161:D224" si="51">$D$9+$D$14+$D$16*C161</f>
        <v>0.30000310096153837</v>
      </c>
      <c r="E161" s="441">
        <f t="shared" si="45"/>
        <v>3.1009615383825739E-6</v>
      </c>
      <c r="F161" s="441">
        <f t="shared" si="46"/>
        <v>0.30000310096153837</v>
      </c>
      <c r="G161" s="441">
        <f t="shared" si="47"/>
        <v>4.5000930293269494E-2</v>
      </c>
      <c r="H161" s="441">
        <f t="shared" si="41"/>
        <v>0</v>
      </c>
      <c r="I161" s="441">
        <v>0</v>
      </c>
      <c r="J161" s="131">
        <f t="shared" si="42"/>
        <v>0.15000155048076919</v>
      </c>
      <c r="K161" s="130">
        <f t="shared" si="48"/>
        <v>2.2500697723558129E-3</v>
      </c>
      <c r="L161" s="42">
        <f t="shared" si="43"/>
        <v>6.4061336392438069</v>
      </c>
      <c r="M161" s="42">
        <f t="shared" si="44"/>
        <v>-2.4266762458290345</v>
      </c>
      <c r="N161" s="42">
        <f>(IF(C160&lt;='SOLLECITAZ NASCOSTO'!$P$12,IF(C160&lt;='SOLLECITAZ NASCOSTO'!$P$11,IF(C160&lt;='SOLLECITAZ NASCOSTO'!$P$10,IF(C160&lt;='SOLLECITAZ NASCOSTO'!$P$9,IF(C160&lt;='SOLLECITAZ NASCOSTO'!$P$8,IF(C160&lt;='SOLLECITAZ NASCOSTO'!$P$7,IF(C160&lt;='SOLLECITAZ NASCOSTO'!$P$6,IF(C160&lt;='SOLLECITAZ NASCOSTO'!$P$5,'Progetto del paramento slu'!$G$105,'Progetto del paramento slu'!$G$106),'Progetto del paramento slu'!$G$107),'Progetto del paramento slu'!$G$108),'Progetto del paramento slu'!$G$109),'Progetto del paramento slu'!$G$110),'Progetto del paramento slu'!$G$111),'Progetto del paramento slu'!$G$112),55555)-IF(C160&lt;='SOLLECITAZ NASCOSTO'!$P$12,IF(C160&lt;='SOLLECITAZ NASCOSTO'!$P$11,IF(C160&lt;='SOLLECITAZ NASCOSTO'!$P$10,IF(C160&lt;='SOLLECITAZ NASCOSTO'!$P$9,IF(C160&lt;='SOLLECITAZ NASCOSTO'!$P$8,IF(C160&lt;='SOLLECITAZ NASCOSTO'!$P$7,IF(C160&lt;='SOLLECITAZ NASCOSTO'!$P$6,IF(C160&lt;='SOLLECITAZ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slu'!$G$112))*(C160-IF(C160&lt;='SOLLECITAZ NASCOSTO'!$P$12,IF(C160&lt;='SOLLECITAZ NASCOSTO'!$P$11,IF(C160&lt;='SOLLECITAZ NASCOSTO'!$P$10,IF(C160&lt;='SOLLECITAZ NASCOSTO'!$P$9,IF(C160&lt;='SOLLECITAZ NASCOSTO'!$P$8,IF(C160&lt;='SOLLECITAZ NASCOSTO'!$P$7,IF(C160&lt;='SOLLECITAZ NASCOSTO'!$P$6,IF(C160&lt;='SOLLECITAZ NASCOSTO'!$P$5,'SOLLECITAZ NASCOSTO'!$P$3,'SOLLECITAZ NASCOSTO'!$P$5),'SOLLECITAZ NASCOSTO'!$P$5),'SOLLECITAZ NASCOSTO'!$P$7),'SOLLECITAZ NASCOSTO'!$P$8),'SOLLECITAZ NASCOSTO'!$P$9),'SOLLECITAZ NASCOSTO'!$P$10),'SOLLECITAZ NASCOSTO'!$P$11),'SOLLECITAZ NASCOSTO'!$P$12))/IF(C160&lt;='SOLLECITAZ NASCOSTO'!$P$12,IF(C160&lt;='SOLLECITAZ NASCOSTO'!$P$11,IF(C160&lt;='SOLLECITAZ NASCOSTO'!$P$10,IF(C160&lt;='SOLLECITAZ NASCOSTO'!$P$9,IF(C160&lt;='SOLLECITAZ NASCOSTO'!$P$8,IF(C160&lt;='SOLLECITAZ NASCOSTO'!$P$7,IF(C160&lt;='SOLLECITAZ NASCOSTO'!$P$6,IF(C160&lt;='SOLLECITAZ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slu'!$C$112)+IF(C160&lt;='SOLLECITAZ NASCOSTO'!$P$12,IF(C160&lt;='SOLLECITAZ NASCOSTO'!$P$11,IF(C160&lt;='SOLLECITAZ NASCOSTO'!$P$10,IF(C160&lt;='SOLLECITAZ NASCOSTO'!$P$9,IF(C160&lt;='SOLLECITAZ NASCOSTO'!$P$8,IF(C160&lt;='SOLLECITAZ NASCOSTO'!$P$7,IF(C160&lt;='SOLLECITAZ NASCOSTO'!$P$6,IF(C160&lt;='SOLLECITAZ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10.305006252608772</v>
      </c>
      <c r="O161" s="42">
        <f>IF(C161&lt;='SOLLECITAZ NASCOSTO'!$P$12,IF(C161&lt;='SOLLECITAZ NASCOSTO'!$P$11,IF(C161&lt;='SOLLECITAZ NASCOSTO'!$P$10,IF(C161&lt;='SOLLECITAZ NASCOSTO'!$P$9,IF(C161&lt;='SOLLECITAZ NASCOSTO'!$P$8,IF(C161&lt;='SOLLECITAZ NASCOSTO'!$P$7,IF(C161&lt;='SOLLECITAZ NASCOSTO'!$P$6,IF(C161&lt;='SOLLECITAZ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slu'!$G$111),55555)*(C161-C160)/IF(C161&lt;='SOLLECITAZ NASCOSTO'!$P$12,IF(C161&lt;='SOLLECITAZ NASCOSTO'!$P$11,IF(C161&lt;='SOLLECITAZ NASCOSTO'!$P$10,IF(C161&lt;='SOLLECITAZ NASCOSTO'!$P$9,IF(C161&lt;='SOLLECITAZ NASCOSTO'!$P$8,IF(C161&lt;='SOLLECITAZ NASCOSTO'!$P$7,IF(C161&lt;='SOLLECITAZ NASCOSTO'!$P$6,IF(C161&lt;='SOLLECITAZ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1" s="42">
        <f t="shared" si="39"/>
        <v>1.2799999999999975E-4</v>
      </c>
      <c r="Q161" s="42">
        <f t="shared" si="37"/>
        <v>1</v>
      </c>
      <c r="R161" s="441">
        <f t="shared" si="49"/>
        <v>0.88377403846153846</v>
      </c>
      <c r="S161" s="46">
        <f t="shared" si="38"/>
        <v>0.88377403846153846</v>
      </c>
      <c r="T161" s="211">
        <f t="shared" ref="T161:T224" si="52">$R$468-S161</f>
        <v>2.4662259615384619</v>
      </c>
      <c r="U161" s="46">
        <f t="shared" si="35"/>
        <v>6.4061336392438069</v>
      </c>
      <c r="V161" s="46">
        <f t="shared" si="36"/>
        <v>-2.4266762458290345</v>
      </c>
      <c r="W161" s="496"/>
      <c r="X161" s="497"/>
      <c r="Y161" s="497"/>
      <c r="Z161" s="498"/>
      <c r="AA161" s="47"/>
    </row>
    <row r="162" spans="1:27" s="428" customFormat="1" x14ac:dyDescent="0.25">
      <c r="A162" s="589">
        <f t="shared" si="50"/>
        <v>3.1249999999372058E-6</v>
      </c>
      <c r="B162" s="32">
        <f t="shared" si="40"/>
        <v>130</v>
      </c>
      <c r="C162" s="441">
        <f>'SOLLECITAZ NASCOSTO'!$D$6/'SOLLECITAZ NASCOSTO'!$B$448*'SOLLECITAZ NASCOSTO'!B162</f>
        <v>0.890625</v>
      </c>
      <c r="D162" s="441">
        <f t="shared" si="51"/>
        <v>0.30000312499999993</v>
      </c>
      <c r="E162" s="441">
        <f t="shared" si="45"/>
        <v>3.1249999999372058E-6</v>
      </c>
      <c r="F162" s="441">
        <f t="shared" si="46"/>
        <v>0.30000312499999993</v>
      </c>
      <c r="G162" s="441">
        <f t="shared" si="47"/>
        <v>4.5000937504882793E-2</v>
      </c>
      <c r="H162" s="441">
        <f t="shared" si="41"/>
        <v>0</v>
      </c>
      <c r="I162" s="441">
        <v>0</v>
      </c>
      <c r="J162" s="131">
        <f t="shared" si="42"/>
        <v>0.15000156249999996</v>
      </c>
      <c r="K162" s="130">
        <f t="shared" si="48"/>
        <v>2.2500703132324229E-3</v>
      </c>
      <c r="L162" s="42">
        <f t="shared" si="43"/>
        <v>6.4772274687056512</v>
      </c>
      <c r="M162" s="42">
        <f t="shared" si="44"/>
        <v>-2.4708079515473709</v>
      </c>
      <c r="N162" s="42">
        <f>(IF(C161&lt;='SOLLECITAZ NASCOSTO'!$P$12,IF(C161&lt;='SOLLECITAZ NASCOSTO'!$P$11,IF(C161&lt;='SOLLECITAZ NASCOSTO'!$P$10,IF(C161&lt;='SOLLECITAZ NASCOSTO'!$P$9,IF(C161&lt;='SOLLECITAZ NASCOSTO'!$P$8,IF(C161&lt;='SOLLECITAZ NASCOSTO'!$P$7,IF(C161&lt;='SOLLECITAZ NASCOSTO'!$P$6,IF(C161&lt;='SOLLECITAZ NASCOSTO'!$P$5,'Progetto del paramento slu'!$G$105,'Progetto del paramento slu'!$G$106),'Progetto del paramento slu'!$G$107),'Progetto del paramento slu'!$G$108),'Progetto del paramento slu'!$G$109),'Progetto del paramento slu'!$G$110),'Progetto del paramento slu'!$G$111),'Progetto del paramento slu'!$G$112),55555)-IF(C161&lt;='SOLLECITAZ NASCOSTO'!$P$12,IF(C161&lt;='SOLLECITAZ NASCOSTO'!$P$11,IF(C161&lt;='SOLLECITAZ NASCOSTO'!$P$10,IF(C161&lt;='SOLLECITAZ NASCOSTO'!$P$9,IF(C161&lt;='SOLLECITAZ NASCOSTO'!$P$8,IF(C161&lt;='SOLLECITAZ NASCOSTO'!$P$7,IF(C161&lt;='SOLLECITAZ NASCOSTO'!$P$6,IF(C161&lt;='SOLLECITAZ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slu'!$G$112))*(C161-IF(C161&lt;='SOLLECITAZ NASCOSTO'!$P$12,IF(C161&lt;='SOLLECITAZ NASCOSTO'!$P$11,IF(C161&lt;='SOLLECITAZ NASCOSTO'!$P$10,IF(C161&lt;='SOLLECITAZ NASCOSTO'!$P$9,IF(C161&lt;='SOLLECITAZ NASCOSTO'!$P$8,IF(C161&lt;='SOLLECITAZ NASCOSTO'!$P$7,IF(C161&lt;='SOLLECITAZ NASCOSTO'!$P$6,IF(C161&lt;='SOLLECITAZ NASCOSTO'!$P$5,'SOLLECITAZ NASCOSTO'!$P$3,'SOLLECITAZ NASCOSTO'!$P$5),'SOLLECITAZ NASCOSTO'!$P$5),'SOLLECITAZ NASCOSTO'!$P$7),'SOLLECITAZ NASCOSTO'!$P$8),'SOLLECITAZ NASCOSTO'!$P$9),'SOLLECITAZ NASCOSTO'!$P$10),'SOLLECITAZ NASCOSTO'!$P$11),'SOLLECITAZ NASCOSTO'!$P$12))/IF(C161&lt;='SOLLECITAZ NASCOSTO'!$P$12,IF(C161&lt;='SOLLECITAZ NASCOSTO'!$P$11,IF(C161&lt;='SOLLECITAZ NASCOSTO'!$P$10,IF(C161&lt;='SOLLECITAZ NASCOSTO'!$P$9,IF(C161&lt;='SOLLECITAZ NASCOSTO'!$P$8,IF(C161&lt;='SOLLECITAZ NASCOSTO'!$P$7,IF(C161&lt;='SOLLECITAZ NASCOSTO'!$P$6,IF(C161&lt;='SOLLECITAZ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slu'!$C$112)+IF(C161&lt;='SOLLECITAZ NASCOSTO'!$P$12,IF(C161&lt;='SOLLECITAZ NASCOSTO'!$P$11,IF(C161&lt;='SOLLECITAZ NASCOSTO'!$P$10,IF(C161&lt;='SOLLECITAZ NASCOSTO'!$P$9,IF(C161&lt;='SOLLECITAZ NASCOSTO'!$P$8,IF(C161&lt;='SOLLECITAZ NASCOSTO'!$P$7,IF(C161&lt;='SOLLECITAZ NASCOSTO'!$P$6,IF(C161&lt;='SOLLECITAZ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10.353138471601124</v>
      </c>
      <c r="O162" s="42">
        <f>IF(C162&lt;='SOLLECITAZ NASCOSTO'!$P$12,IF(C162&lt;='SOLLECITAZ NASCOSTO'!$P$11,IF(C162&lt;='SOLLECITAZ NASCOSTO'!$P$10,IF(C162&lt;='SOLLECITAZ NASCOSTO'!$P$9,IF(C162&lt;='SOLLECITAZ NASCOSTO'!$P$8,IF(C162&lt;='SOLLECITAZ NASCOSTO'!$P$7,IF(C162&lt;='SOLLECITAZ NASCOSTO'!$P$6,IF(C162&lt;='SOLLECITAZ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slu'!$G$111),55555)*(C162-C161)/IF(C162&lt;='SOLLECITAZ NASCOSTO'!$P$12,IF(C162&lt;='SOLLECITAZ NASCOSTO'!$P$11,IF(C162&lt;='SOLLECITAZ NASCOSTO'!$P$10,IF(C162&lt;='SOLLECITAZ NASCOSTO'!$P$9,IF(C162&lt;='SOLLECITAZ NASCOSTO'!$P$8,IF(C162&lt;='SOLLECITAZ NASCOSTO'!$P$7,IF(C162&lt;='SOLLECITAZ NASCOSTO'!$P$6,IF(C162&lt;='SOLLECITAZ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2" s="42">
        <f t="shared" si="39"/>
        <v>1.2899999999999975E-4</v>
      </c>
      <c r="Q162" s="42">
        <f t="shared" si="37"/>
        <v>1</v>
      </c>
      <c r="R162" s="441">
        <f t="shared" si="49"/>
        <v>0.890625</v>
      </c>
      <c r="S162" s="46">
        <f t="shared" si="38"/>
        <v>0.890625</v>
      </c>
      <c r="T162" s="211">
        <f t="shared" si="52"/>
        <v>2.4593750000000001</v>
      </c>
      <c r="U162" s="46">
        <f t="shared" ref="U162:U225" si="53">IF(Q162=1,L162,0)</f>
        <v>6.4772274687056512</v>
      </c>
      <c r="V162" s="46">
        <f t="shared" ref="V162:V225" si="54">IF(Q162=1,M162,0)</f>
        <v>-2.4708079515473709</v>
      </c>
      <c r="W162" s="496"/>
      <c r="X162" s="497"/>
      <c r="Y162" s="497"/>
      <c r="Z162" s="498"/>
      <c r="AA162" s="47"/>
    </row>
    <row r="163" spans="1:27" s="428" customFormat="1" x14ac:dyDescent="0.25">
      <c r="A163" s="589">
        <f t="shared" si="50"/>
        <v>3.1490384614918376E-6</v>
      </c>
      <c r="B163" s="32">
        <f t="shared" si="40"/>
        <v>131</v>
      </c>
      <c r="C163" s="441">
        <f>'SOLLECITAZ NASCOSTO'!$D$6/'SOLLECITAZ NASCOSTO'!$B$448*'SOLLECITAZ NASCOSTO'!B163</f>
        <v>0.89747596153846154</v>
      </c>
      <c r="D163" s="441">
        <f t="shared" si="51"/>
        <v>0.30000314903846148</v>
      </c>
      <c r="E163" s="441">
        <f t="shared" si="45"/>
        <v>3.1490384614918376E-6</v>
      </c>
      <c r="F163" s="441">
        <f t="shared" si="46"/>
        <v>0.30000314903846148</v>
      </c>
      <c r="G163" s="441">
        <f t="shared" si="47"/>
        <v>4.5000944716496669E-2</v>
      </c>
      <c r="H163" s="441">
        <f t="shared" si="41"/>
        <v>0</v>
      </c>
      <c r="I163" s="441">
        <v>0</v>
      </c>
      <c r="J163" s="131">
        <f t="shared" si="42"/>
        <v>0.15000157451923074</v>
      </c>
      <c r="K163" s="130">
        <f t="shared" si="48"/>
        <v>2.2500708541091192E-3</v>
      </c>
      <c r="L163" s="42">
        <f t="shared" si="43"/>
        <v>6.5486510501485728</v>
      </c>
      <c r="M163" s="42">
        <f t="shared" si="44"/>
        <v>-2.5154278479160421</v>
      </c>
      <c r="N163" s="42">
        <f>(IF(C162&lt;='SOLLECITAZ NASCOSTO'!$P$12,IF(C162&lt;='SOLLECITAZ NASCOSTO'!$P$11,IF(C162&lt;='SOLLECITAZ NASCOSTO'!$P$10,IF(C162&lt;='SOLLECITAZ NASCOSTO'!$P$9,IF(C162&lt;='SOLLECITAZ NASCOSTO'!$P$8,IF(C162&lt;='SOLLECITAZ NASCOSTO'!$P$7,IF(C162&lt;='SOLLECITAZ NASCOSTO'!$P$6,IF(C162&lt;='SOLLECITAZ NASCOSTO'!$P$5,'Progetto del paramento slu'!$G$105,'Progetto del paramento slu'!$G$106),'Progetto del paramento slu'!$G$107),'Progetto del paramento slu'!$G$108),'Progetto del paramento slu'!$G$109),'Progetto del paramento slu'!$G$110),'Progetto del paramento slu'!$G$111),'Progetto del paramento slu'!$G$112),55555)-IF(C162&lt;='SOLLECITAZ NASCOSTO'!$P$12,IF(C162&lt;='SOLLECITAZ NASCOSTO'!$P$11,IF(C162&lt;='SOLLECITAZ NASCOSTO'!$P$10,IF(C162&lt;='SOLLECITAZ NASCOSTO'!$P$9,IF(C162&lt;='SOLLECITAZ NASCOSTO'!$P$8,IF(C162&lt;='SOLLECITAZ NASCOSTO'!$P$7,IF(C162&lt;='SOLLECITAZ NASCOSTO'!$P$6,IF(C162&lt;='SOLLECITAZ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slu'!$G$112))*(C162-IF(C162&lt;='SOLLECITAZ NASCOSTO'!$P$12,IF(C162&lt;='SOLLECITAZ NASCOSTO'!$P$11,IF(C162&lt;='SOLLECITAZ NASCOSTO'!$P$10,IF(C162&lt;='SOLLECITAZ NASCOSTO'!$P$9,IF(C162&lt;='SOLLECITAZ NASCOSTO'!$P$8,IF(C162&lt;='SOLLECITAZ NASCOSTO'!$P$7,IF(C162&lt;='SOLLECITAZ NASCOSTO'!$P$6,IF(C162&lt;='SOLLECITAZ NASCOSTO'!$P$5,'SOLLECITAZ NASCOSTO'!$P$3,'SOLLECITAZ NASCOSTO'!$P$5),'SOLLECITAZ NASCOSTO'!$P$5),'SOLLECITAZ NASCOSTO'!$P$7),'SOLLECITAZ NASCOSTO'!$P$8),'SOLLECITAZ NASCOSTO'!$P$9),'SOLLECITAZ NASCOSTO'!$P$10),'SOLLECITAZ NASCOSTO'!$P$11),'SOLLECITAZ NASCOSTO'!$P$12))/IF(C162&lt;='SOLLECITAZ NASCOSTO'!$P$12,IF(C162&lt;='SOLLECITAZ NASCOSTO'!$P$11,IF(C162&lt;='SOLLECITAZ NASCOSTO'!$P$10,IF(C162&lt;='SOLLECITAZ NASCOSTO'!$P$9,IF(C162&lt;='SOLLECITAZ NASCOSTO'!$P$8,IF(C162&lt;='SOLLECITAZ NASCOSTO'!$P$7,IF(C162&lt;='SOLLECITAZ NASCOSTO'!$P$6,IF(C162&lt;='SOLLECITAZ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slu'!$C$112)+IF(C162&lt;='SOLLECITAZ NASCOSTO'!$P$12,IF(C162&lt;='SOLLECITAZ NASCOSTO'!$P$11,IF(C162&lt;='SOLLECITAZ NASCOSTO'!$P$10,IF(C162&lt;='SOLLECITAZ NASCOSTO'!$P$9,IF(C162&lt;='SOLLECITAZ NASCOSTO'!$P$8,IF(C162&lt;='SOLLECITAZ NASCOSTO'!$P$7,IF(C162&lt;='SOLLECITAZ NASCOSTO'!$P$6,IF(C162&lt;='SOLLECITAZ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10.401270690593478</v>
      </c>
      <c r="O163" s="42">
        <f>IF(C163&lt;='SOLLECITAZ NASCOSTO'!$P$12,IF(C163&lt;='SOLLECITAZ NASCOSTO'!$P$11,IF(C163&lt;='SOLLECITAZ NASCOSTO'!$P$10,IF(C163&lt;='SOLLECITAZ NASCOSTO'!$P$9,IF(C163&lt;='SOLLECITAZ NASCOSTO'!$P$8,IF(C163&lt;='SOLLECITAZ NASCOSTO'!$P$7,IF(C163&lt;='SOLLECITAZ NASCOSTO'!$P$6,IF(C163&lt;='SOLLECITAZ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slu'!$G$111),55555)*(C163-C162)/IF(C163&lt;='SOLLECITAZ NASCOSTO'!$P$12,IF(C163&lt;='SOLLECITAZ NASCOSTO'!$P$11,IF(C163&lt;='SOLLECITAZ NASCOSTO'!$P$10,IF(C163&lt;='SOLLECITAZ NASCOSTO'!$P$9,IF(C163&lt;='SOLLECITAZ NASCOSTO'!$P$8,IF(C163&lt;='SOLLECITAZ NASCOSTO'!$P$7,IF(C163&lt;='SOLLECITAZ NASCOSTO'!$P$6,IF(C163&lt;='SOLLECITAZ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3" s="42">
        <f t="shared" si="39"/>
        <v>1.2999999999999974E-4</v>
      </c>
      <c r="Q163" s="42">
        <f t="shared" ref="Q163:Q226" si="55">IF(C163&lt;=$D$6,1,0+P163)</f>
        <v>1</v>
      </c>
      <c r="R163" s="441">
        <f t="shared" si="49"/>
        <v>0.89747596153846154</v>
      </c>
      <c r="S163" s="46">
        <f t="shared" ref="S163:S226" si="56">IF(Q163&lt;1,VLOOKUP(0,$Q$34:$R$468,2,TRUE),C163)</f>
        <v>0.89747596153846154</v>
      </c>
      <c r="T163" s="211">
        <f t="shared" si="52"/>
        <v>2.4525240384615383</v>
      </c>
      <c r="U163" s="46">
        <f t="shared" si="53"/>
        <v>6.5486510501485728</v>
      </c>
      <c r="V163" s="46">
        <f t="shared" si="54"/>
        <v>-2.5154278479160421</v>
      </c>
      <c r="W163" s="496"/>
      <c r="X163" s="497"/>
      <c r="Y163" s="497"/>
      <c r="Z163" s="498"/>
      <c r="AA163" s="47"/>
    </row>
    <row r="164" spans="1:27" s="428" customFormat="1" x14ac:dyDescent="0.25">
      <c r="A164" s="589">
        <f t="shared" si="50"/>
        <v>3.1730769229909583E-6</v>
      </c>
      <c r="B164" s="32">
        <f t="shared" si="40"/>
        <v>132</v>
      </c>
      <c r="C164" s="441">
        <f>'SOLLECITAZ NASCOSTO'!$D$6/'SOLLECITAZ NASCOSTO'!$B$448*'SOLLECITAZ NASCOSTO'!B164</f>
        <v>0.90432692307692308</v>
      </c>
      <c r="D164" s="441">
        <f t="shared" si="51"/>
        <v>0.30000317307692298</v>
      </c>
      <c r="E164" s="441">
        <f t="shared" si="45"/>
        <v>3.1730769229909583E-6</v>
      </c>
      <c r="F164" s="441">
        <f t="shared" si="46"/>
        <v>0.30000317307692298</v>
      </c>
      <c r="G164" s="441">
        <f t="shared" si="47"/>
        <v>4.5000951928111106E-2</v>
      </c>
      <c r="H164" s="441">
        <f t="shared" si="41"/>
        <v>0</v>
      </c>
      <c r="I164" s="441">
        <v>0</v>
      </c>
      <c r="J164" s="131">
        <f t="shared" si="42"/>
        <v>0.15000158653846149</v>
      </c>
      <c r="K164" s="130">
        <f t="shared" si="48"/>
        <v>2.2500713949859009E-3</v>
      </c>
      <c r="L164" s="42">
        <f t="shared" si="43"/>
        <v>6.6204043835725717</v>
      </c>
      <c r="M164" s="42">
        <f t="shared" si="44"/>
        <v>-2.5605381940531879</v>
      </c>
      <c r="N164" s="42">
        <f>(IF(C163&lt;='SOLLECITAZ NASCOSTO'!$P$12,IF(C163&lt;='SOLLECITAZ NASCOSTO'!$P$11,IF(C163&lt;='SOLLECITAZ NASCOSTO'!$P$10,IF(C163&lt;='SOLLECITAZ NASCOSTO'!$P$9,IF(C163&lt;='SOLLECITAZ NASCOSTO'!$P$8,IF(C163&lt;='SOLLECITAZ NASCOSTO'!$P$7,IF(C163&lt;='SOLLECITAZ NASCOSTO'!$P$6,IF(C163&lt;='SOLLECITAZ NASCOSTO'!$P$5,'Progetto del paramento slu'!$G$105,'Progetto del paramento slu'!$G$106),'Progetto del paramento slu'!$G$107),'Progetto del paramento slu'!$G$108),'Progetto del paramento slu'!$G$109),'Progetto del paramento slu'!$G$110),'Progetto del paramento slu'!$G$111),'Progetto del paramento slu'!$G$112),55555)-IF(C163&lt;='SOLLECITAZ NASCOSTO'!$P$12,IF(C163&lt;='SOLLECITAZ NASCOSTO'!$P$11,IF(C163&lt;='SOLLECITAZ NASCOSTO'!$P$10,IF(C163&lt;='SOLLECITAZ NASCOSTO'!$P$9,IF(C163&lt;='SOLLECITAZ NASCOSTO'!$P$8,IF(C163&lt;='SOLLECITAZ NASCOSTO'!$P$7,IF(C163&lt;='SOLLECITAZ NASCOSTO'!$P$6,IF(C163&lt;='SOLLECITAZ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slu'!$G$112))*(C163-IF(C163&lt;='SOLLECITAZ NASCOSTO'!$P$12,IF(C163&lt;='SOLLECITAZ NASCOSTO'!$P$11,IF(C163&lt;='SOLLECITAZ NASCOSTO'!$P$10,IF(C163&lt;='SOLLECITAZ NASCOSTO'!$P$9,IF(C163&lt;='SOLLECITAZ NASCOSTO'!$P$8,IF(C163&lt;='SOLLECITAZ NASCOSTO'!$P$7,IF(C163&lt;='SOLLECITAZ NASCOSTO'!$P$6,IF(C163&lt;='SOLLECITAZ NASCOSTO'!$P$5,'SOLLECITAZ NASCOSTO'!$P$3,'SOLLECITAZ NASCOSTO'!$P$5),'SOLLECITAZ NASCOSTO'!$P$5),'SOLLECITAZ NASCOSTO'!$P$7),'SOLLECITAZ NASCOSTO'!$P$8),'SOLLECITAZ NASCOSTO'!$P$9),'SOLLECITAZ NASCOSTO'!$P$10),'SOLLECITAZ NASCOSTO'!$P$11),'SOLLECITAZ NASCOSTO'!$P$12))/IF(C163&lt;='SOLLECITAZ NASCOSTO'!$P$12,IF(C163&lt;='SOLLECITAZ NASCOSTO'!$P$11,IF(C163&lt;='SOLLECITAZ NASCOSTO'!$P$10,IF(C163&lt;='SOLLECITAZ NASCOSTO'!$P$9,IF(C163&lt;='SOLLECITAZ NASCOSTO'!$P$8,IF(C163&lt;='SOLLECITAZ NASCOSTO'!$P$7,IF(C163&lt;='SOLLECITAZ NASCOSTO'!$P$6,IF(C163&lt;='SOLLECITAZ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slu'!$C$112)+IF(C163&lt;='SOLLECITAZ NASCOSTO'!$P$12,IF(C163&lt;='SOLLECITAZ NASCOSTO'!$P$11,IF(C163&lt;='SOLLECITAZ NASCOSTO'!$P$10,IF(C163&lt;='SOLLECITAZ NASCOSTO'!$P$9,IF(C163&lt;='SOLLECITAZ NASCOSTO'!$P$8,IF(C163&lt;='SOLLECITAZ NASCOSTO'!$P$7,IF(C163&lt;='SOLLECITAZ NASCOSTO'!$P$6,IF(C163&lt;='SOLLECITAZ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10.449402909585828</v>
      </c>
      <c r="O164" s="42">
        <f>IF(C164&lt;='SOLLECITAZ NASCOSTO'!$P$12,IF(C164&lt;='SOLLECITAZ NASCOSTO'!$P$11,IF(C164&lt;='SOLLECITAZ NASCOSTO'!$P$10,IF(C164&lt;='SOLLECITAZ NASCOSTO'!$P$9,IF(C164&lt;='SOLLECITAZ NASCOSTO'!$P$8,IF(C164&lt;='SOLLECITAZ NASCOSTO'!$P$7,IF(C164&lt;='SOLLECITAZ NASCOSTO'!$P$6,IF(C164&lt;='SOLLECITAZ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slu'!$G$111),55555)*(C164-C163)/IF(C164&lt;='SOLLECITAZ NASCOSTO'!$P$12,IF(C164&lt;='SOLLECITAZ NASCOSTO'!$P$11,IF(C164&lt;='SOLLECITAZ NASCOSTO'!$P$10,IF(C164&lt;='SOLLECITAZ NASCOSTO'!$P$9,IF(C164&lt;='SOLLECITAZ NASCOSTO'!$P$8,IF(C164&lt;='SOLLECITAZ NASCOSTO'!$P$7,IF(C164&lt;='SOLLECITAZ NASCOSTO'!$P$6,IF(C164&lt;='SOLLECITAZ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4" s="42">
        <f t="shared" ref="P164:P227" si="57">P163+0.000001</f>
        <v>1.3099999999999974E-4</v>
      </c>
      <c r="Q164" s="42">
        <f t="shared" si="55"/>
        <v>1</v>
      </c>
      <c r="R164" s="441">
        <f t="shared" si="49"/>
        <v>0.90432692307692308</v>
      </c>
      <c r="S164" s="46">
        <f t="shared" si="56"/>
        <v>0.90432692307692308</v>
      </c>
      <c r="T164" s="211">
        <f t="shared" si="52"/>
        <v>2.445673076923077</v>
      </c>
      <c r="U164" s="46">
        <f t="shared" si="53"/>
        <v>6.6204043835725717</v>
      </c>
      <c r="V164" s="46">
        <f t="shared" si="54"/>
        <v>-2.5605381940531879</v>
      </c>
      <c r="W164" s="496"/>
      <c r="X164" s="497"/>
      <c r="Y164" s="497"/>
      <c r="Z164" s="498"/>
      <c r="AA164" s="47"/>
    </row>
    <row r="165" spans="1:27" s="428" customFormat="1" x14ac:dyDescent="0.25">
      <c r="A165" s="589">
        <f t="shared" si="50"/>
        <v>3.1971153845455902E-6</v>
      </c>
      <c r="B165" s="32">
        <f t="shared" si="40"/>
        <v>133</v>
      </c>
      <c r="C165" s="441">
        <f>'SOLLECITAZ NASCOSTO'!$D$6/'SOLLECITAZ NASCOSTO'!$B$448*'SOLLECITAZ NASCOSTO'!B165</f>
        <v>0.91117788461538463</v>
      </c>
      <c r="D165" s="441">
        <f t="shared" si="51"/>
        <v>0.30000319711538453</v>
      </c>
      <c r="E165" s="441">
        <f t="shared" si="45"/>
        <v>3.1971153845455902E-6</v>
      </c>
      <c r="F165" s="441">
        <f t="shared" si="46"/>
        <v>0.30000319711538453</v>
      </c>
      <c r="G165" s="441">
        <f t="shared" si="47"/>
        <v>4.5000959139726134E-2</v>
      </c>
      <c r="H165" s="441">
        <f t="shared" si="41"/>
        <v>0</v>
      </c>
      <c r="I165" s="441">
        <v>0</v>
      </c>
      <c r="J165" s="131">
        <f t="shared" si="42"/>
        <v>0.15000159855769227</v>
      </c>
      <c r="K165" s="130">
        <f t="shared" si="48"/>
        <v>2.2500719358627707E-3</v>
      </c>
      <c r="L165" s="42">
        <f t="shared" si="43"/>
        <v>6.6924874689776486</v>
      </c>
      <c r="M165" s="42">
        <f t="shared" si="44"/>
        <v>-2.6061412490769476</v>
      </c>
      <c r="N165" s="42">
        <f>(IF(C164&lt;='SOLLECITAZ NASCOSTO'!$P$12,IF(C164&lt;='SOLLECITAZ NASCOSTO'!$P$11,IF(C164&lt;='SOLLECITAZ NASCOSTO'!$P$10,IF(C164&lt;='SOLLECITAZ NASCOSTO'!$P$9,IF(C164&lt;='SOLLECITAZ NASCOSTO'!$P$8,IF(C164&lt;='SOLLECITAZ NASCOSTO'!$P$7,IF(C164&lt;='SOLLECITAZ NASCOSTO'!$P$6,IF(C164&lt;='SOLLECITAZ NASCOSTO'!$P$5,'Progetto del paramento slu'!$G$105,'Progetto del paramento slu'!$G$106),'Progetto del paramento slu'!$G$107),'Progetto del paramento slu'!$G$108),'Progetto del paramento slu'!$G$109),'Progetto del paramento slu'!$G$110),'Progetto del paramento slu'!$G$111),'Progetto del paramento slu'!$G$112),55555)-IF(C164&lt;='SOLLECITAZ NASCOSTO'!$P$12,IF(C164&lt;='SOLLECITAZ NASCOSTO'!$P$11,IF(C164&lt;='SOLLECITAZ NASCOSTO'!$P$10,IF(C164&lt;='SOLLECITAZ NASCOSTO'!$P$9,IF(C164&lt;='SOLLECITAZ NASCOSTO'!$P$8,IF(C164&lt;='SOLLECITAZ NASCOSTO'!$P$7,IF(C164&lt;='SOLLECITAZ NASCOSTO'!$P$6,IF(C164&lt;='SOLLECITAZ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slu'!$G$112))*(C164-IF(C164&lt;='SOLLECITAZ NASCOSTO'!$P$12,IF(C164&lt;='SOLLECITAZ NASCOSTO'!$P$11,IF(C164&lt;='SOLLECITAZ NASCOSTO'!$P$10,IF(C164&lt;='SOLLECITAZ NASCOSTO'!$P$9,IF(C164&lt;='SOLLECITAZ NASCOSTO'!$P$8,IF(C164&lt;='SOLLECITAZ NASCOSTO'!$P$7,IF(C164&lt;='SOLLECITAZ NASCOSTO'!$P$6,IF(C164&lt;='SOLLECITAZ NASCOSTO'!$P$5,'SOLLECITAZ NASCOSTO'!$P$3,'SOLLECITAZ NASCOSTO'!$P$5),'SOLLECITAZ NASCOSTO'!$P$5),'SOLLECITAZ NASCOSTO'!$P$7),'SOLLECITAZ NASCOSTO'!$P$8),'SOLLECITAZ NASCOSTO'!$P$9),'SOLLECITAZ NASCOSTO'!$P$10),'SOLLECITAZ NASCOSTO'!$P$11),'SOLLECITAZ NASCOSTO'!$P$12))/IF(C164&lt;='SOLLECITAZ NASCOSTO'!$P$12,IF(C164&lt;='SOLLECITAZ NASCOSTO'!$P$11,IF(C164&lt;='SOLLECITAZ NASCOSTO'!$P$10,IF(C164&lt;='SOLLECITAZ NASCOSTO'!$P$9,IF(C164&lt;='SOLLECITAZ NASCOSTO'!$P$8,IF(C164&lt;='SOLLECITAZ NASCOSTO'!$P$7,IF(C164&lt;='SOLLECITAZ NASCOSTO'!$P$6,IF(C164&lt;='SOLLECITAZ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slu'!$C$112)+IF(C164&lt;='SOLLECITAZ NASCOSTO'!$P$12,IF(C164&lt;='SOLLECITAZ NASCOSTO'!$P$11,IF(C164&lt;='SOLLECITAZ NASCOSTO'!$P$10,IF(C164&lt;='SOLLECITAZ NASCOSTO'!$P$9,IF(C164&lt;='SOLLECITAZ NASCOSTO'!$P$8,IF(C164&lt;='SOLLECITAZ NASCOSTO'!$P$7,IF(C164&lt;='SOLLECITAZ NASCOSTO'!$P$6,IF(C164&lt;='SOLLECITAZ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10.497535128578182</v>
      </c>
      <c r="O165" s="42">
        <f>IF(C165&lt;='SOLLECITAZ NASCOSTO'!$P$12,IF(C165&lt;='SOLLECITAZ NASCOSTO'!$P$11,IF(C165&lt;='SOLLECITAZ NASCOSTO'!$P$10,IF(C165&lt;='SOLLECITAZ NASCOSTO'!$P$9,IF(C165&lt;='SOLLECITAZ NASCOSTO'!$P$8,IF(C165&lt;='SOLLECITAZ NASCOSTO'!$P$7,IF(C165&lt;='SOLLECITAZ NASCOSTO'!$P$6,IF(C165&lt;='SOLLECITAZ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slu'!$G$111),55555)*(C165-C164)/IF(C165&lt;='SOLLECITAZ NASCOSTO'!$P$12,IF(C165&lt;='SOLLECITAZ NASCOSTO'!$P$11,IF(C165&lt;='SOLLECITAZ NASCOSTO'!$P$10,IF(C165&lt;='SOLLECITAZ NASCOSTO'!$P$9,IF(C165&lt;='SOLLECITAZ NASCOSTO'!$P$8,IF(C165&lt;='SOLLECITAZ NASCOSTO'!$P$7,IF(C165&lt;='SOLLECITAZ NASCOSTO'!$P$6,IF(C165&lt;='SOLLECITAZ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5" s="42">
        <f t="shared" si="57"/>
        <v>1.3199999999999974E-4</v>
      </c>
      <c r="Q165" s="42">
        <f t="shared" si="55"/>
        <v>1</v>
      </c>
      <c r="R165" s="441">
        <f t="shared" si="49"/>
        <v>0.91117788461538463</v>
      </c>
      <c r="S165" s="46">
        <f t="shared" si="56"/>
        <v>0.91117788461538463</v>
      </c>
      <c r="T165" s="211">
        <f t="shared" si="52"/>
        <v>2.4388221153846157</v>
      </c>
      <c r="U165" s="46">
        <f t="shared" si="53"/>
        <v>6.6924874689776486</v>
      </c>
      <c r="V165" s="46">
        <f t="shared" si="54"/>
        <v>-2.6061412490769476</v>
      </c>
      <c r="W165" s="496"/>
      <c r="X165" s="497"/>
      <c r="Y165" s="497"/>
      <c r="Z165" s="498"/>
      <c r="AA165" s="47"/>
    </row>
    <row r="166" spans="1:27" s="428" customFormat="1" x14ac:dyDescent="0.25">
      <c r="A166" s="589">
        <f t="shared" si="50"/>
        <v>3.221153846100222E-6</v>
      </c>
      <c r="B166" s="32">
        <f t="shared" si="40"/>
        <v>134</v>
      </c>
      <c r="C166" s="441">
        <f>'SOLLECITAZ NASCOSTO'!$D$6/'SOLLECITAZ NASCOSTO'!$B$448*'SOLLECITAZ NASCOSTO'!B166</f>
        <v>0.91802884615384617</v>
      </c>
      <c r="D166" s="441">
        <f t="shared" si="51"/>
        <v>0.30000322115384609</v>
      </c>
      <c r="E166" s="441">
        <f t="shared" si="45"/>
        <v>3.221153846100222E-6</v>
      </c>
      <c r="F166" s="441">
        <f t="shared" si="46"/>
        <v>0.30000322115384609</v>
      </c>
      <c r="G166" s="441">
        <f t="shared" si="47"/>
        <v>4.5000966351341744E-2</v>
      </c>
      <c r="H166" s="441">
        <f t="shared" si="41"/>
        <v>0</v>
      </c>
      <c r="I166" s="441">
        <v>0</v>
      </c>
      <c r="J166" s="131">
        <f t="shared" si="42"/>
        <v>0.15000161057692304</v>
      </c>
      <c r="K166" s="130">
        <f t="shared" si="48"/>
        <v>2.2500724767397272E-3</v>
      </c>
      <c r="L166" s="42">
        <f t="shared" si="43"/>
        <v>6.7649003063638027</v>
      </c>
      <c r="M166" s="42">
        <f t="shared" si="44"/>
        <v>-2.6522392721054611</v>
      </c>
      <c r="N166" s="42">
        <f>(IF(C165&lt;='SOLLECITAZ NASCOSTO'!$P$12,IF(C165&lt;='SOLLECITAZ NASCOSTO'!$P$11,IF(C165&lt;='SOLLECITAZ NASCOSTO'!$P$10,IF(C165&lt;='SOLLECITAZ NASCOSTO'!$P$9,IF(C165&lt;='SOLLECITAZ NASCOSTO'!$P$8,IF(C165&lt;='SOLLECITAZ NASCOSTO'!$P$7,IF(C165&lt;='SOLLECITAZ NASCOSTO'!$P$6,IF(C165&lt;='SOLLECITAZ NASCOSTO'!$P$5,'Progetto del paramento slu'!$G$105,'Progetto del paramento slu'!$G$106),'Progetto del paramento slu'!$G$107),'Progetto del paramento slu'!$G$108),'Progetto del paramento slu'!$G$109),'Progetto del paramento slu'!$G$110),'Progetto del paramento slu'!$G$111),'Progetto del paramento slu'!$G$112),55555)-IF(C165&lt;='SOLLECITAZ NASCOSTO'!$P$12,IF(C165&lt;='SOLLECITAZ NASCOSTO'!$P$11,IF(C165&lt;='SOLLECITAZ NASCOSTO'!$P$10,IF(C165&lt;='SOLLECITAZ NASCOSTO'!$P$9,IF(C165&lt;='SOLLECITAZ NASCOSTO'!$P$8,IF(C165&lt;='SOLLECITAZ NASCOSTO'!$P$7,IF(C165&lt;='SOLLECITAZ NASCOSTO'!$P$6,IF(C165&lt;='SOLLECITAZ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slu'!$G$112))*(C165-IF(C165&lt;='SOLLECITAZ NASCOSTO'!$P$12,IF(C165&lt;='SOLLECITAZ NASCOSTO'!$P$11,IF(C165&lt;='SOLLECITAZ NASCOSTO'!$P$10,IF(C165&lt;='SOLLECITAZ NASCOSTO'!$P$9,IF(C165&lt;='SOLLECITAZ NASCOSTO'!$P$8,IF(C165&lt;='SOLLECITAZ NASCOSTO'!$P$7,IF(C165&lt;='SOLLECITAZ NASCOSTO'!$P$6,IF(C165&lt;='SOLLECITAZ NASCOSTO'!$P$5,'SOLLECITAZ NASCOSTO'!$P$3,'SOLLECITAZ NASCOSTO'!$P$5),'SOLLECITAZ NASCOSTO'!$P$5),'SOLLECITAZ NASCOSTO'!$P$7),'SOLLECITAZ NASCOSTO'!$P$8),'SOLLECITAZ NASCOSTO'!$P$9),'SOLLECITAZ NASCOSTO'!$P$10),'SOLLECITAZ NASCOSTO'!$P$11),'SOLLECITAZ NASCOSTO'!$P$12))/IF(C165&lt;='SOLLECITAZ NASCOSTO'!$P$12,IF(C165&lt;='SOLLECITAZ NASCOSTO'!$P$11,IF(C165&lt;='SOLLECITAZ NASCOSTO'!$P$10,IF(C165&lt;='SOLLECITAZ NASCOSTO'!$P$9,IF(C165&lt;='SOLLECITAZ NASCOSTO'!$P$8,IF(C165&lt;='SOLLECITAZ NASCOSTO'!$P$7,IF(C165&lt;='SOLLECITAZ NASCOSTO'!$P$6,IF(C165&lt;='SOLLECITAZ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slu'!$C$112)+IF(C165&lt;='SOLLECITAZ NASCOSTO'!$P$12,IF(C165&lt;='SOLLECITAZ NASCOSTO'!$P$11,IF(C165&lt;='SOLLECITAZ NASCOSTO'!$P$10,IF(C165&lt;='SOLLECITAZ NASCOSTO'!$P$9,IF(C165&lt;='SOLLECITAZ NASCOSTO'!$P$8,IF(C165&lt;='SOLLECITAZ NASCOSTO'!$P$7,IF(C165&lt;='SOLLECITAZ NASCOSTO'!$P$6,IF(C165&lt;='SOLLECITAZ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10.545667347570534</v>
      </c>
      <c r="O166" s="42">
        <f>IF(C166&lt;='SOLLECITAZ NASCOSTO'!$P$12,IF(C166&lt;='SOLLECITAZ NASCOSTO'!$P$11,IF(C166&lt;='SOLLECITAZ NASCOSTO'!$P$10,IF(C166&lt;='SOLLECITAZ NASCOSTO'!$P$9,IF(C166&lt;='SOLLECITAZ NASCOSTO'!$P$8,IF(C166&lt;='SOLLECITAZ NASCOSTO'!$P$7,IF(C166&lt;='SOLLECITAZ NASCOSTO'!$P$6,IF(C166&lt;='SOLLECITAZ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slu'!$G$111),55555)*(C166-C165)/IF(C166&lt;='SOLLECITAZ NASCOSTO'!$P$12,IF(C166&lt;='SOLLECITAZ NASCOSTO'!$P$11,IF(C166&lt;='SOLLECITAZ NASCOSTO'!$P$10,IF(C166&lt;='SOLLECITAZ NASCOSTO'!$P$9,IF(C166&lt;='SOLLECITAZ NASCOSTO'!$P$8,IF(C166&lt;='SOLLECITAZ NASCOSTO'!$P$7,IF(C166&lt;='SOLLECITAZ NASCOSTO'!$P$6,IF(C166&lt;='SOLLECITAZ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6" s="42">
        <f t="shared" si="57"/>
        <v>1.3299999999999974E-4</v>
      </c>
      <c r="Q166" s="42">
        <f t="shared" si="55"/>
        <v>1</v>
      </c>
      <c r="R166" s="441">
        <f t="shared" si="49"/>
        <v>0.91802884615384617</v>
      </c>
      <c r="S166" s="46">
        <f t="shared" si="56"/>
        <v>0.91802884615384617</v>
      </c>
      <c r="T166" s="211">
        <f t="shared" si="52"/>
        <v>2.4319711538461539</v>
      </c>
      <c r="U166" s="46">
        <f t="shared" si="53"/>
        <v>6.7649003063638027</v>
      </c>
      <c r="V166" s="46">
        <f t="shared" si="54"/>
        <v>-2.6522392721054611</v>
      </c>
      <c r="W166" s="496"/>
      <c r="X166" s="497"/>
      <c r="Y166" s="497"/>
      <c r="Z166" s="498"/>
      <c r="AA166" s="47"/>
    </row>
    <row r="167" spans="1:27" s="428" customFormat="1" x14ac:dyDescent="0.25">
      <c r="A167" s="589">
        <f t="shared" si="50"/>
        <v>3.2451923075993427E-6</v>
      </c>
      <c r="B167" s="32">
        <f t="shared" si="40"/>
        <v>135</v>
      </c>
      <c r="C167" s="441">
        <f>'SOLLECITAZ NASCOSTO'!$D$6/'SOLLECITAZ NASCOSTO'!$B$448*'SOLLECITAZ NASCOSTO'!B167</f>
        <v>0.92487980769230771</v>
      </c>
      <c r="D167" s="441">
        <f t="shared" si="51"/>
        <v>0.30000324519230759</v>
      </c>
      <c r="E167" s="441">
        <f t="shared" si="45"/>
        <v>3.2451923075993427E-6</v>
      </c>
      <c r="F167" s="441">
        <f t="shared" si="46"/>
        <v>0.30000324519230759</v>
      </c>
      <c r="G167" s="441">
        <f t="shared" si="47"/>
        <v>4.5000973562957916E-2</v>
      </c>
      <c r="H167" s="441">
        <f t="shared" si="41"/>
        <v>0</v>
      </c>
      <c r="I167" s="441">
        <v>0</v>
      </c>
      <c r="J167" s="131">
        <f t="shared" si="42"/>
        <v>0.15000162259615379</v>
      </c>
      <c r="K167" s="130">
        <f t="shared" si="48"/>
        <v>2.2500730176167692E-3</v>
      </c>
      <c r="L167" s="42">
        <f t="shared" si="43"/>
        <v>6.837642895731034</v>
      </c>
      <c r="M167" s="42">
        <f t="shared" si="44"/>
        <v>-2.6988345222568677</v>
      </c>
      <c r="N167" s="42">
        <f>(IF(C166&lt;='SOLLECITAZ NASCOSTO'!$P$12,IF(C166&lt;='SOLLECITAZ NASCOSTO'!$P$11,IF(C166&lt;='SOLLECITAZ NASCOSTO'!$P$10,IF(C166&lt;='SOLLECITAZ NASCOSTO'!$P$9,IF(C166&lt;='SOLLECITAZ NASCOSTO'!$P$8,IF(C166&lt;='SOLLECITAZ NASCOSTO'!$P$7,IF(C166&lt;='SOLLECITAZ NASCOSTO'!$P$6,IF(C166&lt;='SOLLECITAZ NASCOSTO'!$P$5,'Progetto del paramento slu'!$G$105,'Progetto del paramento slu'!$G$106),'Progetto del paramento slu'!$G$107),'Progetto del paramento slu'!$G$108),'Progetto del paramento slu'!$G$109),'Progetto del paramento slu'!$G$110),'Progetto del paramento slu'!$G$111),'Progetto del paramento slu'!$G$112),55555)-IF(C166&lt;='SOLLECITAZ NASCOSTO'!$P$12,IF(C166&lt;='SOLLECITAZ NASCOSTO'!$P$11,IF(C166&lt;='SOLLECITAZ NASCOSTO'!$P$10,IF(C166&lt;='SOLLECITAZ NASCOSTO'!$P$9,IF(C166&lt;='SOLLECITAZ NASCOSTO'!$P$8,IF(C166&lt;='SOLLECITAZ NASCOSTO'!$P$7,IF(C166&lt;='SOLLECITAZ NASCOSTO'!$P$6,IF(C166&lt;='SOLLECITAZ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slu'!$G$112))*(C166-IF(C166&lt;='SOLLECITAZ NASCOSTO'!$P$12,IF(C166&lt;='SOLLECITAZ NASCOSTO'!$P$11,IF(C166&lt;='SOLLECITAZ NASCOSTO'!$P$10,IF(C166&lt;='SOLLECITAZ NASCOSTO'!$P$9,IF(C166&lt;='SOLLECITAZ NASCOSTO'!$P$8,IF(C166&lt;='SOLLECITAZ NASCOSTO'!$P$7,IF(C166&lt;='SOLLECITAZ NASCOSTO'!$P$6,IF(C166&lt;='SOLLECITAZ NASCOSTO'!$P$5,'SOLLECITAZ NASCOSTO'!$P$3,'SOLLECITAZ NASCOSTO'!$P$5),'SOLLECITAZ NASCOSTO'!$P$5),'SOLLECITAZ NASCOSTO'!$P$7),'SOLLECITAZ NASCOSTO'!$P$8),'SOLLECITAZ NASCOSTO'!$P$9),'SOLLECITAZ NASCOSTO'!$P$10),'SOLLECITAZ NASCOSTO'!$P$11),'SOLLECITAZ NASCOSTO'!$P$12))/IF(C166&lt;='SOLLECITAZ NASCOSTO'!$P$12,IF(C166&lt;='SOLLECITAZ NASCOSTO'!$P$11,IF(C166&lt;='SOLLECITAZ NASCOSTO'!$P$10,IF(C166&lt;='SOLLECITAZ NASCOSTO'!$P$9,IF(C166&lt;='SOLLECITAZ NASCOSTO'!$P$8,IF(C166&lt;='SOLLECITAZ NASCOSTO'!$P$7,IF(C166&lt;='SOLLECITAZ NASCOSTO'!$P$6,IF(C166&lt;='SOLLECITAZ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slu'!$C$112)+IF(C166&lt;='SOLLECITAZ NASCOSTO'!$P$12,IF(C166&lt;='SOLLECITAZ NASCOSTO'!$P$11,IF(C166&lt;='SOLLECITAZ NASCOSTO'!$P$10,IF(C166&lt;='SOLLECITAZ NASCOSTO'!$P$9,IF(C166&lt;='SOLLECITAZ NASCOSTO'!$P$8,IF(C166&lt;='SOLLECITAZ NASCOSTO'!$P$7,IF(C166&lt;='SOLLECITAZ NASCOSTO'!$P$6,IF(C166&lt;='SOLLECITAZ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10.593799566562886</v>
      </c>
      <c r="O167" s="42">
        <f>IF(C167&lt;='SOLLECITAZ NASCOSTO'!$P$12,IF(C167&lt;='SOLLECITAZ NASCOSTO'!$P$11,IF(C167&lt;='SOLLECITAZ NASCOSTO'!$P$10,IF(C167&lt;='SOLLECITAZ NASCOSTO'!$P$9,IF(C167&lt;='SOLLECITAZ NASCOSTO'!$P$8,IF(C167&lt;='SOLLECITAZ NASCOSTO'!$P$7,IF(C167&lt;='SOLLECITAZ NASCOSTO'!$P$6,IF(C167&lt;='SOLLECITAZ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slu'!$G$111),55555)*(C167-C166)/IF(C167&lt;='SOLLECITAZ NASCOSTO'!$P$12,IF(C167&lt;='SOLLECITAZ NASCOSTO'!$P$11,IF(C167&lt;='SOLLECITAZ NASCOSTO'!$P$10,IF(C167&lt;='SOLLECITAZ NASCOSTO'!$P$9,IF(C167&lt;='SOLLECITAZ NASCOSTO'!$P$8,IF(C167&lt;='SOLLECITAZ NASCOSTO'!$P$7,IF(C167&lt;='SOLLECITAZ NASCOSTO'!$P$6,IF(C167&lt;='SOLLECITAZ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7" s="42">
        <f t="shared" si="57"/>
        <v>1.3399999999999973E-4</v>
      </c>
      <c r="Q167" s="42">
        <f t="shared" si="55"/>
        <v>1</v>
      </c>
      <c r="R167" s="441">
        <f t="shared" si="49"/>
        <v>0.92487980769230771</v>
      </c>
      <c r="S167" s="46">
        <f t="shared" si="56"/>
        <v>0.92487980769230771</v>
      </c>
      <c r="T167" s="211">
        <f t="shared" si="52"/>
        <v>2.4251201923076922</v>
      </c>
      <c r="U167" s="46">
        <f t="shared" si="53"/>
        <v>6.837642895731034</v>
      </c>
      <c r="V167" s="46">
        <f t="shared" si="54"/>
        <v>-2.6988345222568677</v>
      </c>
      <c r="W167" s="496"/>
      <c r="X167" s="497"/>
      <c r="Y167" s="497"/>
      <c r="Z167" s="498"/>
      <c r="AA167" s="47"/>
    </row>
    <row r="168" spans="1:27" s="428" customFormat="1" x14ac:dyDescent="0.25">
      <c r="A168" s="589">
        <f t="shared" si="50"/>
        <v>3.2692307691539746E-6</v>
      </c>
      <c r="B168" s="32">
        <f t="shared" si="40"/>
        <v>136</v>
      </c>
      <c r="C168" s="441">
        <f>'SOLLECITAZ NASCOSTO'!$D$6/'SOLLECITAZ NASCOSTO'!$B$448*'SOLLECITAZ NASCOSTO'!B168</f>
        <v>0.93173076923076925</v>
      </c>
      <c r="D168" s="441">
        <f t="shared" si="51"/>
        <v>0.30000326923076914</v>
      </c>
      <c r="E168" s="441">
        <f t="shared" si="45"/>
        <v>3.2692307691539746E-6</v>
      </c>
      <c r="F168" s="441">
        <f t="shared" si="46"/>
        <v>0.30000326923076914</v>
      </c>
      <c r="G168" s="441">
        <f t="shared" si="47"/>
        <v>4.5000980774574678E-2</v>
      </c>
      <c r="H168" s="441">
        <f t="shared" si="41"/>
        <v>0</v>
      </c>
      <c r="I168" s="441">
        <v>0</v>
      </c>
      <c r="J168" s="131">
        <f t="shared" si="42"/>
        <v>0.15000163461538457</v>
      </c>
      <c r="K168" s="130">
        <f t="shared" si="48"/>
        <v>2.2500735584938987E-3</v>
      </c>
      <c r="L168" s="42">
        <f t="shared" si="43"/>
        <v>6.9107152370793425</v>
      </c>
      <c r="M168" s="42">
        <f t="shared" si="44"/>
        <v>-2.7459292586493071</v>
      </c>
      <c r="N168" s="42">
        <f>(IF(C167&lt;='SOLLECITAZ NASCOSTO'!$P$12,IF(C167&lt;='SOLLECITAZ NASCOSTO'!$P$11,IF(C167&lt;='SOLLECITAZ NASCOSTO'!$P$10,IF(C167&lt;='SOLLECITAZ NASCOSTO'!$P$9,IF(C167&lt;='SOLLECITAZ NASCOSTO'!$P$8,IF(C167&lt;='SOLLECITAZ NASCOSTO'!$P$7,IF(C167&lt;='SOLLECITAZ NASCOSTO'!$P$6,IF(C167&lt;='SOLLECITAZ NASCOSTO'!$P$5,'Progetto del paramento slu'!$G$105,'Progetto del paramento slu'!$G$106),'Progetto del paramento slu'!$G$107),'Progetto del paramento slu'!$G$108),'Progetto del paramento slu'!$G$109),'Progetto del paramento slu'!$G$110),'Progetto del paramento slu'!$G$111),'Progetto del paramento slu'!$G$112),55555)-IF(C167&lt;='SOLLECITAZ NASCOSTO'!$P$12,IF(C167&lt;='SOLLECITAZ NASCOSTO'!$P$11,IF(C167&lt;='SOLLECITAZ NASCOSTO'!$P$10,IF(C167&lt;='SOLLECITAZ NASCOSTO'!$P$9,IF(C167&lt;='SOLLECITAZ NASCOSTO'!$P$8,IF(C167&lt;='SOLLECITAZ NASCOSTO'!$P$7,IF(C167&lt;='SOLLECITAZ NASCOSTO'!$P$6,IF(C167&lt;='SOLLECITAZ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slu'!$G$112))*(C167-IF(C167&lt;='SOLLECITAZ NASCOSTO'!$P$12,IF(C167&lt;='SOLLECITAZ NASCOSTO'!$P$11,IF(C167&lt;='SOLLECITAZ NASCOSTO'!$P$10,IF(C167&lt;='SOLLECITAZ NASCOSTO'!$P$9,IF(C167&lt;='SOLLECITAZ NASCOSTO'!$P$8,IF(C167&lt;='SOLLECITAZ NASCOSTO'!$P$7,IF(C167&lt;='SOLLECITAZ NASCOSTO'!$P$6,IF(C167&lt;='SOLLECITAZ NASCOSTO'!$P$5,'SOLLECITAZ NASCOSTO'!$P$3,'SOLLECITAZ NASCOSTO'!$P$5),'SOLLECITAZ NASCOSTO'!$P$5),'SOLLECITAZ NASCOSTO'!$P$7),'SOLLECITAZ NASCOSTO'!$P$8),'SOLLECITAZ NASCOSTO'!$P$9),'SOLLECITAZ NASCOSTO'!$P$10),'SOLLECITAZ NASCOSTO'!$P$11),'SOLLECITAZ NASCOSTO'!$P$12))/IF(C167&lt;='SOLLECITAZ NASCOSTO'!$P$12,IF(C167&lt;='SOLLECITAZ NASCOSTO'!$P$11,IF(C167&lt;='SOLLECITAZ NASCOSTO'!$P$10,IF(C167&lt;='SOLLECITAZ NASCOSTO'!$P$9,IF(C167&lt;='SOLLECITAZ NASCOSTO'!$P$8,IF(C167&lt;='SOLLECITAZ NASCOSTO'!$P$7,IF(C167&lt;='SOLLECITAZ NASCOSTO'!$P$6,IF(C167&lt;='SOLLECITAZ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slu'!$C$112)+IF(C167&lt;='SOLLECITAZ NASCOSTO'!$P$12,IF(C167&lt;='SOLLECITAZ NASCOSTO'!$P$11,IF(C167&lt;='SOLLECITAZ NASCOSTO'!$P$10,IF(C167&lt;='SOLLECITAZ NASCOSTO'!$P$9,IF(C167&lt;='SOLLECITAZ NASCOSTO'!$P$8,IF(C167&lt;='SOLLECITAZ NASCOSTO'!$P$7,IF(C167&lt;='SOLLECITAZ NASCOSTO'!$P$6,IF(C167&lt;='SOLLECITAZ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10.641931785555238</v>
      </c>
      <c r="O168" s="42">
        <f>IF(C168&lt;='SOLLECITAZ NASCOSTO'!$P$12,IF(C168&lt;='SOLLECITAZ NASCOSTO'!$P$11,IF(C168&lt;='SOLLECITAZ NASCOSTO'!$P$10,IF(C168&lt;='SOLLECITAZ NASCOSTO'!$P$9,IF(C168&lt;='SOLLECITAZ NASCOSTO'!$P$8,IF(C168&lt;='SOLLECITAZ NASCOSTO'!$P$7,IF(C168&lt;='SOLLECITAZ NASCOSTO'!$P$6,IF(C168&lt;='SOLLECITAZ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slu'!$G$111),55555)*(C168-C167)/IF(C168&lt;='SOLLECITAZ NASCOSTO'!$P$12,IF(C168&lt;='SOLLECITAZ NASCOSTO'!$P$11,IF(C168&lt;='SOLLECITAZ NASCOSTO'!$P$10,IF(C168&lt;='SOLLECITAZ NASCOSTO'!$P$9,IF(C168&lt;='SOLLECITAZ NASCOSTO'!$P$8,IF(C168&lt;='SOLLECITAZ NASCOSTO'!$P$7,IF(C168&lt;='SOLLECITAZ NASCOSTO'!$P$6,IF(C168&lt;='SOLLECITAZ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8" s="42">
        <f t="shared" si="57"/>
        <v>1.3499999999999973E-4</v>
      </c>
      <c r="Q168" s="42">
        <f t="shared" si="55"/>
        <v>1</v>
      </c>
      <c r="R168" s="441">
        <f t="shared" si="49"/>
        <v>0.93173076923076925</v>
      </c>
      <c r="S168" s="46">
        <f t="shared" si="56"/>
        <v>0.93173076923076925</v>
      </c>
      <c r="T168" s="211">
        <f t="shared" si="52"/>
        <v>2.4182692307692308</v>
      </c>
      <c r="U168" s="46">
        <f t="shared" si="53"/>
        <v>6.9107152370793425</v>
      </c>
      <c r="V168" s="46">
        <f t="shared" si="54"/>
        <v>-2.7459292586493071</v>
      </c>
      <c r="W168" s="496"/>
      <c r="X168" s="497"/>
      <c r="Y168" s="497"/>
      <c r="Z168" s="498"/>
      <c r="AA168" s="47"/>
    </row>
    <row r="169" spans="1:27" s="428" customFormat="1" x14ac:dyDescent="0.25">
      <c r="A169" s="589">
        <f t="shared" si="50"/>
        <v>3.2932692307086064E-6</v>
      </c>
      <c r="B169" s="32">
        <f t="shared" si="40"/>
        <v>137</v>
      </c>
      <c r="C169" s="441">
        <f>'SOLLECITAZ NASCOSTO'!$D$6/'SOLLECITAZ NASCOSTO'!$B$448*'SOLLECITAZ NASCOSTO'!B169</f>
        <v>0.93858173076923079</v>
      </c>
      <c r="D169" s="441">
        <f t="shared" si="51"/>
        <v>0.3000032932692307</v>
      </c>
      <c r="E169" s="441">
        <f t="shared" si="45"/>
        <v>3.2932692307086064E-6</v>
      </c>
      <c r="F169" s="441">
        <f t="shared" si="46"/>
        <v>0.3000032932692307</v>
      </c>
      <c r="G169" s="441">
        <f t="shared" si="47"/>
        <v>4.5000987986192023E-2</v>
      </c>
      <c r="H169" s="441">
        <f t="shared" si="41"/>
        <v>0</v>
      </c>
      <c r="I169" s="441">
        <v>0</v>
      </c>
      <c r="J169" s="131">
        <f t="shared" si="42"/>
        <v>0.15000164663461535</v>
      </c>
      <c r="K169" s="130">
        <f t="shared" si="48"/>
        <v>2.2500740993711158E-3</v>
      </c>
      <c r="L169" s="42">
        <f t="shared" si="43"/>
        <v>6.9841173304087292</v>
      </c>
      <c r="M169" s="42">
        <f t="shared" si="44"/>
        <v>-2.7935257404009191</v>
      </c>
      <c r="N169" s="42">
        <f>(IF(C168&lt;='SOLLECITAZ NASCOSTO'!$P$12,IF(C168&lt;='SOLLECITAZ NASCOSTO'!$P$11,IF(C168&lt;='SOLLECITAZ NASCOSTO'!$P$10,IF(C168&lt;='SOLLECITAZ NASCOSTO'!$P$9,IF(C168&lt;='SOLLECITAZ NASCOSTO'!$P$8,IF(C168&lt;='SOLLECITAZ NASCOSTO'!$P$7,IF(C168&lt;='SOLLECITAZ NASCOSTO'!$P$6,IF(C168&lt;='SOLLECITAZ NASCOSTO'!$P$5,'Progetto del paramento slu'!$G$105,'Progetto del paramento slu'!$G$106),'Progetto del paramento slu'!$G$107),'Progetto del paramento slu'!$G$108),'Progetto del paramento slu'!$G$109),'Progetto del paramento slu'!$G$110),'Progetto del paramento slu'!$G$111),'Progetto del paramento slu'!$G$112),55555)-IF(C168&lt;='SOLLECITAZ NASCOSTO'!$P$12,IF(C168&lt;='SOLLECITAZ NASCOSTO'!$P$11,IF(C168&lt;='SOLLECITAZ NASCOSTO'!$P$10,IF(C168&lt;='SOLLECITAZ NASCOSTO'!$P$9,IF(C168&lt;='SOLLECITAZ NASCOSTO'!$P$8,IF(C168&lt;='SOLLECITAZ NASCOSTO'!$P$7,IF(C168&lt;='SOLLECITAZ NASCOSTO'!$P$6,IF(C168&lt;='SOLLECITAZ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slu'!$G$112))*(C168-IF(C168&lt;='SOLLECITAZ NASCOSTO'!$P$12,IF(C168&lt;='SOLLECITAZ NASCOSTO'!$P$11,IF(C168&lt;='SOLLECITAZ NASCOSTO'!$P$10,IF(C168&lt;='SOLLECITAZ NASCOSTO'!$P$9,IF(C168&lt;='SOLLECITAZ NASCOSTO'!$P$8,IF(C168&lt;='SOLLECITAZ NASCOSTO'!$P$7,IF(C168&lt;='SOLLECITAZ NASCOSTO'!$P$6,IF(C168&lt;='SOLLECITAZ NASCOSTO'!$P$5,'SOLLECITAZ NASCOSTO'!$P$3,'SOLLECITAZ NASCOSTO'!$P$5),'SOLLECITAZ NASCOSTO'!$P$5),'SOLLECITAZ NASCOSTO'!$P$7),'SOLLECITAZ NASCOSTO'!$P$8),'SOLLECITAZ NASCOSTO'!$P$9),'SOLLECITAZ NASCOSTO'!$P$10),'SOLLECITAZ NASCOSTO'!$P$11),'SOLLECITAZ NASCOSTO'!$P$12))/IF(C168&lt;='SOLLECITAZ NASCOSTO'!$P$12,IF(C168&lt;='SOLLECITAZ NASCOSTO'!$P$11,IF(C168&lt;='SOLLECITAZ NASCOSTO'!$P$10,IF(C168&lt;='SOLLECITAZ NASCOSTO'!$P$9,IF(C168&lt;='SOLLECITAZ NASCOSTO'!$P$8,IF(C168&lt;='SOLLECITAZ NASCOSTO'!$P$7,IF(C168&lt;='SOLLECITAZ NASCOSTO'!$P$6,IF(C168&lt;='SOLLECITAZ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slu'!$C$112)+IF(C168&lt;='SOLLECITAZ NASCOSTO'!$P$12,IF(C168&lt;='SOLLECITAZ NASCOSTO'!$P$11,IF(C168&lt;='SOLLECITAZ NASCOSTO'!$P$10,IF(C168&lt;='SOLLECITAZ NASCOSTO'!$P$9,IF(C168&lt;='SOLLECITAZ NASCOSTO'!$P$8,IF(C168&lt;='SOLLECITAZ NASCOSTO'!$P$7,IF(C168&lt;='SOLLECITAZ NASCOSTO'!$P$6,IF(C168&lt;='SOLLECITAZ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10.69006400454759</v>
      </c>
      <c r="O169" s="42">
        <f>IF(C169&lt;='SOLLECITAZ NASCOSTO'!$P$12,IF(C169&lt;='SOLLECITAZ NASCOSTO'!$P$11,IF(C169&lt;='SOLLECITAZ NASCOSTO'!$P$10,IF(C169&lt;='SOLLECITAZ NASCOSTO'!$P$9,IF(C169&lt;='SOLLECITAZ NASCOSTO'!$P$8,IF(C169&lt;='SOLLECITAZ NASCOSTO'!$P$7,IF(C169&lt;='SOLLECITAZ NASCOSTO'!$P$6,IF(C169&lt;='SOLLECITAZ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slu'!$G$111),55555)*(C169-C168)/IF(C169&lt;='SOLLECITAZ NASCOSTO'!$P$12,IF(C169&lt;='SOLLECITAZ NASCOSTO'!$P$11,IF(C169&lt;='SOLLECITAZ NASCOSTO'!$P$10,IF(C169&lt;='SOLLECITAZ NASCOSTO'!$P$9,IF(C169&lt;='SOLLECITAZ NASCOSTO'!$P$8,IF(C169&lt;='SOLLECITAZ NASCOSTO'!$P$7,IF(C169&lt;='SOLLECITAZ NASCOSTO'!$P$6,IF(C169&lt;='SOLLECITAZ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69" s="42">
        <f t="shared" si="57"/>
        <v>1.3599999999999973E-4</v>
      </c>
      <c r="Q169" s="42">
        <f t="shared" si="55"/>
        <v>1</v>
      </c>
      <c r="R169" s="441">
        <f t="shared" si="49"/>
        <v>0.93858173076923079</v>
      </c>
      <c r="S169" s="46">
        <f t="shared" si="56"/>
        <v>0.93858173076923079</v>
      </c>
      <c r="T169" s="211">
        <f t="shared" si="52"/>
        <v>2.4114182692307695</v>
      </c>
      <c r="U169" s="46">
        <f t="shared" si="53"/>
        <v>6.9841173304087292</v>
      </c>
      <c r="V169" s="46">
        <f t="shared" si="54"/>
        <v>-2.7935257404009191</v>
      </c>
      <c r="W169" s="496"/>
      <c r="X169" s="497"/>
      <c r="Y169" s="497"/>
      <c r="Z169" s="498"/>
      <c r="AA169" s="47"/>
    </row>
    <row r="170" spans="1:27" s="428" customFormat="1" x14ac:dyDescent="0.25">
      <c r="A170" s="589">
        <f t="shared" si="50"/>
        <v>3.3173076922077271E-6</v>
      </c>
      <c r="B170" s="32">
        <f t="shared" si="40"/>
        <v>138</v>
      </c>
      <c r="C170" s="441">
        <f>'SOLLECITAZ NASCOSTO'!$D$6/'SOLLECITAZ NASCOSTO'!$B$448*'SOLLECITAZ NASCOSTO'!B170</f>
        <v>0.94543269230769234</v>
      </c>
      <c r="D170" s="441">
        <f t="shared" si="51"/>
        <v>0.3000033173076922</v>
      </c>
      <c r="E170" s="441">
        <f t="shared" si="45"/>
        <v>3.3173076922077271E-6</v>
      </c>
      <c r="F170" s="441">
        <f t="shared" si="46"/>
        <v>0.3000033173076922</v>
      </c>
      <c r="G170" s="441">
        <f t="shared" si="47"/>
        <v>4.5000995197809923E-2</v>
      </c>
      <c r="H170" s="441">
        <f t="shared" si="41"/>
        <v>0</v>
      </c>
      <c r="I170" s="441">
        <v>0</v>
      </c>
      <c r="J170" s="131">
        <f t="shared" si="42"/>
        <v>0.1500016586538461</v>
      </c>
      <c r="K170" s="130">
        <f t="shared" si="48"/>
        <v>2.2500746402484171E-3</v>
      </c>
      <c r="L170" s="42">
        <f t="shared" si="43"/>
        <v>7.057849175719193</v>
      </c>
      <c r="M170" s="42">
        <f t="shared" si="44"/>
        <v>-2.8416262266298427</v>
      </c>
      <c r="N170" s="42">
        <f>(IF(C169&lt;='SOLLECITAZ NASCOSTO'!$P$12,IF(C169&lt;='SOLLECITAZ NASCOSTO'!$P$11,IF(C169&lt;='SOLLECITAZ NASCOSTO'!$P$10,IF(C169&lt;='SOLLECITAZ NASCOSTO'!$P$9,IF(C169&lt;='SOLLECITAZ NASCOSTO'!$P$8,IF(C169&lt;='SOLLECITAZ NASCOSTO'!$P$7,IF(C169&lt;='SOLLECITAZ NASCOSTO'!$P$6,IF(C169&lt;='SOLLECITAZ NASCOSTO'!$P$5,'Progetto del paramento slu'!$G$105,'Progetto del paramento slu'!$G$106),'Progetto del paramento slu'!$G$107),'Progetto del paramento slu'!$G$108),'Progetto del paramento slu'!$G$109),'Progetto del paramento slu'!$G$110),'Progetto del paramento slu'!$G$111),'Progetto del paramento slu'!$G$112),55555)-IF(C169&lt;='SOLLECITAZ NASCOSTO'!$P$12,IF(C169&lt;='SOLLECITAZ NASCOSTO'!$P$11,IF(C169&lt;='SOLLECITAZ NASCOSTO'!$P$10,IF(C169&lt;='SOLLECITAZ NASCOSTO'!$P$9,IF(C169&lt;='SOLLECITAZ NASCOSTO'!$P$8,IF(C169&lt;='SOLLECITAZ NASCOSTO'!$P$7,IF(C169&lt;='SOLLECITAZ NASCOSTO'!$P$6,IF(C169&lt;='SOLLECITAZ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slu'!$G$112))*(C169-IF(C169&lt;='SOLLECITAZ NASCOSTO'!$P$12,IF(C169&lt;='SOLLECITAZ NASCOSTO'!$P$11,IF(C169&lt;='SOLLECITAZ NASCOSTO'!$P$10,IF(C169&lt;='SOLLECITAZ NASCOSTO'!$P$9,IF(C169&lt;='SOLLECITAZ NASCOSTO'!$P$8,IF(C169&lt;='SOLLECITAZ NASCOSTO'!$P$7,IF(C169&lt;='SOLLECITAZ NASCOSTO'!$P$6,IF(C169&lt;='SOLLECITAZ NASCOSTO'!$P$5,'SOLLECITAZ NASCOSTO'!$P$3,'SOLLECITAZ NASCOSTO'!$P$5),'SOLLECITAZ NASCOSTO'!$P$5),'SOLLECITAZ NASCOSTO'!$P$7),'SOLLECITAZ NASCOSTO'!$P$8),'SOLLECITAZ NASCOSTO'!$P$9),'SOLLECITAZ NASCOSTO'!$P$10),'SOLLECITAZ NASCOSTO'!$P$11),'SOLLECITAZ NASCOSTO'!$P$12))/IF(C169&lt;='SOLLECITAZ NASCOSTO'!$P$12,IF(C169&lt;='SOLLECITAZ NASCOSTO'!$P$11,IF(C169&lt;='SOLLECITAZ NASCOSTO'!$P$10,IF(C169&lt;='SOLLECITAZ NASCOSTO'!$P$9,IF(C169&lt;='SOLLECITAZ NASCOSTO'!$P$8,IF(C169&lt;='SOLLECITAZ NASCOSTO'!$P$7,IF(C169&lt;='SOLLECITAZ NASCOSTO'!$P$6,IF(C169&lt;='SOLLECITAZ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slu'!$C$112)+IF(C169&lt;='SOLLECITAZ NASCOSTO'!$P$12,IF(C169&lt;='SOLLECITAZ NASCOSTO'!$P$11,IF(C169&lt;='SOLLECITAZ NASCOSTO'!$P$10,IF(C169&lt;='SOLLECITAZ NASCOSTO'!$P$9,IF(C169&lt;='SOLLECITAZ NASCOSTO'!$P$8,IF(C169&lt;='SOLLECITAZ NASCOSTO'!$P$7,IF(C169&lt;='SOLLECITAZ NASCOSTO'!$P$6,IF(C169&lt;='SOLLECITAZ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10.738196223539944</v>
      </c>
      <c r="O170" s="42">
        <f>IF(C170&lt;='SOLLECITAZ NASCOSTO'!$P$12,IF(C170&lt;='SOLLECITAZ NASCOSTO'!$P$11,IF(C170&lt;='SOLLECITAZ NASCOSTO'!$P$10,IF(C170&lt;='SOLLECITAZ NASCOSTO'!$P$9,IF(C170&lt;='SOLLECITAZ NASCOSTO'!$P$8,IF(C170&lt;='SOLLECITAZ NASCOSTO'!$P$7,IF(C170&lt;='SOLLECITAZ NASCOSTO'!$P$6,IF(C170&lt;='SOLLECITAZ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slu'!$G$111),55555)*(C170-C169)/IF(C170&lt;='SOLLECITAZ NASCOSTO'!$P$12,IF(C170&lt;='SOLLECITAZ NASCOSTO'!$P$11,IF(C170&lt;='SOLLECITAZ NASCOSTO'!$P$10,IF(C170&lt;='SOLLECITAZ NASCOSTO'!$P$9,IF(C170&lt;='SOLLECITAZ NASCOSTO'!$P$8,IF(C170&lt;='SOLLECITAZ NASCOSTO'!$P$7,IF(C170&lt;='SOLLECITAZ NASCOSTO'!$P$6,IF(C170&lt;='SOLLECITAZ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0" s="42">
        <f t="shared" si="57"/>
        <v>1.3699999999999973E-4</v>
      </c>
      <c r="Q170" s="42">
        <f t="shared" si="55"/>
        <v>1</v>
      </c>
      <c r="R170" s="441">
        <f t="shared" si="49"/>
        <v>0.94543269230769234</v>
      </c>
      <c r="S170" s="46">
        <f t="shared" si="56"/>
        <v>0.94543269230769234</v>
      </c>
      <c r="T170" s="211">
        <f t="shared" si="52"/>
        <v>2.4045673076923078</v>
      </c>
      <c r="U170" s="46">
        <f t="shared" si="53"/>
        <v>7.057849175719193</v>
      </c>
      <c r="V170" s="46">
        <f t="shared" si="54"/>
        <v>-2.8416262266298427</v>
      </c>
      <c r="W170" s="496"/>
      <c r="X170" s="497"/>
      <c r="Y170" s="497"/>
      <c r="Z170" s="498"/>
      <c r="AA170" s="47"/>
    </row>
    <row r="171" spans="1:27" s="428" customFormat="1" x14ac:dyDescent="0.25">
      <c r="A171" s="589">
        <f t="shared" si="50"/>
        <v>3.341346153762359E-6</v>
      </c>
      <c r="B171" s="32">
        <f t="shared" si="40"/>
        <v>139</v>
      </c>
      <c r="C171" s="441">
        <f>'SOLLECITAZ NASCOSTO'!$D$6/'SOLLECITAZ NASCOSTO'!$B$448*'SOLLECITAZ NASCOSTO'!B171</f>
        <v>0.95228365384615388</v>
      </c>
      <c r="D171" s="441">
        <f t="shared" si="51"/>
        <v>0.30000334134615375</v>
      </c>
      <c r="E171" s="441">
        <f t="shared" si="45"/>
        <v>3.341346153762359E-6</v>
      </c>
      <c r="F171" s="441">
        <f t="shared" si="46"/>
        <v>0.30000334134615375</v>
      </c>
      <c r="G171" s="441">
        <f t="shared" si="47"/>
        <v>4.5001002409428427E-2</v>
      </c>
      <c r="H171" s="441">
        <f t="shared" si="41"/>
        <v>0</v>
      </c>
      <c r="I171" s="441">
        <v>0</v>
      </c>
      <c r="J171" s="131">
        <f t="shared" si="42"/>
        <v>0.1500016706730769</v>
      </c>
      <c r="K171" s="130">
        <f t="shared" si="48"/>
        <v>2.2500751811258069E-3</v>
      </c>
      <c r="L171" s="42">
        <f t="shared" si="43"/>
        <v>7.1319107730107341</v>
      </c>
      <c r="M171" s="42">
        <f t="shared" si="44"/>
        <v>-2.8902329764542181</v>
      </c>
      <c r="N171" s="42">
        <f>(IF(C170&lt;='SOLLECITAZ NASCOSTO'!$P$12,IF(C170&lt;='SOLLECITAZ NASCOSTO'!$P$11,IF(C170&lt;='SOLLECITAZ NASCOSTO'!$P$10,IF(C170&lt;='SOLLECITAZ NASCOSTO'!$P$9,IF(C170&lt;='SOLLECITAZ NASCOSTO'!$P$8,IF(C170&lt;='SOLLECITAZ NASCOSTO'!$P$7,IF(C170&lt;='SOLLECITAZ NASCOSTO'!$P$6,IF(C170&lt;='SOLLECITAZ NASCOSTO'!$P$5,'Progetto del paramento slu'!$G$105,'Progetto del paramento slu'!$G$106),'Progetto del paramento slu'!$G$107),'Progetto del paramento slu'!$G$108),'Progetto del paramento slu'!$G$109),'Progetto del paramento slu'!$G$110),'Progetto del paramento slu'!$G$111),'Progetto del paramento slu'!$G$112),55555)-IF(C170&lt;='SOLLECITAZ NASCOSTO'!$P$12,IF(C170&lt;='SOLLECITAZ NASCOSTO'!$P$11,IF(C170&lt;='SOLLECITAZ NASCOSTO'!$P$10,IF(C170&lt;='SOLLECITAZ NASCOSTO'!$P$9,IF(C170&lt;='SOLLECITAZ NASCOSTO'!$P$8,IF(C170&lt;='SOLLECITAZ NASCOSTO'!$P$7,IF(C170&lt;='SOLLECITAZ NASCOSTO'!$P$6,IF(C170&lt;='SOLLECITAZ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slu'!$G$112))*(C170-IF(C170&lt;='SOLLECITAZ NASCOSTO'!$P$12,IF(C170&lt;='SOLLECITAZ NASCOSTO'!$P$11,IF(C170&lt;='SOLLECITAZ NASCOSTO'!$P$10,IF(C170&lt;='SOLLECITAZ NASCOSTO'!$P$9,IF(C170&lt;='SOLLECITAZ NASCOSTO'!$P$8,IF(C170&lt;='SOLLECITAZ NASCOSTO'!$P$7,IF(C170&lt;='SOLLECITAZ NASCOSTO'!$P$6,IF(C170&lt;='SOLLECITAZ NASCOSTO'!$P$5,'SOLLECITAZ NASCOSTO'!$P$3,'SOLLECITAZ NASCOSTO'!$P$5),'SOLLECITAZ NASCOSTO'!$P$5),'SOLLECITAZ NASCOSTO'!$P$7),'SOLLECITAZ NASCOSTO'!$P$8),'SOLLECITAZ NASCOSTO'!$P$9),'SOLLECITAZ NASCOSTO'!$P$10),'SOLLECITAZ NASCOSTO'!$P$11),'SOLLECITAZ NASCOSTO'!$P$12))/IF(C170&lt;='SOLLECITAZ NASCOSTO'!$P$12,IF(C170&lt;='SOLLECITAZ NASCOSTO'!$P$11,IF(C170&lt;='SOLLECITAZ NASCOSTO'!$P$10,IF(C170&lt;='SOLLECITAZ NASCOSTO'!$P$9,IF(C170&lt;='SOLLECITAZ NASCOSTO'!$P$8,IF(C170&lt;='SOLLECITAZ NASCOSTO'!$P$7,IF(C170&lt;='SOLLECITAZ NASCOSTO'!$P$6,IF(C170&lt;='SOLLECITAZ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slu'!$C$112)+IF(C170&lt;='SOLLECITAZ NASCOSTO'!$P$12,IF(C170&lt;='SOLLECITAZ NASCOSTO'!$P$11,IF(C170&lt;='SOLLECITAZ NASCOSTO'!$P$10,IF(C170&lt;='SOLLECITAZ NASCOSTO'!$P$9,IF(C170&lt;='SOLLECITAZ NASCOSTO'!$P$8,IF(C170&lt;='SOLLECITAZ NASCOSTO'!$P$7,IF(C170&lt;='SOLLECITAZ NASCOSTO'!$P$6,IF(C170&lt;='SOLLECITAZ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10.786328442532296</v>
      </c>
      <c r="O171" s="42">
        <f>IF(C171&lt;='SOLLECITAZ NASCOSTO'!$P$12,IF(C171&lt;='SOLLECITAZ NASCOSTO'!$P$11,IF(C171&lt;='SOLLECITAZ NASCOSTO'!$P$10,IF(C171&lt;='SOLLECITAZ NASCOSTO'!$P$9,IF(C171&lt;='SOLLECITAZ NASCOSTO'!$P$8,IF(C171&lt;='SOLLECITAZ NASCOSTO'!$P$7,IF(C171&lt;='SOLLECITAZ NASCOSTO'!$P$6,IF(C171&lt;='SOLLECITAZ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slu'!$G$111),55555)*(C171-C170)/IF(C171&lt;='SOLLECITAZ NASCOSTO'!$P$12,IF(C171&lt;='SOLLECITAZ NASCOSTO'!$P$11,IF(C171&lt;='SOLLECITAZ NASCOSTO'!$P$10,IF(C171&lt;='SOLLECITAZ NASCOSTO'!$P$9,IF(C171&lt;='SOLLECITAZ NASCOSTO'!$P$8,IF(C171&lt;='SOLLECITAZ NASCOSTO'!$P$7,IF(C171&lt;='SOLLECITAZ NASCOSTO'!$P$6,IF(C171&lt;='SOLLECITAZ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1" s="42">
        <f t="shared" si="57"/>
        <v>1.3799999999999972E-4</v>
      </c>
      <c r="Q171" s="42">
        <f t="shared" si="55"/>
        <v>1</v>
      </c>
      <c r="R171" s="441">
        <f t="shared" si="49"/>
        <v>0.95228365384615388</v>
      </c>
      <c r="S171" s="46">
        <f t="shared" si="56"/>
        <v>0.95228365384615388</v>
      </c>
      <c r="T171" s="211">
        <f t="shared" si="52"/>
        <v>2.397716346153846</v>
      </c>
      <c r="U171" s="46">
        <f t="shared" si="53"/>
        <v>7.1319107730107341</v>
      </c>
      <c r="V171" s="46">
        <f t="shared" si="54"/>
        <v>-2.8902329764542181</v>
      </c>
      <c r="W171" s="496"/>
      <c r="X171" s="497"/>
      <c r="Y171" s="497"/>
      <c r="Z171" s="498"/>
      <c r="AA171" s="47"/>
    </row>
    <row r="172" spans="1:27" s="428" customFormat="1" x14ac:dyDescent="0.25">
      <c r="A172" s="589">
        <f t="shared" si="50"/>
        <v>3.3653846153169908E-6</v>
      </c>
      <c r="B172" s="32">
        <f t="shared" si="40"/>
        <v>140</v>
      </c>
      <c r="C172" s="441">
        <f>'SOLLECITAZ NASCOSTO'!$D$6/'SOLLECITAZ NASCOSTO'!$B$448*'SOLLECITAZ NASCOSTO'!B172</f>
        <v>0.95913461538461542</v>
      </c>
      <c r="D172" s="441">
        <f t="shared" si="51"/>
        <v>0.30000336538461531</v>
      </c>
      <c r="E172" s="441">
        <f t="shared" si="45"/>
        <v>3.3653846153169908E-6</v>
      </c>
      <c r="F172" s="441">
        <f t="shared" si="46"/>
        <v>0.30000336538461531</v>
      </c>
      <c r="G172" s="441">
        <f t="shared" si="47"/>
        <v>4.50010096210475E-2</v>
      </c>
      <c r="H172" s="441">
        <f t="shared" si="41"/>
        <v>0</v>
      </c>
      <c r="I172" s="441">
        <v>0</v>
      </c>
      <c r="J172" s="131">
        <f t="shared" si="42"/>
        <v>0.15000168269230765</v>
      </c>
      <c r="K172" s="130">
        <f t="shared" si="48"/>
        <v>2.2500757220032838E-3</v>
      </c>
      <c r="L172" s="42">
        <f t="shared" si="43"/>
        <v>7.2063021222833523</v>
      </c>
      <c r="M172" s="42">
        <f t="shared" si="44"/>
        <v>-2.9393482489921845</v>
      </c>
      <c r="N172" s="42">
        <f>(IF(C171&lt;='SOLLECITAZ NASCOSTO'!$P$12,IF(C171&lt;='SOLLECITAZ NASCOSTO'!$P$11,IF(C171&lt;='SOLLECITAZ NASCOSTO'!$P$10,IF(C171&lt;='SOLLECITAZ NASCOSTO'!$P$9,IF(C171&lt;='SOLLECITAZ NASCOSTO'!$P$8,IF(C171&lt;='SOLLECITAZ NASCOSTO'!$P$7,IF(C171&lt;='SOLLECITAZ NASCOSTO'!$P$6,IF(C171&lt;='SOLLECITAZ NASCOSTO'!$P$5,'Progetto del paramento slu'!$G$105,'Progetto del paramento slu'!$G$106),'Progetto del paramento slu'!$G$107),'Progetto del paramento slu'!$G$108),'Progetto del paramento slu'!$G$109),'Progetto del paramento slu'!$G$110),'Progetto del paramento slu'!$G$111),'Progetto del paramento slu'!$G$112),55555)-IF(C171&lt;='SOLLECITAZ NASCOSTO'!$P$12,IF(C171&lt;='SOLLECITAZ NASCOSTO'!$P$11,IF(C171&lt;='SOLLECITAZ NASCOSTO'!$P$10,IF(C171&lt;='SOLLECITAZ NASCOSTO'!$P$9,IF(C171&lt;='SOLLECITAZ NASCOSTO'!$P$8,IF(C171&lt;='SOLLECITAZ NASCOSTO'!$P$7,IF(C171&lt;='SOLLECITAZ NASCOSTO'!$P$6,IF(C171&lt;='SOLLECITAZ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slu'!$G$112))*(C171-IF(C171&lt;='SOLLECITAZ NASCOSTO'!$P$12,IF(C171&lt;='SOLLECITAZ NASCOSTO'!$P$11,IF(C171&lt;='SOLLECITAZ NASCOSTO'!$P$10,IF(C171&lt;='SOLLECITAZ NASCOSTO'!$P$9,IF(C171&lt;='SOLLECITAZ NASCOSTO'!$P$8,IF(C171&lt;='SOLLECITAZ NASCOSTO'!$P$7,IF(C171&lt;='SOLLECITAZ NASCOSTO'!$P$6,IF(C171&lt;='SOLLECITAZ NASCOSTO'!$P$5,'SOLLECITAZ NASCOSTO'!$P$3,'SOLLECITAZ NASCOSTO'!$P$5),'SOLLECITAZ NASCOSTO'!$P$5),'SOLLECITAZ NASCOSTO'!$P$7),'SOLLECITAZ NASCOSTO'!$P$8),'SOLLECITAZ NASCOSTO'!$P$9),'SOLLECITAZ NASCOSTO'!$P$10),'SOLLECITAZ NASCOSTO'!$P$11),'SOLLECITAZ NASCOSTO'!$P$12))/IF(C171&lt;='SOLLECITAZ NASCOSTO'!$P$12,IF(C171&lt;='SOLLECITAZ NASCOSTO'!$P$11,IF(C171&lt;='SOLLECITAZ NASCOSTO'!$P$10,IF(C171&lt;='SOLLECITAZ NASCOSTO'!$P$9,IF(C171&lt;='SOLLECITAZ NASCOSTO'!$P$8,IF(C171&lt;='SOLLECITAZ NASCOSTO'!$P$7,IF(C171&lt;='SOLLECITAZ NASCOSTO'!$P$6,IF(C171&lt;='SOLLECITAZ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slu'!$C$112)+IF(C171&lt;='SOLLECITAZ NASCOSTO'!$P$12,IF(C171&lt;='SOLLECITAZ NASCOSTO'!$P$11,IF(C171&lt;='SOLLECITAZ NASCOSTO'!$P$10,IF(C171&lt;='SOLLECITAZ NASCOSTO'!$P$9,IF(C171&lt;='SOLLECITAZ NASCOSTO'!$P$8,IF(C171&lt;='SOLLECITAZ NASCOSTO'!$P$7,IF(C171&lt;='SOLLECITAZ NASCOSTO'!$P$6,IF(C171&lt;='SOLLECITAZ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10.834460661524648</v>
      </c>
      <c r="O172" s="42">
        <f>IF(C172&lt;='SOLLECITAZ NASCOSTO'!$P$12,IF(C172&lt;='SOLLECITAZ NASCOSTO'!$P$11,IF(C172&lt;='SOLLECITAZ NASCOSTO'!$P$10,IF(C172&lt;='SOLLECITAZ NASCOSTO'!$P$9,IF(C172&lt;='SOLLECITAZ NASCOSTO'!$P$8,IF(C172&lt;='SOLLECITAZ NASCOSTO'!$P$7,IF(C172&lt;='SOLLECITAZ NASCOSTO'!$P$6,IF(C172&lt;='SOLLECITAZ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slu'!$G$111),55555)*(C172-C171)/IF(C172&lt;='SOLLECITAZ NASCOSTO'!$P$12,IF(C172&lt;='SOLLECITAZ NASCOSTO'!$P$11,IF(C172&lt;='SOLLECITAZ NASCOSTO'!$P$10,IF(C172&lt;='SOLLECITAZ NASCOSTO'!$P$9,IF(C172&lt;='SOLLECITAZ NASCOSTO'!$P$8,IF(C172&lt;='SOLLECITAZ NASCOSTO'!$P$7,IF(C172&lt;='SOLLECITAZ NASCOSTO'!$P$6,IF(C172&lt;='SOLLECITAZ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2" s="42">
        <f t="shared" si="57"/>
        <v>1.3899999999999972E-4</v>
      </c>
      <c r="Q172" s="42">
        <f t="shared" si="55"/>
        <v>1</v>
      </c>
      <c r="R172" s="441">
        <f t="shared" si="49"/>
        <v>0.95913461538461542</v>
      </c>
      <c r="S172" s="46">
        <f t="shared" si="56"/>
        <v>0.95913461538461542</v>
      </c>
      <c r="T172" s="211">
        <f t="shared" si="52"/>
        <v>2.3908653846153847</v>
      </c>
      <c r="U172" s="46">
        <f t="shared" si="53"/>
        <v>7.2063021222833523</v>
      </c>
      <c r="V172" s="46">
        <f t="shared" si="54"/>
        <v>-2.9393482489921845</v>
      </c>
      <c r="W172" s="496"/>
      <c r="X172" s="497"/>
      <c r="Y172" s="497"/>
      <c r="Z172" s="498"/>
      <c r="AA172" s="47"/>
    </row>
    <row r="173" spans="1:27" s="428" customFormat="1" x14ac:dyDescent="0.25">
      <c r="A173" s="589">
        <f t="shared" si="50"/>
        <v>3.3894230768716227E-6</v>
      </c>
      <c r="B173" s="32">
        <f t="shared" si="40"/>
        <v>141</v>
      </c>
      <c r="C173" s="441">
        <f>'SOLLECITAZ NASCOSTO'!$D$6/'SOLLECITAZ NASCOSTO'!$B$448*'SOLLECITAZ NASCOSTO'!B173</f>
        <v>0.96598557692307696</v>
      </c>
      <c r="D173" s="441">
        <f t="shared" si="51"/>
        <v>0.30000338942307686</v>
      </c>
      <c r="E173" s="441">
        <f t="shared" si="45"/>
        <v>3.3894230768716227E-6</v>
      </c>
      <c r="F173" s="441">
        <f t="shared" si="46"/>
        <v>0.30000338942307686</v>
      </c>
      <c r="G173" s="441">
        <f t="shared" si="47"/>
        <v>4.5001016832667155E-2</v>
      </c>
      <c r="H173" s="441">
        <f t="shared" si="41"/>
        <v>0</v>
      </c>
      <c r="I173" s="441">
        <v>0</v>
      </c>
      <c r="J173" s="131">
        <f t="shared" si="42"/>
        <v>0.15000169471153843</v>
      </c>
      <c r="K173" s="130">
        <f t="shared" si="48"/>
        <v>2.250076262880847E-3</v>
      </c>
      <c r="L173" s="42">
        <f t="shared" si="43"/>
        <v>7.2810232235370487</v>
      </c>
      <c r="M173" s="42">
        <f t="shared" si="44"/>
        <v>-2.9889743033618816</v>
      </c>
      <c r="N173" s="42">
        <f>(IF(C172&lt;='SOLLECITAZ NASCOSTO'!$P$12,IF(C172&lt;='SOLLECITAZ NASCOSTO'!$P$11,IF(C172&lt;='SOLLECITAZ NASCOSTO'!$P$10,IF(C172&lt;='SOLLECITAZ NASCOSTO'!$P$9,IF(C172&lt;='SOLLECITAZ NASCOSTO'!$P$8,IF(C172&lt;='SOLLECITAZ NASCOSTO'!$P$7,IF(C172&lt;='SOLLECITAZ NASCOSTO'!$P$6,IF(C172&lt;='SOLLECITAZ NASCOSTO'!$P$5,'Progetto del paramento slu'!$G$105,'Progetto del paramento slu'!$G$106),'Progetto del paramento slu'!$G$107),'Progetto del paramento slu'!$G$108),'Progetto del paramento slu'!$G$109),'Progetto del paramento slu'!$G$110),'Progetto del paramento slu'!$G$111),'Progetto del paramento slu'!$G$112),55555)-IF(C172&lt;='SOLLECITAZ NASCOSTO'!$P$12,IF(C172&lt;='SOLLECITAZ NASCOSTO'!$P$11,IF(C172&lt;='SOLLECITAZ NASCOSTO'!$P$10,IF(C172&lt;='SOLLECITAZ NASCOSTO'!$P$9,IF(C172&lt;='SOLLECITAZ NASCOSTO'!$P$8,IF(C172&lt;='SOLLECITAZ NASCOSTO'!$P$7,IF(C172&lt;='SOLLECITAZ NASCOSTO'!$P$6,IF(C172&lt;='SOLLECITAZ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slu'!$G$112))*(C172-IF(C172&lt;='SOLLECITAZ NASCOSTO'!$P$12,IF(C172&lt;='SOLLECITAZ NASCOSTO'!$P$11,IF(C172&lt;='SOLLECITAZ NASCOSTO'!$P$10,IF(C172&lt;='SOLLECITAZ NASCOSTO'!$P$9,IF(C172&lt;='SOLLECITAZ NASCOSTO'!$P$8,IF(C172&lt;='SOLLECITAZ NASCOSTO'!$P$7,IF(C172&lt;='SOLLECITAZ NASCOSTO'!$P$6,IF(C172&lt;='SOLLECITAZ NASCOSTO'!$P$5,'SOLLECITAZ NASCOSTO'!$P$3,'SOLLECITAZ NASCOSTO'!$P$5),'SOLLECITAZ NASCOSTO'!$P$5),'SOLLECITAZ NASCOSTO'!$P$7),'SOLLECITAZ NASCOSTO'!$P$8),'SOLLECITAZ NASCOSTO'!$P$9),'SOLLECITAZ NASCOSTO'!$P$10),'SOLLECITAZ NASCOSTO'!$P$11),'SOLLECITAZ NASCOSTO'!$P$12))/IF(C172&lt;='SOLLECITAZ NASCOSTO'!$P$12,IF(C172&lt;='SOLLECITAZ NASCOSTO'!$P$11,IF(C172&lt;='SOLLECITAZ NASCOSTO'!$P$10,IF(C172&lt;='SOLLECITAZ NASCOSTO'!$P$9,IF(C172&lt;='SOLLECITAZ NASCOSTO'!$P$8,IF(C172&lt;='SOLLECITAZ NASCOSTO'!$P$7,IF(C172&lt;='SOLLECITAZ NASCOSTO'!$P$6,IF(C172&lt;='SOLLECITAZ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slu'!$C$112)+IF(C172&lt;='SOLLECITAZ NASCOSTO'!$P$12,IF(C172&lt;='SOLLECITAZ NASCOSTO'!$P$11,IF(C172&lt;='SOLLECITAZ NASCOSTO'!$P$10,IF(C172&lt;='SOLLECITAZ NASCOSTO'!$P$9,IF(C172&lt;='SOLLECITAZ NASCOSTO'!$P$8,IF(C172&lt;='SOLLECITAZ NASCOSTO'!$P$7,IF(C172&lt;='SOLLECITAZ NASCOSTO'!$P$6,IF(C172&lt;='SOLLECITAZ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10.882592880517</v>
      </c>
      <c r="O173" s="42">
        <f>IF(C173&lt;='SOLLECITAZ NASCOSTO'!$P$12,IF(C173&lt;='SOLLECITAZ NASCOSTO'!$P$11,IF(C173&lt;='SOLLECITAZ NASCOSTO'!$P$10,IF(C173&lt;='SOLLECITAZ NASCOSTO'!$P$9,IF(C173&lt;='SOLLECITAZ NASCOSTO'!$P$8,IF(C173&lt;='SOLLECITAZ NASCOSTO'!$P$7,IF(C173&lt;='SOLLECITAZ NASCOSTO'!$P$6,IF(C173&lt;='SOLLECITAZ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slu'!$G$111),55555)*(C173-C172)/IF(C173&lt;='SOLLECITAZ NASCOSTO'!$P$12,IF(C173&lt;='SOLLECITAZ NASCOSTO'!$P$11,IF(C173&lt;='SOLLECITAZ NASCOSTO'!$P$10,IF(C173&lt;='SOLLECITAZ NASCOSTO'!$P$9,IF(C173&lt;='SOLLECITAZ NASCOSTO'!$P$8,IF(C173&lt;='SOLLECITAZ NASCOSTO'!$P$7,IF(C173&lt;='SOLLECITAZ NASCOSTO'!$P$6,IF(C173&lt;='SOLLECITAZ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3" s="42">
        <f t="shared" si="57"/>
        <v>1.3999999999999972E-4</v>
      </c>
      <c r="Q173" s="42">
        <f t="shared" si="55"/>
        <v>1</v>
      </c>
      <c r="R173" s="441">
        <f t="shared" si="49"/>
        <v>0.96598557692307696</v>
      </c>
      <c r="S173" s="46">
        <f t="shared" si="56"/>
        <v>0.96598557692307696</v>
      </c>
      <c r="T173" s="211">
        <f t="shared" si="52"/>
        <v>2.3840144230769234</v>
      </c>
      <c r="U173" s="46">
        <f t="shared" si="53"/>
        <v>7.2810232235370487</v>
      </c>
      <c r="V173" s="46">
        <f t="shared" si="54"/>
        <v>-2.9889743033618816</v>
      </c>
      <c r="W173" s="496"/>
      <c r="X173" s="497"/>
      <c r="Y173" s="497"/>
      <c r="Z173" s="498"/>
      <c r="AA173" s="47"/>
    </row>
    <row r="174" spans="1:27" s="428" customFormat="1" x14ac:dyDescent="0.25">
      <c r="A174" s="589">
        <f t="shared" si="50"/>
        <v>3.4134615383707434E-6</v>
      </c>
      <c r="B174" s="32">
        <f t="shared" si="40"/>
        <v>142</v>
      </c>
      <c r="C174" s="441">
        <f>'SOLLECITAZ NASCOSTO'!$D$6/'SOLLECITAZ NASCOSTO'!$B$448*'SOLLECITAZ NASCOSTO'!B174</f>
        <v>0.9728365384615385</v>
      </c>
      <c r="D174" s="441">
        <f t="shared" si="51"/>
        <v>0.30000341346153836</v>
      </c>
      <c r="E174" s="441">
        <f t="shared" si="45"/>
        <v>3.4134615383707434E-6</v>
      </c>
      <c r="F174" s="441">
        <f t="shared" si="46"/>
        <v>0.30000341346153836</v>
      </c>
      <c r="G174" s="441">
        <f t="shared" si="47"/>
        <v>4.5001024044287366E-2</v>
      </c>
      <c r="H174" s="441">
        <f t="shared" si="41"/>
        <v>0</v>
      </c>
      <c r="I174" s="441">
        <v>0</v>
      </c>
      <c r="J174" s="131">
        <f t="shared" si="42"/>
        <v>0.15000170673076918</v>
      </c>
      <c r="K174" s="130">
        <f t="shared" si="48"/>
        <v>2.2500768037584957E-3</v>
      </c>
      <c r="L174" s="42">
        <f t="shared" si="43"/>
        <v>7.3560740767718222</v>
      </c>
      <c r="M174" s="42">
        <f t="shared" si="44"/>
        <v>-3.0391133986814491</v>
      </c>
      <c r="N174" s="42">
        <f>(IF(C173&lt;='SOLLECITAZ NASCOSTO'!$P$12,IF(C173&lt;='SOLLECITAZ NASCOSTO'!$P$11,IF(C173&lt;='SOLLECITAZ NASCOSTO'!$P$10,IF(C173&lt;='SOLLECITAZ NASCOSTO'!$P$9,IF(C173&lt;='SOLLECITAZ NASCOSTO'!$P$8,IF(C173&lt;='SOLLECITAZ NASCOSTO'!$P$7,IF(C173&lt;='SOLLECITAZ NASCOSTO'!$P$6,IF(C173&lt;='SOLLECITAZ NASCOSTO'!$P$5,'Progetto del paramento slu'!$G$105,'Progetto del paramento slu'!$G$106),'Progetto del paramento slu'!$G$107),'Progetto del paramento slu'!$G$108),'Progetto del paramento slu'!$G$109),'Progetto del paramento slu'!$G$110),'Progetto del paramento slu'!$G$111),'Progetto del paramento slu'!$G$112),55555)-IF(C173&lt;='SOLLECITAZ NASCOSTO'!$P$12,IF(C173&lt;='SOLLECITAZ NASCOSTO'!$P$11,IF(C173&lt;='SOLLECITAZ NASCOSTO'!$P$10,IF(C173&lt;='SOLLECITAZ NASCOSTO'!$P$9,IF(C173&lt;='SOLLECITAZ NASCOSTO'!$P$8,IF(C173&lt;='SOLLECITAZ NASCOSTO'!$P$7,IF(C173&lt;='SOLLECITAZ NASCOSTO'!$P$6,IF(C173&lt;='SOLLECITAZ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slu'!$G$112))*(C173-IF(C173&lt;='SOLLECITAZ NASCOSTO'!$P$12,IF(C173&lt;='SOLLECITAZ NASCOSTO'!$P$11,IF(C173&lt;='SOLLECITAZ NASCOSTO'!$P$10,IF(C173&lt;='SOLLECITAZ NASCOSTO'!$P$9,IF(C173&lt;='SOLLECITAZ NASCOSTO'!$P$8,IF(C173&lt;='SOLLECITAZ NASCOSTO'!$P$7,IF(C173&lt;='SOLLECITAZ NASCOSTO'!$P$6,IF(C173&lt;='SOLLECITAZ NASCOSTO'!$P$5,'SOLLECITAZ NASCOSTO'!$P$3,'SOLLECITAZ NASCOSTO'!$P$5),'SOLLECITAZ NASCOSTO'!$P$5),'SOLLECITAZ NASCOSTO'!$P$7),'SOLLECITAZ NASCOSTO'!$P$8),'SOLLECITAZ NASCOSTO'!$P$9),'SOLLECITAZ NASCOSTO'!$P$10),'SOLLECITAZ NASCOSTO'!$P$11),'SOLLECITAZ NASCOSTO'!$P$12))/IF(C173&lt;='SOLLECITAZ NASCOSTO'!$P$12,IF(C173&lt;='SOLLECITAZ NASCOSTO'!$P$11,IF(C173&lt;='SOLLECITAZ NASCOSTO'!$P$10,IF(C173&lt;='SOLLECITAZ NASCOSTO'!$P$9,IF(C173&lt;='SOLLECITAZ NASCOSTO'!$P$8,IF(C173&lt;='SOLLECITAZ NASCOSTO'!$P$7,IF(C173&lt;='SOLLECITAZ NASCOSTO'!$P$6,IF(C173&lt;='SOLLECITAZ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slu'!$C$112)+IF(C173&lt;='SOLLECITAZ NASCOSTO'!$P$12,IF(C173&lt;='SOLLECITAZ NASCOSTO'!$P$11,IF(C173&lt;='SOLLECITAZ NASCOSTO'!$P$10,IF(C173&lt;='SOLLECITAZ NASCOSTO'!$P$9,IF(C173&lt;='SOLLECITAZ NASCOSTO'!$P$8,IF(C173&lt;='SOLLECITAZ NASCOSTO'!$P$7,IF(C173&lt;='SOLLECITAZ NASCOSTO'!$P$6,IF(C173&lt;='SOLLECITAZ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10.930725099509353</v>
      </c>
      <c r="O174" s="42">
        <f>IF(C174&lt;='SOLLECITAZ NASCOSTO'!$P$12,IF(C174&lt;='SOLLECITAZ NASCOSTO'!$P$11,IF(C174&lt;='SOLLECITAZ NASCOSTO'!$P$10,IF(C174&lt;='SOLLECITAZ NASCOSTO'!$P$9,IF(C174&lt;='SOLLECITAZ NASCOSTO'!$P$8,IF(C174&lt;='SOLLECITAZ NASCOSTO'!$P$7,IF(C174&lt;='SOLLECITAZ NASCOSTO'!$P$6,IF(C174&lt;='SOLLECITAZ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slu'!$G$111),55555)*(C174-C173)/IF(C174&lt;='SOLLECITAZ NASCOSTO'!$P$12,IF(C174&lt;='SOLLECITAZ NASCOSTO'!$P$11,IF(C174&lt;='SOLLECITAZ NASCOSTO'!$P$10,IF(C174&lt;='SOLLECITAZ NASCOSTO'!$P$9,IF(C174&lt;='SOLLECITAZ NASCOSTO'!$P$8,IF(C174&lt;='SOLLECITAZ NASCOSTO'!$P$7,IF(C174&lt;='SOLLECITAZ NASCOSTO'!$P$6,IF(C174&lt;='SOLLECITAZ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4" s="42">
        <f t="shared" si="57"/>
        <v>1.4099999999999971E-4</v>
      </c>
      <c r="Q174" s="42">
        <f t="shared" si="55"/>
        <v>1</v>
      </c>
      <c r="R174" s="441">
        <f t="shared" si="49"/>
        <v>0.9728365384615385</v>
      </c>
      <c r="S174" s="46">
        <f t="shared" si="56"/>
        <v>0.9728365384615385</v>
      </c>
      <c r="T174" s="211">
        <f t="shared" si="52"/>
        <v>2.3771634615384616</v>
      </c>
      <c r="U174" s="46">
        <f t="shared" si="53"/>
        <v>7.3560740767718222</v>
      </c>
      <c r="V174" s="46">
        <f t="shared" si="54"/>
        <v>-3.0391133986814491</v>
      </c>
      <c r="W174" s="496"/>
      <c r="X174" s="497"/>
      <c r="Y174" s="497"/>
      <c r="Z174" s="498"/>
      <c r="AA174" s="47"/>
    </row>
    <row r="175" spans="1:27" s="428" customFormat="1" x14ac:dyDescent="0.25">
      <c r="A175" s="589">
        <f t="shared" si="50"/>
        <v>3.4374999999253752E-6</v>
      </c>
      <c r="B175" s="32">
        <f t="shared" si="40"/>
        <v>143</v>
      </c>
      <c r="C175" s="441">
        <f>'SOLLECITAZ NASCOSTO'!$D$6/'SOLLECITAZ NASCOSTO'!$B$448*'SOLLECITAZ NASCOSTO'!B175</f>
        <v>0.97968750000000004</v>
      </c>
      <c r="D175" s="441">
        <f t="shared" si="51"/>
        <v>0.30000343749999991</v>
      </c>
      <c r="E175" s="441">
        <f t="shared" si="45"/>
        <v>3.4374999999253752E-6</v>
      </c>
      <c r="F175" s="441">
        <f t="shared" si="46"/>
        <v>0.30000343749999991</v>
      </c>
      <c r="G175" s="441">
        <f t="shared" si="47"/>
        <v>4.500103125590818E-2</v>
      </c>
      <c r="H175" s="441">
        <f t="shared" si="41"/>
        <v>0</v>
      </c>
      <c r="I175" s="441">
        <v>0</v>
      </c>
      <c r="J175" s="131">
        <f t="shared" si="42"/>
        <v>0.15000171874999996</v>
      </c>
      <c r="K175" s="130">
        <f t="shared" si="48"/>
        <v>2.2500773446362315E-3</v>
      </c>
      <c r="L175" s="42">
        <f t="shared" si="43"/>
        <v>7.431454681987673</v>
      </c>
      <c r="M175" s="42">
        <f t="shared" si="44"/>
        <v>-3.0897677940690267</v>
      </c>
      <c r="N175" s="42">
        <f>(IF(C174&lt;='SOLLECITAZ NASCOSTO'!$P$12,IF(C174&lt;='SOLLECITAZ NASCOSTO'!$P$11,IF(C174&lt;='SOLLECITAZ NASCOSTO'!$P$10,IF(C174&lt;='SOLLECITAZ NASCOSTO'!$P$9,IF(C174&lt;='SOLLECITAZ NASCOSTO'!$P$8,IF(C174&lt;='SOLLECITAZ NASCOSTO'!$P$7,IF(C174&lt;='SOLLECITAZ NASCOSTO'!$P$6,IF(C174&lt;='SOLLECITAZ NASCOSTO'!$P$5,'Progetto del paramento slu'!$G$105,'Progetto del paramento slu'!$G$106),'Progetto del paramento slu'!$G$107),'Progetto del paramento slu'!$G$108),'Progetto del paramento slu'!$G$109),'Progetto del paramento slu'!$G$110),'Progetto del paramento slu'!$G$111),'Progetto del paramento slu'!$G$112),55555)-IF(C174&lt;='SOLLECITAZ NASCOSTO'!$P$12,IF(C174&lt;='SOLLECITAZ NASCOSTO'!$P$11,IF(C174&lt;='SOLLECITAZ NASCOSTO'!$P$10,IF(C174&lt;='SOLLECITAZ NASCOSTO'!$P$9,IF(C174&lt;='SOLLECITAZ NASCOSTO'!$P$8,IF(C174&lt;='SOLLECITAZ NASCOSTO'!$P$7,IF(C174&lt;='SOLLECITAZ NASCOSTO'!$P$6,IF(C174&lt;='SOLLECITAZ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slu'!$G$112))*(C174-IF(C174&lt;='SOLLECITAZ NASCOSTO'!$P$12,IF(C174&lt;='SOLLECITAZ NASCOSTO'!$P$11,IF(C174&lt;='SOLLECITAZ NASCOSTO'!$P$10,IF(C174&lt;='SOLLECITAZ NASCOSTO'!$P$9,IF(C174&lt;='SOLLECITAZ NASCOSTO'!$P$8,IF(C174&lt;='SOLLECITAZ NASCOSTO'!$P$7,IF(C174&lt;='SOLLECITAZ NASCOSTO'!$P$6,IF(C174&lt;='SOLLECITAZ NASCOSTO'!$P$5,'SOLLECITAZ NASCOSTO'!$P$3,'SOLLECITAZ NASCOSTO'!$P$5),'SOLLECITAZ NASCOSTO'!$P$5),'SOLLECITAZ NASCOSTO'!$P$7),'SOLLECITAZ NASCOSTO'!$P$8),'SOLLECITAZ NASCOSTO'!$P$9),'SOLLECITAZ NASCOSTO'!$P$10),'SOLLECITAZ NASCOSTO'!$P$11),'SOLLECITAZ NASCOSTO'!$P$12))/IF(C174&lt;='SOLLECITAZ NASCOSTO'!$P$12,IF(C174&lt;='SOLLECITAZ NASCOSTO'!$P$11,IF(C174&lt;='SOLLECITAZ NASCOSTO'!$P$10,IF(C174&lt;='SOLLECITAZ NASCOSTO'!$P$9,IF(C174&lt;='SOLLECITAZ NASCOSTO'!$P$8,IF(C174&lt;='SOLLECITAZ NASCOSTO'!$P$7,IF(C174&lt;='SOLLECITAZ NASCOSTO'!$P$6,IF(C174&lt;='SOLLECITAZ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slu'!$C$112)+IF(C174&lt;='SOLLECITAZ NASCOSTO'!$P$12,IF(C174&lt;='SOLLECITAZ NASCOSTO'!$P$11,IF(C174&lt;='SOLLECITAZ NASCOSTO'!$P$10,IF(C174&lt;='SOLLECITAZ NASCOSTO'!$P$9,IF(C174&lt;='SOLLECITAZ NASCOSTO'!$P$8,IF(C174&lt;='SOLLECITAZ NASCOSTO'!$P$7,IF(C174&lt;='SOLLECITAZ NASCOSTO'!$P$6,IF(C174&lt;='SOLLECITAZ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10.978857318501706</v>
      </c>
      <c r="O175" s="42">
        <f>IF(C175&lt;='SOLLECITAZ NASCOSTO'!$P$12,IF(C175&lt;='SOLLECITAZ NASCOSTO'!$P$11,IF(C175&lt;='SOLLECITAZ NASCOSTO'!$P$10,IF(C175&lt;='SOLLECITAZ NASCOSTO'!$P$9,IF(C175&lt;='SOLLECITAZ NASCOSTO'!$P$8,IF(C175&lt;='SOLLECITAZ NASCOSTO'!$P$7,IF(C175&lt;='SOLLECITAZ NASCOSTO'!$P$6,IF(C175&lt;='SOLLECITAZ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slu'!$G$111),55555)*(C175-C174)/IF(C175&lt;='SOLLECITAZ NASCOSTO'!$P$12,IF(C175&lt;='SOLLECITAZ NASCOSTO'!$P$11,IF(C175&lt;='SOLLECITAZ NASCOSTO'!$P$10,IF(C175&lt;='SOLLECITAZ NASCOSTO'!$P$9,IF(C175&lt;='SOLLECITAZ NASCOSTO'!$P$8,IF(C175&lt;='SOLLECITAZ NASCOSTO'!$P$7,IF(C175&lt;='SOLLECITAZ NASCOSTO'!$P$6,IF(C175&lt;='SOLLECITAZ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5" s="42">
        <f t="shared" si="57"/>
        <v>1.4199999999999971E-4</v>
      </c>
      <c r="Q175" s="42">
        <f t="shared" si="55"/>
        <v>1</v>
      </c>
      <c r="R175" s="441">
        <f t="shared" si="49"/>
        <v>0.97968750000000004</v>
      </c>
      <c r="S175" s="46">
        <f t="shared" si="56"/>
        <v>0.97968750000000004</v>
      </c>
      <c r="T175" s="211">
        <f t="shared" si="52"/>
        <v>2.3703124999999998</v>
      </c>
      <c r="U175" s="46">
        <f t="shared" si="53"/>
        <v>7.431454681987673</v>
      </c>
      <c r="V175" s="46">
        <f t="shared" si="54"/>
        <v>-3.0897677940690267</v>
      </c>
      <c r="W175" s="496"/>
      <c r="X175" s="497"/>
      <c r="Y175" s="497"/>
      <c r="Z175" s="498"/>
      <c r="AA175" s="47"/>
    </row>
    <row r="176" spans="1:27" s="428" customFormat="1" x14ac:dyDescent="0.25">
      <c r="A176" s="589">
        <f t="shared" si="50"/>
        <v>3.4615384614800071E-6</v>
      </c>
      <c r="B176" s="32">
        <f t="shared" si="40"/>
        <v>144</v>
      </c>
      <c r="C176" s="441">
        <f>'SOLLECITAZ NASCOSTO'!$D$6/'SOLLECITAZ NASCOSTO'!$B$448*'SOLLECITAZ NASCOSTO'!B176</f>
        <v>0.98653846153846159</v>
      </c>
      <c r="D176" s="441">
        <f t="shared" si="51"/>
        <v>0.30000346153846147</v>
      </c>
      <c r="E176" s="441">
        <f t="shared" si="45"/>
        <v>3.4615384614800071E-6</v>
      </c>
      <c r="F176" s="441">
        <f t="shared" si="46"/>
        <v>0.30000346153846147</v>
      </c>
      <c r="G176" s="441">
        <f t="shared" si="47"/>
        <v>4.5001038467529564E-2</v>
      </c>
      <c r="H176" s="441">
        <f t="shared" si="41"/>
        <v>0</v>
      </c>
      <c r="I176" s="441">
        <v>0</v>
      </c>
      <c r="J176" s="131">
        <f t="shared" si="42"/>
        <v>0.15000173076923073</v>
      </c>
      <c r="K176" s="130">
        <f t="shared" si="48"/>
        <v>2.2500778855140554E-3</v>
      </c>
      <c r="L176" s="42">
        <f t="shared" si="43"/>
        <v>7.507165039184601</v>
      </c>
      <c r="M176" s="42">
        <f t="shared" si="44"/>
        <v>-3.1409397486427539</v>
      </c>
      <c r="N176" s="42">
        <f>(IF(C175&lt;='SOLLECITAZ NASCOSTO'!$P$12,IF(C175&lt;='SOLLECITAZ NASCOSTO'!$P$11,IF(C175&lt;='SOLLECITAZ NASCOSTO'!$P$10,IF(C175&lt;='SOLLECITAZ NASCOSTO'!$P$9,IF(C175&lt;='SOLLECITAZ NASCOSTO'!$P$8,IF(C175&lt;='SOLLECITAZ NASCOSTO'!$P$7,IF(C175&lt;='SOLLECITAZ NASCOSTO'!$P$6,IF(C175&lt;='SOLLECITAZ NASCOSTO'!$P$5,'Progetto del paramento slu'!$G$105,'Progetto del paramento slu'!$G$106),'Progetto del paramento slu'!$G$107),'Progetto del paramento slu'!$G$108),'Progetto del paramento slu'!$G$109),'Progetto del paramento slu'!$G$110),'Progetto del paramento slu'!$G$111),'Progetto del paramento slu'!$G$112),55555)-IF(C175&lt;='SOLLECITAZ NASCOSTO'!$P$12,IF(C175&lt;='SOLLECITAZ NASCOSTO'!$P$11,IF(C175&lt;='SOLLECITAZ NASCOSTO'!$P$10,IF(C175&lt;='SOLLECITAZ NASCOSTO'!$P$9,IF(C175&lt;='SOLLECITAZ NASCOSTO'!$P$8,IF(C175&lt;='SOLLECITAZ NASCOSTO'!$P$7,IF(C175&lt;='SOLLECITAZ NASCOSTO'!$P$6,IF(C175&lt;='SOLLECITAZ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slu'!$G$112))*(C175-IF(C175&lt;='SOLLECITAZ NASCOSTO'!$P$12,IF(C175&lt;='SOLLECITAZ NASCOSTO'!$P$11,IF(C175&lt;='SOLLECITAZ NASCOSTO'!$P$10,IF(C175&lt;='SOLLECITAZ NASCOSTO'!$P$9,IF(C175&lt;='SOLLECITAZ NASCOSTO'!$P$8,IF(C175&lt;='SOLLECITAZ NASCOSTO'!$P$7,IF(C175&lt;='SOLLECITAZ NASCOSTO'!$P$6,IF(C175&lt;='SOLLECITAZ NASCOSTO'!$P$5,'SOLLECITAZ NASCOSTO'!$P$3,'SOLLECITAZ NASCOSTO'!$P$5),'SOLLECITAZ NASCOSTO'!$P$5),'SOLLECITAZ NASCOSTO'!$P$7),'SOLLECITAZ NASCOSTO'!$P$8),'SOLLECITAZ NASCOSTO'!$P$9),'SOLLECITAZ NASCOSTO'!$P$10),'SOLLECITAZ NASCOSTO'!$P$11),'SOLLECITAZ NASCOSTO'!$P$12))/IF(C175&lt;='SOLLECITAZ NASCOSTO'!$P$12,IF(C175&lt;='SOLLECITAZ NASCOSTO'!$P$11,IF(C175&lt;='SOLLECITAZ NASCOSTO'!$P$10,IF(C175&lt;='SOLLECITAZ NASCOSTO'!$P$9,IF(C175&lt;='SOLLECITAZ NASCOSTO'!$P$8,IF(C175&lt;='SOLLECITAZ NASCOSTO'!$P$7,IF(C175&lt;='SOLLECITAZ NASCOSTO'!$P$6,IF(C175&lt;='SOLLECITAZ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slu'!$C$112)+IF(C175&lt;='SOLLECITAZ NASCOSTO'!$P$12,IF(C175&lt;='SOLLECITAZ NASCOSTO'!$P$11,IF(C175&lt;='SOLLECITAZ NASCOSTO'!$P$10,IF(C175&lt;='SOLLECITAZ NASCOSTO'!$P$9,IF(C175&lt;='SOLLECITAZ NASCOSTO'!$P$8,IF(C175&lt;='SOLLECITAZ NASCOSTO'!$P$7,IF(C175&lt;='SOLLECITAZ NASCOSTO'!$P$6,IF(C175&lt;='SOLLECITAZ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11.02698953749406</v>
      </c>
      <c r="O176" s="42">
        <f>IF(C176&lt;='SOLLECITAZ NASCOSTO'!$P$12,IF(C176&lt;='SOLLECITAZ NASCOSTO'!$P$11,IF(C176&lt;='SOLLECITAZ NASCOSTO'!$P$10,IF(C176&lt;='SOLLECITAZ NASCOSTO'!$P$9,IF(C176&lt;='SOLLECITAZ NASCOSTO'!$P$8,IF(C176&lt;='SOLLECITAZ NASCOSTO'!$P$7,IF(C176&lt;='SOLLECITAZ NASCOSTO'!$P$6,IF(C176&lt;='SOLLECITAZ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slu'!$G$111),55555)*(C176-C175)/IF(C176&lt;='SOLLECITAZ NASCOSTO'!$P$12,IF(C176&lt;='SOLLECITAZ NASCOSTO'!$P$11,IF(C176&lt;='SOLLECITAZ NASCOSTO'!$P$10,IF(C176&lt;='SOLLECITAZ NASCOSTO'!$P$9,IF(C176&lt;='SOLLECITAZ NASCOSTO'!$P$8,IF(C176&lt;='SOLLECITAZ NASCOSTO'!$P$7,IF(C176&lt;='SOLLECITAZ NASCOSTO'!$P$6,IF(C176&lt;='SOLLECITAZ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6" s="42">
        <f t="shared" si="57"/>
        <v>1.4299999999999971E-4</v>
      </c>
      <c r="Q176" s="42">
        <f t="shared" si="55"/>
        <v>1</v>
      </c>
      <c r="R176" s="441">
        <f t="shared" si="49"/>
        <v>0.98653846153846159</v>
      </c>
      <c r="S176" s="46">
        <f t="shared" si="56"/>
        <v>0.98653846153846159</v>
      </c>
      <c r="T176" s="211">
        <f t="shared" si="52"/>
        <v>2.3634615384615385</v>
      </c>
      <c r="U176" s="46">
        <f t="shared" si="53"/>
        <v>7.507165039184601</v>
      </c>
      <c r="V176" s="46">
        <f t="shared" si="54"/>
        <v>-3.1409397486427539</v>
      </c>
      <c r="W176" s="496"/>
      <c r="X176" s="497"/>
      <c r="Y176" s="497"/>
      <c r="Z176" s="498"/>
      <c r="AA176" s="47"/>
    </row>
    <row r="177" spans="1:27" s="428" customFormat="1" x14ac:dyDescent="0.25">
      <c r="A177" s="589">
        <f t="shared" si="50"/>
        <v>3.4855769229791278E-6</v>
      </c>
      <c r="B177" s="32">
        <f t="shared" si="40"/>
        <v>145</v>
      </c>
      <c r="C177" s="441">
        <f>'SOLLECITAZ NASCOSTO'!$D$6/'SOLLECITAZ NASCOSTO'!$B$448*'SOLLECITAZ NASCOSTO'!B177</f>
        <v>0.99338942307692302</v>
      </c>
      <c r="D177" s="441">
        <f t="shared" si="51"/>
        <v>0.30000348557692297</v>
      </c>
      <c r="E177" s="441">
        <f t="shared" si="45"/>
        <v>3.4855769229791278E-6</v>
      </c>
      <c r="F177" s="441">
        <f t="shared" si="46"/>
        <v>0.30000348557692297</v>
      </c>
      <c r="G177" s="441">
        <f t="shared" si="47"/>
        <v>4.5001045679151516E-2</v>
      </c>
      <c r="H177" s="441">
        <f t="shared" si="41"/>
        <v>0</v>
      </c>
      <c r="I177" s="441">
        <v>0</v>
      </c>
      <c r="J177" s="131">
        <f t="shared" si="42"/>
        <v>0.15000174278846148</v>
      </c>
      <c r="K177" s="130">
        <f t="shared" si="48"/>
        <v>2.2500784263919638E-3</v>
      </c>
      <c r="L177" s="42">
        <f t="shared" si="43"/>
        <v>7.5832051483626053</v>
      </c>
      <c r="M177" s="42">
        <f t="shared" si="44"/>
        <v>-3.1926315215207692</v>
      </c>
      <c r="N177" s="42">
        <f>(IF(C176&lt;='SOLLECITAZ NASCOSTO'!$P$12,IF(C176&lt;='SOLLECITAZ NASCOSTO'!$P$11,IF(C176&lt;='SOLLECITAZ NASCOSTO'!$P$10,IF(C176&lt;='SOLLECITAZ NASCOSTO'!$P$9,IF(C176&lt;='SOLLECITAZ NASCOSTO'!$P$8,IF(C176&lt;='SOLLECITAZ NASCOSTO'!$P$7,IF(C176&lt;='SOLLECITAZ NASCOSTO'!$P$6,IF(C176&lt;='SOLLECITAZ NASCOSTO'!$P$5,'Progetto del paramento slu'!$G$105,'Progetto del paramento slu'!$G$106),'Progetto del paramento slu'!$G$107),'Progetto del paramento slu'!$G$108),'Progetto del paramento slu'!$G$109),'Progetto del paramento slu'!$G$110),'Progetto del paramento slu'!$G$111),'Progetto del paramento slu'!$G$112),55555)-IF(C176&lt;='SOLLECITAZ NASCOSTO'!$P$12,IF(C176&lt;='SOLLECITAZ NASCOSTO'!$P$11,IF(C176&lt;='SOLLECITAZ NASCOSTO'!$P$10,IF(C176&lt;='SOLLECITAZ NASCOSTO'!$P$9,IF(C176&lt;='SOLLECITAZ NASCOSTO'!$P$8,IF(C176&lt;='SOLLECITAZ NASCOSTO'!$P$7,IF(C176&lt;='SOLLECITAZ NASCOSTO'!$P$6,IF(C176&lt;='SOLLECITAZ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slu'!$G$112))*(C176-IF(C176&lt;='SOLLECITAZ NASCOSTO'!$P$12,IF(C176&lt;='SOLLECITAZ NASCOSTO'!$P$11,IF(C176&lt;='SOLLECITAZ NASCOSTO'!$P$10,IF(C176&lt;='SOLLECITAZ NASCOSTO'!$P$9,IF(C176&lt;='SOLLECITAZ NASCOSTO'!$P$8,IF(C176&lt;='SOLLECITAZ NASCOSTO'!$P$7,IF(C176&lt;='SOLLECITAZ NASCOSTO'!$P$6,IF(C176&lt;='SOLLECITAZ NASCOSTO'!$P$5,'SOLLECITAZ NASCOSTO'!$P$3,'SOLLECITAZ NASCOSTO'!$P$5),'SOLLECITAZ NASCOSTO'!$P$5),'SOLLECITAZ NASCOSTO'!$P$7),'SOLLECITAZ NASCOSTO'!$P$8),'SOLLECITAZ NASCOSTO'!$P$9),'SOLLECITAZ NASCOSTO'!$P$10),'SOLLECITAZ NASCOSTO'!$P$11),'SOLLECITAZ NASCOSTO'!$P$12))/IF(C176&lt;='SOLLECITAZ NASCOSTO'!$P$12,IF(C176&lt;='SOLLECITAZ NASCOSTO'!$P$11,IF(C176&lt;='SOLLECITAZ NASCOSTO'!$P$10,IF(C176&lt;='SOLLECITAZ NASCOSTO'!$P$9,IF(C176&lt;='SOLLECITAZ NASCOSTO'!$P$8,IF(C176&lt;='SOLLECITAZ NASCOSTO'!$P$7,IF(C176&lt;='SOLLECITAZ NASCOSTO'!$P$6,IF(C176&lt;='SOLLECITAZ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slu'!$C$112)+IF(C176&lt;='SOLLECITAZ NASCOSTO'!$P$12,IF(C176&lt;='SOLLECITAZ NASCOSTO'!$P$11,IF(C176&lt;='SOLLECITAZ NASCOSTO'!$P$10,IF(C176&lt;='SOLLECITAZ NASCOSTO'!$P$9,IF(C176&lt;='SOLLECITAZ NASCOSTO'!$P$8,IF(C176&lt;='SOLLECITAZ NASCOSTO'!$P$7,IF(C176&lt;='SOLLECITAZ NASCOSTO'!$P$6,IF(C176&lt;='SOLLECITAZ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11.075121756486411</v>
      </c>
      <c r="O177" s="42">
        <f>IF(C177&lt;='SOLLECITAZ NASCOSTO'!$P$12,IF(C177&lt;='SOLLECITAZ NASCOSTO'!$P$11,IF(C177&lt;='SOLLECITAZ NASCOSTO'!$P$10,IF(C177&lt;='SOLLECITAZ NASCOSTO'!$P$9,IF(C177&lt;='SOLLECITAZ NASCOSTO'!$P$8,IF(C177&lt;='SOLLECITAZ NASCOSTO'!$P$7,IF(C177&lt;='SOLLECITAZ NASCOSTO'!$P$6,IF(C177&lt;='SOLLECITAZ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slu'!$G$111),55555)*(C177-C176)/IF(C177&lt;='SOLLECITAZ NASCOSTO'!$P$12,IF(C177&lt;='SOLLECITAZ NASCOSTO'!$P$11,IF(C177&lt;='SOLLECITAZ NASCOSTO'!$P$10,IF(C177&lt;='SOLLECITAZ NASCOSTO'!$P$9,IF(C177&lt;='SOLLECITAZ NASCOSTO'!$P$8,IF(C177&lt;='SOLLECITAZ NASCOSTO'!$P$7,IF(C177&lt;='SOLLECITAZ NASCOSTO'!$P$6,IF(C177&lt;='SOLLECITAZ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4.8132218992351712E-2</v>
      </c>
      <c r="P177" s="42">
        <f t="shared" si="57"/>
        <v>1.4399999999999971E-4</v>
      </c>
      <c r="Q177" s="42">
        <f t="shared" si="55"/>
        <v>1</v>
      </c>
      <c r="R177" s="441">
        <f t="shared" si="49"/>
        <v>0.99338942307692302</v>
      </c>
      <c r="S177" s="46">
        <f t="shared" si="56"/>
        <v>0.99338942307692302</v>
      </c>
      <c r="T177" s="211">
        <f t="shared" si="52"/>
        <v>2.3566105769230772</v>
      </c>
      <c r="U177" s="46">
        <f t="shared" si="53"/>
        <v>7.5832051483626053</v>
      </c>
      <c r="V177" s="46">
        <f t="shared" si="54"/>
        <v>-3.1926315215207692</v>
      </c>
      <c r="W177" s="496"/>
      <c r="X177" s="497"/>
      <c r="Y177" s="497"/>
      <c r="Z177" s="498"/>
      <c r="AA177" s="47"/>
    </row>
    <row r="178" spans="1:27" s="428" customFormat="1" x14ac:dyDescent="0.25">
      <c r="A178" s="589">
        <f t="shared" si="50"/>
        <v>3.5096153845337597E-6</v>
      </c>
      <c r="B178" s="32">
        <f t="shared" si="40"/>
        <v>146</v>
      </c>
      <c r="C178" s="441">
        <f>'SOLLECITAZ NASCOSTO'!$D$6/'SOLLECITAZ NASCOSTO'!$B$448*'SOLLECITAZ NASCOSTO'!B178</f>
        <v>1.0002403846153847</v>
      </c>
      <c r="D178" s="441">
        <f t="shared" si="51"/>
        <v>0.30000350961538452</v>
      </c>
      <c r="E178" s="441">
        <f t="shared" si="45"/>
        <v>3.5096153845337597E-6</v>
      </c>
      <c r="F178" s="441">
        <f t="shared" si="46"/>
        <v>0.30000350961538452</v>
      </c>
      <c r="G178" s="441">
        <f t="shared" si="47"/>
        <v>4.5001052890774058E-2</v>
      </c>
      <c r="H178" s="441">
        <f t="shared" si="41"/>
        <v>0</v>
      </c>
      <c r="I178" s="441">
        <v>0</v>
      </c>
      <c r="J178" s="131">
        <f t="shared" si="42"/>
        <v>0.15000175480769226</v>
      </c>
      <c r="K178" s="130">
        <f t="shared" si="48"/>
        <v>2.2500789672699603E-3</v>
      </c>
      <c r="L178" s="42">
        <f t="shared" si="43"/>
        <v>7.6595750095216895</v>
      </c>
      <c r="M178" s="42">
        <f t="shared" si="44"/>
        <v>-3.2448453718212149</v>
      </c>
      <c r="N178" s="42">
        <f>(IF(C177&lt;='SOLLECITAZ NASCOSTO'!$P$12,IF(C177&lt;='SOLLECITAZ NASCOSTO'!$P$11,IF(C177&lt;='SOLLECITAZ NASCOSTO'!$P$10,IF(C177&lt;='SOLLECITAZ NASCOSTO'!$P$9,IF(C177&lt;='SOLLECITAZ NASCOSTO'!$P$8,IF(C177&lt;='SOLLECITAZ NASCOSTO'!$P$7,IF(C177&lt;='SOLLECITAZ NASCOSTO'!$P$6,IF(C177&lt;='SOLLECITAZ NASCOSTO'!$P$5,'Progetto del paramento slu'!$G$105,'Progetto del paramento slu'!$G$106),'Progetto del paramento slu'!$G$107),'Progetto del paramento slu'!$G$108),'Progetto del paramento slu'!$G$109),'Progetto del paramento slu'!$G$110),'Progetto del paramento slu'!$G$111),'Progetto del paramento slu'!$G$112),55555)-IF(C177&lt;='SOLLECITAZ NASCOSTO'!$P$12,IF(C177&lt;='SOLLECITAZ NASCOSTO'!$P$11,IF(C177&lt;='SOLLECITAZ NASCOSTO'!$P$10,IF(C177&lt;='SOLLECITAZ NASCOSTO'!$P$9,IF(C177&lt;='SOLLECITAZ NASCOSTO'!$P$8,IF(C177&lt;='SOLLECITAZ NASCOSTO'!$P$7,IF(C177&lt;='SOLLECITAZ NASCOSTO'!$P$6,IF(C177&lt;='SOLLECITAZ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slu'!$G$112))*(C177-IF(C177&lt;='SOLLECITAZ NASCOSTO'!$P$12,IF(C177&lt;='SOLLECITAZ NASCOSTO'!$P$11,IF(C177&lt;='SOLLECITAZ NASCOSTO'!$P$10,IF(C177&lt;='SOLLECITAZ NASCOSTO'!$P$9,IF(C177&lt;='SOLLECITAZ NASCOSTO'!$P$8,IF(C177&lt;='SOLLECITAZ NASCOSTO'!$P$7,IF(C177&lt;='SOLLECITAZ NASCOSTO'!$P$6,IF(C177&lt;='SOLLECITAZ NASCOSTO'!$P$5,'SOLLECITAZ NASCOSTO'!$P$3,'SOLLECITAZ NASCOSTO'!$P$5),'SOLLECITAZ NASCOSTO'!$P$5),'SOLLECITAZ NASCOSTO'!$P$7),'SOLLECITAZ NASCOSTO'!$P$8),'SOLLECITAZ NASCOSTO'!$P$9),'SOLLECITAZ NASCOSTO'!$P$10),'SOLLECITAZ NASCOSTO'!$P$11),'SOLLECITAZ NASCOSTO'!$P$12))/IF(C177&lt;='SOLLECITAZ NASCOSTO'!$P$12,IF(C177&lt;='SOLLECITAZ NASCOSTO'!$P$11,IF(C177&lt;='SOLLECITAZ NASCOSTO'!$P$10,IF(C177&lt;='SOLLECITAZ NASCOSTO'!$P$9,IF(C177&lt;='SOLLECITAZ NASCOSTO'!$P$8,IF(C177&lt;='SOLLECITAZ NASCOSTO'!$P$7,IF(C177&lt;='SOLLECITAZ NASCOSTO'!$P$6,IF(C177&lt;='SOLLECITAZ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slu'!$C$112)+IF(C177&lt;='SOLLECITAZ NASCOSTO'!$P$12,IF(C177&lt;='SOLLECITAZ NASCOSTO'!$P$11,IF(C177&lt;='SOLLECITAZ NASCOSTO'!$P$10,IF(C177&lt;='SOLLECITAZ NASCOSTO'!$P$9,IF(C177&lt;='SOLLECITAZ NASCOSTO'!$P$8,IF(C177&lt;='SOLLECITAZ NASCOSTO'!$P$7,IF(C177&lt;='SOLLECITAZ NASCOSTO'!$P$6,IF(C177&lt;='SOLLECITAZ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11.123253975478764</v>
      </c>
      <c r="O178" s="42">
        <f>IF(C178&lt;='SOLLECITAZ NASCOSTO'!$P$12,IF(C178&lt;='SOLLECITAZ NASCOSTO'!$P$11,IF(C178&lt;='SOLLECITAZ NASCOSTO'!$P$10,IF(C178&lt;='SOLLECITAZ NASCOSTO'!$P$9,IF(C178&lt;='SOLLECITAZ NASCOSTO'!$P$8,IF(C178&lt;='SOLLECITAZ NASCOSTO'!$P$7,IF(C178&lt;='SOLLECITAZ NASCOSTO'!$P$6,IF(C178&lt;='SOLLECITAZ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slu'!$G$111),55555)*(C178-C177)/IF(C178&lt;='SOLLECITAZ NASCOSTO'!$P$12,IF(C178&lt;='SOLLECITAZ NASCOSTO'!$P$11,IF(C178&lt;='SOLLECITAZ NASCOSTO'!$P$10,IF(C178&lt;='SOLLECITAZ NASCOSTO'!$P$9,IF(C178&lt;='SOLLECITAZ NASCOSTO'!$P$8,IF(C178&lt;='SOLLECITAZ NASCOSTO'!$P$7,IF(C178&lt;='SOLLECITAZ NASCOSTO'!$P$6,IF(C178&lt;='SOLLECITAZ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4.8132218992353266E-2</v>
      </c>
      <c r="P178" s="42">
        <f t="shared" si="57"/>
        <v>1.449999999999997E-4</v>
      </c>
      <c r="Q178" s="42">
        <f t="shared" si="55"/>
        <v>1</v>
      </c>
      <c r="R178" s="441">
        <f t="shared" si="49"/>
        <v>1.0002403846153847</v>
      </c>
      <c r="S178" s="46">
        <f t="shared" si="56"/>
        <v>1.0002403846153847</v>
      </c>
      <c r="T178" s="211">
        <f t="shared" si="52"/>
        <v>2.3497596153846154</v>
      </c>
      <c r="U178" s="46">
        <f t="shared" si="53"/>
        <v>7.6595750095216895</v>
      </c>
      <c r="V178" s="46">
        <f t="shared" si="54"/>
        <v>-3.2448453718212149</v>
      </c>
      <c r="W178" s="496"/>
      <c r="X178" s="497"/>
      <c r="Y178" s="497"/>
      <c r="Z178" s="498"/>
      <c r="AA178" s="47"/>
    </row>
    <row r="179" spans="1:27" s="428" customFormat="1" x14ac:dyDescent="0.25">
      <c r="A179" s="589">
        <f t="shared" si="50"/>
        <v>3.5336538460883915E-6</v>
      </c>
      <c r="B179" s="32">
        <f t="shared" si="40"/>
        <v>147</v>
      </c>
      <c r="C179" s="441">
        <f>'SOLLECITAZ NASCOSTO'!$D$6/'SOLLECITAZ NASCOSTO'!$B$448*'SOLLECITAZ NASCOSTO'!B179</f>
        <v>1.0070913461538462</v>
      </c>
      <c r="D179" s="441">
        <f t="shared" si="51"/>
        <v>0.30000353365384608</v>
      </c>
      <c r="E179" s="441">
        <f t="shared" si="45"/>
        <v>3.5336538460883915E-6</v>
      </c>
      <c r="F179" s="441">
        <f t="shared" si="46"/>
        <v>0.30000353365384608</v>
      </c>
      <c r="G179" s="441">
        <f t="shared" si="47"/>
        <v>4.5001060102397177E-2</v>
      </c>
      <c r="H179" s="441">
        <f t="shared" si="41"/>
        <v>0</v>
      </c>
      <c r="I179" s="441">
        <v>0</v>
      </c>
      <c r="J179" s="131">
        <f t="shared" si="42"/>
        <v>0.15000176682692304</v>
      </c>
      <c r="K179" s="130">
        <f t="shared" si="48"/>
        <v>2.2500795081480435E-3</v>
      </c>
      <c r="L179" s="42">
        <f t="shared" si="43"/>
        <v>7.73627462266185</v>
      </c>
      <c r="M179" s="42">
        <f t="shared" si="44"/>
        <v>-3.2975835586622284</v>
      </c>
      <c r="N179" s="42">
        <f>(IF(C178&lt;='SOLLECITAZ NASCOSTO'!$P$12,IF(C178&lt;='SOLLECITAZ NASCOSTO'!$P$11,IF(C178&lt;='SOLLECITAZ NASCOSTO'!$P$10,IF(C178&lt;='SOLLECITAZ NASCOSTO'!$P$9,IF(C178&lt;='SOLLECITAZ NASCOSTO'!$P$8,IF(C178&lt;='SOLLECITAZ NASCOSTO'!$P$7,IF(C178&lt;='SOLLECITAZ NASCOSTO'!$P$6,IF(C178&lt;='SOLLECITAZ NASCOSTO'!$P$5,'Progetto del paramento slu'!$G$105,'Progetto del paramento slu'!$G$106),'Progetto del paramento slu'!$G$107),'Progetto del paramento slu'!$G$108),'Progetto del paramento slu'!$G$109),'Progetto del paramento slu'!$G$110),'Progetto del paramento slu'!$G$111),'Progetto del paramento slu'!$G$112),55555)-IF(C178&lt;='SOLLECITAZ NASCOSTO'!$P$12,IF(C178&lt;='SOLLECITAZ NASCOSTO'!$P$11,IF(C178&lt;='SOLLECITAZ NASCOSTO'!$P$10,IF(C178&lt;='SOLLECITAZ NASCOSTO'!$P$9,IF(C178&lt;='SOLLECITAZ NASCOSTO'!$P$8,IF(C178&lt;='SOLLECITAZ NASCOSTO'!$P$7,IF(C178&lt;='SOLLECITAZ NASCOSTO'!$P$6,IF(C178&lt;='SOLLECITAZ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slu'!$G$112))*(C178-IF(C178&lt;='SOLLECITAZ NASCOSTO'!$P$12,IF(C178&lt;='SOLLECITAZ NASCOSTO'!$P$11,IF(C178&lt;='SOLLECITAZ NASCOSTO'!$P$10,IF(C178&lt;='SOLLECITAZ NASCOSTO'!$P$9,IF(C178&lt;='SOLLECITAZ NASCOSTO'!$P$8,IF(C178&lt;='SOLLECITAZ NASCOSTO'!$P$7,IF(C178&lt;='SOLLECITAZ NASCOSTO'!$P$6,IF(C178&lt;='SOLLECITAZ NASCOSTO'!$P$5,'SOLLECITAZ NASCOSTO'!$P$3,'SOLLECITAZ NASCOSTO'!$P$5),'SOLLECITAZ NASCOSTO'!$P$5),'SOLLECITAZ NASCOSTO'!$P$7),'SOLLECITAZ NASCOSTO'!$P$8),'SOLLECITAZ NASCOSTO'!$P$9),'SOLLECITAZ NASCOSTO'!$P$10),'SOLLECITAZ NASCOSTO'!$P$11),'SOLLECITAZ NASCOSTO'!$P$12))/IF(C178&lt;='SOLLECITAZ NASCOSTO'!$P$12,IF(C178&lt;='SOLLECITAZ NASCOSTO'!$P$11,IF(C178&lt;='SOLLECITAZ NASCOSTO'!$P$10,IF(C178&lt;='SOLLECITAZ NASCOSTO'!$P$9,IF(C178&lt;='SOLLECITAZ NASCOSTO'!$P$8,IF(C178&lt;='SOLLECITAZ NASCOSTO'!$P$7,IF(C178&lt;='SOLLECITAZ NASCOSTO'!$P$6,IF(C178&lt;='SOLLECITAZ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slu'!$C$112)+IF(C178&lt;='SOLLECITAZ NASCOSTO'!$P$12,IF(C178&lt;='SOLLECITAZ NASCOSTO'!$P$11,IF(C178&lt;='SOLLECITAZ NASCOSTO'!$P$10,IF(C178&lt;='SOLLECITAZ NASCOSTO'!$P$9,IF(C178&lt;='SOLLECITAZ NASCOSTO'!$P$8,IF(C178&lt;='SOLLECITAZ NASCOSTO'!$P$7,IF(C178&lt;='SOLLECITAZ NASCOSTO'!$P$6,IF(C178&lt;='SOLLECITAZ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11.171386194471117</v>
      </c>
      <c r="O179" s="42">
        <f>IF(C179&lt;='SOLLECITAZ NASCOSTO'!$P$12,IF(C179&lt;='SOLLECITAZ NASCOSTO'!$P$11,IF(C179&lt;='SOLLECITAZ NASCOSTO'!$P$10,IF(C179&lt;='SOLLECITAZ NASCOSTO'!$P$9,IF(C179&lt;='SOLLECITAZ NASCOSTO'!$P$8,IF(C179&lt;='SOLLECITAZ NASCOSTO'!$P$7,IF(C179&lt;='SOLLECITAZ NASCOSTO'!$P$6,IF(C179&lt;='SOLLECITAZ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slu'!$G$111),55555)*(C179-C178)/IF(C179&lt;='SOLLECITAZ NASCOSTO'!$P$12,IF(C179&lt;='SOLLECITAZ NASCOSTO'!$P$11,IF(C179&lt;='SOLLECITAZ NASCOSTO'!$P$10,IF(C179&lt;='SOLLECITAZ NASCOSTO'!$P$9,IF(C179&lt;='SOLLECITAZ NASCOSTO'!$P$8,IF(C179&lt;='SOLLECITAZ NASCOSTO'!$P$7,IF(C179&lt;='SOLLECITAZ NASCOSTO'!$P$6,IF(C179&lt;='SOLLECITAZ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79" s="42">
        <f t="shared" si="57"/>
        <v>1.459999999999997E-4</v>
      </c>
      <c r="Q179" s="42">
        <f t="shared" si="55"/>
        <v>1</v>
      </c>
      <c r="R179" s="441">
        <f t="shared" si="49"/>
        <v>1.0070913461538462</v>
      </c>
      <c r="S179" s="46">
        <f t="shared" si="56"/>
        <v>1.0070913461538462</v>
      </c>
      <c r="T179" s="211">
        <f t="shared" si="52"/>
        <v>2.3429086538461537</v>
      </c>
      <c r="U179" s="46">
        <f t="shared" si="53"/>
        <v>7.73627462266185</v>
      </c>
      <c r="V179" s="46">
        <f t="shared" si="54"/>
        <v>-3.2975835586622284</v>
      </c>
      <c r="W179" s="496"/>
      <c r="X179" s="497"/>
      <c r="Y179" s="497"/>
      <c r="Z179" s="498"/>
      <c r="AA179" s="47"/>
    </row>
    <row r="180" spans="1:27" s="428" customFormat="1" x14ac:dyDescent="0.25">
      <c r="A180" s="589">
        <f t="shared" si="50"/>
        <v>3.5576923075875122E-6</v>
      </c>
      <c r="B180" s="32">
        <f t="shared" si="40"/>
        <v>148</v>
      </c>
      <c r="C180" s="441">
        <f>'SOLLECITAZ NASCOSTO'!$D$6/'SOLLECITAZ NASCOSTO'!$B$448*'SOLLECITAZ NASCOSTO'!B180</f>
        <v>1.0139423076923078</v>
      </c>
      <c r="D180" s="441">
        <f t="shared" si="51"/>
        <v>0.30000355769230758</v>
      </c>
      <c r="E180" s="441">
        <f t="shared" si="45"/>
        <v>3.5576923075875122E-6</v>
      </c>
      <c r="F180" s="441">
        <f t="shared" si="46"/>
        <v>0.30000355769230758</v>
      </c>
      <c r="G180" s="441">
        <f t="shared" si="47"/>
        <v>4.5001067314020864E-2</v>
      </c>
      <c r="H180" s="441">
        <f t="shared" si="41"/>
        <v>0</v>
      </c>
      <c r="I180" s="441">
        <v>0</v>
      </c>
      <c r="J180" s="131">
        <f t="shared" si="42"/>
        <v>0.15000177884615379</v>
      </c>
      <c r="K180" s="130">
        <f t="shared" si="48"/>
        <v>2.2500800490262126E-3</v>
      </c>
      <c r="L180" s="42">
        <f t="shared" si="43"/>
        <v>7.8133039877830877</v>
      </c>
      <c r="M180" s="42">
        <f t="shared" si="44"/>
        <v>-3.3508483411619499</v>
      </c>
      <c r="N180" s="42">
        <f>(IF(C179&lt;='SOLLECITAZ NASCOSTO'!$P$12,IF(C179&lt;='SOLLECITAZ NASCOSTO'!$P$11,IF(C179&lt;='SOLLECITAZ NASCOSTO'!$P$10,IF(C179&lt;='SOLLECITAZ NASCOSTO'!$P$9,IF(C179&lt;='SOLLECITAZ NASCOSTO'!$P$8,IF(C179&lt;='SOLLECITAZ NASCOSTO'!$P$7,IF(C179&lt;='SOLLECITAZ NASCOSTO'!$P$6,IF(C179&lt;='SOLLECITAZ NASCOSTO'!$P$5,'Progetto del paramento slu'!$G$105,'Progetto del paramento slu'!$G$106),'Progetto del paramento slu'!$G$107),'Progetto del paramento slu'!$G$108),'Progetto del paramento slu'!$G$109),'Progetto del paramento slu'!$G$110),'Progetto del paramento slu'!$G$111),'Progetto del paramento slu'!$G$112),55555)-IF(C179&lt;='SOLLECITAZ NASCOSTO'!$P$12,IF(C179&lt;='SOLLECITAZ NASCOSTO'!$P$11,IF(C179&lt;='SOLLECITAZ NASCOSTO'!$P$10,IF(C179&lt;='SOLLECITAZ NASCOSTO'!$P$9,IF(C179&lt;='SOLLECITAZ NASCOSTO'!$P$8,IF(C179&lt;='SOLLECITAZ NASCOSTO'!$P$7,IF(C179&lt;='SOLLECITAZ NASCOSTO'!$P$6,IF(C179&lt;='SOLLECITAZ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slu'!$G$112))*(C179-IF(C179&lt;='SOLLECITAZ NASCOSTO'!$P$12,IF(C179&lt;='SOLLECITAZ NASCOSTO'!$P$11,IF(C179&lt;='SOLLECITAZ NASCOSTO'!$P$10,IF(C179&lt;='SOLLECITAZ NASCOSTO'!$P$9,IF(C179&lt;='SOLLECITAZ NASCOSTO'!$P$8,IF(C179&lt;='SOLLECITAZ NASCOSTO'!$P$7,IF(C179&lt;='SOLLECITAZ NASCOSTO'!$P$6,IF(C179&lt;='SOLLECITAZ NASCOSTO'!$P$5,'SOLLECITAZ NASCOSTO'!$P$3,'SOLLECITAZ NASCOSTO'!$P$5),'SOLLECITAZ NASCOSTO'!$P$5),'SOLLECITAZ NASCOSTO'!$P$7),'SOLLECITAZ NASCOSTO'!$P$8),'SOLLECITAZ NASCOSTO'!$P$9),'SOLLECITAZ NASCOSTO'!$P$10),'SOLLECITAZ NASCOSTO'!$P$11),'SOLLECITAZ NASCOSTO'!$P$12))/IF(C179&lt;='SOLLECITAZ NASCOSTO'!$P$12,IF(C179&lt;='SOLLECITAZ NASCOSTO'!$P$11,IF(C179&lt;='SOLLECITAZ NASCOSTO'!$P$10,IF(C179&lt;='SOLLECITAZ NASCOSTO'!$P$9,IF(C179&lt;='SOLLECITAZ NASCOSTO'!$P$8,IF(C179&lt;='SOLLECITAZ NASCOSTO'!$P$7,IF(C179&lt;='SOLLECITAZ NASCOSTO'!$P$6,IF(C179&lt;='SOLLECITAZ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slu'!$C$112)+IF(C179&lt;='SOLLECITAZ NASCOSTO'!$P$12,IF(C179&lt;='SOLLECITAZ NASCOSTO'!$P$11,IF(C179&lt;='SOLLECITAZ NASCOSTO'!$P$10,IF(C179&lt;='SOLLECITAZ NASCOSTO'!$P$9,IF(C179&lt;='SOLLECITAZ NASCOSTO'!$P$8,IF(C179&lt;='SOLLECITAZ NASCOSTO'!$P$7,IF(C179&lt;='SOLLECITAZ NASCOSTO'!$P$6,IF(C179&lt;='SOLLECITAZ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11.219518413463469</v>
      </c>
      <c r="O180" s="42">
        <f>IF(C180&lt;='SOLLECITAZ NASCOSTO'!$P$12,IF(C180&lt;='SOLLECITAZ NASCOSTO'!$P$11,IF(C180&lt;='SOLLECITAZ NASCOSTO'!$P$10,IF(C180&lt;='SOLLECITAZ NASCOSTO'!$P$9,IF(C180&lt;='SOLLECITAZ NASCOSTO'!$P$8,IF(C180&lt;='SOLLECITAZ NASCOSTO'!$P$7,IF(C180&lt;='SOLLECITAZ NASCOSTO'!$P$6,IF(C180&lt;='SOLLECITAZ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slu'!$G$111),55555)*(C180-C179)/IF(C180&lt;='SOLLECITAZ NASCOSTO'!$P$12,IF(C180&lt;='SOLLECITAZ NASCOSTO'!$P$11,IF(C180&lt;='SOLLECITAZ NASCOSTO'!$P$10,IF(C180&lt;='SOLLECITAZ NASCOSTO'!$P$9,IF(C180&lt;='SOLLECITAZ NASCOSTO'!$P$8,IF(C180&lt;='SOLLECITAZ NASCOSTO'!$P$7,IF(C180&lt;='SOLLECITAZ NASCOSTO'!$P$6,IF(C180&lt;='SOLLECITAZ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0" s="42">
        <f t="shared" si="57"/>
        <v>1.469999999999997E-4</v>
      </c>
      <c r="Q180" s="42">
        <f t="shared" si="55"/>
        <v>1</v>
      </c>
      <c r="R180" s="441">
        <f t="shared" si="49"/>
        <v>1.0139423076923078</v>
      </c>
      <c r="S180" s="46">
        <f t="shared" si="56"/>
        <v>1.0139423076923078</v>
      </c>
      <c r="T180" s="211">
        <f t="shared" si="52"/>
        <v>2.3360576923076923</v>
      </c>
      <c r="U180" s="46">
        <f t="shared" si="53"/>
        <v>7.8133039877830877</v>
      </c>
      <c r="V180" s="46">
        <f t="shared" si="54"/>
        <v>-3.3508483411619499</v>
      </c>
      <c r="W180" s="496"/>
      <c r="X180" s="497"/>
      <c r="Y180" s="497"/>
      <c r="Z180" s="498"/>
      <c r="AA180" s="47"/>
    </row>
    <row r="181" spans="1:27" s="428" customFormat="1" x14ac:dyDescent="0.25">
      <c r="A181" s="589">
        <f t="shared" si="50"/>
        <v>3.5817307691421441E-6</v>
      </c>
      <c r="B181" s="32">
        <f t="shared" si="40"/>
        <v>149</v>
      </c>
      <c r="C181" s="441">
        <f>'SOLLECITAZ NASCOSTO'!$D$6/'SOLLECITAZ NASCOSTO'!$B$448*'SOLLECITAZ NASCOSTO'!B181</f>
        <v>1.0207932692307693</v>
      </c>
      <c r="D181" s="441">
        <f t="shared" si="51"/>
        <v>0.30000358173076913</v>
      </c>
      <c r="E181" s="441">
        <f t="shared" si="45"/>
        <v>3.5817307691421441E-6</v>
      </c>
      <c r="F181" s="441">
        <f t="shared" si="46"/>
        <v>0.30000358173076913</v>
      </c>
      <c r="G181" s="441">
        <f t="shared" si="47"/>
        <v>4.5001074525645141E-2</v>
      </c>
      <c r="H181" s="441">
        <f t="shared" si="41"/>
        <v>0</v>
      </c>
      <c r="I181" s="441">
        <v>0</v>
      </c>
      <c r="J181" s="131">
        <f t="shared" si="42"/>
        <v>0.15000179086538457</v>
      </c>
      <c r="K181" s="130">
        <f t="shared" si="48"/>
        <v>2.2500805899044688E-3</v>
      </c>
      <c r="L181" s="42">
        <f t="shared" si="43"/>
        <v>7.8906631048854026</v>
      </c>
      <c r="M181" s="42">
        <f t="shared" si="44"/>
        <v>-3.4046419784385185</v>
      </c>
      <c r="N181" s="42">
        <f>(IF(C180&lt;='SOLLECITAZ NASCOSTO'!$P$12,IF(C180&lt;='SOLLECITAZ NASCOSTO'!$P$11,IF(C180&lt;='SOLLECITAZ NASCOSTO'!$P$10,IF(C180&lt;='SOLLECITAZ NASCOSTO'!$P$9,IF(C180&lt;='SOLLECITAZ NASCOSTO'!$P$8,IF(C180&lt;='SOLLECITAZ NASCOSTO'!$P$7,IF(C180&lt;='SOLLECITAZ NASCOSTO'!$P$6,IF(C180&lt;='SOLLECITAZ NASCOSTO'!$P$5,'Progetto del paramento slu'!$G$105,'Progetto del paramento slu'!$G$106),'Progetto del paramento slu'!$G$107),'Progetto del paramento slu'!$G$108),'Progetto del paramento slu'!$G$109),'Progetto del paramento slu'!$G$110),'Progetto del paramento slu'!$G$111),'Progetto del paramento slu'!$G$112),55555)-IF(C180&lt;='SOLLECITAZ NASCOSTO'!$P$12,IF(C180&lt;='SOLLECITAZ NASCOSTO'!$P$11,IF(C180&lt;='SOLLECITAZ NASCOSTO'!$P$10,IF(C180&lt;='SOLLECITAZ NASCOSTO'!$P$9,IF(C180&lt;='SOLLECITAZ NASCOSTO'!$P$8,IF(C180&lt;='SOLLECITAZ NASCOSTO'!$P$7,IF(C180&lt;='SOLLECITAZ NASCOSTO'!$P$6,IF(C180&lt;='SOLLECITAZ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slu'!$G$112))*(C180-IF(C180&lt;='SOLLECITAZ NASCOSTO'!$P$12,IF(C180&lt;='SOLLECITAZ NASCOSTO'!$P$11,IF(C180&lt;='SOLLECITAZ NASCOSTO'!$P$10,IF(C180&lt;='SOLLECITAZ NASCOSTO'!$P$9,IF(C180&lt;='SOLLECITAZ NASCOSTO'!$P$8,IF(C180&lt;='SOLLECITAZ NASCOSTO'!$P$7,IF(C180&lt;='SOLLECITAZ NASCOSTO'!$P$6,IF(C180&lt;='SOLLECITAZ NASCOSTO'!$P$5,'SOLLECITAZ NASCOSTO'!$P$3,'SOLLECITAZ NASCOSTO'!$P$5),'SOLLECITAZ NASCOSTO'!$P$5),'SOLLECITAZ NASCOSTO'!$P$7),'SOLLECITAZ NASCOSTO'!$P$8),'SOLLECITAZ NASCOSTO'!$P$9),'SOLLECITAZ NASCOSTO'!$P$10),'SOLLECITAZ NASCOSTO'!$P$11),'SOLLECITAZ NASCOSTO'!$P$12))/IF(C180&lt;='SOLLECITAZ NASCOSTO'!$P$12,IF(C180&lt;='SOLLECITAZ NASCOSTO'!$P$11,IF(C180&lt;='SOLLECITAZ NASCOSTO'!$P$10,IF(C180&lt;='SOLLECITAZ NASCOSTO'!$P$9,IF(C180&lt;='SOLLECITAZ NASCOSTO'!$P$8,IF(C180&lt;='SOLLECITAZ NASCOSTO'!$P$7,IF(C180&lt;='SOLLECITAZ NASCOSTO'!$P$6,IF(C180&lt;='SOLLECITAZ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slu'!$C$112)+IF(C180&lt;='SOLLECITAZ NASCOSTO'!$P$12,IF(C180&lt;='SOLLECITAZ NASCOSTO'!$P$11,IF(C180&lt;='SOLLECITAZ NASCOSTO'!$P$10,IF(C180&lt;='SOLLECITAZ NASCOSTO'!$P$9,IF(C180&lt;='SOLLECITAZ NASCOSTO'!$P$8,IF(C180&lt;='SOLLECITAZ NASCOSTO'!$P$7,IF(C180&lt;='SOLLECITAZ NASCOSTO'!$P$6,IF(C180&lt;='SOLLECITAZ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11.267650632455823</v>
      </c>
      <c r="O181" s="42">
        <f>IF(C181&lt;='SOLLECITAZ NASCOSTO'!$P$12,IF(C181&lt;='SOLLECITAZ NASCOSTO'!$P$11,IF(C181&lt;='SOLLECITAZ NASCOSTO'!$P$10,IF(C181&lt;='SOLLECITAZ NASCOSTO'!$P$9,IF(C181&lt;='SOLLECITAZ NASCOSTO'!$P$8,IF(C181&lt;='SOLLECITAZ NASCOSTO'!$P$7,IF(C181&lt;='SOLLECITAZ NASCOSTO'!$P$6,IF(C181&lt;='SOLLECITAZ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slu'!$G$111),55555)*(C181-C180)/IF(C181&lt;='SOLLECITAZ NASCOSTO'!$P$12,IF(C181&lt;='SOLLECITAZ NASCOSTO'!$P$11,IF(C181&lt;='SOLLECITAZ NASCOSTO'!$P$10,IF(C181&lt;='SOLLECITAZ NASCOSTO'!$P$9,IF(C181&lt;='SOLLECITAZ NASCOSTO'!$P$8,IF(C181&lt;='SOLLECITAZ NASCOSTO'!$P$7,IF(C181&lt;='SOLLECITAZ NASCOSTO'!$P$6,IF(C181&lt;='SOLLECITAZ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1" s="42">
        <f t="shared" si="57"/>
        <v>1.4799999999999969E-4</v>
      </c>
      <c r="Q181" s="42">
        <f t="shared" si="55"/>
        <v>1</v>
      </c>
      <c r="R181" s="441">
        <f t="shared" si="49"/>
        <v>1.0207932692307693</v>
      </c>
      <c r="S181" s="46">
        <f t="shared" si="56"/>
        <v>1.0207932692307693</v>
      </c>
      <c r="T181" s="211">
        <f t="shared" si="52"/>
        <v>2.329206730769231</v>
      </c>
      <c r="U181" s="46">
        <f t="shared" si="53"/>
        <v>7.8906631048854026</v>
      </c>
      <c r="V181" s="46">
        <f t="shared" si="54"/>
        <v>-3.4046419784385185</v>
      </c>
      <c r="W181" s="496"/>
      <c r="X181" s="497"/>
      <c r="Y181" s="497"/>
      <c r="Z181" s="498"/>
      <c r="AA181" s="47"/>
    </row>
    <row r="182" spans="1:27" s="428" customFormat="1" x14ac:dyDescent="0.25">
      <c r="A182" s="589">
        <f t="shared" si="50"/>
        <v>3.6057692306967759E-6</v>
      </c>
      <c r="B182" s="32">
        <f t="shared" si="40"/>
        <v>150</v>
      </c>
      <c r="C182" s="441">
        <f>'SOLLECITAZ NASCOSTO'!$D$6/'SOLLECITAZ NASCOSTO'!$B$448*'SOLLECITAZ NASCOSTO'!B182</f>
        <v>1.0276442307692308</v>
      </c>
      <c r="D182" s="441">
        <f t="shared" si="51"/>
        <v>0.30000360576923069</v>
      </c>
      <c r="E182" s="441">
        <f t="shared" si="45"/>
        <v>3.6057692306967759E-6</v>
      </c>
      <c r="F182" s="441">
        <f t="shared" si="46"/>
        <v>0.30000360576923069</v>
      </c>
      <c r="G182" s="441">
        <f t="shared" si="47"/>
        <v>4.5001081737269993E-2</v>
      </c>
      <c r="H182" s="441">
        <f t="shared" si="41"/>
        <v>0</v>
      </c>
      <c r="I182" s="441">
        <v>0</v>
      </c>
      <c r="J182" s="131">
        <f t="shared" si="42"/>
        <v>0.15000180288461534</v>
      </c>
      <c r="K182" s="130">
        <f t="shared" si="48"/>
        <v>2.2500811307828122E-3</v>
      </c>
      <c r="L182" s="42">
        <f t="shared" si="43"/>
        <v>7.9683519739687956</v>
      </c>
      <c r="M182" s="42">
        <f t="shared" si="44"/>
        <v>-3.4589667296100743</v>
      </c>
      <c r="N182" s="42">
        <f>(IF(C181&lt;='SOLLECITAZ NASCOSTO'!$P$12,IF(C181&lt;='SOLLECITAZ NASCOSTO'!$P$11,IF(C181&lt;='SOLLECITAZ NASCOSTO'!$P$10,IF(C181&lt;='SOLLECITAZ NASCOSTO'!$P$9,IF(C181&lt;='SOLLECITAZ NASCOSTO'!$P$8,IF(C181&lt;='SOLLECITAZ NASCOSTO'!$P$7,IF(C181&lt;='SOLLECITAZ NASCOSTO'!$P$6,IF(C181&lt;='SOLLECITAZ NASCOSTO'!$P$5,'Progetto del paramento slu'!$G$105,'Progetto del paramento slu'!$G$106),'Progetto del paramento slu'!$G$107),'Progetto del paramento slu'!$G$108),'Progetto del paramento slu'!$G$109),'Progetto del paramento slu'!$G$110),'Progetto del paramento slu'!$G$111),'Progetto del paramento slu'!$G$112),55555)-IF(C181&lt;='SOLLECITAZ NASCOSTO'!$P$12,IF(C181&lt;='SOLLECITAZ NASCOSTO'!$P$11,IF(C181&lt;='SOLLECITAZ NASCOSTO'!$P$10,IF(C181&lt;='SOLLECITAZ NASCOSTO'!$P$9,IF(C181&lt;='SOLLECITAZ NASCOSTO'!$P$8,IF(C181&lt;='SOLLECITAZ NASCOSTO'!$P$7,IF(C181&lt;='SOLLECITAZ NASCOSTO'!$P$6,IF(C181&lt;='SOLLECITAZ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slu'!$G$112))*(C181-IF(C181&lt;='SOLLECITAZ NASCOSTO'!$P$12,IF(C181&lt;='SOLLECITAZ NASCOSTO'!$P$11,IF(C181&lt;='SOLLECITAZ NASCOSTO'!$P$10,IF(C181&lt;='SOLLECITAZ NASCOSTO'!$P$9,IF(C181&lt;='SOLLECITAZ NASCOSTO'!$P$8,IF(C181&lt;='SOLLECITAZ NASCOSTO'!$P$7,IF(C181&lt;='SOLLECITAZ NASCOSTO'!$P$6,IF(C181&lt;='SOLLECITAZ NASCOSTO'!$P$5,'SOLLECITAZ NASCOSTO'!$P$3,'SOLLECITAZ NASCOSTO'!$P$5),'SOLLECITAZ NASCOSTO'!$P$5),'SOLLECITAZ NASCOSTO'!$P$7),'SOLLECITAZ NASCOSTO'!$P$8),'SOLLECITAZ NASCOSTO'!$P$9),'SOLLECITAZ NASCOSTO'!$P$10),'SOLLECITAZ NASCOSTO'!$P$11),'SOLLECITAZ NASCOSTO'!$P$12))/IF(C181&lt;='SOLLECITAZ NASCOSTO'!$P$12,IF(C181&lt;='SOLLECITAZ NASCOSTO'!$P$11,IF(C181&lt;='SOLLECITAZ NASCOSTO'!$P$10,IF(C181&lt;='SOLLECITAZ NASCOSTO'!$P$9,IF(C181&lt;='SOLLECITAZ NASCOSTO'!$P$8,IF(C181&lt;='SOLLECITAZ NASCOSTO'!$P$7,IF(C181&lt;='SOLLECITAZ NASCOSTO'!$P$6,IF(C181&lt;='SOLLECITAZ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slu'!$C$112)+IF(C181&lt;='SOLLECITAZ NASCOSTO'!$P$12,IF(C181&lt;='SOLLECITAZ NASCOSTO'!$P$11,IF(C181&lt;='SOLLECITAZ NASCOSTO'!$P$10,IF(C181&lt;='SOLLECITAZ NASCOSTO'!$P$9,IF(C181&lt;='SOLLECITAZ NASCOSTO'!$P$8,IF(C181&lt;='SOLLECITAZ NASCOSTO'!$P$7,IF(C181&lt;='SOLLECITAZ NASCOSTO'!$P$6,IF(C181&lt;='SOLLECITAZ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11.315782851448173</v>
      </c>
      <c r="O182" s="42">
        <f>IF(C182&lt;='SOLLECITAZ NASCOSTO'!$P$12,IF(C182&lt;='SOLLECITAZ NASCOSTO'!$P$11,IF(C182&lt;='SOLLECITAZ NASCOSTO'!$P$10,IF(C182&lt;='SOLLECITAZ NASCOSTO'!$P$9,IF(C182&lt;='SOLLECITAZ NASCOSTO'!$P$8,IF(C182&lt;='SOLLECITAZ NASCOSTO'!$P$7,IF(C182&lt;='SOLLECITAZ NASCOSTO'!$P$6,IF(C182&lt;='SOLLECITAZ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slu'!$G$111),55555)*(C182-C181)/IF(C182&lt;='SOLLECITAZ NASCOSTO'!$P$12,IF(C182&lt;='SOLLECITAZ NASCOSTO'!$P$11,IF(C182&lt;='SOLLECITAZ NASCOSTO'!$P$10,IF(C182&lt;='SOLLECITAZ NASCOSTO'!$P$9,IF(C182&lt;='SOLLECITAZ NASCOSTO'!$P$8,IF(C182&lt;='SOLLECITAZ NASCOSTO'!$P$7,IF(C182&lt;='SOLLECITAZ NASCOSTO'!$P$6,IF(C182&lt;='SOLLECITAZ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2" s="42">
        <f t="shared" si="57"/>
        <v>1.4899999999999969E-4</v>
      </c>
      <c r="Q182" s="42">
        <f t="shared" si="55"/>
        <v>1</v>
      </c>
      <c r="R182" s="441">
        <f t="shared" si="49"/>
        <v>1.0276442307692308</v>
      </c>
      <c r="S182" s="46">
        <f t="shared" si="56"/>
        <v>1.0276442307692308</v>
      </c>
      <c r="T182" s="211">
        <f t="shared" si="52"/>
        <v>2.3223557692307693</v>
      </c>
      <c r="U182" s="46">
        <f t="shared" si="53"/>
        <v>7.9683519739687956</v>
      </c>
      <c r="V182" s="46">
        <f t="shared" si="54"/>
        <v>-3.4589667296100743</v>
      </c>
      <c r="W182" s="496"/>
      <c r="X182" s="497"/>
      <c r="Y182" s="497"/>
      <c r="Z182" s="498"/>
      <c r="AA182" s="47"/>
    </row>
    <row r="183" spans="1:27" s="428" customFormat="1" x14ac:dyDescent="0.25">
      <c r="A183" s="589">
        <f t="shared" si="50"/>
        <v>3.6298076922514078E-6</v>
      </c>
      <c r="B183" s="32">
        <f t="shared" si="40"/>
        <v>151</v>
      </c>
      <c r="C183" s="441">
        <f>'SOLLECITAZ NASCOSTO'!$D$6/'SOLLECITAZ NASCOSTO'!$B$448*'SOLLECITAZ NASCOSTO'!B183</f>
        <v>1.0344951923076924</v>
      </c>
      <c r="D183" s="441">
        <f t="shared" si="51"/>
        <v>0.30000362980769224</v>
      </c>
      <c r="E183" s="441">
        <f t="shared" si="45"/>
        <v>3.6298076922514078E-6</v>
      </c>
      <c r="F183" s="441">
        <f t="shared" si="46"/>
        <v>0.30000362980769224</v>
      </c>
      <c r="G183" s="441">
        <f t="shared" si="47"/>
        <v>4.5001088948895429E-2</v>
      </c>
      <c r="H183" s="441">
        <f t="shared" si="41"/>
        <v>0</v>
      </c>
      <c r="I183" s="441">
        <v>0</v>
      </c>
      <c r="J183" s="131">
        <f t="shared" si="42"/>
        <v>0.15000181490384615</v>
      </c>
      <c r="K183" s="130">
        <f t="shared" si="48"/>
        <v>2.2500816716612424E-3</v>
      </c>
      <c r="L183" s="42">
        <f t="shared" si="43"/>
        <v>8.0463705950332649</v>
      </c>
      <c r="M183" s="42">
        <f t="shared" si="44"/>
        <v>-3.5138248537947567</v>
      </c>
      <c r="N183" s="42">
        <f>(IF(C182&lt;='SOLLECITAZ NASCOSTO'!$P$12,IF(C182&lt;='SOLLECITAZ NASCOSTO'!$P$11,IF(C182&lt;='SOLLECITAZ NASCOSTO'!$P$10,IF(C182&lt;='SOLLECITAZ NASCOSTO'!$P$9,IF(C182&lt;='SOLLECITAZ NASCOSTO'!$P$8,IF(C182&lt;='SOLLECITAZ NASCOSTO'!$P$7,IF(C182&lt;='SOLLECITAZ NASCOSTO'!$P$6,IF(C182&lt;='SOLLECITAZ NASCOSTO'!$P$5,'Progetto del paramento slu'!$G$105,'Progetto del paramento slu'!$G$106),'Progetto del paramento slu'!$G$107),'Progetto del paramento slu'!$G$108),'Progetto del paramento slu'!$G$109),'Progetto del paramento slu'!$G$110),'Progetto del paramento slu'!$G$111),'Progetto del paramento slu'!$G$112),55555)-IF(C182&lt;='SOLLECITAZ NASCOSTO'!$P$12,IF(C182&lt;='SOLLECITAZ NASCOSTO'!$P$11,IF(C182&lt;='SOLLECITAZ NASCOSTO'!$P$10,IF(C182&lt;='SOLLECITAZ NASCOSTO'!$P$9,IF(C182&lt;='SOLLECITAZ NASCOSTO'!$P$8,IF(C182&lt;='SOLLECITAZ NASCOSTO'!$P$7,IF(C182&lt;='SOLLECITAZ NASCOSTO'!$P$6,IF(C182&lt;='SOLLECITAZ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slu'!$G$112))*(C182-IF(C182&lt;='SOLLECITAZ NASCOSTO'!$P$12,IF(C182&lt;='SOLLECITAZ NASCOSTO'!$P$11,IF(C182&lt;='SOLLECITAZ NASCOSTO'!$P$10,IF(C182&lt;='SOLLECITAZ NASCOSTO'!$P$9,IF(C182&lt;='SOLLECITAZ NASCOSTO'!$P$8,IF(C182&lt;='SOLLECITAZ NASCOSTO'!$P$7,IF(C182&lt;='SOLLECITAZ NASCOSTO'!$P$6,IF(C182&lt;='SOLLECITAZ NASCOSTO'!$P$5,'SOLLECITAZ NASCOSTO'!$P$3,'SOLLECITAZ NASCOSTO'!$P$5),'SOLLECITAZ NASCOSTO'!$P$5),'SOLLECITAZ NASCOSTO'!$P$7),'SOLLECITAZ NASCOSTO'!$P$8),'SOLLECITAZ NASCOSTO'!$P$9),'SOLLECITAZ NASCOSTO'!$P$10),'SOLLECITAZ NASCOSTO'!$P$11),'SOLLECITAZ NASCOSTO'!$P$12))/IF(C182&lt;='SOLLECITAZ NASCOSTO'!$P$12,IF(C182&lt;='SOLLECITAZ NASCOSTO'!$P$11,IF(C182&lt;='SOLLECITAZ NASCOSTO'!$P$10,IF(C182&lt;='SOLLECITAZ NASCOSTO'!$P$9,IF(C182&lt;='SOLLECITAZ NASCOSTO'!$P$8,IF(C182&lt;='SOLLECITAZ NASCOSTO'!$P$7,IF(C182&lt;='SOLLECITAZ NASCOSTO'!$P$6,IF(C182&lt;='SOLLECITAZ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slu'!$C$112)+IF(C182&lt;='SOLLECITAZ NASCOSTO'!$P$12,IF(C182&lt;='SOLLECITAZ NASCOSTO'!$P$11,IF(C182&lt;='SOLLECITAZ NASCOSTO'!$P$10,IF(C182&lt;='SOLLECITAZ NASCOSTO'!$P$9,IF(C182&lt;='SOLLECITAZ NASCOSTO'!$P$8,IF(C182&lt;='SOLLECITAZ NASCOSTO'!$P$7,IF(C182&lt;='SOLLECITAZ NASCOSTO'!$P$6,IF(C182&lt;='SOLLECITAZ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11.363915070440527</v>
      </c>
      <c r="O183" s="42">
        <f>IF(C183&lt;='SOLLECITAZ NASCOSTO'!$P$12,IF(C183&lt;='SOLLECITAZ NASCOSTO'!$P$11,IF(C183&lt;='SOLLECITAZ NASCOSTO'!$P$10,IF(C183&lt;='SOLLECITAZ NASCOSTO'!$P$9,IF(C183&lt;='SOLLECITAZ NASCOSTO'!$P$8,IF(C183&lt;='SOLLECITAZ NASCOSTO'!$P$7,IF(C183&lt;='SOLLECITAZ NASCOSTO'!$P$6,IF(C183&lt;='SOLLECITAZ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slu'!$G$111),55555)*(C183-C182)/IF(C183&lt;='SOLLECITAZ NASCOSTO'!$P$12,IF(C183&lt;='SOLLECITAZ NASCOSTO'!$P$11,IF(C183&lt;='SOLLECITAZ NASCOSTO'!$P$10,IF(C183&lt;='SOLLECITAZ NASCOSTO'!$P$9,IF(C183&lt;='SOLLECITAZ NASCOSTO'!$P$8,IF(C183&lt;='SOLLECITAZ NASCOSTO'!$P$7,IF(C183&lt;='SOLLECITAZ NASCOSTO'!$P$6,IF(C183&lt;='SOLLECITAZ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3" s="42">
        <f t="shared" si="57"/>
        <v>1.4999999999999969E-4</v>
      </c>
      <c r="Q183" s="42">
        <f t="shared" si="55"/>
        <v>1</v>
      </c>
      <c r="R183" s="441">
        <f t="shared" si="49"/>
        <v>1.0344951923076924</v>
      </c>
      <c r="S183" s="46">
        <f t="shared" si="56"/>
        <v>1.0344951923076924</v>
      </c>
      <c r="T183" s="211">
        <f t="shared" si="52"/>
        <v>2.3155048076923075</v>
      </c>
      <c r="U183" s="46">
        <f t="shared" si="53"/>
        <v>8.0463705950332649</v>
      </c>
      <c r="V183" s="46">
        <f t="shared" si="54"/>
        <v>-3.5138248537947567</v>
      </c>
      <c r="W183" s="496"/>
      <c r="X183" s="497"/>
      <c r="Y183" s="497"/>
      <c r="Z183" s="498"/>
      <c r="AA183" s="47"/>
    </row>
    <row r="184" spans="1:27" s="428" customFormat="1" x14ac:dyDescent="0.25">
      <c r="A184" s="589">
        <f t="shared" si="50"/>
        <v>3.6538461537505285E-6</v>
      </c>
      <c r="B184" s="32">
        <f t="shared" si="40"/>
        <v>152</v>
      </c>
      <c r="C184" s="441">
        <f>'SOLLECITAZ NASCOSTO'!$D$6/'SOLLECITAZ NASCOSTO'!$B$448*'SOLLECITAZ NASCOSTO'!B184</f>
        <v>1.0413461538461539</v>
      </c>
      <c r="D184" s="441">
        <f t="shared" si="51"/>
        <v>0.30000365384615374</v>
      </c>
      <c r="E184" s="441">
        <f t="shared" si="45"/>
        <v>3.6538461537505285E-6</v>
      </c>
      <c r="F184" s="441">
        <f t="shared" si="46"/>
        <v>0.30000365384615374</v>
      </c>
      <c r="G184" s="441">
        <f t="shared" si="47"/>
        <v>4.500109616052142E-2</v>
      </c>
      <c r="H184" s="441">
        <f t="shared" si="41"/>
        <v>0</v>
      </c>
      <c r="I184" s="441">
        <v>0</v>
      </c>
      <c r="J184" s="131">
        <f t="shared" si="42"/>
        <v>0.15000182692307687</v>
      </c>
      <c r="K184" s="130">
        <f t="shared" si="48"/>
        <v>2.250082212539758E-3</v>
      </c>
      <c r="L184" s="42">
        <f t="shared" si="43"/>
        <v>8.1247189680788132</v>
      </c>
      <c r="M184" s="42">
        <f t="shared" si="44"/>
        <v>-3.5692186101107057</v>
      </c>
      <c r="N184" s="42">
        <f>(IF(C183&lt;='SOLLECITAZ NASCOSTO'!$P$12,IF(C183&lt;='SOLLECITAZ NASCOSTO'!$P$11,IF(C183&lt;='SOLLECITAZ NASCOSTO'!$P$10,IF(C183&lt;='SOLLECITAZ NASCOSTO'!$P$9,IF(C183&lt;='SOLLECITAZ NASCOSTO'!$P$8,IF(C183&lt;='SOLLECITAZ NASCOSTO'!$P$7,IF(C183&lt;='SOLLECITAZ NASCOSTO'!$P$6,IF(C183&lt;='SOLLECITAZ NASCOSTO'!$P$5,'Progetto del paramento slu'!$G$105,'Progetto del paramento slu'!$G$106),'Progetto del paramento slu'!$G$107),'Progetto del paramento slu'!$G$108),'Progetto del paramento slu'!$G$109),'Progetto del paramento slu'!$G$110),'Progetto del paramento slu'!$G$111),'Progetto del paramento slu'!$G$112),55555)-IF(C183&lt;='SOLLECITAZ NASCOSTO'!$P$12,IF(C183&lt;='SOLLECITAZ NASCOSTO'!$P$11,IF(C183&lt;='SOLLECITAZ NASCOSTO'!$P$10,IF(C183&lt;='SOLLECITAZ NASCOSTO'!$P$9,IF(C183&lt;='SOLLECITAZ NASCOSTO'!$P$8,IF(C183&lt;='SOLLECITAZ NASCOSTO'!$P$7,IF(C183&lt;='SOLLECITAZ NASCOSTO'!$P$6,IF(C183&lt;='SOLLECITAZ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slu'!$G$112))*(C183-IF(C183&lt;='SOLLECITAZ NASCOSTO'!$P$12,IF(C183&lt;='SOLLECITAZ NASCOSTO'!$P$11,IF(C183&lt;='SOLLECITAZ NASCOSTO'!$P$10,IF(C183&lt;='SOLLECITAZ NASCOSTO'!$P$9,IF(C183&lt;='SOLLECITAZ NASCOSTO'!$P$8,IF(C183&lt;='SOLLECITAZ NASCOSTO'!$P$7,IF(C183&lt;='SOLLECITAZ NASCOSTO'!$P$6,IF(C183&lt;='SOLLECITAZ NASCOSTO'!$P$5,'SOLLECITAZ NASCOSTO'!$P$3,'SOLLECITAZ NASCOSTO'!$P$5),'SOLLECITAZ NASCOSTO'!$P$5),'SOLLECITAZ NASCOSTO'!$P$7),'SOLLECITAZ NASCOSTO'!$P$8),'SOLLECITAZ NASCOSTO'!$P$9),'SOLLECITAZ NASCOSTO'!$P$10),'SOLLECITAZ NASCOSTO'!$P$11),'SOLLECITAZ NASCOSTO'!$P$12))/IF(C183&lt;='SOLLECITAZ NASCOSTO'!$P$12,IF(C183&lt;='SOLLECITAZ NASCOSTO'!$P$11,IF(C183&lt;='SOLLECITAZ NASCOSTO'!$P$10,IF(C183&lt;='SOLLECITAZ NASCOSTO'!$P$9,IF(C183&lt;='SOLLECITAZ NASCOSTO'!$P$8,IF(C183&lt;='SOLLECITAZ NASCOSTO'!$P$7,IF(C183&lt;='SOLLECITAZ NASCOSTO'!$P$6,IF(C183&lt;='SOLLECITAZ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slu'!$C$112)+IF(C183&lt;='SOLLECITAZ NASCOSTO'!$P$12,IF(C183&lt;='SOLLECITAZ NASCOSTO'!$P$11,IF(C183&lt;='SOLLECITAZ NASCOSTO'!$P$10,IF(C183&lt;='SOLLECITAZ NASCOSTO'!$P$9,IF(C183&lt;='SOLLECITAZ NASCOSTO'!$P$8,IF(C183&lt;='SOLLECITAZ NASCOSTO'!$P$7,IF(C183&lt;='SOLLECITAZ NASCOSTO'!$P$6,IF(C183&lt;='SOLLECITAZ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11.412047289432879</v>
      </c>
      <c r="O184" s="42">
        <f>IF(C184&lt;='SOLLECITAZ NASCOSTO'!$P$12,IF(C184&lt;='SOLLECITAZ NASCOSTO'!$P$11,IF(C184&lt;='SOLLECITAZ NASCOSTO'!$P$10,IF(C184&lt;='SOLLECITAZ NASCOSTO'!$P$9,IF(C184&lt;='SOLLECITAZ NASCOSTO'!$P$8,IF(C184&lt;='SOLLECITAZ NASCOSTO'!$P$7,IF(C184&lt;='SOLLECITAZ NASCOSTO'!$P$6,IF(C184&lt;='SOLLECITAZ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slu'!$G$111),55555)*(C184-C183)/IF(C184&lt;='SOLLECITAZ NASCOSTO'!$P$12,IF(C184&lt;='SOLLECITAZ NASCOSTO'!$P$11,IF(C184&lt;='SOLLECITAZ NASCOSTO'!$P$10,IF(C184&lt;='SOLLECITAZ NASCOSTO'!$P$9,IF(C184&lt;='SOLLECITAZ NASCOSTO'!$P$8,IF(C184&lt;='SOLLECITAZ NASCOSTO'!$P$7,IF(C184&lt;='SOLLECITAZ NASCOSTO'!$P$6,IF(C184&lt;='SOLLECITAZ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4" s="42">
        <f t="shared" si="57"/>
        <v>1.5099999999999969E-4</v>
      </c>
      <c r="Q184" s="42">
        <f t="shared" si="55"/>
        <v>1</v>
      </c>
      <c r="R184" s="441">
        <f t="shared" si="49"/>
        <v>1.0413461538461539</v>
      </c>
      <c r="S184" s="46">
        <f t="shared" si="56"/>
        <v>1.0413461538461539</v>
      </c>
      <c r="T184" s="211">
        <f t="shared" si="52"/>
        <v>2.3086538461538462</v>
      </c>
      <c r="U184" s="46">
        <f t="shared" si="53"/>
        <v>8.1247189680788132</v>
      </c>
      <c r="V184" s="46">
        <f t="shared" si="54"/>
        <v>-3.5692186101107057</v>
      </c>
      <c r="W184" s="496"/>
      <c r="X184" s="497"/>
      <c r="Y184" s="497"/>
      <c r="Z184" s="498"/>
      <c r="AA184" s="47"/>
    </row>
    <row r="185" spans="1:27" s="428" customFormat="1" x14ac:dyDescent="0.25">
      <c r="A185" s="589">
        <f t="shared" si="50"/>
        <v>3.6778846153051603E-6</v>
      </c>
      <c r="B185" s="32">
        <f t="shared" si="40"/>
        <v>153</v>
      </c>
      <c r="C185" s="441">
        <f>'SOLLECITAZ NASCOSTO'!$D$6/'SOLLECITAZ NASCOSTO'!$B$448*'SOLLECITAZ NASCOSTO'!B185</f>
        <v>1.0481971153846155</v>
      </c>
      <c r="D185" s="441">
        <f t="shared" si="51"/>
        <v>0.30000367788461529</v>
      </c>
      <c r="E185" s="441">
        <f t="shared" si="45"/>
        <v>3.6778846153051603E-6</v>
      </c>
      <c r="F185" s="441">
        <f t="shared" si="46"/>
        <v>0.30000367788461529</v>
      </c>
      <c r="G185" s="441">
        <f t="shared" si="47"/>
        <v>4.5001103372148007E-2</v>
      </c>
      <c r="H185" s="441">
        <f t="shared" si="41"/>
        <v>0</v>
      </c>
      <c r="I185" s="441">
        <v>0</v>
      </c>
      <c r="J185" s="131">
        <f t="shared" si="42"/>
        <v>0.15000183894230765</v>
      </c>
      <c r="K185" s="130">
        <f t="shared" si="48"/>
        <v>2.2500827534183612E-3</v>
      </c>
      <c r="L185" s="42">
        <f t="shared" si="43"/>
        <v>8.2033970931054387</v>
      </c>
      <c r="M185" s="42">
        <f t="shared" si="44"/>
        <v>-3.6251502576760606</v>
      </c>
      <c r="N185" s="42">
        <f>(IF(C184&lt;='SOLLECITAZ NASCOSTO'!$P$12,IF(C184&lt;='SOLLECITAZ NASCOSTO'!$P$11,IF(C184&lt;='SOLLECITAZ NASCOSTO'!$P$10,IF(C184&lt;='SOLLECITAZ NASCOSTO'!$P$9,IF(C184&lt;='SOLLECITAZ NASCOSTO'!$P$8,IF(C184&lt;='SOLLECITAZ NASCOSTO'!$P$7,IF(C184&lt;='SOLLECITAZ NASCOSTO'!$P$6,IF(C184&lt;='SOLLECITAZ NASCOSTO'!$P$5,'Progetto del paramento slu'!$G$105,'Progetto del paramento slu'!$G$106),'Progetto del paramento slu'!$G$107),'Progetto del paramento slu'!$G$108),'Progetto del paramento slu'!$G$109),'Progetto del paramento slu'!$G$110),'Progetto del paramento slu'!$G$111),'Progetto del paramento slu'!$G$112),55555)-IF(C184&lt;='SOLLECITAZ NASCOSTO'!$P$12,IF(C184&lt;='SOLLECITAZ NASCOSTO'!$P$11,IF(C184&lt;='SOLLECITAZ NASCOSTO'!$P$10,IF(C184&lt;='SOLLECITAZ NASCOSTO'!$P$9,IF(C184&lt;='SOLLECITAZ NASCOSTO'!$P$8,IF(C184&lt;='SOLLECITAZ NASCOSTO'!$P$7,IF(C184&lt;='SOLLECITAZ NASCOSTO'!$P$6,IF(C184&lt;='SOLLECITAZ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slu'!$G$112))*(C184-IF(C184&lt;='SOLLECITAZ NASCOSTO'!$P$12,IF(C184&lt;='SOLLECITAZ NASCOSTO'!$P$11,IF(C184&lt;='SOLLECITAZ NASCOSTO'!$P$10,IF(C184&lt;='SOLLECITAZ NASCOSTO'!$P$9,IF(C184&lt;='SOLLECITAZ NASCOSTO'!$P$8,IF(C184&lt;='SOLLECITAZ NASCOSTO'!$P$7,IF(C184&lt;='SOLLECITAZ NASCOSTO'!$P$6,IF(C184&lt;='SOLLECITAZ NASCOSTO'!$P$5,'SOLLECITAZ NASCOSTO'!$P$3,'SOLLECITAZ NASCOSTO'!$P$5),'SOLLECITAZ NASCOSTO'!$P$5),'SOLLECITAZ NASCOSTO'!$P$7),'SOLLECITAZ NASCOSTO'!$P$8),'SOLLECITAZ NASCOSTO'!$P$9),'SOLLECITAZ NASCOSTO'!$P$10),'SOLLECITAZ NASCOSTO'!$P$11),'SOLLECITAZ NASCOSTO'!$P$12))/IF(C184&lt;='SOLLECITAZ NASCOSTO'!$P$12,IF(C184&lt;='SOLLECITAZ NASCOSTO'!$P$11,IF(C184&lt;='SOLLECITAZ NASCOSTO'!$P$10,IF(C184&lt;='SOLLECITAZ NASCOSTO'!$P$9,IF(C184&lt;='SOLLECITAZ NASCOSTO'!$P$8,IF(C184&lt;='SOLLECITAZ NASCOSTO'!$P$7,IF(C184&lt;='SOLLECITAZ NASCOSTO'!$P$6,IF(C184&lt;='SOLLECITAZ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slu'!$C$112)+IF(C184&lt;='SOLLECITAZ NASCOSTO'!$P$12,IF(C184&lt;='SOLLECITAZ NASCOSTO'!$P$11,IF(C184&lt;='SOLLECITAZ NASCOSTO'!$P$10,IF(C184&lt;='SOLLECITAZ NASCOSTO'!$P$9,IF(C184&lt;='SOLLECITAZ NASCOSTO'!$P$8,IF(C184&lt;='SOLLECITAZ NASCOSTO'!$P$7,IF(C184&lt;='SOLLECITAZ NASCOSTO'!$P$6,IF(C184&lt;='SOLLECITAZ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11.460179508425231</v>
      </c>
      <c r="O185" s="42">
        <f>IF(C185&lt;='SOLLECITAZ NASCOSTO'!$P$12,IF(C185&lt;='SOLLECITAZ NASCOSTO'!$P$11,IF(C185&lt;='SOLLECITAZ NASCOSTO'!$P$10,IF(C185&lt;='SOLLECITAZ NASCOSTO'!$P$9,IF(C185&lt;='SOLLECITAZ NASCOSTO'!$P$8,IF(C185&lt;='SOLLECITAZ NASCOSTO'!$P$7,IF(C185&lt;='SOLLECITAZ NASCOSTO'!$P$6,IF(C185&lt;='SOLLECITAZ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slu'!$G$111),55555)*(C185-C184)/IF(C185&lt;='SOLLECITAZ NASCOSTO'!$P$12,IF(C185&lt;='SOLLECITAZ NASCOSTO'!$P$11,IF(C185&lt;='SOLLECITAZ NASCOSTO'!$P$10,IF(C185&lt;='SOLLECITAZ NASCOSTO'!$P$9,IF(C185&lt;='SOLLECITAZ NASCOSTO'!$P$8,IF(C185&lt;='SOLLECITAZ NASCOSTO'!$P$7,IF(C185&lt;='SOLLECITAZ NASCOSTO'!$P$6,IF(C185&lt;='SOLLECITAZ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5" s="42">
        <f t="shared" si="57"/>
        <v>1.5199999999999968E-4</v>
      </c>
      <c r="Q185" s="42">
        <f t="shared" si="55"/>
        <v>1</v>
      </c>
      <c r="R185" s="441">
        <f t="shared" si="49"/>
        <v>1.0481971153846155</v>
      </c>
      <c r="S185" s="46">
        <f t="shared" si="56"/>
        <v>1.0481971153846155</v>
      </c>
      <c r="T185" s="211">
        <f t="shared" si="52"/>
        <v>2.3018028846153848</v>
      </c>
      <c r="U185" s="46">
        <f t="shared" si="53"/>
        <v>8.2033970931054387</v>
      </c>
      <c r="V185" s="46">
        <f t="shared" si="54"/>
        <v>-3.6251502576760606</v>
      </c>
      <c r="W185" s="496"/>
      <c r="X185" s="497"/>
      <c r="Y185" s="497"/>
      <c r="Z185" s="498"/>
      <c r="AA185" s="47"/>
    </row>
    <row r="186" spans="1:27" s="428" customFormat="1" x14ac:dyDescent="0.25">
      <c r="A186" s="589">
        <f t="shared" si="50"/>
        <v>3.7019230768597922E-6</v>
      </c>
      <c r="B186" s="32">
        <f t="shared" si="40"/>
        <v>154</v>
      </c>
      <c r="C186" s="441">
        <f>'SOLLECITAZ NASCOSTO'!$D$6/'SOLLECITAZ NASCOSTO'!$B$448*'SOLLECITAZ NASCOSTO'!B186</f>
        <v>1.055048076923077</v>
      </c>
      <c r="D186" s="441">
        <f t="shared" si="51"/>
        <v>0.30000370192307685</v>
      </c>
      <c r="E186" s="441">
        <f t="shared" si="45"/>
        <v>3.7019230768597922E-6</v>
      </c>
      <c r="F186" s="441">
        <f t="shared" si="46"/>
        <v>0.30000370192307685</v>
      </c>
      <c r="G186" s="441">
        <f t="shared" si="47"/>
        <v>4.5001110583775171E-2</v>
      </c>
      <c r="H186" s="441">
        <f t="shared" si="41"/>
        <v>0</v>
      </c>
      <c r="I186" s="441">
        <v>0</v>
      </c>
      <c r="J186" s="131">
        <f t="shared" si="42"/>
        <v>0.15000185096153842</v>
      </c>
      <c r="K186" s="130">
        <f t="shared" si="48"/>
        <v>2.2500832942970511E-3</v>
      </c>
      <c r="L186" s="42">
        <f t="shared" si="43"/>
        <v>8.2824049701131415</v>
      </c>
      <c r="M186" s="42">
        <f t="shared" si="44"/>
        <v>-3.6816220556089609</v>
      </c>
      <c r="N186" s="42">
        <f>(IF(C185&lt;='SOLLECITAZ NASCOSTO'!$P$12,IF(C185&lt;='SOLLECITAZ NASCOSTO'!$P$11,IF(C185&lt;='SOLLECITAZ NASCOSTO'!$P$10,IF(C185&lt;='SOLLECITAZ NASCOSTO'!$P$9,IF(C185&lt;='SOLLECITAZ NASCOSTO'!$P$8,IF(C185&lt;='SOLLECITAZ NASCOSTO'!$P$7,IF(C185&lt;='SOLLECITAZ NASCOSTO'!$P$6,IF(C185&lt;='SOLLECITAZ NASCOSTO'!$P$5,'Progetto del paramento slu'!$G$105,'Progetto del paramento slu'!$G$106),'Progetto del paramento slu'!$G$107),'Progetto del paramento slu'!$G$108),'Progetto del paramento slu'!$G$109),'Progetto del paramento slu'!$G$110),'Progetto del paramento slu'!$G$111),'Progetto del paramento slu'!$G$112),55555)-IF(C185&lt;='SOLLECITAZ NASCOSTO'!$P$12,IF(C185&lt;='SOLLECITAZ NASCOSTO'!$P$11,IF(C185&lt;='SOLLECITAZ NASCOSTO'!$P$10,IF(C185&lt;='SOLLECITAZ NASCOSTO'!$P$9,IF(C185&lt;='SOLLECITAZ NASCOSTO'!$P$8,IF(C185&lt;='SOLLECITAZ NASCOSTO'!$P$7,IF(C185&lt;='SOLLECITAZ NASCOSTO'!$P$6,IF(C185&lt;='SOLLECITAZ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slu'!$G$112))*(C185-IF(C185&lt;='SOLLECITAZ NASCOSTO'!$P$12,IF(C185&lt;='SOLLECITAZ NASCOSTO'!$P$11,IF(C185&lt;='SOLLECITAZ NASCOSTO'!$P$10,IF(C185&lt;='SOLLECITAZ NASCOSTO'!$P$9,IF(C185&lt;='SOLLECITAZ NASCOSTO'!$P$8,IF(C185&lt;='SOLLECITAZ NASCOSTO'!$P$7,IF(C185&lt;='SOLLECITAZ NASCOSTO'!$P$6,IF(C185&lt;='SOLLECITAZ NASCOSTO'!$P$5,'SOLLECITAZ NASCOSTO'!$P$3,'SOLLECITAZ NASCOSTO'!$P$5),'SOLLECITAZ NASCOSTO'!$P$5),'SOLLECITAZ NASCOSTO'!$P$7),'SOLLECITAZ NASCOSTO'!$P$8),'SOLLECITAZ NASCOSTO'!$P$9),'SOLLECITAZ NASCOSTO'!$P$10),'SOLLECITAZ NASCOSTO'!$P$11),'SOLLECITAZ NASCOSTO'!$P$12))/IF(C185&lt;='SOLLECITAZ NASCOSTO'!$P$12,IF(C185&lt;='SOLLECITAZ NASCOSTO'!$P$11,IF(C185&lt;='SOLLECITAZ NASCOSTO'!$P$10,IF(C185&lt;='SOLLECITAZ NASCOSTO'!$P$9,IF(C185&lt;='SOLLECITAZ NASCOSTO'!$P$8,IF(C185&lt;='SOLLECITAZ NASCOSTO'!$P$7,IF(C185&lt;='SOLLECITAZ NASCOSTO'!$P$6,IF(C185&lt;='SOLLECITAZ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slu'!$C$112)+IF(C185&lt;='SOLLECITAZ NASCOSTO'!$P$12,IF(C185&lt;='SOLLECITAZ NASCOSTO'!$P$11,IF(C185&lt;='SOLLECITAZ NASCOSTO'!$P$10,IF(C185&lt;='SOLLECITAZ NASCOSTO'!$P$9,IF(C185&lt;='SOLLECITAZ NASCOSTO'!$P$8,IF(C185&lt;='SOLLECITAZ NASCOSTO'!$P$7,IF(C185&lt;='SOLLECITAZ NASCOSTO'!$P$6,IF(C185&lt;='SOLLECITAZ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11.508311727417583</v>
      </c>
      <c r="O186" s="42">
        <f>IF(C186&lt;='SOLLECITAZ NASCOSTO'!$P$12,IF(C186&lt;='SOLLECITAZ NASCOSTO'!$P$11,IF(C186&lt;='SOLLECITAZ NASCOSTO'!$P$10,IF(C186&lt;='SOLLECITAZ NASCOSTO'!$P$9,IF(C186&lt;='SOLLECITAZ NASCOSTO'!$P$8,IF(C186&lt;='SOLLECITAZ NASCOSTO'!$P$7,IF(C186&lt;='SOLLECITAZ NASCOSTO'!$P$6,IF(C186&lt;='SOLLECITAZ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slu'!$G$111),55555)*(C186-C185)/IF(C186&lt;='SOLLECITAZ NASCOSTO'!$P$12,IF(C186&lt;='SOLLECITAZ NASCOSTO'!$P$11,IF(C186&lt;='SOLLECITAZ NASCOSTO'!$P$10,IF(C186&lt;='SOLLECITAZ NASCOSTO'!$P$9,IF(C186&lt;='SOLLECITAZ NASCOSTO'!$P$8,IF(C186&lt;='SOLLECITAZ NASCOSTO'!$P$7,IF(C186&lt;='SOLLECITAZ NASCOSTO'!$P$6,IF(C186&lt;='SOLLECITAZ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6" s="42">
        <f t="shared" si="57"/>
        <v>1.5299999999999968E-4</v>
      </c>
      <c r="Q186" s="42">
        <f t="shared" si="55"/>
        <v>1</v>
      </c>
      <c r="R186" s="441">
        <f t="shared" si="49"/>
        <v>1.055048076923077</v>
      </c>
      <c r="S186" s="46">
        <f t="shared" si="56"/>
        <v>1.055048076923077</v>
      </c>
      <c r="T186" s="211">
        <f t="shared" si="52"/>
        <v>2.2949519230769231</v>
      </c>
      <c r="U186" s="46">
        <f t="shared" si="53"/>
        <v>8.2824049701131415</v>
      </c>
      <c r="V186" s="46">
        <f t="shared" si="54"/>
        <v>-3.6816220556089609</v>
      </c>
      <c r="W186" s="496"/>
      <c r="X186" s="497"/>
      <c r="Y186" s="497"/>
      <c r="Z186" s="498"/>
      <c r="AA186" s="47"/>
    </row>
    <row r="187" spans="1:27" s="428" customFormat="1" x14ac:dyDescent="0.25">
      <c r="A187" s="589">
        <f t="shared" si="50"/>
        <v>3.7259615383589129E-6</v>
      </c>
      <c r="B187" s="32">
        <f t="shared" si="40"/>
        <v>155</v>
      </c>
      <c r="C187" s="441">
        <f>'SOLLECITAZ NASCOSTO'!$D$6/'SOLLECITAZ NASCOSTO'!$B$448*'SOLLECITAZ NASCOSTO'!B187</f>
        <v>1.0618990384615385</v>
      </c>
      <c r="D187" s="441">
        <f t="shared" si="51"/>
        <v>0.30000372596153835</v>
      </c>
      <c r="E187" s="441">
        <f t="shared" si="45"/>
        <v>3.7259615383589129E-6</v>
      </c>
      <c r="F187" s="441">
        <f t="shared" si="46"/>
        <v>0.30000372596153835</v>
      </c>
      <c r="G187" s="441">
        <f t="shared" si="47"/>
        <v>4.5001117795402903E-2</v>
      </c>
      <c r="H187" s="441">
        <f t="shared" si="41"/>
        <v>0</v>
      </c>
      <c r="I187" s="441">
        <v>0</v>
      </c>
      <c r="J187" s="131">
        <f t="shared" si="42"/>
        <v>0.1500018629807692</v>
      </c>
      <c r="K187" s="130">
        <f t="shared" si="48"/>
        <v>2.2500838351758264E-3</v>
      </c>
      <c r="L187" s="42">
        <f t="shared" si="43"/>
        <v>8.3617425991019214</v>
      </c>
      <c r="M187" s="42">
        <f t="shared" si="44"/>
        <v>-3.738636263027546</v>
      </c>
      <c r="N187" s="42">
        <f>(IF(C186&lt;='SOLLECITAZ NASCOSTO'!$P$12,IF(C186&lt;='SOLLECITAZ NASCOSTO'!$P$11,IF(C186&lt;='SOLLECITAZ NASCOSTO'!$P$10,IF(C186&lt;='SOLLECITAZ NASCOSTO'!$P$9,IF(C186&lt;='SOLLECITAZ NASCOSTO'!$P$8,IF(C186&lt;='SOLLECITAZ NASCOSTO'!$P$7,IF(C186&lt;='SOLLECITAZ NASCOSTO'!$P$6,IF(C186&lt;='SOLLECITAZ NASCOSTO'!$P$5,'Progetto del paramento slu'!$G$105,'Progetto del paramento slu'!$G$106),'Progetto del paramento slu'!$G$107),'Progetto del paramento slu'!$G$108),'Progetto del paramento slu'!$G$109),'Progetto del paramento slu'!$G$110),'Progetto del paramento slu'!$G$111),'Progetto del paramento slu'!$G$112),55555)-IF(C186&lt;='SOLLECITAZ NASCOSTO'!$P$12,IF(C186&lt;='SOLLECITAZ NASCOSTO'!$P$11,IF(C186&lt;='SOLLECITAZ NASCOSTO'!$P$10,IF(C186&lt;='SOLLECITAZ NASCOSTO'!$P$9,IF(C186&lt;='SOLLECITAZ NASCOSTO'!$P$8,IF(C186&lt;='SOLLECITAZ NASCOSTO'!$P$7,IF(C186&lt;='SOLLECITAZ NASCOSTO'!$P$6,IF(C186&lt;='SOLLECITAZ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slu'!$G$112))*(C186-IF(C186&lt;='SOLLECITAZ NASCOSTO'!$P$12,IF(C186&lt;='SOLLECITAZ NASCOSTO'!$P$11,IF(C186&lt;='SOLLECITAZ NASCOSTO'!$P$10,IF(C186&lt;='SOLLECITAZ NASCOSTO'!$P$9,IF(C186&lt;='SOLLECITAZ NASCOSTO'!$P$8,IF(C186&lt;='SOLLECITAZ NASCOSTO'!$P$7,IF(C186&lt;='SOLLECITAZ NASCOSTO'!$P$6,IF(C186&lt;='SOLLECITAZ NASCOSTO'!$P$5,'SOLLECITAZ NASCOSTO'!$P$3,'SOLLECITAZ NASCOSTO'!$P$5),'SOLLECITAZ NASCOSTO'!$P$5),'SOLLECITAZ NASCOSTO'!$P$7),'SOLLECITAZ NASCOSTO'!$P$8),'SOLLECITAZ NASCOSTO'!$P$9),'SOLLECITAZ NASCOSTO'!$P$10),'SOLLECITAZ NASCOSTO'!$P$11),'SOLLECITAZ NASCOSTO'!$P$12))/IF(C186&lt;='SOLLECITAZ NASCOSTO'!$P$12,IF(C186&lt;='SOLLECITAZ NASCOSTO'!$P$11,IF(C186&lt;='SOLLECITAZ NASCOSTO'!$P$10,IF(C186&lt;='SOLLECITAZ NASCOSTO'!$P$9,IF(C186&lt;='SOLLECITAZ NASCOSTO'!$P$8,IF(C186&lt;='SOLLECITAZ NASCOSTO'!$P$7,IF(C186&lt;='SOLLECITAZ NASCOSTO'!$P$6,IF(C186&lt;='SOLLECITAZ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slu'!$C$112)+IF(C186&lt;='SOLLECITAZ NASCOSTO'!$P$12,IF(C186&lt;='SOLLECITAZ NASCOSTO'!$P$11,IF(C186&lt;='SOLLECITAZ NASCOSTO'!$P$10,IF(C186&lt;='SOLLECITAZ NASCOSTO'!$P$9,IF(C186&lt;='SOLLECITAZ NASCOSTO'!$P$8,IF(C186&lt;='SOLLECITAZ NASCOSTO'!$P$7,IF(C186&lt;='SOLLECITAZ NASCOSTO'!$P$6,IF(C186&lt;='SOLLECITAZ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11.556443946409935</v>
      </c>
      <c r="O187" s="42">
        <f>IF(C187&lt;='SOLLECITAZ NASCOSTO'!$P$12,IF(C187&lt;='SOLLECITAZ NASCOSTO'!$P$11,IF(C187&lt;='SOLLECITAZ NASCOSTO'!$P$10,IF(C187&lt;='SOLLECITAZ NASCOSTO'!$P$9,IF(C187&lt;='SOLLECITAZ NASCOSTO'!$P$8,IF(C187&lt;='SOLLECITAZ NASCOSTO'!$P$7,IF(C187&lt;='SOLLECITAZ NASCOSTO'!$P$6,IF(C187&lt;='SOLLECITAZ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slu'!$G$111),55555)*(C187-C186)/IF(C187&lt;='SOLLECITAZ NASCOSTO'!$P$12,IF(C187&lt;='SOLLECITAZ NASCOSTO'!$P$11,IF(C187&lt;='SOLLECITAZ NASCOSTO'!$P$10,IF(C187&lt;='SOLLECITAZ NASCOSTO'!$P$9,IF(C187&lt;='SOLLECITAZ NASCOSTO'!$P$8,IF(C187&lt;='SOLLECITAZ NASCOSTO'!$P$7,IF(C187&lt;='SOLLECITAZ NASCOSTO'!$P$6,IF(C187&lt;='SOLLECITAZ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7" s="42">
        <f t="shared" si="57"/>
        <v>1.5399999999999968E-4</v>
      </c>
      <c r="Q187" s="42">
        <f t="shared" si="55"/>
        <v>1</v>
      </c>
      <c r="R187" s="441">
        <f t="shared" si="49"/>
        <v>1.0618990384615385</v>
      </c>
      <c r="S187" s="46">
        <f t="shared" si="56"/>
        <v>1.0618990384615385</v>
      </c>
      <c r="T187" s="211">
        <f t="shared" si="52"/>
        <v>2.2881009615384613</v>
      </c>
      <c r="U187" s="46">
        <f t="shared" si="53"/>
        <v>8.3617425991019214</v>
      </c>
      <c r="V187" s="46">
        <f t="shared" si="54"/>
        <v>-3.738636263027546</v>
      </c>
      <c r="W187" s="496"/>
      <c r="X187" s="497"/>
      <c r="Y187" s="497"/>
      <c r="Z187" s="498"/>
      <c r="AA187" s="47"/>
    </row>
    <row r="188" spans="1:27" s="428" customFormat="1" x14ac:dyDescent="0.25">
      <c r="A188" s="589">
        <f t="shared" si="50"/>
        <v>3.7499999999135447E-6</v>
      </c>
      <c r="B188" s="32">
        <f t="shared" si="40"/>
        <v>156</v>
      </c>
      <c r="C188" s="441">
        <f>'SOLLECITAZ NASCOSTO'!$D$6/'SOLLECITAZ NASCOSTO'!$B$448*'SOLLECITAZ NASCOSTO'!B188</f>
        <v>1.0687500000000001</v>
      </c>
      <c r="D188" s="441">
        <f t="shared" si="51"/>
        <v>0.3000037499999999</v>
      </c>
      <c r="E188" s="441">
        <f t="shared" si="45"/>
        <v>3.7499999999135447E-6</v>
      </c>
      <c r="F188" s="441">
        <f t="shared" si="46"/>
        <v>0.3000037499999999</v>
      </c>
      <c r="G188" s="441">
        <f t="shared" si="47"/>
        <v>4.5001125007031226E-2</v>
      </c>
      <c r="H188" s="441">
        <f t="shared" si="41"/>
        <v>0</v>
      </c>
      <c r="I188" s="441">
        <v>0</v>
      </c>
      <c r="J188" s="131">
        <f t="shared" si="42"/>
        <v>0.15000187499999998</v>
      </c>
      <c r="K188" s="130">
        <f t="shared" si="48"/>
        <v>2.2500843760546898E-3</v>
      </c>
      <c r="L188" s="42">
        <f t="shared" si="43"/>
        <v>8.4414099800717786</v>
      </c>
      <c r="M188" s="42">
        <f t="shared" si="44"/>
        <v>-3.796195139049956</v>
      </c>
      <c r="N188" s="42">
        <f>(IF(C187&lt;='SOLLECITAZ NASCOSTO'!$P$12,IF(C187&lt;='SOLLECITAZ NASCOSTO'!$P$11,IF(C187&lt;='SOLLECITAZ NASCOSTO'!$P$10,IF(C187&lt;='SOLLECITAZ NASCOSTO'!$P$9,IF(C187&lt;='SOLLECITAZ NASCOSTO'!$P$8,IF(C187&lt;='SOLLECITAZ NASCOSTO'!$P$7,IF(C187&lt;='SOLLECITAZ NASCOSTO'!$P$6,IF(C187&lt;='SOLLECITAZ NASCOSTO'!$P$5,'Progetto del paramento slu'!$G$105,'Progetto del paramento slu'!$G$106),'Progetto del paramento slu'!$G$107),'Progetto del paramento slu'!$G$108),'Progetto del paramento slu'!$G$109),'Progetto del paramento slu'!$G$110),'Progetto del paramento slu'!$G$111),'Progetto del paramento slu'!$G$112),55555)-IF(C187&lt;='SOLLECITAZ NASCOSTO'!$P$12,IF(C187&lt;='SOLLECITAZ NASCOSTO'!$P$11,IF(C187&lt;='SOLLECITAZ NASCOSTO'!$P$10,IF(C187&lt;='SOLLECITAZ NASCOSTO'!$P$9,IF(C187&lt;='SOLLECITAZ NASCOSTO'!$P$8,IF(C187&lt;='SOLLECITAZ NASCOSTO'!$P$7,IF(C187&lt;='SOLLECITAZ NASCOSTO'!$P$6,IF(C187&lt;='SOLLECITAZ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slu'!$G$112))*(C187-IF(C187&lt;='SOLLECITAZ NASCOSTO'!$P$12,IF(C187&lt;='SOLLECITAZ NASCOSTO'!$P$11,IF(C187&lt;='SOLLECITAZ NASCOSTO'!$P$10,IF(C187&lt;='SOLLECITAZ NASCOSTO'!$P$9,IF(C187&lt;='SOLLECITAZ NASCOSTO'!$P$8,IF(C187&lt;='SOLLECITAZ NASCOSTO'!$P$7,IF(C187&lt;='SOLLECITAZ NASCOSTO'!$P$6,IF(C187&lt;='SOLLECITAZ NASCOSTO'!$P$5,'SOLLECITAZ NASCOSTO'!$P$3,'SOLLECITAZ NASCOSTO'!$P$5),'SOLLECITAZ NASCOSTO'!$P$5),'SOLLECITAZ NASCOSTO'!$P$7),'SOLLECITAZ NASCOSTO'!$P$8),'SOLLECITAZ NASCOSTO'!$P$9),'SOLLECITAZ NASCOSTO'!$P$10),'SOLLECITAZ NASCOSTO'!$P$11),'SOLLECITAZ NASCOSTO'!$P$12))/IF(C187&lt;='SOLLECITAZ NASCOSTO'!$P$12,IF(C187&lt;='SOLLECITAZ NASCOSTO'!$P$11,IF(C187&lt;='SOLLECITAZ NASCOSTO'!$P$10,IF(C187&lt;='SOLLECITAZ NASCOSTO'!$P$9,IF(C187&lt;='SOLLECITAZ NASCOSTO'!$P$8,IF(C187&lt;='SOLLECITAZ NASCOSTO'!$P$7,IF(C187&lt;='SOLLECITAZ NASCOSTO'!$P$6,IF(C187&lt;='SOLLECITAZ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slu'!$C$112)+IF(C187&lt;='SOLLECITAZ NASCOSTO'!$P$12,IF(C187&lt;='SOLLECITAZ NASCOSTO'!$P$11,IF(C187&lt;='SOLLECITAZ NASCOSTO'!$P$10,IF(C187&lt;='SOLLECITAZ NASCOSTO'!$P$9,IF(C187&lt;='SOLLECITAZ NASCOSTO'!$P$8,IF(C187&lt;='SOLLECITAZ NASCOSTO'!$P$7,IF(C187&lt;='SOLLECITAZ NASCOSTO'!$P$6,IF(C187&lt;='SOLLECITAZ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11.604576165402289</v>
      </c>
      <c r="O188" s="42">
        <f>IF(C188&lt;='SOLLECITAZ NASCOSTO'!$P$12,IF(C188&lt;='SOLLECITAZ NASCOSTO'!$P$11,IF(C188&lt;='SOLLECITAZ NASCOSTO'!$P$10,IF(C188&lt;='SOLLECITAZ NASCOSTO'!$P$9,IF(C188&lt;='SOLLECITAZ NASCOSTO'!$P$8,IF(C188&lt;='SOLLECITAZ NASCOSTO'!$P$7,IF(C188&lt;='SOLLECITAZ NASCOSTO'!$P$6,IF(C188&lt;='SOLLECITAZ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slu'!$G$111),55555)*(C188-C187)/IF(C188&lt;='SOLLECITAZ NASCOSTO'!$P$12,IF(C188&lt;='SOLLECITAZ NASCOSTO'!$P$11,IF(C188&lt;='SOLLECITAZ NASCOSTO'!$P$10,IF(C188&lt;='SOLLECITAZ NASCOSTO'!$P$9,IF(C188&lt;='SOLLECITAZ NASCOSTO'!$P$8,IF(C188&lt;='SOLLECITAZ NASCOSTO'!$P$7,IF(C188&lt;='SOLLECITAZ NASCOSTO'!$P$6,IF(C188&lt;='SOLLECITAZ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8" s="42">
        <f t="shared" si="57"/>
        <v>1.5499999999999967E-4</v>
      </c>
      <c r="Q188" s="42">
        <f t="shared" si="55"/>
        <v>1</v>
      </c>
      <c r="R188" s="441">
        <f t="shared" si="49"/>
        <v>1.0687500000000001</v>
      </c>
      <c r="S188" s="46">
        <f t="shared" si="56"/>
        <v>1.0687500000000001</v>
      </c>
      <c r="T188" s="211">
        <f t="shared" si="52"/>
        <v>2.28125</v>
      </c>
      <c r="U188" s="46">
        <f t="shared" si="53"/>
        <v>8.4414099800717786</v>
      </c>
      <c r="V188" s="46">
        <f t="shared" si="54"/>
        <v>-3.796195139049956</v>
      </c>
      <c r="W188" s="496"/>
      <c r="X188" s="497"/>
      <c r="Y188" s="497"/>
      <c r="Z188" s="498"/>
      <c r="AA188" s="47"/>
    </row>
    <row r="189" spans="1:27" s="428" customFormat="1" x14ac:dyDescent="0.25">
      <c r="A189" s="589">
        <f t="shared" si="50"/>
        <v>3.7740384614681766E-6</v>
      </c>
      <c r="B189" s="32">
        <f t="shared" si="40"/>
        <v>157</v>
      </c>
      <c r="C189" s="441">
        <f>'SOLLECITAZ NASCOSTO'!$D$6/'SOLLECITAZ NASCOSTO'!$B$448*'SOLLECITAZ NASCOSTO'!B189</f>
        <v>1.0756009615384616</v>
      </c>
      <c r="D189" s="441">
        <f t="shared" si="51"/>
        <v>0.30000377403846146</v>
      </c>
      <c r="E189" s="441">
        <f t="shared" si="45"/>
        <v>3.7740384614681766E-6</v>
      </c>
      <c r="F189" s="441">
        <f t="shared" si="46"/>
        <v>0.30000377403846146</v>
      </c>
      <c r="G189" s="441">
        <f t="shared" si="47"/>
        <v>4.5001132218660124E-2</v>
      </c>
      <c r="H189" s="441">
        <f t="shared" si="41"/>
        <v>0</v>
      </c>
      <c r="I189" s="441">
        <v>0</v>
      </c>
      <c r="J189" s="131">
        <f t="shared" si="42"/>
        <v>0.15000188701923073</v>
      </c>
      <c r="K189" s="130">
        <f t="shared" si="48"/>
        <v>2.2500849169336395E-3</v>
      </c>
      <c r="L189" s="42">
        <f t="shared" si="43"/>
        <v>8.5214071130227129</v>
      </c>
      <c r="M189" s="42">
        <f t="shared" si="44"/>
        <v>-3.85430094279433</v>
      </c>
      <c r="N189" s="42">
        <f>(IF(C188&lt;='SOLLECITAZ NASCOSTO'!$P$12,IF(C188&lt;='SOLLECITAZ NASCOSTO'!$P$11,IF(C188&lt;='SOLLECITAZ NASCOSTO'!$P$10,IF(C188&lt;='SOLLECITAZ NASCOSTO'!$P$9,IF(C188&lt;='SOLLECITAZ NASCOSTO'!$P$8,IF(C188&lt;='SOLLECITAZ NASCOSTO'!$P$7,IF(C188&lt;='SOLLECITAZ NASCOSTO'!$P$6,IF(C188&lt;='SOLLECITAZ NASCOSTO'!$P$5,'Progetto del paramento slu'!$G$105,'Progetto del paramento slu'!$G$106),'Progetto del paramento slu'!$G$107),'Progetto del paramento slu'!$G$108),'Progetto del paramento slu'!$G$109),'Progetto del paramento slu'!$G$110),'Progetto del paramento slu'!$G$111),'Progetto del paramento slu'!$G$112),55555)-IF(C188&lt;='SOLLECITAZ NASCOSTO'!$P$12,IF(C188&lt;='SOLLECITAZ NASCOSTO'!$P$11,IF(C188&lt;='SOLLECITAZ NASCOSTO'!$P$10,IF(C188&lt;='SOLLECITAZ NASCOSTO'!$P$9,IF(C188&lt;='SOLLECITAZ NASCOSTO'!$P$8,IF(C188&lt;='SOLLECITAZ NASCOSTO'!$P$7,IF(C188&lt;='SOLLECITAZ NASCOSTO'!$P$6,IF(C188&lt;='SOLLECITAZ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slu'!$G$112))*(C188-IF(C188&lt;='SOLLECITAZ NASCOSTO'!$P$12,IF(C188&lt;='SOLLECITAZ NASCOSTO'!$P$11,IF(C188&lt;='SOLLECITAZ NASCOSTO'!$P$10,IF(C188&lt;='SOLLECITAZ NASCOSTO'!$P$9,IF(C188&lt;='SOLLECITAZ NASCOSTO'!$P$8,IF(C188&lt;='SOLLECITAZ NASCOSTO'!$P$7,IF(C188&lt;='SOLLECITAZ NASCOSTO'!$P$6,IF(C188&lt;='SOLLECITAZ NASCOSTO'!$P$5,'SOLLECITAZ NASCOSTO'!$P$3,'SOLLECITAZ NASCOSTO'!$P$5),'SOLLECITAZ NASCOSTO'!$P$5),'SOLLECITAZ NASCOSTO'!$P$7),'SOLLECITAZ NASCOSTO'!$P$8),'SOLLECITAZ NASCOSTO'!$P$9),'SOLLECITAZ NASCOSTO'!$P$10),'SOLLECITAZ NASCOSTO'!$P$11),'SOLLECITAZ NASCOSTO'!$P$12))/IF(C188&lt;='SOLLECITAZ NASCOSTO'!$P$12,IF(C188&lt;='SOLLECITAZ NASCOSTO'!$P$11,IF(C188&lt;='SOLLECITAZ NASCOSTO'!$P$10,IF(C188&lt;='SOLLECITAZ NASCOSTO'!$P$9,IF(C188&lt;='SOLLECITAZ NASCOSTO'!$P$8,IF(C188&lt;='SOLLECITAZ NASCOSTO'!$P$7,IF(C188&lt;='SOLLECITAZ NASCOSTO'!$P$6,IF(C188&lt;='SOLLECITAZ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slu'!$C$112)+IF(C188&lt;='SOLLECITAZ NASCOSTO'!$P$12,IF(C188&lt;='SOLLECITAZ NASCOSTO'!$P$11,IF(C188&lt;='SOLLECITAZ NASCOSTO'!$P$10,IF(C188&lt;='SOLLECITAZ NASCOSTO'!$P$9,IF(C188&lt;='SOLLECITAZ NASCOSTO'!$P$8,IF(C188&lt;='SOLLECITAZ NASCOSTO'!$P$7,IF(C188&lt;='SOLLECITAZ NASCOSTO'!$P$6,IF(C188&lt;='SOLLECITAZ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11.652708384394641</v>
      </c>
      <c r="O189" s="42">
        <f>IF(C189&lt;='SOLLECITAZ NASCOSTO'!$P$12,IF(C189&lt;='SOLLECITAZ NASCOSTO'!$P$11,IF(C189&lt;='SOLLECITAZ NASCOSTO'!$P$10,IF(C189&lt;='SOLLECITAZ NASCOSTO'!$P$9,IF(C189&lt;='SOLLECITAZ NASCOSTO'!$P$8,IF(C189&lt;='SOLLECITAZ NASCOSTO'!$P$7,IF(C189&lt;='SOLLECITAZ NASCOSTO'!$P$6,IF(C189&lt;='SOLLECITAZ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slu'!$G$111),55555)*(C189-C188)/IF(C189&lt;='SOLLECITAZ NASCOSTO'!$P$12,IF(C189&lt;='SOLLECITAZ NASCOSTO'!$P$11,IF(C189&lt;='SOLLECITAZ NASCOSTO'!$P$10,IF(C189&lt;='SOLLECITAZ NASCOSTO'!$P$9,IF(C189&lt;='SOLLECITAZ NASCOSTO'!$P$8,IF(C189&lt;='SOLLECITAZ NASCOSTO'!$P$7,IF(C189&lt;='SOLLECITAZ NASCOSTO'!$P$6,IF(C189&lt;='SOLLECITAZ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89" s="42">
        <f t="shared" si="57"/>
        <v>1.5599999999999967E-4</v>
      </c>
      <c r="Q189" s="42">
        <f t="shared" si="55"/>
        <v>1</v>
      </c>
      <c r="R189" s="441">
        <f t="shared" si="49"/>
        <v>1.0756009615384616</v>
      </c>
      <c r="S189" s="46">
        <f t="shared" si="56"/>
        <v>1.0756009615384616</v>
      </c>
      <c r="T189" s="211">
        <f t="shared" si="52"/>
        <v>2.2743990384615387</v>
      </c>
      <c r="U189" s="46">
        <f t="shared" si="53"/>
        <v>8.5214071130227129</v>
      </c>
      <c r="V189" s="46">
        <f t="shared" si="54"/>
        <v>-3.85430094279433</v>
      </c>
      <c r="W189" s="496"/>
      <c r="X189" s="497"/>
      <c r="Y189" s="497"/>
      <c r="Z189" s="498"/>
      <c r="AA189" s="47"/>
    </row>
    <row r="190" spans="1:27" s="428" customFormat="1" x14ac:dyDescent="0.25">
      <c r="A190" s="589">
        <f t="shared" si="50"/>
        <v>3.7980769229672973E-6</v>
      </c>
      <c r="B190" s="32">
        <f t="shared" si="40"/>
        <v>158</v>
      </c>
      <c r="C190" s="441">
        <f>'SOLLECITAZ NASCOSTO'!$D$6/'SOLLECITAZ NASCOSTO'!$B$448*'SOLLECITAZ NASCOSTO'!B190</f>
        <v>1.0824519230769232</v>
      </c>
      <c r="D190" s="441">
        <f t="shared" si="51"/>
        <v>0.30000379807692296</v>
      </c>
      <c r="E190" s="441">
        <f t="shared" si="45"/>
        <v>3.7980769229672973E-6</v>
      </c>
      <c r="F190" s="441">
        <f t="shared" si="46"/>
        <v>0.30000379807692296</v>
      </c>
      <c r="G190" s="441">
        <f t="shared" si="47"/>
        <v>4.5001139430289584E-2</v>
      </c>
      <c r="H190" s="441">
        <f t="shared" si="41"/>
        <v>0</v>
      </c>
      <c r="I190" s="441">
        <v>0</v>
      </c>
      <c r="J190" s="131">
        <f t="shared" si="42"/>
        <v>0.15000189903846148</v>
      </c>
      <c r="K190" s="130">
        <f t="shared" si="48"/>
        <v>2.2500854578126751E-3</v>
      </c>
      <c r="L190" s="42">
        <f t="shared" si="43"/>
        <v>8.6017339979547245</v>
      </c>
      <c r="M190" s="42">
        <f t="shared" si="44"/>
        <v>-3.9129559333788082</v>
      </c>
      <c r="N190" s="42">
        <f>(IF(C189&lt;='SOLLECITAZ NASCOSTO'!$P$12,IF(C189&lt;='SOLLECITAZ NASCOSTO'!$P$11,IF(C189&lt;='SOLLECITAZ NASCOSTO'!$P$10,IF(C189&lt;='SOLLECITAZ NASCOSTO'!$P$9,IF(C189&lt;='SOLLECITAZ NASCOSTO'!$P$8,IF(C189&lt;='SOLLECITAZ NASCOSTO'!$P$7,IF(C189&lt;='SOLLECITAZ NASCOSTO'!$P$6,IF(C189&lt;='SOLLECITAZ NASCOSTO'!$P$5,'Progetto del paramento slu'!$G$105,'Progetto del paramento slu'!$G$106),'Progetto del paramento slu'!$G$107),'Progetto del paramento slu'!$G$108),'Progetto del paramento slu'!$G$109),'Progetto del paramento slu'!$G$110),'Progetto del paramento slu'!$G$111),'Progetto del paramento slu'!$G$112),55555)-IF(C189&lt;='SOLLECITAZ NASCOSTO'!$P$12,IF(C189&lt;='SOLLECITAZ NASCOSTO'!$P$11,IF(C189&lt;='SOLLECITAZ NASCOSTO'!$P$10,IF(C189&lt;='SOLLECITAZ NASCOSTO'!$P$9,IF(C189&lt;='SOLLECITAZ NASCOSTO'!$P$8,IF(C189&lt;='SOLLECITAZ NASCOSTO'!$P$7,IF(C189&lt;='SOLLECITAZ NASCOSTO'!$P$6,IF(C189&lt;='SOLLECITAZ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slu'!$G$112))*(C189-IF(C189&lt;='SOLLECITAZ NASCOSTO'!$P$12,IF(C189&lt;='SOLLECITAZ NASCOSTO'!$P$11,IF(C189&lt;='SOLLECITAZ NASCOSTO'!$P$10,IF(C189&lt;='SOLLECITAZ NASCOSTO'!$P$9,IF(C189&lt;='SOLLECITAZ NASCOSTO'!$P$8,IF(C189&lt;='SOLLECITAZ NASCOSTO'!$P$7,IF(C189&lt;='SOLLECITAZ NASCOSTO'!$P$6,IF(C189&lt;='SOLLECITAZ NASCOSTO'!$P$5,'SOLLECITAZ NASCOSTO'!$P$3,'SOLLECITAZ NASCOSTO'!$P$5),'SOLLECITAZ NASCOSTO'!$P$5),'SOLLECITAZ NASCOSTO'!$P$7),'SOLLECITAZ NASCOSTO'!$P$8),'SOLLECITAZ NASCOSTO'!$P$9),'SOLLECITAZ NASCOSTO'!$P$10),'SOLLECITAZ NASCOSTO'!$P$11),'SOLLECITAZ NASCOSTO'!$P$12))/IF(C189&lt;='SOLLECITAZ NASCOSTO'!$P$12,IF(C189&lt;='SOLLECITAZ NASCOSTO'!$P$11,IF(C189&lt;='SOLLECITAZ NASCOSTO'!$P$10,IF(C189&lt;='SOLLECITAZ NASCOSTO'!$P$9,IF(C189&lt;='SOLLECITAZ NASCOSTO'!$P$8,IF(C189&lt;='SOLLECITAZ NASCOSTO'!$P$7,IF(C189&lt;='SOLLECITAZ NASCOSTO'!$P$6,IF(C189&lt;='SOLLECITAZ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slu'!$C$112)+IF(C189&lt;='SOLLECITAZ NASCOSTO'!$P$12,IF(C189&lt;='SOLLECITAZ NASCOSTO'!$P$11,IF(C189&lt;='SOLLECITAZ NASCOSTO'!$P$10,IF(C189&lt;='SOLLECITAZ NASCOSTO'!$P$9,IF(C189&lt;='SOLLECITAZ NASCOSTO'!$P$8,IF(C189&lt;='SOLLECITAZ NASCOSTO'!$P$7,IF(C189&lt;='SOLLECITAZ NASCOSTO'!$P$6,IF(C189&lt;='SOLLECITAZ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11.700840603386993</v>
      </c>
      <c r="O190" s="42">
        <f>IF(C190&lt;='SOLLECITAZ NASCOSTO'!$P$12,IF(C190&lt;='SOLLECITAZ NASCOSTO'!$P$11,IF(C190&lt;='SOLLECITAZ NASCOSTO'!$P$10,IF(C190&lt;='SOLLECITAZ NASCOSTO'!$P$9,IF(C190&lt;='SOLLECITAZ NASCOSTO'!$P$8,IF(C190&lt;='SOLLECITAZ NASCOSTO'!$P$7,IF(C190&lt;='SOLLECITAZ NASCOSTO'!$P$6,IF(C190&lt;='SOLLECITAZ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slu'!$G$111),55555)*(C190-C189)/IF(C190&lt;='SOLLECITAZ NASCOSTO'!$P$12,IF(C190&lt;='SOLLECITAZ NASCOSTO'!$P$11,IF(C190&lt;='SOLLECITAZ NASCOSTO'!$P$10,IF(C190&lt;='SOLLECITAZ NASCOSTO'!$P$9,IF(C190&lt;='SOLLECITAZ NASCOSTO'!$P$8,IF(C190&lt;='SOLLECITAZ NASCOSTO'!$P$7,IF(C190&lt;='SOLLECITAZ NASCOSTO'!$P$6,IF(C190&lt;='SOLLECITAZ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0" s="42">
        <f t="shared" si="57"/>
        <v>1.5699999999999967E-4</v>
      </c>
      <c r="Q190" s="42">
        <f t="shared" si="55"/>
        <v>1</v>
      </c>
      <c r="R190" s="441">
        <f t="shared" si="49"/>
        <v>1.0824519230769232</v>
      </c>
      <c r="S190" s="46">
        <f t="shared" si="56"/>
        <v>1.0824519230769232</v>
      </c>
      <c r="T190" s="211">
        <f t="shared" si="52"/>
        <v>2.2675480769230769</v>
      </c>
      <c r="U190" s="46">
        <f t="shared" si="53"/>
        <v>8.6017339979547245</v>
      </c>
      <c r="V190" s="46">
        <f t="shared" si="54"/>
        <v>-3.9129559333788082</v>
      </c>
      <c r="W190" s="496"/>
      <c r="X190" s="497"/>
      <c r="Y190" s="497"/>
      <c r="Z190" s="498"/>
      <c r="AA190" s="47"/>
    </row>
    <row r="191" spans="1:27" s="428" customFormat="1" x14ac:dyDescent="0.25">
      <c r="A191" s="589">
        <f t="shared" si="50"/>
        <v>3.8221153845219291E-6</v>
      </c>
      <c r="B191" s="32">
        <f t="shared" ref="B191:B254" si="58">B190+1</f>
        <v>159</v>
      </c>
      <c r="C191" s="441">
        <f>'SOLLECITAZ NASCOSTO'!$D$6/'SOLLECITAZ NASCOSTO'!$B$448*'SOLLECITAZ NASCOSTO'!B191</f>
        <v>1.0893028846153847</v>
      </c>
      <c r="D191" s="441">
        <f t="shared" si="51"/>
        <v>0.30000382211538451</v>
      </c>
      <c r="E191" s="441">
        <f t="shared" si="45"/>
        <v>3.8221153845219291E-6</v>
      </c>
      <c r="F191" s="441">
        <f t="shared" si="46"/>
        <v>0.30000382211538451</v>
      </c>
      <c r="G191" s="441">
        <f t="shared" si="47"/>
        <v>4.5001146641919641E-2</v>
      </c>
      <c r="H191" s="441">
        <f t="shared" ref="H191:H254" si="59">I191*F191</f>
        <v>0</v>
      </c>
      <c r="I191" s="441">
        <v>0</v>
      </c>
      <c r="J191" s="131">
        <f t="shared" ref="J191:J254" si="60">G191/F191</f>
        <v>0.15000191105769228</v>
      </c>
      <c r="K191" s="130">
        <f t="shared" si="48"/>
        <v>2.2500859986917983E-3</v>
      </c>
      <c r="L191" s="42">
        <f t="shared" ref="L191:L254" si="61">L190+N191*(C191-C190)+O191*(C191-C190)/2</f>
        <v>8.6823906348678133</v>
      </c>
      <c r="M191" s="42">
        <f t="shared" ref="M191:M254" si="62">M190-(L191+L190)*(C191-C190)/2</f>
        <v>-3.9721623699215298</v>
      </c>
      <c r="N191" s="42">
        <f>(IF(C190&lt;='SOLLECITAZ NASCOSTO'!$P$12,IF(C190&lt;='SOLLECITAZ NASCOSTO'!$P$11,IF(C190&lt;='SOLLECITAZ NASCOSTO'!$P$10,IF(C190&lt;='SOLLECITAZ NASCOSTO'!$P$9,IF(C190&lt;='SOLLECITAZ NASCOSTO'!$P$8,IF(C190&lt;='SOLLECITAZ NASCOSTO'!$P$7,IF(C190&lt;='SOLLECITAZ NASCOSTO'!$P$6,IF(C190&lt;='SOLLECITAZ NASCOSTO'!$P$5,'Progetto del paramento slu'!$G$105,'Progetto del paramento slu'!$G$106),'Progetto del paramento slu'!$G$107),'Progetto del paramento slu'!$G$108),'Progetto del paramento slu'!$G$109),'Progetto del paramento slu'!$G$110),'Progetto del paramento slu'!$G$111),'Progetto del paramento slu'!$G$112),55555)-IF(C190&lt;='SOLLECITAZ NASCOSTO'!$P$12,IF(C190&lt;='SOLLECITAZ NASCOSTO'!$P$11,IF(C190&lt;='SOLLECITAZ NASCOSTO'!$P$10,IF(C190&lt;='SOLLECITAZ NASCOSTO'!$P$9,IF(C190&lt;='SOLLECITAZ NASCOSTO'!$P$8,IF(C190&lt;='SOLLECITAZ NASCOSTO'!$P$7,IF(C190&lt;='SOLLECITAZ NASCOSTO'!$P$6,IF(C190&lt;='SOLLECITAZ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slu'!$G$112))*(C190-IF(C190&lt;='SOLLECITAZ NASCOSTO'!$P$12,IF(C190&lt;='SOLLECITAZ NASCOSTO'!$P$11,IF(C190&lt;='SOLLECITAZ NASCOSTO'!$P$10,IF(C190&lt;='SOLLECITAZ NASCOSTO'!$P$9,IF(C190&lt;='SOLLECITAZ NASCOSTO'!$P$8,IF(C190&lt;='SOLLECITAZ NASCOSTO'!$P$7,IF(C190&lt;='SOLLECITAZ NASCOSTO'!$P$6,IF(C190&lt;='SOLLECITAZ NASCOSTO'!$P$5,'SOLLECITAZ NASCOSTO'!$P$3,'SOLLECITAZ NASCOSTO'!$P$5),'SOLLECITAZ NASCOSTO'!$P$5),'SOLLECITAZ NASCOSTO'!$P$7),'SOLLECITAZ NASCOSTO'!$P$8),'SOLLECITAZ NASCOSTO'!$P$9),'SOLLECITAZ NASCOSTO'!$P$10),'SOLLECITAZ NASCOSTO'!$P$11),'SOLLECITAZ NASCOSTO'!$P$12))/IF(C190&lt;='SOLLECITAZ NASCOSTO'!$P$12,IF(C190&lt;='SOLLECITAZ NASCOSTO'!$P$11,IF(C190&lt;='SOLLECITAZ NASCOSTO'!$P$10,IF(C190&lt;='SOLLECITAZ NASCOSTO'!$P$9,IF(C190&lt;='SOLLECITAZ NASCOSTO'!$P$8,IF(C190&lt;='SOLLECITAZ NASCOSTO'!$P$7,IF(C190&lt;='SOLLECITAZ NASCOSTO'!$P$6,IF(C190&lt;='SOLLECITAZ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slu'!$C$112)+IF(C190&lt;='SOLLECITAZ NASCOSTO'!$P$12,IF(C190&lt;='SOLLECITAZ NASCOSTO'!$P$11,IF(C190&lt;='SOLLECITAZ NASCOSTO'!$P$10,IF(C190&lt;='SOLLECITAZ NASCOSTO'!$P$9,IF(C190&lt;='SOLLECITAZ NASCOSTO'!$P$8,IF(C190&lt;='SOLLECITAZ NASCOSTO'!$P$7,IF(C190&lt;='SOLLECITAZ NASCOSTO'!$P$6,IF(C190&lt;='SOLLECITAZ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11.748972822379347</v>
      </c>
      <c r="O191" s="42">
        <f>IF(C191&lt;='SOLLECITAZ NASCOSTO'!$P$12,IF(C191&lt;='SOLLECITAZ NASCOSTO'!$P$11,IF(C191&lt;='SOLLECITAZ NASCOSTO'!$P$10,IF(C191&lt;='SOLLECITAZ NASCOSTO'!$P$9,IF(C191&lt;='SOLLECITAZ NASCOSTO'!$P$8,IF(C191&lt;='SOLLECITAZ NASCOSTO'!$P$7,IF(C191&lt;='SOLLECITAZ NASCOSTO'!$P$6,IF(C191&lt;='SOLLECITAZ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slu'!$G$111),55555)*(C191-C190)/IF(C191&lt;='SOLLECITAZ NASCOSTO'!$P$12,IF(C191&lt;='SOLLECITAZ NASCOSTO'!$P$11,IF(C191&lt;='SOLLECITAZ NASCOSTO'!$P$10,IF(C191&lt;='SOLLECITAZ NASCOSTO'!$P$9,IF(C191&lt;='SOLLECITAZ NASCOSTO'!$P$8,IF(C191&lt;='SOLLECITAZ NASCOSTO'!$P$7,IF(C191&lt;='SOLLECITAZ NASCOSTO'!$P$6,IF(C191&lt;='SOLLECITAZ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1" s="42">
        <f t="shared" si="57"/>
        <v>1.5799999999999967E-4</v>
      </c>
      <c r="Q191" s="42">
        <f t="shared" si="55"/>
        <v>1</v>
      </c>
      <c r="R191" s="441">
        <f t="shared" si="49"/>
        <v>1.0893028846153847</v>
      </c>
      <c r="S191" s="46">
        <f t="shared" si="56"/>
        <v>1.0893028846153847</v>
      </c>
      <c r="T191" s="211">
        <f t="shared" si="52"/>
        <v>2.2606971153846152</v>
      </c>
      <c r="U191" s="46">
        <f t="shared" si="53"/>
        <v>8.6823906348678133</v>
      </c>
      <c r="V191" s="46">
        <f t="shared" si="54"/>
        <v>-3.9721623699215298</v>
      </c>
      <c r="W191" s="496"/>
      <c r="X191" s="497"/>
      <c r="Y191" s="497"/>
      <c r="Z191" s="498"/>
      <c r="AA191" s="47"/>
    </row>
    <row r="192" spans="1:27" s="428" customFormat="1" x14ac:dyDescent="0.25">
      <c r="A192" s="589">
        <f t="shared" si="50"/>
        <v>3.846153846076561E-6</v>
      </c>
      <c r="B192" s="32">
        <f t="shared" si="58"/>
        <v>160</v>
      </c>
      <c r="C192" s="441">
        <f>'SOLLECITAZ NASCOSTO'!$D$6/'SOLLECITAZ NASCOSTO'!$B$448*'SOLLECITAZ NASCOSTO'!B192</f>
        <v>1.0961538461538463</v>
      </c>
      <c r="D192" s="441">
        <f t="shared" si="51"/>
        <v>0.30000384615384607</v>
      </c>
      <c r="E192" s="441">
        <f t="shared" si="45"/>
        <v>3.846153846076561E-6</v>
      </c>
      <c r="F192" s="441">
        <f t="shared" si="46"/>
        <v>0.30000384615384607</v>
      </c>
      <c r="G192" s="441">
        <f t="shared" si="47"/>
        <v>4.5001153853550274E-2</v>
      </c>
      <c r="H192" s="441">
        <f t="shared" si="59"/>
        <v>0</v>
      </c>
      <c r="I192" s="441">
        <v>0</v>
      </c>
      <c r="J192" s="131">
        <f t="shared" si="60"/>
        <v>0.15000192307692306</v>
      </c>
      <c r="K192" s="130">
        <f t="shared" si="48"/>
        <v>2.2500865395710086E-3</v>
      </c>
      <c r="L192" s="42">
        <f t="shared" si="61"/>
        <v>8.7633770237619792</v>
      </c>
      <c r="M192" s="42">
        <f t="shared" si="62"/>
        <v>-4.0319225115406345</v>
      </c>
      <c r="N192" s="42">
        <f>(IF(C191&lt;='SOLLECITAZ NASCOSTO'!$P$12,IF(C191&lt;='SOLLECITAZ NASCOSTO'!$P$11,IF(C191&lt;='SOLLECITAZ NASCOSTO'!$P$10,IF(C191&lt;='SOLLECITAZ NASCOSTO'!$P$9,IF(C191&lt;='SOLLECITAZ NASCOSTO'!$P$8,IF(C191&lt;='SOLLECITAZ NASCOSTO'!$P$7,IF(C191&lt;='SOLLECITAZ NASCOSTO'!$P$6,IF(C191&lt;='SOLLECITAZ NASCOSTO'!$P$5,'Progetto del paramento slu'!$G$105,'Progetto del paramento slu'!$G$106),'Progetto del paramento slu'!$G$107),'Progetto del paramento slu'!$G$108),'Progetto del paramento slu'!$G$109),'Progetto del paramento slu'!$G$110),'Progetto del paramento slu'!$G$111),'Progetto del paramento slu'!$G$112),55555)-IF(C191&lt;='SOLLECITAZ NASCOSTO'!$P$12,IF(C191&lt;='SOLLECITAZ NASCOSTO'!$P$11,IF(C191&lt;='SOLLECITAZ NASCOSTO'!$P$10,IF(C191&lt;='SOLLECITAZ NASCOSTO'!$P$9,IF(C191&lt;='SOLLECITAZ NASCOSTO'!$P$8,IF(C191&lt;='SOLLECITAZ NASCOSTO'!$P$7,IF(C191&lt;='SOLLECITAZ NASCOSTO'!$P$6,IF(C191&lt;='SOLLECITAZ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slu'!$G$112))*(C191-IF(C191&lt;='SOLLECITAZ NASCOSTO'!$P$12,IF(C191&lt;='SOLLECITAZ NASCOSTO'!$P$11,IF(C191&lt;='SOLLECITAZ NASCOSTO'!$P$10,IF(C191&lt;='SOLLECITAZ NASCOSTO'!$P$9,IF(C191&lt;='SOLLECITAZ NASCOSTO'!$P$8,IF(C191&lt;='SOLLECITAZ NASCOSTO'!$P$7,IF(C191&lt;='SOLLECITAZ NASCOSTO'!$P$6,IF(C191&lt;='SOLLECITAZ NASCOSTO'!$P$5,'SOLLECITAZ NASCOSTO'!$P$3,'SOLLECITAZ NASCOSTO'!$P$5),'SOLLECITAZ NASCOSTO'!$P$5),'SOLLECITAZ NASCOSTO'!$P$7),'SOLLECITAZ NASCOSTO'!$P$8),'SOLLECITAZ NASCOSTO'!$P$9),'SOLLECITAZ NASCOSTO'!$P$10),'SOLLECITAZ NASCOSTO'!$P$11),'SOLLECITAZ NASCOSTO'!$P$12))/IF(C191&lt;='SOLLECITAZ NASCOSTO'!$P$12,IF(C191&lt;='SOLLECITAZ NASCOSTO'!$P$11,IF(C191&lt;='SOLLECITAZ NASCOSTO'!$P$10,IF(C191&lt;='SOLLECITAZ NASCOSTO'!$P$9,IF(C191&lt;='SOLLECITAZ NASCOSTO'!$P$8,IF(C191&lt;='SOLLECITAZ NASCOSTO'!$P$7,IF(C191&lt;='SOLLECITAZ NASCOSTO'!$P$6,IF(C191&lt;='SOLLECITAZ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slu'!$C$112)+IF(C191&lt;='SOLLECITAZ NASCOSTO'!$P$12,IF(C191&lt;='SOLLECITAZ NASCOSTO'!$P$11,IF(C191&lt;='SOLLECITAZ NASCOSTO'!$P$10,IF(C191&lt;='SOLLECITAZ NASCOSTO'!$P$9,IF(C191&lt;='SOLLECITAZ NASCOSTO'!$P$8,IF(C191&lt;='SOLLECITAZ NASCOSTO'!$P$7,IF(C191&lt;='SOLLECITAZ NASCOSTO'!$P$6,IF(C191&lt;='SOLLECITAZ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11.797105041371697</v>
      </c>
      <c r="O192" s="42">
        <f>IF(C192&lt;='SOLLECITAZ NASCOSTO'!$P$12,IF(C192&lt;='SOLLECITAZ NASCOSTO'!$P$11,IF(C192&lt;='SOLLECITAZ NASCOSTO'!$P$10,IF(C192&lt;='SOLLECITAZ NASCOSTO'!$P$9,IF(C192&lt;='SOLLECITAZ NASCOSTO'!$P$8,IF(C192&lt;='SOLLECITAZ NASCOSTO'!$P$7,IF(C192&lt;='SOLLECITAZ NASCOSTO'!$P$6,IF(C192&lt;='SOLLECITAZ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slu'!$G$111),55555)*(C192-C191)/IF(C192&lt;='SOLLECITAZ NASCOSTO'!$P$12,IF(C192&lt;='SOLLECITAZ NASCOSTO'!$P$11,IF(C192&lt;='SOLLECITAZ NASCOSTO'!$P$10,IF(C192&lt;='SOLLECITAZ NASCOSTO'!$P$9,IF(C192&lt;='SOLLECITAZ NASCOSTO'!$P$8,IF(C192&lt;='SOLLECITAZ NASCOSTO'!$P$7,IF(C192&lt;='SOLLECITAZ NASCOSTO'!$P$6,IF(C192&lt;='SOLLECITAZ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2" s="42">
        <f t="shared" si="57"/>
        <v>1.5899999999999966E-4</v>
      </c>
      <c r="Q192" s="42">
        <f t="shared" si="55"/>
        <v>1</v>
      </c>
      <c r="R192" s="441">
        <f t="shared" si="49"/>
        <v>1.0961538461538463</v>
      </c>
      <c r="S192" s="46">
        <f t="shared" si="56"/>
        <v>1.0961538461538463</v>
      </c>
      <c r="T192" s="211">
        <f t="shared" si="52"/>
        <v>2.2538461538461538</v>
      </c>
      <c r="U192" s="46">
        <f t="shared" si="53"/>
        <v>8.7633770237619792</v>
      </c>
      <c r="V192" s="46">
        <f t="shared" si="54"/>
        <v>-4.0319225115406345</v>
      </c>
      <c r="W192" s="496"/>
      <c r="X192" s="497"/>
      <c r="Y192" s="497"/>
      <c r="Z192" s="498"/>
      <c r="AA192" s="47"/>
    </row>
    <row r="193" spans="1:27" s="428" customFormat="1" x14ac:dyDescent="0.25">
      <c r="A193" s="589">
        <f t="shared" si="50"/>
        <v>3.8701923076311928E-6</v>
      </c>
      <c r="B193" s="32">
        <f t="shared" si="58"/>
        <v>161</v>
      </c>
      <c r="C193" s="441">
        <f>'SOLLECITAZ NASCOSTO'!$D$6/'SOLLECITAZ NASCOSTO'!$B$448*'SOLLECITAZ NASCOSTO'!B193</f>
        <v>1.1030048076923076</v>
      </c>
      <c r="D193" s="441">
        <f t="shared" si="51"/>
        <v>0.30000387019230762</v>
      </c>
      <c r="E193" s="441">
        <f t="shared" si="45"/>
        <v>3.8701923076311928E-6</v>
      </c>
      <c r="F193" s="441">
        <f t="shared" si="46"/>
        <v>0.30000387019230762</v>
      </c>
      <c r="G193" s="441">
        <f t="shared" si="47"/>
        <v>4.5001161065181483E-2</v>
      </c>
      <c r="H193" s="441">
        <f t="shared" si="59"/>
        <v>0</v>
      </c>
      <c r="I193" s="441">
        <v>0</v>
      </c>
      <c r="J193" s="131">
        <f t="shared" si="60"/>
        <v>0.15000193509615381</v>
      </c>
      <c r="K193" s="130">
        <f t="shared" si="48"/>
        <v>2.2500870804503057E-3</v>
      </c>
      <c r="L193" s="42">
        <f t="shared" si="61"/>
        <v>8.8446931646372207</v>
      </c>
      <c r="M193" s="42">
        <f t="shared" si="62"/>
        <v>-4.0922386173542593</v>
      </c>
      <c r="N193" s="42">
        <f>(IF(C192&lt;='SOLLECITAZ NASCOSTO'!$P$12,IF(C192&lt;='SOLLECITAZ NASCOSTO'!$P$11,IF(C192&lt;='SOLLECITAZ NASCOSTO'!$P$10,IF(C192&lt;='SOLLECITAZ NASCOSTO'!$P$9,IF(C192&lt;='SOLLECITAZ NASCOSTO'!$P$8,IF(C192&lt;='SOLLECITAZ NASCOSTO'!$P$7,IF(C192&lt;='SOLLECITAZ NASCOSTO'!$P$6,IF(C192&lt;='SOLLECITAZ NASCOSTO'!$P$5,'Progetto del paramento slu'!$G$105,'Progetto del paramento slu'!$G$106),'Progetto del paramento slu'!$G$107),'Progetto del paramento slu'!$G$108),'Progetto del paramento slu'!$G$109),'Progetto del paramento slu'!$G$110),'Progetto del paramento slu'!$G$111),'Progetto del paramento slu'!$G$112),55555)-IF(C192&lt;='SOLLECITAZ NASCOSTO'!$P$12,IF(C192&lt;='SOLLECITAZ NASCOSTO'!$P$11,IF(C192&lt;='SOLLECITAZ NASCOSTO'!$P$10,IF(C192&lt;='SOLLECITAZ NASCOSTO'!$P$9,IF(C192&lt;='SOLLECITAZ NASCOSTO'!$P$8,IF(C192&lt;='SOLLECITAZ NASCOSTO'!$P$7,IF(C192&lt;='SOLLECITAZ NASCOSTO'!$P$6,IF(C192&lt;='SOLLECITAZ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slu'!$G$112))*(C192-IF(C192&lt;='SOLLECITAZ NASCOSTO'!$P$12,IF(C192&lt;='SOLLECITAZ NASCOSTO'!$P$11,IF(C192&lt;='SOLLECITAZ NASCOSTO'!$P$10,IF(C192&lt;='SOLLECITAZ NASCOSTO'!$P$9,IF(C192&lt;='SOLLECITAZ NASCOSTO'!$P$8,IF(C192&lt;='SOLLECITAZ NASCOSTO'!$P$7,IF(C192&lt;='SOLLECITAZ NASCOSTO'!$P$6,IF(C192&lt;='SOLLECITAZ NASCOSTO'!$P$5,'SOLLECITAZ NASCOSTO'!$P$3,'SOLLECITAZ NASCOSTO'!$P$5),'SOLLECITAZ NASCOSTO'!$P$5),'SOLLECITAZ NASCOSTO'!$P$7),'SOLLECITAZ NASCOSTO'!$P$8),'SOLLECITAZ NASCOSTO'!$P$9),'SOLLECITAZ NASCOSTO'!$P$10),'SOLLECITAZ NASCOSTO'!$P$11),'SOLLECITAZ NASCOSTO'!$P$12))/IF(C192&lt;='SOLLECITAZ NASCOSTO'!$P$12,IF(C192&lt;='SOLLECITAZ NASCOSTO'!$P$11,IF(C192&lt;='SOLLECITAZ NASCOSTO'!$P$10,IF(C192&lt;='SOLLECITAZ NASCOSTO'!$P$9,IF(C192&lt;='SOLLECITAZ NASCOSTO'!$P$8,IF(C192&lt;='SOLLECITAZ NASCOSTO'!$P$7,IF(C192&lt;='SOLLECITAZ NASCOSTO'!$P$6,IF(C192&lt;='SOLLECITAZ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slu'!$C$112)+IF(C192&lt;='SOLLECITAZ NASCOSTO'!$P$12,IF(C192&lt;='SOLLECITAZ NASCOSTO'!$P$11,IF(C192&lt;='SOLLECITAZ NASCOSTO'!$P$10,IF(C192&lt;='SOLLECITAZ NASCOSTO'!$P$9,IF(C192&lt;='SOLLECITAZ NASCOSTO'!$P$8,IF(C192&lt;='SOLLECITAZ NASCOSTO'!$P$7,IF(C192&lt;='SOLLECITAZ NASCOSTO'!$P$6,IF(C192&lt;='SOLLECITAZ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11.845237260364051</v>
      </c>
      <c r="O193" s="42">
        <f>IF(C193&lt;='SOLLECITAZ NASCOSTO'!$P$12,IF(C193&lt;='SOLLECITAZ NASCOSTO'!$P$11,IF(C193&lt;='SOLLECITAZ NASCOSTO'!$P$10,IF(C193&lt;='SOLLECITAZ NASCOSTO'!$P$9,IF(C193&lt;='SOLLECITAZ NASCOSTO'!$P$8,IF(C193&lt;='SOLLECITAZ NASCOSTO'!$P$7,IF(C193&lt;='SOLLECITAZ NASCOSTO'!$P$6,IF(C193&lt;='SOLLECITAZ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slu'!$G$111),55555)*(C193-C192)/IF(C193&lt;='SOLLECITAZ NASCOSTO'!$P$12,IF(C193&lt;='SOLLECITAZ NASCOSTO'!$P$11,IF(C193&lt;='SOLLECITAZ NASCOSTO'!$P$10,IF(C193&lt;='SOLLECITAZ NASCOSTO'!$P$9,IF(C193&lt;='SOLLECITAZ NASCOSTO'!$P$8,IF(C193&lt;='SOLLECITAZ NASCOSTO'!$P$7,IF(C193&lt;='SOLLECITAZ NASCOSTO'!$P$6,IF(C193&lt;='SOLLECITAZ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193" s="42">
        <f t="shared" si="57"/>
        <v>1.5999999999999966E-4</v>
      </c>
      <c r="Q193" s="42">
        <f t="shared" si="55"/>
        <v>1</v>
      </c>
      <c r="R193" s="441">
        <f t="shared" si="49"/>
        <v>1.1030048076923076</v>
      </c>
      <c r="S193" s="46">
        <f t="shared" si="56"/>
        <v>1.1030048076923076</v>
      </c>
      <c r="T193" s="211">
        <f t="shared" si="52"/>
        <v>2.2469951923076925</v>
      </c>
      <c r="U193" s="46">
        <f t="shared" si="53"/>
        <v>8.8446931646372207</v>
      </c>
      <c r="V193" s="46">
        <f t="shared" si="54"/>
        <v>-4.0922386173542593</v>
      </c>
      <c r="W193" s="496"/>
      <c r="X193" s="497"/>
      <c r="Y193" s="497"/>
      <c r="Z193" s="498"/>
      <c r="AA193" s="47"/>
    </row>
    <row r="194" spans="1:27" s="428" customFormat="1" x14ac:dyDescent="0.25">
      <c r="A194" s="589">
        <f t="shared" si="50"/>
        <v>3.8942307691303135E-6</v>
      </c>
      <c r="B194" s="32">
        <f t="shared" si="58"/>
        <v>162</v>
      </c>
      <c r="C194" s="441">
        <f>'SOLLECITAZ NASCOSTO'!$D$6/'SOLLECITAZ NASCOSTO'!$B$448*'SOLLECITAZ NASCOSTO'!B194</f>
        <v>1.1098557692307691</v>
      </c>
      <c r="D194" s="441">
        <f t="shared" si="51"/>
        <v>0.30000389423076912</v>
      </c>
      <c r="E194" s="441">
        <f t="shared" si="45"/>
        <v>3.8942307691303135E-6</v>
      </c>
      <c r="F194" s="441">
        <f t="shared" si="46"/>
        <v>0.30000389423076912</v>
      </c>
      <c r="G194" s="441">
        <f t="shared" si="47"/>
        <v>4.5001168276813254E-2</v>
      </c>
      <c r="H194" s="441">
        <f t="shared" si="59"/>
        <v>0</v>
      </c>
      <c r="I194" s="441">
        <v>0</v>
      </c>
      <c r="J194" s="131">
        <f t="shared" si="60"/>
        <v>0.15000194711538456</v>
      </c>
      <c r="K194" s="130">
        <f t="shared" si="48"/>
        <v>2.2500876213296878E-3</v>
      </c>
      <c r="L194" s="42">
        <f t="shared" si="61"/>
        <v>8.9263390574935428</v>
      </c>
      <c r="M194" s="42">
        <f t="shared" si="62"/>
        <v>-4.1531129464805483</v>
      </c>
      <c r="N194" s="42">
        <f>(IF(C193&lt;='SOLLECITAZ NASCOSTO'!$P$12,IF(C193&lt;='SOLLECITAZ NASCOSTO'!$P$11,IF(C193&lt;='SOLLECITAZ NASCOSTO'!$P$10,IF(C193&lt;='SOLLECITAZ NASCOSTO'!$P$9,IF(C193&lt;='SOLLECITAZ NASCOSTO'!$P$8,IF(C193&lt;='SOLLECITAZ NASCOSTO'!$P$7,IF(C193&lt;='SOLLECITAZ NASCOSTO'!$P$6,IF(C193&lt;='SOLLECITAZ NASCOSTO'!$P$5,'Progetto del paramento slu'!$G$105,'Progetto del paramento slu'!$G$106),'Progetto del paramento slu'!$G$107),'Progetto del paramento slu'!$G$108),'Progetto del paramento slu'!$G$109),'Progetto del paramento slu'!$G$110),'Progetto del paramento slu'!$G$111),'Progetto del paramento slu'!$G$112),55555)-IF(C193&lt;='SOLLECITAZ NASCOSTO'!$P$12,IF(C193&lt;='SOLLECITAZ NASCOSTO'!$P$11,IF(C193&lt;='SOLLECITAZ NASCOSTO'!$P$10,IF(C193&lt;='SOLLECITAZ NASCOSTO'!$P$9,IF(C193&lt;='SOLLECITAZ NASCOSTO'!$P$8,IF(C193&lt;='SOLLECITAZ NASCOSTO'!$P$7,IF(C193&lt;='SOLLECITAZ NASCOSTO'!$P$6,IF(C193&lt;='SOLLECITAZ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slu'!$G$112))*(C193-IF(C193&lt;='SOLLECITAZ NASCOSTO'!$P$12,IF(C193&lt;='SOLLECITAZ NASCOSTO'!$P$11,IF(C193&lt;='SOLLECITAZ NASCOSTO'!$P$10,IF(C193&lt;='SOLLECITAZ NASCOSTO'!$P$9,IF(C193&lt;='SOLLECITAZ NASCOSTO'!$P$8,IF(C193&lt;='SOLLECITAZ NASCOSTO'!$P$7,IF(C193&lt;='SOLLECITAZ NASCOSTO'!$P$6,IF(C193&lt;='SOLLECITAZ NASCOSTO'!$P$5,'SOLLECITAZ NASCOSTO'!$P$3,'SOLLECITAZ NASCOSTO'!$P$5),'SOLLECITAZ NASCOSTO'!$P$5),'SOLLECITAZ NASCOSTO'!$P$7),'SOLLECITAZ NASCOSTO'!$P$8),'SOLLECITAZ NASCOSTO'!$P$9),'SOLLECITAZ NASCOSTO'!$P$10),'SOLLECITAZ NASCOSTO'!$P$11),'SOLLECITAZ NASCOSTO'!$P$12))/IF(C193&lt;='SOLLECITAZ NASCOSTO'!$P$12,IF(C193&lt;='SOLLECITAZ NASCOSTO'!$P$11,IF(C193&lt;='SOLLECITAZ NASCOSTO'!$P$10,IF(C193&lt;='SOLLECITAZ NASCOSTO'!$P$9,IF(C193&lt;='SOLLECITAZ NASCOSTO'!$P$8,IF(C193&lt;='SOLLECITAZ NASCOSTO'!$P$7,IF(C193&lt;='SOLLECITAZ NASCOSTO'!$P$6,IF(C193&lt;='SOLLECITAZ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slu'!$C$112)+IF(C193&lt;='SOLLECITAZ NASCOSTO'!$P$12,IF(C193&lt;='SOLLECITAZ NASCOSTO'!$P$11,IF(C193&lt;='SOLLECITAZ NASCOSTO'!$P$10,IF(C193&lt;='SOLLECITAZ NASCOSTO'!$P$9,IF(C193&lt;='SOLLECITAZ NASCOSTO'!$P$8,IF(C193&lt;='SOLLECITAZ NASCOSTO'!$P$7,IF(C193&lt;='SOLLECITAZ NASCOSTO'!$P$6,IF(C193&lt;='SOLLECITAZ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11.893369479356402</v>
      </c>
      <c r="O194" s="42">
        <f>IF(C194&lt;='SOLLECITAZ NASCOSTO'!$P$12,IF(C194&lt;='SOLLECITAZ NASCOSTO'!$P$11,IF(C194&lt;='SOLLECITAZ NASCOSTO'!$P$10,IF(C194&lt;='SOLLECITAZ NASCOSTO'!$P$9,IF(C194&lt;='SOLLECITAZ NASCOSTO'!$P$8,IF(C194&lt;='SOLLECITAZ NASCOSTO'!$P$7,IF(C194&lt;='SOLLECITAZ NASCOSTO'!$P$6,IF(C194&lt;='SOLLECITAZ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slu'!$G$111),55555)*(C194-C193)/IF(C194&lt;='SOLLECITAZ NASCOSTO'!$P$12,IF(C194&lt;='SOLLECITAZ NASCOSTO'!$P$11,IF(C194&lt;='SOLLECITAZ NASCOSTO'!$P$10,IF(C194&lt;='SOLLECITAZ NASCOSTO'!$P$9,IF(C194&lt;='SOLLECITAZ NASCOSTO'!$P$8,IF(C194&lt;='SOLLECITAZ NASCOSTO'!$P$7,IF(C194&lt;='SOLLECITAZ NASCOSTO'!$P$6,IF(C194&lt;='SOLLECITAZ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4" s="42">
        <f t="shared" si="57"/>
        <v>1.6099999999999966E-4</v>
      </c>
      <c r="Q194" s="42">
        <f t="shared" si="55"/>
        <v>1</v>
      </c>
      <c r="R194" s="441">
        <f t="shared" si="49"/>
        <v>1.1098557692307691</v>
      </c>
      <c r="S194" s="46">
        <f t="shared" si="56"/>
        <v>1.1098557692307691</v>
      </c>
      <c r="T194" s="211">
        <f t="shared" si="52"/>
        <v>2.2401442307692312</v>
      </c>
      <c r="U194" s="46">
        <f t="shared" si="53"/>
        <v>8.9263390574935428</v>
      </c>
      <c r="V194" s="46">
        <f t="shared" si="54"/>
        <v>-4.1531129464805483</v>
      </c>
      <c r="W194" s="496"/>
      <c r="X194" s="497"/>
      <c r="Y194" s="497"/>
      <c r="Z194" s="498"/>
      <c r="AA194" s="47"/>
    </row>
    <row r="195" spans="1:27" s="428" customFormat="1" x14ac:dyDescent="0.25">
      <c r="A195" s="589">
        <f t="shared" si="50"/>
        <v>3.9182692306849454E-6</v>
      </c>
      <c r="B195" s="32">
        <f t="shared" si="58"/>
        <v>163</v>
      </c>
      <c r="C195" s="441">
        <f>'SOLLECITAZ NASCOSTO'!$D$6/'SOLLECITAZ NASCOSTO'!$B$448*'SOLLECITAZ NASCOSTO'!B195</f>
        <v>1.1167067307692307</v>
      </c>
      <c r="D195" s="441">
        <f t="shared" si="51"/>
        <v>0.30000391826923067</v>
      </c>
      <c r="E195" s="441">
        <f t="shared" si="45"/>
        <v>3.9182692306849454E-6</v>
      </c>
      <c r="F195" s="441">
        <f t="shared" si="46"/>
        <v>0.30000391826923067</v>
      </c>
      <c r="G195" s="441">
        <f t="shared" si="47"/>
        <v>4.5001175488445622E-2</v>
      </c>
      <c r="H195" s="441">
        <f t="shared" si="59"/>
        <v>0</v>
      </c>
      <c r="I195" s="441">
        <v>0</v>
      </c>
      <c r="J195" s="131">
        <f t="shared" si="60"/>
        <v>0.15000195913461534</v>
      </c>
      <c r="K195" s="130">
        <f t="shared" si="48"/>
        <v>2.2500881622091579E-3</v>
      </c>
      <c r="L195" s="42">
        <f t="shared" si="61"/>
        <v>9.0083147023309422</v>
      </c>
      <c r="M195" s="42">
        <f t="shared" si="62"/>
        <v>-4.2145477580376394</v>
      </c>
      <c r="N195" s="42">
        <f>(IF(C194&lt;='SOLLECITAZ NASCOSTO'!$P$12,IF(C194&lt;='SOLLECITAZ NASCOSTO'!$P$11,IF(C194&lt;='SOLLECITAZ NASCOSTO'!$P$10,IF(C194&lt;='SOLLECITAZ NASCOSTO'!$P$9,IF(C194&lt;='SOLLECITAZ NASCOSTO'!$P$8,IF(C194&lt;='SOLLECITAZ NASCOSTO'!$P$7,IF(C194&lt;='SOLLECITAZ NASCOSTO'!$P$6,IF(C194&lt;='SOLLECITAZ NASCOSTO'!$P$5,'Progetto del paramento slu'!$G$105,'Progetto del paramento slu'!$G$106),'Progetto del paramento slu'!$G$107),'Progetto del paramento slu'!$G$108),'Progetto del paramento slu'!$G$109),'Progetto del paramento slu'!$G$110),'Progetto del paramento slu'!$G$111),'Progetto del paramento slu'!$G$112),55555)-IF(C194&lt;='SOLLECITAZ NASCOSTO'!$P$12,IF(C194&lt;='SOLLECITAZ NASCOSTO'!$P$11,IF(C194&lt;='SOLLECITAZ NASCOSTO'!$P$10,IF(C194&lt;='SOLLECITAZ NASCOSTO'!$P$9,IF(C194&lt;='SOLLECITAZ NASCOSTO'!$P$8,IF(C194&lt;='SOLLECITAZ NASCOSTO'!$P$7,IF(C194&lt;='SOLLECITAZ NASCOSTO'!$P$6,IF(C194&lt;='SOLLECITAZ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slu'!$G$112))*(C194-IF(C194&lt;='SOLLECITAZ NASCOSTO'!$P$12,IF(C194&lt;='SOLLECITAZ NASCOSTO'!$P$11,IF(C194&lt;='SOLLECITAZ NASCOSTO'!$P$10,IF(C194&lt;='SOLLECITAZ NASCOSTO'!$P$9,IF(C194&lt;='SOLLECITAZ NASCOSTO'!$P$8,IF(C194&lt;='SOLLECITAZ NASCOSTO'!$P$7,IF(C194&lt;='SOLLECITAZ NASCOSTO'!$P$6,IF(C194&lt;='SOLLECITAZ NASCOSTO'!$P$5,'SOLLECITAZ NASCOSTO'!$P$3,'SOLLECITAZ NASCOSTO'!$P$5),'SOLLECITAZ NASCOSTO'!$P$5),'SOLLECITAZ NASCOSTO'!$P$7),'SOLLECITAZ NASCOSTO'!$P$8),'SOLLECITAZ NASCOSTO'!$P$9),'SOLLECITAZ NASCOSTO'!$P$10),'SOLLECITAZ NASCOSTO'!$P$11),'SOLLECITAZ NASCOSTO'!$P$12))/IF(C194&lt;='SOLLECITAZ NASCOSTO'!$P$12,IF(C194&lt;='SOLLECITAZ NASCOSTO'!$P$11,IF(C194&lt;='SOLLECITAZ NASCOSTO'!$P$10,IF(C194&lt;='SOLLECITAZ NASCOSTO'!$P$9,IF(C194&lt;='SOLLECITAZ NASCOSTO'!$P$8,IF(C194&lt;='SOLLECITAZ NASCOSTO'!$P$7,IF(C194&lt;='SOLLECITAZ NASCOSTO'!$P$6,IF(C194&lt;='SOLLECITAZ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slu'!$C$112)+IF(C194&lt;='SOLLECITAZ NASCOSTO'!$P$12,IF(C194&lt;='SOLLECITAZ NASCOSTO'!$P$11,IF(C194&lt;='SOLLECITAZ NASCOSTO'!$P$10,IF(C194&lt;='SOLLECITAZ NASCOSTO'!$P$9,IF(C194&lt;='SOLLECITAZ NASCOSTO'!$P$8,IF(C194&lt;='SOLLECITAZ NASCOSTO'!$P$7,IF(C194&lt;='SOLLECITAZ NASCOSTO'!$P$6,IF(C194&lt;='SOLLECITAZ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11.941501698348755</v>
      </c>
      <c r="O195" s="42">
        <f>IF(C195&lt;='SOLLECITAZ NASCOSTO'!$P$12,IF(C195&lt;='SOLLECITAZ NASCOSTO'!$P$11,IF(C195&lt;='SOLLECITAZ NASCOSTO'!$P$10,IF(C195&lt;='SOLLECITAZ NASCOSTO'!$P$9,IF(C195&lt;='SOLLECITAZ NASCOSTO'!$P$8,IF(C195&lt;='SOLLECITAZ NASCOSTO'!$P$7,IF(C195&lt;='SOLLECITAZ NASCOSTO'!$P$6,IF(C195&lt;='SOLLECITAZ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slu'!$G$111),55555)*(C195-C194)/IF(C195&lt;='SOLLECITAZ NASCOSTO'!$P$12,IF(C195&lt;='SOLLECITAZ NASCOSTO'!$P$11,IF(C195&lt;='SOLLECITAZ NASCOSTO'!$P$10,IF(C195&lt;='SOLLECITAZ NASCOSTO'!$P$9,IF(C195&lt;='SOLLECITAZ NASCOSTO'!$P$8,IF(C195&lt;='SOLLECITAZ NASCOSTO'!$P$7,IF(C195&lt;='SOLLECITAZ NASCOSTO'!$P$6,IF(C195&lt;='SOLLECITAZ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5" s="42">
        <f t="shared" si="57"/>
        <v>1.6199999999999966E-4</v>
      </c>
      <c r="Q195" s="42">
        <f t="shared" si="55"/>
        <v>1</v>
      </c>
      <c r="R195" s="441">
        <f t="shared" si="49"/>
        <v>1.1167067307692307</v>
      </c>
      <c r="S195" s="46">
        <f t="shared" si="56"/>
        <v>1.1167067307692307</v>
      </c>
      <c r="T195" s="211">
        <f t="shared" si="52"/>
        <v>2.2332932692307694</v>
      </c>
      <c r="U195" s="46">
        <f t="shared" si="53"/>
        <v>9.0083147023309422</v>
      </c>
      <c r="V195" s="46">
        <f t="shared" si="54"/>
        <v>-4.2145477580376394</v>
      </c>
      <c r="W195" s="496"/>
      <c r="X195" s="497"/>
      <c r="Y195" s="497"/>
      <c r="Z195" s="498"/>
      <c r="AA195" s="47"/>
    </row>
    <row r="196" spans="1:27" s="428" customFormat="1" x14ac:dyDescent="0.25">
      <c r="A196" s="589">
        <f t="shared" si="50"/>
        <v>3.9423076922395772E-6</v>
      </c>
      <c r="B196" s="32">
        <f t="shared" si="58"/>
        <v>164</v>
      </c>
      <c r="C196" s="441">
        <f>'SOLLECITAZ NASCOSTO'!$D$6/'SOLLECITAZ NASCOSTO'!$B$448*'SOLLECITAZ NASCOSTO'!B196</f>
        <v>1.1235576923076922</v>
      </c>
      <c r="D196" s="441">
        <f t="shared" si="51"/>
        <v>0.30000394230769223</v>
      </c>
      <c r="E196" s="441">
        <f t="shared" si="45"/>
        <v>3.9423076922395772E-6</v>
      </c>
      <c r="F196" s="441">
        <f t="shared" si="46"/>
        <v>0.30000394230769223</v>
      </c>
      <c r="G196" s="441">
        <f t="shared" si="47"/>
        <v>4.5001182700078565E-2</v>
      </c>
      <c r="H196" s="441">
        <f t="shared" si="59"/>
        <v>0</v>
      </c>
      <c r="I196" s="441">
        <v>0</v>
      </c>
      <c r="J196" s="131">
        <f t="shared" si="60"/>
        <v>0.15000197115384611</v>
      </c>
      <c r="K196" s="130">
        <f t="shared" si="48"/>
        <v>2.2500887030887148E-3</v>
      </c>
      <c r="L196" s="42">
        <f t="shared" si="61"/>
        <v>9.0906200991494188</v>
      </c>
      <c r="M196" s="42">
        <f t="shared" si="62"/>
        <v>-4.2765453111436722</v>
      </c>
      <c r="N196" s="42">
        <f>(IF(C195&lt;='SOLLECITAZ NASCOSTO'!$P$12,IF(C195&lt;='SOLLECITAZ NASCOSTO'!$P$11,IF(C195&lt;='SOLLECITAZ NASCOSTO'!$P$10,IF(C195&lt;='SOLLECITAZ NASCOSTO'!$P$9,IF(C195&lt;='SOLLECITAZ NASCOSTO'!$P$8,IF(C195&lt;='SOLLECITAZ NASCOSTO'!$P$7,IF(C195&lt;='SOLLECITAZ NASCOSTO'!$P$6,IF(C195&lt;='SOLLECITAZ NASCOSTO'!$P$5,'Progetto del paramento slu'!$G$105,'Progetto del paramento slu'!$G$106),'Progetto del paramento slu'!$G$107),'Progetto del paramento slu'!$G$108),'Progetto del paramento slu'!$G$109),'Progetto del paramento slu'!$G$110),'Progetto del paramento slu'!$G$111),'Progetto del paramento slu'!$G$112),55555)-IF(C195&lt;='SOLLECITAZ NASCOSTO'!$P$12,IF(C195&lt;='SOLLECITAZ NASCOSTO'!$P$11,IF(C195&lt;='SOLLECITAZ NASCOSTO'!$P$10,IF(C195&lt;='SOLLECITAZ NASCOSTO'!$P$9,IF(C195&lt;='SOLLECITAZ NASCOSTO'!$P$8,IF(C195&lt;='SOLLECITAZ NASCOSTO'!$P$7,IF(C195&lt;='SOLLECITAZ NASCOSTO'!$P$6,IF(C195&lt;='SOLLECITAZ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slu'!$G$112))*(C195-IF(C195&lt;='SOLLECITAZ NASCOSTO'!$P$12,IF(C195&lt;='SOLLECITAZ NASCOSTO'!$P$11,IF(C195&lt;='SOLLECITAZ NASCOSTO'!$P$10,IF(C195&lt;='SOLLECITAZ NASCOSTO'!$P$9,IF(C195&lt;='SOLLECITAZ NASCOSTO'!$P$8,IF(C195&lt;='SOLLECITAZ NASCOSTO'!$P$7,IF(C195&lt;='SOLLECITAZ NASCOSTO'!$P$6,IF(C195&lt;='SOLLECITAZ NASCOSTO'!$P$5,'SOLLECITAZ NASCOSTO'!$P$3,'SOLLECITAZ NASCOSTO'!$P$5),'SOLLECITAZ NASCOSTO'!$P$5),'SOLLECITAZ NASCOSTO'!$P$7),'SOLLECITAZ NASCOSTO'!$P$8),'SOLLECITAZ NASCOSTO'!$P$9),'SOLLECITAZ NASCOSTO'!$P$10),'SOLLECITAZ NASCOSTO'!$P$11),'SOLLECITAZ NASCOSTO'!$P$12))/IF(C195&lt;='SOLLECITAZ NASCOSTO'!$P$12,IF(C195&lt;='SOLLECITAZ NASCOSTO'!$P$11,IF(C195&lt;='SOLLECITAZ NASCOSTO'!$P$10,IF(C195&lt;='SOLLECITAZ NASCOSTO'!$P$9,IF(C195&lt;='SOLLECITAZ NASCOSTO'!$P$8,IF(C195&lt;='SOLLECITAZ NASCOSTO'!$P$7,IF(C195&lt;='SOLLECITAZ NASCOSTO'!$P$6,IF(C195&lt;='SOLLECITAZ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slu'!$C$112)+IF(C195&lt;='SOLLECITAZ NASCOSTO'!$P$12,IF(C195&lt;='SOLLECITAZ NASCOSTO'!$P$11,IF(C195&lt;='SOLLECITAZ NASCOSTO'!$P$10,IF(C195&lt;='SOLLECITAZ NASCOSTO'!$P$9,IF(C195&lt;='SOLLECITAZ NASCOSTO'!$P$8,IF(C195&lt;='SOLLECITAZ NASCOSTO'!$P$7,IF(C195&lt;='SOLLECITAZ NASCOSTO'!$P$6,IF(C195&lt;='SOLLECITAZ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11.989633917341106</v>
      </c>
      <c r="O196" s="42">
        <f>IF(C196&lt;='SOLLECITAZ NASCOSTO'!$P$12,IF(C196&lt;='SOLLECITAZ NASCOSTO'!$P$11,IF(C196&lt;='SOLLECITAZ NASCOSTO'!$P$10,IF(C196&lt;='SOLLECITAZ NASCOSTO'!$P$9,IF(C196&lt;='SOLLECITAZ NASCOSTO'!$P$8,IF(C196&lt;='SOLLECITAZ NASCOSTO'!$P$7,IF(C196&lt;='SOLLECITAZ NASCOSTO'!$P$6,IF(C196&lt;='SOLLECITAZ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slu'!$G$111),55555)*(C196-C195)/IF(C196&lt;='SOLLECITAZ NASCOSTO'!$P$12,IF(C196&lt;='SOLLECITAZ NASCOSTO'!$P$11,IF(C196&lt;='SOLLECITAZ NASCOSTO'!$P$10,IF(C196&lt;='SOLLECITAZ NASCOSTO'!$P$9,IF(C196&lt;='SOLLECITAZ NASCOSTO'!$P$8,IF(C196&lt;='SOLLECITAZ NASCOSTO'!$P$7,IF(C196&lt;='SOLLECITAZ NASCOSTO'!$P$6,IF(C196&lt;='SOLLECITAZ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6" s="42">
        <f t="shared" si="57"/>
        <v>1.6299999999999965E-4</v>
      </c>
      <c r="Q196" s="42">
        <f t="shared" si="55"/>
        <v>1</v>
      </c>
      <c r="R196" s="441">
        <f t="shared" si="49"/>
        <v>1.1235576923076922</v>
      </c>
      <c r="S196" s="46">
        <f t="shared" si="56"/>
        <v>1.1235576923076922</v>
      </c>
      <c r="T196" s="211">
        <f t="shared" si="52"/>
        <v>2.2264423076923077</v>
      </c>
      <c r="U196" s="46">
        <f t="shared" si="53"/>
        <v>9.0906200991494188</v>
      </c>
      <c r="V196" s="46">
        <f t="shared" si="54"/>
        <v>-4.2765453111436722</v>
      </c>
      <c r="W196" s="496"/>
      <c r="X196" s="497"/>
      <c r="Y196" s="497"/>
      <c r="Z196" s="498"/>
      <c r="AA196" s="47"/>
    </row>
    <row r="197" spans="1:27" s="428" customFormat="1" x14ac:dyDescent="0.25">
      <c r="A197" s="589">
        <f t="shared" si="50"/>
        <v>3.9663461537386979E-6</v>
      </c>
      <c r="B197" s="32">
        <f t="shared" si="58"/>
        <v>165</v>
      </c>
      <c r="C197" s="441">
        <f>'SOLLECITAZ NASCOSTO'!$D$6/'SOLLECITAZ NASCOSTO'!$B$448*'SOLLECITAZ NASCOSTO'!B197</f>
        <v>1.1304086538461537</v>
      </c>
      <c r="D197" s="441">
        <f t="shared" si="51"/>
        <v>0.30000396634615373</v>
      </c>
      <c r="E197" s="441">
        <f t="shared" si="45"/>
        <v>3.9663461537386979E-6</v>
      </c>
      <c r="F197" s="441">
        <f t="shared" si="46"/>
        <v>0.30000396634615373</v>
      </c>
      <c r="G197" s="441">
        <f t="shared" si="47"/>
        <v>4.5001189911712071E-2</v>
      </c>
      <c r="H197" s="441">
        <f t="shared" si="59"/>
        <v>0</v>
      </c>
      <c r="I197" s="441">
        <v>0</v>
      </c>
      <c r="J197" s="131">
        <f t="shared" si="60"/>
        <v>0.15000198317307686</v>
      </c>
      <c r="K197" s="130">
        <f t="shared" si="48"/>
        <v>2.2500892439683566E-3</v>
      </c>
      <c r="L197" s="42">
        <f t="shared" si="61"/>
        <v>9.1732552479489726</v>
      </c>
      <c r="M197" s="42">
        <f t="shared" si="62"/>
        <v>-4.3391078649167856</v>
      </c>
      <c r="N197" s="42">
        <f>(IF(C196&lt;='SOLLECITAZ NASCOSTO'!$P$12,IF(C196&lt;='SOLLECITAZ NASCOSTO'!$P$11,IF(C196&lt;='SOLLECITAZ NASCOSTO'!$P$10,IF(C196&lt;='SOLLECITAZ NASCOSTO'!$P$9,IF(C196&lt;='SOLLECITAZ NASCOSTO'!$P$8,IF(C196&lt;='SOLLECITAZ NASCOSTO'!$P$7,IF(C196&lt;='SOLLECITAZ NASCOSTO'!$P$6,IF(C196&lt;='SOLLECITAZ NASCOSTO'!$P$5,'Progetto del paramento slu'!$G$105,'Progetto del paramento slu'!$G$106),'Progetto del paramento slu'!$G$107),'Progetto del paramento slu'!$G$108),'Progetto del paramento slu'!$G$109),'Progetto del paramento slu'!$G$110),'Progetto del paramento slu'!$G$111),'Progetto del paramento slu'!$G$112),55555)-IF(C196&lt;='SOLLECITAZ NASCOSTO'!$P$12,IF(C196&lt;='SOLLECITAZ NASCOSTO'!$P$11,IF(C196&lt;='SOLLECITAZ NASCOSTO'!$P$10,IF(C196&lt;='SOLLECITAZ NASCOSTO'!$P$9,IF(C196&lt;='SOLLECITAZ NASCOSTO'!$P$8,IF(C196&lt;='SOLLECITAZ NASCOSTO'!$P$7,IF(C196&lt;='SOLLECITAZ NASCOSTO'!$P$6,IF(C196&lt;='SOLLECITAZ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slu'!$G$112))*(C196-IF(C196&lt;='SOLLECITAZ NASCOSTO'!$P$12,IF(C196&lt;='SOLLECITAZ NASCOSTO'!$P$11,IF(C196&lt;='SOLLECITAZ NASCOSTO'!$P$10,IF(C196&lt;='SOLLECITAZ NASCOSTO'!$P$9,IF(C196&lt;='SOLLECITAZ NASCOSTO'!$P$8,IF(C196&lt;='SOLLECITAZ NASCOSTO'!$P$7,IF(C196&lt;='SOLLECITAZ NASCOSTO'!$P$6,IF(C196&lt;='SOLLECITAZ NASCOSTO'!$P$5,'SOLLECITAZ NASCOSTO'!$P$3,'SOLLECITAZ NASCOSTO'!$P$5),'SOLLECITAZ NASCOSTO'!$P$5),'SOLLECITAZ NASCOSTO'!$P$7),'SOLLECITAZ NASCOSTO'!$P$8),'SOLLECITAZ NASCOSTO'!$P$9),'SOLLECITAZ NASCOSTO'!$P$10),'SOLLECITAZ NASCOSTO'!$P$11),'SOLLECITAZ NASCOSTO'!$P$12))/IF(C196&lt;='SOLLECITAZ NASCOSTO'!$P$12,IF(C196&lt;='SOLLECITAZ NASCOSTO'!$P$11,IF(C196&lt;='SOLLECITAZ NASCOSTO'!$P$10,IF(C196&lt;='SOLLECITAZ NASCOSTO'!$P$9,IF(C196&lt;='SOLLECITAZ NASCOSTO'!$P$8,IF(C196&lt;='SOLLECITAZ NASCOSTO'!$P$7,IF(C196&lt;='SOLLECITAZ NASCOSTO'!$P$6,IF(C196&lt;='SOLLECITAZ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slu'!$C$112)+IF(C196&lt;='SOLLECITAZ NASCOSTO'!$P$12,IF(C196&lt;='SOLLECITAZ NASCOSTO'!$P$11,IF(C196&lt;='SOLLECITAZ NASCOSTO'!$P$10,IF(C196&lt;='SOLLECITAZ NASCOSTO'!$P$9,IF(C196&lt;='SOLLECITAZ NASCOSTO'!$P$8,IF(C196&lt;='SOLLECITAZ NASCOSTO'!$P$7,IF(C196&lt;='SOLLECITAZ NASCOSTO'!$P$6,IF(C196&lt;='SOLLECITAZ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12.03776613633346</v>
      </c>
      <c r="O197" s="42">
        <f>IF(C197&lt;='SOLLECITAZ NASCOSTO'!$P$12,IF(C197&lt;='SOLLECITAZ NASCOSTO'!$P$11,IF(C197&lt;='SOLLECITAZ NASCOSTO'!$P$10,IF(C197&lt;='SOLLECITAZ NASCOSTO'!$P$9,IF(C197&lt;='SOLLECITAZ NASCOSTO'!$P$8,IF(C197&lt;='SOLLECITAZ NASCOSTO'!$P$7,IF(C197&lt;='SOLLECITAZ NASCOSTO'!$P$6,IF(C197&lt;='SOLLECITAZ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slu'!$G$111),55555)*(C197-C196)/IF(C197&lt;='SOLLECITAZ NASCOSTO'!$P$12,IF(C197&lt;='SOLLECITAZ NASCOSTO'!$P$11,IF(C197&lt;='SOLLECITAZ NASCOSTO'!$P$10,IF(C197&lt;='SOLLECITAZ NASCOSTO'!$P$9,IF(C197&lt;='SOLLECITAZ NASCOSTO'!$P$8,IF(C197&lt;='SOLLECITAZ NASCOSTO'!$P$7,IF(C197&lt;='SOLLECITAZ NASCOSTO'!$P$6,IF(C197&lt;='SOLLECITAZ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7" s="42">
        <f t="shared" si="57"/>
        <v>1.6399999999999965E-4</v>
      </c>
      <c r="Q197" s="42">
        <f t="shared" si="55"/>
        <v>1</v>
      </c>
      <c r="R197" s="441">
        <f t="shared" si="49"/>
        <v>1.1304086538461537</v>
      </c>
      <c r="S197" s="46">
        <f t="shared" si="56"/>
        <v>1.1304086538461537</v>
      </c>
      <c r="T197" s="211">
        <f t="shared" si="52"/>
        <v>2.2195913461538463</v>
      </c>
      <c r="U197" s="46">
        <f t="shared" si="53"/>
        <v>9.1732552479489726</v>
      </c>
      <c r="V197" s="46">
        <f t="shared" si="54"/>
        <v>-4.3391078649167856</v>
      </c>
      <c r="W197" s="496"/>
      <c r="X197" s="497"/>
      <c r="Y197" s="497"/>
      <c r="Z197" s="498"/>
      <c r="AA197" s="47"/>
    </row>
    <row r="198" spans="1:27" s="428" customFormat="1" x14ac:dyDescent="0.25">
      <c r="A198" s="589">
        <f t="shared" si="50"/>
        <v>3.9903846152933298E-6</v>
      </c>
      <c r="B198" s="32">
        <f t="shared" si="58"/>
        <v>166</v>
      </c>
      <c r="C198" s="441">
        <f>'SOLLECITAZ NASCOSTO'!$D$6/'SOLLECITAZ NASCOSTO'!$B$448*'SOLLECITAZ NASCOSTO'!B198</f>
        <v>1.1372596153846153</v>
      </c>
      <c r="D198" s="441">
        <f t="shared" si="51"/>
        <v>0.30000399038461528</v>
      </c>
      <c r="E198" s="441">
        <f t="shared" si="45"/>
        <v>3.9903846152933298E-6</v>
      </c>
      <c r="F198" s="441">
        <f t="shared" si="46"/>
        <v>0.30000399038461528</v>
      </c>
      <c r="G198" s="441">
        <f t="shared" si="47"/>
        <v>4.5001197123346173E-2</v>
      </c>
      <c r="H198" s="441">
        <f t="shared" si="59"/>
        <v>0</v>
      </c>
      <c r="I198" s="441">
        <v>0</v>
      </c>
      <c r="J198" s="131">
        <f t="shared" si="60"/>
        <v>0.15000199519230764</v>
      </c>
      <c r="K198" s="130">
        <f t="shared" si="48"/>
        <v>2.250089784848087E-3</v>
      </c>
      <c r="L198" s="42">
        <f t="shared" si="61"/>
        <v>9.2562201487296036</v>
      </c>
      <c r="M198" s="42">
        <f t="shared" si="62"/>
        <v>-4.40223767847512</v>
      </c>
      <c r="N198" s="42">
        <f>(IF(C197&lt;='SOLLECITAZ NASCOSTO'!$P$12,IF(C197&lt;='SOLLECITAZ NASCOSTO'!$P$11,IF(C197&lt;='SOLLECITAZ NASCOSTO'!$P$10,IF(C197&lt;='SOLLECITAZ NASCOSTO'!$P$9,IF(C197&lt;='SOLLECITAZ NASCOSTO'!$P$8,IF(C197&lt;='SOLLECITAZ NASCOSTO'!$P$7,IF(C197&lt;='SOLLECITAZ NASCOSTO'!$P$6,IF(C197&lt;='SOLLECITAZ NASCOSTO'!$P$5,'Progetto del paramento slu'!$G$105,'Progetto del paramento slu'!$G$106),'Progetto del paramento slu'!$G$107),'Progetto del paramento slu'!$G$108),'Progetto del paramento slu'!$G$109),'Progetto del paramento slu'!$G$110),'Progetto del paramento slu'!$G$111),'Progetto del paramento slu'!$G$112),55555)-IF(C197&lt;='SOLLECITAZ NASCOSTO'!$P$12,IF(C197&lt;='SOLLECITAZ NASCOSTO'!$P$11,IF(C197&lt;='SOLLECITAZ NASCOSTO'!$P$10,IF(C197&lt;='SOLLECITAZ NASCOSTO'!$P$9,IF(C197&lt;='SOLLECITAZ NASCOSTO'!$P$8,IF(C197&lt;='SOLLECITAZ NASCOSTO'!$P$7,IF(C197&lt;='SOLLECITAZ NASCOSTO'!$P$6,IF(C197&lt;='SOLLECITAZ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slu'!$G$112))*(C197-IF(C197&lt;='SOLLECITAZ NASCOSTO'!$P$12,IF(C197&lt;='SOLLECITAZ NASCOSTO'!$P$11,IF(C197&lt;='SOLLECITAZ NASCOSTO'!$P$10,IF(C197&lt;='SOLLECITAZ NASCOSTO'!$P$9,IF(C197&lt;='SOLLECITAZ NASCOSTO'!$P$8,IF(C197&lt;='SOLLECITAZ NASCOSTO'!$P$7,IF(C197&lt;='SOLLECITAZ NASCOSTO'!$P$6,IF(C197&lt;='SOLLECITAZ NASCOSTO'!$P$5,'SOLLECITAZ NASCOSTO'!$P$3,'SOLLECITAZ NASCOSTO'!$P$5),'SOLLECITAZ NASCOSTO'!$P$5),'SOLLECITAZ NASCOSTO'!$P$7),'SOLLECITAZ NASCOSTO'!$P$8),'SOLLECITAZ NASCOSTO'!$P$9),'SOLLECITAZ NASCOSTO'!$P$10),'SOLLECITAZ NASCOSTO'!$P$11),'SOLLECITAZ NASCOSTO'!$P$12))/IF(C197&lt;='SOLLECITAZ NASCOSTO'!$P$12,IF(C197&lt;='SOLLECITAZ NASCOSTO'!$P$11,IF(C197&lt;='SOLLECITAZ NASCOSTO'!$P$10,IF(C197&lt;='SOLLECITAZ NASCOSTO'!$P$9,IF(C197&lt;='SOLLECITAZ NASCOSTO'!$P$8,IF(C197&lt;='SOLLECITAZ NASCOSTO'!$P$7,IF(C197&lt;='SOLLECITAZ NASCOSTO'!$P$6,IF(C197&lt;='SOLLECITAZ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slu'!$C$112)+IF(C197&lt;='SOLLECITAZ NASCOSTO'!$P$12,IF(C197&lt;='SOLLECITAZ NASCOSTO'!$P$11,IF(C197&lt;='SOLLECITAZ NASCOSTO'!$P$10,IF(C197&lt;='SOLLECITAZ NASCOSTO'!$P$9,IF(C197&lt;='SOLLECITAZ NASCOSTO'!$P$8,IF(C197&lt;='SOLLECITAZ NASCOSTO'!$P$7,IF(C197&lt;='SOLLECITAZ NASCOSTO'!$P$6,IF(C197&lt;='SOLLECITAZ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12.085898355325812</v>
      </c>
      <c r="O198" s="42">
        <f>IF(C198&lt;='SOLLECITAZ NASCOSTO'!$P$12,IF(C198&lt;='SOLLECITAZ NASCOSTO'!$P$11,IF(C198&lt;='SOLLECITAZ NASCOSTO'!$P$10,IF(C198&lt;='SOLLECITAZ NASCOSTO'!$P$9,IF(C198&lt;='SOLLECITAZ NASCOSTO'!$P$8,IF(C198&lt;='SOLLECITAZ NASCOSTO'!$P$7,IF(C198&lt;='SOLLECITAZ NASCOSTO'!$P$6,IF(C198&lt;='SOLLECITAZ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slu'!$G$111),55555)*(C198-C197)/IF(C198&lt;='SOLLECITAZ NASCOSTO'!$P$12,IF(C198&lt;='SOLLECITAZ NASCOSTO'!$P$11,IF(C198&lt;='SOLLECITAZ NASCOSTO'!$P$10,IF(C198&lt;='SOLLECITAZ NASCOSTO'!$P$9,IF(C198&lt;='SOLLECITAZ NASCOSTO'!$P$8,IF(C198&lt;='SOLLECITAZ NASCOSTO'!$P$7,IF(C198&lt;='SOLLECITAZ NASCOSTO'!$P$6,IF(C198&lt;='SOLLECITAZ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8" s="42">
        <f t="shared" si="57"/>
        <v>1.6499999999999965E-4</v>
      </c>
      <c r="Q198" s="42">
        <f t="shared" si="55"/>
        <v>1</v>
      </c>
      <c r="R198" s="441">
        <f t="shared" si="49"/>
        <v>1.1372596153846153</v>
      </c>
      <c r="S198" s="46">
        <f t="shared" si="56"/>
        <v>1.1372596153846153</v>
      </c>
      <c r="T198" s="211">
        <f t="shared" si="52"/>
        <v>2.212740384615385</v>
      </c>
      <c r="U198" s="46">
        <f t="shared" si="53"/>
        <v>9.2562201487296036</v>
      </c>
      <c r="V198" s="46">
        <f t="shared" si="54"/>
        <v>-4.40223767847512</v>
      </c>
      <c r="W198" s="496"/>
      <c r="X198" s="497"/>
      <c r="Y198" s="497"/>
      <c r="Z198" s="498"/>
      <c r="AA198" s="47"/>
    </row>
    <row r="199" spans="1:27" s="428" customFormat="1" x14ac:dyDescent="0.25">
      <c r="A199" s="589">
        <f t="shared" si="50"/>
        <v>4.0144230768479616E-6</v>
      </c>
      <c r="B199" s="32">
        <f t="shared" si="58"/>
        <v>167</v>
      </c>
      <c r="C199" s="441">
        <f>'SOLLECITAZ NASCOSTO'!$D$6/'SOLLECITAZ NASCOSTO'!$B$448*'SOLLECITAZ NASCOSTO'!B199</f>
        <v>1.1441105769230768</v>
      </c>
      <c r="D199" s="441">
        <f t="shared" si="51"/>
        <v>0.30000401442307684</v>
      </c>
      <c r="E199" s="441">
        <f t="shared" si="45"/>
        <v>4.0144230768479616E-6</v>
      </c>
      <c r="F199" s="441">
        <f t="shared" si="46"/>
        <v>0.30000401442307684</v>
      </c>
      <c r="G199" s="441">
        <f t="shared" si="47"/>
        <v>4.5001204334980852E-2</v>
      </c>
      <c r="H199" s="441">
        <f t="shared" si="59"/>
        <v>0</v>
      </c>
      <c r="I199" s="441">
        <v>0</v>
      </c>
      <c r="J199" s="131">
        <f t="shared" si="60"/>
        <v>0.15000200721153845</v>
      </c>
      <c r="K199" s="130">
        <f t="shared" si="48"/>
        <v>2.2500903257279036E-3</v>
      </c>
      <c r="L199" s="42">
        <f t="shared" si="61"/>
        <v>9.3395148014913119</v>
      </c>
      <c r="M199" s="42">
        <f t="shared" si="62"/>
        <v>-4.4659370109368144</v>
      </c>
      <c r="N199" s="42">
        <f>(IF(C198&lt;='SOLLECITAZ NASCOSTO'!$P$12,IF(C198&lt;='SOLLECITAZ NASCOSTO'!$P$11,IF(C198&lt;='SOLLECITAZ NASCOSTO'!$P$10,IF(C198&lt;='SOLLECITAZ NASCOSTO'!$P$9,IF(C198&lt;='SOLLECITAZ NASCOSTO'!$P$8,IF(C198&lt;='SOLLECITAZ NASCOSTO'!$P$7,IF(C198&lt;='SOLLECITAZ NASCOSTO'!$P$6,IF(C198&lt;='SOLLECITAZ NASCOSTO'!$P$5,'Progetto del paramento slu'!$G$105,'Progetto del paramento slu'!$G$106),'Progetto del paramento slu'!$G$107),'Progetto del paramento slu'!$G$108),'Progetto del paramento slu'!$G$109),'Progetto del paramento slu'!$G$110),'Progetto del paramento slu'!$G$111),'Progetto del paramento slu'!$G$112),55555)-IF(C198&lt;='SOLLECITAZ NASCOSTO'!$P$12,IF(C198&lt;='SOLLECITAZ NASCOSTO'!$P$11,IF(C198&lt;='SOLLECITAZ NASCOSTO'!$P$10,IF(C198&lt;='SOLLECITAZ NASCOSTO'!$P$9,IF(C198&lt;='SOLLECITAZ NASCOSTO'!$P$8,IF(C198&lt;='SOLLECITAZ NASCOSTO'!$P$7,IF(C198&lt;='SOLLECITAZ NASCOSTO'!$P$6,IF(C198&lt;='SOLLECITAZ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slu'!$G$112))*(C198-IF(C198&lt;='SOLLECITAZ NASCOSTO'!$P$12,IF(C198&lt;='SOLLECITAZ NASCOSTO'!$P$11,IF(C198&lt;='SOLLECITAZ NASCOSTO'!$P$10,IF(C198&lt;='SOLLECITAZ NASCOSTO'!$P$9,IF(C198&lt;='SOLLECITAZ NASCOSTO'!$P$8,IF(C198&lt;='SOLLECITAZ NASCOSTO'!$P$7,IF(C198&lt;='SOLLECITAZ NASCOSTO'!$P$6,IF(C198&lt;='SOLLECITAZ NASCOSTO'!$P$5,'SOLLECITAZ NASCOSTO'!$P$3,'SOLLECITAZ NASCOSTO'!$P$5),'SOLLECITAZ NASCOSTO'!$P$5),'SOLLECITAZ NASCOSTO'!$P$7),'SOLLECITAZ NASCOSTO'!$P$8),'SOLLECITAZ NASCOSTO'!$P$9),'SOLLECITAZ NASCOSTO'!$P$10),'SOLLECITAZ NASCOSTO'!$P$11),'SOLLECITAZ NASCOSTO'!$P$12))/IF(C198&lt;='SOLLECITAZ NASCOSTO'!$P$12,IF(C198&lt;='SOLLECITAZ NASCOSTO'!$P$11,IF(C198&lt;='SOLLECITAZ NASCOSTO'!$P$10,IF(C198&lt;='SOLLECITAZ NASCOSTO'!$P$9,IF(C198&lt;='SOLLECITAZ NASCOSTO'!$P$8,IF(C198&lt;='SOLLECITAZ NASCOSTO'!$P$7,IF(C198&lt;='SOLLECITAZ NASCOSTO'!$P$6,IF(C198&lt;='SOLLECITAZ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slu'!$C$112)+IF(C198&lt;='SOLLECITAZ NASCOSTO'!$P$12,IF(C198&lt;='SOLLECITAZ NASCOSTO'!$P$11,IF(C198&lt;='SOLLECITAZ NASCOSTO'!$P$10,IF(C198&lt;='SOLLECITAZ NASCOSTO'!$P$9,IF(C198&lt;='SOLLECITAZ NASCOSTO'!$P$8,IF(C198&lt;='SOLLECITAZ NASCOSTO'!$P$7,IF(C198&lt;='SOLLECITAZ NASCOSTO'!$P$6,IF(C198&lt;='SOLLECITAZ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12.134030574318164</v>
      </c>
      <c r="O199" s="42">
        <f>IF(C199&lt;='SOLLECITAZ NASCOSTO'!$P$12,IF(C199&lt;='SOLLECITAZ NASCOSTO'!$P$11,IF(C199&lt;='SOLLECITAZ NASCOSTO'!$P$10,IF(C199&lt;='SOLLECITAZ NASCOSTO'!$P$9,IF(C199&lt;='SOLLECITAZ NASCOSTO'!$P$8,IF(C199&lt;='SOLLECITAZ NASCOSTO'!$P$7,IF(C199&lt;='SOLLECITAZ NASCOSTO'!$P$6,IF(C199&lt;='SOLLECITAZ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slu'!$G$111),55555)*(C199-C198)/IF(C199&lt;='SOLLECITAZ NASCOSTO'!$P$12,IF(C199&lt;='SOLLECITAZ NASCOSTO'!$P$11,IF(C199&lt;='SOLLECITAZ NASCOSTO'!$P$10,IF(C199&lt;='SOLLECITAZ NASCOSTO'!$P$9,IF(C199&lt;='SOLLECITAZ NASCOSTO'!$P$8,IF(C199&lt;='SOLLECITAZ NASCOSTO'!$P$7,IF(C199&lt;='SOLLECITAZ NASCOSTO'!$P$6,IF(C199&lt;='SOLLECITAZ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199" s="42">
        <f t="shared" si="57"/>
        <v>1.6599999999999964E-4</v>
      </c>
      <c r="Q199" s="42">
        <f t="shared" si="55"/>
        <v>1</v>
      </c>
      <c r="R199" s="441">
        <f t="shared" si="49"/>
        <v>1.1441105769230768</v>
      </c>
      <c r="S199" s="46">
        <f t="shared" si="56"/>
        <v>1.1441105769230768</v>
      </c>
      <c r="T199" s="211">
        <f t="shared" si="52"/>
        <v>2.2058894230769233</v>
      </c>
      <c r="U199" s="46">
        <f t="shared" si="53"/>
        <v>9.3395148014913119</v>
      </c>
      <c r="V199" s="46">
        <f t="shared" si="54"/>
        <v>-4.4659370109368144</v>
      </c>
      <c r="W199" s="496"/>
      <c r="X199" s="497"/>
      <c r="Y199" s="497"/>
      <c r="Z199" s="498"/>
      <c r="AA199" s="47"/>
    </row>
    <row r="200" spans="1:27" s="428" customFormat="1" x14ac:dyDescent="0.25">
      <c r="A200" s="589">
        <f t="shared" si="50"/>
        <v>4.0384615383470823E-6</v>
      </c>
      <c r="B200" s="32">
        <f t="shared" si="58"/>
        <v>168</v>
      </c>
      <c r="C200" s="441">
        <f>'SOLLECITAZ NASCOSTO'!$D$6/'SOLLECITAZ NASCOSTO'!$B$448*'SOLLECITAZ NASCOSTO'!B200</f>
        <v>1.1509615384615384</v>
      </c>
      <c r="D200" s="441">
        <f t="shared" si="51"/>
        <v>0.30000403846153834</v>
      </c>
      <c r="E200" s="441">
        <f t="shared" si="45"/>
        <v>4.0384615383470823E-6</v>
      </c>
      <c r="F200" s="441">
        <f t="shared" si="46"/>
        <v>0.30000403846153834</v>
      </c>
      <c r="G200" s="441">
        <f t="shared" si="47"/>
        <v>4.5001211546616085E-2</v>
      </c>
      <c r="H200" s="441">
        <f t="shared" si="59"/>
        <v>0</v>
      </c>
      <c r="I200" s="441">
        <v>0</v>
      </c>
      <c r="J200" s="131">
        <f t="shared" si="60"/>
        <v>0.15000201923076917</v>
      </c>
      <c r="K200" s="130">
        <f t="shared" si="48"/>
        <v>2.2500908666078056E-3</v>
      </c>
      <c r="L200" s="42">
        <f t="shared" si="61"/>
        <v>9.4231392062340973</v>
      </c>
      <c r="M200" s="42">
        <f t="shared" si="62"/>
        <v>-4.5302081214200083</v>
      </c>
      <c r="N200" s="42">
        <f>(IF(C199&lt;='SOLLECITAZ NASCOSTO'!$P$12,IF(C199&lt;='SOLLECITAZ NASCOSTO'!$P$11,IF(C199&lt;='SOLLECITAZ NASCOSTO'!$P$10,IF(C199&lt;='SOLLECITAZ NASCOSTO'!$P$9,IF(C199&lt;='SOLLECITAZ NASCOSTO'!$P$8,IF(C199&lt;='SOLLECITAZ NASCOSTO'!$P$7,IF(C199&lt;='SOLLECITAZ NASCOSTO'!$P$6,IF(C199&lt;='SOLLECITAZ NASCOSTO'!$P$5,'Progetto del paramento slu'!$G$105,'Progetto del paramento slu'!$G$106),'Progetto del paramento slu'!$G$107),'Progetto del paramento slu'!$G$108),'Progetto del paramento slu'!$G$109),'Progetto del paramento slu'!$G$110),'Progetto del paramento slu'!$G$111),'Progetto del paramento slu'!$G$112),55555)-IF(C199&lt;='SOLLECITAZ NASCOSTO'!$P$12,IF(C199&lt;='SOLLECITAZ NASCOSTO'!$P$11,IF(C199&lt;='SOLLECITAZ NASCOSTO'!$P$10,IF(C199&lt;='SOLLECITAZ NASCOSTO'!$P$9,IF(C199&lt;='SOLLECITAZ NASCOSTO'!$P$8,IF(C199&lt;='SOLLECITAZ NASCOSTO'!$P$7,IF(C199&lt;='SOLLECITAZ NASCOSTO'!$P$6,IF(C199&lt;='SOLLECITAZ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slu'!$G$112))*(C199-IF(C199&lt;='SOLLECITAZ NASCOSTO'!$P$12,IF(C199&lt;='SOLLECITAZ NASCOSTO'!$P$11,IF(C199&lt;='SOLLECITAZ NASCOSTO'!$P$10,IF(C199&lt;='SOLLECITAZ NASCOSTO'!$P$9,IF(C199&lt;='SOLLECITAZ NASCOSTO'!$P$8,IF(C199&lt;='SOLLECITAZ NASCOSTO'!$P$7,IF(C199&lt;='SOLLECITAZ NASCOSTO'!$P$6,IF(C199&lt;='SOLLECITAZ NASCOSTO'!$P$5,'SOLLECITAZ NASCOSTO'!$P$3,'SOLLECITAZ NASCOSTO'!$P$5),'SOLLECITAZ NASCOSTO'!$P$5),'SOLLECITAZ NASCOSTO'!$P$7),'SOLLECITAZ NASCOSTO'!$P$8),'SOLLECITAZ NASCOSTO'!$P$9),'SOLLECITAZ NASCOSTO'!$P$10),'SOLLECITAZ NASCOSTO'!$P$11),'SOLLECITAZ NASCOSTO'!$P$12))/IF(C199&lt;='SOLLECITAZ NASCOSTO'!$P$12,IF(C199&lt;='SOLLECITAZ NASCOSTO'!$P$11,IF(C199&lt;='SOLLECITAZ NASCOSTO'!$P$10,IF(C199&lt;='SOLLECITAZ NASCOSTO'!$P$9,IF(C199&lt;='SOLLECITAZ NASCOSTO'!$P$8,IF(C199&lt;='SOLLECITAZ NASCOSTO'!$P$7,IF(C199&lt;='SOLLECITAZ NASCOSTO'!$P$6,IF(C199&lt;='SOLLECITAZ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slu'!$C$112)+IF(C199&lt;='SOLLECITAZ NASCOSTO'!$P$12,IF(C199&lt;='SOLLECITAZ NASCOSTO'!$P$11,IF(C199&lt;='SOLLECITAZ NASCOSTO'!$P$10,IF(C199&lt;='SOLLECITAZ NASCOSTO'!$P$9,IF(C199&lt;='SOLLECITAZ NASCOSTO'!$P$8,IF(C199&lt;='SOLLECITAZ NASCOSTO'!$P$7,IF(C199&lt;='SOLLECITAZ NASCOSTO'!$P$6,IF(C199&lt;='SOLLECITAZ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12.182162793310518</v>
      </c>
      <c r="O200" s="42">
        <f>IF(C200&lt;='SOLLECITAZ NASCOSTO'!$P$12,IF(C200&lt;='SOLLECITAZ NASCOSTO'!$P$11,IF(C200&lt;='SOLLECITAZ NASCOSTO'!$P$10,IF(C200&lt;='SOLLECITAZ NASCOSTO'!$P$9,IF(C200&lt;='SOLLECITAZ NASCOSTO'!$P$8,IF(C200&lt;='SOLLECITAZ NASCOSTO'!$P$7,IF(C200&lt;='SOLLECITAZ NASCOSTO'!$P$6,IF(C200&lt;='SOLLECITAZ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slu'!$G$111),55555)*(C200-C199)/IF(C200&lt;='SOLLECITAZ NASCOSTO'!$P$12,IF(C200&lt;='SOLLECITAZ NASCOSTO'!$P$11,IF(C200&lt;='SOLLECITAZ NASCOSTO'!$P$10,IF(C200&lt;='SOLLECITAZ NASCOSTO'!$P$9,IF(C200&lt;='SOLLECITAZ NASCOSTO'!$P$8,IF(C200&lt;='SOLLECITAZ NASCOSTO'!$P$7,IF(C200&lt;='SOLLECITAZ NASCOSTO'!$P$6,IF(C200&lt;='SOLLECITAZ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0" s="42">
        <f t="shared" si="57"/>
        <v>1.6699999999999964E-4</v>
      </c>
      <c r="Q200" s="42">
        <f t="shared" si="55"/>
        <v>1</v>
      </c>
      <c r="R200" s="441">
        <f t="shared" si="49"/>
        <v>1.1509615384615384</v>
      </c>
      <c r="S200" s="46">
        <f t="shared" si="56"/>
        <v>1.1509615384615384</v>
      </c>
      <c r="T200" s="211">
        <f t="shared" si="52"/>
        <v>2.1990384615384615</v>
      </c>
      <c r="U200" s="46">
        <f t="shared" si="53"/>
        <v>9.4231392062340973</v>
      </c>
      <c r="V200" s="46">
        <f t="shared" si="54"/>
        <v>-4.5302081214200083</v>
      </c>
      <c r="W200" s="496"/>
      <c r="X200" s="497"/>
      <c r="Y200" s="497"/>
      <c r="Z200" s="498"/>
      <c r="AA200" s="47"/>
    </row>
    <row r="201" spans="1:27" s="428" customFormat="1" x14ac:dyDescent="0.25">
      <c r="A201" s="589">
        <f t="shared" si="50"/>
        <v>4.0624999999017142E-6</v>
      </c>
      <c r="B201" s="32">
        <f t="shared" si="58"/>
        <v>169</v>
      </c>
      <c r="C201" s="441">
        <f>'SOLLECITAZ NASCOSTO'!$D$6/'SOLLECITAZ NASCOSTO'!$B$448*'SOLLECITAZ NASCOSTO'!B201</f>
        <v>1.1578124999999999</v>
      </c>
      <c r="D201" s="441">
        <f t="shared" si="51"/>
        <v>0.30000406249999989</v>
      </c>
      <c r="E201" s="441">
        <f t="shared" si="45"/>
        <v>4.0624999999017142E-6</v>
      </c>
      <c r="F201" s="441">
        <f t="shared" si="46"/>
        <v>0.30000406249999989</v>
      </c>
      <c r="G201" s="441">
        <f t="shared" si="47"/>
        <v>4.5001218758251922E-2</v>
      </c>
      <c r="H201" s="441">
        <f t="shared" si="59"/>
        <v>0</v>
      </c>
      <c r="I201" s="441">
        <v>0</v>
      </c>
      <c r="J201" s="131">
        <f t="shared" si="60"/>
        <v>0.15000203124999995</v>
      </c>
      <c r="K201" s="130">
        <f t="shared" si="48"/>
        <v>2.2500914074877962E-3</v>
      </c>
      <c r="L201" s="42">
        <f t="shared" si="61"/>
        <v>9.5070933629579617</v>
      </c>
      <c r="M201" s="42">
        <f t="shared" si="62"/>
        <v>-4.5950532690428414</v>
      </c>
      <c r="N201" s="42">
        <f>(IF(C200&lt;='SOLLECITAZ NASCOSTO'!$P$12,IF(C200&lt;='SOLLECITAZ NASCOSTO'!$P$11,IF(C200&lt;='SOLLECITAZ NASCOSTO'!$P$10,IF(C200&lt;='SOLLECITAZ NASCOSTO'!$P$9,IF(C200&lt;='SOLLECITAZ NASCOSTO'!$P$8,IF(C200&lt;='SOLLECITAZ NASCOSTO'!$P$7,IF(C200&lt;='SOLLECITAZ NASCOSTO'!$P$6,IF(C200&lt;='SOLLECITAZ NASCOSTO'!$P$5,'Progetto del paramento slu'!$G$105,'Progetto del paramento slu'!$G$106),'Progetto del paramento slu'!$G$107),'Progetto del paramento slu'!$G$108),'Progetto del paramento slu'!$G$109),'Progetto del paramento slu'!$G$110),'Progetto del paramento slu'!$G$111),'Progetto del paramento slu'!$G$112),55555)-IF(C200&lt;='SOLLECITAZ NASCOSTO'!$P$12,IF(C200&lt;='SOLLECITAZ NASCOSTO'!$P$11,IF(C200&lt;='SOLLECITAZ NASCOSTO'!$P$10,IF(C200&lt;='SOLLECITAZ NASCOSTO'!$P$9,IF(C200&lt;='SOLLECITAZ NASCOSTO'!$P$8,IF(C200&lt;='SOLLECITAZ NASCOSTO'!$P$7,IF(C200&lt;='SOLLECITAZ NASCOSTO'!$P$6,IF(C200&lt;='SOLLECITAZ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slu'!$G$112))*(C200-IF(C200&lt;='SOLLECITAZ NASCOSTO'!$P$12,IF(C200&lt;='SOLLECITAZ NASCOSTO'!$P$11,IF(C200&lt;='SOLLECITAZ NASCOSTO'!$P$10,IF(C200&lt;='SOLLECITAZ NASCOSTO'!$P$9,IF(C200&lt;='SOLLECITAZ NASCOSTO'!$P$8,IF(C200&lt;='SOLLECITAZ NASCOSTO'!$P$7,IF(C200&lt;='SOLLECITAZ NASCOSTO'!$P$6,IF(C200&lt;='SOLLECITAZ NASCOSTO'!$P$5,'SOLLECITAZ NASCOSTO'!$P$3,'SOLLECITAZ NASCOSTO'!$P$5),'SOLLECITAZ NASCOSTO'!$P$5),'SOLLECITAZ NASCOSTO'!$P$7),'SOLLECITAZ NASCOSTO'!$P$8),'SOLLECITAZ NASCOSTO'!$P$9),'SOLLECITAZ NASCOSTO'!$P$10),'SOLLECITAZ NASCOSTO'!$P$11),'SOLLECITAZ NASCOSTO'!$P$12))/IF(C200&lt;='SOLLECITAZ NASCOSTO'!$P$12,IF(C200&lt;='SOLLECITAZ NASCOSTO'!$P$11,IF(C200&lt;='SOLLECITAZ NASCOSTO'!$P$10,IF(C200&lt;='SOLLECITAZ NASCOSTO'!$P$9,IF(C200&lt;='SOLLECITAZ NASCOSTO'!$P$8,IF(C200&lt;='SOLLECITAZ NASCOSTO'!$P$7,IF(C200&lt;='SOLLECITAZ NASCOSTO'!$P$6,IF(C200&lt;='SOLLECITAZ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slu'!$C$112)+IF(C200&lt;='SOLLECITAZ NASCOSTO'!$P$12,IF(C200&lt;='SOLLECITAZ NASCOSTO'!$P$11,IF(C200&lt;='SOLLECITAZ NASCOSTO'!$P$10,IF(C200&lt;='SOLLECITAZ NASCOSTO'!$P$9,IF(C200&lt;='SOLLECITAZ NASCOSTO'!$P$8,IF(C200&lt;='SOLLECITAZ NASCOSTO'!$P$7,IF(C200&lt;='SOLLECITAZ NASCOSTO'!$P$6,IF(C200&lt;='SOLLECITAZ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12.23029501230287</v>
      </c>
      <c r="O201" s="42">
        <f>IF(C201&lt;='SOLLECITAZ NASCOSTO'!$P$12,IF(C201&lt;='SOLLECITAZ NASCOSTO'!$P$11,IF(C201&lt;='SOLLECITAZ NASCOSTO'!$P$10,IF(C201&lt;='SOLLECITAZ NASCOSTO'!$P$9,IF(C201&lt;='SOLLECITAZ NASCOSTO'!$P$8,IF(C201&lt;='SOLLECITAZ NASCOSTO'!$P$7,IF(C201&lt;='SOLLECITAZ NASCOSTO'!$P$6,IF(C201&lt;='SOLLECITAZ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slu'!$G$111),55555)*(C201-C200)/IF(C201&lt;='SOLLECITAZ NASCOSTO'!$P$12,IF(C201&lt;='SOLLECITAZ NASCOSTO'!$P$11,IF(C201&lt;='SOLLECITAZ NASCOSTO'!$P$10,IF(C201&lt;='SOLLECITAZ NASCOSTO'!$P$9,IF(C201&lt;='SOLLECITAZ NASCOSTO'!$P$8,IF(C201&lt;='SOLLECITAZ NASCOSTO'!$P$7,IF(C201&lt;='SOLLECITAZ NASCOSTO'!$P$6,IF(C201&lt;='SOLLECITAZ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1" s="42">
        <f t="shared" si="57"/>
        <v>1.6799999999999964E-4</v>
      </c>
      <c r="Q201" s="42">
        <f t="shared" si="55"/>
        <v>1</v>
      </c>
      <c r="R201" s="441">
        <f t="shared" si="49"/>
        <v>1.1578124999999999</v>
      </c>
      <c r="S201" s="46">
        <f t="shared" si="56"/>
        <v>1.1578124999999999</v>
      </c>
      <c r="T201" s="211">
        <f t="shared" si="52"/>
        <v>2.1921875000000002</v>
      </c>
      <c r="U201" s="46">
        <f t="shared" si="53"/>
        <v>9.5070933629579617</v>
      </c>
      <c r="V201" s="46">
        <f t="shared" si="54"/>
        <v>-4.5950532690428414</v>
      </c>
      <c r="W201" s="496"/>
      <c r="X201" s="497"/>
      <c r="Y201" s="497"/>
      <c r="Z201" s="498"/>
      <c r="AA201" s="47"/>
    </row>
    <row r="202" spans="1:27" s="428" customFormat="1" x14ac:dyDescent="0.25">
      <c r="A202" s="589">
        <f t="shared" si="50"/>
        <v>4.086538461456346E-6</v>
      </c>
      <c r="B202" s="32">
        <f t="shared" si="58"/>
        <v>170</v>
      </c>
      <c r="C202" s="441">
        <f>'SOLLECITAZ NASCOSTO'!$D$6/'SOLLECITAZ NASCOSTO'!$B$448*'SOLLECITAZ NASCOSTO'!B202</f>
        <v>1.1646634615384615</v>
      </c>
      <c r="D202" s="441">
        <f t="shared" si="51"/>
        <v>0.30000408653846145</v>
      </c>
      <c r="E202" s="441">
        <f t="shared" si="45"/>
        <v>4.086538461456346E-6</v>
      </c>
      <c r="F202" s="441">
        <f t="shared" si="46"/>
        <v>0.30000408653846145</v>
      </c>
      <c r="G202" s="441">
        <f t="shared" si="47"/>
        <v>4.5001225969888335E-2</v>
      </c>
      <c r="H202" s="441">
        <f t="shared" si="59"/>
        <v>0</v>
      </c>
      <c r="I202" s="441">
        <v>0</v>
      </c>
      <c r="J202" s="131">
        <f t="shared" si="60"/>
        <v>0.15000204326923072</v>
      </c>
      <c r="K202" s="130">
        <f t="shared" si="48"/>
        <v>2.250091948367873E-3</v>
      </c>
      <c r="L202" s="42">
        <f t="shared" si="61"/>
        <v>9.5913772716629033</v>
      </c>
      <c r="M202" s="42">
        <f t="shared" si="62"/>
        <v>-4.6604747129234534</v>
      </c>
      <c r="N202" s="42">
        <f>(IF(C201&lt;='SOLLECITAZ NASCOSTO'!$P$12,IF(C201&lt;='SOLLECITAZ NASCOSTO'!$P$11,IF(C201&lt;='SOLLECITAZ NASCOSTO'!$P$10,IF(C201&lt;='SOLLECITAZ NASCOSTO'!$P$9,IF(C201&lt;='SOLLECITAZ NASCOSTO'!$P$8,IF(C201&lt;='SOLLECITAZ NASCOSTO'!$P$7,IF(C201&lt;='SOLLECITAZ NASCOSTO'!$P$6,IF(C201&lt;='SOLLECITAZ NASCOSTO'!$P$5,'Progetto del paramento slu'!$G$105,'Progetto del paramento slu'!$G$106),'Progetto del paramento slu'!$G$107),'Progetto del paramento slu'!$G$108),'Progetto del paramento slu'!$G$109),'Progetto del paramento slu'!$G$110),'Progetto del paramento slu'!$G$111),'Progetto del paramento slu'!$G$112),55555)-IF(C201&lt;='SOLLECITAZ NASCOSTO'!$P$12,IF(C201&lt;='SOLLECITAZ NASCOSTO'!$P$11,IF(C201&lt;='SOLLECITAZ NASCOSTO'!$P$10,IF(C201&lt;='SOLLECITAZ NASCOSTO'!$P$9,IF(C201&lt;='SOLLECITAZ NASCOSTO'!$P$8,IF(C201&lt;='SOLLECITAZ NASCOSTO'!$P$7,IF(C201&lt;='SOLLECITAZ NASCOSTO'!$P$6,IF(C201&lt;='SOLLECITAZ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slu'!$G$112))*(C201-IF(C201&lt;='SOLLECITAZ NASCOSTO'!$P$12,IF(C201&lt;='SOLLECITAZ NASCOSTO'!$P$11,IF(C201&lt;='SOLLECITAZ NASCOSTO'!$P$10,IF(C201&lt;='SOLLECITAZ NASCOSTO'!$P$9,IF(C201&lt;='SOLLECITAZ NASCOSTO'!$P$8,IF(C201&lt;='SOLLECITAZ NASCOSTO'!$P$7,IF(C201&lt;='SOLLECITAZ NASCOSTO'!$P$6,IF(C201&lt;='SOLLECITAZ NASCOSTO'!$P$5,'SOLLECITAZ NASCOSTO'!$P$3,'SOLLECITAZ NASCOSTO'!$P$5),'SOLLECITAZ NASCOSTO'!$P$5),'SOLLECITAZ NASCOSTO'!$P$7),'SOLLECITAZ NASCOSTO'!$P$8),'SOLLECITAZ NASCOSTO'!$P$9),'SOLLECITAZ NASCOSTO'!$P$10),'SOLLECITAZ NASCOSTO'!$P$11),'SOLLECITAZ NASCOSTO'!$P$12))/IF(C201&lt;='SOLLECITAZ NASCOSTO'!$P$12,IF(C201&lt;='SOLLECITAZ NASCOSTO'!$P$11,IF(C201&lt;='SOLLECITAZ NASCOSTO'!$P$10,IF(C201&lt;='SOLLECITAZ NASCOSTO'!$P$9,IF(C201&lt;='SOLLECITAZ NASCOSTO'!$P$8,IF(C201&lt;='SOLLECITAZ NASCOSTO'!$P$7,IF(C201&lt;='SOLLECITAZ NASCOSTO'!$P$6,IF(C201&lt;='SOLLECITAZ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slu'!$C$112)+IF(C201&lt;='SOLLECITAZ NASCOSTO'!$P$12,IF(C201&lt;='SOLLECITAZ NASCOSTO'!$P$11,IF(C201&lt;='SOLLECITAZ NASCOSTO'!$P$10,IF(C201&lt;='SOLLECITAZ NASCOSTO'!$P$9,IF(C201&lt;='SOLLECITAZ NASCOSTO'!$P$8,IF(C201&lt;='SOLLECITAZ NASCOSTO'!$P$7,IF(C201&lt;='SOLLECITAZ NASCOSTO'!$P$6,IF(C201&lt;='SOLLECITAZ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12.278427231295222</v>
      </c>
      <c r="O202" s="42">
        <f>IF(C202&lt;='SOLLECITAZ NASCOSTO'!$P$12,IF(C202&lt;='SOLLECITAZ NASCOSTO'!$P$11,IF(C202&lt;='SOLLECITAZ NASCOSTO'!$P$10,IF(C202&lt;='SOLLECITAZ NASCOSTO'!$P$9,IF(C202&lt;='SOLLECITAZ NASCOSTO'!$P$8,IF(C202&lt;='SOLLECITAZ NASCOSTO'!$P$7,IF(C202&lt;='SOLLECITAZ NASCOSTO'!$P$6,IF(C202&lt;='SOLLECITAZ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slu'!$G$111),55555)*(C202-C201)/IF(C202&lt;='SOLLECITAZ NASCOSTO'!$P$12,IF(C202&lt;='SOLLECITAZ NASCOSTO'!$P$11,IF(C202&lt;='SOLLECITAZ NASCOSTO'!$P$10,IF(C202&lt;='SOLLECITAZ NASCOSTO'!$P$9,IF(C202&lt;='SOLLECITAZ NASCOSTO'!$P$8,IF(C202&lt;='SOLLECITAZ NASCOSTO'!$P$7,IF(C202&lt;='SOLLECITAZ NASCOSTO'!$P$6,IF(C202&lt;='SOLLECITAZ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2" s="42">
        <f t="shared" si="57"/>
        <v>1.6899999999999964E-4</v>
      </c>
      <c r="Q202" s="42">
        <f t="shared" si="55"/>
        <v>1</v>
      </c>
      <c r="R202" s="441">
        <f t="shared" si="49"/>
        <v>1.1646634615384615</v>
      </c>
      <c r="S202" s="46">
        <f t="shared" si="56"/>
        <v>1.1646634615384615</v>
      </c>
      <c r="T202" s="211">
        <f t="shared" si="52"/>
        <v>2.1853365384615389</v>
      </c>
      <c r="U202" s="46">
        <f t="shared" si="53"/>
        <v>9.5913772716629033</v>
      </c>
      <c r="V202" s="46">
        <f t="shared" si="54"/>
        <v>-4.6604747129234534</v>
      </c>
      <c r="W202" s="496"/>
      <c r="X202" s="497"/>
      <c r="Y202" s="497"/>
      <c r="Z202" s="498"/>
      <c r="AA202" s="47"/>
    </row>
    <row r="203" spans="1:27" s="428" customFormat="1" x14ac:dyDescent="0.25">
      <c r="A203" s="589">
        <f t="shared" si="50"/>
        <v>4.1105769230109779E-6</v>
      </c>
      <c r="B203" s="32">
        <f t="shared" si="58"/>
        <v>171</v>
      </c>
      <c r="C203" s="441">
        <f>'SOLLECITAZ NASCOSTO'!$D$6/'SOLLECITAZ NASCOSTO'!$B$448*'SOLLECITAZ NASCOSTO'!B203</f>
        <v>1.171514423076923</v>
      </c>
      <c r="D203" s="441">
        <f t="shared" si="51"/>
        <v>0.300004110576923</v>
      </c>
      <c r="E203" s="441">
        <f t="shared" si="45"/>
        <v>4.1105769230109779E-6</v>
      </c>
      <c r="F203" s="441">
        <f t="shared" si="46"/>
        <v>0.300004110576923</v>
      </c>
      <c r="G203" s="441">
        <f t="shared" si="47"/>
        <v>4.5001233181525324E-2</v>
      </c>
      <c r="H203" s="441">
        <f t="shared" si="59"/>
        <v>0</v>
      </c>
      <c r="I203" s="441">
        <v>0</v>
      </c>
      <c r="J203" s="131">
        <f t="shared" si="60"/>
        <v>0.1500020552884615</v>
      </c>
      <c r="K203" s="130">
        <f t="shared" si="48"/>
        <v>2.2500924892480366E-3</v>
      </c>
      <c r="L203" s="42">
        <f t="shared" si="61"/>
        <v>9.6759909323489222</v>
      </c>
      <c r="M203" s="42">
        <f t="shared" si="62"/>
        <v>-4.7264747121799839</v>
      </c>
      <c r="N203" s="42">
        <f>(IF(C202&lt;='SOLLECITAZ NASCOSTO'!$P$12,IF(C202&lt;='SOLLECITAZ NASCOSTO'!$P$11,IF(C202&lt;='SOLLECITAZ NASCOSTO'!$P$10,IF(C202&lt;='SOLLECITAZ NASCOSTO'!$P$9,IF(C202&lt;='SOLLECITAZ NASCOSTO'!$P$8,IF(C202&lt;='SOLLECITAZ NASCOSTO'!$P$7,IF(C202&lt;='SOLLECITAZ NASCOSTO'!$P$6,IF(C202&lt;='SOLLECITAZ NASCOSTO'!$P$5,'Progetto del paramento slu'!$G$105,'Progetto del paramento slu'!$G$106),'Progetto del paramento slu'!$G$107),'Progetto del paramento slu'!$G$108),'Progetto del paramento slu'!$G$109),'Progetto del paramento slu'!$G$110),'Progetto del paramento slu'!$G$111),'Progetto del paramento slu'!$G$112),55555)-IF(C202&lt;='SOLLECITAZ NASCOSTO'!$P$12,IF(C202&lt;='SOLLECITAZ NASCOSTO'!$P$11,IF(C202&lt;='SOLLECITAZ NASCOSTO'!$P$10,IF(C202&lt;='SOLLECITAZ NASCOSTO'!$P$9,IF(C202&lt;='SOLLECITAZ NASCOSTO'!$P$8,IF(C202&lt;='SOLLECITAZ NASCOSTO'!$P$7,IF(C202&lt;='SOLLECITAZ NASCOSTO'!$P$6,IF(C202&lt;='SOLLECITAZ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slu'!$G$112))*(C202-IF(C202&lt;='SOLLECITAZ NASCOSTO'!$P$12,IF(C202&lt;='SOLLECITAZ NASCOSTO'!$P$11,IF(C202&lt;='SOLLECITAZ NASCOSTO'!$P$10,IF(C202&lt;='SOLLECITAZ NASCOSTO'!$P$9,IF(C202&lt;='SOLLECITAZ NASCOSTO'!$P$8,IF(C202&lt;='SOLLECITAZ NASCOSTO'!$P$7,IF(C202&lt;='SOLLECITAZ NASCOSTO'!$P$6,IF(C202&lt;='SOLLECITAZ NASCOSTO'!$P$5,'SOLLECITAZ NASCOSTO'!$P$3,'SOLLECITAZ NASCOSTO'!$P$5),'SOLLECITAZ NASCOSTO'!$P$5),'SOLLECITAZ NASCOSTO'!$P$7),'SOLLECITAZ NASCOSTO'!$P$8),'SOLLECITAZ NASCOSTO'!$P$9),'SOLLECITAZ NASCOSTO'!$P$10),'SOLLECITAZ NASCOSTO'!$P$11),'SOLLECITAZ NASCOSTO'!$P$12))/IF(C202&lt;='SOLLECITAZ NASCOSTO'!$P$12,IF(C202&lt;='SOLLECITAZ NASCOSTO'!$P$11,IF(C202&lt;='SOLLECITAZ NASCOSTO'!$P$10,IF(C202&lt;='SOLLECITAZ NASCOSTO'!$P$9,IF(C202&lt;='SOLLECITAZ NASCOSTO'!$P$8,IF(C202&lt;='SOLLECITAZ NASCOSTO'!$P$7,IF(C202&lt;='SOLLECITAZ NASCOSTO'!$P$6,IF(C202&lt;='SOLLECITAZ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slu'!$C$112)+IF(C202&lt;='SOLLECITAZ NASCOSTO'!$P$12,IF(C202&lt;='SOLLECITAZ NASCOSTO'!$P$11,IF(C202&lt;='SOLLECITAZ NASCOSTO'!$P$10,IF(C202&lt;='SOLLECITAZ NASCOSTO'!$P$9,IF(C202&lt;='SOLLECITAZ NASCOSTO'!$P$8,IF(C202&lt;='SOLLECITAZ NASCOSTO'!$P$7,IF(C202&lt;='SOLLECITAZ NASCOSTO'!$P$6,IF(C202&lt;='SOLLECITAZ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12.326559450287574</v>
      </c>
      <c r="O203" s="42">
        <f>IF(C203&lt;='SOLLECITAZ NASCOSTO'!$P$12,IF(C203&lt;='SOLLECITAZ NASCOSTO'!$P$11,IF(C203&lt;='SOLLECITAZ NASCOSTO'!$P$10,IF(C203&lt;='SOLLECITAZ NASCOSTO'!$P$9,IF(C203&lt;='SOLLECITAZ NASCOSTO'!$P$8,IF(C203&lt;='SOLLECITAZ NASCOSTO'!$P$7,IF(C203&lt;='SOLLECITAZ NASCOSTO'!$P$6,IF(C203&lt;='SOLLECITAZ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slu'!$G$111),55555)*(C203-C202)/IF(C203&lt;='SOLLECITAZ NASCOSTO'!$P$12,IF(C203&lt;='SOLLECITAZ NASCOSTO'!$P$11,IF(C203&lt;='SOLLECITAZ NASCOSTO'!$P$10,IF(C203&lt;='SOLLECITAZ NASCOSTO'!$P$9,IF(C203&lt;='SOLLECITAZ NASCOSTO'!$P$8,IF(C203&lt;='SOLLECITAZ NASCOSTO'!$P$7,IF(C203&lt;='SOLLECITAZ NASCOSTO'!$P$6,IF(C203&lt;='SOLLECITAZ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3" s="42">
        <f t="shared" si="57"/>
        <v>1.6999999999999963E-4</v>
      </c>
      <c r="Q203" s="42">
        <f t="shared" si="55"/>
        <v>1</v>
      </c>
      <c r="R203" s="441">
        <f t="shared" si="49"/>
        <v>1.171514423076923</v>
      </c>
      <c r="S203" s="46">
        <f t="shared" si="56"/>
        <v>1.171514423076923</v>
      </c>
      <c r="T203" s="211">
        <f t="shared" si="52"/>
        <v>2.1784855769230771</v>
      </c>
      <c r="U203" s="46">
        <f t="shared" si="53"/>
        <v>9.6759909323489222</v>
      </c>
      <c r="V203" s="46">
        <f t="shared" si="54"/>
        <v>-4.7264747121799839</v>
      </c>
      <c r="W203" s="496"/>
      <c r="X203" s="497"/>
      <c r="Y203" s="497"/>
      <c r="Z203" s="498"/>
      <c r="AA203" s="47"/>
    </row>
    <row r="204" spans="1:27" s="428" customFormat="1" x14ac:dyDescent="0.25">
      <c r="A204" s="589">
        <f t="shared" si="50"/>
        <v>4.1346153845100986E-6</v>
      </c>
      <c r="B204" s="32">
        <f t="shared" si="58"/>
        <v>172</v>
      </c>
      <c r="C204" s="441">
        <f>'SOLLECITAZ NASCOSTO'!$D$6/'SOLLECITAZ NASCOSTO'!$B$448*'SOLLECITAZ NASCOSTO'!B204</f>
        <v>1.1783653846153845</v>
      </c>
      <c r="D204" s="441">
        <f t="shared" si="51"/>
        <v>0.3000041346153845</v>
      </c>
      <c r="E204" s="441">
        <f t="shared" si="45"/>
        <v>4.1346153845100986E-6</v>
      </c>
      <c r="F204" s="441">
        <f t="shared" si="46"/>
        <v>0.3000041346153845</v>
      </c>
      <c r="G204" s="441">
        <f t="shared" si="47"/>
        <v>4.5001240393162875E-2</v>
      </c>
      <c r="H204" s="441">
        <f t="shared" si="59"/>
        <v>0</v>
      </c>
      <c r="I204" s="441">
        <v>0</v>
      </c>
      <c r="J204" s="131">
        <f t="shared" si="60"/>
        <v>0.15000206730769225</v>
      </c>
      <c r="K204" s="130">
        <f t="shared" si="48"/>
        <v>2.2500930301282856E-3</v>
      </c>
      <c r="L204" s="42">
        <f t="shared" si="61"/>
        <v>9.7609343450160182</v>
      </c>
      <c r="M204" s="42">
        <f t="shared" si="62"/>
        <v>-4.7930555259305727</v>
      </c>
      <c r="N204" s="42">
        <f>(IF(C203&lt;='SOLLECITAZ NASCOSTO'!$P$12,IF(C203&lt;='SOLLECITAZ NASCOSTO'!$P$11,IF(C203&lt;='SOLLECITAZ NASCOSTO'!$P$10,IF(C203&lt;='SOLLECITAZ NASCOSTO'!$P$9,IF(C203&lt;='SOLLECITAZ NASCOSTO'!$P$8,IF(C203&lt;='SOLLECITAZ NASCOSTO'!$P$7,IF(C203&lt;='SOLLECITAZ NASCOSTO'!$P$6,IF(C203&lt;='SOLLECITAZ NASCOSTO'!$P$5,'Progetto del paramento slu'!$G$105,'Progetto del paramento slu'!$G$106),'Progetto del paramento slu'!$G$107),'Progetto del paramento slu'!$G$108),'Progetto del paramento slu'!$G$109),'Progetto del paramento slu'!$G$110),'Progetto del paramento slu'!$G$111),'Progetto del paramento slu'!$G$112),55555)-IF(C203&lt;='SOLLECITAZ NASCOSTO'!$P$12,IF(C203&lt;='SOLLECITAZ NASCOSTO'!$P$11,IF(C203&lt;='SOLLECITAZ NASCOSTO'!$P$10,IF(C203&lt;='SOLLECITAZ NASCOSTO'!$P$9,IF(C203&lt;='SOLLECITAZ NASCOSTO'!$P$8,IF(C203&lt;='SOLLECITAZ NASCOSTO'!$P$7,IF(C203&lt;='SOLLECITAZ NASCOSTO'!$P$6,IF(C203&lt;='SOLLECITAZ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slu'!$G$112))*(C203-IF(C203&lt;='SOLLECITAZ NASCOSTO'!$P$12,IF(C203&lt;='SOLLECITAZ NASCOSTO'!$P$11,IF(C203&lt;='SOLLECITAZ NASCOSTO'!$P$10,IF(C203&lt;='SOLLECITAZ NASCOSTO'!$P$9,IF(C203&lt;='SOLLECITAZ NASCOSTO'!$P$8,IF(C203&lt;='SOLLECITAZ NASCOSTO'!$P$7,IF(C203&lt;='SOLLECITAZ NASCOSTO'!$P$6,IF(C203&lt;='SOLLECITAZ NASCOSTO'!$P$5,'SOLLECITAZ NASCOSTO'!$P$3,'SOLLECITAZ NASCOSTO'!$P$5),'SOLLECITAZ NASCOSTO'!$P$5),'SOLLECITAZ NASCOSTO'!$P$7),'SOLLECITAZ NASCOSTO'!$P$8),'SOLLECITAZ NASCOSTO'!$P$9),'SOLLECITAZ NASCOSTO'!$P$10),'SOLLECITAZ NASCOSTO'!$P$11),'SOLLECITAZ NASCOSTO'!$P$12))/IF(C203&lt;='SOLLECITAZ NASCOSTO'!$P$12,IF(C203&lt;='SOLLECITAZ NASCOSTO'!$P$11,IF(C203&lt;='SOLLECITAZ NASCOSTO'!$P$10,IF(C203&lt;='SOLLECITAZ NASCOSTO'!$P$9,IF(C203&lt;='SOLLECITAZ NASCOSTO'!$P$8,IF(C203&lt;='SOLLECITAZ NASCOSTO'!$P$7,IF(C203&lt;='SOLLECITAZ NASCOSTO'!$P$6,IF(C203&lt;='SOLLECITAZ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slu'!$C$112)+IF(C203&lt;='SOLLECITAZ NASCOSTO'!$P$12,IF(C203&lt;='SOLLECITAZ NASCOSTO'!$P$11,IF(C203&lt;='SOLLECITAZ NASCOSTO'!$P$10,IF(C203&lt;='SOLLECITAZ NASCOSTO'!$P$9,IF(C203&lt;='SOLLECITAZ NASCOSTO'!$P$8,IF(C203&lt;='SOLLECITAZ NASCOSTO'!$P$7,IF(C203&lt;='SOLLECITAZ NASCOSTO'!$P$6,IF(C203&lt;='SOLLECITAZ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12.374691669279926</v>
      </c>
      <c r="O204" s="42">
        <f>IF(C204&lt;='SOLLECITAZ NASCOSTO'!$P$12,IF(C204&lt;='SOLLECITAZ NASCOSTO'!$P$11,IF(C204&lt;='SOLLECITAZ NASCOSTO'!$P$10,IF(C204&lt;='SOLLECITAZ NASCOSTO'!$P$9,IF(C204&lt;='SOLLECITAZ NASCOSTO'!$P$8,IF(C204&lt;='SOLLECITAZ NASCOSTO'!$P$7,IF(C204&lt;='SOLLECITAZ NASCOSTO'!$P$6,IF(C204&lt;='SOLLECITAZ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slu'!$G$111),55555)*(C204-C203)/IF(C204&lt;='SOLLECITAZ NASCOSTO'!$P$12,IF(C204&lt;='SOLLECITAZ NASCOSTO'!$P$11,IF(C204&lt;='SOLLECITAZ NASCOSTO'!$P$10,IF(C204&lt;='SOLLECITAZ NASCOSTO'!$P$9,IF(C204&lt;='SOLLECITAZ NASCOSTO'!$P$8,IF(C204&lt;='SOLLECITAZ NASCOSTO'!$P$7,IF(C204&lt;='SOLLECITAZ NASCOSTO'!$P$6,IF(C204&lt;='SOLLECITAZ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4" s="42">
        <f t="shared" si="57"/>
        <v>1.7099999999999963E-4</v>
      </c>
      <c r="Q204" s="42">
        <f t="shared" si="55"/>
        <v>1</v>
      </c>
      <c r="R204" s="441">
        <f t="shared" si="49"/>
        <v>1.1783653846153845</v>
      </c>
      <c r="S204" s="46">
        <f t="shared" si="56"/>
        <v>1.1783653846153845</v>
      </c>
      <c r="T204" s="211">
        <f t="shared" si="52"/>
        <v>2.1716346153846153</v>
      </c>
      <c r="U204" s="46">
        <f t="shared" si="53"/>
        <v>9.7609343450160182</v>
      </c>
      <c r="V204" s="46">
        <f t="shared" si="54"/>
        <v>-4.7930555259305727</v>
      </c>
      <c r="W204" s="496"/>
      <c r="X204" s="497"/>
      <c r="Y204" s="497"/>
      <c r="Z204" s="498"/>
      <c r="AA204" s="47"/>
    </row>
    <row r="205" spans="1:27" s="428" customFormat="1" x14ac:dyDescent="0.25">
      <c r="A205" s="589">
        <f t="shared" si="50"/>
        <v>4.1586538460647304E-6</v>
      </c>
      <c r="B205" s="32">
        <f t="shared" si="58"/>
        <v>173</v>
      </c>
      <c r="C205" s="441">
        <f>'SOLLECITAZ NASCOSTO'!$D$6/'SOLLECITAZ NASCOSTO'!$B$448*'SOLLECITAZ NASCOSTO'!B205</f>
        <v>1.1852163461538461</v>
      </c>
      <c r="D205" s="441">
        <f t="shared" si="51"/>
        <v>0.30000415865384605</v>
      </c>
      <c r="E205" s="441">
        <f t="shared" si="45"/>
        <v>4.1586538460647304E-6</v>
      </c>
      <c r="F205" s="441">
        <f t="shared" si="46"/>
        <v>0.30000415865384605</v>
      </c>
      <c r="G205" s="441">
        <f t="shared" si="47"/>
        <v>4.5001247604801016E-2</v>
      </c>
      <c r="H205" s="441">
        <f t="shared" si="59"/>
        <v>0</v>
      </c>
      <c r="I205" s="441">
        <v>0</v>
      </c>
      <c r="J205" s="131">
        <f t="shared" si="60"/>
        <v>0.15000207932692303</v>
      </c>
      <c r="K205" s="130">
        <f t="shared" si="48"/>
        <v>2.2500935710086222E-3</v>
      </c>
      <c r="L205" s="42">
        <f t="shared" si="61"/>
        <v>9.8462075096641914</v>
      </c>
      <c r="M205" s="42">
        <f t="shared" si="62"/>
        <v>-4.8602194132933594</v>
      </c>
      <c r="N205" s="42">
        <f>(IF(C204&lt;='SOLLECITAZ NASCOSTO'!$P$12,IF(C204&lt;='SOLLECITAZ NASCOSTO'!$P$11,IF(C204&lt;='SOLLECITAZ NASCOSTO'!$P$10,IF(C204&lt;='SOLLECITAZ NASCOSTO'!$P$9,IF(C204&lt;='SOLLECITAZ NASCOSTO'!$P$8,IF(C204&lt;='SOLLECITAZ NASCOSTO'!$P$7,IF(C204&lt;='SOLLECITAZ NASCOSTO'!$P$6,IF(C204&lt;='SOLLECITAZ NASCOSTO'!$P$5,'Progetto del paramento slu'!$G$105,'Progetto del paramento slu'!$G$106),'Progetto del paramento slu'!$G$107),'Progetto del paramento slu'!$G$108),'Progetto del paramento slu'!$G$109),'Progetto del paramento slu'!$G$110),'Progetto del paramento slu'!$G$111),'Progetto del paramento slu'!$G$112),55555)-IF(C204&lt;='SOLLECITAZ NASCOSTO'!$P$12,IF(C204&lt;='SOLLECITAZ NASCOSTO'!$P$11,IF(C204&lt;='SOLLECITAZ NASCOSTO'!$P$10,IF(C204&lt;='SOLLECITAZ NASCOSTO'!$P$9,IF(C204&lt;='SOLLECITAZ NASCOSTO'!$P$8,IF(C204&lt;='SOLLECITAZ NASCOSTO'!$P$7,IF(C204&lt;='SOLLECITAZ NASCOSTO'!$P$6,IF(C204&lt;='SOLLECITAZ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slu'!$G$112))*(C204-IF(C204&lt;='SOLLECITAZ NASCOSTO'!$P$12,IF(C204&lt;='SOLLECITAZ NASCOSTO'!$P$11,IF(C204&lt;='SOLLECITAZ NASCOSTO'!$P$10,IF(C204&lt;='SOLLECITAZ NASCOSTO'!$P$9,IF(C204&lt;='SOLLECITAZ NASCOSTO'!$P$8,IF(C204&lt;='SOLLECITAZ NASCOSTO'!$P$7,IF(C204&lt;='SOLLECITAZ NASCOSTO'!$P$6,IF(C204&lt;='SOLLECITAZ NASCOSTO'!$P$5,'SOLLECITAZ NASCOSTO'!$P$3,'SOLLECITAZ NASCOSTO'!$P$5),'SOLLECITAZ NASCOSTO'!$P$5),'SOLLECITAZ NASCOSTO'!$P$7),'SOLLECITAZ NASCOSTO'!$P$8),'SOLLECITAZ NASCOSTO'!$P$9),'SOLLECITAZ NASCOSTO'!$P$10),'SOLLECITAZ NASCOSTO'!$P$11),'SOLLECITAZ NASCOSTO'!$P$12))/IF(C204&lt;='SOLLECITAZ NASCOSTO'!$P$12,IF(C204&lt;='SOLLECITAZ NASCOSTO'!$P$11,IF(C204&lt;='SOLLECITAZ NASCOSTO'!$P$10,IF(C204&lt;='SOLLECITAZ NASCOSTO'!$P$9,IF(C204&lt;='SOLLECITAZ NASCOSTO'!$P$8,IF(C204&lt;='SOLLECITAZ NASCOSTO'!$P$7,IF(C204&lt;='SOLLECITAZ NASCOSTO'!$P$6,IF(C204&lt;='SOLLECITAZ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slu'!$C$112)+IF(C204&lt;='SOLLECITAZ NASCOSTO'!$P$12,IF(C204&lt;='SOLLECITAZ NASCOSTO'!$P$11,IF(C204&lt;='SOLLECITAZ NASCOSTO'!$P$10,IF(C204&lt;='SOLLECITAZ NASCOSTO'!$P$9,IF(C204&lt;='SOLLECITAZ NASCOSTO'!$P$8,IF(C204&lt;='SOLLECITAZ NASCOSTO'!$P$7,IF(C204&lt;='SOLLECITAZ NASCOSTO'!$P$6,IF(C204&lt;='SOLLECITAZ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12.42282388827228</v>
      </c>
      <c r="O205" s="42">
        <f>IF(C205&lt;='SOLLECITAZ NASCOSTO'!$P$12,IF(C205&lt;='SOLLECITAZ NASCOSTO'!$P$11,IF(C205&lt;='SOLLECITAZ NASCOSTO'!$P$10,IF(C205&lt;='SOLLECITAZ NASCOSTO'!$P$9,IF(C205&lt;='SOLLECITAZ NASCOSTO'!$P$8,IF(C205&lt;='SOLLECITAZ NASCOSTO'!$P$7,IF(C205&lt;='SOLLECITAZ NASCOSTO'!$P$6,IF(C205&lt;='SOLLECITAZ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slu'!$G$111),55555)*(C205-C204)/IF(C205&lt;='SOLLECITAZ NASCOSTO'!$P$12,IF(C205&lt;='SOLLECITAZ NASCOSTO'!$P$11,IF(C205&lt;='SOLLECITAZ NASCOSTO'!$P$10,IF(C205&lt;='SOLLECITAZ NASCOSTO'!$P$9,IF(C205&lt;='SOLLECITAZ NASCOSTO'!$P$8,IF(C205&lt;='SOLLECITAZ NASCOSTO'!$P$7,IF(C205&lt;='SOLLECITAZ NASCOSTO'!$P$6,IF(C205&lt;='SOLLECITAZ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5" s="42">
        <f t="shared" si="57"/>
        <v>1.7199999999999963E-4</v>
      </c>
      <c r="Q205" s="42">
        <f t="shared" si="55"/>
        <v>1</v>
      </c>
      <c r="R205" s="441">
        <f t="shared" si="49"/>
        <v>1.1852163461538461</v>
      </c>
      <c r="S205" s="46">
        <f t="shared" si="56"/>
        <v>1.1852163461538461</v>
      </c>
      <c r="T205" s="211">
        <f t="shared" si="52"/>
        <v>2.164783653846154</v>
      </c>
      <c r="U205" s="46">
        <f t="shared" si="53"/>
        <v>9.8462075096641914</v>
      </c>
      <c r="V205" s="46">
        <f t="shared" si="54"/>
        <v>-4.8602194132933594</v>
      </c>
      <c r="W205" s="496"/>
      <c r="X205" s="497"/>
      <c r="Y205" s="497"/>
      <c r="Z205" s="498"/>
      <c r="AA205" s="47"/>
    </row>
    <row r="206" spans="1:27" s="428" customFormat="1" x14ac:dyDescent="0.25">
      <c r="A206" s="589">
        <f t="shared" si="50"/>
        <v>4.1826923076193623E-6</v>
      </c>
      <c r="B206" s="32">
        <f t="shared" si="58"/>
        <v>174</v>
      </c>
      <c r="C206" s="441">
        <f>'SOLLECITAZ NASCOSTO'!$D$6/'SOLLECITAZ NASCOSTO'!$B$448*'SOLLECITAZ NASCOSTO'!B206</f>
        <v>1.1920673076923076</v>
      </c>
      <c r="D206" s="441">
        <f t="shared" si="51"/>
        <v>0.30000418269230761</v>
      </c>
      <c r="E206" s="441">
        <f t="shared" si="45"/>
        <v>4.1826923076193623E-6</v>
      </c>
      <c r="F206" s="441">
        <f t="shared" si="46"/>
        <v>0.30000418269230761</v>
      </c>
      <c r="G206" s="441">
        <f t="shared" si="47"/>
        <v>4.500125481643974E-2</v>
      </c>
      <c r="H206" s="441">
        <f t="shared" si="59"/>
        <v>0</v>
      </c>
      <c r="I206" s="441">
        <v>0</v>
      </c>
      <c r="J206" s="131">
        <f t="shared" si="60"/>
        <v>0.1500020913461538</v>
      </c>
      <c r="K206" s="130">
        <f t="shared" si="48"/>
        <v>2.250094111889046E-3</v>
      </c>
      <c r="L206" s="42">
        <f t="shared" si="61"/>
        <v>9.9318104262934419</v>
      </c>
      <c r="M206" s="42">
        <f t="shared" si="62"/>
        <v>-4.9279686333864836</v>
      </c>
      <c r="N206" s="42">
        <f>(IF(C205&lt;='SOLLECITAZ NASCOSTO'!$P$12,IF(C205&lt;='SOLLECITAZ NASCOSTO'!$P$11,IF(C205&lt;='SOLLECITAZ NASCOSTO'!$P$10,IF(C205&lt;='SOLLECITAZ NASCOSTO'!$P$9,IF(C205&lt;='SOLLECITAZ NASCOSTO'!$P$8,IF(C205&lt;='SOLLECITAZ NASCOSTO'!$P$7,IF(C205&lt;='SOLLECITAZ NASCOSTO'!$P$6,IF(C205&lt;='SOLLECITAZ NASCOSTO'!$P$5,'Progetto del paramento slu'!$G$105,'Progetto del paramento slu'!$G$106),'Progetto del paramento slu'!$G$107),'Progetto del paramento slu'!$G$108),'Progetto del paramento slu'!$G$109),'Progetto del paramento slu'!$G$110),'Progetto del paramento slu'!$G$111),'Progetto del paramento slu'!$G$112),55555)-IF(C205&lt;='SOLLECITAZ NASCOSTO'!$P$12,IF(C205&lt;='SOLLECITAZ NASCOSTO'!$P$11,IF(C205&lt;='SOLLECITAZ NASCOSTO'!$P$10,IF(C205&lt;='SOLLECITAZ NASCOSTO'!$P$9,IF(C205&lt;='SOLLECITAZ NASCOSTO'!$P$8,IF(C205&lt;='SOLLECITAZ NASCOSTO'!$P$7,IF(C205&lt;='SOLLECITAZ NASCOSTO'!$P$6,IF(C205&lt;='SOLLECITAZ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slu'!$G$112))*(C205-IF(C205&lt;='SOLLECITAZ NASCOSTO'!$P$12,IF(C205&lt;='SOLLECITAZ NASCOSTO'!$P$11,IF(C205&lt;='SOLLECITAZ NASCOSTO'!$P$10,IF(C205&lt;='SOLLECITAZ NASCOSTO'!$P$9,IF(C205&lt;='SOLLECITAZ NASCOSTO'!$P$8,IF(C205&lt;='SOLLECITAZ NASCOSTO'!$P$7,IF(C205&lt;='SOLLECITAZ NASCOSTO'!$P$6,IF(C205&lt;='SOLLECITAZ NASCOSTO'!$P$5,'SOLLECITAZ NASCOSTO'!$P$3,'SOLLECITAZ NASCOSTO'!$P$5),'SOLLECITAZ NASCOSTO'!$P$5),'SOLLECITAZ NASCOSTO'!$P$7),'SOLLECITAZ NASCOSTO'!$P$8),'SOLLECITAZ NASCOSTO'!$P$9),'SOLLECITAZ NASCOSTO'!$P$10),'SOLLECITAZ NASCOSTO'!$P$11),'SOLLECITAZ NASCOSTO'!$P$12))/IF(C205&lt;='SOLLECITAZ NASCOSTO'!$P$12,IF(C205&lt;='SOLLECITAZ NASCOSTO'!$P$11,IF(C205&lt;='SOLLECITAZ NASCOSTO'!$P$10,IF(C205&lt;='SOLLECITAZ NASCOSTO'!$P$9,IF(C205&lt;='SOLLECITAZ NASCOSTO'!$P$8,IF(C205&lt;='SOLLECITAZ NASCOSTO'!$P$7,IF(C205&lt;='SOLLECITAZ NASCOSTO'!$P$6,IF(C205&lt;='SOLLECITAZ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slu'!$C$112)+IF(C205&lt;='SOLLECITAZ NASCOSTO'!$P$12,IF(C205&lt;='SOLLECITAZ NASCOSTO'!$P$11,IF(C205&lt;='SOLLECITAZ NASCOSTO'!$P$10,IF(C205&lt;='SOLLECITAZ NASCOSTO'!$P$9,IF(C205&lt;='SOLLECITAZ NASCOSTO'!$P$8,IF(C205&lt;='SOLLECITAZ NASCOSTO'!$P$7,IF(C205&lt;='SOLLECITAZ NASCOSTO'!$P$6,IF(C205&lt;='SOLLECITAZ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12.470956107264632</v>
      </c>
      <c r="O206" s="42">
        <f>IF(C206&lt;='SOLLECITAZ NASCOSTO'!$P$12,IF(C206&lt;='SOLLECITAZ NASCOSTO'!$P$11,IF(C206&lt;='SOLLECITAZ NASCOSTO'!$P$10,IF(C206&lt;='SOLLECITAZ NASCOSTO'!$P$9,IF(C206&lt;='SOLLECITAZ NASCOSTO'!$P$8,IF(C206&lt;='SOLLECITAZ NASCOSTO'!$P$7,IF(C206&lt;='SOLLECITAZ NASCOSTO'!$P$6,IF(C206&lt;='SOLLECITAZ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slu'!$G$111),55555)*(C206-C205)/IF(C206&lt;='SOLLECITAZ NASCOSTO'!$P$12,IF(C206&lt;='SOLLECITAZ NASCOSTO'!$P$11,IF(C206&lt;='SOLLECITAZ NASCOSTO'!$P$10,IF(C206&lt;='SOLLECITAZ NASCOSTO'!$P$9,IF(C206&lt;='SOLLECITAZ NASCOSTO'!$P$8,IF(C206&lt;='SOLLECITAZ NASCOSTO'!$P$7,IF(C206&lt;='SOLLECITAZ NASCOSTO'!$P$6,IF(C206&lt;='SOLLECITAZ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6" s="42">
        <f t="shared" si="57"/>
        <v>1.7299999999999962E-4</v>
      </c>
      <c r="Q206" s="42">
        <f t="shared" si="55"/>
        <v>1</v>
      </c>
      <c r="R206" s="441">
        <f t="shared" si="49"/>
        <v>1.1920673076923076</v>
      </c>
      <c r="S206" s="46">
        <f t="shared" si="56"/>
        <v>1.1920673076923076</v>
      </c>
      <c r="T206" s="211">
        <f t="shared" si="52"/>
        <v>2.1579326923076927</v>
      </c>
      <c r="U206" s="46">
        <f t="shared" si="53"/>
        <v>9.9318104262934419</v>
      </c>
      <c r="V206" s="46">
        <f t="shared" si="54"/>
        <v>-4.9279686333864836</v>
      </c>
      <c r="W206" s="496"/>
      <c r="X206" s="497"/>
      <c r="Y206" s="497"/>
      <c r="Z206" s="498"/>
      <c r="AA206" s="47"/>
    </row>
    <row r="207" spans="1:27" s="428" customFormat="1" x14ac:dyDescent="0.25">
      <c r="A207" s="589">
        <f t="shared" si="50"/>
        <v>4.206730769118483E-6</v>
      </c>
      <c r="B207" s="32">
        <f t="shared" si="58"/>
        <v>175</v>
      </c>
      <c r="C207" s="441">
        <f>'SOLLECITAZ NASCOSTO'!$D$6/'SOLLECITAZ NASCOSTO'!$B$448*'SOLLECITAZ NASCOSTO'!B207</f>
        <v>1.1989182692307692</v>
      </c>
      <c r="D207" s="441">
        <f t="shared" si="51"/>
        <v>0.30000420673076911</v>
      </c>
      <c r="E207" s="441">
        <f t="shared" si="45"/>
        <v>4.206730769118483E-6</v>
      </c>
      <c r="F207" s="441">
        <f t="shared" si="46"/>
        <v>0.30000420673076911</v>
      </c>
      <c r="G207" s="441">
        <f t="shared" si="47"/>
        <v>4.5001262028079025E-2</v>
      </c>
      <c r="H207" s="441">
        <f t="shared" si="59"/>
        <v>0</v>
      </c>
      <c r="I207" s="441">
        <v>0</v>
      </c>
      <c r="J207" s="131">
        <f t="shared" si="60"/>
        <v>0.15000210336538455</v>
      </c>
      <c r="K207" s="130">
        <f t="shared" si="48"/>
        <v>2.2500946527695552E-3</v>
      </c>
      <c r="L207" s="42">
        <f t="shared" si="61"/>
        <v>10.01774309490377</v>
      </c>
      <c r="M207" s="42">
        <f t="shared" si="62"/>
        <v>-4.9963054453280851</v>
      </c>
      <c r="N207" s="42">
        <f>(IF(C206&lt;='SOLLECITAZ NASCOSTO'!$P$12,IF(C206&lt;='SOLLECITAZ NASCOSTO'!$P$11,IF(C206&lt;='SOLLECITAZ NASCOSTO'!$P$10,IF(C206&lt;='SOLLECITAZ NASCOSTO'!$P$9,IF(C206&lt;='SOLLECITAZ NASCOSTO'!$P$8,IF(C206&lt;='SOLLECITAZ NASCOSTO'!$P$7,IF(C206&lt;='SOLLECITAZ NASCOSTO'!$P$6,IF(C206&lt;='SOLLECITAZ NASCOSTO'!$P$5,'Progetto del paramento slu'!$G$105,'Progetto del paramento slu'!$G$106),'Progetto del paramento slu'!$G$107),'Progetto del paramento slu'!$G$108),'Progetto del paramento slu'!$G$109),'Progetto del paramento slu'!$G$110),'Progetto del paramento slu'!$G$111),'Progetto del paramento slu'!$G$112),55555)-IF(C206&lt;='SOLLECITAZ NASCOSTO'!$P$12,IF(C206&lt;='SOLLECITAZ NASCOSTO'!$P$11,IF(C206&lt;='SOLLECITAZ NASCOSTO'!$P$10,IF(C206&lt;='SOLLECITAZ NASCOSTO'!$P$9,IF(C206&lt;='SOLLECITAZ NASCOSTO'!$P$8,IF(C206&lt;='SOLLECITAZ NASCOSTO'!$P$7,IF(C206&lt;='SOLLECITAZ NASCOSTO'!$P$6,IF(C206&lt;='SOLLECITAZ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slu'!$G$112))*(C206-IF(C206&lt;='SOLLECITAZ NASCOSTO'!$P$12,IF(C206&lt;='SOLLECITAZ NASCOSTO'!$P$11,IF(C206&lt;='SOLLECITAZ NASCOSTO'!$P$10,IF(C206&lt;='SOLLECITAZ NASCOSTO'!$P$9,IF(C206&lt;='SOLLECITAZ NASCOSTO'!$P$8,IF(C206&lt;='SOLLECITAZ NASCOSTO'!$P$7,IF(C206&lt;='SOLLECITAZ NASCOSTO'!$P$6,IF(C206&lt;='SOLLECITAZ NASCOSTO'!$P$5,'SOLLECITAZ NASCOSTO'!$P$3,'SOLLECITAZ NASCOSTO'!$P$5),'SOLLECITAZ NASCOSTO'!$P$5),'SOLLECITAZ NASCOSTO'!$P$7),'SOLLECITAZ NASCOSTO'!$P$8),'SOLLECITAZ NASCOSTO'!$P$9),'SOLLECITAZ NASCOSTO'!$P$10),'SOLLECITAZ NASCOSTO'!$P$11),'SOLLECITAZ NASCOSTO'!$P$12))/IF(C206&lt;='SOLLECITAZ NASCOSTO'!$P$12,IF(C206&lt;='SOLLECITAZ NASCOSTO'!$P$11,IF(C206&lt;='SOLLECITAZ NASCOSTO'!$P$10,IF(C206&lt;='SOLLECITAZ NASCOSTO'!$P$9,IF(C206&lt;='SOLLECITAZ NASCOSTO'!$P$8,IF(C206&lt;='SOLLECITAZ NASCOSTO'!$P$7,IF(C206&lt;='SOLLECITAZ NASCOSTO'!$P$6,IF(C206&lt;='SOLLECITAZ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slu'!$C$112)+IF(C206&lt;='SOLLECITAZ NASCOSTO'!$P$12,IF(C206&lt;='SOLLECITAZ NASCOSTO'!$P$11,IF(C206&lt;='SOLLECITAZ NASCOSTO'!$P$10,IF(C206&lt;='SOLLECITAZ NASCOSTO'!$P$9,IF(C206&lt;='SOLLECITAZ NASCOSTO'!$P$8,IF(C206&lt;='SOLLECITAZ NASCOSTO'!$P$7,IF(C206&lt;='SOLLECITAZ NASCOSTO'!$P$6,IF(C206&lt;='SOLLECITAZ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12.519088326256984</v>
      </c>
      <c r="O207" s="42">
        <f>IF(C207&lt;='SOLLECITAZ NASCOSTO'!$P$12,IF(C207&lt;='SOLLECITAZ NASCOSTO'!$P$11,IF(C207&lt;='SOLLECITAZ NASCOSTO'!$P$10,IF(C207&lt;='SOLLECITAZ NASCOSTO'!$P$9,IF(C207&lt;='SOLLECITAZ NASCOSTO'!$P$8,IF(C207&lt;='SOLLECITAZ NASCOSTO'!$P$7,IF(C207&lt;='SOLLECITAZ NASCOSTO'!$P$6,IF(C207&lt;='SOLLECITAZ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slu'!$G$111),55555)*(C207-C206)/IF(C207&lt;='SOLLECITAZ NASCOSTO'!$P$12,IF(C207&lt;='SOLLECITAZ NASCOSTO'!$P$11,IF(C207&lt;='SOLLECITAZ NASCOSTO'!$P$10,IF(C207&lt;='SOLLECITAZ NASCOSTO'!$P$9,IF(C207&lt;='SOLLECITAZ NASCOSTO'!$P$8,IF(C207&lt;='SOLLECITAZ NASCOSTO'!$P$7,IF(C207&lt;='SOLLECITAZ NASCOSTO'!$P$6,IF(C207&lt;='SOLLECITAZ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7" s="42">
        <f t="shared" si="57"/>
        <v>1.7399999999999962E-4</v>
      </c>
      <c r="Q207" s="42">
        <f t="shared" si="55"/>
        <v>1</v>
      </c>
      <c r="R207" s="441">
        <f t="shared" si="49"/>
        <v>1.1989182692307692</v>
      </c>
      <c r="S207" s="46">
        <f t="shared" si="56"/>
        <v>1.1989182692307692</v>
      </c>
      <c r="T207" s="211">
        <f t="shared" si="52"/>
        <v>2.1510817307692309</v>
      </c>
      <c r="U207" s="46">
        <f t="shared" si="53"/>
        <v>10.01774309490377</v>
      </c>
      <c r="V207" s="46">
        <f t="shared" si="54"/>
        <v>-4.9963054453280851</v>
      </c>
      <c r="W207" s="496"/>
      <c r="X207" s="497"/>
      <c r="Y207" s="497"/>
      <c r="Z207" s="498"/>
      <c r="AA207" s="47"/>
    </row>
    <row r="208" spans="1:27" s="428" customFormat="1" x14ac:dyDescent="0.25">
      <c r="A208" s="589">
        <f t="shared" si="50"/>
        <v>4.2307692306731148E-6</v>
      </c>
      <c r="B208" s="32">
        <f t="shared" si="58"/>
        <v>176</v>
      </c>
      <c r="C208" s="441">
        <f>'SOLLECITAZ NASCOSTO'!$D$6/'SOLLECITAZ NASCOSTO'!$B$448*'SOLLECITAZ NASCOSTO'!B208</f>
        <v>1.2057692307692307</v>
      </c>
      <c r="D208" s="441">
        <f t="shared" si="51"/>
        <v>0.30000423076923066</v>
      </c>
      <c r="E208" s="441">
        <f t="shared" si="45"/>
        <v>4.2307692306731148E-6</v>
      </c>
      <c r="F208" s="441">
        <f t="shared" si="46"/>
        <v>0.30000423076923066</v>
      </c>
      <c r="G208" s="441">
        <f t="shared" si="47"/>
        <v>4.5001269239718901E-2</v>
      </c>
      <c r="H208" s="441">
        <f t="shared" si="59"/>
        <v>0</v>
      </c>
      <c r="I208" s="441">
        <v>0</v>
      </c>
      <c r="J208" s="131">
        <f t="shared" si="60"/>
        <v>0.15000211538461533</v>
      </c>
      <c r="K208" s="130">
        <f t="shared" si="48"/>
        <v>2.250095193650152E-3</v>
      </c>
      <c r="L208" s="42">
        <f t="shared" si="61"/>
        <v>10.104005515495174</v>
      </c>
      <c r="M208" s="42">
        <f t="shared" si="62"/>
        <v>-5.0652321082363025</v>
      </c>
      <c r="N208" s="42">
        <f>(IF(C207&lt;='SOLLECITAZ NASCOSTO'!$P$12,IF(C207&lt;='SOLLECITAZ NASCOSTO'!$P$11,IF(C207&lt;='SOLLECITAZ NASCOSTO'!$P$10,IF(C207&lt;='SOLLECITAZ NASCOSTO'!$P$9,IF(C207&lt;='SOLLECITAZ NASCOSTO'!$P$8,IF(C207&lt;='SOLLECITAZ NASCOSTO'!$P$7,IF(C207&lt;='SOLLECITAZ NASCOSTO'!$P$6,IF(C207&lt;='SOLLECITAZ NASCOSTO'!$P$5,'Progetto del paramento slu'!$G$105,'Progetto del paramento slu'!$G$106),'Progetto del paramento slu'!$G$107),'Progetto del paramento slu'!$G$108),'Progetto del paramento slu'!$G$109),'Progetto del paramento slu'!$G$110),'Progetto del paramento slu'!$G$111),'Progetto del paramento slu'!$G$112),55555)-IF(C207&lt;='SOLLECITAZ NASCOSTO'!$P$12,IF(C207&lt;='SOLLECITAZ NASCOSTO'!$P$11,IF(C207&lt;='SOLLECITAZ NASCOSTO'!$P$10,IF(C207&lt;='SOLLECITAZ NASCOSTO'!$P$9,IF(C207&lt;='SOLLECITAZ NASCOSTO'!$P$8,IF(C207&lt;='SOLLECITAZ NASCOSTO'!$P$7,IF(C207&lt;='SOLLECITAZ NASCOSTO'!$P$6,IF(C207&lt;='SOLLECITAZ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slu'!$G$112))*(C207-IF(C207&lt;='SOLLECITAZ NASCOSTO'!$P$12,IF(C207&lt;='SOLLECITAZ NASCOSTO'!$P$11,IF(C207&lt;='SOLLECITAZ NASCOSTO'!$P$10,IF(C207&lt;='SOLLECITAZ NASCOSTO'!$P$9,IF(C207&lt;='SOLLECITAZ NASCOSTO'!$P$8,IF(C207&lt;='SOLLECITAZ NASCOSTO'!$P$7,IF(C207&lt;='SOLLECITAZ NASCOSTO'!$P$6,IF(C207&lt;='SOLLECITAZ NASCOSTO'!$P$5,'SOLLECITAZ NASCOSTO'!$P$3,'SOLLECITAZ NASCOSTO'!$P$5),'SOLLECITAZ NASCOSTO'!$P$5),'SOLLECITAZ NASCOSTO'!$P$7),'SOLLECITAZ NASCOSTO'!$P$8),'SOLLECITAZ NASCOSTO'!$P$9),'SOLLECITAZ NASCOSTO'!$P$10),'SOLLECITAZ NASCOSTO'!$P$11),'SOLLECITAZ NASCOSTO'!$P$12))/IF(C207&lt;='SOLLECITAZ NASCOSTO'!$P$12,IF(C207&lt;='SOLLECITAZ NASCOSTO'!$P$11,IF(C207&lt;='SOLLECITAZ NASCOSTO'!$P$10,IF(C207&lt;='SOLLECITAZ NASCOSTO'!$P$9,IF(C207&lt;='SOLLECITAZ NASCOSTO'!$P$8,IF(C207&lt;='SOLLECITAZ NASCOSTO'!$P$7,IF(C207&lt;='SOLLECITAZ NASCOSTO'!$P$6,IF(C207&lt;='SOLLECITAZ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slu'!$C$112)+IF(C207&lt;='SOLLECITAZ NASCOSTO'!$P$12,IF(C207&lt;='SOLLECITAZ NASCOSTO'!$P$11,IF(C207&lt;='SOLLECITAZ NASCOSTO'!$P$10,IF(C207&lt;='SOLLECITAZ NASCOSTO'!$P$9,IF(C207&lt;='SOLLECITAZ NASCOSTO'!$P$8,IF(C207&lt;='SOLLECITAZ NASCOSTO'!$P$7,IF(C207&lt;='SOLLECITAZ NASCOSTO'!$P$6,IF(C207&lt;='SOLLECITAZ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12.567220545249336</v>
      </c>
      <c r="O208" s="42">
        <f>IF(C208&lt;='SOLLECITAZ NASCOSTO'!$P$12,IF(C208&lt;='SOLLECITAZ NASCOSTO'!$P$11,IF(C208&lt;='SOLLECITAZ NASCOSTO'!$P$10,IF(C208&lt;='SOLLECITAZ NASCOSTO'!$P$9,IF(C208&lt;='SOLLECITAZ NASCOSTO'!$P$8,IF(C208&lt;='SOLLECITAZ NASCOSTO'!$P$7,IF(C208&lt;='SOLLECITAZ NASCOSTO'!$P$6,IF(C208&lt;='SOLLECITAZ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slu'!$G$111),55555)*(C208-C207)/IF(C208&lt;='SOLLECITAZ NASCOSTO'!$P$12,IF(C208&lt;='SOLLECITAZ NASCOSTO'!$P$11,IF(C208&lt;='SOLLECITAZ NASCOSTO'!$P$10,IF(C208&lt;='SOLLECITAZ NASCOSTO'!$P$9,IF(C208&lt;='SOLLECITAZ NASCOSTO'!$P$8,IF(C208&lt;='SOLLECITAZ NASCOSTO'!$P$7,IF(C208&lt;='SOLLECITAZ NASCOSTO'!$P$6,IF(C208&lt;='SOLLECITAZ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8" s="42">
        <f t="shared" si="57"/>
        <v>1.7499999999999962E-4</v>
      </c>
      <c r="Q208" s="42">
        <f t="shared" si="55"/>
        <v>1</v>
      </c>
      <c r="R208" s="441">
        <f t="shared" si="49"/>
        <v>1.2057692307692307</v>
      </c>
      <c r="S208" s="46">
        <f t="shared" si="56"/>
        <v>1.2057692307692307</v>
      </c>
      <c r="T208" s="211">
        <f t="shared" si="52"/>
        <v>2.1442307692307692</v>
      </c>
      <c r="U208" s="46">
        <f t="shared" si="53"/>
        <v>10.104005515495174</v>
      </c>
      <c r="V208" s="46">
        <f t="shared" si="54"/>
        <v>-5.0652321082363025</v>
      </c>
      <c r="W208" s="496"/>
      <c r="X208" s="497"/>
      <c r="Y208" s="497"/>
      <c r="Z208" s="498"/>
      <c r="AA208" s="47"/>
    </row>
    <row r="209" spans="1:27" s="428" customFormat="1" x14ac:dyDescent="0.25">
      <c r="A209" s="589">
        <f t="shared" si="50"/>
        <v>4.2548076922277467E-6</v>
      </c>
      <c r="B209" s="32">
        <f t="shared" si="58"/>
        <v>177</v>
      </c>
      <c r="C209" s="441">
        <f>'SOLLECITAZ NASCOSTO'!$D$6/'SOLLECITAZ NASCOSTO'!$B$448*'SOLLECITAZ NASCOSTO'!B209</f>
        <v>1.2126201923076922</v>
      </c>
      <c r="D209" s="441">
        <f t="shared" si="51"/>
        <v>0.30000425480769222</v>
      </c>
      <c r="E209" s="441">
        <f t="shared" si="45"/>
        <v>4.2548076922277467E-6</v>
      </c>
      <c r="F209" s="441">
        <f t="shared" si="46"/>
        <v>0.30000425480769222</v>
      </c>
      <c r="G209" s="441">
        <f t="shared" si="47"/>
        <v>4.5001276451359359E-2</v>
      </c>
      <c r="H209" s="441">
        <f t="shared" si="59"/>
        <v>0</v>
      </c>
      <c r="I209" s="441">
        <v>0</v>
      </c>
      <c r="J209" s="131">
        <f t="shared" si="60"/>
        <v>0.15000212740384611</v>
      </c>
      <c r="K209" s="130">
        <f t="shared" si="48"/>
        <v>2.2500957345308356E-3</v>
      </c>
      <c r="L209" s="42">
        <f t="shared" si="61"/>
        <v>10.190597688067657</v>
      </c>
      <c r="M209" s="42">
        <f t="shared" si="62"/>
        <v>-5.1347508812292766</v>
      </c>
      <c r="N209" s="42">
        <f>(IF(C208&lt;='SOLLECITAZ NASCOSTO'!$P$12,IF(C208&lt;='SOLLECITAZ NASCOSTO'!$P$11,IF(C208&lt;='SOLLECITAZ NASCOSTO'!$P$10,IF(C208&lt;='SOLLECITAZ NASCOSTO'!$P$9,IF(C208&lt;='SOLLECITAZ NASCOSTO'!$P$8,IF(C208&lt;='SOLLECITAZ NASCOSTO'!$P$7,IF(C208&lt;='SOLLECITAZ NASCOSTO'!$P$6,IF(C208&lt;='SOLLECITAZ NASCOSTO'!$P$5,'Progetto del paramento slu'!$G$105,'Progetto del paramento slu'!$G$106),'Progetto del paramento slu'!$G$107),'Progetto del paramento slu'!$G$108),'Progetto del paramento slu'!$G$109),'Progetto del paramento slu'!$G$110),'Progetto del paramento slu'!$G$111),'Progetto del paramento slu'!$G$112),55555)-IF(C208&lt;='SOLLECITAZ NASCOSTO'!$P$12,IF(C208&lt;='SOLLECITAZ NASCOSTO'!$P$11,IF(C208&lt;='SOLLECITAZ NASCOSTO'!$P$10,IF(C208&lt;='SOLLECITAZ NASCOSTO'!$P$9,IF(C208&lt;='SOLLECITAZ NASCOSTO'!$P$8,IF(C208&lt;='SOLLECITAZ NASCOSTO'!$P$7,IF(C208&lt;='SOLLECITAZ NASCOSTO'!$P$6,IF(C208&lt;='SOLLECITAZ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slu'!$G$112))*(C208-IF(C208&lt;='SOLLECITAZ NASCOSTO'!$P$12,IF(C208&lt;='SOLLECITAZ NASCOSTO'!$P$11,IF(C208&lt;='SOLLECITAZ NASCOSTO'!$P$10,IF(C208&lt;='SOLLECITAZ NASCOSTO'!$P$9,IF(C208&lt;='SOLLECITAZ NASCOSTO'!$P$8,IF(C208&lt;='SOLLECITAZ NASCOSTO'!$P$7,IF(C208&lt;='SOLLECITAZ NASCOSTO'!$P$6,IF(C208&lt;='SOLLECITAZ NASCOSTO'!$P$5,'SOLLECITAZ NASCOSTO'!$P$3,'SOLLECITAZ NASCOSTO'!$P$5),'SOLLECITAZ NASCOSTO'!$P$5),'SOLLECITAZ NASCOSTO'!$P$7),'SOLLECITAZ NASCOSTO'!$P$8),'SOLLECITAZ NASCOSTO'!$P$9),'SOLLECITAZ NASCOSTO'!$P$10),'SOLLECITAZ NASCOSTO'!$P$11),'SOLLECITAZ NASCOSTO'!$P$12))/IF(C208&lt;='SOLLECITAZ NASCOSTO'!$P$12,IF(C208&lt;='SOLLECITAZ NASCOSTO'!$P$11,IF(C208&lt;='SOLLECITAZ NASCOSTO'!$P$10,IF(C208&lt;='SOLLECITAZ NASCOSTO'!$P$9,IF(C208&lt;='SOLLECITAZ NASCOSTO'!$P$8,IF(C208&lt;='SOLLECITAZ NASCOSTO'!$P$7,IF(C208&lt;='SOLLECITAZ NASCOSTO'!$P$6,IF(C208&lt;='SOLLECITAZ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slu'!$C$112)+IF(C208&lt;='SOLLECITAZ NASCOSTO'!$P$12,IF(C208&lt;='SOLLECITAZ NASCOSTO'!$P$11,IF(C208&lt;='SOLLECITAZ NASCOSTO'!$P$10,IF(C208&lt;='SOLLECITAZ NASCOSTO'!$P$9,IF(C208&lt;='SOLLECITAZ NASCOSTO'!$P$8,IF(C208&lt;='SOLLECITAZ NASCOSTO'!$P$7,IF(C208&lt;='SOLLECITAZ NASCOSTO'!$P$6,IF(C208&lt;='SOLLECITAZ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12.61535276424169</v>
      </c>
      <c r="O209" s="42">
        <f>IF(C209&lt;='SOLLECITAZ NASCOSTO'!$P$12,IF(C209&lt;='SOLLECITAZ NASCOSTO'!$P$11,IF(C209&lt;='SOLLECITAZ NASCOSTO'!$P$10,IF(C209&lt;='SOLLECITAZ NASCOSTO'!$P$9,IF(C209&lt;='SOLLECITAZ NASCOSTO'!$P$8,IF(C209&lt;='SOLLECITAZ NASCOSTO'!$P$7,IF(C209&lt;='SOLLECITAZ NASCOSTO'!$P$6,IF(C209&lt;='SOLLECITAZ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slu'!$G$111),55555)*(C209-C208)/IF(C209&lt;='SOLLECITAZ NASCOSTO'!$P$12,IF(C209&lt;='SOLLECITAZ NASCOSTO'!$P$11,IF(C209&lt;='SOLLECITAZ NASCOSTO'!$P$10,IF(C209&lt;='SOLLECITAZ NASCOSTO'!$P$9,IF(C209&lt;='SOLLECITAZ NASCOSTO'!$P$8,IF(C209&lt;='SOLLECITAZ NASCOSTO'!$P$7,IF(C209&lt;='SOLLECITAZ NASCOSTO'!$P$6,IF(C209&lt;='SOLLECITAZ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09" s="42">
        <f t="shared" si="57"/>
        <v>1.7599999999999962E-4</v>
      </c>
      <c r="Q209" s="42">
        <f t="shared" si="55"/>
        <v>1</v>
      </c>
      <c r="R209" s="441">
        <f t="shared" si="49"/>
        <v>1.2126201923076922</v>
      </c>
      <c r="S209" s="46">
        <f t="shared" si="56"/>
        <v>1.2126201923076922</v>
      </c>
      <c r="T209" s="211">
        <f t="shared" si="52"/>
        <v>2.1373798076923078</v>
      </c>
      <c r="U209" s="46">
        <f t="shared" si="53"/>
        <v>10.190597688067657</v>
      </c>
      <c r="V209" s="46">
        <f t="shared" si="54"/>
        <v>-5.1347508812292766</v>
      </c>
      <c r="W209" s="496"/>
      <c r="X209" s="497"/>
      <c r="Y209" s="497"/>
      <c r="Z209" s="498"/>
      <c r="AA209" s="47"/>
    </row>
    <row r="210" spans="1:27" s="428" customFormat="1" x14ac:dyDescent="0.25">
      <c r="A210" s="589">
        <f t="shared" si="50"/>
        <v>4.2788461537268674E-6</v>
      </c>
      <c r="B210" s="32">
        <f t="shared" si="58"/>
        <v>178</v>
      </c>
      <c r="C210" s="441">
        <f>'SOLLECITAZ NASCOSTO'!$D$6/'SOLLECITAZ NASCOSTO'!$B$448*'SOLLECITAZ NASCOSTO'!B210</f>
        <v>1.2194711538461538</v>
      </c>
      <c r="D210" s="441">
        <f t="shared" si="51"/>
        <v>0.30000427884615372</v>
      </c>
      <c r="E210" s="441">
        <f t="shared" si="45"/>
        <v>4.2788461537268674E-6</v>
      </c>
      <c r="F210" s="441">
        <f t="shared" si="46"/>
        <v>0.30000427884615372</v>
      </c>
      <c r="G210" s="441">
        <f t="shared" si="47"/>
        <v>4.500128366300038E-2</v>
      </c>
      <c r="H210" s="441">
        <f t="shared" si="59"/>
        <v>0</v>
      </c>
      <c r="I210" s="441">
        <v>0</v>
      </c>
      <c r="J210" s="131">
        <f t="shared" si="60"/>
        <v>0.15000213942307686</v>
      </c>
      <c r="K210" s="130">
        <f t="shared" si="48"/>
        <v>2.250096275411605E-3</v>
      </c>
      <c r="L210" s="42">
        <f t="shared" si="61"/>
        <v>10.277519612621218</v>
      </c>
      <c r="M210" s="42">
        <f t="shared" si="62"/>
        <v>-5.204864023425146</v>
      </c>
      <c r="N210" s="42">
        <f>(IF(C209&lt;='SOLLECITAZ NASCOSTO'!$P$12,IF(C209&lt;='SOLLECITAZ NASCOSTO'!$P$11,IF(C209&lt;='SOLLECITAZ NASCOSTO'!$P$10,IF(C209&lt;='SOLLECITAZ NASCOSTO'!$P$9,IF(C209&lt;='SOLLECITAZ NASCOSTO'!$P$8,IF(C209&lt;='SOLLECITAZ NASCOSTO'!$P$7,IF(C209&lt;='SOLLECITAZ NASCOSTO'!$P$6,IF(C209&lt;='SOLLECITAZ NASCOSTO'!$P$5,'Progetto del paramento slu'!$G$105,'Progetto del paramento slu'!$G$106),'Progetto del paramento slu'!$G$107),'Progetto del paramento slu'!$G$108),'Progetto del paramento slu'!$G$109),'Progetto del paramento slu'!$G$110),'Progetto del paramento slu'!$G$111),'Progetto del paramento slu'!$G$112),55555)-IF(C209&lt;='SOLLECITAZ NASCOSTO'!$P$12,IF(C209&lt;='SOLLECITAZ NASCOSTO'!$P$11,IF(C209&lt;='SOLLECITAZ NASCOSTO'!$P$10,IF(C209&lt;='SOLLECITAZ NASCOSTO'!$P$9,IF(C209&lt;='SOLLECITAZ NASCOSTO'!$P$8,IF(C209&lt;='SOLLECITAZ NASCOSTO'!$P$7,IF(C209&lt;='SOLLECITAZ NASCOSTO'!$P$6,IF(C209&lt;='SOLLECITAZ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slu'!$G$112))*(C209-IF(C209&lt;='SOLLECITAZ NASCOSTO'!$P$12,IF(C209&lt;='SOLLECITAZ NASCOSTO'!$P$11,IF(C209&lt;='SOLLECITAZ NASCOSTO'!$P$10,IF(C209&lt;='SOLLECITAZ NASCOSTO'!$P$9,IF(C209&lt;='SOLLECITAZ NASCOSTO'!$P$8,IF(C209&lt;='SOLLECITAZ NASCOSTO'!$P$7,IF(C209&lt;='SOLLECITAZ NASCOSTO'!$P$6,IF(C209&lt;='SOLLECITAZ NASCOSTO'!$P$5,'SOLLECITAZ NASCOSTO'!$P$3,'SOLLECITAZ NASCOSTO'!$P$5),'SOLLECITAZ NASCOSTO'!$P$5),'SOLLECITAZ NASCOSTO'!$P$7),'SOLLECITAZ NASCOSTO'!$P$8),'SOLLECITAZ NASCOSTO'!$P$9),'SOLLECITAZ NASCOSTO'!$P$10),'SOLLECITAZ NASCOSTO'!$P$11),'SOLLECITAZ NASCOSTO'!$P$12))/IF(C209&lt;='SOLLECITAZ NASCOSTO'!$P$12,IF(C209&lt;='SOLLECITAZ NASCOSTO'!$P$11,IF(C209&lt;='SOLLECITAZ NASCOSTO'!$P$10,IF(C209&lt;='SOLLECITAZ NASCOSTO'!$P$9,IF(C209&lt;='SOLLECITAZ NASCOSTO'!$P$8,IF(C209&lt;='SOLLECITAZ NASCOSTO'!$P$7,IF(C209&lt;='SOLLECITAZ NASCOSTO'!$P$6,IF(C209&lt;='SOLLECITAZ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slu'!$C$112)+IF(C209&lt;='SOLLECITAZ NASCOSTO'!$P$12,IF(C209&lt;='SOLLECITAZ NASCOSTO'!$P$11,IF(C209&lt;='SOLLECITAZ NASCOSTO'!$P$10,IF(C209&lt;='SOLLECITAZ NASCOSTO'!$P$9,IF(C209&lt;='SOLLECITAZ NASCOSTO'!$P$8,IF(C209&lt;='SOLLECITAZ NASCOSTO'!$P$7,IF(C209&lt;='SOLLECITAZ NASCOSTO'!$P$6,IF(C209&lt;='SOLLECITAZ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12.663484983234042</v>
      </c>
      <c r="O210" s="42">
        <f>IF(C210&lt;='SOLLECITAZ NASCOSTO'!$P$12,IF(C210&lt;='SOLLECITAZ NASCOSTO'!$P$11,IF(C210&lt;='SOLLECITAZ NASCOSTO'!$P$10,IF(C210&lt;='SOLLECITAZ NASCOSTO'!$P$9,IF(C210&lt;='SOLLECITAZ NASCOSTO'!$P$8,IF(C210&lt;='SOLLECITAZ NASCOSTO'!$P$7,IF(C210&lt;='SOLLECITAZ NASCOSTO'!$P$6,IF(C210&lt;='SOLLECITAZ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slu'!$G$111),55555)*(C210-C209)/IF(C210&lt;='SOLLECITAZ NASCOSTO'!$P$12,IF(C210&lt;='SOLLECITAZ NASCOSTO'!$P$11,IF(C210&lt;='SOLLECITAZ NASCOSTO'!$P$10,IF(C210&lt;='SOLLECITAZ NASCOSTO'!$P$9,IF(C210&lt;='SOLLECITAZ NASCOSTO'!$P$8,IF(C210&lt;='SOLLECITAZ NASCOSTO'!$P$7,IF(C210&lt;='SOLLECITAZ NASCOSTO'!$P$6,IF(C210&lt;='SOLLECITAZ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0" s="42">
        <f t="shared" si="57"/>
        <v>1.7699999999999961E-4</v>
      </c>
      <c r="Q210" s="42">
        <f t="shared" si="55"/>
        <v>1</v>
      </c>
      <c r="R210" s="441">
        <f t="shared" si="49"/>
        <v>1.2194711538461538</v>
      </c>
      <c r="S210" s="46">
        <f t="shared" si="56"/>
        <v>1.2194711538461538</v>
      </c>
      <c r="T210" s="211">
        <f t="shared" si="52"/>
        <v>2.1305288461538465</v>
      </c>
      <c r="U210" s="46">
        <f t="shared" si="53"/>
        <v>10.277519612621218</v>
      </c>
      <c r="V210" s="46">
        <f t="shared" si="54"/>
        <v>-5.204864023425146</v>
      </c>
      <c r="W210" s="496"/>
      <c r="X210" s="497"/>
      <c r="Y210" s="497"/>
      <c r="Z210" s="498"/>
      <c r="AA210" s="47"/>
    </row>
    <row r="211" spans="1:27" s="428" customFormat="1" x14ac:dyDescent="0.25">
      <c r="A211" s="589">
        <f t="shared" si="50"/>
        <v>4.3028846152814992E-6</v>
      </c>
      <c r="B211" s="32">
        <f t="shared" si="58"/>
        <v>179</v>
      </c>
      <c r="C211" s="441">
        <f>'SOLLECITAZ NASCOSTO'!$D$6/'SOLLECITAZ NASCOSTO'!$B$448*'SOLLECITAZ NASCOSTO'!B211</f>
        <v>1.2263221153846153</v>
      </c>
      <c r="D211" s="441">
        <f t="shared" si="51"/>
        <v>0.30000430288461527</v>
      </c>
      <c r="E211" s="441">
        <f t="shared" si="45"/>
        <v>4.3028846152814992E-6</v>
      </c>
      <c r="F211" s="441">
        <f t="shared" si="46"/>
        <v>0.30000430288461527</v>
      </c>
      <c r="G211" s="441">
        <f t="shared" si="47"/>
        <v>4.500129087464199E-2</v>
      </c>
      <c r="H211" s="441">
        <f t="shared" si="59"/>
        <v>0</v>
      </c>
      <c r="I211" s="441">
        <v>0</v>
      </c>
      <c r="J211" s="131">
        <f t="shared" si="60"/>
        <v>0.15000215144230764</v>
      </c>
      <c r="K211" s="130">
        <f t="shared" si="48"/>
        <v>2.2500968162924616E-3</v>
      </c>
      <c r="L211" s="42">
        <f t="shared" si="61"/>
        <v>10.364771289155856</v>
      </c>
      <c r="M211" s="42">
        <f t="shared" si="62"/>
        <v>-5.2755737939420504</v>
      </c>
      <c r="N211" s="42">
        <f>(IF(C210&lt;='SOLLECITAZ NASCOSTO'!$P$12,IF(C210&lt;='SOLLECITAZ NASCOSTO'!$P$11,IF(C210&lt;='SOLLECITAZ NASCOSTO'!$P$10,IF(C210&lt;='SOLLECITAZ NASCOSTO'!$P$9,IF(C210&lt;='SOLLECITAZ NASCOSTO'!$P$8,IF(C210&lt;='SOLLECITAZ NASCOSTO'!$P$7,IF(C210&lt;='SOLLECITAZ NASCOSTO'!$P$6,IF(C210&lt;='SOLLECITAZ NASCOSTO'!$P$5,'Progetto del paramento slu'!$G$105,'Progetto del paramento slu'!$G$106),'Progetto del paramento slu'!$G$107),'Progetto del paramento slu'!$G$108),'Progetto del paramento slu'!$G$109),'Progetto del paramento slu'!$G$110),'Progetto del paramento slu'!$G$111),'Progetto del paramento slu'!$G$112),55555)-IF(C210&lt;='SOLLECITAZ NASCOSTO'!$P$12,IF(C210&lt;='SOLLECITAZ NASCOSTO'!$P$11,IF(C210&lt;='SOLLECITAZ NASCOSTO'!$P$10,IF(C210&lt;='SOLLECITAZ NASCOSTO'!$P$9,IF(C210&lt;='SOLLECITAZ NASCOSTO'!$P$8,IF(C210&lt;='SOLLECITAZ NASCOSTO'!$P$7,IF(C210&lt;='SOLLECITAZ NASCOSTO'!$P$6,IF(C210&lt;='SOLLECITAZ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slu'!$G$112))*(C210-IF(C210&lt;='SOLLECITAZ NASCOSTO'!$P$12,IF(C210&lt;='SOLLECITAZ NASCOSTO'!$P$11,IF(C210&lt;='SOLLECITAZ NASCOSTO'!$P$10,IF(C210&lt;='SOLLECITAZ NASCOSTO'!$P$9,IF(C210&lt;='SOLLECITAZ NASCOSTO'!$P$8,IF(C210&lt;='SOLLECITAZ NASCOSTO'!$P$7,IF(C210&lt;='SOLLECITAZ NASCOSTO'!$P$6,IF(C210&lt;='SOLLECITAZ NASCOSTO'!$P$5,'SOLLECITAZ NASCOSTO'!$P$3,'SOLLECITAZ NASCOSTO'!$P$5),'SOLLECITAZ NASCOSTO'!$P$5),'SOLLECITAZ NASCOSTO'!$P$7),'SOLLECITAZ NASCOSTO'!$P$8),'SOLLECITAZ NASCOSTO'!$P$9),'SOLLECITAZ NASCOSTO'!$P$10),'SOLLECITAZ NASCOSTO'!$P$11),'SOLLECITAZ NASCOSTO'!$P$12))/IF(C210&lt;='SOLLECITAZ NASCOSTO'!$P$12,IF(C210&lt;='SOLLECITAZ NASCOSTO'!$P$11,IF(C210&lt;='SOLLECITAZ NASCOSTO'!$P$10,IF(C210&lt;='SOLLECITAZ NASCOSTO'!$P$9,IF(C210&lt;='SOLLECITAZ NASCOSTO'!$P$8,IF(C210&lt;='SOLLECITAZ NASCOSTO'!$P$7,IF(C210&lt;='SOLLECITAZ NASCOSTO'!$P$6,IF(C210&lt;='SOLLECITAZ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slu'!$C$112)+IF(C210&lt;='SOLLECITAZ NASCOSTO'!$P$12,IF(C210&lt;='SOLLECITAZ NASCOSTO'!$P$11,IF(C210&lt;='SOLLECITAZ NASCOSTO'!$P$10,IF(C210&lt;='SOLLECITAZ NASCOSTO'!$P$9,IF(C210&lt;='SOLLECITAZ NASCOSTO'!$P$8,IF(C210&lt;='SOLLECITAZ NASCOSTO'!$P$7,IF(C210&lt;='SOLLECITAZ NASCOSTO'!$P$6,IF(C210&lt;='SOLLECITAZ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12.711617202226394</v>
      </c>
      <c r="O211" s="42">
        <f>IF(C211&lt;='SOLLECITAZ NASCOSTO'!$P$12,IF(C211&lt;='SOLLECITAZ NASCOSTO'!$P$11,IF(C211&lt;='SOLLECITAZ NASCOSTO'!$P$10,IF(C211&lt;='SOLLECITAZ NASCOSTO'!$P$9,IF(C211&lt;='SOLLECITAZ NASCOSTO'!$P$8,IF(C211&lt;='SOLLECITAZ NASCOSTO'!$P$7,IF(C211&lt;='SOLLECITAZ NASCOSTO'!$P$6,IF(C211&lt;='SOLLECITAZ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slu'!$G$111),55555)*(C211-C210)/IF(C211&lt;='SOLLECITAZ NASCOSTO'!$P$12,IF(C211&lt;='SOLLECITAZ NASCOSTO'!$P$11,IF(C211&lt;='SOLLECITAZ NASCOSTO'!$P$10,IF(C211&lt;='SOLLECITAZ NASCOSTO'!$P$9,IF(C211&lt;='SOLLECITAZ NASCOSTO'!$P$8,IF(C211&lt;='SOLLECITAZ NASCOSTO'!$P$7,IF(C211&lt;='SOLLECITAZ NASCOSTO'!$P$6,IF(C211&lt;='SOLLECITAZ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1" s="42">
        <f t="shared" si="57"/>
        <v>1.7799999999999961E-4</v>
      </c>
      <c r="Q211" s="42">
        <f t="shared" si="55"/>
        <v>1</v>
      </c>
      <c r="R211" s="441">
        <f t="shared" si="49"/>
        <v>1.2263221153846153</v>
      </c>
      <c r="S211" s="46">
        <f t="shared" si="56"/>
        <v>1.2263221153846153</v>
      </c>
      <c r="T211" s="211">
        <f t="shared" si="52"/>
        <v>2.1236778846153848</v>
      </c>
      <c r="U211" s="46">
        <f t="shared" si="53"/>
        <v>10.364771289155856</v>
      </c>
      <c r="V211" s="46">
        <f t="shared" si="54"/>
        <v>-5.2755737939420504</v>
      </c>
      <c r="W211" s="496"/>
      <c r="X211" s="497"/>
      <c r="Y211" s="497"/>
      <c r="Z211" s="498"/>
      <c r="AA211" s="47"/>
    </row>
    <row r="212" spans="1:27" s="428" customFormat="1" x14ac:dyDescent="0.25">
      <c r="A212" s="589">
        <f t="shared" si="50"/>
        <v>4.3269230768361311E-6</v>
      </c>
      <c r="B212" s="32">
        <f t="shared" si="58"/>
        <v>180</v>
      </c>
      <c r="C212" s="441">
        <f>'SOLLECITAZ NASCOSTO'!$D$6/'SOLLECITAZ NASCOSTO'!$B$448*'SOLLECITAZ NASCOSTO'!B212</f>
        <v>1.2331730769230769</v>
      </c>
      <c r="D212" s="441">
        <f t="shared" si="51"/>
        <v>0.30000432692307683</v>
      </c>
      <c r="E212" s="441">
        <f t="shared" si="45"/>
        <v>4.3269230768361311E-6</v>
      </c>
      <c r="F212" s="441">
        <f t="shared" si="46"/>
        <v>0.30000432692307683</v>
      </c>
      <c r="G212" s="441">
        <f t="shared" si="47"/>
        <v>4.5001298086284183E-2</v>
      </c>
      <c r="H212" s="441">
        <f t="shared" si="59"/>
        <v>0</v>
      </c>
      <c r="I212" s="441">
        <v>0</v>
      </c>
      <c r="J212" s="131">
        <f t="shared" si="60"/>
        <v>0.15000216346153841</v>
      </c>
      <c r="K212" s="130">
        <f t="shared" si="48"/>
        <v>2.2500973571734049E-3</v>
      </c>
      <c r="L212" s="42">
        <f t="shared" si="61"/>
        <v>10.452352717671571</v>
      </c>
      <c r="M212" s="42">
        <f t="shared" si="62"/>
        <v>-5.3468824518981304</v>
      </c>
      <c r="N212" s="42">
        <f>(IF(C211&lt;='SOLLECITAZ NASCOSTO'!$P$12,IF(C211&lt;='SOLLECITAZ NASCOSTO'!$P$11,IF(C211&lt;='SOLLECITAZ NASCOSTO'!$P$10,IF(C211&lt;='SOLLECITAZ NASCOSTO'!$P$9,IF(C211&lt;='SOLLECITAZ NASCOSTO'!$P$8,IF(C211&lt;='SOLLECITAZ NASCOSTO'!$P$7,IF(C211&lt;='SOLLECITAZ NASCOSTO'!$P$6,IF(C211&lt;='SOLLECITAZ NASCOSTO'!$P$5,'Progetto del paramento slu'!$G$105,'Progetto del paramento slu'!$G$106),'Progetto del paramento slu'!$G$107),'Progetto del paramento slu'!$G$108),'Progetto del paramento slu'!$G$109),'Progetto del paramento slu'!$G$110),'Progetto del paramento slu'!$G$111),'Progetto del paramento slu'!$G$112),55555)-IF(C211&lt;='SOLLECITAZ NASCOSTO'!$P$12,IF(C211&lt;='SOLLECITAZ NASCOSTO'!$P$11,IF(C211&lt;='SOLLECITAZ NASCOSTO'!$P$10,IF(C211&lt;='SOLLECITAZ NASCOSTO'!$P$9,IF(C211&lt;='SOLLECITAZ NASCOSTO'!$P$8,IF(C211&lt;='SOLLECITAZ NASCOSTO'!$P$7,IF(C211&lt;='SOLLECITAZ NASCOSTO'!$P$6,IF(C211&lt;='SOLLECITAZ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slu'!$G$112))*(C211-IF(C211&lt;='SOLLECITAZ NASCOSTO'!$P$12,IF(C211&lt;='SOLLECITAZ NASCOSTO'!$P$11,IF(C211&lt;='SOLLECITAZ NASCOSTO'!$P$10,IF(C211&lt;='SOLLECITAZ NASCOSTO'!$P$9,IF(C211&lt;='SOLLECITAZ NASCOSTO'!$P$8,IF(C211&lt;='SOLLECITAZ NASCOSTO'!$P$7,IF(C211&lt;='SOLLECITAZ NASCOSTO'!$P$6,IF(C211&lt;='SOLLECITAZ NASCOSTO'!$P$5,'SOLLECITAZ NASCOSTO'!$P$3,'SOLLECITAZ NASCOSTO'!$P$5),'SOLLECITAZ NASCOSTO'!$P$5),'SOLLECITAZ NASCOSTO'!$P$7),'SOLLECITAZ NASCOSTO'!$P$8),'SOLLECITAZ NASCOSTO'!$P$9),'SOLLECITAZ NASCOSTO'!$P$10),'SOLLECITAZ NASCOSTO'!$P$11),'SOLLECITAZ NASCOSTO'!$P$12))/IF(C211&lt;='SOLLECITAZ NASCOSTO'!$P$12,IF(C211&lt;='SOLLECITAZ NASCOSTO'!$P$11,IF(C211&lt;='SOLLECITAZ NASCOSTO'!$P$10,IF(C211&lt;='SOLLECITAZ NASCOSTO'!$P$9,IF(C211&lt;='SOLLECITAZ NASCOSTO'!$P$8,IF(C211&lt;='SOLLECITAZ NASCOSTO'!$P$7,IF(C211&lt;='SOLLECITAZ NASCOSTO'!$P$6,IF(C211&lt;='SOLLECITAZ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slu'!$C$112)+IF(C211&lt;='SOLLECITAZ NASCOSTO'!$P$12,IF(C211&lt;='SOLLECITAZ NASCOSTO'!$P$11,IF(C211&lt;='SOLLECITAZ NASCOSTO'!$P$10,IF(C211&lt;='SOLLECITAZ NASCOSTO'!$P$9,IF(C211&lt;='SOLLECITAZ NASCOSTO'!$P$8,IF(C211&lt;='SOLLECITAZ NASCOSTO'!$P$7,IF(C211&lt;='SOLLECITAZ NASCOSTO'!$P$6,IF(C211&lt;='SOLLECITAZ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12.759749421218746</v>
      </c>
      <c r="O212" s="42">
        <f>IF(C212&lt;='SOLLECITAZ NASCOSTO'!$P$12,IF(C212&lt;='SOLLECITAZ NASCOSTO'!$P$11,IF(C212&lt;='SOLLECITAZ NASCOSTO'!$P$10,IF(C212&lt;='SOLLECITAZ NASCOSTO'!$P$9,IF(C212&lt;='SOLLECITAZ NASCOSTO'!$P$8,IF(C212&lt;='SOLLECITAZ NASCOSTO'!$P$7,IF(C212&lt;='SOLLECITAZ NASCOSTO'!$P$6,IF(C212&lt;='SOLLECITAZ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slu'!$G$111),55555)*(C212-C211)/IF(C212&lt;='SOLLECITAZ NASCOSTO'!$P$12,IF(C212&lt;='SOLLECITAZ NASCOSTO'!$P$11,IF(C212&lt;='SOLLECITAZ NASCOSTO'!$P$10,IF(C212&lt;='SOLLECITAZ NASCOSTO'!$P$9,IF(C212&lt;='SOLLECITAZ NASCOSTO'!$P$8,IF(C212&lt;='SOLLECITAZ NASCOSTO'!$P$7,IF(C212&lt;='SOLLECITAZ NASCOSTO'!$P$6,IF(C212&lt;='SOLLECITAZ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2" s="42">
        <f t="shared" si="57"/>
        <v>1.7899999999999961E-4</v>
      </c>
      <c r="Q212" s="42">
        <f t="shared" si="55"/>
        <v>1</v>
      </c>
      <c r="R212" s="441">
        <f t="shared" si="49"/>
        <v>1.2331730769230769</v>
      </c>
      <c r="S212" s="46">
        <f t="shared" si="56"/>
        <v>1.2331730769230769</v>
      </c>
      <c r="T212" s="211">
        <f t="shared" si="52"/>
        <v>2.116826923076923</v>
      </c>
      <c r="U212" s="46">
        <f t="shared" si="53"/>
        <v>10.452352717671571</v>
      </c>
      <c r="V212" s="46">
        <f t="shared" si="54"/>
        <v>-5.3468824518981304</v>
      </c>
      <c r="W212" s="496"/>
      <c r="X212" s="497"/>
      <c r="Y212" s="497"/>
      <c r="Z212" s="498"/>
      <c r="AA212" s="47"/>
    </row>
    <row r="213" spans="1:27" s="428" customFormat="1" x14ac:dyDescent="0.25">
      <c r="A213" s="589">
        <f t="shared" si="50"/>
        <v>4.3509615383907629E-6</v>
      </c>
      <c r="B213" s="32">
        <f t="shared" si="58"/>
        <v>181</v>
      </c>
      <c r="C213" s="441">
        <f>'SOLLECITAZ NASCOSTO'!$D$6/'SOLLECITAZ NASCOSTO'!$B$448*'SOLLECITAZ NASCOSTO'!B213</f>
        <v>1.2400240384615384</v>
      </c>
      <c r="D213" s="441">
        <f t="shared" si="51"/>
        <v>0.30000435096153838</v>
      </c>
      <c r="E213" s="441">
        <f t="shared" si="45"/>
        <v>4.3509615383907629E-6</v>
      </c>
      <c r="F213" s="441">
        <f t="shared" si="46"/>
        <v>0.30000435096153838</v>
      </c>
      <c r="G213" s="441">
        <f t="shared" si="47"/>
        <v>4.5001305297926945E-2</v>
      </c>
      <c r="H213" s="441">
        <f t="shared" si="59"/>
        <v>0</v>
      </c>
      <c r="I213" s="441">
        <v>0</v>
      </c>
      <c r="J213" s="131">
        <f t="shared" si="60"/>
        <v>0.15000217548076919</v>
      </c>
      <c r="K213" s="130">
        <f t="shared" si="48"/>
        <v>2.250097898054435E-3</v>
      </c>
      <c r="L213" s="42">
        <f t="shared" si="61"/>
        <v>10.540263898168364</v>
      </c>
      <c r="M213" s="42">
        <f t="shared" si="62"/>
        <v>-5.4187922564115247</v>
      </c>
      <c r="N213" s="42">
        <f>(IF(C212&lt;='SOLLECITAZ NASCOSTO'!$P$12,IF(C212&lt;='SOLLECITAZ NASCOSTO'!$P$11,IF(C212&lt;='SOLLECITAZ NASCOSTO'!$P$10,IF(C212&lt;='SOLLECITAZ NASCOSTO'!$P$9,IF(C212&lt;='SOLLECITAZ NASCOSTO'!$P$8,IF(C212&lt;='SOLLECITAZ NASCOSTO'!$P$7,IF(C212&lt;='SOLLECITAZ NASCOSTO'!$P$6,IF(C212&lt;='SOLLECITAZ NASCOSTO'!$P$5,'Progetto del paramento slu'!$G$105,'Progetto del paramento slu'!$G$106),'Progetto del paramento slu'!$G$107),'Progetto del paramento slu'!$G$108),'Progetto del paramento slu'!$G$109),'Progetto del paramento slu'!$G$110),'Progetto del paramento slu'!$G$111),'Progetto del paramento slu'!$G$112),55555)-IF(C212&lt;='SOLLECITAZ NASCOSTO'!$P$12,IF(C212&lt;='SOLLECITAZ NASCOSTO'!$P$11,IF(C212&lt;='SOLLECITAZ NASCOSTO'!$P$10,IF(C212&lt;='SOLLECITAZ NASCOSTO'!$P$9,IF(C212&lt;='SOLLECITAZ NASCOSTO'!$P$8,IF(C212&lt;='SOLLECITAZ NASCOSTO'!$P$7,IF(C212&lt;='SOLLECITAZ NASCOSTO'!$P$6,IF(C212&lt;='SOLLECITAZ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slu'!$G$112))*(C212-IF(C212&lt;='SOLLECITAZ NASCOSTO'!$P$12,IF(C212&lt;='SOLLECITAZ NASCOSTO'!$P$11,IF(C212&lt;='SOLLECITAZ NASCOSTO'!$P$10,IF(C212&lt;='SOLLECITAZ NASCOSTO'!$P$9,IF(C212&lt;='SOLLECITAZ NASCOSTO'!$P$8,IF(C212&lt;='SOLLECITAZ NASCOSTO'!$P$7,IF(C212&lt;='SOLLECITAZ NASCOSTO'!$P$6,IF(C212&lt;='SOLLECITAZ NASCOSTO'!$P$5,'SOLLECITAZ NASCOSTO'!$P$3,'SOLLECITAZ NASCOSTO'!$P$5),'SOLLECITAZ NASCOSTO'!$P$5),'SOLLECITAZ NASCOSTO'!$P$7),'SOLLECITAZ NASCOSTO'!$P$8),'SOLLECITAZ NASCOSTO'!$P$9),'SOLLECITAZ NASCOSTO'!$P$10),'SOLLECITAZ NASCOSTO'!$P$11),'SOLLECITAZ NASCOSTO'!$P$12))/IF(C212&lt;='SOLLECITAZ NASCOSTO'!$P$12,IF(C212&lt;='SOLLECITAZ NASCOSTO'!$P$11,IF(C212&lt;='SOLLECITAZ NASCOSTO'!$P$10,IF(C212&lt;='SOLLECITAZ NASCOSTO'!$P$9,IF(C212&lt;='SOLLECITAZ NASCOSTO'!$P$8,IF(C212&lt;='SOLLECITAZ NASCOSTO'!$P$7,IF(C212&lt;='SOLLECITAZ NASCOSTO'!$P$6,IF(C212&lt;='SOLLECITAZ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slu'!$C$112)+IF(C212&lt;='SOLLECITAZ NASCOSTO'!$P$12,IF(C212&lt;='SOLLECITAZ NASCOSTO'!$P$11,IF(C212&lt;='SOLLECITAZ NASCOSTO'!$P$10,IF(C212&lt;='SOLLECITAZ NASCOSTO'!$P$9,IF(C212&lt;='SOLLECITAZ NASCOSTO'!$P$8,IF(C212&lt;='SOLLECITAZ NASCOSTO'!$P$7,IF(C212&lt;='SOLLECITAZ NASCOSTO'!$P$6,IF(C212&lt;='SOLLECITAZ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12.807881640211098</v>
      </c>
      <c r="O213" s="42">
        <f>IF(C213&lt;='SOLLECITAZ NASCOSTO'!$P$12,IF(C213&lt;='SOLLECITAZ NASCOSTO'!$P$11,IF(C213&lt;='SOLLECITAZ NASCOSTO'!$P$10,IF(C213&lt;='SOLLECITAZ NASCOSTO'!$P$9,IF(C213&lt;='SOLLECITAZ NASCOSTO'!$P$8,IF(C213&lt;='SOLLECITAZ NASCOSTO'!$P$7,IF(C213&lt;='SOLLECITAZ NASCOSTO'!$P$6,IF(C213&lt;='SOLLECITAZ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slu'!$G$111),55555)*(C213-C212)/IF(C213&lt;='SOLLECITAZ NASCOSTO'!$P$12,IF(C213&lt;='SOLLECITAZ NASCOSTO'!$P$11,IF(C213&lt;='SOLLECITAZ NASCOSTO'!$P$10,IF(C213&lt;='SOLLECITAZ NASCOSTO'!$P$9,IF(C213&lt;='SOLLECITAZ NASCOSTO'!$P$8,IF(C213&lt;='SOLLECITAZ NASCOSTO'!$P$7,IF(C213&lt;='SOLLECITAZ NASCOSTO'!$P$6,IF(C213&lt;='SOLLECITAZ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3" s="42">
        <f t="shared" si="57"/>
        <v>1.799999999999996E-4</v>
      </c>
      <c r="Q213" s="42">
        <f t="shared" si="55"/>
        <v>1</v>
      </c>
      <c r="R213" s="441">
        <f t="shared" si="49"/>
        <v>1.2400240384615384</v>
      </c>
      <c r="S213" s="46">
        <f t="shared" si="56"/>
        <v>1.2400240384615384</v>
      </c>
      <c r="T213" s="211">
        <f t="shared" si="52"/>
        <v>2.1099759615384617</v>
      </c>
      <c r="U213" s="46">
        <f t="shared" si="53"/>
        <v>10.540263898168364</v>
      </c>
      <c r="V213" s="46">
        <f t="shared" si="54"/>
        <v>-5.4187922564115247</v>
      </c>
      <c r="W213" s="496"/>
      <c r="X213" s="497"/>
      <c r="Y213" s="497"/>
      <c r="Z213" s="498"/>
      <c r="AA213" s="47"/>
    </row>
    <row r="214" spans="1:27" s="428" customFormat="1" x14ac:dyDescent="0.25">
      <c r="A214" s="589">
        <f t="shared" si="50"/>
        <v>4.3749999998898836E-6</v>
      </c>
      <c r="B214" s="32">
        <f t="shared" si="58"/>
        <v>182</v>
      </c>
      <c r="C214" s="441">
        <f>'SOLLECITAZ NASCOSTO'!$D$6/'SOLLECITAZ NASCOSTO'!$B$448*'SOLLECITAZ NASCOSTO'!B214</f>
        <v>1.246875</v>
      </c>
      <c r="D214" s="441">
        <f t="shared" si="51"/>
        <v>0.30000437499999988</v>
      </c>
      <c r="E214" s="441">
        <f t="shared" si="45"/>
        <v>4.3749999998898836E-6</v>
      </c>
      <c r="F214" s="441">
        <f t="shared" si="46"/>
        <v>0.30000437499999988</v>
      </c>
      <c r="G214" s="441">
        <f t="shared" si="47"/>
        <v>4.5001312509570277E-2</v>
      </c>
      <c r="H214" s="441">
        <f t="shared" si="59"/>
        <v>0</v>
      </c>
      <c r="I214" s="441">
        <v>0</v>
      </c>
      <c r="J214" s="131">
        <f t="shared" si="60"/>
        <v>0.15000218749999994</v>
      </c>
      <c r="K214" s="130">
        <f t="shared" si="48"/>
        <v>2.2500984389355514E-3</v>
      </c>
      <c r="L214" s="42">
        <f t="shared" si="61"/>
        <v>10.628504830646234</v>
      </c>
      <c r="M214" s="42">
        <f t="shared" si="62"/>
        <v>-5.4913054666003731</v>
      </c>
      <c r="N214" s="42">
        <f>(IF(C213&lt;='SOLLECITAZ NASCOSTO'!$P$12,IF(C213&lt;='SOLLECITAZ NASCOSTO'!$P$11,IF(C213&lt;='SOLLECITAZ NASCOSTO'!$P$10,IF(C213&lt;='SOLLECITAZ NASCOSTO'!$P$9,IF(C213&lt;='SOLLECITAZ NASCOSTO'!$P$8,IF(C213&lt;='SOLLECITAZ NASCOSTO'!$P$7,IF(C213&lt;='SOLLECITAZ NASCOSTO'!$P$6,IF(C213&lt;='SOLLECITAZ NASCOSTO'!$P$5,'Progetto del paramento slu'!$G$105,'Progetto del paramento slu'!$G$106),'Progetto del paramento slu'!$G$107),'Progetto del paramento slu'!$G$108),'Progetto del paramento slu'!$G$109),'Progetto del paramento slu'!$G$110),'Progetto del paramento slu'!$G$111),'Progetto del paramento slu'!$G$112),55555)-IF(C213&lt;='SOLLECITAZ NASCOSTO'!$P$12,IF(C213&lt;='SOLLECITAZ NASCOSTO'!$P$11,IF(C213&lt;='SOLLECITAZ NASCOSTO'!$P$10,IF(C213&lt;='SOLLECITAZ NASCOSTO'!$P$9,IF(C213&lt;='SOLLECITAZ NASCOSTO'!$P$8,IF(C213&lt;='SOLLECITAZ NASCOSTO'!$P$7,IF(C213&lt;='SOLLECITAZ NASCOSTO'!$P$6,IF(C213&lt;='SOLLECITAZ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slu'!$G$112))*(C213-IF(C213&lt;='SOLLECITAZ NASCOSTO'!$P$12,IF(C213&lt;='SOLLECITAZ NASCOSTO'!$P$11,IF(C213&lt;='SOLLECITAZ NASCOSTO'!$P$10,IF(C213&lt;='SOLLECITAZ NASCOSTO'!$P$9,IF(C213&lt;='SOLLECITAZ NASCOSTO'!$P$8,IF(C213&lt;='SOLLECITAZ NASCOSTO'!$P$7,IF(C213&lt;='SOLLECITAZ NASCOSTO'!$P$6,IF(C213&lt;='SOLLECITAZ NASCOSTO'!$P$5,'SOLLECITAZ NASCOSTO'!$P$3,'SOLLECITAZ NASCOSTO'!$P$5),'SOLLECITAZ NASCOSTO'!$P$5),'SOLLECITAZ NASCOSTO'!$P$7),'SOLLECITAZ NASCOSTO'!$P$8),'SOLLECITAZ NASCOSTO'!$P$9),'SOLLECITAZ NASCOSTO'!$P$10),'SOLLECITAZ NASCOSTO'!$P$11),'SOLLECITAZ NASCOSTO'!$P$12))/IF(C213&lt;='SOLLECITAZ NASCOSTO'!$P$12,IF(C213&lt;='SOLLECITAZ NASCOSTO'!$P$11,IF(C213&lt;='SOLLECITAZ NASCOSTO'!$P$10,IF(C213&lt;='SOLLECITAZ NASCOSTO'!$P$9,IF(C213&lt;='SOLLECITAZ NASCOSTO'!$P$8,IF(C213&lt;='SOLLECITAZ NASCOSTO'!$P$7,IF(C213&lt;='SOLLECITAZ NASCOSTO'!$P$6,IF(C213&lt;='SOLLECITAZ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slu'!$C$112)+IF(C213&lt;='SOLLECITAZ NASCOSTO'!$P$12,IF(C213&lt;='SOLLECITAZ NASCOSTO'!$P$11,IF(C213&lt;='SOLLECITAZ NASCOSTO'!$P$10,IF(C213&lt;='SOLLECITAZ NASCOSTO'!$P$9,IF(C213&lt;='SOLLECITAZ NASCOSTO'!$P$8,IF(C213&lt;='SOLLECITAZ NASCOSTO'!$P$7,IF(C213&lt;='SOLLECITAZ NASCOSTO'!$P$6,IF(C213&lt;='SOLLECITAZ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12.856013859203452</v>
      </c>
      <c r="O214" s="42">
        <f>IF(C214&lt;='SOLLECITAZ NASCOSTO'!$P$12,IF(C214&lt;='SOLLECITAZ NASCOSTO'!$P$11,IF(C214&lt;='SOLLECITAZ NASCOSTO'!$P$10,IF(C214&lt;='SOLLECITAZ NASCOSTO'!$P$9,IF(C214&lt;='SOLLECITAZ NASCOSTO'!$P$8,IF(C214&lt;='SOLLECITAZ NASCOSTO'!$P$7,IF(C214&lt;='SOLLECITAZ NASCOSTO'!$P$6,IF(C214&lt;='SOLLECITAZ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slu'!$G$111),55555)*(C214-C213)/IF(C214&lt;='SOLLECITAZ NASCOSTO'!$P$12,IF(C214&lt;='SOLLECITAZ NASCOSTO'!$P$11,IF(C214&lt;='SOLLECITAZ NASCOSTO'!$P$10,IF(C214&lt;='SOLLECITAZ NASCOSTO'!$P$9,IF(C214&lt;='SOLLECITAZ NASCOSTO'!$P$8,IF(C214&lt;='SOLLECITAZ NASCOSTO'!$P$7,IF(C214&lt;='SOLLECITAZ NASCOSTO'!$P$6,IF(C214&lt;='SOLLECITAZ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4" s="42">
        <f t="shared" si="57"/>
        <v>1.809999999999996E-4</v>
      </c>
      <c r="Q214" s="42">
        <f t="shared" si="55"/>
        <v>1</v>
      </c>
      <c r="R214" s="441">
        <f t="shared" si="49"/>
        <v>1.246875</v>
      </c>
      <c r="S214" s="46">
        <f t="shared" si="56"/>
        <v>1.246875</v>
      </c>
      <c r="T214" s="211">
        <f t="shared" si="52"/>
        <v>2.1031250000000004</v>
      </c>
      <c r="U214" s="46">
        <f t="shared" si="53"/>
        <v>10.628504830646234</v>
      </c>
      <c r="V214" s="46">
        <f t="shared" si="54"/>
        <v>-5.4913054666003731</v>
      </c>
      <c r="W214" s="496"/>
      <c r="X214" s="497"/>
      <c r="Y214" s="497"/>
      <c r="Z214" s="498"/>
      <c r="AA214" s="47"/>
    </row>
    <row r="215" spans="1:27" s="428" customFormat="1" x14ac:dyDescent="0.25">
      <c r="A215" s="589">
        <f t="shared" si="50"/>
        <v>4.3990384614445155E-6</v>
      </c>
      <c r="B215" s="32">
        <f t="shared" si="58"/>
        <v>183</v>
      </c>
      <c r="C215" s="441">
        <f>'SOLLECITAZ NASCOSTO'!$D$6/'SOLLECITAZ NASCOSTO'!$B$448*'SOLLECITAZ NASCOSTO'!B215</f>
        <v>1.2537259615384615</v>
      </c>
      <c r="D215" s="441">
        <f t="shared" si="51"/>
        <v>0.30000439903846143</v>
      </c>
      <c r="E215" s="441">
        <f t="shared" si="45"/>
        <v>4.3990384614445155E-6</v>
      </c>
      <c r="F215" s="441">
        <f t="shared" si="46"/>
        <v>0.30000439903846143</v>
      </c>
      <c r="G215" s="441">
        <f t="shared" si="47"/>
        <v>4.5001319721214204E-2</v>
      </c>
      <c r="H215" s="441">
        <f t="shared" si="59"/>
        <v>0</v>
      </c>
      <c r="I215" s="441">
        <v>0</v>
      </c>
      <c r="J215" s="131">
        <f t="shared" si="60"/>
        <v>0.15000219951923074</v>
      </c>
      <c r="K215" s="130">
        <f t="shared" si="48"/>
        <v>2.2500989798167549E-3</v>
      </c>
      <c r="L215" s="42">
        <f t="shared" si="61"/>
        <v>10.717075515105181</v>
      </c>
      <c r="M215" s="42">
        <f t="shared" si="62"/>
        <v>-5.5644243415828152</v>
      </c>
      <c r="N215" s="42">
        <f>(IF(C214&lt;='SOLLECITAZ NASCOSTO'!$P$12,IF(C214&lt;='SOLLECITAZ NASCOSTO'!$P$11,IF(C214&lt;='SOLLECITAZ NASCOSTO'!$P$10,IF(C214&lt;='SOLLECITAZ NASCOSTO'!$P$9,IF(C214&lt;='SOLLECITAZ NASCOSTO'!$P$8,IF(C214&lt;='SOLLECITAZ NASCOSTO'!$P$7,IF(C214&lt;='SOLLECITAZ NASCOSTO'!$P$6,IF(C214&lt;='SOLLECITAZ NASCOSTO'!$P$5,'Progetto del paramento slu'!$G$105,'Progetto del paramento slu'!$G$106),'Progetto del paramento slu'!$G$107),'Progetto del paramento slu'!$G$108),'Progetto del paramento slu'!$G$109),'Progetto del paramento slu'!$G$110),'Progetto del paramento slu'!$G$111),'Progetto del paramento slu'!$G$112),55555)-IF(C214&lt;='SOLLECITAZ NASCOSTO'!$P$12,IF(C214&lt;='SOLLECITAZ NASCOSTO'!$P$11,IF(C214&lt;='SOLLECITAZ NASCOSTO'!$P$10,IF(C214&lt;='SOLLECITAZ NASCOSTO'!$P$9,IF(C214&lt;='SOLLECITAZ NASCOSTO'!$P$8,IF(C214&lt;='SOLLECITAZ NASCOSTO'!$P$7,IF(C214&lt;='SOLLECITAZ NASCOSTO'!$P$6,IF(C214&lt;='SOLLECITAZ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slu'!$G$112))*(C214-IF(C214&lt;='SOLLECITAZ NASCOSTO'!$P$12,IF(C214&lt;='SOLLECITAZ NASCOSTO'!$P$11,IF(C214&lt;='SOLLECITAZ NASCOSTO'!$P$10,IF(C214&lt;='SOLLECITAZ NASCOSTO'!$P$9,IF(C214&lt;='SOLLECITAZ NASCOSTO'!$P$8,IF(C214&lt;='SOLLECITAZ NASCOSTO'!$P$7,IF(C214&lt;='SOLLECITAZ NASCOSTO'!$P$6,IF(C214&lt;='SOLLECITAZ NASCOSTO'!$P$5,'SOLLECITAZ NASCOSTO'!$P$3,'SOLLECITAZ NASCOSTO'!$P$5),'SOLLECITAZ NASCOSTO'!$P$5),'SOLLECITAZ NASCOSTO'!$P$7),'SOLLECITAZ NASCOSTO'!$P$8),'SOLLECITAZ NASCOSTO'!$P$9),'SOLLECITAZ NASCOSTO'!$P$10),'SOLLECITAZ NASCOSTO'!$P$11),'SOLLECITAZ NASCOSTO'!$P$12))/IF(C214&lt;='SOLLECITAZ NASCOSTO'!$P$12,IF(C214&lt;='SOLLECITAZ NASCOSTO'!$P$11,IF(C214&lt;='SOLLECITAZ NASCOSTO'!$P$10,IF(C214&lt;='SOLLECITAZ NASCOSTO'!$P$9,IF(C214&lt;='SOLLECITAZ NASCOSTO'!$P$8,IF(C214&lt;='SOLLECITAZ NASCOSTO'!$P$7,IF(C214&lt;='SOLLECITAZ NASCOSTO'!$P$6,IF(C214&lt;='SOLLECITAZ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slu'!$C$112)+IF(C214&lt;='SOLLECITAZ NASCOSTO'!$P$12,IF(C214&lt;='SOLLECITAZ NASCOSTO'!$P$11,IF(C214&lt;='SOLLECITAZ NASCOSTO'!$P$10,IF(C214&lt;='SOLLECITAZ NASCOSTO'!$P$9,IF(C214&lt;='SOLLECITAZ NASCOSTO'!$P$8,IF(C214&lt;='SOLLECITAZ NASCOSTO'!$P$7,IF(C214&lt;='SOLLECITAZ NASCOSTO'!$P$6,IF(C214&lt;='SOLLECITAZ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12.904146078195804</v>
      </c>
      <c r="O215" s="42">
        <f>IF(C215&lt;='SOLLECITAZ NASCOSTO'!$P$12,IF(C215&lt;='SOLLECITAZ NASCOSTO'!$P$11,IF(C215&lt;='SOLLECITAZ NASCOSTO'!$P$10,IF(C215&lt;='SOLLECITAZ NASCOSTO'!$P$9,IF(C215&lt;='SOLLECITAZ NASCOSTO'!$P$8,IF(C215&lt;='SOLLECITAZ NASCOSTO'!$P$7,IF(C215&lt;='SOLLECITAZ NASCOSTO'!$P$6,IF(C215&lt;='SOLLECITAZ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slu'!$G$111),55555)*(C215-C214)/IF(C215&lt;='SOLLECITAZ NASCOSTO'!$P$12,IF(C215&lt;='SOLLECITAZ NASCOSTO'!$P$11,IF(C215&lt;='SOLLECITAZ NASCOSTO'!$P$10,IF(C215&lt;='SOLLECITAZ NASCOSTO'!$P$9,IF(C215&lt;='SOLLECITAZ NASCOSTO'!$P$8,IF(C215&lt;='SOLLECITAZ NASCOSTO'!$P$7,IF(C215&lt;='SOLLECITAZ NASCOSTO'!$P$6,IF(C215&lt;='SOLLECITAZ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5" s="42">
        <f t="shared" si="57"/>
        <v>1.819999999999996E-4</v>
      </c>
      <c r="Q215" s="42">
        <f t="shared" si="55"/>
        <v>1</v>
      </c>
      <c r="R215" s="441">
        <f t="shared" si="49"/>
        <v>1.2537259615384615</v>
      </c>
      <c r="S215" s="46">
        <f t="shared" si="56"/>
        <v>1.2537259615384615</v>
      </c>
      <c r="T215" s="211">
        <f t="shared" si="52"/>
        <v>2.0962740384615386</v>
      </c>
      <c r="U215" s="46">
        <f t="shared" si="53"/>
        <v>10.717075515105181</v>
      </c>
      <c r="V215" s="46">
        <f t="shared" si="54"/>
        <v>-5.5644243415828152</v>
      </c>
      <c r="W215" s="496"/>
      <c r="X215" s="497"/>
      <c r="Y215" s="497"/>
      <c r="Z215" s="498"/>
      <c r="AA215" s="47"/>
    </row>
    <row r="216" spans="1:27" s="428" customFormat="1" x14ac:dyDescent="0.25">
      <c r="A216" s="589">
        <f t="shared" si="50"/>
        <v>4.4230769229991473E-6</v>
      </c>
      <c r="B216" s="32">
        <f t="shared" si="58"/>
        <v>184</v>
      </c>
      <c r="C216" s="441">
        <f>'SOLLECITAZ NASCOSTO'!$D$6/'SOLLECITAZ NASCOSTO'!$B$448*'SOLLECITAZ NASCOSTO'!B216</f>
        <v>1.260576923076923</v>
      </c>
      <c r="D216" s="441">
        <f t="shared" si="51"/>
        <v>0.30000442307692299</v>
      </c>
      <c r="E216" s="441">
        <f t="shared" si="45"/>
        <v>4.4230769229991473E-6</v>
      </c>
      <c r="F216" s="441">
        <f t="shared" si="46"/>
        <v>0.30000442307692299</v>
      </c>
      <c r="G216" s="441">
        <f t="shared" si="47"/>
        <v>4.5001326932858701E-2</v>
      </c>
      <c r="H216" s="441">
        <f t="shared" si="59"/>
        <v>0</v>
      </c>
      <c r="I216" s="441">
        <v>0</v>
      </c>
      <c r="J216" s="131">
        <f t="shared" si="60"/>
        <v>0.15000221153846149</v>
      </c>
      <c r="K216" s="130">
        <f t="shared" si="48"/>
        <v>2.2500995206980452E-3</v>
      </c>
      <c r="L216" s="42">
        <f t="shared" si="61"/>
        <v>10.805975951545205</v>
      </c>
      <c r="M216" s="42">
        <f t="shared" si="62"/>
        <v>-5.6381511404769906</v>
      </c>
      <c r="N216" s="42">
        <f>(IF(C215&lt;='SOLLECITAZ NASCOSTO'!$P$12,IF(C215&lt;='SOLLECITAZ NASCOSTO'!$P$11,IF(C215&lt;='SOLLECITAZ NASCOSTO'!$P$10,IF(C215&lt;='SOLLECITAZ NASCOSTO'!$P$9,IF(C215&lt;='SOLLECITAZ NASCOSTO'!$P$8,IF(C215&lt;='SOLLECITAZ NASCOSTO'!$P$7,IF(C215&lt;='SOLLECITAZ NASCOSTO'!$P$6,IF(C215&lt;='SOLLECITAZ NASCOSTO'!$P$5,'Progetto del paramento slu'!$G$105,'Progetto del paramento slu'!$G$106),'Progetto del paramento slu'!$G$107),'Progetto del paramento slu'!$G$108),'Progetto del paramento slu'!$G$109),'Progetto del paramento slu'!$G$110),'Progetto del paramento slu'!$G$111),'Progetto del paramento slu'!$G$112),55555)-IF(C215&lt;='SOLLECITAZ NASCOSTO'!$P$12,IF(C215&lt;='SOLLECITAZ NASCOSTO'!$P$11,IF(C215&lt;='SOLLECITAZ NASCOSTO'!$P$10,IF(C215&lt;='SOLLECITAZ NASCOSTO'!$P$9,IF(C215&lt;='SOLLECITAZ NASCOSTO'!$P$8,IF(C215&lt;='SOLLECITAZ NASCOSTO'!$P$7,IF(C215&lt;='SOLLECITAZ NASCOSTO'!$P$6,IF(C215&lt;='SOLLECITAZ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slu'!$G$112))*(C215-IF(C215&lt;='SOLLECITAZ NASCOSTO'!$P$12,IF(C215&lt;='SOLLECITAZ NASCOSTO'!$P$11,IF(C215&lt;='SOLLECITAZ NASCOSTO'!$P$10,IF(C215&lt;='SOLLECITAZ NASCOSTO'!$P$9,IF(C215&lt;='SOLLECITAZ NASCOSTO'!$P$8,IF(C215&lt;='SOLLECITAZ NASCOSTO'!$P$7,IF(C215&lt;='SOLLECITAZ NASCOSTO'!$P$6,IF(C215&lt;='SOLLECITAZ NASCOSTO'!$P$5,'SOLLECITAZ NASCOSTO'!$P$3,'SOLLECITAZ NASCOSTO'!$P$5),'SOLLECITAZ NASCOSTO'!$P$5),'SOLLECITAZ NASCOSTO'!$P$7),'SOLLECITAZ NASCOSTO'!$P$8),'SOLLECITAZ NASCOSTO'!$P$9),'SOLLECITAZ NASCOSTO'!$P$10),'SOLLECITAZ NASCOSTO'!$P$11),'SOLLECITAZ NASCOSTO'!$P$12))/IF(C215&lt;='SOLLECITAZ NASCOSTO'!$P$12,IF(C215&lt;='SOLLECITAZ NASCOSTO'!$P$11,IF(C215&lt;='SOLLECITAZ NASCOSTO'!$P$10,IF(C215&lt;='SOLLECITAZ NASCOSTO'!$P$9,IF(C215&lt;='SOLLECITAZ NASCOSTO'!$P$8,IF(C215&lt;='SOLLECITAZ NASCOSTO'!$P$7,IF(C215&lt;='SOLLECITAZ NASCOSTO'!$P$6,IF(C215&lt;='SOLLECITAZ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slu'!$C$112)+IF(C215&lt;='SOLLECITAZ NASCOSTO'!$P$12,IF(C215&lt;='SOLLECITAZ NASCOSTO'!$P$11,IF(C215&lt;='SOLLECITAZ NASCOSTO'!$P$10,IF(C215&lt;='SOLLECITAZ NASCOSTO'!$P$9,IF(C215&lt;='SOLLECITAZ NASCOSTO'!$P$8,IF(C215&lt;='SOLLECITAZ NASCOSTO'!$P$7,IF(C215&lt;='SOLLECITAZ NASCOSTO'!$P$6,IF(C215&lt;='SOLLECITAZ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12.952278297188156</v>
      </c>
      <c r="O216" s="42">
        <f>IF(C216&lt;='SOLLECITAZ NASCOSTO'!$P$12,IF(C216&lt;='SOLLECITAZ NASCOSTO'!$P$11,IF(C216&lt;='SOLLECITAZ NASCOSTO'!$P$10,IF(C216&lt;='SOLLECITAZ NASCOSTO'!$P$9,IF(C216&lt;='SOLLECITAZ NASCOSTO'!$P$8,IF(C216&lt;='SOLLECITAZ NASCOSTO'!$P$7,IF(C216&lt;='SOLLECITAZ NASCOSTO'!$P$6,IF(C216&lt;='SOLLECITAZ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slu'!$G$111),55555)*(C216-C215)/IF(C216&lt;='SOLLECITAZ NASCOSTO'!$P$12,IF(C216&lt;='SOLLECITAZ NASCOSTO'!$P$11,IF(C216&lt;='SOLLECITAZ NASCOSTO'!$P$10,IF(C216&lt;='SOLLECITAZ NASCOSTO'!$P$9,IF(C216&lt;='SOLLECITAZ NASCOSTO'!$P$8,IF(C216&lt;='SOLLECITAZ NASCOSTO'!$P$7,IF(C216&lt;='SOLLECITAZ NASCOSTO'!$P$6,IF(C216&lt;='SOLLECITAZ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6" s="42">
        <f t="shared" si="57"/>
        <v>1.829999999999996E-4</v>
      </c>
      <c r="Q216" s="42">
        <f t="shared" si="55"/>
        <v>1</v>
      </c>
      <c r="R216" s="441">
        <f t="shared" si="49"/>
        <v>1.260576923076923</v>
      </c>
      <c r="S216" s="46">
        <f t="shared" si="56"/>
        <v>1.260576923076923</v>
      </c>
      <c r="T216" s="211">
        <f t="shared" si="52"/>
        <v>2.0894230769230768</v>
      </c>
      <c r="U216" s="46">
        <f t="shared" si="53"/>
        <v>10.805975951545205</v>
      </c>
      <c r="V216" s="46">
        <f t="shared" si="54"/>
        <v>-5.6381511404769906</v>
      </c>
      <c r="W216" s="496"/>
      <c r="X216" s="497"/>
      <c r="Y216" s="497"/>
      <c r="Z216" s="498"/>
      <c r="AA216" s="47"/>
    </row>
    <row r="217" spans="1:27" s="428" customFormat="1" x14ac:dyDescent="0.25">
      <c r="A217" s="589">
        <f t="shared" si="50"/>
        <v>4.447115384498268E-6</v>
      </c>
      <c r="B217" s="32">
        <f t="shared" si="58"/>
        <v>185</v>
      </c>
      <c r="C217" s="441">
        <f>'SOLLECITAZ NASCOSTO'!$D$6/'SOLLECITAZ NASCOSTO'!$B$448*'SOLLECITAZ NASCOSTO'!B217</f>
        <v>1.2674278846153846</v>
      </c>
      <c r="D217" s="441">
        <f t="shared" si="51"/>
        <v>0.30000444711538449</v>
      </c>
      <c r="E217" s="441">
        <f t="shared" si="45"/>
        <v>4.447115384498268E-6</v>
      </c>
      <c r="F217" s="441">
        <f t="shared" si="46"/>
        <v>0.30000444711538449</v>
      </c>
      <c r="G217" s="441">
        <f t="shared" si="47"/>
        <v>4.5001334144503767E-2</v>
      </c>
      <c r="H217" s="441">
        <f t="shared" si="59"/>
        <v>0</v>
      </c>
      <c r="I217" s="441">
        <v>0</v>
      </c>
      <c r="J217" s="131">
        <f t="shared" si="60"/>
        <v>0.15000222355769224</v>
      </c>
      <c r="K217" s="130">
        <f t="shared" si="48"/>
        <v>2.2501000615794214E-3</v>
      </c>
      <c r="L217" s="42">
        <f t="shared" si="61"/>
        <v>10.895206139966307</v>
      </c>
      <c r="M217" s="42">
        <f t="shared" si="62"/>
        <v>-5.7124881224010382</v>
      </c>
      <c r="N217" s="42">
        <f>(IF(C216&lt;='SOLLECITAZ NASCOSTO'!$P$12,IF(C216&lt;='SOLLECITAZ NASCOSTO'!$P$11,IF(C216&lt;='SOLLECITAZ NASCOSTO'!$P$10,IF(C216&lt;='SOLLECITAZ NASCOSTO'!$P$9,IF(C216&lt;='SOLLECITAZ NASCOSTO'!$P$8,IF(C216&lt;='SOLLECITAZ NASCOSTO'!$P$7,IF(C216&lt;='SOLLECITAZ NASCOSTO'!$P$6,IF(C216&lt;='SOLLECITAZ NASCOSTO'!$P$5,'Progetto del paramento slu'!$G$105,'Progetto del paramento slu'!$G$106),'Progetto del paramento slu'!$G$107),'Progetto del paramento slu'!$G$108),'Progetto del paramento slu'!$G$109),'Progetto del paramento slu'!$G$110),'Progetto del paramento slu'!$G$111),'Progetto del paramento slu'!$G$112),55555)-IF(C216&lt;='SOLLECITAZ NASCOSTO'!$P$12,IF(C216&lt;='SOLLECITAZ NASCOSTO'!$P$11,IF(C216&lt;='SOLLECITAZ NASCOSTO'!$P$10,IF(C216&lt;='SOLLECITAZ NASCOSTO'!$P$9,IF(C216&lt;='SOLLECITAZ NASCOSTO'!$P$8,IF(C216&lt;='SOLLECITAZ NASCOSTO'!$P$7,IF(C216&lt;='SOLLECITAZ NASCOSTO'!$P$6,IF(C216&lt;='SOLLECITAZ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slu'!$G$112))*(C216-IF(C216&lt;='SOLLECITAZ NASCOSTO'!$P$12,IF(C216&lt;='SOLLECITAZ NASCOSTO'!$P$11,IF(C216&lt;='SOLLECITAZ NASCOSTO'!$P$10,IF(C216&lt;='SOLLECITAZ NASCOSTO'!$P$9,IF(C216&lt;='SOLLECITAZ NASCOSTO'!$P$8,IF(C216&lt;='SOLLECITAZ NASCOSTO'!$P$7,IF(C216&lt;='SOLLECITAZ NASCOSTO'!$P$6,IF(C216&lt;='SOLLECITAZ NASCOSTO'!$P$5,'SOLLECITAZ NASCOSTO'!$P$3,'SOLLECITAZ NASCOSTO'!$P$5),'SOLLECITAZ NASCOSTO'!$P$5),'SOLLECITAZ NASCOSTO'!$P$7),'SOLLECITAZ NASCOSTO'!$P$8),'SOLLECITAZ NASCOSTO'!$P$9),'SOLLECITAZ NASCOSTO'!$P$10),'SOLLECITAZ NASCOSTO'!$P$11),'SOLLECITAZ NASCOSTO'!$P$12))/IF(C216&lt;='SOLLECITAZ NASCOSTO'!$P$12,IF(C216&lt;='SOLLECITAZ NASCOSTO'!$P$11,IF(C216&lt;='SOLLECITAZ NASCOSTO'!$P$10,IF(C216&lt;='SOLLECITAZ NASCOSTO'!$P$9,IF(C216&lt;='SOLLECITAZ NASCOSTO'!$P$8,IF(C216&lt;='SOLLECITAZ NASCOSTO'!$P$7,IF(C216&lt;='SOLLECITAZ NASCOSTO'!$P$6,IF(C216&lt;='SOLLECITAZ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slu'!$C$112)+IF(C216&lt;='SOLLECITAZ NASCOSTO'!$P$12,IF(C216&lt;='SOLLECITAZ NASCOSTO'!$P$11,IF(C216&lt;='SOLLECITAZ NASCOSTO'!$P$10,IF(C216&lt;='SOLLECITAZ NASCOSTO'!$P$9,IF(C216&lt;='SOLLECITAZ NASCOSTO'!$P$8,IF(C216&lt;='SOLLECITAZ NASCOSTO'!$P$7,IF(C216&lt;='SOLLECITAZ NASCOSTO'!$P$6,IF(C216&lt;='SOLLECITAZ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13.000410516180509</v>
      </c>
      <c r="O217" s="42">
        <f>IF(C217&lt;='SOLLECITAZ NASCOSTO'!$P$12,IF(C217&lt;='SOLLECITAZ NASCOSTO'!$P$11,IF(C217&lt;='SOLLECITAZ NASCOSTO'!$P$10,IF(C217&lt;='SOLLECITAZ NASCOSTO'!$P$9,IF(C217&lt;='SOLLECITAZ NASCOSTO'!$P$8,IF(C217&lt;='SOLLECITAZ NASCOSTO'!$P$7,IF(C217&lt;='SOLLECITAZ NASCOSTO'!$P$6,IF(C217&lt;='SOLLECITAZ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slu'!$G$111),55555)*(C217-C216)/IF(C217&lt;='SOLLECITAZ NASCOSTO'!$P$12,IF(C217&lt;='SOLLECITAZ NASCOSTO'!$P$11,IF(C217&lt;='SOLLECITAZ NASCOSTO'!$P$10,IF(C217&lt;='SOLLECITAZ NASCOSTO'!$P$9,IF(C217&lt;='SOLLECITAZ NASCOSTO'!$P$8,IF(C217&lt;='SOLLECITAZ NASCOSTO'!$P$7,IF(C217&lt;='SOLLECITAZ NASCOSTO'!$P$6,IF(C217&lt;='SOLLECITAZ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7" s="42">
        <f t="shared" si="57"/>
        <v>1.8399999999999959E-4</v>
      </c>
      <c r="Q217" s="42">
        <f t="shared" si="55"/>
        <v>1</v>
      </c>
      <c r="R217" s="441">
        <f t="shared" si="49"/>
        <v>1.2674278846153846</v>
      </c>
      <c r="S217" s="46">
        <f t="shared" si="56"/>
        <v>1.2674278846153846</v>
      </c>
      <c r="T217" s="211">
        <f t="shared" si="52"/>
        <v>2.0825721153846155</v>
      </c>
      <c r="U217" s="46">
        <f t="shared" si="53"/>
        <v>10.895206139966307</v>
      </c>
      <c r="V217" s="46">
        <f t="shared" si="54"/>
        <v>-5.7124881224010382</v>
      </c>
      <c r="W217" s="496"/>
      <c r="X217" s="497"/>
      <c r="Y217" s="497"/>
      <c r="Z217" s="498"/>
      <c r="AA217" s="47"/>
    </row>
    <row r="218" spans="1:27" s="428" customFormat="1" x14ac:dyDescent="0.25">
      <c r="A218" s="589">
        <f t="shared" si="50"/>
        <v>4.4711538460528999E-6</v>
      </c>
      <c r="B218" s="32">
        <f t="shared" si="58"/>
        <v>186</v>
      </c>
      <c r="C218" s="441">
        <f>'SOLLECITAZ NASCOSTO'!$D$6/'SOLLECITAZ NASCOSTO'!$B$448*'SOLLECITAZ NASCOSTO'!B218</f>
        <v>1.2742788461538461</v>
      </c>
      <c r="D218" s="441">
        <f t="shared" si="51"/>
        <v>0.30000447115384604</v>
      </c>
      <c r="E218" s="441">
        <f t="shared" si="45"/>
        <v>4.4711538460528999E-6</v>
      </c>
      <c r="F218" s="441">
        <f t="shared" si="46"/>
        <v>0.30000447115384604</v>
      </c>
      <c r="G218" s="441">
        <f t="shared" si="47"/>
        <v>4.5001341356149423E-2</v>
      </c>
      <c r="H218" s="441">
        <f t="shared" si="59"/>
        <v>0</v>
      </c>
      <c r="I218" s="441">
        <v>0</v>
      </c>
      <c r="J218" s="131">
        <f t="shared" si="60"/>
        <v>0.15000223557692302</v>
      </c>
      <c r="K218" s="130">
        <f t="shared" si="48"/>
        <v>2.2501006024608847E-3</v>
      </c>
      <c r="L218" s="42">
        <f t="shared" si="61"/>
        <v>10.984766080368487</v>
      </c>
      <c r="M218" s="42">
        <f t="shared" si="62"/>
        <v>-5.7874375464730985</v>
      </c>
      <c r="N218" s="42">
        <f>(IF(C217&lt;='SOLLECITAZ NASCOSTO'!$P$12,IF(C217&lt;='SOLLECITAZ NASCOSTO'!$P$11,IF(C217&lt;='SOLLECITAZ NASCOSTO'!$P$10,IF(C217&lt;='SOLLECITAZ NASCOSTO'!$P$9,IF(C217&lt;='SOLLECITAZ NASCOSTO'!$P$8,IF(C217&lt;='SOLLECITAZ NASCOSTO'!$P$7,IF(C217&lt;='SOLLECITAZ NASCOSTO'!$P$6,IF(C217&lt;='SOLLECITAZ NASCOSTO'!$P$5,'Progetto del paramento slu'!$G$105,'Progetto del paramento slu'!$G$106),'Progetto del paramento slu'!$G$107),'Progetto del paramento slu'!$G$108),'Progetto del paramento slu'!$G$109),'Progetto del paramento slu'!$G$110),'Progetto del paramento slu'!$G$111),'Progetto del paramento slu'!$G$112),55555)-IF(C217&lt;='SOLLECITAZ NASCOSTO'!$P$12,IF(C217&lt;='SOLLECITAZ NASCOSTO'!$P$11,IF(C217&lt;='SOLLECITAZ NASCOSTO'!$P$10,IF(C217&lt;='SOLLECITAZ NASCOSTO'!$P$9,IF(C217&lt;='SOLLECITAZ NASCOSTO'!$P$8,IF(C217&lt;='SOLLECITAZ NASCOSTO'!$P$7,IF(C217&lt;='SOLLECITAZ NASCOSTO'!$P$6,IF(C217&lt;='SOLLECITAZ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slu'!$G$112))*(C217-IF(C217&lt;='SOLLECITAZ NASCOSTO'!$P$12,IF(C217&lt;='SOLLECITAZ NASCOSTO'!$P$11,IF(C217&lt;='SOLLECITAZ NASCOSTO'!$P$10,IF(C217&lt;='SOLLECITAZ NASCOSTO'!$P$9,IF(C217&lt;='SOLLECITAZ NASCOSTO'!$P$8,IF(C217&lt;='SOLLECITAZ NASCOSTO'!$P$7,IF(C217&lt;='SOLLECITAZ NASCOSTO'!$P$6,IF(C217&lt;='SOLLECITAZ NASCOSTO'!$P$5,'SOLLECITAZ NASCOSTO'!$P$3,'SOLLECITAZ NASCOSTO'!$P$5),'SOLLECITAZ NASCOSTO'!$P$5),'SOLLECITAZ NASCOSTO'!$P$7),'SOLLECITAZ NASCOSTO'!$P$8),'SOLLECITAZ NASCOSTO'!$P$9),'SOLLECITAZ NASCOSTO'!$P$10),'SOLLECITAZ NASCOSTO'!$P$11),'SOLLECITAZ NASCOSTO'!$P$12))/IF(C217&lt;='SOLLECITAZ NASCOSTO'!$P$12,IF(C217&lt;='SOLLECITAZ NASCOSTO'!$P$11,IF(C217&lt;='SOLLECITAZ NASCOSTO'!$P$10,IF(C217&lt;='SOLLECITAZ NASCOSTO'!$P$9,IF(C217&lt;='SOLLECITAZ NASCOSTO'!$P$8,IF(C217&lt;='SOLLECITAZ NASCOSTO'!$P$7,IF(C217&lt;='SOLLECITAZ NASCOSTO'!$P$6,IF(C217&lt;='SOLLECITAZ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slu'!$C$112)+IF(C217&lt;='SOLLECITAZ NASCOSTO'!$P$12,IF(C217&lt;='SOLLECITAZ NASCOSTO'!$P$11,IF(C217&lt;='SOLLECITAZ NASCOSTO'!$P$10,IF(C217&lt;='SOLLECITAZ NASCOSTO'!$P$9,IF(C217&lt;='SOLLECITAZ NASCOSTO'!$P$8,IF(C217&lt;='SOLLECITAZ NASCOSTO'!$P$7,IF(C217&lt;='SOLLECITAZ NASCOSTO'!$P$6,IF(C217&lt;='SOLLECITAZ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13.048542735172862</v>
      </c>
      <c r="O218" s="42">
        <f>IF(C218&lt;='SOLLECITAZ NASCOSTO'!$P$12,IF(C218&lt;='SOLLECITAZ NASCOSTO'!$P$11,IF(C218&lt;='SOLLECITAZ NASCOSTO'!$P$10,IF(C218&lt;='SOLLECITAZ NASCOSTO'!$P$9,IF(C218&lt;='SOLLECITAZ NASCOSTO'!$P$8,IF(C218&lt;='SOLLECITAZ NASCOSTO'!$P$7,IF(C218&lt;='SOLLECITAZ NASCOSTO'!$P$6,IF(C218&lt;='SOLLECITAZ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slu'!$G$111),55555)*(C218-C217)/IF(C218&lt;='SOLLECITAZ NASCOSTO'!$P$12,IF(C218&lt;='SOLLECITAZ NASCOSTO'!$P$11,IF(C218&lt;='SOLLECITAZ NASCOSTO'!$P$10,IF(C218&lt;='SOLLECITAZ NASCOSTO'!$P$9,IF(C218&lt;='SOLLECITAZ NASCOSTO'!$P$8,IF(C218&lt;='SOLLECITAZ NASCOSTO'!$P$7,IF(C218&lt;='SOLLECITAZ NASCOSTO'!$P$6,IF(C218&lt;='SOLLECITAZ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8" s="42">
        <f t="shared" si="57"/>
        <v>1.8499999999999959E-4</v>
      </c>
      <c r="Q218" s="42">
        <f t="shared" si="55"/>
        <v>1</v>
      </c>
      <c r="R218" s="441">
        <f t="shared" si="49"/>
        <v>1.2742788461538461</v>
      </c>
      <c r="S218" s="46">
        <f t="shared" si="56"/>
        <v>1.2742788461538461</v>
      </c>
      <c r="T218" s="211">
        <f t="shared" si="52"/>
        <v>2.0757211538461542</v>
      </c>
      <c r="U218" s="46">
        <f t="shared" si="53"/>
        <v>10.984766080368487</v>
      </c>
      <c r="V218" s="46">
        <f t="shared" si="54"/>
        <v>-5.7874375464730985</v>
      </c>
      <c r="W218" s="496"/>
      <c r="X218" s="497"/>
      <c r="Y218" s="497"/>
      <c r="Z218" s="498"/>
      <c r="AA218" s="47"/>
    </row>
    <row r="219" spans="1:27" s="428" customFormat="1" x14ac:dyDescent="0.25">
      <c r="A219" s="589">
        <f t="shared" si="50"/>
        <v>4.4951923076075317E-6</v>
      </c>
      <c r="B219" s="32">
        <f t="shared" si="58"/>
        <v>187</v>
      </c>
      <c r="C219" s="441">
        <f>'SOLLECITAZ NASCOSTO'!$D$6/'SOLLECITAZ NASCOSTO'!$B$448*'SOLLECITAZ NASCOSTO'!B219</f>
        <v>1.2811298076923077</v>
      </c>
      <c r="D219" s="441">
        <f t="shared" si="51"/>
        <v>0.3000044951923076</v>
      </c>
      <c r="E219" s="441">
        <f t="shared" si="45"/>
        <v>4.4951923076075317E-6</v>
      </c>
      <c r="F219" s="441">
        <f t="shared" si="46"/>
        <v>0.3000044951923076</v>
      </c>
      <c r="G219" s="441">
        <f t="shared" si="47"/>
        <v>4.5001348567795654E-2</v>
      </c>
      <c r="H219" s="441">
        <f t="shared" si="59"/>
        <v>0</v>
      </c>
      <c r="I219" s="441">
        <v>0</v>
      </c>
      <c r="J219" s="131">
        <f t="shared" si="60"/>
        <v>0.1500022475961538</v>
      </c>
      <c r="K219" s="130">
        <f t="shared" si="48"/>
        <v>2.2501011433424352E-3</v>
      </c>
      <c r="L219" s="42">
        <f t="shared" si="61"/>
        <v>11.074655772751745</v>
      </c>
      <c r="M219" s="42">
        <f t="shared" si="62"/>
        <v>-5.8630016718113112</v>
      </c>
      <c r="N219" s="42">
        <f>(IF(C218&lt;='SOLLECITAZ NASCOSTO'!$P$12,IF(C218&lt;='SOLLECITAZ NASCOSTO'!$P$11,IF(C218&lt;='SOLLECITAZ NASCOSTO'!$P$10,IF(C218&lt;='SOLLECITAZ NASCOSTO'!$P$9,IF(C218&lt;='SOLLECITAZ NASCOSTO'!$P$8,IF(C218&lt;='SOLLECITAZ NASCOSTO'!$P$7,IF(C218&lt;='SOLLECITAZ NASCOSTO'!$P$6,IF(C218&lt;='SOLLECITAZ NASCOSTO'!$P$5,'Progetto del paramento slu'!$G$105,'Progetto del paramento slu'!$G$106),'Progetto del paramento slu'!$G$107),'Progetto del paramento slu'!$G$108),'Progetto del paramento slu'!$G$109),'Progetto del paramento slu'!$G$110),'Progetto del paramento slu'!$G$111),'Progetto del paramento slu'!$G$112),55555)-IF(C218&lt;='SOLLECITAZ NASCOSTO'!$P$12,IF(C218&lt;='SOLLECITAZ NASCOSTO'!$P$11,IF(C218&lt;='SOLLECITAZ NASCOSTO'!$P$10,IF(C218&lt;='SOLLECITAZ NASCOSTO'!$P$9,IF(C218&lt;='SOLLECITAZ NASCOSTO'!$P$8,IF(C218&lt;='SOLLECITAZ NASCOSTO'!$P$7,IF(C218&lt;='SOLLECITAZ NASCOSTO'!$P$6,IF(C218&lt;='SOLLECITAZ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slu'!$G$112))*(C218-IF(C218&lt;='SOLLECITAZ NASCOSTO'!$P$12,IF(C218&lt;='SOLLECITAZ NASCOSTO'!$P$11,IF(C218&lt;='SOLLECITAZ NASCOSTO'!$P$10,IF(C218&lt;='SOLLECITAZ NASCOSTO'!$P$9,IF(C218&lt;='SOLLECITAZ NASCOSTO'!$P$8,IF(C218&lt;='SOLLECITAZ NASCOSTO'!$P$7,IF(C218&lt;='SOLLECITAZ NASCOSTO'!$P$6,IF(C218&lt;='SOLLECITAZ NASCOSTO'!$P$5,'SOLLECITAZ NASCOSTO'!$P$3,'SOLLECITAZ NASCOSTO'!$P$5),'SOLLECITAZ NASCOSTO'!$P$5),'SOLLECITAZ NASCOSTO'!$P$7),'SOLLECITAZ NASCOSTO'!$P$8),'SOLLECITAZ NASCOSTO'!$P$9),'SOLLECITAZ NASCOSTO'!$P$10),'SOLLECITAZ NASCOSTO'!$P$11),'SOLLECITAZ NASCOSTO'!$P$12))/IF(C218&lt;='SOLLECITAZ NASCOSTO'!$P$12,IF(C218&lt;='SOLLECITAZ NASCOSTO'!$P$11,IF(C218&lt;='SOLLECITAZ NASCOSTO'!$P$10,IF(C218&lt;='SOLLECITAZ NASCOSTO'!$P$9,IF(C218&lt;='SOLLECITAZ NASCOSTO'!$P$8,IF(C218&lt;='SOLLECITAZ NASCOSTO'!$P$7,IF(C218&lt;='SOLLECITAZ NASCOSTO'!$P$6,IF(C218&lt;='SOLLECITAZ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slu'!$C$112)+IF(C218&lt;='SOLLECITAZ NASCOSTO'!$P$12,IF(C218&lt;='SOLLECITAZ NASCOSTO'!$P$11,IF(C218&lt;='SOLLECITAZ NASCOSTO'!$P$10,IF(C218&lt;='SOLLECITAZ NASCOSTO'!$P$9,IF(C218&lt;='SOLLECITAZ NASCOSTO'!$P$8,IF(C218&lt;='SOLLECITAZ NASCOSTO'!$P$7,IF(C218&lt;='SOLLECITAZ NASCOSTO'!$P$6,IF(C218&lt;='SOLLECITAZ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13.096674954165215</v>
      </c>
      <c r="O219" s="42">
        <f>IF(C219&lt;='SOLLECITAZ NASCOSTO'!$P$12,IF(C219&lt;='SOLLECITAZ NASCOSTO'!$P$11,IF(C219&lt;='SOLLECITAZ NASCOSTO'!$P$10,IF(C219&lt;='SOLLECITAZ NASCOSTO'!$P$9,IF(C219&lt;='SOLLECITAZ NASCOSTO'!$P$8,IF(C219&lt;='SOLLECITAZ NASCOSTO'!$P$7,IF(C219&lt;='SOLLECITAZ NASCOSTO'!$P$6,IF(C219&lt;='SOLLECITAZ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slu'!$G$111),55555)*(C219-C218)/IF(C219&lt;='SOLLECITAZ NASCOSTO'!$P$12,IF(C219&lt;='SOLLECITAZ NASCOSTO'!$P$11,IF(C219&lt;='SOLLECITAZ NASCOSTO'!$P$10,IF(C219&lt;='SOLLECITAZ NASCOSTO'!$P$9,IF(C219&lt;='SOLLECITAZ NASCOSTO'!$P$8,IF(C219&lt;='SOLLECITAZ NASCOSTO'!$P$7,IF(C219&lt;='SOLLECITAZ NASCOSTO'!$P$6,IF(C219&lt;='SOLLECITAZ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19" s="42">
        <f t="shared" si="57"/>
        <v>1.8599999999999959E-4</v>
      </c>
      <c r="Q219" s="42">
        <f t="shared" si="55"/>
        <v>1</v>
      </c>
      <c r="R219" s="441">
        <f t="shared" si="49"/>
        <v>1.2811298076923077</v>
      </c>
      <c r="S219" s="46">
        <f t="shared" si="56"/>
        <v>1.2811298076923077</v>
      </c>
      <c r="T219" s="211">
        <f t="shared" si="52"/>
        <v>2.0688701923076924</v>
      </c>
      <c r="U219" s="46">
        <f t="shared" si="53"/>
        <v>11.074655772751745</v>
      </c>
      <c r="V219" s="46">
        <f t="shared" si="54"/>
        <v>-5.8630016718113112</v>
      </c>
      <c r="W219" s="496"/>
      <c r="X219" s="497"/>
      <c r="Y219" s="497"/>
      <c r="Z219" s="498"/>
      <c r="AA219" s="47"/>
    </row>
    <row r="220" spans="1:27" s="428" customFormat="1" x14ac:dyDescent="0.25">
      <c r="A220" s="589">
        <f t="shared" si="50"/>
        <v>4.5192307691066524E-6</v>
      </c>
      <c r="B220" s="32">
        <f t="shared" si="58"/>
        <v>188</v>
      </c>
      <c r="C220" s="441">
        <f>'SOLLECITAZ NASCOSTO'!$D$6/'SOLLECITAZ NASCOSTO'!$B$448*'SOLLECITAZ NASCOSTO'!B220</f>
        <v>1.2879807692307692</v>
      </c>
      <c r="D220" s="441">
        <f t="shared" si="51"/>
        <v>0.3000045192307691</v>
      </c>
      <c r="E220" s="441">
        <f t="shared" si="45"/>
        <v>4.5192307691066524E-6</v>
      </c>
      <c r="F220" s="441">
        <f t="shared" si="46"/>
        <v>0.3000045192307691</v>
      </c>
      <c r="G220" s="441">
        <f t="shared" si="47"/>
        <v>4.5001355779442455E-2</v>
      </c>
      <c r="H220" s="441">
        <f t="shared" si="59"/>
        <v>0</v>
      </c>
      <c r="I220" s="441">
        <v>0</v>
      </c>
      <c r="J220" s="131">
        <f t="shared" si="60"/>
        <v>0.15000225961538455</v>
      </c>
      <c r="K220" s="130">
        <f t="shared" si="48"/>
        <v>2.2501016842240711E-3</v>
      </c>
      <c r="L220" s="42">
        <f t="shared" si="61"/>
        <v>11.16487521711608</v>
      </c>
      <c r="M220" s="42">
        <f t="shared" si="62"/>
        <v>-5.939182757533815</v>
      </c>
      <c r="N220" s="42">
        <f>(IF(C219&lt;='SOLLECITAZ NASCOSTO'!$P$12,IF(C219&lt;='SOLLECITAZ NASCOSTO'!$P$11,IF(C219&lt;='SOLLECITAZ NASCOSTO'!$P$10,IF(C219&lt;='SOLLECITAZ NASCOSTO'!$P$9,IF(C219&lt;='SOLLECITAZ NASCOSTO'!$P$8,IF(C219&lt;='SOLLECITAZ NASCOSTO'!$P$7,IF(C219&lt;='SOLLECITAZ NASCOSTO'!$P$6,IF(C219&lt;='SOLLECITAZ NASCOSTO'!$P$5,'Progetto del paramento slu'!$G$105,'Progetto del paramento slu'!$G$106),'Progetto del paramento slu'!$G$107),'Progetto del paramento slu'!$G$108),'Progetto del paramento slu'!$G$109),'Progetto del paramento slu'!$G$110),'Progetto del paramento slu'!$G$111),'Progetto del paramento slu'!$G$112),55555)-IF(C219&lt;='SOLLECITAZ NASCOSTO'!$P$12,IF(C219&lt;='SOLLECITAZ NASCOSTO'!$P$11,IF(C219&lt;='SOLLECITAZ NASCOSTO'!$P$10,IF(C219&lt;='SOLLECITAZ NASCOSTO'!$P$9,IF(C219&lt;='SOLLECITAZ NASCOSTO'!$P$8,IF(C219&lt;='SOLLECITAZ NASCOSTO'!$P$7,IF(C219&lt;='SOLLECITAZ NASCOSTO'!$P$6,IF(C219&lt;='SOLLECITAZ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slu'!$G$112))*(C219-IF(C219&lt;='SOLLECITAZ NASCOSTO'!$P$12,IF(C219&lt;='SOLLECITAZ NASCOSTO'!$P$11,IF(C219&lt;='SOLLECITAZ NASCOSTO'!$P$10,IF(C219&lt;='SOLLECITAZ NASCOSTO'!$P$9,IF(C219&lt;='SOLLECITAZ NASCOSTO'!$P$8,IF(C219&lt;='SOLLECITAZ NASCOSTO'!$P$7,IF(C219&lt;='SOLLECITAZ NASCOSTO'!$P$6,IF(C219&lt;='SOLLECITAZ NASCOSTO'!$P$5,'SOLLECITAZ NASCOSTO'!$P$3,'SOLLECITAZ NASCOSTO'!$P$5),'SOLLECITAZ NASCOSTO'!$P$5),'SOLLECITAZ NASCOSTO'!$P$7),'SOLLECITAZ NASCOSTO'!$P$8),'SOLLECITAZ NASCOSTO'!$P$9),'SOLLECITAZ NASCOSTO'!$P$10),'SOLLECITAZ NASCOSTO'!$P$11),'SOLLECITAZ NASCOSTO'!$P$12))/IF(C219&lt;='SOLLECITAZ NASCOSTO'!$P$12,IF(C219&lt;='SOLLECITAZ NASCOSTO'!$P$11,IF(C219&lt;='SOLLECITAZ NASCOSTO'!$P$10,IF(C219&lt;='SOLLECITAZ NASCOSTO'!$P$9,IF(C219&lt;='SOLLECITAZ NASCOSTO'!$P$8,IF(C219&lt;='SOLLECITAZ NASCOSTO'!$P$7,IF(C219&lt;='SOLLECITAZ NASCOSTO'!$P$6,IF(C219&lt;='SOLLECITAZ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slu'!$C$112)+IF(C219&lt;='SOLLECITAZ NASCOSTO'!$P$12,IF(C219&lt;='SOLLECITAZ NASCOSTO'!$P$11,IF(C219&lt;='SOLLECITAZ NASCOSTO'!$P$10,IF(C219&lt;='SOLLECITAZ NASCOSTO'!$P$9,IF(C219&lt;='SOLLECITAZ NASCOSTO'!$P$8,IF(C219&lt;='SOLLECITAZ NASCOSTO'!$P$7,IF(C219&lt;='SOLLECITAZ NASCOSTO'!$P$6,IF(C219&lt;='SOLLECITAZ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13.144807173157567</v>
      </c>
      <c r="O220" s="42">
        <f>IF(C220&lt;='SOLLECITAZ NASCOSTO'!$P$12,IF(C220&lt;='SOLLECITAZ NASCOSTO'!$P$11,IF(C220&lt;='SOLLECITAZ NASCOSTO'!$P$10,IF(C220&lt;='SOLLECITAZ NASCOSTO'!$P$9,IF(C220&lt;='SOLLECITAZ NASCOSTO'!$P$8,IF(C220&lt;='SOLLECITAZ NASCOSTO'!$P$7,IF(C220&lt;='SOLLECITAZ NASCOSTO'!$P$6,IF(C220&lt;='SOLLECITAZ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slu'!$G$111),55555)*(C220-C219)/IF(C220&lt;='SOLLECITAZ NASCOSTO'!$P$12,IF(C220&lt;='SOLLECITAZ NASCOSTO'!$P$11,IF(C220&lt;='SOLLECITAZ NASCOSTO'!$P$10,IF(C220&lt;='SOLLECITAZ NASCOSTO'!$P$9,IF(C220&lt;='SOLLECITAZ NASCOSTO'!$P$8,IF(C220&lt;='SOLLECITAZ NASCOSTO'!$P$7,IF(C220&lt;='SOLLECITAZ NASCOSTO'!$P$6,IF(C220&lt;='SOLLECITAZ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0" s="42">
        <f t="shared" si="57"/>
        <v>1.8699999999999959E-4</v>
      </c>
      <c r="Q220" s="42">
        <f t="shared" si="55"/>
        <v>1</v>
      </c>
      <c r="R220" s="441">
        <f t="shared" si="49"/>
        <v>1.2879807692307692</v>
      </c>
      <c r="S220" s="46">
        <f t="shared" si="56"/>
        <v>1.2879807692307692</v>
      </c>
      <c r="T220" s="211">
        <f t="shared" si="52"/>
        <v>2.0620192307692307</v>
      </c>
      <c r="U220" s="46">
        <f t="shared" si="53"/>
        <v>11.16487521711608</v>
      </c>
      <c r="V220" s="46">
        <f t="shared" si="54"/>
        <v>-5.939182757533815</v>
      </c>
      <c r="W220" s="496"/>
      <c r="X220" s="497"/>
      <c r="Y220" s="497"/>
      <c r="Z220" s="498"/>
      <c r="AA220" s="47"/>
    </row>
    <row r="221" spans="1:27" s="428" customFormat="1" x14ac:dyDescent="0.25">
      <c r="A221" s="589">
        <f t="shared" si="50"/>
        <v>4.5432692306612843E-6</v>
      </c>
      <c r="B221" s="32">
        <f t="shared" si="58"/>
        <v>189</v>
      </c>
      <c r="C221" s="441">
        <f>'SOLLECITAZ NASCOSTO'!$D$6/'SOLLECITAZ NASCOSTO'!$B$448*'SOLLECITAZ NASCOSTO'!B221</f>
        <v>1.2948317307692307</v>
      </c>
      <c r="D221" s="441">
        <f t="shared" si="51"/>
        <v>0.30000454326923065</v>
      </c>
      <c r="E221" s="441">
        <f t="shared" si="45"/>
        <v>4.5432692306612843E-6</v>
      </c>
      <c r="F221" s="441">
        <f t="shared" si="46"/>
        <v>0.30000454326923065</v>
      </c>
      <c r="G221" s="441">
        <f t="shared" si="47"/>
        <v>4.5001362991089845E-2</v>
      </c>
      <c r="H221" s="441">
        <f t="shared" si="59"/>
        <v>0</v>
      </c>
      <c r="I221" s="441">
        <v>0</v>
      </c>
      <c r="J221" s="131">
        <f t="shared" si="60"/>
        <v>0.15000227163461533</v>
      </c>
      <c r="K221" s="130">
        <f t="shared" si="48"/>
        <v>2.2501022251057946E-3</v>
      </c>
      <c r="L221" s="42">
        <f t="shared" si="61"/>
        <v>11.255424413461492</v>
      </c>
      <c r="M221" s="42">
        <f t="shared" si="62"/>
        <v>-6.0159830627587505</v>
      </c>
      <c r="N221" s="42">
        <f>(IF(C220&lt;='SOLLECITAZ NASCOSTO'!$P$12,IF(C220&lt;='SOLLECITAZ NASCOSTO'!$P$11,IF(C220&lt;='SOLLECITAZ NASCOSTO'!$P$10,IF(C220&lt;='SOLLECITAZ NASCOSTO'!$P$9,IF(C220&lt;='SOLLECITAZ NASCOSTO'!$P$8,IF(C220&lt;='SOLLECITAZ NASCOSTO'!$P$7,IF(C220&lt;='SOLLECITAZ NASCOSTO'!$P$6,IF(C220&lt;='SOLLECITAZ NASCOSTO'!$P$5,'Progetto del paramento slu'!$G$105,'Progetto del paramento slu'!$G$106),'Progetto del paramento slu'!$G$107),'Progetto del paramento slu'!$G$108),'Progetto del paramento slu'!$G$109),'Progetto del paramento slu'!$G$110),'Progetto del paramento slu'!$G$111),'Progetto del paramento slu'!$G$112),55555)-IF(C220&lt;='SOLLECITAZ NASCOSTO'!$P$12,IF(C220&lt;='SOLLECITAZ NASCOSTO'!$P$11,IF(C220&lt;='SOLLECITAZ NASCOSTO'!$P$10,IF(C220&lt;='SOLLECITAZ NASCOSTO'!$P$9,IF(C220&lt;='SOLLECITAZ NASCOSTO'!$P$8,IF(C220&lt;='SOLLECITAZ NASCOSTO'!$P$7,IF(C220&lt;='SOLLECITAZ NASCOSTO'!$P$6,IF(C220&lt;='SOLLECITAZ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slu'!$G$112))*(C220-IF(C220&lt;='SOLLECITAZ NASCOSTO'!$P$12,IF(C220&lt;='SOLLECITAZ NASCOSTO'!$P$11,IF(C220&lt;='SOLLECITAZ NASCOSTO'!$P$10,IF(C220&lt;='SOLLECITAZ NASCOSTO'!$P$9,IF(C220&lt;='SOLLECITAZ NASCOSTO'!$P$8,IF(C220&lt;='SOLLECITAZ NASCOSTO'!$P$7,IF(C220&lt;='SOLLECITAZ NASCOSTO'!$P$6,IF(C220&lt;='SOLLECITAZ NASCOSTO'!$P$5,'SOLLECITAZ NASCOSTO'!$P$3,'SOLLECITAZ NASCOSTO'!$P$5),'SOLLECITAZ NASCOSTO'!$P$5),'SOLLECITAZ NASCOSTO'!$P$7),'SOLLECITAZ NASCOSTO'!$P$8),'SOLLECITAZ NASCOSTO'!$P$9),'SOLLECITAZ NASCOSTO'!$P$10),'SOLLECITAZ NASCOSTO'!$P$11),'SOLLECITAZ NASCOSTO'!$P$12))/IF(C220&lt;='SOLLECITAZ NASCOSTO'!$P$12,IF(C220&lt;='SOLLECITAZ NASCOSTO'!$P$11,IF(C220&lt;='SOLLECITAZ NASCOSTO'!$P$10,IF(C220&lt;='SOLLECITAZ NASCOSTO'!$P$9,IF(C220&lt;='SOLLECITAZ NASCOSTO'!$P$8,IF(C220&lt;='SOLLECITAZ NASCOSTO'!$P$7,IF(C220&lt;='SOLLECITAZ NASCOSTO'!$P$6,IF(C220&lt;='SOLLECITAZ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slu'!$C$112)+IF(C220&lt;='SOLLECITAZ NASCOSTO'!$P$12,IF(C220&lt;='SOLLECITAZ NASCOSTO'!$P$11,IF(C220&lt;='SOLLECITAZ NASCOSTO'!$P$10,IF(C220&lt;='SOLLECITAZ NASCOSTO'!$P$9,IF(C220&lt;='SOLLECITAZ NASCOSTO'!$P$8,IF(C220&lt;='SOLLECITAZ NASCOSTO'!$P$7,IF(C220&lt;='SOLLECITAZ NASCOSTO'!$P$6,IF(C220&lt;='SOLLECITAZ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13.192939392149919</v>
      </c>
      <c r="O221" s="42">
        <f>IF(C221&lt;='SOLLECITAZ NASCOSTO'!$P$12,IF(C221&lt;='SOLLECITAZ NASCOSTO'!$P$11,IF(C221&lt;='SOLLECITAZ NASCOSTO'!$P$10,IF(C221&lt;='SOLLECITAZ NASCOSTO'!$P$9,IF(C221&lt;='SOLLECITAZ NASCOSTO'!$P$8,IF(C221&lt;='SOLLECITAZ NASCOSTO'!$P$7,IF(C221&lt;='SOLLECITAZ NASCOSTO'!$P$6,IF(C221&lt;='SOLLECITAZ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slu'!$G$111),55555)*(C221-C220)/IF(C221&lt;='SOLLECITAZ NASCOSTO'!$P$12,IF(C221&lt;='SOLLECITAZ NASCOSTO'!$P$11,IF(C221&lt;='SOLLECITAZ NASCOSTO'!$P$10,IF(C221&lt;='SOLLECITAZ NASCOSTO'!$P$9,IF(C221&lt;='SOLLECITAZ NASCOSTO'!$P$8,IF(C221&lt;='SOLLECITAZ NASCOSTO'!$P$7,IF(C221&lt;='SOLLECITAZ NASCOSTO'!$P$6,IF(C221&lt;='SOLLECITAZ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1" s="42">
        <f t="shared" si="57"/>
        <v>1.8799999999999958E-4</v>
      </c>
      <c r="Q221" s="42">
        <f t="shared" si="55"/>
        <v>1</v>
      </c>
      <c r="R221" s="441">
        <f t="shared" si="49"/>
        <v>1.2948317307692307</v>
      </c>
      <c r="S221" s="46">
        <f t="shared" si="56"/>
        <v>1.2948317307692307</v>
      </c>
      <c r="T221" s="211">
        <f t="shared" si="52"/>
        <v>2.0551682692307693</v>
      </c>
      <c r="U221" s="46">
        <f t="shared" si="53"/>
        <v>11.255424413461492</v>
      </c>
      <c r="V221" s="46">
        <f t="shared" si="54"/>
        <v>-6.0159830627587505</v>
      </c>
      <c r="W221" s="496"/>
      <c r="X221" s="497"/>
      <c r="Y221" s="497"/>
      <c r="Z221" s="498"/>
      <c r="AA221" s="47"/>
    </row>
    <row r="222" spans="1:27" s="428" customFormat="1" x14ac:dyDescent="0.25">
      <c r="A222" s="589">
        <f t="shared" si="50"/>
        <v>4.5673076922159161E-6</v>
      </c>
      <c r="B222" s="32">
        <f t="shared" si="58"/>
        <v>190</v>
      </c>
      <c r="C222" s="441">
        <f>'SOLLECITAZ NASCOSTO'!$D$6/'SOLLECITAZ NASCOSTO'!$B$448*'SOLLECITAZ NASCOSTO'!B222</f>
        <v>1.3016826923076923</v>
      </c>
      <c r="D222" s="441">
        <f t="shared" si="51"/>
        <v>0.3000045673076922</v>
      </c>
      <c r="E222" s="441">
        <f t="shared" si="45"/>
        <v>4.5673076922159161E-6</v>
      </c>
      <c r="F222" s="441">
        <f t="shared" si="46"/>
        <v>0.3000045673076922</v>
      </c>
      <c r="G222" s="441">
        <f t="shared" si="47"/>
        <v>4.5001370202737812E-2</v>
      </c>
      <c r="H222" s="441">
        <f t="shared" si="59"/>
        <v>0</v>
      </c>
      <c r="I222" s="441">
        <v>0</v>
      </c>
      <c r="J222" s="131">
        <f t="shared" si="60"/>
        <v>0.1500022836538461</v>
      </c>
      <c r="K222" s="130">
        <f t="shared" si="48"/>
        <v>2.2501027659876049E-3</v>
      </c>
      <c r="L222" s="42">
        <f t="shared" si="61"/>
        <v>11.346303361787982</v>
      </c>
      <c r="M222" s="42">
        <f t="shared" si="62"/>
        <v>-6.0934048466042565</v>
      </c>
      <c r="N222" s="42">
        <f>(IF(C221&lt;='SOLLECITAZ NASCOSTO'!$P$12,IF(C221&lt;='SOLLECITAZ NASCOSTO'!$P$11,IF(C221&lt;='SOLLECITAZ NASCOSTO'!$P$10,IF(C221&lt;='SOLLECITAZ NASCOSTO'!$P$9,IF(C221&lt;='SOLLECITAZ NASCOSTO'!$P$8,IF(C221&lt;='SOLLECITAZ NASCOSTO'!$P$7,IF(C221&lt;='SOLLECITAZ NASCOSTO'!$P$6,IF(C221&lt;='SOLLECITAZ NASCOSTO'!$P$5,'Progetto del paramento slu'!$G$105,'Progetto del paramento slu'!$G$106),'Progetto del paramento slu'!$G$107),'Progetto del paramento slu'!$G$108),'Progetto del paramento slu'!$G$109),'Progetto del paramento slu'!$G$110),'Progetto del paramento slu'!$G$111),'Progetto del paramento slu'!$G$112),55555)-IF(C221&lt;='SOLLECITAZ NASCOSTO'!$P$12,IF(C221&lt;='SOLLECITAZ NASCOSTO'!$P$11,IF(C221&lt;='SOLLECITAZ NASCOSTO'!$P$10,IF(C221&lt;='SOLLECITAZ NASCOSTO'!$P$9,IF(C221&lt;='SOLLECITAZ NASCOSTO'!$P$8,IF(C221&lt;='SOLLECITAZ NASCOSTO'!$P$7,IF(C221&lt;='SOLLECITAZ NASCOSTO'!$P$6,IF(C221&lt;='SOLLECITAZ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slu'!$G$112))*(C221-IF(C221&lt;='SOLLECITAZ NASCOSTO'!$P$12,IF(C221&lt;='SOLLECITAZ NASCOSTO'!$P$11,IF(C221&lt;='SOLLECITAZ NASCOSTO'!$P$10,IF(C221&lt;='SOLLECITAZ NASCOSTO'!$P$9,IF(C221&lt;='SOLLECITAZ NASCOSTO'!$P$8,IF(C221&lt;='SOLLECITAZ NASCOSTO'!$P$7,IF(C221&lt;='SOLLECITAZ NASCOSTO'!$P$6,IF(C221&lt;='SOLLECITAZ NASCOSTO'!$P$5,'SOLLECITAZ NASCOSTO'!$P$3,'SOLLECITAZ NASCOSTO'!$P$5),'SOLLECITAZ NASCOSTO'!$P$5),'SOLLECITAZ NASCOSTO'!$P$7),'SOLLECITAZ NASCOSTO'!$P$8),'SOLLECITAZ NASCOSTO'!$P$9),'SOLLECITAZ NASCOSTO'!$P$10),'SOLLECITAZ NASCOSTO'!$P$11),'SOLLECITAZ NASCOSTO'!$P$12))/IF(C221&lt;='SOLLECITAZ NASCOSTO'!$P$12,IF(C221&lt;='SOLLECITAZ NASCOSTO'!$P$11,IF(C221&lt;='SOLLECITAZ NASCOSTO'!$P$10,IF(C221&lt;='SOLLECITAZ NASCOSTO'!$P$9,IF(C221&lt;='SOLLECITAZ NASCOSTO'!$P$8,IF(C221&lt;='SOLLECITAZ NASCOSTO'!$P$7,IF(C221&lt;='SOLLECITAZ NASCOSTO'!$P$6,IF(C221&lt;='SOLLECITAZ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slu'!$C$112)+IF(C221&lt;='SOLLECITAZ NASCOSTO'!$P$12,IF(C221&lt;='SOLLECITAZ NASCOSTO'!$P$11,IF(C221&lt;='SOLLECITAZ NASCOSTO'!$P$10,IF(C221&lt;='SOLLECITAZ NASCOSTO'!$P$9,IF(C221&lt;='SOLLECITAZ NASCOSTO'!$P$8,IF(C221&lt;='SOLLECITAZ NASCOSTO'!$P$7,IF(C221&lt;='SOLLECITAZ NASCOSTO'!$P$6,IF(C221&lt;='SOLLECITAZ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13.241071611142271</v>
      </c>
      <c r="O222" s="42">
        <f>IF(C222&lt;='SOLLECITAZ NASCOSTO'!$P$12,IF(C222&lt;='SOLLECITAZ NASCOSTO'!$P$11,IF(C222&lt;='SOLLECITAZ NASCOSTO'!$P$10,IF(C222&lt;='SOLLECITAZ NASCOSTO'!$P$9,IF(C222&lt;='SOLLECITAZ NASCOSTO'!$P$8,IF(C222&lt;='SOLLECITAZ NASCOSTO'!$P$7,IF(C222&lt;='SOLLECITAZ NASCOSTO'!$P$6,IF(C222&lt;='SOLLECITAZ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slu'!$G$111),55555)*(C222-C221)/IF(C222&lt;='SOLLECITAZ NASCOSTO'!$P$12,IF(C222&lt;='SOLLECITAZ NASCOSTO'!$P$11,IF(C222&lt;='SOLLECITAZ NASCOSTO'!$P$10,IF(C222&lt;='SOLLECITAZ NASCOSTO'!$P$9,IF(C222&lt;='SOLLECITAZ NASCOSTO'!$P$8,IF(C222&lt;='SOLLECITAZ NASCOSTO'!$P$7,IF(C222&lt;='SOLLECITAZ NASCOSTO'!$P$6,IF(C222&lt;='SOLLECITAZ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2" s="42">
        <f t="shared" si="57"/>
        <v>1.8899999999999958E-4</v>
      </c>
      <c r="Q222" s="42">
        <f t="shared" si="55"/>
        <v>1</v>
      </c>
      <c r="R222" s="441">
        <f t="shared" si="49"/>
        <v>1.3016826923076923</v>
      </c>
      <c r="S222" s="46">
        <f t="shared" si="56"/>
        <v>1.3016826923076923</v>
      </c>
      <c r="T222" s="211">
        <f t="shared" si="52"/>
        <v>2.048317307692308</v>
      </c>
      <c r="U222" s="46">
        <f t="shared" si="53"/>
        <v>11.346303361787982</v>
      </c>
      <c r="V222" s="46">
        <f t="shared" si="54"/>
        <v>-6.0934048466042565</v>
      </c>
      <c r="W222" s="496"/>
      <c r="X222" s="497"/>
      <c r="Y222" s="497"/>
      <c r="Z222" s="498"/>
      <c r="AA222" s="47"/>
    </row>
    <row r="223" spans="1:27" s="428" customFormat="1" x14ac:dyDescent="0.25">
      <c r="A223" s="589">
        <f t="shared" si="50"/>
        <v>4.591346153770548E-6</v>
      </c>
      <c r="B223" s="32">
        <f t="shared" si="58"/>
        <v>191</v>
      </c>
      <c r="C223" s="441">
        <f>'SOLLECITAZ NASCOSTO'!$D$6/'SOLLECITAZ NASCOSTO'!$B$448*'SOLLECITAZ NASCOSTO'!B223</f>
        <v>1.3085336538461538</v>
      </c>
      <c r="D223" s="441">
        <f t="shared" si="51"/>
        <v>0.30000459134615376</v>
      </c>
      <c r="E223" s="441">
        <f t="shared" si="45"/>
        <v>4.591346153770548E-6</v>
      </c>
      <c r="F223" s="441">
        <f t="shared" si="46"/>
        <v>0.30000459134615376</v>
      </c>
      <c r="G223" s="441">
        <f t="shared" si="47"/>
        <v>4.5001377414386361E-2</v>
      </c>
      <c r="H223" s="441">
        <f t="shared" si="59"/>
        <v>0</v>
      </c>
      <c r="I223" s="441">
        <v>0</v>
      </c>
      <c r="J223" s="131">
        <f t="shared" si="60"/>
        <v>0.15000229567307688</v>
      </c>
      <c r="K223" s="130">
        <f t="shared" si="48"/>
        <v>2.2501033068695023E-3</v>
      </c>
      <c r="L223" s="42">
        <f t="shared" si="61"/>
        <v>11.437512062095548</v>
      </c>
      <c r="M223" s="42">
        <f t="shared" si="62"/>
        <v>-6.1714503681884727</v>
      </c>
      <c r="N223" s="42">
        <f>(IF(C222&lt;='SOLLECITAZ NASCOSTO'!$P$12,IF(C222&lt;='SOLLECITAZ NASCOSTO'!$P$11,IF(C222&lt;='SOLLECITAZ NASCOSTO'!$P$10,IF(C222&lt;='SOLLECITAZ NASCOSTO'!$P$9,IF(C222&lt;='SOLLECITAZ NASCOSTO'!$P$8,IF(C222&lt;='SOLLECITAZ NASCOSTO'!$P$7,IF(C222&lt;='SOLLECITAZ NASCOSTO'!$P$6,IF(C222&lt;='SOLLECITAZ NASCOSTO'!$P$5,'Progetto del paramento slu'!$G$105,'Progetto del paramento slu'!$G$106),'Progetto del paramento slu'!$G$107),'Progetto del paramento slu'!$G$108),'Progetto del paramento slu'!$G$109),'Progetto del paramento slu'!$G$110),'Progetto del paramento slu'!$G$111),'Progetto del paramento slu'!$G$112),55555)-IF(C222&lt;='SOLLECITAZ NASCOSTO'!$P$12,IF(C222&lt;='SOLLECITAZ NASCOSTO'!$P$11,IF(C222&lt;='SOLLECITAZ NASCOSTO'!$P$10,IF(C222&lt;='SOLLECITAZ NASCOSTO'!$P$9,IF(C222&lt;='SOLLECITAZ NASCOSTO'!$P$8,IF(C222&lt;='SOLLECITAZ NASCOSTO'!$P$7,IF(C222&lt;='SOLLECITAZ NASCOSTO'!$P$6,IF(C222&lt;='SOLLECITAZ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slu'!$G$112))*(C222-IF(C222&lt;='SOLLECITAZ NASCOSTO'!$P$12,IF(C222&lt;='SOLLECITAZ NASCOSTO'!$P$11,IF(C222&lt;='SOLLECITAZ NASCOSTO'!$P$10,IF(C222&lt;='SOLLECITAZ NASCOSTO'!$P$9,IF(C222&lt;='SOLLECITAZ NASCOSTO'!$P$8,IF(C222&lt;='SOLLECITAZ NASCOSTO'!$P$7,IF(C222&lt;='SOLLECITAZ NASCOSTO'!$P$6,IF(C222&lt;='SOLLECITAZ NASCOSTO'!$P$5,'SOLLECITAZ NASCOSTO'!$P$3,'SOLLECITAZ NASCOSTO'!$P$5),'SOLLECITAZ NASCOSTO'!$P$5),'SOLLECITAZ NASCOSTO'!$P$7),'SOLLECITAZ NASCOSTO'!$P$8),'SOLLECITAZ NASCOSTO'!$P$9),'SOLLECITAZ NASCOSTO'!$P$10),'SOLLECITAZ NASCOSTO'!$P$11),'SOLLECITAZ NASCOSTO'!$P$12))/IF(C222&lt;='SOLLECITAZ NASCOSTO'!$P$12,IF(C222&lt;='SOLLECITAZ NASCOSTO'!$P$11,IF(C222&lt;='SOLLECITAZ NASCOSTO'!$P$10,IF(C222&lt;='SOLLECITAZ NASCOSTO'!$P$9,IF(C222&lt;='SOLLECITAZ NASCOSTO'!$P$8,IF(C222&lt;='SOLLECITAZ NASCOSTO'!$P$7,IF(C222&lt;='SOLLECITAZ NASCOSTO'!$P$6,IF(C222&lt;='SOLLECITAZ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slu'!$C$112)+IF(C222&lt;='SOLLECITAZ NASCOSTO'!$P$12,IF(C222&lt;='SOLLECITAZ NASCOSTO'!$P$11,IF(C222&lt;='SOLLECITAZ NASCOSTO'!$P$10,IF(C222&lt;='SOLLECITAZ NASCOSTO'!$P$9,IF(C222&lt;='SOLLECITAZ NASCOSTO'!$P$8,IF(C222&lt;='SOLLECITAZ NASCOSTO'!$P$7,IF(C222&lt;='SOLLECITAZ NASCOSTO'!$P$6,IF(C222&lt;='SOLLECITAZ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13.289203830134625</v>
      </c>
      <c r="O223" s="42">
        <f>IF(C223&lt;='SOLLECITAZ NASCOSTO'!$P$12,IF(C223&lt;='SOLLECITAZ NASCOSTO'!$P$11,IF(C223&lt;='SOLLECITAZ NASCOSTO'!$P$10,IF(C223&lt;='SOLLECITAZ NASCOSTO'!$P$9,IF(C223&lt;='SOLLECITAZ NASCOSTO'!$P$8,IF(C223&lt;='SOLLECITAZ NASCOSTO'!$P$7,IF(C223&lt;='SOLLECITAZ NASCOSTO'!$P$6,IF(C223&lt;='SOLLECITAZ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slu'!$G$111),55555)*(C223-C222)/IF(C223&lt;='SOLLECITAZ NASCOSTO'!$P$12,IF(C223&lt;='SOLLECITAZ NASCOSTO'!$P$11,IF(C223&lt;='SOLLECITAZ NASCOSTO'!$P$10,IF(C223&lt;='SOLLECITAZ NASCOSTO'!$P$9,IF(C223&lt;='SOLLECITAZ NASCOSTO'!$P$8,IF(C223&lt;='SOLLECITAZ NASCOSTO'!$P$7,IF(C223&lt;='SOLLECITAZ NASCOSTO'!$P$6,IF(C223&lt;='SOLLECITAZ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3" s="42">
        <f t="shared" si="57"/>
        <v>1.8999999999999958E-4</v>
      </c>
      <c r="Q223" s="42">
        <f t="shared" si="55"/>
        <v>1</v>
      </c>
      <c r="R223" s="441">
        <f t="shared" si="49"/>
        <v>1.3085336538461538</v>
      </c>
      <c r="S223" s="46">
        <f t="shared" si="56"/>
        <v>1.3085336538461538</v>
      </c>
      <c r="T223" s="211">
        <f t="shared" si="52"/>
        <v>2.0414663461538463</v>
      </c>
      <c r="U223" s="46">
        <f t="shared" si="53"/>
        <v>11.437512062095548</v>
      </c>
      <c r="V223" s="46">
        <f t="shared" si="54"/>
        <v>-6.1714503681884727</v>
      </c>
      <c r="W223" s="496"/>
      <c r="X223" s="497"/>
      <c r="Y223" s="497"/>
      <c r="Z223" s="498"/>
      <c r="AA223" s="47"/>
    </row>
    <row r="224" spans="1:27" s="428" customFormat="1" x14ac:dyDescent="0.25">
      <c r="A224" s="589">
        <f t="shared" si="50"/>
        <v>4.6153846152696687E-6</v>
      </c>
      <c r="B224" s="32">
        <f t="shared" si="58"/>
        <v>192</v>
      </c>
      <c r="C224" s="441">
        <f>'SOLLECITAZ NASCOSTO'!$D$6/'SOLLECITAZ NASCOSTO'!$B$448*'SOLLECITAZ NASCOSTO'!B224</f>
        <v>1.3153846153846154</v>
      </c>
      <c r="D224" s="441">
        <f t="shared" si="51"/>
        <v>0.30000461538461526</v>
      </c>
      <c r="E224" s="441">
        <f t="shared" ref="E224:E287" si="63">D224-$D$9</f>
        <v>4.6153846152696687E-6</v>
      </c>
      <c r="F224" s="441">
        <f t="shared" ref="F224:F287" si="64">E224*$D$12*$D$11+$D$8*$D$9</f>
        <v>0.30000461538461526</v>
      </c>
      <c r="G224" s="441">
        <f t="shared" ref="G224:G287" si="65">$D$12*E224*$D$11*($D$9+E224/2)+$D$9*$D$8*$D$9/2</f>
        <v>4.5001384626035465E-2</v>
      </c>
      <c r="H224" s="441">
        <f t="shared" si="59"/>
        <v>0</v>
      </c>
      <c r="I224" s="441">
        <v>0</v>
      </c>
      <c r="J224" s="131">
        <f t="shared" si="60"/>
        <v>0.15000230769230763</v>
      </c>
      <c r="K224" s="130">
        <f t="shared" ref="K224:K287" si="66">$D$8*$D$9^3/12+$D$8*$D$9*(J224-$D$9/2)^2+$D$11*$D$12*(J224-$D$9)^3/3+$D$11*$D$12*(E224-(J224-$D$9))^3/3</f>
        <v>2.2501038477514847E-3</v>
      </c>
      <c r="L224" s="42">
        <f t="shared" si="61"/>
        <v>11.529050514384192</v>
      </c>
      <c r="M224" s="42">
        <f t="shared" si="62"/>
        <v>-6.2501218866295396</v>
      </c>
      <c r="N224" s="42">
        <f>(IF(C223&lt;='SOLLECITAZ NASCOSTO'!$P$12,IF(C223&lt;='SOLLECITAZ NASCOSTO'!$P$11,IF(C223&lt;='SOLLECITAZ NASCOSTO'!$P$10,IF(C223&lt;='SOLLECITAZ NASCOSTO'!$P$9,IF(C223&lt;='SOLLECITAZ NASCOSTO'!$P$8,IF(C223&lt;='SOLLECITAZ NASCOSTO'!$P$7,IF(C223&lt;='SOLLECITAZ NASCOSTO'!$P$6,IF(C223&lt;='SOLLECITAZ NASCOSTO'!$P$5,'Progetto del paramento slu'!$G$105,'Progetto del paramento slu'!$G$106),'Progetto del paramento slu'!$G$107),'Progetto del paramento slu'!$G$108),'Progetto del paramento slu'!$G$109),'Progetto del paramento slu'!$G$110),'Progetto del paramento slu'!$G$111),'Progetto del paramento slu'!$G$112),55555)-IF(C223&lt;='SOLLECITAZ NASCOSTO'!$P$12,IF(C223&lt;='SOLLECITAZ NASCOSTO'!$P$11,IF(C223&lt;='SOLLECITAZ NASCOSTO'!$P$10,IF(C223&lt;='SOLLECITAZ NASCOSTO'!$P$9,IF(C223&lt;='SOLLECITAZ NASCOSTO'!$P$8,IF(C223&lt;='SOLLECITAZ NASCOSTO'!$P$7,IF(C223&lt;='SOLLECITAZ NASCOSTO'!$P$6,IF(C223&lt;='SOLLECITAZ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slu'!$G$112))*(C223-IF(C223&lt;='SOLLECITAZ NASCOSTO'!$P$12,IF(C223&lt;='SOLLECITAZ NASCOSTO'!$P$11,IF(C223&lt;='SOLLECITAZ NASCOSTO'!$P$10,IF(C223&lt;='SOLLECITAZ NASCOSTO'!$P$9,IF(C223&lt;='SOLLECITAZ NASCOSTO'!$P$8,IF(C223&lt;='SOLLECITAZ NASCOSTO'!$P$7,IF(C223&lt;='SOLLECITAZ NASCOSTO'!$P$6,IF(C223&lt;='SOLLECITAZ NASCOSTO'!$P$5,'SOLLECITAZ NASCOSTO'!$P$3,'SOLLECITAZ NASCOSTO'!$P$5),'SOLLECITAZ NASCOSTO'!$P$5),'SOLLECITAZ NASCOSTO'!$P$7),'SOLLECITAZ NASCOSTO'!$P$8),'SOLLECITAZ NASCOSTO'!$P$9),'SOLLECITAZ NASCOSTO'!$P$10),'SOLLECITAZ NASCOSTO'!$P$11),'SOLLECITAZ NASCOSTO'!$P$12))/IF(C223&lt;='SOLLECITAZ NASCOSTO'!$P$12,IF(C223&lt;='SOLLECITAZ NASCOSTO'!$P$11,IF(C223&lt;='SOLLECITAZ NASCOSTO'!$P$10,IF(C223&lt;='SOLLECITAZ NASCOSTO'!$P$9,IF(C223&lt;='SOLLECITAZ NASCOSTO'!$P$8,IF(C223&lt;='SOLLECITAZ NASCOSTO'!$P$7,IF(C223&lt;='SOLLECITAZ NASCOSTO'!$P$6,IF(C223&lt;='SOLLECITAZ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slu'!$C$112)+IF(C223&lt;='SOLLECITAZ NASCOSTO'!$P$12,IF(C223&lt;='SOLLECITAZ NASCOSTO'!$P$11,IF(C223&lt;='SOLLECITAZ NASCOSTO'!$P$10,IF(C223&lt;='SOLLECITAZ NASCOSTO'!$P$9,IF(C223&lt;='SOLLECITAZ NASCOSTO'!$P$8,IF(C223&lt;='SOLLECITAZ NASCOSTO'!$P$7,IF(C223&lt;='SOLLECITAZ NASCOSTO'!$P$6,IF(C223&lt;='SOLLECITAZ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13.337336049126977</v>
      </c>
      <c r="O224" s="42">
        <f>IF(C224&lt;='SOLLECITAZ NASCOSTO'!$P$12,IF(C224&lt;='SOLLECITAZ NASCOSTO'!$P$11,IF(C224&lt;='SOLLECITAZ NASCOSTO'!$P$10,IF(C224&lt;='SOLLECITAZ NASCOSTO'!$P$9,IF(C224&lt;='SOLLECITAZ NASCOSTO'!$P$8,IF(C224&lt;='SOLLECITAZ NASCOSTO'!$P$7,IF(C224&lt;='SOLLECITAZ NASCOSTO'!$P$6,IF(C224&lt;='SOLLECITAZ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slu'!$G$111),55555)*(C224-C223)/IF(C224&lt;='SOLLECITAZ NASCOSTO'!$P$12,IF(C224&lt;='SOLLECITAZ NASCOSTO'!$P$11,IF(C224&lt;='SOLLECITAZ NASCOSTO'!$P$10,IF(C224&lt;='SOLLECITAZ NASCOSTO'!$P$9,IF(C224&lt;='SOLLECITAZ NASCOSTO'!$P$8,IF(C224&lt;='SOLLECITAZ NASCOSTO'!$P$7,IF(C224&lt;='SOLLECITAZ NASCOSTO'!$P$6,IF(C224&lt;='SOLLECITAZ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4" s="42">
        <f t="shared" si="57"/>
        <v>1.9099999999999957E-4</v>
      </c>
      <c r="Q224" s="42">
        <f t="shared" si="55"/>
        <v>1</v>
      </c>
      <c r="R224" s="441">
        <f t="shared" ref="R224:R287" si="67">C224</f>
        <v>1.3153846153846154</v>
      </c>
      <c r="S224" s="46">
        <f t="shared" si="56"/>
        <v>1.3153846153846154</v>
      </c>
      <c r="T224" s="211">
        <f t="shared" si="52"/>
        <v>2.0346153846153845</v>
      </c>
      <c r="U224" s="46">
        <f t="shared" si="53"/>
        <v>11.529050514384192</v>
      </c>
      <c r="V224" s="46">
        <f t="shared" si="54"/>
        <v>-6.2501218866295396</v>
      </c>
      <c r="W224" s="496"/>
      <c r="X224" s="497"/>
      <c r="Y224" s="497"/>
      <c r="Z224" s="498"/>
      <c r="AA224" s="47"/>
    </row>
    <row r="225" spans="1:27" s="428" customFormat="1" x14ac:dyDescent="0.25">
      <c r="A225" s="589">
        <f t="shared" ref="A225:A288" si="68">E225</f>
        <v>4.6394230768243006E-6</v>
      </c>
      <c r="B225" s="32">
        <f t="shared" si="58"/>
        <v>193</v>
      </c>
      <c r="C225" s="441">
        <f>'SOLLECITAZ NASCOSTO'!$D$6/'SOLLECITAZ NASCOSTO'!$B$448*'SOLLECITAZ NASCOSTO'!B225</f>
        <v>1.3222355769230769</v>
      </c>
      <c r="D225" s="441">
        <f t="shared" ref="D225:D288" si="69">$D$9+$D$14+$D$16*C225</f>
        <v>0.30000463942307681</v>
      </c>
      <c r="E225" s="441">
        <f t="shared" si="63"/>
        <v>4.6394230768243006E-6</v>
      </c>
      <c r="F225" s="441">
        <f t="shared" si="64"/>
        <v>0.30000463942307681</v>
      </c>
      <c r="G225" s="441">
        <f t="shared" si="65"/>
        <v>4.5001391837685166E-2</v>
      </c>
      <c r="H225" s="441">
        <f t="shared" si="59"/>
        <v>0</v>
      </c>
      <c r="I225" s="441">
        <v>0</v>
      </c>
      <c r="J225" s="131">
        <f t="shared" si="60"/>
        <v>0.15000231971153841</v>
      </c>
      <c r="K225" s="130">
        <f t="shared" si="66"/>
        <v>2.2501043886335552E-3</v>
      </c>
      <c r="L225" s="42">
        <f t="shared" si="61"/>
        <v>11.620918718653913</v>
      </c>
      <c r="M225" s="42">
        <f t="shared" si="62"/>
        <v>-6.329421661045596</v>
      </c>
      <c r="N225" s="42">
        <f>(IF(C224&lt;='SOLLECITAZ NASCOSTO'!$P$12,IF(C224&lt;='SOLLECITAZ NASCOSTO'!$P$11,IF(C224&lt;='SOLLECITAZ NASCOSTO'!$P$10,IF(C224&lt;='SOLLECITAZ NASCOSTO'!$P$9,IF(C224&lt;='SOLLECITAZ NASCOSTO'!$P$8,IF(C224&lt;='SOLLECITAZ NASCOSTO'!$P$7,IF(C224&lt;='SOLLECITAZ NASCOSTO'!$P$6,IF(C224&lt;='SOLLECITAZ NASCOSTO'!$P$5,'Progetto del paramento slu'!$G$105,'Progetto del paramento slu'!$G$106),'Progetto del paramento slu'!$G$107),'Progetto del paramento slu'!$G$108),'Progetto del paramento slu'!$G$109),'Progetto del paramento slu'!$G$110),'Progetto del paramento slu'!$G$111),'Progetto del paramento slu'!$G$112),55555)-IF(C224&lt;='SOLLECITAZ NASCOSTO'!$P$12,IF(C224&lt;='SOLLECITAZ NASCOSTO'!$P$11,IF(C224&lt;='SOLLECITAZ NASCOSTO'!$P$10,IF(C224&lt;='SOLLECITAZ NASCOSTO'!$P$9,IF(C224&lt;='SOLLECITAZ NASCOSTO'!$P$8,IF(C224&lt;='SOLLECITAZ NASCOSTO'!$P$7,IF(C224&lt;='SOLLECITAZ NASCOSTO'!$P$6,IF(C224&lt;='SOLLECITAZ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slu'!$G$112))*(C224-IF(C224&lt;='SOLLECITAZ NASCOSTO'!$P$12,IF(C224&lt;='SOLLECITAZ NASCOSTO'!$P$11,IF(C224&lt;='SOLLECITAZ NASCOSTO'!$P$10,IF(C224&lt;='SOLLECITAZ NASCOSTO'!$P$9,IF(C224&lt;='SOLLECITAZ NASCOSTO'!$P$8,IF(C224&lt;='SOLLECITAZ NASCOSTO'!$P$7,IF(C224&lt;='SOLLECITAZ NASCOSTO'!$P$6,IF(C224&lt;='SOLLECITAZ NASCOSTO'!$P$5,'SOLLECITAZ NASCOSTO'!$P$3,'SOLLECITAZ NASCOSTO'!$P$5),'SOLLECITAZ NASCOSTO'!$P$5),'SOLLECITAZ NASCOSTO'!$P$7),'SOLLECITAZ NASCOSTO'!$P$8),'SOLLECITAZ NASCOSTO'!$P$9),'SOLLECITAZ NASCOSTO'!$P$10),'SOLLECITAZ NASCOSTO'!$P$11),'SOLLECITAZ NASCOSTO'!$P$12))/IF(C224&lt;='SOLLECITAZ NASCOSTO'!$P$12,IF(C224&lt;='SOLLECITAZ NASCOSTO'!$P$11,IF(C224&lt;='SOLLECITAZ NASCOSTO'!$P$10,IF(C224&lt;='SOLLECITAZ NASCOSTO'!$P$9,IF(C224&lt;='SOLLECITAZ NASCOSTO'!$P$8,IF(C224&lt;='SOLLECITAZ NASCOSTO'!$P$7,IF(C224&lt;='SOLLECITAZ NASCOSTO'!$P$6,IF(C224&lt;='SOLLECITAZ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slu'!$C$112)+IF(C224&lt;='SOLLECITAZ NASCOSTO'!$P$12,IF(C224&lt;='SOLLECITAZ NASCOSTO'!$P$11,IF(C224&lt;='SOLLECITAZ NASCOSTO'!$P$10,IF(C224&lt;='SOLLECITAZ NASCOSTO'!$P$9,IF(C224&lt;='SOLLECITAZ NASCOSTO'!$P$8,IF(C224&lt;='SOLLECITAZ NASCOSTO'!$P$7,IF(C224&lt;='SOLLECITAZ NASCOSTO'!$P$6,IF(C224&lt;='SOLLECITAZ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13.385468268119329</v>
      </c>
      <c r="O225" s="42">
        <f>IF(C225&lt;='SOLLECITAZ NASCOSTO'!$P$12,IF(C225&lt;='SOLLECITAZ NASCOSTO'!$P$11,IF(C225&lt;='SOLLECITAZ NASCOSTO'!$P$10,IF(C225&lt;='SOLLECITAZ NASCOSTO'!$P$9,IF(C225&lt;='SOLLECITAZ NASCOSTO'!$P$8,IF(C225&lt;='SOLLECITAZ NASCOSTO'!$P$7,IF(C225&lt;='SOLLECITAZ NASCOSTO'!$P$6,IF(C225&lt;='SOLLECITAZ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slu'!$G$111),55555)*(C225-C224)/IF(C225&lt;='SOLLECITAZ NASCOSTO'!$P$12,IF(C225&lt;='SOLLECITAZ NASCOSTO'!$P$11,IF(C225&lt;='SOLLECITAZ NASCOSTO'!$P$10,IF(C225&lt;='SOLLECITAZ NASCOSTO'!$P$9,IF(C225&lt;='SOLLECITAZ NASCOSTO'!$P$8,IF(C225&lt;='SOLLECITAZ NASCOSTO'!$P$7,IF(C225&lt;='SOLLECITAZ NASCOSTO'!$P$6,IF(C225&lt;='SOLLECITAZ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5" s="42">
        <f t="shared" si="57"/>
        <v>1.9199999999999957E-4</v>
      </c>
      <c r="Q225" s="42">
        <f t="shared" si="55"/>
        <v>1</v>
      </c>
      <c r="R225" s="441">
        <f t="shared" si="67"/>
        <v>1.3222355769230769</v>
      </c>
      <c r="S225" s="46">
        <f t="shared" si="56"/>
        <v>1.3222355769230769</v>
      </c>
      <c r="T225" s="211">
        <f t="shared" ref="T225:T288" si="70">$R$468-S225</f>
        <v>2.0277644230769232</v>
      </c>
      <c r="U225" s="46">
        <f t="shared" si="53"/>
        <v>11.620918718653913</v>
      </c>
      <c r="V225" s="46">
        <f t="shared" si="54"/>
        <v>-6.329421661045596</v>
      </c>
      <c r="W225" s="496"/>
      <c r="X225" s="497"/>
      <c r="Y225" s="497"/>
      <c r="Z225" s="498"/>
      <c r="AA225" s="47"/>
    </row>
    <row r="226" spans="1:27" s="428" customFormat="1" x14ac:dyDescent="0.25">
      <c r="A226" s="589">
        <f t="shared" si="68"/>
        <v>4.6634615383789324E-6</v>
      </c>
      <c r="B226" s="32">
        <f t="shared" si="58"/>
        <v>194</v>
      </c>
      <c r="C226" s="441">
        <f>'SOLLECITAZ NASCOSTO'!$D$6/'SOLLECITAZ NASCOSTO'!$B$448*'SOLLECITAZ NASCOSTO'!B226</f>
        <v>1.3290865384615385</v>
      </c>
      <c r="D226" s="441">
        <f t="shared" si="69"/>
        <v>0.30000466346153837</v>
      </c>
      <c r="E226" s="441">
        <f t="shared" si="63"/>
        <v>4.6634615383789324E-6</v>
      </c>
      <c r="F226" s="441">
        <f t="shared" si="64"/>
        <v>0.30000466346153837</v>
      </c>
      <c r="G226" s="441">
        <f t="shared" si="65"/>
        <v>4.500139904933545E-2</v>
      </c>
      <c r="H226" s="441">
        <f t="shared" si="59"/>
        <v>0</v>
      </c>
      <c r="I226" s="441">
        <v>0</v>
      </c>
      <c r="J226" s="131">
        <f t="shared" si="60"/>
        <v>0.15000233173076918</v>
      </c>
      <c r="K226" s="130">
        <f t="shared" si="66"/>
        <v>2.2501049295157124E-3</v>
      </c>
      <c r="L226" s="42">
        <f t="shared" si="61"/>
        <v>11.713116674904711</v>
      </c>
      <c r="M226" s="42">
        <f t="shared" si="62"/>
        <v>-6.4093519505547816</v>
      </c>
      <c r="N226" s="42">
        <f>(IF(C225&lt;='SOLLECITAZ NASCOSTO'!$P$12,IF(C225&lt;='SOLLECITAZ NASCOSTO'!$P$11,IF(C225&lt;='SOLLECITAZ NASCOSTO'!$P$10,IF(C225&lt;='SOLLECITAZ NASCOSTO'!$P$9,IF(C225&lt;='SOLLECITAZ NASCOSTO'!$P$8,IF(C225&lt;='SOLLECITAZ NASCOSTO'!$P$7,IF(C225&lt;='SOLLECITAZ NASCOSTO'!$P$6,IF(C225&lt;='SOLLECITAZ NASCOSTO'!$P$5,'Progetto del paramento slu'!$G$105,'Progetto del paramento slu'!$G$106),'Progetto del paramento slu'!$G$107),'Progetto del paramento slu'!$G$108),'Progetto del paramento slu'!$G$109),'Progetto del paramento slu'!$G$110),'Progetto del paramento slu'!$G$111),'Progetto del paramento slu'!$G$112),55555)-IF(C225&lt;='SOLLECITAZ NASCOSTO'!$P$12,IF(C225&lt;='SOLLECITAZ NASCOSTO'!$P$11,IF(C225&lt;='SOLLECITAZ NASCOSTO'!$P$10,IF(C225&lt;='SOLLECITAZ NASCOSTO'!$P$9,IF(C225&lt;='SOLLECITAZ NASCOSTO'!$P$8,IF(C225&lt;='SOLLECITAZ NASCOSTO'!$P$7,IF(C225&lt;='SOLLECITAZ NASCOSTO'!$P$6,IF(C225&lt;='SOLLECITAZ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slu'!$G$112))*(C225-IF(C225&lt;='SOLLECITAZ NASCOSTO'!$P$12,IF(C225&lt;='SOLLECITAZ NASCOSTO'!$P$11,IF(C225&lt;='SOLLECITAZ NASCOSTO'!$P$10,IF(C225&lt;='SOLLECITAZ NASCOSTO'!$P$9,IF(C225&lt;='SOLLECITAZ NASCOSTO'!$P$8,IF(C225&lt;='SOLLECITAZ NASCOSTO'!$P$7,IF(C225&lt;='SOLLECITAZ NASCOSTO'!$P$6,IF(C225&lt;='SOLLECITAZ NASCOSTO'!$P$5,'SOLLECITAZ NASCOSTO'!$P$3,'SOLLECITAZ NASCOSTO'!$P$5),'SOLLECITAZ NASCOSTO'!$P$5),'SOLLECITAZ NASCOSTO'!$P$7),'SOLLECITAZ NASCOSTO'!$P$8),'SOLLECITAZ NASCOSTO'!$P$9),'SOLLECITAZ NASCOSTO'!$P$10),'SOLLECITAZ NASCOSTO'!$P$11),'SOLLECITAZ NASCOSTO'!$P$12))/IF(C225&lt;='SOLLECITAZ NASCOSTO'!$P$12,IF(C225&lt;='SOLLECITAZ NASCOSTO'!$P$11,IF(C225&lt;='SOLLECITAZ NASCOSTO'!$P$10,IF(C225&lt;='SOLLECITAZ NASCOSTO'!$P$9,IF(C225&lt;='SOLLECITAZ NASCOSTO'!$P$8,IF(C225&lt;='SOLLECITAZ NASCOSTO'!$P$7,IF(C225&lt;='SOLLECITAZ NASCOSTO'!$P$6,IF(C225&lt;='SOLLECITAZ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slu'!$C$112)+IF(C225&lt;='SOLLECITAZ NASCOSTO'!$P$12,IF(C225&lt;='SOLLECITAZ NASCOSTO'!$P$11,IF(C225&lt;='SOLLECITAZ NASCOSTO'!$P$10,IF(C225&lt;='SOLLECITAZ NASCOSTO'!$P$9,IF(C225&lt;='SOLLECITAZ NASCOSTO'!$P$8,IF(C225&lt;='SOLLECITAZ NASCOSTO'!$P$7,IF(C225&lt;='SOLLECITAZ NASCOSTO'!$P$6,IF(C225&lt;='SOLLECITAZ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13.433600487111681</v>
      </c>
      <c r="O226" s="42">
        <f>IF(C226&lt;='SOLLECITAZ NASCOSTO'!$P$12,IF(C226&lt;='SOLLECITAZ NASCOSTO'!$P$11,IF(C226&lt;='SOLLECITAZ NASCOSTO'!$P$10,IF(C226&lt;='SOLLECITAZ NASCOSTO'!$P$9,IF(C226&lt;='SOLLECITAZ NASCOSTO'!$P$8,IF(C226&lt;='SOLLECITAZ NASCOSTO'!$P$7,IF(C226&lt;='SOLLECITAZ NASCOSTO'!$P$6,IF(C226&lt;='SOLLECITAZ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slu'!$G$111),55555)*(C226-C225)/IF(C226&lt;='SOLLECITAZ NASCOSTO'!$P$12,IF(C226&lt;='SOLLECITAZ NASCOSTO'!$P$11,IF(C226&lt;='SOLLECITAZ NASCOSTO'!$P$10,IF(C226&lt;='SOLLECITAZ NASCOSTO'!$P$9,IF(C226&lt;='SOLLECITAZ NASCOSTO'!$P$8,IF(C226&lt;='SOLLECITAZ NASCOSTO'!$P$7,IF(C226&lt;='SOLLECITAZ NASCOSTO'!$P$6,IF(C226&lt;='SOLLECITAZ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6" s="42">
        <f t="shared" si="57"/>
        <v>1.9299999999999957E-4</v>
      </c>
      <c r="Q226" s="42">
        <f t="shared" si="55"/>
        <v>1</v>
      </c>
      <c r="R226" s="441">
        <f t="shared" si="67"/>
        <v>1.3290865384615385</v>
      </c>
      <c r="S226" s="46">
        <f t="shared" si="56"/>
        <v>1.3290865384615385</v>
      </c>
      <c r="T226" s="211">
        <f t="shared" si="70"/>
        <v>2.0209134615384619</v>
      </c>
      <c r="U226" s="46">
        <f t="shared" ref="U226:U289" si="71">IF(Q226=1,L226,0)</f>
        <v>11.713116674904711</v>
      </c>
      <c r="V226" s="46">
        <f t="shared" ref="V226:V289" si="72">IF(Q226=1,M226,0)</f>
        <v>-6.4093519505547816</v>
      </c>
      <c r="W226" s="496"/>
      <c r="X226" s="497"/>
      <c r="Y226" s="497"/>
      <c r="Z226" s="498"/>
      <c r="AA226" s="47"/>
    </row>
    <row r="227" spans="1:27" s="428" customFormat="1" x14ac:dyDescent="0.25">
      <c r="A227" s="589">
        <f t="shared" si="68"/>
        <v>4.6874999998780531E-6</v>
      </c>
      <c r="B227" s="32">
        <f t="shared" si="58"/>
        <v>195</v>
      </c>
      <c r="C227" s="441">
        <f>'SOLLECITAZ NASCOSTO'!$D$6/'SOLLECITAZ NASCOSTO'!$B$448*'SOLLECITAZ NASCOSTO'!B227</f>
        <v>1.3359375</v>
      </c>
      <c r="D227" s="441">
        <f t="shared" si="69"/>
        <v>0.30000468749999987</v>
      </c>
      <c r="E227" s="441">
        <f t="shared" si="63"/>
        <v>4.6874999998780531E-6</v>
      </c>
      <c r="F227" s="441">
        <f t="shared" si="64"/>
        <v>0.30000468749999987</v>
      </c>
      <c r="G227" s="441">
        <f t="shared" si="65"/>
        <v>4.5001406260986289E-2</v>
      </c>
      <c r="H227" s="441">
        <f t="shared" si="59"/>
        <v>0</v>
      </c>
      <c r="I227" s="441">
        <v>0</v>
      </c>
      <c r="J227" s="131">
        <f t="shared" si="60"/>
        <v>0.15000234374999993</v>
      </c>
      <c r="K227" s="130">
        <f t="shared" si="66"/>
        <v>2.250105470397955E-3</v>
      </c>
      <c r="L227" s="42">
        <f t="shared" si="61"/>
        <v>11.805644383136588</v>
      </c>
      <c r="M227" s="42">
        <f t="shared" si="62"/>
        <v>-6.489915014275236</v>
      </c>
      <c r="N227" s="42">
        <f>(IF(C226&lt;='SOLLECITAZ NASCOSTO'!$P$12,IF(C226&lt;='SOLLECITAZ NASCOSTO'!$P$11,IF(C226&lt;='SOLLECITAZ NASCOSTO'!$P$10,IF(C226&lt;='SOLLECITAZ NASCOSTO'!$P$9,IF(C226&lt;='SOLLECITAZ NASCOSTO'!$P$8,IF(C226&lt;='SOLLECITAZ NASCOSTO'!$P$7,IF(C226&lt;='SOLLECITAZ NASCOSTO'!$P$6,IF(C226&lt;='SOLLECITAZ NASCOSTO'!$P$5,'Progetto del paramento slu'!$G$105,'Progetto del paramento slu'!$G$106),'Progetto del paramento slu'!$G$107),'Progetto del paramento slu'!$G$108),'Progetto del paramento slu'!$G$109),'Progetto del paramento slu'!$G$110),'Progetto del paramento slu'!$G$111),'Progetto del paramento slu'!$G$112),55555)-IF(C226&lt;='SOLLECITAZ NASCOSTO'!$P$12,IF(C226&lt;='SOLLECITAZ NASCOSTO'!$P$11,IF(C226&lt;='SOLLECITAZ NASCOSTO'!$P$10,IF(C226&lt;='SOLLECITAZ NASCOSTO'!$P$9,IF(C226&lt;='SOLLECITAZ NASCOSTO'!$P$8,IF(C226&lt;='SOLLECITAZ NASCOSTO'!$P$7,IF(C226&lt;='SOLLECITAZ NASCOSTO'!$P$6,IF(C226&lt;='SOLLECITAZ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slu'!$G$112))*(C226-IF(C226&lt;='SOLLECITAZ NASCOSTO'!$P$12,IF(C226&lt;='SOLLECITAZ NASCOSTO'!$P$11,IF(C226&lt;='SOLLECITAZ NASCOSTO'!$P$10,IF(C226&lt;='SOLLECITAZ NASCOSTO'!$P$9,IF(C226&lt;='SOLLECITAZ NASCOSTO'!$P$8,IF(C226&lt;='SOLLECITAZ NASCOSTO'!$P$7,IF(C226&lt;='SOLLECITAZ NASCOSTO'!$P$6,IF(C226&lt;='SOLLECITAZ NASCOSTO'!$P$5,'SOLLECITAZ NASCOSTO'!$P$3,'SOLLECITAZ NASCOSTO'!$P$5),'SOLLECITAZ NASCOSTO'!$P$5),'SOLLECITAZ NASCOSTO'!$P$7),'SOLLECITAZ NASCOSTO'!$P$8),'SOLLECITAZ NASCOSTO'!$P$9),'SOLLECITAZ NASCOSTO'!$P$10),'SOLLECITAZ NASCOSTO'!$P$11),'SOLLECITAZ NASCOSTO'!$P$12))/IF(C226&lt;='SOLLECITAZ NASCOSTO'!$P$12,IF(C226&lt;='SOLLECITAZ NASCOSTO'!$P$11,IF(C226&lt;='SOLLECITAZ NASCOSTO'!$P$10,IF(C226&lt;='SOLLECITAZ NASCOSTO'!$P$9,IF(C226&lt;='SOLLECITAZ NASCOSTO'!$P$8,IF(C226&lt;='SOLLECITAZ NASCOSTO'!$P$7,IF(C226&lt;='SOLLECITAZ NASCOSTO'!$P$6,IF(C226&lt;='SOLLECITAZ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slu'!$C$112)+IF(C226&lt;='SOLLECITAZ NASCOSTO'!$P$12,IF(C226&lt;='SOLLECITAZ NASCOSTO'!$P$11,IF(C226&lt;='SOLLECITAZ NASCOSTO'!$P$10,IF(C226&lt;='SOLLECITAZ NASCOSTO'!$P$9,IF(C226&lt;='SOLLECITAZ NASCOSTO'!$P$8,IF(C226&lt;='SOLLECITAZ NASCOSTO'!$P$7,IF(C226&lt;='SOLLECITAZ NASCOSTO'!$P$6,IF(C226&lt;='SOLLECITAZ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13.481732706104035</v>
      </c>
      <c r="O227" s="42">
        <f>IF(C227&lt;='SOLLECITAZ NASCOSTO'!$P$12,IF(C227&lt;='SOLLECITAZ NASCOSTO'!$P$11,IF(C227&lt;='SOLLECITAZ NASCOSTO'!$P$10,IF(C227&lt;='SOLLECITAZ NASCOSTO'!$P$9,IF(C227&lt;='SOLLECITAZ NASCOSTO'!$P$8,IF(C227&lt;='SOLLECITAZ NASCOSTO'!$P$7,IF(C227&lt;='SOLLECITAZ NASCOSTO'!$P$6,IF(C227&lt;='SOLLECITAZ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slu'!$G$111),55555)*(C227-C226)/IF(C227&lt;='SOLLECITAZ NASCOSTO'!$P$12,IF(C227&lt;='SOLLECITAZ NASCOSTO'!$P$11,IF(C227&lt;='SOLLECITAZ NASCOSTO'!$P$10,IF(C227&lt;='SOLLECITAZ NASCOSTO'!$P$9,IF(C227&lt;='SOLLECITAZ NASCOSTO'!$P$8,IF(C227&lt;='SOLLECITAZ NASCOSTO'!$P$7,IF(C227&lt;='SOLLECITAZ NASCOSTO'!$P$6,IF(C227&lt;='SOLLECITAZ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7" s="42">
        <f t="shared" si="57"/>
        <v>1.9399999999999957E-4</v>
      </c>
      <c r="Q227" s="42">
        <f t="shared" ref="Q227:Q290" si="73">IF(C227&lt;=$D$6,1,0+P227)</f>
        <v>1</v>
      </c>
      <c r="R227" s="441">
        <f t="shared" si="67"/>
        <v>1.3359375</v>
      </c>
      <c r="S227" s="46">
        <f t="shared" ref="S227:S290" si="74">IF(Q227&lt;1,VLOOKUP(0,$Q$34:$R$468,2,TRUE),C227)</f>
        <v>1.3359375</v>
      </c>
      <c r="T227" s="211">
        <f t="shared" si="70"/>
        <v>2.0140625000000001</v>
      </c>
      <c r="U227" s="46">
        <f t="shared" si="71"/>
        <v>11.805644383136588</v>
      </c>
      <c r="V227" s="46">
        <f t="shared" si="72"/>
        <v>-6.489915014275236</v>
      </c>
      <c r="W227" s="496"/>
      <c r="X227" s="497"/>
      <c r="Y227" s="497"/>
      <c r="Z227" s="498"/>
      <c r="AA227" s="47"/>
    </row>
    <row r="228" spans="1:27" s="428" customFormat="1" x14ac:dyDescent="0.25">
      <c r="A228" s="589">
        <f t="shared" si="68"/>
        <v>4.711538461432685E-6</v>
      </c>
      <c r="B228" s="32">
        <f t="shared" si="58"/>
        <v>196</v>
      </c>
      <c r="C228" s="441">
        <f>'SOLLECITAZ NASCOSTO'!$D$6/'SOLLECITAZ NASCOSTO'!$B$448*'SOLLECITAZ NASCOSTO'!B228</f>
        <v>1.3427884615384615</v>
      </c>
      <c r="D228" s="441">
        <f t="shared" si="69"/>
        <v>0.30000471153846142</v>
      </c>
      <c r="E228" s="441">
        <f t="shared" si="63"/>
        <v>4.711538461432685E-6</v>
      </c>
      <c r="F228" s="441">
        <f t="shared" si="64"/>
        <v>0.30000471153846142</v>
      </c>
      <c r="G228" s="441">
        <f t="shared" si="65"/>
        <v>4.5001413472637725E-2</v>
      </c>
      <c r="H228" s="441">
        <f t="shared" si="59"/>
        <v>0</v>
      </c>
      <c r="I228" s="441">
        <v>0</v>
      </c>
      <c r="J228" s="131">
        <f t="shared" si="60"/>
        <v>0.15000235576923071</v>
      </c>
      <c r="K228" s="130">
        <f t="shared" si="66"/>
        <v>2.2501060112802857E-3</v>
      </c>
      <c r="L228" s="42">
        <f t="shared" si="61"/>
        <v>11.898501843349543</v>
      </c>
      <c r="M228" s="42">
        <f t="shared" si="62"/>
        <v>-6.571113111325098</v>
      </c>
      <c r="N228" s="42">
        <f>(IF(C227&lt;='SOLLECITAZ NASCOSTO'!$P$12,IF(C227&lt;='SOLLECITAZ NASCOSTO'!$P$11,IF(C227&lt;='SOLLECITAZ NASCOSTO'!$P$10,IF(C227&lt;='SOLLECITAZ NASCOSTO'!$P$9,IF(C227&lt;='SOLLECITAZ NASCOSTO'!$P$8,IF(C227&lt;='SOLLECITAZ NASCOSTO'!$P$7,IF(C227&lt;='SOLLECITAZ NASCOSTO'!$P$6,IF(C227&lt;='SOLLECITAZ NASCOSTO'!$P$5,'Progetto del paramento slu'!$G$105,'Progetto del paramento slu'!$G$106),'Progetto del paramento slu'!$G$107),'Progetto del paramento slu'!$G$108),'Progetto del paramento slu'!$G$109),'Progetto del paramento slu'!$G$110),'Progetto del paramento slu'!$G$111),'Progetto del paramento slu'!$G$112),55555)-IF(C227&lt;='SOLLECITAZ NASCOSTO'!$P$12,IF(C227&lt;='SOLLECITAZ NASCOSTO'!$P$11,IF(C227&lt;='SOLLECITAZ NASCOSTO'!$P$10,IF(C227&lt;='SOLLECITAZ NASCOSTO'!$P$9,IF(C227&lt;='SOLLECITAZ NASCOSTO'!$P$8,IF(C227&lt;='SOLLECITAZ NASCOSTO'!$P$7,IF(C227&lt;='SOLLECITAZ NASCOSTO'!$P$6,IF(C227&lt;='SOLLECITAZ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slu'!$G$112))*(C227-IF(C227&lt;='SOLLECITAZ NASCOSTO'!$P$12,IF(C227&lt;='SOLLECITAZ NASCOSTO'!$P$11,IF(C227&lt;='SOLLECITAZ NASCOSTO'!$P$10,IF(C227&lt;='SOLLECITAZ NASCOSTO'!$P$9,IF(C227&lt;='SOLLECITAZ NASCOSTO'!$P$8,IF(C227&lt;='SOLLECITAZ NASCOSTO'!$P$7,IF(C227&lt;='SOLLECITAZ NASCOSTO'!$P$6,IF(C227&lt;='SOLLECITAZ NASCOSTO'!$P$5,'SOLLECITAZ NASCOSTO'!$P$3,'SOLLECITAZ NASCOSTO'!$P$5),'SOLLECITAZ NASCOSTO'!$P$5),'SOLLECITAZ NASCOSTO'!$P$7),'SOLLECITAZ NASCOSTO'!$P$8),'SOLLECITAZ NASCOSTO'!$P$9),'SOLLECITAZ NASCOSTO'!$P$10),'SOLLECITAZ NASCOSTO'!$P$11),'SOLLECITAZ NASCOSTO'!$P$12))/IF(C227&lt;='SOLLECITAZ NASCOSTO'!$P$12,IF(C227&lt;='SOLLECITAZ NASCOSTO'!$P$11,IF(C227&lt;='SOLLECITAZ NASCOSTO'!$P$10,IF(C227&lt;='SOLLECITAZ NASCOSTO'!$P$9,IF(C227&lt;='SOLLECITAZ NASCOSTO'!$P$8,IF(C227&lt;='SOLLECITAZ NASCOSTO'!$P$7,IF(C227&lt;='SOLLECITAZ NASCOSTO'!$P$6,IF(C227&lt;='SOLLECITAZ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slu'!$C$112)+IF(C227&lt;='SOLLECITAZ NASCOSTO'!$P$12,IF(C227&lt;='SOLLECITAZ NASCOSTO'!$P$11,IF(C227&lt;='SOLLECITAZ NASCOSTO'!$P$10,IF(C227&lt;='SOLLECITAZ NASCOSTO'!$P$9,IF(C227&lt;='SOLLECITAZ NASCOSTO'!$P$8,IF(C227&lt;='SOLLECITAZ NASCOSTO'!$P$7,IF(C227&lt;='SOLLECITAZ NASCOSTO'!$P$6,IF(C227&lt;='SOLLECITAZ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13.529864925096387</v>
      </c>
      <c r="O228" s="42">
        <f>IF(C228&lt;='SOLLECITAZ NASCOSTO'!$P$12,IF(C228&lt;='SOLLECITAZ NASCOSTO'!$P$11,IF(C228&lt;='SOLLECITAZ NASCOSTO'!$P$10,IF(C228&lt;='SOLLECITAZ NASCOSTO'!$P$9,IF(C228&lt;='SOLLECITAZ NASCOSTO'!$P$8,IF(C228&lt;='SOLLECITAZ NASCOSTO'!$P$7,IF(C228&lt;='SOLLECITAZ NASCOSTO'!$P$6,IF(C228&lt;='SOLLECITAZ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slu'!$G$111),55555)*(C228-C227)/IF(C228&lt;='SOLLECITAZ NASCOSTO'!$P$12,IF(C228&lt;='SOLLECITAZ NASCOSTO'!$P$11,IF(C228&lt;='SOLLECITAZ NASCOSTO'!$P$10,IF(C228&lt;='SOLLECITAZ NASCOSTO'!$P$9,IF(C228&lt;='SOLLECITAZ NASCOSTO'!$P$8,IF(C228&lt;='SOLLECITAZ NASCOSTO'!$P$7,IF(C228&lt;='SOLLECITAZ NASCOSTO'!$P$6,IF(C228&lt;='SOLLECITAZ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8" s="42">
        <f t="shared" ref="P228:P291" si="75">P227+0.000001</f>
        <v>1.9499999999999956E-4</v>
      </c>
      <c r="Q228" s="42">
        <f t="shared" si="73"/>
        <v>1</v>
      </c>
      <c r="R228" s="441">
        <f t="shared" si="67"/>
        <v>1.3427884615384615</v>
      </c>
      <c r="S228" s="46">
        <f t="shared" si="74"/>
        <v>1.3427884615384615</v>
      </c>
      <c r="T228" s="211">
        <f t="shared" si="70"/>
        <v>2.0072115384615383</v>
      </c>
      <c r="U228" s="46">
        <f t="shared" si="71"/>
        <v>11.898501843349543</v>
      </c>
      <c r="V228" s="46">
        <f t="shared" si="72"/>
        <v>-6.571113111325098</v>
      </c>
      <c r="W228" s="496"/>
      <c r="X228" s="497"/>
      <c r="Y228" s="497"/>
      <c r="Z228" s="498"/>
      <c r="AA228" s="47"/>
    </row>
    <row r="229" spans="1:27" s="428" customFormat="1" x14ac:dyDescent="0.25">
      <c r="A229" s="589">
        <f t="shared" si="68"/>
        <v>4.7355769229873168E-6</v>
      </c>
      <c r="B229" s="32">
        <f t="shared" si="58"/>
        <v>197</v>
      </c>
      <c r="C229" s="441">
        <f>'SOLLECITAZ NASCOSTO'!$D$6/'SOLLECITAZ NASCOSTO'!$B$448*'SOLLECITAZ NASCOSTO'!B229</f>
        <v>1.3496394230769231</v>
      </c>
      <c r="D229" s="441">
        <f t="shared" si="69"/>
        <v>0.30000473557692298</v>
      </c>
      <c r="E229" s="441">
        <f t="shared" si="63"/>
        <v>4.7355769229873168E-6</v>
      </c>
      <c r="F229" s="441">
        <f t="shared" si="64"/>
        <v>0.30000473557692298</v>
      </c>
      <c r="G229" s="441">
        <f t="shared" si="65"/>
        <v>4.5001420684289736E-2</v>
      </c>
      <c r="H229" s="441">
        <f t="shared" si="59"/>
        <v>0</v>
      </c>
      <c r="I229" s="441">
        <v>0</v>
      </c>
      <c r="J229" s="131">
        <f t="shared" si="60"/>
        <v>0.15000236778846149</v>
      </c>
      <c r="K229" s="130">
        <f t="shared" si="66"/>
        <v>2.2501065521627027E-3</v>
      </c>
      <c r="L229" s="42">
        <f t="shared" si="61"/>
        <v>11.991689055543574</v>
      </c>
      <c r="M229" s="42">
        <f t="shared" si="62"/>
        <v>-6.6529485008225082</v>
      </c>
      <c r="N229" s="42">
        <f>(IF(C228&lt;='SOLLECITAZ NASCOSTO'!$P$12,IF(C228&lt;='SOLLECITAZ NASCOSTO'!$P$11,IF(C228&lt;='SOLLECITAZ NASCOSTO'!$P$10,IF(C228&lt;='SOLLECITAZ NASCOSTO'!$P$9,IF(C228&lt;='SOLLECITAZ NASCOSTO'!$P$8,IF(C228&lt;='SOLLECITAZ NASCOSTO'!$P$7,IF(C228&lt;='SOLLECITAZ NASCOSTO'!$P$6,IF(C228&lt;='SOLLECITAZ NASCOSTO'!$P$5,'Progetto del paramento slu'!$G$105,'Progetto del paramento slu'!$G$106),'Progetto del paramento slu'!$G$107),'Progetto del paramento slu'!$G$108),'Progetto del paramento slu'!$G$109),'Progetto del paramento slu'!$G$110),'Progetto del paramento slu'!$G$111),'Progetto del paramento slu'!$G$112),55555)-IF(C228&lt;='SOLLECITAZ NASCOSTO'!$P$12,IF(C228&lt;='SOLLECITAZ NASCOSTO'!$P$11,IF(C228&lt;='SOLLECITAZ NASCOSTO'!$P$10,IF(C228&lt;='SOLLECITAZ NASCOSTO'!$P$9,IF(C228&lt;='SOLLECITAZ NASCOSTO'!$P$8,IF(C228&lt;='SOLLECITAZ NASCOSTO'!$P$7,IF(C228&lt;='SOLLECITAZ NASCOSTO'!$P$6,IF(C228&lt;='SOLLECITAZ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slu'!$G$112))*(C228-IF(C228&lt;='SOLLECITAZ NASCOSTO'!$P$12,IF(C228&lt;='SOLLECITAZ NASCOSTO'!$P$11,IF(C228&lt;='SOLLECITAZ NASCOSTO'!$P$10,IF(C228&lt;='SOLLECITAZ NASCOSTO'!$P$9,IF(C228&lt;='SOLLECITAZ NASCOSTO'!$P$8,IF(C228&lt;='SOLLECITAZ NASCOSTO'!$P$7,IF(C228&lt;='SOLLECITAZ NASCOSTO'!$P$6,IF(C228&lt;='SOLLECITAZ NASCOSTO'!$P$5,'SOLLECITAZ NASCOSTO'!$P$3,'SOLLECITAZ NASCOSTO'!$P$5),'SOLLECITAZ NASCOSTO'!$P$5),'SOLLECITAZ NASCOSTO'!$P$7),'SOLLECITAZ NASCOSTO'!$P$8),'SOLLECITAZ NASCOSTO'!$P$9),'SOLLECITAZ NASCOSTO'!$P$10),'SOLLECITAZ NASCOSTO'!$P$11),'SOLLECITAZ NASCOSTO'!$P$12))/IF(C228&lt;='SOLLECITAZ NASCOSTO'!$P$12,IF(C228&lt;='SOLLECITAZ NASCOSTO'!$P$11,IF(C228&lt;='SOLLECITAZ NASCOSTO'!$P$10,IF(C228&lt;='SOLLECITAZ NASCOSTO'!$P$9,IF(C228&lt;='SOLLECITAZ NASCOSTO'!$P$8,IF(C228&lt;='SOLLECITAZ NASCOSTO'!$P$7,IF(C228&lt;='SOLLECITAZ NASCOSTO'!$P$6,IF(C228&lt;='SOLLECITAZ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slu'!$C$112)+IF(C228&lt;='SOLLECITAZ NASCOSTO'!$P$12,IF(C228&lt;='SOLLECITAZ NASCOSTO'!$P$11,IF(C228&lt;='SOLLECITAZ NASCOSTO'!$P$10,IF(C228&lt;='SOLLECITAZ NASCOSTO'!$P$9,IF(C228&lt;='SOLLECITAZ NASCOSTO'!$P$8,IF(C228&lt;='SOLLECITAZ NASCOSTO'!$P$7,IF(C228&lt;='SOLLECITAZ NASCOSTO'!$P$6,IF(C228&lt;='SOLLECITAZ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13.577997144088739</v>
      </c>
      <c r="O229" s="42">
        <f>IF(C229&lt;='SOLLECITAZ NASCOSTO'!$P$12,IF(C229&lt;='SOLLECITAZ NASCOSTO'!$P$11,IF(C229&lt;='SOLLECITAZ NASCOSTO'!$P$10,IF(C229&lt;='SOLLECITAZ NASCOSTO'!$P$9,IF(C229&lt;='SOLLECITAZ NASCOSTO'!$P$8,IF(C229&lt;='SOLLECITAZ NASCOSTO'!$P$7,IF(C229&lt;='SOLLECITAZ NASCOSTO'!$P$6,IF(C229&lt;='SOLLECITAZ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slu'!$G$111),55555)*(C229-C228)/IF(C229&lt;='SOLLECITAZ NASCOSTO'!$P$12,IF(C229&lt;='SOLLECITAZ NASCOSTO'!$P$11,IF(C229&lt;='SOLLECITAZ NASCOSTO'!$P$10,IF(C229&lt;='SOLLECITAZ NASCOSTO'!$P$9,IF(C229&lt;='SOLLECITAZ NASCOSTO'!$P$8,IF(C229&lt;='SOLLECITAZ NASCOSTO'!$P$7,IF(C229&lt;='SOLLECITAZ NASCOSTO'!$P$6,IF(C229&lt;='SOLLECITAZ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29" s="42">
        <f t="shared" si="75"/>
        <v>1.9599999999999956E-4</v>
      </c>
      <c r="Q229" s="42">
        <f t="shared" si="73"/>
        <v>1</v>
      </c>
      <c r="R229" s="441">
        <f t="shared" si="67"/>
        <v>1.3496394230769231</v>
      </c>
      <c r="S229" s="46">
        <f t="shared" si="74"/>
        <v>1.3496394230769231</v>
      </c>
      <c r="T229" s="211">
        <f t="shared" si="70"/>
        <v>2.000360576923077</v>
      </c>
      <c r="U229" s="46">
        <f t="shared" si="71"/>
        <v>11.991689055543574</v>
      </c>
      <c r="V229" s="46">
        <f t="shared" si="72"/>
        <v>-6.6529485008225082</v>
      </c>
      <c r="W229" s="496"/>
      <c r="X229" s="497"/>
      <c r="Y229" s="497"/>
      <c r="Z229" s="498"/>
      <c r="AA229" s="47"/>
    </row>
    <row r="230" spans="1:27" s="428" customFormat="1" x14ac:dyDescent="0.25">
      <c r="A230" s="589">
        <f t="shared" si="68"/>
        <v>4.7596153844864375E-6</v>
      </c>
      <c r="B230" s="32">
        <f t="shared" si="58"/>
        <v>198</v>
      </c>
      <c r="C230" s="441">
        <f>'SOLLECITAZ NASCOSTO'!$D$6/'SOLLECITAZ NASCOSTO'!$B$448*'SOLLECITAZ NASCOSTO'!B230</f>
        <v>1.3564903846153846</v>
      </c>
      <c r="D230" s="441">
        <f t="shared" si="69"/>
        <v>0.30000475961538448</v>
      </c>
      <c r="E230" s="441">
        <f t="shared" si="63"/>
        <v>4.7596153844864375E-6</v>
      </c>
      <c r="F230" s="441">
        <f t="shared" si="64"/>
        <v>0.30000475961538448</v>
      </c>
      <c r="G230" s="441">
        <f t="shared" si="65"/>
        <v>4.5001427895942317E-2</v>
      </c>
      <c r="H230" s="441">
        <f t="shared" si="59"/>
        <v>0</v>
      </c>
      <c r="I230" s="441">
        <v>0</v>
      </c>
      <c r="J230" s="131">
        <f t="shared" si="60"/>
        <v>0.15000237980769227</v>
      </c>
      <c r="K230" s="130">
        <f t="shared" si="66"/>
        <v>2.2501070930452055E-3</v>
      </c>
      <c r="L230" s="42">
        <f t="shared" si="61"/>
        <v>12.085206019718683</v>
      </c>
      <c r="M230" s="42">
        <f t="shared" si="62"/>
        <v>-6.7354234418856063</v>
      </c>
      <c r="N230" s="42">
        <f>(IF(C229&lt;='SOLLECITAZ NASCOSTO'!$P$12,IF(C229&lt;='SOLLECITAZ NASCOSTO'!$P$11,IF(C229&lt;='SOLLECITAZ NASCOSTO'!$P$10,IF(C229&lt;='SOLLECITAZ NASCOSTO'!$P$9,IF(C229&lt;='SOLLECITAZ NASCOSTO'!$P$8,IF(C229&lt;='SOLLECITAZ NASCOSTO'!$P$7,IF(C229&lt;='SOLLECITAZ NASCOSTO'!$P$6,IF(C229&lt;='SOLLECITAZ NASCOSTO'!$P$5,'Progetto del paramento slu'!$G$105,'Progetto del paramento slu'!$G$106),'Progetto del paramento slu'!$G$107),'Progetto del paramento slu'!$G$108),'Progetto del paramento slu'!$G$109),'Progetto del paramento slu'!$G$110),'Progetto del paramento slu'!$G$111),'Progetto del paramento slu'!$G$112),55555)-IF(C229&lt;='SOLLECITAZ NASCOSTO'!$P$12,IF(C229&lt;='SOLLECITAZ NASCOSTO'!$P$11,IF(C229&lt;='SOLLECITAZ NASCOSTO'!$P$10,IF(C229&lt;='SOLLECITAZ NASCOSTO'!$P$9,IF(C229&lt;='SOLLECITAZ NASCOSTO'!$P$8,IF(C229&lt;='SOLLECITAZ NASCOSTO'!$P$7,IF(C229&lt;='SOLLECITAZ NASCOSTO'!$P$6,IF(C229&lt;='SOLLECITAZ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slu'!$G$112))*(C229-IF(C229&lt;='SOLLECITAZ NASCOSTO'!$P$12,IF(C229&lt;='SOLLECITAZ NASCOSTO'!$P$11,IF(C229&lt;='SOLLECITAZ NASCOSTO'!$P$10,IF(C229&lt;='SOLLECITAZ NASCOSTO'!$P$9,IF(C229&lt;='SOLLECITAZ NASCOSTO'!$P$8,IF(C229&lt;='SOLLECITAZ NASCOSTO'!$P$7,IF(C229&lt;='SOLLECITAZ NASCOSTO'!$P$6,IF(C229&lt;='SOLLECITAZ NASCOSTO'!$P$5,'SOLLECITAZ NASCOSTO'!$P$3,'SOLLECITAZ NASCOSTO'!$P$5),'SOLLECITAZ NASCOSTO'!$P$5),'SOLLECITAZ NASCOSTO'!$P$7),'SOLLECITAZ NASCOSTO'!$P$8),'SOLLECITAZ NASCOSTO'!$P$9),'SOLLECITAZ NASCOSTO'!$P$10),'SOLLECITAZ NASCOSTO'!$P$11),'SOLLECITAZ NASCOSTO'!$P$12))/IF(C229&lt;='SOLLECITAZ NASCOSTO'!$P$12,IF(C229&lt;='SOLLECITAZ NASCOSTO'!$P$11,IF(C229&lt;='SOLLECITAZ NASCOSTO'!$P$10,IF(C229&lt;='SOLLECITAZ NASCOSTO'!$P$9,IF(C229&lt;='SOLLECITAZ NASCOSTO'!$P$8,IF(C229&lt;='SOLLECITAZ NASCOSTO'!$P$7,IF(C229&lt;='SOLLECITAZ NASCOSTO'!$P$6,IF(C229&lt;='SOLLECITAZ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slu'!$C$112)+IF(C229&lt;='SOLLECITAZ NASCOSTO'!$P$12,IF(C229&lt;='SOLLECITAZ NASCOSTO'!$P$11,IF(C229&lt;='SOLLECITAZ NASCOSTO'!$P$10,IF(C229&lt;='SOLLECITAZ NASCOSTO'!$P$9,IF(C229&lt;='SOLLECITAZ NASCOSTO'!$P$8,IF(C229&lt;='SOLLECITAZ NASCOSTO'!$P$7,IF(C229&lt;='SOLLECITAZ NASCOSTO'!$P$6,IF(C229&lt;='SOLLECITAZ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13.626129363081091</v>
      </c>
      <c r="O230" s="42">
        <f>IF(C230&lt;='SOLLECITAZ NASCOSTO'!$P$12,IF(C230&lt;='SOLLECITAZ NASCOSTO'!$P$11,IF(C230&lt;='SOLLECITAZ NASCOSTO'!$P$10,IF(C230&lt;='SOLLECITAZ NASCOSTO'!$P$9,IF(C230&lt;='SOLLECITAZ NASCOSTO'!$P$8,IF(C230&lt;='SOLLECITAZ NASCOSTO'!$P$7,IF(C230&lt;='SOLLECITAZ NASCOSTO'!$P$6,IF(C230&lt;='SOLLECITAZ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slu'!$G$111),55555)*(C230-C229)/IF(C230&lt;='SOLLECITAZ NASCOSTO'!$P$12,IF(C230&lt;='SOLLECITAZ NASCOSTO'!$P$11,IF(C230&lt;='SOLLECITAZ NASCOSTO'!$P$10,IF(C230&lt;='SOLLECITAZ NASCOSTO'!$P$9,IF(C230&lt;='SOLLECITAZ NASCOSTO'!$P$8,IF(C230&lt;='SOLLECITAZ NASCOSTO'!$P$7,IF(C230&lt;='SOLLECITAZ NASCOSTO'!$P$6,IF(C230&lt;='SOLLECITAZ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0" s="42">
        <f t="shared" si="75"/>
        <v>1.9699999999999956E-4</v>
      </c>
      <c r="Q230" s="42">
        <f t="shared" si="73"/>
        <v>1</v>
      </c>
      <c r="R230" s="441">
        <f t="shared" si="67"/>
        <v>1.3564903846153846</v>
      </c>
      <c r="S230" s="46">
        <f t="shared" si="74"/>
        <v>1.3564903846153846</v>
      </c>
      <c r="T230" s="211">
        <f t="shared" si="70"/>
        <v>1.9935096153846155</v>
      </c>
      <c r="U230" s="46">
        <f t="shared" si="71"/>
        <v>12.085206019718683</v>
      </c>
      <c r="V230" s="46">
        <f t="shared" si="72"/>
        <v>-6.7354234418856063</v>
      </c>
      <c r="W230" s="496"/>
      <c r="X230" s="497"/>
      <c r="Y230" s="497"/>
      <c r="Z230" s="498"/>
      <c r="AA230" s="47"/>
    </row>
    <row r="231" spans="1:27" s="428" customFormat="1" x14ac:dyDescent="0.25">
      <c r="A231" s="589">
        <f t="shared" si="68"/>
        <v>4.7836538460410694E-6</v>
      </c>
      <c r="B231" s="32">
        <f t="shared" si="58"/>
        <v>199</v>
      </c>
      <c r="C231" s="441">
        <f>'SOLLECITAZ NASCOSTO'!$D$6/'SOLLECITAZ NASCOSTO'!$B$448*'SOLLECITAZ NASCOSTO'!B231</f>
        <v>1.3633413461538462</v>
      </c>
      <c r="D231" s="441">
        <f t="shared" si="69"/>
        <v>0.30000478365384603</v>
      </c>
      <c r="E231" s="441">
        <f t="shared" si="63"/>
        <v>4.7836538460410694E-6</v>
      </c>
      <c r="F231" s="441">
        <f t="shared" si="64"/>
        <v>0.30000478365384603</v>
      </c>
      <c r="G231" s="441">
        <f t="shared" si="65"/>
        <v>4.500143510759548E-2</v>
      </c>
      <c r="H231" s="441">
        <f t="shared" si="59"/>
        <v>0</v>
      </c>
      <c r="I231" s="441">
        <v>0</v>
      </c>
      <c r="J231" s="131">
        <f t="shared" si="60"/>
        <v>0.15000239182692301</v>
      </c>
      <c r="K231" s="130">
        <f t="shared" si="66"/>
        <v>2.2501076339277956E-3</v>
      </c>
      <c r="L231" s="42">
        <f t="shared" si="61"/>
        <v>12.179052735874869</v>
      </c>
      <c r="M231" s="42">
        <f t="shared" si="62"/>
        <v>-6.8185401936325309</v>
      </c>
      <c r="N231" s="42">
        <f>(IF(C230&lt;='SOLLECITAZ NASCOSTO'!$P$12,IF(C230&lt;='SOLLECITAZ NASCOSTO'!$P$11,IF(C230&lt;='SOLLECITAZ NASCOSTO'!$P$10,IF(C230&lt;='SOLLECITAZ NASCOSTO'!$P$9,IF(C230&lt;='SOLLECITAZ NASCOSTO'!$P$8,IF(C230&lt;='SOLLECITAZ NASCOSTO'!$P$7,IF(C230&lt;='SOLLECITAZ NASCOSTO'!$P$6,IF(C230&lt;='SOLLECITAZ NASCOSTO'!$P$5,'Progetto del paramento slu'!$G$105,'Progetto del paramento slu'!$G$106),'Progetto del paramento slu'!$G$107),'Progetto del paramento slu'!$G$108),'Progetto del paramento slu'!$G$109),'Progetto del paramento slu'!$G$110),'Progetto del paramento slu'!$G$111),'Progetto del paramento slu'!$G$112),55555)-IF(C230&lt;='SOLLECITAZ NASCOSTO'!$P$12,IF(C230&lt;='SOLLECITAZ NASCOSTO'!$P$11,IF(C230&lt;='SOLLECITAZ NASCOSTO'!$P$10,IF(C230&lt;='SOLLECITAZ NASCOSTO'!$P$9,IF(C230&lt;='SOLLECITAZ NASCOSTO'!$P$8,IF(C230&lt;='SOLLECITAZ NASCOSTO'!$P$7,IF(C230&lt;='SOLLECITAZ NASCOSTO'!$P$6,IF(C230&lt;='SOLLECITAZ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slu'!$G$112))*(C230-IF(C230&lt;='SOLLECITAZ NASCOSTO'!$P$12,IF(C230&lt;='SOLLECITAZ NASCOSTO'!$P$11,IF(C230&lt;='SOLLECITAZ NASCOSTO'!$P$10,IF(C230&lt;='SOLLECITAZ NASCOSTO'!$P$9,IF(C230&lt;='SOLLECITAZ NASCOSTO'!$P$8,IF(C230&lt;='SOLLECITAZ NASCOSTO'!$P$7,IF(C230&lt;='SOLLECITAZ NASCOSTO'!$P$6,IF(C230&lt;='SOLLECITAZ NASCOSTO'!$P$5,'SOLLECITAZ NASCOSTO'!$P$3,'SOLLECITAZ NASCOSTO'!$P$5),'SOLLECITAZ NASCOSTO'!$P$5),'SOLLECITAZ NASCOSTO'!$P$7),'SOLLECITAZ NASCOSTO'!$P$8),'SOLLECITAZ NASCOSTO'!$P$9),'SOLLECITAZ NASCOSTO'!$P$10),'SOLLECITAZ NASCOSTO'!$P$11),'SOLLECITAZ NASCOSTO'!$P$12))/IF(C230&lt;='SOLLECITAZ NASCOSTO'!$P$12,IF(C230&lt;='SOLLECITAZ NASCOSTO'!$P$11,IF(C230&lt;='SOLLECITAZ NASCOSTO'!$P$10,IF(C230&lt;='SOLLECITAZ NASCOSTO'!$P$9,IF(C230&lt;='SOLLECITAZ NASCOSTO'!$P$8,IF(C230&lt;='SOLLECITAZ NASCOSTO'!$P$7,IF(C230&lt;='SOLLECITAZ NASCOSTO'!$P$6,IF(C230&lt;='SOLLECITAZ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slu'!$C$112)+IF(C230&lt;='SOLLECITAZ NASCOSTO'!$P$12,IF(C230&lt;='SOLLECITAZ NASCOSTO'!$P$11,IF(C230&lt;='SOLLECITAZ NASCOSTO'!$P$10,IF(C230&lt;='SOLLECITAZ NASCOSTO'!$P$9,IF(C230&lt;='SOLLECITAZ NASCOSTO'!$P$8,IF(C230&lt;='SOLLECITAZ NASCOSTO'!$P$7,IF(C230&lt;='SOLLECITAZ NASCOSTO'!$P$6,IF(C230&lt;='SOLLECITAZ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13.674261582073443</v>
      </c>
      <c r="O231" s="42">
        <f>IF(C231&lt;='SOLLECITAZ NASCOSTO'!$P$12,IF(C231&lt;='SOLLECITAZ NASCOSTO'!$P$11,IF(C231&lt;='SOLLECITAZ NASCOSTO'!$P$10,IF(C231&lt;='SOLLECITAZ NASCOSTO'!$P$9,IF(C231&lt;='SOLLECITAZ NASCOSTO'!$P$8,IF(C231&lt;='SOLLECITAZ NASCOSTO'!$P$7,IF(C231&lt;='SOLLECITAZ NASCOSTO'!$P$6,IF(C231&lt;='SOLLECITAZ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slu'!$G$111),55555)*(C231-C230)/IF(C231&lt;='SOLLECITAZ NASCOSTO'!$P$12,IF(C231&lt;='SOLLECITAZ NASCOSTO'!$P$11,IF(C231&lt;='SOLLECITAZ NASCOSTO'!$P$10,IF(C231&lt;='SOLLECITAZ NASCOSTO'!$P$9,IF(C231&lt;='SOLLECITAZ NASCOSTO'!$P$8,IF(C231&lt;='SOLLECITAZ NASCOSTO'!$P$7,IF(C231&lt;='SOLLECITAZ NASCOSTO'!$P$6,IF(C231&lt;='SOLLECITAZ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1" s="42">
        <f t="shared" si="75"/>
        <v>1.9799999999999955E-4</v>
      </c>
      <c r="Q231" s="42">
        <f t="shared" si="73"/>
        <v>1</v>
      </c>
      <c r="R231" s="441">
        <f t="shared" si="67"/>
        <v>1.3633413461538462</v>
      </c>
      <c r="S231" s="46">
        <f t="shared" si="74"/>
        <v>1.3633413461538462</v>
      </c>
      <c r="T231" s="211">
        <f t="shared" si="70"/>
        <v>1.9866586538461539</v>
      </c>
      <c r="U231" s="46">
        <f t="shared" si="71"/>
        <v>12.179052735874869</v>
      </c>
      <c r="V231" s="46">
        <f t="shared" si="72"/>
        <v>-6.8185401936325309</v>
      </c>
      <c r="W231" s="496"/>
      <c r="X231" s="497"/>
      <c r="Y231" s="497"/>
      <c r="Z231" s="498"/>
      <c r="AA231" s="47"/>
    </row>
    <row r="232" spans="1:27" s="428" customFormat="1" x14ac:dyDescent="0.25">
      <c r="A232" s="589">
        <f t="shared" si="68"/>
        <v>4.8076923075957012E-6</v>
      </c>
      <c r="B232" s="32">
        <f t="shared" si="58"/>
        <v>200</v>
      </c>
      <c r="C232" s="441">
        <f>'SOLLECITAZ NASCOSTO'!$D$6/'SOLLECITAZ NASCOSTO'!$B$448*'SOLLECITAZ NASCOSTO'!B232</f>
        <v>1.3701923076923077</v>
      </c>
      <c r="D232" s="441">
        <f t="shared" si="69"/>
        <v>0.30000480769230758</v>
      </c>
      <c r="E232" s="441">
        <f t="shared" si="63"/>
        <v>4.8076923075957012E-6</v>
      </c>
      <c r="F232" s="441">
        <f t="shared" si="64"/>
        <v>0.30000480769230758</v>
      </c>
      <c r="G232" s="441">
        <f t="shared" si="65"/>
        <v>4.5001442319249227E-2</v>
      </c>
      <c r="H232" s="441">
        <f t="shared" si="59"/>
        <v>0</v>
      </c>
      <c r="I232" s="441">
        <v>0</v>
      </c>
      <c r="J232" s="131">
        <f t="shared" si="60"/>
        <v>0.15000240384615379</v>
      </c>
      <c r="K232" s="130">
        <f t="shared" si="66"/>
        <v>2.2501081748104732E-3</v>
      </c>
      <c r="L232" s="42">
        <f t="shared" si="61"/>
        <v>12.273229204012132</v>
      </c>
      <c r="M232" s="42">
        <f t="shared" si="62"/>
        <v>-6.9023010151814228</v>
      </c>
      <c r="N232" s="42">
        <f>(IF(C231&lt;='SOLLECITAZ NASCOSTO'!$P$12,IF(C231&lt;='SOLLECITAZ NASCOSTO'!$P$11,IF(C231&lt;='SOLLECITAZ NASCOSTO'!$P$10,IF(C231&lt;='SOLLECITAZ NASCOSTO'!$P$9,IF(C231&lt;='SOLLECITAZ NASCOSTO'!$P$8,IF(C231&lt;='SOLLECITAZ NASCOSTO'!$P$7,IF(C231&lt;='SOLLECITAZ NASCOSTO'!$P$6,IF(C231&lt;='SOLLECITAZ NASCOSTO'!$P$5,'Progetto del paramento slu'!$G$105,'Progetto del paramento slu'!$G$106),'Progetto del paramento slu'!$G$107),'Progetto del paramento slu'!$G$108),'Progetto del paramento slu'!$G$109),'Progetto del paramento slu'!$G$110),'Progetto del paramento slu'!$G$111),'Progetto del paramento slu'!$G$112),55555)-IF(C231&lt;='SOLLECITAZ NASCOSTO'!$P$12,IF(C231&lt;='SOLLECITAZ NASCOSTO'!$P$11,IF(C231&lt;='SOLLECITAZ NASCOSTO'!$P$10,IF(C231&lt;='SOLLECITAZ NASCOSTO'!$P$9,IF(C231&lt;='SOLLECITAZ NASCOSTO'!$P$8,IF(C231&lt;='SOLLECITAZ NASCOSTO'!$P$7,IF(C231&lt;='SOLLECITAZ NASCOSTO'!$P$6,IF(C231&lt;='SOLLECITAZ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slu'!$G$112))*(C231-IF(C231&lt;='SOLLECITAZ NASCOSTO'!$P$12,IF(C231&lt;='SOLLECITAZ NASCOSTO'!$P$11,IF(C231&lt;='SOLLECITAZ NASCOSTO'!$P$10,IF(C231&lt;='SOLLECITAZ NASCOSTO'!$P$9,IF(C231&lt;='SOLLECITAZ NASCOSTO'!$P$8,IF(C231&lt;='SOLLECITAZ NASCOSTO'!$P$7,IF(C231&lt;='SOLLECITAZ NASCOSTO'!$P$6,IF(C231&lt;='SOLLECITAZ NASCOSTO'!$P$5,'SOLLECITAZ NASCOSTO'!$P$3,'SOLLECITAZ NASCOSTO'!$P$5),'SOLLECITAZ NASCOSTO'!$P$5),'SOLLECITAZ NASCOSTO'!$P$7),'SOLLECITAZ NASCOSTO'!$P$8),'SOLLECITAZ NASCOSTO'!$P$9),'SOLLECITAZ NASCOSTO'!$P$10),'SOLLECITAZ NASCOSTO'!$P$11),'SOLLECITAZ NASCOSTO'!$P$12))/IF(C231&lt;='SOLLECITAZ NASCOSTO'!$P$12,IF(C231&lt;='SOLLECITAZ NASCOSTO'!$P$11,IF(C231&lt;='SOLLECITAZ NASCOSTO'!$P$10,IF(C231&lt;='SOLLECITAZ NASCOSTO'!$P$9,IF(C231&lt;='SOLLECITAZ NASCOSTO'!$P$8,IF(C231&lt;='SOLLECITAZ NASCOSTO'!$P$7,IF(C231&lt;='SOLLECITAZ NASCOSTO'!$P$6,IF(C231&lt;='SOLLECITAZ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slu'!$C$112)+IF(C231&lt;='SOLLECITAZ NASCOSTO'!$P$12,IF(C231&lt;='SOLLECITAZ NASCOSTO'!$P$11,IF(C231&lt;='SOLLECITAZ NASCOSTO'!$P$10,IF(C231&lt;='SOLLECITAZ NASCOSTO'!$P$9,IF(C231&lt;='SOLLECITAZ NASCOSTO'!$P$8,IF(C231&lt;='SOLLECITAZ NASCOSTO'!$P$7,IF(C231&lt;='SOLLECITAZ NASCOSTO'!$P$6,IF(C231&lt;='SOLLECITAZ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13.722393801065797</v>
      </c>
      <c r="O232" s="42">
        <f>IF(C232&lt;='SOLLECITAZ NASCOSTO'!$P$12,IF(C232&lt;='SOLLECITAZ NASCOSTO'!$P$11,IF(C232&lt;='SOLLECITAZ NASCOSTO'!$P$10,IF(C232&lt;='SOLLECITAZ NASCOSTO'!$P$9,IF(C232&lt;='SOLLECITAZ NASCOSTO'!$P$8,IF(C232&lt;='SOLLECITAZ NASCOSTO'!$P$7,IF(C232&lt;='SOLLECITAZ NASCOSTO'!$P$6,IF(C232&lt;='SOLLECITAZ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slu'!$G$111),55555)*(C232-C231)/IF(C232&lt;='SOLLECITAZ NASCOSTO'!$P$12,IF(C232&lt;='SOLLECITAZ NASCOSTO'!$P$11,IF(C232&lt;='SOLLECITAZ NASCOSTO'!$P$10,IF(C232&lt;='SOLLECITAZ NASCOSTO'!$P$9,IF(C232&lt;='SOLLECITAZ NASCOSTO'!$P$8,IF(C232&lt;='SOLLECITAZ NASCOSTO'!$P$7,IF(C232&lt;='SOLLECITAZ NASCOSTO'!$P$6,IF(C232&lt;='SOLLECITAZ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2" s="42">
        <f t="shared" si="75"/>
        <v>1.9899999999999955E-4</v>
      </c>
      <c r="Q232" s="42">
        <f t="shared" si="73"/>
        <v>1</v>
      </c>
      <c r="R232" s="441">
        <f t="shared" si="67"/>
        <v>1.3701923076923077</v>
      </c>
      <c r="S232" s="46">
        <f t="shared" si="74"/>
        <v>1.3701923076923077</v>
      </c>
      <c r="T232" s="211">
        <f t="shared" si="70"/>
        <v>1.9798076923076924</v>
      </c>
      <c r="U232" s="46">
        <f t="shared" si="71"/>
        <v>12.273229204012132</v>
      </c>
      <c r="V232" s="46">
        <f t="shared" si="72"/>
        <v>-6.9023010151814228</v>
      </c>
      <c r="W232" s="496"/>
      <c r="X232" s="497"/>
      <c r="Y232" s="497"/>
      <c r="Z232" s="498"/>
      <c r="AA232" s="47"/>
    </row>
    <row r="233" spans="1:27" s="428" customFormat="1" x14ac:dyDescent="0.25">
      <c r="A233" s="589">
        <f t="shared" si="68"/>
        <v>4.8317307691503331E-6</v>
      </c>
      <c r="B233" s="32">
        <f t="shared" si="58"/>
        <v>201</v>
      </c>
      <c r="C233" s="441">
        <f>'SOLLECITAZ NASCOSTO'!$D$6/'SOLLECITAZ NASCOSTO'!$B$448*'SOLLECITAZ NASCOSTO'!B233</f>
        <v>1.3770432692307693</v>
      </c>
      <c r="D233" s="441">
        <f t="shared" si="69"/>
        <v>0.30000483173076914</v>
      </c>
      <c r="E233" s="441">
        <f t="shared" si="63"/>
        <v>4.8317307691503331E-6</v>
      </c>
      <c r="F233" s="441">
        <f t="shared" si="64"/>
        <v>0.30000483173076914</v>
      </c>
      <c r="G233" s="441">
        <f t="shared" si="65"/>
        <v>4.5001449530903556E-2</v>
      </c>
      <c r="H233" s="441">
        <f t="shared" si="59"/>
        <v>0</v>
      </c>
      <c r="I233" s="441">
        <v>0</v>
      </c>
      <c r="J233" s="131">
        <f t="shared" si="60"/>
        <v>0.15000241586538457</v>
      </c>
      <c r="K233" s="130">
        <f t="shared" si="66"/>
        <v>2.2501087156932362E-3</v>
      </c>
      <c r="L233" s="42">
        <f t="shared" si="61"/>
        <v>12.367735424130473</v>
      </c>
      <c r="M233" s="42">
        <f t="shared" si="62"/>
        <v>-6.9867081656504206</v>
      </c>
      <c r="N233" s="42">
        <f>(IF(C232&lt;='SOLLECITAZ NASCOSTO'!$P$12,IF(C232&lt;='SOLLECITAZ NASCOSTO'!$P$11,IF(C232&lt;='SOLLECITAZ NASCOSTO'!$P$10,IF(C232&lt;='SOLLECITAZ NASCOSTO'!$P$9,IF(C232&lt;='SOLLECITAZ NASCOSTO'!$P$8,IF(C232&lt;='SOLLECITAZ NASCOSTO'!$P$7,IF(C232&lt;='SOLLECITAZ NASCOSTO'!$P$6,IF(C232&lt;='SOLLECITAZ NASCOSTO'!$P$5,'Progetto del paramento slu'!$G$105,'Progetto del paramento slu'!$G$106),'Progetto del paramento slu'!$G$107),'Progetto del paramento slu'!$G$108),'Progetto del paramento slu'!$G$109),'Progetto del paramento slu'!$G$110),'Progetto del paramento slu'!$G$111),'Progetto del paramento slu'!$G$112),55555)-IF(C232&lt;='SOLLECITAZ NASCOSTO'!$P$12,IF(C232&lt;='SOLLECITAZ NASCOSTO'!$P$11,IF(C232&lt;='SOLLECITAZ NASCOSTO'!$P$10,IF(C232&lt;='SOLLECITAZ NASCOSTO'!$P$9,IF(C232&lt;='SOLLECITAZ NASCOSTO'!$P$8,IF(C232&lt;='SOLLECITAZ NASCOSTO'!$P$7,IF(C232&lt;='SOLLECITAZ NASCOSTO'!$P$6,IF(C232&lt;='SOLLECITAZ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slu'!$G$112))*(C232-IF(C232&lt;='SOLLECITAZ NASCOSTO'!$P$12,IF(C232&lt;='SOLLECITAZ NASCOSTO'!$P$11,IF(C232&lt;='SOLLECITAZ NASCOSTO'!$P$10,IF(C232&lt;='SOLLECITAZ NASCOSTO'!$P$9,IF(C232&lt;='SOLLECITAZ NASCOSTO'!$P$8,IF(C232&lt;='SOLLECITAZ NASCOSTO'!$P$7,IF(C232&lt;='SOLLECITAZ NASCOSTO'!$P$6,IF(C232&lt;='SOLLECITAZ NASCOSTO'!$P$5,'SOLLECITAZ NASCOSTO'!$P$3,'SOLLECITAZ NASCOSTO'!$P$5),'SOLLECITAZ NASCOSTO'!$P$5),'SOLLECITAZ NASCOSTO'!$P$7),'SOLLECITAZ NASCOSTO'!$P$8),'SOLLECITAZ NASCOSTO'!$P$9),'SOLLECITAZ NASCOSTO'!$P$10),'SOLLECITAZ NASCOSTO'!$P$11),'SOLLECITAZ NASCOSTO'!$P$12))/IF(C232&lt;='SOLLECITAZ NASCOSTO'!$P$12,IF(C232&lt;='SOLLECITAZ NASCOSTO'!$P$11,IF(C232&lt;='SOLLECITAZ NASCOSTO'!$P$10,IF(C232&lt;='SOLLECITAZ NASCOSTO'!$P$9,IF(C232&lt;='SOLLECITAZ NASCOSTO'!$P$8,IF(C232&lt;='SOLLECITAZ NASCOSTO'!$P$7,IF(C232&lt;='SOLLECITAZ NASCOSTO'!$P$6,IF(C232&lt;='SOLLECITAZ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slu'!$C$112)+IF(C232&lt;='SOLLECITAZ NASCOSTO'!$P$12,IF(C232&lt;='SOLLECITAZ NASCOSTO'!$P$11,IF(C232&lt;='SOLLECITAZ NASCOSTO'!$P$10,IF(C232&lt;='SOLLECITAZ NASCOSTO'!$P$9,IF(C232&lt;='SOLLECITAZ NASCOSTO'!$P$8,IF(C232&lt;='SOLLECITAZ NASCOSTO'!$P$7,IF(C232&lt;='SOLLECITAZ NASCOSTO'!$P$6,IF(C232&lt;='SOLLECITAZ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13.770526020058149</v>
      </c>
      <c r="O233" s="42">
        <f>IF(C233&lt;='SOLLECITAZ NASCOSTO'!$P$12,IF(C233&lt;='SOLLECITAZ NASCOSTO'!$P$11,IF(C233&lt;='SOLLECITAZ NASCOSTO'!$P$10,IF(C233&lt;='SOLLECITAZ NASCOSTO'!$P$9,IF(C233&lt;='SOLLECITAZ NASCOSTO'!$P$8,IF(C233&lt;='SOLLECITAZ NASCOSTO'!$P$7,IF(C233&lt;='SOLLECITAZ NASCOSTO'!$P$6,IF(C233&lt;='SOLLECITAZ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slu'!$G$111),55555)*(C233-C232)/IF(C233&lt;='SOLLECITAZ NASCOSTO'!$P$12,IF(C233&lt;='SOLLECITAZ NASCOSTO'!$P$11,IF(C233&lt;='SOLLECITAZ NASCOSTO'!$P$10,IF(C233&lt;='SOLLECITAZ NASCOSTO'!$P$9,IF(C233&lt;='SOLLECITAZ NASCOSTO'!$P$8,IF(C233&lt;='SOLLECITAZ NASCOSTO'!$P$7,IF(C233&lt;='SOLLECITAZ NASCOSTO'!$P$6,IF(C233&lt;='SOLLECITAZ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3" s="42">
        <f t="shared" si="75"/>
        <v>1.9999999999999955E-4</v>
      </c>
      <c r="Q233" s="42">
        <f t="shared" si="73"/>
        <v>1</v>
      </c>
      <c r="R233" s="441">
        <f t="shared" si="67"/>
        <v>1.3770432692307693</v>
      </c>
      <c r="S233" s="46">
        <f t="shared" si="74"/>
        <v>1.3770432692307693</v>
      </c>
      <c r="T233" s="211">
        <f t="shared" si="70"/>
        <v>1.9729567307692308</v>
      </c>
      <c r="U233" s="46">
        <f t="shared" si="71"/>
        <v>12.367735424130473</v>
      </c>
      <c r="V233" s="46">
        <f t="shared" si="72"/>
        <v>-6.9867081656504206</v>
      </c>
      <c r="W233" s="496"/>
      <c r="X233" s="497"/>
      <c r="Y233" s="497"/>
      <c r="Z233" s="498"/>
      <c r="AA233" s="47"/>
    </row>
    <row r="234" spans="1:27" s="428" customFormat="1" x14ac:dyDescent="0.25">
      <c r="A234" s="589">
        <f t="shared" si="68"/>
        <v>4.8557692306494538E-6</v>
      </c>
      <c r="B234" s="32">
        <f t="shared" si="58"/>
        <v>202</v>
      </c>
      <c r="C234" s="441">
        <f>'SOLLECITAZ NASCOSTO'!$D$6/'SOLLECITAZ NASCOSTO'!$B$448*'SOLLECITAZ NASCOSTO'!B234</f>
        <v>1.3838942307692308</v>
      </c>
      <c r="D234" s="441">
        <f t="shared" si="69"/>
        <v>0.30000485576923064</v>
      </c>
      <c r="E234" s="441">
        <f t="shared" si="63"/>
        <v>4.8557692306494538E-6</v>
      </c>
      <c r="F234" s="441">
        <f t="shared" si="64"/>
        <v>0.30000485576923064</v>
      </c>
      <c r="G234" s="441">
        <f t="shared" si="65"/>
        <v>4.5001456742558441E-2</v>
      </c>
      <c r="H234" s="441">
        <f t="shared" si="59"/>
        <v>0</v>
      </c>
      <c r="I234" s="441">
        <v>0</v>
      </c>
      <c r="J234" s="131">
        <f t="shared" si="60"/>
        <v>0.15000242788461532</v>
      </c>
      <c r="K234" s="130">
        <f t="shared" si="66"/>
        <v>2.250109256576086E-3</v>
      </c>
      <c r="L234" s="42">
        <f t="shared" si="61"/>
        <v>12.46257139622989</v>
      </c>
      <c r="M234" s="42">
        <f t="shared" si="62"/>
        <v>-7.071763904157665</v>
      </c>
      <c r="N234" s="42">
        <f>(IF(C233&lt;='SOLLECITAZ NASCOSTO'!$P$12,IF(C233&lt;='SOLLECITAZ NASCOSTO'!$P$11,IF(C233&lt;='SOLLECITAZ NASCOSTO'!$P$10,IF(C233&lt;='SOLLECITAZ NASCOSTO'!$P$9,IF(C233&lt;='SOLLECITAZ NASCOSTO'!$P$8,IF(C233&lt;='SOLLECITAZ NASCOSTO'!$P$7,IF(C233&lt;='SOLLECITAZ NASCOSTO'!$P$6,IF(C233&lt;='SOLLECITAZ NASCOSTO'!$P$5,'Progetto del paramento slu'!$G$105,'Progetto del paramento slu'!$G$106),'Progetto del paramento slu'!$G$107),'Progetto del paramento slu'!$G$108),'Progetto del paramento slu'!$G$109),'Progetto del paramento slu'!$G$110),'Progetto del paramento slu'!$G$111),'Progetto del paramento slu'!$G$112),55555)-IF(C233&lt;='SOLLECITAZ NASCOSTO'!$P$12,IF(C233&lt;='SOLLECITAZ NASCOSTO'!$P$11,IF(C233&lt;='SOLLECITAZ NASCOSTO'!$P$10,IF(C233&lt;='SOLLECITAZ NASCOSTO'!$P$9,IF(C233&lt;='SOLLECITAZ NASCOSTO'!$P$8,IF(C233&lt;='SOLLECITAZ NASCOSTO'!$P$7,IF(C233&lt;='SOLLECITAZ NASCOSTO'!$P$6,IF(C233&lt;='SOLLECITAZ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slu'!$G$112))*(C233-IF(C233&lt;='SOLLECITAZ NASCOSTO'!$P$12,IF(C233&lt;='SOLLECITAZ NASCOSTO'!$P$11,IF(C233&lt;='SOLLECITAZ NASCOSTO'!$P$10,IF(C233&lt;='SOLLECITAZ NASCOSTO'!$P$9,IF(C233&lt;='SOLLECITAZ NASCOSTO'!$P$8,IF(C233&lt;='SOLLECITAZ NASCOSTO'!$P$7,IF(C233&lt;='SOLLECITAZ NASCOSTO'!$P$6,IF(C233&lt;='SOLLECITAZ NASCOSTO'!$P$5,'SOLLECITAZ NASCOSTO'!$P$3,'SOLLECITAZ NASCOSTO'!$P$5),'SOLLECITAZ NASCOSTO'!$P$5),'SOLLECITAZ NASCOSTO'!$P$7),'SOLLECITAZ NASCOSTO'!$P$8),'SOLLECITAZ NASCOSTO'!$P$9),'SOLLECITAZ NASCOSTO'!$P$10),'SOLLECITAZ NASCOSTO'!$P$11),'SOLLECITAZ NASCOSTO'!$P$12))/IF(C233&lt;='SOLLECITAZ NASCOSTO'!$P$12,IF(C233&lt;='SOLLECITAZ NASCOSTO'!$P$11,IF(C233&lt;='SOLLECITAZ NASCOSTO'!$P$10,IF(C233&lt;='SOLLECITAZ NASCOSTO'!$P$9,IF(C233&lt;='SOLLECITAZ NASCOSTO'!$P$8,IF(C233&lt;='SOLLECITAZ NASCOSTO'!$P$7,IF(C233&lt;='SOLLECITAZ NASCOSTO'!$P$6,IF(C233&lt;='SOLLECITAZ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slu'!$C$112)+IF(C233&lt;='SOLLECITAZ NASCOSTO'!$P$12,IF(C233&lt;='SOLLECITAZ NASCOSTO'!$P$11,IF(C233&lt;='SOLLECITAZ NASCOSTO'!$P$10,IF(C233&lt;='SOLLECITAZ NASCOSTO'!$P$9,IF(C233&lt;='SOLLECITAZ NASCOSTO'!$P$8,IF(C233&lt;='SOLLECITAZ NASCOSTO'!$P$7,IF(C233&lt;='SOLLECITAZ NASCOSTO'!$P$6,IF(C233&lt;='SOLLECITAZ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13.818658239050501</v>
      </c>
      <c r="O234" s="42">
        <f>IF(C234&lt;='SOLLECITAZ NASCOSTO'!$P$12,IF(C234&lt;='SOLLECITAZ NASCOSTO'!$P$11,IF(C234&lt;='SOLLECITAZ NASCOSTO'!$P$10,IF(C234&lt;='SOLLECITAZ NASCOSTO'!$P$9,IF(C234&lt;='SOLLECITAZ NASCOSTO'!$P$8,IF(C234&lt;='SOLLECITAZ NASCOSTO'!$P$7,IF(C234&lt;='SOLLECITAZ NASCOSTO'!$P$6,IF(C234&lt;='SOLLECITAZ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slu'!$G$111),55555)*(C234-C233)/IF(C234&lt;='SOLLECITAZ NASCOSTO'!$P$12,IF(C234&lt;='SOLLECITAZ NASCOSTO'!$P$11,IF(C234&lt;='SOLLECITAZ NASCOSTO'!$P$10,IF(C234&lt;='SOLLECITAZ NASCOSTO'!$P$9,IF(C234&lt;='SOLLECITAZ NASCOSTO'!$P$8,IF(C234&lt;='SOLLECITAZ NASCOSTO'!$P$7,IF(C234&lt;='SOLLECITAZ NASCOSTO'!$P$6,IF(C234&lt;='SOLLECITAZ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4" s="42">
        <f t="shared" si="75"/>
        <v>2.0099999999999955E-4</v>
      </c>
      <c r="Q234" s="42">
        <f t="shared" si="73"/>
        <v>1</v>
      </c>
      <c r="R234" s="441">
        <f t="shared" si="67"/>
        <v>1.3838942307692308</v>
      </c>
      <c r="S234" s="46">
        <f t="shared" si="74"/>
        <v>1.3838942307692308</v>
      </c>
      <c r="T234" s="211">
        <f t="shared" si="70"/>
        <v>1.9661057692307693</v>
      </c>
      <c r="U234" s="46">
        <f t="shared" si="71"/>
        <v>12.46257139622989</v>
      </c>
      <c r="V234" s="46">
        <f t="shared" si="72"/>
        <v>-7.071763904157665</v>
      </c>
      <c r="W234" s="496"/>
      <c r="X234" s="497"/>
      <c r="Y234" s="497"/>
      <c r="Z234" s="498"/>
      <c r="AA234" s="47"/>
    </row>
    <row r="235" spans="1:27" s="428" customFormat="1" x14ac:dyDescent="0.25">
      <c r="A235" s="589">
        <f t="shared" si="68"/>
        <v>4.8798076922040856E-6</v>
      </c>
      <c r="B235" s="32">
        <f t="shared" si="58"/>
        <v>203</v>
      </c>
      <c r="C235" s="441">
        <f>'SOLLECITAZ NASCOSTO'!$D$6/'SOLLECITAZ NASCOSTO'!$B$448*'SOLLECITAZ NASCOSTO'!B235</f>
        <v>1.3907451923076923</v>
      </c>
      <c r="D235" s="441">
        <f t="shared" si="69"/>
        <v>0.30000487980769219</v>
      </c>
      <c r="E235" s="441">
        <f t="shared" si="63"/>
        <v>4.8798076922040856E-6</v>
      </c>
      <c r="F235" s="441">
        <f t="shared" si="64"/>
        <v>0.30000487980769219</v>
      </c>
      <c r="G235" s="441">
        <f t="shared" si="65"/>
        <v>4.5001463954213922E-2</v>
      </c>
      <c r="H235" s="441">
        <f t="shared" si="59"/>
        <v>0</v>
      </c>
      <c r="I235" s="441">
        <v>0</v>
      </c>
      <c r="J235" s="131">
        <f t="shared" si="60"/>
        <v>0.1500024399038461</v>
      </c>
      <c r="K235" s="130">
        <f t="shared" si="66"/>
        <v>2.2501097974590234E-3</v>
      </c>
      <c r="L235" s="42">
        <f t="shared" si="61"/>
        <v>12.557737120310385</v>
      </c>
      <c r="M235" s="42">
        <f t="shared" si="62"/>
        <v>-7.1574704898212946</v>
      </c>
      <c r="N235" s="42">
        <f>(IF(C234&lt;='SOLLECITAZ NASCOSTO'!$P$12,IF(C234&lt;='SOLLECITAZ NASCOSTO'!$P$11,IF(C234&lt;='SOLLECITAZ NASCOSTO'!$P$10,IF(C234&lt;='SOLLECITAZ NASCOSTO'!$P$9,IF(C234&lt;='SOLLECITAZ NASCOSTO'!$P$8,IF(C234&lt;='SOLLECITAZ NASCOSTO'!$P$7,IF(C234&lt;='SOLLECITAZ NASCOSTO'!$P$6,IF(C234&lt;='SOLLECITAZ NASCOSTO'!$P$5,'Progetto del paramento slu'!$G$105,'Progetto del paramento slu'!$G$106),'Progetto del paramento slu'!$G$107),'Progetto del paramento slu'!$G$108),'Progetto del paramento slu'!$G$109),'Progetto del paramento slu'!$G$110),'Progetto del paramento slu'!$G$111),'Progetto del paramento slu'!$G$112),55555)-IF(C234&lt;='SOLLECITAZ NASCOSTO'!$P$12,IF(C234&lt;='SOLLECITAZ NASCOSTO'!$P$11,IF(C234&lt;='SOLLECITAZ NASCOSTO'!$P$10,IF(C234&lt;='SOLLECITAZ NASCOSTO'!$P$9,IF(C234&lt;='SOLLECITAZ NASCOSTO'!$P$8,IF(C234&lt;='SOLLECITAZ NASCOSTO'!$P$7,IF(C234&lt;='SOLLECITAZ NASCOSTO'!$P$6,IF(C234&lt;='SOLLECITAZ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slu'!$G$112))*(C234-IF(C234&lt;='SOLLECITAZ NASCOSTO'!$P$12,IF(C234&lt;='SOLLECITAZ NASCOSTO'!$P$11,IF(C234&lt;='SOLLECITAZ NASCOSTO'!$P$10,IF(C234&lt;='SOLLECITAZ NASCOSTO'!$P$9,IF(C234&lt;='SOLLECITAZ NASCOSTO'!$P$8,IF(C234&lt;='SOLLECITAZ NASCOSTO'!$P$7,IF(C234&lt;='SOLLECITAZ NASCOSTO'!$P$6,IF(C234&lt;='SOLLECITAZ NASCOSTO'!$P$5,'SOLLECITAZ NASCOSTO'!$P$3,'SOLLECITAZ NASCOSTO'!$P$5),'SOLLECITAZ NASCOSTO'!$P$5),'SOLLECITAZ NASCOSTO'!$P$7),'SOLLECITAZ NASCOSTO'!$P$8),'SOLLECITAZ NASCOSTO'!$P$9),'SOLLECITAZ NASCOSTO'!$P$10),'SOLLECITAZ NASCOSTO'!$P$11),'SOLLECITAZ NASCOSTO'!$P$12))/IF(C234&lt;='SOLLECITAZ NASCOSTO'!$P$12,IF(C234&lt;='SOLLECITAZ NASCOSTO'!$P$11,IF(C234&lt;='SOLLECITAZ NASCOSTO'!$P$10,IF(C234&lt;='SOLLECITAZ NASCOSTO'!$P$9,IF(C234&lt;='SOLLECITAZ NASCOSTO'!$P$8,IF(C234&lt;='SOLLECITAZ NASCOSTO'!$P$7,IF(C234&lt;='SOLLECITAZ NASCOSTO'!$P$6,IF(C234&lt;='SOLLECITAZ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slu'!$C$112)+IF(C234&lt;='SOLLECITAZ NASCOSTO'!$P$12,IF(C234&lt;='SOLLECITAZ NASCOSTO'!$P$11,IF(C234&lt;='SOLLECITAZ NASCOSTO'!$P$10,IF(C234&lt;='SOLLECITAZ NASCOSTO'!$P$9,IF(C234&lt;='SOLLECITAZ NASCOSTO'!$P$8,IF(C234&lt;='SOLLECITAZ NASCOSTO'!$P$7,IF(C234&lt;='SOLLECITAZ NASCOSTO'!$P$6,IF(C234&lt;='SOLLECITAZ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13.866790458042853</v>
      </c>
      <c r="O235" s="42">
        <f>IF(C235&lt;='SOLLECITAZ NASCOSTO'!$P$12,IF(C235&lt;='SOLLECITAZ NASCOSTO'!$P$11,IF(C235&lt;='SOLLECITAZ NASCOSTO'!$P$10,IF(C235&lt;='SOLLECITAZ NASCOSTO'!$P$9,IF(C235&lt;='SOLLECITAZ NASCOSTO'!$P$8,IF(C235&lt;='SOLLECITAZ NASCOSTO'!$P$7,IF(C235&lt;='SOLLECITAZ NASCOSTO'!$P$6,IF(C235&lt;='SOLLECITAZ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slu'!$G$111),55555)*(C235-C234)/IF(C235&lt;='SOLLECITAZ NASCOSTO'!$P$12,IF(C235&lt;='SOLLECITAZ NASCOSTO'!$P$11,IF(C235&lt;='SOLLECITAZ NASCOSTO'!$P$10,IF(C235&lt;='SOLLECITAZ NASCOSTO'!$P$9,IF(C235&lt;='SOLLECITAZ NASCOSTO'!$P$8,IF(C235&lt;='SOLLECITAZ NASCOSTO'!$P$7,IF(C235&lt;='SOLLECITAZ NASCOSTO'!$P$6,IF(C235&lt;='SOLLECITAZ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5" s="42">
        <f t="shared" si="75"/>
        <v>2.0199999999999954E-4</v>
      </c>
      <c r="Q235" s="42">
        <f t="shared" si="73"/>
        <v>1</v>
      </c>
      <c r="R235" s="441">
        <f t="shared" si="67"/>
        <v>1.3907451923076923</v>
      </c>
      <c r="S235" s="46">
        <f t="shared" si="74"/>
        <v>1.3907451923076923</v>
      </c>
      <c r="T235" s="211">
        <f t="shared" si="70"/>
        <v>1.9592548076923078</v>
      </c>
      <c r="U235" s="46">
        <f t="shared" si="71"/>
        <v>12.557737120310385</v>
      </c>
      <c r="V235" s="46">
        <f t="shared" si="72"/>
        <v>-7.1574704898212946</v>
      </c>
      <c r="W235" s="496"/>
      <c r="X235" s="497"/>
      <c r="Y235" s="497"/>
      <c r="Z235" s="498"/>
      <c r="AA235" s="47"/>
    </row>
    <row r="236" spans="1:27" s="428" customFormat="1" x14ac:dyDescent="0.25">
      <c r="A236" s="589">
        <f t="shared" si="68"/>
        <v>4.9038461537587175E-6</v>
      </c>
      <c r="B236" s="32">
        <f t="shared" si="58"/>
        <v>204</v>
      </c>
      <c r="C236" s="441">
        <f>'SOLLECITAZ NASCOSTO'!$D$6/'SOLLECITAZ NASCOSTO'!$B$448*'SOLLECITAZ NASCOSTO'!B236</f>
        <v>1.3975961538461539</v>
      </c>
      <c r="D236" s="441">
        <f t="shared" si="69"/>
        <v>0.30000490384615375</v>
      </c>
      <c r="E236" s="441">
        <f t="shared" si="63"/>
        <v>4.9038461537587175E-6</v>
      </c>
      <c r="F236" s="441">
        <f t="shared" si="64"/>
        <v>0.30000490384615375</v>
      </c>
      <c r="G236" s="441">
        <f t="shared" si="65"/>
        <v>4.5001471165869979E-2</v>
      </c>
      <c r="H236" s="441">
        <f t="shared" si="59"/>
        <v>0</v>
      </c>
      <c r="I236" s="441">
        <v>0</v>
      </c>
      <c r="J236" s="131">
        <f t="shared" si="60"/>
        <v>0.15000245192307687</v>
      </c>
      <c r="K236" s="130">
        <f t="shared" si="66"/>
        <v>2.2501103383420476E-3</v>
      </c>
      <c r="L236" s="42">
        <f t="shared" si="61"/>
        <v>12.653232596371959</v>
      </c>
      <c r="M236" s="42">
        <f t="shared" si="62"/>
        <v>-7.2438301817594493</v>
      </c>
      <c r="N236" s="42">
        <f>(IF(C235&lt;='SOLLECITAZ NASCOSTO'!$P$12,IF(C235&lt;='SOLLECITAZ NASCOSTO'!$P$11,IF(C235&lt;='SOLLECITAZ NASCOSTO'!$P$10,IF(C235&lt;='SOLLECITAZ NASCOSTO'!$P$9,IF(C235&lt;='SOLLECITAZ NASCOSTO'!$P$8,IF(C235&lt;='SOLLECITAZ NASCOSTO'!$P$7,IF(C235&lt;='SOLLECITAZ NASCOSTO'!$P$6,IF(C235&lt;='SOLLECITAZ NASCOSTO'!$P$5,'Progetto del paramento slu'!$G$105,'Progetto del paramento slu'!$G$106),'Progetto del paramento slu'!$G$107),'Progetto del paramento slu'!$G$108),'Progetto del paramento slu'!$G$109),'Progetto del paramento slu'!$G$110),'Progetto del paramento slu'!$G$111),'Progetto del paramento slu'!$G$112),55555)-IF(C235&lt;='SOLLECITAZ NASCOSTO'!$P$12,IF(C235&lt;='SOLLECITAZ NASCOSTO'!$P$11,IF(C235&lt;='SOLLECITAZ NASCOSTO'!$P$10,IF(C235&lt;='SOLLECITAZ NASCOSTO'!$P$9,IF(C235&lt;='SOLLECITAZ NASCOSTO'!$P$8,IF(C235&lt;='SOLLECITAZ NASCOSTO'!$P$7,IF(C235&lt;='SOLLECITAZ NASCOSTO'!$P$6,IF(C235&lt;='SOLLECITAZ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slu'!$G$112))*(C235-IF(C235&lt;='SOLLECITAZ NASCOSTO'!$P$12,IF(C235&lt;='SOLLECITAZ NASCOSTO'!$P$11,IF(C235&lt;='SOLLECITAZ NASCOSTO'!$P$10,IF(C235&lt;='SOLLECITAZ NASCOSTO'!$P$9,IF(C235&lt;='SOLLECITAZ NASCOSTO'!$P$8,IF(C235&lt;='SOLLECITAZ NASCOSTO'!$P$7,IF(C235&lt;='SOLLECITAZ NASCOSTO'!$P$6,IF(C235&lt;='SOLLECITAZ NASCOSTO'!$P$5,'SOLLECITAZ NASCOSTO'!$P$3,'SOLLECITAZ NASCOSTO'!$P$5),'SOLLECITAZ NASCOSTO'!$P$5),'SOLLECITAZ NASCOSTO'!$P$7),'SOLLECITAZ NASCOSTO'!$P$8),'SOLLECITAZ NASCOSTO'!$P$9),'SOLLECITAZ NASCOSTO'!$P$10),'SOLLECITAZ NASCOSTO'!$P$11),'SOLLECITAZ NASCOSTO'!$P$12))/IF(C235&lt;='SOLLECITAZ NASCOSTO'!$P$12,IF(C235&lt;='SOLLECITAZ NASCOSTO'!$P$11,IF(C235&lt;='SOLLECITAZ NASCOSTO'!$P$10,IF(C235&lt;='SOLLECITAZ NASCOSTO'!$P$9,IF(C235&lt;='SOLLECITAZ NASCOSTO'!$P$8,IF(C235&lt;='SOLLECITAZ NASCOSTO'!$P$7,IF(C235&lt;='SOLLECITAZ NASCOSTO'!$P$6,IF(C235&lt;='SOLLECITAZ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slu'!$C$112)+IF(C235&lt;='SOLLECITAZ NASCOSTO'!$P$12,IF(C235&lt;='SOLLECITAZ NASCOSTO'!$P$11,IF(C235&lt;='SOLLECITAZ NASCOSTO'!$P$10,IF(C235&lt;='SOLLECITAZ NASCOSTO'!$P$9,IF(C235&lt;='SOLLECITAZ NASCOSTO'!$P$8,IF(C235&lt;='SOLLECITAZ NASCOSTO'!$P$7,IF(C235&lt;='SOLLECITAZ NASCOSTO'!$P$6,IF(C235&lt;='SOLLECITAZ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13.914922677035207</v>
      </c>
      <c r="O236" s="42">
        <f>IF(C236&lt;='SOLLECITAZ NASCOSTO'!$P$12,IF(C236&lt;='SOLLECITAZ NASCOSTO'!$P$11,IF(C236&lt;='SOLLECITAZ NASCOSTO'!$P$10,IF(C236&lt;='SOLLECITAZ NASCOSTO'!$P$9,IF(C236&lt;='SOLLECITAZ NASCOSTO'!$P$8,IF(C236&lt;='SOLLECITAZ NASCOSTO'!$P$7,IF(C236&lt;='SOLLECITAZ NASCOSTO'!$P$6,IF(C236&lt;='SOLLECITAZ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slu'!$G$111),55555)*(C236-C235)/IF(C236&lt;='SOLLECITAZ NASCOSTO'!$P$12,IF(C236&lt;='SOLLECITAZ NASCOSTO'!$P$11,IF(C236&lt;='SOLLECITAZ NASCOSTO'!$P$10,IF(C236&lt;='SOLLECITAZ NASCOSTO'!$P$9,IF(C236&lt;='SOLLECITAZ NASCOSTO'!$P$8,IF(C236&lt;='SOLLECITAZ NASCOSTO'!$P$7,IF(C236&lt;='SOLLECITAZ NASCOSTO'!$P$6,IF(C236&lt;='SOLLECITAZ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6" s="42">
        <f t="shared" si="75"/>
        <v>2.0299999999999954E-4</v>
      </c>
      <c r="Q236" s="42">
        <f t="shared" si="73"/>
        <v>1</v>
      </c>
      <c r="R236" s="441">
        <f t="shared" si="67"/>
        <v>1.3975961538461539</v>
      </c>
      <c r="S236" s="46">
        <f t="shared" si="74"/>
        <v>1.3975961538461539</v>
      </c>
      <c r="T236" s="211">
        <f t="shared" si="70"/>
        <v>1.9524038461538462</v>
      </c>
      <c r="U236" s="46">
        <f t="shared" si="71"/>
        <v>12.653232596371959</v>
      </c>
      <c r="V236" s="46">
        <f t="shared" si="72"/>
        <v>-7.2438301817594493</v>
      </c>
      <c r="W236" s="496"/>
      <c r="X236" s="497"/>
      <c r="Y236" s="497"/>
      <c r="Z236" s="498"/>
      <c r="AA236" s="47"/>
    </row>
    <row r="237" spans="1:27" s="428" customFormat="1" x14ac:dyDescent="0.25">
      <c r="A237" s="589">
        <f t="shared" si="68"/>
        <v>4.9278846152578382E-6</v>
      </c>
      <c r="B237" s="32">
        <f t="shared" si="58"/>
        <v>205</v>
      </c>
      <c r="C237" s="441">
        <f>'SOLLECITAZ NASCOSTO'!$D$6/'SOLLECITAZ NASCOSTO'!$B$448*'SOLLECITAZ NASCOSTO'!B237</f>
        <v>1.4044471153846154</v>
      </c>
      <c r="D237" s="441">
        <f t="shared" si="69"/>
        <v>0.30000492788461525</v>
      </c>
      <c r="E237" s="441">
        <f t="shared" si="63"/>
        <v>4.9278846152578382E-6</v>
      </c>
      <c r="F237" s="441">
        <f t="shared" si="64"/>
        <v>0.30000492788461525</v>
      </c>
      <c r="G237" s="441">
        <f t="shared" si="65"/>
        <v>4.5001478377526598E-2</v>
      </c>
      <c r="H237" s="441">
        <f t="shared" si="59"/>
        <v>0</v>
      </c>
      <c r="I237" s="441">
        <v>0</v>
      </c>
      <c r="J237" s="131">
        <f t="shared" si="60"/>
        <v>0.15000246394230762</v>
      </c>
      <c r="K237" s="130">
        <f t="shared" si="66"/>
        <v>2.2501108792251567E-3</v>
      </c>
      <c r="L237" s="42">
        <f t="shared" si="61"/>
        <v>12.74905782441461</v>
      </c>
      <c r="M237" s="42">
        <f t="shared" si="62"/>
        <v>-7.3308452390902685</v>
      </c>
      <c r="N237" s="42">
        <f>(IF(C236&lt;='SOLLECITAZ NASCOSTO'!$P$12,IF(C236&lt;='SOLLECITAZ NASCOSTO'!$P$11,IF(C236&lt;='SOLLECITAZ NASCOSTO'!$P$10,IF(C236&lt;='SOLLECITAZ NASCOSTO'!$P$9,IF(C236&lt;='SOLLECITAZ NASCOSTO'!$P$8,IF(C236&lt;='SOLLECITAZ NASCOSTO'!$P$7,IF(C236&lt;='SOLLECITAZ NASCOSTO'!$P$6,IF(C236&lt;='SOLLECITAZ NASCOSTO'!$P$5,'Progetto del paramento slu'!$G$105,'Progetto del paramento slu'!$G$106),'Progetto del paramento slu'!$G$107),'Progetto del paramento slu'!$G$108),'Progetto del paramento slu'!$G$109),'Progetto del paramento slu'!$G$110),'Progetto del paramento slu'!$G$111),'Progetto del paramento slu'!$G$112),55555)-IF(C236&lt;='SOLLECITAZ NASCOSTO'!$P$12,IF(C236&lt;='SOLLECITAZ NASCOSTO'!$P$11,IF(C236&lt;='SOLLECITAZ NASCOSTO'!$P$10,IF(C236&lt;='SOLLECITAZ NASCOSTO'!$P$9,IF(C236&lt;='SOLLECITAZ NASCOSTO'!$P$8,IF(C236&lt;='SOLLECITAZ NASCOSTO'!$P$7,IF(C236&lt;='SOLLECITAZ NASCOSTO'!$P$6,IF(C236&lt;='SOLLECITAZ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slu'!$G$112))*(C236-IF(C236&lt;='SOLLECITAZ NASCOSTO'!$P$12,IF(C236&lt;='SOLLECITAZ NASCOSTO'!$P$11,IF(C236&lt;='SOLLECITAZ NASCOSTO'!$P$10,IF(C236&lt;='SOLLECITAZ NASCOSTO'!$P$9,IF(C236&lt;='SOLLECITAZ NASCOSTO'!$P$8,IF(C236&lt;='SOLLECITAZ NASCOSTO'!$P$7,IF(C236&lt;='SOLLECITAZ NASCOSTO'!$P$6,IF(C236&lt;='SOLLECITAZ NASCOSTO'!$P$5,'SOLLECITAZ NASCOSTO'!$P$3,'SOLLECITAZ NASCOSTO'!$P$5),'SOLLECITAZ NASCOSTO'!$P$5),'SOLLECITAZ NASCOSTO'!$P$7),'SOLLECITAZ NASCOSTO'!$P$8),'SOLLECITAZ NASCOSTO'!$P$9),'SOLLECITAZ NASCOSTO'!$P$10),'SOLLECITAZ NASCOSTO'!$P$11),'SOLLECITAZ NASCOSTO'!$P$12))/IF(C236&lt;='SOLLECITAZ NASCOSTO'!$P$12,IF(C236&lt;='SOLLECITAZ NASCOSTO'!$P$11,IF(C236&lt;='SOLLECITAZ NASCOSTO'!$P$10,IF(C236&lt;='SOLLECITAZ NASCOSTO'!$P$9,IF(C236&lt;='SOLLECITAZ NASCOSTO'!$P$8,IF(C236&lt;='SOLLECITAZ NASCOSTO'!$P$7,IF(C236&lt;='SOLLECITAZ NASCOSTO'!$P$6,IF(C236&lt;='SOLLECITAZ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slu'!$C$112)+IF(C236&lt;='SOLLECITAZ NASCOSTO'!$P$12,IF(C236&lt;='SOLLECITAZ NASCOSTO'!$P$11,IF(C236&lt;='SOLLECITAZ NASCOSTO'!$P$10,IF(C236&lt;='SOLLECITAZ NASCOSTO'!$P$9,IF(C236&lt;='SOLLECITAZ NASCOSTO'!$P$8,IF(C236&lt;='SOLLECITAZ NASCOSTO'!$P$7,IF(C236&lt;='SOLLECITAZ NASCOSTO'!$P$6,IF(C236&lt;='SOLLECITAZ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13.963054896027559</v>
      </c>
      <c r="O237" s="42">
        <f>IF(C237&lt;='SOLLECITAZ NASCOSTO'!$P$12,IF(C237&lt;='SOLLECITAZ NASCOSTO'!$P$11,IF(C237&lt;='SOLLECITAZ NASCOSTO'!$P$10,IF(C237&lt;='SOLLECITAZ NASCOSTO'!$P$9,IF(C237&lt;='SOLLECITAZ NASCOSTO'!$P$8,IF(C237&lt;='SOLLECITAZ NASCOSTO'!$P$7,IF(C237&lt;='SOLLECITAZ NASCOSTO'!$P$6,IF(C237&lt;='SOLLECITAZ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slu'!$G$111),55555)*(C237-C236)/IF(C237&lt;='SOLLECITAZ NASCOSTO'!$P$12,IF(C237&lt;='SOLLECITAZ NASCOSTO'!$P$11,IF(C237&lt;='SOLLECITAZ NASCOSTO'!$P$10,IF(C237&lt;='SOLLECITAZ NASCOSTO'!$P$9,IF(C237&lt;='SOLLECITAZ NASCOSTO'!$P$8,IF(C237&lt;='SOLLECITAZ NASCOSTO'!$P$7,IF(C237&lt;='SOLLECITAZ NASCOSTO'!$P$6,IF(C237&lt;='SOLLECITAZ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7" s="42">
        <f t="shared" si="75"/>
        <v>2.0399999999999954E-4</v>
      </c>
      <c r="Q237" s="42">
        <f t="shared" si="73"/>
        <v>1</v>
      </c>
      <c r="R237" s="441">
        <f t="shared" si="67"/>
        <v>1.4044471153846154</v>
      </c>
      <c r="S237" s="46">
        <f t="shared" si="74"/>
        <v>1.4044471153846154</v>
      </c>
      <c r="T237" s="211">
        <f t="shared" si="70"/>
        <v>1.9455528846153847</v>
      </c>
      <c r="U237" s="46">
        <f t="shared" si="71"/>
        <v>12.74905782441461</v>
      </c>
      <c r="V237" s="46">
        <f t="shared" si="72"/>
        <v>-7.3308452390902685</v>
      </c>
      <c r="W237" s="496"/>
      <c r="X237" s="497"/>
      <c r="Y237" s="497"/>
      <c r="Z237" s="498"/>
      <c r="AA237" s="47"/>
    </row>
    <row r="238" spans="1:27" s="428" customFormat="1" x14ac:dyDescent="0.25">
      <c r="A238" s="589">
        <f t="shared" si="68"/>
        <v>4.95192307681247E-6</v>
      </c>
      <c r="B238" s="32">
        <f t="shared" si="58"/>
        <v>206</v>
      </c>
      <c r="C238" s="441">
        <f>'SOLLECITAZ NASCOSTO'!$D$6/'SOLLECITAZ NASCOSTO'!$B$448*'SOLLECITAZ NASCOSTO'!B238</f>
        <v>1.411298076923077</v>
      </c>
      <c r="D238" s="441">
        <f t="shared" si="69"/>
        <v>0.3000049519230768</v>
      </c>
      <c r="E238" s="441">
        <f t="shared" si="63"/>
        <v>4.95192307681247E-6</v>
      </c>
      <c r="F238" s="441">
        <f t="shared" si="64"/>
        <v>0.3000049519230768</v>
      </c>
      <c r="G238" s="441">
        <f t="shared" si="65"/>
        <v>4.5001485589183814E-2</v>
      </c>
      <c r="H238" s="441">
        <f t="shared" si="59"/>
        <v>0</v>
      </c>
      <c r="I238" s="441">
        <v>0</v>
      </c>
      <c r="J238" s="131">
        <f t="shared" si="60"/>
        <v>0.1500024759615384</v>
      </c>
      <c r="K238" s="130">
        <f t="shared" si="66"/>
        <v>2.2501114201083539E-3</v>
      </c>
      <c r="L238" s="42">
        <f t="shared" si="61"/>
        <v>12.845212804438338</v>
      </c>
      <c r="M238" s="42">
        <f t="shared" si="62"/>
        <v>-7.4185179209318921</v>
      </c>
      <c r="N238" s="42">
        <f>(IF(C237&lt;='SOLLECITAZ NASCOSTO'!$P$12,IF(C237&lt;='SOLLECITAZ NASCOSTO'!$P$11,IF(C237&lt;='SOLLECITAZ NASCOSTO'!$P$10,IF(C237&lt;='SOLLECITAZ NASCOSTO'!$P$9,IF(C237&lt;='SOLLECITAZ NASCOSTO'!$P$8,IF(C237&lt;='SOLLECITAZ NASCOSTO'!$P$7,IF(C237&lt;='SOLLECITAZ NASCOSTO'!$P$6,IF(C237&lt;='SOLLECITAZ NASCOSTO'!$P$5,'Progetto del paramento slu'!$G$105,'Progetto del paramento slu'!$G$106),'Progetto del paramento slu'!$G$107),'Progetto del paramento slu'!$G$108),'Progetto del paramento slu'!$G$109),'Progetto del paramento slu'!$G$110),'Progetto del paramento slu'!$G$111),'Progetto del paramento slu'!$G$112),55555)-IF(C237&lt;='SOLLECITAZ NASCOSTO'!$P$12,IF(C237&lt;='SOLLECITAZ NASCOSTO'!$P$11,IF(C237&lt;='SOLLECITAZ NASCOSTO'!$P$10,IF(C237&lt;='SOLLECITAZ NASCOSTO'!$P$9,IF(C237&lt;='SOLLECITAZ NASCOSTO'!$P$8,IF(C237&lt;='SOLLECITAZ NASCOSTO'!$P$7,IF(C237&lt;='SOLLECITAZ NASCOSTO'!$P$6,IF(C237&lt;='SOLLECITAZ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slu'!$G$112))*(C237-IF(C237&lt;='SOLLECITAZ NASCOSTO'!$P$12,IF(C237&lt;='SOLLECITAZ NASCOSTO'!$P$11,IF(C237&lt;='SOLLECITAZ NASCOSTO'!$P$10,IF(C237&lt;='SOLLECITAZ NASCOSTO'!$P$9,IF(C237&lt;='SOLLECITAZ NASCOSTO'!$P$8,IF(C237&lt;='SOLLECITAZ NASCOSTO'!$P$7,IF(C237&lt;='SOLLECITAZ NASCOSTO'!$P$6,IF(C237&lt;='SOLLECITAZ NASCOSTO'!$P$5,'SOLLECITAZ NASCOSTO'!$P$3,'SOLLECITAZ NASCOSTO'!$P$5),'SOLLECITAZ NASCOSTO'!$P$5),'SOLLECITAZ NASCOSTO'!$P$7),'SOLLECITAZ NASCOSTO'!$P$8),'SOLLECITAZ NASCOSTO'!$P$9),'SOLLECITAZ NASCOSTO'!$P$10),'SOLLECITAZ NASCOSTO'!$P$11),'SOLLECITAZ NASCOSTO'!$P$12))/IF(C237&lt;='SOLLECITAZ NASCOSTO'!$P$12,IF(C237&lt;='SOLLECITAZ NASCOSTO'!$P$11,IF(C237&lt;='SOLLECITAZ NASCOSTO'!$P$10,IF(C237&lt;='SOLLECITAZ NASCOSTO'!$P$9,IF(C237&lt;='SOLLECITAZ NASCOSTO'!$P$8,IF(C237&lt;='SOLLECITAZ NASCOSTO'!$P$7,IF(C237&lt;='SOLLECITAZ NASCOSTO'!$P$6,IF(C237&lt;='SOLLECITAZ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slu'!$C$112)+IF(C237&lt;='SOLLECITAZ NASCOSTO'!$P$12,IF(C237&lt;='SOLLECITAZ NASCOSTO'!$P$11,IF(C237&lt;='SOLLECITAZ NASCOSTO'!$P$10,IF(C237&lt;='SOLLECITAZ NASCOSTO'!$P$9,IF(C237&lt;='SOLLECITAZ NASCOSTO'!$P$8,IF(C237&lt;='SOLLECITAZ NASCOSTO'!$P$7,IF(C237&lt;='SOLLECITAZ NASCOSTO'!$P$6,IF(C237&lt;='SOLLECITAZ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14.011187115019911</v>
      </c>
      <c r="O238" s="42">
        <f>IF(C238&lt;='SOLLECITAZ NASCOSTO'!$P$12,IF(C238&lt;='SOLLECITAZ NASCOSTO'!$P$11,IF(C238&lt;='SOLLECITAZ NASCOSTO'!$P$10,IF(C238&lt;='SOLLECITAZ NASCOSTO'!$P$9,IF(C238&lt;='SOLLECITAZ NASCOSTO'!$P$8,IF(C238&lt;='SOLLECITAZ NASCOSTO'!$P$7,IF(C238&lt;='SOLLECITAZ NASCOSTO'!$P$6,IF(C238&lt;='SOLLECITAZ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slu'!$G$111),55555)*(C238-C237)/IF(C238&lt;='SOLLECITAZ NASCOSTO'!$P$12,IF(C238&lt;='SOLLECITAZ NASCOSTO'!$P$11,IF(C238&lt;='SOLLECITAZ NASCOSTO'!$P$10,IF(C238&lt;='SOLLECITAZ NASCOSTO'!$P$9,IF(C238&lt;='SOLLECITAZ NASCOSTO'!$P$8,IF(C238&lt;='SOLLECITAZ NASCOSTO'!$P$7,IF(C238&lt;='SOLLECITAZ NASCOSTO'!$P$6,IF(C238&lt;='SOLLECITAZ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8" s="42">
        <f t="shared" si="75"/>
        <v>2.0499999999999953E-4</v>
      </c>
      <c r="Q238" s="42">
        <f t="shared" si="73"/>
        <v>1</v>
      </c>
      <c r="R238" s="441">
        <f t="shared" si="67"/>
        <v>1.411298076923077</v>
      </c>
      <c r="S238" s="46">
        <f t="shared" si="74"/>
        <v>1.411298076923077</v>
      </c>
      <c r="T238" s="211">
        <f t="shared" si="70"/>
        <v>1.9387019230769231</v>
      </c>
      <c r="U238" s="46">
        <f t="shared" si="71"/>
        <v>12.845212804438338</v>
      </c>
      <c r="V238" s="46">
        <f t="shared" si="72"/>
        <v>-7.4185179209318921</v>
      </c>
      <c r="W238" s="496"/>
      <c r="X238" s="497"/>
      <c r="Y238" s="497"/>
      <c r="Z238" s="498"/>
      <c r="AA238" s="47"/>
    </row>
    <row r="239" spans="1:27" s="428" customFormat="1" x14ac:dyDescent="0.25">
      <c r="A239" s="589">
        <f t="shared" si="68"/>
        <v>4.9759615383671019E-6</v>
      </c>
      <c r="B239" s="32">
        <f t="shared" si="58"/>
        <v>207</v>
      </c>
      <c r="C239" s="441">
        <f>'SOLLECITAZ NASCOSTO'!$D$6/'SOLLECITAZ NASCOSTO'!$B$448*'SOLLECITAZ NASCOSTO'!B239</f>
        <v>1.4181490384615385</v>
      </c>
      <c r="D239" s="441">
        <f t="shared" si="69"/>
        <v>0.30000497596153836</v>
      </c>
      <c r="E239" s="441">
        <f t="shared" si="63"/>
        <v>4.9759615383671019E-6</v>
      </c>
      <c r="F239" s="441">
        <f t="shared" si="64"/>
        <v>0.30000497596153836</v>
      </c>
      <c r="G239" s="441">
        <f t="shared" si="65"/>
        <v>4.5001492800841605E-2</v>
      </c>
      <c r="H239" s="441">
        <f t="shared" si="59"/>
        <v>0</v>
      </c>
      <c r="I239" s="441">
        <v>0</v>
      </c>
      <c r="J239" s="131">
        <f t="shared" si="60"/>
        <v>0.15000248798076918</v>
      </c>
      <c r="K239" s="130">
        <f t="shared" si="66"/>
        <v>2.2501119609916378E-3</v>
      </c>
      <c r="L239" s="42">
        <f t="shared" si="61"/>
        <v>12.941697536443144</v>
      </c>
      <c r="M239" s="42">
        <f t="shared" si="62"/>
        <v>-7.5068504864024597</v>
      </c>
      <c r="N239" s="42">
        <f>(IF(C238&lt;='SOLLECITAZ NASCOSTO'!$P$12,IF(C238&lt;='SOLLECITAZ NASCOSTO'!$P$11,IF(C238&lt;='SOLLECITAZ NASCOSTO'!$P$10,IF(C238&lt;='SOLLECITAZ NASCOSTO'!$P$9,IF(C238&lt;='SOLLECITAZ NASCOSTO'!$P$8,IF(C238&lt;='SOLLECITAZ NASCOSTO'!$P$7,IF(C238&lt;='SOLLECITAZ NASCOSTO'!$P$6,IF(C238&lt;='SOLLECITAZ NASCOSTO'!$P$5,'Progetto del paramento slu'!$G$105,'Progetto del paramento slu'!$G$106),'Progetto del paramento slu'!$G$107),'Progetto del paramento slu'!$G$108),'Progetto del paramento slu'!$G$109),'Progetto del paramento slu'!$G$110),'Progetto del paramento slu'!$G$111),'Progetto del paramento slu'!$G$112),55555)-IF(C238&lt;='SOLLECITAZ NASCOSTO'!$P$12,IF(C238&lt;='SOLLECITAZ NASCOSTO'!$P$11,IF(C238&lt;='SOLLECITAZ NASCOSTO'!$P$10,IF(C238&lt;='SOLLECITAZ NASCOSTO'!$P$9,IF(C238&lt;='SOLLECITAZ NASCOSTO'!$P$8,IF(C238&lt;='SOLLECITAZ NASCOSTO'!$P$7,IF(C238&lt;='SOLLECITAZ NASCOSTO'!$P$6,IF(C238&lt;='SOLLECITAZ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slu'!$G$112))*(C238-IF(C238&lt;='SOLLECITAZ NASCOSTO'!$P$12,IF(C238&lt;='SOLLECITAZ NASCOSTO'!$P$11,IF(C238&lt;='SOLLECITAZ NASCOSTO'!$P$10,IF(C238&lt;='SOLLECITAZ NASCOSTO'!$P$9,IF(C238&lt;='SOLLECITAZ NASCOSTO'!$P$8,IF(C238&lt;='SOLLECITAZ NASCOSTO'!$P$7,IF(C238&lt;='SOLLECITAZ NASCOSTO'!$P$6,IF(C238&lt;='SOLLECITAZ NASCOSTO'!$P$5,'SOLLECITAZ NASCOSTO'!$P$3,'SOLLECITAZ NASCOSTO'!$P$5),'SOLLECITAZ NASCOSTO'!$P$5),'SOLLECITAZ NASCOSTO'!$P$7),'SOLLECITAZ NASCOSTO'!$P$8),'SOLLECITAZ NASCOSTO'!$P$9),'SOLLECITAZ NASCOSTO'!$P$10),'SOLLECITAZ NASCOSTO'!$P$11),'SOLLECITAZ NASCOSTO'!$P$12))/IF(C238&lt;='SOLLECITAZ NASCOSTO'!$P$12,IF(C238&lt;='SOLLECITAZ NASCOSTO'!$P$11,IF(C238&lt;='SOLLECITAZ NASCOSTO'!$P$10,IF(C238&lt;='SOLLECITAZ NASCOSTO'!$P$9,IF(C238&lt;='SOLLECITAZ NASCOSTO'!$P$8,IF(C238&lt;='SOLLECITAZ NASCOSTO'!$P$7,IF(C238&lt;='SOLLECITAZ NASCOSTO'!$P$6,IF(C238&lt;='SOLLECITAZ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slu'!$C$112)+IF(C238&lt;='SOLLECITAZ NASCOSTO'!$P$12,IF(C238&lt;='SOLLECITAZ NASCOSTO'!$P$11,IF(C238&lt;='SOLLECITAZ NASCOSTO'!$P$10,IF(C238&lt;='SOLLECITAZ NASCOSTO'!$P$9,IF(C238&lt;='SOLLECITAZ NASCOSTO'!$P$8,IF(C238&lt;='SOLLECITAZ NASCOSTO'!$P$7,IF(C238&lt;='SOLLECITAZ NASCOSTO'!$P$6,IF(C238&lt;='SOLLECITAZ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14.059319334012264</v>
      </c>
      <c r="O239" s="42">
        <f>IF(C239&lt;='SOLLECITAZ NASCOSTO'!$P$12,IF(C239&lt;='SOLLECITAZ NASCOSTO'!$P$11,IF(C239&lt;='SOLLECITAZ NASCOSTO'!$P$10,IF(C239&lt;='SOLLECITAZ NASCOSTO'!$P$9,IF(C239&lt;='SOLLECITAZ NASCOSTO'!$P$8,IF(C239&lt;='SOLLECITAZ NASCOSTO'!$P$7,IF(C239&lt;='SOLLECITAZ NASCOSTO'!$P$6,IF(C239&lt;='SOLLECITAZ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slu'!$G$111),55555)*(C239-C238)/IF(C239&lt;='SOLLECITAZ NASCOSTO'!$P$12,IF(C239&lt;='SOLLECITAZ NASCOSTO'!$P$11,IF(C239&lt;='SOLLECITAZ NASCOSTO'!$P$10,IF(C239&lt;='SOLLECITAZ NASCOSTO'!$P$9,IF(C239&lt;='SOLLECITAZ NASCOSTO'!$P$8,IF(C239&lt;='SOLLECITAZ NASCOSTO'!$P$7,IF(C239&lt;='SOLLECITAZ NASCOSTO'!$P$6,IF(C239&lt;='SOLLECITAZ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39" s="42">
        <f t="shared" si="75"/>
        <v>2.0599999999999953E-4</v>
      </c>
      <c r="Q239" s="42">
        <f t="shared" si="73"/>
        <v>1</v>
      </c>
      <c r="R239" s="441">
        <f t="shared" si="67"/>
        <v>1.4181490384615385</v>
      </c>
      <c r="S239" s="46">
        <f t="shared" si="74"/>
        <v>1.4181490384615385</v>
      </c>
      <c r="T239" s="211">
        <f t="shared" si="70"/>
        <v>1.9318509615384616</v>
      </c>
      <c r="U239" s="46">
        <f t="shared" si="71"/>
        <v>12.941697536443144</v>
      </c>
      <c r="V239" s="46">
        <f t="shared" si="72"/>
        <v>-7.5068504864024597</v>
      </c>
      <c r="W239" s="496"/>
      <c r="X239" s="497"/>
      <c r="Y239" s="497"/>
      <c r="Z239" s="498"/>
      <c r="AA239" s="47"/>
    </row>
    <row r="240" spans="1:27" s="428" customFormat="1" x14ac:dyDescent="0.25">
      <c r="A240" s="589">
        <f t="shared" si="68"/>
        <v>4.9999999998662226E-6</v>
      </c>
      <c r="B240" s="32">
        <f t="shared" si="58"/>
        <v>208</v>
      </c>
      <c r="C240" s="441">
        <f>'SOLLECITAZ NASCOSTO'!$D$6/'SOLLECITAZ NASCOSTO'!$B$448*'SOLLECITAZ NASCOSTO'!B240</f>
        <v>1.425</v>
      </c>
      <c r="D240" s="441">
        <f t="shared" si="69"/>
        <v>0.30000499999999986</v>
      </c>
      <c r="E240" s="441">
        <f t="shared" si="63"/>
        <v>4.9999999998662226E-6</v>
      </c>
      <c r="F240" s="441">
        <f t="shared" si="64"/>
        <v>0.30000499999999986</v>
      </c>
      <c r="G240" s="441">
        <f t="shared" si="65"/>
        <v>4.5001500012499959E-2</v>
      </c>
      <c r="H240" s="441">
        <f t="shared" si="59"/>
        <v>0</v>
      </c>
      <c r="I240" s="441">
        <v>0</v>
      </c>
      <c r="J240" s="131">
        <f t="shared" si="60"/>
        <v>0.15000249999999993</v>
      </c>
      <c r="K240" s="130">
        <f t="shared" si="66"/>
        <v>2.2501125018750076E-3</v>
      </c>
      <c r="L240" s="42">
        <f t="shared" si="61"/>
        <v>13.038512020429026</v>
      </c>
      <c r="M240" s="42">
        <f t="shared" si="62"/>
        <v>-7.5958451946201109</v>
      </c>
      <c r="N240" s="42">
        <f>(IF(C239&lt;='SOLLECITAZ NASCOSTO'!$P$12,IF(C239&lt;='SOLLECITAZ NASCOSTO'!$P$11,IF(C239&lt;='SOLLECITAZ NASCOSTO'!$P$10,IF(C239&lt;='SOLLECITAZ NASCOSTO'!$P$9,IF(C239&lt;='SOLLECITAZ NASCOSTO'!$P$8,IF(C239&lt;='SOLLECITAZ NASCOSTO'!$P$7,IF(C239&lt;='SOLLECITAZ NASCOSTO'!$P$6,IF(C239&lt;='SOLLECITAZ NASCOSTO'!$P$5,'Progetto del paramento slu'!$G$105,'Progetto del paramento slu'!$G$106),'Progetto del paramento slu'!$G$107),'Progetto del paramento slu'!$G$108),'Progetto del paramento slu'!$G$109),'Progetto del paramento slu'!$G$110),'Progetto del paramento slu'!$G$111),'Progetto del paramento slu'!$G$112),55555)-IF(C239&lt;='SOLLECITAZ NASCOSTO'!$P$12,IF(C239&lt;='SOLLECITAZ NASCOSTO'!$P$11,IF(C239&lt;='SOLLECITAZ NASCOSTO'!$P$10,IF(C239&lt;='SOLLECITAZ NASCOSTO'!$P$9,IF(C239&lt;='SOLLECITAZ NASCOSTO'!$P$8,IF(C239&lt;='SOLLECITAZ NASCOSTO'!$P$7,IF(C239&lt;='SOLLECITAZ NASCOSTO'!$P$6,IF(C239&lt;='SOLLECITAZ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slu'!$G$112))*(C239-IF(C239&lt;='SOLLECITAZ NASCOSTO'!$P$12,IF(C239&lt;='SOLLECITAZ NASCOSTO'!$P$11,IF(C239&lt;='SOLLECITAZ NASCOSTO'!$P$10,IF(C239&lt;='SOLLECITAZ NASCOSTO'!$P$9,IF(C239&lt;='SOLLECITAZ NASCOSTO'!$P$8,IF(C239&lt;='SOLLECITAZ NASCOSTO'!$P$7,IF(C239&lt;='SOLLECITAZ NASCOSTO'!$P$6,IF(C239&lt;='SOLLECITAZ NASCOSTO'!$P$5,'SOLLECITAZ NASCOSTO'!$P$3,'SOLLECITAZ NASCOSTO'!$P$5),'SOLLECITAZ NASCOSTO'!$P$5),'SOLLECITAZ NASCOSTO'!$P$7),'SOLLECITAZ NASCOSTO'!$P$8),'SOLLECITAZ NASCOSTO'!$P$9),'SOLLECITAZ NASCOSTO'!$P$10),'SOLLECITAZ NASCOSTO'!$P$11),'SOLLECITAZ NASCOSTO'!$P$12))/IF(C239&lt;='SOLLECITAZ NASCOSTO'!$P$12,IF(C239&lt;='SOLLECITAZ NASCOSTO'!$P$11,IF(C239&lt;='SOLLECITAZ NASCOSTO'!$P$10,IF(C239&lt;='SOLLECITAZ NASCOSTO'!$P$9,IF(C239&lt;='SOLLECITAZ NASCOSTO'!$P$8,IF(C239&lt;='SOLLECITAZ NASCOSTO'!$P$7,IF(C239&lt;='SOLLECITAZ NASCOSTO'!$P$6,IF(C239&lt;='SOLLECITAZ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slu'!$C$112)+IF(C239&lt;='SOLLECITAZ NASCOSTO'!$P$12,IF(C239&lt;='SOLLECITAZ NASCOSTO'!$P$11,IF(C239&lt;='SOLLECITAZ NASCOSTO'!$P$10,IF(C239&lt;='SOLLECITAZ NASCOSTO'!$P$9,IF(C239&lt;='SOLLECITAZ NASCOSTO'!$P$8,IF(C239&lt;='SOLLECITAZ NASCOSTO'!$P$7,IF(C239&lt;='SOLLECITAZ NASCOSTO'!$P$6,IF(C239&lt;='SOLLECITAZ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14.107451553004616</v>
      </c>
      <c r="O240" s="42">
        <f>IF(C240&lt;='SOLLECITAZ NASCOSTO'!$P$12,IF(C240&lt;='SOLLECITAZ NASCOSTO'!$P$11,IF(C240&lt;='SOLLECITAZ NASCOSTO'!$P$10,IF(C240&lt;='SOLLECITAZ NASCOSTO'!$P$9,IF(C240&lt;='SOLLECITAZ NASCOSTO'!$P$8,IF(C240&lt;='SOLLECITAZ NASCOSTO'!$P$7,IF(C240&lt;='SOLLECITAZ NASCOSTO'!$P$6,IF(C240&lt;='SOLLECITAZ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slu'!$G$111),55555)*(C240-C239)/IF(C240&lt;='SOLLECITAZ NASCOSTO'!$P$12,IF(C240&lt;='SOLLECITAZ NASCOSTO'!$P$11,IF(C240&lt;='SOLLECITAZ NASCOSTO'!$P$10,IF(C240&lt;='SOLLECITAZ NASCOSTO'!$P$9,IF(C240&lt;='SOLLECITAZ NASCOSTO'!$P$8,IF(C240&lt;='SOLLECITAZ NASCOSTO'!$P$7,IF(C240&lt;='SOLLECITAZ NASCOSTO'!$P$6,IF(C240&lt;='SOLLECITAZ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0" s="42">
        <f t="shared" si="75"/>
        <v>2.0699999999999953E-4</v>
      </c>
      <c r="Q240" s="42">
        <f t="shared" si="73"/>
        <v>1</v>
      </c>
      <c r="R240" s="441">
        <f t="shared" si="67"/>
        <v>1.425</v>
      </c>
      <c r="S240" s="46">
        <f t="shared" si="74"/>
        <v>1.425</v>
      </c>
      <c r="T240" s="211">
        <f t="shared" si="70"/>
        <v>1.925</v>
      </c>
      <c r="U240" s="46">
        <f t="shared" si="71"/>
        <v>13.038512020429026</v>
      </c>
      <c r="V240" s="46">
        <f t="shared" si="72"/>
        <v>-7.5958451946201109</v>
      </c>
      <c r="W240" s="496"/>
      <c r="X240" s="497"/>
      <c r="Y240" s="497"/>
      <c r="Z240" s="498"/>
      <c r="AA240" s="47"/>
    </row>
    <row r="241" spans="1:27" s="428" customFormat="1" x14ac:dyDescent="0.25">
      <c r="A241" s="589">
        <f t="shared" si="68"/>
        <v>5.0240384614208544E-6</v>
      </c>
      <c r="B241" s="32">
        <f t="shared" si="58"/>
        <v>209</v>
      </c>
      <c r="C241" s="441">
        <f>'SOLLECITAZ NASCOSTO'!$D$6/'SOLLECITAZ NASCOSTO'!$B$448*'SOLLECITAZ NASCOSTO'!B241</f>
        <v>1.4318509615384616</v>
      </c>
      <c r="D241" s="441">
        <f t="shared" si="69"/>
        <v>0.30000502403846141</v>
      </c>
      <c r="E241" s="441">
        <f t="shared" si="63"/>
        <v>5.0240384614208544E-6</v>
      </c>
      <c r="F241" s="441">
        <f t="shared" si="64"/>
        <v>0.30000502403846141</v>
      </c>
      <c r="G241" s="441">
        <f t="shared" si="65"/>
        <v>4.5001507224158903E-2</v>
      </c>
      <c r="H241" s="441">
        <f t="shared" si="59"/>
        <v>0</v>
      </c>
      <c r="I241" s="441">
        <v>0</v>
      </c>
      <c r="J241" s="131">
        <f t="shared" si="60"/>
        <v>0.1500025120192307</v>
      </c>
      <c r="K241" s="130">
        <f t="shared" si="66"/>
        <v>2.2501130427584645E-3</v>
      </c>
      <c r="L241" s="42">
        <f t="shared" si="61"/>
        <v>13.135656256395986</v>
      </c>
      <c r="M241" s="42">
        <f t="shared" si="62"/>
        <v>-7.6855043047029854</v>
      </c>
      <c r="N241" s="42">
        <f>(IF(C240&lt;='SOLLECITAZ NASCOSTO'!$P$12,IF(C240&lt;='SOLLECITAZ NASCOSTO'!$P$11,IF(C240&lt;='SOLLECITAZ NASCOSTO'!$P$10,IF(C240&lt;='SOLLECITAZ NASCOSTO'!$P$9,IF(C240&lt;='SOLLECITAZ NASCOSTO'!$P$8,IF(C240&lt;='SOLLECITAZ NASCOSTO'!$P$7,IF(C240&lt;='SOLLECITAZ NASCOSTO'!$P$6,IF(C240&lt;='SOLLECITAZ NASCOSTO'!$P$5,'Progetto del paramento slu'!$G$105,'Progetto del paramento slu'!$G$106),'Progetto del paramento slu'!$G$107),'Progetto del paramento slu'!$G$108),'Progetto del paramento slu'!$G$109),'Progetto del paramento slu'!$G$110),'Progetto del paramento slu'!$G$111),'Progetto del paramento slu'!$G$112),55555)-IF(C240&lt;='SOLLECITAZ NASCOSTO'!$P$12,IF(C240&lt;='SOLLECITAZ NASCOSTO'!$P$11,IF(C240&lt;='SOLLECITAZ NASCOSTO'!$P$10,IF(C240&lt;='SOLLECITAZ NASCOSTO'!$P$9,IF(C240&lt;='SOLLECITAZ NASCOSTO'!$P$8,IF(C240&lt;='SOLLECITAZ NASCOSTO'!$P$7,IF(C240&lt;='SOLLECITAZ NASCOSTO'!$P$6,IF(C240&lt;='SOLLECITAZ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slu'!$G$112))*(C240-IF(C240&lt;='SOLLECITAZ NASCOSTO'!$P$12,IF(C240&lt;='SOLLECITAZ NASCOSTO'!$P$11,IF(C240&lt;='SOLLECITAZ NASCOSTO'!$P$10,IF(C240&lt;='SOLLECITAZ NASCOSTO'!$P$9,IF(C240&lt;='SOLLECITAZ NASCOSTO'!$P$8,IF(C240&lt;='SOLLECITAZ NASCOSTO'!$P$7,IF(C240&lt;='SOLLECITAZ NASCOSTO'!$P$6,IF(C240&lt;='SOLLECITAZ NASCOSTO'!$P$5,'SOLLECITAZ NASCOSTO'!$P$3,'SOLLECITAZ NASCOSTO'!$P$5),'SOLLECITAZ NASCOSTO'!$P$5),'SOLLECITAZ NASCOSTO'!$P$7),'SOLLECITAZ NASCOSTO'!$P$8),'SOLLECITAZ NASCOSTO'!$P$9),'SOLLECITAZ NASCOSTO'!$P$10),'SOLLECITAZ NASCOSTO'!$P$11),'SOLLECITAZ NASCOSTO'!$P$12))/IF(C240&lt;='SOLLECITAZ NASCOSTO'!$P$12,IF(C240&lt;='SOLLECITAZ NASCOSTO'!$P$11,IF(C240&lt;='SOLLECITAZ NASCOSTO'!$P$10,IF(C240&lt;='SOLLECITAZ NASCOSTO'!$P$9,IF(C240&lt;='SOLLECITAZ NASCOSTO'!$P$8,IF(C240&lt;='SOLLECITAZ NASCOSTO'!$P$7,IF(C240&lt;='SOLLECITAZ NASCOSTO'!$P$6,IF(C240&lt;='SOLLECITAZ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slu'!$C$112)+IF(C240&lt;='SOLLECITAZ NASCOSTO'!$P$12,IF(C240&lt;='SOLLECITAZ NASCOSTO'!$P$11,IF(C240&lt;='SOLLECITAZ NASCOSTO'!$P$10,IF(C240&lt;='SOLLECITAZ NASCOSTO'!$P$9,IF(C240&lt;='SOLLECITAZ NASCOSTO'!$P$8,IF(C240&lt;='SOLLECITAZ NASCOSTO'!$P$7,IF(C240&lt;='SOLLECITAZ NASCOSTO'!$P$6,IF(C240&lt;='SOLLECITAZ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14.155583771996969</v>
      </c>
      <c r="O241" s="42">
        <f>IF(C241&lt;='SOLLECITAZ NASCOSTO'!$P$12,IF(C241&lt;='SOLLECITAZ NASCOSTO'!$P$11,IF(C241&lt;='SOLLECITAZ NASCOSTO'!$P$10,IF(C241&lt;='SOLLECITAZ NASCOSTO'!$P$9,IF(C241&lt;='SOLLECITAZ NASCOSTO'!$P$8,IF(C241&lt;='SOLLECITAZ NASCOSTO'!$P$7,IF(C241&lt;='SOLLECITAZ NASCOSTO'!$P$6,IF(C241&lt;='SOLLECITAZ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slu'!$G$111),55555)*(C241-C240)/IF(C241&lt;='SOLLECITAZ NASCOSTO'!$P$12,IF(C241&lt;='SOLLECITAZ NASCOSTO'!$P$11,IF(C241&lt;='SOLLECITAZ NASCOSTO'!$P$10,IF(C241&lt;='SOLLECITAZ NASCOSTO'!$P$9,IF(C241&lt;='SOLLECITAZ NASCOSTO'!$P$8,IF(C241&lt;='SOLLECITAZ NASCOSTO'!$P$7,IF(C241&lt;='SOLLECITAZ NASCOSTO'!$P$6,IF(C241&lt;='SOLLECITAZ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1" s="42">
        <f t="shared" si="75"/>
        <v>2.0799999999999953E-4</v>
      </c>
      <c r="Q241" s="42">
        <f t="shared" si="73"/>
        <v>1</v>
      </c>
      <c r="R241" s="441">
        <f t="shared" si="67"/>
        <v>1.4318509615384616</v>
      </c>
      <c r="S241" s="46">
        <f t="shared" si="74"/>
        <v>1.4318509615384616</v>
      </c>
      <c r="T241" s="211">
        <f t="shared" si="70"/>
        <v>1.9181490384615385</v>
      </c>
      <c r="U241" s="46">
        <f t="shared" si="71"/>
        <v>13.135656256395986</v>
      </c>
      <c r="V241" s="46">
        <f t="shared" si="72"/>
        <v>-7.6855043047029854</v>
      </c>
      <c r="W241" s="496"/>
      <c r="X241" s="497"/>
      <c r="Y241" s="497"/>
      <c r="Z241" s="498"/>
      <c r="AA241" s="47"/>
    </row>
    <row r="242" spans="1:27" s="428" customFormat="1" x14ac:dyDescent="0.25">
      <c r="A242" s="589">
        <f t="shared" si="68"/>
        <v>5.0480769229754863E-6</v>
      </c>
      <c r="B242" s="32">
        <f t="shared" si="58"/>
        <v>210</v>
      </c>
      <c r="C242" s="441">
        <f>'SOLLECITAZ NASCOSTO'!$D$6/'SOLLECITAZ NASCOSTO'!$B$448*'SOLLECITAZ NASCOSTO'!B242</f>
        <v>1.4387019230769231</v>
      </c>
      <c r="D242" s="441">
        <f t="shared" si="69"/>
        <v>0.30000504807692296</v>
      </c>
      <c r="E242" s="441">
        <f t="shared" si="63"/>
        <v>5.0480769229754863E-6</v>
      </c>
      <c r="F242" s="441">
        <f t="shared" si="64"/>
        <v>0.30000504807692296</v>
      </c>
      <c r="G242" s="441">
        <f t="shared" si="65"/>
        <v>4.5001514435818429E-2</v>
      </c>
      <c r="H242" s="441">
        <f t="shared" si="59"/>
        <v>0</v>
      </c>
      <c r="I242" s="441">
        <v>0</v>
      </c>
      <c r="J242" s="131">
        <f t="shared" si="60"/>
        <v>0.15000252403846148</v>
      </c>
      <c r="K242" s="130">
        <f t="shared" si="66"/>
        <v>2.2501135836420086E-3</v>
      </c>
      <c r="L242" s="42">
        <f t="shared" si="61"/>
        <v>13.233130244344023</v>
      </c>
      <c r="M242" s="42">
        <f t="shared" si="62"/>
        <v>-7.775830075769222</v>
      </c>
      <c r="N242" s="42">
        <f>(IF(C241&lt;='SOLLECITAZ NASCOSTO'!$P$12,IF(C241&lt;='SOLLECITAZ NASCOSTO'!$P$11,IF(C241&lt;='SOLLECITAZ NASCOSTO'!$P$10,IF(C241&lt;='SOLLECITAZ NASCOSTO'!$P$9,IF(C241&lt;='SOLLECITAZ NASCOSTO'!$P$8,IF(C241&lt;='SOLLECITAZ NASCOSTO'!$P$7,IF(C241&lt;='SOLLECITAZ NASCOSTO'!$P$6,IF(C241&lt;='SOLLECITAZ NASCOSTO'!$P$5,'Progetto del paramento slu'!$G$105,'Progetto del paramento slu'!$G$106),'Progetto del paramento slu'!$G$107),'Progetto del paramento slu'!$G$108),'Progetto del paramento slu'!$G$109),'Progetto del paramento slu'!$G$110),'Progetto del paramento slu'!$G$111),'Progetto del paramento slu'!$G$112),55555)-IF(C241&lt;='SOLLECITAZ NASCOSTO'!$P$12,IF(C241&lt;='SOLLECITAZ NASCOSTO'!$P$11,IF(C241&lt;='SOLLECITAZ NASCOSTO'!$P$10,IF(C241&lt;='SOLLECITAZ NASCOSTO'!$P$9,IF(C241&lt;='SOLLECITAZ NASCOSTO'!$P$8,IF(C241&lt;='SOLLECITAZ NASCOSTO'!$P$7,IF(C241&lt;='SOLLECITAZ NASCOSTO'!$P$6,IF(C241&lt;='SOLLECITAZ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slu'!$G$112))*(C241-IF(C241&lt;='SOLLECITAZ NASCOSTO'!$P$12,IF(C241&lt;='SOLLECITAZ NASCOSTO'!$P$11,IF(C241&lt;='SOLLECITAZ NASCOSTO'!$P$10,IF(C241&lt;='SOLLECITAZ NASCOSTO'!$P$9,IF(C241&lt;='SOLLECITAZ NASCOSTO'!$P$8,IF(C241&lt;='SOLLECITAZ NASCOSTO'!$P$7,IF(C241&lt;='SOLLECITAZ NASCOSTO'!$P$6,IF(C241&lt;='SOLLECITAZ NASCOSTO'!$P$5,'SOLLECITAZ NASCOSTO'!$P$3,'SOLLECITAZ NASCOSTO'!$P$5),'SOLLECITAZ NASCOSTO'!$P$5),'SOLLECITAZ NASCOSTO'!$P$7),'SOLLECITAZ NASCOSTO'!$P$8),'SOLLECITAZ NASCOSTO'!$P$9),'SOLLECITAZ NASCOSTO'!$P$10),'SOLLECITAZ NASCOSTO'!$P$11),'SOLLECITAZ NASCOSTO'!$P$12))/IF(C241&lt;='SOLLECITAZ NASCOSTO'!$P$12,IF(C241&lt;='SOLLECITAZ NASCOSTO'!$P$11,IF(C241&lt;='SOLLECITAZ NASCOSTO'!$P$10,IF(C241&lt;='SOLLECITAZ NASCOSTO'!$P$9,IF(C241&lt;='SOLLECITAZ NASCOSTO'!$P$8,IF(C241&lt;='SOLLECITAZ NASCOSTO'!$P$7,IF(C241&lt;='SOLLECITAZ NASCOSTO'!$P$6,IF(C241&lt;='SOLLECITAZ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slu'!$C$112)+IF(C241&lt;='SOLLECITAZ NASCOSTO'!$P$12,IF(C241&lt;='SOLLECITAZ NASCOSTO'!$P$11,IF(C241&lt;='SOLLECITAZ NASCOSTO'!$P$10,IF(C241&lt;='SOLLECITAZ NASCOSTO'!$P$9,IF(C241&lt;='SOLLECITAZ NASCOSTO'!$P$8,IF(C241&lt;='SOLLECITAZ NASCOSTO'!$P$7,IF(C241&lt;='SOLLECITAZ NASCOSTO'!$P$6,IF(C241&lt;='SOLLECITAZ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14.203715990989322</v>
      </c>
      <c r="O242" s="42">
        <f>IF(C242&lt;='SOLLECITAZ NASCOSTO'!$P$12,IF(C242&lt;='SOLLECITAZ NASCOSTO'!$P$11,IF(C242&lt;='SOLLECITAZ NASCOSTO'!$P$10,IF(C242&lt;='SOLLECITAZ NASCOSTO'!$P$9,IF(C242&lt;='SOLLECITAZ NASCOSTO'!$P$8,IF(C242&lt;='SOLLECITAZ NASCOSTO'!$P$7,IF(C242&lt;='SOLLECITAZ NASCOSTO'!$P$6,IF(C242&lt;='SOLLECITAZ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slu'!$G$111),55555)*(C242-C241)/IF(C242&lt;='SOLLECITAZ NASCOSTO'!$P$12,IF(C242&lt;='SOLLECITAZ NASCOSTO'!$P$11,IF(C242&lt;='SOLLECITAZ NASCOSTO'!$P$10,IF(C242&lt;='SOLLECITAZ NASCOSTO'!$P$9,IF(C242&lt;='SOLLECITAZ NASCOSTO'!$P$8,IF(C242&lt;='SOLLECITAZ NASCOSTO'!$P$7,IF(C242&lt;='SOLLECITAZ NASCOSTO'!$P$6,IF(C242&lt;='SOLLECITAZ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2" s="42">
        <f t="shared" si="75"/>
        <v>2.0899999999999952E-4</v>
      </c>
      <c r="Q242" s="42">
        <f t="shared" si="73"/>
        <v>1</v>
      </c>
      <c r="R242" s="441">
        <f t="shared" si="67"/>
        <v>1.4387019230769231</v>
      </c>
      <c r="S242" s="46">
        <f t="shared" si="74"/>
        <v>1.4387019230769231</v>
      </c>
      <c r="T242" s="211">
        <f t="shared" si="70"/>
        <v>1.911298076923077</v>
      </c>
      <c r="U242" s="46">
        <f t="shared" si="71"/>
        <v>13.233130244344023</v>
      </c>
      <c r="V242" s="46">
        <f t="shared" si="72"/>
        <v>-7.775830075769222</v>
      </c>
      <c r="W242" s="496"/>
      <c r="X242" s="497"/>
      <c r="Y242" s="497"/>
      <c r="Z242" s="498"/>
      <c r="AA242" s="47"/>
    </row>
    <row r="243" spans="1:27" s="428" customFormat="1" x14ac:dyDescent="0.25">
      <c r="A243" s="589">
        <f t="shared" si="68"/>
        <v>5.0721153845301181E-6</v>
      </c>
      <c r="B243" s="32">
        <f t="shared" si="58"/>
        <v>211</v>
      </c>
      <c r="C243" s="441">
        <f>'SOLLECITAZ NASCOSTO'!$D$6/'SOLLECITAZ NASCOSTO'!$B$448*'SOLLECITAZ NASCOSTO'!B243</f>
        <v>1.4455528846153847</v>
      </c>
      <c r="D243" s="441">
        <f t="shared" si="69"/>
        <v>0.30000507211538452</v>
      </c>
      <c r="E243" s="441">
        <f t="shared" si="63"/>
        <v>5.0721153845301181E-6</v>
      </c>
      <c r="F243" s="441">
        <f t="shared" si="64"/>
        <v>0.30000507211538452</v>
      </c>
      <c r="G243" s="441">
        <f t="shared" si="65"/>
        <v>4.5001521647478532E-2</v>
      </c>
      <c r="H243" s="441">
        <f t="shared" si="59"/>
        <v>0</v>
      </c>
      <c r="I243" s="441">
        <v>0</v>
      </c>
      <c r="J243" s="131">
        <f t="shared" si="60"/>
        <v>0.15000253605769226</v>
      </c>
      <c r="K243" s="130">
        <f t="shared" si="66"/>
        <v>2.250114124525639E-3</v>
      </c>
      <c r="L243" s="42">
        <f t="shared" si="61"/>
        <v>13.330933984273138</v>
      </c>
      <c r="M243" s="42">
        <f t="shared" si="62"/>
        <v>-7.8668247669369613</v>
      </c>
      <c r="N243" s="42">
        <f>(IF(C242&lt;='SOLLECITAZ NASCOSTO'!$P$12,IF(C242&lt;='SOLLECITAZ NASCOSTO'!$P$11,IF(C242&lt;='SOLLECITAZ NASCOSTO'!$P$10,IF(C242&lt;='SOLLECITAZ NASCOSTO'!$P$9,IF(C242&lt;='SOLLECITAZ NASCOSTO'!$P$8,IF(C242&lt;='SOLLECITAZ NASCOSTO'!$P$7,IF(C242&lt;='SOLLECITAZ NASCOSTO'!$P$6,IF(C242&lt;='SOLLECITAZ NASCOSTO'!$P$5,'Progetto del paramento slu'!$G$105,'Progetto del paramento slu'!$G$106),'Progetto del paramento slu'!$G$107),'Progetto del paramento slu'!$G$108),'Progetto del paramento slu'!$G$109),'Progetto del paramento slu'!$G$110),'Progetto del paramento slu'!$G$111),'Progetto del paramento slu'!$G$112),55555)-IF(C242&lt;='SOLLECITAZ NASCOSTO'!$P$12,IF(C242&lt;='SOLLECITAZ NASCOSTO'!$P$11,IF(C242&lt;='SOLLECITAZ NASCOSTO'!$P$10,IF(C242&lt;='SOLLECITAZ NASCOSTO'!$P$9,IF(C242&lt;='SOLLECITAZ NASCOSTO'!$P$8,IF(C242&lt;='SOLLECITAZ NASCOSTO'!$P$7,IF(C242&lt;='SOLLECITAZ NASCOSTO'!$P$6,IF(C242&lt;='SOLLECITAZ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slu'!$G$112))*(C242-IF(C242&lt;='SOLLECITAZ NASCOSTO'!$P$12,IF(C242&lt;='SOLLECITAZ NASCOSTO'!$P$11,IF(C242&lt;='SOLLECITAZ NASCOSTO'!$P$10,IF(C242&lt;='SOLLECITAZ NASCOSTO'!$P$9,IF(C242&lt;='SOLLECITAZ NASCOSTO'!$P$8,IF(C242&lt;='SOLLECITAZ NASCOSTO'!$P$7,IF(C242&lt;='SOLLECITAZ NASCOSTO'!$P$6,IF(C242&lt;='SOLLECITAZ NASCOSTO'!$P$5,'SOLLECITAZ NASCOSTO'!$P$3,'SOLLECITAZ NASCOSTO'!$P$5),'SOLLECITAZ NASCOSTO'!$P$5),'SOLLECITAZ NASCOSTO'!$P$7),'SOLLECITAZ NASCOSTO'!$P$8),'SOLLECITAZ NASCOSTO'!$P$9),'SOLLECITAZ NASCOSTO'!$P$10),'SOLLECITAZ NASCOSTO'!$P$11),'SOLLECITAZ NASCOSTO'!$P$12))/IF(C242&lt;='SOLLECITAZ NASCOSTO'!$P$12,IF(C242&lt;='SOLLECITAZ NASCOSTO'!$P$11,IF(C242&lt;='SOLLECITAZ NASCOSTO'!$P$10,IF(C242&lt;='SOLLECITAZ NASCOSTO'!$P$9,IF(C242&lt;='SOLLECITAZ NASCOSTO'!$P$8,IF(C242&lt;='SOLLECITAZ NASCOSTO'!$P$7,IF(C242&lt;='SOLLECITAZ NASCOSTO'!$P$6,IF(C242&lt;='SOLLECITAZ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slu'!$C$112)+IF(C242&lt;='SOLLECITAZ NASCOSTO'!$P$12,IF(C242&lt;='SOLLECITAZ NASCOSTO'!$P$11,IF(C242&lt;='SOLLECITAZ NASCOSTO'!$P$10,IF(C242&lt;='SOLLECITAZ NASCOSTO'!$P$9,IF(C242&lt;='SOLLECITAZ NASCOSTO'!$P$8,IF(C242&lt;='SOLLECITAZ NASCOSTO'!$P$7,IF(C242&lt;='SOLLECITAZ NASCOSTO'!$P$6,IF(C242&lt;='SOLLECITAZ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14.251848209981674</v>
      </c>
      <c r="O243" s="42">
        <f>IF(C243&lt;='SOLLECITAZ NASCOSTO'!$P$12,IF(C243&lt;='SOLLECITAZ NASCOSTO'!$P$11,IF(C243&lt;='SOLLECITAZ NASCOSTO'!$P$10,IF(C243&lt;='SOLLECITAZ NASCOSTO'!$P$9,IF(C243&lt;='SOLLECITAZ NASCOSTO'!$P$8,IF(C243&lt;='SOLLECITAZ NASCOSTO'!$P$7,IF(C243&lt;='SOLLECITAZ NASCOSTO'!$P$6,IF(C243&lt;='SOLLECITAZ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slu'!$G$111),55555)*(C243-C242)/IF(C243&lt;='SOLLECITAZ NASCOSTO'!$P$12,IF(C243&lt;='SOLLECITAZ NASCOSTO'!$P$11,IF(C243&lt;='SOLLECITAZ NASCOSTO'!$P$10,IF(C243&lt;='SOLLECITAZ NASCOSTO'!$P$9,IF(C243&lt;='SOLLECITAZ NASCOSTO'!$P$8,IF(C243&lt;='SOLLECITAZ NASCOSTO'!$P$7,IF(C243&lt;='SOLLECITAZ NASCOSTO'!$P$6,IF(C243&lt;='SOLLECITAZ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3" s="42">
        <f t="shared" si="75"/>
        <v>2.0999999999999952E-4</v>
      </c>
      <c r="Q243" s="42">
        <f t="shared" si="73"/>
        <v>1</v>
      </c>
      <c r="R243" s="441">
        <f t="shared" si="67"/>
        <v>1.4455528846153847</v>
      </c>
      <c r="S243" s="46">
        <f t="shared" si="74"/>
        <v>1.4455528846153847</v>
      </c>
      <c r="T243" s="211">
        <f t="shared" si="70"/>
        <v>1.9044471153846154</v>
      </c>
      <c r="U243" s="46">
        <f t="shared" si="71"/>
        <v>13.330933984273138</v>
      </c>
      <c r="V243" s="46">
        <f t="shared" si="72"/>
        <v>-7.8668247669369613</v>
      </c>
      <c r="W243" s="496"/>
      <c r="X243" s="497"/>
      <c r="Y243" s="497"/>
      <c r="Z243" s="498"/>
      <c r="AA243" s="47"/>
    </row>
    <row r="244" spans="1:27" s="428" customFormat="1" x14ac:dyDescent="0.25">
      <c r="A244" s="589">
        <f t="shared" si="68"/>
        <v>5.0961538460292388E-6</v>
      </c>
      <c r="B244" s="32">
        <f t="shared" si="58"/>
        <v>212</v>
      </c>
      <c r="C244" s="441">
        <f>'SOLLECITAZ NASCOSTO'!$D$6/'SOLLECITAZ NASCOSTO'!$B$448*'SOLLECITAZ NASCOSTO'!B244</f>
        <v>1.4524038461538462</v>
      </c>
      <c r="D244" s="441">
        <f t="shared" si="69"/>
        <v>0.30000509615384602</v>
      </c>
      <c r="E244" s="441">
        <f t="shared" si="63"/>
        <v>5.0961538460292388E-6</v>
      </c>
      <c r="F244" s="441">
        <f t="shared" si="64"/>
        <v>0.30000509615384602</v>
      </c>
      <c r="G244" s="441">
        <f t="shared" si="65"/>
        <v>4.5001528859139196E-2</v>
      </c>
      <c r="H244" s="441">
        <f t="shared" si="59"/>
        <v>0</v>
      </c>
      <c r="I244" s="441">
        <v>0</v>
      </c>
      <c r="J244" s="131">
        <f t="shared" si="60"/>
        <v>0.15000254807692301</v>
      </c>
      <c r="K244" s="130">
        <f t="shared" si="66"/>
        <v>2.2501146654093549E-3</v>
      </c>
      <c r="L244" s="42">
        <f t="shared" si="61"/>
        <v>13.429067476183331</v>
      </c>
      <c r="M244" s="42">
        <f t="shared" si="62"/>
        <v>-7.958490637324342</v>
      </c>
      <c r="N244" s="42">
        <f>(IF(C243&lt;='SOLLECITAZ NASCOSTO'!$P$12,IF(C243&lt;='SOLLECITAZ NASCOSTO'!$P$11,IF(C243&lt;='SOLLECITAZ NASCOSTO'!$P$10,IF(C243&lt;='SOLLECITAZ NASCOSTO'!$P$9,IF(C243&lt;='SOLLECITAZ NASCOSTO'!$P$8,IF(C243&lt;='SOLLECITAZ NASCOSTO'!$P$7,IF(C243&lt;='SOLLECITAZ NASCOSTO'!$P$6,IF(C243&lt;='SOLLECITAZ NASCOSTO'!$P$5,'Progetto del paramento slu'!$G$105,'Progetto del paramento slu'!$G$106),'Progetto del paramento slu'!$G$107),'Progetto del paramento slu'!$G$108),'Progetto del paramento slu'!$G$109),'Progetto del paramento slu'!$G$110),'Progetto del paramento slu'!$G$111),'Progetto del paramento slu'!$G$112),55555)-IF(C243&lt;='SOLLECITAZ NASCOSTO'!$P$12,IF(C243&lt;='SOLLECITAZ NASCOSTO'!$P$11,IF(C243&lt;='SOLLECITAZ NASCOSTO'!$P$10,IF(C243&lt;='SOLLECITAZ NASCOSTO'!$P$9,IF(C243&lt;='SOLLECITAZ NASCOSTO'!$P$8,IF(C243&lt;='SOLLECITAZ NASCOSTO'!$P$7,IF(C243&lt;='SOLLECITAZ NASCOSTO'!$P$6,IF(C243&lt;='SOLLECITAZ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slu'!$G$112))*(C243-IF(C243&lt;='SOLLECITAZ NASCOSTO'!$P$12,IF(C243&lt;='SOLLECITAZ NASCOSTO'!$P$11,IF(C243&lt;='SOLLECITAZ NASCOSTO'!$P$10,IF(C243&lt;='SOLLECITAZ NASCOSTO'!$P$9,IF(C243&lt;='SOLLECITAZ NASCOSTO'!$P$8,IF(C243&lt;='SOLLECITAZ NASCOSTO'!$P$7,IF(C243&lt;='SOLLECITAZ NASCOSTO'!$P$6,IF(C243&lt;='SOLLECITAZ NASCOSTO'!$P$5,'SOLLECITAZ NASCOSTO'!$P$3,'SOLLECITAZ NASCOSTO'!$P$5),'SOLLECITAZ NASCOSTO'!$P$5),'SOLLECITAZ NASCOSTO'!$P$7),'SOLLECITAZ NASCOSTO'!$P$8),'SOLLECITAZ NASCOSTO'!$P$9),'SOLLECITAZ NASCOSTO'!$P$10),'SOLLECITAZ NASCOSTO'!$P$11),'SOLLECITAZ NASCOSTO'!$P$12))/IF(C243&lt;='SOLLECITAZ NASCOSTO'!$P$12,IF(C243&lt;='SOLLECITAZ NASCOSTO'!$P$11,IF(C243&lt;='SOLLECITAZ NASCOSTO'!$P$10,IF(C243&lt;='SOLLECITAZ NASCOSTO'!$P$9,IF(C243&lt;='SOLLECITAZ NASCOSTO'!$P$8,IF(C243&lt;='SOLLECITAZ NASCOSTO'!$P$7,IF(C243&lt;='SOLLECITAZ NASCOSTO'!$P$6,IF(C243&lt;='SOLLECITAZ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slu'!$C$112)+IF(C243&lt;='SOLLECITAZ NASCOSTO'!$P$12,IF(C243&lt;='SOLLECITAZ NASCOSTO'!$P$11,IF(C243&lt;='SOLLECITAZ NASCOSTO'!$P$10,IF(C243&lt;='SOLLECITAZ NASCOSTO'!$P$9,IF(C243&lt;='SOLLECITAZ NASCOSTO'!$P$8,IF(C243&lt;='SOLLECITAZ NASCOSTO'!$P$7,IF(C243&lt;='SOLLECITAZ NASCOSTO'!$P$6,IF(C243&lt;='SOLLECITAZ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14.299980428974026</v>
      </c>
      <c r="O244" s="42">
        <f>IF(C244&lt;='SOLLECITAZ NASCOSTO'!$P$12,IF(C244&lt;='SOLLECITAZ NASCOSTO'!$P$11,IF(C244&lt;='SOLLECITAZ NASCOSTO'!$P$10,IF(C244&lt;='SOLLECITAZ NASCOSTO'!$P$9,IF(C244&lt;='SOLLECITAZ NASCOSTO'!$P$8,IF(C244&lt;='SOLLECITAZ NASCOSTO'!$P$7,IF(C244&lt;='SOLLECITAZ NASCOSTO'!$P$6,IF(C244&lt;='SOLLECITAZ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slu'!$G$111),55555)*(C244-C243)/IF(C244&lt;='SOLLECITAZ NASCOSTO'!$P$12,IF(C244&lt;='SOLLECITAZ NASCOSTO'!$P$11,IF(C244&lt;='SOLLECITAZ NASCOSTO'!$P$10,IF(C244&lt;='SOLLECITAZ NASCOSTO'!$P$9,IF(C244&lt;='SOLLECITAZ NASCOSTO'!$P$8,IF(C244&lt;='SOLLECITAZ NASCOSTO'!$P$7,IF(C244&lt;='SOLLECITAZ NASCOSTO'!$P$6,IF(C244&lt;='SOLLECITAZ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4" s="42">
        <f t="shared" si="75"/>
        <v>2.1099999999999952E-4</v>
      </c>
      <c r="Q244" s="42">
        <f t="shared" si="73"/>
        <v>1</v>
      </c>
      <c r="R244" s="441">
        <f t="shared" si="67"/>
        <v>1.4524038461538462</v>
      </c>
      <c r="S244" s="46">
        <f t="shared" si="74"/>
        <v>1.4524038461538462</v>
      </c>
      <c r="T244" s="211">
        <f t="shared" si="70"/>
        <v>1.8975961538461539</v>
      </c>
      <c r="U244" s="46">
        <f t="shared" si="71"/>
        <v>13.429067476183331</v>
      </c>
      <c r="V244" s="46">
        <f t="shared" si="72"/>
        <v>-7.958490637324342</v>
      </c>
      <c r="W244" s="496"/>
      <c r="X244" s="497"/>
      <c r="Y244" s="497"/>
      <c r="Z244" s="498"/>
      <c r="AA244" s="47"/>
    </row>
    <row r="245" spans="1:27" s="428" customFormat="1" x14ac:dyDescent="0.25">
      <c r="A245" s="589">
        <f t="shared" si="68"/>
        <v>5.1201923075838707E-6</v>
      </c>
      <c r="B245" s="32">
        <f t="shared" si="58"/>
        <v>213</v>
      </c>
      <c r="C245" s="441">
        <f>'SOLLECITAZ NASCOSTO'!$D$6/'SOLLECITAZ NASCOSTO'!$B$448*'SOLLECITAZ NASCOSTO'!B245</f>
        <v>1.4592548076923078</v>
      </c>
      <c r="D245" s="441">
        <f t="shared" si="69"/>
        <v>0.30000512019230757</v>
      </c>
      <c r="E245" s="441">
        <f t="shared" si="63"/>
        <v>5.1201923075838707E-6</v>
      </c>
      <c r="F245" s="441">
        <f t="shared" si="64"/>
        <v>0.30000512019230757</v>
      </c>
      <c r="G245" s="441">
        <f t="shared" si="65"/>
        <v>4.5001536070800457E-2</v>
      </c>
      <c r="H245" s="441">
        <f t="shared" si="59"/>
        <v>0</v>
      </c>
      <c r="I245" s="441">
        <v>0</v>
      </c>
      <c r="J245" s="131">
        <f t="shared" si="60"/>
        <v>0.15000256009615379</v>
      </c>
      <c r="K245" s="130">
        <f t="shared" si="66"/>
        <v>2.2501152062931592E-3</v>
      </c>
      <c r="L245" s="42">
        <f t="shared" si="61"/>
        <v>13.527530720074601</v>
      </c>
      <c r="M245" s="42">
        <f t="shared" si="62"/>
        <v>-8.0508299460495039</v>
      </c>
      <c r="N245" s="42">
        <f>(IF(C244&lt;='SOLLECITAZ NASCOSTO'!$P$12,IF(C244&lt;='SOLLECITAZ NASCOSTO'!$P$11,IF(C244&lt;='SOLLECITAZ NASCOSTO'!$P$10,IF(C244&lt;='SOLLECITAZ NASCOSTO'!$P$9,IF(C244&lt;='SOLLECITAZ NASCOSTO'!$P$8,IF(C244&lt;='SOLLECITAZ NASCOSTO'!$P$7,IF(C244&lt;='SOLLECITAZ NASCOSTO'!$P$6,IF(C244&lt;='SOLLECITAZ NASCOSTO'!$P$5,'Progetto del paramento slu'!$G$105,'Progetto del paramento slu'!$G$106),'Progetto del paramento slu'!$G$107),'Progetto del paramento slu'!$G$108),'Progetto del paramento slu'!$G$109),'Progetto del paramento slu'!$G$110),'Progetto del paramento slu'!$G$111),'Progetto del paramento slu'!$G$112),55555)-IF(C244&lt;='SOLLECITAZ NASCOSTO'!$P$12,IF(C244&lt;='SOLLECITAZ NASCOSTO'!$P$11,IF(C244&lt;='SOLLECITAZ NASCOSTO'!$P$10,IF(C244&lt;='SOLLECITAZ NASCOSTO'!$P$9,IF(C244&lt;='SOLLECITAZ NASCOSTO'!$P$8,IF(C244&lt;='SOLLECITAZ NASCOSTO'!$P$7,IF(C244&lt;='SOLLECITAZ NASCOSTO'!$P$6,IF(C244&lt;='SOLLECITAZ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slu'!$G$112))*(C244-IF(C244&lt;='SOLLECITAZ NASCOSTO'!$P$12,IF(C244&lt;='SOLLECITAZ NASCOSTO'!$P$11,IF(C244&lt;='SOLLECITAZ NASCOSTO'!$P$10,IF(C244&lt;='SOLLECITAZ NASCOSTO'!$P$9,IF(C244&lt;='SOLLECITAZ NASCOSTO'!$P$8,IF(C244&lt;='SOLLECITAZ NASCOSTO'!$P$7,IF(C244&lt;='SOLLECITAZ NASCOSTO'!$P$6,IF(C244&lt;='SOLLECITAZ NASCOSTO'!$P$5,'SOLLECITAZ NASCOSTO'!$P$3,'SOLLECITAZ NASCOSTO'!$P$5),'SOLLECITAZ NASCOSTO'!$P$5),'SOLLECITAZ NASCOSTO'!$P$7),'SOLLECITAZ NASCOSTO'!$P$8),'SOLLECITAZ NASCOSTO'!$P$9),'SOLLECITAZ NASCOSTO'!$P$10),'SOLLECITAZ NASCOSTO'!$P$11),'SOLLECITAZ NASCOSTO'!$P$12))/IF(C244&lt;='SOLLECITAZ NASCOSTO'!$P$12,IF(C244&lt;='SOLLECITAZ NASCOSTO'!$P$11,IF(C244&lt;='SOLLECITAZ NASCOSTO'!$P$10,IF(C244&lt;='SOLLECITAZ NASCOSTO'!$P$9,IF(C244&lt;='SOLLECITAZ NASCOSTO'!$P$8,IF(C244&lt;='SOLLECITAZ NASCOSTO'!$P$7,IF(C244&lt;='SOLLECITAZ NASCOSTO'!$P$6,IF(C244&lt;='SOLLECITAZ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slu'!$C$112)+IF(C244&lt;='SOLLECITAZ NASCOSTO'!$P$12,IF(C244&lt;='SOLLECITAZ NASCOSTO'!$P$11,IF(C244&lt;='SOLLECITAZ NASCOSTO'!$P$10,IF(C244&lt;='SOLLECITAZ NASCOSTO'!$P$9,IF(C244&lt;='SOLLECITAZ NASCOSTO'!$P$8,IF(C244&lt;='SOLLECITAZ NASCOSTO'!$P$7,IF(C244&lt;='SOLLECITAZ NASCOSTO'!$P$6,IF(C244&lt;='SOLLECITAZ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14.34811264796638</v>
      </c>
      <c r="O245" s="42">
        <f>IF(C245&lt;='SOLLECITAZ NASCOSTO'!$P$12,IF(C245&lt;='SOLLECITAZ NASCOSTO'!$P$11,IF(C245&lt;='SOLLECITAZ NASCOSTO'!$P$10,IF(C245&lt;='SOLLECITAZ NASCOSTO'!$P$9,IF(C245&lt;='SOLLECITAZ NASCOSTO'!$P$8,IF(C245&lt;='SOLLECITAZ NASCOSTO'!$P$7,IF(C245&lt;='SOLLECITAZ NASCOSTO'!$P$6,IF(C245&lt;='SOLLECITAZ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slu'!$G$111),55555)*(C245-C244)/IF(C245&lt;='SOLLECITAZ NASCOSTO'!$P$12,IF(C245&lt;='SOLLECITAZ NASCOSTO'!$P$11,IF(C245&lt;='SOLLECITAZ NASCOSTO'!$P$10,IF(C245&lt;='SOLLECITAZ NASCOSTO'!$P$9,IF(C245&lt;='SOLLECITAZ NASCOSTO'!$P$8,IF(C245&lt;='SOLLECITAZ NASCOSTO'!$P$7,IF(C245&lt;='SOLLECITAZ NASCOSTO'!$P$6,IF(C245&lt;='SOLLECITAZ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5" s="42">
        <f t="shared" si="75"/>
        <v>2.1199999999999952E-4</v>
      </c>
      <c r="Q245" s="42">
        <f t="shared" si="73"/>
        <v>1</v>
      </c>
      <c r="R245" s="441">
        <f t="shared" si="67"/>
        <v>1.4592548076923078</v>
      </c>
      <c r="S245" s="46">
        <f t="shared" si="74"/>
        <v>1.4592548076923078</v>
      </c>
      <c r="T245" s="211">
        <f t="shared" si="70"/>
        <v>1.8907451923076923</v>
      </c>
      <c r="U245" s="46">
        <f t="shared" si="71"/>
        <v>13.527530720074601</v>
      </c>
      <c r="V245" s="46">
        <f t="shared" si="72"/>
        <v>-8.0508299460495039</v>
      </c>
      <c r="W245" s="496"/>
      <c r="X245" s="497"/>
      <c r="Y245" s="497"/>
      <c r="Z245" s="498"/>
      <c r="AA245" s="47"/>
    </row>
    <row r="246" spans="1:27" s="428" customFormat="1" x14ac:dyDescent="0.25">
      <c r="A246" s="589">
        <f t="shared" si="68"/>
        <v>5.1442307691385025E-6</v>
      </c>
      <c r="B246" s="32">
        <f t="shared" si="58"/>
        <v>214</v>
      </c>
      <c r="C246" s="441">
        <f>'SOLLECITAZ NASCOSTO'!$D$6/'SOLLECITAZ NASCOSTO'!$B$448*'SOLLECITAZ NASCOSTO'!B246</f>
        <v>1.4661057692307693</v>
      </c>
      <c r="D246" s="441">
        <f t="shared" si="69"/>
        <v>0.30000514423076913</v>
      </c>
      <c r="E246" s="441">
        <f t="shared" si="63"/>
        <v>5.1442307691385025E-6</v>
      </c>
      <c r="F246" s="441">
        <f t="shared" si="64"/>
        <v>0.30000514423076913</v>
      </c>
      <c r="G246" s="441">
        <f t="shared" si="65"/>
        <v>4.5001543282462295E-2</v>
      </c>
      <c r="H246" s="441">
        <f t="shared" si="59"/>
        <v>0</v>
      </c>
      <c r="I246" s="441">
        <v>0</v>
      </c>
      <c r="J246" s="131">
        <f t="shared" si="60"/>
        <v>0.15000257211538456</v>
      </c>
      <c r="K246" s="130">
        <f t="shared" si="66"/>
        <v>2.2501157471770498E-3</v>
      </c>
      <c r="L246" s="42">
        <f t="shared" si="61"/>
        <v>13.626323715946949</v>
      </c>
      <c r="M246" s="42">
        <f t="shared" si="62"/>
        <v>-8.1438449522305874</v>
      </c>
      <c r="N246" s="42">
        <f>(IF(C245&lt;='SOLLECITAZ NASCOSTO'!$P$12,IF(C245&lt;='SOLLECITAZ NASCOSTO'!$P$11,IF(C245&lt;='SOLLECITAZ NASCOSTO'!$P$10,IF(C245&lt;='SOLLECITAZ NASCOSTO'!$P$9,IF(C245&lt;='SOLLECITAZ NASCOSTO'!$P$8,IF(C245&lt;='SOLLECITAZ NASCOSTO'!$P$7,IF(C245&lt;='SOLLECITAZ NASCOSTO'!$P$6,IF(C245&lt;='SOLLECITAZ NASCOSTO'!$P$5,'Progetto del paramento slu'!$G$105,'Progetto del paramento slu'!$G$106),'Progetto del paramento slu'!$G$107),'Progetto del paramento slu'!$G$108),'Progetto del paramento slu'!$G$109),'Progetto del paramento slu'!$G$110),'Progetto del paramento slu'!$G$111),'Progetto del paramento slu'!$G$112),55555)-IF(C245&lt;='SOLLECITAZ NASCOSTO'!$P$12,IF(C245&lt;='SOLLECITAZ NASCOSTO'!$P$11,IF(C245&lt;='SOLLECITAZ NASCOSTO'!$P$10,IF(C245&lt;='SOLLECITAZ NASCOSTO'!$P$9,IF(C245&lt;='SOLLECITAZ NASCOSTO'!$P$8,IF(C245&lt;='SOLLECITAZ NASCOSTO'!$P$7,IF(C245&lt;='SOLLECITAZ NASCOSTO'!$P$6,IF(C245&lt;='SOLLECITAZ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slu'!$G$112))*(C245-IF(C245&lt;='SOLLECITAZ NASCOSTO'!$P$12,IF(C245&lt;='SOLLECITAZ NASCOSTO'!$P$11,IF(C245&lt;='SOLLECITAZ NASCOSTO'!$P$10,IF(C245&lt;='SOLLECITAZ NASCOSTO'!$P$9,IF(C245&lt;='SOLLECITAZ NASCOSTO'!$P$8,IF(C245&lt;='SOLLECITAZ NASCOSTO'!$P$7,IF(C245&lt;='SOLLECITAZ NASCOSTO'!$P$6,IF(C245&lt;='SOLLECITAZ NASCOSTO'!$P$5,'SOLLECITAZ NASCOSTO'!$P$3,'SOLLECITAZ NASCOSTO'!$P$5),'SOLLECITAZ NASCOSTO'!$P$5),'SOLLECITAZ NASCOSTO'!$P$7),'SOLLECITAZ NASCOSTO'!$P$8),'SOLLECITAZ NASCOSTO'!$P$9),'SOLLECITAZ NASCOSTO'!$P$10),'SOLLECITAZ NASCOSTO'!$P$11),'SOLLECITAZ NASCOSTO'!$P$12))/IF(C245&lt;='SOLLECITAZ NASCOSTO'!$P$12,IF(C245&lt;='SOLLECITAZ NASCOSTO'!$P$11,IF(C245&lt;='SOLLECITAZ NASCOSTO'!$P$10,IF(C245&lt;='SOLLECITAZ NASCOSTO'!$P$9,IF(C245&lt;='SOLLECITAZ NASCOSTO'!$P$8,IF(C245&lt;='SOLLECITAZ NASCOSTO'!$P$7,IF(C245&lt;='SOLLECITAZ NASCOSTO'!$P$6,IF(C245&lt;='SOLLECITAZ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slu'!$C$112)+IF(C245&lt;='SOLLECITAZ NASCOSTO'!$P$12,IF(C245&lt;='SOLLECITAZ NASCOSTO'!$P$11,IF(C245&lt;='SOLLECITAZ NASCOSTO'!$P$10,IF(C245&lt;='SOLLECITAZ NASCOSTO'!$P$9,IF(C245&lt;='SOLLECITAZ NASCOSTO'!$P$8,IF(C245&lt;='SOLLECITAZ NASCOSTO'!$P$7,IF(C245&lt;='SOLLECITAZ NASCOSTO'!$P$6,IF(C245&lt;='SOLLECITAZ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14.396244866958732</v>
      </c>
      <c r="O246" s="42">
        <f>IF(C246&lt;='SOLLECITAZ NASCOSTO'!$P$12,IF(C246&lt;='SOLLECITAZ NASCOSTO'!$P$11,IF(C246&lt;='SOLLECITAZ NASCOSTO'!$P$10,IF(C246&lt;='SOLLECITAZ NASCOSTO'!$P$9,IF(C246&lt;='SOLLECITAZ NASCOSTO'!$P$8,IF(C246&lt;='SOLLECITAZ NASCOSTO'!$P$7,IF(C246&lt;='SOLLECITAZ NASCOSTO'!$P$6,IF(C246&lt;='SOLLECITAZ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slu'!$G$111),55555)*(C246-C245)/IF(C246&lt;='SOLLECITAZ NASCOSTO'!$P$12,IF(C246&lt;='SOLLECITAZ NASCOSTO'!$P$11,IF(C246&lt;='SOLLECITAZ NASCOSTO'!$P$10,IF(C246&lt;='SOLLECITAZ NASCOSTO'!$P$9,IF(C246&lt;='SOLLECITAZ NASCOSTO'!$P$8,IF(C246&lt;='SOLLECITAZ NASCOSTO'!$P$7,IF(C246&lt;='SOLLECITAZ NASCOSTO'!$P$6,IF(C246&lt;='SOLLECITAZ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6" s="42">
        <f t="shared" si="75"/>
        <v>2.1299999999999951E-4</v>
      </c>
      <c r="Q246" s="42">
        <f t="shared" si="73"/>
        <v>1</v>
      </c>
      <c r="R246" s="441">
        <f t="shared" si="67"/>
        <v>1.4661057692307693</v>
      </c>
      <c r="S246" s="46">
        <f t="shared" si="74"/>
        <v>1.4661057692307693</v>
      </c>
      <c r="T246" s="211">
        <f t="shared" si="70"/>
        <v>1.8838942307692308</v>
      </c>
      <c r="U246" s="46">
        <f t="shared" si="71"/>
        <v>13.626323715946949</v>
      </c>
      <c r="V246" s="46">
        <f t="shared" si="72"/>
        <v>-8.1438449522305874</v>
      </c>
      <c r="W246" s="496"/>
      <c r="X246" s="497"/>
      <c r="Y246" s="497"/>
      <c r="Z246" s="498"/>
      <c r="AA246" s="47"/>
    </row>
    <row r="247" spans="1:27" s="428" customFormat="1" x14ac:dyDescent="0.25">
      <c r="A247" s="589">
        <f t="shared" si="68"/>
        <v>5.1682692306376232E-6</v>
      </c>
      <c r="B247" s="32">
        <f t="shared" si="58"/>
        <v>215</v>
      </c>
      <c r="C247" s="441">
        <f>'SOLLECITAZ NASCOSTO'!$D$6/'SOLLECITAZ NASCOSTO'!$B$448*'SOLLECITAZ NASCOSTO'!B247</f>
        <v>1.4729567307692308</v>
      </c>
      <c r="D247" s="441">
        <f t="shared" si="69"/>
        <v>0.30000516826923063</v>
      </c>
      <c r="E247" s="441">
        <f t="shared" si="63"/>
        <v>5.1682692306376232E-6</v>
      </c>
      <c r="F247" s="441">
        <f t="shared" si="64"/>
        <v>0.30000516826923063</v>
      </c>
      <c r="G247" s="441">
        <f t="shared" si="65"/>
        <v>4.5001550494124694E-2</v>
      </c>
      <c r="H247" s="441">
        <f t="shared" si="59"/>
        <v>0</v>
      </c>
      <c r="I247" s="441">
        <v>0</v>
      </c>
      <c r="J247" s="131">
        <f t="shared" si="60"/>
        <v>0.15000258413461531</v>
      </c>
      <c r="K247" s="130">
        <f t="shared" si="66"/>
        <v>2.2501162880610263E-3</v>
      </c>
      <c r="L247" s="42">
        <f t="shared" si="61"/>
        <v>13.725446463800374</v>
      </c>
      <c r="M247" s="42">
        <f t="shared" si="62"/>
        <v>-8.2375379149857313</v>
      </c>
      <c r="N247" s="42">
        <f>(IF(C246&lt;='SOLLECITAZ NASCOSTO'!$P$12,IF(C246&lt;='SOLLECITAZ NASCOSTO'!$P$11,IF(C246&lt;='SOLLECITAZ NASCOSTO'!$P$10,IF(C246&lt;='SOLLECITAZ NASCOSTO'!$P$9,IF(C246&lt;='SOLLECITAZ NASCOSTO'!$P$8,IF(C246&lt;='SOLLECITAZ NASCOSTO'!$P$7,IF(C246&lt;='SOLLECITAZ NASCOSTO'!$P$6,IF(C246&lt;='SOLLECITAZ NASCOSTO'!$P$5,'Progetto del paramento slu'!$G$105,'Progetto del paramento slu'!$G$106),'Progetto del paramento slu'!$G$107),'Progetto del paramento slu'!$G$108),'Progetto del paramento slu'!$G$109),'Progetto del paramento slu'!$G$110),'Progetto del paramento slu'!$G$111),'Progetto del paramento slu'!$G$112),55555)-IF(C246&lt;='SOLLECITAZ NASCOSTO'!$P$12,IF(C246&lt;='SOLLECITAZ NASCOSTO'!$P$11,IF(C246&lt;='SOLLECITAZ NASCOSTO'!$P$10,IF(C246&lt;='SOLLECITAZ NASCOSTO'!$P$9,IF(C246&lt;='SOLLECITAZ NASCOSTO'!$P$8,IF(C246&lt;='SOLLECITAZ NASCOSTO'!$P$7,IF(C246&lt;='SOLLECITAZ NASCOSTO'!$P$6,IF(C246&lt;='SOLLECITAZ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slu'!$G$112))*(C246-IF(C246&lt;='SOLLECITAZ NASCOSTO'!$P$12,IF(C246&lt;='SOLLECITAZ NASCOSTO'!$P$11,IF(C246&lt;='SOLLECITAZ NASCOSTO'!$P$10,IF(C246&lt;='SOLLECITAZ NASCOSTO'!$P$9,IF(C246&lt;='SOLLECITAZ NASCOSTO'!$P$8,IF(C246&lt;='SOLLECITAZ NASCOSTO'!$P$7,IF(C246&lt;='SOLLECITAZ NASCOSTO'!$P$6,IF(C246&lt;='SOLLECITAZ NASCOSTO'!$P$5,'SOLLECITAZ NASCOSTO'!$P$3,'SOLLECITAZ NASCOSTO'!$P$5),'SOLLECITAZ NASCOSTO'!$P$5),'SOLLECITAZ NASCOSTO'!$P$7),'SOLLECITAZ NASCOSTO'!$P$8),'SOLLECITAZ NASCOSTO'!$P$9),'SOLLECITAZ NASCOSTO'!$P$10),'SOLLECITAZ NASCOSTO'!$P$11),'SOLLECITAZ NASCOSTO'!$P$12))/IF(C246&lt;='SOLLECITAZ NASCOSTO'!$P$12,IF(C246&lt;='SOLLECITAZ NASCOSTO'!$P$11,IF(C246&lt;='SOLLECITAZ NASCOSTO'!$P$10,IF(C246&lt;='SOLLECITAZ NASCOSTO'!$P$9,IF(C246&lt;='SOLLECITAZ NASCOSTO'!$P$8,IF(C246&lt;='SOLLECITAZ NASCOSTO'!$P$7,IF(C246&lt;='SOLLECITAZ NASCOSTO'!$P$6,IF(C246&lt;='SOLLECITAZ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slu'!$C$112)+IF(C246&lt;='SOLLECITAZ NASCOSTO'!$P$12,IF(C246&lt;='SOLLECITAZ NASCOSTO'!$P$11,IF(C246&lt;='SOLLECITAZ NASCOSTO'!$P$10,IF(C246&lt;='SOLLECITAZ NASCOSTO'!$P$9,IF(C246&lt;='SOLLECITAZ NASCOSTO'!$P$8,IF(C246&lt;='SOLLECITAZ NASCOSTO'!$P$7,IF(C246&lt;='SOLLECITAZ NASCOSTO'!$P$6,IF(C246&lt;='SOLLECITAZ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14.444377085951084</v>
      </c>
      <c r="O247" s="42">
        <f>IF(C247&lt;='SOLLECITAZ NASCOSTO'!$P$12,IF(C247&lt;='SOLLECITAZ NASCOSTO'!$P$11,IF(C247&lt;='SOLLECITAZ NASCOSTO'!$P$10,IF(C247&lt;='SOLLECITAZ NASCOSTO'!$P$9,IF(C247&lt;='SOLLECITAZ NASCOSTO'!$P$8,IF(C247&lt;='SOLLECITAZ NASCOSTO'!$P$7,IF(C247&lt;='SOLLECITAZ NASCOSTO'!$P$6,IF(C247&lt;='SOLLECITAZ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slu'!$G$111),55555)*(C247-C246)/IF(C247&lt;='SOLLECITAZ NASCOSTO'!$P$12,IF(C247&lt;='SOLLECITAZ NASCOSTO'!$P$11,IF(C247&lt;='SOLLECITAZ NASCOSTO'!$P$10,IF(C247&lt;='SOLLECITAZ NASCOSTO'!$P$9,IF(C247&lt;='SOLLECITAZ NASCOSTO'!$P$8,IF(C247&lt;='SOLLECITAZ NASCOSTO'!$P$7,IF(C247&lt;='SOLLECITAZ NASCOSTO'!$P$6,IF(C247&lt;='SOLLECITAZ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7" s="42">
        <f t="shared" si="75"/>
        <v>2.1399999999999951E-4</v>
      </c>
      <c r="Q247" s="42">
        <f t="shared" si="73"/>
        <v>1</v>
      </c>
      <c r="R247" s="441">
        <f t="shared" si="67"/>
        <v>1.4729567307692308</v>
      </c>
      <c r="S247" s="46">
        <f t="shared" si="74"/>
        <v>1.4729567307692308</v>
      </c>
      <c r="T247" s="211">
        <f t="shared" si="70"/>
        <v>1.8770432692307693</v>
      </c>
      <c r="U247" s="46">
        <f t="shared" si="71"/>
        <v>13.725446463800374</v>
      </c>
      <c r="V247" s="46">
        <f t="shared" si="72"/>
        <v>-8.2375379149857313</v>
      </c>
      <c r="W247" s="496"/>
      <c r="X247" s="497"/>
      <c r="Y247" s="497"/>
      <c r="Z247" s="498"/>
      <c r="AA247" s="47"/>
    </row>
    <row r="248" spans="1:27" s="428" customFormat="1" x14ac:dyDescent="0.25">
      <c r="A248" s="589">
        <f t="shared" si="68"/>
        <v>5.1923076921922551E-6</v>
      </c>
      <c r="B248" s="32">
        <f t="shared" si="58"/>
        <v>216</v>
      </c>
      <c r="C248" s="441">
        <f>'SOLLECITAZ NASCOSTO'!$D$6/'SOLLECITAZ NASCOSTO'!$B$448*'SOLLECITAZ NASCOSTO'!B248</f>
        <v>1.4798076923076924</v>
      </c>
      <c r="D248" s="441">
        <f t="shared" si="69"/>
        <v>0.30000519230769218</v>
      </c>
      <c r="E248" s="441">
        <f t="shared" si="63"/>
        <v>5.1923076921922551E-6</v>
      </c>
      <c r="F248" s="441">
        <f t="shared" si="64"/>
        <v>0.30000519230769218</v>
      </c>
      <c r="G248" s="441">
        <f t="shared" si="65"/>
        <v>4.5001557705787683E-2</v>
      </c>
      <c r="H248" s="441">
        <f t="shared" si="59"/>
        <v>0</v>
      </c>
      <c r="I248" s="441">
        <v>0</v>
      </c>
      <c r="J248" s="131">
        <f t="shared" si="60"/>
        <v>0.15000259615384609</v>
      </c>
      <c r="K248" s="130">
        <f t="shared" si="66"/>
        <v>2.2501168289450904E-3</v>
      </c>
      <c r="L248" s="42">
        <f t="shared" si="61"/>
        <v>13.824898963634876</v>
      </c>
      <c r="M248" s="42">
        <f t="shared" si="62"/>
        <v>-8.3319110934330762</v>
      </c>
      <c r="N248" s="42">
        <f>(IF(C247&lt;='SOLLECITAZ NASCOSTO'!$P$12,IF(C247&lt;='SOLLECITAZ NASCOSTO'!$P$11,IF(C247&lt;='SOLLECITAZ NASCOSTO'!$P$10,IF(C247&lt;='SOLLECITAZ NASCOSTO'!$P$9,IF(C247&lt;='SOLLECITAZ NASCOSTO'!$P$8,IF(C247&lt;='SOLLECITAZ NASCOSTO'!$P$7,IF(C247&lt;='SOLLECITAZ NASCOSTO'!$P$6,IF(C247&lt;='SOLLECITAZ NASCOSTO'!$P$5,'Progetto del paramento slu'!$G$105,'Progetto del paramento slu'!$G$106),'Progetto del paramento slu'!$G$107),'Progetto del paramento slu'!$G$108),'Progetto del paramento slu'!$G$109),'Progetto del paramento slu'!$G$110),'Progetto del paramento slu'!$G$111),'Progetto del paramento slu'!$G$112),55555)-IF(C247&lt;='SOLLECITAZ NASCOSTO'!$P$12,IF(C247&lt;='SOLLECITAZ NASCOSTO'!$P$11,IF(C247&lt;='SOLLECITAZ NASCOSTO'!$P$10,IF(C247&lt;='SOLLECITAZ NASCOSTO'!$P$9,IF(C247&lt;='SOLLECITAZ NASCOSTO'!$P$8,IF(C247&lt;='SOLLECITAZ NASCOSTO'!$P$7,IF(C247&lt;='SOLLECITAZ NASCOSTO'!$P$6,IF(C247&lt;='SOLLECITAZ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slu'!$G$112))*(C247-IF(C247&lt;='SOLLECITAZ NASCOSTO'!$P$12,IF(C247&lt;='SOLLECITAZ NASCOSTO'!$P$11,IF(C247&lt;='SOLLECITAZ NASCOSTO'!$P$10,IF(C247&lt;='SOLLECITAZ NASCOSTO'!$P$9,IF(C247&lt;='SOLLECITAZ NASCOSTO'!$P$8,IF(C247&lt;='SOLLECITAZ NASCOSTO'!$P$7,IF(C247&lt;='SOLLECITAZ NASCOSTO'!$P$6,IF(C247&lt;='SOLLECITAZ NASCOSTO'!$P$5,'SOLLECITAZ NASCOSTO'!$P$3,'SOLLECITAZ NASCOSTO'!$P$5),'SOLLECITAZ NASCOSTO'!$P$5),'SOLLECITAZ NASCOSTO'!$P$7),'SOLLECITAZ NASCOSTO'!$P$8),'SOLLECITAZ NASCOSTO'!$P$9),'SOLLECITAZ NASCOSTO'!$P$10),'SOLLECITAZ NASCOSTO'!$P$11),'SOLLECITAZ NASCOSTO'!$P$12))/IF(C247&lt;='SOLLECITAZ NASCOSTO'!$P$12,IF(C247&lt;='SOLLECITAZ NASCOSTO'!$P$11,IF(C247&lt;='SOLLECITAZ NASCOSTO'!$P$10,IF(C247&lt;='SOLLECITAZ NASCOSTO'!$P$9,IF(C247&lt;='SOLLECITAZ NASCOSTO'!$P$8,IF(C247&lt;='SOLLECITAZ NASCOSTO'!$P$7,IF(C247&lt;='SOLLECITAZ NASCOSTO'!$P$6,IF(C247&lt;='SOLLECITAZ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slu'!$C$112)+IF(C247&lt;='SOLLECITAZ NASCOSTO'!$P$12,IF(C247&lt;='SOLLECITAZ NASCOSTO'!$P$11,IF(C247&lt;='SOLLECITAZ NASCOSTO'!$P$10,IF(C247&lt;='SOLLECITAZ NASCOSTO'!$P$9,IF(C247&lt;='SOLLECITAZ NASCOSTO'!$P$8,IF(C247&lt;='SOLLECITAZ NASCOSTO'!$P$7,IF(C247&lt;='SOLLECITAZ NASCOSTO'!$P$6,IF(C247&lt;='SOLLECITAZ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14.492509304943436</v>
      </c>
      <c r="O248" s="42">
        <f>IF(C248&lt;='SOLLECITAZ NASCOSTO'!$P$12,IF(C248&lt;='SOLLECITAZ NASCOSTO'!$P$11,IF(C248&lt;='SOLLECITAZ NASCOSTO'!$P$10,IF(C248&lt;='SOLLECITAZ NASCOSTO'!$P$9,IF(C248&lt;='SOLLECITAZ NASCOSTO'!$P$8,IF(C248&lt;='SOLLECITAZ NASCOSTO'!$P$7,IF(C248&lt;='SOLLECITAZ NASCOSTO'!$P$6,IF(C248&lt;='SOLLECITAZ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slu'!$G$111),55555)*(C248-C247)/IF(C248&lt;='SOLLECITAZ NASCOSTO'!$P$12,IF(C248&lt;='SOLLECITAZ NASCOSTO'!$P$11,IF(C248&lt;='SOLLECITAZ NASCOSTO'!$P$10,IF(C248&lt;='SOLLECITAZ NASCOSTO'!$P$9,IF(C248&lt;='SOLLECITAZ NASCOSTO'!$P$8,IF(C248&lt;='SOLLECITAZ NASCOSTO'!$P$7,IF(C248&lt;='SOLLECITAZ NASCOSTO'!$P$6,IF(C248&lt;='SOLLECITAZ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8" s="42">
        <f t="shared" si="75"/>
        <v>2.1499999999999951E-4</v>
      </c>
      <c r="Q248" s="42">
        <f t="shared" si="73"/>
        <v>1</v>
      </c>
      <c r="R248" s="441">
        <f t="shared" si="67"/>
        <v>1.4798076923076924</v>
      </c>
      <c r="S248" s="46">
        <f t="shared" si="74"/>
        <v>1.4798076923076924</v>
      </c>
      <c r="T248" s="211">
        <f t="shared" si="70"/>
        <v>1.8701923076923077</v>
      </c>
      <c r="U248" s="46">
        <f t="shared" si="71"/>
        <v>13.824898963634876</v>
      </c>
      <c r="V248" s="46">
        <f t="shared" si="72"/>
        <v>-8.3319110934330762</v>
      </c>
      <c r="W248" s="496"/>
      <c r="X248" s="497"/>
      <c r="Y248" s="497"/>
      <c r="Z248" s="498"/>
      <c r="AA248" s="47"/>
    </row>
    <row r="249" spans="1:27" s="428" customFormat="1" x14ac:dyDescent="0.25">
      <c r="A249" s="589">
        <f t="shared" si="68"/>
        <v>5.2163461537468869E-6</v>
      </c>
      <c r="B249" s="32">
        <f t="shared" si="58"/>
        <v>217</v>
      </c>
      <c r="C249" s="441">
        <f>'SOLLECITAZ NASCOSTO'!$D$6/'SOLLECITAZ NASCOSTO'!$B$448*'SOLLECITAZ NASCOSTO'!B249</f>
        <v>1.4866586538461539</v>
      </c>
      <c r="D249" s="441">
        <f t="shared" si="69"/>
        <v>0.30000521634615374</v>
      </c>
      <c r="E249" s="441">
        <f t="shared" si="63"/>
        <v>5.2163461537468869E-6</v>
      </c>
      <c r="F249" s="441">
        <f t="shared" si="64"/>
        <v>0.30000521634615374</v>
      </c>
      <c r="G249" s="441">
        <f t="shared" si="65"/>
        <v>4.5001564917451255E-2</v>
      </c>
      <c r="H249" s="441">
        <f t="shared" si="59"/>
        <v>0</v>
      </c>
      <c r="I249" s="441">
        <v>0</v>
      </c>
      <c r="J249" s="131">
        <f t="shared" si="60"/>
        <v>0.15000260817307687</v>
      </c>
      <c r="K249" s="130">
        <f t="shared" si="66"/>
        <v>2.2501173698292408E-3</v>
      </c>
      <c r="L249" s="42">
        <f t="shared" si="61"/>
        <v>13.924681215450455</v>
      </c>
      <c r="M249" s="42">
        <f t="shared" si="62"/>
        <v>-8.426966746690761</v>
      </c>
      <c r="N249" s="42">
        <f>(IF(C248&lt;='SOLLECITAZ NASCOSTO'!$P$12,IF(C248&lt;='SOLLECITAZ NASCOSTO'!$P$11,IF(C248&lt;='SOLLECITAZ NASCOSTO'!$P$10,IF(C248&lt;='SOLLECITAZ NASCOSTO'!$P$9,IF(C248&lt;='SOLLECITAZ NASCOSTO'!$P$8,IF(C248&lt;='SOLLECITAZ NASCOSTO'!$P$7,IF(C248&lt;='SOLLECITAZ NASCOSTO'!$P$6,IF(C248&lt;='SOLLECITAZ NASCOSTO'!$P$5,'Progetto del paramento slu'!$G$105,'Progetto del paramento slu'!$G$106),'Progetto del paramento slu'!$G$107),'Progetto del paramento slu'!$G$108),'Progetto del paramento slu'!$G$109),'Progetto del paramento slu'!$G$110),'Progetto del paramento slu'!$G$111),'Progetto del paramento slu'!$G$112),55555)-IF(C248&lt;='SOLLECITAZ NASCOSTO'!$P$12,IF(C248&lt;='SOLLECITAZ NASCOSTO'!$P$11,IF(C248&lt;='SOLLECITAZ NASCOSTO'!$P$10,IF(C248&lt;='SOLLECITAZ NASCOSTO'!$P$9,IF(C248&lt;='SOLLECITAZ NASCOSTO'!$P$8,IF(C248&lt;='SOLLECITAZ NASCOSTO'!$P$7,IF(C248&lt;='SOLLECITAZ NASCOSTO'!$P$6,IF(C248&lt;='SOLLECITAZ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slu'!$G$112))*(C248-IF(C248&lt;='SOLLECITAZ NASCOSTO'!$P$12,IF(C248&lt;='SOLLECITAZ NASCOSTO'!$P$11,IF(C248&lt;='SOLLECITAZ NASCOSTO'!$P$10,IF(C248&lt;='SOLLECITAZ NASCOSTO'!$P$9,IF(C248&lt;='SOLLECITAZ NASCOSTO'!$P$8,IF(C248&lt;='SOLLECITAZ NASCOSTO'!$P$7,IF(C248&lt;='SOLLECITAZ NASCOSTO'!$P$6,IF(C248&lt;='SOLLECITAZ NASCOSTO'!$P$5,'SOLLECITAZ NASCOSTO'!$P$3,'SOLLECITAZ NASCOSTO'!$P$5),'SOLLECITAZ NASCOSTO'!$P$5),'SOLLECITAZ NASCOSTO'!$P$7),'SOLLECITAZ NASCOSTO'!$P$8),'SOLLECITAZ NASCOSTO'!$P$9),'SOLLECITAZ NASCOSTO'!$P$10),'SOLLECITAZ NASCOSTO'!$P$11),'SOLLECITAZ NASCOSTO'!$P$12))/IF(C248&lt;='SOLLECITAZ NASCOSTO'!$P$12,IF(C248&lt;='SOLLECITAZ NASCOSTO'!$P$11,IF(C248&lt;='SOLLECITAZ NASCOSTO'!$P$10,IF(C248&lt;='SOLLECITAZ NASCOSTO'!$P$9,IF(C248&lt;='SOLLECITAZ NASCOSTO'!$P$8,IF(C248&lt;='SOLLECITAZ NASCOSTO'!$P$7,IF(C248&lt;='SOLLECITAZ NASCOSTO'!$P$6,IF(C248&lt;='SOLLECITAZ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slu'!$C$112)+IF(C248&lt;='SOLLECITAZ NASCOSTO'!$P$12,IF(C248&lt;='SOLLECITAZ NASCOSTO'!$P$11,IF(C248&lt;='SOLLECITAZ NASCOSTO'!$P$10,IF(C248&lt;='SOLLECITAZ NASCOSTO'!$P$9,IF(C248&lt;='SOLLECITAZ NASCOSTO'!$P$8,IF(C248&lt;='SOLLECITAZ NASCOSTO'!$P$7,IF(C248&lt;='SOLLECITAZ NASCOSTO'!$P$6,IF(C248&lt;='SOLLECITAZ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14.540641523935788</v>
      </c>
      <c r="O249" s="42">
        <f>IF(C249&lt;='SOLLECITAZ NASCOSTO'!$P$12,IF(C249&lt;='SOLLECITAZ NASCOSTO'!$P$11,IF(C249&lt;='SOLLECITAZ NASCOSTO'!$P$10,IF(C249&lt;='SOLLECITAZ NASCOSTO'!$P$9,IF(C249&lt;='SOLLECITAZ NASCOSTO'!$P$8,IF(C249&lt;='SOLLECITAZ NASCOSTO'!$P$7,IF(C249&lt;='SOLLECITAZ NASCOSTO'!$P$6,IF(C249&lt;='SOLLECITAZ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slu'!$G$111),55555)*(C249-C248)/IF(C249&lt;='SOLLECITAZ NASCOSTO'!$P$12,IF(C249&lt;='SOLLECITAZ NASCOSTO'!$P$11,IF(C249&lt;='SOLLECITAZ NASCOSTO'!$P$10,IF(C249&lt;='SOLLECITAZ NASCOSTO'!$P$9,IF(C249&lt;='SOLLECITAZ NASCOSTO'!$P$8,IF(C249&lt;='SOLLECITAZ NASCOSTO'!$P$7,IF(C249&lt;='SOLLECITAZ NASCOSTO'!$P$6,IF(C249&lt;='SOLLECITAZ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49" s="42">
        <f t="shared" si="75"/>
        <v>2.159999999999995E-4</v>
      </c>
      <c r="Q249" s="42">
        <f t="shared" si="73"/>
        <v>1</v>
      </c>
      <c r="R249" s="441">
        <f t="shared" si="67"/>
        <v>1.4866586538461539</v>
      </c>
      <c r="S249" s="46">
        <f t="shared" si="74"/>
        <v>1.4866586538461539</v>
      </c>
      <c r="T249" s="211">
        <f t="shared" si="70"/>
        <v>1.8633413461538462</v>
      </c>
      <c r="U249" s="46">
        <f t="shared" si="71"/>
        <v>13.924681215450455</v>
      </c>
      <c r="V249" s="46">
        <f t="shared" si="72"/>
        <v>-8.426966746690761</v>
      </c>
      <c r="W249" s="496"/>
      <c r="X249" s="497"/>
      <c r="Y249" s="497"/>
      <c r="Z249" s="498"/>
      <c r="AA249" s="47"/>
    </row>
    <row r="250" spans="1:27" s="428" customFormat="1" x14ac:dyDescent="0.25">
      <c r="A250" s="589">
        <f t="shared" si="68"/>
        <v>5.2403846152460076E-6</v>
      </c>
      <c r="B250" s="32">
        <f t="shared" si="58"/>
        <v>218</v>
      </c>
      <c r="C250" s="441">
        <f>'SOLLECITAZ NASCOSTO'!$D$6/'SOLLECITAZ NASCOSTO'!$B$448*'SOLLECITAZ NASCOSTO'!B250</f>
        <v>1.4935096153846155</v>
      </c>
      <c r="D250" s="441">
        <f t="shared" si="69"/>
        <v>0.30000524038461523</v>
      </c>
      <c r="E250" s="441">
        <f t="shared" si="63"/>
        <v>5.2403846152460076E-6</v>
      </c>
      <c r="F250" s="441">
        <f t="shared" si="64"/>
        <v>0.30000524038461523</v>
      </c>
      <c r="G250" s="441">
        <f t="shared" si="65"/>
        <v>4.5001572129115389E-2</v>
      </c>
      <c r="H250" s="441">
        <f t="shared" si="59"/>
        <v>0</v>
      </c>
      <c r="I250" s="441">
        <v>0</v>
      </c>
      <c r="J250" s="131">
        <f t="shared" si="60"/>
        <v>0.15000262019230762</v>
      </c>
      <c r="K250" s="130">
        <f t="shared" si="66"/>
        <v>2.2501179107134771E-3</v>
      </c>
      <c r="L250" s="42">
        <f t="shared" si="61"/>
        <v>14.024793219247112</v>
      </c>
      <c r="M250" s="42">
        <f t="shared" si="62"/>
        <v>-8.5227071338769242</v>
      </c>
      <c r="N250" s="42">
        <f>(IF(C249&lt;='SOLLECITAZ NASCOSTO'!$P$12,IF(C249&lt;='SOLLECITAZ NASCOSTO'!$P$11,IF(C249&lt;='SOLLECITAZ NASCOSTO'!$P$10,IF(C249&lt;='SOLLECITAZ NASCOSTO'!$P$9,IF(C249&lt;='SOLLECITAZ NASCOSTO'!$P$8,IF(C249&lt;='SOLLECITAZ NASCOSTO'!$P$7,IF(C249&lt;='SOLLECITAZ NASCOSTO'!$P$6,IF(C249&lt;='SOLLECITAZ NASCOSTO'!$P$5,'Progetto del paramento slu'!$G$105,'Progetto del paramento slu'!$G$106),'Progetto del paramento slu'!$G$107),'Progetto del paramento slu'!$G$108),'Progetto del paramento slu'!$G$109),'Progetto del paramento slu'!$G$110),'Progetto del paramento slu'!$G$111),'Progetto del paramento slu'!$G$112),55555)-IF(C249&lt;='SOLLECITAZ NASCOSTO'!$P$12,IF(C249&lt;='SOLLECITAZ NASCOSTO'!$P$11,IF(C249&lt;='SOLLECITAZ NASCOSTO'!$P$10,IF(C249&lt;='SOLLECITAZ NASCOSTO'!$P$9,IF(C249&lt;='SOLLECITAZ NASCOSTO'!$P$8,IF(C249&lt;='SOLLECITAZ NASCOSTO'!$P$7,IF(C249&lt;='SOLLECITAZ NASCOSTO'!$P$6,IF(C249&lt;='SOLLECITAZ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slu'!$G$112))*(C249-IF(C249&lt;='SOLLECITAZ NASCOSTO'!$P$12,IF(C249&lt;='SOLLECITAZ NASCOSTO'!$P$11,IF(C249&lt;='SOLLECITAZ NASCOSTO'!$P$10,IF(C249&lt;='SOLLECITAZ NASCOSTO'!$P$9,IF(C249&lt;='SOLLECITAZ NASCOSTO'!$P$8,IF(C249&lt;='SOLLECITAZ NASCOSTO'!$P$7,IF(C249&lt;='SOLLECITAZ NASCOSTO'!$P$6,IF(C249&lt;='SOLLECITAZ NASCOSTO'!$P$5,'SOLLECITAZ NASCOSTO'!$P$3,'SOLLECITAZ NASCOSTO'!$P$5),'SOLLECITAZ NASCOSTO'!$P$5),'SOLLECITAZ NASCOSTO'!$P$7),'SOLLECITAZ NASCOSTO'!$P$8),'SOLLECITAZ NASCOSTO'!$P$9),'SOLLECITAZ NASCOSTO'!$P$10),'SOLLECITAZ NASCOSTO'!$P$11),'SOLLECITAZ NASCOSTO'!$P$12))/IF(C249&lt;='SOLLECITAZ NASCOSTO'!$P$12,IF(C249&lt;='SOLLECITAZ NASCOSTO'!$P$11,IF(C249&lt;='SOLLECITAZ NASCOSTO'!$P$10,IF(C249&lt;='SOLLECITAZ NASCOSTO'!$P$9,IF(C249&lt;='SOLLECITAZ NASCOSTO'!$P$8,IF(C249&lt;='SOLLECITAZ NASCOSTO'!$P$7,IF(C249&lt;='SOLLECITAZ NASCOSTO'!$P$6,IF(C249&lt;='SOLLECITAZ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slu'!$C$112)+IF(C249&lt;='SOLLECITAZ NASCOSTO'!$P$12,IF(C249&lt;='SOLLECITAZ NASCOSTO'!$P$11,IF(C249&lt;='SOLLECITAZ NASCOSTO'!$P$10,IF(C249&lt;='SOLLECITAZ NASCOSTO'!$P$9,IF(C249&lt;='SOLLECITAZ NASCOSTO'!$P$8,IF(C249&lt;='SOLLECITAZ NASCOSTO'!$P$7,IF(C249&lt;='SOLLECITAZ NASCOSTO'!$P$6,IF(C249&lt;='SOLLECITAZ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14.588773742928142</v>
      </c>
      <c r="O250" s="42">
        <f>IF(C250&lt;='SOLLECITAZ NASCOSTO'!$P$12,IF(C250&lt;='SOLLECITAZ NASCOSTO'!$P$11,IF(C250&lt;='SOLLECITAZ NASCOSTO'!$P$10,IF(C250&lt;='SOLLECITAZ NASCOSTO'!$P$9,IF(C250&lt;='SOLLECITAZ NASCOSTO'!$P$8,IF(C250&lt;='SOLLECITAZ NASCOSTO'!$P$7,IF(C250&lt;='SOLLECITAZ NASCOSTO'!$P$6,IF(C250&lt;='SOLLECITAZ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slu'!$G$111),55555)*(C250-C249)/IF(C250&lt;='SOLLECITAZ NASCOSTO'!$P$12,IF(C250&lt;='SOLLECITAZ NASCOSTO'!$P$11,IF(C250&lt;='SOLLECITAZ NASCOSTO'!$P$10,IF(C250&lt;='SOLLECITAZ NASCOSTO'!$P$9,IF(C250&lt;='SOLLECITAZ NASCOSTO'!$P$8,IF(C250&lt;='SOLLECITAZ NASCOSTO'!$P$7,IF(C250&lt;='SOLLECITAZ NASCOSTO'!$P$6,IF(C250&lt;='SOLLECITAZ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0" s="42">
        <f t="shared" si="75"/>
        <v>2.169999999999995E-4</v>
      </c>
      <c r="Q250" s="42">
        <f t="shared" si="73"/>
        <v>1</v>
      </c>
      <c r="R250" s="441">
        <f t="shared" si="67"/>
        <v>1.4935096153846155</v>
      </c>
      <c r="S250" s="46">
        <f t="shared" si="74"/>
        <v>1.4935096153846155</v>
      </c>
      <c r="T250" s="211">
        <f t="shared" si="70"/>
        <v>1.8564903846153846</v>
      </c>
      <c r="U250" s="46">
        <f t="shared" si="71"/>
        <v>14.024793219247112</v>
      </c>
      <c r="V250" s="46">
        <f t="shared" si="72"/>
        <v>-8.5227071338769242</v>
      </c>
      <c r="W250" s="496"/>
      <c r="X250" s="497"/>
      <c r="Y250" s="497"/>
      <c r="Z250" s="498"/>
      <c r="AA250" s="47"/>
    </row>
    <row r="251" spans="1:27" s="428" customFormat="1" x14ac:dyDescent="0.25">
      <c r="A251" s="589">
        <f t="shared" si="68"/>
        <v>5.2644230768006395E-6</v>
      </c>
      <c r="B251" s="32">
        <f t="shared" si="58"/>
        <v>219</v>
      </c>
      <c r="C251" s="441">
        <f>'SOLLECITAZ NASCOSTO'!$D$6/'SOLLECITAZ NASCOSTO'!$B$448*'SOLLECITAZ NASCOSTO'!B251</f>
        <v>1.500360576923077</v>
      </c>
      <c r="D251" s="441">
        <f t="shared" si="69"/>
        <v>0.30000526442307679</v>
      </c>
      <c r="E251" s="441">
        <f t="shared" si="63"/>
        <v>5.2644230768006395E-6</v>
      </c>
      <c r="F251" s="441">
        <f t="shared" si="64"/>
        <v>0.30000526442307679</v>
      </c>
      <c r="G251" s="441">
        <f t="shared" si="65"/>
        <v>4.5001579340780112E-2</v>
      </c>
      <c r="H251" s="441">
        <f t="shared" si="59"/>
        <v>0</v>
      </c>
      <c r="I251" s="441">
        <v>0</v>
      </c>
      <c r="J251" s="131">
        <f t="shared" si="60"/>
        <v>0.15000263221153839</v>
      </c>
      <c r="K251" s="130">
        <f t="shared" si="66"/>
        <v>2.250118451597801E-3</v>
      </c>
      <c r="L251" s="42">
        <f t="shared" si="61"/>
        <v>14.125234975024846</v>
      </c>
      <c r="M251" s="42">
        <f t="shared" si="62"/>
        <v>-8.6191345141097067</v>
      </c>
      <c r="N251" s="42">
        <f>(IF(C250&lt;='SOLLECITAZ NASCOSTO'!$P$12,IF(C250&lt;='SOLLECITAZ NASCOSTO'!$P$11,IF(C250&lt;='SOLLECITAZ NASCOSTO'!$P$10,IF(C250&lt;='SOLLECITAZ NASCOSTO'!$P$9,IF(C250&lt;='SOLLECITAZ NASCOSTO'!$P$8,IF(C250&lt;='SOLLECITAZ NASCOSTO'!$P$7,IF(C250&lt;='SOLLECITAZ NASCOSTO'!$P$6,IF(C250&lt;='SOLLECITAZ NASCOSTO'!$P$5,'Progetto del paramento slu'!$G$105,'Progetto del paramento slu'!$G$106),'Progetto del paramento slu'!$G$107),'Progetto del paramento slu'!$G$108),'Progetto del paramento slu'!$G$109),'Progetto del paramento slu'!$G$110),'Progetto del paramento slu'!$G$111),'Progetto del paramento slu'!$G$112),55555)-IF(C250&lt;='SOLLECITAZ NASCOSTO'!$P$12,IF(C250&lt;='SOLLECITAZ NASCOSTO'!$P$11,IF(C250&lt;='SOLLECITAZ NASCOSTO'!$P$10,IF(C250&lt;='SOLLECITAZ NASCOSTO'!$P$9,IF(C250&lt;='SOLLECITAZ NASCOSTO'!$P$8,IF(C250&lt;='SOLLECITAZ NASCOSTO'!$P$7,IF(C250&lt;='SOLLECITAZ NASCOSTO'!$P$6,IF(C250&lt;='SOLLECITAZ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slu'!$G$112))*(C250-IF(C250&lt;='SOLLECITAZ NASCOSTO'!$P$12,IF(C250&lt;='SOLLECITAZ NASCOSTO'!$P$11,IF(C250&lt;='SOLLECITAZ NASCOSTO'!$P$10,IF(C250&lt;='SOLLECITAZ NASCOSTO'!$P$9,IF(C250&lt;='SOLLECITAZ NASCOSTO'!$P$8,IF(C250&lt;='SOLLECITAZ NASCOSTO'!$P$7,IF(C250&lt;='SOLLECITAZ NASCOSTO'!$P$6,IF(C250&lt;='SOLLECITAZ NASCOSTO'!$P$5,'SOLLECITAZ NASCOSTO'!$P$3,'SOLLECITAZ NASCOSTO'!$P$5),'SOLLECITAZ NASCOSTO'!$P$5),'SOLLECITAZ NASCOSTO'!$P$7),'SOLLECITAZ NASCOSTO'!$P$8),'SOLLECITAZ NASCOSTO'!$P$9),'SOLLECITAZ NASCOSTO'!$P$10),'SOLLECITAZ NASCOSTO'!$P$11),'SOLLECITAZ NASCOSTO'!$P$12))/IF(C250&lt;='SOLLECITAZ NASCOSTO'!$P$12,IF(C250&lt;='SOLLECITAZ NASCOSTO'!$P$11,IF(C250&lt;='SOLLECITAZ NASCOSTO'!$P$10,IF(C250&lt;='SOLLECITAZ NASCOSTO'!$P$9,IF(C250&lt;='SOLLECITAZ NASCOSTO'!$P$8,IF(C250&lt;='SOLLECITAZ NASCOSTO'!$P$7,IF(C250&lt;='SOLLECITAZ NASCOSTO'!$P$6,IF(C250&lt;='SOLLECITAZ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slu'!$C$112)+IF(C250&lt;='SOLLECITAZ NASCOSTO'!$P$12,IF(C250&lt;='SOLLECITAZ NASCOSTO'!$P$11,IF(C250&lt;='SOLLECITAZ NASCOSTO'!$P$10,IF(C250&lt;='SOLLECITAZ NASCOSTO'!$P$9,IF(C250&lt;='SOLLECITAZ NASCOSTO'!$P$8,IF(C250&lt;='SOLLECITAZ NASCOSTO'!$P$7,IF(C250&lt;='SOLLECITAZ NASCOSTO'!$P$6,IF(C250&lt;='SOLLECITAZ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14.636905961920494</v>
      </c>
      <c r="O251" s="42">
        <f>IF(C251&lt;='SOLLECITAZ NASCOSTO'!$P$12,IF(C251&lt;='SOLLECITAZ NASCOSTO'!$P$11,IF(C251&lt;='SOLLECITAZ NASCOSTO'!$P$10,IF(C251&lt;='SOLLECITAZ NASCOSTO'!$P$9,IF(C251&lt;='SOLLECITAZ NASCOSTO'!$P$8,IF(C251&lt;='SOLLECITAZ NASCOSTO'!$P$7,IF(C251&lt;='SOLLECITAZ NASCOSTO'!$P$6,IF(C251&lt;='SOLLECITAZ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slu'!$G$111),55555)*(C251-C250)/IF(C251&lt;='SOLLECITAZ NASCOSTO'!$P$12,IF(C251&lt;='SOLLECITAZ NASCOSTO'!$P$11,IF(C251&lt;='SOLLECITAZ NASCOSTO'!$P$10,IF(C251&lt;='SOLLECITAZ NASCOSTO'!$P$9,IF(C251&lt;='SOLLECITAZ NASCOSTO'!$P$8,IF(C251&lt;='SOLLECITAZ NASCOSTO'!$P$7,IF(C251&lt;='SOLLECITAZ NASCOSTO'!$P$6,IF(C251&lt;='SOLLECITAZ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1" s="42">
        <f t="shared" si="75"/>
        <v>2.179999999999995E-4</v>
      </c>
      <c r="Q251" s="42">
        <f t="shared" si="73"/>
        <v>1</v>
      </c>
      <c r="R251" s="441">
        <f t="shared" si="67"/>
        <v>1.500360576923077</v>
      </c>
      <c r="S251" s="46">
        <f t="shared" si="74"/>
        <v>1.500360576923077</v>
      </c>
      <c r="T251" s="211">
        <f t="shared" si="70"/>
        <v>1.8496394230769231</v>
      </c>
      <c r="U251" s="46">
        <f t="shared" si="71"/>
        <v>14.125234975024846</v>
      </c>
      <c r="V251" s="46">
        <f t="shared" si="72"/>
        <v>-8.6191345141097067</v>
      </c>
      <c r="W251" s="496"/>
      <c r="X251" s="497"/>
      <c r="Y251" s="497"/>
      <c r="Z251" s="498"/>
      <c r="AA251" s="47"/>
    </row>
    <row r="252" spans="1:27" s="428" customFormat="1" x14ac:dyDescent="0.25">
      <c r="A252" s="589">
        <f t="shared" si="68"/>
        <v>5.2884615383552713E-6</v>
      </c>
      <c r="B252" s="32">
        <f t="shared" si="58"/>
        <v>220</v>
      </c>
      <c r="C252" s="441">
        <f>'SOLLECITAZ NASCOSTO'!$D$6/'SOLLECITAZ NASCOSTO'!$B$448*'SOLLECITAZ NASCOSTO'!B252</f>
        <v>1.5072115384615385</v>
      </c>
      <c r="D252" s="441">
        <f t="shared" si="69"/>
        <v>0.30000528846153834</v>
      </c>
      <c r="E252" s="441">
        <f t="shared" si="63"/>
        <v>5.2884615383552713E-6</v>
      </c>
      <c r="F252" s="441">
        <f t="shared" si="64"/>
        <v>0.30000528846153834</v>
      </c>
      <c r="G252" s="441">
        <f t="shared" si="65"/>
        <v>4.5001586552445419E-2</v>
      </c>
      <c r="H252" s="441">
        <f t="shared" si="59"/>
        <v>0</v>
      </c>
      <c r="I252" s="441">
        <v>0</v>
      </c>
      <c r="J252" s="131">
        <f t="shared" si="60"/>
        <v>0.15000264423076917</v>
      </c>
      <c r="K252" s="130">
        <f t="shared" si="66"/>
        <v>2.250118992482212E-3</v>
      </c>
      <c r="L252" s="42">
        <f t="shared" si="61"/>
        <v>14.226006482783657</v>
      </c>
      <c r="M252" s="42">
        <f t="shared" si="62"/>
        <v>-8.716251146507247</v>
      </c>
      <c r="N252" s="42">
        <f>(IF(C251&lt;='SOLLECITAZ NASCOSTO'!$P$12,IF(C251&lt;='SOLLECITAZ NASCOSTO'!$P$11,IF(C251&lt;='SOLLECITAZ NASCOSTO'!$P$10,IF(C251&lt;='SOLLECITAZ NASCOSTO'!$P$9,IF(C251&lt;='SOLLECITAZ NASCOSTO'!$P$8,IF(C251&lt;='SOLLECITAZ NASCOSTO'!$P$7,IF(C251&lt;='SOLLECITAZ NASCOSTO'!$P$6,IF(C251&lt;='SOLLECITAZ NASCOSTO'!$P$5,'Progetto del paramento slu'!$G$105,'Progetto del paramento slu'!$G$106),'Progetto del paramento slu'!$G$107),'Progetto del paramento slu'!$G$108),'Progetto del paramento slu'!$G$109),'Progetto del paramento slu'!$G$110),'Progetto del paramento slu'!$G$111),'Progetto del paramento slu'!$G$112),55555)-IF(C251&lt;='SOLLECITAZ NASCOSTO'!$P$12,IF(C251&lt;='SOLLECITAZ NASCOSTO'!$P$11,IF(C251&lt;='SOLLECITAZ NASCOSTO'!$P$10,IF(C251&lt;='SOLLECITAZ NASCOSTO'!$P$9,IF(C251&lt;='SOLLECITAZ NASCOSTO'!$P$8,IF(C251&lt;='SOLLECITAZ NASCOSTO'!$P$7,IF(C251&lt;='SOLLECITAZ NASCOSTO'!$P$6,IF(C251&lt;='SOLLECITAZ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slu'!$G$112))*(C251-IF(C251&lt;='SOLLECITAZ NASCOSTO'!$P$12,IF(C251&lt;='SOLLECITAZ NASCOSTO'!$P$11,IF(C251&lt;='SOLLECITAZ NASCOSTO'!$P$10,IF(C251&lt;='SOLLECITAZ NASCOSTO'!$P$9,IF(C251&lt;='SOLLECITAZ NASCOSTO'!$P$8,IF(C251&lt;='SOLLECITAZ NASCOSTO'!$P$7,IF(C251&lt;='SOLLECITAZ NASCOSTO'!$P$6,IF(C251&lt;='SOLLECITAZ NASCOSTO'!$P$5,'SOLLECITAZ NASCOSTO'!$P$3,'SOLLECITAZ NASCOSTO'!$P$5),'SOLLECITAZ NASCOSTO'!$P$5),'SOLLECITAZ NASCOSTO'!$P$7),'SOLLECITAZ NASCOSTO'!$P$8),'SOLLECITAZ NASCOSTO'!$P$9),'SOLLECITAZ NASCOSTO'!$P$10),'SOLLECITAZ NASCOSTO'!$P$11),'SOLLECITAZ NASCOSTO'!$P$12))/IF(C251&lt;='SOLLECITAZ NASCOSTO'!$P$12,IF(C251&lt;='SOLLECITAZ NASCOSTO'!$P$11,IF(C251&lt;='SOLLECITAZ NASCOSTO'!$P$10,IF(C251&lt;='SOLLECITAZ NASCOSTO'!$P$9,IF(C251&lt;='SOLLECITAZ NASCOSTO'!$P$8,IF(C251&lt;='SOLLECITAZ NASCOSTO'!$P$7,IF(C251&lt;='SOLLECITAZ NASCOSTO'!$P$6,IF(C251&lt;='SOLLECITAZ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slu'!$C$112)+IF(C251&lt;='SOLLECITAZ NASCOSTO'!$P$12,IF(C251&lt;='SOLLECITAZ NASCOSTO'!$P$11,IF(C251&lt;='SOLLECITAZ NASCOSTO'!$P$10,IF(C251&lt;='SOLLECITAZ NASCOSTO'!$P$9,IF(C251&lt;='SOLLECITAZ NASCOSTO'!$P$8,IF(C251&lt;='SOLLECITAZ NASCOSTO'!$P$7,IF(C251&lt;='SOLLECITAZ NASCOSTO'!$P$6,IF(C251&lt;='SOLLECITAZ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14.685038180912846</v>
      </c>
      <c r="O252" s="42">
        <f>IF(C252&lt;='SOLLECITAZ NASCOSTO'!$P$12,IF(C252&lt;='SOLLECITAZ NASCOSTO'!$P$11,IF(C252&lt;='SOLLECITAZ NASCOSTO'!$P$10,IF(C252&lt;='SOLLECITAZ NASCOSTO'!$P$9,IF(C252&lt;='SOLLECITAZ NASCOSTO'!$P$8,IF(C252&lt;='SOLLECITAZ NASCOSTO'!$P$7,IF(C252&lt;='SOLLECITAZ NASCOSTO'!$P$6,IF(C252&lt;='SOLLECITAZ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slu'!$G$111),55555)*(C252-C251)/IF(C252&lt;='SOLLECITAZ NASCOSTO'!$P$12,IF(C252&lt;='SOLLECITAZ NASCOSTO'!$P$11,IF(C252&lt;='SOLLECITAZ NASCOSTO'!$P$10,IF(C252&lt;='SOLLECITAZ NASCOSTO'!$P$9,IF(C252&lt;='SOLLECITAZ NASCOSTO'!$P$8,IF(C252&lt;='SOLLECITAZ NASCOSTO'!$P$7,IF(C252&lt;='SOLLECITAZ NASCOSTO'!$P$6,IF(C252&lt;='SOLLECITAZ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2" s="42">
        <f t="shared" si="75"/>
        <v>2.189999999999995E-4</v>
      </c>
      <c r="Q252" s="42">
        <f t="shared" si="73"/>
        <v>1</v>
      </c>
      <c r="R252" s="441">
        <f t="shared" si="67"/>
        <v>1.5072115384615385</v>
      </c>
      <c r="S252" s="46">
        <f t="shared" si="74"/>
        <v>1.5072115384615385</v>
      </c>
      <c r="T252" s="211">
        <f t="shared" si="70"/>
        <v>1.8427884615384615</v>
      </c>
      <c r="U252" s="46">
        <f t="shared" si="71"/>
        <v>14.226006482783657</v>
      </c>
      <c r="V252" s="46">
        <f t="shared" si="72"/>
        <v>-8.716251146507247</v>
      </c>
      <c r="W252" s="496"/>
      <c r="X252" s="497"/>
      <c r="Y252" s="497"/>
      <c r="Z252" s="498"/>
      <c r="AA252" s="47"/>
    </row>
    <row r="253" spans="1:27" s="428" customFormat="1" x14ac:dyDescent="0.25">
      <c r="A253" s="589">
        <f t="shared" si="68"/>
        <v>5.3124999999099032E-6</v>
      </c>
      <c r="B253" s="32">
        <f t="shared" si="58"/>
        <v>221</v>
      </c>
      <c r="C253" s="441">
        <f>'SOLLECITAZ NASCOSTO'!$D$6/'SOLLECITAZ NASCOSTO'!$B$448*'SOLLECITAZ NASCOSTO'!B253</f>
        <v>1.5140625000000001</v>
      </c>
      <c r="D253" s="441">
        <f t="shared" si="69"/>
        <v>0.3000053124999999</v>
      </c>
      <c r="E253" s="441">
        <f t="shared" si="63"/>
        <v>5.3124999999099032E-6</v>
      </c>
      <c r="F253" s="441">
        <f t="shared" si="64"/>
        <v>0.3000053124999999</v>
      </c>
      <c r="G253" s="441">
        <f t="shared" si="65"/>
        <v>4.5001593764111301E-2</v>
      </c>
      <c r="H253" s="441">
        <f t="shared" si="59"/>
        <v>0</v>
      </c>
      <c r="I253" s="441">
        <v>0</v>
      </c>
      <c r="J253" s="131">
        <f t="shared" si="60"/>
        <v>0.15000265624999995</v>
      </c>
      <c r="K253" s="130">
        <f t="shared" si="66"/>
        <v>2.2501195333667094E-3</v>
      </c>
      <c r="L253" s="42">
        <f t="shared" si="61"/>
        <v>14.327107742523546</v>
      </c>
      <c r="M253" s="42">
        <f t="shared" si="62"/>
        <v>-8.8140592901876857</v>
      </c>
      <c r="N253" s="42">
        <f>(IF(C252&lt;='SOLLECITAZ NASCOSTO'!$P$12,IF(C252&lt;='SOLLECITAZ NASCOSTO'!$P$11,IF(C252&lt;='SOLLECITAZ NASCOSTO'!$P$10,IF(C252&lt;='SOLLECITAZ NASCOSTO'!$P$9,IF(C252&lt;='SOLLECITAZ NASCOSTO'!$P$8,IF(C252&lt;='SOLLECITAZ NASCOSTO'!$P$7,IF(C252&lt;='SOLLECITAZ NASCOSTO'!$P$6,IF(C252&lt;='SOLLECITAZ NASCOSTO'!$P$5,'Progetto del paramento slu'!$G$105,'Progetto del paramento slu'!$G$106),'Progetto del paramento slu'!$G$107),'Progetto del paramento slu'!$G$108),'Progetto del paramento slu'!$G$109),'Progetto del paramento slu'!$G$110),'Progetto del paramento slu'!$G$111),'Progetto del paramento slu'!$G$112),55555)-IF(C252&lt;='SOLLECITAZ NASCOSTO'!$P$12,IF(C252&lt;='SOLLECITAZ NASCOSTO'!$P$11,IF(C252&lt;='SOLLECITAZ NASCOSTO'!$P$10,IF(C252&lt;='SOLLECITAZ NASCOSTO'!$P$9,IF(C252&lt;='SOLLECITAZ NASCOSTO'!$P$8,IF(C252&lt;='SOLLECITAZ NASCOSTO'!$P$7,IF(C252&lt;='SOLLECITAZ NASCOSTO'!$P$6,IF(C252&lt;='SOLLECITAZ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slu'!$G$112))*(C252-IF(C252&lt;='SOLLECITAZ NASCOSTO'!$P$12,IF(C252&lt;='SOLLECITAZ NASCOSTO'!$P$11,IF(C252&lt;='SOLLECITAZ NASCOSTO'!$P$10,IF(C252&lt;='SOLLECITAZ NASCOSTO'!$P$9,IF(C252&lt;='SOLLECITAZ NASCOSTO'!$P$8,IF(C252&lt;='SOLLECITAZ NASCOSTO'!$P$7,IF(C252&lt;='SOLLECITAZ NASCOSTO'!$P$6,IF(C252&lt;='SOLLECITAZ NASCOSTO'!$P$5,'SOLLECITAZ NASCOSTO'!$P$3,'SOLLECITAZ NASCOSTO'!$P$5),'SOLLECITAZ NASCOSTO'!$P$5),'SOLLECITAZ NASCOSTO'!$P$7),'SOLLECITAZ NASCOSTO'!$P$8),'SOLLECITAZ NASCOSTO'!$P$9),'SOLLECITAZ NASCOSTO'!$P$10),'SOLLECITAZ NASCOSTO'!$P$11),'SOLLECITAZ NASCOSTO'!$P$12))/IF(C252&lt;='SOLLECITAZ NASCOSTO'!$P$12,IF(C252&lt;='SOLLECITAZ NASCOSTO'!$P$11,IF(C252&lt;='SOLLECITAZ NASCOSTO'!$P$10,IF(C252&lt;='SOLLECITAZ NASCOSTO'!$P$9,IF(C252&lt;='SOLLECITAZ NASCOSTO'!$P$8,IF(C252&lt;='SOLLECITAZ NASCOSTO'!$P$7,IF(C252&lt;='SOLLECITAZ NASCOSTO'!$P$6,IF(C252&lt;='SOLLECITAZ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slu'!$C$112)+IF(C252&lt;='SOLLECITAZ NASCOSTO'!$P$12,IF(C252&lt;='SOLLECITAZ NASCOSTO'!$P$11,IF(C252&lt;='SOLLECITAZ NASCOSTO'!$P$10,IF(C252&lt;='SOLLECITAZ NASCOSTO'!$P$9,IF(C252&lt;='SOLLECITAZ NASCOSTO'!$P$8,IF(C252&lt;='SOLLECITAZ NASCOSTO'!$P$7,IF(C252&lt;='SOLLECITAZ NASCOSTO'!$P$6,IF(C252&lt;='SOLLECITAZ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14.733170399905198</v>
      </c>
      <c r="O253" s="42">
        <f>IF(C253&lt;='SOLLECITAZ NASCOSTO'!$P$12,IF(C253&lt;='SOLLECITAZ NASCOSTO'!$P$11,IF(C253&lt;='SOLLECITAZ NASCOSTO'!$P$10,IF(C253&lt;='SOLLECITAZ NASCOSTO'!$P$9,IF(C253&lt;='SOLLECITAZ NASCOSTO'!$P$8,IF(C253&lt;='SOLLECITAZ NASCOSTO'!$P$7,IF(C253&lt;='SOLLECITAZ NASCOSTO'!$P$6,IF(C253&lt;='SOLLECITAZ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slu'!$G$111),55555)*(C253-C252)/IF(C253&lt;='SOLLECITAZ NASCOSTO'!$P$12,IF(C253&lt;='SOLLECITAZ NASCOSTO'!$P$11,IF(C253&lt;='SOLLECITAZ NASCOSTO'!$P$10,IF(C253&lt;='SOLLECITAZ NASCOSTO'!$P$9,IF(C253&lt;='SOLLECITAZ NASCOSTO'!$P$8,IF(C253&lt;='SOLLECITAZ NASCOSTO'!$P$7,IF(C253&lt;='SOLLECITAZ NASCOSTO'!$P$6,IF(C253&lt;='SOLLECITAZ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3" s="42">
        <f t="shared" si="75"/>
        <v>2.1999999999999949E-4</v>
      </c>
      <c r="Q253" s="42">
        <f t="shared" si="73"/>
        <v>1</v>
      </c>
      <c r="R253" s="441">
        <f t="shared" si="67"/>
        <v>1.5140625000000001</v>
      </c>
      <c r="S253" s="46">
        <f t="shared" si="74"/>
        <v>1.5140625000000001</v>
      </c>
      <c r="T253" s="211">
        <f t="shared" si="70"/>
        <v>1.8359375</v>
      </c>
      <c r="U253" s="46">
        <f t="shared" si="71"/>
        <v>14.327107742523546</v>
      </c>
      <c r="V253" s="46">
        <f t="shared" si="72"/>
        <v>-8.8140592901876857</v>
      </c>
      <c r="W253" s="496"/>
      <c r="X253" s="497"/>
      <c r="Y253" s="497"/>
      <c r="Z253" s="498"/>
      <c r="AA253" s="47"/>
    </row>
    <row r="254" spans="1:27" s="428" customFormat="1" x14ac:dyDescent="0.25">
      <c r="A254" s="589">
        <f t="shared" si="68"/>
        <v>5.3365384614090239E-6</v>
      </c>
      <c r="B254" s="32">
        <f t="shared" si="58"/>
        <v>222</v>
      </c>
      <c r="C254" s="441">
        <f>'SOLLECITAZ NASCOSTO'!$D$6/'SOLLECITAZ NASCOSTO'!$B$448*'SOLLECITAZ NASCOSTO'!B254</f>
        <v>1.5209134615384616</v>
      </c>
      <c r="D254" s="441">
        <f t="shared" si="69"/>
        <v>0.3000053365384614</v>
      </c>
      <c r="E254" s="441">
        <f t="shared" si="63"/>
        <v>5.3365384614090239E-6</v>
      </c>
      <c r="F254" s="441">
        <f t="shared" si="64"/>
        <v>0.3000053365384614</v>
      </c>
      <c r="G254" s="441">
        <f t="shared" si="65"/>
        <v>4.5001600975777739E-2</v>
      </c>
      <c r="H254" s="441">
        <f t="shared" si="59"/>
        <v>0</v>
      </c>
      <c r="I254" s="441">
        <v>0</v>
      </c>
      <c r="J254" s="131">
        <f t="shared" si="60"/>
        <v>0.1500026682692307</v>
      </c>
      <c r="K254" s="130">
        <f t="shared" si="66"/>
        <v>2.2501200742512922E-3</v>
      </c>
      <c r="L254" s="42">
        <f t="shared" si="61"/>
        <v>14.428538754244514</v>
      </c>
      <c r="M254" s="42">
        <f t="shared" si="62"/>
        <v>-8.9125612042691635</v>
      </c>
      <c r="N254" s="42">
        <f>(IF(C253&lt;='SOLLECITAZ NASCOSTO'!$P$12,IF(C253&lt;='SOLLECITAZ NASCOSTO'!$P$11,IF(C253&lt;='SOLLECITAZ NASCOSTO'!$P$10,IF(C253&lt;='SOLLECITAZ NASCOSTO'!$P$9,IF(C253&lt;='SOLLECITAZ NASCOSTO'!$P$8,IF(C253&lt;='SOLLECITAZ NASCOSTO'!$P$7,IF(C253&lt;='SOLLECITAZ NASCOSTO'!$P$6,IF(C253&lt;='SOLLECITAZ NASCOSTO'!$P$5,'Progetto del paramento slu'!$G$105,'Progetto del paramento slu'!$G$106),'Progetto del paramento slu'!$G$107),'Progetto del paramento slu'!$G$108),'Progetto del paramento slu'!$G$109),'Progetto del paramento slu'!$G$110),'Progetto del paramento slu'!$G$111),'Progetto del paramento slu'!$G$112),55555)-IF(C253&lt;='SOLLECITAZ NASCOSTO'!$P$12,IF(C253&lt;='SOLLECITAZ NASCOSTO'!$P$11,IF(C253&lt;='SOLLECITAZ NASCOSTO'!$P$10,IF(C253&lt;='SOLLECITAZ NASCOSTO'!$P$9,IF(C253&lt;='SOLLECITAZ NASCOSTO'!$P$8,IF(C253&lt;='SOLLECITAZ NASCOSTO'!$P$7,IF(C253&lt;='SOLLECITAZ NASCOSTO'!$P$6,IF(C253&lt;='SOLLECITAZ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slu'!$G$112))*(C253-IF(C253&lt;='SOLLECITAZ NASCOSTO'!$P$12,IF(C253&lt;='SOLLECITAZ NASCOSTO'!$P$11,IF(C253&lt;='SOLLECITAZ NASCOSTO'!$P$10,IF(C253&lt;='SOLLECITAZ NASCOSTO'!$P$9,IF(C253&lt;='SOLLECITAZ NASCOSTO'!$P$8,IF(C253&lt;='SOLLECITAZ NASCOSTO'!$P$7,IF(C253&lt;='SOLLECITAZ NASCOSTO'!$P$6,IF(C253&lt;='SOLLECITAZ NASCOSTO'!$P$5,'SOLLECITAZ NASCOSTO'!$P$3,'SOLLECITAZ NASCOSTO'!$P$5),'SOLLECITAZ NASCOSTO'!$P$5),'SOLLECITAZ NASCOSTO'!$P$7),'SOLLECITAZ NASCOSTO'!$P$8),'SOLLECITAZ NASCOSTO'!$P$9),'SOLLECITAZ NASCOSTO'!$P$10),'SOLLECITAZ NASCOSTO'!$P$11),'SOLLECITAZ NASCOSTO'!$P$12))/IF(C253&lt;='SOLLECITAZ NASCOSTO'!$P$12,IF(C253&lt;='SOLLECITAZ NASCOSTO'!$P$11,IF(C253&lt;='SOLLECITAZ NASCOSTO'!$P$10,IF(C253&lt;='SOLLECITAZ NASCOSTO'!$P$9,IF(C253&lt;='SOLLECITAZ NASCOSTO'!$P$8,IF(C253&lt;='SOLLECITAZ NASCOSTO'!$P$7,IF(C253&lt;='SOLLECITAZ NASCOSTO'!$P$6,IF(C253&lt;='SOLLECITAZ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slu'!$C$112)+IF(C253&lt;='SOLLECITAZ NASCOSTO'!$P$12,IF(C253&lt;='SOLLECITAZ NASCOSTO'!$P$11,IF(C253&lt;='SOLLECITAZ NASCOSTO'!$P$10,IF(C253&lt;='SOLLECITAZ NASCOSTO'!$P$9,IF(C253&lt;='SOLLECITAZ NASCOSTO'!$P$8,IF(C253&lt;='SOLLECITAZ NASCOSTO'!$P$7,IF(C253&lt;='SOLLECITAZ NASCOSTO'!$P$6,IF(C253&lt;='SOLLECITAZ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14.781302618897552</v>
      </c>
      <c r="O254" s="42">
        <f>IF(C254&lt;='SOLLECITAZ NASCOSTO'!$P$12,IF(C254&lt;='SOLLECITAZ NASCOSTO'!$P$11,IF(C254&lt;='SOLLECITAZ NASCOSTO'!$P$10,IF(C254&lt;='SOLLECITAZ NASCOSTO'!$P$9,IF(C254&lt;='SOLLECITAZ NASCOSTO'!$P$8,IF(C254&lt;='SOLLECITAZ NASCOSTO'!$P$7,IF(C254&lt;='SOLLECITAZ NASCOSTO'!$P$6,IF(C254&lt;='SOLLECITAZ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slu'!$G$111),55555)*(C254-C253)/IF(C254&lt;='SOLLECITAZ NASCOSTO'!$P$12,IF(C254&lt;='SOLLECITAZ NASCOSTO'!$P$11,IF(C254&lt;='SOLLECITAZ NASCOSTO'!$P$10,IF(C254&lt;='SOLLECITAZ NASCOSTO'!$P$9,IF(C254&lt;='SOLLECITAZ NASCOSTO'!$P$8,IF(C254&lt;='SOLLECITAZ NASCOSTO'!$P$7,IF(C254&lt;='SOLLECITAZ NASCOSTO'!$P$6,IF(C254&lt;='SOLLECITAZ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4" s="42">
        <f t="shared" si="75"/>
        <v>2.2099999999999949E-4</v>
      </c>
      <c r="Q254" s="42">
        <f t="shared" si="73"/>
        <v>1</v>
      </c>
      <c r="R254" s="441">
        <f t="shared" si="67"/>
        <v>1.5209134615384616</v>
      </c>
      <c r="S254" s="46">
        <f t="shared" si="74"/>
        <v>1.5209134615384616</v>
      </c>
      <c r="T254" s="211">
        <f t="shared" si="70"/>
        <v>1.8290865384615385</v>
      </c>
      <c r="U254" s="46">
        <f t="shared" si="71"/>
        <v>14.428538754244514</v>
      </c>
      <c r="V254" s="46">
        <f t="shared" si="72"/>
        <v>-8.9125612042691635</v>
      </c>
      <c r="W254" s="496"/>
      <c r="X254" s="497"/>
      <c r="Y254" s="497"/>
      <c r="Z254" s="498"/>
      <c r="AA254" s="47"/>
    </row>
    <row r="255" spans="1:27" s="428" customFormat="1" x14ac:dyDescent="0.25">
      <c r="A255" s="589">
        <f t="shared" si="68"/>
        <v>5.3605769229636557E-6</v>
      </c>
      <c r="B255" s="32">
        <f t="shared" ref="B255:B318" si="76">B254+1</f>
        <v>223</v>
      </c>
      <c r="C255" s="441">
        <f>'SOLLECITAZ NASCOSTO'!$D$6/'SOLLECITAZ NASCOSTO'!$B$448*'SOLLECITAZ NASCOSTO'!B255</f>
        <v>1.5277644230769232</v>
      </c>
      <c r="D255" s="441">
        <f t="shared" si="69"/>
        <v>0.30000536057692295</v>
      </c>
      <c r="E255" s="441">
        <f t="shared" si="63"/>
        <v>5.3605769229636557E-6</v>
      </c>
      <c r="F255" s="441">
        <f t="shared" si="64"/>
        <v>0.30000536057692295</v>
      </c>
      <c r="G255" s="441">
        <f t="shared" si="65"/>
        <v>4.500160818744478E-2</v>
      </c>
      <c r="H255" s="441">
        <f t="shared" ref="H255:H318" si="77">I255*F255</f>
        <v>0</v>
      </c>
      <c r="I255" s="441">
        <v>0</v>
      </c>
      <c r="J255" s="131">
        <f t="shared" ref="J255:J318" si="78">G255/F255</f>
        <v>0.15000268028846148</v>
      </c>
      <c r="K255" s="130">
        <f t="shared" si="66"/>
        <v>2.2501206151359634E-3</v>
      </c>
      <c r="L255" s="42">
        <f t="shared" ref="L255:L318" si="79">L254+N255*(C255-C254)+O255*(C255-C254)/2</f>
        <v>14.530299517946558</v>
      </c>
      <c r="M255" s="42">
        <f t="shared" ref="M255:M318" si="80">M254-(L255+L254)*(C255-C254)/2</f>
        <v>-9.0117591478698174</v>
      </c>
      <c r="N255" s="42">
        <f>(IF(C254&lt;='SOLLECITAZ NASCOSTO'!$P$12,IF(C254&lt;='SOLLECITAZ NASCOSTO'!$P$11,IF(C254&lt;='SOLLECITAZ NASCOSTO'!$P$10,IF(C254&lt;='SOLLECITAZ NASCOSTO'!$P$9,IF(C254&lt;='SOLLECITAZ NASCOSTO'!$P$8,IF(C254&lt;='SOLLECITAZ NASCOSTO'!$P$7,IF(C254&lt;='SOLLECITAZ NASCOSTO'!$P$6,IF(C254&lt;='SOLLECITAZ NASCOSTO'!$P$5,'Progetto del paramento slu'!$G$105,'Progetto del paramento slu'!$G$106),'Progetto del paramento slu'!$G$107),'Progetto del paramento slu'!$G$108),'Progetto del paramento slu'!$G$109),'Progetto del paramento slu'!$G$110),'Progetto del paramento slu'!$G$111),'Progetto del paramento slu'!$G$112),55555)-IF(C254&lt;='SOLLECITAZ NASCOSTO'!$P$12,IF(C254&lt;='SOLLECITAZ NASCOSTO'!$P$11,IF(C254&lt;='SOLLECITAZ NASCOSTO'!$P$10,IF(C254&lt;='SOLLECITAZ NASCOSTO'!$P$9,IF(C254&lt;='SOLLECITAZ NASCOSTO'!$P$8,IF(C254&lt;='SOLLECITAZ NASCOSTO'!$P$7,IF(C254&lt;='SOLLECITAZ NASCOSTO'!$P$6,IF(C254&lt;='SOLLECITAZ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slu'!$G$112))*(C254-IF(C254&lt;='SOLLECITAZ NASCOSTO'!$P$12,IF(C254&lt;='SOLLECITAZ NASCOSTO'!$P$11,IF(C254&lt;='SOLLECITAZ NASCOSTO'!$P$10,IF(C254&lt;='SOLLECITAZ NASCOSTO'!$P$9,IF(C254&lt;='SOLLECITAZ NASCOSTO'!$P$8,IF(C254&lt;='SOLLECITAZ NASCOSTO'!$P$7,IF(C254&lt;='SOLLECITAZ NASCOSTO'!$P$6,IF(C254&lt;='SOLLECITAZ NASCOSTO'!$P$5,'SOLLECITAZ NASCOSTO'!$P$3,'SOLLECITAZ NASCOSTO'!$P$5),'SOLLECITAZ NASCOSTO'!$P$5),'SOLLECITAZ NASCOSTO'!$P$7),'SOLLECITAZ NASCOSTO'!$P$8),'SOLLECITAZ NASCOSTO'!$P$9),'SOLLECITAZ NASCOSTO'!$P$10),'SOLLECITAZ NASCOSTO'!$P$11),'SOLLECITAZ NASCOSTO'!$P$12))/IF(C254&lt;='SOLLECITAZ NASCOSTO'!$P$12,IF(C254&lt;='SOLLECITAZ NASCOSTO'!$P$11,IF(C254&lt;='SOLLECITAZ NASCOSTO'!$P$10,IF(C254&lt;='SOLLECITAZ NASCOSTO'!$P$9,IF(C254&lt;='SOLLECITAZ NASCOSTO'!$P$8,IF(C254&lt;='SOLLECITAZ NASCOSTO'!$P$7,IF(C254&lt;='SOLLECITAZ NASCOSTO'!$P$6,IF(C254&lt;='SOLLECITAZ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slu'!$C$112)+IF(C254&lt;='SOLLECITAZ NASCOSTO'!$P$12,IF(C254&lt;='SOLLECITAZ NASCOSTO'!$P$11,IF(C254&lt;='SOLLECITAZ NASCOSTO'!$P$10,IF(C254&lt;='SOLLECITAZ NASCOSTO'!$P$9,IF(C254&lt;='SOLLECITAZ NASCOSTO'!$P$8,IF(C254&lt;='SOLLECITAZ NASCOSTO'!$P$7,IF(C254&lt;='SOLLECITAZ NASCOSTO'!$P$6,IF(C254&lt;='SOLLECITAZ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14.829434837889904</v>
      </c>
      <c r="O255" s="42">
        <f>IF(C255&lt;='SOLLECITAZ NASCOSTO'!$P$12,IF(C255&lt;='SOLLECITAZ NASCOSTO'!$P$11,IF(C255&lt;='SOLLECITAZ NASCOSTO'!$P$10,IF(C255&lt;='SOLLECITAZ NASCOSTO'!$P$9,IF(C255&lt;='SOLLECITAZ NASCOSTO'!$P$8,IF(C255&lt;='SOLLECITAZ NASCOSTO'!$P$7,IF(C255&lt;='SOLLECITAZ NASCOSTO'!$P$6,IF(C255&lt;='SOLLECITAZ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slu'!$G$111),55555)*(C255-C254)/IF(C255&lt;='SOLLECITAZ NASCOSTO'!$P$12,IF(C255&lt;='SOLLECITAZ NASCOSTO'!$P$11,IF(C255&lt;='SOLLECITAZ NASCOSTO'!$P$10,IF(C255&lt;='SOLLECITAZ NASCOSTO'!$P$9,IF(C255&lt;='SOLLECITAZ NASCOSTO'!$P$8,IF(C255&lt;='SOLLECITAZ NASCOSTO'!$P$7,IF(C255&lt;='SOLLECITAZ NASCOSTO'!$P$6,IF(C255&lt;='SOLLECITAZ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5" s="42">
        <f t="shared" si="75"/>
        <v>2.2199999999999949E-4</v>
      </c>
      <c r="Q255" s="42">
        <f t="shared" si="73"/>
        <v>1</v>
      </c>
      <c r="R255" s="441">
        <f t="shared" si="67"/>
        <v>1.5277644230769232</v>
      </c>
      <c r="S255" s="46">
        <f t="shared" si="74"/>
        <v>1.5277644230769232</v>
      </c>
      <c r="T255" s="211">
        <f t="shared" si="70"/>
        <v>1.8222355769230769</v>
      </c>
      <c r="U255" s="46">
        <f t="shared" si="71"/>
        <v>14.530299517946558</v>
      </c>
      <c r="V255" s="46">
        <f t="shared" si="72"/>
        <v>-9.0117591478698174</v>
      </c>
      <c r="W255" s="496"/>
      <c r="X255" s="497"/>
      <c r="Y255" s="497"/>
      <c r="Z255" s="498"/>
      <c r="AA255" s="47"/>
    </row>
    <row r="256" spans="1:27" s="428" customFormat="1" x14ac:dyDescent="0.25">
      <c r="A256" s="589">
        <f t="shared" si="68"/>
        <v>5.3846153845182876E-6</v>
      </c>
      <c r="B256" s="32">
        <f t="shared" si="76"/>
        <v>224</v>
      </c>
      <c r="C256" s="441">
        <f>'SOLLECITAZ NASCOSTO'!$D$6/'SOLLECITAZ NASCOSTO'!$B$448*'SOLLECITAZ NASCOSTO'!B256</f>
        <v>1.5346153846153845</v>
      </c>
      <c r="D256" s="441">
        <f t="shared" si="69"/>
        <v>0.30000538461538451</v>
      </c>
      <c r="E256" s="441">
        <f t="shared" si="63"/>
        <v>5.3846153845182876E-6</v>
      </c>
      <c r="F256" s="441">
        <f t="shared" si="64"/>
        <v>0.30000538461538451</v>
      </c>
      <c r="G256" s="441">
        <f t="shared" si="65"/>
        <v>4.5001615399112398E-2</v>
      </c>
      <c r="H256" s="441">
        <f t="shared" si="77"/>
        <v>0</v>
      </c>
      <c r="I256" s="441">
        <v>0</v>
      </c>
      <c r="J256" s="131">
        <f t="shared" si="78"/>
        <v>0.15000269230769225</v>
      </c>
      <c r="K256" s="130">
        <f t="shared" si="66"/>
        <v>2.2501211560207205E-3</v>
      </c>
      <c r="L256" s="42">
        <f t="shared" si="79"/>
        <v>14.632390033629676</v>
      </c>
      <c r="M256" s="42">
        <f t="shared" si="80"/>
        <v>-9.111655380107786</v>
      </c>
      <c r="N256" s="42">
        <f>(IF(C255&lt;='SOLLECITAZ NASCOSTO'!$P$12,IF(C255&lt;='SOLLECITAZ NASCOSTO'!$P$11,IF(C255&lt;='SOLLECITAZ NASCOSTO'!$P$10,IF(C255&lt;='SOLLECITAZ NASCOSTO'!$P$9,IF(C255&lt;='SOLLECITAZ NASCOSTO'!$P$8,IF(C255&lt;='SOLLECITAZ NASCOSTO'!$P$7,IF(C255&lt;='SOLLECITAZ NASCOSTO'!$P$6,IF(C255&lt;='SOLLECITAZ NASCOSTO'!$P$5,'Progetto del paramento slu'!$G$105,'Progetto del paramento slu'!$G$106),'Progetto del paramento slu'!$G$107),'Progetto del paramento slu'!$G$108),'Progetto del paramento slu'!$G$109),'Progetto del paramento slu'!$G$110),'Progetto del paramento slu'!$G$111),'Progetto del paramento slu'!$G$112),55555)-IF(C255&lt;='SOLLECITAZ NASCOSTO'!$P$12,IF(C255&lt;='SOLLECITAZ NASCOSTO'!$P$11,IF(C255&lt;='SOLLECITAZ NASCOSTO'!$P$10,IF(C255&lt;='SOLLECITAZ NASCOSTO'!$P$9,IF(C255&lt;='SOLLECITAZ NASCOSTO'!$P$8,IF(C255&lt;='SOLLECITAZ NASCOSTO'!$P$7,IF(C255&lt;='SOLLECITAZ NASCOSTO'!$P$6,IF(C255&lt;='SOLLECITAZ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slu'!$G$112))*(C255-IF(C255&lt;='SOLLECITAZ NASCOSTO'!$P$12,IF(C255&lt;='SOLLECITAZ NASCOSTO'!$P$11,IF(C255&lt;='SOLLECITAZ NASCOSTO'!$P$10,IF(C255&lt;='SOLLECITAZ NASCOSTO'!$P$9,IF(C255&lt;='SOLLECITAZ NASCOSTO'!$P$8,IF(C255&lt;='SOLLECITAZ NASCOSTO'!$P$7,IF(C255&lt;='SOLLECITAZ NASCOSTO'!$P$6,IF(C255&lt;='SOLLECITAZ NASCOSTO'!$P$5,'SOLLECITAZ NASCOSTO'!$P$3,'SOLLECITAZ NASCOSTO'!$P$5),'SOLLECITAZ NASCOSTO'!$P$5),'SOLLECITAZ NASCOSTO'!$P$7),'SOLLECITAZ NASCOSTO'!$P$8),'SOLLECITAZ NASCOSTO'!$P$9),'SOLLECITAZ NASCOSTO'!$P$10),'SOLLECITAZ NASCOSTO'!$P$11),'SOLLECITAZ NASCOSTO'!$P$12))/IF(C255&lt;='SOLLECITAZ NASCOSTO'!$P$12,IF(C255&lt;='SOLLECITAZ NASCOSTO'!$P$11,IF(C255&lt;='SOLLECITAZ NASCOSTO'!$P$10,IF(C255&lt;='SOLLECITAZ NASCOSTO'!$P$9,IF(C255&lt;='SOLLECITAZ NASCOSTO'!$P$8,IF(C255&lt;='SOLLECITAZ NASCOSTO'!$P$7,IF(C255&lt;='SOLLECITAZ NASCOSTO'!$P$6,IF(C255&lt;='SOLLECITAZ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slu'!$C$112)+IF(C255&lt;='SOLLECITAZ NASCOSTO'!$P$12,IF(C255&lt;='SOLLECITAZ NASCOSTO'!$P$11,IF(C255&lt;='SOLLECITAZ NASCOSTO'!$P$10,IF(C255&lt;='SOLLECITAZ NASCOSTO'!$P$9,IF(C255&lt;='SOLLECITAZ NASCOSTO'!$P$8,IF(C255&lt;='SOLLECITAZ NASCOSTO'!$P$7,IF(C255&lt;='SOLLECITAZ NASCOSTO'!$P$6,IF(C255&lt;='SOLLECITAZ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14.877567056882256</v>
      </c>
      <c r="O256" s="42">
        <f>IF(C256&lt;='SOLLECITAZ NASCOSTO'!$P$12,IF(C256&lt;='SOLLECITAZ NASCOSTO'!$P$11,IF(C256&lt;='SOLLECITAZ NASCOSTO'!$P$10,IF(C256&lt;='SOLLECITAZ NASCOSTO'!$P$9,IF(C256&lt;='SOLLECITAZ NASCOSTO'!$P$8,IF(C256&lt;='SOLLECITAZ NASCOSTO'!$P$7,IF(C256&lt;='SOLLECITAZ NASCOSTO'!$P$6,IF(C256&lt;='SOLLECITAZ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slu'!$G$111),55555)*(C256-C255)/IF(C256&lt;='SOLLECITAZ NASCOSTO'!$P$12,IF(C256&lt;='SOLLECITAZ NASCOSTO'!$P$11,IF(C256&lt;='SOLLECITAZ NASCOSTO'!$P$10,IF(C256&lt;='SOLLECITAZ NASCOSTO'!$P$9,IF(C256&lt;='SOLLECITAZ NASCOSTO'!$P$8,IF(C256&lt;='SOLLECITAZ NASCOSTO'!$P$7,IF(C256&lt;='SOLLECITAZ NASCOSTO'!$P$6,IF(C256&lt;='SOLLECITAZ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256" s="42">
        <f t="shared" si="75"/>
        <v>2.2299999999999948E-4</v>
      </c>
      <c r="Q256" s="42">
        <f t="shared" si="73"/>
        <v>1</v>
      </c>
      <c r="R256" s="441">
        <f t="shared" si="67"/>
        <v>1.5346153846153845</v>
      </c>
      <c r="S256" s="46">
        <f t="shared" si="74"/>
        <v>1.5346153846153845</v>
      </c>
      <c r="T256" s="211">
        <f t="shared" si="70"/>
        <v>1.8153846153846156</v>
      </c>
      <c r="U256" s="46">
        <f t="shared" si="71"/>
        <v>14.632390033629676</v>
      </c>
      <c r="V256" s="46">
        <f t="shared" si="72"/>
        <v>-9.111655380107786</v>
      </c>
      <c r="W256" s="496"/>
      <c r="X256" s="497"/>
      <c r="Y256" s="497"/>
      <c r="Z256" s="498"/>
      <c r="AA256" s="47"/>
    </row>
    <row r="257" spans="1:27" s="428" customFormat="1" x14ac:dyDescent="0.25">
      <c r="A257" s="589">
        <f t="shared" si="68"/>
        <v>5.4086538460174083E-6</v>
      </c>
      <c r="B257" s="32">
        <f t="shared" si="76"/>
        <v>225</v>
      </c>
      <c r="C257" s="441">
        <f>'SOLLECITAZ NASCOSTO'!$D$6/'SOLLECITAZ NASCOSTO'!$B$448*'SOLLECITAZ NASCOSTO'!B257</f>
        <v>1.541466346153846</v>
      </c>
      <c r="D257" s="441">
        <f t="shared" si="69"/>
        <v>0.30000540865384601</v>
      </c>
      <c r="E257" s="441">
        <f t="shared" si="63"/>
        <v>5.4086538460174083E-6</v>
      </c>
      <c r="F257" s="441">
        <f t="shared" si="64"/>
        <v>0.30000540865384601</v>
      </c>
      <c r="G257" s="441">
        <f t="shared" si="65"/>
        <v>4.500162261078057E-2</v>
      </c>
      <c r="H257" s="441">
        <f t="shared" si="77"/>
        <v>0</v>
      </c>
      <c r="I257" s="441">
        <v>0</v>
      </c>
      <c r="J257" s="131">
        <f t="shared" si="78"/>
        <v>0.150002704326923</v>
      </c>
      <c r="K257" s="130">
        <f t="shared" si="66"/>
        <v>2.2501216969055635E-3</v>
      </c>
      <c r="L257" s="42">
        <f t="shared" si="79"/>
        <v>14.734810301293875</v>
      </c>
      <c r="M257" s="42">
        <f t="shared" si="80"/>
        <v>-9.2122521601012135</v>
      </c>
      <c r="N257" s="42">
        <f>(IF(C256&lt;='SOLLECITAZ NASCOSTO'!$P$12,IF(C256&lt;='SOLLECITAZ NASCOSTO'!$P$11,IF(C256&lt;='SOLLECITAZ NASCOSTO'!$P$10,IF(C256&lt;='SOLLECITAZ NASCOSTO'!$P$9,IF(C256&lt;='SOLLECITAZ NASCOSTO'!$P$8,IF(C256&lt;='SOLLECITAZ NASCOSTO'!$P$7,IF(C256&lt;='SOLLECITAZ NASCOSTO'!$P$6,IF(C256&lt;='SOLLECITAZ NASCOSTO'!$P$5,'Progetto del paramento slu'!$G$105,'Progetto del paramento slu'!$G$106),'Progetto del paramento slu'!$G$107),'Progetto del paramento slu'!$G$108),'Progetto del paramento slu'!$G$109),'Progetto del paramento slu'!$G$110),'Progetto del paramento slu'!$G$111),'Progetto del paramento slu'!$G$112),55555)-IF(C256&lt;='SOLLECITAZ NASCOSTO'!$P$12,IF(C256&lt;='SOLLECITAZ NASCOSTO'!$P$11,IF(C256&lt;='SOLLECITAZ NASCOSTO'!$P$10,IF(C256&lt;='SOLLECITAZ NASCOSTO'!$P$9,IF(C256&lt;='SOLLECITAZ NASCOSTO'!$P$8,IF(C256&lt;='SOLLECITAZ NASCOSTO'!$P$7,IF(C256&lt;='SOLLECITAZ NASCOSTO'!$P$6,IF(C256&lt;='SOLLECITAZ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slu'!$G$112))*(C256-IF(C256&lt;='SOLLECITAZ NASCOSTO'!$P$12,IF(C256&lt;='SOLLECITAZ NASCOSTO'!$P$11,IF(C256&lt;='SOLLECITAZ NASCOSTO'!$P$10,IF(C256&lt;='SOLLECITAZ NASCOSTO'!$P$9,IF(C256&lt;='SOLLECITAZ NASCOSTO'!$P$8,IF(C256&lt;='SOLLECITAZ NASCOSTO'!$P$7,IF(C256&lt;='SOLLECITAZ NASCOSTO'!$P$6,IF(C256&lt;='SOLLECITAZ NASCOSTO'!$P$5,'SOLLECITAZ NASCOSTO'!$P$3,'SOLLECITAZ NASCOSTO'!$P$5),'SOLLECITAZ NASCOSTO'!$P$5),'SOLLECITAZ NASCOSTO'!$P$7),'SOLLECITAZ NASCOSTO'!$P$8),'SOLLECITAZ NASCOSTO'!$P$9),'SOLLECITAZ NASCOSTO'!$P$10),'SOLLECITAZ NASCOSTO'!$P$11),'SOLLECITAZ NASCOSTO'!$P$12))/IF(C256&lt;='SOLLECITAZ NASCOSTO'!$P$12,IF(C256&lt;='SOLLECITAZ NASCOSTO'!$P$11,IF(C256&lt;='SOLLECITAZ NASCOSTO'!$P$10,IF(C256&lt;='SOLLECITAZ NASCOSTO'!$P$9,IF(C256&lt;='SOLLECITAZ NASCOSTO'!$P$8,IF(C256&lt;='SOLLECITAZ NASCOSTO'!$P$7,IF(C256&lt;='SOLLECITAZ NASCOSTO'!$P$6,IF(C256&lt;='SOLLECITAZ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slu'!$C$112)+IF(C256&lt;='SOLLECITAZ NASCOSTO'!$P$12,IF(C256&lt;='SOLLECITAZ NASCOSTO'!$P$11,IF(C256&lt;='SOLLECITAZ NASCOSTO'!$P$10,IF(C256&lt;='SOLLECITAZ NASCOSTO'!$P$9,IF(C256&lt;='SOLLECITAZ NASCOSTO'!$P$8,IF(C256&lt;='SOLLECITAZ NASCOSTO'!$P$7,IF(C256&lt;='SOLLECITAZ NASCOSTO'!$P$6,IF(C256&lt;='SOLLECITAZ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14.925699275874607</v>
      </c>
      <c r="O257" s="42">
        <f>IF(C257&lt;='SOLLECITAZ NASCOSTO'!$P$12,IF(C257&lt;='SOLLECITAZ NASCOSTO'!$P$11,IF(C257&lt;='SOLLECITAZ NASCOSTO'!$P$10,IF(C257&lt;='SOLLECITAZ NASCOSTO'!$P$9,IF(C257&lt;='SOLLECITAZ NASCOSTO'!$P$8,IF(C257&lt;='SOLLECITAZ NASCOSTO'!$P$7,IF(C257&lt;='SOLLECITAZ NASCOSTO'!$P$6,IF(C257&lt;='SOLLECITAZ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slu'!$G$111),55555)*(C257-C256)/IF(C257&lt;='SOLLECITAZ NASCOSTO'!$P$12,IF(C257&lt;='SOLLECITAZ NASCOSTO'!$P$11,IF(C257&lt;='SOLLECITAZ NASCOSTO'!$P$10,IF(C257&lt;='SOLLECITAZ NASCOSTO'!$P$9,IF(C257&lt;='SOLLECITAZ NASCOSTO'!$P$8,IF(C257&lt;='SOLLECITAZ NASCOSTO'!$P$7,IF(C257&lt;='SOLLECITAZ NASCOSTO'!$P$6,IF(C257&lt;='SOLLECITAZ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7" s="42">
        <f t="shared" si="75"/>
        <v>2.2399999999999948E-4</v>
      </c>
      <c r="Q257" s="42">
        <f t="shared" si="73"/>
        <v>1</v>
      </c>
      <c r="R257" s="441">
        <f t="shared" si="67"/>
        <v>1.541466346153846</v>
      </c>
      <c r="S257" s="46">
        <f t="shared" si="74"/>
        <v>1.541466346153846</v>
      </c>
      <c r="T257" s="211">
        <f t="shared" si="70"/>
        <v>1.8085336538461541</v>
      </c>
      <c r="U257" s="46">
        <f t="shared" si="71"/>
        <v>14.734810301293875</v>
      </c>
      <c r="V257" s="46">
        <f t="shared" si="72"/>
        <v>-9.2122521601012135</v>
      </c>
      <c r="W257" s="496"/>
      <c r="X257" s="497"/>
      <c r="Y257" s="497"/>
      <c r="Z257" s="498"/>
      <c r="AA257" s="47"/>
    </row>
    <row r="258" spans="1:27" s="428" customFormat="1" x14ac:dyDescent="0.25">
      <c r="A258" s="589">
        <f t="shared" si="68"/>
        <v>5.4326923075720401E-6</v>
      </c>
      <c r="B258" s="32">
        <f t="shared" si="76"/>
        <v>226</v>
      </c>
      <c r="C258" s="441">
        <f>'SOLLECITAZ NASCOSTO'!$D$6/'SOLLECITAZ NASCOSTO'!$B$448*'SOLLECITAZ NASCOSTO'!B258</f>
        <v>1.5483173076923076</v>
      </c>
      <c r="D258" s="441">
        <f t="shared" si="69"/>
        <v>0.30000543269230756</v>
      </c>
      <c r="E258" s="441">
        <f t="shared" si="63"/>
        <v>5.4326923075720401E-6</v>
      </c>
      <c r="F258" s="441">
        <f t="shared" si="64"/>
        <v>0.30000543269230756</v>
      </c>
      <c r="G258" s="441">
        <f t="shared" si="65"/>
        <v>4.5001629822449346E-2</v>
      </c>
      <c r="H258" s="441">
        <f t="shared" si="77"/>
        <v>0</v>
      </c>
      <c r="I258" s="441">
        <v>0</v>
      </c>
      <c r="J258" s="131">
        <f t="shared" si="78"/>
        <v>0.15000271634615381</v>
      </c>
      <c r="K258" s="130">
        <f t="shared" si="66"/>
        <v>2.2501222377904946E-3</v>
      </c>
      <c r="L258" s="42">
        <f t="shared" si="79"/>
        <v>14.837560320939151</v>
      </c>
      <c r="M258" s="42">
        <f t="shared" si="80"/>
        <v>-9.313551746968237</v>
      </c>
      <c r="N258" s="42">
        <f>(IF(C257&lt;='SOLLECITAZ NASCOSTO'!$P$12,IF(C257&lt;='SOLLECITAZ NASCOSTO'!$P$11,IF(C257&lt;='SOLLECITAZ NASCOSTO'!$P$10,IF(C257&lt;='SOLLECITAZ NASCOSTO'!$P$9,IF(C257&lt;='SOLLECITAZ NASCOSTO'!$P$8,IF(C257&lt;='SOLLECITAZ NASCOSTO'!$P$7,IF(C257&lt;='SOLLECITAZ NASCOSTO'!$P$6,IF(C257&lt;='SOLLECITAZ NASCOSTO'!$P$5,'Progetto del paramento slu'!$G$105,'Progetto del paramento slu'!$G$106),'Progetto del paramento slu'!$G$107),'Progetto del paramento slu'!$G$108),'Progetto del paramento slu'!$G$109),'Progetto del paramento slu'!$G$110),'Progetto del paramento slu'!$G$111),'Progetto del paramento slu'!$G$112),55555)-IF(C257&lt;='SOLLECITAZ NASCOSTO'!$P$12,IF(C257&lt;='SOLLECITAZ NASCOSTO'!$P$11,IF(C257&lt;='SOLLECITAZ NASCOSTO'!$P$10,IF(C257&lt;='SOLLECITAZ NASCOSTO'!$P$9,IF(C257&lt;='SOLLECITAZ NASCOSTO'!$P$8,IF(C257&lt;='SOLLECITAZ NASCOSTO'!$P$7,IF(C257&lt;='SOLLECITAZ NASCOSTO'!$P$6,IF(C257&lt;='SOLLECITAZ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slu'!$G$112))*(C257-IF(C257&lt;='SOLLECITAZ NASCOSTO'!$P$12,IF(C257&lt;='SOLLECITAZ NASCOSTO'!$P$11,IF(C257&lt;='SOLLECITAZ NASCOSTO'!$P$10,IF(C257&lt;='SOLLECITAZ NASCOSTO'!$P$9,IF(C257&lt;='SOLLECITAZ NASCOSTO'!$P$8,IF(C257&lt;='SOLLECITAZ NASCOSTO'!$P$7,IF(C257&lt;='SOLLECITAZ NASCOSTO'!$P$6,IF(C257&lt;='SOLLECITAZ NASCOSTO'!$P$5,'SOLLECITAZ NASCOSTO'!$P$3,'SOLLECITAZ NASCOSTO'!$P$5),'SOLLECITAZ NASCOSTO'!$P$5),'SOLLECITAZ NASCOSTO'!$P$7),'SOLLECITAZ NASCOSTO'!$P$8),'SOLLECITAZ NASCOSTO'!$P$9),'SOLLECITAZ NASCOSTO'!$P$10),'SOLLECITAZ NASCOSTO'!$P$11),'SOLLECITAZ NASCOSTO'!$P$12))/IF(C257&lt;='SOLLECITAZ NASCOSTO'!$P$12,IF(C257&lt;='SOLLECITAZ NASCOSTO'!$P$11,IF(C257&lt;='SOLLECITAZ NASCOSTO'!$P$10,IF(C257&lt;='SOLLECITAZ NASCOSTO'!$P$9,IF(C257&lt;='SOLLECITAZ NASCOSTO'!$P$8,IF(C257&lt;='SOLLECITAZ NASCOSTO'!$P$7,IF(C257&lt;='SOLLECITAZ NASCOSTO'!$P$6,IF(C257&lt;='SOLLECITAZ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slu'!$C$112)+IF(C257&lt;='SOLLECITAZ NASCOSTO'!$P$12,IF(C257&lt;='SOLLECITAZ NASCOSTO'!$P$11,IF(C257&lt;='SOLLECITAZ NASCOSTO'!$P$10,IF(C257&lt;='SOLLECITAZ NASCOSTO'!$P$9,IF(C257&lt;='SOLLECITAZ NASCOSTO'!$P$8,IF(C257&lt;='SOLLECITAZ NASCOSTO'!$P$7,IF(C257&lt;='SOLLECITAZ NASCOSTO'!$P$6,IF(C257&lt;='SOLLECITAZ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14.97383149486696</v>
      </c>
      <c r="O258" s="42">
        <f>IF(C258&lt;='SOLLECITAZ NASCOSTO'!$P$12,IF(C258&lt;='SOLLECITAZ NASCOSTO'!$P$11,IF(C258&lt;='SOLLECITAZ NASCOSTO'!$P$10,IF(C258&lt;='SOLLECITAZ NASCOSTO'!$P$9,IF(C258&lt;='SOLLECITAZ NASCOSTO'!$P$8,IF(C258&lt;='SOLLECITAZ NASCOSTO'!$P$7,IF(C258&lt;='SOLLECITAZ NASCOSTO'!$P$6,IF(C258&lt;='SOLLECITAZ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slu'!$G$111),55555)*(C258-C257)/IF(C258&lt;='SOLLECITAZ NASCOSTO'!$P$12,IF(C258&lt;='SOLLECITAZ NASCOSTO'!$P$11,IF(C258&lt;='SOLLECITAZ NASCOSTO'!$P$10,IF(C258&lt;='SOLLECITAZ NASCOSTO'!$P$9,IF(C258&lt;='SOLLECITAZ NASCOSTO'!$P$8,IF(C258&lt;='SOLLECITAZ NASCOSTO'!$P$7,IF(C258&lt;='SOLLECITAZ NASCOSTO'!$P$6,IF(C258&lt;='SOLLECITAZ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8" s="42">
        <f t="shared" si="75"/>
        <v>2.2499999999999948E-4</v>
      </c>
      <c r="Q258" s="42">
        <f t="shared" si="73"/>
        <v>1</v>
      </c>
      <c r="R258" s="441">
        <f t="shared" si="67"/>
        <v>1.5483173076923076</v>
      </c>
      <c r="S258" s="46">
        <f t="shared" si="74"/>
        <v>1.5483173076923076</v>
      </c>
      <c r="T258" s="211">
        <f t="shared" si="70"/>
        <v>1.8016826923076925</v>
      </c>
      <c r="U258" s="46">
        <f t="shared" si="71"/>
        <v>14.837560320939151</v>
      </c>
      <c r="V258" s="46">
        <f t="shared" si="72"/>
        <v>-9.313551746968237</v>
      </c>
      <c r="W258" s="496"/>
      <c r="X258" s="497"/>
      <c r="Y258" s="497"/>
      <c r="Z258" s="498"/>
      <c r="AA258" s="47"/>
    </row>
    <row r="259" spans="1:27" s="428" customFormat="1" x14ac:dyDescent="0.25">
      <c r="A259" s="589">
        <f t="shared" si="68"/>
        <v>5.456730769126672E-6</v>
      </c>
      <c r="B259" s="32">
        <f t="shared" si="76"/>
        <v>227</v>
      </c>
      <c r="C259" s="441">
        <f>'SOLLECITAZ NASCOSTO'!$D$6/'SOLLECITAZ NASCOSTO'!$B$448*'SOLLECITAZ NASCOSTO'!B259</f>
        <v>1.5551682692307691</v>
      </c>
      <c r="D259" s="441">
        <f t="shared" si="69"/>
        <v>0.30000545673076912</v>
      </c>
      <c r="E259" s="441">
        <f t="shared" si="63"/>
        <v>5.456730769126672E-6</v>
      </c>
      <c r="F259" s="441">
        <f t="shared" si="64"/>
        <v>0.30000545673076912</v>
      </c>
      <c r="G259" s="441">
        <f t="shared" si="65"/>
        <v>4.5001637034118691E-2</v>
      </c>
      <c r="H259" s="441">
        <f t="shared" si="77"/>
        <v>0</v>
      </c>
      <c r="I259" s="441">
        <v>0</v>
      </c>
      <c r="J259" s="131">
        <f t="shared" si="78"/>
        <v>0.15000272836538456</v>
      </c>
      <c r="K259" s="130">
        <f t="shared" si="66"/>
        <v>2.2501227786755119E-3</v>
      </c>
      <c r="L259" s="42">
        <f t="shared" si="79"/>
        <v>14.940640092565504</v>
      </c>
      <c r="M259" s="42">
        <f t="shared" si="80"/>
        <v>-9.4155563998269969</v>
      </c>
      <c r="N259" s="42">
        <f>(IF(C258&lt;='SOLLECITAZ NASCOSTO'!$P$12,IF(C258&lt;='SOLLECITAZ NASCOSTO'!$P$11,IF(C258&lt;='SOLLECITAZ NASCOSTO'!$P$10,IF(C258&lt;='SOLLECITAZ NASCOSTO'!$P$9,IF(C258&lt;='SOLLECITAZ NASCOSTO'!$P$8,IF(C258&lt;='SOLLECITAZ NASCOSTO'!$P$7,IF(C258&lt;='SOLLECITAZ NASCOSTO'!$P$6,IF(C258&lt;='SOLLECITAZ NASCOSTO'!$P$5,'Progetto del paramento slu'!$G$105,'Progetto del paramento slu'!$G$106),'Progetto del paramento slu'!$G$107),'Progetto del paramento slu'!$G$108),'Progetto del paramento slu'!$G$109),'Progetto del paramento slu'!$G$110),'Progetto del paramento slu'!$G$111),'Progetto del paramento slu'!$G$112),55555)-IF(C258&lt;='SOLLECITAZ NASCOSTO'!$P$12,IF(C258&lt;='SOLLECITAZ NASCOSTO'!$P$11,IF(C258&lt;='SOLLECITAZ NASCOSTO'!$P$10,IF(C258&lt;='SOLLECITAZ NASCOSTO'!$P$9,IF(C258&lt;='SOLLECITAZ NASCOSTO'!$P$8,IF(C258&lt;='SOLLECITAZ NASCOSTO'!$P$7,IF(C258&lt;='SOLLECITAZ NASCOSTO'!$P$6,IF(C258&lt;='SOLLECITAZ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slu'!$G$112))*(C258-IF(C258&lt;='SOLLECITAZ NASCOSTO'!$P$12,IF(C258&lt;='SOLLECITAZ NASCOSTO'!$P$11,IF(C258&lt;='SOLLECITAZ NASCOSTO'!$P$10,IF(C258&lt;='SOLLECITAZ NASCOSTO'!$P$9,IF(C258&lt;='SOLLECITAZ NASCOSTO'!$P$8,IF(C258&lt;='SOLLECITAZ NASCOSTO'!$P$7,IF(C258&lt;='SOLLECITAZ NASCOSTO'!$P$6,IF(C258&lt;='SOLLECITAZ NASCOSTO'!$P$5,'SOLLECITAZ NASCOSTO'!$P$3,'SOLLECITAZ NASCOSTO'!$P$5),'SOLLECITAZ NASCOSTO'!$P$5),'SOLLECITAZ NASCOSTO'!$P$7),'SOLLECITAZ NASCOSTO'!$P$8),'SOLLECITAZ NASCOSTO'!$P$9),'SOLLECITAZ NASCOSTO'!$P$10),'SOLLECITAZ NASCOSTO'!$P$11),'SOLLECITAZ NASCOSTO'!$P$12))/IF(C258&lt;='SOLLECITAZ NASCOSTO'!$P$12,IF(C258&lt;='SOLLECITAZ NASCOSTO'!$P$11,IF(C258&lt;='SOLLECITAZ NASCOSTO'!$P$10,IF(C258&lt;='SOLLECITAZ NASCOSTO'!$P$9,IF(C258&lt;='SOLLECITAZ NASCOSTO'!$P$8,IF(C258&lt;='SOLLECITAZ NASCOSTO'!$P$7,IF(C258&lt;='SOLLECITAZ NASCOSTO'!$P$6,IF(C258&lt;='SOLLECITAZ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slu'!$C$112)+IF(C258&lt;='SOLLECITAZ NASCOSTO'!$P$12,IF(C258&lt;='SOLLECITAZ NASCOSTO'!$P$11,IF(C258&lt;='SOLLECITAZ NASCOSTO'!$P$10,IF(C258&lt;='SOLLECITAZ NASCOSTO'!$P$9,IF(C258&lt;='SOLLECITAZ NASCOSTO'!$P$8,IF(C258&lt;='SOLLECITAZ NASCOSTO'!$P$7,IF(C258&lt;='SOLLECITAZ NASCOSTO'!$P$6,IF(C258&lt;='SOLLECITAZ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15.021963713859313</v>
      </c>
      <c r="O259" s="42">
        <f>IF(C259&lt;='SOLLECITAZ NASCOSTO'!$P$12,IF(C259&lt;='SOLLECITAZ NASCOSTO'!$P$11,IF(C259&lt;='SOLLECITAZ NASCOSTO'!$P$10,IF(C259&lt;='SOLLECITAZ NASCOSTO'!$P$9,IF(C259&lt;='SOLLECITAZ NASCOSTO'!$P$8,IF(C259&lt;='SOLLECITAZ NASCOSTO'!$P$7,IF(C259&lt;='SOLLECITAZ NASCOSTO'!$P$6,IF(C259&lt;='SOLLECITAZ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slu'!$G$111),55555)*(C259-C258)/IF(C259&lt;='SOLLECITAZ NASCOSTO'!$P$12,IF(C259&lt;='SOLLECITAZ NASCOSTO'!$P$11,IF(C259&lt;='SOLLECITAZ NASCOSTO'!$P$10,IF(C259&lt;='SOLLECITAZ NASCOSTO'!$P$9,IF(C259&lt;='SOLLECITAZ NASCOSTO'!$P$8,IF(C259&lt;='SOLLECITAZ NASCOSTO'!$P$7,IF(C259&lt;='SOLLECITAZ NASCOSTO'!$P$6,IF(C259&lt;='SOLLECITAZ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59" s="42">
        <f t="shared" si="75"/>
        <v>2.2599999999999948E-4</v>
      </c>
      <c r="Q259" s="42">
        <f t="shared" si="73"/>
        <v>1</v>
      </c>
      <c r="R259" s="441">
        <f t="shared" si="67"/>
        <v>1.5551682692307691</v>
      </c>
      <c r="S259" s="46">
        <f t="shared" si="74"/>
        <v>1.5551682692307691</v>
      </c>
      <c r="T259" s="211">
        <f t="shared" si="70"/>
        <v>1.794831730769231</v>
      </c>
      <c r="U259" s="46">
        <f t="shared" si="71"/>
        <v>14.940640092565504</v>
      </c>
      <c r="V259" s="46">
        <f t="shared" si="72"/>
        <v>-9.4155563998269969</v>
      </c>
      <c r="W259" s="496"/>
      <c r="X259" s="497"/>
      <c r="Y259" s="497"/>
      <c r="Z259" s="498"/>
      <c r="AA259" s="47"/>
    </row>
    <row r="260" spans="1:27" s="428" customFormat="1" x14ac:dyDescent="0.25">
      <c r="A260" s="589">
        <f t="shared" si="68"/>
        <v>5.4807692306257927E-6</v>
      </c>
      <c r="B260" s="32">
        <f t="shared" si="76"/>
        <v>228</v>
      </c>
      <c r="C260" s="441">
        <f>'SOLLECITAZ NASCOSTO'!$D$6/'SOLLECITAZ NASCOSTO'!$B$448*'SOLLECITAZ NASCOSTO'!B260</f>
        <v>1.5620192307692307</v>
      </c>
      <c r="D260" s="441">
        <f t="shared" si="69"/>
        <v>0.30000548076923061</v>
      </c>
      <c r="E260" s="441">
        <f t="shared" si="63"/>
        <v>5.4807692306257927E-6</v>
      </c>
      <c r="F260" s="441">
        <f t="shared" si="64"/>
        <v>0.30000548076923061</v>
      </c>
      <c r="G260" s="441">
        <f t="shared" si="65"/>
        <v>4.5001644245788605E-2</v>
      </c>
      <c r="H260" s="441">
        <f t="shared" si="77"/>
        <v>0</v>
      </c>
      <c r="I260" s="441">
        <v>0</v>
      </c>
      <c r="J260" s="131">
        <f t="shared" si="78"/>
        <v>0.15000274038461534</v>
      </c>
      <c r="K260" s="130">
        <f t="shared" si="66"/>
        <v>2.2501233195606147E-3</v>
      </c>
      <c r="L260" s="42">
        <f t="shared" si="79"/>
        <v>15.044049616172934</v>
      </c>
      <c r="M260" s="42">
        <f t="shared" si="80"/>
        <v>-9.5182683777956321</v>
      </c>
      <c r="N260" s="42">
        <f>(IF(C259&lt;='SOLLECITAZ NASCOSTO'!$P$12,IF(C259&lt;='SOLLECITAZ NASCOSTO'!$P$11,IF(C259&lt;='SOLLECITAZ NASCOSTO'!$P$10,IF(C259&lt;='SOLLECITAZ NASCOSTO'!$P$9,IF(C259&lt;='SOLLECITAZ NASCOSTO'!$P$8,IF(C259&lt;='SOLLECITAZ NASCOSTO'!$P$7,IF(C259&lt;='SOLLECITAZ NASCOSTO'!$P$6,IF(C259&lt;='SOLLECITAZ NASCOSTO'!$P$5,'Progetto del paramento slu'!$G$105,'Progetto del paramento slu'!$G$106),'Progetto del paramento slu'!$G$107),'Progetto del paramento slu'!$G$108),'Progetto del paramento slu'!$G$109),'Progetto del paramento slu'!$G$110),'Progetto del paramento slu'!$G$111),'Progetto del paramento slu'!$G$112),55555)-IF(C259&lt;='SOLLECITAZ NASCOSTO'!$P$12,IF(C259&lt;='SOLLECITAZ NASCOSTO'!$P$11,IF(C259&lt;='SOLLECITAZ NASCOSTO'!$P$10,IF(C259&lt;='SOLLECITAZ NASCOSTO'!$P$9,IF(C259&lt;='SOLLECITAZ NASCOSTO'!$P$8,IF(C259&lt;='SOLLECITAZ NASCOSTO'!$P$7,IF(C259&lt;='SOLLECITAZ NASCOSTO'!$P$6,IF(C259&lt;='SOLLECITAZ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slu'!$G$112))*(C259-IF(C259&lt;='SOLLECITAZ NASCOSTO'!$P$12,IF(C259&lt;='SOLLECITAZ NASCOSTO'!$P$11,IF(C259&lt;='SOLLECITAZ NASCOSTO'!$P$10,IF(C259&lt;='SOLLECITAZ NASCOSTO'!$P$9,IF(C259&lt;='SOLLECITAZ NASCOSTO'!$P$8,IF(C259&lt;='SOLLECITAZ NASCOSTO'!$P$7,IF(C259&lt;='SOLLECITAZ NASCOSTO'!$P$6,IF(C259&lt;='SOLLECITAZ NASCOSTO'!$P$5,'SOLLECITAZ NASCOSTO'!$P$3,'SOLLECITAZ NASCOSTO'!$P$5),'SOLLECITAZ NASCOSTO'!$P$5),'SOLLECITAZ NASCOSTO'!$P$7),'SOLLECITAZ NASCOSTO'!$P$8),'SOLLECITAZ NASCOSTO'!$P$9),'SOLLECITAZ NASCOSTO'!$P$10),'SOLLECITAZ NASCOSTO'!$P$11),'SOLLECITAZ NASCOSTO'!$P$12))/IF(C259&lt;='SOLLECITAZ NASCOSTO'!$P$12,IF(C259&lt;='SOLLECITAZ NASCOSTO'!$P$11,IF(C259&lt;='SOLLECITAZ NASCOSTO'!$P$10,IF(C259&lt;='SOLLECITAZ NASCOSTO'!$P$9,IF(C259&lt;='SOLLECITAZ NASCOSTO'!$P$8,IF(C259&lt;='SOLLECITAZ NASCOSTO'!$P$7,IF(C259&lt;='SOLLECITAZ NASCOSTO'!$P$6,IF(C259&lt;='SOLLECITAZ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slu'!$C$112)+IF(C259&lt;='SOLLECITAZ NASCOSTO'!$P$12,IF(C259&lt;='SOLLECITAZ NASCOSTO'!$P$11,IF(C259&lt;='SOLLECITAZ NASCOSTO'!$P$10,IF(C259&lt;='SOLLECITAZ NASCOSTO'!$P$9,IF(C259&lt;='SOLLECITAZ NASCOSTO'!$P$8,IF(C259&lt;='SOLLECITAZ NASCOSTO'!$P$7,IF(C259&lt;='SOLLECITAZ NASCOSTO'!$P$6,IF(C259&lt;='SOLLECITAZ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15.070095932851665</v>
      </c>
      <c r="O260" s="42">
        <f>IF(C260&lt;='SOLLECITAZ NASCOSTO'!$P$12,IF(C260&lt;='SOLLECITAZ NASCOSTO'!$P$11,IF(C260&lt;='SOLLECITAZ NASCOSTO'!$P$10,IF(C260&lt;='SOLLECITAZ NASCOSTO'!$P$9,IF(C260&lt;='SOLLECITAZ NASCOSTO'!$P$8,IF(C260&lt;='SOLLECITAZ NASCOSTO'!$P$7,IF(C260&lt;='SOLLECITAZ NASCOSTO'!$P$6,IF(C260&lt;='SOLLECITAZ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slu'!$G$111),55555)*(C260-C259)/IF(C260&lt;='SOLLECITAZ NASCOSTO'!$P$12,IF(C260&lt;='SOLLECITAZ NASCOSTO'!$P$11,IF(C260&lt;='SOLLECITAZ NASCOSTO'!$P$10,IF(C260&lt;='SOLLECITAZ NASCOSTO'!$P$9,IF(C260&lt;='SOLLECITAZ NASCOSTO'!$P$8,IF(C260&lt;='SOLLECITAZ NASCOSTO'!$P$7,IF(C260&lt;='SOLLECITAZ NASCOSTO'!$P$6,IF(C260&lt;='SOLLECITAZ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0" s="42">
        <f t="shared" si="75"/>
        <v>2.2699999999999947E-4</v>
      </c>
      <c r="Q260" s="42">
        <f t="shared" si="73"/>
        <v>1</v>
      </c>
      <c r="R260" s="441">
        <f t="shared" si="67"/>
        <v>1.5620192307692307</v>
      </c>
      <c r="S260" s="46">
        <f t="shared" si="74"/>
        <v>1.5620192307692307</v>
      </c>
      <c r="T260" s="211">
        <f t="shared" si="70"/>
        <v>1.7879807692307694</v>
      </c>
      <c r="U260" s="46">
        <f t="shared" si="71"/>
        <v>15.044049616172934</v>
      </c>
      <c r="V260" s="46">
        <f t="shared" si="72"/>
        <v>-9.5182683777956321</v>
      </c>
      <c r="W260" s="496"/>
      <c r="X260" s="497"/>
      <c r="Y260" s="497"/>
      <c r="Z260" s="498"/>
      <c r="AA260" s="47"/>
    </row>
    <row r="261" spans="1:27" s="428" customFormat="1" x14ac:dyDescent="0.25">
      <c r="A261" s="589">
        <f t="shared" si="68"/>
        <v>5.5048076921804245E-6</v>
      </c>
      <c r="B261" s="32">
        <f t="shared" si="76"/>
        <v>229</v>
      </c>
      <c r="C261" s="441">
        <f>'SOLLECITAZ NASCOSTO'!$D$6/'SOLLECITAZ NASCOSTO'!$B$448*'SOLLECITAZ NASCOSTO'!B261</f>
        <v>1.5688701923076922</v>
      </c>
      <c r="D261" s="441">
        <f t="shared" si="69"/>
        <v>0.30000550480769217</v>
      </c>
      <c r="E261" s="441">
        <f t="shared" si="63"/>
        <v>5.5048076921804245E-6</v>
      </c>
      <c r="F261" s="441">
        <f t="shared" si="64"/>
        <v>0.30000550480769217</v>
      </c>
      <c r="G261" s="441">
        <f t="shared" si="65"/>
        <v>4.5001651457459109E-2</v>
      </c>
      <c r="H261" s="441">
        <f t="shared" si="77"/>
        <v>0</v>
      </c>
      <c r="I261" s="441">
        <v>0</v>
      </c>
      <c r="J261" s="131">
        <f t="shared" si="78"/>
        <v>0.15000275240384611</v>
      </c>
      <c r="K261" s="130">
        <f t="shared" si="66"/>
        <v>2.2501238604458059E-3</v>
      </c>
      <c r="L261" s="42">
        <f t="shared" si="79"/>
        <v>15.147788891761444</v>
      </c>
      <c r="M261" s="42">
        <f t="shared" si="80"/>
        <v>-9.6216899399922831</v>
      </c>
      <c r="N261" s="42">
        <f>(IF(C260&lt;='SOLLECITAZ NASCOSTO'!$P$12,IF(C260&lt;='SOLLECITAZ NASCOSTO'!$P$11,IF(C260&lt;='SOLLECITAZ NASCOSTO'!$P$10,IF(C260&lt;='SOLLECITAZ NASCOSTO'!$P$9,IF(C260&lt;='SOLLECITAZ NASCOSTO'!$P$8,IF(C260&lt;='SOLLECITAZ NASCOSTO'!$P$7,IF(C260&lt;='SOLLECITAZ NASCOSTO'!$P$6,IF(C260&lt;='SOLLECITAZ NASCOSTO'!$P$5,'Progetto del paramento slu'!$G$105,'Progetto del paramento slu'!$G$106),'Progetto del paramento slu'!$G$107),'Progetto del paramento slu'!$G$108),'Progetto del paramento slu'!$G$109),'Progetto del paramento slu'!$G$110),'Progetto del paramento slu'!$G$111),'Progetto del paramento slu'!$G$112),55555)-IF(C260&lt;='SOLLECITAZ NASCOSTO'!$P$12,IF(C260&lt;='SOLLECITAZ NASCOSTO'!$P$11,IF(C260&lt;='SOLLECITAZ NASCOSTO'!$P$10,IF(C260&lt;='SOLLECITAZ NASCOSTO'!$P$9,IF(C260&lt;='SOLLECITAZ NASCOSTO'!$P$8,IF(C260&lt;='SOLLECITAZ NASCOSTO'!$P$7,IF(C260&lt;='SOLLECITAZ NASCOSTO'!$P$6,IF(C260&lt;='SOLLECITAZ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slu'!$G$112))*(C260-IF(C260&lt;='SOLLECITAZ NASCOSTO'!$P$12,IF(C260&lt;='SOLLECITAZ NASCOSTO'!$P$11,IF(C260&lt;='SOLLECITAZ NASCOSTO'!$P$10,IF(C260&lt;='SOLLECITAZ NASCOSTO'!$P$9,IF(C260&lt;='SOLLECITAZ NASCOSTO'!$P$8,IF(C260&lt;='SOLLECITAZ NASCOSTO'!$P$7,IF(C260&lt;='SOLLECITAZ NASCOSTO'!$P$6,IF(C260&lt;='SOLLECITAZ NASCOSTO'!$P$5,'SOLLECITAZ NASCOSTO'!$P$3,'SOLLECITAZ NASCOSTO'!$P$5),'SOLLECITAZ NASCOSTO'!$P$5),'SOLLECITAZ NASCOSTO'!$P$7),'SOLLECITAZ NASCOSTO'!$P$8),'SOLLECITAZ NASCOSTO'!$P$9),'SOLLECITAZ NASCOSTO'!$P$10),'SOLLECITAZ NASCOSTO'!$P$11),'SOLLECITAZ NASCOSTO'!$P$12))/IF(C260&lt;='SOLLECITAZ NASCOSTO'!$P$12,IF(C260&lt;='SOLLECITAZ NASCOSTO'!$P$11,IF(C260&lt;='SOLLECITAZ NASCOSTO'!$P$10,IF(C260&lt;='SOLLECITAZ NASCOSTO'!$P$9,IF(C260&lt;='SOLLECITAZ NASCOSTO'!$P$8,IF(C260&lt;='SOLLECITAZ NASCOSTO'!$P$7,IF(C260&lt;='SOLLECITAZ NASCOSTO'!$P$6,IF(C260&lt;='SOLLECITAZ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slu'!$C$112)+IF(C260&lt;='SOLLECITAZ NASCOSTO'!$P$12,IF(C260&lt;='SOLLECITAZ NASCOSTO'!$P$11,IF(C260&lt;='SOLLECITAZ NASCOSTO'!$P$10,IF(C260&lt;='SOLLECITAZ NASCOSTO'!$P$9,IF(C260&lt;='SOLLECITAZ NASCOSTO'!$P$8,IF(C260&lt;='SOLLECITAZ NASCOSTO'!$P$7,IF(C260&lt;='SOLLECITAZ NASCOSTO'!$P$6,IF(C260&lt;='SOLLECITAZ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15.118228151844017</v>
      </c>
      <c r="O261" s="42">
        <f>IF(C261&lt;='SOLLECITAZ NASCOSTO'!$P$12,IF(C261&lt;='SOLLECITAZ NASCOSTO'!$P$11,IF(C261&lt;='SOLLECITAZ NASCOSTO'!$P$10,IF(C261&lt;='SOLLECITAZ NASCOSTO'!$P$9,IF(C261&lt;='SOLLECITAZ NASCOSTO'!$P$8,IF(C261&lt;='SOLLECITAZ NASCOSTO'!$P$7,IF(C261&lt;='SOLLECITAZ NASCOSTO'!$P$6,IF(C261&lt;='SOLLECITAZ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slu'!$G$111),55555)*(C261-C260)/IF(C261&lt;='SOLLECITAZ NASCOSTO'!$P$12,IF(C261&lt;='SOLLECITAZ NASCOSTO'!$P$11,IF(C261&lt;='SOLLECITAZ NASCOSTO'!$P$10,IF(C261&lt;='SOLLECITAZ NASCOSTO'!$P$9,IF(C261&lt;='SOLLECITAZ NASCOSTO'!$P$8,IF(C261&lt;='SOLLECITAZ NASCOSTO'!$P$7,IF(C261&lt;='SOLLECITAZ NASCOSTO'!$P$6,IF(C261&lt;='SOLLECITAZ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1" s="42">
        <f t="shared" si="75"/>
        <v>2.2799999999999947E-4</v>
      </c>
      <c r="Q261" s="42">
        <f t="shared" si="73"/>
        <v>1</v>
      </c>
      <c r="R261" s="441">
        <f t="shared" si="67"/>
        <v>1.5688701923076922</v>
      </c>
      <c r="S261" s="46">
        <f t="shared" si="74"/>
        <v>1.5688701923076922</v>
      </c>
      <c r="T261" s="211">
        <f t="shared" si="70"/>
        <v>1.7811298076923079</v>
      </c>
      <c r="U261" s="46">
        <f t="shared" si="71"/>
        <v>15.147788891761444</v>
      </c>
      <c r="V261" s="46">
        <f t="shared" si="72"/>
        <v>-9.6216899399922831</v>
      </c>
      <c r="W261" s="496"/>
      <c r="X261" s="497"/>
      <c r="Y261" s="497"/>
      <c r="Z261" s="498"/>
      <c r="AA261" s="47"/>
    </row>
    <row r="262" spans="1:27" s="428" customFormat="1" x14ac:dyDescent="0.25">
      <c r="A262" s="589">
        <f t="shared" si="68"/>
        <v>5.5288461537350564E-6</v>
      </c>
      <c r="B262" s="32">
        <f t="shared" si="76"/>
        <v>230</v>
      </c>
      <c r="C262" s="441">
        <f>'SOLLECITAZ NASCOSTO'!$D$6/'SOLLECITAZ NASCOSTO'!$B$448*'SOLLECITAZ NASCOSTO'!B262</f>
        <v>1.5757211538461537</v>
      </c>
      <c r="D262" s="441">
        <f t="shared" si="69"/>
        <v>0.30000552884615372</v>
      </c>
      <c r="E262" s="441">
        <f t="shared" si="63"/>
        <v>5.5288461537350564E-6</v>
      </c>
      <c r="F262" s="441">
        <f t="shared" si="64"/>
        <v>0.30000552884615372</v>
      </c>
      <c r="G262" s="441">
        <f t="shared" si="65"/>
        <v>4.5001658669130189E-2</v>
      </c>
      <c r="H262" s="441">
        <f t="shared" si="77"/>
        <v>0</v>
      </c>
      <c r="I262" s="441">
        <v>0</v>
      </c>
      <c r="J262" s="131">
        <f t="shared" si="78"/>
        <v>0.15000276442307686</v>
      </c>
      <c r="K262" s="130">
        <f t="shared" si="66"/>
        <v>2.2501244013310834E-3</v>
      </c>
      <c r="L262" s="42">
        <f t="shared" si="79"/>
        <v>15.25185791933103</v>
      </c>
      <c r="M262" s="42">
        <f t="shared" si="80"/>
        <v>-9.7258233455350886</v>
      </c>
      <c r="N262" s="42">
        <f>(IF(C261&lt;='SOLLECITAZ NASCOSTO'!$P$12,IF(C261&lt;='SOLLECITAZ NASCOSTO'!$P$11,IF(C261&lt;='SOLLECITAZ NASCOSTO'!$P$10,IF(C261&lt;='SOLLECITAZ NASCOSTO'!$P$9,IF(C261&lt;='SOLLECITAZ NASCOSTO'!$P$8,IF(C261&lt;='SOLLECITAZ NASCOSTO'!$P$7,IF(C261&lt;='SOLLECITAZ NASCOSTO'!$P$6,IF(C261&lt;='SOLLECITAZ NASCOSTO'!$P$5,'Progetto del paramento slu'!$G$105,'Progetto del paramento slu'!$G$106),'Progetto del paramento slu'!$G$107),'Progetto del paramento slu'!$G$108),'Progetto del paramento slu'!$G$109),'Progetto del paramento slu'!$G$110),'Progetto del paramento slu'!$G$111),'Progetto del paramento slu'!$G$112),55555)-IF(C261&lt;='SOLLECITAZ NASCOSTO'!$P$12,IF(C261&lt;='SOLLECITAZ NASCOSTO'!$P$11,IF(C261&lt;='SOLLECITAZ NASCOSTO'!$P$10,IF(C261&lt;='SOLLECITAZ NASCOSTO'!$P$9,IF(C261&lt;='SOLLECITAZ NASCOSTO'!$P$8,IF(C261&lt;='SOLLECITAZ NASCOSTO'!$P$7,IF(C261&lt;='SOLLECITAZ NASCOSTO'!$P$6,IF(C261&lt;='SOLLECITAZ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slu'!$G$112))*(C261-IF(C261&lt;='SOLLECITAZ NASCOSTO'!$P$12,IF(C261&lt;='SOLLECITAZ NASCOSTO'!$P$11,IF(C261&lt;='SOLLECITAZ NASCOSTO'!$P$10,IF(C261&lt;='SOLLECITAZ NASCOSTO'!$P$9,IF(C261&lt;='SOLLECITAZ NASCOSTO'!$P$8,IF(C261&lt;='SOLLECITAZ NASCOSTO'!$P$7,IF(C261&lt;='SOLLECITAZ NASCOSTO'!$P$6,IF(C261&lt;='SOLLECITAZ NASCOSTO'!$P$5,'SOLLECITAZ NASCOSTO'!$P$3,'SOLLECITAZ NASCOSTO'!$P$5),'SOLLECITAZ NASCOSTO'!$P$5),'SOLLECITAZ NASCOSTO'!$P$7),'SOLLECITAZ NASCOSTO'!$P$8),'SOLLECITAZ NASCOSTO'!$P$9),'SOLLECITAZ NASCOSTO'!$P$10),'SOLLECITAZ NASCOSTO'!$P$11),'SOLLECITAZ NASCOSTO'!$P$12))/IF(C261&lt;='SOLLECITAZ NASCOSTO'!$P$12,IF(C261&lt;='SOLLECITAZ NASCOSTO'!$P$11,IF(C261&lt;='SOLLECITAZ NASCOSTO'!$P$10,IF(C261&lt;='SOLLECITAZ NASCOSTO'!$P$9,IF(C261&lt;='SOLLECITAZ NASCOSTO'!$P$8,IF(C261&lt;='SOLLECITAZ NASCOSTO'!$P$7,IF(C261&lt;='SOLLECITAZ NASCOSTO'!$P$6,IF(C261&lt;='SOLLECITAZ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slu'!$C$112)+IF(C261&lt;='SOLLECITAZ NASCOSTO'!$P$12,IF(C261&lt;='SOLLECITAZ NASCOSTO'!$P$11,IF(C261&lt;='SOLLECITAZ NASCOSTO'!$P$10,IF(C261&lt;='SOLLECITAZ NASCOSTO'!$P$9,IF(C261&lt;='SOLLECITAZ NASCOSTO'!$P$8,IF(C261&lt;='SOLLECITAZ NASCOSTO'!$P$7,IF(C261&lt;='SOLLECITAZ NASCOSTO'!$P$6,IF(C261&lt;='SOLLECITAZ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15.166360370836371</v>
      </c>
      <c r="O262" s="42">
        <f>IF(C262&lt;='SOLLECITAZ NASCOSTO'!$P$12,IF(C262&lt;='SOLLECITAZ NASCOSTO'!$P$11,IF(C262&lt;='SOLLECITAZ NASCOSTO'!$P$10,IF(C262&lt;='SOLLECITAZ NASCOSTO'!$P$9,IF(C262&lt;='SOLLECITAZ NASCOSTO'!$P$8,IF(C262&lt;='SOLLECITAZ NASCOSTO'!$P$7,IF(C262&lt;='SOLLECITAZ NASCOSTO'!$P$6,IF(C262&lt;='SOLLECITAZ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slu'!$G$111),55555)*(C262-C261)/IF(C262&lt;='SOLLECITAZ NASCOSTO'!$P$12,IF(C262&lt;='SOLLECITAZ NASCOSTO'!$P$11,IF(C262&lt;='SOLLECITAZ NASCOSTO'!$P$10,IF(C262&lt;='SOLLECITAZ NASCOSTO'!$P$9,IF(C262&lt;='SOLLECITAZ NASCOSTO'!$P$8,IF(C262&lt;='SOLLECITAZ NASCOSTO'!$P$7,IF(C262&lt;='SOLLECITAZ NASCOSTO'!$P$6,IF(C262&lt;='SOLLECITAZ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2" s="42">
        <f t="shared" si="75"/>
        <v>2.2899999999999947E-4</v>
      </c>
      <c r="Q262" s="42">
        <f t="shared" si="73"/>
        <v>1</v>
      </c>
      <c r="R262" s="441">
        <f t="shared" si="67"/>
        <v>1.5757211538461537</v>
      </c>
      <c r="S262" s="46">
        <f t="shared" si="74"/>
        <v>1.5757211538461537</v>
      </c>
      <c r="T262" s="211">
        <f t="shared" si="70"/>
        <v>1.7742788461538463</v>
      </c>
      <c r="U262" s="46">
        <f t="shared" si="71"/>
        <v>15.25185791933103</v>
      </c>
      <c r="V262" s="46">
        <f t="shared" si="72"/>
        <v>-9.7258233455350886</v>
      </c>
      <c r="W262" s="496"/>
      <c r="X262" s="497"/>
      <c r="Y262" s="497"/>
      <c r="Z262" s="498"/>
      <c r="AA262" s="47"/>
    </row>
    <row r="263" spans="1:27" s="428" customFormat="1" x14ac:dyDescent="0.25">
      <c r="A263" s="589">
        <f t="shared" si="68"/>
        <v>5.5528846152341771E-6</v>
      </c>
      <c r="B263" s="32">
        <f t="shared" si="76"/>
        <v>231</v>
      </c>
      <c r="C263" s="441">
        <f>'SOLLECITAZ NASCOSTO'!$D$6/'SOLLECITAZ NASCOSTO'!$B$448*'SOLLECITAZ NASCOSTO'!B263</f>
        <v>1.5825721153846153</v>
      </c>
      <c r="D263" s="441">
        <f t="shared" si="69"/>
        <v>0.30000555288461522</v>
      </c>
      <c r="E263" s="441">
        <f t="shared" si="63"/>
        <v>5.5528846152341771E-6</v>
      </c>
      <c r="F263" s="441">
        <f t="shared" si="64"/>
        <v>0.30000555288461522</v>
      </c>
      <c r="G263" s="441">
        <f t="shared" si="65"/>
        <v>4.500166588080183E-2</v>
      </c>
      <c r="H263" s="441">
        <f t="shared" si="77"/>
        <v>0</v>
      </c>
      <c r="I263" s="441">
        <v>0</v>
      </c>
      <c r="J263" s="131">
        <f t="shared" si="78"/>
        <v>0.15000277644230761</v>
      </c>
      <c r="K263" s="130">
        <f t="shared" si="66"/>
        <v>2.2501249422164464E-3</v>
      </c>
      <c r="L263" s="42">
        <f t="shared" si="79"/>
        <v>15.356256698881694</v>
      </c>
      <c r="M263" s="42">
        <f t="shared" si="80"/>
        <v>-9.8306708535421876</v>
      </c>
      <c r="N263" s="42">
        <f>(IF(C262&lt;='SOLLECITAZ NASCOSTO'!$P$12,IF(C262&lt;='SOLLECITAZ NASCOSTO'!$P$11,IF(C262&lt;='SOLLECITAZ NASCOSTO'!$P$10,IF(C262&lt;='SOLLECITAZ NASCOSTO'!$P$9,IF(C262&lt;='SOLLECITAZ NASCOSTO'!$P$8,IF(C262&lt;='SOLLECITAZ NASCOSTO'!$P$7,IF(C262&lt;='SOLLECITAZ NASCOSTO'!$P$6,IF(C262&lt;='SOLLECITAZ NASCOSTO'!$P$5,'Progetto del paramento slu'!$G$105,'Progetto del paramento slu'!$G$106),'Progetto del paramento slu'!$G$107),'Progetto del paramento slu'!$G$108),'Progetto del paramento slu'!$G$109),'Progetto del paramento slu'!$G$110),'Progetto del paramento slu'!$G$111),'Progetto del paramento slu'!$G$112),55555)-IF(C262&lt;='SOLLECITAZ NASCOSTO'!$P$12,IF(C262&lt;='SOLLECITAZ NASCOSTO'!$P$11,IF(C262&lt;='SOLLECITAZ NASCOSTO'!$P$10,IF(C262&lt;='SOLLECITAZ NASCOSTO'!$P$9,IF(C262&lt;='SOLLECITAZ NASCOSTO'!$P$8,IF(C262&lt;='SOLLECITAZ NASCOSTO'!$P$7,IF(C262&lt;='SOLLECITAZ NASCOSTO'!$P$6,IF(C262&lt;='SOLLECITAZ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slu'!$G$112))*(C262-IF(C262&lt;='SOLLECITAZ NASCOSTO'!$P$12,IF(C262&lt;='SOLLECITAZ NASCOSTO'!$P$11,IF(C262&lt;='SOLLECITAZ NASCOSTO'!$P$10,IF(C262&lt;='SOLLECITAZ NASCOSTO'!$P$9,IF(C262&lt;='SOLLECITAZ NASCOSTO'!$P$8,IF(C262&lt;='SOLLECITAZ NASCOSTO'!$P$7,IF(C262&lt;='SOLLECITAZ NASCOSTO'!$P$6,IF(C262&lt;='SOLLECITAZ NASCOSTO'!$P$5,'SOLLECITAZ NASCOSTO'!$P$3,'SOLLECITAZ NASCOSTO'!$P$5),'SOLLECITAZ NASCOSTO'!$P$5),'SOLLECITAZ NASCOSTO'!$P$7),'SOLLECITAZ NASCOSTO'!$P$8),'SOLLECITAZ NASCOSTO'!$P$9),'SOLLECITAZ NASCOSTO'!$P$10),'SOLLECITAZ NASCOSTO'!$P$11),'SOLLECITAZ NASCOSTO'!$P$12))/IF(C262&lt;='SOLLECITAZ NASCOSTO'!$P$12,IF(C262&lt;='SOLLECITAZ NASCOSTO'!$P$11,IF(C262&lt;='SOLLECITAZ NASCOSTO'!$P$10,IF(C262&lt;='SOLLECITAZ NASCOSTO'!$P$9,IF(C262&lt;='SOLLECITAZ NASCOSTO'!$P$8,IF(C262&lt;='SOLLECITAZ NASCOSTO'!$P$7,IF(C262&lt;='SOLLECITAZ NASCOSTO'!$P$6,IF(C262&lt;='SOLLECITAZ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slu'!$C$112)+IF(C262&lt;='SOLLECITAZ NASCOSTO'!$P$12,IF(C262&lt;='SOLLECITAZ NASCOSTO'!$P$11,IF(C262&lt;='SOLLECITAZ NASCOSTO'!$P$10,IF(C262&lt;='SOLLECITAZ NASCOSTO'!$P$9,IF(C262&lt;='SOLLECITAZ NASCOSTO'!$P$8,IF(C262&lt;='SOLLECITAZ NASCOSTO'!$P$7,IF(C262&lt;='SOLLECITAZ NASCOSTO'!$P$6,IF(C262&lt;='SOLLECITAZ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15.214492589828723</v>
      </c>
      <c r="O263" s="42">
        <f>IF(C263&lt;='SOLLECITAZ NASCOSTO'!$P$12,IF(C263&lt;='SOLLECITAZ NASCOSTO'!$P$11,IF(C263&lt;='SOLLECITAZ NASCOSTO'!$P$10,IF(C263&lt;='SOLLECITAZ NASCOSTO'!$P$9,IF(C263&lt;='SOLLECITAZ NASCOSTO'!$P$8,IF(C263&lt;='SOLLECITAZ NASCOSTO'!$P$7,IF(C263&lt;='SOLLECITAZ NASCOSTO'!$P$6,IF(C263&lt;='SOLLECITAZ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slu'!$G$111),55555)*(C263-C262)/IF(C263&lt;='SOLLECITAZ NASCOSTO'!$P$12,IF(C263&lt;='SOLLECITAZ NASCOSTO'!$P$11,IF(C263&lt;='SOLLECITAZ NASCOSTO'!$P$10,IF(C263&lt;='SOLLECITAZ NASCOSTO'!$P$9,IF(C263&lt;='SOLLECITAZ NASCOSTO'!$P$8,IF(C263&lt;='SOLLECITAZ NASCOSTO'!$P$7,IF(C263&lt;='SOLLECITAZ NASCOSTO'!$P$6,IF(C263&lt;='SOLLECITAZ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3" s="42">
        <f t="shared" si="75"/>
        <v>2.2999999999999946E-4</v>
      </c>
      <c r="Q263" s="42">
        <f t="shared" si="73"/>
        <v>1</v>
      </c>
      <c r="R263" s="441">
        <f t="shared" si="67"/>
        <v>1.5825721153846153</v>
      </c>
      <c r="S263" s="46">
        <f t="shared" si="74"/>
        <v>1.5825721153846153</v>
      </c>
      <c r="T263" s="211">
        <f t="shared" si="70"/>
        <v>1.7674278846153848</v>
      </c>
      <c r="U263" s="46">
        <f t="shared" si="71"/>
        <v>15.356256698881694</v>
      </c>
      <c r="V263" s="46">
        <f t="shared" si="72"/>
        <v>-9.8306708535421876</v>
      </c>
      <c r="W263" s="496"/>
      <c r="X263" s="497"/>
      <c r="Y263" s="497"/>
      <c r="Z263" s="498"/>
      <c r="AA263" s="47"/>
    </row>
    <row r="264" spans="1:27" s="428" customFormat="1" x14ac:dyDescent="0.25">
      <c r="A264" s="589">
        <f t="shared" si="68"/>
        <v>5.5769230767888089E-6</v>
      </c>
      <c r="B264" s="32">
        <f t="shared" si="76"/>
        <v>232</v>
      </c>
      <c r="C264" s="441">
        <f>'SOLLECITAZ NASCOSTO'!$D$6/'SOLLECITAZ NASCOSTO'!$B$448*'SOLLECITAZ NASCOSTO'!B264</f>
        <v>1.5894230769230768</v>
      </c>
      <c r="D264" s="441">
        <f t="shared" si="69"/>
        <v>0.30000557692307678</v>
      </c>
      <c r="E264" s="441">
        <f t="shared" si="63"/>
        <v>5.5769230767888089E-6</v>
      </c>
      <c r="F264" s="441">
        <f t="shared" si="64"/>
        <v>0.30000557692307678</v>
      </c>
      <c r="G264" s="441">
        <f t="shared" si="65"/>
        <v>4.5001673092474069E-2</v>
      </c>
      <c r="H264" s="441">
        <f t="shared" si="77"/>
        <v>0</v>
      </c>
      <c r="I264" s="441">
        <v>0</v>
      </c>
      <c r="J264" s="131">
        <f t="shared" si="78"/>
        <v>0.15000278846153839</v>
      </c>
      <c r="K264" s="130">
        <f t="shared" si="66"/>
        <v>2.2501254831018974E-3</v>
      </c>
      <c r="L264" s="42">
        <f t="shared" si="79"/>
        <v>15.460985230413435</v>
      </c>
      <c r="M264" s="42">
        <f t="shared" si="80"/>
        <v>-9.9362347231317205</v>
      </c>
      <c r="N264" s="42">
        <f>(IF(C263&lt;='SOLLECITAZ NASCOSTO'!$P$12,IF(C263&lt;='SOLLECITAZ NASCOSTO'!$P$11,IF(C263&lt;='SOLLECITAZ NASCOSTO'!$P$10,IF(C263&lt;='SOLLECITAZ NASCOSTO'!$P$9,IF(C263&lt;='SOLLECITAZ NASCOSTO'!$P$8,IF(C263&lt;='SOLLECITAZ NASCOSTO'!$P$7,IF(C263&lt;='SOLLECITAZ NASCOSTO'!$P$6,IF(C263&lt;='SOLLECITAZ NASCOSTO'!$P$5,'Progetto del paramento slu'!$G$105,'Progetto del paramento slu'!$G$106),'Progetto del paramento slu'!$G$107),'Progetto del paramento slu'!$G$108),'Progetto del paramento slu'!$G$109),'Progetto del paramento slu'!$G$110),'Progetto del paramento slu'!$G$111),'Progetto del paramento slu'!$G$112),55555)-IF(C263&lt;='SOLLECITAZ NASCOSTO'!$P$12,IF(C263&lt;='SOLLECITAZ NASCOSTO'!$P$11,IF(C263&lt;='SOLLECITAZ NASCOSTO'!$P$10,IF(C263&lt;='SOLLECITAZ NASCOSTO'!$P$9,IF(C263&lt;='SOLLECITAZ NASCOSTO'!$P$8,IF(C263&lt;='SOLLECITAZ NASCOSTO'!$P$7,IF(C263&lt;='SOLLECITAZ NASCOSTO'!$P$6,IF(C263&lt;='SOLLECITAZ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slu'!$G$112))*(C263-IF(C263&lt;='SOLLECITAZ NASCOSTO'!$P$12,IF(C263&lt;='SOLLECITAZ NASCOSTO'!$P$11,IF(C263&lt;='SOLLECITAZ NASCOSTO'!$P$10,IF(C263&lt;='SOLLECITAZ NASCOSTO'!$P$9,IF(C263&lt;='SOLLECITAZ NASCOSTO'!$P$8,IF(C263&lt;='SOLLECITAZ NASCOSTO'!$P$7,IF(C263&lt;='SOLLECITAZ NASCOSTO'!$P$6,IF(C263&lt;='SOLLECITAZ NASCOSTO'!$P$5,'SOLLECITAZ NASCOSTO'!$P$3,'SOLLECITAZ NASCOSTO'!$P$5),'SOLLECITAZ NASCOSTO'!$P$5),'SOLLECITAZ NASCOSTO'!$P$7),'SOLLECITAZ NASCOSTO'!$P$8),'SOLLECITAZ NASCOSTO'!$P$9),'SOLLECITAZ NASCOSTO'!$P$10),'SOLLECITAZ NASCOSTO'!$P$11),'SOLLECITAZ NASCOSTO'!$P$12))/IF(C263&lt;='SOLLECITAZ NASCOSTO'!$P$12,IF(C263&lt;='SOLLECITAZ NASCOSTO'!$P$11,IF(C263&lt;='SOLLECITAZ NASCOSTO'!$P$10,IF(C263&lt;='SOLLECITAZ NASCOSTO'!$P$9,IF(C263&lt;='SOLLECITAZ NASCOSTO'!$P$8,IF(C263&lt;='SOLLECITAZ NASCOSTO'!$P$7,IF(C263&lt;='SOLLECITAZ NASCOSTO'!$P$6,IF(C263&lt;='SOLLECITAZ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slu'!$C$112)+IF(C263&lt;='SOLLECITAZ NASCOSTO'!$P$12,IF(C263&lt;='SOLLECITAZ NASCOSTO'!$P$11,IF(C263&lt;='SOLLECITAZ NASCOSTO'!$P$10,IF(C263&lt;='SOLLECITAZ NASCOSTO'!$P$9,IF(C263&lt;='SOLLECITAZ NASCOSTO'!$P$8,IF(C263&lt;='SOLLECITAZ NASCOSTO'!$P$7,IF(C263&lt;='SOLLECITAZ NASCOSTO'!$P$6,IF(C263&lt;='SOLLECITAZ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15.262624808821075</v>
      </c>
      <c r="O264" s="42">
        <f>IF(C264&lt;='SOLLECITAZ NASCOSTO'!$P$12,IF(C264&lt;='SOLLECITAZ NASCOSTO'!$P$11,IF(C264&lt;='SOLLECITAZ NASCOSTO'!$P$10,IF(C264&lt;='SOLLECITAZ NASCOSTO'!$P$9,IF(C264&lt;='SOLLECITAZ NASCOSTO'!$P$8,IF(C264&lt;='SOLLECITAZ NASCOSTO'!$P$7,IF(C264&lt;='SOLLECITAZ NASCOSTO'!$P$6,IF(C264&lt;='SOLLECITAZ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slu'!$G$111),55555)*(C264-C263)/IF(C264&lt;='SOLLECITAZ NASCOSTO'!$P$12,IF(C264&lt;='SOLLECITAZ NASCOSTO'!$P$11,IF(C264&lt;='SOLLECITAZ NASCOSTO'!$P$10,IF(C264&lt;='SOLLECITAZ NASCOSTO'!$P$9,IF(C264&lt;='SOLLECITAZ NASCOSTO'!$P$8,IF(C264&lt;='SOLLECITAZ NASCOSTO'!$P$7,IF(C264&lt;='SOLLECITAZ NASCOSTO'!$P$6,IF(C264&lt;='SOLLECITAZ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4" s="42">
        <f t="shared" si="75"/>
        <v>2.3099999999999946E-4</v>
      </c>
      <c r="Q264" s="42">
        <f t="shared" si="73"/>
        <v>1</v>
      </c>
      <c r="R264" s="441">
        <f t="shared" si="67"/>
        <v>1.5894230769230768</v>
      </c>
      <c r="S264" s="46">
        <f t="shared" si="74"/>
        <v>1.5894230769230768</v>
      </c>
      <c r="T264" s="211">
        <f t="shared" si="70"/>
        <v>1.7605769230769233</v>
      </c>
      <c r="U264" s="46">
        <f t="shared" si="71"/>
        <v>15.460985230413435</v>
      </c>
      <c r="V264" s="46">
        <f t="shared" si="72"/>
        <v>-9.9362347231317205</v>
      </c>
      <c r="W264" s="496"/>
      <c r="X264" s="497"/>
      <c r="Y264" s="497"/>
      <c r="Z264" s="498"/>
      <c r="AA264" s="47"/>
    </row>
    <row r="265" spans="1:27" s="428" customFormat="1" x14ac:dyDescent="0.25">
      <c r="A265" s="589">
        <f t="shared" si="68"/>
        <v>5.6009615383434408E-6</v>
      </c>
      <c r="B265" s="32">
        <f t="shared" si="76"/>
        <v>233</v>
      </c>
      <c r="C265" s="441">
        <f>'SOLLECITAZ NASCOSTO'!$D$6/'SOLLECITAZ NASCOSTO'!$B$448*'SOLLECITAZ NASCOSTO'!B265</f>
        <v>1.5962740384615384</v>
      </c>
      <c r="D265" s="441">
        <f t="shared" si="69"/>
        <v>0.30000560096153833</v>
      </c>
      <c r="E265" s="441">
        <f t="shared" si="63"/>
        <v>5.6009615383434408E-6</v>
      </c>
      <c r="F265" s="441">
        <f t="shared" si="64"/>
        <v>0.30000560096153833</v>
      </c>
      <c r="G265" s="441">
        <f t="shared" si="65"/>
        <v>4.5001680304146884E-2</v>
      </c>
      <c r="H265" s="441">
        <f t="shared" si="77"/>
        <v>0</v>
      </c>
      <c r="I265" s="441">
        <v>0</v>
      </c>
      <c r="J265" s="131">
        <f t="shared" si="78"/>
        <v>0.15000280048076917</v>
      </c>
      <c r="K265" s="130">
        <f t="shared" si="66"/>
        <v>2.2501260239874347E-3</v>
      </c>
      <c r="L265" s="42">
        <f t="shared" si="79"/>
        <v>15.566043513926253</v>
      </c>
      <c r="M265" s="42">
        <f t="shared" si="80"/>
        <v>-10.042517213421826</v>
      </c>
      <c r="N265" s="42">
        <f>(IF(C264&lt;='SOLLECITAZ NASCOSTO'!$P$12,IF(C264&lt;='SOLLECITAZ NASCOSTO'!$P$11,IF(C264&lt;='SOLLECITAZ NASCOSTO'!$P$10,IF(C264&lt;='SOLLECITAZ NASCOSTO'!$P$9,IF(C264&lt;='SOLLECITAZ NASCOSTO'!$P$8,IF(C264&lt;='SOLLECITAZ NASCOSTO'!$P$7,IF(C264&lt;='SOLLECITAZ NASCOSTO'!$P$6,IF(C264&lt;='SOLLECITAZ NASCOSTO'!$P$5,'Progetto del paramento slu'!$G$105,'Progetto del paramento slu'!$G$106),'Progetto del paramento slu'!$G$107),'Progetto del paramento slu'!$G$108),'Progetto del paramento slu'!$G$109),'Progetto del paramento slu'!$G$110),'Progetto del paramento slu'!$G$111),'Progetto del paramento slu'!$G$112),55555)-IF(C264&lt;='SOLLECITAZ NASCOSTO'!$P$12,IF(C264&lt;='SOLLECITAZ NASCOSTO'!$P$11,IF(C264&lt;='SOLLECITAZ NASCOSTO'!$P$10,IF(C264&lt;='SOLLECITAZ NASCOSTO'!$P$9,IF(C264&lt;='SOLLECITAZ NASCOSTO'!$P$8,IF(C264&lt;='SOLLECITAZ NASCOSTO'!$P$7,IF(C264&lt;='SOLLECITAZ NASCOSTO'!$P$6,IF(C264&lt;='SOLLECITAZ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slu'!$G$112))*(C264-IF(C264&lt;='SOLLECITAZ NASCOSTO'!$P$12,IF(C264&lt;='SOLLECITAZ NASCOSTO'!$P$11,IF(C264&lt;='SOLLECITAZ NASCOSTO'!$P$10,IF(C264&lt;='SOLLECITAZ NASCOSTO'!$P$9,IF(C264&lt;='SOLLECITAZ NASCOSTO'!$P$8,IF(C264&lt;='SOLLECITAZ NASCOSTO'!$P$7,IF(C264&lt;='SOLLECITAZ NASCOSTO'!$P$6,IF(C264&lt;='SOLLECITAZ NASCOSTO'!$P$5,'SOLLECITAZ NASCOSTO'!$P$3,'SOLLECITAZ NASCOSTO'!$P$5),'SOLLECITAZ NASCOSTO'!$P$5),'SOLLECITAZ NASCOSTO'!$P$7),'SOLLECITAZ NASCOSTO'!$P$8),'SOLLECITAZ NASCOSTO'!$P$9),'SOLLECITAZ NASCOSTO'!$P$10),'SOLLECITAZ NASCOSTO'!$P$11),'SOLLECITAZ NASCOSTO'!$P$12))/IF(C264&lt;='SOLLECITAZ NASCOSTO'!$P$12,IF(C264&lt;='SOLLECITAZ NASCOSTO'!$P$11,IF(C264&lt;='SOLLECITAZ NASCOSTO'!$P$10,IF(C264&lt;='SOLLECITAZ NASCOSTO'!$P$9,IF(C264&lt;='SOLLECITAZ NASCOSTO'!$P$8,IF(C264&lt;='SOLLECITAZ NASCOSTO'!$P$7,IF(C264&lt;='SOLLECITAZ NASCOSTO'!$P$6,IF(C264&lt;='SOLLECITAZ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slu'!$C$112)+IF(C264&lt;='SOLLECITAZ NASCOSTO'!$P$12,IF(C264&lt;='SOLLECITAZ NASCOSTO'!$P$11,IF(C264&lt;='SOLLECITAZ NASCOSTO'!$P$10,IF(C264&lt;='SOLLECITAZ NASCOSTO'!$P$9,IF(C264&lt;='SOLLECITAZ NASCOSTO'!$P$8,IF(C264&lt;='SOLLECITAZ NASCOSTO'!$P$7,IF(C264&lt;='SOLLECITAZ NASCOSTO'!$P$6,IF(C264&lt;='SOLLECITAZ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15.310757027813427</v>
      </c>
      <c r="O265" s="42">
        <f>IF(C265&lt;='SOLLECITAZ NASCOSTO'!$P$12,IF(C265&lt;='SOLLECITAZ NASCOSTO'!$P$11,IF(C265&lt;='SOLLECITAZ NASCOSTO'!$P$10,IF(C265&lt;='SOLLECITAZ NASCOSTO'!$P$9,IF(C265&lt;='SOLLECITAZ NASCOSTO'!$P$8,IF(C265&lt;='SOLLECITAZ NASCOSTO'!$P$7,IF(C265&lt;='SOLLECITAZ NASCOSTO'!$P$6,IF(C265&lt;='SOLLECITAZ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slu'!$G$111),55555)*(C265-C264)/IF(C265&lt;='SOLLECITAZ NASCOSTO'!$P$12,IF(C265&lt;='SOLLECITAZ NASCOSTO'!$P$11,IF(C265&lt;='SOLLECITAZ NASCOSTO'!$P$10,IF(C265&lt;='SOLLECITAZ NASCOSTO'!$P$9,IF(C265&lt;='SOLLECITAZ NASCOSTO'!$P$8,IF(C265&lt;='SOLLECITAZ NASCOSTO'!$P$7,IF(C265&lt;='SOLLECITAZ NASCOSTO'!$P$6,IF(C265&lt;='SOLLECITAZ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5" s="42">
        <f t="shared" si="75"/>
        <v>2.3199999999999946E-4</v>
      </c>
      <c r="Q265" s="42">
        <f t="shared" si="73"/>
        <v>1</v>
      </c>
      <c r="R265" s="441">
        <f t="shared" si="67"/>
        <v>1.5962740384615384</v>
      </c>
      <c r="S265" s="46">
        <f t="shared" si="74"/>
        <v>1.5962740384615384</v>
      </c>
      <c r="T265" s="211">
        <f t="shared" si="70"/>
        <v>1.7537259615384617</v>
      </c>
      <c r="U265" s="46">
        <f t="shared" si="71"/>
        <v>15.566043513926253</v>
      </c>
      <c r="V265" s="46">
        <f t="shared" si="72"/>
        <v>-10.042517213421826</v>
      </c>
      <c r="W265" s="496"/>
      <c r="X265" s="497"/>
      <c r="Y265" s="497"/>
      <c r="Z265" s="498"/>
      <c r="AA265" s="47"/>
    </row>
    <row r="266" spans="1:27" s="428" customFormat="1" x14ac:dyDescent="0.25">
      <c r="A266" s="589">
        <f t="shared" si="68"/>
        <v>5.6249999998980726E-6</v>
      </c>
      <c r="B266" s="32">
        <f t="shared" si="76"/>
        <v>234</v>
      </c>
      <c r="C266" s="441">
        <f>'SOLLECITAZ NASCOSTO'!$D$6/'SOLLECITAZ NASCOSTO'!$B$448*'SOLLECITAZ NASCOSTO'!B266</f>
        <v>1.6031249999999999</v>
      </c>
      <c r="D266" s="441">
        <f t="shared" si="69"/>
        <v>0.30000562499999989</v>
      </c>
      <c r="E266" s="441">
        <f t="shared" si="63"/>
        <v>5.6249999998980726E-6</v>
      </c>
      <c r="F266" s="441">
        <f t="shared" si="64"/>
        <v>0.30000562499999989</v>
      </c>
      <c r="G266" s="441">
        <f t="shared" si="65"/>
        <v>4.5001687515820281E-2</v>
      </c>
      <c r="H266" s="441">
        <f t="shared" si="77"/>
        <v>0</v>
      </c>
      <c r="I266" s="441">
        <v>0</v>
      </c>
      <c r="J266" s="131">
        <f t="shared" si="78"/>
        <v>0.15000281249999994</v>
      </c>
      <c r="K266" s="130">
        <f t="shared" si="66"/>
        <v>2.2501265648730596E-3</v>
      </c>
      <c r="L266" s="42">
        <f t="shared" si="79"/>
        <v>15.671431549420149</v>
      </c>
      <c r="M266" s="42">
        <f t="shared" si="80"/>
        <v>-10.149520583530645</v>
      </c>
      <c r="N266" s="42">
        <f>(IF(C265&lt;='SOLLECITAZ NASCOSTO'!$P$12,IF(C265&lt;='SOLLECITAZ NASCOSTO'!$P$11,IF(C265&lt;='SOLLECITAZ NASCOSTO'!$P$10,IF(C265&lt;='SOLLECITAZ NASCOSTO'!$P$9,IF(C265&lt;='SOLLECITAZ NASCOSTO'!$P$8,IF(C265&lt;='SOLLECITAZ NASCOSTO'!$P$7,IF(C265&lt;='SOLLECITAZ NASCOSTO'!$P$6,IF(C265&lt;='SOLLECITAZ NASCOSTO'!$P$5,'Progetto del paramento slu'!$G$105,'Progetto del paramento slu'!$G$106),'Progetto del paramento slu'!$G$107),'Progetto del paramento slu'!$G$108),'Progetto del paramento slu'!$G$109),'Progetto del paramento slu'!$G$110),'Progetto del paramento slu'!$G$111),'Progetto del paramento slu'!$G$112),55555)-IF(C265&lt;='SOLLECITAZ NASCOSTO'!$P$12,IF(C265&lt;='SOLLECITAZ NASCOSTO'!$P$11,IF(C265&lt;='SOLLECITAZ NASCOSTO'!$P$10,IF(C265&lt;='SOLLECITAZ NASCOSTO'!$P$9,IF(C265&lt;='SOLLECITAZ NASCOSTO'!$P$8,IF(C265&lt;='SOLLECITAZ NASCOSTO'!$P$7,IF(C265&lt;='SOLLECITAZ NASCOSTO'!$P$6,IF(C265&lt;='SOLLECITAZ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slu'!$G$112))*(C265-IF(C265&lt;='SOLLECITAZ NASCOSTO'!$P$12,IF(C265&lt;='SOLLECITAZ NASCOSTO'!$P$11,IF(C265&lt;='SOLLECITAZ NASCOSTO'!$P$10,IF(C265&lt;='SOLLECITAZ NASCOSTO'!$P$9,IF(C265&lt;='SOLLECITAZ NASCOSTO'!$P$8,IF(C265&lt;='SOLLECITAZ NASCOSTO'!$P$7,IF(C265&lt;='SOLLECITAZ NASCOSTO'!$P$6,IF(C265&lt;='SOLLECITAZ NASCOSTO'!$P$5,'SOLLECITAZ NASCOSTO'!$P$3,'SOLLECITAZ NASCOSTO'!$P$5),'SOLLECITAZ NASCOSTO'!$P$5),'SOLLECITAZ NASCOSTO'!$P$7),'SOLLECITAZ NASCOSTO'!$P$8),'SOLLECITAZ NASCOSTO'!$P$9),'SOLLECITAZ NASCOSTO'!$P$10),'SOLLECITAZ NASCOSTO'!$P$11),'SOLLECITAZ NASCOSTO'!$P$12))/IF(C265&lt;='SOLLECITAZ NASCOSTO'!$P$12,IF(C265&lt;='SOLLECITAZ NASCOSTO'!$P$11,IF(C265&lt;='SOLLECITAZ NASCOSTO'!$P$10,IF(C265&lt;='SOLLECITAZ NASCOSTO'!$P$9,IF(C265&lt;='SOLLECITAZ NASCOSTO'!$P$8,IF(C265&lt;='SOLLECITAZ NASCOSTO'!$P$7,IF(C265&lt;='SOLLECITAZ NASCOSTO'!$P$6,IF(C265&lt;='SOLLECITAZ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slu'!$C$112)+IF(C265&lt;='SOLLECITAZ NASCOSTO'!$P$12,IF(C265&lt;='SOLLECITAZ NASCOSTO'!$P$11,IF(C265&lt;='SOLLECITAZ NASCOSTO'!$P$10,IF(C265&lt;='SOLLECITAZ NASCOSTO'!$P$9,IF(C265&lt;='SOLLECITAZ NASCOSTO'!$P$8,IF(C265&lt;='SOLLECITAZ NASCOSTO'!$P$7,IF(C265&lt;='SOLLECITAZ NASCOSTO'!$P$6,IF(C265&lt;='SOLLECITAZ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15.358889246805779</v>
      </c>
      <c r="O266" s="42">
        <f>IF(C266&lt;='SOLLECITAZ NASCOSTO'!$P$12,IF(C266&lt;='SOLLECITAZ NASCOSTO'!$P$11,IF(C266&lt;='SOLLECITAZ NASCOSTO'!$P$10,IF(C266&lt;='SOLLECITAZ NASCOSTO'!$P$9,IF(C266&lt;='SOLLECITAZ NASCOSTO'!$P$8,IF(C266&lt;='SOLLECITAZ NASCOSTO'!$P$7,IF(C266&lt;='SOLLECITAZ NASCOSTO'!$P$6,IF(C266&lt;='SOLLECITAZ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slu'!$G$111),55555)*(C266-C265)/IF(C266&lt;='SOLLECITAZ NASCOSTO'!$P$12,IF(C266&lt;='SOLLECITAZ NASCOSTO'!$P$11,IF(C266&lt;='SOLLECITAZ NASCOSTO'!$P$10,IF(C266&lt;='SOLLECITAZ NASCOSTO'!$P$9,IF(C266&lt;='SOLLECITAZ NASCOSTO'!$P$8,IF(C266&lt;='SOLLECITAZ NASCOSTO'!$P$7,IF(C266&lt;='SOLLECITAZ NASCOSTO'!$P$6,IF(C266&lt;='SOLLECITAZ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6" s="42">
        <f t="shared" si="75"/>
        <v>2.3299999999999946E-4</v>
      </c>
      <c r="Q266" s="42">
        <f t="shared" si="73"/>
        <v>1</v>
      </c>
      <c r="R266" s="441">
        <f t="shared" si="67"/>
        <v>1.6031249999999999</v>
      </c>
      <c r="S266" s="46">
        <f t="shared" si="74"/>
        <v>1.6031249999999999</v>
      </c>
      <c r="T266" s="211">
        <f t="shared" si="70"/>
        <v>1.7468750000000002</v>
      </c>
      <c r="U266" s="46">
        <f t="shared" si="71"/>
        <v>15.671431549420149</v>
      </c>
      <c r="V266" s="46">
        <f t="shared" si="72"/>
        <v>-10.149520583530645</v>
      </c>
      <c r="W266" s="496"/>
      <c r="X266" s="497"/>
      <c r="Y266" s="497"/>
      <c r="Z266" s="498"/>
      <c r="AA266" s="47"/>
    </row>
    <row r="267" spans="1:27" s="428" customFormat="1" x14ac:dyDescent="0.25">
      <c r="A267" s="589">
        <f t="shared" si="68"/>
        <v>5.6490384613971933E-6</v>
      </c>
      <c r="B267" s="32">
        <f t="shared" si="76"/>
        <v>235</v>
      </c>
      <c r="C267" s="441">
        <f>'SOLLECITAZ NASCOSTO'!$D$6/'SOLLECITAZ NASCOSTO'!$B$448*'SOLLECITAZ NASCOSTO'!B267</f>
        <v>1.6099759615384615</v>
      </c>
      <c r="D267" s="441">
        <f t="shared" si="69"/>
        <v>0.30000564903846139</v>
      </c>
      <c r="E267" s="441">
        <f t="shared" si="63"/>
        <v>5.6490384613971933E-6</v>
      </c>
      <c r="F267" s="441">
        <f t="shared" si="64"/>
        <v>0.30000564903846139</v>
      </c>
      <c r="G267" s="441">
        <f t="shared" si="65"/>
        <v>4.5001694727494233E-2</v>
      </c>
      <c r="H267" s="441">
        <f t="shared" si="77"/>
        <v>0</v>
      </c>
      <c r="I267" s="441">
        <v>0</v>
      </c>
      <c r="J267" s="131">
        <f t="shared" si="78"/>
        <v>0.15000282451923069</v>
      </c>
      <c r="K267" s="130">
        <f t="shared" si="66"/>
        <v>2.2501271057587691E-3</v>
      </c>
      <c r="L267" s="42">
        <f t="shared" si="79"/>
        <v>15.777149336895121</v>
      </c>
      <c r="M267" s="42">
        <f t="shared" si="80"/>
        <v>-10.257247092576316</v>
      </c>
      <c r="N267" s="42">
        <f>(IF(C266&lt;='SOLLECITAZ NASCOSTO'!$P$12,IF(C266&lt;='SOLLECITAZ NASCOSTO'!$P$11,IF(C266&lt;='SOLLECITAZ NASCOSTO'!$P$10,IF(C266&lt;='SOLLECITAZ NASCOSTO'!$P$9,IF(C266&lt;='SOLLECITAZ NASCOSTO'!$P$8,IF(C266&lt;='SOLLECITAZ NASCOSTO'!$P$7,IF(C266&lt;='SOLLECITAZ NASCOSTO'!$P$6,IF(C266&lt;='SOLLECITAZ NASCOSTO'!$P$5,'Progetto del paramento slu'!$G$105,'Progetto del paramento slu'!$G$106),'Progetto del paramento slu'!$G$107),'Progetto del paramento slu'!$G$108),'Progetto del paramento slu'!$G$109),'Progetto del paramento slu'!$G$110),'Progetto del paramento slu'!$G$111),'Progetto del paramento slu'!$G$112),55555)-IF(C266&lt;='SOLLECITAZ NASCOSTO'!$P$12,IF(C266&lt;='SOLLECITAZ NASCOSTO'!$P$11,IF(C266&lt;='SOLLECITAZ NASCOSTO'!$P$10,IF(C266&lt;='SOLLECITAZ NASCOSTO'!$P$9,IF(C266&lt;='SOLLECITAZ NASCOSTO'!$P$8,IF(C266&lt;='SOLLECITAZ NASCOSTO'!$P$7,IF(C266&lt;='SOLLECITAZ NASCOSTO'!$P$6,IF(C266&lt;='SOLLECITAZ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slu'!$G$112))*(C266-IF(C266&lt;='SOLLECITAZ NASCOSTO'!$P$12,IF(C266&lt;='SOLLECITAZ NASCOSTO'!$P$11,IF(C266&lt;='SOLLECITAZ NASCOSTO'!$P$10,IF(C266&lt;='SOLLECITAZ NASCOSTO'!$P$9,IF(C266&lt;='SOLLECITAZ NASCOSTO'!$P$8,IF(C266&lt;='SOLLECITAZ NASCOSTO'!$P$7,IF(C266&lt;='SOLLECITAZ NASCOSTO'!$P$6,IF(C266&lt;='SOLLECITAZ NASCOSTO'!$P$5,'SOLLECITAZ NASCOSTO'!$P$3,'SOLLECITAZ NASCOSTO'!$P$5),'SOLLECITAZ NASCOSTO'!$P$5),'SOLLECITAZ NASCOSTO'!$P$7),'SOLLECITAZ NASCOSTO'!$P$8),'SOLLECITAZ NASCOSTO'!$P$9),'SOLLECITAZ NASCOSTO'!$P$10),'SOLLECITAZ NASCOSTO'!$P$11),'SOLLECITAZ NASCOSTO'!$P$12))/IF(C266&lt;='SOLLECITAZ NASCOSTO'!$P$12,IF(C266&lt;='SOLLECITAZ NASCOSTO'!$P$11,IF(C266&lt;='SOLLECITAZ NASCOSTO'!$P$10,IF(C266&lt;='SOLLECITAZ NASCOSTO'!$P$9,IF(C266&lt;='SOLLECITAZ NASCOSTO'!$P$8,IF(C266&lt;='SOLLECITAZ NASCOSTO'!$P$7,IF(C266&lt;='SOLLECITAZ NASCOSTO'!$P$6,IF(C266&lt;='SOLLECITAZ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slu'!$C$112)+IF(C266&lt;='SOLLECITAZ NASCOSTO'!$P$12,IF(C266&lt;='SOLLECITAZ NASCOSTO'!$P$11,IF(C266&lt;='SOLLECITAZ NASCOSTO'!$P$10,IF(C266&lt;='SOLLECITAZ NASCOSTO'!$P$9,IF(C266&lt;='SOLLECITAZ NASCOSTO'!$P$8,IF(C266&lt;='SOLLECITAZ NASCOSTO'!$P$7,IF(C266&lt;='SOLLECITAZ NASCOSTO'!$P$6,IF(C266&lt;='SOLLECITAZ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15.407021465798133</v>
      </c>
      <c r="O267" s="42">
        <f>IF(C267&lt;='SOLLECITAZ NASCOSTO'!$P$12,IF(C267&lt;='SOLLECITAZ NASCOSTO'!$P$11,IF(C267&lt;='SOLLECITAZ NASCOSTO'!$P$10,IF(C267&lt;='SOLLECITAZ NASCOSTO'!$P$9,IF(C267&lt;='SOLLECITAZ NASCOSTO'!$P$8,IF(C267&lt;='SOLLECITAZ NASCOSTO'!$P$7,IF(C267&lt;='SOLLECITAZ NASCOSTO'!$P$6,IF(C267&lt;='SOLLECITAZ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slu'!$G$111),55555)*(C267-C266)/IF(C267&lt;='SOLLECITAZ NASCOSTO'!$P$12,IF(C267&lt;='SOLLECITAZ NASCOSTO'!$P$11,IF(C267&lt;='SOLLECITAZ NASCOSTO'!$P$10,IF(C267&lt;='SOLLECITAZ NASCOSTO'!$P$9,IF(C267&lt;='SOLLECITAZ NASCOSTO'!$P$8,IF(C267&lt;='SOLLECITAZ NASCOSTO'!$P$7,IF(C267&lt;='SOLLECITAZ NASCOSTO'!$P$6,IF(C267&lt;='SOLLECITAZ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7" s="42">
        <f t="shared" si="75"/>
        <v>2.3399999999999945E-4</v>
      </c>
      <c r="Q267" s="42">
        <f t="shared" si="73"/>
        <v>1</v>
      </c>
      <c r="R267" s="441">
        <f t="shared" si="67"/>
        <v>1.6099759615384615</v>
      </c>
      <c r="S267" s="46">
        <f t="shared" si="74"/>
        <v>1.6099759615384615</v>
      </c>
      <c r="T267" s="211">
        <f t="shared" si="70"/>
        <v>1.7400240384615386</v>
      </c>
      <c r="U267" s="46">
        <f t="shared" si="71"/>
        <v>15.777149336895121</v>
      </c>
      <c r="V267" s="46">
        <f t="shared" si="72"/>
        <v>-10.257247092576316</v>
      </c>
      <c r="W267" s="496"/>
      <c r="X267" s="497"/>
      <c r="Y267" s="497"/>
      <c r="Z267" s="498"/>
      <c r="AA267" s="47"/>
    </row>
    <row r="268" spans="1:27" s="428" customFormat="1" x14ac:dyDescent="0.25">
      <c r="A268" s="589">
        <f t="shared" si="68"/>
        <v>5.6730769229518252E-6</v>
      </c>
      <c r="B268" s="32">
        <f t="shared" si="76"/>
        <v>236</v>
      </c>
      <c r="C268" s="441">
        <f>'SOLLECITAZ NASCOSTO'!$D$6/'SOLLECITAZ NASCOSTO'!$B$448*'SOLLECITAZ NASCOSTO'!B268</f>
        <v>1.616826923076923</v>
      </c>
      <c r="D268" s="441">
        <f t="shared" si="69"/>
        <v>0.30000567307692294</v>
      </c>
      <c r="E268" s="441">
        <f t="shared" si="63"/>
        <v>5.6730769229518252E-6</v>
      </c>
      <c r="F268" s="441">
        <f t="shared" si="64"/>
        <v>0.30000567307692294</v>
      </c>
      <c r="G268" s="441">
        <f t="shared" si="65"/>
        <v>4.5001701939168783E-2</v>
      </c>
      <c r="H268" s="441">
        <f t="shared" si="77"/>
        <v>0</v>
      </c>
      <c r="I268" s="441">
        <v>0</v>
      </c>
      <c r="J268" s="131">
        <f t="shared" si="78"/>
        <v>0.15000283653846147</v>
      </c>
      <c r="K268" s="130">
        <f t="shared" si="66"/>
        <v>2.2501276466445671E-3</v>
      </c>
      <c r="L268" s="42">
        <f t="shared" si="79"/>
        <v>15.883196876351171</v>
      </c>
      <c r="M268" s="42">
        <f t="shared" si="80"/>
        <v>-10.365698999676979</v>
      </c>
      <c r="N268" s="42">
        <f>(IF(C267&lt;='SOLLECITAZ NASCOSTO'!$P$12,IF(C267&lt;='SOLLECITAZ NASCOSTO'!$P$11,IF(C267&lt;='SOLLECITAZ NASCOSTO'!$P$10,IF(C267&lt;='SOLLECITAZ NASCOSTO'!$P$9,IF(C267&lt;='SOLLECITAZ NASCOSTO'!$P$8,IF(C267&lt;='SOLLECITAZ NASCOSTO'!$P$7,IF(C267&lt;='SOLLECITAZ NASCOSTO'!$P$6,IF(C267&lt;='SOLLECITAZ NASCOSTO'!$P$5,'Progetto del paramento slu'!$G$105,'Progetto del paramento slu'!$G$106),'Progetto del paramento slu'!$G$107),'Progetto del paramento slu'!$G$108),'Progetto del paramento slu'!$G$109),'Progetto del paramento slu'!$G$110),'Progetto del paramento slu'!$G$111),'Progetto del paramento slu'!$G$112),55555)-IF(C267&lt;='SOLLECITAZ NASCOSTO'!$P$12,IF(C267&lt;='SOLLECITAZ NASCOSTO'!$P$11,IF(C267&lt;='SOLLECITAZ NASCOSTO'!$P$10,IF(C267&lt;='SOLLECITAZ NASCOSTO'!$P$9,IF(C267&lt;='SOLLECITAZ NASCOSTO'!$P$8,IF(C267&lt;='SOLLECITAZ NASCOSTO'!$P$7,IF(C267&lt;='SOLLECITAZ NASCOSTO'!$P$6,IF(C267&lt;='SOLLECITAZ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slu'!$G$112))*(C267-IF(C267&lt;='SOLLECITAZ NASCOSTO'!$P$12,IF(C267&lt;='SOLLECITAZ NASCOSTO'!$P$11,IF(C267&lt;='SOLLECITAZ NASCOSTO'!$P$10,IF(C267&lt;='SOLLECITAZ NASCOSTO'!$P$9,IF(C267&lt;='SOLLECITAZ NASCOSTO'!$P$8,IF(C267&lt;='SOLLECITAZ NASCOSTO'!$P$7,IF(C267&lt;='SOLLECITAZ NASCOSTO'!$P$6,IF(C267&lt;='SOLLECITAZ NASCOSTO'!$P$5,'SOLLECITAZ NASCOSTO'!$P$3,'SOLLECITAZ NASCOSTO'!$P$5),'SOLLECITAZ NASCOSTO'!$P$5),'SOLLECITAZ NASCOSTO'!$P$7),'SOLLECITAZ NASCOSTO'!$P$8),'SOLLECITAZ NASCOSTO'!$P$9),'SOLLECITAZ NASCOSTO'!$P$10),'SOLLECITAZ NASCOSTO'!$P$11),'SOLLECITAZ NASCOSTO'!$P$12))/IF(C267&lt;='SOLLECITAZ NASCOSTO'!$P$12,IF(C267&lt;='SOLLECITAZ NASCOSTO'!$P$11,IF(C267&lt;='SOLLECITAZ NASCOSTO'!$P$10,IF(C267&lt;='SOLLECITAZ NASCOSTO'!$P$9,IF(C267&lt;='SOLLECITAZ NASCOSTO'!$P$8,IF(C267&lt;='SOLLECITAZ NASCOSTO'!$P$7,IF(C267&lt;='SOLLECITAZ NASCOSTO'!$P$6,IF(C267&lt;='SOLLECITAZ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slu'!$C$112)+IF(C267&lt;='SOLLECITAZ NASCOSTO'!$P$12,IF(C267&lt;='SOLLECITAZ NASCOSTO'!$P$11,IF(C267&lt;='SOLLECITAZ NASCOSTO'!$P$10,IF(C267&lt;='SOLLECITAZ NASCOSTO'!$P$9,IF(C267&lt;='SOLLECITAZ NASCOSTO'!$P$8,IF(C267&lt;='SOLLECITAZ NASCOSTO'!$P$7,IF(C267&lt;='SOLLECITAZ NASCOSTO'!$P$6,IF(C267&lt;='SOLLECITAZ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15.455153684790485</v>
      </c>
      <c r="O268" s="42">
        <f>IF(C268&lt;='SOLLECITAZ NASCOSTO'!$P$12,IF(C268&lt;='SOLLECITAZ NASCOSTO'!$P$11,IF(C268&lt;='SOLLECITAZ NASCOSTO'!$P$10,IF(C268&lt;='SOLLECITAZ NASCOSTO'!$P$9,IF(C268&lt;='SOLLECITAZ NASCOSTO'!$P$8,IF(C268&lt;='SOLLECITAZ NASCOSTO'!$P$7,IF(C268&lt;='SOLLECITAZ NASCOSTO'!$P$6,IF(C268&lt;='SOLLECITAZ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slu'!$G$111),55555)*(C268-C267)/IF(C268&lt;='SOLLECITAZ NASCOSTO'!$P$12,IF(C268&lt;='SOLLECITAZ NASCOSTO'!$P$11,IF(C268&lt;='SOLLECITAZ NASCOSTO'!$P$10,IF(C268&lt;='SOLLECITAZ NASCOSTO'!$P$9,IF(C268&lt;='SOLLECITAZ NASCOSTO'!$P$8,IF(C268&lt;='SOLLECITAZ NASCOSTO'!$P$7,IF(C268&lt;='SOLLECITAZ NASCOSTO'!$P$6,IF(C268&lt;='SOLLECITAZ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8" s="42">
        <f t="shared" si="75"/>
        <v>2.3499999999999945E-4</v>
      </c>
      <c r="Q268" s="42">
        <f t="shared" si="73"/>
        <v>1</v>
      </c>
      <c r="R268" s="441">
        <f t="shared" si="67"/>
        <v>1.616826923076923</v>
      </c>
      <c r="S268" s="46">
        <f t="shared" si="74"/>
        <v>1.616826923076923</v>
      </c>
      <c r="T268" s="211">
        <f t="shared" si="70"/>
        <v>1.7331730769230771</v>
      </c>
      <c r="U268" s="46">
        <f t="shared" si="71"/>
        <v>15.883196876351171</v>
      </c>
      <c r="V268" s="46">
        <f t="shared" si="72"/>
        <v>-10.365698999676979</v>
      </c>
      <c r="W268" s="496"/>
      <c r="X268" s="497"/>
      <c r="Y268" s="497"/>
      <c r="Z268" s="498"/>
      <c r="AA268" s="47"/>
    </row>
    <row r="269" spans="1:27" s="428" customFormat="1" x14ac:dyDescent="0.25">
      <c r="A269" s="589">
        <f t="shared" si="68"/>
        <v>5.697115384506457E-6</v>
      </c>
      <c r="B269" s="32">
        <f t="shared" si="76"/>
        <v>237</v>
      </c>
      <c r="C269" s="441">
        <f>'SOLLECITAZ NASCOSTO'!$D$6/'SOLLECITAZ NASCOSTO'!$B$448*'SOLLECITAZ NASCOSTO'!B269</f>
        <v>1.6236778846153845</v>
      </c>
      <c r="D269" s="441">
        <f t="shared" si="69"/>
        <v>0.3000056971153845</v>
      </c>
      <c r="E269" s="441">
        <f t="shared" si="63"/>
        <v>5.697115384506457E-6</v>
      </c>
      <c r="F269" s="441">
        <f t="shared" si="64"/>
        <v>0.3000056971153845</v>
      </c>
      <c r="G269" s="441">
        <f t="shared" si="65"/>
        <v>4.5001709150843915E-2</v>
      </c>
      <c r="H269" s="441">
        <f t="shared" si="77"/>
        <v>0</v>
      </c>
      <c r="I269" s="441">
        <v>0</v>
      </c>
      <c r="J269" s="131">
        <f t="shared" si="78"/>
        <v>0.15000284855769225</v>
      </c>
      <c r="K269" s="130">
        <f t="shared" si="66"/>
        <v>2.2501281875304505E-3</v>
      </c>
      <c r="L269" s="42">
        <f t="shared" si="79"/>
        <v>15.989574167788298</v>
      </c>
      <c r="M269" s="42">
        <f t="shared" si="80"/>
        <v>-10.474878563950774</v>
      </c>
      <c r="N269" s="42">
        <f>(IF(C268&lt;='SOLLECITAZ NASCOSTO'!$P$12,IF(C268&lt;='SOLLECITAZ NASCOSTO'!$P$11,IF(C268&lt;='SOLLECITAZ NASCOSTO'!$P$10,IF(C268&lt;='SOLLECITAZ NASCOSTO'!$P$9,IF(C268&lt;='SOLLECITAZ NASCOSTO'!$P$8,IF(C268&lt;='SOLLECITAZ NASCOSTO'!$P$7,IF(C268&lt;='SOLLECITAZ NASCOSTO'!$P$6,IF(C268&lt;='SOLLECITAZ NASCOSTO'!$P$5,'Progetto del paramento slu'!$G$105,'Progetto del paramento slu'!$G$106),'Progetto del paramento slu'!$G$107),'Progetto del paramento slu'!$G$108),'Progetto del paramento slu'!$G$109),'Progetto del paramento slu'!$G$110),'Progetto del paramento slu'!$G$111),'Progetto del paramento slu'!$G$112),55555)-IF(C268&lt;='SOLLECITAZ NASCOSTO'!$P$12,IF(C268&lt;='SOLLECITAZ NASCOSTO'!$P$11,IF(C268&lt;='SOLLECITAZ NASCOSTO'!$P$10,IF(C268&lt;='SOLLECITAZ NASCOSTO'!$P$9,IF(C268&lt;='SOLLECITAZ NASCOSTO'!$P$8,IF(C268&lt;='SOLLECITAZ NASCOSTO'!$P$7,IF(C268&lt;='SOLLECITAZ NASCOSTO'!$P$6,IF(C268&lt;='SOLLECITAZ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slu'!$G$112))*(C268-IF(C268&lt;='SOLLECITAZ NASCOSTO'!$P$12,IF(C268&lt;='SOLLECITAZ NASCOSTO'!$P$11,IF(C268&lt;='SOLLECITAZ NASCOSTO'!$P$10,IF(C268&lt;='SOLLECITAZ NASCOSTO'!$P$9,IF(C268&lt;='SOLLECITAZ NASCOSTO'!$P$8,IF(C268&lt;='SOLLECITAZ NASCOSTO'!$P$7,IF(C268&lt;='SOLLECITAZ NASCOSTO'!$P$6,IF(C268&lt;='SOLLECITAZ NASCOSTO'!$P$5,'SOLLECITAZ NASCOSTO'!$P$3,'SOLLECITAZ NASCOSTO'!$P$5),'SOLLECITAZ NASCOSTO'!$P$5),'SOLLECITAZ NASCOSTO'!$P$7),'SOLLECITAZ NASCOSTO'!$P$8),'SOLLECITAZ NASCOSTO'!$P$9),'SOLLECITAZ NASCOSTO'!$P$10),'SOLLECITAZ NASCOSTO'!$P$11),'SOLLECITAZ NASCOSTO'!$P$12))/IF(C268&lt;='SOLLECITAZ NASCOSTO'!$P$12,IF(C268&lt;='SOLLECITAZ NASCOSTO'!$P$11,IF(C268&lt;='SOLLECITAZ NASCOSTO'!$P$10,IF(C268&lt;='SOLLECITAZ NASCOSTO'!$P$9,IF(C268&lt;='SOLLECITAZ NASCOSTO'!$P$8,IF(C268&lt;='SOLLECITAZ NASCOSTO'!$P$7,IF(C268&lt;='SOLLECITAZ NASCOSTO'!$P$6,IF(C268&lt;='SOLLECITAZ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slu'!$C$112)+IF(C268&lt;='SOLLECITAZ NASCOSTO'!$P$12,IF(C268&lt;='SOLLECITAZ NASCOSTO'!$P$11,IF(C268&lt;='SOLLECITAZ NASCOSTO'!$P$10,IF(C268&lt;='SOLLECITAZ NASCOSTO'!$P$9,IF(C268&lt;='SOLLECITAZ NASCOSTO'!$P$8,IF(C268&lt;='SOLLECITAZ NASCOSTO'!$P$7,IF(C268&lt;='SOLLECITAZ NASCOSTO'!$P$6,IF(C268&lt;='SOLLECITAZ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15.503285903782837</v>
      </c>
      <c r="O269" s="42">
        <f>IF(C269&lt;='SOLLECITAZ NASCOSTO'!$P$12,IF(C269&lt;='SOLLECITAZ NASCOSTO'!$P$11,IF(C269&lt;='SOLLECITAZ NASCOSTO'!$P$10,IF(C269&lt;='SOLLECITAZ NASCOSTO'!$P$9,IF(C269&lt;='SOLLECITAZ NASCOSTO'!$P$8,IF(C269&lt;='SOLLECITAZ NASCOSTO'!$P$7,IF(C269&lt;='SOLLECITAZ NASCOSTO'!$P$6,IF(C269&lt;='SOLLECITAZ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slu'!$G$111),55555)*(C269-C268)/IF(C269&lt;='SOLLECITAZ NASCOSTO'!$P$12,IF(C269&lt;='SOLLECITAZ NASCOSTO'!$P$11,IF(C269&lt;='SOLLECITAZ NASCOSTO'!$P$10,IF(C269&lt;='SOLLECITAZ NASCOSTO'!$P$9,IF(C269&lt;='SOLLECITAZ NASCOSTO'!$P$8,IF(C269&lt;='SOLLECITAZ NASCOSTO'!$P$7,IF(C269&lt;='SOLLECITAZ NASCOSTO'!$P$6,IF(C269&lt;='SOLLECITAZ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69" s="42">
        <f t="shared" si="75"/>
        <v>2.3599999999999945E-4</v>
      </c>
      <c r="Q269" s="42">
        <f t="shared" si="73"/>
        <v>1</v>
      </c>
      <c r="R269" s="441">
        <f t="shared" si="67"/>
        <v>1.6236778846153845</v>
      </c>
      <c r="S269" s="46">
        <f t="shared" si="74"/>
        <v>1.6236778846153845</v>
      </c>
      <c r="T269" s="211">
        <f t="shared" si="70"/>
        <v>1.7263221153846156</v>
      </c>
      <c r="U269" s="46">
        <f t="shared" si="71"/>
        <v>15.989574167788298</v>
      </c>
      <c r="V269" s="46">
        <f t="shared" si="72"/>
        <v>-10.474878563950774</v>
      </c>
      <c r="W269" s="496"/>
      <c r="X269" s="497"/>
      <c r="Y269" s="497"/>
      <c r="Z269" s="498"/>
      <c r="AA269" s="47"/>
    </row>
    <row r="270" spans="1:27" s="428" customFormat="1" x14ac:dyDescent="0.25">
      <c r="A270" s="589">
        <f t="shared" si="68"/>
        <v>5.7211538460055777E-6</v>
      </c>
      <c r="B270" s="32">
        <f t="shared" si="76"/>
        <v>238</v>
      </c>
      <c r="C270" s="441">
        <f>'SOLLECITAZ NASCOSTO'!$D$6/'SOLLECITAZ NASCOSTO'!$B$448*'SOLLECITAZ NASCOSTO'!B270</f>
        <v>1.6305288461538461</v>
      </c>
      <c r="D270" s="441">
        <f t="shared" si="69"/>
        <v>0.30000572115384599</v>
      </c>
      <c r="E270" s="441">
        <f t="shared" si="63"/>
        <v>5.7211538460055777E-6</v>
      </c>
      <c r="F270" s="441">
        <f t="shared" si="64"/>
        <v>0.30000572115384599</v>
      </c>
      <c r="G270" s="441">
        <f t="shared" si="65"/>
        <v>4.5001716362519602E-2</v>
      </c>
      <c r="H270" s="441">
        <f t="shared" si="77"/>
        <v>0</v>
      </c>
      <c r="I270" s="441">
        <v>0</v>
      </c>
      <c r="J270" s="131">
        <f t="shared" si="78"/>
        <v>0.150002860576923</v>
      </c>
      <c r="K270" s="130">
        <f t="shared" si="66"/>
        <v>2.2501287284164206E-3</v>
      </c>
      <c r="L270" s="42">
        <f t="shared" si="79"/>
        <v>16.096281211206502</v>
      </c>
      <c r="M270" s="42">
        <f t="shared" si="80"/>
        <v>-10.584788044515841</v>
      </c>
      <c r="N270" s="42">
        <f>(IF(C269&lt;='SOLLECITAZ NASCOSTO'!$P$12,IF(C269&lt;='SOLLECITAZ NASCOSTO'!$P$11,IF(C269&lt;='SOLLECITAZ NASCOSTO'!$P$10,IF(C269&lt;='SOLLECITAZ NASCOSTO'!$P$9,IF(C269&lt;='SOLLECITAZ NASCOSTO'!$P$8,IF(C269&lt;='SOLLECITAZ NASCOSTO'!$P$7,IF(C269&lt;='SOLLECITAZ NASCOSTO'!$P$6,IF(C269&lt;='SOLLECITAZ NASCOSTO'!$P$5,'Progetto del paramento slu'!$G$105,'Progetto del paramento slu'!$G$106),'Progetto del paramento slu'!$G$107),'Progetto del paramento slu'!$G$108),'Progetto del paramento slu'!$G$109),'Progetto del paramento slu'!$G$110),'Progetto del paramento slu'!$G$111),'Progetto del paramento slu'!$G$112),55555)-IF(C269&lt;='SOLLECITAZ NASCOSTO'!$P$12,IF(C269&lt;='SOLLECITAZ NASCOSTO'!$P$11,IF(C269&lt;='SOLLECITAZ NASCOSTO'!$P$10,IF(C269&lt;='SOLLECITAZ NASCOSTO'!$P$9,IF(C269&lt;='SOLLECITAZ NASCOSTO'!$P$8,IF(C269&lt;='SOLLECITAZ NASCOSTO'!$P$7,IF(C269&lt;='SOLLECITAZ NASCOSTO'!$P$6,IF(C269&lt;='SOLLECITAZ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slu'!$G$112))*(C269-IF(C269&lt;='SOLLECITAZ NASCOSTO'!$P$12,IF(C269&lt;='SOLLECITAZ NASCOSTO'!$P$11,IF(C269&lt;='SOLLECITAZ NASCOSTO'!$P$10,IF(C269&lt;='SOLLECITAZ NASCOSTO'!$P$9,IF(C269&lt;='SOLLECITAZ NASCOSTO'!$P$8,IF(C269&lt;='SOLLECITAZ NASCOSTO'!$P$7,IF(C269&lt;='SOLLECITAZ NASCOSTO'!$P$6,IF(C269&lt;='SOLLECITAZ NASCOSTO'!$P$5,'SOLLECITAZ NASCOSTO'!$P$3,'SOLLECITAZ NASCOSTO'!$P$5),'SOLLECITAZ NASCOSTO'!$P$5),'SOLLECITAZ NASCOSTO'!$P$7),'SOLLECITAZ NASCOSTO'!$P$8),'SOLLECITAZ NASCOSTO'!$P$9),'SOLLECITAZ NASCOSTO'!$P$10),'SOLLECITAZ NASCOSTO'!$P$11),'SOLLECITAZ NASCOSTO'!$P$12))/IF(C269&lt;='SOLLECITAZ NASCOSTO'!$P$12,IF(C269&lt;='SOLLECITAZ NASCOSTO'!$P$11,IF(C269&lt;='SOLLECITAZ NASCOSTO'!$P$10,IF(C269&lt;='SOLLECITAZ NASCOSTO'!$P$9,IF(C269&lt;='SOLLECITAZ NASCOSTO'!$P$8,IF(C269&lt;='SOLLECITAZ NASCOSTO'!$P$7,IF(C269&lt;='SOLLECITAZ NASCOSTO'!$P$6,IF(C269&lt;='SOLLECITAZ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slu'!$C$112)+IF(C269&lt;='SOLLECITAZ NASCOSTO'!$P$12,IF(C269&lt;='SOLLECITAZ NASCOSTO'!$P$11,IF(C269&lt;='SOLLECITAZ NASCOSTO'!$P$10,IF(C269&lt;='SOLLECITAZ NASCOSTO'!$P$9,IF(C269&lt;='SOLLECITAZ NASCOSTO'!$P$8,IF(C269&lt;='SOLLECITAZ NASCOSTO'!$P$7,IF(C269&lt;='SOLLECITAZ NASCOSTO'!$P$6,IF(C269&lt;='SOLLECITAZ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15.551418122775191</v>
      </c>
      <c r="O270" s="42">
        <f>IF(C270&lt;='SOLLECITAZ NASCOSTO'!$P$12,IF(C270&lt;='SOLLECITAZ NASCOSTO'!$P$11,IF(C270&lt;='SOLLECITAZ NASCOSTO'!$P$10,IF(C270&lt;='SOLLECITAZ NASCOSTO'!$P$9,IF(C270&lt;='SOLLECITAZ NASCOSTO'!$P$8,IF(C270&lt;='SOLLECITAZ NASCOSTO'!$P$7,IF(C270&lt;='SOLLECITAZ NASCOSTO'!$P$6,IF(C270&lt;='SOLLECITAZ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slu'!$G$111),55555)*(C270-C269)/IF(C270&lt;='SOLLECITAZ NASCOSTO'!$P$12,IF(C270&lt;='SOLLECITAZ NASCOSTO'!$P$11,IF(C270&lt;='SOLLECITAZ NASCOSTO'!$P$10,IF(C270&lt;='SOLLECITAZ NASCOSTO'!$P$9,IF(C270&lt;='SOLLECITAZ NASCOSTO'!$P$8,IF(C270&lt;='SOLLECITAZ NASCOSTO'!$P$7,IF(C270&lt;='SOLLECITAZ NASCOSTO'!$P$6,IF(C270&lt;='SOLLECITAZ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0" s="42">
        <f t="shared" si="75"/>
        <v>2.3699999999999945E-4</v>
      </c>
      <c r="Q270" s="42">
        <f t="shared" si="73"/>
        <v>1</v>
      </c>
      <c r="R270" s="441">
        <f t="shared" si="67"/>
        <v>1.6305288461538461</v>
      </c>
      <c r="S270" s="46">
        <f t="shared" si="74"/>
        <v>1.6305288461538461</v>
      </c>
      <c r="T270" s="211">
        <f t="shared" si="70"/>
        <v>1.719471153846154</v>
      </c>
      <c r="U270" s="46">
        <f t="shared" si="71"/>
        <v>16.096281211206502</v>
      </c>
      <c r="V270" s="46">
        <f t="shared" si="72"/>
        <v>-10.584788044515841</v>
      </c>
      <c r="W270" s="496"/>
      <c r="X270" s="497"/>
      <c r="Y270" s="497"/>
      <c r="Z270" s="498"/>
      <c r="AA270" s="47"/>
    </row>
    <row r="271" spans="1:27" s="428" customFormat="1" x14ac:dyDescent="0.25">
      <c r="A271" s="589">
        <f t="shared" si="68"/>
        <v>5.7451923075602096E-6</v>
      </c>
      <c r="B271" s="32">
        <f t="shared" si="76"/>
        <v>239</v>
      </c>
      <c r="C271" s="441">
        <f>'SOLLECITAZ NASCOSTO'!$D$6/'SOLLECITAZ NASCOSTO'!$B$448*'SOLLECITAZ NASCOSTO'!B271</f>
        <v>1.6373798076923076</v>
      </c>
      <c r="D271" s="441">
        <f t="shared" si="69"/>
        <v>0.30000574519230755</v>
      </c>
      <c r="E271" s="441">
        <f t="shared" si="63"/>
        <v>5.7451923075602096E-6</v>
      </c>
      <c r="F271" s="441">
        <f t="shared" si="64"/>
        <v>0.30000574519230755</v>
      </c>
      <c r="G271" s="441">
        <f t="shared" si="65"/>
        <v>4.5001723574195886E-2</v>
      </c>
      <c r="H271" s="441">
        <f t="shared" si="77"/>
        <v>0</v>
      </c>
      <c r="I271" s="441">
        <v>0</v>
      </c>
      <c r="J271" s="131">
        <f t="shared" si="78"/>
        <v>0.15000287259615377</v>
      </c>
      <c r="K271" s="130">
        <f t="shared" si="66"/>
        <v>2.2501292693024788E-3</v>
      </c>
      <c r="L271" s="42">
        <f t="shared" si="79"/>
        <v>16.203318006605784</v>
      </c>
      <c r="M271" s="42">
        <f t="shared" si="80"/>
        <v>-10.695429700490319</v>
      </c>
      <c r="N271" s="42">
        <f>(IF(C270&lt;='SOLLECITAZ NASCOSTO'!$P$12,IF(C270&lt;='SOLLECITAZ NASCOSTO'!$P$11,IF(C270&lt;='SOLLECITAZ NASCOSTO'!$P$10,IF(C270&lt;='SOLLECITAZ NASCOSTO'!$P$9,IF(C270&lt;='SOLLECITAZ NASCOSTO'!$P$8,IF(C270&lt;='SOLLECITAZ NASCOSTO'!$P$7,IF(C270&lt;='SOLLECITAZ NASCOSTO'!$P$6,IF(C270&lt;='SOLLECITAZ NASCOSTO'!$P$5,'Progetto del paramento slu'!$G$105,'Progetto del paramento slu'!$G$106),'Progetto del paramento slu'!$G$107),'Progetto del paramento slu'!$G$108),'Progetto del paramento slu'!$G$109),'Progetto del paramento slu'!$G$110),'Progetto del paramento slu'!$G$111),'Progetto del paramento slu'!$G$112),55555)-IF(C270&lt;='SOLLECITAZ NASCOSTO'!$P$12,IF(C270&lt;='SOLLECITAZ NASCOSTO'!$P$11,IF(C270&lt;='SOLLECITAZ NASCOSTO'!$P$10,IF(C270&lt;='SOLLECITAZ NASCOSTO'!$P$9,IF(C270&lt;='SOLLECITAZ NASCOSTO'!$P$8,IF(C270&lt;='SOLLECITAZ NASCOSTO'!$P$7,IF(C270&lt;='SOLLECITAZ NASCOSTO'!$P$6,IF(C270&lt;='SOLLECITAZ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slu'!$G$112))*(C270-IF(C270&lt;='SOLLECITAZ NASCOSTO'!$P$12,IF(C270&lt;='SOLLECITAZ NASCOSTO'!$P$11,IF(C270&lt;='SOLLECITAZ NASCOSTO'!$P$10,IF(C270&lt;='SOLLECITAZ NASCOSTO'!$P$9,IF(C270&lt;='SOLLECITAZ NASCOSTO'!$P$8,IF(C270&lt;='SOLLECITAZ NASCOSTO'!$P$7,IF(C270&lt;='SOLLECITAZ NASCOSTO'!$P$6,IF(C270&lt;='SOLLECITAZ NASCOSTO'!$P$5,'SOLLECITAZ NASCOSTO'!$P$3,'SOLLECITAZ NASCOSTO'!$P$5),'SOLLECITAZ NASCOSTO'!$P$5),'SOLLECITAZ NASCOSTO'!$P$7),'SOLLECITAZ NASCOSTO'!$P$8),'SOLLECITAZ NASCOSTO'!$P$9),'SOLLECITAZ NASCOSTO'!$P$10),'SOLLECITAZ NASCOSTO'!$P$11),'SOLLECITAZ NASCOSTO'!$P$12))/IF(C270&lt;='SOLLECITAZ NASCOSTO'!$P$12,IF(C270&lt;='SOLLECITAZ NASCOSTO'!$P$11,IF(C270&lt;='SOLLECITAZ NASCOSTO'!$P$10,IF(C270&lt;='SOLLECITAZ NASCOSTO'!$P$9,IF(C270&lt;='SOLLECITAZ NASCOSTO'!$P$8,IF(C270&lt;='SOLLECITAZ NASCOSTO'!$P$7,IF(C270&lt;='SOLLECITAZ NASCOSTO'!$P$6,IF(C270&lt;='SOLLECITAZ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slu'!$C$112)+IF(C270&lt;='SOLLECITAZ NASCOSTO'!$P$12,IF(C270&lt;='SOLLECITAZ NASCOSTO'!$P$11,IF(C270&lt;='SOLLECITAZ NASCOSTO'!$P$10,IF(C270&lt;='SOLLECITAZ NASCOSTO'!$P$9,IF(C270&lt;='SOLLECITAZ NASCOSTO'!$P$8,IF(C270&lt;='SOLLECITAZ NASCOSTO'!$P$7,IF(C270&lt;='SOLLECITAZ NASCOSTO'!$P$6,IF(C270&lt;='SOLLECITAZ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15.599550341767543</v>
      </c>
      <c r="O271" s="42">
        <f>IF(C271&lt;='SOLLECITAZ NASCOSTO'!$P$12,IF(C271&lt;='SOLLECITAZ NASCOSTO'!$P$11,IF(C271&lt;='SOLLECITAZ NASCOSTO'!$P$10,IF(C271&lt;='SOLLECITAZ NASCOSTO'!$P$9,IF(C271&lt;='SOLLECITAZ NASCOSTO'!$P$8,IF(C271&lt;='SOLLECITAZ NASCOSTO'!$P$7,IF(C271&lt;='SOLLECITAZ NASCOSTO'!$P$6,IF(C271&lt;='SOLLECITAZ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slu'!$G$111),55555)*(C271-C270)/IF(C271&lt;='SOLLECITAZ NASCOSTO'!$P$12,IF(C271&lt;='SOLLECITAZ NASCOSTO'!$P$11,IF(C271&lt;='SOLLECITAZ NASCOSTO'!$P$10,IF(C271&lt;='SOLLECITAZ NASCOSTO'!$P$9,IF(C271&lt;='SOLLECITAZ NASCOSTO'!$P$8,IF(C271&lt;='SOLLECITAZ NASCOSTO'!$P$7,IF(C271&lt;='SOLLECITAZ NASCOSTO'!$P$6,IF(C271&lt;='SOLLECITAZ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1" s="42">
        <f t="shared" si="75"/>
        <v>2.3799999999999944E-4</v>
      </c>
      <c r="Q271" s="42">
        <f t="shared" si="73"/>
        <v>1</v>
      </c>
      <c r="R271" s="441">
        <f t="shared" si="67"/>
        <v>1.6373798076923076</v>
      </c>
      <c r="S271" s="46">
        <f t="shared" si="74"/>
        <v>1.6373798076923076</v>
      </c>
      <c r="T271" s="211">
        <f t="shared" si="70"/>
        <v>1.7126201923076925</v>
      </c>
      <c r="U271" s="46">
        <f t="shared" si="71"/>
        <v>16.203318006605784</v>
      </c>
      <c r="V271" s="46">
        <f t="shared" si="72"/>
        <v>-10.695429700490319</v>
      </c>
      <c r="W271" s="496"/>
      <c r="X271" s="497"/>
      <c r="Y271" s="497"/>
      <c r="Z271" s="498"/>
      <c r="AA271" s="47"/>
    </row>
    <row r="272" spans="1:27" s="428" customFormat="1" x14ac:dyDescent="0.25">
      <c r="A272" s="589">
        <f t="shared" si="68"/>
        <v>5.7692307691148415E-6</v>
      </c>
      <c r="B272" s="32">
        <f t="shared" si="76"/>
        <v>240</v>
      </c>
      <c r="C272" s="441">
        <f>'SOLLECITAZ NASCOSTO'!$D$6/'SOLLECITAZ NASCOSTO'!$B$448*'SOLLECITAZ NASCOSTO'!B272</f>
        <v>1.6442307692307692</v>
      </c>
      <c r="D272" s="441">
        <f t="shared" si="69"/>
        <v>0.3000057692307691</v>
      </c>
      <c r="E272" s="441">
        <f t="shared" si="63"/>
        <v>5.7692307691148415E-6</v>
      </c>
      <c r="F272" s="441">
        <f t="shared" si="64"/>
        <v>0.3000057692307691</v>
      </c>
      <c r="G272" s="441">
        <f t="shared" si="65"/>
        <v>4.5001730785872746E-2</v>
      </c>
      <c r="H272" s="441">
        <f t="shared" si="77"/>
        <v>0</v>
      </c>
      <c r="I272" s="441">
        <v>0</v>
      </c>
      <c r="J272" s="131">
        <f t="shared" si="78"/>
        <v>0.15000288461538455</v>
      </c>
      <c r="K272" s="130">
        <f t="shared" si="66"/>
        <v>2.2501298101886228E-3</v>
      </c>
      <c r="L272" s="42">
        <f t="shared" si="79"/>
        <v>16.310684553986142</v>
      </c>
      <c r="M272" s="42">
        <f t="shared" si="80"/>
        <v>-10.806805790992346</v>
      </c>
      <c r="N272" s="42">
        <f>(IF(C271&lt;='SOLLECITAZ NASCOSTO'!$P$12,IF(C271&lt;='SOLLECITAZ NASCOSTO'!$P$11,IF(C271&lt;='SOLLECITAZ NASCOSTO'!$P$10,IF(C271&lt;='SOLLECITAZ NASCOSTO'!$P$9,IF(C271&lt;='SOLLECITAZ NASCOSTO'!$P$8,IF(C271&lt;='SOLLECITAZ NASCOSTO'!$P$7,IF(C271&lt;='SOLLECITAZ NASCOSTO'!$P$6,IF(C271&lt;='SOLLECITAZ NASCOSTO'!$P$5,'Progetto del paramento slu'!$G$105,'Progetto del paramento slu'!$G$106),'Progetto del paramento slu'!$G$107),'Progetto del paramento slu'!$G$108),'Progetto del paramento slu'!$G$109),'Progetto del paramento slu'!$G$110),'Progetto del paramento slu'!$G$111),'Progetto del paramento slu'!$G$112),55555)-IF(C271&lt;='SOLLECITAZ NASCOSTO'!$P$12,IF(C271&lt;='SOLLECITAZ NASCOSTO'!$P$11,IF(C271&lt;='SOLLECITAZ NASCOSTO'!$P$10,IF(C271&lt;='SOLLECITAZ NASCOSTO'!$P$9,IF(C271&lt;='SOLLECITAZ NASCOSTO'!$P$8,IF(C271&lt;='SOLLECITAZ NASCOSTO'!$P$7,IF(C271&lt;='SOLLECITAZ NASCOSTO'!$P$6,IF(C271&lt;='SOLLECITAZ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slu'!$G$112))*(C271-IF(C271&lt;='SOLLECITAZ NASCOSTO'!$P$12,IF(C271&lt;='SOLLECITAZ NASCOSTO'!$P$11,IF(C271&lt;='SOLLECITAZ NASCOSTO'!$P$10,IF(C271&lt;='SOLLECITAZ NASCOSTO'!$P$9,IF(C271&lt;='SOLLECITAZ NASCOSTO'!$P$8,IF(C271&lt;='SOLLECITAZ NASCOSTO'!$P$7,IF(C271&lt;='SOLLECITAZ NASCOSTO'!$P$6,IF(C271&lt;='SOLLECITAZ NASCOSTO'!$P$5,'SOLLECITAZ NASCOSTO'!$P$3,'SOLLECITAZ NASCOSTO'!$P$5),'SOLLECITAZ NASCOSTO'!$P$5),'SOLLECITAZ NASCOSTO'!$P$7),'SOLLECITAZ NASCOSTO'!$P$8),'SOLLECITAZ NASCOSTO'!$P$9),'SOLLECITAZ NASCOSTO'!$P$10),'SOLLECITAZ NASCOSTO'!$P$11),'SOLLECITAZ NASCOSTO'!$P$12))/IF(C271&lt;='SOLLECITAZ NASCOSTO'!$P$12,IF(C271&lt;='SOLLECITAZ NASCOSTO'!$P$11,IF(C271&lt;='SOLLECITAZ NASCOSTO'!$P$10,IF(C271&lt;='SOLLECITAZ NASCOSTO'!$P$9,IF(C271&lt;='SOLLECITAZ NASCOSTO'!$P$8,IF(C271&lt;='SOLLECITAZ NASCOSTO'!$P$7,IF(C271&lt;='SOLLECITAZ NASCOSTO'!$P$6,IF(C271&lt;='SOLLECITAZ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slu'!$C$112)+IF(C271&lt;='SOLLECITAZ NASCOSTO'!$P$12,IF(C271&lt;='SOLLECITAZ NASCOSTO'!$P$11,IF(C271&lt;='SOLLECITAZ NASCOSTO'!$P$10,IF(C271&lt;='SOLLECITAZ NASCOSTO'!$P$9,IF(C271&lt;='SOLLECITAZ NASCOSTO'!$P$8,IF(C271&lt;='SOLLECITAZ NASCOSTO'!$P$7,IF(C271&lt;='SOLLECITAZ NASCOSTO'!$P$6,IF(C271&lt;='SOLLECITAZ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15.647682560759893</v>
      </c>
      <c r="O272" s="42">
        <f>IF(C272&lt;='SOLLECITAZ NASCOSTO'!$P$12,IF(C272&lt;='SOLLECITAZ NASCOSTO'!$P$11,IF(C272&lt;='SOLLECITAZ NASCOSTO'!$P$10,IF(C272&lt;='SOLLECITAZ NASCOSTO'!$P$9,IF(C272&lt;='SOLLECITAZ NASCOSTO'!$P$8,IF(C272&lt;='SOLLECITAZ NASCOSTO'!$P$7,IF(C272&lt;='SOLLECITAZ NASCOSTO'!$P$6,IF(C272&lt;='SOLLECITAZ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slu'!$G$111),55555)*(C272-C271)/IF(C272&lt;='SOLLECITAZ NASCOSTO'!$P$12,IF(C272&lt;='SOLLECITAZ NASCOSTO'!$P$11,IF(C272&lt;='SOLLECITAZ NASCOSTO'!$P$10,IF(C272&lt;='SOLLECITAZ NASCOSTO'!$P$9,IF(C272&lt;='SOLLECITAZ NASCOSTO'!$P$8,IF(C272&lt;='SOLLECITAZ NASCOSTO'!$P$7,IF(C272&lt;='SOLLECITAZ NASCOSTO'!$P$6,IF(C272&lt;='SOLLECITAZ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2" s="42">
        <f t="shared" si="75"/>
        <v>2.3899999999999944E-4</v>
      </c>
      <c r="Q272" s="42">
        <f t="shared" si="73"/>
        <v>1</v>
      </c>
      <c r="R272" s="441">
        <f t="shared" si="67"/>
        <v>1.6442307692307692</v>
      </c>
      <c r="S272" s="46">
        <f t="shared" si="74"/>
        <v>1.6442307692307692</v>
      </c>
      <c r="T272" s="211">
        <f t="shared" si="70"/>
        <v>1.7057692307692309</v>
      </c>
      <c r="U272" s="46">
        <f t="shared" si="71"/>
        <v>16.310684553986142</v>
      </c>
      <c r="V272" s="46">
        <f t="shared" si="72"/>
        <v>-10.806805790992346</v>
      </c>
      <c r="W272" s="496"/>
      <c r="X272" s="497"/>
      <c r="Y272" s="497"/>
      <c r="Z272" s="498"/>
      <c r="AA272" s="47"/>
    </row>
    <row r="273" spans="1:27" s="428" customFormat="1" x14ac:dyDescent="0.25">
      <c r="A273" s="589">
        <f t="shared" si="68"/>
        <v>5.7932692306139622E-6</v>
      </c>
      <c r="B273" s="32">
        <f t="shared" si="76"/>
        <v>241</v>
      </c>
      <c r="C273" s="441">
        <f>'SOLLECITAZ NASCOSTO'!$D$6/'SOLLECITAZ NASCOSTO'!$B$448*'SOLLECITAZ NASCOSTO'!B273</f>
        <v>1.6510817307692307</v>
      </c>
      <c r="D273" s="441">
        <f t="shared" si="69"/>
        <v>0.3000057932692306</v>
      </c>
      <c r="E273" s="441">
        <f t="shared" si="63"/>
        <v>5.7932692306139622E-6</v>
      </c>
      <c r="F273" s="441">
        <f t="shared" si="64"/>
        <v>0.3000057932692306</v>
      </c>
      <c r="G273" s="441">
        <f t="shared" si="65"/>
        <v>4.5001737997550167E-2</v>
      </c>
      <c r="H273" s="441">
        <f t="shared" si="77"/>
        <v>0</v>
      </c>
      <c r="I273" s="441">
        <v>0</v>
      </c>
      <c r="J273" s="131">
        <f t="shared" si="78"/>
        <v>0.1500028966346153</v>
      </c>
      <c r="K273" s="130">
        <f t="shared" si="66"/>
        <v>2.2501303510748523E-3</v>
      </c>
      <c r="L273" s="42">
        <f t="shared" si="79"/>
        <v>16.418380853347578</v>
      </c>
      <c r="M273" s="42">
        <f t="shared" si="80"/>
        <v>-10.918918575140063</v>
      </c>
      <c r="N273" s="42">
        <f>(IF(C272&lt;='SOLLECITAZ NASCOSTO'!$P$12,IF(C272&lt;='SOLLECITAZ NASCOSTO'!$P$11,IF(C272&lt;='SOLLECITAZ NASCOSTO'!$P$10,IF(C272&lt;='SOLLECITAZ NASCOSTO'!$P$9,IF(C272&lt;='SOLLECITAZ NASCOSTO'!$P$8,IF(C272&lt;='SOLLECITAZ NASCOSTO'!$P$7,IF(C272&lt;='SOLLECITAZ NASCOSTO'!$P$6,IF(C272&lt;='SOLLECITAZ NASCOSTO'!$P$5,'Progetto del paramento slu'!$G$105,'Progetto del paramento slu'!$G$106),'Progetto del paramento slu'!$G$107),'Progetto del paramento slu'!$G$108),'Progetto del paramento slu'!$G$109),'Progetto del paramento slu'!$G$110),'Progetto del paramento slu'!$G$111),'Progetto del paramento slu'!$G$112),55555)-IF(C272&lt;='SOLLECITAZ NASCOSTO'!$P$12,IF(C272&lt;='SOLLECITAZ NASCOSTO'!$P$11,IF(C272&lt;='SOLLECITAZ NASCOSTO'!$P$10,IF(C272&lt;='SOLLECITAZ NASCOSTO'!$P$9,IF(C272&lt;='SOLLECITAZ NASCOSTO'!$P$8,IF(C272&lt;='SOLLECITAZ NASCOSTO'!$P$7,IF(C272&lt;='SOLLECITAZ NASCOSTO'!$P$6,IF(C272&lt;='SOLLECITAZ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slu'!$G$112))*(C272-IF(C272&lt;='SOLLECITAZ NASCOSTO'!$P$12,IF(C272&lt;='SOLLECITAZ NASCOSTO'!$P$11,IF(C272&lt;='SOLLECITAZ NASCOSTO'!$P$10,IF(C272&lt;='SOLLECITAZ NASCOSTO'!$P$9,IF(C272&lt;='SOLLECITAZ NASCOSTO'!$P$8,IF(C272&lt;='SOLLECITAZ NASCOSTO'!$P$7,IF(C272&lt;='SOLLECITAZ NASCOSTO'!$P$6,IF(C272&lt;='SOLLECITAZ NASCOSTO'!$P$5,'SOLLECITAZ NASCOSTO'!$P$3,'SOLLECITAZ NASCOSTO'!$P$5),'SOLLECITAZ NASCOSTO'!$P$5),'SOLLECITAZ NASCOSTO'!$P$7),'SOLLECITAZ NASCOSTO'!$P$8),'SOLLECITAZ NASCOSTO'!$P$9),'SOLLECITAZ NASCOSTO'!$P$10),'SOLLECITAZ NASCOSTO'!$P$11),'SOLLECITAZ NASCOSTO'!$P$12))/IF(C272&lt;='SOLLECITAZ NASCOSTO'!$P$12,IF(C272&lt;='SOLLECITAZ NASCOSTO'!$P$11,IF(C272&lt;='SOLLECITAZ NASCOSTO'!$P$10,IF(C272&lt;='SOLLECITAZ NASCOSTO'!$P$9,IF(C272&lt;='SOLLECITAZ NASCOSTO'!$P$8,IF(C272&lt;='SOLLECITAZ NASCOSTO'!$P$7,IF(C272&lt;='SOLLECITAZ NASCOSTO'!$P$6,IF(C272&lt;='SOLLECITAZ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slu'!$C$112)+IF(C272&lt;='SOLLECITAZ NASCOSTO'!$P$12,IF(C272&lt;='SOLLECITAZ NASCOSTO'!$P$11,IF(C272&lt;='SOLLECITAZ NASCOSTO'!$P$10,IF(C272&lt;='SOLLECITAZ NASCOSTO'!$P$9,IF(C272&lt;='SOLLECITAZ NASCOSTO'!$P$8,IF(C272&lt;='SOLLECITAZ NASCOSTO'!$P$7,IF(C272&lt;='SOLLECITAZ NASCOSTO'!$P$6,IF(C272&lt;='SOLLECITAZ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15.695814779752247</v>
      </c>
      <c r="O273" s="42">
        <f>IF(C273&lt;='SOLLECITAZ NASCOSTO'!$P$12,IF(C273&lt;='SOLLECITAZ NASCOSTO'!$P$11,IF(C273&lt;='SOLLECITAZ NASCOSTO'!$P$10,IF(C273&lt;='SOLLECITAZ NASCOSTO'!$P$9,IF(C273&lt;='SOLLECITAZ NASCOSTO'!$P$8,IF(C273&lt;='SOLLECITAZ NASCOSTO'!$P$7,IF(C273&lt;='SOLLECITAZ NASCOSTO'!$P$6,IF(C273&lt;='SOLLECITAZ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slu'!$G$111),55555)*(C273-C272)/IF(C273&lt;='SOLLECITAZ NASCOSTO'!$P$12,IF(C273&lt;='SOLLECITAZ NASCOSTO'!$P$11,IF(C273&lt;='SOLLECITAZ NASCOSTO'!$P$10,IF(C273&lt;='SOLLECITAZ NASCOSTO'!$P$9,IF(C273&lt;='SOLLECITAZ NASCOSTO'!$P$8,IF(C273&lt;='SOLLECITAZ NASCOSTO'!$P$7,IF(C273&lt;='SOLLECITAZ NASCOSTO'!$P$6,IF(C273&lt;='SOLLECITAZ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3" s="42">
        <f t="shared" si="75"/>
        <v>2.3999999999999944E-4</v>
      </c>
      <c r="Q273" s="42">
        <f t="shared" si="73"/>
        <v>1</v>
      </c>
      <c r="R273" s="441">
        <f t="shared" si="67"/>
        <v>1.6510817307692307</v>
      </c>
      <c r="S273" s="46">
        <f t="shared" si="74"/>
        <v>1.6510817307692307</v>
      </c>
      <c r="T273" s="211">
        <f t="shared" si="70"/>
        <v>1.6989182692307694</v>
      </c>
      <c r="U273" s="46">
        <f t="shared" si="71"/>
        <v>16.418380853347578</v>
      </c>
      <c r="V273" s="46">
        <f t="shared" si="72"/>
        <v>-10.918918575140063</v>
      </c>
      <c r="W273" s="496"/>
      <c r="X273" s="497"/>
      <c r="Y273" s="497"/>
      <c r="Z273" s="498"/>
      <c r="AA273" s="47"/>
    </row>
    <row r="274" spans="1:27" s="428" customFormat="1" x14ac:dyDescent="0.25">
      <c r="A274" s="589">
        <f t="shared" si="68"/>
        <v>5.817307692168594E-6</v>
      </c>
      <c r="B274" s="32">
        <f t="shared" si="76"/>
        <v>242</v>
      </c>
      <c r="C274" s="441">
        <f>'SOLLECITAZ NASCOSTO'!$D$6/'SOLLECITAZ NASCOSTO'!$B$448*'SOLLECITAZ NASCOSTO'!B274</f>
        <v>1.6579326923076922</v>
      </c>
      <c r="D274" s="441">
        <f t="shared" si="69"/>
        <v>0.30000581730769216</v>
      </c>
      <c r="E274" s="441">
        <f t="shared" si="63"/>
        <v>5.817307692168594E-6</v>
      </c>
      <c r="F274" s="441">
        <f t="shared" si="64"/>
        <v>0.30000581730769216</v>
      </c>
      <c r="G274" s="441">
        <f t="shared" si="65"/>
        <v>4.5001745209228186E-2</v>
      </c>
      <c r="H274" s="441">
        <f t="shared" si="77"/>
        <v>0</v>
      </c>
      <c r="I274" s="441">
        <v>0</v>
      </c>
      <c r="J274" s="131">
        <f t="shared" si="78"/>
        <v>0.15000290865384611</v>
      </c>
      <c r="K274" s="130">
        <f t="shared" si="66"/>
        <v>2.2501308919611702E-3</v>
      </c>
      <c r="L274" s="42">
        <f t="shared" si="79"/>
        <v>16.526406904690095</v>
      </c>
      <c r="M274" s="42">
        <f t="shared" si="80"/>
        <v>-11.031770312051611</v>
      </c>
      <c r="N274" s="42">
        <f>(IF(C273&lt;='SOLLECITAZ NASCOSTO'!$P$12,IF(C273&lt;='SOLLECITAZ NASCOSTO'!$P$11,IF(C273&lt;='SOLLECITAZ NASCOSTO'!$P$10,IF(C273&lt;='SOLLECITAZ NASCOSTO'!$P$9,IF(C273&lt;='SOLLECITAZ NASCOSTO'!$P$8,IF(C273&lt;='SOLLECITAZ NASCOSTO'!$P$7,IF(C273&lt;='SOLLECITAZ NASCOSTO'!$P$6,IF(C273&lt;='SOLLECITAZ NASCOSTO'!$P$5,'Progetto del paramento slu'!$G$105,'Progetto del paramento slu'!$G$106),'Progetto del paramento slu'!$G$107),'Progetto del paramento slu'!$G$108),'Progetto del paramento slu'!$G$109),'Progetto del paramento slu'!$G$110),'Progetto del paramento slu'!$G$111),'Progetto del paramento slu'!$G$112),55555)-IF(C273&lt;='SOLLECITAZ NASCOSTO'!$P$12,IF(C273&lt;='SOLLECITAZ NASCOSTO'!$P$11,IF(C273&lt;='SOLLECITAZ NASCOSTO'!$P$10,IF(C273&lt;='SOLLECITAZ NASCOSTO'!$P$9,IF(C273&lt;='SOLLECITAZ NASCOSTO'!$P$8,IF(C273&lt;='SOLLECITAZ NASCOSTO'!$P$7,IF(C273&lt;='SOLLECITAZ NASCOSTO'!$P$6,IF(C273&lt;='SOLLECITAZ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slu'!$G$112))*(C273-IF(C273&lt;='SOLLECITAZ NASCOSTO'!$P$12,IF(C273&lt;='SOLLECITAZ NASCOSTO'!$P$11,IF(C273&lt;='SOLLECITAZ NASCOSTO'!$P$10,IF(C273&lt;='SOLLECITAZ NASCOSTO'!$P$9,IF(C273&lt;='SOLLECITAZ NASCOSTO'!$P$8,IF(C273&lt;='SOLLECITAZ NASCOSTO'!$P$7,IF(C273&lt;='SOLLECITAZ NASCOSTO'!$P$6,IF(C273&lt;='SOLLECITAZ NASCOSTO'!$P$5,'SOLLECITAZ NASCOSTO'!$P$3,'SOLLECITAZ NASCOSTO'!$P$5),'SOLLECITAZ NASCOSTO'!$P$5),'SOLLECITAZ NASCOSTO'!$P$7),'SOLLECITAZ NASCOSTO'!$P$8),'SOLLECITAZ NASCOSTO'!$P$9),'SOLLECITAZ NASCOSTO'!$P$10),'SOLLECITAZ NASCOSTO'!$P$11),'SOLLECITAZ NASCOSTO'!$P$12))/IF(C273&lt;='SOLLECITAZ NASCOSTO'!$P$12,IF(C273&lt;='SOLLECITAZ NASCOSTO'!$P$11,IF(C273&lt;='SOLLECITAZ NASCOSTO'!$P$10,IF(C273&lt;='SOLLECITAZ NASCOSTO'!$P$9,IF(C273&lt;='SOLLECITAZ NASCOSTO'!$P$8,IF(C273&lt;='SOLLECITAZ NASCOSTO'!$P$7,IF(C273&lt;='SOLLECITAZ NASCOSTO'!$P$6,IF(C273&lt;='SOLLECITAZ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slu'!$C$112)+IF(C273&lt;='SOLLECITAZ NASCOSTO'!$P$12,IF(C273&lt;='SOLLECITAZ NASCOSTO'!$P$11,IF(C273&lt;='SOLLECITAZ NASCOSTO'!$P$10,IF(C273&lt;='SOLLECITAZ NASCOSTO'!$P$9,IF(C273&lt;='SOLLECITAZ NASCOSTO'!$P$8,IF(C273&lt;='SOLLECITAZ NASCOSTO'!$P$7,IF(C273&lt;='SOLLECITAZ NASCOSTO'!$P$6,IF(C273&lt;='SOLLECITAZ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15.743946998744599</v>
      </c>
      <c r="O274" s="42">
        <f>IF(C274&lt;='SOLLECITAZ NASCOSTO'!$P$12,IF(C274&lt;='SOLLECITAZ NASCOSTO'!$P$11,IF(C274&lt;='SOLLECITAZ NASCOSTO'!$P$10,IF(C274&lt;='SOLLECITAZ NASCOSTO'!$P$9,IF(C274&lt;='SOLLECITAZ NASCOSTO'!$P$8,IF(C274&lt;='SOLLECITAZ NASCOSTO'!$P$7,IF(C274&lt;='SOLLECITAZ NASCOSTO'!$P$6,IF(C274&lt;='SOLLECITAZ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slu'!$G$111),55555)*(C274-C273)/IF(C274&lt;='SOLLECITAZ NASCOSTO'!$P$12,IF(C274&lt;='SOLLECITAZ NASCOSTO'!$P$11,IF(C274&lt;='SOLLECITAZ NASCOSTO'!$P$10,IF(C274&lt;='SOLLECITAZ NASCOSTO'!$P$9,IF(C274&lt;='SOLLECITAZ NASCOSTO'!$P$8,IF(C274&lt;='SOLLECITAZ NASCOSTO'!$P$7,IF(C274&lt;='SOLLECITAZ NASCOSTO'!$P$6,IF(C274&lt;='SOLLECITAZ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4" s="42">
        <f t="shared" si="75"/>
        <v>2.4099999999999943E-4</v>
      </c>
      <c r="Q274" s="42">
        <f t="shared" si="73"/>
        <v>1</v>
      </c>
      <c r="R274" s="441">
        <f t="shared" si="67"/>
        <v>1.6579326923076922</v>
      </c>
      <c r="S274" s="46">
        <f t="shared" si="74"/>
        <v>1.6579326923076922</v>
      </c>
      <c r="T274" s="211">
        <f t="shared" si="70"/>
        <v>1.6920673076923078</v>
      </c>
      <c r="U274" s="46">
        <f t="shared" si="71"/>
        <v>16.526406904690095</v>
      </c>
      <c r="V274" s="46">
        <f t="shared" si="72"/>
        <v>-11.031770312051611</v>
      </c>
      <c r="W274" s="496"/>
      <c r="X274" s="497"/>
      <c r="Y274" s="497"/>
      <c r="Z274" s="498"/>
      <c r="AA274" s="47"/>
    </row>
    <row r="275" spans="1:27" s="428" customFormat="1" x14ac:dyDescent="0.25">
      <c r="A275" s="589">
        <f t="shared" si="68"/>
        <v>5.8413461537232259E-6</v>
      </c>
      <c r="B275" s="32">
        <f t="shared" si="76"/>
        <v>243</v>
      </c>
      <c r="C275" s="441">
        <f>'SOLLECITAZ NASCOSTO'!$D$6/'SOLLECITAZ NASCOSTO'!$B$448*'SOLLECITAZ NASCOSTO'!B275</f>
        <v>1.6647836538461538</v>
      </c>
      <c r="D275" s="441">
        <f t="shared" si="69"/>
        <v>0.30000584134615371</v>
      </c>
      <c r="E275" s="441">
        <f t="shared" si="63"/>
        <v>5.8413461537232259E-6</v>
      </c>
      <c r="F275" s="441">
        <f t="shared" si="64"/>
        <v>0.30000584134615371</v>
      </c>
      <c r="G275" s="441">
        <f t="shared" si="65"/>
        <v>4.5001752420906781E-2</v>
      </c>
      <c r="H275" s="441">
        <f t="shared" si="77"/>
        <v>0</v>
      </c>
      <c r="I275" s="441">
        <v>0</v>
      </c>
      <c r="J275" s="131">
        <f t="shared" si="78"/>
        <v>0.15000292067307688</v>
      </c>
      <c r="K275" s="130">
        <f t="shared" si="66"/>
        <v>2.2501314328475745E-3</v>
      </c>
      <c r="L275" s="42">
        <f t="shared" si="79"/>
        <v>16.634762708013689</v>
      </c>
      <c r="M275" s="42">
        <f t="shared" si="80"/>
        <v>-11.145363260845128</v>
      </c>
      <c r="N275" s="42">
        <f>(IF(C274&lt;='SOLLECITAZ NASCOSTO'!$P$12,IF(C274&lt;='SOLLECITAZ NASCOSTO'!$P$11,IF(C274&lt;='SOLLECITAZ NASCOSTO'!$P$10,IF(C274&lt;='SOLLECITAZ NASCOSTO'!$P$9,IF(C274&lt;='SOLLECITAZ NASCOSTO'!$P$8,IF(C274&lt;='SOLLECITAZ NASCOSTO'!$P$7,IF(C274&lt;='SOLLECITAZ NASCOSTO'!$P$6,IF(C274&lt;='SOLLECITAZ NASCOSTO'!$P$5,'Progetto del paramento slu'!$G$105,'Progetto del paramento slu'!$G$106),'Progetto del paramento slu'!$G$107),'Progetto del paramento slu'!$G$108),'Progetto del paramento slu'!$G$109),'Progetto del paramento slu'!$G$110),'Progetto del paramento slu'!$G$111),'Progetto del paramento slu'!$G$112),55555)-IF(C274&lt;='SOLLECITAZ NASCOSTO'!$P$12,IF(C274&lt;='SOLLECITAZ NASCOSTO'!$P$11,IF(C274&lt;='SOLLECITAZ NASCOSTO'!$P$10,IF(C274&lt;='SOLLECITAZ NASCOSTO'!$P$9,IF(C274&lt;='SOLLECITAZ NASCOSTO'!$P$8,IF(C274&lt;='SOLLECITAZ NASCOSTO'!$P$7,IF(C274&lt;='SOLLECITAZ NASCOSTO'!$P$6,IF(C274&lt;='SOLLECITAZ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slu'!$G$112))*(C274-IF(C274&lt;='SOLLECITAZ NASCOSTO'!$P$12,IF(C274&lt;='SOLLECITAZ NASCOSTO'!$P$11,IF(C274&lt;='SOLLECITAZ NASCOSTO'!$P$10,IF(C274&lt;='SOLLECITAZ NASCOSTO'!$P$9,IF(C274&lt;='SOLLECITAZ NASCOSTO'!$P$8,IF(C274&lt;='SOLLECITAZ NASCOSTO'!$P$7,IF(C274&lt;='SOLLECITAZ NASCOSTO'!$P$6,IF(C274&lt;='SOLLECITAZ NASCOSTO'!$P$5,'SOLLECITAZ NASCOSTO'!$P$3,'SOLLECITAZ NASCOSTO'!$P$5),'SOLLECITAZ NASCOSTO'!$P$5),'SOLLECITAZ NASCOSTO'!$P$7),'SOLLECITAZ NASCOSTO'!$P$8),'SOLLECITAZ NASCOSTO'!$P$9),'SOLLECITAZ NASCOSTO'!$P$10),'SOLLECITAZ NASCOSTO'!$P$11),'SOLLECITAZ NASCOSTO'!$P$12))/IF(C274&lt;='SOLLECITAZ NASCOSTO'!$P$12,IF(C274&lt;='SOLLECITAZ NASCOSTO'!$P$11,IF(C274&lt;='SOLLECITAZ NASCOSTO'!$P$10,IF(C274&lt;='SOLLECITAZ NASCOSTO'!$P$9,IF(C274&lt;='SOLLECITAZ NASCOSTO'!$P$8,IF(C274&lt;='SOLLECITAZ NASCOSTO'!$P$7,IF(C274&lt;='SOLLECITAZ NASCOSTO'!$P$6,IF(C274&lt;='SOLLECITAZ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slu'!$C$112)+IF(C274&lt;='SOLLECITAZ NASCOSTO'!$P$12,IF(C274&lt;='SOLLECITAZ NASCOSTO'!$P$11,IF(C274&lt;='SOLLECITAZ NASCOSTO'!$P$10,IF(C274&lt;='SOLLECITAZ NASCOSTO'!$P$9,IF(C274&lt;='SOLLECITAZ NASCOSTO'!$P$8,IF(C274&lt;='SOLLECITAZ NASCOSTO'!$P$7,IF(C274&lt;='SOLLECITAZ NASCOSTO'!$P$6,IF(C274&lt;='SOLLECITAZ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15.792079217736953</v>
      </c>
      <c r="O275" s="42">
        <f>IF(C275&lt;='SOLLECITAZ NASCOSTO'!$P$12,IF(C275&lt;='SOLLECITAZ NASCOSTO'!$P$11,IF(C275&lt;='SOLLECITAZ NASCOSTO'!$P$10,IF(C275&lt;='SOLLECITAZ NASCOSTO'!$P$9,IF(C275&lt;='SOLLECITAZ NASCOSTO'!$P$8,IF(C275&lt;='SOLLECITAZ NASCOSTO'!$P$7,IF(C275&lt;='SOLLECITAZ NASCOSTO'!$P$6,IF(C275&lt;='SOLLECITAZ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slu'!$G$111),55555)*(C275-C274)/IF(C275&lt;='SOLLECITAZ NASCOSTO'!$P$12,IF(C275&lt;='SOLLECITAZ NASCOSTO'!$P$11,IF(C275&lt;='SOLLECITAZ NASCOSTO'!$P$10,IF(C275&lt;='SOLLECITAZ NASCOSTO'!$P$9,IF(C275&lt;='SOLLECITAZ NASCOSTO'!$P$8,IF(C275&lt;='SOLLECITAZ NASCOSTO'!$P$7,IF(C275&lt;='SOLLECITAZ NASCOSTO'!$P$6,IF(C275&lt;='SOLLECITAZ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5" s="42">
        <f t="shared" si="75"/>
        <v>2.4199999999999943E-4</v>
      </c>
      <c r="Q275" s="42">
        <f t="shared" si="73"/>
        <v>1</v>
      </c>
      <c r="R275" s="441">
        <f t="shared" si="67"/>
        <v>1.6647836538461538</v>
      </c>
      <c r="S275" s="46">
        <f t="shared" si="74"/>
        <v>1.6647836538461538</v>
      </c>
      <c r="T275" s="211">
        <f t="shared" si="70"/>
        <v>1.6852163461538463</v>
      </c>
      <c r="U275" s="46">
        <f t="shared" si="71"/>
        <v>16.634762708013689</v>
      </c>
      <c r="V275" s="46">
        <f t="shared" si="72"/>
        <v>-11.145363260845128</v>
      </c>
      <c r="W275" s="496"/>
      <c r="X275" s="497"/>
      <c r="Y275" s="497"/>
      <c r="Z275" s="498"/>
      <c r="AA275" s="47"/>
    </row>
    <row r="276" spans="1:27" s="428" customFormat="1" x14ac:dyDescent="0.25">
      <c r="A276" s="589">
        <f t="shared" si="68"/>
        <v>5.8653846152778577E-6</v>
      </c>
      <c r="B276" s="32">
        <f t="shared" si="76"/>
        <v>244</v>
      </c>
      <c r="C276" s="441">
        <f>'SOLLECITAZ NASCOSTO'!$D$6/'SOLLECITAZ NASCOSTO'!$B$448*'SOLLECITAZ NASCOSTO'!B276</f>
        <v>1.6716346153846153</v>
      </c>
      <c r="D276" s="441">
        <f t="shared" si="69"/>
        <v>0.30000586538461527</v>
      </c>
      <c r="E276" s="441">
        <f t="shared" si="63"/>
        <v>5.8653846152778577E-6</v>
      </c>
      <c r="F276" s="441">
        <f t="shared" si="64"/>
        <v>0.30000586538461527</v>
      </c>
      <c r="G276" s="441">
        <f t="shared" si="65"/>
        <v>4.5001759632585951E-2</v>
      </c>
      <c r="H276" s="441">
        <f t="shared" si="77"/>
        <v>0</v>
      </c>
      <c r="I276" s="441">
        <v>0</v>
      </c>
      <c r="J276" s="131">
        <f t="shared" si="78"/>
        <v>0.15000293269230763</v>
      </c>
      <c r="K276" s="130">
        <f t="shared" si="66"/>
        <v>2.2501319737340654E-3</v>
      </c>
      <c r="L276" s="42">
        <f t="shared" si="79"/>
        <v>16.74344826331836</v>
      </c>
      <c r="M276" s="42">
        <f t="shared" si="80"/>
        <v>-11.259699680638754</v>
      </c>
      <c r="N276" s="42">
        <f>(IF(C275&lt;='SOLLECITAZ NASCOSTO'!$P$12,IF(C275&lt;='SOLLECITAZ NASCOSTO'!$P$11,IF(C275&lt;='SOLLECITAZ NASCOSTO'!$P$10,IF(C275&lt;='SOLLECITAZ NASCOSTO'!$P$9,IF(C275&lt;='SOLLECITAZ NASCOSTO'!$P$8,IF(C275&lt;='SOLLECITAZ NASCOSTO'!$P$7,IF(C275&lt;='SOLLECITAZ NASCOSTO'!$P$6,IF(C275&lt;='SOLLECITAZ NASCOSTO'!$P$5,'Progetto del paramento slu'!$G$105,'Progetto del paramento slu'!$G$106),'Progetto del paramento slu'!$G$107),'Progetto del paramento slu'!$G$108),'Progetto del paramento slu'!$G$109),'Progetto del paramento slu'!$G$110),'Progetto del paramento slu'!$G$111),'Progetto del paramento slu'!$G$112),55555)-IF(C275&lt;='SOLLECITAZ NASCOSTO'!$P$12,IF(C275&lt;='SOLLECITAZ NASCOSTO'!$P$11,IF(C275&lt;='SOLLECITAZ NASCOSTO'!$P$10,IF(C275&lt;='SOLLECITAZ NASCOSTO'!$P$9,IF(C275&lt;='SOLLECITAZ NASCOSTO'!$P$8,IF(C275&lt;='SOLLECITAZ NASCOSTO'!$P$7,IF(C275&lt;='SOLLECITAZ NASCOSTO'!$P$6,IF(C275&lt;='SOLLECITAZ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slu'!$G$112))*(C275-IF(C275&lt;='SOLLECITAZ NASCOSTO'!$P$12,IF(C275&lt;='SOLLECITAZ NASCOSTO'!$P$11,IF(C275&lt;='SOLLECITAZ NASCOSTO'!$P$10,IF(C275&lt;='SOLLECITAZ NASCOSTO'!$P$9,IF(C275&lt;='SOLLECITAZ NASCOSTO'!$P$8,IF(C275&lt;='SOLLECITAZ NASCOSTO'!$P$7,IF(C275&lt;='SOLLECITAZ NASCOSTO'!$P$6,IF(C275&lt;='SOLLECITAZ NASCOSTO'!$P$5,'SOLLECITAZ NASCOSTO'!$P$3,'SOLLECITAZ NASCOSTO'!$P$5),'SOLLECITAZ NASCOSTO'!$P$5),'SOLLECITAZ NASCOSTO'!$P$7),'SOLLECITAZ NASCOSTO'!$P$8),'SOLLECITAZ NASCOSTO'!$P$9),'SOLLECITAZ NASCOSTO'!$P$10),'SOLLECITAZ NASCOSTO'!$P$11),'SOLLECITAZ NASCOSTO'!$P$12))/IF(C275&lt;='SOLLECITAZ NASCOSTO'!$P$12,IF(C275&lt;='SOLLECITAZ NASCOSTO'!$P$11,IF(C275&lt;='SOLLECITAZ NASCOSTO'!$P$10,IF(C275&lt;='SOLLECITAZ NASCOSTO'!$P$9,IF(C275&lt;='SOLLECITAZ NASCOSTO'!$P$8,IF(C275&lt;='SOLLECITAZ NASCOSTO'!$P$7,IF(C275&lt;='SOLLECITAZ NASCOSTO'!$P$6,IF(C275&lt;='SOLLECITAZ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slu'!$C$112)+IF(C275&lt;='SOLLECITAZ NASCOSTO'!$P$12,IF(C275&lt;='SOLLECITAZ NASCOSTO'!$P$11,IF(C275&lt;='SOLLECITAZ NASCOSTO'!$P$10,IF(C275&lt;='SOLLECITAZ NASCOSTO'!$P$9,IF(C275&lt;='SOLLECITAZ NASCOSTO'!$P$8,IF(C275&lt;='SOLLECITAZ NASCOSTO'!$P$7,IF(C275&lt;='SOLLECITAZ NASCOSTO'!$P$6,IF(C275&lt;='SOLLECITAZ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15.840211436729305</v>
      </c>
      <c r="O276" s="42">
        <f>IF(C276&lt;='SOLLECITAZ NASCOSTO'!$P$12,IF(C276&lt;='SOLLECITAZ NASCOSTO'!$P$11,IF(C276&lt;='SOLLECITAZ NASCOSTO'!$P$10,IF(C276&lt;='SOLLECITAZ NASCOSTO'!$P$9,IF(C276&lt;='SOLLECITAZ NASCOSTO'!$P$8,IF(C276&lt;='SOLLECITAZ NASCOSTO'!$P$7,IF(C276&lt;='SOLLECITAZ NASCOSTO'!$P$6,IF(C276&lt;='SOLLECITAZ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slu'!$G$111),55555)*(C276-C275)/IF(C276&lt;='SOLLECITAZ NASCOSTO'!$P$12,IF(C276&lt;='SOLLECITAZ NASCOSTO'!$P$11,IF(C276&lt;='SOLLECITAZ NASCOSTO'!$P$10,IF(C276&lt;='SOLLECITAZ NASCOSTO'!$P$9,IF(C276&lt;='SOLLECITAZ NASCOSTO'!$P$8,IF(C276&lt;='SOLLECITAZ NASCOSTO'!$P$7,IF(C276&lt;='SOLLECITAZ NASCOSTO'!$P$6,IF(C276&lt;='SOLLECITAZ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6" s="42">
        <f t="shared" si="75"/>
        <v>2.4299999999999943E-4</v>
      </c>
      <c r="Q276" s="42">
        <f t="shared" si="73"/>
        <v>1</v>
      </c>
      <c r="R276" s="441">
        <f t="shared" si="67"/>
        <v>1.6716346153846153</v>
      </c>
      <c r="S276" s="46">
        <f t="shared" si="74"/>
        <v>1.6716346153846153</v>
      </c>
      <c r="T276" s="211">
        <f t="shared" si="70"/>
        <v>1.6783653846153848</v>
      </c>
      <c r="U276" s="46">
        <f t="shared" si="71"/>
        <v>16.74344826331836</v>
      </c>
      <c r="V276" s="46">
        <f t="shared" si="72"/>
        <v>-11.259699680638754</v>
      </c>
      <c r="W276" s="496"/>
      <c r="X276" s="497"/>
      <c r="Y276" s="497"/>
      <c r="Z276" s="498"/>
      <c r="AA276" s="47"/>
    </row>
    <row r="277" spans="1:27" s="428" customFormat="1" x14ac:dyDescent="0.25">
      <c r="A277" s="589">
        <f t="shared" si="68"/>
        <v>5.8894230767769784E-6</v>
      </c>
      <c r="B277" s="32">
        <f t="shared" si="76"/>
        <v>245</v>
      </c>
      <c r="C277" s="441">
        <f>'SOLLECITAZ NASCOSTO'!$D$6/'SOLLECITAZ NASCOSTO'!$B$448*'SOLLECITAZ NASCOSTO'!B277</f>
        <v>1.6784855769230769</v>
      </c>
      <c r="D277" s="441">
        <f t="shared" si="69"/>
        <v>0.30000588942307677</v>
      </c>
      <c r="E277" s="441">
        <f t="shared" si="63"/>
        <v>5.8894230767769784E-6</v>
      </c>
      <c r="F277" s="441">
        <f t="shared" si="64"/>
        <v>0.30000588942307677</v>
      </c>
      <c r="G277" s="441">
        <f t="shared" si="65"/>
        <v>4.5001766844265684E-2</v>
      </c>
      <c r="H277" s="441">
        <f t="shared" si="77"/>
        <v>0</v>
      </c>
      <c r="I277" s="441">
        <v>0</v>
      </c>
      <c r="J277" s="131">
        <f t="shared" si="78"/>
        <v>0.15000294471153838</v>
      </c>
      <c r="K277" s="130">
        <f t="shared" si="66"/>
        <v>2.2501325146206423E-3</v>
      </c>
      <c r="L277" s="42">
        <f t="shared" si="79"/>
        <v>16.852463570604108</v>
      </c>
      <c r="M277" s="42">
        <f t="shared" si="80"/>
        <v>-11.374781830550628</v>
      </c>
      <c r="N277" s="42">
        <f>(IF(C276&lt;='SOLLECITAZ NASCOSTO'!$P$12,IF(C276&lt;='SOLLECITAZ NASCOSTO'!$P$11,IF(C276&lt;='SOLLECITAZ NASCOSTO'!$P$10,IF(C276&lt;='SOLLECITAZ NASCOSTO'!$P$9,IF(C276&lt;='SOLLECITAZ NASCOSTO'!$P$8,IF(C276&lt;='SOLLECITAZ NASCOSTO'!$P$7,IF(C276&lt;='SOLLECITAZ NASCOSTO'!$P$6,IF(C276&lt;='SOLLECITAZ NASCOSTO'!$P$5,'Progetto del paramento slu'!$G$105,'Progetto del paramento slu'!$G$106),'Progetto del paramento slu'!$G$107),'Progetto del paramento slu'!$G$108),'Progetto del paramento slu'!$G$109),'Progetto del paramento slu'!$G$110),'Progetto del paramento slu'!$G$111),'Progetto del paramento slu'!$G$112),55555)-IF(C276&lt;='SOLLECITAZ NASCOSTO'!$P$12,IF(C276&lt;='SOLLECITAZ NASCOSTO'!$P$11,IF(C276&lt;='SOLLECITAZ NASCOSTO'!$P$10,IF(C276&lt;='SOLLECITAZ NASCOSTO'!$P$9,IF(C276&lt;='SOLLECITAZ NASCOSTO'!$P$8,IF(C276&lt;='SOLLECITAZ NASCOSTO'!$P$7,IF(C276&lt;='SOLLECITAZ NASCOSTO'!$P$6,IF(C276&lt;='SOLLECITAZ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slu'!$G$112))*(C276-IF(C276&lt;='SOLLECITAZ NASCOSTO'!$P$12,IF(C276&lt;='SOLLECITAZ NASCOSTO'!$P$11,IF(C276&lt;='SOLLECITAZ NASCOSTO'!$P$10,IF(C276&lt;='SOLLECITAZ NASCOSTO'!$P$9,IF(C276&lt;='SOLLECITAZ NASCOSTO'!$P$8,IF(C276&lt;='SOLLECITAZ NASCOSTO'!$P$7,IF(C276&lt;='SOLLECITAZ NASCOSTO'!$P$6,IF(C276&lt;='SOLLECITAZ NASCOSTO'!$P$5,'SOLLECITAZ NASCOSTO'!$P$3,'SOLLECITAZ NASCOSTO'!$P$5),'SOLLECITAZ NASCOSTO'!$P$5),'SOLLECITAZ NASCOSTO'!$P$7),'SOLLECITAZ NASCOSTO'!$P$8),'SOLLECITAZ NASCOSTO'!$P$9),'SOLLECITAZ NASCOSTO'!$P$10),'SOLLECITAZ NASCOSTO'!$P$11),'SOLLECITAZ NASCOSTO'!$P$12))/IF(C276&lt;='SOLLECITAZ NASCOSTO'!$P$12,IF(C276&lt;='SOLLECITAZ NASCOSTO'!$P$11,IF(C276&lt;='SOLLECITAZ NASCOSTO'!$P$10,IF(C276&lt;='SOLLECITAZ NASCOSTO'!$P$9,IF(C276&lt;='SOLLECITAZ NASCOSTO'!$P$8,IF(C276&lt;='SOLLECITAZ NASCOSTO'!$P$7,IF(C276&lt;='SOLLECITAZ NASCOSTO'!$P$6,IF(C276&lt;='SOLLECITAZ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slu'!$C$112)+IF(C276&lt;='SOLLECITAZ NASCOSTO'!$P$12,IF(C276&lt;='SOLLECITAZ NASCOSTO'!$P$11,IF(C276&lt;='SOLLECITAZ NASCOSTO'!$P$10,IF(C276&lt;='SOLLECITAZ NASCOSTO'!$P$9,IF(C276&lt;='SOLLECITAZ NASCOSTO'!$P$8,IF(C276&lt;='SOLLECITAZ NASCOSTO'!$P$7,IF(C276&lt;='SOLLECITAZ NASCOSTO'!$P$6,IF(C276&lt;='SOLLECITAZ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15.888343655721656</v>
      </c>
      <c r="O277" s="42">
        <f>IF(C277&lt;='SOLLECITAZ NASCOSTO'!$P$12,IF(C277&lt;='SOLLECITAZ NASCOSTO'!$P$11,IF(C277&lt;='SOLLECITAZ NASCOSTO'!$P$10,IF(C277&lt;='SOLLECITAZ NASCOSTO'!$P$9,IF(C277&lt;='SOLLECITAZ NASCOSTO'!$P$8,IF(C277&lt;='SOLLECITAZ NASCOSTO'!$P$7,IF(C277&lt;='SOLLECITAZ NASCOSTO'!$P$6,IF(C277&lt;='SOLLECITAZ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slu'!$G$111),55555)*(C277-C276)/IF(C277&lt;='SOLLECITAZ NASCOSTO'!$P$12,IF(C277&lt;='SOLLECITAZ NASCOSTO'!$P$11,IF(C277&lt;='SOLLECITAZ NASCOSTO'!$P$10,IF(C277&lt;='SOLLECITAZ NASCOSTO'!$P$9,IF(C277&lt;='SOLLECITAZ NASCOSTO'!$P$8,IF(C277&lt;='SOLLECITAZ NASCOSTO'!$P$7,IF(C277&lt;='SOLLECITAZ NASCOSTO'!$P$6,IF(C277&lt;='SOLLECITAZ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7" s="42">
        <f t="shared" si="75"/>
        <v>2.4399999999999943E-4</v>
      </c>
      <c r="Q277" s="42">
        <f t="shared" si="73"/>
        <v>1</v>
      </c>
      <c r="R277" s="441">
        <f t="shared" si="67"/>
        <v>1.6784855769230769</v>
      </c>
      <c r="S277" s="46">
        <f t="shared" si="74"/>
        <v>1.6784855769230769</v>
      </c>
      <c r="T277" s="211">
        <f t="shared" si="70"/>
        <v>1.6715144230769232</v>
      </c>
      <c r="U277" s="46">
        <f t="shared" si="71"/>
        <v>16.852463570604108</v>
      </c>
      <c r="V277" s="46">
        <f t="shared" si="72"/>
        <v>-11.374781830550628</v>
      </c>
      <c r="W277" s="496"/>
      <c r="X277" s="497"/>
      <c r="Y277" s="497"/>
      <c r="Z277" s="498"/>
      <c r="AA277" s="47"/>
    </row>
    <row r="278" spans="1:27" s="428" customFormat="1" x14ac:dyDescent="0.25">
      <c r="A278" s="589">
        <f t="shared" si="68"/>
        <v>5.9134615383316103E-6</v>
      </c>
      <c r="B278" s="32">
        <f t="shared" si="76"/>
        <v>246</v>
      </c>
      <c r="C278" s="441">
        <f>'SOLLECITAZ NASCOSTO'!$D$6/'SOLLECITAZ NASCOSTO'!$B$448*'SOLLECITAZ NASCOSTO'!B278</f>
        <v>1.6853365384615384</v>
      </c>
      <c r="D278" s="441">
        <f t="shared" si="69"/>
        <v>0.30000591346153832</v>
      </c>
      <c r="E278" s="441">
        <f t="shared" si="63"/>
        <v>5.9134615383316103E-6</v>
      </c>
      <c r="F278" s="441">
        <f t="shared" si="64"/>
        <v>0.30000591346153832</v>
      </c>
      <c r="G278" s="441">
        <f t="shared" si="65"/>
        <v>4.5001774055946013E-2</v>
      </c>
      <c r="H278" s="441">
        <f t="shared" si="77"/>
        <v>0</v>
      </c>
      <c r="I278" s="441">
        <v>0</v>
      </c>
      <c r="J278" s="131">
        <f t="shared" si="78"/>
        <v>0.15000295673076916</v>
      </c>
      <c r="K278" s="130">
        <f t="shared" si="66"/>
        <v>2.2501330555073067E-3</v>
      </c>
      <c r="L278" s="42">
        <f t="shared" si="79"/>
        <v>16.961808629870934</v>
      </c>
      <c r="M278" s="42">
        <f t="shared" si="80"/>
        <v>-11.49061196969889</v>
      </c>
      <c r="N278" s="42">
        <f>(IF(C277&lt;='SOLLECITAZ NASCOSTO'!$P$12,IF(C277&lt;='SOLLECITAZ NASCOSTO'!$P$11,IF(C277&lt;='SOLLECITAZ NASCOSTO'!$P$10,IF(C277&lt;='SOLLECITAZ NASCOSTO'!$P$9,IF(C277&lt;='SOLLECITAZ NASCOSTO'!$P$8,IF(C277&lt;='SOLLECITAZ NASCOSTO'!$P$7,IF(C277&lt;='SOLLECITAZ NASCOSTO'!$P$6,IF(C277&lt;='SOLLECITAZ NASCOSTO'!$P$5,'Progetto del paramento slu'!$G$105,'Progetto del paramento slu'!$G$106),'Progetto del paramento slu'!$G$107),'Progetto del paramento slu'!$G$108),'Progetto del paramento slu'!$G$109),'Progetto del paramento slu'!$G$110),'Progetto del paramento slu'!$G$111),'Progetto del paramento slu'!$G$112),55555)-IF(C277&lt;='SOLLECITAZ NASCOSTO'!$P$12,IF(C277&lt;='SOLLECITAZ NASCOSTO'!$P$11,IF(C277&lt;='SOLLECITAZ NASCOSTO'!$P$10,IF(C277&lt;='SOLLECITAZ NASCOSTO'!$P$9,IF(C277&lt;='SOLLECITAZ NASCOSTO'!$P$8,IF(C277&lt;='SOLLECITAZ NASCOSTO'!$P$7,IF(C277&lt;='SOLLECITAZ NASCOSTO'!$P$6,IF(C277&lt;='SOLLECITAZ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slu'!$G$112))*(C277-IF(C277&lt;='SOLLECITAZ NASCOSTO'!$P$12,IF(C277&lt;='SOLLECITAZ NASCOSTO'!$P$11,IF(C277&lt;='SOLLECITAZ NASCOSTO'!$P$10,IF(C277&lt;='SOLLECITAZ NASCOSTO'!$P$9,IF(C277&lt;='SOLLECITAZ NASCOSTO'!$P$8,IF(C277&lt;='SOLLECITAZ NASCOSTO'!$P$7,IF(C277&lt;='SOLLECITAZ NASCOSTO'!$P$6,IF(C277&lt;='SOLLECITAZ NASCOSTO'!$P$5,'SOLLECITAZ NASCOSTO'!$P$3,'SOLLECITAZ NASCOSTO'!$P$5),'SOLLECITAZ NASCOSTO'!$P$5),'SOLLECITAZ NASCOSTO'!$P$7),'SOLLECITAZ NASCOSTO'!$P$8),'SOLLECITAZ NASCOSTO'!$P$9),'SOLLECITAZ NASCOSTO'!$P$10),'SOLLECITAZ NASCOSTO'!$P$11),'SOLLECITAZ NASCOSTO'!$P$12))/IF(C277&lt;='SOLLECITAZ NASCOSTO'!$P$12,IF(C277&lt;='SOLLECITAZ NASCOSTO'!$P$11,IF(C277&lt;='SOLLECITAZ NASCOSTO'!$P$10,IF(C277&lt;='SOLLECITAZ NASCOSTO'!$P$9,IF(C277&lt;='SOLLECITAZ NASCOSTO'!$P$8,IF(C277&lt;='SOLLECITAZ NASCOSTO'!$P$7,IF(C277&lt;='SOLLECITAZ NASCOSTO'!$P$6,IF(C277&lt;='SOLLECITAZ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slu'!$C$112)+IF(C277&lt;='SOLLECITAZ NASCOSTO'!$P$12,IF(C277&lt;='SOLLECITAZ NASCOSTO'!$P$11,IF(C277&lt;='SOLLECITAZ NASCOSTO'!$P$10,IF(C277&lt;='SOLLECITAZ NASCOSTO'!$P$9,IF(C277&lt;='SOLLECITAZ NASCOSTO'!$P$8,IF(C277&lt;='SOLLECITAZ NASCOSTO'!$P$7,IF(C277&lt;='SOLLECITAZ NASCOSTO'!$P$6,IF(C277&lt;='SOLLECITAZ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15.936475874714011</v>
      </c>
      <c r="O278" s="42">
        <f>IF(C278&lt;='SOLLECITAZ NASCOSTO'!$P$12,IF(C278&lt;='SOLLECITAZ NASCOSTO'!$P$11,IF(C278&lt;='SOLLECITAZ NASCOSTO'!$P$10,IF(C278&lt;='SOLLECITAZ NASCOSTO'!$P$9,IF(C278&lt;='SOLLECITAZ NASCOSTO'!$P$8,IF(C278&lt;='SOLLECITAZ NASCOSTO'!$P$7,IF(C278&lt;='SOLLECITAZ NASCOSTO'!$P$6,IF(C278&lt;='SOLLECITAZ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slu'!$G$111),55555)*(C278-C277)/IF(C278&lt;='SOLLECITAZ NASCOSTO'!$P$12,IF(C278&lt;='SOLLECITAZ NASCOSTO'!$P$11,IF(C278&lt;='SOLLECITAZ NASCOSTO'!$P$10,IF(C278&lt;='SOLLECITAZ NASCOSTO'!$P$9,IF(C278&lt;='SOLLECITAZ NASCOSTO'!$P$8,IF(C278&lt;='SOLLECITAZ NASCOSTO'!$P$7,IF(C278&lt;='SOLLECITAZ NASCOSTO'!$P$6,IF(C278&lt;='SOLLECITAZ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8" s="42">
        <f t="shared" si="75"/>
        <v>2.4499999999999945E-4</v>
      </c>
      <c r="Q278" s="42">
        <f t="shared" si="73"/>
        <v>1</v>
      </c>
      <c r="R278" s="441">
        <f t="shared" si="67"/>
        <v>1.6853365384615384</v>
      </c>
      <c r="S278" s="46">
        <f t="shared" si="74"/>
        <v>1.6853365384615384</v>
      </c>
      <c r="T278" s="211">
        <f t="shared" si="70"/>
        <v>1.6646634615384617</v>
      </c>
      <c r="U278" s="46">
        <f t="shared" si="71"/>
        <v>16.961808629870934</v>
      </c>
      <c r="V278" s="46">
        <f t="shared" si="72"/>
        <v>-11.49061196969889</v>
      </c>
      <c r="W278" s="496"/>
      <c r="X278" s="497"/>
      <c r="Y278" s="497"/>
      <c r="Z278" s="498"/>
      <c r="AA278" s="47"/>
    </row>
    <row r="279" spans="1:27" s="428" customFormat="1" x14ac:dyDescent="0.25">
      <c r="A279" s="589">
        <f t="shared" si="68"/>
        <v>5.9374999998862421E-6</v>
      </c>
      <c r="B279" s="32">
        <f t="shared" si="76"/>
        <v>247</v>
      </c>
      <c r="C279" s="441">
        <f>'SOLLECITAZ NASCOSTO'!$D$6/'SOLLECITAZ NASCOSTO'!$B$448*'SOLLECITAZ NASCOSTO'!B279</f>
        <v>1.6921875</v>
      </c>
      <c r="D279" s="441">
        <f t="shared" si="69"/>
        <v>0.30000593749999988</v>
      </c>
      <c r="E279" s="441">
        <f t="shared" si="63"/>
        <v>5.9374999998862421E-6</v>
      </c>
      <c r="F279" s="441">
        <f t="shared" si="64"/>
        <v>0.30000593749999988</v>
      </c>
      <c r="G279" s="441">
        <f t="shared" si="65"/>
        <v>4.5001781267626918E-2</v>
      </c>
      <c r="H279" s="441">
        <f t="shared" si="77"/>
        <v>0</v>
      </c>
      <c r="I279" s="441">
        <v>0</v>
      </c>
      <c r="J279" s="131">
        <f t="shared" si="78"/>
        <v>0.15000296874999994</v>
      </c>
      <c r="K279" s="130">
        <f t="shared" si="66"/>
        <v>2.2501335963940579E-3</v>
      </c>
      <c r="L279" s="42">
        <f t="shared" si="79"/>
        <v>17.071483441118836</v>
      </c>
      <c r="M279" s="42">
        <f t="shared" si="80"/>
        <v>-11.607192357201679</v>
      </c>
      <c r="N279" s="42">
        <f>(IF(C278&lt;='SOLLECITAZ NASCOSTO'!$P$12,IF(C278&lt;='SOLLECITAZ NASCOSTO'!$P$11,IF(C278&lt;='SOLLECITAZ NASCOSTO'!$P$10,IF(C278&lt;='SOLLECITAZ NASCOSTO'!$P$9,IF(C278&lt;='SOLLECITAZ NASCOSTO'!$P$8,IF(C278&lt;='SOLLECITAZ NASCOSTO'!$P$7,IF(C278&lt;='SOLLECITAZ NASCOSTO'!$P$6,IF(C278&lt;='SOLLECITAZ NASCOSTO'!$P$5,'Progetto del paramento slu'!$G$105,'Progetto del paramento slu'!$G$106),'Progetto del paramento slu'!$G$107),'Progetto del paramento slu'!$G$108),'Progetto del paramento slu'!$G$109),'Progetto del paramento slu'!$G$110),'Progetto del paramento slu'!$G$111),'Progetto del paramento slu'!$G$112),55555)-IF(C278&lt;='SOLLECITAZ NASCOSTO'!$P$12,IF(C278&lt;='SOLLECITAZ NASCOSTO'!$P$11,IF(C278&lt;='SOLLECITAZ NASCOSTO'!$P$10,IF(C278&lt;='SOLLECITAZ NASCOSTO'!$P$9,IF(C278&lt;='SOLLECITAZ NASCOSTO'!$P$8,IF(C278&lt;='SOLLECITAZ NASCOSTO'!$P$7,IF(C278&lt;='SOLLECITAZ NASCOSTO'!$P$6,IF(C278&lt;='SOLLECITAZ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slu'!$G$112))*(C278-IF(C278&lt;='SOLLECITAZ NASCOSTO'!$P$12,IF(C278&lt;='SOLLECITAZ NASCOSTO'!$P$11,IF(C278&lt;='SOLLECITAZ NASCOSTO'!$P$10,IF(C278&lt;='SOLLECITAZ NASCOSTO'!$P$9,IF(C278&lt;='SOLLECITAZ NASCOSTO'!$P$8,IF(C278&lt;='SOLLECITAZ NASCOSTO'!$P$7,IF(C278&lt;='SOLLECITAZ NASCOSTO'!$P$6,IF(C278&lt;='SOLLECITAZ NASCOSTO'!$P$5,'SOLLECITAZ NASCOSTO'!$P$3,'SOLLECITAZ NASCOSTO'!$P$5),'SOLLECITAZ NASCOSTO'!$P$5),'SOLLECITAZ NASCOSTO'!$P$7),'SOLLECITAZ NASCOSTO'!$P$8),'SOLLECITAZ NASCOSTO'!$P$9),'SOLLECITAZ NASCOSTO'!$P$10),'SOLLECITAZ NASCOSTO'!$P$11),'SOLLECITAZ NASCOSTO'!$P$12))/IF(C278&lt;='SOLLECITAZ NASCOSTO'!$P$12,IF(C278&lt;='SOLLECITAZ NASCOSTO'!$P$11,IF(C278&lt;='SOLLECITAZ NASCOSTO'!$P$10,IF(C278&lt;='SOLLECITAZ NASCOSTO'!$P$9,IF(C278&lt;='SOLLECITAZ NASCOSTO'!$P$8,IF(C278&lt;='SOLLECITAZ NASCOSTO'!$P$7,IF(C278&lt;='SOLLECITAZ NASCOSTO'!$P$6,IF(C278&lt;='SOLLECITAZ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slu'!$C$112)+IF(C278&lt;='SOLLECITAZ NASCOSTO'!$P$12,IF(C278&lt;='SOLLECITAZ NASCOSTO'!$P$11,IF(C278&lt;='SOLLECITAZ NASCOSTO'!$P$10,IF(C278&lt;='SOLLECITAZ NASCOSTO'!$P$9,IF(C278&lt;='SOLLECITAZ NASCOSTO'!$P$8,IF(C278&lt;='SOLLECITAZ NASCOSTO'!$P$7,IF(C278&lt;='SOLLECITAZ NASCOSTO'!$P$6,IF(C278&lt;='SOLLECITAZ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15.984608093706361</v>
      </c>
      <c r="O279" s="42">
        <f>IF(C279&lt;='SOLLECITAZ NASCOSTO'!$P$12,IF(C279&lt;='SOLLECITAZ NASCOSTO'!$P$11,IF(C279&lt;='SOLLECITAZ NASCOSTO'!$P$10,IF(C279&lt;='SOLLECITAZ NASCOSTO'!$P$9,IF(C279&lt;='SOLLECITAZ NASCOSTO'!$P$8,IF(C279&lt;='SOLLECITAZ NASCOSTO'!$P$7,IF(C279&lt;='SOLLECITAZ NASCOSTO'!$P$6,IF(C279&lt;='SOLLECITAZ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slu'!$G$111),55555)*(C279-C278)/IF(C279&lt;='SOLLECITAZ NASCOSTO'!$P$12,IF(C279&lt;='SOLLECITAZ NASCOSTO'!$P$11,IF(C279&lt;='SOLLECITAZ NASCOSTO'!$P$10,IF(C279&lt;='SOLLECITAZ NASCOSTO'!$P$9,IF(C279&lt;='SOLLECITAZ NASCOSTO'!$P$8,IF(C279&lt;='SOLLECITAZ NASCOSTO'!$P$7,IF(C279&lt;='SOLLECITAZ NASCOSTO'!$P$6,IF(C279&lt;='SOLLECITAZ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79" s="42">
        <f t="shared" si="75"/>
        <v>2.4599999999999947E-4</v>
      </c>
      <c r="Q279" s="42">
        <f t="shared" si="73"/>
        <v>1</v>
      </c>
      <c r="R279" s="441">
        <f t="shared" si="67"/>
        <v>1.6921875</v>
      </c>
      <c r="S279" s="46">
        <f t="shared" si="74"/>
        <v>1.6921875</v>
      </c>
      <c r="T279" s="211">
        <f t="shared" si="70"/>
        <v>1.6578125000000001</v>
      </c>
      <c r="U279" s="46">
        <f t="shared" si="71"/>
        <v>17.071483441118836</v>
      </c>
      <c r="V279" s="46">
        <f t="shared" si="72"/>
        <v>-11.607192357201679</v>
      </c>
      <c r="W279" s="496"/>
      <c r="X279" s="497"/>
      <c r="Y279" s="497"/>
      <c r="Z279" s="498"/>
      <c r="AA279" s="47"/>
    </row>
    <row r="280" spans="1:27" s="428" customFormat="1" x14ac:dyDescent="0.25">
      <c r="A280" s="589">
        <f t="shared" si="68"/>
        <v>5.9615384613853628E-6</v>
      </c>
      <c r="B280" s="32">
        <f t="shared" si="76"/>
        <v>248</v>
      </c>
      <c r="C280" s="441">
        <f>'SOLLECITAZ NASCOSTO'!$D$6/'SOLLECITAZ NASCOSTO'!$B$448*'SOLLECITAZ NASCOSTO'!B280</f>
        <v>1.6990384615384615</v>
      </c>
      <c r="D280" s="441">
        <f t="shared" si="69"/>
        <v>0.30000596153846137</v>
      </c>
      <c r="E280" s="441">
        <f t="shared" si="63"/>
        <v>5.9615384613853628E-6</v>
      </c>
      <c r="F280" s="441">
        <f t="shared" si="64"/>
        <v>0.30000596153846137</v>
      </c>
      <c r="G280" s="441">
        <f t="shared" si="65"/>
        <v>4.5001788479308386E-2</v>
      </c>
      <c r="H280" s="441">
        <f t="shared" si="77"/>
        <v>0</v>
      </c>
      <c r="I280" s="441">
        <v>0</v>
      </c>
      <c r="J280" s="131">
        <f t="shared" si="78"/>
        <v>0.15000298076923069</v>
      </c>
      <c r="K280" s="130">
        <f t="shared" si="66"/>
        <v>2.2501341372808941E-3</v>
      </c>
      <c r="L280" s="42">
        <f t="shared" si="79"/>
        <v>17.181488004347816</v>
      </c>
      <c r="M280" s="42">
        <f t="shared" si="80"/>
        <v>-11.724525252177136</v>
      </c>
      <c r="N280" s="42">
        <f>(IF(C279&lt;='SOLLECITAZ NASCOSTO'!$P$12,IF(C279&lt;='SOLLECITAZ NASCOSTO'!$P$11,IF(C279&lt;='SOLLECITAZ NASCOSTO'!$P$10,IF(C279&lt;='SOLLECITAZ NASCOSTO'!$P$9,IF(C279&lt;='SOLLECITAZ NASCOSTO'!$P$8,IF(C279&lt;='SOLLECITAZ NASCOSTO'!$P$7,IF(C279&lt;='SOLLECITAZ NASCOSTO'!$P$6,IF(C279&lt;='SOLLECITAZ NASCOSTO'!$P$5,'Progetto del paramento slu'!$G$105,'Progetto del paramento slu'!$G$106),'Progetto del paramento slu'!$G$107),'Progetto del paramento slu'!$G$108),'Progetto del paramento slu'!$G$109),'Progetto del paramento slu'!$G$110),'Progetto del paramento slu'!$G$111),'Progetto del paramento slu'!$G$112),55555)-IF(C279&lt;='SOLLECITAZ NASCOSTO'!$P$12,IF(C279&lt;='SOLLECITAZ NASCOSTO'!$P$11,IF(C279&lt;='SOLLECITAZ NASCOSTO'!$P$10,IF(C279&lt;='SOLLECITAZ NASCOSTO'!$P$9,IF(C279&lt;='SOLLECITAZ NASCOSTO'!$P$8,IF(C279&lt;='SOLLECITAZ NASCOSTO'!$P$7,IF(C279&lt;='SOLLECITAZ NASCOSTO'!$P$6,IF(C279&lt;='SOLLECITAZ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slu'!$G$112))*(C279-IF(C279&lt;='SOLLECITAZ NASCOSTO'!$P$12,IF(C279&lt;='SOLLECITAZ NASCOSTO'!$P$11,IF(C279&lt;='SOLLECITAZ NASCOSTO'!$P$10,IF(C279&lt;='SOLLECITAZ NASCOSTO'!$P$9,IF(C279&lt;='SOLLECITAZ NASCOSTO'!$P$8,IF(C279&lt;='SOLLECITAZ NASCOSTO'!$P$7,IF(C279&lt;='SOLLECITAZ NASCOSTO'!$P$6,IF(C279&lt;='SOLLECITAZ NASCOSTO'!$P$5,'SOLLECITAZ NASCOSTO'!$P$3,'SOLLECITAZ NASCOSTO'!$P$5),'SOLLECITAZ NASCOSTO'!$P$5),'SOLLECITAZ NASCOSTO'!$P$7),'SOLLECITAZ NASCOSTO'!$P$8),'SOLLECITAZ NASCOSTO'!$P$9),'SOLLECITAZ NASCOSTO'!$P$10),'SOLLECITAZ NASCOSTO'!$P$11),'SOLLECITAZ NASCOSTO'!$P$12))/IF(C279&lt;='SOLLECITAZ NASCOSTO'!$P$12,IF(C279&lt;='SOLLECITAZ NASCOSTO'!$P$11,IF(C279&lt;='SOLLECITAZ NASCOSTO'!$P$10,IF(C279&lt;='SOLLECITAZ NASCOSTO'!$P$9,IF(C279&lt;='SOLLECITAZ NASCOSTO'!$P$8,IF(C279&lt;='SOLLECITAZ NASCOSTO'!$P$7,IF(C279&lt;='SOLLECITAZ NASCOSTO'!$P$6,IF(C279&lt;='SOLLECITAZ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slu'!$C$112)+IF(C279&lt;='SOLLECITAZ NASCOSTO'!$P$12,IF(C279&lt;='SOLLECITAZ NASCOSTO'!$P$11,IF(C279&lt;='SOLLECITAZ NASCOSTO'!$P$10,IF(C279&lt;='SOLLECITAZ NASCOSTO'!$P$9,IF(C279&lt;='SOLLECITAZ NASCOSTO'!$P$8,IF(C279&lt;='SOLLECITAZ NASCOSTO'!$P$7,IF(C279&lt;='SOLLECITAZ NASCOSTO'!$P$6,IF(C279&lt;='SOLLECITAZ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16.032740312698714</v>
      </c>
      <c r="O280" s="42">
        <f>IF(C280&lt;='SOLLECITAZ NASCOSTO'!$P$12,IF(C280&lt;='SOLLECITAZ NASCOSTO'!$P$11,IF(C280&lt;='SOLLECITAZ NASCOSTO'!$P$10,IF(C280&lt;='SOLLECITAZ NASCOSTO'!$P$9,IF(C280&lt;='SOLLECITAZ NASCOSTO'!$P$8,IF(C280&lt;='SOLLECITAZ NASCOSTO'!$P$7,IF(C280&lt;='SOLLECITAZ NASCOSTO'!$P$6,IF(C280&lt;='SOLLECITAZ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slu'!$G$111),55555)*(C280-C279)/IF(C280&lt;='SOLLECITAZ NASCOSTO'!$P$12,IF(C280&lt;='SOLLECITAZ NASCOSTO'!$P$11,IF(C280&lt;='SOLLECITAZ NASCOSTO'!$P$10,IF(C280&lt;='SOLLECITAZ NASCOSTO'!$P$9,IF(C280&lt;='SOLLECITAZ NASCOSTO'!$P$8,IF(C280&lt;='SOLLECITAZ NASCOSTO'!$P$7,IF(C280&lt;='SOLLECITAZ NASCOSTO'!$P$6,IF(C280&lt;='SOLLECITAZ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0" s="42">
        <f t="shared" si="75"/>
        <v>2.469999999999995E-4</v>
      </c>
      <c r="Q280" s="42">
        <f t="shared" si="73"/>
        <v>1</v>
      </c>
      <c r="R280" s="441">
        <f t="shared" si="67"/>
        <v>1.6990384615384615</v>
      </c>
      <c r="S280" s="46">
        <f t="shared" si="74"/>
        <v>1.6990384615384615</v>
      </c>
      <c r="T280" s="211">
        <f t="shared" si="70"/>
        <v>1.6509615384615386</v>
      </c>
      <c r="U280" s="46">
        <f t="shared" si="71"/>
        <v>17.181488004347816</v>
      </c>
      <c r="V280" s="46">
        <f t="shared" si="72"/>
        <v>-11.724525252177136</v>
      </c>
      <c r="W280" s="496"/>
      <c r="X280" s="497"/>
      <c r="Y280" s="497"/>
      <c r="Z280" s="498"/>
      <c r="AA280" s="47"/>
    </row>
    <row r="281" spans="1:27" s="428" customFormat="1" x14ac:dyDescent="0.25">
      <c r="A281" s="589">
        <f t="shared" si="68"/>
        <v>5.9855769229399947E-6</v>
      </c>
      <c r="B281" s="32">
        <f t="shared" si="76"/>
        <v>249</v>
      </c>
      <c r="C281" s="441">
        <f>'SOLLECITAZ NASCOSTO'!$D$6/'SOLLECITAZ NASCOSTO'!$B$448*'SOLLECITAZ NASCOSTO'!B281</f>
        <v>1.705889423076923</v>
      </c>
      <c r="D281" s="441">
        <f t="shared" si="69"/>
        <v>0.30000598557692293</v>
      </c>
      <c r="E281" s="441">
        <f t="shared" si="63"/>
        <v>5.9855769229399947E-6</v>
      </c>
      <c r="F281" s="441">
        <f t="shared" si="64"/>
        <v>0.30000598557692293</v>
      </c>
      <c r="G281" s="441">
        <f t="shared" si="65"/>
        <v>4.5001795690990443E-2</v>
      </c>
      <c r="H281" s="441">
        <f t="shared" si="77"/>
        <v>0</v>
      </c>
      <c r="I281" s="441">
        <v>0</v>
      </c>
      <c r="J281" s="131">
        <f t="shared" si="78"/>
        <v>0.15000299278846146</v>
      </c>
      <c r="K281" s="130">
        <f t="shared" si="66"/>
        <v>2.2501346781678183E-3</v>
      </c>
      <c r="L281" s="42">
        <f t="shared" si="79"/>
        <v>17.291822319557873</v>
      </c>
      <c r="M281" s="42">
        <f t="shared" si="80"/>
        <v>-11.8426129137434</v>
      </c>
      <c r="N281" s="42">
        <f>(IF(C280&lt;='SOLLECITAZ NASCOSTO'!$P$12,IF(C280&lt;='SOLLECITAZ NASCOSTO'!$P$11,IF(C280&lt;='SOLLECITAZ NASCOSTO'!$P$10,IF(C280&lt;='SOLLECITAZ NASCOSTO'!$P$9,IF(C280&lt;='SOLLECITAZ NASCOSTO'!$P$8,IF(C280&lt;='SOLLECITAZ NASCOSTO'!$P$7,IF(C280&lt;='SOLLECITAZ NASCOSTO'!$P$6,IF(C280&lt;='SOLLECITAZ NASCOSTO'!$P$5,'Progetto del paramento slu'!$G$105,'Progetto del paramento slu'!$G$106),'Progetto del paramento slu'!$G$107),'Progetto del paramento slu'!$G$108),'Progetto del paramento slu'!$G$109),'Progetto del paramento slu'!$G$110),'Progetto del paramento slu'!$G$111),'Progetto del paramento slu'!$G$112),55555)-IF(C280&lt;='SOLLECITAZ NASCOSTO'!$P$12,IF(C280&lt;='SOLLECITAZ NASCOSTO'!$P$11,IF(C280&lt;='SOLLECITAZ NASCOSTO'!$P$10,IF(C280&lt;='SOLLECITAZ NASCOSTO'!$P$9,IF(C280&lt;='SOLLECITAZ NASCOSTO'!$P$8,IF(C280&lt;='SOLLECITAZ NASCOSTO'!$P$7,IF(C280&lt;='SOLLECITAZ NASCOSTO'!$P$6,IF(C280&lt;='SOLLECITAZ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slu'!$G$112))*(C280-IF(C280&lt;='SOLLECITAZ NASCOSTO'!$P$12,IF(C280&lt;='SOLLECITAZ NASCOSTO'!$P$11,IF(C280&lt;='SOLLECITAZ NASCOSTO'!$P$10,IF(C280&lt;='SOLLECITAZ NASCOSTO'!$P$9,IF(C280&lt;='SOLLECITAZ NASCOSTO'!$P$8,IF(C280&lt;='SOLLECITAZ NASCOSTO'!$P$7,IF(C280&lt;='SOLLECITAZ NASCOSTO'!$P$6,IF(C280&lt;='SOLLECITAZ NASCOSTO'!$P$5,'SOLLECITAZ NASCOSTO'!$P$3,'SOLLECITAZ NASCOSTO'!$P$5),'SOLLECITAZ NASCOSTO'!$P$5),'SOLLECITAZ NASCOSTO'!$P$7),'SOLLECITAZ NASCOSTO'!$P$8),'SOLLECITAZ NASCOSTO'!$P$9),'SOLLECITAZ NASCOSTO'!$P$10),'SOLLECITAZ NASCOSTO'!$P$11),'SOLLECITAZ NASCOSTO'!$P$12))/IF(C280&lt;='SOLLECITAZ NASCOSTO'!$P$12,IF(C280&lt;='SOLLECITAZ NASCOSTO'!$P$11,IF(C280&lt;='SOLLECITAZ NASCOSTO'!$P$10,IF(C280&lt;='SOLLECITAZ NASCOSTO'!$P$9,IF(C280&lt;='SOLLECITAZ NASCOSTO'!$P$8,IF(C280&lt;='SOLLECITAZ NASCOSTO'!$P$7,IF(C280&lt;='SOLLECITAZ NASCOSTO'!$P$6,IF(C280&lt;='SOLLECITAZ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slu'!$C$112)+IF(C280&lt;='SOLLECITAZ NASCOSTO'!$P$12,IF(C280&lt;='SOLLECITAZ NASCOSTO'!$P$11,IF(C280&lt;='SOLLECITAZ NASCOSTO'!$P$10,IF(C280&lt;='SOLLECITAZ NASCOSTO'!$P$9,IF(C280&lt;='SOLLECITAZ NASCOSTO'!$P$8,IF(C280&lt;='SOLLECITAZ NASCOSTO'!$P$7,IF(C280&lt;='SOLLECITAZ NASCOSTO'!$P$6,IF(C280&lt;='SOLLECITAZ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16.080872531691067</v>
      </c>
      <c r="O281" s="42">
        <f>IF(C281&lt;='SOLLECITAZ NASCOSTO'!$P$12,IF(C281&lt;='SOLLECITAZ NASCOSTO'!$P$11,IF(C281&lt;='SOLLECITAZ NASCOSTO'!$P$10,IF(C281&lt;='SOLLECITAZ NASCOSTO'!$P$9,IF(C281&lt;='SOLLECITAZ NASCOSTO'!$P$8,IF(C281&lt;='SOLLECITAZ NASCOSTO'!$P$7,IF(C281&lt;='SOLLECITAZ NASCOSTO'!$P$6,IF(C281&lt;='SOLLECITAZ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slu'!$G$111),55555)*(C281-C280)/IF(C281&lt;='SOLLECITAZ NASCOSTO'!$P$12,IF(C281&lt;='SOLLECITAZ NASCOSTO'!$P$11,IF(C281&lt;='SOLLECITAZ NASCOSTO'!$P$10,IF(C281&lt;='SOLLECITAZ NASCOSTO'!$P$9,IF(C281&lt;='SOLLECITAZ NASCOSTO'!$P$8,IF(C281&lt;='SOLLECITAZ NASCOSTO'!$P$7,IF(C281&lt;='SOLLECITAZ NASCOSTO'!$P$6,IF(C281&lt;='SOLLECITAZ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1" s="42">
        <f t="shared" si="75"/>
        <v>2.4799999999999952E-4</v>
      </c>
      <c r="Q281" s="42">
        <f t="shared" si="73"/>
        <v>1</v>
      </c>
      <c r="R281" s="441">
        <f t="shared" si="67"/>
        <v>1.705889423076923</v>
      </c>
      <c r="S281" s="46">
        <f t="shared" si="74"/>
        <v>1.705889423076923</v>
      </c>
      <c r="T281" s="211">
        <f t="shared" si="70"/>
        <v>1.644110576923077</v>
      </c>
      <c r="U281" s="46">
        <f t="shared" si="71"/>
        <v>17.291822319557873</v>
      </c>
      <c r="V281" s="46">
        <f t="shared" si="72"/>
        <v>-11.8426129137434</v>
      </c>
      <c r="W281" s="496"/>
      <c r="X281" s="497"/>
      <c r="Y281" s="497"/>
      <c r="Z281" s="498"/>
      <c r="AA281" s="47"/>
    </row>
    <row r="282" spans="1:27" s="428" customFormat="1" x14ac:dyDescent="0.25">
      <c r="A282" s="589">
        <f t="shared" si="68"/>
        <v>6.0096153844946265E-6</v>
      </c>
      <c r="B282" s="32">
        <f t="shared" si="76"/>
        <v>250</v>
      </c>
      <c r="C282" s="441">
        <f>'SOLLECITAZ NASCOSTO'!$D$6/'SOLLECITAZ NASCOSTO'!$B$448*'SOLLECITAZ NASCOSTO'!B282</f>
        <v>1.7127403846153846</v>
      </c>
      <c r="D282" s="441">
        <f t="shared" si="69"/>
        <v>0.30000600961538448</v>
      </c>
      <c r="E282" s="441">
        <f t="shared" si="63"/>
        <v>6.0096153844946265E-6</v>
      </c>
      <c r="F282" s="441">
        <f t="shared" si="64"/>
        <v>0.30000600961538448</v>
      </c>
      <c r="G282" s="441">
        <f t="shared" si="65"/>
        <v>4.5001802902673083E-2</v>
      </c>
      <c r="H282" s="441">
        <f t="shared" si="77"/>
        <v>0</v>
      </c>
      <c r="I282" s="441">
        <v>0</v>
      </c>
      <c r="J282" s="131">
        <f t="shared" si="78"/>
        <v>0.15000300480769224</v>
      </c>
      <c r="K282" s="130">
        <f t="shared" si="66"/>
        <v>2.2501352190548302E-3</v>
      </c>
      <c r="L282" s="42">
        <f t="shared" si="79"/>
        <v>17.402486386749008</v>
      </c>
      <c r="M282" s="42">
        <f t="shared" si="80"/>
        <v>-11.96145760101861</v>
      </c>
      <c r="N282" s="42">
        <f>(IF(C281&lt;='SOLLECITAZ NASCOSTO'!$P$12,IF(C281&lt;='SOLLECITAZ NASCOSTO'!$P$11,IF(C281&lt;='SOLLECITAZ NASCOSTO'!$P$10,IF(C281&lt;='SOLLECITAZ NASCOSTO'!$P$9,IF(C281&lt;='SOLLECITAZ NASCOSTO'!$P$8,IF(C281&lt;='SOLLECITAZ NASCOSTO'!$P$7,IF(C281&lt;='SOLLECITAZ NASCOSTO'!$P$6,IF(C281&lt;='SOLLECITAZ NASCOSTO'!$P$5,'Progetto del paramento slu'!$G$105,'Progetto del paramento slu'!$G$106),'Progetto del paramento slu'!$G$107),'Progetto del paramento slu'!$G$108),'Progetto del paramento slu'!$G$109),'Progetto del paramento slu'!$G$110),'Progetto del paramento slu'!$G$111),'Progetto del paramento slu'!$G$112),55555)-IF(C281&lt;='SOLLECITAZ NASCOSTO'!$P$12,IF(C281&lt;='SOLLECITAZ NASCOSTO'!$P$11,IF(C281&lt;='SOLLECITAZ NASCOSTO'!$P$10,IF(C281&lt;='SOLLECITAZ NASCOSTO'!$P$9,IF(C281&lt;='SOLLECITAZ NASCOSTO'!$P$8,IF(C281&lt;='SOLLECITAZ NASCOSTO'!$P$7,IF(C281&lt;='SOLLECITAZ NASCOSTO'!$P$6,IF(C281&lt;='SOLLECITAZ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slu'!$G$112))*(C281-IF(C281&lt;='SOLLECITAZ NASCOSTO'!$P$12,IF(C281&lt;='SOLLECITAZ NASCOSTO'!$P$11,IF(C281&lt;='SOLLECITAZ NASCOSTO'!$P$10,IF(C281&lt;='SOLLECITAZ NASCOSTO'!$P$9,IF(C281&lt;='SOLLECITAZ NASCOSTO'!$P$8,IF(C281&lt;='SOLLECITAZ NASCOSTO'!$P$7,IF(C281&lt;='SOLLECITAZ NASCOSTO'!$P$6,IF(C281&lt;='SOLLECITAZ NASCOSTO'!$P$5,'SOLLECITAZ NASCOSTO'!$P$3,'SOLLECITAZ NASCOSTO'!$P$5),'SOLLECITAZ NASCOSTO'!$P$5),'SOLLECITAZ NASCOSTO'!$P$7),'SOLLECITAZ NASCOSTO'!$P$8),'SOLLECITAZ NASCOSTO'!$P$9),'SOLLECITAZ NASCOSTO'!$P$10),'SOLLECITAZ NASCOSTO'!$P$11),'SOLLECITAZ NASCOSTO'!$P$12))/IF(C281&lt;='SOLLECITAZ NASCOSTO'!$P$12,IF(C281&lt;='SOLLECITAZ NASCOSTO'!$P$11,IF(C281&lt;='SOLLECITAZ NASCOSTO'!$P$10,IF(C281&lt;='SOLLECITAZ NASCOSTO'!$P$9,IF(C281&lt;='SOLLECITAZ NASCOSTO'!$P$8,IF(C281&lt;='SOLLECITAZ NASCOSTO'!$P$7,IF(C281&lt;='SOLLECITAZ NASCOSTO'!$P$6,IF(C281&lt;='SOLLECITAZ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slu'!$C$112)+IF(C281&lt;='SOLLECITAZ NASCOSTO'!$P$12,IF(C281&lt;='SOLLECITAZ NASCOSTO'!$P$11,IF(C281&lt;='SOLLECITAZ NASCOSTO'!$P$10,IF(C281&lt;='SOLLECITAZ NASCOSTO'!$P$9,IF(C281&lt;='SOLLECITAZ NASCOSTO'!$P$8,IF(C281&lt;='SOLLECITAZ NASCOSTO'!$P$7,IF(C281&lt;='SOLLECITAZ NASCOSTO'!$P$6,IF(C281&lt;='SOLLECITAZ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16.129004750683421</v>
      </c>
      <c r="O282" s="42">
        <f>IF(C282&lt;='SOLLECITAZ NASCOSTO'!$P$12,IF(C282&lt;='SOLLECITAZ NASCOSTO'!$P$11,IF(C282&lt;='SOLLECITAZ NASCOSTO'!$P$10,IF(C282&lt;='SOLLECITAZ NASCOSTO'!$P$9,IF(C282&lt;='SOLLECITAZ NASCOSTO'!$P$8,IF(C282&lt;='SOLLECITAZ NASCOSTO'!$P$7,IF(C282&lt;='SOLLECITAZ NASCOSTO'!$P$6,IF(C282&lt;='SOLLECITAZ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slu'!$G$111),55555)*(C282-C281)/IF(C282&lt;='SOLLECITAZ NASCOSTO'!$P$12,IF(C282&lt;='SOLLECITAZ NASCOSTO'!$P$11,IF(C282&lt;='SOLLECITAZ NASCOSTO'!$P$10,IF(C282&lt;='SOLLECITAZ NASCOSTO'!$P$9,IF(C282&lt;='SOLLECITAZ NASCOSTO'!$P$8,IF(C282&lt;='SOLLECITAZ NASCOSTO'!$P$7,IF(C282&lt;='SOLLECITAZ NASCOSTO'!$P$6,IF(C282&lt;='SOLLECITAZ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2" s="42">
        <f t="shared" si="75"/>
        <v>2.4899999999999955E-4</v>
      </c>
      <c r="Q282" s="42">
        <f t="shared" si="73"/>
        <v>1</v>
      </c>
      <c r="R282" s="441">
        <f t="shared" si="67"/>
        <v>1.7127403846153846</v>
      </c>
      <c r="S282" s="46">
        <f t="shared" si="74"/>
        <v>1.7127403846153846</v>
      </c>
      <c r="T282" s="211">
        <f t="shared" si="70"/>
        <v>1.6372596153846155</v>
      </c>
      <c r="U282" s="46">
        <f t="shared" si="71"/>
        <v>17.402486386749008</v>
      </c>
      <c r="V282" s="46">
        <f t="shared" si="72"/>
        <v>-11.96145760101861</v>
      </c>
      <c r="W282" s="496"/>
      <c r="X282" s="497"/>
      <c r="Y282" s="497"/>
      <c r="Z282" s="498"/>
      <c r="AA282" s="47"/>
    </row>
    <row r="283" spans="1:27" s="428" customFormat="1" x14ac:dyDescent="0.25">
      <c r="A283" s="589">
        <f t="shared" si="68"/>
        <v>6.0336538459937472E-6</v>
      </c>
      <c r="B283" s="32">
        <f t="shared" si="76"/>
        <v>251</v>
      </c>
      <c r="C283" s="441">
        <f>'SOLLECITAZ NASCOSTO'!$D$6/'SOLLECITAZ NASCOSTO'!$B$448*'SOLLECITAZ NASCOSTO'!B283</f>
        <v>1.7195913461538461</v>
      </c>
      <c r="D283" s="441">
        <f t="shared" si="69"/>
        <v>0.30000603365384598</v>
      </c>
      <c r="E283" s="441">
        <f t="shared" si="63"/>
        <v>6.0336538459937472E-6</v>
      </c>
      <c r="F283" s="441">
        <f t="shared" si="64"/>
        <v>0.30000603365384598</v>
      </c>
      <c r="G283" s="441">
        <f t="shared" si="65"/>
        <v>4.5001810114356285E-2</v>
      </c>
      <c r="H283" s="441">
        <f t="shared" si="77"/>
        <v>0</v>
      </c>
      <c r="I283" s="441">
        <v>0</v>
      </c>
      <c r="J283" s="131">
        <f t="shared" si="78"/>
        <v>0.15000301682692299</v>
      </c>
      <c r="K283" s="130">
        <f t="shared" si="66"/>
        <v>2.2501357599419261E-3</v>
      </c>
      <c r="L283" s="42">
        <f t="shared" si="79"/>
        <v>17.513480205921219</v>
      </c>
      <c r="M283" s="42">
        <f t="shared" si="80"/>
        <v>-12.081061573120905</v>
      </c>
      <c r="N283" s="42">
        <f>(IF(C282&lt;='SOLLECITAZ NASCOSTO'!$P$12,IF(C282&lt;='SOLLECITAZ NASCOSTO'!$P$11,IF(C282&lt;='SOLLECITAZ NASCOSTO'!$P$10,IF(C282&lt;='SOLLECITAZ NASCOSTO'!$P$9,IF(C282&lt;='SOLLECITAZ NASCOSTO'!$P$8,IF(C282&lt;='SOLLECITAZ NASCOSTO'!$P$7,IF(C282&lt;='SOLLECITAZ NASCOSTO'!$P$6,IF(C282&lt;='SOLLECITAZ NASCOSTO'!$P$5,'Progetto del paramento slu'!$G$105,'Progetto del paramento slu'!$G$106),'Progetto del paramento slu'!$G$107),'Progetto del paramento slu'!$G$108),'Progetto del paramento slu'!$G$109),'Progetto del paramento slu'!$G$110),'Progetto del paramento slu'!$G$111),'Progetto del paramento slu'!$G$112),55555)-IF(C282&lt;='SOLLECITAZ NASCOSTO'!$P$12,IF(C282&lt;='SOLLECITAZ NASCOSTO'!$P$11,IF(C282&lt;='SOLLECITAZ NASCOSTO'!$P$10,IF(C282&lt;='SOLLECITAZ NASCOSTO'!$P$9,IF(C282&lt;='SOLLECITAZ NASCOSTO'!$P$8,IF(C282&lt;='SOLLECITAZ NASCOSTO'!$P$7,IF(C282&lt;='SOLLECITAZ NASCOSTO'!$P$6,IF(C282&lt;='SOLLECITAZ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slu'!$G$112))*(C282-IF(C282&lt;='SOLLECITAZ NASCOSTO'!$P$12,IF(C282&lt;='SOLLECITAZ NASCOSTO'!$P$11,IF(C282&lt;='SOLLECITAZ NASCOSTO'!$P$10,IF(C282&lt;='SOLLECITAZ NASCOSTO'!$P$9,IF(C282&lt;='SOLLECITAZ NASCOSTO'!$P$8,IF(C282&lt;='SOLLECITAZ NASCOSTO'!$P$7,IF(C282&lt;='SOLLECITAZ NASCOSTO'!$P$6,IF(C282&lt;='SOLLECITAZ NASCOSTO'!$P$5,'SOLLECITAZ NASCOSTO'!$P$3,'SOLLECITAZ NASCOSTO'!$P$5),'SOLLECITAZ NASCOSTO'!$P$5),'SOLLECITAZ NASCOSTO'!$P$7),'SOLLECITAZ NASCOSTO'!$P$8),'SOLLECITAZ NASCOSTO'!$P$9),'SOLLECITAZ NASCOSTO'!$P$10),'SOLLECITAZ NASCOSTO'!$P$11),'SOLLECITAZ NASCOSTO'!$P$12))/IF(C282&lt;='SOLLECITAZ NASCOSTO'!$P$12,IF(C282&lt;='SOLLECITAZ NASCOSTO'!$P$11,IF(C282&lt;='SOLLECITAZ NASCOSTO'!$P$10,IF(C282&lt;='SOLLECITAZ NASCOSTO'!$P$9,IF(C282&lt;='SOLLECITAZ NASCOSTO'!$P$8,IF(C282&lt;='SOLLECITAZ NASCOSTO'!$P$7,IF(C282&lt;='SOLLECITAZ NASCOSTO'!$P$6,IF(C282&lt;='SOLLECITAZ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slu'!$C$112)+IF(C282&lt;='SOLLECITAZ NASCOSTO'!$P$12,IF(C282&lt;='SOLLECITAZ NASCOSTO'!$P$11,IF(C282&lt;='SOLLECITAZ NASCOSTO'!$P$10,IF(C282&lt;='SOLLECITAZ NASCOSTO'!$P$9,IF(C282&lt;='SOLLECITAZ NASCOSTO'!$P$8,IF(C282&lt;='SOLLECITAZ NASCOSTO'!$P$7,IF(C282&lt;='SOLLECITAZ NASCOSTO'!$P$6,IF(C282&lt;='SOLLECITAZ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16.177136969675772</v>
      </c>
      <c r="O283" s="42">
        <f>IF(C283&lt;='SOLLECITAZ NASCOSTO'!$P$12,IF(C283&lt;='SOLLECITAZ NASCOSTO'!$P$11,IF(C283&lt;='SOLLECITAZ NASCOSTO'!$P$10,IF(C283&lt;='SOLLECITAZ NASCOSTO'!$P$9,IF(C283&lt;='SOLLECITAZ NASCOSTO'!$P$8,IF(C283&lt;='SOLLECITAZ NASCOSTO'!$P$7,IF(C283&lt;='SOLLECITAZ NASCOSTO'!$P$6,IF(C283&lt;='SOLLECITAZ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slu'!$G$111),55555)*(C283-C282)/IF(C283&lt;='SOLLECITAZ NASCOSTO'!$P$12,IF(C283&lt;='SOLLECITAZ NASCOSTO'!$P$11,IF(C283&lt;='SOLLECITAZ NASCOSTO'!$P$10,IF(C283&lt;='SOLLECITAZ NASCOSTO'!$P$9,IF(C283&lt;='SOLLECITAZ NASCOSTO'!$P$8,IF(C283&lt;='SOLLECITAZ NASCOSTO'!$P$7,IF(C283&lt;='SOLLECITAZ NASCOSTO'!$P$6,IF(C283&lt;='SOLLECITAZ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3" s="42">
        <f t="shared" si="75"/>
        <v>2.4999999999999957E-4</v>
      </c>
      <c r="Q283" s="42">
        <f t="shared" si="73"/>
        <v>1</v>
      </c>
      <c r="R283" s="441">
        <f t="shared" si="67"/>
        <v>1.7195913461538461</v>
      </c>
      <c r="S283" s="46">
        <f t="shared" si="74"/>
        <v>1.7195913461538461</v>
      </c>
      <c r="T283" s="211">
        <f t="shared" si="70"/>
        <v>1.630408653846154</v>
      </c>
      <c r="U283" s="46">
        <f t="shared" si="71"/>
        <v>17.513480205921219</v>
      </c>
      <c r="V283" s="46">
        <f t="shared" si="72"/>
        <v>-12.081061573120905</v>
      </c>
      <c r="W283" s="496"/>
      <c r="X283" s="497"/>
      <c r="Y283" s="497"/>
      <c r="Z283" s="498"/>
      <c r="AA283" s="47"/>
    </row>
    <row r="284" spans="1:27" s="428" customFormat="1" x14ac:dyDescent="0.25">
      <c r="A284" s="589">
        <f t="shared" si="68"/>
        <v>6.0576923075483791E-6</v>
      </c>
      <c r="B284" s="32">
        <f t="shared" si="76"/>
        <v>252</v>
      </c>
      <c r="C284" s="441">
        <f>'SOLLECITAZ NASCOSTO'!$D$6/'SOLLECITAZ NASCOSTO'!$B$448*'SOLLECITAZ NASCOSTO'!B284</f>
        <v>1.7264423076923077</v>
      </c>
      <c r="D284" s="441">
        <f t="shared" si="69"/>
        <v>0.30000605769230754</v>
      </c>
      <c r="E284" s="441">
        <f t="shared" si="63"/>
        <v>6.0576923075483791E-6</v>
      </c>
      <c r="F284" s="441">
        <f t="shared" si="64"/>
        <v>0.30000605769230754</v>
      </c>
      <c r="G284" s="441">
        <f t="shared" si="65"/>
        <v>4.5001817326040083E-2</v>
      </c>
      <c r="H284" s="441">
        <f t="shared" si="77"/>
        <v>0</v>
      </c>
      <c r="I284" s="441">
        <v>0</v>
      </c>
      <c r="J284" s="131">
        <f t="shared" si="78"/>
        <v>0.15000302884615377</v>
      </c>
      <c r="K284" s="130">
        <f t="shared" si="66"/>
        <v>2.2501363008291106E-3</v>
      </c>
      <c r="L284" s="42">
        <f t="shared" si="79"/>
        <v>17.624803777074508</v>
      </c>
      <c r="M284" s="42">
        <f t="shared" si="80"/>
        <v>-12.201427089168426</v>
      </c>
      <c r="N284" s="42">
        <f>(IF(C283&lt;='SOLLECITAZ NASCOSTO'!$P$12,IF(C283&lt;='SOLLECITAZ NASCOSTO'!$P$11,IF(C283&lt;='SOLLECITAZ NASCOSTO'!$P$10,IF(C283&lt;='SOLLECITAZ NASCOSTO'!$P$9,IF(C283&lt;='SOLLECITAZ NASCOSTO'!$P$8,IF(C283&lt;='SOLLECITAZ NASCOSTO'!$P$7,IF(C283&lt;='SOLLECITAZ NASCOSTO'!$P$6,IF(C283&lt;='SOLLECITAZ NASCOSTO'!$P$5,'Progetto del paramento slu'!$G$105,'Progetto del paramento slu'!$G$106),'Progetto del paramento slu'!$G$107),'Progetto del paramento slu'!$G$108),'Progetto del paramento slu'!$G$109),'Progetto del paramento slu'!$G$110),'Progetto del paramento slu'!$G$111),'Progetto del paramento slu'!$G$112),55555)-IF(C283&lt;='SOLLECITAZ NASCOSTO'!$P$12,IF(C283&lt;='SOLLECITAZ NASCOSTO'!$P$11,IF(C283&lt;='SOLLECITAZ NASCOSTO'!$P$10,IF(C283&lt;='SOLLECITAZ NASCOSTO'!$P$9,IF(C283&lt;='SOLLECITAZ NASCOSTO'!$P$8,IF(C283&lt;='SOLLECITAZ NASCOSTO'!$P$7,IF(C283&lt;='SOLLECITAZ NASCOSTO'!$P$6,IF(C283&lt;='SOLLECITAZ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slu'!$G$112))*(C283-IF(C283&lt;='SOLLECITAZ NASCOSTO'!$P$12,IF(C283&lt;='SOLLECITAZ NASCOSTO'!$P$11,IF(C283&lt;='SOLLECITAZ NASCOSTO'!$P$10,IF(C283&lt;='SOLLECITAZ NASCOSTO'!$P$9,IF(C283&lt;='SOLLECITAZ NASCOSTO'!$P$8,IF(C283&lt;='SOLLECITAZ NASCOSTO'!$P$7,IF(C283&lt;='SOLLECITAZ NASCOSTO'!$P$6,IF(C283&lt;='SOLLECITAZ NASCOSTO'!$P$5,'SOLLECITAZ NASCOSTO'!$P$3,'SOLLECITAZ NASCOSTO'!$P$5),'SOLLECITAZ NASCOSTO'!$P$5),'SOLLECITAZ NASCOSTO'!$P$7),'SOLLECITAZ NASCOSTO'!$P$8),'SOLLECITAZ NASCOSTO'!$P$9),'SOLLECITAZ NASCOSTO'!$P$10),'SOLLECITAZ NASCOSTO'!$P$11),'SOLLECITAZ NASCOSTO'!$P$12))/IF(C283&lt;='SOLLECITAZ NASCOSTO'!$P$12,IF(C283&lt;='SOLLECITAZ NASCOSTO'!$P$11,IF(C283&lt;='SOLLECITAZ NASCOSTO'!$P$10,IF(C283&lt;='SOLLECITAZ NASCOSTO'!$P$9,IF(C283&lt;='SOLLECITAZ NASCOSTO'!$P$8,IF(C283&lt;='SOLLECITAZ NASCOSTO'!$P$7,IF(C283&lt;='SOLLECITAZ NASCOSTO'!$P$6,IF(C283&lt;='SOLLECITAZ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slu'!$C$112)+IF(C283&lt;='SOLLECITAZ NASCOSTO'!$P$12,IF(C283&lt;='SOLLECITAZ NASCOSTO'!$P$11,IF(C283&lt;='SOLLECITAZ NASCOSTO'!$P$10,IF(C283&lt;='SOLLECITAZ NASCOSTO'!$P$9,IF(C283&lt;='SOLLECITAZ NASCOSTO'!$P$8,IF(C283&lt;='SOLLECITAZ NASCOSTO'!$P$7,IF(C283&lt;='SOLLECITAZ NASCOSTO'!$P$6,IF(C283&lt;='SOLLECITAZ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16.225269188668122</v>
      </c>
      <c r="O284" s="42">
        <f>IF(C284&lt;='SOLLECITAZ NASCOSTO'!$P$12,IF(C284&lt;='SOLLECITAZ NASCOSTO'!$P$11,IF(C284&lt;='SOLLECITAZ NASCOSTO'!$P$10,IF(C284&lt;='SOLLECITAZ NASCOSTO'!$P$9,IF(C284&lt;='SOLLECITAZ NASCOSTO'!$P$8,IF(C284&lt;='SOLLECITAZ NASCOSTO'!$P$7,IF(C284&lt;='SOLLECITAZ NASCOSTO'!$P$6,IF(C284&lt;='SOLLECITAZ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slu'!$G$111),55555)*(C284-C283)/IF(C284&lt;='SOLLECITAZ NASCOSTO'!$P$12,IF(C284&lt;='SOLLECITAZ NASCOSTO'!$P$11,IF(C284&lt;='SOLLECITAZ NASCOSTO'!$P$10,IF(C284&lt;='SOLLECITAZ NASCOSTO'!$P$9,IF(C284&lt;='SOLLECITAZ NASCOSTO'!$P$8,IF(C284&lt;='SOLLECITAZ NASCOSTO'!$P$7,IF(C284&lt;='SOLLECITAZ NASCOSTO'!$P$6,IF(C284&lt;='SOLLECITAZ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4" s="42">
        <f t="shared" si="75"/>
        <v>2.509999999999996E-4</v>
      </c>
      <c r="Q284" s="42">
        <f t="shared" si="73"/>
        <v>1</v>
      </c>
      <c r="R284" s="441">
        <f t="shared" si="67"/>
        <v>1.7264423076923077</v>
      </c>
      <c r="S284" s="46">
        <f t="shared" si="74"/>
        <v>1.7264423076923077</v>
      </c>
      <c r="T284" s="211">
        <f t="shared" si="70"/>
        <v>1.6235576923076924</v>
      </c>
      <c r="U284" s="46">
        <f t="shared" si="71"/>
        <v>17.624803777074508</v>
      </c>
      <c r="V284" s="46">
        <f t="shared" si="72"/>
        <v>-12.201427089168426</v>
      </c>
      <c r="W284" s="496"/>
      <c r="X284" s="497"/>
      <c r="Y284" s="497"/>
      <c r="Z284" s="498"/>
      <c r="AA284" s="47"/>
    </row>
    <row r="285" spans="1:27" s="428" customFormat="1" x14ac:dyDescent="0.25">
      <c r="A285" s="589">
        <f t="shared" si="68"/>
        <v>6.0817307691030109E-6</v>
      </c>
      <c r="B285" s="32">
        <f t="shared" si="76"/>
        <v>253</v>
      </c>
      <c r="C285" s="441">
        <f>'SOLLECITAZ NASCOSTO'!$D$6/'SOLLECITAZ NASCOSTO'!$B$448*'SOLLECITAZ NASCOSTO'!B285</f>
        <v>1.7332932692307692</v>
      </c>
      <c r="D285" s="441">
        <f t="shared" si="69"/>
        <v>0.30000608173076909</v>
      </c>
      <c r="E285" s="441">
        <f t="shared" si="63"/>
        <v>6.0817307691030109E-6</v>
      </c>
      <c r="F285" s="441">
        <f t="shared" si="64"/>
        <v>0.30000608173076909</v>
      </c>
      <c r="G285" s="441">
        <f t="shared" si="65"/>
        <v>4.5001824537724451E-2</v>
      </c>
      <c r="H285" s="441">
        <f t="shared" si="77"/>
        <v>0</v>
      </c>
      <c r="I285" s="441">
        <v>0</v>
      </c>
      <c r="J285" s="131">
        <f t="shared" si="78"/>
        <v>0.15000304086538455</v>
      </c>
      <c r="K285" s="130">
        <f t="shared" si="66"/>
        <v>2.2501368417163822E-3</v>
      </c>
      <c r="L285" s="42">
        <f t="shared" si="79"/>
        <v>17.736457100208874</v>
      </c>
      <c r="M285" s="42">
        <f t="shared" si="80"/>
        <v>-12.322556408279313</v>
      </c>
      <c r="N285" s="42">
        <f>(IF(C284&lt;='SOLLECITAZ NASCOSTO'!$P$12,IF(C284&lt;='SOLLECITAZ NASCOSTO'!$P$11,IF(C284&lt;='SOLLECITAZ NASCOSTO'!$P$10,IF(C284&lt;='SOLLECITAZ NASCOSTO'!$P$9,IF(C284&lt;='SOLLECITAZ NASCOSTO'!$P$8,IF(C284&lt;='SOLLECITAZ NASCOSTO'!$P$7,IF(C284&lt;='SOLLECITAZ NASCOSTO'!$P$6,IF(C284&lt;='SOLLECITAZ NASCOSTO'!$P$5,'Progetto del paramento slu'!$G$105,'Progetto del paramento slu'!$G$106),'Progetto del paramento slu'!$G$107),'Progetto del paramento slu'!$G$108),'Progetto del paramento slu'!$G$109),'Progetto del paramento slu'!$G$110),'Progetto del paramento slu'!$G$111),'Progetto del paramento slu'!$G$112),55555)-IF(C284&lt;='SOLLECITAZ NASCOSTO'!$P$12,IF(C284&lt;='SOLLECITAZ NASCOSTO'!$P$11,IF(C284&lt;='SOLLECITAZ NASCOSTO'!$P$10,IF(C284&lt;='SOLLECITAZ NASCOSTO'!$P$9,IF(C284&lt;='SOLLECITAZ NASCOSTO'!$P$8,IF(C284&lt;='SOLLECITAZ NASCOSTO'!$P$7,IF(C284&lt;='SOLLECITAZ NASCOSTO'!$P$6,IF(C284&lt;='SOLLECITAZ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slu'!$G$112))*(C284-IF(C284&lt;='SOLLECITAZ NASCOSTO'!$P$12,IF(C284&lt;='SOLLECITAZ NASCOSTO'!$P$11,IF(C284&lt;='SOLLECITAZ NASCOSTO'!$P$10,IF(C284&lt;='SOLLECITAZ NASCOSTO'!$P$9,IF(C284&lt;='SOLLECITAZ NASCOSTO'!$P$8,IF(C284&lt;='SOLLECITAZ NASCOSTO'!$P$7,IF(C284&lt;='SOLLECITAZ NASCOSTO'!$P$6,IF(C284&lt;='SOLLECITAZ NASCOSTO'!$P$5,'SOLLECITAZ NASCOSTO'!$P$3,'SOLLECITAZ NASCOSTO'!$P$5),'SOLLECITAZ NASCOSTO'!$P$5),'SOLLECITAZ NASCOSTO'!$P$7),'SOLLECITAZ NASCOSTO'!$P$8),'SOLLECITAZ NASCOSTO'!$P$9),'SOLLECITAZ NASCOSTO'!$P$10),'SOLLECITAZ NASCOSTO'!$P$11),'SOLLECITAZ NASCOSTO'!$P$12))/IF(C284&lt;='SOLLECITAZ NASCOSTO'!$P$12,IF(C284&lt;='SOLLECITAZ NASCOSTO'!$P$11,IF(C284&lt;='SOLLECITAZ NASCOSTO'!$P$10,IF(C284&lt;='SOLLECITAZ NASCOSTO'!$P$9,IF(C284&lt;='SOLLECITAZ NASCOSTO'!$P$8,IF(C284&lt;='SOLLECITAZ NASCOSTO'!$P$7,IF(C284&lt;='SOLLECITAZ NASCOSTO'!$P$6,IF(C284&lt;='SOLLECITAZ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slu'!$C$112)+IF(C284&lt;='SOLLECITAZ NASCOSTO'!$P$12,IF(C284&lt;='SOLLECITAZ NASCOSTO'!$P$11,IF(C284&lt;='SOLLECITAZ NASCOSTO'!$P$10,IF(C284&lt;='SOLLECITAZ NASCOSTO'!$P$9,IF(C284&lt;='SOLLECITAZ NASCOSTO'!$P$8,IF(C284&lt;='SOLLECITAZ NASCOSTO'!$P$7,IF(C284&lt;='SOLLECITAZ NASCOSTO'!$P$6,IF(C284&lt;='SOLLECITAZ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16.273401407660476</v>
      </c>
      <c r="O285" s="42">
        <f>IF(C285&lt;='SOLLECITAZ NASCOSTO'!$P$12,IF(C285&lt;='SOLLECITAZ NASCOSTO'!$P$11,IF(C285&lt;='SOLLECITAZ NASCOSTO'!$P$10,IF(C285&lt;='SOLLECITAZ NASCOSTO'!$P$9,IF(C285&lt;='SOLLECITAZ NASCOSTO'!$P$8,IF(C285&lt;='SOLLECITAZ NASCOSTO'!$P$7,IF(C285&lt;='SOLLECITAZ NASCOSTO'!$P$6,IF(C285&lt;='SOLLECITAZ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slu'!$G$111),55555)*(C285-C284)/IF(C285&lt;='SOLLECITAZ NASCOSTO'!$P$12,IF(C285&lt;='SOLLECITAZ NASCOSTO'!$P$11,IF(C285&lt;='SOLLECITAZ NASCOSTO'!$P$10,IF(C285&lt;='SOLLECITAZ NASCOSTO'!$P$9,IF(C285&lt;='SOLLECITAZ NASCOSTO'!$P$8,IF(C285&lt;='SOLLECITAZ NASCOSTO'!$P$7,IF(C285&lt;='SOLLECITAZ NASCOSTO'!$P$6,IF(C285&lt;='SOLLECITAZ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5" s="42">
        <f t="shared" si="75"/>
        <v>2.5199999999999962E-4</v>
      </c>
      <c r="Q285" s="42">
        <f t="shared" si="73"/>
        <v>1</v>
      </c>
      <c r="R285" s="441">
        <f t="shared" si="67"/>
        <v>1.7332932692307692</v>
      </c>
      <c r="S285" s="46">
        <f t="shared" si="74"/>
        <v>1.7332932692307692</v>
      </c>
      <c r="T285" s="211">
        <f t="shared" si="70"/>
        <v>1.6167067307692309</v>
      </c>
      <c r="U285" s="46">
        <f t="shared" si="71"/>
        <v>17.736457100208874</v>
      </c>
      <c r="V285" s="46">
        <f t="shared" si="72"/>
        <v>-12.322556408279313</v>
      </c>
      <c r="W285" s="496"/>
      <c r="X285" s="497"/>
      <c r="Y285" s="497"/>
      <c r="Z285" s="498"/>
      <c r="AA285" s="47"/>
    </row>
    <row r="286" spans="1:27" s="428" customFormat="1" x14ac:dyDescent="0.25">
      <c r="A286" s="589">
        <f t="shared" si="68"/>
        <v>6.1057692306576428E-6</v>
      </c>
      <c r="B286" s="32">
        <f t="shared" si="76"/>
        <v>254</v>
      </c>
      <c r="C286" s="441">
        <f>'SOLLECITAZ NASCOSTO'!$D$6/'SOLLECITAZ NASCOSTO'!$B$448*'SOLLECITAZ NASCOSTO'!B286</f>
        <v>1.7401442307692307</v>
      </c>
      <c r="D286" s="441">
        <f t="shared" si="69"/>
        <v>0.30000610576923065</v>
      </c>
      <c r="E286" s="441">
        <f t="shared" si="63"/>
        <v>6.1057692306576428E-6</v>
      </c>
      <c r="F286" s="441">
        <f t="shared" si="64"/>
        <v>0.30000610576923065</v>
      </c>
      <c r="G286" s="441">
        <f t="shared" si="65"/>
        <v>4.5001831749409402E-2</v>
      </c>
      <c r="H286" s="441">
        <f t="shared" si="77"/>
        <v>0</v>
      </c>
      <c r="I286" s="441">
        <v>0</v>
      </c>
      <c r="J286" s="131">
        <f t="shared" si="78"/>
        <v>0.15000305288461532</v>
      </c>
      <c r="K286" s="130">
        <f t="shared" si="66"/>
        <v>2.2501373826037396E-3</v>
      </c>
      <c r="L286" s="42">
        <f t="shared" si="79"/>
        <v>17.848440175324317</v>
      </c>
      <c r="M286" s="42">
        <f t="shared" si="80"/>
        <v>-12.444451789571705</v>
      </c>
      <c r="N286" s="42">
        <f>(IF(C285&lt;='SOLLECITAZ NASCOSTO'!$P$12,IF(C285&lt;='SOLLECITAZ NASCOSTO'!$P$11,IF(C285&lt;='SOLLECITAZ NASCOSTO'!$P$10,IF(C285&lt;='SOLLECITAZ NASCOSTO'!$P$9,IF(C285&lt;='SOLLECITAZ NASCOSTO'!$P$8,IF(C285&lt;='SOLLECITAZ NASCOSTO'!$P$7,IF(C285&lt;='SOLLECITAZ NASCOSTO'!$P$6,IF(C285&lt;='SOLLECITAZ NASCOSTO'!$P$5,'Progetto del paramento slu'!$G$105,'Progetto del paramento slu'!$G$106),'Progetto del paramento slu'!$G$107),'Progetto del paramento slu'!$G$108),'Progetto del paramento slu'!$G$109),'Progetto del paramento slu'!$G$110),'Progetto del paramento slu'!$G$111),'Progetto del paramento slu'!$G$112),55555)-IF(C285&lt;='SOLLECITAZ NASCOSTO'!$P$12,IF(C285&lt;='SOLLECITAZ NASCOSTO'!$P$11,IF(C285&lt;='SOLLECITAZ NASCOSTO'!$P$10,IF(C285&lt;='SOLLECITAZ NASCOSTO'!$P$9,IF(C285&lt;='SOLLECITAZ NASCOSTO'!$P$8,IF(C285&lt;='SOLLECITAZ NASCOSTO'!$P$7,IF(C285&lt;='SOLLECITAZ NASCOSTO'!$P$6,IF(C285&lt;='SOLLECITAZ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slu'!$G$112))*(C285-IF(C285&lt;='SOLLECITAZ NASCOSTO'!$P$12,IF(C285&lt;='SOLLECITAZ NASCOSTO'!$P$11,IF(C285&lt;='SOLLECITAZ NASCOSTO'!$P$10,IF(C285&lt;='SOLLECITAZ NASCOSTO'!$P$9,IF(C285&lt;='SOLLECITAZ NASCOSTO'!$P$8,IF(C285&lt;='SOLLECITAZ NASCOSTO'!$P$7,IF(C285&lt;='SOLLECITAZ NASCOSTO'!$P$6,IF(C285&lt;='SOLLECITAZ NASCOSTO'!$P$5,'SOLLECITAZ NASCOSTO'!$P$3,'SOLLECITAZ NASCOSTO'!$P$5),'SOLLECITAZ NASCOSTO'!$P$5),'SOLLECITAZ NASCOSTO'!$P$7),'SOLLECITAZ NASCOSTO'!$P$8),'SOLLECITAZ NASCOSTO'!$P$9),'SOLLECITAZ NASCOSTO'!$P$10),'SOLLECITAZ NASCOSTO'!$P$11),'SOLLECITAZ NASCOSTO'!$P$12))/IF(C285&lt;='SOLLECITAZ NASCOSTO'!$P$12,IF(C285&lt;='SOLLECITAZ NASCOSTO'!$P$11,IF(C285&lt;='SOLLECITAZ NASCOSTO'!$P$10,IF(C285&lt;='SOLLECITAZ NASCOSTO'!$P$9,IF(C285&lt;='SOLLECITAZ NASCOSTO'!$P$8,IF(C285&lt;='SOLLECITAZ NASCOSTO'!$P$7,IF(C285&lt;='SOLLECITAZ NASCOSTO'!$P$6,IF(C285&lt;='SOLLECITAZ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slu'!$C$112)+IF(C285&lt;='SOLLECITAZ NASCOSTO'!$P$12,IF(C285&lt;='SOLLECITAZ NASCOSTO'!$P$11,IF(C285&lt;='SOLLECITAZ NASCOSTO'!$P$10,IF(C285&lt;='SOLLECITAZ NASCOSTO'!$P$9,IF(C285&lt;='SOLLECITAZ NASCOSTO'!$P$8,IF(C285&lt;='SOLLECITAZ NASCOSTO'!$P$7,IF(C285&lt;='SOLLECITAZ NASCOSTO'!$P$6,IF(C285&lt;='SOLLECITAZ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16.32153362665283</v>
      </c>
      <c r="O286" s="42">
        <f>IF(C286&lt;='SOLLECITAZ NASCOSTO'!$P$12,IF(C286&lt;='SOLLECITAZ NASCOSTO'!$P$11,IF(C286&lt;='SOLLECITAZ NASCOSTO'!$P$10,IF(C286&lt;='SOLLECITAZ NASCOSTO'!$P$9,IF(C286&lt;='SOLLECITAZ NASCOSTO'!$P$8,IF(C286&lt;='SOLLECITAZ NASCOSTO'!$P$7,IF(C286&lt;='SOLLECITAZ NASCOSTO'!$P$6,IF(C286&lt;='SOLLECITAZ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slu'!$G$111),55555)*(C286-C285)/IF(C286&lt;='SOLLECITAZ NASCOSTO'!$P$12,IF(C286&lt;='SOLLECITAZ NASCOSTO'!$P$11,IF(C286&lt;='SOLLECITAZ NASCOSTO'!$P$10,IF(C286&lt;='SOLLECITAZ NASCOSTO'!$P$9,IF(C286&lt;='SOLLECITAZ NASCOSTO'!$P$8,IF(C286&lt;='SOLLECITAZ NASCOSTO'!$P$7,IF(C286&lt;='SOLLECITAZ NASCOSTO'!$P$6,IF(C286&lt;='SOLLECITAZ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6" s="42">
        <f t="shared" si="75"/>
        <v>2.5299999999999964E-4</v>
      </c>
      <c r="Q286" s="42">
        <f t="shared" si="73"/>
        <v>1</v>
      </c>
      <c r="R286" s="441">
        <f t="shared" si="67"/>
        <v>1.7401442307692307</v>
      </c>
      <c r="S286" s="46">
        <f t="shared" si="74"/>
        <v>1.7401442307692307</v>
      </c>
      <c r="T286" s="211">
        <f t="shared" si="70"/>
        <v>1.6098557692307693</v>
      </c>
      <c r="U286" s="46">
        <f t="shared" si="71"/>
        <v>17.848440175324317</v>
      </c>
      <c r="V286" s="46">
        <f t="shared" si="72"/>
        <v>-12.444451789571705</v>
      </c>
      <c r="W286" s="496"/>
      <c r="X286" s="497"/>
      <c r="Y286" s="497"/>
      <c r="Z286" s="498"/>
      <c r="AA286" s="47"/>
    </row>
    <row r="287" spans="1:27" s="428" customFormat="1" x14ac:dyDescent="0.25">
      <c r="A287" s="589">
        <f t="shared" si="68"/>
        <v>6.1298076921567635E-6</v>
      </c>
      <c r="B287" s="32">
        <f t="shared" si="76"/>
        <v>255</v>
      </c>
      <c r="C287" s="441">
        <f>'SOLLECITAZ NASCOSTO'!$D$6/'SOLLECITAZ NASCOSTO'!$B$448*'SOLLECITAZ NASCOSTO'!B287</f>
        <v>1.7469951923076923</v>
      </c>
      <c r="D287" s="441">
        <f t="shared" si="69"/>
        <v>0.30000612980769215</v>
      </c>
      <c r="E287" s="441">
        <f t="shared" si="63"/>
        <v>6.1298076921567635E-6</v>
      </c>
      <c r="F287" s="441">
        <f t="shared" si="64"/>
        <v>0.30000612980769215</v>
      </c>
      <c r="G287" s="441">
        <f t="shared" si="65"/>
        <v>4.5001838961094914E-2</v>
      </c>
      <c r="H287" s="441">
        <f t="shared" si="77"/>
        <v>0</v>
      </c>
      <c r="I287" s="441">
        <v>0</v>
      </c>
      <c r="J287" s="131">
        <f t="shared" si="78"/>
        <v>0.15000306490384607</v>
      </c>
      <c r="K287" s="130">
        <f t="shared" si="66"/>
        <v>2.2501379234911834E-3</v>
      </c>
      <c r="L287" s="42">
        <f t="shared" si="79"/>
        <v>17.960753002420837</v>
      </c>
      <c r="M287" s="42">
        <f t="shared" si="80"/>
        <v>-12.56711549216374</v>
      </c>
      <c r="N287" s="42">
        <f>(IF(C286&lt;='SOLLECITAZ NASCOSTO'!$P$12,IF(C286&lt;='SOLLECITAZ NASCOSTO'!$P$11,IF(C286&lt;='SOLLECITAZ NASCOSTO'!$P$10,IF(C286&lt;='SOLLECITAZ NASCOSTO'!$P$9,IF(C286&lt;='SOLLECITAZ NASCOSTO'!$P$8,IF(C286&lt;='SOLLECITAZ NASCOSTO'!$P$7,IF(C286&lt;='SOLLECITAZ NASCOSTO'!$P$6,IF(C286&lt;='SOLLECITAZ NASCOSTO'!$P$5,'Progetto del paramento slu'!$G$105,'Progetto del paramento slu'!$G$106),'Progetto del paramento slu'!$G$107),'Progetto del paramento slu'!$G$108),'Progetto del paramento slu'!$G$109),'Progetto del paramento slu'!$G$110),'Progetto del paramento slu'!$G$111),'Progetto del paramento slu'!$G$112),55555)-IF(C286&lt;='SOLLECITAZ NASCOSTO'!$P$12,IF(C286&lt;='SOLLECITAZ NASCOSTO'!$P$11,IF(C286&lt;='SOLLECITAZ NASCOSTO'!$P$10,IF(C286&lt;='SOLLECITAZ NASCOSTO'!$P$9,IF(C286&lt;='SOLLECITAZ NASCOSTO'!$P$8,IF(C286&lt;='SOLLECITAZ NASCOSTO'!$P$7,IF(C286&lt;='SOLLECITAZ NASCOSTO'!$P$6,IF(C286&lt;='SOLLECITAZ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slu'!$G$112))*(C286-IF(C286&lt;='SOLLECITAZ NASCOSTO'!$P$12,IF(C286&lt;='SOLLECITAZ NASCOSTO'!$P$11,IF(C286&lt;='SOLLECITAZ NASCOSTO'!$P$10,IF(C286&lt;='SOLLECITAZ NASCOSTO'!$P$9,IF(C286&lt;='SOLLECITAZ NASCOSTO'!$P$8,IF(C286&lt;='SOLLECITAZ NASCOSTO'!$P$7,IF(C286&lt;='SOLLECITAZ NASCOSTO'!$P$6,IF(C286&lt;='SOLLECITAZ NASCOSTO'!$P$5,'SOLLECITAZ NASCOSTO'!$P$3,'SOLLECITAZ NASCOSTO'!$P$5),'SOLLECITAZ NASCOSTO'!$P$5),'SOLLECITAZ NASCOSTO'!$P$7),'SOLLECITAZ NASCOSTO'!$P$8),'SOLLECITAZ NASCOSTO'!$P$9),'SOLLECITAZ NASCOSTO'!$P$10),'SOLLECITAZ NASCOSTO'!$P$11),'SOLLECITAZ NASCOSTO'!$P$12))/IF(C286&lt;='SOLLECITAZ NASCOSTO'!$P$12,IF(C286&lt;='SOLLECITAZ NASCOSTO'!$P$11,IF(C286&lt;='SOLLECITAZ NASCOSTO'!$P$10,IF(C286&lt;='SOLLECITAZ NASCOSTO'!$P$9,IF(C286&lt;='SOLLECITAZ NASCOSTO'!$P$8,IF(C286&lt;='SOLLECITAZ NASCOSTO'!$P$7,IF(C286&lt;='SOLLECITAZ NASCOSTO'!$P$6,IF(C286&lt;='SOLLECITAZ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slu'!$C$112)+IF(C286&lt;='SOLLECITAZ NASCOSTO'!$P$12,IF(C286&lt;='SOLLECITAZ NASCOSTO'!$P$11,IF(C286&lt;='SOLLECITAZ NASCOSTO'!$P$10,IF(C286&lt;='SOLLECITAZ NASCOSTO'!$P$9,IF(C286&lt;='SOLLECITAZ NASCOSTO'!$P$8,IF(C286&lt;='SOLLECITAZ NASCOSTO'!$P$7,IF(C286&lt;='SOLLECITAZ NASCOSTO'!$P$6,IF(C286&lt;='SOLLECITAZ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16.36966584564518</v>
      </c>
      <c r="O287" s="42">
        <f>IF(C287&lt;='SOLLECITAZ NASCOSTO'!$P$12,IF(C287&lt;='SOLLECITAZ NASCOSTO'!$P$11,IF(C287&lt;='SOLLECITAZ NASCOSTO'!$P$10,IF(C287&lt;='SOLLECITAZ NASCOSTO'!$P$9,IF(C287&lt;='SOLLECITAZ NASCOSTO'!$P$8,IF(C287&lt;='SOLLECITAZ NASCOSTO'!$P$7,IF(C287&lt;='SOLLECITAZ NASCOSTO'!$P$6,IF(C287&lt;='SOLLECITAZ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slu'!$G$111),55555)*(C287-C286)/IF(C287&lt;='SOLLECITAZ NASCOSTO'!$P$12,IF(C287&lt;='SOLLECITAZ NASCOSTO'!$P$11,IF(C287&lt;='SOLLECITAZ NASCOSTO'!$P$10,IF(C287&lt;='SOLLECITAZ NASCOSTO'!$P$9,IF(C287&lt;='SOLLECITAZ NASCOSTO'!$P$8,IF(C287&lt;='SOLLECITAZ NASCOSTO'!$P$7,IF(C287&lt;='SOLLECITAZ NASCOSTO'!$P$6,IF(C287&lt;='SOLLECITAZ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7" s="42">
        <f t="shared" si="75"/>
        <v>2.5399999999999967E-4</v>
      </c>
      <c r="Q287" s="42">
        <f t="shared" si="73"/>
        <v>1</v>
      </c>
      <c r="R287" s="441">
        <f t="shared" si="67"/>
        <v>1.7469951923076923</v>
      </c>
      <c r="S287" s="46">
        <f t="shared" si="74"/>
        <v>1.7469951923076923</v>
      </c>
      <c r="T287" s="211">
        <f t="shared" si="70"/>
        <v>1.6030048076923078</v>
      </c>
      <c r="U287" s="46">
        <f t="shared" si="71"/>
        <v>17.960753002420837</v>
      </c>
      <c r="V287" s="46">
        <f t="shared" si="72"/>
        <v>-12.56711549216374</v>
      </c>
      <c r="W287" s="496"/>
      <c r="X287" s="497"/>
      <c r="Y287" s="497"/>
      <c r="Z287" s="498"/>
      <c r="AA287" s="47"/>
    </row>
    <row r="288" spans="1:27" s="428" customFormat="1" x14ac:dyDescent="0.25">
      <c r="A288" s="589">
        <f t="shared" si="68"/>
        <v>6.1538461537113953E-6</v>
      </c>
      <c r="B288" s="32">
        <f t="shared" si="76"/>
        <v>256</v>
      </c>
      <c r="C288" s="441">
        <f>'SOLLECITAZ NASCOSTO'!$D$6/'SOLLECITAZ NASCOSTO'!$B$448*'SOLLECITAZ NASCOSTO'!B288</f>
        <v>1.7538461538461538</v>
      </c>
      <c r="D288" s="441">
        <f t="shared" si="69"/>
        <v>0.3000061538461537</v>
      </c>
      <c r="E288" s="441">
        <f t="shared" ref="E288:E351" si="81">D288-$D$9</f>
        <v>6.1538461537113953E-6</v>
      </c>
      <c r="F288" s="441">
        <f t="shared" ref="F288:F351" si="82">E288*$D$12*$D$11+$D$8*$D$9</f>
        <v>0.3000061538461537</v>
      </c>
      <c r="G288" s="441">
        <f t="shared" ref="G288:G351" si="83">$D$12*E288*$D$11*($D$9+E288/2)+$D$9*$D$8*$D$9/2</f>
        <v>4.5001846172781024E-2</v>
      </c>
      <c r="H288" s="441">
        <f t="shared" si="77"/>
        <v>0</v>
      </c>
      <c r="I288" s="441">
        <v>0</v>
      </c>
      <c r="J288" s="131">
        <f t="shared" si="78"/>
        <v>0.15000307692307685</v>
      </c>
      <c r="K288" s="130">
        <f t="shared" ref="K288:K351" si="84">$D$8*$D$9^3/12+$D$8*$D$9*(J288-$D$9/2)^2+$D$11*$D$12*(J288-$D$9)^3/3+$D$11*$D$12*(E288-(J288-$D$9))^3/3</f>
        <v>2.2501384643787148E-3</v>
      </c>
      <c r="L288" s="42">
        <f t="shared" si="79"/>
        <v>18.073395581498435</v>
      </c>
      <c r="M288" s="42">
        <f t="shared" si="80"/>
        <v>-12.69054977517356</v>
      </c>
      <c r="N288" s="42">
        <f>(IF(C287&lt;='SOLLECITAZ NASCOSTO'!$P$12,IF(C287&lt;='SOLLECITAZ NASCOSTO'!$P$11,IF(C287&lt;='SOLLECITAZ NASCOSTO'!$P$10,IF(C287&lt;='SOLLECITAZ NASCOSTO'!$P$9,IF(C287&lt;='SOLLECITAZ NASCOSTO'!$P$8,IF(C287&lt;='SOLLECITAZ NASCOSTO'!$P$7,IF(C287&lt;='SOLLECITAZ NASCOSTO'!$P$6,IF(C287&lt;='SOLLECITAZ NASCOSTO'!$P$5,'Progetto del paramento slu'!$G$105,'Progetto del paramento slu'!$G$106),'Progetto del paramento slu'!$G$107),'Progetto del paramento slu'!$G$108),'Progetto del paramento slu'!$G$109),'Progetto del paramento slu'!$G$110),'Progetto del paramento slu'!$G$111),'Progetto del paramento slu'!$G$112),55555)-IF(C287&lt;='SOLLECITAZ NASCOSTO'!$P$12,IF(C287&lt;='SOLLECITAZ NASCOSTO'!$P$11,IF(C287&lt;='SOLLECITAZ NASCOSTO'!$P$10,IF(C287&lt;='SOLLECITAZ NASCOSTO'!$P$9,IF(C287&lt;='SOLLECITAZ NASCOSTO'!$P$8,IF(C287&lt;='SOLLECITAZ NASCOSTO'!$P$7,IF(C287&lt;='SOLLECITAZ NASCOSTO'!$P$6,IF(C287&lt;='SOLLECITAZ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slu'!$G$112))*(C287-IF(C287&lt;='SOLLECITAZ NASCOSTO'!$P$12,IF(C287&lt;='SOLLECITAZ NASCOSTO'!$P$11,IF(C287&lt;='SOLLECITAZ NASCOSTO'!$P$10,IF(C287&lt;='SOLLECITAZ NASCOSTO'!$P$9,IF(C287&lt;='SOLLECITAZ NASCOSTO'!$P$8,IF(C287&lt;='SOLLECITAZ NASCOSTO'!$P$7,IF(C287&lt;='SOLLECITAZ NASCOSTO'!$P$6,IF(C287&lt;='SOLLECITAZ NASCOSTO'!$P$5,'SOLLECITAZ NASCOSTO'!$P$3,'SOLLECITAZ NASCOSTO'!$P$5),'SOLLECITAZ NASCOSTO'!$P$5),'SOLLECITAZ NASCOSTO'!$P$7),'SOLLECITAZ NASCOSTO'!$P$8),'SOLLECITAZ NASCOSTO'!$P$9),'SOLLECITAZ NASCOSTO'!$P$10),'SOLLECITAZ NASCOSTO'!$P$11),'SOLLECITAZ NASCOSTO'!$P$12))/IF(C287&lt;='SOLLECITAZ NASCOSTO'!$P$12,IF(C287&lt;='SOLLECITAZ NASCOSTO'!$P$11,IF(C287&lt;='SOLLECITAZ NASCOSTO'!$P$10,IF(C287&lt;='SOLLECITAZ NASCOSTO'!$P$9,IF(C287&lt;='SOLLECITAZ NASCOSTO'!$P$8,IF(C287&lt;='SOLLECITAZ NASCOSTO'!$P$7,IF(C287&lt;='SOLLECITAZ NASCOSTO'!$P$6,IF(C287&lt;='SOLLECITAZ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slu'!$C$112)+IF(C287&lt;='SOLLECITAZ NASCOSTO'!$P$12,IF(C287&lt;='SOLLECITAZ NASCOSTO'!$P$11,IF(C287&lt;='SOLLECITAZ NASCOSTO'!$P$10,IF(C287&lt;='SOLLECITAZ NASCOSTO'!$P$9,IF(C287&lt;='SOLLECITAZ NASCOSTO'!$P$8,IF(C287&lt;='SOLLECITAZ NASCOSTO'!$P$7,IF(C287&lt;='SOLLECITAZ NASCOSTO'!$P$6,IF(C287&lt;='SOLLECITAZ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16.417798064637537</v>
      </c>
      <c r="O288" s="42">
        <f>IF(C288&lt;='SOLLECITAZ NASCOSTO'!$P$12,IF(C288&lt;='SOLLECITAZ NASCOSTO'!$P$11,IF(C288&lt;='SOLLECITAZ NASCOSTO'!$P$10,IF(C288&lt;='SOLLECITAZ NASCOSTO'!$P$9,IF(C288&lt;='SOLLECITAZ NASCOSTO'!$P$8,IF(C288&lt;='SOLLECITAZ NASCOSTO'!$P$7,IF(C288&lt;='SOLLECITAZ NASCOSTO'!$P$6,IF(C288&lt;='SOLLECITAZ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slu'!$G$111),55555)*(C288-C287)/IF(C288&lt;='SOLLECITAZ NASCOSTO'!$P$12,IF(C288&lt;='SOLLECITAZ NASCOSTO'!$P$11,IF(C288&lt;='SOLLECITAZ NASCOSTO'!$P$10,IF(C288&lt;='SOLLECITAZ NASCOSTO'!$P$9,IF(C288&lt;='SOLLECITAZ NASCOSTO'!$P$8,IF(C288&lt;='SOLLECITAZ NASCOSTO'!$P$7,IF(C288&lt;='SOLLECITAZ NASCOSTO'!$P$6,IF(C288&lt;='SOLLECITAZ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8" s="42">
        <f t="shared" si="75"/>
        <v>2.5499999999999969E-4</v>
      </c>
      <c r="Q288" s="42">
        <f t="shared" si="73"/>
        <v>1</v>
      </c>
      <c r="R288" s="441">
        <f t="shared" ref="R288:R351" si="85">C288</f>
        <v>1.7538461538461538</v>
      </c>
      <c r="S288" s="46">
        <f t="shared" si="74"/>
        <v>1.7538461538461538</v>
      </c>
      <c r="T288" s="211">
        <f t="shared" si="70"/>
        <v>1.5961538461538463</v>
      </c>
      <c r="U288" s="46">
        <f t="shared" si="71"/>
        <v>18.073395581498435</v>
      </c>
      <c r="V288" s="46">
        <f t="shared" si="72"/>
        <v>-12.69054977517356</v>
      </c>
      <c r="W288" s="496"/>
      <c r="X288" s="497"/>
      <c r="Y288" s="497"/>
      <c r="Z288" s="498"/>
      <c r="AA288" s="47"/>
    </row>
    <row r="289" spans="1:27" s="428" customFormat="1" x14ac:dyDescent="0.25">
      <c r="A289" s="589">
        <f t="shared" ref="A289:A352" si="86">E289</f>
        <v>6.1778846152660272E-6</v>
      </c>
      <c r="B289" s="32">
        <f t="shared" si="76"/>
        <v>257</v>
      </c>
      <c r="C289" s="441">
        <f>'SOLLECITAZ NASCOSTO'!$D$6/'SOLLECITAZ NASCOSTO'!$B$448*'SOLLECITAZ NASCOSTO'!B289</f>
        <v>1.7606971153846154</v>
      </c>
      <c r="D289" s="441">
        <f t="shared" ref="D289:D352" si="87">$D$9+$D$14+$D$16*C289</f>
        <v>0.30000617788461525</v>
      </c>
      <c r="E289" s="441">
        <f t="shared" si="81"/>
        <v>6.1778846152660272E-6</v>
      </c>
      <c r="F289" s="441">
        <f t="shared" si="82"/>
        <v>0.30000617788461525</v>
      </c>
      <c r="G289" s="441">
        <f t="shared" si="83"/>
        <v>4.5001853384467709E-2</v>
      </c>
      <c r="H289" s="441">
        <f t="shared" si="77"/>
        <v>0</v>
      </c>
      <c r="I289" s="441">
        <v>0</v>
      </c>
      <c r="J289" s="131">
        <f t="shared" si="78"/>
        <v>0.15000308894230763</v>
      </c>
      <c r="K289" s="130">
        <f t="shared" si="84"/>
        <v>2.2501390052663325E-3</v>
      </c>
      <c r="L289" s="42">
        <f t="shared" si="79"/>
        <v>18.18636791255711</v>
      </c>
      <c r="M289" s="42">
        <f t="shared" si="80"/>
        <v>-12.814756897719302</v>
      </c>
      <c r="N289" s="42">
        <f>(IF(C288&lt;='SOLLECITAZ NASCOSTO'!$P$12,IF(C288&lt;='SOLLECITAZ NASCOSTO'!$P$11,IF(C288&lt;='SOLLECITAZ NASCOSTO'!$P$10,IF(C288&lt;='SOLLECITAZ NASCOSTO'!$P$9,IF(C288&lt;='SOLLECITAZ NASCOSTO'!$P$8,IF(C288&lt;='SOLLECITAZ NASCOSTO'!$P$7,IF(C288&lt;='SOLLECITAZ NASCOSTO'!$P$6,IF(C288&lt;='SOLLECITAZ NASCOSTO'!$P$5,'Progetto del paramento slu'!$G$105,'Progetto del paramento slu'!$G$106),'Progetto del paramento slu'!$G$107),'Progetto del paramento slu'!$G$108),'Progetto del paramento slu'!$G$109),'Progetto del paramento slu'!$G$110),'Progetto del paramento slu'!$G$111),'Progetto del paramento slu'!$G$112),55555)-IF(C288&lt;='SOLLECITAZ NASCOSTO'!$P$12,IF(C288&lt;='SOLLECITAZ NASCOSTO'!$P$11,IF(C288&lt;='SOLLECITAZ NASCOSTO'!$P$10,IF(C288&lt;='SOLLECITAZ NASCOSTO'!$P$9,IF(C288&lt;='SOLLECITAZ NASCOSTO'!$P$8,IF(C288&lt;='SOLLECITAZ NASCOSTO'!$P$7,IF(C288&lt;='SOLLECITAZ NASCOSTO'!$P$6,IF(C288&lt;='SOLLECITAZ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slu'!$G$112))*(C288-IF(C288&lt;='SOLLECITAZ NASCOSTO'!$P$12,IF(C288&lt;='SOLLECITAZ NASCOSTO'!$P$11,IF(C288&lt;='SOLLECITAZ NASCOSTO'!$P$10,IF(C288&lt;='SOLLECITAZ NASCOSTO'!$P$9,IF(C288&lt;='SOLLECITAZ NASCOSTO'!$P$8,IF(C288&lt;='SOLLECITAZ NASCOSTO'!$P$7,IF(C288&lt;='SOLLECITAZ NASCOSTO'!$P$6,IF(C288&lt;='SOLLECITAZ NASCOSTO'!$P$5,'SOLLECITAZ NASCOSTO'!$P$3,'SOLLECITAZ NASCOSTO'!$P$5),'SOLLECITAZ NASCOSTO'!$P$5),'SOLLECITAZ NASCOSTO'!$P$7),'SOLLECITAZ NASCOSTO'!$P$8),'SOLLECITAZ NASCOSTO'!$P$9),'SOLLECITAZ NASCOSTO'!$P$10),'SOLLECITAZ NASCOSTO'!$P$11),'SOLLECITAZ NASCOSTO'!$P$12))/IF(C288&lt;='SOLLECITAZ NASCOSTO'!$P$12,IF(C288&lt;='SOLLECITAZ NASCOSTO'!$P$11,IF(C288&lt;='SOLLECITAZ NASCOSTO'!$P$10,IF(C288&lt;='SOLLECITAZ NASCOSTO'!$P$9,IF(C288&lt;='SOLLECITAZ NASCOSTO'!$P$8,IF(C288&lt;='SOLLECITAZ NASCOSTO'!$P$7,IF(C288&lt;='SOLLECITAZ NASCOSTO'!$P$6,IF(C288&lt;='SOLLECITAZ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slu'!$C$112)+IF(C288&lt;='SOLLECITAZ NASCOSTO'!$P$12,IF(C288&lt;='SOLLECITAZ NASCOSTO'!$P$11,IF(C288&lt;='SOLLECITAZ NASCOSTO'!$P$10,IF(C288&lt;='SOLLECITAZ NASCOSTO'!$P$9,IF(C288&lt;='SOLLECITAZ NASCOSTO'!$P$8,IF(C288&lt;='SOLLECITAZ NASCOSTO'!$P$7,IF(C288&lt;='SOLLECITAZ NASCOSTO'!$P$6,IF(C288&lt;='SOLLECITAZ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16.465930283629888</v>
      </c>
      <c r="O289" s="42">
        <f>IF(C289&lt;='SOLLECITAZ NASCOSTO'!$P$12,IF(C289&lt;='SOLLECITAZ NASCOSTO'!$P$11,IF(C289&lt;='SOLLECITAZ NASCOSTO'!$P$10,IF(C289&lt;='SOLLECITAZ NASCOSTO'!$P$9,IF(C289&lt;='SOLLECITAZ NASCOSTO'!$P$8,IF(C289&lt;='SOLLECITAZ NASCOSTO'!$P$7,IF(C289&lt;='SOLLECITAZ NASCOSTO'!$P$6,IF(C289&lt;='SOLLECITAZ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slu'!$G$111),55555)*(C289-C288)/IF(C289&lt;='SOLLECITAZ NASCOSTO'!$P$12,IF(C289&lt;='SOLLECITAZ NASCOSTO'!$P$11,IF(C289&lt;='SOLLECITAZ NASCOSTO'!$P$10,IF(C289&lt;='SOLLECITAZ NASCOSTO'!$P$9,IF(C289&lt;='SOLLECITAZ NASCOSTO'!$P$8,IF(C289&lt;='SOLLECITAZ NASCOSTO'!$P$7,IF(C289&lt;='SOLLECITAZ NASCOSTO'!$P$6,IF(C289&lt;='SOLLECITAZ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89" s="42">
        <f t="shared" si="75"/>
        <v>2.5599999999999972E-4</v>
      </c>
      <c r="Q289" s="42">
        <f t="shared" si="73"/>
        <v>1</v>
      </c>
      <c r="R289" s="441">
        <f t="shared" si="85"/>
        <v>1.7606971153846154</v>
      </c>
      <c r="S289" s="46">
        <f t="shared" si="74"/>
        <v>1.7606971153846154</v>
      </c>
      <c r="T289" s="211">
        <f t="shared" ref="T289:T352" si="88">$R$468-S289</f>
        <v>1.5893028846153847</v>
      </c>
      <c r="U289" s="46">
        <f t="shared" si="71"/>
        <v>18.18636791255711</v>
      </c>
      <c r="V289" s="46">
        <f t="shared" si="72"/>
        <v>-12.814756897719302</v>
      </c>
      <c r="W289" s="496"/>
      <c r="X289" s="497"/>
      <c r="Y289" s="497"/>
      <c r="Z289" s="498"/>
      <c r="AA289" s="47"/>
    </row>
    <row r="290" spans="1:27" s="428" customFormat="1" x14ac:dyDescent="0.25">
      <c r="A290" s="589">
        <f t="shared" si="86"/>
        <v>6.2019230767651479E-6</v>
      </c>
      <c r="B290" s="32">
        <f t="shared" si="76"/>
        <v>258</v>
      </c>
      <c r="C290" s="441">
        <f>'SOLLECITAZ NASCOSTO'!$D$6/'SOLLECITAZ NASCOSTO'!$B$448*'SOLLECITAZ NASCOSTO'!B290</f>
        <v>1.7675480769230769</v>
      </c>
      <c r="D290" s="441">
        <f t="shared" si="87"/>
        <v>0.30000620192307675</v>
      </c>
      <c r="E290" s="441">
        <f t="shared" si="81"/>
        <v>6.2019230767651479E-6</v>
      </c>
      <c r="F290" s="441">
        <f t="shared" si="82"/>
        <v>0.30000620192307675</v>
      </c>
      <c r="G290" s="441">
        <f t="shared" si="83"/>
        <v>4.5001860596154949E-2</v>
      </c>
      <c r="H290" s="441">
        <f t="shared" si="77"/>
        <v>0</v>
      </c>
      <c r="I290" s="441">
        <v>0</v>
      </c>
      <c r="J290" s="131">
        <f t="shared" si="78"/>
        <v>0.15000310096153838</v>
      </c>
      <c r="K290" s="130">
        <f t="shared" si="84"/>
        <v>2.2501395461540356E-3</v>
      </c>
      <c r="L290" s="42">
        <f t="shared" si="79"/>
        <v>18.299669995596862</v>
      </c>
      <c r="M290" s="42">
        <f t="shared" si="80"/>
        <v>-12.939739118919109</v>
      </c>
      <c r="N290" s="42">
        <f>(IF(C289&lt;='SOLLECITAZ NASCOSTO'!$P$12,IF(C289&lt;='SOLLECITAZ NASCOSTO'!$P$11,IF(C289&lt;='SOLLECITAZ NASCOSTO'!$P$10,IF(C289&lt;='SOLLECITAZ NASCOSTO'!$P$9,IF(C289&lt;='SOLLECITAZ NASCOSTO'!$P$8,IF(C289&lt;='SOLLECITAZ NASCOSTO'!$P$7,IF(C289&lt;='SOLLECITAZ NASCOSTO'!$P$6,IF(C289&lt;='SOLLECITAZ NASCOSTO'!$P$5,'Progetto del paramento slu'!$G$105,'Progetto del paramento slu'!$G$106),'Progetto del paramento slu'!$G$107),'Progetto del paramento slu'!$G$108),'Progetto del paramento slu'!$G$109),'Progetto del paramento slu'!$G$110),'Progetto del paramento slu'!$G$111),'Progetto del paramento slu'!$G$112),55555)-IF(C289&lt;='SOLLECITAZ NASCOSTO'!$P$12,IF(C289&lt;='SOLLECITAZ NASCOSTO'!$P$11,IF(C289&lt;='SOLLECITAZ NASCOSTO'!$P$10,IF(C289&lt;='SOLLECITAZ NASCOSTO'!$P$9,IF(C289&lt;='SOLLECITAZ NASCOSTO'!$P$8,IF(C289&lt;='SOLLECITAZ NASCOSTO'!$P$7,IF(C289&lt;='SOLLECITAZ NASCOSTO'!$P$6,IF(C289&lt;='SOLLECITAZ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slu'!$G$112))*(C289-IF(C289&lt;='SOLLECITAZ NASCOSTO'!$P$12,IF(C289&lt;='SOLLECITAZ NASCOSTO'!$P$11,IF(C289&lt;='SOLLECITAZ NASCOSTO'!$P$10,IF(C289&lt;='SOLLECITAZ NASCOSTO'!$P$9,IF(C289&lt;='SOLLECITAZ NASCOSTO'!$P$8,IF(C289&lt;='SOLLECITAZ NASCOSTO'!$P$7,IF(C289&lt;='SOLLECITAZ NASCOSTO'!$P$6,IF(C289&lt;='SOLLECITAZ NASCOSTO'!$P$5,'SOLLECITAZ NASCOSTO'!$P$3,'SOLLECITAZ NASCOSTO'!$P$5),'SOLLECITAZ NASCOSTO'!$P$5),'SOLLECITAZ NASCOSTO'!$P$7),'SOLLECITAZ NASCOSTO'!$P$8),'SOLLECITAZ NASCOSTO'!$P$9),'SOLLECITAZ NASCOSTO'!$P$10),'SOLLECITAZ NASCOSTO'!$P$11),'SOLLECITAZ NASCOSTO'!$P$12))/IF(C289&lt;='SOLLECITAZ NASCOSTO'!$P$12,IF(C289&lt;='SOLLECITAZ NASCOSTO'!$P$11,IF(C289&lt;='SOLLECITAZ NASCOSTO'!$P$10,IF(C289&lt;='SOLLECITAZ NASCOSTO'!$P$9,IF(C289&lt;='SOLLECITAZ NASCOSTO'!$P$8,IF(C289&lt;='SOLLECITAZ NASCOSTO'!$P$7,IF(C289&lt;='SOLLECITAZ NASCOSTO'!$P$6,IF(C289&lt;='SOLLECITAZ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slu'!$C$112)+IF(C289&lt;='SOLLECITAZ NASCOSTO'!$P$12,IF(C289&lt;='SOLLECITAZ NASCOSTO'!$P$11,IF(C289&lt;='SOLLECITAZ NASCOSTO'!$P$10,IF(C289&lt;='SOLLECITAZ NASCOSTO'!$P$9,IF(C289&lt;='SOLLECITAZ NASCOSTO'!$P$8,IF(C289&lt;='SOLLECITAZ NASCOSTO'!$P$7,IF(C289&lt;='SOLLECITAZ NASCOSTO'!$P$6,IF(C289&lt;='SOLLECITAZ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16.514062502622238</v>
      </c>
      <c r="O290" s="42">
        <f>IF(C290&lt;='SOLLECITAZ NASCOSTO'!$P$12,IF(C290&lt;='SOLLECITAZ NASCOSTO'!$P$11,IF(C290&lt;='SOLLECITAZ NASCOSTO'!$P$10,IF(C290&lt;='SOLLECITAZ NASCOSTO'!$P$9,IF(C290&lt;='SOLLECITAZ NASCOSTO'!$P$8,IF(C290&lt;='SOLLECITAZ NASCOSTO'!$P$7,IF(C290&lt;='SOLLECITAZ NASCOSTO'!$P$6,IF(C290&lt;='SOLLECITAZ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slu'!$G$111),55555)*(C290-C289)/IF(C290&lt;='SOLLECITAZ NASCOSTO'!$P$12,IF(C290&lt;='SOLLECITAZ NASCOSTO'!$P$11,IF(C290&lt;='SOLLECITAZ NASCOSTO'!$P$10,IF(C290&lt;='SOLLECITAZ NASCOSTO'!$P$9,IF(C290&lt;='SOLLECITAZ NASCOSTO'!$P$8,IF(C290&lt;='SOLLECITAZ NASCOSTO'!$P$7,IF(C290&lt;='SOLLECITAZ NASCOSTO'!$P$6,IF(C290&lt;='SOLLECITAZ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0" s="42">
        <f t="shared" si="75"/>
        <v>2.5699999999999974E-4</v>
      </c>
      <c r="Q290" s="42">
        <f t="shared" si="73"/>
        <v>1</v>
      </c>
      <c r="R290" s="441">
        <f t="shared" si="85"/>
        <v>1.7675480769230769</v>
      </c>
      <c r="S290" s="46">
        <f t="shared" si="74"/>
        <v>1.7675480769230769</v>
      </c>
      <c r="T290" s="211">
        <f t="shared" si="88"/>
        <v>1.5824519230769232</v>
      </c>
      <c r="U290" s="46">
        <f t="shared" ref="U290:U353" si="89">IF(Q290=1,L290,0)</f>
        <v>18.299669995596862</v>
      </c>
      <c r="V290" s="46">
        <f t="shared" ref="V290:V353" si="90">IF(Q290=1,M290,0)</f>
        <v>-12.939739118919109</v>
      </c>
      <c r="W290" s="496"/>
      <c r="X290" s="497"/>
      <c r="Y290" s="497"/>
      <c r="Z290" s="498"/>
      <c r="AA290" s="47"/>
    </row>
    <row r="291" spans="1:27" s="428" customFormat="1" x14ac:dyDescent="0.25">
      <c r="A291" s="589">
        <f t="shared" si="86"/>
        <v>6.2259615383197797E-6</v>
      </c>
      <c r="B291" s="32">
        <f t="shared" si="76"/>
        <v>259</v>
      </c>
      <c r="C291" s="441">
        <f>'SOLLECITAZ NASCOSTO'!$D$6/'SOLLECITAZ NASCOSTO'!$B$448*'SOLLECITAZ NASCOSTO'!B291</f>
        <v>1.7743990384615385</v>
      </c>
      <c r="D291" s="441">
        <f t="shared" si="87"/>
        <v>0.30000622596153831</v>
      </c>
      <c r="E291" s="441">
        <f t="shared" si="81"/>
        <v>6.2259615383197797E-6</v>
      </c>
      <c r="F291" s="441">
        <f t="shared" si="82"/>
        <v>0.30000622596153831</v>
      </c>
      <c r="G291" s="441">
        <f t="shared" si="83"/>
        <v>4.5001867807842794E-2</v>
      </c>
      <c r="H291" s="441">
        <f t="shared" si="77"/>
        <v>0</v>
      </c>
      <c r="I291" s="441">
        <v>0</v>
      </c>
      <c r="J291" s="131">
        <f t="shared" si="78"/>
        <v>0.15000311298076915</v>
      </c>
      <c r="K291" s="130">
        <f t="shared" si="84"/>
        <v>2.2501400870418272E-3</v>
      </c>
      <c r="L291" s="42">
        <f t="shared" si="79"/>
        <v>18.413301830617691</v>
      </c>
      <c r="M291" s="42">
        <f t="shared" si="80"/>
        <v>-13.065498697891117</v>
      </c>
      <c r="N291" s="42">
        <f>(IF(C290&lt;='SOLLECITAZ NASCOSTO'!$P$12,IF(C290&lt;='SOLLECITAZ NASCOSTO'!$P$11,IF(C290&lt;='SOLLECITAZ NASCOSTO'!$P$10,IF(C290&lt;='SOLLECITAZ NASCOSTO'!$P$9,IF(C290&lt;='SOLLECITAZ NASCOSTO'!$P$8,IF(C290&lt;='SOLLECITAZ NASCOSTO'!$P$7,IF(C290&lt;='SOLLECITAZ NASCOSTO'!$P$6,IF(C290&lt;='SOLLECITAZ NASCOSTO'!$P$5,'Progetto del paramento slu'!$G$105,'Progetto del paramento slu'!$G$106),'Progetto del paramento slu'!$G$107),'Progetto del paramento slu'!$G$108),'Progetto del paramento slu'!$G$109),'Progetto del paramento slu'!$G$110),'Progetto del paramento slu'!$G$111),'Progetto del paramento slu'!$G$112),55555)-IF(C290&lt;='SOLLECITAZ NASCOSTO'!$P$12,IF(C290&lt;='SOLLECITAZ NASCOSTO'!$P$11,IF(C290&lt;='SOLLECITAZ NASCOSTO'!$P$10,IF(C290&lt;='SOLLECITAZ NASCOSTO'!$P$9,IF(C290&lt;='SOLLECITAZ NASCOSTO'!$P$8,IF(C290&lt;='SOLLECITAZ NASCOSTO'!$P$7,IF(C290&lt;='SOLLECITAZ NASCOSTO'!$P$6,IF(C290&lt;='SOLLECITAZ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slu'!$G$112))*(C290-IF(C290&lt;='SOLLECITAZ NASCOSTO'!$P$12,IF(C290&lt;='SOLLECITAZ NASCOSTO'!$P$11,IF(C290&lt;='SOLLECITAZ NASCOSTO'!$P$10,IF(C290&lt;='SOLLECITAZ NASCOSTO'!$P$9,IF(C290&lt;='SOLLECITAZ NASCOSTO'!$P$8,IF(C290&lt;='SOLLECITAZ NASCOSTO'!$P$7,IF(C290&lt;='SOLLECITAZ NASCOSTO'!$P$6,IF(C290&lt;='SOLLECITAZ NASCOSTO'!$P$5,'SOLLECITAZ NASCOSTO'!$P$3,'SOLLECITAZ NASCOSTO'!$P$5),'SOLLECITAZ NASCOSTO'!$P$5),'SOLLECITAZ NASCOSTO'!$P$7),'SOLLECITAZ NASCOSTO'!$P$8),'SOLLECITAZ NASCOSTO'!$P$9),'SOLLECITAZ NASCOSTO'!$P$10),'SOLLECITAZ NASCOSTO'!$P$11),'SOLLECITAZ NASCOSTO'!$P$12))/IF(C290&lt;='SOLLECITAZ NASCOSTO'!$P$12,IF(C290&lt;='SOLLECITAZ NASCOSTO'!$P$11,IF(C290&lt;='SOLLECITAZ NASCOSTO'!$P$10,IF(C290&lt;='SOLLECITAZ NASCOSTO'!$P$9,IF(C290&lt;='SOLLECITAZ NASCOSTO'!$P$8,IF(C290&lt;='SOLLECITAZ NASCOSTO'!$P$7,IF(C290&lt;='SOLLECITAZ NASCOSTO'!$P$6,IF(C290&lt;='SOLLECITAZ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slu'!$C$112)+IF(C290&lt;='SOLLECITAZ NASCOSTO'!$P$12,IF(C290&lt;='SOLLECITAZ NASCOSTO'!$P$11,IF(C290&lt;='SOLLECITAZ NASCOSTO'!$P$10,IF(C290&lt;='SOLLECITAZ NASCOSTO'!$P$9,IF(C290&lt;='SOLLECITAZ NASCOSTO'!$P$8,IF(C290&lt;='SOLLECITAZ NASCOSTO'!$P$7,IF(C290&lt;='SOLLECITAZ NASCOSTO'!$P$6,IF(C290&lt;='SOLLECITAZ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16.562194721614592</v>
      </c>
      <c r="O291" s="42">
        <f>IF(C291&lt;='SOLLECITAZ NASCOSTO'!$P$12,IF(C291&lt;='SOLLECITAZ NASCOSTO'!$P$11,IF(C291&lt;='SOLLECITAZ NASCOSTO'!$P$10,IF(C291&lt;='SOLLECITAZ NASCOSTO'!$P$9,IF(C291&lt;='SOLLECITAZ NASCOSTO'!$P$8,IF(C291&lt;='SOLLECITAZ NASCOSTO'!$P$7,IF(C291&lt;='SOLLECITAZ NASCOSTO'!$P$6,IF(C291&lt;='SOLLECITAZ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slu'!$G$111),55555)*(C291-C290)/IF(C291&lt;='SOLLECITAZ NASCOSTO'!$P$12,IF(C291&lt;='SOLLECITAZ NASCOSTO'!$P$11,IF(C291&lt;='SOLLECITAZ NASCOSTO'!$P$10,IF(C291&lt;='SOLLECITAZ NASCOSTO'!$P$9,IF(C291&lt;='SOLLECITAZ NASCOSTO'!$P$8,IF(C291&lt;='SOLLECITAZ NASCOSTO'!$P$7,IF(C291&lt;='SOLLECITAZ NASCOSTO'!$P$6,IF(C291&lt;='SOLLECITAZ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1" s="42">
        <f t="shared" si="75"/>
        <v>2.5799999999999977E-4</v>
      </c>
      <c r="Q291" s="42">
        <f t="shared" ref="Q291:Q354" si="91">IF(C291&lt;=$D$6,1,0+P291)</f>
        <v>1</v>
      </c>
      <c r="R291" s="441">
        <f t="shared" si="85"/>
        <v>1.7743990384615385</v>
      </c>
      <c r="S291" s="46">
        <f t="shared" ref="S291:S354" si="92">IF(Q291&lt;1,VLOOKUP(0,$Q$34:$R$468,2,TRUE),C291)</f>
        <v>1.7743990384615385</v>
      </c>
      <c r="T291" s="211">
        <f t="shared" si="88"/>
        <v>1.5756009615384616</v>
      </c>
      <c r="U291" s="46">
        <f t="shared" si="89"/>
        <v>18.413301830617691</v>
      </c>
      <c r="V291" s="46">
        <f t="shared" si="90"/>
        <v>-13.065498697891117</v>
      </c>
      <c r="W291" s="496"/>
      <c r="X291" s="497"/>
      <c r="Y291" s="497"/>
      <c r="Z291" s="498"/>
      <c r="AA291" s="47"/>
    </row>
    <row r="292" spans="1:27" s="428" customFormat="1" x14ac:dyDescent="0.25">
      <c r="A292" s="589">
        <f t="shared" si="86"/>
        <v>6.2499999998744116E-6</v>
      </c>
      <c r="B292" s="32">
        <f t="shared" si="76"/>
        <v>260</v>
      </c>
      <c r="C292" s="441">
        <f>'SOLLECITAZ NASCOSTO'!$D$6/'SOLLECITAZ NASCOSTO'!$B$448*'SOLLECITAZ NASCOSTO'!B292</f>
        <v>1.78125</v>
      </c>
      <c r="D292" s="441">
        <f t="shared" si="87"/>
        <v>0.30000624999999986</v>
      </c>
      <c r="E292" s="441">
        <f t="shared" si="81"/>
        <v>6.2499999998744116E-6</v>
      </c>
      <c r="F292" s="441">
        <f t="shared" si="82"/>
        <v>0.30000624999999986</v>
      </c>
      <c r="G292" s="441">
        <f t="shared" si="83"/>
        <v>4.5001875019531214E-2</v>
      </c>
      <c r="H292" s="441">
        <f t="shared" si="77"/>
        <v>0</v>
      </c>
      <c r="I292" s="441">
        <v>0</v>
      </c>
      <c r="J292" s="131">
        <f t="shared" si="78"/>
        <v>0.15000312499999996</v>
      </c>
      <c r="K292" s="130">
        <f t="shared" si="84"/>
        <v>2.2501406279297051E-3</v>
      </c>
      <c r="L292" s="42">
        <f t="shared" si="79"/>
        <v>18.527263417619601</v>
      </c>
      <c r="M292" s="42">
        <f t="shared" si="80"/>
        <v>-13.192037893753469</v>
      </c>
      <c r="N292" s="42">
        <f>(IF(C291&lt;='SOLLECITAZ NASCOSTO'!$P$12,IF(C291&lt;='SOLLECITAZ NASCOSTO'!$P$11,IF(C291&lt;='SOLLECITAZ NASCOSTO'!$P$10,IF(C291&lt;='SOLLECITAZ NASCOSTO'!$P$9,IF(C291&lt;='SOLLECITAZ NASCOSTO'!$P$8,IF(C291&lt;='SOLLECITAZ NASCOSTO'!$P$7,IF(C291&lt;='SOLLECITAZ NASCOSTO'!$P$6,IF(C291&lt;='SOLLECITAZ NASCOSTO'!$P$5,'Progetto del paramento slu'!$G$105,'Progetto del paramento slu'!$G$106),'Progetto del paramento slu'!$G$107),'Progetto del paramento slu'!$G$108),'Progetto del paramento slu'!$G$109),'Progetto del paramento slu'!$G$110),'Progetto del paramento slu'!$G$111),'Progetto del paramento slu'!$G$112),55555)-IF(C291&lt;='SOLLECITAZ NASCOSTO'!$P$12,IF(C291&lt;='SOLLECITAZ NASCOSTO'!$P$11,IF(C291&lt;='SOLLECITAZ NASCOSTO'!$P$10,IF(C291&lt;='SOLLECITAZ NASCOSTO'!$P$9,IF(C291&lt;='SOLLECITAZ NASCOSTO'!$P$8,IF(C291&lt;='SOLLECITAZ NASCOSTO'!$P$7,IF(C291&lt;='SOLLECITAZ NASCOSTO'!$P$6,IF(C291&lt;='SOLLECITAZ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slu'!$G$112))*(C291-IF(C291&lt;='SOLLECITAZ NASCOSTO'!$P$12,IF(C291&lt;='SOLLECITAZ NASCOSTO'!$P$11,IF(C291&lt;='SOLLECITAZ NASCOSTO'!$P$10,IF(C291&lt;='SOLLECITAZ NASCOSTO'!$P$9,IF(C291&lt;='SOLLECITAZ NASCOSTO'!$P$8,IF(C291&lt;='SOLLECITAZ NASCOSTO'!$P$7,IF(C291&lt;='SOLLECITAZ NASCOSTO'!$P$6,IF(C291&lt;='SOLLECITAZ NASCOSTO'!$P$5,'SOLLECITAZ NASCOSTO'!$P$3,'SOLLECITAZ NASCOSTO'!$P$5),'SOLLECITAZ NASCOSTO'!$P$5),'SOLLECITAZ NASCOSTO'!$P$7),'SOLLECITAZ NASCOSTO'!$P$8),'SOLLECITAZ NASCOSTO'!$P$9),'SOLLECITAZ NASCOSTO'!$P$10),'SOLLECITAZ NASCOSTO'!$P$11),'SOLLECITAZ NASCOSTO'!$P$12))/IF(C291&lt;='SOLLECITAZ NASCOSTO'!$P$12,IF(C291&lt;='SOLLECITAZ NASCOSTO'!$P$11,IF(C291&lt;='SOLLECITAZ NASCOSTO'!$P$10,IF(C291&lt;='SOLLECITAZ NASCOSTO'!$P$9,IF(C291&lt;='SOLLECITAZ NASCOSTO'!$P$8,IF(C291&lt;='SOLLECITAZ NASCOSTO'!$P$7,IF(C291&lt;='SOLLECITAZ NASCOSTO'!$P$6,IF(C291&lt;='SOLLECITAZ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slu'!$C$112)+IF(C291&lt;='SOLLECITAZ NASCOSTO'!$P$12,IF(C291&lt;='SOLLECITAZ NASCOSTO'!$P$11,IF(C291&lt;='SOLLECITAZ NASCOSTO'!$P$10,IF(C291&lt;='SOLLECITAZ NASCOSTO'!$P$9,IF(C291&lt;='SOLLECITAZ NASCOSTO'!$P$8,IF(C291&lt;='SOLLECITAZ NASCOSTO'!$P$7,IF(C291&lt;='SOLLECITAZ NASCOSTO'!$P$6,IF(C291&lt;='SOLLECITAZ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16.610326940606946</v>
      </c>
      <c r="O292" s="42">
        <f>IF(C292&lt;='SOLLECITAZ NASCOSTO'!$P$12,IF(C292&lt;='SOLLECITAZ NASCOSTO'!$P$11,IF(C292&lt;='SOLLECITAZ NASCOSTO'!$P$10,IF(C292&lt;='SOLLECITAZ NASCOSTO'!$P$9,IF(C292&lt;='SOLLECITAZ NASCOSTO'!$P$8,IF(C292&lt;='SOLLECITAZ NASCOSTO'!$P$7,IF(C292&lt;='SOLLECITAZ NASCOSTO'!$P$6,IF(C292&lt;='SOLLECITAZ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slu'!$G$111),55555)*(C292-C291)/IF(C292&lt;='SOLLECITAZ NASCOSTO'!$P$12,IF(C292&lt;='SOLLECITAZ NASCOSTO'!$P$11,IF(C292&lt;='SOLLECITAZ NASCOSTO'!$P$10,IF(C292&lt;='SOLLECITAZ NASCOSTO'!$P$9,IF(C292&lt;='SOLLECITAZ NASCOSTO'!$P$8,IF(C292&lt;='SOLLECITAZ NASCOSTO'!$P$7,IF(C292&lt;='SOLLECITAZ NASCOSTO'!$P$6,IF(C292&lt;='SOLLECITAZ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2" s="42">
        <f t="shared" ref="P292:P355" si="93">P291+0.000001</f>
        <v>2.5899999999999979E-4</v>
      </c>
      <c r="Q292" s="42">
        <f t="shared" si="91"/>
        <v>1</v>
      </c>
      <c r="R292" s="441">
        <f t="shared" si="85"/>
        <v>1.78125</v>
      </c>
      <c r="S292" s="46">
        <f t="shared" si="92"/>
        <v>1.78125</v>
      </c>
      <c r="T292" s="211">
        <f t="shared" si="88"/>
        <v>1.5687500000000001</v>
      </c>
      <c r="U292" s="46">
        <f t="shared" si="89"/>
        <v>18.527263417619601</v>
      </c>
      <c r="V292" s="46">
        <f t="shared" si="90"/>
        <v>-13.192037893753469</v>
      </c>
      <c r="W292" s="496"/>
      <c r="X292" s="497"/>
      <c r="Y292" s="497"/>
      <c r="Z292" s="498"/>
      <c r="AA292" s="47"/>
    </row>
    <row r="293" spans="1:27" s="428" customFormat="1" x14ac:dyDescent="0.25">
      <c r="A293" s="589">
        <f t="shared" si="86"/>
        <v>6.2740384613735323E-6</v>
      </c>
      <c r="B293" s="32">
        <f t="shared" si="76"/>
        <v>261</v>
      </c>
      <c r="C293" s="441">
        <f>'SOLLECITAZ NASCOSTO'!$D$6/'SOLLECITAZ NASCOSTO'!$B$448*'SOLLECITAZ NASCOSTO'!B293</f>
        <v>1.7881009615384615</v>
      </c>
      <c r="D293" s="441">
        <f t="shared" si="87"/>
        <v>0.30000627403846136</v>
      </c>
      <c r="E293" s="441">
        <f t="shared" si="81"/>
        <v>6.2740384613735323E-6</v>
      </c>
      <c r="F293" s="441">
        <f t="shared" si="82"/>
        <v>0.30000627403846136</v>
      </c>
      <c r="G293" s="441">
        <f t="shared" si="83"/>
        <v>4.5001882231220189E-2</v>
      </c>
      <c r="H293" s="441">
        <f t="shared" si="77"/>
        <v>0</v>
      </c>
      <c r="I293" s="441">
        <v>0</v>
      </c>
      <c r="J293" s="131">
        <f t="shared" si="78"/>
        <v>0.15000313701923068</v>
      </c>
      <c r="K293" s="130">
        <f t="shared" si="84"/>
        <v>2.2501411688176684E-3</v>
      </c>
      <c r="L293" s="42">
        <f t="shared" si="79"/>
        <v>18.641554756602588</v>
      </c>
      <c r="M293" s="42">
        <f t="shared" si="80"/>
        <v>-13.319358965624302</v>
      </c>
      <c r="N293" s="42">
        <f>(IF(C292&lt;='SOLLECITAZ NASCOSTO'!$P$12,IF(C292&lt;='SOLLECITAZ NASCOSTO'!$P$11,IF(C292&lt;='SOLLECITAZ NASCOSTO'!$P$10,IF(C292&lt;='SOLLECITAZ NASCOSTO'!$P$9,IF(C292&lt;='SOLLECITAZ NASCOSTO'!$P$8,IF(C292&lt;='SOLLECITAZ NASCOSTO'!$P$7,IF(C292&lt;='SOLLECITAZ NASCOSTO'!$P$6,IF(C292&lt;='SOLLECITAZ NASCOSTO'!$P$5,'Progetto del paramento slu'!$G$105,'Progetto del paramento slu'!$G$106),'Progetto del paramento slu'!$G$107),'Progetto del paramento slu'!$G$108),'Progetto del paramento slu'!$G$109),'Progetto del paramento slu'!$G$110),'Progetto del paramento slu'!$G$111),'Progetto del paramento slu'!$G$112),55555)-IF(C292&lt;='SOLLECITAZ NASCOSTO'!$P$12,IF(C292&lt;='SOLLECITAZ NASCOSTO'!$P$11,IF(C292&lt;='SOLLECITAZ NASCOSTO'!$P$10,IF(C292&lt;='SOLLECITAZ NASCOSTO'!$P$9,IF(C292&lt;='SOLLECITAZ NASCOSTO'!$P$8,IF(C292&lt;='SOLLECITAZ NASCOSTO'!$P$7,IF(C292&lt;='SOLLECITAZ NASCOSTO'!$P$6,IF(C292&lt;='SOLLECITAZ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slu'!$G$112))*(C292-IF(C292&lt;='SOLLECITAZ NASCOSTO'!$P$12,IF(C292&lt;='SOLLECITAZ NASCOSTO'!$P$11,IF(C292&lt;='SOLLECITAZ NASCOSTO'!$P$10,IF(C292&lt;='SOLLECITAZ NASCOSTO'!$P$9,IF(C292&lt;='SOLLECITAZ NASCOSTO'!$P$8,IF(C292&lt;='SOLLECITAZ NASCOSTO'!$P$7,IF(C292&lt;='SOLLECITAZ NASCOSTO'!$P$6,IF(C292&lt;='SOLLECITAZ NASCOSTO'!$P$5,'SOLLECITAZ NASCOSTO'!$P$3,'SOLLECITAZ NASCOSTO'!$P$5),'SOLLECITAZ NASCOSTO'!$P$5),'SOLLECITAZ NASCOSTO'!$P$7),'SOLLECITAZ NASCOSTO'!$P$8),'SOLLECITAZ NASCOSTO'!$P$9),'SOLLECITAZ NASCOSTO'!$P$10),'SOLLECITAZ NASCOSTO'!$P$11),'SOLLECITAZ NASCOSTO'!$P$12))/IF(C292&lt;='SOLLECITAZ NASCOSTO'!$P$12,IF(C292&lt;='SOLLECITAZ NASCOSTO'!$P$11,IF(C292&lt;='SOLLECITAZ NASCOSTO'!$P$10,IF(C292&lt;='SOLLECITAZ NASCOSTO'!$P$9,IF(C292&lt;='SOLLECITAZ NASCOSTO'!$P$8,IF(C292&lt;='SOLLECITAZ NASCOSTO'!$P$7,IF(C292&lt;='SOLLECITAZ NASCOSTO'!$P$6,IF(C292&lt;='SOLLECITAZ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slu'!$C$112)+IF(C292&lt;='SOLLECITAZ NASCOSTO'!$P$12,IF(C292&lt;='SOLLECITAZ NASCOSTO'!$P$11,IF(C292&lt;='SOLLECITAZ NASCOSTO'!$P$10,IF(C292&lt;='SOLLECITAZ NASCOSTO'!$P$9,IF(C292&lt;='SOLLECITAZ NASCOSTO'!$P$8,IF(C292&lt;='SOLLECITAZ NASCOSTO'!$P$7,IF(C292&lt;='SOLLECITAZ NASCOSTO'!$P$6,IF(C292&lt;='SOLLECITAZ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16.658459159599296</v>
      </c>
      <c r="O293" s="42">
        <f>IF(C293&lt;='SOLLECITAZ NASCOSTO'!$P$12,IF(C293&lt;='SOLLECITAZ NASCOSTO'!$P$11,IF(C293&lt;='SOLLECITAZ NASCOSTO'!$P$10,IF(C293&lt;='SOLLECITAZ NASCOSTO'!$P$9,IF(C293&lt;='SOLLECITAZ NASCOSTO'!$P$8,IF(C293&lt;='SOLLECITAZ NASCOSTO'!$P$7,IF(C293&lt;='SOLLECITAZ NASCOSTO'!$P$6,IF(C293&lt;='SOLLECITAZ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slu'!$G$111),55555)*(C293-C292)/IF(C293&lt;='SOLLECITAZ NASCOSTO'!$P$12,IF(C293&lt;='SOLLECITAZ NASCOSTO'!$P$11,IF(C293&lt;='SOLLECITAZ NASCOSTO'!$P$10,IF(C293&lt;='SOLLECITAZ NASCOSTO'!$P$9,IF(C293&lt;='SOLLECITAZ NASCOSTO'!$P$8,IF(C293&lt;='SOLLECITAZ NASCOSTO'!$P$7,IF(C293&lt;='SOLLECITAZ NASCOSTO'!$P$6,IF(C293&lt;='SOLLECITAZ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3" s="42">
        <f t="shared" si="93"/>
        <v>2.5999999999999981E-4</v>
      </c>
      <c r="Q293" s="42">
        <f t="shared" si="91"/>
        <v>1</v>
      </c>
      <c r="R293" s="441">
        <f t="shared" si="85"/>
        <v>1.7881009615384615</v>
      </c>
      <c r="S293" s="46">
        <f t="shared" si="92"/>
        <v>1.7881009615384615</v>
      </c>
      <c r="T293" s="211">
        <f t="shared" si="88"/>
        <v>1.5618990384615385</v>
      </c>
      <c r="U293" s="46">
        <f t="shared" si="89"/>
        <v>18.641554756602588</v>
      </c>
      <c r="V293" s="46">
        <f t="shared" si="90"/>
        <v>-13.319358965624302</v>
      </c>
      <c r="W293" s="496"/>
      <c r="X293" s="497"/>
      <c r="Y293" s="497"/>
      <c r="Z293" s="498"/>
      <c r="AA293" s="47"/>
    </row>
    <row r="294" spans="1:27" s="428" customFormat="1" x14ac:dyDescent="0.25">
      <c r="A294" s="589">
        <f t="shared" si="86"/>
        <v>6.2980769229281641E-6</v>
      </c>
      <c r="B294" s="32">
        <f t="shared" si="76"/>
        <v>262</v>
      </c>
      <c r="C294" s="441">
        <f>'SOLLECITAZ NASCOSTO'!$D$6/'SOLLECITAZ NASCOSTO'!$B$448*'SOLLECITAZ NASCOSTO'!B294</f>
        <v>1.7949519230769231</v>
      </c>
      <c r="D294" s="441">
        <f t="shared" si="87"/>
        <v>0.30000629807692292</v>
      </c>
      <c r="E294" s="441">
        <f t="shared" si="81"/>
        <v>6.2980769229281641E-6</v>
      </c>
      <c r="F294" s="441">
        <f t="shared" si="82"/>
        <v>0.30000629807692292</v>
      </c>
      <c r="G294" s="441">
        <f t="shared" si="83"/>
        <v>4.5001889442909761E-2</v>
      </c>
      <c r="H294" s="441">
        <f t="shared" si="77"/>
        <v>0</v>
      </c>
      <c r="I294" s="441">
        <v>0</v>
      </c>
      <c r="J294" s="131">
        <f t="shared" si="78"/>
        <v>0.15000314903846146</v>
      </c>
      <c r="K294" s="130">
        <f t="shared" si="84"/>
        <v>2.2501417097057193E-3</v>
      </c>
      <c r="L294" s="42">
        <f t="shared" si="79"/>
        <v>18.756175847566652</v>
      </c>
      <c r="M294" s="42">
        <f t="shared" si="80"/>
        <v>-13.447464172621757</v>
      </c>
      <c r="N294" s="42">
        <f>(IF(C293&lt;='SOLLECITAZ NASCOSTO'!$P$12,IF(C293&lt;='SOLLECITAZ NASCOSTO'!$P$11,IF(C293&lt;='SOLLECITAZ NASCOSTO'!$P$10,IF(C293&lt;='SOLLECITAZ NASCOSTO'!$P$9,IF(C293&lt;='SOLLECITAZ NASCOSTO'!$P$8,IF(C293&lt;='SOLLECITAZ NASCOSTO'!$P$7,IF(C293&lt;='SOLLECITAZ NASCOSTO'!$P$6,IF(C293&lt;='SOLLECITAZ NASCOSTO'!$P$5,'Progetto del paramento slu'!$G$105,'Progetto del paramento slu'!$G$106),'Progetto del paramento slu'!$G$107),'Progetto del paramento slu'!$G$108),'Progetto del paramento slu'!$G$109),'Progetto del paramento slu'!$G$110),'Progetto del paramento slu'!$G$111),'Progetto del paramento slu'!$G$112),55555)-IF(C293&lt;='SOLLECITAZ NASCOSTO'!$P$12,IF(C293&lt;='SOLLECITAZ NASCOSTO'!$P$11,IF(C293&lt;='SOLLECITAZ NASCOSTO'!$P$10,IF(C293&lt;='SOLLECITAZ NASCOSTO'!$P$9,IF(C293&lt;='SOLLECITAZ NASCOSTO'!$P$8,IF(C293&lt;='SOLLECITAZ NASCOSTO'!$P$7,IF(C293&lt;='SOLLECITAZ NASCOSTO'!$P$6,IF(C293&lt;='SOLLECITAZ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slu'!$G$112))*(C293-IF(C293&lt;='SOLLECITAZ NASCOSTO'!$P$12,IF(C293&lt;='SOLLECITAZ NASCOSTO'!$P$11,IF(C293&lt;='SOLLECITAZ NASCOSTO'!$P$10,IF(C293&lt;='SOLLECITAZ NASCOSTO'!$P$9,IF(C293&lt;='SOLLECITAZ NASCOSTO'!$P$8,IF(C293&lt;='SOLLECITAZ NASCOSTO'!$P$7,IF(C293&lt;='SOLLECITAZ NASCOSTO'!$P$6,IF(C293&lt;='SOLLECITAZ NASCOSTO'!$P$5,'SOLLECITAZ NASCOSTO'!$P$3,'SOLLECITAZ NASCOSTO'!$P$5),'SOLLECITAZ NASCOSTO'!$P$5),'SOLLECITAZ NASCOSTO'!$P$7),'SOLLECITAZ NASCOSTO'!$P$8),'SOLLECITAZ NASCOSTO'!$P$9),'SOLLECITAZ NASCOSTO'!$P$10),'SOLLECITAZ NASCOSTO'!$P$11),'SOLLECITAZ NASCOSTO'!$P$12))/IF(C293&lt;='SOLLECITAZ NASCOSTO'!$P$12,IF(C293&lt;='SOLLECITAZ NASCOSTO'!$P$11,IF(C293&lt;='SOLLECITAZ NASCOSTO'!$P$10,IF(C293&lt;='SOLLECITAZ NASCOSTO'!$P$9,IF(C293&lt;='SOLLECITAZ NASCOSTO'!$P$8,IF(C293&lt;='SOLLECITAZ NASCOSTO'!$P$7,IF(C293&lt;='SOLLECITAZ NASCOSTO'!$P$6,IF(C293&lt;='SOLLECITAZ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slu'!$C$112)+IF(C293&lt;='SOLLECITAZ NASCOSTO'!$P$12,IF(C293&lt;='SOLLECITAZ NASCOSTO'!$P$11,IF(C293&lt;='SOLLECITAZ NASCOSTO'!$P$10,IF(C293&lt;='SOLLECITAZ NASCOSTO'!$P$9,IF(C293&lt;='SOLLECITAZ NASCOSTO'!$P$8,IF(C293&lt;='SOLLECITAZ NASCOSTO'!$P$7,IF(C293&lt;='SOLLECITAZ NASCOSTO'!$P$6,IF(C293&lt;='SOLLECITAZ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16.70659137859165</v>
      </c>
      <c r="O294" s="42">
        <f>IF(C294&lt;='SOLLECITAZ NASCOSTO'!$P$12,IF(C294&lt;='SOLLECITAZ NASCOSTO'!$P$11,IF(C294&lt;='SOLLECITAZ NASCOSTO'!$P$10,IF(C294&lt;='SOLLECITAZ NASCOSTO'!$P$9,IF(C294&lt;='SOLLECITAZ NASCOSTO'!$P$8,IF(C294&lt;='SOLLECITAZ NASCOSTO'!$P$7,IF(C294&lt;='SOLLECITAZ NASCOSTO'!$P$6,IF(C294&lt;='SOLLECITAZ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slu'!$G$111),55555)*(C294-C293)/IF(C294&lt;='SOLLECITAZ NASCOSTO'!$P$12,IF(C294&lt;='SOLLECITAZ NASCOSTO'!$P$11,IF(C294&lt;='SOLLECITAZ NASCOSTO'!$P$10,IF(C294&lt;='SOLLECITAZ NASCOSTO'!$P$9,IF(C294&lt;='SOLLECITAZ NASCOSTO'!$P$8,IF(C294&lt;='SOLLECITAZ NASCOSTO'!$P$7,IF(C294&lt;='SOLLECITAZ NASCOSTO'!$P$6,IF(C294&lt;='SOLLECITAZ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4" s="42">
        <f t="shared" si="93"/>
        <v>2.6099999999999984E-4</v>
      </c>
      <c r="Q294" s="42">
        <f t="shared" si="91"/>
        <v>1</v>
      </c>
      <c r="R294" s="441">
        <f t="shared" si="85"/>
        <v>1.7949519230769231</v>
      </c>
      <c r="S294" s="46">
        <f t="shared" si="92"/>
        <v>1.7949519230769231</v>
      </c>
      <c r="T294" s="211">
        <f t="shared" si="88"/>
        <v>1.555048076923077</v>
      </c>
      <c r="U294" s="46">
        <f t="shared" si="89"/>
        <v>18.756175847566652</v>
      </c>
      <c r="V294" s="46">
        <f t="shared" si="90"/>
        <v>-13.447464172621757</v>
      </c>
      <c r="W294" s="496"/>
      <c r="X294" s="497"/>
      <c r="Y294" s="497"/>
      <c r="Z294" s="498"/>
      <c r="AA294" s="47"/>
    </row>
    <row r="295" spans="1:27" s="428" customFormat="1" x14ac:dyDescent="0.25">
      <c r="A295" s="589">
        <f t="shared" si="86"/>
        <v>6.322115384482796E-6</v>
      </c>
      <c r="B295" s="32">
        <f t="shared" si="76"/>
        <v>263</v>
      </c>
      <c r="C295" s="441">
        <f>'SOLLECITAZ NASCOSTO'!$D$6/'SOLLECITAZ NASCOSTO'!$B$448*'SOLLECITAZ NASCOSTO'!B295</f>
        <v>1.8018028846153846</v>
      </c>
      <c r="D295" s="441">
        <f t="shared" si="87"/>
        <v>0.30000632211538447</v>
      </c>
      <c r="E295" s="441">
        <f t="shared" si="81"/>
        <v>6.322115384482796E-6</v>
      </c>
      <c r="F295" s="441">
        <f t="shared" si="82"/>
        <v>0.30000632211538447</v>
      </c>
      <c r="G295" s="441">
        <f t="shared" si="83"/>
        <v>4.5001896654599916E-2</v>
      </c>
      <c r="H295" s="441">
        <f t="shared" si="77"/>
        <v>0</v>
      </c>
      <c r="I295" s="441">
        <v>0</v>
      </c>
      <c r="J295" s="131">
        <f t="shared" si="78"/>
        <v>0.15000316105769224</v>
      </c>
      <c r="K295" s="130">
        <f t="shared" si="84"/>
        <v>2.2501422505938574E-3</v>
      </c>
      <c r="L295" s="42">
        <f t="shared" si="79"/>
        <v>18.871126690511794</v>
      </c>
      <c r="M295" s="42">
        <f t="shared" si="80"/>
        <v>-13.576355773863973</v>
      </c>
      <c r="N295" s="42">
        <f>(IF(C294&lt;='SOLLECITAZ NASCOSTO'!$P$12,IF(C294&lt;='SOLLECITAZ NASCOSTO'!$P$11,IF(C294&lt;='SOLLECITAZ NASCOSTO'!$P$10,IF(C294&lt;='SOLLECITAZ NASCOSTO'!$P$9,IF(C294&lt;='SOLLECITAZ NASCOSTO'!$P$8,IF(C294&lt;='SOLLECITAZ NASCOSTO'!$P$7,IF(C294&lt;='SOLLECITAZ NASCOSTO'!$P$6,IF(C294&lt;='SOLLECITAZ NASCOSTO'!$P$5,'Progetto del paramento slu'!$G$105,'Progetto del paramento slu'!$G$106),'Progetto del paramento slu'!$G$107),'Progetto del paramento slu'!$G$108),'Progetto del paramento slu'!$G$109),'Progetto del paramento slu'!$G$110),'Progetto del paramento slu'!$G$111),'Progetto del paramento slu'!$G$112),55555)-IF(C294&lt;='SOLLECITAZ NASCOSTO'!$P$12,IF(C294&lt;='SOLLECITAZ NASCOSTO'!$P$11,IF(C294&lt;='SOLLECITAZ NASCOSTO'!$P$10,IF(C294&lt;='SOLLECITAZ NASCOSTO'!$P$9,IF(C294&lt;='SOLLECITAZ NASCOSTO'!$P$8,IF(C294&lt;='SOLLECITAZ NASCOSTO'!$P$7,IF(C294&lt;='SOLLECITAZ NASCOSTO'!$P$6,IF(C294&lt;='SOLLECITAZ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slu'!$G$112))*(C294-IF(C294&lt;='SOLLECITAZ NASCOSTO'!$P$12,IF(C294&lt;='SOLLECITAZ NASCOSTO'!$P$11,IF(C294&lt;='SOLLECITAZ NASCOSTO'!$P$10,IF(C294&lt;='SOLLECITAZ NASCOSTO'!$P$9,IF(C294&lt;='SOLLECITAZ NASCOSTO'!$P$8,IF(C294&lt;='SOLLECITAZ NASCOSTO'!$P$7,IF(C294&lt;='SOLLECITAZ NASCOSTO'!$P$6,IF(C294&lt;='SOLLECITAZ NASCOSTO'!$P$5,'SOLLECITAZ NASCOSTO'!$P$3,'SOLLECITAZ NASCOSTO'!$P$5),'SOLLECITAZ NASCOSTO'!$P$5),'SOLLECITAZ NASCOSTO'!$P$7),'SOLLECITAZ NASCOSTO'!$P$8),'SOLLECITAZ NASCOSTO'!$P$9),'SOLLECITAZ NASCOSTO'!$P$10),'SOLLECITAZ NASCOSTO'!$P$11),'SOLLECITAZ NASCOSTO'!$P$12))/IF(C294&lt;='SOLLECITAZ NASCOSTO'!$P$12,IF(C294&lt;='SOLLECITAZ NASCOSTO'!$P$11,IF(C294&lt;='SOLLECITAZ NASCOSTO'!$P$10,IF(C294&lt;='SOLLECITAZ NASCOSTO'!$P$9,IF(C294&lt;='SOLLECITAZ NASCOSTO'!$P$8,IF(C294&lt;='SOLLECITAZ NASCOSTO'!$P$7,IF(C294&lt;='SOLLECITAZ NASCOSTO'!$P$6,IF(C294&lt;='SOLLECITAZ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slu'!$C$112)+IF(C294&lt;='SOLLECITAZ NASCOSTO'!$P$12,IF(C294&lt;='SOLLECITAZ NASCOSTO'!$P$11,IF(C294&lt;='SOLLECITAZ NASCOSTO'!$P$10,IF(C294&lt;='SOLLECITAZ NASCOSTO'!$P$9,IF(C294&lt;='SOLLECITAZ NASCOSTO'!$P$8,IF(C294&lt;='SOLLECITAZ NASCOSTO'!$P$7,IF(C294&lt;='SOLLECITAZ NASCOSTO'!$P$6,IF(C294&lt;='SOLLECITAZ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16.754723597584</v>
      </c>
      <c r="O295" s="42">
        <f>IF(C295&lt;='SOLLECITAZ NASCOSTO'!$P$12,IF(C295&lt;='SOLLECITAZ NASCOSTO'!$P$11,IF(C295&lt;='SOLLECITAZ NASCOSTO'!$P$10,IF(C295&lt;='SOLLECITAZ NASCOSTO'!$P$9,IF(C295&lt;='SOLLECITAZ NASCOSTO'!$P$8,IF(C295&lt;='SOLLECITAZ NASCOSTO'!$P$7,IF(C295&lt;='SOLLECITAZ NASCOSTO'!$P$6,IF(C295&lt;='SOLLECITAZ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slu'!$G$111),55555)*(C295-C294)/IF(C295&lt;='SOLLECITAZ NASCOSTO'!$P$12,IF(C295&lt;='SOLLECITAZ NASCOSTO'!$P$11,IF(C295&lt;='SOLLECITAZ NASCOSTO'!$P$10,IF(C295&lt;='SOLLECITAZ NASCOSTO'!$P$9,IF(C295&lt;='SOLLECITAZ NASCOSTO'!$P$8,IF(C295&lt;='SOLLECITAZ NASCOSTO'!$P$7,IF(C295&lt;='SOLLECITAZ NASCOSTO'!$P$6,IF(C295&lt;='SOLLECITAZ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5" s="42">
        <f t="shared" si="93"/>
        <v>2.6199999999999986E-4</v>
      </c>
      <c r="Q295" s="42">
        <f t="shared" si="91"/>
        <v>1</v>
      </c>
      <c r="R295" s="441">
        <f t="shared" si="85"/>
        <v>1.8018028846153846</v>
      </c>
      <c r="S295" s="46">
        <f t="shared" si="92"/>
        <v>1.8018028846153846</v>
      </c>
      <c r="T295" s="211">
        <f t="shared" si="88"/>
        <v>1.5481971153846155</v>
      </c>
      <c r="U295" s="46">
        <f t="shared" si="89"/>
        <v>18.871126690511794</v>
      </c>
      <c r="V295" s="46">
        <f t="shared" si="90"/>
        <v>-13.576355773863973</v>
      </c>
      <c r="W295" s="496"/>
      <c r="X295" s="497"/>
      <c r="Y295" s="497"/>
      <c r="Z295" s="498"/>
      <c r="AA295" s="47"/>
    </row>
    <row r="296" spans="1:27" s="428" customFormat="1" x14ac:dyDescent="0.25">
      <c r="A296" s="589">
        <f t="shared" si="86"/>
        <v>6.3461538460374278E-6</v>
      </c>
      <c r="B296" s="32">
        <f t="shared" si="76"/>
        <v>264</v>
      </c>
      <c r="C296" s="441">
        <f>'SOLLECITAZ NASCOSTO'!$D$6/'SOLLECITAZ NASCOSTO'!$B$448*'SOLLECITAZ NASCOSTO'!B296</f>
        <v>1.8086538461538462</v>
      </c>
      <c r="D296" s="441">
        <f t="shared" si="87"/>
        <v>0.30000634615384603</v>
      </c>
      <c r="E296" s="441">
        <f t="shared" si="81"/>
        <v>6.3461538460374278E-6</v>
      </c>
      <c r="F296" s="441">
        <f t="shared" si="82"/>
        <v>0.30000634615384603</v>
      </c>
      <c r="G296" s="441">
        <f t="shared" si="83"/>
        <v>4.5001903866290646E-2</v>
      </c>
      <c r="H296" s="441">
        <f t="shared" si="77"/>
        <v>0</v>
      </c>
      <c r="I296" s="441">
        <v>0</v>
      </c>
      <c r="J296" s="131">
        <f t="shared" si="78"/>
        <v>0.15000317307692301</v>
      </c>
      <c r="K296" s="130">
        <f t="shared" si="84"/>
        <v>2.2501427914820822E-3</v>
      </c>
      <c r="L296" s="42">
        <f t="shared" si="79"/>
        <v>18.986407285438013</v>
      </c>
      <c r="M296" s="42">
        <f t="shared" si="80"/>
        <v>-13.706036028469089</v>
      </c>
      <c r="N296" s="42">
        <f>(IF(C295&lt;='SOLLECITAZ NASCOSTO'!$P$12,IF(C295&lt;='SOLLECITAZ NASCOSTO'!$P$11,IF(C295&lt;='SOLLECITAZ NASCOSTO'!$P$10,IF(C295&lt;='SOLLECITAZ NASCOSTO'!$P$9,IF(C295&lt;='SOLLECITAZ NASCOSTO'!$P$8,IF(C295&lt;='SOLLECITAZ NASCOSTO'!$P$7,IF(C295&lt;='SOLLECITAZ NASCOSTO'!$P$6,IF(C295&lt;='SOLLECITAZ NASCOSTO'!$P$5,'Progetto del paramento slu'!$G$105,'Progetto del paramento slu'!$G$106),'Progetto del paramento slu'!$G$107),'Progetto del paramento slu'!$G$108),'Progetto del paramento slu'!$G$109),'Progetto del paramento slu'!$G$110),'Progetto del paramento slu'!$G$111),'Progetto del paramento slu'!$G$112),55555)-IF(C295&lt;='SOLLECITAZ NASCOSTO'!$P$12,IF(C295&lt;='SOLLECITAZ NASCOSTO'!$P$11,IF(C295&lt;='SOLLECITAZ NASCOSTO'!$P$10,IF(C295&lt;='SOLLECITAZ NASCOSTO'!$P$9,IF(C295&lt;='SOLLECITAZ NASCOSTO'!$P$8,IF(C295&lt;='SOLLECITAZ NASCOSTO'!$P$7,IF(C295&lt;='SOLLECITAZ NASCOSTO'!$P$6,IF(C295&lt;='SOLLECITAZ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slu'!$G$112))*(C295-IF(C295&lt;='SOLLECITAZ NASCOSTO'!$P$12,IF(C295&lt;='SOLLECITAZ NASCOSTO'!$P$11,IF(C295&lt;='SOLLECITAZ NASCOSTO'!$P$10,IF(C295&lt;='SOLLECITAZ NASCOSTO'!$P$9,IF(C295&lt;='SOLLECITAZ NASCOSTO'!$P$8,IF(C295&lt;='SOLLECITAZ NASCOSTO'!$P$7,IF(C295&lt;='SOLLECITAZ NASCOSTO'!$P$6,IF(C295&lt;='SOLLECITAZ NASCOSTO'!$P$5,'SOLLECITAZ NASCOSTO'!$P$3,'SOLLECITAZ NASCOSTO'!$P$5),'SOLLECITAZ NASCOSTO'!$P$5),'SOLLECITAZ NASCOSTO'!$P$7),'SOLLECITAZ NASCOSTO'!$P$8),'SOLLECITAZ NASCOSTO'!$P$9),'SOLLECITAZ NASCOSTO'!$P$10),'SOLLECITAZ NASCOSTO'!$P$11),'SOLLECITAZ NASCOSTO'!$P$12))/IF(C295&lt;='SOLLECITAZ NASCOSTO'!$P$12,IF(C295&lt;='SOLLECITAZ NASCOSTO'!$P$11,IF(C295&lt;='SOLLECITAZ NASCOSTO'!$P$10,IF(C295&lt;='SOLLECITAZ NASCOSTO'!$P$9,IF(C295&lt;='SOLLECITAZ NASCOSTO'!$P$8,IF(C295&lt;='SOLLECITAZ NASCOSTO'!$P$7,IF(C295&lt;='SOLLECITAZ NASCOSTO'!$P$6,IF(C295&lt;='SOLLECITAZ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slu'!$C$112)+IF(C295&lt;='SOLLECITAZ NASCOSTO'!$P$12,IF(C295&lt;='SOLLECITAZ NASCOSTO'!$P$11,IF(C295&lt;='SOLLECITAZ NASCOSTO'!$P$10,IF(C295&lt;='SOLLECITAZ NASCOSTO'!$P$9,IF(C295&lt;='SOLLECITAZ NASCOSTO'!$P$8,IF(C295&lt;='SOLLECITAZ NASCOSTO'!$P$7,IF(C295&lt;='SOLLECITAZ NASCOSTO'!$P$6,IF(C295&lt;='SOLLECITAZ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16.802855816576354</v>
      </c>
      <c r="O296" s="42">
        <f>IF(C296&lt;='SOLLECITAZ NASCOSTO'!$P$12,IF(C296&lt;='SOLLECITAZ NASCOSTO'!$P$11,IF(C296&lt;='SOLLECITAZ NASCOSTO'!$P$10,IF(C296&lt;='SOLLECITAZ NASCOSTO'!$P$9,IF(C296&lt;='SOLLECITAZ NASCOSTO'!$P$8,IF(C296&lt;='SOLLECITAZ NASCOSTO'!$P$7,IF(C296&lt;='SOLLECITAZ NASCOSTO'!$P$6,IF(C296&lt;='SOLLECITAZ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slu'!$G$111),55555)*(C296-C295)/IF(C296&lt;='SOLLECITAZ NASCOSTO'!$P$12,IF(C296&lt;='SOLLECITAZ NASCOSTO'!$P$11,IF(C296&lt;='SOLLECITAZ NASCOSTO'!$P$10,IF(C296&lt;='SOLLECITAZ NASCOSTO'!$P$9,IF(C296&lt;='SOLLECITAZ NASCOSTO'!$P$8,IF(C296&lt;='SOLLECITAZ NASCOSTO'!$P$7,IF(C296&lt;='SOLLECITAZ NASCOSTO'!$P$6,IF(C296&lt;='SOLLECITAZ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6" s="42">
        <f t="shared" si="93"/>
        <v>2.6299999999999989E-4</v>
      </c>
      <c r="Q296" s="42">
        <f t="shared" si="91"/>
        <v>1</v>
      </c>
      <c r="R296" s="441">
        <f t="shared" si="85"/>
        <v>1.8086538461538462</v>
      </c>
      <c r="S296" s="46">
        <f t="shared" si="92"/>
        <v>1.8086538461538462</v>
      </c>
      <c r="T296" s="211">
        <f t="shared" si="88"/>
        <v>1.5413461538461539</v>
      </c>
      <c r="U296" s="46">
        <f t="shared" si="89"/>
        <v>18.986407285438013</v>
      </c>
      <c r="V296" s="46">
        <f t="shared" si="90"/>
        <v>-13.706036028469089</v>
      </c>
      <c r="W296" s="496"/>
      <c r="X296" s="497"/>
      <c r="Y296" s="497"/>
      <c r="Z296" s="498"/>
      <c r="AA296" s="47"/>
    </row>
    <row r="297" spans="1:27" s="428" customFormat="1" x14ac:dyDescent="0.25">
      <c r="A297" s="589">
        <f t="shared" si="86"/>
        <v>6.3701923075365485E-6</v>
      </c>
      <c r="B297" s="32">
        <f t="shared" si="76"/>
        <v>265</v>
      </c>
      <c r="C297" s="441">
        <f>'SOLLECITAZ NASCOSTO'!$D$6/'SOLLECITAZ NASCOSTO'!$B$448*'SOLLECITAZ NASCOSTO'!B297</f>
        <v>1.8155048076923077</v>
      </c>
      <c r="D297" s="441">
        <f t="shared" si="87"/>
        <v>0.30000637019230753</v>
      </c>
      <c r="E297" s="441">
        <f t="shared" si="81"/>
        <v>6.3701923075365485E-6</v>
      </c>
      <c r="F297" s="441">
        <f t="shared" si="82"/>
        <v>0.30000637019230753</v>
      </c>
      <c r="G297" s="441">
        <f t="shared" si="83"/>
        <v>4.5001911077981932E-2</v>
      </c>
      <c r="H297" s="441">
        <f t="shared" si="77"/>
        <v>0</v>
      </c>
      <c r="I297" s="441">
        <v>0</v>
      </c>
      <c r="J297" s="131">
        <f t="shared" si="78"/>
        <v>0.15000318509615376</v>
      </c>
      <c r="K297" s="130">
        <f t="shared" si="84"/>
        <v>2.2501433323703921E-3</v>
      </c>
      <c r="L297" s="42">
        <f t="shared" si="79"/>
        <v>19.102017632345309</v>
      </c>
      <c r="M297" s="42">
        <f t="shared" si="80"/>
        <v>-13.836507195555246</v>
      </c>
      <c r="N297" s="42">
        <f>(IF(C296&lt;='SOLLECITAZ NASCOSTO'!$P$12,IF(C296&lt;='SOLLECITAZ NASCOSTO'!$P$11,IF(C296&lt;='SOLLECITAZ NASCOSTO'!$P$10,IF(C296&lt;='SOLLECITAZ NASCOSTO'!$P$9,IF(C296&lt;='SOLLECITAZ NASCOSTO'!$P$8,IF(C296&lt;='SOLLECITAZ NASCOSTO'!$P$7,IF(C296&lt;='SOLLECITAZ NASCOSTO'!$P$6,IF(C296&lt;='SOLLECITAZ NASCOSTO'!$P$5,'Progetto del paramento slu'!$G$105,'Progetto del paramento slu'!$G$106),'Progetto del paramento slu'!$G$107),'Progetto del paramento slu'!$G$108),'Progetto del paramento slu'!$G$109),'Progetto del paramento slu'!$G$110),'Progetto del paramento slu'!$G$111),'Progetto del paramento slu'!$G$112),55555)-IF(C296&lt;='SOLLECITAZ NASCOSTO'!$P$12,IF(C296&lt;='SOLLECITAZ NASCOSTO'!$P$11,IF(C296&lt;='SOLLECITAZ NASCOSTO'!$P$10,IF(C296&lt;='SOLLECITAZ NASCOSTO'!$P$9,IF(C296&lt;='SOLLECITAZ NASCOSTO'!$P$8,IF(C296&lt;='SOLLECITAZ NASCOSTO'!$P$7,IF(C296&lt;='SOLLECITAZ NASCOSTO'!$P$6,IF(C296&lt;='SOLLECITAZ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slu'!$G$112))*(C296-IF(C296&lt;='SOLLECITAZ NASCOSTO'!$P$12,IF(C296&lt;='SOLLECITAZ NASCOSTO'!$P$11,IF(C296&lt;='SOLLECITAZ NASCOSTO'!$P$10,IF(C296&lt;='SOLLECITAZ NASCOSTO'!$P$9,IF(C296&lt;='SOLLECITAZ NASCOSTO'!$P$8,IF(C296&lt;='SOLLECITAZ NASCOSTO'!$P$7,IF(C296&lt;='SOLLECITAZ NASCOSTO'!$P$6,IF(C296&lt;='SOLLECITAZ NASCOSTO'!$P$5,'SOLLECITAZ NASCOSTO'!$P$3,'SOLLECITAZ NASCOSTO'!$P$5),'SOLLECITAZ NASCOSTO'!$P$5),'SOLLECITAZ NASCOSTO'!$P$7),'SOLLECITAZ NASCOSTO'!$P$8),'SOLLECITAZ NASCOSTO'!$P$9),'SOLLECITAZ NASCOSTO'!$P$10),'SOLLECITAZ NASCOSTO'!$P$11),'SOLLECITAZ NASCOSTO'!$P$12))/IF(C296&lt;='SOLLECITAZ NASCOSTO'!$P$12,IF(C296&lt;='SOLLECITAZ NASCOSTO'!$P$11,IF(C296&lt;='SOLLECITAZ NASCOSTO'!$P$10,IF(C296&lt;='SOLLECITAZ NASCOSTO'!$P$9,IF(C296&lt;='SOLLECITAZ NASCOSTO'!$P$8,IF(C296&lt;='SOLLECITAZ NASCOSTO'!$P$7,IF(C296&lt;='SOLLECITAZ NASCOSTO'!$P$6,IF(C296&lt;='SOLLECITAZ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slu'!$C$112)+IF(C296&lt;='SOLLECITAZ NASCOSTO'!$P$12,IF(C296&lt;='SOLLECITAZ NASCOSTO'!$P$11,IF(C296&lt;='SOLLECITAZ NASCOSTO'!$P$10,IF(C296&lt;='SOLLECITAZ NASCOSTO'!$P$9,IF(C296&lt;='SOLLECITAZ NASCOSTO'!$P$8,IF(C296&lt;='SOLLECITAZ NASCOSTO'!$P$7,IF(C296&lt;='SOLLECITAZ NASCOSTO'!$P$6,IF(C296&lt;='SOLLECITAZ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16.850988035568705</v>
      </c>
      <c r="O297" s="42">
        <f>IF(C297&lt;='SOLLECITAZ NASCOSTO'!$P$12,IF(C297&lt;='SOLLECITAZ NASCOSTO'!$P$11,IF(C297&lt;='SOLLECITAZ NASCOSTO'!$P$10,IF(C297&lt;='SOLLECITAZ NASCOSTO'!$P$9,IF(C297&lt;='SOLLECITAZ NASCOSTO'!$P$8,IF(C297&lt;='SOLLECITAZ NASCOSTO'!$P$7,IF(C297&lt;='SOLLECITAZ NASCOSTO'!$P$6,IF(C297&lt;='SOLLECITAZ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slu'!$G$111),55555)*(C297-C296)/IF(C297&lt;='SOLLECITAZ NASCOSTO'!$P$12,IF(C297&lt;='SOLLECITAZ NASCOSTO'!$P$11,IF(C297&lt;='SOLLECITAZ NASCOSTO'!$P$10,IF(C297&lt;='SOLLECITAZ NASCOSTO'!$P$9,IF(C297&lt;='SOLLECITAZ NASCOSTO'!$P$8,IF(C297&lt;='SOLLECITAZ NASCOSTO'!$P$7,IF(C297&lt;='SOLLECITAZ NASCOSTO'!$P$6,IF(C297&lt;='SOLLECITAZ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7" s="42">
        <f t="shared" si="93"/>
        <v>2.6399999999999991E-4</v>
      </c>
      <c r="Q297" s="42">
        <f t="shared" si="91"/>
        <v>1</v>
      </c>
      <c r="R297" s="441">
        <f t="shared" si="85"/>
        <v>1.8155048076923077</v>
      </c>
      <c r="S297" s="46">
        <f t="shared" si="92"/>
        <v>1.8155048076923077</v>
      </c>
      <c r="T297" s="211">
        <f t="shared" si="88"/>
        <v>1.5344951923076924</v>
      </c>
      <c r="U297" s="46">
        <f t="shared" si="89"/>
        <v>19.102017632345309</v>
      </c>
      <c r="V297" s="46">
        <f t="shared" si="90"/>
        <v>-13.836507195555246</v>
      </c>
      <c r="W297" s="496"/>
      <c r="X297" s="497"/>
      <c r="Y297" s="497"/>
      <c r="Z297" s="498"/>
      <c r="AA297" s="47"/>
    </row>
    <row r="298" spans="1:27" s="428" customFormat="1" x14ac:dyDescent="0.25">
      <c r="A298" s="589">
        <f t="shared" si="86"/>
        <v>6.3942307690911804E-6</v>
      </c>
      <c r="B298" s="32">
        <f t="shared" si="76"/>
        <v>266</v>
      </c>
      <c r="C298" s="441">
        <f>'SOLLECITAZ NASCOSTO'!$D$6/'SOLLECITAZ NASCOSTO'!$B$448*'SOLLECITAZ NASCOSTO'!B298</f>
        <v>1.8223557692307693</v>
      </c>
      <c r="D298" s="441">
        <f t="shared" si="87"/>
        <v>0.30000639423076908</v>
      </c>
      <c r="E298" s="441">
        <f t="shared" si="81"/>
        <v>6.3942307690911804E-6</v>
      </c>
      <c r="F298" s="441">
        <f t="shared" si="82"/>
        <v>0.30000639423076908</v>
      </c>
      <c r="G298" s="441">
        <f t="shared" si="83"/>
        <v>4.5001918289673822E-2</v>
      </c>
      <c r="H298" s="441">
        <f t="shared" si="77"/>
        <v>0</v>
      </c>
      <c r="I298" s="441">
        <v>0</v>
      </c>
      <c r="J298" s="131">
        <f t="shared" si="78"/>
        <v>0.15000319711538454</v>
      </c>
      <c r="K298" s="130">
        <f t="shared" si="84"/>
        <v>2.2501438732587904E-3</v>
      </c>
      <c r="L298" s="42">
        <f t="shared" si="79"/>
        <v>19.217957731233682</v>
      </c>
      <c r="M298" s="42">
        <f t="shared" si="80"/>
        <v>-13.967771534240583</v>
      </c>
      <c r="N298" s="42">
        <f>(IF(C297&lt;='SOLLECITAZ NASCOSTO'!$P$12,IF(C297&lt;='SOLLECITAZ NASCOSTO'!$P$11,IF(C297&lt;='SOLLECITAZ NASCOSTO'!$P$10,IF(C297&lt;='SOLLECITAZ NASCOSTO'!$P$9,IF(C297&lt;='SOLLECITAZ NASCOSTO'!$P$8,IF(C297&lt;='SOLLECITAZ NASCOSTO'!$P$7,IF(C297&lt;='SOLLECITAZ NASCOSTO'!$P$6,IF(C297&lt;='SOLLECITAZ NASCOSTO'!$P$5,'Progetto del paramento slu'!$G$105,'Progetto del paramento slu'!$G$106),'Progetto del paramento slu'!$G$107),'Progetto del paramento slu'!$G$108),'Progetto del paramento slu'!$G$109),'Progetto del paramento slu'!$G$110),'Progetto del paramento slu'!$G$111),'Progetto del paramento slu'!$G$112),55555)-IF(C297&lt;='SOLLECITAZ NASCOSTO'!$P$12,IF(C297&lt;='SOLLECITAZ NASCOSTO'!$P$11,IF(C297&lt;='SOLLECITAZ NASCOSTO'!$P$10,IF(C297&lt;='SOLLECITAZ NASCOSTO'!$P$9,IF(C297&lt;='SOLLECITAZ NASCOSTO'!$P$8,IF(C297&lt;='SOLLECITAZ NASCOSTO'!$P$7,IF(C297&lt;='SOLLECITAZ NASCOSTO'!$P$6,IF(C297&lt;='SOLLECITAZ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slu'!$G$112))*(C297-IF(C297&lt;='SOLLECITAZ NASCOSTO'!$P$12,IF(C297&lt;='SOLLECITAZ NASCOSTO'!$P$11,IF(C297&lt;='SOLLECITAZ NASCOSTO'!$P$10,IF(C297&lt;='SOLLECITAZ NASCOSTO'!$P$9,IF(C297&lt;='SOLLECITAZ NASCOSTO'!$P$8,IF(C297&lt;='SOLLECITAZ NASCOSTO'!$P$7,IF(C297&lt;='SOLLECITAZ NASCOSTO'!$P$6,IF(C297&lt;='SOLLECITAZ NASCOSTO'!$P$5,'SOLLECITAZ NASCOSTO'!$P$3,'SOLLECITAZ NASCOSTO'!$P$5),'SOLLECITAZ NASCOSTO'!$P$5),'SOLLECITAZ NASCOSTO'!$P$7),'SOLLECITAZ NASCOSTO'!$P$8),'SOLLECITAZ NASCOSTO'!$P$9),'SOLLECITAZ NASCOSTO'!$P$10),'SOLLECITAZ NASCOSTO'!$P$11),'SOLLECITAZ NASCOSTO'!$P$12))/IF(C297&lt;='SOLLECITAZ NASCOSTO'!$P$12,IF(C297&lt;='SOLLECITAZ NASCOSTO'!$P$11,IF(C297&lt;='SOLLECITAZ NASCOSTO'!$P$10,IF(C297&lt;='SOLLECITAZ NASCOSTO'!$P$9,IF(C297&lt;='SOLLECITAZ NASCOSTO'!$P$8,IF(C297&lt;='SOLLECITAZ NASCOSTO'!$P$7,IF(C297&lt;='SOLLECITAZ NASCOSTO'!$P$6,IF(C297&lt;='SOLLECITAZ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slu'!$C$112)+IF(C297&lt;='SOLLECITAZ NASCOSTO'!$P$12,IF(C297&lt;='SOLLECITAZ NASCOSTO'!$P$11,IF(C297&lt;='SOLLECITAZ NASCOSTO'!$P$10,IF(C297&lt;='SOLLECITAZ NASCOSTO'!$P$9,IF(C297&lt;='SOLLECITAZ NASCOSTO'!$P$8,IF(C297&lt;='SOLLECITAZ NASCOSTO'!$P$7,IF(C297&lt;='SOLLECITAZ NASCOSTO'!$P$6,IF(C297&lt;='SOLLECITAZ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16.899120254561058</v>
      </c>
      <c r="O298" s="42">
        <f>IF(C298&lt;='SOLLECITAZ NASCOSTO'!$P$12,IF(C298&lt;='SOLLECITAZ NASCOSTO'!$P$11,IF(C298&lt;='SOLLECITAZ NASCOSTO'!$P$10,IF(C298&lt;='SOLLECITAZ NASCOSTO'!$P$9,IF(C298&lt;='SOLLECITAZ NASCOSTO'!$P$8,IF(C298&lt;='SOLLECITAZ NASCOSTO'!$P$7,IF(C298&lt;='SOLLECITAZ NASCOSTO'!$P$6,IF(C298&lt;='SOLLECITAZ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slu'!$G$111),55555)*(C298-C297)/IF(C298&lt;='SOLLECITAZ NASCOSTO'!$P$12,IF(C298&lt;='SOLLECITAZ NASCOSTO'!$P$11,IF(C298&lt;='SOLLECITAZ NASCOSTO'!$P$10,IF(C298&lt;='SOLLECITAZ NASCOSTO'!$P$9,IF(C298&lt;='SOLLECITAZ NASCOSTO'!$P$8,IF(C298&lt;='SOLLECITAZ NASCOSTO'!$P$7,IF(C298&lt;='SOLLECITAZ NASCOSTO'!$P$6,IF(C298&lt;='SOLLECITAZ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8" s="42">
        <f t="shared" si="93"/>
        <v>2.6499999999999994E-4</v>
      </c>
      <c r="Q298" s="42">
        <f t="shared" si="91"/>
        <v>1</v>
      </c>
      <c r="R298" s="441">
        <f t="shared" si="85"/>
        <v>1.8223557692307693</v>
      </c>
      <c r="S298" s="46">
        <f t="shared" si="92"/>
        <v>1.8223557692307693</v>
      </c>
      <c r="T298" s="211">
        <f t="shared" si="88"/>
        <v>1.5276442307692308</v>
      </c>
      <c r="U298" s="46">
        <f t="shared" si="89"/>
        <v>19.217957731233682</v>
      </c>
      <c r="V298" s="46">
        <f t="shared" si="90"/>
        <v>-13.967771534240583</v>
      </c>
      <c r="W298" s="496"/>
      <c r="X298" s="497"/>
      <c r="Y298" s="497"/>
      <c r="Z298" s="498"/>
      <c r="AA298" s="47"/>
    </row>
    <row r="299" spans="1:27" s="428" customFormat="1" x14ac:dyDescent="0.25">
      <c r="A299" s="589">
        <f t="shared" si="86"/>
        <v>6.4182692306458122E-6</v>
      </c>
      <c r="B299" s="32">
        <f t="shared" si="76"/>
        <v>267</v>
      </c>
      <c r="C299" s="441">
        <f>'SOLLECITAZ NASCOSTO'!$D$6/'SOLLECITAZ NASCOSTO'!$B$448*'SOLLECITAZ NASCOSTO'!B299</f>
        <v>1.8292067307692308</v>
      </c>
      <c r="D299" s="441">
        <f t="shared" si="87"/>
        <v>0.30000641826923063</v>
      </c>
      <c r="E299" s="441">
        <f t="shared" si="81"/>
        <v>6.4182692306458122E-6</v>
      </c>
      <c r="F299" s="441">
        <f t="shared" si="82"/>
        <v>0.30000641826923063</v>
      </c>
      <c r="G299" s="441">
        <f t="shared" si="83"/>
        <v>4.500192550136628E-2</v>
      </c>
      <c r="H299" s="441">
        <f t="shared" si="77"/>
        <v>0</v>
      </c>
      <c r="I299" s="441">
        <v>0</v>
      </c>
      <c r="J299" s="131">
        <f t="shared" si="78"/>
        <v>0.15000320913461532</v>
      </c>
      <c r="K299" s="130">
        <f t="shared" si="84"/>
        <v>2.250144414147275E-3</v>
      </c>
      <c r="L299" s="42">
        <f t="shared" si="79"/>
        <v>19.334227582103132</v>
      </c>
      <c r="M299" s="42">
        <f t="shared" si="80"/>
        <v>-14.09983130364324</v>
      </c>
      <c r="N299" s="42">
        <f>(IF(C298&lt;='SOLLECITAZ NASCOSTO'!$P$12,IF(C298&lt;='SOLLECITAZ NASCOSTO'!$P$11,IF(C298&lt;='SOLLECITAZ NASCOSTO'!$P$10,IF(C298&lt;='SOLLECITAZ NASCOSTO'!$P$9,IF(C298&lt;='SOLLECITAZ NASCOSTO'!$P$8,IF(C298&lt;='SOLLECITAZ NASCOSTO'!$P$7,IF(C298&lt;='SOLLECITAZ NASCOSTO'!$P$6,IF(C298&lt;='SOLLECITAZ NASCOSTO'!$P$5,'Progetto del paramento slu'!$G$105,'Progetto del paramento slu'!$G$106),'Progetto del paramento slu'!$G$107),'Progetto del paramento slu'!$G$108),'Progetto del paramento slu'!$G$109),'Progetto del paramento slu'!$G$110),'Progetto del paramento slu'!$G$111),'Progetto del paramento slu'!$G$112),55555)-IF(C298&lt;='SOLLECITAZ NASCOSTO'!$P$12,IF(C298&lt;='SOLLECITAZ NASCOSTO'!$P$11,IF(C298&lt;='SOLLECITAZ NASCOSTO'!$P$10,IF(C298&lt;='SOLLECITAZ NASCOSTO'!$P$9,IF(C298&lt;='SOLLECITAZ NASCOSTO'!$P$8,IF(C298&lt;='SOLLECITAZ NASCOSTO'!$P$7,IF(C298&lt;='SOLLECITAZ NASCOSTO'!$P$6,IF(C298&lt;='SOLLECITAZ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slu'!$G$112))*(C298-IF(C298&lt;='SOLLECITAZ NASCOSTO'!$P$12,IF(C298&lt;='SOLLECITAZ NASCOSTO'!$P$11,IF(C298&lt;='SOLLECITAZ NASCOSTO'!$P$10,IF(C298&lt;='SOLLECITAZ NASCOSTO'!$P$9,IF(C298&lt;='SOLLECITAZ NASCOSTO'!$P$8,IF(C298&lt;='SOLLECITAZ NASCOSTO'!$P$7,IF(C298&lt;='SOLLECITAZ NASCOSTO'!$P$6,IF(C298&lt;='SOLLECITAZ NASCOSTO'!$P$5,'SOLLECITAZ NASCOSTO'!$P$3,'SOLLECITAZ NASCOSTO'!$P$5),'SOLLECITAZ NASCOSTO'!$P$5),'SOLLECITAZ NASCOSTO'!$P$7),'SOLLECITAZ NASCOSTO'!$P$8),'SOLLECITAZ NASCOSTO'!$P$9),'SOLLECITAZ NASCOSTO'!$P$10),'SOLLECITAZ NASCOSTO'!$P$11),'SOLLECITAZ NASCOSTO'!$P$12))/IF(C298&lt;='SOLLECITAZ NASCOSTO'!$P$12,IF(C298&lt;='SOLLECITAZ NASCOSTO'!$P$11,IF(C298&lt;='SOLLECITAZ NASCOSTO'!$P$10,IF(C298&lt;='SOLLECITAZ NASCOSTO'!$P$9,IF(C298&lt;='SOLLECITAZ NASCOSTO'!$P$8,IF(C298&lt;='SOLLECITAZ NASCOSTO'!$P$7,IF(C298&lt;='SOLLECITAZ NASCOSTO'!$P$6,IF(C298&lt;='SOLLECITAZ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slu'!$C$112)+IF(C298&lt;='SOLLECITAZ NASCOSTO'!$P$12,IF(C298&lt;='SOLLECITAZ NASCOSTO'!$P$11,IF(C298&lt;='SOLLECITAZ NASCOSTO'!$P$10,IF(C298&lt;='SOLLECITAZ NASCOSTO'!$P$9,IF(C298&lt;='SOLLECITAZ NASCOSTO'!$P$8,IF(C298&lt;='SOLLECITAZ NASCOSTO'!$P$7,IF(C298&lt;='SOLLECITAZ NASCOSTO'!$P$6,IF(C298&lt;='SOLLECITAZ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16.947252473553412</v>
      </c>
      <c r="O299" s="42">
        <f>IF(C299&lt;='SOLLECITAZ NASCOSTO'!$P$12,IF(C299&lt;='SOLLECITAZ NASCOSTO'!$P$11,IF(C299&lt;='SOLLECITAZ NASCOSTO'!$P$10,IF(C299&lt;='SOLLECITAZ NASCOSTO'!$P$9,IF(C299&lt;='SOLLECITAZ NASCOSTO'!$P$8,IF(C299&lt;='SOLLECITAZ NASCOSTO'!$P$7,IF(C299&lt;='SOLLECITAZ NASCOSTO'!$P$6,IF(C299&lt;='SOLLECITAZ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slu'!$G$111),55555)*(C299-C298)/IF(C299&lt;='SOLLECITAZ NASCOSTO'!$P$12,IF(C299&lt;='SOLLECITAZ NASCOSTO'!$P$11,IF(C299&lt;='SOLLECITAZ NASCOSTO'!$P$10,IF(C299&lt;='SOLLECITAZ NASCOSTO'!$P$9,IF(C299&lt;='SOLLECITAZ NASCOSTO'!$P$8,IF(C299&lt;='SOLLECITAZ NASCOSTO'!$P$7,IF(C299&lt;='SOLLECITAZ NASCOSTO'!$P$6,IF(C299&lt;='SOLLECITAZ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299" s="42">
        <f t="shared" si="93"/>
        <v>2.6599999999999996E-4</v>
      </c>
      <c r="Q299" s="42">
        <f t="shared" si="91"/>
        <v>1</v>
      </c>
      <c r="R299" s="441">
        <f t="shared" si="85"/>
        <v>1.8292067307692308</v>
      </c>
      <c r="S299" s="46">
        <f t="shared" si="92"/>
        <v>1.8292067307692308</v>
      </c>
      <c r="T299" s="211">
        <f t="shared" si="88"/>
        <v>1.5207932692307693</v>
      </c>
      <c r="U299" s="46">
        <f t="shared" si="89"/>
        <v>19.334227582103132</v>
      </c>
      <c r="V299" s="46">
        <f t="shared" si="90"/>
        <v>-14.09983130364324</v>
      </c>
      <c r="W299" s="496"/>
      <c r="X299" s="497"/>
      <c r="Y299" s="497"/>
      <c r="Z299" s="498"/>
      <c r="AA299" s="47"/>
    </row>
    <row r="300" spans="1:27" s="428" customFormat="1" x14ac:dyDescent="0.25">
      <c r="A300" s="589">
        <f t="shared" si="86"/>
        <v>6.4423076921449329E-6</v>
      </c>
      <c r="B300" s="32">
        <f t="shared" si="76"/>
        <v>268</v>
      </c>
      <c r="C300" s="441">
        <f>'SOLLECITAZ NASCOSTO'!$D$6/'SOLLECITAZ NASCOSTO'!$B$448*'SOLLECITAZ NASCOSTO'!B300</f>
        <v>1.8360576923076923</v>
      </c>
      <c r="D300" s="441">
        <f t="shared" si="87"/>
        <v>0.30000644230769213</v>
      </c>
      <c r="E300" s="441">
        <f t="shared" si="81"/>
        <v>6.4423076921449329E-6</v>
      </c>
      <c r="F300" s="441">
        <f t="shared" si="82"/>
        <v>0.30000644230769213</v>
      </c>
      <c r="G300" s="441">
        <f t="shared" si="83"/>
        <v>4.5001932713059307E-2</v>
      </c>
      <c r="H300" s="441">
        <f t="shared" si="77"/>
        <v>0</v>
      </c>
      <c r="I300" s="441">
        <v>0</v>
      </c>
      <c r="J300" s="131">
        <f t="shared" si="78"/>
        <v>0.15000322115384607</v>
      </c>
      <c r="K300" s="130">
        <f t="shared" si="84"/>
        <v>2.250144955035845E-3</v>
      </c>
      <c r="L300" s="42">
        <f t="shared" si="79"/>
        <v>19.45082718495366</v>
      </c>
      <c r="M300" s="42">
        <f t="shared" si="80"/>
        <v>-14.232688762881356</v>
      </c>
      <c r="N300" s="42">
        <f>(IF(C299&lt;='SOLLECITAZ NASCOSTO'!$P$12,IF(C299&lt;='SOLLECITAZ NASCOSTO'!$P$11,IF(C299&lt;='SOLLECITAZ NASCOSTO'!$P$10,IF(C299&lt;='SOLLECITAZ NASCOSTO'!$P$9,IF(C299&lt;='SOLLECITAZ NASCOSTO'!$P$8,IF(C299&lt;='SOLLECITAZ NASCOSTO'!$P$7,IF(C299&lt;='SOLLECITAZ NASCOSTO'!$P$6,IF(C299&lt;='SOLLECITAZ NASCOSTO'!$P$5,'Progetto del paramento slu'!$G$105,'Progetto del paramento slu'!$G$106),'Progetto del paramento slu'!$G$107),'Progetto del paramento slu'!$G$108),'Progetto del paramento slu'!$G$109),'Progetto del paramento slu'!$G$110),'Progetto del paramento slu'!$G$111),'Progetto del paramento slu'!$G$112),55555)-IF(C299&lt;='SOLLECITAZ NASCOSTO'!$P$12,IF(C299&lt;='SOLLECITAZ NASCOSTO'!$P$11,IF(C299&lt;='SOLLECITAZ NASCOSTO'!$P$10,IF(C299&lt;='SOLLECITAZ NASCOSTO'!$P$9,IF(C299&lt;='SOLLECITAZ NASCOSTO'!$P$8,IF(C299&lt;='SOLLECITAZ NASCOSTO'!$P$7,IF(C299&lt;='SOLLECITAZ NASCOSTO'!$P$6,IF(C299&lt;='SOLLECITAZ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slu'!$G$112))*(C299-IF(C299&lt;='SOLLECITAZ NASCOSTO'!$P$12,IF(C299&lt;='SOLLECITAZ NASCOSTO'!$P$11,IF(C299&lt;='SOLLECITAZ NASCOSTO'!$P$10,IF(C299&lt;='SOLLECITAZ NASCOSTO'!$P$9,IF(C299&lt;='SOLLECITAZ NASCOSTO'!$P$8,IF(C299&lt;='SOLLECITAZ NASCOSTO'!$P$7,IF(C299&lt;='SOLLECITAZ NASCOSTO'!$P$6,IF(C299&lt;='SOLLECITAZ NASCOSTO'!$P$5,'SOLLECITAZ NASCOSTO'!$P$3,'SOLLECITAZ NASCOSTO'!$P$5),'SOLLECITAZ NASCOSTO'!$P$5),'SOLLECITAZ NASCOSTO'!$P$7),'SOLLECITAZ NASCOSTO'!$P$8),'SOLLECITAZ NASCOSTO'!$P$9),'SOLLECITAZ NASCOSTO'!$P$10),'SOLLECITAZ NASCOSTO'!$P$11),'SOLLECITAZ NASCOSTO'!$P$12))/IF(C299&lt;='SOLLECITAZ NASCOSTO'!$P$12,IF(C299&lt;='SOLLECITAZ NASCOSTO'!$P$11,IF(C299&lt;='SOLLECITAZ NASCOSTO'!$P$10,IF(C299&lt;='SOLLECITAZ NASCOSTO'!$P$9,IF(C299&lt;='SOLLECITAZ NASCOSTO'!$P$8,IF(C299&lt;='SOLLECITAZ NASCOSTO'!$P$7,IF(C299&lt;='SOLLECITAZ NASCOSTO'!$P$6,IF(C299&lt;='SOLLECITAZ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slu'!$C$112)+IF(C299&lt;='SOLLECITAZ NASCOSTO'!$P$12,IF(C299&lt;='SOLLECITAZ NASCOSTO'!$P$11,IF(C299&lt;='SOLLECITAZ NASCOSTO'!$P$10,IF(C299&lt;='SOLLECITAZ NASCOSTO'!$P$9,IF(C299&lt;='SOLLECITAZ NASCOSTO'!$P$8,IF(C299&lt;='SOLLECITAZ NASCOSTO'!$P$7,IF(C299&lt;='SOLLECITAZ NASCOSTO'!$P$6,IF(C299&lt;='SOLLECITAZ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16.995384692545763</v>
      </c>
      <c r="O300" s="42">
        <f>IF(C300&lt;='SOLLECITAZ NASCOSTO'!$P$12,IF(C300&lt;='SOLLECITAZ NASCOSTO'!$P$11,IF(C300&lt;='SOLLECITAZ NASCOSTO'!$P$10,IF(C300&lt;='SOLLECITAZ NASCOSTO'!$P$9,IF(C300&lt;='SOLLECITAZ NASCOSTO'!$P$8,IF(C300&lt;='SOLLECITAZ NASCOSTO'!$P$7,IF(C300&lt;='SOLLECITAZ NASCOSTO'!$P$6,IF(C300&lt;='SOLLECITAZ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slu'!$G$111),55555)*(C300-C299)/IF(C300&lt;='SOLLECITAZ NASCOSTO'!$P$12,IF(C300&lt;='SOLLECITAZ NASCOSTO'!$P$11,IF(C300&lt;='SOLLECITAZ NASCOSTO'!$P$10,IF(C300&lt;='SOLLECITAZ NASCOSTO'!$P$9,IF(C300&lt;='SOLLECITAZ NASCOSTO'!$P$8,IF(C300&lt;='SOLLECITAZ NASCOSTO'!$P$7,IF(C300&lt;='SOLLECITAZ NASCOSTO'!$P$6,IF(C300&lt;='SOLLECITAZ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0" s="42">
        <f t="shared" si="93"/>
        <v>2.6699999999999998E-4</v>
      </c>
      <c r="Q300" s="42">
        <f t="shared" si="91"/>
        <v>1</v>
      </c>
      <c r="R300" s="441">
        <f t="shared" si="85"/>
        <v>1.8360576923076923</v>
      </c>
      <c r="S300" s="46">
        <f t="shared" si="92"/>
        <v>1.8360576923076923</v>
      </c>
      <c r="T300" s="211">
        <f t="shared" si="88"/>
        <v>1.5139423076923078</v>
      </c>
      <c r="U300" s="46">
        <f t="shared" si="89"/>
        <v>19.45082718495366</v>
      </c>
      <c r="V300" s="46">
        <f t="shared" si="90"/>
        <v>-14.232688762881356</v>
      </c>
      <c r="W300" s="496"/>
      <c r="X300" s="497"/>
      <c r="Y300" s="497"/>
      <c r="Z300" s="498"/>
      <c r="AA300" s="47"/>
    </row>
    <row r="301" spans="1:27" s="428" customFormat="1" x14ac:dyDescent="0.25">
      <c r="A301" s="589">
        <f t="shared" si="86"/>
        <v>6.4663461536995648E-6</v>
      </c>
      <c r="B301" s="32">
        <f t="shared" si="76"/>
        <v>269</v>
      </c>
      <c r="C301" s="441">
        <f>'SOLLECITAZ NASCOSTO'!$D$6/'SOLLECITAZ NASCOSTO'!$B$448*'SOLLECITAZ NASCOSTO'!B301</f>
        <v>1.8429086538461539</v>
      </c>
      <c r="D301" s="441">
        <f t="shared" si="87"/>
        <v>0.30000646634615369</v>
      </c>
      <c r="E301" s="441">
        <f t="shared" si="81"/>
        <v>6.4663461536995648E-6</v>
      </c>
      <c r="F301" s="441">
        <f t="shared" si="82"/>
        <v>0.30000646634615369</v>
      </c>
      <c r="G301" s="441">
        <f t="shared" si="83"/>
        <v>4.5001939924752925E-2</v>
      </c>
      <c r="H301" s="441">
        <f t="shared" si="77"/>
        <v>0</v>
      </c>
      <c r="I301" s="441">
        <v>0</v>
      </c>
      <c r="J301" s="131">
        <f t="shared" si="78"/>
        <v>0.15000323317307684</v>
      </c>
      <c r="K301" s="130">
        <f t="shared" si="84"/>
        <v>2.2501454959245031E-3</v>
      </c>
      <c r="L301" s="42">
        <f t="shared" si="79"/>
        <v>19.567756539785265</v>
      </c>
      <c r="M301" s="42">
        <f t="shared" si="80"/>
        <v>-14.36634617107307</v>
      </c>
      <c r="N301" s="42">
        <f>(IF(C300&lt;='SOLLECITAZ NASCOSTO'!$P$12,IF(C300&lt;='SOLLECITAZ NASCOSTO'!$P$11,IF(C300&lt;='SOLLECITAZ NASCOSTO'!$P$10,IF(C300&lt;='SOLLECITAZ NASCOSTO'!$P$9,IF(C300&lt;='SOLLECITAZ NASCOSTO'!$P$8,IF(C300&lt;='SOLLECITAZ NASCOSTO'!$P$7,IF(C300&lt;='SOLLECITAZ NASCOSTO'!$P$6,IF(C300&lt;='SOLLECITAZ NASCOSTO'!$P$5,'Progetto del paramento slu'!$G$105,'Progetto del paramento slu'!$G$106),'Progetto del paramento slu'!$G$107),'Progetto del paramento slu'!$G$108),'Progetto del paramento slu'!$G$109),'Progetto del paramento slu'!$G$110),'Progetto del paramento slu'!$G$111),'Progetto del paramento slu'!$G$112),55555)-IF(C300&lt;='SOLLECITAZ NASCOSTO'!$P$12,IF(C300&lt;='SOLLECITAZ NASCOSTO'!$P$11,IF(C300&lt;='SOLLECITAZ NASCOSTO'!$P$10,IF(C300&lt;='SOLLECITAZ NASCOSTO'!$P$9,IF(C300&lt;='SOLLECITAZ NASCOSTO'!$P$8,IF(C300&lt;='SOLLECITAZ NASCOSTO'!$P$7,IF(C300&lt;='SOLLECITAZ NASCOSTO'!$P$6,IF(C300&lt;='SOLLECITAZ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slu'!$G$112))*(C300-IF(C300&lt;='SOLLECITAZ NASCOSTO'!$P$12,IF(C300&lt;='SOLLECITAZ NASCOSTO'!$P$11,IF(C300&lt;='SOLLECITAZ NASCOSTO'!$P$10,IF(C300&lt;='SOLLECITAZ NASCOSTO'!$P$9,IF(C300&lt;='SOLLECITAZ NASCOSTO'!$P$8,IF(C300&lt;='SOLLECITAZ NASCOSTO'!$P$7,IF(C300&lt;='SOLLECITAZ NASCOSTO'!$P$6,IF(C300&lt;='SOLLECITAZ NASCOSTO'!$P$5,'SOLLECITAZ NASCOSTO'!$P$3,'SOLLECITAZ NASCOSTO'!$P$5),'SOLLECITAZ NASCOSTO'!$P$5),'SOLLECITAZ NASCOSTO'!$P$7),'SOLLECITAZ NASCOSTO'!$P$8),'SOLLECITAZ NASCOSTO'!$P$9),'SOLLECITAZ NASCOSTO'!$P$10),'SOLLECITAZ NASCOSTO'!$P$11),'SOLLECITAZ NASCOSTO'!$P$12))/IF(C300&lt;='SOLLECITAZ NASCOSTO'!$P$12,IF(C300&lt;='SOLLECITAZ NASCOSTO'!$P$11,IF(C300&lt;='SOLLECITAZ NASCOSTO'!$P$10,IF(C300&lt;='SOLLECITAZ NASCOSTO'!$P$9,IF(C300&lt;='SOLLECITAZ NASCOSTO'!$P$8,IF(C300&lt;='SOLLECITAZ NASCOSTO'!$P$7,IF(C300&lt;='SOLLECITAZ NASCOSTO'!$P$6,IF(C300&lt;='SOLLECITAZ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slu'!$C$112)+IF(C300&lt;='SOLLECITAZ NASCOSTO'!$P$12,IF(C300&lt;='SOLLECITAZ NASCOSTO'!$P$11,IF(C300&lt;='SOLLECITAZ NASCOSTO'!$P$10,IF(C300&lt;='SOLLECITAZ NASCOSTO'!$P$9,IF(C300&lt;='SOLLECITAZ NASCOSTO'!$P$8,IF(C300&lt;='SOLLECITAZ NASCOSTO'!$P$7,IF(C300&lt;='SOLLECITAZ NASCOSTO'!$P$6,IF(C300&lt;='SOLLECITAZ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17.04351691153812</v>
      </c>
      <c r="O301" s="42">
        <f>IF(C301&lt;='SOLLECITAZ NASCOSTO'!$P$12,IF(C301&lt;='SOLLECITAZ NASCOSTO'!$P$11,IF(C301&lt;='SOLLECITAZ NASCOSTO'!$P$10,IF(C301&lt;='SOLLECITAZ NASCOSTO'!$P$9,IF(C301&lt;='SOLLECITAZ NASCOSTO'!$P$8,IF(C301&lt;='SOLLECITAZ NASCOSTO'!$P$7,IF(C301&lt;='SOLLECITAZ NASCOSTO'!$P$6,IF(C301&lt;='SOLLECITAZ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slu'!$G$111),55555)*(C301-C300)/IF(C301&lt;='SOLLECITAZ NASCOSTO'!$P$12,IF(C301&lt;='SOLLECITAZ NASCOSTO'!$P$11,IF(C301&lt;='SOLLECITAZ NASCOSTO'!$P$10,IF(C301&lt;='SOLLECITAZ NASCOSTO'!$P$9,IF(C301&lt;='SOLLECITAZ NASCOSTO'!$P$8,IF(C301&lt;='SOLLECITAZ NASCOSTO'!$P$7,IF(C301&lt;='SOLLECITAZ NASCOSTO'!$P$6,IF(C301&lt;='SOLLECITAZ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1" s="42">
        <f t="shared" si="93"/>
        <v>2.6800000000000001E-4</v>
      </c>
      <c r="Q301" s="42">
        <f t="shared" si="91"/>
        <v>1</v>
      </c>
      <c r="R301" s="441">
        <f t="shared" si="85"/>
        <v>1.8429086538461539</v>
      </c>
      <c r="S301" s="46">
        <f t="shared" si="92"/>
        <v>1.8429086538461539</v>
      </c>
      <c r="T301" s="211">
        <f t="shared" si="88"/>
        <v>1.5070913461538462</v>
      </c>
      <c r="U301" s="46">
        <f t="shared" si="89"/>
        <v>19.567756539785265</v>
      </c>
      <c r="V301" s="46">
        <f t="shared" si="90"/>
        <v>-14.36634617107307</v>
      </c>
      <c r="W301" s="496"/>
      <c r="X301" s="497"/>
      <c r="Y301" s="497"/>
      <c r="Z301" s="498"/>
      <c r="AA301" s="47"/>
    </row>
    <row r="302" spans="1:27" s="428" customFormat="1" x14ac:dyDescent="0.25">
      <c r="A302" s="589">
        <f t="shared" si="86"/>
        <v>6.4903846152541966E-6</v>
      </c>
      <c r="B302" s="32">
        <f t="shared" si="76"/>
        <v>270</v>
      </c>
      <c r="C302" s="441">
        <f>'SOLLECITAZ NASCOSTO'!$D$6/'SOLLECITAZ NASCOSTO'!$B$448*'SOLLECITAZ NASCOSTO'!B302</f>
        <v>1.8497596153846154</v>
      </c>
      <c r="D302" s="441">
        <f t="shared" si="87"/>
        <v>0.30000649038461524</v>
      </c>
      <c r="E302" s="441">
        <f t="shared" si="81"/>
        <v>6.4903846152541966E-6</v>
      </c>
      <c r="F302" s="441">
        <f t="shared" si="82"/>
        <v>0.30000649038461524</v>
      </c>
      <c r="G302" s="441">
        <f t="shared" si="83"/>
        <v>4.5001947136447118E-2</v>
      </c>
      <c r="H302" s="441">
        <f t="shared" si="77"/>
        <v>0</v>
      </c>
      <c r="I302" s="441">
        <v>0</v>
      </c>
      <c r="J302" s="131">
        <f t="shared" si="78"/>
        <v>0.15000324519230762</v>
      </c>
      <c r="K302" s="130">
        <f t="shared" si="84"/>
        <v>2.2501460368132475E-3</v>
      </c>
      <c r="L302" s="42">
        <f t="shared" si="79"/>
        <v>19.685015646597947</v>
      </c>
      <c r="M302" s="42">
        <f t="shared" si="80"/>
        <v>-14.500805787336523</v>
      </c>
      <c r="N302" s="42">
        <f>(IF(C301&lt;='SOLLECITAZ NASCOSTO'!$P$12,IF(C301&lt;='SOLLECITAZ NASCOSTO'!$P$11,IF(C301&lt;='SOLLECITAZ NASCOSTO'!$P$10,IF(C301&lt;='SOLLECITAZ NASCOSTO'!$P$9,IF(C301&lt;='SOLLECITAZ NASCOSTO'!$P$8,IF(C301&lt;='SOLLECITAZ NASCOSTO'!$P$7,IF(C301&lt;='SOLLECITAZ NASCOSTO'!$P$6,IF(C301&lt;='SOLLECITAZ NASCOSTO'!$P$5,'Progetto del paramento slu'!$G$105,'Progetto del paramento slu'!$G$106),'Progetto del paramento slu'!$G$107),'Progetto del paramento slu'!$G$108),'Progetto del paramento slu'!$G$109),'Progetto del paramento slu'!$G$110),'Progetto del paramento slu'!$G$111),'Progetto del paramento slu'!$G$112),55555)-IF(C301&lt;='SOLLECITAZ NASCOSTO'!$P$12,IF(C301&lt;='SOLLECITAZ NASCOSTO'!$P$11,IF(C301&lt;='SOLLECITAZ NASCOSTO'!$P$10,IF(C301&lt;='SOLLECITAZ NASCOSTO'!$P$9,IF(C301&lt;='SOLLECITAZ NASCOSTO'!$P$8,IF(C301&lt;='SOLLECITAZ NASCOSTO'!$P$7,IF(C301&lt;='SOLLECITAZ NASCOSTO'!$P$6,IF(C301&lt;='SOLLECITAZ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slu'!$G$112))*(C301-IF(C301&lt;='SOLLECITAZ NASCOSTO'!$P$12,IF(C301&lt;='SOLLECITAZ NASCOSTO'!$P$11,IF(C301&lt;='SOLLECITAZ NASCOSTO'!$P$10,IF(C301&lt;='SOLLECITAZ NASCOSTO'!$P$9,IF(C301&lt;='SOLLECITAZ NASCOSTO'!$P$8,IF(C301&lt;='SOLLECITAZ NASCOSTO'!$P$7,IF(C301&lt;='SOLLECITAZ NASCOSTO'!$P$6,IF(C301&lt;='SOLLECITAZ NASCOSTO'!$P$5,'SOLLECITAZ NASCOSTO'!$P$3,'SOLLECITAZ NASCOSTO'!$P$5),'SOLLECITAZ NASCOSTO'!$P$5),'SOLLECITAZ NASCOSTO'!$P$7),'SOLLECITAZ NASCOSTO'!$P$8),'SOLLECITAZ NASCOSTO'!$P$9),'SOLLECITAZ NASCOSTO'!$P$10),'SOLLECITAZ NASCOSTO'!$P$11),'SOLLECITAZ NASCOSTO'!$P$12))/IF(C301&lt;='SOLLECITAZ NASCOSTO'!$P$12,IF(C301&lt;='SOLLECITAZ NASCOSTO'!$P$11,IF(C301&lt;='SOLLECITAZ NASCOSTO'!$P$10,IF(C301&lt;='SOLLECITAZ NASCOSTO'!$P$9,IF(C301&lt;='SOLLECITAZ NASCOSTO'!$P$8,IF(C301&lt;='SOLLECITAZ NASCOSTO'!$P$7,IF(C301&lt;='SOLLECITAZ NASCOSTO'!$P$6,IF(C301&lt;='SOLLECITAZ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slu'!$C$112)+IF(C301&lt;='SOLLECITAZ NASCOSTO'!$P$12,IF(C301&lt;='SOLLECITAZ NASCOSTO'!$P$11,IF(C301&lt;='SOLLECITAZ NASCOSTO'!$P$10,IF(C301&lt;='SOLLECITAZ NASCOSTO'!$P$9,IF(C301&lt;='SOLLECITAZ NASCOSTO'!$P$8,IF(C301&lt;='SOLLECITAZ NASCOSTO'!$P$7,IF(C301&lt;='SOLLECITAZ NASCOSTO'!$P$6,IF(C301&lt;='SOLLECITAZ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17.09164913053047</v>
      </c>
      <c r="O302" s="42">
        <f>IF(C302&lt;='SOLLECITAZ NASCOSTO'!$P$12,IF(C302&lt;='SOLLECITAZ NASCOSTO'!$P$11,IF(C302&lt;='SOLLECITAZ NASCOSTO'!$P$10,IF(C302&lt;='SOLLECITAZ NASCOSTO'!$P$9,IF(C302&lt;='SOLLECITAZ NASCOSTO'!$P$8,IF(C302&lt;='SOLLECITAZ NASCOSTO'!$P$7,IF(C302&lt;='SOLLECITAZ NASCOSTO'!$P$6,IF(C302&lt;='SOLLECITAZ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slu'!$G$111),55555)*(C302-C301)/IF(C302&lt;='SOLLECITAZ NASCOSTO'!$P$12,IF(C302&lt;='SOLLECITAZ NASCOSTO'!$P$11,IF(C302&lt;='SOLLECITAZ NASCOSTO'!$P$10,IF(C302&lt;='SOLLECITAZ NASCOSTO'!$P$9,IF(C302&lt;='SOLLECITAZ NASCOSTO'!$P$8,IF(C302&lt;='SOLLECITAZ NASCOSTO'!$P$7,IF(C302&lt;='SOLLECITAZ NASCOSTO'!$P$6,IF(C302&lt;='SOLLECITAZ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2" s="42">
        <f t="shared" si="93"/>
        <v>2.6900000000000003E-4</v>
      </c>
      <c r="Q302" s="42">
        <f t="shared" si="91"/>
        <v>1</v>
      </c>
      <c r="R302" s="441">
        <f t="shared" si="85"/>
        <v>1.8497596153846154</v>
      </c>
      <c r="S302" s="46">
        <f t="shared" si="92"/>
        <v>1.8497596153846154</v>
      </c>
      <c r="T302" s="211">
        <f t="shared" si="88"/>
        <v>1.5002403846153847</v>
      </c>
      <c r="U302" s="46">
        <f t="shared" si="89"/>
        <v>19.685015646597947</v>
      </c>
      <c r="V302" s="46">
        <f t="shared" si="90"/>
        <v>-14.500805787336523</v>
      </c>
      <c r="W302" s="496"/>
      <c r="X302" s="497"/>
      <c r="Y302" s="497"/>
      <c r="Z302" s="498"/>
      <c r="AA302" s="47"/>
    </row>
    <row r="303" spans="1:27" s="428" customFormat="1" x14ac:dyDescent="0.25">
      <c r="A303" s="589">
        <f t="shared" si="86"/>
        <v>6.5144230767533173E-6</v>
      </c>
      <c r="B303" s="32">
        <f t="shared" si="76"/>
        <v>271</v>
      </c>
      <c r="C303" s="441">
        <f>'SOLLECITAZ NASCOSTO'!$D$6/'SOLLECITAZ NASCOSTO'!$B$448*'SOLLECITAZ NASCOSTO'!B303</f>
        <v>1.856610576923077</v>
      </c>
      <c r="D303" s="441">
        <f t="shared" si="87"/>
        <v>0.30000651442307674</v>
      </c>
      <c r="E303" s="441">
        <f t="shared" si="81"/>
        <v>6.5144230767533173E-6</v>
      </c>
      <c r="F303" s="441">
        <f t="shared" si="82"/>
        <v>0.30000651442307674</v>
      </c>
      <c r="G303" s="441">
        <f t="shared" si="83"/>
        <v>4.500195434814188E-2</v>
      </c>
      <c r="H303" s="441">
        <f t="shared" si="77"/>
        <v>0</v>
      </c>
      <c r="I303" s="441">
        <v>0</v>
      </c>
      <c r="J303" s="131">
        <f t="shared" si="78"/>
        <v>0.15000325721153837</v>
      </c>
      <c r="K303" s="130">
        <f t="shared" si="84"/>
        <v>2.2501465777020778E-3</v>
      </c>
      <c r="L303" s="42">
        <f t="shared" si="79"/>
        <v>19.802604505391706</v>
      </c>
      <c r="M303" s="42">
        <f t="shared" si="80"/>
        <v>-14.636069870789854</v>
      </c>
      <c r="N303" s="42">
        <f>(IF(C302&lt;='SOLLECITAZ NASCOSTO'!$P$12,IF(C302&lt;='SOLLECITAZ NASCOSTO'!$P$11,IF(C302&lt;='SOLLECITAZ NASCOSTO'!$P$10,IF(C302&lt;='SOLLECITAZ NASCOSTO'!$P$9,IF(C302&lt;='SOLLECITAZ NASCOSTO'!$P$8,IF(C302&lt;='SOLLECITAZ NASCOSTO'!$P$7,IF(C302&lt;='SOLLECITAZ NASCOSTO'!$P$6,IF(C302&lt;='SOLLECITAZ NASCOSTO'!$P$5,'Progetto del paramento slu'!$G$105,'Progetto del paramento slu'!$G$106),'Progetto del paramento slu'!$G$107),'Progetto del paramento slu'!$G$108),'Progetto del paramento slu'!$G$109),'Progetto del paramento slu'!$G$110),'Progetto del paramento slu'!$G$111),'Progetto del paramento slu'!$G$112),55555)-IF(C302&lt;='SOLLECITAZ NASCOSTO'!$P$12,IF(C302&lt;='SOLLECITAZ NASCOSTO'!$P$11,IF(C302&lt;='SOLLECITAZ NASCOSTO'!$P$10,IF(C302&lt;='SOLLECITAZ NASCOSTO'!$P$9,IF(C302&lt;='SOLLECITAZ NASCOSTO'!$P$8,IF(C302&lt;='SOLLECITAZ NASCOSTO'!$P$7,IF(C302&lt;='SOLLECITAZ NASCOSTO'!$P$6,IF(C302&lt;='SOLLECITAZ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slu'!$G$112))*(C302-IF(C302&lt;='SOLLECITAZ NASCOSTO'!$P$12,IF(C302&lt;='SOLLECITAZ NASCOSTO'!$P$11,IF(C302&lt;='SOLLECITAZ NASCOSTO'!$P$10,IF(C302&lt;='SOLLECITAZ NASCOSTO'!$P$9,IF(C302&lt;='SOLLECITAZ NASCOSTO'!$P$8,IF(C302&lt;='SOLLECITAZ NASCOSTO'!$P$7,IF(C302&lt;='SOLLECITAZ NASCOSTO'!$P$6,IF(C302&lt;='SOLLECITAZ NASCOSTO'!$P$5,'SOLLECITAZ NASCOSTO'!$P$3,'SOLLECITAZ NASCOSTO'!$P$5),'SOLLECITAZ NASCOSTO'!$P$5),'SOLLECITAZ NASCOSTO'!$P$7),'SOLLECITAZ NASCOSTO'!$P$8),'SOLLECITAZ NASCOSTO'!$P$9),'SOLLECITAZ NASCOSTO'!$P$10),'SOLLECITAZ NASCOSTO'!$P$11),'SOLLECITAZ NASCOSTO'!$P$12))/IF(C302&lt;='SOLLECITAZ NASCOSTO'!$P$12,IF(C302&lt;='SOLLECITAZ NASCOSTO'!$P$11,IF(C302&lt;='SOLLECITAZ NASCOSTO'!$P$10,IF(C302&lt;='SOLLECITAZ NASCOSTO'!$P$9,IF(C302&lt;='SOLLECITAZ NASCOSTO'!$P$8,IF(C302&lt;='SOLLECITAZ NASCOSTO'!$P$7,IF(C302&lt;='SOLLECITAZ NASCOSTO'!$P$6,IF(C302&lt;='SOLLECITAZ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slu'!$C$112)+IF(C302&lt;='SOLLECITAZ NASCOSTO'!$P$12,IF(C302&lt;='SOLLECITAZ NASCOSTO'!$P$11,IF(C302&lt;='SOLLECITAZ NASCOSTO'!$P$10,IF(C302&lt;='SOLLECITAZ NASCOSTO'!$P$9,IF(C302&lt;='SOLLECITAZ NASCOSTO'!$P$8,IF(C302&lt;='SOLLECITAZ NASCOSTO'!$P$7,IF(C302&lt;='SOLLECITAZ NASCOSTO'!$P$6,IF(C302&lt;='SOLLECITAZ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17.139781349522821</v>
      </c>
      <c r="O303" s="42">
        <f>IF(C303&lt;='SOLLECITAZ NASCOSTO'!$P$12,IF(C303&lt;='SOLLECITAZ NASCOSTO'!$P$11,IF(C303&lt;='SOLLECITAZ NASCOSTO'!$P$10,IF(C303&lt;='SOLLECITAZ NASCOSTO'!$P$9,IF(C303&lt;='SOLLECITAZ NASCOSTO'!$P$8,IF(C303&lt;='SOLLECITAZ NASCOSTO'!$P$7,IF(C303&lt;='SOLLECITAZ NASCOSTO'!$P$6,IF(C303&lt;='SOLLECITAZ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slu'!$G$111),55555)*(C303-C302)/IF(C303&lt;='SOLLECITAZ NASCOSTO'!$P$12,IF(C303&lt;='SOLLECITAZ NASCOSTO'!$P$11,IF(C303&lt;='SOLLECITAZ NASCOSTO'!$P$10,IF(C303&lt;='SOLLECITAZ NASCOSTO'!$P$9,IF(C303&lt;='SOLLECITAZ NASCOSTO'!$P$8,IF(C303&lt;='SOLLECITAZ NASCOSTO'!$P$7,IF(C303&lt;='SOLLECITAZ NASCOSTO'!$P$6,IF(C303&lt;='SOLLECITAZ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3" s="42">
        <f t="shared" si="93"/>
        <v>2.7000000000000006E-4</v>
      </c>
      <c r="Q303" s="42">
        <f t="shared" si="91"/>
        <v>1</v>
      </c>
      <c r="R303" s="441">
        <f t="shared" si="85"/>
        <v>1.856610576923077</v>
      </c>
      <c r="S303" s="46">
        <f t="shared" si="92"/>
        <v>1.856610576923077</v>
      </c>
      <c r="T303" s="211">
        <f t="shared" si="88"/>
        <v>1.4933894230769231</v>
      </c>
      <c r="U303" s="46">
        <f t="shared" si="89"/>
        <v>19.802604505391706</v>
      </c>
      <c r="V303" s="46">
        <f t="shared" si="90"/>
        <v>-14.636069870789854</v>
      </c>
      <c r="W303" s="496"/>
      <c r="X303" s="497"/>
      <c r="Y303" s="497"/>
      <c r="Z303" s="498"/>
      <c r="AA303" s="47"/>
    </row>
    <row r="304" spans="1:27" s="428" customFormat="1" x14ac:dyDescent="0.25">
      <c r="A304" s="589">
        <f t="shared" si="86"/>
        <v>6.5384615383079492E-6</v>
      </c>
      <c r="B304" s="32">
        <f t="shared" si="76"/>
        <v>272</v>
      </c>
      <c r="C304" s="441">
        <f>'SOLLECITAZ NASCOSTO'!$D$6/'SOLLECITAZ NASCOSTO'!$B$448*'SOLLECITAZ NASCOSTO'!B304</f>
        <v>1.8634615384615385</v>
      </c>
      <c r="D304" s="441">
        <f t="shared" si="87"/>
        <v>0.3000065384615383</v>
      </c>
      <c r="E304" s="441">
        <f t="shared" si="81"/>
        <v>6.5384615383079492E-6</v>
      </c>
      <c r="F304" s="441">
        <f t="shared" si="82"/>
        <v>0.3000065384615383</v>
      </c>
      <c r="G304" s="441">
        <f t="shared" si="83"/>
        <v>4.5001961559837232E-2</v>
      </c>
      <c r="H304" s="441">
        <f t="shared" si="77"/>
        <v>0</v>
      </c>
      <c r="I304" s="441">
        <v>0</v>
      </c>
      <c r="J304" s="131">
        <f t="shared" si="78"/>
        <v>0.15000326923076915</v>
      </c>
      <c r="K304" s="130">
        <f t="shared" si="84"/>
        <v>2.2501471185909956E-3</v>
      </c>
      <c r="L304" s="42">
        <f t="shared" si="79"/>
        <v>19.920523116166542</v>
      </c>
      <c r="M304" s="42">
        <f t="shared" si="80"/>
        <v>-14.772140680551201</v>
      </c>
      <c r="N304" s="42">
        <f>(IF(C303&lt;='SOLLECITAZ NASCOSTO'!$P$12,IF(C303&lt;='SOLLECITAZ NASCOSTO'!$P$11,IF(C303&lt;='SOLLECITAZ NASCOSTO'!$P$10,IF(C303&lt;='SOLLECITAZ NASCOSTO'!$P$9,IF(C303&lt;='SOLLECITAZ NASCOSTO'!$P$8,IF(C303&lt;='SOLLECITAZ NASCOSTO'!$P$7,IF(C303&lt;='SOLLECITAZ NASCOSTO'!$P$6,IF(C303&lt;='SOLLECITAZ NASCOSTO'!$P$5,'Progetto del paramento slu'!$G$105,'Progetto del paramento slu'!$G$106),'Progetto del paramento slu'!$G$107),'Progetto del paramento slu'!$G$108),'Progetto del paramento slu'!$G$109),'Progetto del paramento slu'!$G$110),'Progetto del paramento slu'!$G$111),'Progetto del paramento slu'!$G$112),55555)-IF(C303&lt;='SOLLECITAZ NASCOSTO'!$P$12,IF(C303&lt;='SOLLECITAZ NASCOSTO'!$P$11,IF(C303&lt;='SOLLECITAZ NASCOSTO'!$P$10,IF(C303&lt;='SOLLECITAZ NASCOSTO'!$P$9,IF(C303&lt;='SOLLECITAZ NASCOSTO'!$P$8,IF(C303&lt;='SOLLECITAZ NASCOSTO'!$P$7,IF(C303&lt;='SOLLECITAZ NASCOSTO'!$P$6,IF(C303&lt;='SOLLECITAZ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slu'!$G$112))*(C303-IF(C303&lt;='SOLLECITAZ NASCOSTO'!$P$12,IF(C303&lt;='SOLLECITAZ NASCOSTO'!$P$11,IF(C303&lt;='SOLLECITAZ NASCOSTO'!$P$10,IF(C303&lt;='SOLLECITAZ NASCOSTO'!$P$9,IF(C303&lt;='SOLLECITAZ NASCOSTO'!$P$8,IF(C303&lt;='SOLLECITAZ NASCOSTO'!$P$7,IF(C303&lt;='SOLLECITAZ NASCOSTO'!$P$6,IF(C303&lt;='SOLLECITAZ NASCOSTO'!$P$5,'SOLLECITAZ NASCOSTO'!$P$3,'SOLLECITAZ NASCOSTO'!$P$5),'SOLLECITAZ NASCOSTO'!$P$5),'SOLLECITAZ NASCOSTO'!$P$7),'SOLLECITAZ NASCOSTO'!$P$8),'SOLLECITAZ NASCOSTO'!$P$9),'SOLLECITAZ NASCOSTO'!$P$10),'SOLLECITAZ NASCOSTO'!$P$11),'SOLLECITAZ NASCOSTO'!$P$12))/IF(C303&lt;='SOLLECITAZ NASCOSTO'!$P$12,IF(C303&lt;='SOLLECITAZ NASCOSTO'!$P$11,IF(C303&lt;='SOLLECITAZ NASCOSTO'!$P$10,IF(C303&lt;='SOLLECITAZ NASCOSTO'!$P$9,IF(C303&lt;='SOLLECITAZ NASCOSTO'!$P$8,IF(C303&lt;='SOLLECITAZ NASCOSTO'!$P$7,IF(C303&lt;='SOLLECITAZ NASCOSTO'!$P$6,IF(C303&lt;='SOLLECITAZ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slu'!$C$112)+IF(C303&lt;='SOLLECITAZ NASCOSTO'!$P$12,IF(C303&lt;='SOLLECITAZ NASCOSTO'!$P$11,IF(C303&lt;='SOLLECITAZ NASCOSTO'!$P$10,IF(C303&lt;='SOLLECITAZ NASCOSTO'!$P$9,IF(C303&lt;='SOLLECITAZ NASCOSTO'!$P$8,IF(C303&lt;='SOLLECITAZ NASCOSTO'!$P$7,IF(C303&lt;='SOLLECITAZ NASCOSTO'!$P$6,IF(C303&lt;='SOLLECITAZ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17.187913568515174</v>
      </c>
      <c r="O304" s="42">
        <f>IF(C304&lt;='SOLLECITAZ NASCOSTO'!$P$12,IF(C304&lt;='SOLLECITAZ NASCOSTO'!$P$11,IF(C304&lt;='SOLLECITAZ NASCOSTO'!$P$10,IF(C304&lt;='SOLLECITAZ NASCOSTO'!$P$9,IF(C304&lt;='SOLLECITAZ NASCOSTO'!$P$8,IF(C304&lt;='SOLLECITAZ NASCOSTO'!$P$7,IF(C304&lt;='SOLLECITAZ NASCOSTO'!$P$6,IF(C304&lt;='SOLLECITAZ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slu'!$G$111),55555)*(C304-C303)/IF(C304&lt;='SOLLECITAZ NASCOSTO'!$P$12,IF(C304&lt;='SOLLECITAZ NASCOSTO'!$P$11,IF(C304&lt;='SOLLECITAZ NASCOSTO'!$P$10,IF(C304&lt;='SOLLECITAZ NASCOSTO'!$P$9,IF(C304&lt;='SOLLECITAZ NASCOSTO'!$P$8,IF(C304&lt;='SOLLECITAZ NASCOSTO'!$P$7,IF(C304&lt;='SOLLECITAZ NASCOSTO'!$P$6,IF(C304&lt;='SOLLECITAZ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4" s="42">
        <f t="shared" si="93"/>
        <v>2.7100000000000008E-4</v>
      </c>
      <c r="Q304" s="42">
        <f t="shared" si="91"/>
        <v>1</v>
      </c>
      <c r="R304" s="441">
        <f t="shared" si="85"/>
        <v>1.8634615384615385</v>
      </c>
      <c r="S304" s="46">
        <f t="shared" si="92"/>
        <v>1.8634615384615385</v>
      </c>
      <c r="T304" s="211">
        <f t="shared" si="88"/>
        <v>1.4865384615384616</v>
      </c>
      <c r="U304" s="46">
        <f t="shared" si="89"/>
        <v>19.920523116166542</v>
      </c>
      <c r="V304" s="46">
        <f t="shared" si="90"/>
        <v>-14.772140680551201</v>
      </c>
      <c r="W304" s="496"/>
      <c r="X304" s="497"/>
      <c r="Y304" s="497"/>
      <c r="Z304" s="498"/>
      <c r="AA304" s="47"/>
    </row>
    <row r="305" spans="1:27" s="428" customFormat="1" x14ac:dyDescent="0.25">
      <c r="A305" s="589">
        <f t="shared" si="86"/>
        <v>6.562499999862581E-6</v>
      </c>
      <c r="B305" s="32">
        <f t="shared" si="76"/>
        <v>273</v>
      </c>
      <c r="C305" s="441">
        <f>'SOLLECITAZ NASCOSTO'!$D$6/'SOLLECITAZ NASCOSTO'!$B$448*'SOLLECITAZ NASCOSTO'!B305</f>
        <v>1.8703125</v>
      </c>
      <c r="D305" s="441">
        <f t="shared" si="87"/>
        <v>0.30000656249999985</v>
      </c>
      <c r="E305" s="441">
        <f t="shared" si="81"/>
        <v>6.562499999862581E-6</v>
      </c>
      <c r="F305" s="441">
        <f t="shared" si="82"/>
        <v>0.30000656249999985</v>
      </c>
      <c r="G305" s="441">
        <f t="shared" si="83"/>
        <v>4.500196877153316E-2</v>
      </c>
      <c r="H305" s="441">
        <f t="shared" si="77"/>
        <v>0</v>
      </c>
      <c r="I305" s="441">
        <v>0</v>
      </c>
      <c r="J305" s="131">
        <f t="shared" si="78"/>
        <v>0.15000328124999993</v>
      </c>
      <c r="K305" s="130">
        <f t="shared" si="84"/>
        <v>2.2501476594800011E-3</v>
      </c>
      <c r="L305" s="42">
        <f t="shared" si="79"/>
        <v>20.038771478922456</v>
      </c>
      <c r="M305" s="42">
        <f t="shared" si="80"/>
        <v>-14.909020475738705</v>
      </c>
      <c r="N305" s="42">
        <f>(IF(C304&lt;='SOLLECITAZ NASCOSTO'!$P$12,IF(C304&lt;='SOLLECITAZ NASCOSTO'!$P$11,IF(C304&lt;='SOLLECITAZ NASCOSTO'!$P$10,IF(C304&lt;='SOLLECITAZ NASCOSTO'!$P$9,IF(C304&lt;='SOLLECITAZ NASCOSTO'!$P$8,IF(C304&lt;='SOLLECITAZ NASCOSTO'!$P$7,IF(C304&lt;='SOLLECITAZ NASCOSTO'!$P$6,IF(C304&lt;='SOLLECITAZ NASCOSTO'!$P$5,'Progetto del paramento slu'!$G$105,'Progetto del paramento slu'!$G$106),'Progetto del paramento slu'!$G$107),'Progetto del paramento slu'!$G$108),'Progetto del paramento slu'!$G$109),'Progetto del paramento slu'!$G$110),'Progetto del paramento slu'!$G$111),'Progetto del paramento slu'!$G$112),55555)-IF(C304&lt;='SOLLECITAZ NASCOSTO'!$P$12,IF(C304&lt;='SOLLECITAZ NASCOSTO'!$P$11,IF(C304&lt;='SOLLECITAZ NASCOSTO'!$P$10,IF(C304&lt;='SOLLECITAZ NASCOSTO'!$P$9,IF(C304&lt;='SOLLECITAZ NASCOSTO'!$P$8,IF(C304&lt;='SOLLECITAZ NASCOSTO'!$P$7,IF(C304&lt;='SOLLECITAZ NASCOSTO'!$P$6,IF(C304&lt;='SOLLECITAZ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slu'!$G$112))*(C304-IF(C304&lt;='SOLLECITAZ NASCOSTO'!$P$12,IF(C304&lt;='SOLLECITAZ NASCOSTO'!$P$11,IF(C304&lt;='SOLLECITAZ NASCOSTO'!$P$10,IF(C304&lt;='SOLLECITAZ NASCOSTO'!$P$9,IF(C304&lt;='SOLLECITAZ NASCOSTO'!$P$8,IF(C304&lt;='SOLLECITAZ NASCOSTO'!$P$7,IF(C304&lt;='SOLLECITAZ NASCOSTO'!$P$6,IF(C304&lt;='SOLLECITAZ NASCOSTO'!$P$5,'SOLLECITAZ NASCOSTO'!$P$3,'SOLLECITAZ NASCOSTO'!$P$5),'SOLLECITAZ NASCOSTO'!$P$5),'SOLLECITAZ NASCOSTO'!$P$7),'SOLLECITAZ NASCOSTO'!$P$8),'SOLLECITAZ NASCOSTO'!$P$9),'SOLLECITAZ NASCOSTO'!$P$10),'SOLLECITAZ NASCOSTO'!$P$11),'SOLLECITAZ NASCOSTO'!$P$12))/IF(C304&lt;='SOLLECITAZ NASCOSTO'!$P$12,IF(C304&lt;='SOLLECITAZ NASCOSTO'!$P$11,IF(C304&lt;='SOLLECITAZ NASCOSTO'!$P$10,IF(C304&lt;='SOLLECITAZ NASCOSTO'!$P$9,IF(C304&lt;='SOLLECITAZ NASCOSTO'!$P$8,IF(C304&lt;='SOLLECITAZ NASCOSTO'!$P$7,IF(C304&lt;='SOLLECITAZ NASCOSTO'!$P$6,IF(C304&lt;='SOLLECITAZ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slu'!$C$112)+IF(C304&lt;='SOLLECITAZ NASCOSTO'!$P$12,IF(C304&lt;='SOLLECITAZ NASCOSTO'!$P$11,IF(C304&lt;='SOLLECITAZ NASCOSTO'!$P$10,IF(C304&lt;='SOLLECITAZ NASCOSTO'!$P$9,IF(C304&lt;='SOLLECITAZ NASCOSTO'!$P$8,IF(C304&lt;='SOLLECITAZ NASCOSTO'!$P$7,IF(C304&lt;='SOLLECITAZ NASCOSTO'!$P$6,IF(C304&lt;='SOLLECITAZ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17.236045787507528</v>
      </c>
      <c r="O305" s="42">
        <f>IF(C305&lt;='SOLLECITAZ NASCOSTO'!$P$12,IF(C305&lt;='SOLLECITAZ NASCOSTO'!$P$11,IF(C305&lt;='SOLLECITAZ NASCOSTO'!$P$10,IF(C305&lt;='SOLLECITAZ NASCOSTO'!$P$9,IF(C305&lt;='SOLLECITAZ NASCOSTO'!$P$8,IF(C305&lt;='SOLLECITAZ NASCOSTO'!$P$7,IF(C305&lt;='SOLLECITAZ NASCOSTO'!$P$6,IF(C305&lt;='SOLLECITAZ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slu'!$G$111),55555)*(C305-C304)/IF(C305&lt;='SOLLECITAZ NASCOSTO'!$P$12,IF(C305&lt;='SOLLECITAZ NASCOSTO'!$P$11,IF(C305&lt;='SOLLECITAZ NASCOSTO'!$P$10,IF(C305&lt;='SOLLECITAZ NASCOSTO'!$P$9,IF(C305&lt;='SOLLECITAZ NASCOSTO'!$P$8,IF(C305&lt;='SOLLECITAZ NASCOSTO'!$P$7,IF(C305&lt;='SOLLECITAZ NASCOSTO'!$P$6,IF(C305&lt;='SOLLECITAZ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5" s="42">
        <f t="shared" si="93"/>
        <v>2.7200000000000011E-4</v>
      </c>
      <c r="Q305" s="42">
        <f t="shared" si="91"/>
        <v>1</v>
      </c>
      <c r="R305" s="441">
        <f t="shared" si="85"/>
        <v>1.8703125</v>
      </c>
      <c r="S305" s="46">
        <f t="shared" si="92"/>
        <v>1.8703125</v>
      </c>
      <c r="T305" s="211">
        <f t="shared" si="88"/>
        <v>1.4796875</v>
      </c>
      <c r="U305" s="46">
        <f t="shared" si="89"/>
        <v>20.038771478922456</v>
      </c>
      <c r="V305" s="46">
        <f t="shared" si="90"/>
        <v>-14.909020475738705</v>
      </c>
      <c r="W305" s="496"/>
      <c r="X305" s="497"/>
      <c r="Y305" s="497"/>
      <c r="Z305" s="498"/>
      <c r="AA305" s="47"/>
    </row>
    <row r="306" spans="1:27" s="428" customFormat="1" x14ac:dyDescent="0.25">
      <c r="A306" s="589">
        <f t="shared" si="86"/>
        <v>6.5865384614172129E-6</v>
      </c>
      <c r="B306" s="32">
        <f t="shared" si="76"/>
        <v>274</v>
      </c>
      <c r="C306" s="441">
        <f>'SOLLECITAZ NASCOSTO'!$D$6/'SOLLECITAZ NASCOSTO'!$B$448*'SOLLECITAZ NASCOSTO'!B306</f>
        <v>1.8771634615384616</v>
      </c>
      <c r="D306" s="441">
        <f t="shared" si="87"/>
        <v>0.30000658653846141</v>
      </c>
      <c r="E306" s="441">
        <f t="shared" si="81"/>
        <v>6.5865384614172129E-6</v>
      </c>
      <c r="F306" s="441">
        <f t="shared" si="82"/>
        <v>0.30000658653846141</v>
      </c>
      <c r="G306" s="441">
        <f t="shared" si="83"/>
        <v>4.5001975983229671E-2</v>
      </c>
      <c r="H306" s="441">
        <f t="shared" si="77"/>
        <v>0</v>
      </c>
      <c r="I306" s="441">
        <v>0</v>
      </c>
      <c r="J306" s="131">
        <f t="shared" si="78"/>
        <v>0.15000329326923073</v>
      </c>
      <c r="K306" s="130">
        <f t="shared" si="84"/>
        <v>2.2501482003690924E-3</v>
      </c>
      <c r="L306" s="42">
        <f t="shared" si="79"/>
        <v>20.157349593659447</v>
      </c>
      <c r="M306" s="42">
        <f t="shared" si="80"/>
        <v>-15.046711515470506</v>
      </c>
      <c r="N306" s="42">
        <f>(IF(C305&lt;='SOLLECITAZ NASCOSTO'!$P$12,IF(C305&lt;='SOLLECITAZ NASCOSTO'!$P$11,IF(C305&lt;='SOLLECITAZ NASCOSTO'!$P$10,IF(C305&lt;='SOLLECITAZ NASCOSTO'!$P$9,IF(C305&lt;='SOLLECITAZ NASCOSTO'!$P$8,IF(C305&lt;='SOLLECITAZ NASCOSTO'!$P$7,IF(C305&lt;='SOLLECITAZ NASCOSTO'!$P$6,IF(C305&lt;='SOLLECITAZ NASCOSTO'!$P$5,'Progetto del paramento slu'!$G$105,'Progetto del paramento slu'!$G$106),'Progetto del paramento slu'!$G$107),'Progetto del paramento slu'!$G$108),'Progetto del paramento slu'!$G$109),'Progetto del paramento slu'!$G$110),'Progetto del paramento slu'!$G$111),'Progetto del paramento slu'!$G$112),55555)-IF(C305&lt;='SOLLECITAZ NASCOSTO'!$P$12,IF(C305&lt;='SOLLECITAZ NASCOSTO'!$P$11,IF(C305&lt;='SOLLECITAZ NASCOSTO'!$P$10,IF(C305&lt;='SOLLECITAZ NASCOSTO'!$P$9,IF(C305&lt;='SOLLECITAZ NASCOSTO'!$P$8,IF(C305&lt;='SOLLECITAZ NASCOSTO'!$P$7,IF(C305&lt;='SOLLECITAZ NASCOSTO'!$P$6,IF(C305&lt;='SOLLECITAZ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slu'!$G$112))*(C305-IF(C305&lt;='SOLLECITAZ NASCOSTO'!$P$12,IF(C305&lt;='SOLLECITAZ NASCOSTO'!$P$11,IF(C305&lt;='SOLLECITAZ NASCOSTO'!$P$10,IF(C305&lt;='SOLLECITAZ NASCOSTO'!$P$9,IF(C305&lt;='SOLLECITAZ NASCOSTO'!$P$8,IF(C305&lt;='SOLLECITAZ NASCOSTO'!$P$7,IF(C305&lt;='SOLLECITAZ NASCOSTO'!$P$6,IF(C305&lt;='SOLLECITAZ NASCOSTO'!$P$5,'SOLLECITAZ NASCOSTO'!$P$3,'SOLLECITAZ NASCOSTO'!$P$5),'SOLLECITAZ NASCOSTO'!$P$5),'SOLLECITAZ NASCOSTO'!$P$7),'SOLLECITAZ NASCOSTO'!$P$8),'SOLLECITAZ NASCOSTO'!$P$9),'SOLLECITAZ NASCOSTO'!$P$10),'SOLLECITAZ NASCOSTO'!$P$11),'SOLLECITAZ NASCOSTO'!$P$12))/IF(C305&lt;='SOLLECITAZ NASCOSTO'!$P$12,IF(C305&lt;='SOLLECITAZ NASCOSTO'!$P$11,IF(C305&lt;='SOLLECITAZ NASCOSTO'!$P$10,IF(C305&lt;='SOLLECITAZ NASCOSTO'!$P$9,IF(C305&lt;='SOLLECITAZ NASCOSTO'!$P$8,IF(C305&lt;='SOLLECITAZ NASCOSTO'!$P$7,IF(C305&lt;='SOLLECITAZ NASCOSTO'!$P$6,IF(C305&lt;='SOLLECITAZ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slu'!$C$112)+IF(C305&lt;='SOLLECITAZ NASCOSTO'!$P$12,IF(C305&lt;='SOLLECITAZ NASCOSTO'!$P$11,IF(C305&lt;='SOLLECITAZ NASCOSTO'!$P$10,IF(C305&lt;='SOLLECITAZ NASCOSTO'!$P$9,IF(C305&lt;='SOLLECITAZ NASCOSTO'!$P$8,IF(C305&lt;='SOLLECITAZ NASCOSTO'!$P$7,IF(C305&lt;='SOLLECITAZ NASCOSTO'!$P$6,IF(C305&lt;='SOLLECITAZ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17.284178006499879</v>
      </c>
      <c r="O306" s="42">
        <f>IF(C306&lt;='SOLLECITAZ NASCOSTO'!$P$12,IF(C306&lt;='SOLLECITAZ NASCOSTO'!$P$11,IF(C306&lt;='SOLLECITAZ NASCOSTO'!$P$10,IF(C306&lt;='SOLLECITAZ NASCOSTO'!$P$9,IF(C306&lt;='SOLLECITAZ NASCOSTO'!$P$8,IF(C306&lt;='SOLLECITAZ NASCOSTO'!$P$7,IF(C306&lt;='SOLLECITAZ NASCOSTO'!$P$6,IF(C306&lt;='SOLLECITAZ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slu'!$G$111),55555)*(C306-C305)/IF(C306&lt;='SOLLECITAZ NASCOSTO'!$P$12,IF(C306&lt;='SOLLECITAZ NASCOSTO'!$P$11,IF(C306&lt;='SOLLECITAZ NASCOSTO'!$P$10,IF(C306&lt;='SOLLECITAZ NASCOSTO'!$P$9,IF(C306&lt;='SOLLECITAZ NASCOSTO'!$P$8,IF(C306&lt;='SOLLECITAZ NASCOSTO'!$P$7,IF(C306&lt;='SOLLECITAZ NASCOSTO'!$P$6,IF(C306&lt;='SOLLECITAZ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6" s="42">
        <f t="shared" si="93"/>
        <v>2.7300000000000013E-4</v>
      </c>
      <c r="Q306" s="42">
        <f t="shared" si="91"/>
        <v>1</v>
      </c>
      <c r="R306" s="441">
        <f t="shared" si="85"/>
        <v>1.8771634615384616</v>
      </c>
      <c r="S306" s="46">
        <f t="shared" si="92"/>
        <v>1.8771634615384616</v>
      </c>
      <c r="T306" s="211">
        <f t="shared" si="88"/>
        <v>1.4728365384615385</v>
      </c>
      <c r="U306" s="46">
        <f t="shared" si="89"/>
        <v>20.157349593659447</v>
      </c>
      <c r="V306" s="46">
        <f t="shared" si="90"/>
        <v>-15.046711515470506</v>
      </c>
      <c r="W306" s="496"/>
      <c r="X306" s="497"/>
      <c r="Y306" s="497"/>
      <c r="Z306" s="498"/>
      <c r="AA306" s="47"/>
    </row>
    <row r="307" spans="1:27" s="428" customFormat="1" x14ac:dyDescent="0.25">
      <c r="A307" s="589">
        <f t="shared" si="86"/>
        <v>6.6105769229163336E-6</v>
      </c>
      <c r="B307" s="32">
        <f t="shared" si="76"/>
        <v>275</v>
      </c>
      <c r="C307" s="441">
        <f>'SOLLECITAZ NASCOSTO'!$D$6/'SOLLECITAZ NASCOSTO'!$B$448*'SOLLECITAZ NASCOSTO'!B307</f>
        <v>1.8840144230769231</v>
      </c>
      <c r="D307" s="441">
        <f t="shared" si="87"/>
        <v>0.30000661057692291</v>
      </c>
      <c r="E307" s="441">
        <f t="shared" si="81"/>
        <v>6.6105769229163336E-6</v>
      </c>
      <c r="F307" s="441">
        <f t="shared" si="82"/>
        <v>0.30000661057692291</v>
      </c>
      <c r="G307" s="441">
        <f t="shared" si="83"/>
        <v>4.5001983194926737E-2</v>
      </c>
      <c r="H307" s="441">
        <f t="shared" si="77"/>
        <v>0</v>
      </c>
      <c r="I307" s="441">
        <v>0</v>
      </c>
      <c r="J307" s="131">
        <f t="shared" si="78"/>
        <v>0.15000330528846145</v>
      </c>
      <c r="K307" s="130">
        <f t="shared" si="84"/>
        <v>2.2501487412582692E-3</v>
      </c>
      <c r="L307" s="42">
        <f t="shared" si="79"/>
        <v>20.276257460377515</v>
      </c>
      <c r="M307" s="42">
        <f t="shared" si="80"/>
        <v>-15.185216058864743</v>
      </c>
      <c r="N307" s="42">
        <f>(IF(C306&lt;='SOLLECITAZ NASCOSTO'!$P$12,IF(C306&lt;='SOLLECITAZ NASCOSTO'!$P$11,IF(C306&lt;='SOLLECITAZ NASCOSTO'!$P$10,IF(C306&lt;='SOLLECITAZ NASCOSTO'!$P$9,IF(C306&lt;='SOLLECITAZ NASCOSTO'!$P$8,IF(C306&lt;='SOLLECITAZ NASCOSTO'!$P$7,IF(C306&lt;='SOLLECITAZ NASCOSTO'!$P$6,IF(C306&lt;='SOLLECITAZ NASCOSTO'!$P$5,'Progetto del paramento slu'!$G$105,'Progetto del paramento slu'!$G$106),'Progetto del paramento slu'!$G$107),'Progetto del paramento slu'!$G$108),'Progetto del paramento slu'!$G$109),'Progetto del paramento slu'!$G$110),'Progetto del paramento slu'!$G$111),'Progetto del paramento slu'!$G$112),55555)-IF(C306&lt;='SOLLECITAZ NASCOSTO'!$P$12,IF(C306&lt;='SOLLECITAZ NASCOSTO'!$P$11,IF(C306&lt;='SOLLECITAZ NASCOSTO'!$P$10,IF(C306&lt;='SOLLECITAZ NASCOSTO'!$P$9,IF(C306&lt;='SOLLECITAZ NASCOSTO'!$P$8,IF(C306&lt;='SOLLECITAZ NASCOSTO'!$P$7,IF(C306&lt;='SOLLECITAZ NASCOSTO'!$P$6,IF(C306&lt;='SOLLECITAZ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slu'!$G$112))*(C306-IF(C306&lt;='SOLLECITAZ NASCOSTO'!$P$12,IF(C306&lt;='SOLLECITAZ NASCOSTO'!$P$11,IF(C306&lt;='SOLLECITAZ NASCOSTO'!$P$10,IF(C306&lt;='SOLLECITAZ NASCOSTO'!$P$9,IF(C306&lt;='SOLLECITAZ NASCOSTO'!$P$8,IF(C306&lt;='SOLLECITAZ NASCOSTO'!$P$7,IF(C306&lt;='SOLLECITAZ NASCOSTO'!$P$6,IF(C306&lt;='SOLLECITAZ NASCOSTO'!$P$5,'SOLLECITAZ NASCOSTO'!$P$3,'SOLLECITAZ NASCOSTO'!$P$5),'SOLLECITAZ NASCOSTO'!$P$5),'SOLLECITAZ NASCOSTO'!$P$7),'SOLLECITAZ NASCOSTO'!$P$8),'SOLLECITAZ NASCOSTO'!$P$9),'SOLLECITAZ NASCOSTO'!$P$10),'SOLLECITAZ NASCOSTO'!$P$11),'SOLLECITAZ NASCOSTO'!$P$12))/IF(C306&lt;='SOLLECITAZ NASCOSTO'!$P$12,IF(C306&lt;='SOLLECITAZ NASCOSTO'!$P$11,IF(C306&lt;='SOLLECITAZ NASCOSTO'!$P$10,IF(C306&lt;='SOLLECITAZ NASCOSTO'!$P$9,IF(C306&lt;='SOLLECITAZ NASCOSTO'!$P$8,IF(C306&lt;='SOLLECITAZ NASCOSTO'!$P$7,IF(C306&lt;='SOLLECITAZ NASCOSTO'!$P$6,IF(C306&lt;='SOLLECITAZ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slu'!$C$112)+IF(C306&lt;='SOLLECITAZ NASCOSTO'!$P$12,IF(C306&lt;='SOLLECITAZ NASCOSTO'!$P$11,IF(C306&lt;='SOLLECITAZ NASCOSTO'!$P$10,IF(C306&lt;='SOLLECITAZ NASCOSTO'!$P$9,IF(C306&lt;='SOLLECITAZ NASCOSTO'!$P$8,IF(C306&lt;='SOLLECITAZ NASCOSTO'!$P$7,IF(C306&lt;='SOLLECITAZ NASCOSTO'!$P$6,IF(C306&lt;='SOLLECITAZ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17.332310225492233</v>
      </c>
      <c r="O307" s="42">
        <f>IF(C307&lt;='SOLLECITAZ NASCOSTO'!$P$12,IF(C307&lt;='SOLLECITAZ NASCOSTO'!$P$11,IF(C307&lt;='SOLLECITAZ NASCOSTO'!$P$10,IF(C307&lt;='SOLLECITAZ NASCOSTO'!$P$9,IF(C307&lt;='SOLLECITAZ NASCOSTO'!$P$8,IF(C307&lt;='SOLLECITAZ NASCOSTO'!$P$7,IF(C307&lt;='SOLLECITAZ NASCOSTO'!$P$6,IF(C307&lt;='SOLLECITAZ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slu'!$G$111),55555)*(C307-C306)/IF(C307&lt;='SOLLECITAZ NASCOSTO'!$P$12,IF(C307&lt;='SOLLECITAZ NASCOSTO'!$P$11,IF(C307&lt;='SOLLECITAZ NASCOSTO'!$P$10,IF(C307&lt;='SOLLECITAZ NASCOSTO'!$P$9,IF(C307&lt;='SOLLECITAZ NASCOSTO'!$P$8,IF(C307&lt;='SOLLECITAZ NASCOSTO'!$P$7,IF(C307&lt;='SOLLECITAZ NASCOSTO'!$P$6,IF(C307&lt;='SOLLECITAZ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7" s="42">
        <f t="shared" si="93"/>
        <v>2.7400000000000015E-4</v>
      </c>
      <c r="Q307" s="42">
        <f t="shared" si="91"/>
        <v>1</v>
      </c>
      <c r="R307" s="441">
        <f t="shared" si="85"/>
        <v>1.8840144230769231</v>
      </c>
      <c r="S307" s="46">
        <f t="shared" si="92"/>
        <v>1.8840144230769231</v>
      </c>
      <c r="T307" s="211">
        <f t="shared" si="88"/>
        <v>1.465985576923077</v>
      </c>
      <c r="U307" s="46">
        <f t="shared" si="89"/>
        <v>20.276257460377515</v>
      </c>
      <c r="V307" s="46">
        <f t="shared" si="90"/>
        <v>-15.185216058864743</v>
      </c>
      <c r="W307" s="496"/>
      <c r="X307" s="497"/>
      <c r="Y307" s="497"/>
      <c r="Z307" s="498"/>
      <c r="AA307" s="47"/>
    </row>
    <row r="308" spans="1:27" s="428" customFormat="1" x14ac:dyDescent="0.25">
      <c r="A308" s="589">
        <f t="shared" si="86"/>
        <v>6.6346153844709654E-6</v>
      </c>
      <c r="B308" s="32">
        <f t="shared" si="76"/>
        <v>276</v>
      </c>
      <c r="C308" s="441">
        <f>'SOLLECITAZ NASCOSTO'!$D$6/'SOLLECITAZ NASCOSTO'!$B$448*'SOLLECITAZ NASCOSTO'!B308</f>
        <v>1.8908653846153847</v>
      </c>
      <c r="D308" s="441">
        <f t="shared" si="87"/>
        <v>0.30000663461538446</v>
      </c>
      <c r="E308" s="441">
        <f t="shared" si="81"/>
        <v>6.6346153844709654E-6</v>
      </c>
      <c r="F308" s="441">
        <f t="shared" si="82"/>
        <v>0.30000663461538446</v>
      </c>
      <c r="G308" s="441">
        <f t="shared" si="83"/>
        <v>4.5001990406624399E-2</v>
      </c>
      <c r="H308" s="441">
        <f t="shared" si="77"/>
        <v>0</v>
      </c>
      <c r="I308" s="441">
        <v>0</v>
      </c>
      <c r="J308" s="131">
        <f t="shared" si="78"/>
        <v>0.15000331730769223</v>
      </c>
      <c r="K308" s="130">
        <f t="shared" si="84"/>
        <v>2.2501492821475344E-3</v>
      </c>
      <c r="L308" s="42">
        <f t="shared" si="79"/>
        <v>20.39549507907666</v>
      </c>
      <c r="M308" s="42">
        <f t="shared" si="80"/>
        <v>-15.324536365039556</v>
      </c>
      <c r="N308" s="42">
        <f>(IF(C307&lt;='SOLLECITAZ NASCOSTO'!$P$12,IF(C307&lt;='SOLLECITAZ NASCOSTO'!$P$11,IF(C307&lt;='SOLLECITAZ NASCOSTO'!$P$10,IF(C307&lt;='SOLLECITAZ NASCOSTO'!$P$9,IF(C307&lt;='SOLLECITAZ NASCOSTO'!$P$8,IF(C307&lt;='SOLLECITAZ NASCOSTO'!$P$7,IF(C307&lt;='SOLLECITAZ NASCOSTO'!$P$6,IF(C307&lt;='SOLLECITAZ NASCOSTO'!$P$5,'Progetto del paramento slu'!$G$105,'Progetto del paramento slu'!$G$106),'Progetto del paramento slu'!$G$107),'Progetto del paramento slu'!$G$108),'Progetto del paramento slu'!$G$109),'Progetto del paramento slu'!$G$110),'Progetto del paramento slu'!$G$111),'Progetto del paramento slu'!$G$112),55555)-IF(C307&lt;='SOLLECITAZ NASCOSTO'!$P$12,IF(C307&lt;='SOLLECITAZ NASCOSTO'!$P$11,IF(C307&lt;='SOLLECITAZ NASCOSTO'!$P$10,IF(C307&lt;='SOLLECITAZ NASCOSTO'!$P$9,IF(C307&lt;='SOLLECITAZ NASCOSTO'!$P$8,IF(C307&lt;='SOLLECITAZ NASCOSTO'!$P$7,IF(C307&lt;='SOLLECITAZ NASCOSTO'!$P$6,IF(C307&lt;='SOLLECITAZ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slu'!$G$112))*(C307-IF(C307&lt;='SOLLECITAZ NASCOSTO'!$P$12,IF(C307&lt;='SOLLECITAZ NASCOSTO'!$P$11,IF(C307&lt;='SOLLECITAZ NASCOSTO'!$P$10,IF(C307&lt;='SOLLECITAZ NASCOSTO'!$P$9,IF(C307&lt;='SOLLECITAZ NASCOSTO'!$P$8,IF(C307&lt;='SOLLECITAZ NASCOSTO'!$P$7,IF(C307&lt;='SOLLECITAZ NASCOSTO'!$P$6,IF(C307&lt;='SOLLECITAZ NASCOSTO'!$P$5,'SOLLECITAZ NASCOSTO'!$P$3,'SOLLECITAZ NASCOSTO'!$P$5),'SOLLECITAZ NASCOSTO'!$P$5),'SOLLECITAZ NASCOSTO'!$P$7),'SOLLECITAZ NASCOSTO'!$P$8),'SOLLECITAZ NASCOSTO'!$P$9),'SOLLECITAZ NASCOSTO'!$P$10),'SOLLECITAZ NASCOSTO'!$P$11),'SOLLECITAZ NASCOSTO'!$P$12))/IF(C307&lt;='SOLLECITAZ NASCOSTO'!$P$12,IF(C307&lt;='SOLLECITAZ NASCOSTO'!$P$11,IF(C307&lt;='SOLLECITAZ NASCOSTO'!$P$10,IF(C307&lt;='SOLLECITAZ NASCOSTO'!$P$9,IF(C307&lt;='SOLLECITAZ NASCOSTO'!$P$8,IF(C307&lt;='SOLLECITAZ NASCOSTO'!$P$7,IF(C307&lt;='SOLLECITAZ NASCOSTO'!$P$6,IF(C307&lt;='SOLLECITAZ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slu'!$C$112)+IF(C307&lt;='SOLLECITAZ NASCOSTO'!$P$12,IF(C307&lt;='SOLLECITAZ NASCOSTO'!$P$11,IF(C307&lt;='SOLLECITAZ NASCOSTO'!$P$10,IF(C307&lt;='SOLLECITAZ NASCOSTO'!$P$9,IF(C307&lt;='SOLLECITAZ NASCOSTO'!$P$8,IF(C307&lt;='SOLLECITAZ NASCOSTO'!$P$7,IF(C307&lt;='SOLLECITAZ NASCOSTO'!$P$6,IF(C307&lt;='SOLLECITAZ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17.380442444484583</v>
      </c>
      <c r="O308" s="42">
        <f>IF(C308&lt;='SOLLECITAZ NASCOSTO'!$P$12,IF(C308&lt;='SOLLECITAZ NASCOSTO'!$P$11,IF(C308&lt;='SOLLECITAZ NASCOSTO'!$P$10,IF(C308&lt;='SOLLECITAZ NASCOSTO'!$P$9,IF(C308&lt;='SOLLECITAZ NASCOSTO'!$P$8,IF(C308&lt;='SOLLECITAZ NASCOSTO'!$P$7,IF(C308&lt;='SOLLECITAZ NASCOSTO'!$P$6,IF(C308&lt;='SOLLECITAZ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slu'!$G$111),55555)*(C308-C307)/IF(C308&lt;='SOLLECITAZ NASCOSTO'!$P$12,IF(C308&lt;='SOLLECITAZ NASCOSTO'!$P$11,IF(C308&lt;='SOLLECITAZ NASCOSTO'!$P$10,IF(C308&lt;='SOLLECITAZ NASCOSTO'!$P$9,IF(C308&lt;='SOLLECITAZ NASCOSTO'!$P$8,IF(C308&lt;='SOLLECITAZ NASCOSTO'!$P$7,IF(C308&lt;='SOLLECITAZ NASCOSTO'!$P$6,IF(C308&lt;='SOLLECITAZ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8" s="42">
        <f t="shared" si="93"/>
        <v>2.7500000000000018E-4</v>
      </c>
      <c r="Q308" s="42">
        <f t="shared" si="91"/>
        <v>1</v>
      </c>
      <c r="R308" s="441">
        <f t="shared" si="85"/>
        <v>1.8908653846153847</v>
      </c>
      <c r="S308" s="46">
        <f t="shared" si="92"/>
        <v>1.8908653846153847</v>
      </c>
      <c r="T308" s="211">
        <f t="shared" si="88"/>
        <v>1.4591346153846154</v>
      </c>
      <c r="U308" s="46">
        <f t="shared" si="89"/>
        <v>20.39549507907666</v>
      </c>
      <c r="V308" s="46">
        <f t="shared" si="90"/>
        <v>-15.324536365039556</v>
      </c>
      <c r="W308" s="496"/>
      <c r="X308" s="497"/>
      <c r="Y308" s="497"/>
      <c r="Z308" s="498"/>
      <c r="AA308" s="47"/>
    </row>
    <row r="309" spans="1:27" s="428" customFormat="1" x14ac:dyDescent="0.25">
      <c r="A309" s="589">
        <f t="shared" si="86"/>
        <v>6.6586538460255973E-6</v>
      </c>
      <c r="B309" s="32">
        <f t="shared" si="76"/>
        <v>277</v>
      </c>
      <c r="C309" s="441">
        <f>'SOLLECITAZ NASCOSTO'!$D$6/'SOLLECITAZ NASCOSTO'!$B$448*'SOLLECITAZ NASCOSTO'!B309</f>
        <v>1.8977163461538462</v>
      </c>
      <c r="D309" s="441">
        <f t="shared" si="87"/>
        <v>0.30000665865384601</v>
      </c>
      <c r="E309" s="441">
        <f t="shared" si="81"/>
        <v>6.6586538460255973E-6</v>
      </c>
      <c r="F309" s="441">
        <f t="shared" si="82"/>
        <v>0.30000665865384601</v>
      </c>
      <c r="G309" s="441">
        <f t="shared" si="83"/>
        <v>4.5001997618322645E-2</v>
      </c>
      <c r="H309" s="441">
        <f t="shared" si="77"/>
        <v>0</v>
      </c>
      <c r="I309" s="441">
        <v>0</v>
      </c>
      <c r="J309" s="131">
        <f t="shared" si="78"/>
        <v>0.15000332932692304</v>
      </c>
      <c r="K309" s="130">
        <f t="shared" si="84"/>
        <v>2.2501498230368851E-3</v>
      </c>
      <c r="L309" s="42">
        <f t="shared" si="79"/>
        <v>20.515062449756886</v>
      </c>
      <c r="M309" s="42">
        <f t="shared" si="80"/>
        <v>-15.464674693113084</v>
      </c>
      <c r="N309" s="42">
        <f>(IF(C308&lt;='SOLLECITAZ NASCOSTO'!$P$12,IF(C308&lt;='SOLLECITAZ NASCOSTO'!$P$11,IF(C308&lt;='SOLLECITAZ NASCOSTO'!$P$10,IF(C308&lt;='SOLLECITAZ NASCOSTO'!$P$9,IF(C308&lt;='SOLLECITAZ NASCOSTO'!$P$8,IF(C308&lt;='SOLLECITAZ NASCOSTO'!$P$7,IF(C308&lt;='SOLLECITAZ NASCOSTO'!$P$6,IF(C308&lt;='SOLLECITAZ NASCOSTO'!$P$5,'Progetto del paramento slu'!$G$105,'Progetto del paramento slu'!$G$106),'Progetto del paramento slu'!$G$107),'Progetto del paramento slu'!$G$108),'Progetto del paramento slu'!$G$109),'Progetto del paramento slu'!$G$110),'Progetto del paramento slu'!$G$111),'Progetto del paramento slu'!$G$112),55555)-IF(C308&lt;='SOLLECITAZ NASCOSTO'!$P$12,IF(C308&lt;='SOLLECITAZ NASCOSTO'!$P$11,IF(C308&lt;='SOLLECITAZ NASCOSTO'!$P$10,IF(C308&lt;='SOLLECITAZ NASCOSTO'!$P$9,IF(C308&lt;='SOLLECITAZ NASCOSTO'!$P$8,IF(C308&lt;='SOLLECITAZ NASCOSTO'!$P$7,IF(C308&lt;='SOLLECITAZ NASCOSTO'!$P$6,IF(C308&lt;='SOLLECITAZ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slu'!$G$112))*(C308-IF(C308&lt;='SOLLECITAZ NASCOSTO'!$P$12,IF(C308&lt;='SOLLECITAZ NASCOSTO'!$P$11,IF(C308&lt;='SOLLECITAZ NASCOSTO'!$P$10,IF(C308&lt;='SOLLECITAZ NASCOSTO'!$P$9,IF(C308&lt;='SOLLECITAZ NASCOSTO'!$P$8,IF(C308&lt;='SOLLECITAZ NASCOSTO'!$P$7,IF(C308&lt;='SOLLECITAZ NASCOSTO'!$P$6,IF(C308&lt;='SOLLECITAZ NASCOSTO'!$P$5,'SOLLECITAZ NASCOSTO'!$P$3,'SOLLECITAZ NASCOSTO'!$P$5),'SOLLECITAZ NASCOSTO'!$P$5),'SOLLECITAZ NASCOSTO'!$P$7),'SOLLECITAZ NASCOSTO'!$P$8),'SOLLECITAZ NASCOSTO'!$P$9),'SOLLECITAZ NASCOSTO'!$P$10),'SOLLECITAZ NASCOSTO'!$P$11),'SOLLECITAZ NASCOSTO'!$P$12))/IF(C308&lt;='SOLLECITAZ NASCOSTO'!$P$12,IF(C308&lt;='SOLLECITAZ NASCOSTO'!$P$11,IF(C308&lt;='SOLLECITAZ NASCOSTO'!$P$10,IF(C308&lt;='SOLLECITAZ NASCOSTO'!$P$9,IF(C308&lt;='SOLLECITAZ NASCOSTO'!$P$8,IF(C308&lt;='SOLLECITAZ NASCOSTO'!$P$7,IF(C308&lt;='SOLLECITAZ NASCOSTO'!$P$6,IF(C308&lt;='SOLLECITAZ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slu'!$C$112)+IF(C308&lt;='SOLLECITAZ NASCOSTO'!$P$12,IF(C308&lt;='SOLLECITAZ NASCOSTO'!$P$11,IF(C308&lt;='SOLLECITAZ NASCOSTO'!$P$10,IF(C308&lt;='SOLLECITAZ NASCOSTO'!$P$9,IF(C308&lt;='SOLLECITAZ NASCOSTO'!$P$8,IF(C308&lt;='SOLLECITAZ NASCOSTO'!$P$7,IF(C308&lt;='SOLLECITAZ NASCOSTO'!$P$6,IF(C308&lt;='SOLLECITAZ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17.428574663476937</v>
      </c>
      <c r="O309" s="42">
        <f>IF(C309&lt;='SOLLECITAZ NASCOSTO'!$P$12,IF(C309&lt;='SOLLECITAZ NASCOSTO'!$P$11,IF(C309&lt;='SOLLECITAZ NASCOSTO'!$P$10,IF(C309&lt;='SOLLECITAZ NASCOSTO'!$P$9,IF(C309&lt;='SOLLECITAZ NASCOSTO'!$P$8,IF(C309&lt;='SOLLECITAZ NASCOSTO'!$P$7,IF(C309&lt;='SOLLECITAZ NASCOSTO'!$P$6,IF(C309&lt;='SOLLECITAZ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slu'!$G$111),55555)*(C309-C308)/IF(C309&lt;='SOLLECITAZ NASCOSTO'!$P$12,IF(C309&lt;='SOLLECITAZ NASCOSTO'!$P$11,IF(C309&lt;='SOLLECITAZ NASCOSTO'!$P$10,IF(C309&lt;='SOLLECITAZ NASCOSTO'!$P$9,IF(C309&lt;='SOLLECITAZ NASCOSTO'!$P$8,IF(C309&lt;='SOLLECITAZ NASCOSTO'!$P$7,IF(C309&lt;='SOLLECITAZ NASCOSTO'!$P$6,IF(C309&lt;='SOLLECITAZ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09" s="42">
        <f t="shared" si="93"/>
        <v>2.760000000000002E-4</v>
      </c>
      <c r="Q309" s="42">
        <f t="shared" si="91"/>
        <v>1</v>
      </c>
      <c r="R309" s="441">
        <f t="shared" si="85"/>
        <v>1.8977163461538462</v>
      </c>
      <c r="S309" s="46">
        <f t="shared" si="92"/>
        <v>1.8977163461538462</v>
      </c>
      <c r="T309" s="211">
        <f t="shared" si="88"/>
        <v>1.4522836538461539</v>
      </c>
      <c r="U309" s="46">
        <f t="shared" si="89"/>
        <v>20.515062449756886</v>
      </c>
      <c r="V309" s="46">
        <f t="shared" si="90"/>
        <v>-15.464674693113084</v>
      </c>
      <c r="W309" s="496"/>
      <c r="X309" s="497"/>
      <c r="Y309" s="497"/>
      <c r="Z309" s="498"/>
      <c r="AA309" s="47"/>
    </row>
    <row r="310" spans="1:27" x14ac:dyDescent="0.25">
      <c r="A310" s="589">
        <f t="shared" si="86"/>
        <v>6.682692307524718E-6</v>
      </c>
      <c r="B310" s="32">
        <f t="shared" si="76"/>
        <v>278</v>
      </c>
      <c r="C310" s="441">
        <f>'SOLLECITAZ NASCOSTO'!$D$6/'SOLLECITAZ NASCOSTO'!$B$448*'SOLLECITAZ NASCOSTO'!B310</f>
        <v>1.9045673076923078</v>
      </c>
      <c r="D310" s="441">
        <f t="shared" si="87"/>
        <v>0.30000668269230751</v>
      </c>
      <c r="E310" s="441">
        <f t="shared" si="81"/>
        <v>6.682692307524718E-6</v>
      </c>
      <c r="F310" s="441">
        <f t="shared" si="82"/>
        <v>0.30000668269230751</v>
      </c>
      <c r="G310" s="441">
        <f t="shared" si="83"/>
        <v>4.5002004830021446E-2</v>
      </c>
      <c r="H310" s="441">
        <f t="shared" si="77"/>
        <v>0</v>
      </c>
      <c r="I310" s="441">
        <v>0</v>
      </c>
      <c r="J310" s="131">
        <f t="shared" si="78"/>
        <v>0.15000334134615376</v>
      </c>
      <c r="K310" s="130">
        <f t="shared" si="84"/>
        <v>2.250150363926322E-3</v>
      </c>
      <c r="L310" s="42">
        <f t="shared" si="79"/>
        <v>20.63495957241819</v>
      </c>
      <c r="M310" s="42">
        <f t="shared" si="80"/>
        <v>-15.605633302203467</v>
      </c>
      <c r="N310" s="42">
        <f>(IF(C309&lt;='SOLLECITAZ NASCOSTO'!$P$12,IF(C309&lt;='SOLLECITAZ NASCOSTO'!$P$11,IF(C309&lt;='SOLLECITAZ NASCOSTO'!$P$10,IF(C309&lt;='SOLLECITAZ NASCOSTO'!$P$9,IF(C309&lt;='SOLLECITAZ NASCOSTO'!$P$8,IF(C309&lt;='SOLLECITAZ NASCOSTO'!$P$7,IF(C309&lt;='SOLLECITAZ NASCOSTO'!$P$6,IF(C309&lt;='SOLLECITAZ NASCOSTO'!$P$5,'Progetto del paramento slu'!$G$105,'Progetto del paramento slu'!$G$106),'Progetto del paramento slu'!$G$107),'Progetto del paramento slu'!$G$108),'Progetto del paramento slu'!$G$109),'Progetto del paramento slu'!$G$110),'Progetto del paramento slu'!$G$111),'Progetto del paramento slu'!$G$112),55555)-IF(C309&lt;='SOLLECITAZ NASCOSTO'!$P$12,IF(C309&lt;='SOLLECITAZ NASCOSTO'!$P$11,IF(C309&lt;='SOLLECITAZ NASCOSTO'!$P$10,IF(C309&lt;='SOLLECITAZ NASCOSTO'!$P$9,IF(C309&lt;='SOLLECITAZ NASCOSTO'!$P$8,IF(C309&lt;='SOLLECITAZ NASCOSTO'!$P$7,IF(C309&lt;='SOLLECITAZ NASCOSTO'!$P$6,IF(C309&lt;='SOLLECITAZ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slu'!$G$112))*(C309-IF(C309&lt;='SOLLECITAZ NASCOSTO'!$P$12,IF(C309&lt;='SOLLECITAZ NASCOSTO'!$P$11,IF(C309&lt;='SOLLECITAZ NASCOSTO'!$P$10,IF(C309&lt;='SOLLECITAZ NASCOSTO'!$P$9,IF(C309&lt;='SOLLECITAZ NASCOSTO'!$P$8,IF(C309&lt;='SOLLECITAZ NASCOSTO'!$P$7,IF(C309&lt;='SOLLECITAZ NASCOSTO'!$P$6,IF(C309&lt;='SOLLECITAZ NASCOSTO'!$P$5,'SOLLECITAZ NASCOSTO'!$P$3,'SOLLECITAZ NASCOSTO'!$P$5),'SOLLECITAZ NASCOSTO'!$P$5),'SOLLECITAZ NASCOSTO'!$P$7),'SOLLECITAZ NASCOSTO'!$P$8),'SOLLECITAZ NASCOSTO'!$P$9),'SOLLECITAZ NASCOSTO'!$P$10),'SOLLECITAZ NASCOSTO'!$P$11),'SOLLECITAZ NASCOSTO'!$P$12))/IF(C309&lt;='SOLLECITAZ NASCOSTO'!$P$12,IF(C309&lt;='SOLLECITAZ NASCOSTO'!$P$11,IF(C309&lt;='SOLLECITAZ NASCOSTO'!$P$10,IF(C309&lt;='SOLLECITAZ NASCOSTO'!$P$9,IF(C309&lt;='SOLLECITAZ NASCOSTO'!$P$8,IF(C309&lt;='SOLLECITAZ NASCOSTO'!$P$7,IF(C309&lt;='SOLLECITAZ NASCOSTO'!$P$6,IF(C309&lt;='SOLLECITAZ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slu'!$C$112)+IF(C309&lt;='SOLLECITAZ NASCOSTO'!$P$12,IF(C309&lt;='SOLLECITAZ NASCOSTO'!$P$11,IF(C309&lt;='SOLLECITAZ NASCOSTO'!$P$10,IF(C309&lt;='SOLLECITAZ NASCOSTO'!$P$9,IF(C309&lt;='SOLLECITAZ NASCOSTO'!$P$8,IF(C309&lt;='SOLLECITAZ NASCOSTO'!$P$7,IF(C309&lt;='SOLLECITAZ NASCOSTO'!$P$6,IF(C309&lt;='SOLLECITAZ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17.476706882469287</v>
      </c>
      <c r="O310" s="42">
        <f>IF(C310&lt;='SOLLECITAZ NASCOSTO'!$P$12,IF(C310&lt;='SOLLECITAZ NASCOSTO'!$P$11,IF(C310&lt;='SOLLECITAZ NASCOSTO'!$P$10,IF(C310&lt;='SOLLECITAZ NASCOSTO'!$P$9,IF(C310&lt;='SOLLECITAZ NASCOSTO'!$P$8,IF(C310&lt;='SOLLECITAZ NASCOSTO'!$P$7,IF(C310&lt;='SOLLECITAZ NASCOSTO'!$P$6,IF(C310&lt;='SOLLECITAZ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slu'!$G$111),55555)*(C310-C309)/IF(C310&lt;='SOLLECITAZ NASCOSTO'!$P$12,IF(C310&lt;='SOLLECITAZ NASCOSTO'!$P$11,IF(C310&lt;='SOLLECITAZ NASCOSTO'!$P$10,IF(C310&lt;='SOLLECITAZ NASCOSTO'!$P$9,IF(C310&lt;='SOLLECITAZ NASCOSTO'!$P$8,IF(C310&lt;='SOLLECITAZ NASCOSTO'!$P$7,IF(C310&lt;='SOLLECITAZ NASCOSTO'!$P$6,IF(C310&lt;='SOLLECITAZ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0" s="42">
        <f t="shared" si="93"/>
        <v>2.7700000000000023E-4</v>
      </c>
      <c r="Q310" s="42">
        <f t="shared" si="91"/>
        <v>1</v>
      </c>
      <c r="R310" s="441">
        <f t="shared" si="85"/>
        <v>1.9045673076923078</v>
      </c>
      <c r="S310" s="46">
        <f t="shared" si="92"/>
        <v>1.9045673076923078</v>
      </c>
      <c r="T310" s="211">
        <f t="shared" si="88"/>
        <v>1.4454326923076923</v>
      </c>
      <c r="U310" s="46">
        <f t="shared" si="89"/>
        <v>20.63495957241819</v>
      </c>
      <c r="V310" s="46">
        <f t="shared" si="90"/>
        <v>-15.605633302203467</v>
      </c>
      <c r="W310" s="496"/>
    </row>
    <row r="311" spans="1:27" x14ac:dyDescent="0.25">
      <c r="A311" s="589">
        <f t="shared" si="86"/>
        <v>6.7067307690793498E-6</v>
      </c>
      <c r="B311" s="32">
        <f t="shared" si="76"/>
        <v>279</v>
      </c>
      <c r="C311" s="441">
        <f>'SOLLECITAZ NASCOSTO'!$D$6/'SOLLECITAZ NASCOSTO'!$B$448*'SOLLECITAZ NASCOSTO'!B311</f>
        <v>1.9114182692307693</v>
      </c>
      <c r="D311" s="441">
        <f t="shared" si="87"/>
        <v>0.30000670673076907</v>
      </c>
      <c r="E311" s="441">
        <f t="shared" si="81"/>
        <v>6.7067307690793498E-6</v>
      </c>
      <c r="F311" s="441">
        <f t="shared" si="82"/>
        <v>0.30000670673076907</v>
      </c>
      <c r="G311" s="441">
        <f t="shared" si="83"/>
        <v>4.5002012041720843E-2</v>
      </c>
      <c r="H311" s="441">
        <f t="shared" si="77"/>
        <v>0</v>
      </c>
      <c r="I311" s="441">
        <v>0</v>
      </c>
      <c r="J311" s="131">
        <f t="shared" si="78"/>
        <v>0.15000335336538453</v>
      </c>
      <c r="K311" s="130">
        <f t="shared" si="84"/>
        <v>2.2501509048158471E-3</v>
      </c>
      <c r="L311" s="42">
        <f t="shared" si="79"/>
        <v>20.75518644706057</v>
      </c>
      <c r="M311" s="42">
        <f t="shared" si="80"/>
        <v>-15.747414451428845</v>
      </c>
      <c r="N311" s="42">
        <f>(IF(C310&lt;='SOLLECITAZ NASCOSTO'!$P$12,IF(C310&lt;='SOLLECITAZ NASCOSTO'!$P$11,IF(C310&lt;='SOLLECITAZ NASCOSTO'!$P$10,IF(C310&lt;='SOLLECITAZ NASCOSTO'!$P$9,IF(C310&lt;='SOLLECITAZ NASCOSTO'!$P$8,IF(C310&lt;='SOLLECITAZ NASCOSTO'!$P$7,IF(C310&lt;='SOLLECITAZ NASCOSTO'!$P$6,IF(C310&lt;='SOLLECITAZ NASCOSTO'!$P$5,'Progetto del paramento slu'!$G$105,'Progetto del paramento slu'!$G$106),'Progetto del paramento slu'!$G$107),'Progetto del paramento slu'!$G$108),'Progetto del paramento slu'!$G$109),'Progetto del paramento slu'!$G$110),'Progetto del paramento slu'!$G$111),'Progetto del paramento slu'!$G$112),55555)-IF(C310&lt;='SOLLECITAZ NASCOSTO'!$P$12,IF(C310&lt;='SOLLECITAZ NASCOSTO'!$P$11,IF(C310&lt;='SOLLECITAZ NASCOSTO'!$P$10,IF(C310&lt;='SOLLECITAZ NASCOSTO'!$P$9,IF(C310&lt;='SOLLECITAZ NASCOSTO'!$P$8,IF(C310&lt;='SOLLECITAZ NASCOSTO'!$P$7,IF(C310&lt;='SOLLECITAZ NASCOSTO'!$P$6,IF(C310&lt;='SOLLECITAZ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slu'!$G$112))*(C310-IF(C310&lt;='SOLLECITAZ NASCOSTO'!$P$12,IF(C310&lt;='SOLLECITAZ NASCOSTO'!$P$11,IF(C310&lt;='SOLLECITAZ NASCOSTO'!$P$10,IF(C310&lt;='SOLLECITAZ NASCOSTO'!$P$9,IF(C310&lt;='SOLLECITAZ NASCOSTO'!$P$8,IF(C310&lt;='SOLLECITAZ NASCOSTO'!$P$7,IF(C310&lt;='SOLLECITAZ NASCOSTO'!$P$6,IF(C310&lt;='SOLLECITAZ NASCOSTO'!$P$5,'SOLLECITAZ NASCOSTO'!$P$3,'SOLLECITAZ NASCOSTO'!$P$5),'SOLLECITAZ NASCOSTO'!$P$5),'SOLLECITAZ NASCOSTO'!$P$7),'SOLLECITAZ NASCOSTO'!$P$8),'SOLLECITAZ NASCOSTO'!$P$9),'SOLLECITAZ NASCOSTO'!$P$10),'SOLLECITAZ NASCOSTO'!$P$11),'SOLLECITAZ NASCOSTO'!$P$12))/IF(C310&lt;='SOLLECITAZ NASCOSTO'!$P$12,IF(C310&lt;='SOLLECITAZ NASCOSTO'!$P$11,IF(C310&lt;='SOLLECITAZ NASCOSTO'!$P$10,IF(C310&lt;='SOLLECITAZ NASCOSTO'!$P$9,IF(C310&lt;='SOLLECITAZ NASCOSTO'!$P$8,IF(C310&lt;='SOLLECITAZ NASCOSTO'!$P$7,IF(C310&lt;='SOLLECITAZ NASCOSTO'!$P$6,IF(C310&lt;='SOLLECITAZ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slu'!$C$112)+IF(C310&lt;='SOLLECITAZ NASCOSTO'!$P$12,IF(C310&lt;='SOLLECITAZ NASCOSTO'!$P$11,IF(C310&lt;='SOLLECITAZ NASCOSTO'!$P$10,IF(C310&lt;='SOLLECITAZ NASCOSTO'!$P$9,IF(C310&lt;='SOLLECITAZ NASCOSTO'!$P$8,IF(C310&lt;='SOLLECITAZ NASCOSTO'!$P$7,IF(C310&lt;='SOLLECITAZ NASCOSTO'!$P$6,IF(C310&lt;='SOLLECITAZ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17.524839101461644</v>
      </c>
      <c r="O311" s="42">
        <f>IF(C311&lt;='SOLLECITAZ NASCOSTO'!$P$12,IF(C311&lt;='SOLLECITAZ NASCOSTO'!$P$11,IF(C311&lt;='SOLLECITAZ NASCOSTO'!$P$10,IF(C311&lt;='SOLLECITAZ NASCOSTO'!$P$9,IF(C311&lt;='SOLLECITAZ NASCOSTO'!$P$8,IF(C311&lt;='SOLLECITAZ NASCOSTO'!$P$7,IF(C311&lt;='SOLLECITAZ NASCOSTO'!$P$6,IF(C311&lt;='SOLLECITAZ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slu'!$G$111),55555)*(C311-C310)/IF(C311&lt;='SOLLECITAZ NASCOSTO'!$P$12,IF(C311&lt;='SOLLECITAZ NASCOSTO'!$P$11,IF(C311&lt;='SOLLECITAZ NASCOSTO'!$P$10,IF(C311&lt;='SOLLECITAZ NASCOSTO'!$P$9,IF(C311&lt;='SOLLECITAZ NASCOSTO'!$P$8,IF(C311&lt;='SOLLECITAZ NASCOSTO'!$P$7,IF(C311&lt;='SOLLECITAZ NASCOSTO'!$P$6,IF(C311&lt;='SOLLECITAZ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1" s="42">
        <f t="shared" si="93"/>
        <v>2.7800000000000025E-4</v>
      </c>
      <c r="Q311" s="42">
        <f t="shared" si="91"/>
        <v>1</v>
      </c>
      <c r="R311" s="441">
        <f t="shared" si="85"/>
        <v>1.9114182692307693</v>
      </c>
      <c r="S311" s="46">
        <f t="shared" si="92"/>
        <v>1.9114182692307693</v>
      </c>
      <c r="T311" s="211">
        <f t="shared" si="88"/>
        <v>1.4385817307692308</v>
      </c>
      <c r="U311" s="46">
        <f t="shared" si="89"/>
        <v>20.75518644706057</v>
      </c>
      <c r="V311" s="46">
        <f t="shared" si="90"/>
        <v>-15.747414451428845</v>
      </c>
      <c r="W311" s="496"/>
    </row>
    <row r="312" spans="1:27" x14ac:dyDescent="0.25">
      <c r="A312" s="589">
        <f t="shared" si="86"/>
        <v>6.7307692306339817E-6</v>
      </c>
      <c r="B312" s="32">
        <f t="shared" si="76"/>
        <v>280</v>
      </c>
      <c r="C312" s="441">
        <f>'SOLLECITAZ NASCOSTO'!$D$6/'SOLLECITAZ NASCOSTO'!$B$448*'SOLLECITAZ NASCOSTO'!B312</f>
        <v>1.9182692307692308</v>
      </c>
      <c r="D312" s="441">
        <f t="shared" si="87"/>
        <v>0.30000673076923062</v>
      </c>
      <c r="E312" s="441">
        <f t="shared" si="81"/>
        <v>6.7307692306339817E-6</v>
      </c>
      <c r="F312" s="441">
        <f t="shared" si="82"/>
        <v>0.30000673076923062</v>
      </c>
      <c r="G312" s="441">
        <f t="shared" si="83"/>
        <v>4.5002019253420816E-2</v>
      </c>
      <c r="H312" s="441">
        <f t="shared" si="77"/>
        <v>0</v>
      </c>
      <c r="I312" s="441">
        <v>0</v>
      </c>
      <c r="J312" s="131">
        <f t="shared" si="78"/>
        <v>0.15000336538461531</v>
      </c>
      <c r="K312" s="130">
        <f t="shared" si="84"/>
        <v>2.2501514457054584E-3</v>
      </c>
      <c r="L312" s="42">
        <f t="shared" si="79"/>
        <v>20.875743073684028</v>
      </c>
      <c r="M312" s="42">
        <f t="shared" si="80"/>
        <v>-15.890020399907357</v>
      </c>
      <c r="N312" s="42">
        <f>(IF(C311&lt;='SOLLECITAZ NASCOSTO'!$P$12,IF(C311&lt;='SOLLECITAZ NASCOSTO'!$P$11,IF(C311&lt;='SOLLECITAZ NASCOSTO'!$P$10,IF(C311&lt;='SOLLECITAZ NASCOSTO'!$P$9,IF(C311&lt;='SOLLECITAZ NASCOSTO'!$P$8,IF(C311&lt;='SOLLECITAZ NASCOSTO'!$P$7,IF(C311&lt;='SOLLECITAZ NASCOSTO'!$P$6,IF(C311&lt;='SOLLECITAZ NASCOSTO'!$P$5,'Progetto del paramento slu'!$G$105,'Progetto del paramento slu'!$G$106),'Progetto del paramento slu'!$G$107),'Progetto del paramento slu'!$G$108),'Progetto del paramento slu'!$G$109),'Progetto del paramento slu'!$G$110),'Progetto del paramento slu'!$G$111),'Progetto del paramento slu'!$G$112),55555)-IF(C311&lt;='SOLLECITAZ NASCOSTO'!$P$12,IF(C311&lt;='SOLLECITAZ NASCOSTO'!$P$11,IF(C311&lt;='SOLLECITAZ NASCOSTO'!$P$10,IF(C311&lt;='SOLLECITAZ NASCOSTO'!$P$9,IF(C311&lt;='SOLLECITAZ NASCOSTO'!$P$8,IF(C311&lt;='SOLLECITAZ NASCOSTO'!$P$7,IF(C311&lt;='SOLLECITAZ NASCOSTO'!$P$6,IF(C311&lt;='SOLLECITAZ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slu'!$G$112))*(C311-IF(C311&lt;='SOLLECITAZ NASCOSTO'!$P$12,IF(C311&lt;='SOLLECITAZ NASCOSTO'!$P$11,IF(C311&lt;='SOLLECITAZ NASCOSTO'!$P$10,IF(C311&lt;='SOLLECITAZ NASCOSTO'!$P$9,IF(C311&lt;='SOLLECITAZ NASCOSTO'!$P$8,IF(C311&lt;='SOLLECITAZ NASCOSTO'!$P$7,IF(C311&lt;='SOLLECITAZ NASCOSTO'!$P$6,IF(C311&lt;='SOLLECITAZ NASCOSTO'!$P$5,'SOLLECITAZ NASCOSTO'!$P$3,'SOLLECITAZ NASCOSTO'!$P$5),'SOLLECITAZ NASCOSTO'!$P$5),'SOLLECITAZ NASCOSTO'!$P$7),'SOLLECITAZ NASCOSTO'!$P$8),'SOLLECITAZ NASCOSTO'!$P$9),'SOLLECITAZ NASCOSTO'!$P$10),'SOLLECITAZ NASCOSTO'!$P$11),'SOLLECITAZ NASCOSTO'!$P$12))/IF(C311&lt;='SOLLECITAZ NASCOSTO'!$P$12,IF(C311&lt;='SOLLECITAZ NASCOSTO'!$P$11,IF(C311&lt;='SOLLECITAZ NASCOSTO'!$P$10,IF(C311&lt;='SOLLECITAZ NASCOSTO'!$P$9,IF(C311&lt;='SOLLECITAZ NASCOSTO'!$P$8,IF(C311&lt;='SOLLECITAZ NASCOSTO'!$P$7,IF(C311&lt;='SOLLECITAZ NASCOSTO'!$P$6,IF(C311&lt;='SOLLECITAZ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slu'!$C$112)+IF(C311&lt;='SOLLECITAZ NASCOSTO'!$P$12,IF(C311&lt;='SOLLECITAZ NASCOSTO'!$P$11,IF(C311&lt;='SOLLECITAZ NASCOSTO'!$P$10,IF(C311&lt;='SOLLECITAZ NASCOSTO'!$P$9,IF(C311&lt;='SOLLECITAZ NASCOSTO'!$P$8,IF(C311&lt;='SOLLECITAZ NASCOSTO'!$P$7,IF(C311&lt;='SOLLECITAZ NASCOSTO'!$P$6,IF(C311&lt;='SOLLECITAZ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17.572971320453995</v>
      </c>
      <c r="O312" s="42">
        <f>IF(C312&lt;='SOLLECITAZ NASCOSTO'!$P$12,IF(C312&lt;='SOLLECITAZ NASCOSTO'!$P$11,IF(C312&lt;='SOLLECITAZ NASCOSTO'!$P$10,IF(C312&lt;='SOLLECITAZ NASCOSTO'!$P$9,IF(C312&lt;='SOLLECITAZ NASCOSTO'!$P$8,IF(C312&lt;='SOLLECITAZ NASCOSTO'!$P$7,IF(C312&lt;='SOLLECITAZ NASCOSTO'!$P$6,IF(C312&lt;='SOLLECITAZ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slu'!$G$111),55555)*(C312-C311)/IF(C312&lt;='SOLLECITAZ NASCOSTO'!$P$12,IF(C312&lt;='SOLLECITAZ NASCOSTO'!$P$11,IF(C312&lt;='SOLLECITAZ NASCOSTO'!$P$10,IF(C312&lt;='SOLLECITAZ NASCOSTO'!$P$9,IF(C312&lt;='SOLLECITAZ NASCOSTO'!$P$8,IF(C312&lt;='SOLLECITAZ NASCOSTO'!$P$7,IF(C312&lt;='SOLLECITAZ NASCOSTO'!$P$6,IF(C312&lt;='SOLLECITAZ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2" s="42">
        <f t="shared" si="93"/>
        <v>2.7900000000000028E-4</v>
      </c>
      <c r="Q312" s="42">
        <f t="shared" si="91"/>
        <v>1</v>
      </c>
      <c r="R312" s="441">
        <f t="shared" si="85"/>
        <v>1.9182692307692308</v>
      </c>
      <c r="S312" s="46">
        <f t="shared" si="92"/>
        <v>1.9182692307692308</v>
      </c>
      <c r="T312" s="211">
        <f t="shared" si="88"/>
        <v>1.4317307692307693</v>
      </c>
      <c r="U312" s="46">
        <f t="shared" si="89"/>
        <v>20.875743073684028</v>
      </c>
      <c r="V312" s="46">
        <f t="shared" si="90"/>
        <v>-15.890020399907357</v>
      </c>
      <c r="W312" s="496"/>
    </row>
    <row r="313" spans="1:27" x14ac:dyDescent="0.25">
      <c r="A313" s="589">
        <f t="shared" si="86"/>
        <v>6.7548076921331024E-6</v>
      </c>
      <c r="B313" s="32">
        <f t="shared" si="76"/>
        <v>281</v>
      </c>
      <c r="C313" s="441">
        <f>'SOLLECITAZ NASCOSTO'!$D$6/'SOLLECITAZ NASCOSTO'!$B$448*'SOLLECITAZ NASCOSTO'!B313</f>
        <v>1.9251201923076924</v>
      </c>
      <c r="D313" s="441">
        <f t="shared" si="87"/>
        <v>0.30000675480769212</v>
      </c>
      <c r="E313" s="441">
        <f t="shared" si="81"/>
        <v>6.7548076921331024E-6</v>
      </c>
      <c r="F313" s="441">
        <f t="shared" si="82"/>
        <v>0.30000675480769212</v>
      </c>
      <c r="G313" s="441">
        <f t="shared" si="83"/>
        <v>4.5002026465121352E-2</v>
      </c>
      <c r="H313" s="441">
        <f t="shared" si="77"/>
        <v>0</v>
      </c>
      <c r="I313" s="441">
        <v>0</v>
      </c>
      <c r="J313" s="131">
        <f t="shared" si="78"/>
        <v>0.15000337740384606</v>
      </c>
      <c r="K313" s="130">
        <f t="shared" si="84"/>
        <v>2.2501519865951555E-3</v>
      </c>
      <c r="L313" s="42">
        <f t="shared" si="79"/>
        <v>20.996629452288563</v>
      </c>
      <c r="M313" s="42">
        <f t="shared" si="80"/>
        <v>-16.033453406757143</v>
      </c>
      <c r="N313" s="42">
        <f>(IF(C312&lt;='SOLLECITAZ NASCOSTO'!$P$12,IF(C312&lt;='SOLLECITAZ NASCOSTO'!$P$11,IF(C312&lt;='SOLLECITAZ NASCOSTO'!$P$10,IF(C312&lt;='SOLLECITAZ NASCOSTO'!$P$9,IF(C312&lt;='SOLLECITAZ NASCOSTO'!$P$8,IF(C312&lt;='SOLLECITAZ NASCOSTO'!$P$7,IF(C312&lt;='SOLLECITAZ NASCOSTO'!$P$6,IF(C312&lt;='SOLLECITAZ NASCOSTO'!$P$5,'Progetto del paramento slu'!$G$105,'Progetto del paramento slu'!$G$106),'Progetto del paramento slu'!$G$107),'Progetto del paramento slu'!$G$108),'Progetto del paramento slu'!$G$109),'Progetto del paramento slu'!$G$110),'Progetto del paramento slu'!$G$111),'Progetto del paramento slu'!$G$112),55555)-IF(C312&lt;='SOLLECITAZ NASCOSTO'!$P$12,IF(C312&lt;='SOLLECITAZ NASCOSTO'!$P$11,IF(C312&lt;='SOLLECITAZ NASCOSTO'!$P$10,IF(C312&lt;='SOLLECITAZ NASCOSTO'!$P$9,IF(C312&lt;='SOLLECITAZ NASCOSTO'!$P$8,IF(C312&lt;='SOLLECITAZ NASCOSTO'!$P$7,IF(C312&lt;='SOLLECITAZ NASCOSTO'!$P$6,IF(C312&lt;='SOLLECITAZ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slu'!$G$112))*(C312-IF(C312&lt;='SOLLECITAZ NASCOSTO'!$P$12,IF(C312&lt;='SOLLECITAZ NASCOSTO'!$P$11,IF(C312&lt;='SOLLECITAZ NASCOSTO'!$P$10,IF(C312&lt;='SOLLECITAZ NASCOSTO'!$P$9,IF(C312&lt;='SOLLECITAZ NASCOSTO'!$P$8,IF(C312&lt;='SOLLECITAZ NASCOSTO'!$P$7,IF(C312&lt;='SOLLECITAZ NASCOSTO'!$P$6,IF(C312&lt;='SOLLECITAZ NASCOSTO'!$P$5,'SOLLECITAZ NASCOSTO'!$P$3,'SOLLECITAZ NASCOSTO'!$P$5),'SOLLECITAZ NASCOSTO'!$P$5),'SOLLECITAZ NASCOSTO'!$P$7),'SOLLECITAZ NASCOSTO'!$P$8),'SOLLECITAZ NASCOSTO'!$P$9),'SOLLECITAZ NASCOSTO'!$P$10),'SOLLECITAZ NASCOSTO'!$P$11),'SOLLECITAZ NASCOSTO'!$P$12))/IF(C312&lt;='SOLLECITAZ NASCOSTO'!$P$12,IF(C312&lt;='SOLLECITAZ NASCOSTO'!$P$11,IF(C312&lt;='SOLLECITAZ NASCOSTO'!$P$10,IF(C312&lt;='SOLLECITAZ NASCOSTO'!$P$9,IF(C312&lt;='SOLLECITAZ NASCOSTO'!$P$8,IF(C312&lt;='SOLLECITAZ NASCOSTO'!$P$7,IF(C312&lt;='SOLLECITAZ NASCOSTO'!$P$6,IF(C312&lt;='SOLLECITAZ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slu'!$C$112)+IF(C312&lt;='SOLLECITAZ NASCOSTO'!$P$12,IF(C312&lt;='SOLLECITAZ NASCOSTO'!$P$11,IF(C312&lt;='SOLLECITAZ NASCOSTO'!$P$10,IF(C312&lt;='SOLLECITAZ NASCOSTO'!$P$9,IF(C312&lt;='SOLLECITAZ NASCOSTO'!$P$8,IF(C312&lt;='SOLLECITAZ NASCOSTO'!$P$7,IF(C312&lt;='SOLLECITAZ NASCOSTO'!$P$6,IF(C312&lt;='SOLLECITAZ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17.621103539446345</v>
      </c>
      <c r="O313" s="42">
        <f>IF(C313&lt;='SOLLECITAZ NASCOSTO'!$P$12,IF(C313&lt;='SOLLECITAZ NASCOSTO'!$P$11,IF(C313&lt;='SOLLECITAZ NASCOSTO'!$P$10,IF(C313&lt;='SOLLECITAZ NASCOSTO'!$P$9,IF(C313&lt;='SOLLECITAZ NASCOSTO'!$P$8,IF(C313&lt;='SOLLECITAZ NASCOSTO'!$P$7,IF(C313&lt;='SOLLECITAZ NASCOSTO'!$P$6,IF(C313&lt;='SOLLECITAZ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slu'!$G$111),55555)*(C313-C312)/IF(C313&lt;='SOLLECITAZ NASCOSTO'!$P$12,IF(C313&lt;='SOLLECITAZ NASCOSTO'!$P$11,IF(C313&lt;='SOLLECITAZ NASCOSTO'!$P$10,IF(C313&lt;='SOLLECITAZ NASCOSTO'!$P$9,IF(C313&lt;='SOLLECITAZ NASCOSTO'!$P$8,IF(C313&lt;='SOLLECITAZ NASCOSTO'!$P$7,IF(C313&lt;='SOLLECITAZ NASCOSTO'!$P$6,IF(C313&lt;='SOLLECITAZ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3" s="42">
        <f t="shared" si="93"/>
        <v>2.800000000000003E-4</v>
      </c>
      <c r="Q313" s="42">
        <f t="shared" si="91"/>
        <v>1</v>
      </c>
      <c r="R313" s="441">
        <f t="shared" si="85"/>
        <v>1.9251201923076924</v>
      </c>
      <c r="S313" s="46">
        <f t="shared" si="92"/>
        <v>1.9251201923076924</v>
      </c>
      <c r="T313" s="211">
        <f t="shared" si="88"/>
        <v>1.4248798076923077</v>
      </c>
      <c r="U313" s="46">
        <f t="shared" si="89"/>
        <v>20.996629452288563</v>
      </c>
      <c r="V313" s="46">
        <f t="shared" si="90"/>
        <v>-16.033453406757143</v>
      </c>
      <c r="W313" s="496"/>
    </row>
    <row r="314" spans="1:27" x14ac:dyDescent="0.25">
      <c r="A314" s="589">
        <f t="shared" si="86"/>
        <v>6.7788461536877342E-6</v>
      </c>
      <c r="B314" s="32">
        <f t="shared" si="76"/>
        <v>282</v>
      </c>
      <c r="C314" s="441">
        <f>'SOLLECITAZ NASCOSTO'!$D$6/'SOLLECITAZ NASCOSTO'!$B$448*'SOLLECITAZ NASCOSTO'!B314</f>
        <v>1.9319711538461539</v>
      </c>
      <c r="D314" s="441">
        <f t="shared" si="87"/>
        <v>0.30000677884615368</v>
      </c>
      <c r="E314" s="441">
        <f t="shared" si="81"/>
        <v>6.7788461536877342E-6</v>
      </c>
      <c r="F314" s="441">
        <f t="shared" si="82"/>
        <v>0.30000677884615368</v>
      </c>
      <c r="G314" s="441">
        <f t="shared" si="83"/>
        <v>4.5002033676822484E-2</v>
      </c>
      <c r="H314" s="441">
        <f t="shared" si="77"/>
        <v>0</v>
      </c>
      <c r="I314" s="441">
        <v>0</v>
      </c>
      <c r="J314" s="131">
        <f t="shared" si="78"/>
        <v>0.15000338942307684</v>
      </c>
      <c r="K314" s="130">
        <f t="shared" si="84"/>
        <v>2.2501525274849408E-3</v>
      </c>
      <c r="L314" s="42">
        <f t="shared" si="79"/>
        <v>21.117845582874175</v>
      </c>
      <c r="M314" s="42">
        <f t="shared" si="80"/>
        <v>-16.177715731096342</v>
      </c>
      <c r="N314" s="42">
        <f>(IF(C313&lt;='SOLLECITAZ NASCOSTO'!$P$12,IF(C313&lt;='SOLLECITAZ NASCOSTO'!$P$11,IF(C313&lt;='SOLLECITAZ NASCOSTO'!$P$10,IF(C313&lt;='SOLLECITAZ NASCOSTO'!$P$9,IF(C313&lt;='SOLLECITAZ NASCOSTO'!$P$8,IF(C313&lt;='SOLLECITAZ NASCOSTO'!$P$7,IF(C313&lt;='SOLLECITAZ NASCOSTO'!$P$6,IF(C313&lt;='SOLLECITAZ NASCOSTO'!$P$5,'Progetto del paramento slu'!$G$105,'Progetto del paramento slu'!$G$106),'Progetto del paramento slu'!$G$107),'Progetto del paramento slu'!$G$108),'Progetto del paramento slu'!$G$109),'Progetto del paramento slu'!$G$110),'Progetto del paramento slu'!$G$111),'Progetto del paramento slu'!$G$112),55555)-IF(C313&lt;='SOLLECITAZ NASCOSTO'!$P$12,IF(C313&lt;='SOLLECITAZ NASCOSTO'!$P$11,IF(C313&lt;='SOLLECITAZ NASCOSTO'!$P$10,IF(C313&lt;='SOLLECITAZ NASCOSTO'!$P$9,IF(C313&lt;='SOLLECITAZ NASCOSTO'!$P$8,IF(C313&lt;='SOLLECITAZ NASCOSTO'!$P$7,IF(C313&lt;='SOLLECITAZ NASCOSTO'!$P$6,IF(C313&lt;='SOLLECITAZ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slu'!$G$112))*(C313-IF(C313&lt;='SOLLECITAZ NASCOSTO'!$P$12,IF(C313&lt;='SOLLECITAZ NASCOSTO'!$P$11,IF(C313&lt;='SOLLECITAZ NASCOSTO'!$P$10,IF(C313&lt;='SOLLECITAZ NASCOSTO'!$P$9,IF(C313&lt;='SOLLECITAZ NASCOSTO'!$P$8,IF(C313&lt;='SOLLECITAZ NASCOSTO'!$P$7,IF(C313&lt;='SOLLECITAZ NASCOSTO'!$P$6,IF(C313&lt;='SOLLECITAZ NASCOSTO'!$P$5,'SOLLECITAZ NASCOSTO'!$P$3,'SOLLECITAZ NASCOSTO'!$P$5),'SOLLECITAZ NASCOSTO'!$P$5),'SOLLECITAZ NASCOSTO'!$P$7),'SOLLECITAZ NASCOSTO'!$P$8),'SOLLECITAZ NASCOSTO'!$P$9),'SOLLECITAZ NASCOSTO'!$P$10),'SOLLECITAZ NASCOSTO'!$P$11),'SOLLECITAZ NASCOSTO'!$P$12))/IF(C313&lt;='SOLLECITAZ NASCOSTO'!$P$12,IF(C313&lt;='SOLLECITAZ NASCOSTO'!$P$11,IF(C313&lt;='SOLLECITAZ NASCOSTO'!$P$10,IF(C313&lt;='SOLLECITAZ NASCOSTO'!$P$9,IF(C313&lt;='SOLLECITAZ NASCOSTO'!$P$8,IF(C313&lt;='SOLLECITAZ NASCOSTO'!$P$7,IF(C313&lt;='SOLLECITAZ NASCOSTO'!$P$6,IF(C313&lt;='SOLLECITAZ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slu'!$C$112)+IF(C313&lt;='SOLLECITAZ NASCOSTO'!$P$12,IF(C313&lt;='SOLLECITAZ NASCOSTO'!$P$11,IF(C313&lt;='SOLLECITAZ NASCOSTO'!$P$10,IF(C313&lt;='SOLLECITAZ NASCOSTO'!$P$9,IF(C313&lt;='SOLLECITAZ NASCOSTO'!$P$8,IF(C313&lt;='SOLLECITAZ NASCOSTO'!$P$7,IF(C313&lt;='SOLLECITAZ NASCOSTO'!$P$6,IF(C313&lt;='SOLLECITAZ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17.669235758438703</v>
      </c>
      <c r="O314" s="42">
        <f>IF(C314&lt;='SOLLECITAZ NASCOSTO'!$P$12,IF(C314&lt;='SOLLECITAZ NASCOSTO'!$P$11,IF(C314&lt;='SOLLECITAZ NASCOSTO'!$P$10,IF(C314&lt;='SOLLECITAZ NASCOSTO'!$P$9,IF(C314&lt;='SOLLECITAZ NASCOSTO'!$P$8,IF(C314&lt;='SOLLECITAZ NASCOSTO'!$P$7,IF(C314&lt;='SOLLECITAZ NASCOSTO'!$P$6,IF(C314&lt;='SOLLECITAZ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slu'!$G$111),55555)*(C314-C313)/IF(C314&lt;='SOLLECITAZ NASCOSTO'!$P$12,IF(C314&lt;='SOLLECITAZ NASCOSTO'!$P$11,IF(C314&lt;='SOLLECITAZ NASCOSTO'!$P$10,IF(C314&lt;='SOLLECITAZ NASCOSTO'!$P$9,IF(C314&lt;='SOLLECITAZ NASCOSTO'!$P$8,IF(C314&lt;='SOLLECITAZ NASCOSTO'!$P$7,IF(C314&lt;='SOLLECITAZ NASCOSTO'!$P$6,IF(C314&lt;='SOLLECITAZ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4" s="42">
        <f t="shared" si="93"/>
        <v>2.8100000000000033E-4</v>
      </c>
      <c r="Q314" s="42">
        <f t="shared" si="91"/>
        <v>1</v>
      </c>
      <c r="R314" s="441">
        <f t="shared" si="85"/>
        <v>1.9319711538461539</v>
      </c>
      <c r="S314" s="46">
        <f t="shared" si="92"/>
        <v>1.9319711538461539</v>
      </c>
      <c r="T314" s="211">
        <f t="shared" si="88"/>
        <v>1.4180288461538462</v>
      </c>
      <c r="U314" s="46">
        <f t="shared" si="89"/>
        <v>21.117845582874175</v>
      </c>
      <c r="V314" s="46">
        <f t="shared" si="90"/>
        <v>-16.177715731096342</v>
      </c>
      <c r="W314" s="496"/>
    </row>
    <row r="315" spans="1:27" x14ac:dyDescent="0.25">
      <c r="A315" s="589">
        <f t="shared" si="86"/>
        <v>6.8028846152423661E-6</v>
      </c>
      <c r="B315" s="32">
        <f t="shared" si="76"/>
        <v>283</v>
      </c>
      <c r="C315" s="441">
        <f>'SOLLECITAZ NASCOSTO'!$D$6/'SOLLECITAZ NASCOSTO'!$B$448*'SOLLECITAZ NASCOSTO'!B315</f>
        <v>1.9388221153846155</v>
      </c>
      <c r="D315" s="441">
        <f t="shared" si="87"/>
        <v>0.30000680288461523</v>
      </c>
      <c r="E315" s="441">
        <f t="shared" si="81"/>
        <v>6.8028846152423661E-6</v>
      </c>
      <c r="F315" s="441">
        <f t="shared" si="82"/>
        <v>0.30000680288461523</v>
      </c>
      <c r="G315" s="441">
        <f t="shared" si="83"/>
        <v>4.5002040888524192E-2</v>
      </c>
      <c r="H315" s="441">
        <f t="shared" si="77"/>
        <v>0</v>
      </c>
      <c r="I315" s="441">
        <v>0</v>
      </c>
      <c r="J315" s="131">
        <f t="shared" si="78"/>
        <v>0.15000340144230762</v>
      </c>
      <c r="K315" s="130">
        <f t="shared" si="84"/>
        <v>2.2501530683748119E-3</v>
      </c>
      <c r="L315" s="42">
        <f t="shared" si="79"/>
        <v>21.239391465440864</v>
      </c>
      <c r="M315" s="42">
        <f t="shared" si="80"/>
        <v>-16.322809632043093</v>
      </c>
      <c r="N315" s="42">
        <f>(IF(C314&lt;='SOLLECITAZ NASCOSTO'!$P$12,IF(C314&lt;='SOLLECITAZ NASCOSTO'!$P$11,IF(C314&lt;='SOLLECITAZ NASCOSTO'!$P$10,IF(C314&lt;='SOLLECITAZ NASCOSTO'!$P$9,IF(C314&lt;='SOLLECITAZ NASCOSTO'!$P$8,IF(C314&lt;='SOLLECITAZ NASCOSTO'!$P$7,IF(C314&lt;='SOLLECITAZ NASCOSTO'!$P$6,IF(C314&lt;='SOLLECITAZ NASCOSTO'!$P$5,'Progetto del paramento slu'!$G$105,'Progetto del paramento slu'!$G$106),'Progetto del paramento slu'!$G$107),'Progetto del paramento slu'!$G$108),'Progetto del paramento slu'!$G$109),'Progetto del paramento slu'!$G$110),'Progetto del paramento slu'!$G$111),'Progetto del paramento slu'!$G$112),55555)-IF(C314&lt;='SOLLECITAZ NASCOSTO'!$P$12,IF(C314&lt;='SOLLECITAZ NASCOSTO'!$P$11,IF(C314&lt;='SOLLECITAZ NASCOSTO'!$P$10,IF(C314&lt;='SOLLECITAZ NASCOSTO'!$P$9,IF(C314&lt;='SOLLECITAZ NASCOSTO'!$P$8,IF(C314&lt;='SOLLECITAZ NASCOSTO'!$P$7,IF(C314&lt;='SOLLECITAZ NASCOSTO'!$P$6,IF(C314&lt;='SOLLECITAZ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slu'!$G$112))*(C314-IF(C314&lt;='SOLLECITAZ NASCOSTO'!$P$12,IF(C314&lt;='SOLLECITAZ NASCOSTO'!$P$11,IF(C314&lt;='SOLLECITAZ NASCOSTO'!$P$10,IF(C314&lt;='SOLLECITAZ NASCOSTO'!$P$9,IF(C314&lt;='SOLLECITAZ NASCOSTO'!$P$8,IF(C314&lt;='SOLLECITAZ NASCOSTO'!$P$7,IF(C314&lt;='SOLLECITAZ NASCOSTO'!$P$6,IF(C314&lt;='SOLLECITAZ NASCOSTO'!$P$5,'SOLLECITAZ NASCOSTO'!$P$3,'SOLLECITAZ NASCOSTO'!$P$5),'SOLLECITAZ NASCOSTO'!$P$5),'SOLLECITAZ NASCOSTO'!$P$7),'SOLLECITAZ NASCOSTO'!$P$8),'SOLLECITAZ NASCOSTO'!$P$9),'SOLLECITAZ NASCOSTO'!$P$10),'SOLLECITAZ NASCOSTO'!$P$11),'SOLLECITAZ NASCOSTO'!$P$12))/IF(C314&lt;='SOLLECITAZ NASCOSTO'!$P$12,IF(C314&lt;='SOLLECITAZ NASCOSTO'!$P$11,IF(C314&lt;='SOLLECITAZ NASCOSTO'!$P$10,IF(C314&lt;='SOLLECITAZ NASCOSTO'!$P$9,IF(C314&lt;='SOLLECITAZ NASCOSTO'!$P$8,IF(C314&lt;='SOLLECITAZ NASCOSTO'!$P$7,IF(C314&lt;='SOLLECITAZ NASCOSTO'!$P$6,IF(C314&lt;='SOLLECITAZ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slu'!$C$112)+IF(C314&lt;='SOLLECITAZ NASCOSTO'!$P$12,IF(C314&lt;='SOLLECITAZ NASCOSTO'!$P$11,IF(C314&lt;='SOLLECITAZ NASCOSTO'!$P$10,IF(C314&lt;='SOLLECITAZ NASCOSTO'!$P$9,IF(C314&lt;='SOLLECITAZ NASCOSTO'!$P$8,IF(C314&lt;='SOLLECITAZ NASCOSTO'!$P$7,IF(C314&lt;='SOLLECITAZ NASCOSTO'!$P$6,IF(C314&lt;='SOLLECITAZ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17.717367977431053</v>
      </c>
      <c r="O315" s="42">
        <f>IF(C315&lt;='SOLLECITAZ NASCOSTO'!$P$12,IF(C315&lt;='SOLLECITAZ NASCOSTO'!$P$11,IF(C315&lt;='SOLLECITAZ NASCOSTO'!$P$10,IF(C315&lt;='SOLLECITAZ NASCOSTO'!$P$9,IF(C315&lt;='SOLLECITAZ NASCOSTO'!$P$8,IF(C315&lt;='SOLLECITAZ NASCOSTO'!$P$7,IF(C315&lt;='SOLLECITAZ NASCOSTO'!$P$6,IF(C315&lt;='SOLLECITAZ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slu'!$G$111),55555)*(C315-C314)/IF(C315&lt;='SOLLECITAZ NASCOSTO'!$P$12,IF(C315&lt;='SOLLECITAZ NASCOSTO'!$P$11,IF(C315&lt;='SOLLECITAZ NASCOSTO'!$P$10,IF(C315&lt;='SOLLECITAZ NASCOSTO'!$P$9,IF(C315&lt;='SOLLECITAZ NASCOSTO'!$P$8,IF(C315&lt;='SOLLECITAZ NASCOSTO'!$P$7,IF(C315&lt;='SOLLECITAZ NASCOSTO'!$P$6,IF(C315&lt;='SOLLECITAZ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5" s="42">
        <f t="shared" si="93"/>
        <v>2.8200000000000035E-4</v>
      </c>
      <c r="Q315" s="42">
        <f t="shared" si="91"/>
        <v>1</v>
      </c>
      <c r="R315" s="441">
        <f t="shared" si="85"/>
        <v>1.9388221153846155</v>
      </c>
      <c r="S315" s="46">
        <f t="shared" si="92"/>
        <v>1.9388221153846155</v>
      </c>
      <c r="T315" s="211">
        <f t="shared" si="88"/>
        <v>1.4111778846153846</v>
      </c>
      <c r="U315" s="46">
        <f t="shared" si="89"/>
        <v>21.239391465440864</v>
      </c>
      <c r="V315" s="46">
        <f t="shared" si="90"/>
        <v>-16.322809632043093</v>
      </c>
      <c r="W315" s="496"/>
    </row>
    <row r="316" spans="1:27" x14ac:dyDescent="0.25">
      <c r="A316" s="589">
        <f t="shared" si="86"/>
        <v>6.8269230767969979E-6</v>
      </c>
      <c r="B316" s="32">
        <f t="shared" si="76"/>
        <v>284</v>
      </c>
      <c r="C316" s="441">
        <f>'SOLLECITAZ NASCOSTO'!$D$6/'SOLLECITAZ NASCOSTO'!$B$448*'SOLLECITAZ NASCOSTO'!B316</f>
        <v>1.945673076923077</v>
      </c>
      <c r="D316" s="441">
        <f t="shared" si="87"/>
        <v>0.30000682692307679</v>
      </c>
      <c r="E316" s="441">
        <f t="shared" si="81"/>
        <v>6.8269230767969979E-6</v>
      </c>
      <c r="F316" s="441">
        <f t="shared" si="82"/>
        <v>0.30000682692307679</v>
      </c>
      <c r="G316" s="441">
        <f t="shared" si="83"/>
        <v>4.5002048100226476E-2</v>
      </c>
      <c r="H316" s="441">
        <f t="shared" si="77"/>
        <v>0</v>
      </c>
      <c r="I316" s="441">
        <v>0</v>
      </c>
      <c r="J316" s="131">
        <f t="shared" si="78"/>
        <v>0.15000341346153839</v>
      </c>
      <c r="K316" s="130">
        <f t="shared" si="84"/>
        <v>2.2501536092647701E-3</v>
      </c>
      <c r="L316" s="42">
        <f t="shared" si="79"/>
        <v>21.36126709998863</v>
      </c>
      <c r="M316" s="42">
        <f t="shared" si="80"/>
        <v>-16.468737368715537</v>
      </c>
      <c r="N316" s="42">
        <f>(IF(C315&lt;='SOLLECITAZ NASCOSTO'!$P$12,IF(C315&lt;='SOLLECITAZ NASCOSTO'!$P$11,IF(C315&lt;='SOLLECITAZ NASCOSTO'!$P$10,IF(C315&lt;='SOLLECITAZ NASCOSTO'!$P$9,IF(C315&lt;='SOLLECITAZ NASCOSTO'!$P$8,IF(C315&lt;='SOLLECITAZ NASCOSTO'!$P$7,IF(C315&lt;='SOLLECITAZ NASCOSTO'!$P$6,IF(C315&lt;='SOLLECITAZ NASCOSTO'!$P$5,'Progetto del paramento slu'!$G$105,'Progetto del paramento slu'!$G$106),'Progetto del paramento slu'!$G$107),'Progetto del paramento slu'!$G$108),'Progetto del paramento slu'!$G$109),'Progetto del paramento slu'!$G$110),'Progetto del paramento slu'!$G$111),'Progetto del paramento slu'!$G$112),55555)-IF(C315&lt;='SOLLECITAZ NASCOSTO'!$P$12,IF(C315&lt;='SOLLECITAZ NASCOSTO'!$P$11,IF(C315&lt;='SOLLECITAZ NASCOSTO'!$P$10,IF(C315&lt;='SOLLECITAZ NASCOSTO'!$P$9,IF(C315&lt;='SOLLECITAZ NASCOSTO'!$P$8,IF(C315&lt;='SOLLECITAZ NASCOSTO'!$P$7,IF(C315&lt;='SOLLECITAZ NASCOSTO'!$P$6,IF(C315&lt;='SOLLECITAZ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slu'!$G$112))*(C315-IF(C315&lt;='SOLLECITAZ NASCOSTO'!$P$12,IF(C315&lt;='SOLLECITAZ NASCOSTO'!$P$11,IF(C315&lt;='SOLLECITAZ NASCOSTO'!$P$10,IF(C315&lt;='SOLLECITAZ NASCOSTO'!$P$9,IF(C315&lt;='SOLLECITAZ NASCOSTO'!$P$8,IF(C315&lt;='SOLLECITAZ NASCOSTO'!$P$7,IF(C315&lt;='SOLLECITAZ NASCOSTO'!$P$6,IF(C315&lt;='SOLLECITAZ NASCOSTO'!$P$5,'SOLLECITAZ NASCOSTO'!$P$3,'SOLLECITAZ NASCOSTO'!$P$5),'SOLLECITAZ NASCOSTO'!$P$5),'SOLLECITAZ NASCOSTO'!$P$7),'SOLLECITAZ NASCOSTO'!$P$8),'SOLLECITAZ NASCOSTO'!$P$9),'SOLLECITAZ NASCOSTO'!$P$10),'SOLLECITAZ NASCOSTO'!$P$11),'SOLLECITAZ NASCOSTO'!$P$12))/IF(C315&lt;='SOLLECITAZ NASCOSTO'!$P$12,IF(C315&lt;='SOLLECITAZ NASCOSTO'!$P$11,IF(C315&lt;='SOLLECITAZ NASCOSTO'!$P$10,IF(C315&lt;='SOLLECITAZ NASCOSTO'!$P$9,IF(C315&lt;='SOLLECITAZ NASCOSTO'!$P$8,IF(C315&lt;='SOLLECITAZ NASCOSTO'!$P$7,IF(C315&lt;='SOLLECITAZ NASCOSTO'!$P$6,IF(C315&lt;='SOLLECITAZ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slu'!$C$112)+IF(C315&lt;='SOLLECITAZ NASCOSTO'!$P$12,IF(C315&lt;='SOLLECITAZ NASCOSTO'!$P$11,IF(C315&lt;='SOLLECITAZ NASCOSTO'!$P$10,IF(C315&lt;='SOLLECITAZ NASCOSTO'!$P$9,IF(C315&lt;='SOLLECITAZ NASCOSTO'!$P$8,IF(C315&lt;='SOLLECITAZ NASCOSTO'!$P$7,IF(C315&lt;='SOLLECITAZ NASCOSTO'!$P$6,IF(C315&lt;='SOLLECITAZ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17.765500196423403</v>
      </c>
      <c r="O316" s="42">
        <f>IF(C316&lt;='SOLLECITAZ NASCOSTO'!$P$12,IF(C316&lt;='SOLLECITAZ NASCOSTO'!$P$11,IF(C316&lt;='SOLLECITAZ NASCOSTO'!$P$10,IF(C316&lt;='SOLLECITAZ NASCOSTO'!$P$9,IF(C316&lt;='SOLLECITAZ NASCOSTO'!$P$8,IF(C316&lt;='SOLLECITAZ NASCOSTO'!$P$7,IF(C316&lt;='SOLLECITAZ NASCOSTO'!$P$6,IF(C316&lt;='SOLLECITAZ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slu'!$G$111),55555)*(C316-C315)/IF(C316&lt;='SOLLECITAZ NASCOSTO'!$P$12,IF(C316&lt;='SOLLECITAZ NASCOSTO'!$P$11,IF(C316&lt;='SOLLECITAZ NASCOSTO'!$P$10,IF(C316&lt;='SOLLECITAZ NASCOSTO'!$P$9,IF(C316&lt;='SOLLECITAZ NASCOSTO'!$P$8,IF(C316&lt;='SOLLECITAZ NASCOSTO'!$P$7,IF(C316&lt;='SOLLECITAZ NASCOSTO'!$P$6,IF(C316&lt;='SOLLECITAZ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6" s="42">
        <f t="shared" si="93"/>
        <v>2.8300000000000037E-4</v>
      </c>
      <c r="Q316" s="42">
        <f t="shared" si="91"/>
        <v>1</v>
      </c>
      <c r="R316" s="441">
        <f t="shared" si="85"/>
        <v>1.945673076923077</v>
      </c>
      <c r="S316" s="46">
        <f t="shared" si="92"/>
        <v>1.945673076923077</v>
      </c>
      <c r="T316" s="211">
        <f t="shared" si="88"/>
        <v>1.4043269230769231</v>
      </c>
      <c r="U316" s="46">
        <f t="shared" si="89"/>
        <v>21.36126709998863</v>
      </c>
      <c r="V316" s="46">
        <f t="shared" si="90"/>
        <v>-16.468737368715537</v>
      </c>
      <c r="W316" s="496"/>
      <c r="X316" s="484"/>
    </row>
    <row r="317" spans="1:27" x14ac:dyDescent="0.25">
      <c r="A317" s="589">
        <f t="shared" si="86"/>
        <v>6.8509615382961186E-6</v>
      </c>
      <c r="B317" s="32">
        <f t="shared" si="76"/>
        <v>285</v>
      </c>
      <c r="C317" s="441">
        <f>'SOLLECITAZ NASCOSTO'!$D$6/'SOLLECITAZ NASCOSTO'!$B$448*'SOLLECITAZ NASCOSTO'!B317</f>
        <v>1.9525240384615385</v>
      </c>
      <c r="D317" s="441">
        <f t="shared" si="87"/>
        <v>0.30000685096153829</v>
      </c>
      <c r="E317" s="441">
        <f t="shared" si="81"/>
        <v>6.8509615382961186E-6</v>
      </c>
      <c r="F317" s="441">
        <f t="shared" si="82"/>
        <v>0.30000685096153829</v>
      </c>
      <c r="G317" s="441">
        <f t="shared" si="83"/>
        <v>4.5002055311929322E-2</v>
      </c>
      <c r="H317" s="441">
        <f t="shared" si="77"/>
        <v>0</v>
      </c>
      <c r="I317" s="441">
        <v>0</v>
      </c>
      <c r="J317" s="131">
        <f t="shared" si="78"/>
        <v>0.15000342548076914</v>
      </c>
      <c r="K317" s="130">
        <f t="shared" si="84"/>
        <v>2.2501541501548138E-3</v>
      </c>
      <c r="L317" s="42">
        <f t="shared" si="79"/>
        <v>21.483472486517474</v>
      </c>
      <c r="M317" s="42">
        <f t="shared" si="80"/>
        <v>-16.615501200231815</v>
      </c>
      <c r="N317" s="42">
        <f>(IF(C316&lt;='SOLLECITAZ NASCOSTO'!$P$12,IF(C316&lt;='SOLLECITAZ NASCOSTO'!$P$11,IF(C316&lt;='SOLLECITAZ NASCOSTO'!$P$10,IF(C316&lt;='SOLLECITAZ NASCOSTO'!$P$9,IF(C316&lt;='SOLLECITAZ NASCOSTO'!$P$8,IF(C316&lt;='SOLLECITAZ NASCOSTO'!$P$7,IF(C316&lt;='SOLLECITAZ NASCOSTO'!$P$6,IF(C316&lt;='SOLLECITAZ NASCOSTO'!$P$5,'Progetto del paramento slu'!$G$105,'Progetto del paramento slu'!$G$106),'Progetto del paramento slu'!$G$107),'Progetto del paramento slu'!$G$108),'Progetto del paramento slu'!$G$109),'Progetto del paramento slu'!$G$110),'Progetto del paramento slu'!$G$111),'Progetto del paramento slu'!$G$112),55555)-IF(C316&lt;='SOLLECITAZ NASCOSTO'!$P$12,IF(C316&lt;='SOLLECITAZ NASCOSTO'!$P$11,IF(C316&lt;='SOLLECITAZ NASCOSTO'!$P$10,IF(C316&lt;='SOLLECITAZ NASCOSTO'!$P$9,IF(C316&lt;='SOLLECITAZ NASCOSTO'!$P$8,IF(C316&lt;='SOLLECITAZ NASCOSTO'!$P$7,IF(C316&lt;='SOLLECITAZ NASCOSTO'!$P$6,IF(C316&lt;='SOLLECITAZ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slu'!$G$112))*(C316-IF(C316&lt;='SOLLECITAZ NASCOSTO'!$P$12,IF(C316&lt;='SOLLECITAZ NASCOSTO'!$P$11,IF(C316&lt;='SOLLECITAZ NASCOSTO'!$P$10,IF(C316&lt;='SOLLECITAZ NASCOSTO'!$P$9,IF(C316&lt;='SOLLECITAZ NASCOSTO'!$P$8,IF(C316&lt;='SOLLECITAZ NASCOSTO'!$P$7,IF(C316&lt;='SOLLECITAZ NASCOSTO'!$P$6,IF(C316&lt;='SOLLECITAZ NASCOSTO'!$P$5,'SOLLECITAZ NASCOSTO'!$P$3,'SOLLECITAZ NASCOSTO'!$P$5),'SOLLECITAZ NASCOSTO'!$P$5),'SOLLECITAZ NASCOSTO'!$P$7),'SOLLECITAZ NASCOSTO'!$P$8),'SOLLECITAZ NASCOSTO'!$P$9),'SOLLECITAZ NASCOSTO'!$P$10),'SOLLECITAZ NASCOSTO'!$P$11),'SOLLECITAZ NASCOSTO'!$P$12))/IF(C316&lt;='SOLLECITAZ NASCOSTO'!$P$12,IF(C316&lt;='SOLLECITAZ NASCOSTO'!$P$11,IF(C316&lt;='SOLLECITAZ NASCOSTO'!$P$10,IF(C316&lt;='SOLLECITAZ NASCOSTO'!$P$9,IF(C316&lt;='SOLLECITAZ NASCOSTO'!$P$8,IF(C316&lt;='SOLLECITAZ NASCOSTO'!$P$7,IF(C316&lt;='SOLLECITAZ NASCOSTO'!$P$6,IF(C316&lt;='SOLLECITAZ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slu'!$C$112)+IF(C316&lt;='SOLLECITAZ NASCOSTO'!$P$12,IF(C316&lt;='SOLLECITAZ NASCOSTO'!$P$11,IF(C316&lt;='SOLLECITAZ NASCOSTO'!$P$10,IF(C316&lt;='SOLLECITAZ NASCOSTO'!$P$9,IF(C316&lt;='SOLLECITAZ NASCOSTO'!$P$8,IF(C316&lt;='SOLLECITAZ NASCOSTO'!$P$7,IF(C316&lt;='SOLLECITAZ NASCOSTO'!$P$6,IF(C316&lt;='SOLLECITAZ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17.813632415415757</v>
      </c>
      <c r="O317" s="42">
        <f>IF(C317&lt;='SOLLECITAZ NASCOSTO'!$P$12,IF(C317&lt;='SOLLECITAZ NASCOSTO'!$P$11,IF(C317&lt;='SOLLECITAZ NASCOSTO'!$P$10,IF(C317&lt;='SOLLECITAZ NASCOSTO'!$P$9,IF(C317&lt;='SOLLECITAZ NASCOSTO'!$P$8,IF(C317&lt;='SOLLECITAZ NASCOSTO'!$P$7,IF(C317&lt;='SOLLECITAZ NASCOSTO'!$P$6,IF(C317&lt;='SOLLECITAZ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slu'!$G$111),55555)*(C317-C316)/IF(C317&lt;='SOLLECITAZ NASCOSTO'!$P$12,IF(C317&lt;='SOLLECITAZ NASCOSTO'!$P$11,IF(C317&lt;='SOLLECITAZ NASCOSTO'!$P$10,IF(C317&lt;='SOLLECITAZ NASCOSTO'!$P$9,IF(C317&lt;='SOLLECITAZ NASCOSTO'!$P$8,IF(C317&lt;='SOLLECITAZ NASCOSTO'!$P$7,IF(C317&lt;='SOLLECITAZ NASCOSTO'!$P$6,IF(C317&lt;='SOLLECITAZ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7" s="42">
        <f t="shared" si="93"/>
        <v>2.840000000000004E-4</v>
      </c>
      <c r="Q317" s="42">
        <f t="shared" si="91"/>
        <v>1</v>
      </c>
      <c r="R317" s="441">
        <f t="shared" si="85"/>
        <v>1.9525240384615385</v>
      </c>
      <c r="S317" s="46">
        <f t="shared" si="92"/>
        <v>1.9525240384615385</v>
      </c>
      <c r="T317" s="211">
        <f t="shared" si="88"/>
        <v>1.3974759615384615</v>
      </c>
      <c r="U317" s="46">
        <f t="shared" si="89"/>
        <v>21.483472486517474</v>
      </c>
      <c r="V317" s="46">
        <f t="shared" si="90"/>
        <v>-16.615501200231815</v>
      </c>
      <c r="W317" s="496"/>
      <c r="X317" s="484"/>
      <c r="Y317" s="428"/>
    </row>
    <row r="318" spans="1:27" x14ac:dyDescent="0.25">
      <c r="A318" s="589">
        <f t="shared" si="86"/>
        <v>6.8749999998507505E-6</v>
      </c>
      <c r="B318" s="32">
        <f t="shared" si="76"/>
        <v>286</v>
      </c>
      <c r="C318" s="441">
        <f>'SOLLECITAZ NASCOSTO'!$D$6/'SOLLECITAZ NASCOSTO'!$B$448*'SOLLECITAZ NASCOSTO'!B318</f>
        <v>1.9593750000000001</v>
      </c>
      <c r="D318" s="441">
        <f t="shared" si="87"/>
        <v>0.30000687499999984</v>
      </c>
      <c r="E318" s="441">
        <f t="shared" si="81"/>
        <v>6.8749999998507505E-6</v>
      </c>
      <c r="F318" s="441">
        <f t="shared" si="82"/>
        <v>0.30000687499999984</v>
      </c>
      <c r="G318" s="441">
        <f t="shared" si="83"/>
        <v>4.5002062523632765E-2</v>
      </c>
      <c r="H318" s="441">
        <f t="shared" si="77"/>
        <v>0</v>
      </c>
      <c r="I318" s="441">
        <v>0</v>
      </c>
      <c r="J318" s="131">
        <f t="shared" si="78"/>
        <v>0.15000343749999992</v>
      </c>
      <c r="K318" s="130">
        <f t="shared" si="84"/>
        <v>2.2501546910449451E-3</v>
      </c>
      <c r="L318" s="42">
        <f t="shared" si="79"/>
        <v>21.606007625027395</v>
      </c>
      <c r="M318" s="42">
        <f t="shared" si="80"/>
        <v>-16.763103385710064</v>
      </c>
      <c r="N318" s="42">
        <f>(IF(C317&lt;='SOLLECITAZ NASCOSTO'!$P$12,IF(C317&lt;='SOLLECITAZ NASCOSTO'!$P$11,IF(C317&lt;='SOLLECITAZ NASCOSTO'!$P$10,IF(C317&lt;='SOLLECITAZ NASCOSTO'!$P$9,IF(C317&lt;='SOLLECITAZ NASCOSTO'!$P$8,IF(C317&lt;='SOLLECITAZ NASCOSTO'!$P$7,IF(C317&lt;='SOLLECITAZ NASCOSTO'!$P$6,IF(C317&lt;='SOLLECITAZ NASCOSTO'!$P$5,'Progetto del paramento slu'!$G$105,'Progetto del paramento slu'!$G$106),'Progetto del paramento slu'!$G$107),'Progetto del paramento slu'!$G$108),'Progetto del paramento slu'!$G$109),'Progetto del paramento slu'!$G$110),'Progetto del paramento slu'!$G$111),'Progetto del paramento slu'!$G$112),55555)-IF(C317&lt;='SOLLECITAZ NASCOSTO'!$P$12,IF(C317&lt;='SOLLECITAZ NASCOSTO'!$P$11,IF(C317&lt;='SOLLECITAZ NASCOSTO'!$P$10,IF(C317&lt;='SOLLECITAZ NASCOSTO'!$P$9,IF(C317&lt;='SOLLECITAZ NASCOSTO'!$P$8,IF(C317&lt;='SOLLECITAZ NASCOSTO'!$P$7,IF(C317&lt;='SOLLECITAZ NASCOSTO'!$P$6,IF(C317&lt;='SOLLECITAZ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slu'!$G$112))*(C317-IF(C317&lt;='SOLLECITAZ NASCOSTO'!$P$12,IF(C317&lt;='SOLLECITAZ NASCOSTO'!$P$11,IF(C317&lt;='SOLLECITAZ NASCOSTO'!$P$10,IF(C317&lt;='SOLLECITAZ NASCOSTO'!$P$9,IF(C317&lt;='SOLLECITAZ NASCOSTO'!$P$8,IF(C317&lt;='SOLLECITAZ NASCOSTO'!$P$7,IF(C317&lt;='SOLLECITAZ NASCOSTO'!$P$6,IF(C317&lt;='SOLLECITAZ NASCOSTO'!$P$5,'SOLLECITAZ NASCOSTO'!$P$3,'SOLLECITAZ NASCOSTO'!$P$5),'SOLLECITAZ NASCOSTO'!$P$5),'SOLLECITAZ NASCOSTO'!$P$7),'SOLLECITAZ NASCOSTO'!$P$8),'SOLLECITAZ NASCOSTO'!$P$9),'SOLLECITAZ NASCOSTO'!$P$10),'SOLLECITAZ NASCOSTO'!$P$11),'SOLLECITAZ NASCOSTO'!$P$12))/IF(C317&lt;='SOLLECITAZ NASCOSTO'!$P$12,IF(C317&lt;='SOLLECITAZ NASCOSTO'!$P$11,IF(C317&lt;='SOLLECITAZ NASCOSTO'!$P$10,IF(C317&lt;='SOLLECITAZ NASCOSTO'!$P$9,IF(C317&lt;='SOLLECITAZ NASCOSTO'!$P$8,IF(C317&lt;='SOLLECITAZ NASCOSTO'!$P$7,IF(C317&lt;='SOLLECITAZ NASCOSTO'!$P$6,IF(C317&lt;='SOLLECITAZ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slu'!$C$112)+IF(C317&lt;='SOLLECITAZ NASCOSTO'!$P$12,IF(C317&lt;='SOLLECITAZ NASCOSTO'!$P$11,IF(C317&lt;='SOLLECITAZ NASCOSTO'!$P$10,IF(C317&lt;='SOLLECITAZ NASCOSTO'!$P$9,IF(C317&lt;='SOLLECITAZ NASCOSTO'!$P$8,IF(C317&lt;='SOLLECITAZ NASCOSTO'!$P$7,IF(C317&lt;='SOLLECITAZ NASCOSTO'!$P$6,IF(C317&lt;='SOLLECITAZ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17.861764634408111</v>
      </c>
      <c r="O318" s="42">
        <f>IF(C318&lt;='SOLLECITAZ NASCOSTO'!$P$12,IF(C318&lt;='SOLLECITAZ NASCOSTO'!$P$11,IF(C318&lt;='SOLLECITAZ NASCOSTO'!$P$10,IF(C318&lt;='SOLLECITAZ NASCOSTO'!$P$9,IF(C318&lt;='SOLLECITAZ NASCOSTO'!$P$8,IF(C318&lt;='SOLLECITAZ NASCOSTO'!$P$7,IF(C318&lt;='SOLLECITAZ NASCOSTO'!$P$6,IF(C318&lt;='SOLLECITAZ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slu'!$G$111),55555)*(C318-C317)/IF(C318&lt;='SOLLECITAZ NASCOSTO'!$P$12,IF(C318&lt;='SOLLECITAZ NASCOSTO'!$P$11,IF(C318&lt;='SOLLECITAZ NASCOSTO'!$P$10,IF(C318&lt;='SOLLECITAZ NASCOSTO'!$P$9,IF(C318&lt;='SOLLECITAZ NASCOSTO'!$P$8,IF(C318&lt;='SOLLECITAZ NASCOSTO'!$P$7,IF(C318&lt;='SOLLECITAZ NASCOSTO'!$P$6,IF(C318&lt;='SOLLECITAZ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8" s="42">
        <f t="shared" si="93"/>
        <v>2.8500000000000042E-4</v>
      </c>
      <c r="Q318" s="42">
        <f t="shared" si="91"/>
        <v>1</v>
      </c>
      <c r="R318" s="441">
        <f t="shared" si="85"/>
        <v>1.9593750000000001</v>
      </c>
      <c r="S318" s="46">
        <f t="shared" si="92"/>
        <v>1.9593750000000001</v>
      </c>
      <c r="T318" s="211">
        <f t="shared" si="88"/>
        <v>1.390625</v>
      </c>
      <c r="U318" s="46">
        <f t="shared" si="89"/>
        <v>21.606007625027395</v>
      </c>
      <c r="V318" s="46">
        <f t="shared" si="90"/>
        <v>-16.763103385710064</v>
      </c>
      <c r="W318" s="496"/>
      <c r="X318" s="484"/>
      <c r="Y318" s="428"/>
    </row>
    <row r="319" spans="1:27" x14ac:dyDescent="0.25">
      <c r="A319" s="589">
        <f t="shared" si="86"/>
        <v>6.8990384614053823E-6</v>
      </c>
      <c r="B319" s="32">
        <f t="shared" ref="B319:B326" si="94">B318+1</f>
        <v>287</v>
      </c>
      <c r="C319" s="441">
        <f>'SOLLECITAZ NASCOSTO'!$D$6/'SOLLECITAZ NASCOSTO'!$B$448*'SOLLECITAZ NASCOSTO'!B319</f>
        <v>1.9662259615384616</v>
      </c>
      <c r="D319" s="441">
        <f t="shared" si="87"/>
        <v>0.30000689903846139</v>
      </c>
      <c r="E319" s="441">
        <f t="shared" si="81"/>
        <v>6.8990384614053823E-6</v>
      </c>
      <c r="F319" s="441">
        <f t="shared" si="82"/>
        <v>0.30000689903846139</v>
      </c>
      <c r="G319" s="441">
        <f t="shared" si="83"/>
        <v>4.5002069735336783E-2</v>
      </c>
      <c r="H319" s="441">
        <f t="shared" ref="H319:H326" si="95">I319*F319</f>
        <v>0</v>
      </c>
      <c r="I319" s="441">
        <v>0</v>
      </c>
      <c r="J319" s="131">
        <f t="shared" ref="J319:J326" si="96">G319/F319</f>
        <v>0.1500034495192307</v>
      </c>
      <c r="K319" s="130">
        <f t="shared" si="84"/>
        <v>2.2501552319351636E-3</v>
      </c>
      <c r="L319" s="42">
        <f t="shared" ref="L319:L326" si="97">L318+N319*(C319-C318)+O319*(C319-C318)/2</f>
        <v>21.728872515518393</v>
      </c>
      <c r="M319" s="42">
        <f t="shared" ref="M319:M326" si="98">M318-(L319+L318)*(C319-C318)/2</f>
        <v>-16.911546184268424</v>
      </c>
      <c r="N319" s="42">
        <f>(IF(C318&lt;='SOLLECITAZ NASCOSTO'!$P$12,IF(C318&lt;='SOLLECITAZ NASCOSTO'!$P$11,IF(C318&lt;='SOLLECITAZ NASCOSTO'!$P$10,IF(C318&lt;='SOLLECITAZ NASCOSTO'!$P$9,IF(C318&lt;='SOLLECITAZ NASCOSTO'!$P$8,IF(C318&lt;='SOLLECITAZ NASCOSTO'!$P$7,IF(C318&lt;='SOLLECITAZ NASCOSTO'!$P$6,IF(C318&lt;='SOLLECITAZ NASCOSTO'!$P$5,'Progetto del paramento slu'!$G$105,'Progetto del paramento slu'!$G$106),'Progetto del paramento slu'!$G$107),'Progetto del paramento slu'!$G$108),'Progetto del paramento slu'!$G$109),'Progetto del paramento slu'!$G$110),'Progetto del paramento slu'!$G$111),'Progetto del paramento slu'!$G$112),55555)-IF(C318&lt;='SOLLECITAZ NASCOSTO'!$P$12,IF(C318&lt;='SOLLECITAZ NASCOSTO'!$P$11,IF(C318&lt;='SOLLECITAZ NASCOSTO'!$P$10,IF(C318&lt;='SOLLECITAZ NASCOSTO'!$P$9,IF(C318&lt;='SOLLECITAZ NASCOSTO'!$P$8,IF(C318&lt;='SOLLECITAZ NASCOSTO'!$P$7,IF(C318&lt;='SOLLECITAZ NASCOSTO'!$P$6,IF(C318&lt;='SOLLECITAZ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slu'!$G$112))*(C318-IF(C318&lt;='SOLLECITAZ NASCOSTO'!$P$12,IF(C318&lt;='SOLLECITAZ NASCOSTO'!$P$11,IF(C318&lt;='SOLLECITAZ NASCOSTO'!$P$10,IF(C318&lt;='SOLLECITAZ NASCOSTO'!$P$9,IF(C318&lt;='SOLLECITAZ NASCOSTO'!$P$8,IF(C318&lt;='SOLLECITAZ NASCOSTO'!$P$7,IF(C318&lt;='SOLLECITAZ NASCOSTO'!$P$6,IF(C318&lt;='SOLLECITAZ NASCOSTO'!$P$5,'SOLLECITAZ NASCOSTO'!$P$3,'SOLLECITAZ NASCOSTO'!$P$5),'SOLLECITAZ NASCOSTO'!$P$5),'SOLLECITAZ NASCOSTO'!$P$7),'SOLLECITAZ NASCOSTO'!$P$8),'SOLLECITAZ NASCOSTO'!$P$9),'SOLLECITAZ NASCOSTO'!$P$10),'SOLLECITAZ NASCOSTO'!$P$11),'SOLLECITAZ NASCOSTO'!$P$12))/IF(C318&lt;='SOLLECITAZ NASCOSTO'!$P$12,IF(C318&lt;='SOLLECITAZ NASCOSTO'!$P$11,IF(C318&lt;='SOLLECITAZ NASCOSTO'!$P$10,IF(C318&lt;='SOLLECITAZ NASCOSTO'!$P$9,IF(C318&lt;='SOLLECITAZ NASCOSTO'!$P$8,IF(C318&lt;='SOLLECITAZ NASCOSTO'!$P$7,IF(C318&lt;='SOLLECITAZ NASCOSTO'!$P$6,IF(C318&lt;='SOLLECITAZ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slu'!$C$112)+IF(C318&lt;='SOLLECITAZ NASCOSTO'!$P$12,IF(C318&lt;='SOLLECITAZ NASCOSTO'!$P$11,IF(C318&lt;='SOLLECITAZ NASCOSTO'!$P$10,IF(C318&lt;='SOLLECITAZ NASCOSTO'!$P$9,IF(C318&lt;='SOLLECITAZ NASCOSTO'!$P$8,IF(C318&lt;='SOLLECITAZ NASCOSTO'!$P$7,IF(C318&lt;='SOLLECITAZ NASCOSTO'!$P$6,IF(C318&lt;='SOLLECITAZ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17.909896853400461</v>
      </c>
      <c r="O319" s="42">
        <f>IF(C319&lt;='SOLLECITAZ NASCOSTO'!$P$12,IF(C319&lt;='SOLLECITAZ NASCOSTO'!$P$11,IF(C319&lt;='SOLLECITAZ NASCOSTO'!$P$10,IF(C319&lt;='SOLLECITAZ NASCOSTO'!$P$9,IF(C319&lt;='SOLLECITAZ NASCOSTO'!$P$8,IF(C319&lt;='SOLLECITAZ NASCOSTO'!$P$7,IF(C319&lt;='SOLLECITAZ NASCOSTO'!$P$6,IF(C319&lt;='SOLLECITAZ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slu'!$G$111),55555)*(C319-C318)/IF(C319&lt;='SOLLECITAZ NASCOSTO'!$P$12,IF(C319&lt;='SOLLECITAZ NASCOSTO'!$P$11,IF(C319&lt;='SOLLECITAZ NASCOSTO'!$P$10,IF(C319&lt;='SOLLECITAZ NASCOSTO'!$P$9,IF(C319&lt;='SOLLECITAZ NASCOSTO'!$P$8,IF(C319&lt;='SOLLECITAZ NASCOSTO'!$P$7,IF(C319&lt;='SOLLECITAZ NASCOSTO'!$P$6,IF(C319&lt;='SOLLECITAZ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19" s="42">
        <f t="shared" si="93"/>
        <v>2.8600000000000045E-4</v>
      </c>
      <c r="Q319" s="42">
        <f t="shared" si="91"/>
        <v>1</v>
      </c>
      <c r="R319" s="441">
        <f t="shared" si="85"/>
        <v>1.9662259615384616</v>
      </c>
      <c r="S319" s="46">
        <f t="shared" si="92"/>
        <v>1.9662259615384616</v>
      </c>
      <c r="T319" s="211">
        <f t="shared" si="88"/>
        <v>1.3837740384615385</v>
      </c>
      <c r="U319" s="46">
        <f t="shared" si="89"/>
        <v>21.728872515518393</v>
      </c>
      <c r="V319" s="46">
        <f t="shared" si="90"/>
        <v>-16.911546184268424</v>
      </c>
      <c r="W319" s="496"/>
      <c r="X319" s="484"/>
      <c r="Y319" s="428"/>
    </row>
    <row r="320" spans="1:27" x14ac:dyDescent="0.25">
      <c r="A320" s="589">
        <f t="shared" si="86"/>
        <v>6.923076922904503E-6</v>
      </c>
      <c r="B320" s="32">
        <f t="shared" si="94"/>
        <v>288</v>
      </c>
      <c r="C320" s="441">
        <f>'SOLLECITAZ NASCOSTO'!$D$6/'SOLLECITAZ NASCOSTO'!$B$448*'SOLLECITAZ NASCOSTO'!B320</f>
        <v>1.9730769230769232</v>
      </c>
      <c r="D320" s="441">
        <f t="shared" si="87"/>
        <v>0.30000692307692289</v>
      </c>
      <c r="E320" s="441">
        <f t="shared" si="81"/>
        <v>6.923076922904503E-6</v>
      </c>
      <c r="F320" s="441">
        <f t="shared" si="82"/>
        <v>0.30000692307692289</v>
      </c>
      <c r="G320" s="441">
        <f t="shared" si="83"/>
        <v>4.5002076947041364E-2</v>
      </c>
      <c r="H320" s="441">
        <f t="shared" si="95"/>
        <v>0</v>
      </c>
      <c r="I320" s="441">
        <v>0</v>
      </c>
      <c r="J320" s="131">
        <f t="shared" si="96"/>
        <v>0.15000346153846145</v>
      </c>
      <c r="K320" s="130">
        <f t="shared" si="84"/>
        <v>2.2501557728254675E-3</v>
      </c>
      <c r="L320" s="42">
        <f t="shared" si="97"/>
        <v>21.852067157990469</v>
      </c>
      <c r="M320" s="42">
        <f t="shared" si="98"/>
        <v>-17.060831855025036</v>
      </c>
      <c r="N320" s="42">
        <f>(IF(C319&lt;='SOLLECITAZ NASCOSTO'!$P$12,IF(C319&lt;='SOLLECITAZ NASCOSTO'!$P$11,IF(C319&lt;='SOLLECITAZ NASCOSTO'!$P$10,IF(C319&lt;='SOLLECITAZ NASCOSTO'!$P$9,IF(C319&lt;='SOLLECITAZ NASCOSTO'!$P$8,IF(C319&lt;='SOLLECITAZ NASCOSTO'!$P$7,IF(C319&lt;='SOLLECITAZ NASCOSTO'!$P$6,IF(C319&lt;='SOLLECITAZ NASCOSTO'!$P$5,'Progetto del paramento slu'!$G$105,'Progetto del paramento slu'!$G$106),'Progetto del paramento slu'!$G$107),'Progetto del paramento slu'!$G$108),'Progetto del paramento slu'!$G$109),'Progetto del paramento slu'!$G$110),'Progetto del paramento slu'!$G$111),'Progetto del paramento slu'!$G$112),55555)-IF(C319&lt;='SOLLECITAZ NASCOSTO'!$P$12,IF(C319&lt;='SOLLECITAZ NASCOSTO'!$P$11,IF(C319&lt;='SOLLECITAZ NASCOSTO'!$P$10,IF(C319&lt;='SOLLECITAZ NASCOSTO'!$P$9,IF(C319&lt;='SOLLECITAZ NASCOSTO'!$P$8,IF(C319&lt;='SOLLECITAZ NASCOSTO'!$P$7,IF(C319&lt;='SOLLECITAZ NASCOSTO'!$P$6,IF(C319&lt;='SOLLECITAZ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slu'!$G$112))*(C319-IF(C319&lt;='SOLLECITAZ NASCOSTO'!$P$12,IF(C319&lt;='SOLLECITAZ NASCOSTO'!$P$11,IF(C319&lt;='SOLLECITAZ NASCOSTO'!$P$10,IF(C319&lt;='SOLLECITAZ NASCOSTO'!$P$9,IF(C319&lt;='SOLLECITAZ NASCOSTO'!$P$8,IF(C319&lt;='SOLLECITAZ NASCOSTO'!$P$7,IF(C319&lt;='SOLLECITAZ NASCOSTO'!$P$6,IF(C319&lt;='SOLLECITAZ NASCOSTO'!$P$5,'SOLLECITAZ NASCOSTO'!$P$3,'SOLLECITAZ NASCOSTO'!$P$5),'SOLLECITAZ NASCOSTO'!$P$5),'SOLLECITAZ NASCOSTO'!$P$7),'SOLLECITAZ NASCOSTO'!$P$8),'SOLLECITAZ NASCOSTO'!$P$9),'SOLLECITAZ NASCOSTO'!$P$10),'SOLLECITAZ NASCOSTO'!$P$11),'SOLLECITAZ NASCOSTO'!$P$12))/IF(C319&lt;='SOLLECITAZ NASCOSTO'!$P$12,IF(C319&lt;='SOLLECITAZ NASCOSTO'!$P$11,IF(C319&lt;='SOLLECITAZ NASCOSTO'!$P$10,IF(C319&lt;='SOLLECITAZ NASCOSTO'!$P$9,IF(C319&lt;='SOLLECITAZ NASCOSTO'!$P$8,IF(C319&lt;='SOLLECITAZ NASCOSTO'!$P$7,IF(C319&lt;='SOLLECITAZ NASCOSTO'!$P$6,IF(C319&lt;='SOLLECITAZ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slu'!$C$112)+IF(C319&lt;='SOLLECITAZ NASCOSTO'!$P$12,IF(C319&lt;='SOLLECITAZ NASCOSTO'!$P$11,IF(C319&lt;='SOLLECITAZ NASCOSTO'!$P$10,IF(C319&lt;='SOLLECITAZ NASCOSTO'!$P$9,IF(C319&lt;='SOLLECITAZ NASCOSTO'!$P$8,IF(C319&lt;='SOLLECITAZ NASCOSTO'!$P$7,IF(C319&lt;='SOLLECITAZ NASCOSTO'!$P$6,IF(C319&lt;='SOLLECITAZ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17.958029072392812</v>
      </c>
      <c r="O320" s="42">
        <f>IF(C320&lt;='SOLLECITAZ NASCOSTO'!$P$12,IF(C320&lt;='SOLLECITAZ NASCOSTO'!$P$11,IF(C320&lt;='SOLLECITAZ NASCOSTO'!$P$10,IF(C320&lt;='SOLLECITAZ NASCOSTO'!$P$9,IF(C320&lt;='SOLLECITAZ NASCOSTO'!$P$8,IF(C320&lt;='SOLLECITAZ NASCOSTO'!$P$7,IF(C320&lt;='SOLLECITAZ NASCOSTO'!$P$6,IF(C320&lt;='SOLLECITAZ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slu'!$G$111),55555)*(C320-C319)/IF(C320&lt;='SOLLECITAZ NASCOSTO'!$P$12,IF(C320&lt;='SOLLECITAZ NASCOSTO'!$P$11,IF(C320&lt;='SOLLECITAZ NASCOSTO'!$P$10,IF(C320&lt;='SOLLECITAZ NASCOSTO'!$P$9,IF(C320&lt;='SOLLECITAZ NASCOSTO'!$P$8,IF(C320&lt;='SOLLECITAZ NASCOSTO'!$P$7,IF(C320&lt;='SOLLECITAZ NASCOSTO'!$P$6,IF(C320&lt;='SOLLECITAZ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20" s="42">
        <f t="shared" si="93"/>
        <v>2.8700000000000047E-4</v>
      </c>
      <c r="Q320" s="42">
        <f t="shared" si="91"/>
        <v>1</v>
      </c>
      <c r="R320" s="441">
        <f t="shared" si="85"/>
        <v>1.9730769230769232</v>
      </c>
      <c r="S320" s="46">
        <f t="shared" si="92"/>
        <v>1.9730769230769232</v>
      </c>
      <c r="T320" s="211">
        <f t="shared" si="88"/>
        <v>1.3769230769230769</v>
      </c>
      <c r="U320" s="46">
        <f t="shared" si="89"/>
        <v>21.852067157990469</v>
      </c>
      <c r="V320" s="46">
        <f t="shared" si="90"/>
        <v>-17.060831855025036</v>
      </c>
      <c r="W320" s="496"/>
      <c r="X320" s="484"/>
      <c r="Y320" s="428"/>
    </row>
    <row r="321" spans="1:25" x14ac:dyDescent="0.25">
      <c r="A321" s="589">
        <f t="shared" si="86"/>
        <v>6.9471153844591349E-6</v>
      </c>
      <c r="B321" s="32">
        <f t="shared" si="94"/>
        <v>289</v>
      </c>
      <c r="C321" s="441">
        <f>'SOLLECITAZ NASCOSTO'!$D$6/'SOLLECITAZ NASCOSTO'!$B$448*'SOLLECITAZ NASCOSTO'!B321</f>
        <v>1.9799278846153845</v>
      </c>
      <c r="D321" s="441">
        <f t="shared" si="87"/>
        <v>0.30000694711538445</v>
      </c>
      <c r="E321" s="441">
        <f t="shared" si="81"/>
        <v>6.9471153844591349E-6</v>
      </c>
      <c r="F321" s="441">
        <f t="shared" si="82"/>
        <v>0.30000694711538445</v>
      </c>
      <c r="G321" s="441">
        <f t="shared" si="83"/>
        <v>4.5002084158746541E-2</v>
      </c>
      <c r="H321" s="441">
        <f t="shared" si="95"/>
        <v>0</v>
      </c>
      <c r="I321" s="441">
        <v>0</v>
      </c>
      <c r="J321" s="131">
        <f t="shared" si="96"/>
        <v>0.15000347355769222</v>
      </c>
      <c r="K321" s="130">
        <f t="shared" si="84"/>
        <v>2.250156313715859E-3</v>
      </c>
      <c r="L321" s="42">
        <f t="shared" si="97"/>
        <v>21.975591552443618</v>
      </c>
      <c r="M321" s="42">
        <f t="shared" si="98"/>
        <v>-17.210962657098033</v>
      </c>
      <c r="N321" s="42">
        <f>(IF(C320&lt;='SOLLECITAZ NASCOSTO'!$P$12,IF(C320&lt;='SOLLECITAZ NASCOSTO'!$P$11,IF(C320&lt;='SOLLECITAZ NASCOSTO'!$P$10,IF(C320&lt;='SOLLECITAZ NASCOSTO'!$P$9,IF(C320&lt;='SOLLECITAZ NASCOSTO'!$P$8,IF(C320&lt;='SOLLECITAZ NASCOSTO'!$P$7,IF(C320&lt;='SOLLECITAZ NASCOSTO'!$P$6,IF(C320&lt;='SOLLECITAZ NASCOSTO'!$P$5,'Progetto del paramento slu'!$G$105,'Progetto del paramento slu'!$G$106),'Progetto del paramento slu'!$G$107),'Progetto del paramento slu'!$G$108),'Progetto del paramento slu'!$G$109),'Progetto del paramento slu'!$G$110),'Progetto del paramento slu'!$G$111),'Progetto del paramento slu'!$G$112),55555)-IF(C320&lt;='SOLLECITAZ NASCOSTO'!$P$12,IF(C320&lt;='SOLLECITAZ NASCOSTO'!$P$11,IF(C320&lt;='SOLLECITAZ NASCOSTO'!$P$10,IF(C320&lt;='SOLLECITAZ NASCOSTO'!$P$9,IF(C320&lt;='SOLLECITAZ NASCOSTO'!$P$8,IF(C320&lt;='SOLLECITAZ NASCOSTO'!$P$7,IF(C320&lt;='SOLLECITAZ NASCOSTO'!$P$6,IF(C320&lt;='SOLLECITAZ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slu'!$G$112))*(C320-IF(C320&lt;='SOLLECITAZ NASCOSTO'!$P$12,IF(C320&lt;='SOLLECITAZ NASCOSTO'!$P$11,IF(C320&lt;='SOLLECITAZ NASCOSTO'!$P$10,IF(C320&lt;='SOLLECITAZ NASCOSTO'!$P$9,IF(C320&lt;='SOLLECITAZ NASCOSTO'!$P$8,IF(C320&lt;='SOLLECITAZ NASCOSTO'!$P$7,IF(C320&lt;='SOLLECITAZ NASCOSTO'!$P$6,IF(C320&lt;='SOLLECITAZ NASCOSTO'!$P$5,'SOLLECITAZ NASCOSTO'!$P$3,'SOLLECITAZ NASCOSTO'!$P$5),'SOLLECITAZ NASCOSTO'!$P$5),'SOLLECITAZ NASCOSTO'!$P$7),'SOLLECITAZ NASCOSTO'!$P$8),'SOLLECITAZ NASCOSTO'!$P$9),'SOLLECITAZ NASCOSTO'!$P$10),'SOLLECITAZ NASCOSTO'!$P$11),'SOLLECITAZ NASCOSTO'!$P$12))/IF(C320&lt;='SOLLECITAZ NASCOSTO'!$P$12,IF(C320&lt;='SOLLECITAZ NASCOSTO'!$P$11,IF(C320&lt;='SOLLECITAZ NASCOSTO'!$P$10,IF(C320&lt;='SOLLECITAZ NASCOSTO'!$P$9,IF(C320&lt;='SOLLECITAZ NASCOSTO'!$P$8,IF(C320&lt;='SOLLECITAZ NASCOSTO'!$P$7,IF(C320&lt;='SOLLECITAZ NASCOSTO'!$P$6,IF(C320&lt;='SOLLECITAZ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slu'!$C$112)+IF(C320&lt;='SOLLECITAZ NASCOSTO'!$P$12,IF(C320&lt;='SOLLECITAZ NASCOSTO'!$P$11,IF(C320&lt;='SOLLECITAZ NASCOSTO'!$P$10,IF(C320&lt;='SOLLECITAZ NASCOSTO'!$P$9,IF(C320&lt;='SOLLECITAZ NASCOSTO'!$P$8,IF(C320&lt;='SOLLECITAZ NASCOSTO'!$P$7,IF(C320&lt;='SOLLECITAZ NASCOSTO'!$P$6,IF(C320&lt;='SOLLECITAZ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18.006161291385165</v>
      </c>
      <c r="O321" s="42">
        <f>IF(C321&lt;='SOLLECITAZ NASCOSTO'!$P$12,IF(C321&lt;='SOLLECITAZ NASCOSTO'!$P$11,IF(C321&lt;='SOLLECITAZ NASCOSTO'!$P$10,IF(C321&lt;='SOLLECITAZ NASCOSTO'!$P$9,IF(C321&lt;='SOLLECITAZ NASCOSTO'!$P$8,IF(C321&lt;='SOLLECITAZ NASCOSTO'!$P$7,IF(C321&lt;='SOLLECITAZ NASCOSTO'!$P$6,IF(C321&lt;='SOLLECITAZ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slu'!$G$111),55555)*(C321-C320)/IF(C321&lt;='SOLLECITAZ NASCOSTO'!$P$12,IF(C321&lt;='SOLLECITAZ NASCOSTO'!$P$11,IF(C321&lt;='SOLLECITAZ NASCOSTO'!$P$10,IF(C321&lt;='SOLLECITAZ NASCOSTO'!$P$9,IF(C321&lt;='SOLLECITAZ NASCOSTO'!$P$8,IF(C321&lt;='SOLLECITAZ NASCOSTO'!$P$7,IF(C321&lt;='SOLLECITAZ NASCOSTO'!$P$6,IF(C321&lt;='SOLLECITAZ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21" s="42">
        <f t="shared" si="93"/>
        <v>2.880000000000005E-4</v>
      </c>
      <c r="Q321" s="42">
        <f t="shared" si="91"/>
        <v>1</v>
      </c>
      <c r="R321" s="441">
        <f t="shared" si="85"/>
        <v>1.9799278846153845</v>
      </c>
      <c r="S321" s="46">
        <f t="shared" si="92"/>
        <v>1.9799278846153845</v>
      </c>
      <c r="T321" s="211">
        <f t="shared" si="88"/>
        <v>1.3700721153846156</v>
      </c>
      <c r="U321" s="46">
        <f t="shared" si="89"/>
        <v>21.975591552443618</v>
      </c>
      <c r="V321" s="46">
        <f t="shared" si="90"/>
        <v>-17.210962657098033</v>
      </c>
      <c r="W321" s="496"/>
      <c r="X321" s="484"/>
      <c r="Y321" s="428"/>
    </row>
    <row r="322" spans="1:25" x14ac:dyDescent="0.25">
      <c r="A322" s="589">
        <f t="shared" si="86"/>
        <v>6.9711538460137668E-6</v>
      </c>
      <c r="B322" s="32">
        <f t="shared" si="94"/>
        <v>290</v>
      </c>
      <c r="C322" s="441">
        <f>'SOLLECITAZ NASCOSTO'!$D$6/'SOLLECITAZ NASCOSTO'!$B$448*'SOLLECITAZ NASCOSTO'!B322</f>
        <v>1.986778846153846</v>
      </c>
      <c r="D322" s="441">
        <f t="shared" si="87"/>
        <v>0.300006971153846</v>
      </c>
      <c r="E322" s="441">
        <f t="shared" si="81"/>
        <v>6.9711538460137668E-6</v>
      </c>
      <c r="F322" s="441">
        <f t="shared" si="82"/>
        <v>0.300006971153846</v>
      </c>
      <c r="G322" s="441">
        <f t="shared" si="83"/>
        <v>4.5002091370452295E-2</v>
      </c>
      <c r="H322" s="441">
        <f t="shared" si="95"/>
        <v>0</v>
      </c>
      <c r="I322" s="441">
        <v>0</v>
      </c>
      <c r="J322" s="131">
        <f t="shared" si="96"/>
        <v>0.150003485576923</v>
      </c>
      <c r="K322" s="130">
        <f t="shared" si="84"/>
        <v>2.2501568546063376E-3</v>
      </c>
      <c r="L322" s="42">
        <f t="shared" si="97"/>
        <v>22.099445698877847</v>
      </c>
      <c r="M322" s="42">
        <f t="shared" si="98"/>
        <v>-17.361940849605563</v>
      </c>
      <c r="N322" s="42">
        <f>(IF(C321&lt;='SOLLECITAZ NASCOSTO'!$P$12,IF(C321&lt;='SOLLECITAZ NASCOSTO'!$P$11,IF(C321&lt;='SOLLECITAZ NASCOSTO'!$P$10,IF(C321&lt;='SOLLECITAZ NASCOSTO'!$P$9,IF(C321&lt;='SOLLECITAZ NASCOSTO'!$P$8,IF(C321&lt;='SOLLECITAZ NASCOSTO'!$P$7,IF(C321&lt;='SOLLECITAZ NASCOSTO'!$P$6,IF(C321&lt;='SOLLECITAZ NASCOSTO'!$P$5,'Progetto del paramento slu'!$G$105,'Progetto del paramento slu'!$G$106),'Progetto del paramento slu'!$G$107),'Progetto del paramento slu'!$G$108),'Progetto del paramento slu'!$G$109),'Progetto del paramento slu'!$G$110),'Progetto del paramento slu'!$G$111),'Progetto del paramento slu'!$G$112),55555)-IF(C321&lt;='SOLLECITAZ NASCOSTO'!$P$12,IF(C321&lt;='SOLLECITAZ NASCOSTO'!$P$11,IF(C321&lt;='SOLLECITAZ NASCOSTO'!$P$10,IF(C321&lt;='SOLLECITAZ NASCOSTO'!$P$9,IF(C321&lt;='SOLLECITAZ NASCOSTO'!$P$8,IF(C321&lt;='SOLLECITAZ NASCOSTO'!$P$7,IF(C321&lt;='SOLLECITAZ NASCOSTO'!$P$6,IF(C321&lt;='SOLLECITAZ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slu'!$G$112))*(C321-IF(C321&lt;='SOLLECITAZ NASCOSTO'!$P$12,IF(C321&lt;='SOLLECITAZ NASCOSTO'!$P$11,IF(C321&lt;='SOLLECITAZ NASCOSTO'!$P$10,IF(C321&lt;='SOLLECITAZ NASCOSTO'!$P$9,IF(C321&lt;='SOLLECITAZ NASCOSTO'!$P$8,IF(C321&lt;='SOLLECITAZ NASCOSTO'!$P$7,IF(C321&lt;='SOLLECITAZ NASCOSTO'!$P$6,IF(C321&lt;='SOLLECITAZ NASCOSTO'!$P$5,'SOLLECITAZ NASCOSTO'!$P$3,'SOLLECITAZ NASCOSTO'!$P$5),'SOLLECITAZ NASCOSTO'!$P$5),'SOLLECITAZ NASCOSTO'!$P$7),'SOLLECITAZ NASCOSTO'!$P$8),'SOLLECITAZ NASCOSTO'!$P$9),'SOLLECITAZ NASCOSTO'!$P$10),'SOLLECITAZ NASCOSTO'!$P$11),'SOLLECITAZ NASCOSTO'!$P$12))/IF(C321&lt;='SOLLECITAZ NASCOSTO'!$P$12,IF(C321&lt;='SOLLECITAZ NASCOSTO'!$P$11,IF(C321&lt;='SOLLECITAZ NASCOSTO'!$P$10,IF(C321&lt;='SOLLECITAZ NASCOSTO'!$P$9,IF(C321&lt;='SOLLECITAZ NASCOSTO'!$P$8,IF(C321&lt;='SOLLECITAZ NASCOSTO'!$P$7,IF(C321&lt;='SOLLECITAZ NASCOSTO'!$P$6,IF(C321&lt;='SOLLECITAZ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slu'!$C$112)+IF(C321&lt;='SOLLECITAZ NASCOSTO'!$P$12,IF(C321&lt;='SOLLECITAZ NASCOSTO'!$P$11,IF(C321&lt;='SOLLECITAZ NASCOSTO'!$P$10,IF(C321&lt;='SOLLECITAZ NASCOSTO'!$P$9,IF(C321&lt;='SOLLECITAZ NASCOSTO'!$P$8,IF(C321&lt;='SOLLECITAZ NASCOSTO'!$P$7,IF(C321&lt;='SOLLECITAZ NASCOSTO'!$P$6,IF(C321&lt;='SOLLECITAZ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18.054293510377519</v>
      </c>
      <c r="O322" s="42">
        <f>IF(C322&lt;='SOLLECITAZ NASCOSTO'!$P$12,IF(C322&lt;='SOLLECITAZ NASCOSTO'!$P$11,IF(C322&lt;='SOLLECITAZ NASCOSTO'!$P$10,IF(C322&lt;='SOLLECITAZ NASCOSTO'!$P$9,IF(C322&lt;='SOLLECITAZ NASCOSTO'!$P$8,IF(C322&lt;='SOLLECITAZ NASCOSTO'!$P$7,IF(C322&lt;='SOLLECITAZ NASCOSTO'!$P$6,IF(C322&lt;='SOLLECITAZ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slu'!$G$111),55555)*(C322-C321)/IF(C322&lt;='SOLLECITAZ NASCOSTO'!$P$12,IF(C322&lt;='SOLLECITAZ NASCOSTO'!$P$11,IF(C322&lt;='SOLLECITAZ NASCOSTO'!$P$10,IF(C322&lt;='SOLLECITAZ NASCOSTO'!$P$9,IF(C322&lt;='SOLLECITAZ NASCOSTO'!$P$8,IF(C322&lt;='SOLLECITAZ NASCOSTO'!$P$7,IF(C322&lt;='SOLLECITAZ NASCOSTO'!$P$6,IF(C322&lt;='SOLLECITAZ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22" s="42">
        <f t="shared" si="93"/>
        <v>2.8900000000000052E-4</v>
      </c>
      <c r="Q322" s="42">
        <f t="shared" si="91"/>
        <v>1</v>
      </c>
      <c r="R322" s="441">
        <f t="shared" si="85"/>
        <v>1.986778846153846</v>
      </c>
      <c r="S322" s="46">
        <f t="shared" si="92"/>
        <v>1.986778846153846</v>
      </c>
      <c r="T322" s="211">
        <f t="shared" si="88"/>
        <v>1.3632211538461541</v>
      </c>
      <c r="U322" s="46">
        <f t="shared" si="89"/>
        <v>22.099445698877847</v>
      </c>
      <c r="V322" s="46">
        <f t="shared" si="90"/>
        <v>-17.361940849605563</v>
      </c>
      <c r="W322" s="496"/>
      <c r="X322" s="484"/>
      <c r="Y322" s="428"/>
    </row>
    <row r="323" spans="1:25" x14ac:dyDescent="0.25">
      <c r="A323" s="589">
        <f t="shared" si="86"/>
        <v>6.9951923075128875E-6</v>
      </c>
      <c r="B323" s="32">
        <f t="shared" si="94"/>
        <v>291</v>
      </c>
      <c r="C323" s="441">
        <f>'SOLLECITAZ NASCOSTO'!$D$6/'SOLLECITAZ NASCOSTO'!$B$448*'SOLLECITAZ NASCOSTO'!B323</f>
        <v>1.9936298076923076</v>
      </c>
      <c r="D323" s="441">
        <f t="shared" si="87"/>
        <v>0.3000069951923075</v>
      </c>
      <c r="E323" s="441">
        <f t="shared" si="81"/>
        <v>6.9951923075128875E-6</v>
      </c>
      <c r="F323" s="441">
        <f t="shared" si="82"/>
        <v>0.3000069951923075</v>
      </c>
      <c r="G323" s="441">
        <f t="shared" si="83"/>
        <v>4.500209858215861E-2</v>
      </c>
      <c r="H323" s="441">
        <f t="shared" si="95"/>
        <v>0</v>
      </c>
      <c r="I323" s="441">
        <v>0</v>
      </c>
      <c r="J323" s="131">
        <f t="shared" si="96"/>
        <v>0.15000349759615375</v>
      </c>
      <c r="K323" s="130">
        <f t="shared" si="84"/>
        <v>2.2501573954969013E-3</v>
      </c>
      <c r="L323" s="42">
        <f t="shared" si="97"/>
        <v>22.223629597293154</v>
      </c>
      <c r="M323" s="42">
        <f t="shared" si="98"/>
        <v>-17.513768691665764</v>
      </c>
      <c r="N323" s="42">
        <f>(IF(C322&lt;='SOLLECITAZ NASCOSTO'!$P$12,IF(C322&lt;='SOLLECITAZ NASCOSTO'!$P$11,IF(C322&lt;='SOLLECITAZ NASCOSTO'!$P$10,IF(C322&lt;='SOLLECITAZ NASCOSTO'!$P$9,IF(C322&lt;='SOLLECITAZ NASCOSTO'!$P$8,IF(C322&lt;='SOLLECITAZ NASCOSTO'!$P$7,IF(C322&lt;='SOLLECITAZ NASCOSTO'!$P$6,IF(C322&lt;='SOLLECITAZ NASCOSTO'!$P$5,'Progetto del paramento slu'!$G$105,'Progetto del paramento slu'!$G$106),'Progetto del paramento slu'!$G$107),'Progetto del paramento slu'!$G$108),'Progetto del paramento slu'!$G$109),'Progetto del paramento slu'!$G$110),'Progetto del paramento slu'!$G$111),'Progetto del paramento slu'!$G$112),55555)-IF(C322&lt;='SOLLECITAZ NASCOSTO'!$P$12,IF(C322&lt;='SOLLECITAZ NASCOSTO'!$P$11,IF(C322&lt;='SOLLECITAZ NASCOSTO'!$P$10,IF(C322&lt;='SOLLECITAZ NASCOSTO'!$P$9,IF(C322&lt;='SOLLECITAZ NASCOSTO'!$P$8,IF(C322&lt;='SOLLECITAZ NASCOSTO'!$P$7,IF(C322&lt;='SOLLECITAZ NASCOSTO'!$P$6,IF(C322&lt;='SOLLECITAZ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slu'!$G$112))*(C322-IF(C322&lt;='SOLLECITAZ NASCOSTO'!$P$12,IF(C322&lt;='SOLLECITAZ NASCOSTO'!$P$11,IF(C322&lt;='SOLLECITAZ NASCOSTO'!$P$10,IF(C322&lt;='SOLLECITAZ NASCOSTO'!$P$9,IF(C322&lt;='SOLLECITAZ NASCOSTO'!$P$8,IF(C322&lt;='SOLLECITAZ NASCOSTO'!$P$7,IF(C322&lt;='SOLLECITAZ NASCOSTO'!$P$6,IF(C322&lt;='SOLLECITAZ NASCOSTO'!$P$5,'SOLLECITAZ NASCOSTO'!$P$3,'SOLLECITAZ NASCOSTO'!$P$5),'SOLLECITAZ NASCOSTO'!$P$5),'SOLLECITAZ NASCOSTO'!$P$7),'SOLLECITAZ NASCOSTO'!$P$8),'SOLLECITAZ NASCOSTO'!$P$9),'SOLLECITAZ NASCOSTO'!$P$10),'SOLLECITAZ NASCOSTO'!$P$11),'SOLLECITAZ NASCOSTO'!$P$12))/IF(C322&lt;='SOLLECITAZ NASCOSTO'!$P$12,IF(C322&lt;='SOLLECITAZ NASCOSTO'!$P$11,IF(C322&lt;='SOLLECITAZ NASCOSTO'!$P$10,IF(C322&lt;='SOLLECITAZ NASCOSTO'!$P$9,IF(C322&lt;='SOLLECITAZ NASCOSTO'!$P$8,IF(C322&lt;='SOLLECITAZ NASCOSTO'!$P$7,IF(C322&lt;='SOLLECITAZ NASCOSTO'!$P$6,IF(C322&lt;='SOLLECITAZ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slu'!$C$112)+IF(C322&lt;='SOLLECITAZ NASCOSTO'!$P$12,IF(C322&lt;='SOLLECITAZ NASCOSTO'!$P$11,IF(C322&lt;='SOLLECITAZ NASCOSTO'!$P$10,IF(C322&lt;='SOLLECITAZ NASCOSTO'!$P$9,IF(C322&lt;='SOLLECITAZ NASCOSTO'!$P$8,IF(C322&lt;='SOLLECITAZ NASCOSTO'!$P$7,IF(C322&lt;='SOLLECITAZ NASCOSTO'!$P$6,IF(C322&lt;='SOLLECITAZ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18.10242572936987</v>
      </c>
      <c r="O323" s="42">
        <f>IF(C323&lt;='SOLLECITAZ NASCOSTO'!$P$12,IF(C323&lt;='SOLLECITAZ NASCOSTO'!$P$11,IF(C323&lt;='SOLLECITAZ NASCOSTO'!$P$10,IF(C323&lt;='SOLLECITAZ NASCOSTO'!$P$9,IF(C323&lt;='SOLLECITAZ NASCOSTO'!$P$8,IF(C323&lt;='SOLLECITAZ NASCOSTO'!$P$7,IF(C323&lt;='SOLLECITAZ NASCOSTO'!$P$6,IF(C323&lt;='SOLLECITAZ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slu'!$G$111),55555)*(C323-C322)/IF(C323&lt;='SOLLECITAZ NASCOSTO'!$P$12,IF(C323&lt;='SOLLECITAZ NASCOSTO'!$P$11,IF(C323&lt;='SOLLECITAZ NASCOSTO'!$P$10,IF(C323&lt;='SOLLECITAZ NASCOSTO'!$P$9,IF(C323&lt;='SOLLECITAZ NASCOSTO'!$P$8,IF(C323&lt;='SOLLECITAZ NASCOSTO'!$P$7,IF(C323&lt;='SOLLECITAZ NASCOSTO'!$P$6,IF(C323&lt;='SOLLECITAZ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4.8132218992352482E-2</v>
      </c>
      <c r="P323" s="42">
        <f t="shared" si="93"/>
        <v>2.9000000000000054E-4</v>
      </c>
      <c r="Q323" s="42">
        <f t="shared" si="91"/>
        <v>1</v>
      </c>
      <c r="R323" s="441">
        <f t="shared" si="85"/>
        <v>1.9936298076923076</v>
      </c>
      <c r="S323" s="46">
        <f t="shared" si="92"/>
        <v>1.9936298076923076</v>
      </c>
      <c r="T323" s="211">
        <f t="shared" si="88"/>
        <v>1.3563701923076925</v>
      </c>
      <c r="U323" s="46">
        <f t="shared" si="89"/>
        <v>22.223629597293154</v>
      </c>
      <c r="V323" s="46">
        <f t="shared" si="90"/>
        <v>-17.513768691665764</v>
      </c>
      <c r="W323" s="496"/>
      <c r="X323" s="484"/>
      <c r="Y323" s="428"/>
    </row>
    <row r="324" spans="1:25" x14ac:dyDescent="0.25">
      <c r="A324" s="589">
        <f t="shared" si="86"/>
        <v>7.0192307690675193E-6</v>
      </c>
      <c r="B324" s="32">
        <f t="shared" si="94"/>
        <v>292</v>
      </c>
      <c r="C324" s="441">
        <f>'SOLLECITAZ NASCOSTO'!$D$6/'SOLLECITAZ NASCOSTO'!$B$448*'SOLLECITAZ NASCOSTO'!B324</f>
        <v>2.0004807692307693</v>
      </c>
      <c r="D324" s="441">
        <f t="shared" si="87"/>
        <v>0.30000701923076906</v>
      </c>
      <c r="E324" s="441">
        <f t="shared" si="81"/>
        <v>7.0192307690675193E-6</v>
      </c>
      <c r="F324" s="441">
        <f t="shared" si="82"/>
        <v>0.30000701923076906</v>
      </c>
      <c r="G324" s="441">
        <f t="shared" si="83"/>
        <v>4.5002105793865516E-2</v>
      </c>
      <c r="H324" s="441">
        <f t="shared" si="95"/>
        <v>0</v>
      </c>
      <c r="I324" s="441">
        <v>0</v>
      </c>
      <c r="J324" s="131">
        <f t="shared" si="96"/>
        <v>0.15000350961538453</v>
      </c>
      <c r="K324" s="130">
        <f t="shared" si="84"/>
        <v>2.2501579363875526E-3</v>
      </c>
      <c r="L324" s="42">
        <f t="shared" si="97"/>
        <v>22.348143247689546</v>
      </c>
      <c r="M324" s="42">
        <f t="shared" si="98"/>
        <v>-17.666448442396778</v>
      </c>
      <c r="N324" s="42">
        <f>(IF(C323&lt;='SOLLECITAZ NASCOSTO'!$P$12,IF(C323&lt;='SOLLECITAZ NASCOSTO'!$P$11,IF(C323&lt;='SOLLECITAZ NASCOSTO'!$P$10,IF(C323&lt;='SOLLECITAZ NASCOSTO'!$P$9,IF(C323&lt;='SOLLECITAZ NASCOSTO'!$P$8,IF(C323&lt;='SOLLECITAZ NASCOSTO'!$P$7,IF(C323&lt;='SOLLECITAZ NASCOSTO'!$P$6,IF(C323&lt;='SOLLECITAZ NASCOSTO'!$P$5,'Progetto del paramento slu'!$G$105,'Progetto del paramento slu'!$G$106),'Progetto del paramento slu'!$G$107),'Progetto del paramento slu'!$G$108),'Progetto del paramento slu'!$G$109),'Progetto del paramento slu'!$G$110),'Progetto del paramento slu'!$G$111),'Progetto del paramento slu'!$G$112),55555)-IF(C323&lt;='SOLLECITAZ NASCOSTO'!$P$12,IF(C323&lt;='SOLLECITAZ NASCOSTO'!$P$11,IF(C323&lt;='SOLLECITAZ NASCOSTO'!$P$10,IF(C323&lt;='SOLLECITAZ NASCOSTO'!$P$9,IF(C323&lt;='SOLLECITAZ NASCOSTO'!$P$8,IF(C323&lt;='SOLLECITAZ NASCOSTO'!$P$7,IF(C323&lt;='SOLLECITAZ NASCOSTO'!$P$6,IF(C323&lt;='SOLLECITAZ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slu'!$G$112))*(C323-IF(C323&lt;='SOLLECITAZ NASCOSTO'!$P$12,IF(C323&lt;='SOLLECITAZ NASCOSTO'!$P$11,IF(C323&lt;='SOLLECITAZ NASCOSTO'!$P$10,IF(C323&lt;='SOLLECITAZ NASCOSTO'!$P$9,IF(C323&lt;='SOLLECITAZ NASCOSTO'!$P$8,IF(C323&lt;='SOLLECITAZ NASCOSTO'!$P$7,IF(C323&lt;='SOLLECITAZ NASCOSTO'!$P$6,IF(C323&lt;='SOLLECITAZ NASCOSTO'!$P$5,'SOLLECITAZ NASCOSTO'!$P$3,'SOLLECITAZ NASCOSTO'!$P$5),'SOLLECITAZ NASCOSTO'!$P$5),'SOLLECITAZ NASCOSTO'!$P$7),'SOLLECITAZ NASCOSTO'!$P$8),'SOLLECITAZ NASCOSTO'!$P$9),'SOLLECITAZ NASCOSTO'!$P$10),'SOLLECITAZ NASCOSTO'!$P$11),'SOLLECITAZ NASCOSTO'!$P$12))/IF(C323&lt;='SOLLECITAZ NASCOSTO'!$P$12,IF(C323&lt;='SOLLECITAZ NASCOSTO'!$P$11,IF(C323&lt;='SOLLECITAZ NASCOSTO'!$P$10,IF(C323&lt;='SOLLECITAZ NASCOSTO'!$P$9,IF(C323&lt;='SOLLECITAZ NASCOSTO'!$P$8,IF(C323&lt;='SOLLECITAZ NASCOSTO'!$P$7,IF(C323&lt;='SOLLECITAZ NASCOSTO'!$P$6,IF(C323&lt;='SOLLECITAZ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slu'!$C$112)+IF(C323&lt;='SOLLECITAZ NASCOSTO'!$P$12,IF(C323&lt;='SOLLECITAZ NASCOSTO'!$P$11,IF(C323&lt;='SOLLECITAZ NASCOSTO'!$P$10,IF(C323&lt;='SOLLECITAZ NASCOSTO'!$P$9,IF(C323&lt;='SOLLECITAZ NASCOSTO'!$P$8,IF(C323&lt;='SOLLECITAZ NASCOSTO'!$P$7,IF(C323&lt;='SOLLECITAZ NASCOSTO'!$P$6,IF(C323&lt;='SOLLECITAZ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18.150557948362223</v>
      </c>
      <c r="O324" s="42">
        <f>IF(C324&lt;='SOLLECITAZ NASCOSTO'!$P$12,IF(C324&lt;='SOLLECITAZ NASCOSTO'!$P$11,IF(C324&lt;='SOLLECITAZ NASCOSTO'!$P$10,IF(C324&lt;='SOLLECITAZ NASCOSTO'!$P$9,IF(C324&lt;='SOLLECITAZ NASCOSTO'!$P$8,IF(C324&lt;='SOLLECITAZ NASCOSTO'!$P$7,IF(C324&lt;='SOLLECITAZ NASCOSTO'!$P$6,IF(C324&lt;='SOLLECITAZ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slu'!$G$111),55555)*(C324-C323)/IF(C324&lt;='SOLLECITAZ NASCOSTO'!$P$12,IF(C324&lt;='SOLLECITAZ NASCOSTO'!$P$11,IF(C324&lt;='SOLLECITAZ NASCOSTO'!$P$10,IF(C324&lt;='SOLLECITAZ NASCOSTO'!$P$9,IF(C324&lt;='SOLLECITAZ NASCOSTO'!$P$8,IF(C324&lt;='SOLLECITAZ NASCOSTO'!$P$7,IF(C324&lt;='SOLLECITAZ NASCOSTO'!$P$6,IF(C324&lt;='SOLLECITAZ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24" s="42">
        <f t="shared" si="93"/>
        <v>2.9100000000000057E-4</v>
      </c>
      <c r="Q324" s="42">
        <f t="shared" si="91"/>
        <v>1</v>
      </c>
      <c r="R324" s="441">
        <f t="shared" si="85"/>
        <v>2.0004807692307693</v>
      </c>
      <c r="S324" s="46">
        <f t="shared" si="92"/>
        <v>2.0004807692307693</v>
      </c>
      <c r="T324" s="211">
        <f t="shared" si="88"/>
        <v>1.3495192307692307</v>
      </c>
      <c r="U324" s="46">
        <f t="shared" si="89"/>
        <v>22.348143247689546</v>
      </c>
      <c r="V324" s="46">
        <f t="shared" si="90"/>
        <v>-17.666448442396778</v>
      </c>
      <c r="W324" s="496"/>
      <c r="X324" s="484"/>
      <c r="Y324" s="428"/>
    </row>
    <row r="325" spans="1:25" x14ac:dyDescent="0.25">
      <c r="A325" s="589">
        <f t="shared" si="86"/>
        <v>7.0432692306221512E-6</v>
      </c>
      <c r="B325" s="32">
        <f t="shared" si="94"/>
        <v>293</v>
      </c>
      <c r="C325" s="441">
        <f>'SOLLECITAZ NASCOSTO'!$D$6/'SOLLECITAZ NASCOSTO'!$B$448*'SOLLECITAZ NASCOSTO'!B325</f>
        <v>2.0073317307692307</v>
      </c>
      <c r="D325" s="441">
        <f t="shared" si="87"/>
        <v>0.30000704326923061</v>
      </c>
      <c r="E325" s="441">
        <f t="shared" si="81"/>
        <v>7.0432692306221512E-6</v>
      </c>
      <c r="F325" s="441">
        <f t="shared" si="82"/>
        <v>0.30000704326923061</v>
      </c>
      <c r="G325" s="441">
        <f t="shared" si="83"/>
        <v>4.5002113005573004E-2</v>
      </c>
      <c r="H325" s="441">
        <f t="shared" si="95"/>
        <v>0</v>
      </c>
      <c r="I325" s="441">
        <v>0</v>
      </c>
      <c r="J325" s="131">
        <f t="shared" si="96"/>
        <v>0.15000352163461531</v>
      </c>
      <c r="K325" s="130">
        <f t="shared" si="84"/>
        <v>2.250158477278291E-3</v>
      </c>
      <c r="L325" s="42">
        <f t="shared" si="97"/>
        <v>22.472986650067003</v>
      </c>
      <c r="M325" s="42">
        <f t="shared" si="98"/>
        <v>-17.819982360916732</v>
      </c>
      <c r="N325" s="42">
        <f>(IF(C324&lt;='SOLLECITAZ NASCOSTO'!$P$12,IF(C324&lt;='SOLLECITAZ NASCOSTO'!$P$11,IF(C324&lt;='SOLLECITAZ NASCOSTO'!$P$10,IF(C324&lt;='SOLLECITAZ NASCOSTO'!$P$9,IF(C324&lt;='SOLLECITAZ NASCOSTO'!$P$8,IF(C324&lt;='SOLLECITAZ NASCOSTO'!$P$7,IF(C324&lt;='SOLLECITAZ NASCOSTO'!$P$6,IF(C324&lt;='SOLLECITAZ NASCOSTO'!$P$5,'Progetto del paramento slu'!$G$105,'Progetto del paramento slu'!$G$106),'Progetto del paramento slu'!$G$107),'Progetto del paramento slu'!$G$108),'Progetto del paramento slu'!$G$109),'Progetto del paramento slu'!$G$110),'Progetto del paramento slu'!$G$111),'Progetto del paramento slu'!$G$112),55555)-IF(C324&lt;='SOLLECITAZ NASCOSTO'!$P$12,IF(C324&lt;='SOLLECITAZ NASCOSTO'!$P$11,IF(C324&lt;='SOLLECITAZ NASCOSTO'!$P$10,IF(C324&lt;='SOLLECITAZ NASCOSTO'!$P$9,IF(C324&lt;='SOLLECITAZ NASCOSTO'!$P$8,IF(C324&lt;='SOLLECITAZ NASCOSTO'!$P$7,IF(C324&lt;='SOLLECITAZ NASCOSTO'!$P$6,IF(C324&lt;='SOLLECITAZ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slu'!$G$112))*(C324-IF(C324&lt;='SOLLECITAZ NASCOSTO'!$P$12,IF(C324&lt;='SOLLECITAZ NASCOSTO'!$P$11,IF(C324&lt;='SOLLECITAZ NASCOSTO'!$P$10,IF(C324&lt;='SOLLECITAZ NASCOSTO'!$P$9,IF(C324&lt;='SOLLECITAZ NASCOSTO'!$P$8,IF(C324&lt;='SOLLECITAZ NASCOSTO'!$P$7,IF(C324&lt;='SOLLECITAZ NASCOSTO'!$P$6,IF(C324&lt;='SOLLECITAZ NASCOSTO'!$P$5,'SOLLECITAZ NASCOSTO'!$P$3,'SOLLECITAZ NASCOSTO'!$P$5),'SOLLECITAZ NASCOSTO'!$P$5),'SOLLECITAZ NASCOSTO'!$P$7),'SOLLECITAZ NASCOSTO'!$P$8),'SOLLECITAZ NASCOSTO'!$P$9),'SOLLECITAZ NASCOSTO'!$P$10),'SOLLECITAZ NASCOSTO'!$P$11),'SOLLECITAZ NASCOSTO'!$P$12))/IF(C324&lt;='SOLLECITAZ NASCOSTO'!$P$12,IF(C324&lt;='SOLLECITAZ NASCOSTO'!$P$11,IF(C324&lt;='SOLLECITAZ NASCOSTO'!$P$10,IF(C324&lt;='SOLLECITAZ NASCOSTO'!$P$9,IF(C324&lt;='SOLLECITAZ NASCOSTO'!$P$8,IF(C324&lt;='SOLLECITAZ NASCOSTO'!$P$7,IF(C324&lt;='SOLLECITAZ NASCOSTO'!$P$6,IF(C324&lt;='SOLLECITAZ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slu'!$C$112)+IF(C324&lt;='SOLLECITAZ NASCOSTO'!$P$12,IF(C324&lt;='SOLLECITAZ NASCOSTO'!$P$11,IF(C324&lt;='SOLLECITAZ NASCOSTO'!$P$10,IF(C324&lt;='SOLLECITAZ NASCOSTO'!$P$9,IF(C324&lt;='SOLLECITAZ NASCOSTO'!$P$8,IF(C324&lt;='SOLLECITAZ NASCOSTO'!$P$7,IF(C324&lt;='SOLLECITAZ NASCOSTO'!$P$6,IF(C324&lt;='SOLLECITAZ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18.198690167354577</v>
      </c>
      <c r="O325" s="42">
        <f>IF(C325&lt;='SOLLECITAZ NASCOSTO'!$P$12,IF(C325&lt;='SOLLECITAZ NASCOSTO'!$P$11,IF(C325&lt;='SOLLECITAZ NASCOSTO'!$P$10,IF(C325&lt;='SOLLECITAZ NASCOSTO'!$P$9,IF(C325&lt;='SOLLECITAZ NASCOSTO'!$P$8,IF(C325&lt;='SOLLECITAZ NASCOSTO'!$P$7,IF(C325&lt;='SOLLECITAZ NASCOSTO'!$P$6,IF(C325&lt;='SOLLECITAZ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slu'!$G$111),55555)*(C325-C324)/IF(C325&lt;='SOLLECITAZ NASCOSTO'!$P$12,IF(C325&lt;='SOLLECITAZ NASCOSTO'!$P$11,IF(C325&lt;='SOLLECITAZ NASCOSTO'!$P$10,IF(C325&lt;='SOLLECITAZ NASCOSTO'!$P$9,IF(C325&lt;='SOLLECITAZ NASCOSTO'!$P$8,IF(C325&lt;='SOLLECITAZ NASCOSTO'!$P$7,IF(C325&lt;='SOLLECITAZ NASCOSTO'!$P$6,IF(C325&lt;='SOLLECITAZ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25" s="42">
        <f t="shared" si="93"/>
        <v>2.9200000000000059E-4</v>
      </c>
      <c r="Q325" s="42">
        <f t="shared" si="91"/>
        <v>1</v>
      </c>
      <c r="R325" s="441">
        <f t="shared" si="85"/>
        <v>2.0073317307692307</v>
      </c>
      <c r="S325" s="46">
        <f t="shared" si="92"/>
        <v>2.0073317307692307</v>
      </c>
      <c r="T325" s="211">
        <f t="shared" si="88"/>
        <v>1.3426682692307694</v>
      </c>
      <c r="U325" s="46">
        <f t="shared" si="89"/>
        <v>22.472986650067003</v>
      </c>
      <c r="V325" s="46">
        <f t="shared" si="90"/>
        <v>-17.819982360916732</v>
      </c>
      <c r="W325" s="496"/>
      <c r="X325" s="484"/>
      <c r="Y325" s="428"/>
    </row>
    <row r="326" spans="1:25" x14ac:dyDescent="0.25">
      <c r="A326" s="589">
        <f t="shared" si="86"/>
        <v>7.067307692176783E-6</v>
      </c>
      <c r="B326" s="32">
        <f t="shared" si="94"/>
        <v>294</v>
      </c>
      <c r="C326" s="441">
        <f>'SOLLECITAZ NASCOSTO'!$D$6/'SOLLECITAZ NASCOSTO'!$B$448*'SOLLECITAZ NASCOSTO'!B326</f>
        <v>2.0141826923076924</v>
      </c>
      <c r="D326" s="441">
        <f t="shared" si="87"/>
        <v>0.30000706730769217</v>
      </c>
      <c r="E326" s="441">
        <f t="shared" si="81"/>
        <v>7.067307692176783E-6</v>
      </c>
      <c r="F326" s="441">
        <f t="shared" si="82"/>
        <v>0.30000706730769217</v>
      </c>
      <c r="G326" s="441">
        <f t="shared" si="83"/>
        <v>4.5002120217281068E-2</v>
      </c>
      <c r="H326" s="441">
        <f t="shared" si="95"/>
        <v>0</v>
      </c>
      <c r="I326" s="441">
        <v>0</v>
      </c>
      <c r="J326" s="131">
        <f t="shared" si="96"/>
        <v>0.15000353365384608</v>
      </c>
      <c r="K326" s="130">
        <f t="shared" si="84"/>
        <v>2.2501590181691162E-3</v>
      </c>
      <c r="L326" s="42">
        <f t="shared" si="97"/>
        <v>22.598159804425549</v>
      </c>
      <c r="M326" s="42">
        <f t="shared" si="98"/>
        <v>-17.974372706343786</v>
      </c>
      <c r="N326" s="42">
        <f>(IF(C325&lt;='SOLLECITAZ NASCOSTO'!$P$12,IF(C325&lt;='SOLLECITAZ NASCOSTO'!$P$11,IF(C325&lt;='SOLLECITAZ NASCOSTO'!$P$10,IF(C325&lt;='SOLLECITAZ NASCOSTO'!$P$9,IF(C325&lt;='SOLLECITAZ NASCOSTO'!$P$8,IF(C325&lt;='SOLLECITAZ NASCOSTO'!$P$7,IF(C325&lt;='SOLLECITAZ NASCOSTO'!$P$6,IF(C325&lt;='SOLLECITAZ NASCOSTO'!$P$5,'Progetto del paramento slu'!$G$105,'Progetto del paramento slu'!$G$106),'Progetto del paramento slu'!$G$107),'Progetto del paramento slu'!$G$108),'Progetto del paramento slu'!$G$109),'Progetto del paramento slu'!$G$110),'Progetto del paramento slu'!$G$111),'Progetto del paramento slu'!$G$112),55555)-IF(C325&lt;='SOLLECITAZ NASCOSTO'!$P$12,IF(C325&lt;='SOLLECITAZ NASCOSTO'!$P$11,IF(C325&lt;='SOLLECITAZ NASCOSTO'!$P$10,IF(C325&lt;='SOLLECITAZ NASCOSTO'!$P$9,IF(C325&lt;='SOLLECITAZ NASCOSTO'!$P$8,IF(C325&lt;='SOLLECITAZ NASCOSTO'!$P$7,IF(C325&lt;='SOLLECITAZ NASCOSTO'!$P$6,IF(C325&lt;='SOLLECITAZ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slu'!$G$112))*(C325-IF(C325&lt;='SOLLECITAZ NASCOSTO'!$P$12,IF(C325&lt;='SOLLECITAZ NASCOSTO'!$P$11,IF(C325&lt;='SOLLECITAZ NASCOSTO'!$P$10,IF(C325&lt;='SOLLECITAZ NASCOSTO'!$P$9,IF(C325&lt;='SOLLECITAZ NASCOSTO'!$P$8,IF(C325&lt;='SOLLECITAZ NASCOSTO'!$P$7,IF(C325&lt;='SOLLECITAZ NASCOSTO'!$P$6,IF(C325&lt;='SOLLECITAZ NASCOSTO'!$P$5,'SOLLECITAZ NASCOSTO'!$P$3,'SOLLECITAZ NASCOSTO'!$P$5),'SOLLECITAZ NASCOSTO'!$P$5),'SOLLECITAZ NASCOSTO'!$P$7),'SOLLECITAZ NASCOSTO'!$P$8),'SOLLECITAZ NASCOSTO'!$P$9),'SOLLECITAZ NASCOSTO'!$P$10),'SOLLECITAZ NASCOSTO'!$P$11),'SOLLECITAZ NASCOSTO'!$P$12))/IF(C325&lt;='SOLLECITAZ NASCOSTO'!$P$12,IF(C325&lt;='SOLLECITAZ NASCOSTO'!$P$11,IF(C325&lt;='SOLLECITAZ NASCOSTO'!$P$10,IF(C325&lt;='SOLLECITAZ NASCOSTO'!$P$9,IF(C325&lt;='SOLLECITAZ NASCOSTO'!$P$8,IF(C325&lt;='SOLLECITAZ NASCOSTO'!$P$7,IF(C325&lt;='SOLLECITAZ NASCOSTO'!$P$6,IF(C325&lt;='SOLLECITAZ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slu'!$C$112)+IF(C325&lt;='SOLLECITAZ NASCOSTO'!$P$12,IF(C325&lt;='SOLLECITAZ NASCOSTO'!$P$11,IF(C325&lt;='SOLLECITAZ NASCOSTO'!$P$10,IF(C325&lt;='SOLLECITAZ NASCOSTO'!$P$9,IF(C325&lt;='SOLLECITAZ NASCOSTO'!$P$8,IF(C325&lt;='SOLLECITAZ NASCOSTO'!$P$7,IF(C325&lt;='SOLLECITAZ NASCOSTO'!$P$6,IF(C325&lt;='SOLLECITAZ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18.246822386346928</v>
      </c>
      <c r="O326" s="42">
        <f>IF(C326&lt;='SOLLECITAZ NASCOSTO'!$P$12,IF(C326&lt;='SOLLECITAZ NASCOSTO'!$P$11,IF(C326&lt;='SOLLECITAZ NASCOSTO'!$P$10,IF(C326&lt;='SOLLECITAZ NASCOSTO'!$P$9,IF(C326&lt;='SOLLECITAZ NASCOSTO'!$P$8,IF(C326&lt;='SOLLECITAZ NASCOSTO'!$P$7,IF(C326&lt;='SOLLECITAZ NASCOSTO'!$P$6,IF(C326&lt;='SOLLECITAZ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slu'!$G$111),55555)*(C326-C325)/IF(C326&lt;='SOLLECITAZ NASCOSTO'!$P$12,IF(C326&lt;='SOLLECITAZ NASCOSTO'!$P$11,IF(C326&lt;='SOLLECITAZ NASCOSTO'!$P$10,IF(C326&lt;='SOLLECITAZ NASCOSTO'!$P$9,IF(C326&lt;='SOLLECITAZ NASCOSTO'!$P$8,IF(C326&lt;='SOLLECITAZ NASCOSTO'!$P$7,IF(C326&lt;='SOLLECITAZ NASCOSTO'!$P$6,IF(C326&lt;='SOLLECITAZ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26" s="42">
        <f t="shared" si="93"/>
        <v>2.9300000000000062E-4</v>
      </c>
      <c r="Q326" s="42">
        <f t="shared" si="91"/>
        <v>1</v>
      </c>
      <c r="R326" s="441">
        <f t="shared" si="85"/>
        <v>2.0141826923076924</v>
      </c>
      <c r="S326" s="46">
        <f t="shared" si="92"/>
        <v>2.0141826923076924</v>
      </c>
      <c r="T326" s="211">
        <f t="shared" si="88"/>
        <v>1.3358173076923077</v>
      </c>
      <c r="U326" s="46">
        <f t="shared" si="89"/>
        <v>22.598159804425549</v>
      </c>
      <c r="V326" s="46">
        <f t="shared" si="90"/>
        <v>-17.974372706343786</v>
      </c>
      <c r="W326" s="496"/>
      <c r="X326" s="484"/>
      <c r="Y326" s="428"/>
    </row>
    <row r="327" spans="1:25" x14ac:dyDescent="0.25">
      <c r="A327" s="589">
        <f t="shared" si="86"/>
        <v>7.0913461536759037E-6</v>
      </c>
      <c r="B327" s="32">
        <f t="shared" ref="B327:B352" si="99">B326+1</f>
        <v>295</v>
      </c>
      <c r="C327" s="441">
        <f>'SOLLECITAZ NASCOSTO'!$D$6/'SOLLECITAZ NASCOSTO'!$B$448*'SOLLECITAZ NASCOSTO'!B327</f>
        <v>2.0210336538461537</v>
      </c>
      <c r="D327" s="132">
        <f t="shared" si="87"/>
        <v>0.30000709134615366</v>
      </c>
      <c r="E327" s="132">
        <f t="shared" si="81"/>
        <v>7.0913461536759037E-6</v>
      </c>
      <c r="F327" s="132">
        <f t="shared" si="82"/>
        <v>0.30000709134615366</v>
      </c>
      <c r="G327" s="132">
        <f t="shared" si="83"/>
        <v>4.5002127428989694E-2</v>
      </c>
      <c r="H327" s="132">
        <f t="shared" ref="H327:H351" si="100">I327*F327</f>
        <v>0</v>
      </c>
      <c r="I327" s="132">
        <v>0</v>
      </c>
      <c r="J327" s="131">
        <f t="shared" ref="J327:J351" si="101">G327/F327</f>
        <v>0.15000354567307683</v>
      </c>
      <c r="K327" s="130">
        <f t="shared" si="84"/>
        <v>2.2501595590600264E-3</v>
      </c>
      <c r="L327" s="42">
        <f t="shared" si="20"/>
        <v>22.723662710765161</v>
      </c>
      <c r="M327" s="42">
        <f t="shared" si="15"/>
        <v>-18.129621737796057</v>
      </c>
      <c r="N327" s="42">
        <f>(IF(C326&lt;='SOLLECITAZ NASCOSTO'!$P$12,IF(C326&lt;='SOLLECITAZ NASCOSTO'!$P$11,IF(C326&lt;='SOLLECITAZ NASCOSTO'!$P$10,IF(C326&lt;='SOLLECITAZ NASCOSTO'!$P$9,IF(C326&lt;='SOLLECITAZ NASCOSTO'!$P$8,IF(C326&lt;='SOLLECITAZ NASCOSTO'!$P$7,IF(C326&lt;='SOLLECITAZ NASCOSTO'!$P$6,IF(C326&lt;='SOLLECITAZ NASCOSTO'!$P$5,'Progetto del paramento slu'!$G$105,'Progetto del paramento slu'!$G$106),'Progetto del paramento slu'!$G$107),'Progetto del paramento slu'!$G$108),'Progetto del paramento slu'!$G$109),'Progetto del paramento slu'!$G$110),'Progetto del paramento slu'!$G$111),'Progetto del paramento slu'!$G$112),55555)-IF(C326&lt;='SOLLECITAZ NASCOSTO'!$P$12,IF(C326&lt;='SOLLECITAZ NASCOSTO'!$P$11,IF(C326&lt;='SOLLECITAZ NASCOSTO'!$P$10,IF(C326&lt;='SOLLECITAZ NASCOSTO'!$P$9,IF(C326&lt;='SOLLECITAZ NASCOSTO'!$P$8,IF(C326&lt;='SOLLECITAZ NASCOSTO'!$P$7,IF(C326&lt;='SOLLECITAZ NASCOSTO'!$P$6,IF(C326&lt;='SOLLECITAZ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slu'!$G$112))*(C326-IF(C326&lt;='SOLLECITAZ NASCOSTO'!$P$12,IF(C326&lt;='SOLLECITAZ NASCOSTO'!$P$11,IF(C326&lt;='SOLLECITAZ NASCOSTO'!$P$10,IF(C326&lt;='SOLLECITAZ NASCOSTO'!$P$9,IF(C326&lt;='SOLLECITAZ NASCOSTO'!$P$8,IF(C326&lt;='SOLLECITAZ NASCOSTO'!$P$7,IF(C326&lt;='SOLLECITAZ NASCOSTO'!$P$6,IF(C326&lt;='SOLLECITAZ NASCOSTO'!$P$5,'SOLLECITAZ NASCOSTO'!$P$3,'SOLLECITAZ NASCOSTO'!$P$5),'SOLLECITAZ NASCOSTO'!$P$5),'SOLLECITAZ NASCOSTO'!$P$7),'SOLLECITAZ NASCOSTO'!$P$8),'SOLLECITAZ NASCOSTO'!$P$9),'SOLLECITAZ NASCOSTO'!$P$10),'SOLLECITAZ NASCOSTO'!$P$11),'SOLLECITAZ NASCOSTO'!$P$12))/IF(C326&lt;='SOLLECITAZ NASCOSTO'!$P$12,IF(C326&lt;='SOLLECITAZ NASCOSTO'!$P$11,IF(C326&lt;='SOLLECITAZ NASCOSTO'!$P$10,IF(C326&lt;='SOLLECITAZ NASCOSTO'!$P$9,IF(C326&lt;='SOLLECITAZ NASCOSTO'!$P$8,IF(C326&lt;='SOLLECITAZ NASCOSTO'!$P$7,IF(C326&lt;='SOLLECITAZ NASCOSTO'!$P$6,IF(C326&lt;='SOLLECITAZ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slu'!$C$112)+IF(C326&lt;='SOLLECITAZ NASCOSTO'!$P$12,IF(C326&lt;='SOLLECITAZ NASCOSTO'!$P$11,IF(C326&lt;='SOLLECITAZ NASCOSTO'!$P$10,IF(C326&lt;='SOLLECITAZ NASCOSTO'!$P$9,IF(C326&lt;='SOLLECITAZ NASCOSTO'!$P$8,IF(C326&lt;='SOLLECITAZ NASCOSTO'!$P$7,IF(C326&lt;='SOLLECITAZ NASCOSTO'!$P$6,IF(C326&lt;='SOLLECITAZ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18.294954605339282</v>
      </c>
      <c r="O327" s="42">
        <f>IF(C327&lt;='SOLLECITAZ NASCOSTO'!$P$12,IF(C327&lt;='SOLLECITAZ NASCOSTO'!$P$11,IF(C327&lt;='SOLLECITAZ NASCOSTO'!$P$10,IF(C327&lt;='SOLLECITAZ NASCOSTO'!$P$9,IF(C327&lt;='SOLLECITAZ NASCOSTO'!$P$8,IF(C327&lt;='SOLLECITAZ NASCOSTO'!$P$7,IF(C327&lt;='SOLLECITAZ NASCOSTO'!$P$6,IF(C327&lt;='SOLLECITAZ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slu'!$G$111),55555)*(C327-C326)/IF(C327&lt;='SOLLECITAZ NASCOSTO'!$P$12,IF(C327&lt;='SOLLECITAZ NASCOSTO'!$P$11,IF(C327&lt;='SOLLECITAZ NASCOSTO'!$P$10,IF(C327&lt;='SOLLECITAZ NASCOSTO'!$P$9,IF(C327&lt;='SOLLECITAZ NASCOSTO'!$P$8,IF(C327&lt;='SOLLECITAZ NASCOSTO'!$P$7,IF(C327&lt;='SOLLECITAZ NASCOSTO'!$P$6,IF(C327&lt;='SOLLECITAZ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27" s="42">
        <f t="shared" si="93"/>
        <v>2.9400000000000064E-4</v>
      </c>
      <c r="Q327" s="42">
        <f t="shared" si="91"/>
        <v>1</v>
      </c>
      <c r="R327" s="441">
        <f t="shared" si="85"/>
        <v>2.0210336538461537</v>
      </c>
      <c r="S327" s="46">
        <f t="shared" si="92"/>
        <v>2.0210336538461537</v>
      </c>
      <c r="T327" s="211">
        <f t="shared" si="88"/>
        <v>1.3289663461538463</v>
      </c>
      <c r="U327" s="46">
        <f t="shared" si="89"/>
        <v>22.723662710765161</v>
      </c>
      <c r="V327" s="46">
        <f t="shared" si="90"/>
        <v>-18.129621737796057</v>
      </c>
      <c r="W327" s="496"/>
      <c r="X327" s="484"/>
      <c r="Y327" s="428"/>
    </row>
    <row r="328" spans="1:25" x14ac:dyDescent="0.25">
      <c r="A328" s="589">
        <f t="shared" si="86"/>
        <v>7.1153846152305356E-6</v>
      </c>
      <c r="B328" s="32">
        <f t="shared" si="99"/>
        <v>296</v>
      </c>
      <c r="C328" s="441">
        <f>'SOLLECITAZ NASCOSTO'!$D$6/'SOLLECITAZ NASCOSTO'!$B$448*'SOLLECITAZ NASCOSTO'!B328</f>
        <v>2.0278846153846155</v>
      </c>
      <c r="D328" s="132">
        <f t="shared" si="87"/>
        <v>0.30000711538461522</v>
      </c>
      <c r="E328" s="132">
        <f t="shared" si="81"/>
        <v>7.1153846152305356E-6</v>
      </c>
      <c r="F328" s="132">
        <f t="shared" si="82"/>
        <v>0.30000711538461522</v>
      </c>
      <c r="G328" s="132">
        <f t="shared" si="83"/>
        <v>4.5002134640698917E-2</v>
      </c>
      <c r="H328" s="132">
        <f t="shared" si="100"/>
        <v>0</v>
      </c>
      <c r="I328" s="132">
        <v>0</v>
      </c>
      <c r="J328" s="131">
        <f t="shared" si="101"/>
        <v>0.15000355769230761</v>
      </c>
      <c r="K328" s="130">
        <f t="shared" si="84"/>
        <v>2.2501600999510246E-3</v>
      </c>
      <c r="L328" s="42">
        <f t="shared" si="20"/>
        <v>22.849495369085862</v>
      </c>
      <c r="M328" s="42">
        <f t="shared" si="15"/>
        <v>-18.285731714391705</v>
      </c>
      <c r="N328" s="42">
        <f>(IF(C327&lt;='SOLLECITAZ NASCOSTO'!$P$12,IF(C327&lt;='SOLLECITAZ NASCOSTO'!$P$11,IF(C327&lt;='SOLLECITAZ NASCOSTO'!$P$10,IF(C327&lt;='SOLLECITAZ NASCOSTO'!$P$9,IF(C327&lt;='SOLLECITAZ NASCOSTO'!$P$8,IF(C327&lt;='SOLLECITAZ NASCOSTO'!$P$7,IF(C327&lt;='SOLLECITAZ NASCOSTO'!$P$6,IF(C327&lt;='SOLLECITAZ NASCOSTO'!$P$5,'Progetto del paramento slu'!$G$105,'Progetto del paramento slu'!$G$106),'Progetto del paramento slu'!$G$107),'Progetto del paramento slu'!$G$108),'Progetto del paramento slu'!$G$109),'Progetto del paramento slu'!$G$110),'Progetto del paramento slu'!$G$111),'Progetto del paramento slu'!$G$112),55555)-IF(C327&lt;='SOLLECITAZ NASCOSTO'!$P$12,IF(C327&lt;='SOLLECITAZ NASCOSTO'!$P$11,IF(C327&lt;='SOLLECITAZ NASCOSTO'!$P$10,IF(C327&lt;='SOLLECITAZ NASCOSTO'!$P$9,IF(C327&lt;='SOLLECITAZ NASCOSTO'!$P$8,IF(C327&lt;='SOLLECITAZ NASCOSTO'!$P$7,IF(C327&lt;='SOLLECITAZ NASCOSTO'!$P$6,IF(C327&lt;='SOLLECITAZ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slu'!$G$112))*(C327-IF(C327&lt;='SOLLECITAZ NASCOSTO'!$P$12,IF(C327&lt;='SOLLECITAZ NASCOSTO'!$P$11,IF(C327&lt;='SOLLECITAZ NASCOSTO'!$P$10,IF(C327&lt;='SOLLECITAZ NASCOSTO'!$P$9,IF(C327&lt;='SOLLECITAZ NASCOSTO'!$P$8,IF(C327&lt;='SOLLECITAZ NASCOSTO'!$P$7,IF(C327&lt;='SOLLECITAZ NASCOSTO'!$P$6,IF(C327&lt;='SOLLECITAZ NASCOSTO'!$P$5,'SOLLECITAZ NASCOSTO'!$P$3,'SOLLECITAZ NASCOSTO'!$P$5),'SOLLECITAZ NASCOSTO'!$P$5),'SOLLECITAZ NASCOSTO'!$P$7),'SOLLECITAZ NASCOSTO'!$P$8),'SOLLECITAZ NASCOSTO'!$P$9),'SOLLECITAZ NASCOSTO'!$P$10),'SOLLECITAZ NASCOSTO'!$P$11),'SOLLECITAZ NASCOSTO'!$P$12))/IF(C327&lt;='SOLLECITAZ NASCOSTO'!$P$12,IF(C327&lt;='SOLLECITAZ NASCOSTO'!$P$11,IF(C327&lt;='SOLLECITAZ NASCOSTO'!$P$10,IF(C327&lt;='SOLLECITAZ NASCOSTO'!$P$9,IF(C327&lt;='SOLLECITAZ NASCOSTO'!$P$8,IF(C327&lt;='SOLLECITAZ NASCOSTO'!$P$7,IF(C327&lt;='SOLLECITAZ NASCOSTO'!$P$6,IF(C327&lt;='SOLLECITAZ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slu'!$C$112)+IF(C327&lt;='SOLLECITAZ NASCOSTO'!$P$12,IF(C327&lt;='SOLLECITAZ NASCOSTO'!$P$11,IF(C327&lt;='SOLLECITAZ NASCOSTO'!$P$10,IF(C327&lt;='SOLLECITAZ NASCOSTO'!$P$9,IF(C327&lt;='SOLLECITAZ NASCOSTO'!$P$8,IF(C327&lt;='SOLLECITAZ NASCOSTO'!$P$7,IF(C327&lt;='SOLLECITAZ NASCOSTO'!$P$6,IF(C327&lt;='SOLLECITAZ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18.343086824331632</v>
      </c>
      <c r="O328" s="42">
        <f>IF(C328&lt;='SOLLECITAZ NASCOSTO'!$P$12,IF(C328&lt;='SOLLECITAZ NASCOSTO'!$P$11,IF(C328&lt;='SOLLECITAZ NASCOSTO'!$P$10,IF(C328&lt;='SOLLECITAZ NASCOSTO'!$P$9,IF(C328&lt;='SOLLECITAZ NASCOSTO'!$P$8,IF(C328&lt;='SOLLECITAZ NASCOSTO'!$P$7,IF(C328&lt;='SOLLECITAZ NASCOSTO'!$P$6,IF(C328&lt;='SOLLECITAZ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slu'!$G$111),55555)*(C328-C327)/IF(C328&lt;='SOLLECITAZ NASCOSTO'!$P$12,IF(C328&lt;='SOLLECITAZ NASCOSTO'!$P$11,IF(C328&lt;='SOLLECITAZ NASCOSTO'!$P$10,IF(C328&lt;='SOLLECITAZ NASCOSTO'!$P$9,IF(C328&lt;='SOLLECITAZ NASCOSTO'!$P$8,IF(C328&lt;='SOLLECITAZ NASCOSTO'!$P$7,IF(C328&lt;='SOLLECITAZ NASCOSTO'!$P$6,IF(C328&lt;='SOLLECITAZ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28" s="42">
        <f t="shared" si="93"/>
        <v>2.9500000000000067E-4</v>
      </c>
      <c r="Q328" s="42">
        <f t="shared" si="91"/>
        <v>1</v>
      </c>
      <c r="R328" s="441">
        <f t="shared" si="85"/>
        <v>2.0278846153846155</v>
      </c>
      <c r="S328" s="46">
        <f t="shared" si="92"/>
        <v>2.0278846153846155</v>
      </c>
      <c r="T328" s="211">
        <f t="shared" si="88"/>
        <v>1.3221153846153846</v>
      </c>
      <c r="U328" s="46">
        <f t="shared" si="89"/>
        <v>22.849495369085862</v>
      </c>
      <c r="V328" s="46">
        <f t="shared" si="90"/>
        <v>-18.285731714391705</v>
      </c>
      <c r="W328" s="496"/>
      <c r="X328" s="428"/>
    </row>
    <row r="329" spans="1:25" x14ac:dyDescent="0.25">
      <c r="A329" s="589">
        <f t="shared" si="86"/>
        <v>7.1394230767851674E-6</v>
      </c>
      <c r="B329" s="32">
        <f t="shared" si="99"/>
        <v>297</v>
      </c>
      <c r="C329" s="441">
        <f>'SOLLECITAZ NASCOSTO'!$D$6/'SOLLECITAZ NASCOSTO'!$B$448*'SOLLECITAZ NASCOSTO'!B329</f>
        <v>2.0347355769230768</v>
      </c>
      <c r="D329" s="132">
        <f t="shared" si="87"/>
        <v>0.30000713942307677</v>
      </c>
      <c r="E329" s="132">
        <f t="shared" si="81"/>
        <v>7.1394230767851674E-6</v>
      </c>
      <c r="F329" s="132">
        <f t="shared" si="82"/>
        <v>0.30000713942307677</v>
      </c>
      <c r="G329" s="132">
        <f t="shared" si="83"/>
        <v>4.5002141852408716E-2</v>
      </c>
      <c r="H329" s="132">
        <f t="shared" si="100"/>
        <v>0</v>
      </c>
      <c r="I329" s="132">
        <v>0</v>
      </c>
      <c r="J329" s="131">
        <f t="shared" si="101"/>
        <v>0.15000356971153839</v>
      </c>
      <c r="K329" s="130">
        <f t="shared" si="84"/>
        <v>2.25016064084211E-3</v>
      </c>
      <c r="L329" s="42">
        <f t="shared" si="20"/>
        <v>22.975657779387632</v>
      </c>
      <c r="M329" s="42">
        <f t="shared" si="15"/>
        <v>-18.442704895248852</v>
      </c>
      <c r="N329" s="42">
        <f>(IF(C328&lt;='SOLLECITAZ NASCOSTO'!$P$12,IF(C328&lt;='SOLLECITAZ NASCOSTO'!$P$11,IF(C328&lt;='SOLLECITAZ NASCOSTO'!$P$10,IF(C328&lt;='SOLLECITAZ NASCOSTO'!$P$9,IF(C328&lt;='SOLLECITAZ NASCOSTO'!$P$8,IF(C328&lt;='SOLLECITAZ NASCOSTO'!$P$7,IF(C328&lt;='SOLLECITAZ NASCOSTO'!$P$6,IF(C328&lt;='SOLLECITAZ NASCOSTO'!$P$5,'Progetto del paramento slu'!$G$105,'Progetto del paramento slu'!$G$106),'Progetto del paramento slu'!$G$107),'Progetto del paramento slu'!$G$108),'Progetto del paramento slu'!$G$109),'Progetto del paramento slu'!$G$110),'Progetto del paramento slu'!$G$111),'Progetto del paramento slu'!$G$112),55555)-IF(C328&lt;='SOLLECITAZ NASCOSTO'!$P$12,IF(C328&lt;='SOLLECITAZ NASCOSTO'!$P$11,IF(C328&lt;='SOLLECITAZ NASCOSTO'!$P$10,IF(C328&lt;='SOLLECITAZ NASCOSTO'!$P$9,IF(C328&lt;='SOLLECITAZ NASCOSTO'!$P$8,IF(C328&lt;='SOLLECITAZ NASCOSTO'!$P$7,IF(C328&lt;='SOLLECITAZ NASCOSTO'!$P$6,IF(C328&lt;='SOLLECITAZ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slu'!$G$112))*(C328-IF(C328&lt;='SOLLECITAZ NASCOSTO'!$P$12,IF(C328&lt;='SOLLECITAZ NASCOSTO'!$P$11,IF(C328&lt;='SOLLECITAZ NASCOSTO'!$P$10,IF(C328&lt;='SOLLECITAZ NASCOSTO'!$P$9,IF(C328&lt;='SOLLECITAZ NASCOSTO'!$P$8,IF(C328&lt;='SOLLECITAZ NASCOSTO'!$P$7,IF(C328&lt;='SOLLECITAZ NASCOSTO'!$P$6,IF(C328&lt;='SOLLECITAZ NASCOSTO'!$P$5,'SOLLECITAZ NASCOSTO'!$P$3,'SOLLECITAZ NASCOSTO'!$P$5),'SOLLECITAZ NASCOSTO'!$P$5),'SOLLECITAZ NASCOSTO'!$P$7),'SOLLECITAZ NASCOSTO'!$P$8),'SOLLECITAZ NASCOSTO'!$P$9),'SOLLECITAZ NASCOSTO'!$P$10),'SOLLECITAZ NASCOSTO'!$P$11),'SOLLECITAZ NASCOSTO'!$P$12))/IF(C328&lt;='SOLLECITAZ NASCOSTO'!$P$12,IF(C328&lt;='SOLLECITAZ NASCOSTO'!$P$11,IF(C328&lt;='SOLLECITAZ NASCOSTO'!$P$10,IF(C328&lt;='SOLLECITAZ NASCOSTO'!$P$9,IF(C328&lt;='SOLLECITAZ NASCOSTO'!$P$8,IF(C328&lt;='SOLLECITAZ NASCOSTO'!$P$7,IF(C328&lt;='SOLLECITAZ NASCOSTO'!$P$6,IF(C328&lt;='SOLLECITAZ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slu'!$C$112)+IF(C328&lt;='SOLLECITAZ NASCOSTO'!$P$12,IF(C328&lt;='SOLLECITAZ NASCOSTO'!$P$11,IF(C328&lt;='SOLLECITAZ NASCOSTO'!$P$10,IF(C328&lt;='SOLLECITAZ NASCOSTO'!$P$9,IF(C328&lt;='SOLLECITAZ NASCOSTO'!$P$8,IF(C328&lt;='SOLLECITAZ NASCOSTO'!$P$7,IF(C328&lt;='SOLLECITAZ NASCOSTO'!$P$6,IF(C328&lt;='SOLLECITAZ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18.391219043323986</v>
      </c>
      <c r="O329" s="42">
        <f>IF(C329&lt;='SOLLECITAZ NASCOSTO'!$P$12,IF(C329&lt;='SOLLECITAZ NASCOSTO'!$P$11,IF(C329&lt;='SOLLECITAZ NASCOSTO'!$P$10,IF(C329&lt;='SOLLECITAZ NASCOSTO'!$P$9,IF(C329&lt;='SOLLECITAZ NASCOSTO'!$P$8,IF(C329&lt;='SOLLECITAZ NASCOSTO'!$P$7,IF(C329&lt;='SOLLECITAZ NASCOSTO'!$P$6,IF(C329&lt;='SOLLECITAZ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slu'!$G$111),55555)*(C329-C328)/IF(C329&lt;='SOLLECITAZ NASCOSTO'!$P$12,IF(C329&lt;='SOLLECITAZ NASCOSTO'!$P$11,IF(C329&lt;='SOLLECITAZ NASCOSTO'!$P$10,IF(C329&lt;='SOLLECITAZ NASCOSTO'!$P$9,IF(C329&lt;='SOLLECITAZ NASCOSTO'!$P$8,IF(C329&lt;='SOLLECITAZ NASCOSTO'!$P$7,IF(C329&lt;='SOLLECITAZ NASCOSTO'!$P$6,IF(C329&lt;='SOLLECITAZ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29" s="42">
        <f t="shared" si="93"/>
        <v>2.9600000000000069E-4</v>
      </c>
      <c r="Q329" s="42">
        <f t="shared" si="91"/>
        <v>1</v>
      </c>
      <c r="R329" s="441">
        <f t="shared" si="85"/>
        <v>2.0347355769230768</v>
      </c>
      <c r="S329" s="46">
        <f t="shared" si="92"/>
        <v>2.0347355769230768</v>
      </c>
      <c r="T329" s="211">
        <f t="shared" si="88"/>
        <v>1.3152644230769233</v>
      </c>
      <c r="U329" s="46">
        <f t="shared" si="89"/>
        <v>22.975657779387632</v>
      </c>
      <c r="V329" s="46">
        <f t="shared" si="90"/>
        <v>-18.442704895248852</v>
      </c>
      <c r="W329" s="496"/>
    </row>
    <row r="330" spans="1:25" x14ac:dyDescent="0.25">
      <c r="A330" s="589">
        <f t="shared" si="86"/>
        <v>7.1634615382842881E-6</v>
      </c>
      <c r="B330" s="32">
        <f t="shared" si="99"/>
        <v>298</v>
      </c>
      <c r="C330" s="441">
        <f>'SOLLECITAZ NASCOSTO'!$D$6/'SOLLECITAZ NASCOSTO'!$B$448*'SOLLECITAZ NASCOSTO'!B330</f>
        <v>2.0415865384615386</v>
      </c>
      <c r="D330" s="132">
        <f t="shared" si="87"/>
        <v>0.30000716346153827</v>
      </c>
      <c r="E330" s="132">
        <f t="shared" si="81"/>
        <v>7.1634615382842881E-6</v>
      </c>
      <c r="F330" s="132">
        <f t="shared" si="82"/>
        <v>0.30000716346153827</v>
      </c>
      <c r="G330" s="132">
        <f t="shared" si="83"/>
        <v>4.5002149064119076E-2</v>
      </c>
      <c r="H330" s="132">
        <f t="shared" si="100"/>
        <v>0</v>
      </c>
      <c r="I330" s="132">
        <v>0</v>
      </c>
      <c r="J330" s="131">
        <f t="shared" si="101"/>
        <v>0.15000358173076914</v>
      </c>
      <c r="K330" s="130">
        <f t="shared" si="84"/>
        <v>2.2501611817332804E-3</v>
      </c>
      <c r="L330" s="42">
        <f t="shared" si="20"/>
        <v>23.102149941670486</v>
      </c>
      <c r="M330" s="42">
        <f t="shared" si="15"/>
        <v>-18.600543539485656</v>
      </c>
      <c r="N330" s="42">
        <f>(IF(C329&lt;='SOLLECITAZ NASCOSTO'!$P$12,IF(C329&lt;='SOLLECITAZ NASCOSTO'!$P$11,IF(C329&lt;='SOLLECITAZ NASCOSTO'!$P$10,IF(C329&lt;='SOLLECITAZ NASCOSTO'!$P$9,IF(C329&lt;='SOLLECITAZ NASCOSTO'!$P$8,IF(C329&lt;='SOLLECITAZ NASCOSTO'!$P$7,IF(C329&lt;='SOLLECITAZ NASCOSTO'!$P$6,IF(C329&lt;='SOLLECITAZ NASCOSTO'!$P$5,'Progetto del paramento slu'!$G$105,'Progetto del paramento slu'!$G$106),'Progetto del paramento slu'!$G$107),'Progetto del paramento slu'!$G$108),'Progetto del paramento slu'!$G$109),'Progetto del paramento slu'!$G$110),'Progetto del paramento slu'!$G$111),'Progetto del paramento slu'!$G$112),55555)-IF(C329&lt;='SOLLECITAZ NASCOSTO'!$P$12,IF(C329&lt;='SOLLECITAZ NASCOSTO'!$P$11,IF(C329&lt;='SOLLECITAZ NASCOSTO'!$P$10,IF(C329&lt;='SOLLECITAZ NASCOSTO'!$P$9,IF(C329&lt;='SOLLECITAZ NASCOSTO'!$P$8,IF(C329&lt;='SOLLECITAZ NASCOSTO'!$P$7,IF(C329&lt;='SOLLECITAZ NASCOSTO'!$P$6,IF(C329&lt;='SOLLECITAZ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slu'!$G$112))*(C329-IF(C329&lt;='SOLLECITAZ NASCOSTO'!$P$12,IF(C329&lt;='SOLLECITAZ NASCOSTO'!$P$11,IF(C329&lt;='SOLLECITAZ NASCOSTO'!$P$10,IF(C329&lt;='SOLLECITAZ NASCOSTO'!$P$9,IF(C329&lt;='SOLLECITAZ NASCOSTO'!$P$8,IF(C329&lt;='SOLLECITAZ NASCOSTO'!$P$7,IF(C329&lt;='SOLLECITAZ NASCOSTO'!$P$6,IF(C329&lt;='SOLLECITAZ NASCOSTO'!$P$5,'SOLLECITAZ NASCOSTO'!$P$3,'SOLLECITAZ NASCOSTO'!$P$5),'SOLLECITAZ NASCOSTO'!$P$5),'SOLLECITAZ NASCOSTO'!$P$7),'SOLLECITAZ NASCOSTO'!$P$8),'SOLLECITAZ NASCOSTO'!$P$9),'SOLLECITAZ NASCOSTO'!$P$10),'SOLLECITAZ NASCOSTO'!$P$11),'SOLLECITAZ NASCOSTO'!$P$12))/IF(C329&lt;='SOLLECITAZ NASCOSTO'!$P$12,IF(C329&lt;='SOLLECITAZ NASCOSTO'!$P$11,IF(C329&lt;='SOLLECITAZ NASCOSTO'!$P$10,IF(C329&lt;='SOLLECITAZ NASCOSTO'!$P$9,IF(C329&lt;='SOLLECITAZ NASCOSTO'!$P$8,IF(C329&lt;='SOLLECITAZ NASCOSTO'!$P$7,IF(C329&lt;='SOLLECITAZ NASCOSTO'!$P$6,IF(C329&lt;='SOLLECITAZ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slu'!$C$112)+IF(C329&lt;='SOLLECITAZ NASCOSTO'!$P$12,IF(C329&lt;='SOLLECITAZ NASCOSTO'!$P$11,IF(C329&lt;='SOLLECITAZ NASCOSTO'!$P$10,IF(C329&lt;='SOLLECITAZ NASCOSTO'!$P$9,IF(C329&lt;='SOLLECITAZ NASCOSTO'!$P$8,IF(C329&lt;='SOLLECITAZ NASCOSTO'!$P$7,IF(C329&lt;='SOLLECITAZ NASCOSTO'!$P$6,IF(C329&lt;='SOLLECITAZ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18.439351262316336</v>
      </c>
      <c r="O330" s="42">
        <f>IF(C330&lt;='SOLLECITAZ NASCOSTO'!$P$12,IF(C330&lt;='SOLLECITAZ NASCOSTO'!$P$11,IF(C330&lt;='SOLLECITAZ NASCOSTO'!$P$10,IF(C330&lt;='SOLLECITAZ NASCOSTO'!$P$9,IF(C330&lt;='SOLLECITAZ NASCOSTO'!$P$8,IF(C330&lt;='SOLLECITAZ NASCOSTO'!$P$7,IF(C330&lt;='SOLLECITAZ NASCOSTO'!$P$6,IF(C330&lt;='SOLLECITAZ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slu'!$G$111),55555)*(C330-C329)/IF(C330&lt;='SOLLECITAZ NASCOSTO'!$P$12,IF(C330&lt;='SOLLECITAZ NASCOSTO'!$P$11,IF(C330&lt;='SOLLECITAZ NASCOSTO'!$P$10,IF(C330&lt;='SOLLECITAZ NASCOSTO'!$P$9,IF(C330&lt;='SOLLECITAZ NASCOSTO'!$P$8,IF(C330&lt;='SOLLECITAZ NASCOSTO'!$P$7,IF(C330&lt;='SOLLECITAZ NASCOSTO'!$P$6,IF(C330&lt;='SOLLECITAZ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30" s="42">
        <f t="shared" si="93"/>
        <v>2.9700000000000071E-4</v>
      </c>
      <c r="Q330" s="42">
        <f t="shared" si="91"/>
        <v>1</v>
      </c>
      <c r="R330" s="441">
        <f t="shared" si="85"/>
        <v>2.0415865384615386</v>
      </c>
      <c r="S330" s="46">
        <f t="shared" si="92"/>
        <v>2.0415865384615386</v>
      </c>
      <c r="T330" s="211">
        <f t="shared" si="88"/>
        <v>1.3084134615384615</v>
      </c>
      <c r="U330" s="46">
        <f t="shared" si="89"/>
        <v>23.102149941670486</v>
      </c>
      <c r="V330" s="46">
        <f t="shared" si="90"/>
        <v>-18.600543539485656</v>
      </c>
      <c r="W330" s="496"/>
    </row>
    <row r="331" spans="1:25" x14ac:dyDescent="0.25">
      <c r="A331" s="589">
        <f t="shared" si="86"/>
        <v>7.18749999983892E-6</v>
      </c>
      <c r="B331" s="32">
        <f t="shared" si="99"/>
        <v>299</v>
      </c>
      <c r="C331" s="441">
        <f>'SOLLECITAZ NASCOSTO'!$D$6/'SOLLECITAZ NASCOSTO'!$B$448*'SOLLECITAZ NASCOSTO'!B331</f>
        <v>2.0484374999999999</v>
      </c>
      <c r="D331" s="132">
        <f t="shared" si="87"/>
        <v>0.30000718749999983</v>
      </c>
      <c r="E331" s="132">
        <f t="shared" si="81"/>
        <v>7.18749999983892E-6</v>
      </c>
      <c r="F331" s="132">
        <f t="shared" si="82"/>
        <v>0.30000718749999983</v>
      </c>
      <c r="G331" s="132">
        <f t="shared" si="83"/>
        <v>4.5002156275830027E-2</v>
      </c>
      <c r="H331" s="132">
        <f t="shared" si="100"/>
        <v>0</v>
      </c>
      <c r="I331" s="132">
        <v>0</v>
      </c>
      <c r="J331" s="131">
        <f t="shared" si="101"/>
        <v>0.15000359374999991</v>
      </c>
      <c r="K331" s="130">
        <f t="shared" si="84"/>
        <v>2.2501617226245389E-3</v>
      </c>
      <c r="L331" s="42">
        <f t="shared" si="20"/>
        <v>23.228971855934411</v>
      </c>
      <c r="M331" s="42">
        <f t="shared" si="15"/>
        <v>-18.759249906220234</v>
      </c>
      <c r="N331" s="42">
        <f>(IF(C330&lt;='SOLLECITAZ NASCOSTO'!$P$12,IF(C330&lt;='SOLLECITAZ NASCOSTO'!$P$11,IF(C330&lt;='SOLLECITAZ NASCOSTO'!$P$10,IF(C330&lt;='SOLLECITAZ NASCOSTO'!$P$9,IF(C330&lt;='SOLLECITAZ NASCOSTO'!$P$8,IF(C330&lt;='SOLLECITAZ NASCOSTO'!$P$7,IF(C330&lt;='SOLLECITAZ NASCOSTO'!$P$6,IF(C330&lt;='SOLLECITAZ NASCOSTO'!$P$5,'Progetto del paramento slu'!$G$105,'Progetto del paramento slu'!$G$106),'Progetto del paramento slu'!$G$107),'Progetto del paramento slu'!$G$108),'Progetto del paramento slu'!$G$109),'Progetto del paramento slu'!$G$110),'Progetto del paramento slu'!$G$111),'Progetto del paramento slu'!$G$112),55555)-IF(C330&lt;='SOLLECITAZ NASCOSTO'!$P$12,IF(C330&lt;='SOLLECITAZ NASCOSTO'!$P$11,IF(C330&lt;='SOLLECITAZ NASCOSTO'!$P$10,IF(C330&lt;='SOLLECITAZ NASCOSTO'!$P$9,IF(C330&lt;='SOLLECITAZ NASCOSTO'!$P$8,IF(C330&lt;='SOLLECITAZ NASCOSTO'!$P$7,IF(C330&lt;='SOLLECITAZ NASCOSTO'!$P$6,IF(C330&lt;='SOLLECITAZ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slu'!$G$112))*(C330-IF(C330&lt;='SOLLECITAZ NASCOSTO'!$P$12,IF(C330&lt;='SOLLECITAZ NASCOSTO'!$P$11,IF(C330&lt;='SOLLECITAZ NASCOSTO'!$P$10,IF(C330&lt;='SOLLECITAZ NASCOSTO'!$P$9,IF(C330&lt;='SOLLECITAZ NASCOSTO'!$P$8,IF(C330&lt;='SOLLECITAZ NASCOSTO'!$P$7,IF(C330&lt;='SOLLECITAZ NASCOSTO'!$P$6,IF(C330&lt;='SOLLECITAZ NASCOSTO'!$P$5,'SOLLECITAZ NASCOSTO'!$P$3,'SOLLECITAZ NASCOSTO'!$P$5),'SOLLECITAZ NASCOSTO'!$P$5),'SOLLECITAZ NASCOSTO'!$P$7),'SOLLECITAZ NASCOSTO'!$P$8),'SOLLECITAZ NASCOSTO'!$P$9),'SOLLECITAZ NASCOSTO'!$P$10),'SOLLECITAZ NASCOSTO'!$P$11),'SOLLECITAZ NASCOSTO'!$P$12))/IF(C330&lt;='SOLLECITAZ NASCOSTO'!$P$12,IF(C330&lt;='SOLLECITAZ NASCOSTO'!$P$11,IF(C330&lt;='SOLLECITAZ NASCOSTO'!$P$10,IF(C330&lt;='SOLLECITAZ NASCOSTO'!$P$9,IF(C330&lt;='SOLLECITAZ NASCOSTO'!$P$8,IF(C330&lt;='SOLLECITAZ NASCOSTO'!$P$7,IF(C330&lt;='SOLLECITAZ NASCOSTO'!$P$6,IF(C330&lt;='SOLLECITAZ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slu'!$C$112)+IF(C330&lt;='SOLLECITAZ NASCOSTO'!$P$12,IF(C330&lt;='SOLLECITAZ NASCOSTO'!$P$11,IF(C330&lt;='SOLLECITAZ NASCOSTO'!$P$10,IF(C330&lt;='SOLLECITAZ NASCOSTO'!$P$9,IF(C330&lt;='SOLLECITAZ NASCOSTO'!$P$8,IF(C330&lt;='SOLLECITAZ NASCOSTO'!$P$7,IF(C330&lt;='SOLLECITAZ NASCOSTO'!$P$6,IF(C330&lt;='SOLLECITAZ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18.48748348130869</v>
      </c>
      <c r="O331" s="42">
        <f>IF(C331&lt;='SOLLECITAZ NASCOSTO'!$P$12,IF(C331&lt;='SOLLECITAZ NASCOSTO'!$P$11,IF(C331&lt;='SOLLECITAZ NASCOSTO'!$P$10,IF(C331&lt;='SOLLECITAZ NASCOSTO'!$P$9,IF(C331&lt;='SOLLECITAZ NASCOSTO'!$P$8,IF(C331&lt;='SOLLECITAZ NASCOSTO'!$P$7,IF(C331&lt;='SOLLECITAZ NASCOSTO'!$P$6,IF(C331&lt;='SOLLECITAZ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slu'!$G$111),55555)*(C331-C330)/IF(C331&lt;='SOLLECITAZ NASCOSTO'!$P$12,IF(C331&lt;='SOLLECITAZ NASCOSTO'!$P$11,IF(C331&lt;='SOLLECITAZ NASCOSTO'!$P$10,IF(C331&lt;='SOLLECITAZ NASCOSTO'!$P$9,IF(C331&lt;='SOLLECITAZ NASCOSTO'!$P$8,IF(C331&lt;='SOLLECITAZ NASCOSTO'!$P$7,IF(C331&lt;='SOLLECITAZ NASCOSTO'!$P$6,IF(C331&lt;='SOLLECITAZ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31" s="42">
        <f t="shared" si="93"/>
        <v>2.9800000000000074E-4</v>
      </c>
      <c r="Q331" s="42">
        <f t="shared" si="91"/>
        <v>1</v>
      </c>
      <c r="R331" s="441">
        <f t="shared" si="85"/>
        <v>2.0484374999999999</v>
      </c>
      <c r="S331" s="46">
        <f t="shared" si="92"/>
        <v>2.0484374999999999</v>
      </c>
      <c r="T331" s="211">
        <f t="shared" si="88"/>
        <v>1.3015625000000002</v>
      </c>
      <c r="U331" s="46">
        <f t="shared" si="89"/>
        <v>23.228971855934411</v>
      </c>
      <c r="V331" s="46">
        <f t="shared" si="90"/>
        <v>-18.759249906220234</v>
      </c>
      <c r="W331" s="496"/>
    </row>
    <row r="332" spans="1:25" x14ac:dyDescent="0.25">
      <c r="A332" s="589">
        <f t="shared" si="86"/>
        <v>7.2115384613935518E-6</v>
      </c>
      <c r="B332" s="32">
        <f t="shared" si="99"/>
        <v>300</v>
      </c>
      <c r="C332" s="441">
        <f>'SOLLECITAZ NASCOSTO'!$D$6/'SOLLECITAZ NASCOSTO'!$B$448*'SOLLECITAZ NASCOSTO'!B332</f>
        <v>2.0552884615384617</v>
      </c>
      <c r="D332" s="132">
        <f t="shared" si="87"/>
        <v>0.30000721153846138</v>
      </c>
      <c r="E332" s="132">
        <f t="shared" si="81"/>
        <v>7.2115384613935518E-6</v>
      </c>
      <c r="F332" s="132">
        <f t="shared" si="82"/>
        <v>0.30000721153846138</v>
      </c>
      <c r="G332" s="132">
        <f t="shared" si="83"/>
        <v>4.500216348754156E-2</v>
      </c>
      <c r="H332" s="132">
        <f t="shared" si="100"/>
        <v>0</v>
      </c>
      <c r="I332" s="132">
        <v>0</v>
      </c>
      <c r="J332" s="131">
        <f t="shared" si="101"/>
        <v>0.15000360576923069</v>
      </c>
      <c r="K332" s="130">
        <f t="shared" si="84"/>
        <v>2.250162263515884E-3</v>
      </c>
      <c r="L332" s="42">
        <f t="shared" si="20"/>
        <v>23.35612352217942</v>
      </c>
      <c r="M332" s="42">
        <f t="shared" si="15"/>
        <v>-18.91882625457075</v>
      </c>
      <c r="N332" s="42">
        <f>(IF(C331&lt;='SOLLECITAZ NASCOSTO'!$P$12,IF(C331&lt;='SOLLECITAZ NASCOSTO'!$P$11,IF(C331&lt;='SOLLECITAZ NASCOSTO'!$P$10,IF(C331&lt;='SOLLECITAZ NASCOSTO'!$P$9,IF(C331&lt;='SOLLECITAZ NASCOSTO'!$P$8,IF(C331&lt;='SOLLECITAZ NASCOSTO'!$P$7,IF(C331&lt;='SOLLECITAZ NASCOSTO'!$P$6,IF(C331&lt;='SOLLECITAZ NASCOSTO'!$P$5,'Progetto del paramento slu'!$G$105,'Progetto del paramento slu'!$G$106),'Progetto del paramento slu'!$G$107),'Progetto del paramento slu'!$G$108),'Progetto del paramento slu'!$G$109),'Progetto del paramento slu'!$G$110),'Progetto del paramento slu'!$G$111),'Progetto del paramento slu'!$G$112),55555)-IF(C331&lt;='SOLLECITAZ NASCOSTO'!$P$12,IF(C331&lt;='SOLLECITAZ NASCOSTO'!$P$11,IF(C331&lt;='SOLLECITAZ NASCOSTO'!$P$10,IF(C331&lt;='SOLLECITAZ NASCOSTO'!$P$9,IF(C331&lt;='SOLLECITAZ NASCOSTO'!$P$8,IF(C331&lt;='SOLLECITAZ NASCOSTO'!$P$7,IF(C331&lt;='SOLLECITAZ NASCOSTO'!$P$6,IF(C331&lt;='SOLLECITAZ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slu'!$G$112))*(C331-IF(C331&lt;='SOLLECITAZ NASCOSTO'!$P$12,IF(C331&lt;='SOLLECITAZ NASCOSTO'!$P$11,IF(C331&lt;='SOLLECITAZ NASCOSTO'!$P$10,IF(C331&lt;='SOLLECITAZ NASCOSTO'!$P$9,IF(C331&lt;='SOLLECITAZ NASCOSTO'!$P$8,IF(C331&lt;='SOLLECITAZ NASCOSTO'!$P$7,IF(C331&lt;='SOLLECITAZ NASCOSTO'!$P$6,IF(C331&lt;='SOLLECITAZ NASCOSTO'!$P$5,'SOLLECITAZ NASCOSTO'!$P$3,'SOLLECITAZ NASCOSTO'!$P$5),'SOLLECITAZ NASCOSTO'!$P$5),'SOLLECITAZ NASCOSTO'!$P$7),'SOLLECITAZ NASCOSTO'!$P$8),'SOLLECITAZ NASCOSTO'!$P$9),'SOLLECITAZ NASCOSTO'!$P$10),'SOLLECITAZ NASCOSTO'!$P$11),'SOLLECITAZ NASCOSTO'!$P$12))/IF(C331&lt;='SOLLECITAZ NASCOSTO'!$P$12,IF(C331&lt;='SOLLECITAZ NASCOSTO'!$P$11,IF(C331&lt;='SOLLECITAZ NASCOSTO'!$P$10,IF(C331&lt;='SOLLECITAZ NASCOSTO'!$P$9,IF(C331&lt;='SOLLECITAZ NASCOSTO'!$P$8,IF(C331&lt;='SOLLECITAZ NASCOSTO'!$P$7,IF(C331&lt;='SOLLECITAZ NASCOSTO'!$P$6,IF(C331&lt;='SOLLECITAZ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slu'!$C$112)+IF(C331&lt;='SOLLECITAZ NASCOSTO'!$P$12,IF(C331&lt;='SOLLECITAZ NASCOSTO'!$P$11,IF(C331&lt;='SOLLECITAZ NASCOSTO'!$P$10,IF(C331&lt;='SOLLECITAZ NASCOSTO'!$P$9,IF(C331&lt;='SOLLECITAZ NASCOSTO'!$P$8,IF(C331&lt;='SOLLECITAZ NASCOSTO'!$P$7,IF(C331&lt;='SOLLECITAZ NASCOSTO'!$P$6,IF(C331&lt;='SOLLECITAZ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18.535615700301044</v>
      </c>
      <c r="O332" s="42">
        <f>IF(C332&lt;='SOLLECITAZ NASCOSTO'!$P$12,IF(C332&lt;='SOLLECITAZ NASCOSTO'!$P$11,IF(C332&lt;='SOLLECITAZ NASCOSTO'!$P$10,IF(C332&lt;='SOLLECITAZ NASCOSTO'!$P$9,IF(C332&lt;='SOLLECITAZ NASCOSTO'!$P$8,IF(C332&lt;='SOLLECITAZ NASCOSTO'!$P$7,IF(C332&lt;='SOLLECITAZ NASCOSTO'!$P$6,IF(C332&lt;='SOLLECITAZ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slu'!$G$111),55555)*(C332-C331)/IF(C332&lt;='SOLLECITAZ NASCOSTO'!$P$12,IF(C332&lt;='SOLLECITAZ NASCOSTO'!$P$11,IF(C332&lt;='SOLLECITAZ NASCOSTO'!$P$10,IF(C332&lt;='SOLLECITAZ NASCOSTO'!$P$9,IF(C332&lt;='SOLLECITAZ NASCOSTO'!$P$8,IF(C332&lt;='SOLLECITAZ NASCOSTO'!$P$7,IF(C332&lt;='SOLLECITAZ NASCOSTO'!$P$6,IF(C332&lt;='SOLLECITAZ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32" s="42">
        <f t="shared" si="93"/>
        <v>2.9900000000000076E-4</v>
      </c>
      <c r="Q332" s="42">
        <f t="shared" si="91"/>
        <v>1</v>
      </c>
      <c r="R332" s="441">
        <f t="shared" si="85"/>
        <v>2.0552884615384617</v>
      </c>
      <c r="S332" s="46">
        <f t="shared" si="92"/>
        <v>2.0552884615384617</v>
      </c>
      <c r="T332" s="211">
        <f t="shared" si="88"/>
        <v>1.2947115384615384</v>
      </c>
      <c r="U332" s="46">
        <f t="shared" si="89"/>
        <v>23.35612352217942</v>
      </c>
      <c r="V332" s="46">
        <f t="shared" si="90"/>
        <v>-18.91882625457075</v>
      </c>
      <c r="W332" s="496"/>
    </row>
    <row r="333" spans="1:25" x14ac:dyDescent="0.25">
      <c r="A333" s="589">
        <f t="shared" si="86"/>
        <v>7.2355769228926725E-6</v>
      </c>
      <c r="B333" s="32">
        <f t="shared" si="99"/>
        <v>301</v>
      </c>
      <c r="C333" s="441">
        <f>'SOLLECITAZ NASCOSTO'!$D$6/'SOLLECITAZ NASCOSTO'!$B$448*'SOLLECITAZ NASCOSTO'!B333</f>
        <v>2.062139423076923</v>
      </c>
      <c r="D333" s="132">
        <f t="shared" si="87"/>
        <v>0.30000723557692288</v>
      </c>
      <c r="E333" s="132">
        <f t="shared" si="81"/>
        <v>7.2355769228926725E-6</v>
      </c>
      <c r="F333" s="132">
        <f t="shared" si="82"/>
        <v>0.30000723557692288</v>
      </c>
      <c r="G333" s="132">
        <f t="shared" si="83"/>
        <v>4.5002170699253656E-2</v>
      </c>
      <c r="H333" s="132">
        <f t="shared" si="100"/>
        <v>0</v>
      </c>
      <c r="I333" s="132">
        <v>0</v>
      </c>
      <c r="J333" s="131">
        <f t="shared" si="101"/>
        <v>0.15000361778846147</v>
      </c>
      <c r="K333" s="130">
        <f t="shared" si="84"/>
        <v>2.2501628044073142E-3</v>
      </c>
      <c r="L333" s="42">
        <f t="shared" si="20"/>
        <v>23.483604940405499</v>
      </c>
      <c r="M333" s="42">
        <f t="shared" si="15"/>
        <v>-19.07927484365532</v>
      </c>
      <c r="N333" s="42">
        <f>(IF(C332&lt;='SOLLECITAZ NASCOSTO'!$P$12,IF(C332&lt;='SOLLECITAZ NASCOSTO'!$P$11,IF(C332&lt;='SOLLECITAZ NASCOSTO'!$P$10,IF(C332&lt;='SOLLECITAZ NASCOSTO'!$P$9,IF(C332&lt;='SOLLECITAZ NASCOSTO'!$P$8,IF(C332&lt;='SOLLECITAZ NASCOSTO'!$P$7,IF(C332&lt;='SOLLECITAZ NASCOSTO'!$P$6,IF(C332&lt;='SOLLECITAZ NASCOSTO'!$P$5,'Progetto del paramento slu'!$G$105,'Progetto del paramento slu'!$G$106),'Progetto del paramento slu'!$G$107),'Progetto del paramento slu'!$G$108),'Progetto del paramento slu'!$G$109),'Progetto del paramento slu'!$G$110),'Progetto del paramento slu'!$G$111),'Progetto del paramento slu'!$G$112),55555)-IF(C332&lt;='SOLLECITAZ NASCOSTO'!$P$12,IF(C332&lt;='SOLLECITAZ NASCOSTO'!$P$11,IF(C332&lt;='SOLLECITAZ NASCOSTO'!$P$10,IF(C332&lt;='SOLLECITAZ NASCOSTO'!$P$9,IF(C332&lt;='SOLLECITAZ NASCOSTO'!$P$8,IF(C332&lt;='SOLLECITAZ NASCOSTO'!$P$7,IF(C332&lt;='SOLLECITAZ NASCOSTO'!$P$6,IF(C332&lt;='SOLLECITAZ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slu'!$G$112))*(C332-IF(C332&lt;='SOLLECITAZ NASCOSTO'!$P$12,IF(C332&lt;='SOLLECITAZ NASCOSTO'!$P$11,IF(C332&lt;='SOLLECITAZ NASCOSTO'!$P$10,IF(C332&lt;='SOLLECITAZ NASCOSTO'!$P$9,IF(C332&lt;='SOLLECITAZ NASCOSTO'!$P$8,IF(C332&lt;='SOLLECITAZ NASCOSTO'!$P$7,IF(C332&lt;='SOLLECITAZ NASCOSTO'!$P$6,IF(C332&lt;='SOLLECITAZ NASCOSTO'!$P$5,'SOLLECITAZ NASCOSTO'!$P$3,'SOLLECITAZ NASCOSTO'!$P$5),'SOLLECITAZ NASCOSTO'!$P$5),'SOLLECITAZ NASCOSTO'!$P$7),'SOLLECITAZ NASCOSTO'!$P$8),'SOLLECITAZ NASCOSTO'!$P$9),'SOLLECITAZ NASCOSTO'!$P$10),'SOLLECITAZ NASCOSTO'!$P$11),'SOLLECITAZ NASCOSTO'!$P$12))/IF(C332&lt;='SOLLECITAZ NASCOSTO'!$P$12,IF(C332&lt;='SOLLECITAZ NASCOSTO'!$P$11,IF(C332&lt;='SOLLECITAZ NASCOSTO'!$P$10,IF(C332&lt;='SOLLECITAZ NASCOSTO'!$P$9,IF(C332&lt;='SOLLECITAZ NASCOSTO'!$P$8,IF(C332&lt;='SOLLECITAZ NASCOSTO'!$P$7,IF(C332&lt;='SOLLECITAZ NASCOSTO'!$P$6,IF(C332&lt;='SOLLECITAZ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slu'!$C$112)+IF(C332&lt;='SOLLECITAZ NASCOSTO'!$P$12,IF(C332&lt;='SOLLECITAZ NASCOSTO'!$P$11,IF(C332&lt;='SOLLECITAZ NASCOSTO'!$P$10,IF(C332&lt;='SOLLECITAZ NASCOSTO'!$P$9,IF(C332&lt;='SOLLECITAZ NASCOSTO'!$P$8,IF(C332&lt;='SOLLECITAZ NASCOSTO'!$P$7,IF(C332&lt;='SOLLECITAZ NASCOSTO'!$P$6,IF(C332&lt;='SOLLECITAZ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18.583747919293394</v>
      </c>
      <c r="O333" s="42">
        <f>IF(C333&lt;='SOLLECITAZ NASCOSTO'!$P$12,IF(C333&lt;='SOLLECITAZ NASCOSTO'!$P$11,IF(C333&lt;='SOLLECITAZ NASCOSTO'!$P$10,IF(C333&lt;='SOLLECITAZ NASCOSTO'!$P$9,IF(C333&lt;='SOLLECITAZ NASCOSTO'!$P$8,IF(C333&lt;='SOLLECITAZ NASCOSTO'!$P$7,IF(C333&lt;='SOLLECITAZ NASCOSTO'!$P$6,IF(C333&lt;='SOLLECITAZ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slu'!$G$111),55555)*(C333-C332)/IF(C333&lt;='SOLLECITAZ NASCOSTO'!$P$12,IF(C333&lt;='SOLLECITAZ NASCOSTO'!$P$11,IF(C333&lt;='SOLLECITAZ NASCOSTO'!$P$10,IF(C333&lt;='SOLLECITAZ NASCOSTO'!$P$9,IF(C333&lt;='SOLLECITAZ NASCOSTO'!$P$8,IF(C333&lt;='SOLLECITAZ NASCOSTO'!$P$7,IF(C333&lt;='SOLLECITAZ NASCOSTO'!$P$6,IF(C333&lt;='SOLLECITAZ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33" s="42">
        <f t="shared" si="93"/>
        <v>3.0000000000000079E-4</v>
      </c>
      <c r="Q333" s="42">
        <f t="shared" si="91"/>
        <v>1</v>
      </c>
      <c r="R333" s="441">
        <f t="shared" si="85"/>
        <v>2.062139423076923</v>
      </c>
      <c r="S333" s="46">
        <f t="shared" si="92"/>
        <v>2.062139423076923</v>
      </c>
      <c r="T333" s="211">
        <f t="shared" si="88"/>
        <v>1.2878605769230771</v>
      </c>
      <c r="U333" s="46">
        <f t="shared" si="89"/>
        <v>23.483604940405499</v>
      </c>
      <c r="V333" s="46">
        <f t="shared" si="90"/>
        <v>-19.07927484365532</v>
      </c>
      <c r="W333" s="496"/>
    </row>
    <row r="334" spans="1:25" x14ac:dyDescent="0.25">
      <c r="A334" s="589">
        <f t="shared" si="86"/>
        <v>7.2596153844473044E-6</v>
      </c>
      <c r="B334" s="32">
        <f t="shared" si="99"/>
        <v>302</v>
      </c>
      <c r="C334" s="441">
        <f>'SOLLECITAZ NASCOSTO'!$D$6/'SOLLECITAZ NASCOSTO'!$B$448*'SOLLECITAZ NASCOSTO'!B334</f>
        <v>2.0689903846153848</v>
      </c>
      <c r="D334" s="132">
        <f t="shared" si="87"/>
        <v>0.30000725961538444</v>
      </c>
      <c r="E334" s="132">
        <f t="shared" si="81"/>
        <v>7.2596153844473044E-6</v>
      </c>
      <c r="F334" s="132">
        <f t="shared" si="82"/>
        <v>0.30000725961538444</v>
      </c>
      <c r="G334" s="132">
        <f t="shared" si="83"/>
        <v>4.5002177910966341E-2</v>
      </c>
      <c r="H334" s="132">
        <f t="shared" si="100"/>
        <v>0</v>
      </c>
      <c r="I334" s="132">
        <v>0</v>
      </c>
      <c r="J334" s="131">
        <f t="shared" si="101"/>
        <v>0.15000362980769222</v>
      </c>
      <c r="K334" s="130">
        <f t="shared" si="84"/>
        <v>2.2501633452988328E-3</v>
      </c>
      <c r="L334" s="42">
        <f t="shared" si="20"/>
        <v>23.611416110612662</v>
      </c>
      <c r="M334" s="42">
        <f t="shared" si="15"/>
        <v>-19.240597932592106</v>
      </c>
      <c r="N334" s="42">
        <f>(IF(C333&lt;='SOLLECITAZ NASCOSTO'!$P$12,IF(C333&lt;='SOLLECITAZ NASCOSTO'!$P$11,IF(C333&lt;='SOLLECITAZ NASCOSTO'!$P$10,IF(C333&lt;='SOLLECITAZ NASCOSTO'!$P$9,IF(C333&lt;='SOLLECITAZ NASCOSTO'!$P$8,IF(C333&lt;='SOLLECITAZ NASCOSTO'!$P$7,IF(C333&lt;='SOLLECITAZ NASCOSTO'!$P$6,IF(C333&lt;='SOLLECITAZ NASCOSTO'!$P$5,'Progetto del paramento slu'!$G$105,'Progetto del paramento slu'!$G$106),'Progetto del paramento slu'!$G$107),'Progetto del paramento slu'!$G$108),'Progetto del paramento slu'!$G$109),'Progetto del paramento slu'!$G$110),'Progetto del paramento slu'!$G$111),'Progetto del paramento slu'!$G$112),55555)-IF(C333&lt;='SOLLECITAZ NASCOSTO'!$P$12,IF(C333&lt;='SOLLECITAZ NASCOSTO'!$P$11,IF(C333&lt;='SOLLECITAZ NASCOSTO'!$P$10,IF(C333&lt;='SOLLECITAZ NASCOSTO'!$P$9,IF(C333&lt;='SOLLECITAZ NASCOSTO'!$P$8,IF(C333&lt;='SOLLECITAZ NASCOSTO'!$P$7,IF(C333&lt;='SOLLECITAZ NASCOSTO'!$P$6,IF(C333&lt;='SOLLECITAZ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slu'!$G$112))*(C333-IF(C333&lt;='SOLLECITAZ NASCOSTO'!$P$12,IF(C333&lt;='SOLLECITAZ NASCOSTO'!$P$11,IF(C333&lt;='SOLLECITAZ NASCOSTO'!$P$10,IF(C333&lt;='SOLLECITAZ NASCOSTO'!$P$9,IF(C333&lt;='SOLLECITAZ NASCOSTO'!$P$8,IF(C333&lt;='SOLLECITAZ NASCOSTO'!$P$7,IF(C333&lt;='SOLLECITAZ NASCOSTO'!$P$6,IF(C333&lt;='SOLLECITAZ NASCOSTO'!$P$5,'SOLLECITAZ NASCOSTO'!$P$3,'SOLLECITAZ NASCOSTO'!$P$5),'SOLLECITAZ NASCOSTO'!$P$5),'SOLLECITAZ NASCOSTO'!$P$7),'SOLLECITAZ NASCOSTO'!$P$8),'SOLLECITAZ NASCOSTO'!$P$9),'SOLLECITAZ NASCOSTO'!$P$10),'SOLLECITAZ NASCOSTO'!$P$11),'SOLLECITAZ NASCOSTO'!$P$12))/IF(C333&lt;='SOLLECITAZ NASCOSTO'!$P$12,IF(C333&lt;='SOLLECITAZ NASCOSTO'!$P$11,IF(C333&lt;='SOLLECITAZ NASCOSTO'!$P$10,IF(C333&lt;='SOLLECITAZ NASCOSTO'!$P$9,IF(C333&lt;='SOLLECITAZ NASCOSTO'!$P$8,IF(C333&lt;='SOLLECITAZ NASCOSTO'!$P$7,IF(C333&lt;='SOLLECITAZ NASCOSTO'!$P$6,IF(C333&lt;='SOLLECITAZ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slu'!$C$112)+IF(C333&lt;='SOLLECITAZ NASCOSTO'!$P$12,IF(C333&lt;='SOLLECITAZ NASCOSTO'!$P$11,IF(C333&lt;='SOLLECITAZ NASCOSTO'!$P$10,IF(C333&lt;='SOLLECITAZ NASCOSTO'!$P$9,IF(C333&lt;='SOLLECITAZ NASCOSTO'!$P$8,IF(C333&lt;='SOLLECITAZ NASCOSTO'!$P$7,IF(C333&lt;='SOLLECITAZ NASCOSTO'!$P$6,IF(C333&lt;='SOLLECITAZ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18.631880138285748</v>
      </c>
      <c r="O334" s="42">
        <f>IF(C334&lt;='SOLLECITAZ NASCOSTO'!$P$12,IF(C334&lt;='SOLLECITAZ NASCOSTO'!$P$11,IF(C334&lt;='SOLLECITAZ NASCOSTO'!$P$10,IF(C334&lt;='SOLLECITAZ NASCOSTO'!$P$9,IF(C334&lt;='SOLLECITAZ NASCOSTO'!$P$8,IF(C334&lt;='SOLLECITAZ NASCOSTO'!$P$7,IF(C334&lt;='SOLLECITAZ NASCOSTO'!$P$6,IF(C334&lt;='SOLLECITAZ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slu'!$G$111),55555)*(C334-C333)/IF(C334&lt;='SOLLECITAZ NASCOSTO'!$P$12,IF(C334&lt;='SOLLECITAZ NASCOSTO'!$P$11,IF(C334&lt;='SOLLECITAZ NASCOSTO'!$P$10,IF(C334&lt;='SOLLECITAZ NASCOSTO'!$P$9,IF(C334&lt;='SOLLECITAZ NASCOSTO'!$P$8,IF(C334&lt;='SOLLECITAZ NASCOSTO'!$P$7,IF(C334&lt;='SOLLECITAZ NASCOSTO'!$P$6,IF(C334&lt;='SOLLECITAZ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34" s="42">
        <f t="shared" si="93"/>
        <v>3.0100000000000081E-4</v>
      </c>
      <c r="Q334" s="42">
        <f t="shared" si="91"/>
        <v>1</v>
      </c>
      <c r="R334" s="441">
        <f t="shared" si="85"/>
        <v>2.0689903846153848</v>
      </c>
      <c r="S334" s="46">
        <f t="shared" si="92"/>
        <v>2.0689903846153848</v>
      </c>
      <c r="T334" s="211">
        <f t="shared" si="88"/>
        <v>1.2810096153846153</v>
      </c>
      <c r="U334" s="46">
        <f t="shared" si="89"/>
        <v>23.611416110612662</v>
      </c>
      <c r="V334" s="46">
        <f t="shared" si="90"/>
        <v>-19.240597932592106</v>
      </c>
      <c r="W334" s="496"/>
    </row>
    <row r="335" spans="1:25" x14ac:dyDescent="0.25">
      <c r="A335" s="589">
        <f t="shared" si="86"/>
        <v>7.2836538460019362E-6</v>
      </c>
      <c r="B335" s="32">
        <f t="shared" si="99"/>
        <v>303</v>
      </c>
      <c r="C335" s="441">
        <f>'SOLLECITAZ NASCOSTO'!$D$6/'SOLLECITAZ NASCOSTO'!$B$448*'SOLLECITAZ NASCOSTO'!B335</f>
        <v>2.0758413461538461</v>
      </c>
      <c r="D335" s="132">
        <f t="shared" si="87"/>
        <v>0.30000728365384599</v>
      </c>
      <c r="E335" s="132">
        <f t="shared" si="81"/>
        <v>7.2836538460019362E-6</v>
      </c>
      <c r="F335" s="132">
        <f t="shared" si="82"/>
        <v>0.30000728365384599</v>
      </c>
      <c r="G335" s="132">
        <f t="shared" si="83"/>
        <v>4.5002185122679603E-2</v>
      </c>
      <c r="H335" s="132">
        <f t="shared" si="100"/>
        <v>0</v>
      </c>
      <c r="I335" s="132">
        <v>0</v>
      </c>
      <c r="J335" s="131">
        <f t="shared" si="101"/>
        <v>0.150003641826923</v>
      </c>
      <c r="K335" s="130">
        <f t="shared" si="84"/>
        <v>2.2501638861904382E-3</v>
      </c>
      <c r="L335" s="42">
        <f t="shared" si="20"/>
        <v>23.739557032800896</v>
      </c>
      <c r="M335" s="42">
        <f t="shared" si="15"/>
        <v>-19.402797780499228</v>
      </c>
      <c r="N335" s="42">
        <f>(IF(C334&lt;='SOLLECITAZ NASCOSTO'!$P$12,IF(C334&lt;='SOLLECITAZ NASCOSTO'!$P$11,IF(C334&lt;='SOLLECITAZ NASCOSTO'!$P$10,IF(C334&lt;='SOLLECITAZ NASCOSTO'!$P$9,IF(C334&lt;='SOLLECITAZ NASCOSTO'!$P$8,IF(C334&lt;='SOLLECITAZ NASCOSTO'!$P$7,IF(C334&lt;='SOLLECITAZ NASCOSTO'!$P$6,IF(C334&lt;='SOLLECITAZ NASCOSTO'!$P$5,'Progetto del paramento slu'!$G$105,'Progetto del paramento slu'!$G$106),'Progetto del paramento slu'!$G$107),'Progetto del paramento slu'!$G$108),'Progetto del paramento slu'!$G$109),'Progetto del paramento slu'!$G$110),'Progetto del paramento slu'!$G$111),'Progetto del paramento slu'!$G$112),55555)-IF(C334&lt;='SOLLECITAZ NASCOSTO'!$P$12,IF(C334&lt;='SOLLECITAZ NASCOSTO'!$P$11,IF(C334&lt;='SOLLECITAZ NASCOSTO'!$P$10,IF(C334&lt;='SOLLECITAZ NASCOSTO'!$P$9,IF(C334&lt;='SOLLECITAZ NASCOSTO'!$P$8,IF(C334&lt;='SOLLECITAZ NASCOSTO'!$P$7,IF(C334&lt;='SOLLECITAZ NASCOSTO'!$P$6,IF(C334&lt;='SOLLECITAZ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slu'!$G$112))*(C334-IF(C334&lt;='SOLLECITAZ NASCOSTO'!$P$12,IF(C334&lt;='SOLLECITAZ NASCOSTO'!$P$11,IF(C334&lt;='SOLLECITAZ NASCOSTO'!$P$10,IF(C334&lt;='SOLLECITAZ NASCOSTO'!$P$9,IF(C334&lt;='SOLLECITAZ NASCOSTO'!$P$8,IF(C334&lt;='SOLLECITAZ NASCOSTO'!$P$7,IF(C334&lt;='SOLLECITAZ NASCOSTO'!$P$6,IF(C334&lt;='SOLLECITAZ NASCOSTO'!$P$5,'SOLLECITAZ NASCOSTO'!$P$3,'SOLLECITAZ NASCOSTO'!$P$5),'SOLLECITAZ NASCOSTO'!$P$5),'SOLLECITAZ NASCOSTO'!$P$7),'SOLLECITAZ NASCOSTO'!$P$8),'SOLLECITAZ NASCOSTO'!$P$9),'SOLLECITAZ NASCOSTO'!$P$10),'SOLLECITAZ NASCOSTO'!$P$11),'SOLLECITAZ NASCOSTO'!$P$12))/IF(C334&lt;='SOLLECITAZ NASCOSTO'!$P$12,IF(C334&lt;='SOLLECITAZ NASCOSTO'!$P$11,IF(C334&lt;='SOLLECITAZ NASCOSTO'!$P$10,IF(C334&lt;='SOLLECITAZ NASCOSTO'!$P$9,IF(C334&lt;='SOLLECITAZ NASCOSTO'!$P$8,IF(C334&lt;='SOLLECITAZ NASCOSTO'!$P$7,IF(C334&lt;='SOLLECITAZ NASCOSTO'!$P$6,IF(C334&lt;='SOLLECITAZ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slu'!$C$112)+IF(C334&lt;='SOLLECITAZ NASCOSTO'!$P$12,IF(C334&lt;='SOLLECITAZ NASCOSTO'!$P$11,IF(C334&lt;='SOLLECITAZ NASCOSTO'!$P$10,IF(C334&lt;='SOLLECITAZ NASCOSTO'!$P$9,IF(C334&lt;='SOLLECITAZ NASCOSTO'!$P$8,IF(C334&lt;='SOLLECITAZ NASCOSTO'!$P$7,IF(C334&lt;='SOLLECITAZ NASCOSTO'!$P$6,IF(C334&lt;='SOLLECITAZ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18.680012357278102</v>
      </c>
      <c r="O335" s="42">
        <f>IF(C335&lt;='SOLLECITAZ NASCOSTO'!$P$12,IF(C335&lt;='SOLLECITAZ NASCOSTO'!$P$11,IF(C335&lt;='SOLLECITAZ NASCOSTO'!$P$10,IF(C335&lt;='SOLLECITAZ NASCOSTO'!$P$9,IF(C335&lt;='SOLLECITAZ NASCOSTO'!$P$8,IF(C335&lt;='SOLLECITAZ NASCOSTO'!$P$7,IF(C335&lt;='SOLLECITAZ NASCOSTO'!$P$6,IF(C335&lt;='SOLLECITAZ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slu'!$G$111),55555)*(C335-C334)/IF(C335&lt;='SOLLECITAZ NASCOSTO'!$P$12,IF(C335&lt;='SOLLECITAZ NASCOSTO'!$P$11,IF(C335&lt;='SOLLECITAZ NASCOSTO'!$P$10,IF(C335&lt;='SOLLECITAZ NASCOSTO'!$P$9,IF(C335&lt;='SOLLECITAZ NASCOSTO'!$P$8,IF(C335&lt;='SOLLECITAZ NASCOSTO'!$P$7,IF(C335&lt;='SOLLECITAZ NASCOSTO'!$P$6,IF(C335&lt;='SOLLECITAZ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35" s="42">
        <f t="shared" si="93"/>
        <v>3.0200000000000084E-4</v>
      </c>
      <c r="Q335" s="42">
        <f t="shared" si="91"/>
        <v>1</v>
      </c>
      <c r="R335" s="441">
        <f t="shared" si="85"/>
        <v>2.0758413461538461</v>
      </c>
      <c r="S335" s="46">
        <f t="shared" si="92"/>
        <v>2.0758413461538461</v>
      </c>
      <c r="T335" s="211">
        <f t="shared" si="88"/>
        <v>1.274158653846154</v>
      </c>
      <c r="U335" s="46">
        <f t="shared" si="89"/>
        <v>23.739557032800896</v>
      </c>
      <c r="V335" s="46">
        <f t="shared" si="90"/>
        <v>-19.402797780499228</v>
      </c>
      <c r="W335" s="496"/>
    </row>
    <row r="336" spans="1:25" x14ac:dyDescent="0.25">
      <c r="A336" s="589">
        <f t="shared" si="86"/>
        <v>7.3076923075565681E-6</v>
      </c>
      <c r="B336" s="32">
        <f t="shared" si="99"/>
        <v>304</v>
      </c>
      <c r="C336" s="441">
        <f>'SOLLECITAZ NASCOSTO'!$D$6/'SOLLECITAZ NASCOSTO'!$B$448*'SOLLECITAZ NASCOSTO'!B336</f>
        <v>2.0826923076923078</v>
      </c>
      <c r="D336" s="132">
        <f t="shared" si="87"/>
        <v>0.30000730769230755</v>
      </c>
      <c r="E336" s="132">
        <f t="shared" si="81"/>
        <v>7.3076923075565681E-6</v>
      </c>
      <c r="F336" s="132">
        <f t="shared" si="82"/>
        <v>0.30000730769230755</v>
      </c>
      <c r="G336" s="132">
        <f t="shared" si="83"/>
        <v>4.5002192334393447E-2</v>
      </c>
      <c r="H336" s="132">
        <f t="shared" si="100"/>
        <v>0</v>
      </c>
      <c r="I336" s="132">
        <v>0</v>
      </c>
      <c r="J336" s="131">
        <f t="shared" si="101"/>
        <v>0.15000365384615377</v>
      </c>
      <c r="K336" s="130">
        <f t="shared" si="84"/>
        <v>2.2501644270821299E-3</v>
      </c>
      <c r="L336" s="42">
        <f t="shared" si="20"/>
        <v>23.868027706970214</v>
      </c>
      <c r="M336" s="42">
        <f t="shared" si="15"/>
        <v>-19.565876646494843</v>
      </c>
      <c r="N336" s="42">
        <f>(IF(C335&lt;='SOLLECITAZ NASCOSTO'!$P$12,IF(C335&lt;='SOLLECITAZ NASCOSTO'!$P$11,IF(C335&lt;='SOLLECITAZ NASCOSTO'!$P$10,IF(C335&lt;='SOLLECITAZ NASCOSTO'!$P$9,IF(C335&lt;='SOLLECITAZ NASCOSTO'!$P$8,IF(C335&lt;='SOLLECITAZ NASCOSTO'!$P$7,IF(C335&lt;='SOLLECITAZ NASCOSTO'!$P$6,IF(C335&lt;='SOLLECITAZ NASCOSTO'!$P$5,'Progetto del paramento slu'!$G$105,'Progetto del paramento slu'!$G$106),'Progetto del paramento slu'!$G$107),'Progetto del paramento slu'!$G$108),'Progetto del paramento slu'!$G$109),'Progetto del paramento slu'!$G$110),'Progetto del paramento slu'!$G$111),'Progetto del paramento slu'!$G$112),55555)-IF(C335&lt;='SOLLECITAZ NASCOSTO'!$P$12,IF(C335&lt;='SOLLECITAZ NASCOSTO'!$P$11,IF(C335&lt;='SOLLECITAZ NASCOSTO'!$P$10,IF(C335&lt;='SOLLECITAZ NASCOSTO'!$P$9,IF(C335&lt;='SOLLECITAZ NASCOSTO'!$P$8,IF(C335&lt;='SOLLECITAZ NASCOSTO'!$P$7,IF(C335&lt;='SOLLECITAZ NASCOSTO'!$P$6,IF(C335&lt;='SOLLECITAZ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slu'!$G$112))*(C335-IF(C335&lt;='SOLLECITAZ NASCOSTO'!$P$12,IF(C335&lt;='SOLLECITAZ NASCOSTO'!$P$11,IF(C335&lt;='SOLLECITAZ NASCOSTO'!$P$10,IF(C335&lt;='SOLLECITAZ NASCOSTO'!$P$9,IF(C335&lt;='SOLLECITAZ NASCOSTO'!$P$8,IF(C335&lt;='SOLLECITAZ NASCOSTO'!$P$7,IF(C335&lt;='SOLLECITAZ NASCOSTO'!$P$6,IF(C335&lt;='SOLLECITAZ NASCOSTO'!$P$5,'SOLLECITAZ NASCOSTO'!$P$3,'SOLLECITAZ NASCOSTO'!$P$5),'SOLLECITAZ NASCOSTO'!$P$5),'SOLLECITAZ NASCOSTO'!$P$7),'SOLLECITAZ NASCOSTO'!$P$8),'SOLLECITAZ NASCOSTO'!$P$9),'SOLLECITAZ NASCOSTO'!$P$10),'SOLLECITAZ NASCOSTO'!$P$11),'SOLLECITAZ NASCOSTO'!$P$12))/IF(C335&lt;='SOLLECITAZ NASCOSTO'!$P$12,IF(C335&lt;='SOLLECITAZ NASCOSTO'!$P$11,IF(C335&lt;='SOLLECITAZ NASCOSTO'!$P$10,IF(C335&lt;='SOLLECITAZ NASCOSTO'!$P$9,IF(C335&lt;='SOLLECITAZ NASCOSTO'!$P$8,IF(C335&lt;='SOLLECITAZ NASCOSTO'!$P$7,IF(C335&lt;='SOLLECITAZ NASCOSTO'!$P$6,IF(C335&lt;='SOLLECITAZ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slu'!$C$112)+IF(C335&lt;='SOLLECITAZ NASCOSTO'!$P$12,IF(C335&lt;='SOLLECITAZ NASCOSTO'!$P$11,IF(C335&lt;='SOLLECITAZ NASCOSTO'!$P$10,IF(C335&lt;='SOLLECITAZ NASCOSTO'!$P$9,IF(C335&lt;='SOLLECITAZ NASCOSTO'!$P$8,IF(C335&lt;='SOLLECITAZ NASCOSTO'!$P$7,IF(C335&lt;='SOLLECITAZ NASCOSTO'!$P$6,IF(C335&lt;='SOLLECITAZ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18.728144576270452</v>
      </c>
      <c r="O336" s="42">
        <f>IF(C336&lt;='SOLLECITAZ NASCOSTO'!$P$12,IF(C336&lt;='SOLLECITAZ NASCOSTO'!$P$11,IF(C336&lt;='SOLLECITAZ NASCOSTO'!$P$10,IF(C336&lt;='SOLLECITAZ NASCOSTO'!$P$9,IF(C336&lt;='SOLLECITAZ NASCOSTO'!$P$8,IF(C336&lt;='SOLLECITAZ NASCOSTO'!$P$7,IF(C336&lt;='SOLLECITAZ NASCOSTO'!$P$6,IF(C336&lt;='SOLLECITAZ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slu'!$G$111),55555)*(C336-C335)/IF(C336&lt;='SOLLECITAZ NASCOSTO'!$P$12,IF(C336&lt;='SOLLECITAZ NASCOSTO'!$P$11,IF(C336&lt;='SOLLECITAZ NASCOSTO'!$P$10,IF(C336&lt;='SOLLECITAZ NASCOSTO'!$P$9,IF(C336&lt;='SOLLECITAZ NASCOSTO'!$P$8,IF(C336&lt;='SOLLECITAZ NASCOSTO'!$P$7,IF(C336&lt;='SOLLECITAZ NASCOSTO'!$P$6,IF(C336&lt;='SOLLECITAZ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36" s="42">
        <f t="shared" si="93"/>
        <v>3.0300000000000086E-4</v>
      </c>
      <c r="Q336" s="42">
        <f t="shared" si="91"/>
        <v>1</v>
      </c>
      <c r="R336" s="441">
        <f t="shared" si="85"/>
        <v>2.0826923076923078</v>
      </c>
      <c r="S336" s="46">
        <f t="shared" si="92"/>
        <v>2.0826923076923078</v>
      </c>
      <c r="T336" s="211">
        <f t="shared" si="88"/>
        <v>1.2673076923076922</v>
      </c>
      <c r="U336" s="46">
        <f t="shared" si="89"/>
        <v>23.868027706970214</v>
      </c>
      <c r="V336" s="46">
        <f t="shared" si="90"/>
        <v>-19.565876646494843</v>
      </c>
      <c r="W336" s="496"/>
    </row>
    <row r="337" spans="1:23" x14ac:dyDescent="0.25">
      <c r="A337" s="589">
        <f t="shared" si="86"/>
        <v>7.3317307690556888E-6</v>
      </c>
      <c r="B337" s="32">
        <f t="shared" si="99"/>
        <v>305</v>
      </c>
      <c r="C337" s="441">
        <f>'SOLLECITAZ NASCOSTO'!$D$6/'SOLLECITAZ NASCOSTO'!$B$448*'SOLLECITAZ NASCOSTO'!B337</f>
        <v>2.0895432692307692</v>
      </c>
      <c r="D337" s="132">
        <f t="shared" si="87"/>
        <v>0.30000733173076904</v>
      </c>
      <c r="E337" s="132">
        <f t="shared" si="81"/>
        <v>7.3317307690556888E-6</v>
      </c>
      <c r="F337" s="132">
        <f t="shared" si="82"/>
        <v>0.30000733173076904</v>
      </c>
      <c r="G337" s="132">
        <f t="shared" si="83"/>
        <v>4.5002199546107853E-2</v>
      </c>
      <c r="H337" s="132">
        <f t="shared" si="100"/>
        <v>0</v>
      </c>
      <c r="I337" s="132">
        <v>0</v>
      </c>
      <c r="J337" s="131">
        <f t="shared" si="101"/>
        <v>0.15000366586538452</v>
      </c>
      <c r="K337" s="130">
        <f t="shared" si="84"/>
        <v>2.250164967973907E-3</v>
      </c>
      <c r="L337" s="42">
        <f t="shared" si="20"/>
        <v>23.996828133120601</v>
      </c>
      <c r="M337" s="42">
        <f t="shared" si="15"/>
        <v>-19.729836789697071</v>
      </c>
      <c r="N337" s="42">
        <f>(IF(C336&lt;='SOLLECITAZ NASCOSTO'!$P$12,IF(C336&lt;='SOLLECITAZ NASCOSTO'!$P$11,IF(C336&lt;='SOLLECITAZ NASCOSTO'!$P$10,IF(C336&lt;='SOLLECITAZ NASCOSTO'!$P$9,IF(C336&lt;='SOLLECITAZ NASCOSTO'!$P$8,IF(C336&lt;='SOLLECITAZ NASCOSTO'!$P$7,IF(C336&lt;='SOLLECITAZ NASCOSTO'!$P$6,IF(C336&lt;='SOLLECITAZ NASCOSTO'!$P$5,'Progetto del paramento slu'!$G$105,'Progetto del paramento slu'!$G$106),'Progetto del paramento slu'!$G$107),'Progetto del paramento slu'!$G$108),'Progetto del paramento slu'!$G$109),'Progetto del paramento slu'!$G$110),'Progetto del paramento slu'!$G$111),'Progetto del paramento slu'!$G$112),55555)-IF(C336&lt;='SOLLECITAZ NASCOSTO'!$P$12,IF(C336&lt;='SOLLECITAZ NASCOSTO'!$P$11,IF(C336&lt;='SOLLECITAZ NASCOSTO'!$P$10,IF(C336&lt;='SOLLECITAZ NASCOSTO'!$P$9,IF(C336&lt;='SOLLECITAZ NASCOSTO'!$P$8,IF(C336&lt;='SOLLECITAZ NASCOSTO'!$P$7,IF(C336&lt;='SOLLECITAZ NASCOSTO'!$P$6,IF(C336&lt;='SOLLECITAZ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slu'!$G$112))*(C336-IF(C336&lt;='SOLLECITAZ NASCOSTO'!$P$12,IF(C336&lt;='SOLLECITAZ NASCOSTO'!$P$11,IF(C336&lt;='SOLLECITAZ NASCOSTO'!$P$10,IF(C336&lt;='SOLLECITAZ NASCOSTO'!$P$9,IF(C336&lt;='SOLLECITAZ NASCOSTO'!$P$8,IF(C336&lt;='SOLLECITAZ NASCOSTO'!$P$7,IF(C336&lt;='SOLLECITAZ NASCOSTO'!$P$6,IF(C336&lt;='SOLLECITAZ NASCOSTO'!$P$5,'SOLLECITAZ NASCOSTO'!$P$3,'SOLLECITAZ NASCOSTO'!$P$5),'SOLLECITAZ NASCOSTO'!$P$5),'SOLLECITAZ NASCOSTO'!$P$7),'SOLLECITAZ NASCOSTO'!$P$8),'SOLLECITAZ NASCOSTO'!$P$9),'SOLLECITAZ NASCOSTO'!$P$10),'SOLLECITAZ NASCOSTO'!$P$11),'SOLLECITAZ NASCOSTO'!$P$12))/IF(C336&lt;='SOLLECITAZ NASCOSTO'!$P$12,IF(C336&lt;='SOLLECITAZ NASCOSTO'!$P$11,IF(C336&lt;='SOLLECITAZ NASCOSTO'!$P$10,IF(C336&lt;='SOLLECITAZ NASCOSTO'!$P$9,IF(C336&lt;='SOLLECITAZ NASCOSTO'!$P$8,IF(C336&lt;='SOLLECITAZ NASCOSTO'!$P$7,IF(C336&lt;='SOLLECITAZ NASCOSTO'!$P$6,IF(C336&lt;='SOLLECITAZ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slu'!$C$112)+IF(C336&lt;='SOLLECITAZ NASCOSTO'!$P$12,IF(C336&lt;='SOLLECITAZ NASCOSTO'!$P$11,IF(C336&lt;='SOLLECITAZ NASCOSTO'!$P$10,IF(C336&lt;='SOLLECITAZ NASCOSTO'!$P$9,IF(C336&lt;='SOLLECITAZ NASCOSTO'!$P$8,IF(C336&lt;='SOLLECITAZ NASCOSTO'!$P$7,IF(C336&lt;='SOLLECITAZ NASCOSTO'!$P$6,IF(C336&lt;='SOLLECITAZ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18.77627679526281</v>
      </c>
      <c r="O337" s="42">
        <f>IF(C337&lt;='SOLLECITAZ NASCOSTO'!$P$12,IF(C337&lt;='SOLLECITAZ NASCOSTO'!$P$11,IF(C337&lt;='SOLLECITAZ NASCOSTO'!$P$10,IF(C337&lt;='SOLLECITAZ NASCOSTO'!$P$9,IF(C337&lt;='SOLLECITAZ NASCOSTO'!$P$8,IF(C337&lt;='SOLLECITAZ NASCOSTO'!$P$7,IF(C337&lt;='SOLLECITAZ NASCOSTO'!$P$6,IF(C337&lt;='SOLLECITAZ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slu'!$G$111),55555)*(C337-C336)/IF(C337&lt;='SOLLECITAZ NASCOSTO'!$P$12,IF(C337&lt;='SOLLECITAZ NASCOSTO'!$P$11,IF(C337&lt;='SOLLECITAZ NASCOSTO'!$P$10,IF(C337&lt;='SOLLECITAZ NASCOSTO'!$P$9,IF(C337&lt;='SOLLECITAZ NASCOSTO'!$P$8,IF(C337&lt;='SOLLECITAZ NASCOSTO'!$P$7,IF(C337&lt;='SOLLECITAZ NASCOSTO'!$P$6,IF(C337&lt;='SOLLECITAZ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37" s="42">
        <f t="shared" si="93"/>
        <v>3.0400000000000088E-4</v>
      </c>
      <c r="Q337" s="42">
        <f t="shared" si="91"/>
        <v>1</v>
      </c>
      <c r="R337" s="441">
        <f t="shared" si="85"/>
        <v>2.0895432692307692</v>
      </c>
      <c r="S337" s="46">
        <f t="shared" si="92"/>
        <v>2.0895432692307692</v>
      </c>
      <c r="T337" s="211">
        <f t="shared" si="88"/>
        <v>1.2604567307692309</v>
      </c>
      <c r="U337" s="46">
        <f t="shared" si="89"/>
        <v>23.996828133120601</v>
      </c>
      <c r="V337" s="46">
        <f t="shared" si="90"/>
        <v>-19.729836789697071</v>
      </c>
      <c r="W337" s="496"/>
    </row>
    <row r="338" spans="1:23" x14ac:dyDescent="0.25">
      <c r="A338" s="589">
        <f t="shared" si="86"/>
        <v>7.3557692306103206E-6</v>
      </c>
      <c r="B338" s="32">
        <f t="shared" si="99"/>
        <v>306</v>
      </c>
      <c r="C338" s="441">
        <f>'SOLLECITAZ NASCOSTO'!$D$6/'SOLLECITAZ NASCOSTO'!$B$448*'SOLLECITAZ NASCOSTO'!B338</f>
        <v>2.0963942307692309</v>
      </c>
      <c r="D338" s="132">
        <f t="shared" si="87"/>
        <v>0.3000073557692306</v>
      </c>
      <c r="E338" s="132">
        <f t="shared" si="81"/>
        <v>7.3557692306103206E-6</v>
      </c>
      <c r="F338" s="132">
        <f t="shared" si="82"/>
        <v>0.3000073557692306</v>
      </c>
      <c r="G338" s="132">
        <f t="shared" si="83"/>
        <v>4.5002206757822849E-2</v>
      </c>
      <c r="H338" s="132">
        <f t="shared" si="100"/>
        <v>0</v>
      </c>
      <c r="I338" s="132">
        <v>0</v>
      </c>
      <c r="J338" s="131">
        <f t="shared" si="101"/>
        <v>0.1500036778846153</v>
      </c>
      <c r="K338" s="130">
        <f t="shared" si="84"/>
        <v>2.2501655088657726E-3</v>
      </c>
      <c r="L338" s="42">
        <f t="shared" si="20"/>
        <v>24.125958311252074</v>
      </c>
      <c r="M338" s="42">
        <f t="shared" si="15"/>
        <v>-19.894680469224074</v>
      </c>
      <c r="N338" s="42">
        <f>(IF(C337&lt;='SOLLECITAZ NASCOSTO'!$P$12,IF(C337&lt;='SOLLECITAZ NASCOSTO'!$P$11,IF(C337&lt;='SOLLECITAZ NASCOSTO'!$P$10,IF(C337&lt;='SOLLECITAZ NASCOSTO'!$P$9,IF(C337&lt;='SOLLECITAZ NASCOSTO'!$P$8,IF(C337&lt;='SOLLECITAZ NASCOSTO'!$P$7,IF(C337&lt;='SOLLECITAZ NASCOSTO'!$P$6,IF(C337&lt;='SOLLECITAZ NASCOSTO'!$P$5,'Progetto del paramento slu'!$G$105,'Progetto del paramento slu'!$G$106),'Progetto del paramento slu'!$G$107),'Progetto del paramento slu'!$G$108),'Progetto del paramento slu'!$G$109),'Progetto del paramento slu'!$G$110),'Progetto del paramento slu'!$G$111),'Progetto del paramento slu'!$G$112),55555)-IF(C337&lt;='SOLLECITAZ NASCOSTO'!$P$12,IF(C337&lt;='SOLLECITAZ NASCOSTO'!$P$11,IF(C337&lt;='SOLLECITAZ NASCOSTO'!$P$10,IF(C337&lt;='SOLLECITAZ NASCOSTO'!$P$9,IF(C337&lt;='SOLLECITAZ NASCOSTO'!$P$8,IF(C337&lt;='SOLLECITAZ NASCOSTO'!$P$7,IF(C337&lt;='SOLLECITAZ NASCOSTO'!$P$6,IF(C337&lt;='SOLLECITAZ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slu'!$G$112))*(C337-IF(C337&lt;='SOLLECITAZ NASCOSTO'!$P$12,IF(C337&lt;='SOLLECITAZ NASCOSTO'!$P$11,IF(C337&lt;='SOLLECITAZ NASCOSTO'!$P$10,IF(C337&lt;='SOLLECITAZ NASCOSTO'!$P$9,IF(C337&lt;='SOLLECITAZ NASCOSTO'!$P$8,IF(C337&lt;='SOLLECITAZ NASCOSTO'!$P$7,IF(C337&lt;='SOLLECITAZ NASCOSTO'!$P$6,IF(C337&lt;='SOLLECITAZ NASCOSTO'!$P$5,'SOLLECITAZ NASCOSTO'!$P$3,'SOLLECITAZ NASCOSTO'!$P$5),'SOLLECITAZ NASCOSTO'!$P$5),'SOLLECITAZ NASCOSTO'!$P$7),'SOLLECITAZ NASCOSTO'!$P$8),'SOLLECITAZ NASCOSTO'!$P$9),'SOLLECITAZ NASCOSTO'!$P$10),'SOLLECITAZ NASCOSTO'!$P$11),'SOLLECITAZ NASCOSTO'!$P$12))/IF(C337&lt;='SOLLECITAZ NASCOSTO'!$P$12,IF(C337&lt;='SOLLECITAZ NASCOSTO'!$P$11,IF(C337&lt;='SOLLECITAZ NASCOSTO'!$P$10,IF(C337&lt;='SOLLECITAZ NASCOSTO'!$P$9,IF(C337&lt;='SOLLECITAZ NASCOSTO'!$P$8,IF(C337&lt;='SOLLECITAZ NASCOSTO'!$P$7,IF(C337&lt;='SOLLECITAZ NASCOSTO'!$P$6,IF(C337&lt;='SOLLECITAZ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slu'!$C$112)+IF(C337&lt;='SOLLECITAZ NASCOSTO'!$P$12,IF(C337&lt;='SOLLECITAZ NASCOSTO'!$P$11,IF(C337&lt;='SOLLECITAZ NASCOSTO'!$P$10,IF(C337&lt;='SOLLECITAZ NASCOSTO'!$P$9,IF(C337&lt;='SOLLECITAZ NASCOSTO'!$P$8,IF(C337&lt;='SOLLECITAZ NASCOSTO'!$P$7,IF(C337&lt;='SOLLECITAZ NASCOSTO'!$P$6,IF(C337&lt;='SOLLECITAZ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18.824409014255156</v>
      </c>
      <c r="O338" s="42">
        <f>IF(C338&lt;='SOLLECITAZ NASCOSTO'!$P$12,IF(C338&lt;='SOLLECITAZ NASCOSTO'!$P$11,IF(C338&lt;='SOLLECITAZ NASCOSTO'!$P$10,IF(C338&lt;='SOLLECITAZ NASCOSTO'!$P$9,IF(C338&lt;='SOLLECITAZ NASCOSTO'!$P$8,IF(C338&lt;='SOLLECITAZ NASCOSTO'!$P$7,IF(C338&lt;='SOLLECITAZ NASCOSTO'!$P$6,IF(C338&lt;='SOLLECITAZ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slu'!$G$111),55555)*(C338-C337)/IF(C338&lt;='SOLLECITAZ NASCOSTO'!$P$12,IF(C338&lt;='SOLLECITAZ NASCOSTO'!$P$11,IF(C338&lt;='SOLLECITAZ NASCOSTO'!$P$10,IF(C338&lt;='SOLLECITAZ NASCOSTO'!$P$9,IF(C338&lt;='SOLLECITAZ NASCOSTO'!$P$8,IF(C338&lt;='SOLLECITAZ NASCOSTO'!$P$7,IF(C338&lt;='SOLLECITAZ NASCOSTO'!$P$6,IF(C338&lt;='SOLLECITAZ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38" s="42">
        <f t="shared" si="93"/>
        <v>3.0500000000000091E-4</v>
      </c>
      <c r="Q338" s="42">
        <f t="shared" si="91"/>
        <v>1</v>
      </c>
      <c r="R338" s="441">
        <f t="shared" si="85"/>
        <v>2.0963942307692309</v>
      </c>
      <c r="S338" s="46">
        <f t="shared" si="92"/>
        <v>2.0963942307692309</v>
      </c>
      <c r="T338" s="211">
        <f t="shared" si="88"/>
        <v>1.2536057692307692</v>
      </c>
      <c r="U338" s="46">
        <f t="shared" si="89"/>
        <v>24.125958311252074</v>
      </c>
      <c r="V338" s="46">
        <f t="shared" si="90"/>
        <v>-19.894680469224074</v>
      </c>
      <c r="W338" s="496"/>
    </row>
    <row r="339" spans="1:23" x14ac:dyDescent="0.25">
      <c r="A339" s="589">
        <f t="shared" si="86"/>
        <v>7.3798076921649525E-6</v>
      </c>
      <c r="B339" s="32">
        <f t="shared" si="99"/>
        <v>307</v>
      </c>
      <c r="C339" s="441">
        <f>'SOLLECITAZ NASCOSTO'!$D$6/'SOLLECITAZ NASCOSTO'!$B$448*'SOLLECITAZ NASCOSTO'!B339</f>
        <v>2.1032451923076922</v>
      </c>
      <c r="D339" s="132">
        <f t="shared" si="87"/>
        <v>0.30000737980769215</v>
      </c>
      <c r="E339" s="132">
        <f t="shared" si="81"/>
        <v>7.3798076921649525E-6</v>
      </c>
      <c r="F339" s="132">
        <f t="shared" si="82"/>
        <v>0.30000737980769215</v>
      </c>
      <c r="G339" s="132">
        <f t="shared" si="83"/>
        <v>4.5002213969538428E-2</v>
      </c>
      <c r="H339" s="132">
        <f t="shared" si="100"/>
        <v>0</v>
      </c>
      <c r="I339" s="132">
        <v>0</v>
      </c>
      <c r="J339" s="131">
        <f t="shared" si="101"/>
        <v>0.15000368990384608</v>
      </c>
      <c r="K339" s="130">
        <f t="shared" si="84"/>
        <v>2.2501660497577245E-3</v>
      </c>
      <c r="L339" s="42">
        <f t="shared" si="20"/>
        <v>24.255418241364616</v>
      </c>
      <c r="M339" s="42">
        <f t="shared" si="15"/>
        <v>-20.060409944193971</v>
      </c>
      <c r="N339" s="42">
        <f>(IF(C338&lt;='SOLLECITAZ NASCOSTO'!$P$12,IF(C338&lt;='SOLLECITAZ NASCOSTO'!$P$11,IF(C338&lt;='SOLLECITAZ NASCOSTO'!$P$10,IF(C338&lt;='SOLLECITAZ NASCOSTO'!$P$9,IF(C338&lt;='SOLLECITAZ NASCOSTO'!$P$8,IF(C338&lt;='SOLLECITAZ NASCOSTO'!$P$7,IF(C338&lt;='SOLLECITAZ NASCOSTO'!$P$6,IF(C338&lt;='SOLLECITAZ NASCOSTO'!$P$5,'Progetto del paramento slu'!$G$105,'Progetto del paramento slu'!$G$106),'Progetto del paramento slu'!$G$107),'Progetto del paramento slu'!$G$108),'Progetto del paramento slu'!$G$109),'Progetto del paramento slu'!$G$110),'Progetto del paramento slu'!$G$111),'Progetto del paramento slu'!$G$112),55555)-IF(C338&lt;='SOLLECITAZ NASCOSTO'!$P$12,IF(C338&lt;='SOLLECITAZ NASCOSTO'!$P$11,IF(C338&lt;='SOLLECITAZ NASCOSTO'!$P$10,IF(C338&lt;='SOLLECITAZ NASCOSTO'!$P$9,IF(C338&lt;='SOLLECITAZ NASCOSTO'!$P$8,IF(C338&lt;='SOLLECITAZ NASCOSTO'!$P$7,IF(C338&lt;='SOLLECITAZ NASCOSTO'!$P$6,IF(C338&lt;='SOLLECITAZ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slu'!$G$112))*(C338-IF(C338&lt;='SOLLECITAZ NASCOSTO'!$P$12,IF(C338&lt;='SOLLECITAZ NASCOSTO'!$P$11,IF(C338&lt;='SOLLECITAZ NASCOSTO'!$P$10,IF(C338&lt;='SOLLECITAZ NASCOSTO'!$P$9,IF(C338&lt;='SOLLECITAZ NASCOSTO'!$P$8,IF(C338&lt;='SOLLECITAZ NASCOSTO'!$P$7,IF(C338&lt;='SOLLECITAZ NASCOSTO'!$P$6,IF(C338&lt;='SOLLECITAZ NASCOSTO'!$P$5,'SOLLECITAZ NASCOSTO'!$P$3,'SOLLECITAZ NASCOSTO'!$P$5),'SOLLECITAZ NASCOSTO'!$P$5),'SOLLECITAZ NASCOSTO'!$P$7),'SOLLECITAZ NASCOSTO'!$P$8),'SOLLECITAZ NASCOSTO'!$P$9),'SOLLECITAZ NASCOSTO'!$P$10),'SOLLECITAZ NASCOSTO'!$P$11),'SOLLECITAZ NASCOSTO'!$P$12))/IF(C338&lt;='SOLLECITAZ NASCOSTO'!$P$12,IF(C338&lt;='SOLLECITAZ NASCOSTO'!$P$11,IF(C338&lt;='SOLLECITAZ NASCOSTO'!$P$10,IF(C338&lt;='SOLLECITAZ NASCOSTO'!$P$9,IF(C338&lt;='SOLLECITAZ NASCOSTO'!$P$8,IF(C338&lt;='SOLLECITAZ NASCOSTO'!$P$7,IF(C338&lt;='SOLLECITAZ NASCOSTO'!$P$6,IF(C338&lt;='SOLLECITAZ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slu'!$C$112)+IF(C338&lt;='SOLLECITAZ NASCOSTO'!$P$12,IF(C338&lt;='SOLLECITAZ NASCOSTO'!$P$11,IF(C338&lt;='SOLLECITAZ NASCOSTO'!$P$10,IF(C338&lt;='SOLLECITAZ NASCOSTO'!$P$9,IF(C338&lt;='SOLLECITAZ NASCOSTO'!$P$8,IF(C338&lt;='SOLLECITAZ NASCOSTO'!$P$7,IF(C338&lt;='SOLLECITAZ NASCOSTO'!$P$6,IF(C338&lt;='SOLLECITAZ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18.87254123324751</v>
      </c>
      <c r="O339" s="42">
        <f>IF(C339&lt;='SOLLECITAZ NASCOSTO'!$P$12,IF(C339&lt;='SOLLECITAZ NASCOSTO'!$P$11,IF(C339&lt;='SOLLECITAZ NASCOSTO'!$P$10,IF(C339&lt;='SOLLECITAZ NASCOSTO'!$P$9,IF(C339&lt;='SOLLECITAZ NASCOSTO'!$P$8,IF(C339&lt;='SOLLECITAZ NASCOSTO'!$P$7,IF(C339&lt;='SOLLECITAZ NASCOSTO'!$P$6,IF(C339&lt;='SOLLECITAZ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slu'!$G$111),55555)*(C339-C338)/IF(C339&lt;='SOLLECITAZ NASCOSTO'!$P$12,IF(C339&lt;='SOLLECITAZ NASCOSTO'!$P$11,IF(C339&lt;='SOLLECITAZ NASCOSTO'!$P$10,IF(C339&lt;='SOLLECITAZ NASCOSTO'!$P$9,IF(C339&lt;='SOLLECITAZ NASCOSTO'!$P$8,IF(C339&lt;='SOLLECITAZ NASCOSTO'!$P$7,IF(C339&lt;='SOLLECITAZ NASCOSTO'!$P$6,IF(C339&lt;='SOLLECITAZ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39" s="42">
        <f t="shared" si="93"/>
        <v>3.0600000000000093E-4</v>
      </c>
      <c r="Q339" s="42">
        <f t="shared" si="91"/>
        <v>1</v>
      </c>
      <c r="R339" s="441">
        <f t="shared" si="85"/>
        <v>2.1032451923076922</v>
      </c>
      <c r="S339" s="46">
        <f t="shared" si="92"/>
        <v>2.1032451923076922</v>
      </c>
      <c r="T339" s="211">
        <f t="shared" si="88"/>
        <v>1.2467548076923078</v>
      </c>
      <c r="U339" s="46">
        <f t="shared" si="89"/>
        <v>24.255418241364616</v>
      </c>
      <c r="V339" s="46">
        <f t="shared" si="90"/>
        <v>-20.060409944193971</v>
      </c>
      <c r="W339" s="496"/>
    </row>
    <row r="340" spans="1:23" x14ac:dyDescent="0.25">
      <c r="A340" s="589">
        <f t="shared" si="86"/>
        <v>7.4038461536640732E-6</v>
      </c>
      <c r="B340" s="32">
        <f t="shared" si="99"/>
        <v>308</v>
      </c>
      <c r="C340" s="441">
        <f>'SOLLECITAZ NASCOSTO'!$D$6/'SOLLECITAZ NASCOSTO'!$B$448*'SOLLECITAZ NASCOSTO'!B340</f>
        <v>2.110096153846154</v>
      </c>
      <c r="D340" s="132">
        <f t="shared" si="87"/>
        <v>0.30000740384615365</v>
      </c>
      <c r="E340" s="132">
        <f t="shared" si="81"/>
        <v>7.4038461536640732E-6</v>
      </c>
      <c r="F340" s="132">
        <f t="shared" si="82"/>
        <v>0.30000740384615365</v>
      </c>
      <c r="G340" s="132">
        <f t="shared" si="83"/>
        <v>4.5002221181254569E-2</v>
      </c>
      <c r="H340" s="132">
        <f t="shared" si="100"/>
        <v>0</v>
      </c>
      <c r="I340" s="132">
        <v>0</v>
      </c>
      <c r="J340" s="131">
        <f t="shared" si="101"/>
        <v>0.15000370192307683</v>
      </c>
      <c r="K340" s="130">
        <f t="shared" si="84"/>
        <v>2.2501665906497614E-3</v>
      </c>
      <c r="L340" s="42">
        <f t="shared" si="20"/>
        <v>24.385207923458246</v>
      </c>
      <c r="M340" s="42">
        <f t="shared" si="15"/>
        <v>-20.22702747372492</v>
      </c>
      <c r="N340" s="42">
        <f>(IF(C339&lt;='SOLLECITAZ NASCOSTO'!$P$12,IF(C339&lt;='SOLLECITAZ NASCOSTO'!$P$11,IF(C339&lt;='SOLLECITAZ NASCOSTO'!$P$10,IF(C339&lt;='SOLLECITAZ NASCOSTO'!$P$9,IF(C339&lt;='SOLLECITAZ NASCOSTO'!$P$8,IF(C339&lt;='SOLLECITAZ NASCOSTO'!$P$7,IF(C339&lt;='SOLLECITAZ NASCOSTO'!$P$6,IF(C339&lt;='SOLLECITAZ NASCOSTO'!$P$5,'Progetto del paramento slu'!$G$105,'Progetto del paramento slu'!$G$106),'Progetto del paramento slu'!$G$107),'Progetto del paramento slu'!$G$108),'Progetto del paramento slu'!$G$109),'Progetto del paramento slu'!$G$110),'Progetto del paramento slu'!$G$111),'Progetto del paramento slu'!$G$112),55555)-IF(C339&lt;='SOLLECITAZ NASCOSTO'!$P$12,IF(C339&lt;='SOLLECITAZ NASCOSTO'!$P$11,IF(C339&lt;='SOLLECITAZ NASCOSTO'!$P$10,IF(C339&lt;='SOLLECITAZ NASCOSTO'!$P$9,IF(C339&lt;='SOLLECITAZ NASCOSTO'!$P$8,IF(C339&lt;='SOLLECITAZ NASCOSTO'!$P$7,IF(C339&lt;='SOLLECITAZ NASCOSTO'!$P$6,IF(C339&lt;='SOLLECITAZ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slu'!$G$112))*(C339-IF(C339&lt;='SOLLECITAZ NASCOSTO'!$P$12,IF(C339&lt;='SOLLECITAZ NASCOSTO'!$P$11,IF(C339&lt;='SOLLECITAZ NASCOSTO'!$P$10,IF(C339&lt;='SOLLECITAZ NASCOSTO'!$P$9,IF(C339&lt;='SOLLECITAZ NASCOSTO'!$P$8,IF(C339&lt;='SOLLECITAZ NASCOSTO'!$P$7,IF(C339&lt;='SOLLECITAZ NASCOSTO'!$P$6,IF(C339&lt;='SOLLECITAZ NASCOSTO'!$P$5,'SOLLECITAZ NASCOSTO'!$P$3,'SOLLECITAZ NASCOSTO'!$P$5),'SOLLECITAZ NASCOSTO'!$P$5),'SOLLECITAZ NASCOSTO'!$P$7),'SOLLECITAZ NASCOSTO'!$P$8),'SOLLECITAZ NASCOSTO'!$P$9),'SOLLECITAZ NASCOSTO'!$P$10),'SOLLECITAZ NASCOSTO'!$P$11),'SOLLECITAZ NASCOSTO'!$P$12))/IF(C339&lt;='SOLLECITAZ NASCOSTO'!$P$12,IF(C339&lt;='SOLLECITAZ NASCOSTO'!$P$11,IF(C339&lt;='SOLLECITAZ NASCOSTO'!$P$10,IF(C339&lt;='SOLLECITAZ NASCOSTO'!$P$9,IF(C339&lt;='SOLLECITAZ NASCOSTO'!$P$8,IF(C339&lt;='SOLLECITAZ NASCOSTO'!$P$7,IF(C339&lt;='SOLLECITAZ NASCOSTO'!$P$6,IF(C339&lt;='SOLLECITAZ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slu'!$C$112)+IF(C339&lt;='SOLLECITAZ NASCOSTO'!$P$12,IF(C339&lt;='SOLLECITAZ NASCOSTO'!$P$11,IF(C339&lt;='SOLLECITAZ NASCOSTO'!$P$10,IF(C339&lt;='SOLLECITAZ NASCOSTO'!$P$9,IF(C339&lt;='SOLLECITAZ NASCOSTO'!$P$8,IF(C339&lt;='SOLLECITAZ NASCOSTO'!$P$7,IF(C339&lt;='SOLLECITAZ NASCOSTO'!$P$6,IF(C339&lt;='SOLLECITAZ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18.920673452239861</v>
      </c>
      <c r="O340" s="42">
        <f>IF(C340&lt;='SOLLECITAZ NASCOSTO'!$P$12,IF(C340&lt;='SOLLECITAZ NASCOSTO'!$P$11,IF(C340&lt;='SOLLECITAZ NASCOSTO'!$P$10,IF(C340&lt;='SOLLECITAZ NASCOSTO'!$P$9,IF(C340&lt;='SOLLECITAZ NASCOSTO'!$P$8,IF(C340&lt;='SOLLECITAZ NASCOSTO'!$P$7,IF(C340&lt;='SOLLECITAZ NASCOSTO'!$P$6,IF(C340&lt;='SOLLECITAZ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slu'!$G$111),55555)*(C340-C339)/IF(C340&lt;='SOLLECITAZ NASCOSTO'!$P$12,IF(C340&lt;='SOLLECITAZ NASCOSTO'!$P$11,IF(C340&lt;='SOLLECITAZ NASCOSTO'!$P$10,IF(C340&lt;='SOLLECITAZ NASCOSTO'!$P$9,IF(C340&lt;='SOLLECITAZ NASCOSTO'!$P$8,IF(C340&lt;='SOLLECITAZ NASCOSTO'!$P$7,IF(C340&lt;='SOLLECITAZ NASCOSTO'!$P$6,IF(C340&lt;='SOLLECITAZ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40" s="42">
        <f t="shared" si="93"/>
        <v>3.0700000000000096E-4</v>
      </c>
      <c r="Q340" s="42">
        <f t="shared" si="91"/>
        <v>1</v>
      </c>
      <c r="R340" s="441">
        <f t="shared" si="85"/>
        <v>2.110096153846154</v>
      </c>
      <c r="S340" s="46">
        <f t="shared" si="92"/>
        <v>2.110096153846154</v>
      </c>
      <c r="T340" s="211">
        <f t="shared" si="88"/>
        <v>1.2399038461538461</v>
      </c>
      <c r="U340" s="46">
        <f t="shared" si="89"/>
        <v>24.385207923458246</v>
      </c>
      <c r="V340" s="46">
        <f t="shared" si="90"/>
        <v>-20.22702747372492</v>
      </c>
      <c r="W340" s="496"/>
    </row>
    <row r="341" spans="1:23" x14ac:dyDescent="0.25">
      <c r="A341" s="589">
        <f t="shared" si="86"/>
        <v>7.427884615218705E-6</v>
      </c>
      <c r="B341" s="32">
        <f t="shared" si="99"/>
        <v>309</v>
      </c>
      <c r="C341" s="441">
        <f>'SOLLECITAZ NASCOSTO'!$D$6/'SOLLECITAZ NASCOSTO'!$B$448*'SOLLECITAZ NASCOSTO'!B341</f>
        <v>2.1169471153846153</v>
      </c>
      <c r="D341" s="132">
        <f t="shared" si="87"/>
        <v>0.30000742788461521</v>
      </c>
      <c r="E341" s="132">
        <f t="shared" si="81"/>
        <v>7.427884615218705E-6</v>
      </c>
      <c r="F341" s="132">
        <f t="shared" si="82"/>
        <v>0.30000742788461521</v>
      </c>
      <c r="G341" s="132">
        <f t="shared" si="83"/>
        <v>4.50022283929713E-2</v>
      </c>
      <c r="H341" s="132">
        <f t="shared" si="100"/>
        <v>0</v>
      </c>
      <c r="I341" s="132">
        <v>0</v>
      </c>
      <c r="J341" s="131">
        <f t="shared" si="101"/>
        <v>0.1500037139423076</v>
      </c>
      <c r="K341" s="130">
        <f t="shared" si="84"/>
        <v>2.2501671315418867E-3</v>
      </c>
      <c r="L341" s="42">
        <f t="shared" si="20"/>
        <v>24.515327357532943</v>
      </c>
      <c r="M341" s="42">
        <f t="shared" si="15"/>
        <v>-20.394535316935041</v>
      </c>
      <c r="N341" s="42">
        <f>(IF(C340&lt;='SOLLECITAZ NASCOSTO'!$P$12,IF(C340&lt;='SOLLECITAZ NASCOSTO'!$P$11,IF(C340&lt;='SOLLECITAZ NASCOSTO'!$P$10,IF(C340&lt;='SOLLECITAZ NASCOSTO'!$P$9,IF(C340&lt;='SOLLECITAZ NASCOSTO'!$P$8,IF(C340&lt;='SOLLECITAZ NASCOSTO'!$P$7,IF(C340&lt;='SOLLECITAZ NASCOSTO'!$P$6,IF(C340&lt;='SOLLECITAZ NASCOSTO'!$P$5,'Progetto del paramento slu'!$G$105,'Progetto del paramento slu'!$G$106),'Progetto del paramento slu'!$G$107),'Progetto del paramento slu'!$G$108),'Progetto del paramento slu'!$G$109),'Progetto del paramento slu'!$G$110),'Progetto del paramento slu'!$G$111),'Progetto del paramento slu'!$G$112),55555)-IF(C340&lt;='SOLLECITAZ NASCOSTO'!$P$12,IF(C340&lt;='SOLLECITAZ NASCOSTO'!$P$11,IF(C340&lt;='SOLLECITAZ NASCOSTO'!$P$10,IF(C340&lt;='SOLLECITAZ NASCOSTO'!$P$9,IF(C340&lt;='SOLLECITAZ NASCOSTO'!$P$8,IF(C340&lt;='SOLLECITAZ NASCOSTO'!$P$7,IF(C340&lt;='SOLLECITAZ NASCOSTO'!$P$6,IF(C340&lt;='SOLLECITAZ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slu'!$G$112))*(C340-IF(C340&lt;='SOLLECITAZ NASCOSTO'!$P$12,IF(C340&lt;='SOLLECITAZ NASCOSTO'!$P$11,IF(C340&lt;='SOLLECITAZ NASCOSTO'!$P$10,IF(C340&lt;='SOLLECITAZ NASCOSTO'!$P$9,IF(C340&lt;='SOLLECITAZ NASCOSTO'!$P$8,IF(C340&lt;='SOLLECITAZ NASCOSTO'!$P$7,IF(C340&lt;='SOLLECITAZ NASCOSTO'!$P$6,IF(C340&lt;='SOLLECITAZ NASCOSTO'!$P$5,'SOLLECITAZ NASCOSTO'!$P$3,'SOLLECITAZ NASCOSTO'!$P$5),'SOLLECITAZ NASCOSTO'!$P$5),'SOLLECITAZ NASCOSTO'!$P$7),'SOLLECITAZ NASCOSTO'!$P$8),'SOLLECITAZ NASCOSTO'!$P$9),'SOLLECITAZ NASCOSTO'!$P$10),'SOLLECITAZ NASCOSTO'!$P$11),'SOLLECITAZ NASCOSTO'!$P$12))/IF(C340&lt;='SOLLECITAZ NASCOSTO'!$P$12,IF(C340&lt;='SOLLECITAZ NASCOSTO'!$P$11,IF(C340&lt;='SOLLECITAZ NASCOSTO'!$P$10,IF(C340&lt;='SOLLECITAZ NASCOSTO'!$P$9,IF(C340&lt;='SOLLECITAZ NASCOSTO'!$P$8,IF(C340&lt;='SOLLECITAZ NASCOSTO'!$P$7,IF(C340&lt;='SOLLECITAZ NASCOSTO'!$P$6,IF(C340&lt;='SOLLECITAZ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slu'!$C$112)+IF(C340&lt;='SOLLECITAZ NASCOSTO'!$P$12,IF(C340&lt;='SOLLECITAZ NASCOSTO'!$P$11,IF(C340&lt;='SOLLECITAZ NASCOSTO'!$P$10,IF(C340&lt;='SOLLECITAZ NASCOSTO'!$P$9,IF(C340&lt;='SOLLECITAZ NASCOSTO'!$P$8,IF(C340&lt;='SOLLECITAZ NASCOSTO'!$P$7,IF(C340&lt;='SOLLECITAZ NASCOSTO'!$P$6,IF(C340&lt;='SOLLECITAZ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18.968805671232218</v>
      </c>
      <c r="O341" s="42">
        <f>IF(C341&lt;='SOLLECITAZ NASCOSTO'!$P$12,IF(C341&lt;='SOLLECITAZ NASCOSTO'!$P$11,IF(C341&lt;='SOLLECITAZ NASCOSTO'!$P$10,IF(C341&lt;='SOLLECITAZ NASCOSTO'!$P$9,IF(C341&lt;='SOLLECITAZ NASCOSTO'!$P$8,IF(C341&lt;='SOLLECITAZ NASCOSTO'!$P$7,IF(C341&lt;='SOLLECITAZ NASCOSTO'!$P$6,IF(C341&lt;='SOLLECITAZ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slu'!$G$111),55555)*(C341-C340)/IF(C341&lt;='SOLLECITAZ NASCOSTO'!$P$12,IF(C341&lt;='SOLLECITAZ NASCOSTO'!$P$11,IF(C341&lt;='SOLLECITAZ NASCOSTO'!$P$10,IF(C341&lt;='SOLLECITAZ NASCOSTO'!$P$9,IF(C341&lt;='SOLLECITAZ NASCOSTO'!$P$8,IF(C341&lt;='SOLLECITAZ NASCOSTO'!$P$7,IF(C341&lt;='SOLLECITAZ NASCOSTO'!$P$6,IF(C341&lt;='SOLLECITAZ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41" s="42">
        <f t="shared" si="93"/>
        <v>3.0800000000000098E-4</v>
      </c>
      <c r="Q341" s="42">
        <f t="shared" si="91"/>
        <v>1</v>
      </c>
      <c r="R341" s="441">
        <f t="shared" si="85"/>
        <v>2.1169471153846153</v>
      </c>
      <c r="S341" s="46">
        <f t="shared" si="92"/>
        <v>2.1169471153846153</v>
      </c>
      <c r="T341" s="211">
        <f t="shared" si="88"/>
        <v>1.2330528846153848</v>
      </c>
      <c r="U341" s="46">
        <f t="shared" si="89"/>
        <v>24.515327357532943</v>
      </c>
      <c r="V341" s="46">
        <f t="shared" si="90"/>
        <v>-20.394535316935041</v>
      </c>
      <c r="W341" s="496"/>
    </row>
    <row r="342" spans="1:23" x14ac:dyDescent="0.25">
      <c r="A342" s="589">
        <f t="shared" si="86"/>
        <v>7.4519230767733369E-6</v>
      </c>
      <c r="B342" s="32">
        <f t="shared" si="99"/>
        <v>310</v>
      </c>
      <c r="C342" s="441">
        <f>'SOLLECITAZ NASCOSTO'!$D$6/'SOLLECITAZ NASCOSTO'!$B$448*'SOLLECITAZ NASCOSTO'!B342</f>
        <v>2.1237980769230771</v>
      </c>
      <c r="D342" s="132">
        <f t="shared" si="87"/>
        <v>0.30000745192307676</v>
      </c>
      <c r="E342" s="132">
        <f t="shared" si="81"/>
        <v>7.4519230767733369E-6</v>
      </c>
      <c r="F342" s="132">
        <f t="shared" si="82"/>
        <v>0.30000745192307676</v>
      </c>
      <c r="G342" s="132">
        <f t="shared" si="83"/>
        <v>4.5002235604688606E-2</v>
      </c>
      <c r="H342" s="132">
        <f t="shared" si="100"/>
        <v>0</v>
      </c>
      <c r="I342" s="132">
        <v>0</v>
      </c>
      <c r="J342" s="131">
        <f t="shared" si="101"/>
        <v>0.15000372596153838</v>
      </c>
      <c r="K342" s="130">
        <f t="shared" si="84"/>
        <v>2.2501676724340984E-3</v>
      </c>
      <c r="L342" s="42">
        <f t="shared" si="20"/>
        <v>24.645776543588727</v>
      </c>
      <c r="M342" s="42">
        <f t="shared" si="15"/>
        <v>-20.562935732942496</v>
      </c>
      <c r="N342" s="42">
        <f>(IF(C341&lt;='SOLLECITAZ NASCOSTO'!$P$12,IF(C341&lt;='SOLLECITAZ NASCOSTO'!$P$11,IF(C341&lt;='SOLLECITAZ NASCOSTO'!$P$10,IF(C341&lt;='SOLLECITAZ NASCOSTO'!$P$9,IF(C341&lt;='SOLLECITAZ NASCOSTO'!$P$8,IF(C341&lt;='SOLLECITAZ NASCOSTO'!$P$7,IF(C341&lt;='SOLLECITAZ NASCOSTO'!$P$6,IF(C341&lt;='SOLLECITAZ NASCOSTO'!$P$5,'Progetto del paramento slu'!$G$105,'Progetto del paramento slu'!$G$106),'Progetto del paramento slu'!$G$107),'Progetto del paramento slu'!$G$108),'Progetto del paramento slu'!$G$109),'Progetto del paramento slu'!$G$110),'Progetto del paramento slu'!$G$111),'Progetto del paramento slu'!$G$112),55555)-IF(C341&lt;='SOLLECITAZ NASCOSTO'!$P$12,IF(C341&lt;='SOLLECITAZ NASCOSTO'!$P$11,IF(C341&lt;='SOLLECITAZ NASCOSTO'!$P$10,IF(C341&lt;='SOLLECITAZ NASCOSTO'!$P$9,IF(C341&lt;='SOLLECITAZ NASCOSTO'!$P$8,IF(C341&lt;='SOLLECITAZ NASCOSTO'!$P$7,IF(C341&lt;='SOLLECITAZ NASCOSTO'!$P$6,IF(C341&lt;='SOLLECITAZ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slu'!$G$112))*(C341-IF(C341&lt;='SOLLECITAZ NASCOSTO'!$P$12,IF(C341&lt;='SOLLECITAZ NASCOSTO'!$P$11,IF(C341&lt;='SOLLECITAZ NASCOSTO'!$P$10,IF(C341&lt;='SOLLECITAZ NASCOSTO'!$P$9,IF(C341&lt;='SOLLECITAZ NASCOSTO'!$P$8,IF(C341&lt;='SOLLECITAZ NASCOSTO'!$P$7,IF(C341&lt;='SOLLECITAZ NASCOSTO'!$P$6,IF(C341&lt;='SOLLECITAZ NASCOSTO'!$P$5,'SOLLECITAZ NASCOSTO'!$P$3,'SOLLECITAZ NASCOSTO'!$P$5),'SOLLECITAZ NASCOSTO'!$P$5),'SOLLECITAZ NASCOSTO'!$P$7),'SOLLECITAZ NASCOSTO'!$P$8),'SOLLECITAZ NASCOSTO'!$P$9),'SOLLECITAZ NASCOSTO'!$P$10),'SOLLECITAZ NASCOSTO'!$P$11),'SOLLECITAZ NASCOSTO'!$P$12))/IF(C341&lt;='SOLLECITAZ NASCOSTO'!$P$12,IF(C341&lt;='SOLLECITAZ NASCOSTO'!$P$11,IF(C341&lt;='SOLLECITAZ NASCOSTO'!$P$10,IF(C341&lt;='SOLLECITAZ NASCOSTO'!$P$9,IF(C341&lt;='SOLLECITAZ NASCOSTO'!$P$8,IF(C341&lt;='SOLLECITAZ NASCOSTO'!$P$7,IF(C341&lt;='SOLLECITAZ NASCOSTO'!$P$6,IF(C341&lt;='SOLLECITAZ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slu'!$C$112)+IF(C341&lt;='SOLLECITAZ NASCOSTO'!$P$12,IF(C341&lt;='SOLLECITAZ NASCOSTO'!$P$11,IF(C341&lt;='SOLLECITAZ NASCOSTO'!$P$10,IF(C341&lt;='SOLLECITAZ NASCOSTO'!$P$9,IF(C341&lt;='SOLLECITAZ NASCOSTO'!$P$8,IF(C341&lt;='SOLLECITAZ NASCOSTO'!$P$7,IF(C341&lt;='SOLLECITAZ NASCOSTO'!$P$6,IF(C341&lt;='SOLLECITAZ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19.016937890224568</v>
      </c>
      <c r="O342" s="42">
        <f>IF(C342&lt;='SOLLECITAZ NASCOSTO'!$P$12,IF(C342&lt;='SOLLECITAZ NASCOSTO'!$P$11,IF(C342&lt;='SOLLECITAZ NASCOSTO'!$P$10,IF(C342&lt;='SOLLECITAZ NASCOSTO'!$P$9,IF(C342&lt;='SOLLECITAZ NASCOSTO'!$P$8,IF(C342&lt;='SOLLECITAZ NASCOSTO'!$P$7,IF(C342&lt;='SOLLECITAZ NASCOSTO'!$P$6,IF(C342&lt;='SOLLECITAZ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slu'!$G$111),55555)*(C342-C341)/IF(C342&lt;='SOLLECITAZ NASCOSTO'!$P$12,IF(C342&lt;='SOLLECITAZ NASCOSTO'!$P$11,IF(C342&lt;='SOLLECITAZ NASCOSTO'!$P$10,IF(C342&lt;='SOLLECITAZ NASCOSTO'!$P$9,IF(C342&lt;='SOLLECITAZ NASCOSTO'!$P$8,IF(C342&lt;='SOLLECITAZ NASCOSTO'!$P$7,IF(C342&lt;='SOLLECITAZ NASCOSTO'!$P$6,IF(C342&lt;='SOLLECITAZ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42" s="42">
        <f t="shared" si="93"/>
        <v>3.0900000000000101E-4</v>
      </c>
      <c r="Q342" s="42">
        <f t="shared" si="91"/>
        <v>1</v>
      </c>
      <c r="R342" s="441">
        <f t="shared" si="85"/>
        <v>2.1237980769230771</v>
      </c>
      <c r="S342" s="46">
        <f t="shared" si="92"/>
        <v>2.1237980769230771</v>
      </c>
      <c r="T342" s="211">
        <f t="shared" si="88"/>
        <v>1.226201923076923</v>
      </c>
      <c r="U342" s="46">
        <f t="shared" si="89"/>
        <v>24.645776543588727</v>
      </c>
      <c r="V342" s="46">
        <f t="shared" si="90"/>
        <v>-20.562935732942496</v>
      </c>
      <c r="W342" s="496"/>
    </row>
    <row r="343" spans="1:23" x14ac:dyDescent="0.25">
      <c r="A343" s="589">
        <f t="shared" si="86"/>
        <v>7.4759615382724576E-6</v>
      </c>
      <c r="B343" s="32">
        <f t="shared" si="99"/>
        <v>311</v>
      </c>
      <c r="C343" s="441">
        <f>'SOLLECITAZ NASCOSTO'!$D$6/'SOLLECITAZ NASCOSTO'!$B$448*'SOLLECITAZ NASCOSTO'!B343</f>
        <v>2.1306490384615384</v>
      </c>
      <c r="D343" s="132">
        <f t="shared" si="87"/>
        <v>0.30000747596153826</v>
      </c>
      <c r="E343" s="132">
        <f t="shared" si="81"/>
        <v>7.4759615382724576E-6</v>
      </c>
      <c r="F343" s="132">
        <f t="shared" si="82"/>
        <v>0.30000747596153826</v>
      </c>
      <c r="G343" s="132">
        <f t="shared" si="83"/>
        <v>4.5002242816406482E-2</v>
      </c>
      <c r="H343" s="132">
        <f t="shared" si="100"/>
        <v>0</v>
      </c>
      <c r="I343" s="132">
        <v>0</v>
      </c>
      <c r="J343" s="131">
        <f t="shared" si="101"/>
        <v>0.15000373798076913</v>
      </c>
      <c r="K343" s="130">
        <f t="shared" si="84"/>
        <v>2.2501682133263959E-3</v>
      </c>
      <c r="L343" s="42">
        <f t="shared" si="20"/>
        <v>24.776555481625579</v>
      </c>
      <c r="M343" s="42">
        <f t="shared" si="15"/>
        <v>-20.732230980865399</v>
      </c>
      <c r="N343" s="42">
        <f>(IF(C342&lt;='SOLLECITAZ NASCOSTO'!$P$12,IF(C342&lt;='SOLLECITAZ NASCOSTO'!$P$11,IF(C342&lt;='SOLLECITAZ NASCOSTO'!$P$10,IF(C342&lt;='SOLLECITAZ NASCOSTO'!$P$9,IF(C342&lt;='SOLLECITAZ NASCOSTO'!$P$8,IF(C342&lt;='SOLLECITAZ NASCOSTO'!$P$7,IF(C342&lt;='SOLLECITAZ NASCOSTO'!$P$6,IF(C342&lt;='SOLLECITAZ NASCOSTO'!$P$5,'Progetto del paramento slu'!$G$105,'Progetto del paramento slu'!$G$106),'Progetto del paramento slu'!$G$107),'Progetto del paramento slu'!$G$108),'Progetto del paramento slu'!$G$109),'Progetto del paramento slu'!$G$110),'Progetto del paramento slu'!$G$111),'Progetto del paramento slu'!$G$112),55555)-IF(C342&lt;='SOLLECITAZ NASCOSTO'!$P$12,IF(C342&lt;='SOLLECITAZ NASCOSTO'!$P$11,IF(C342&lt;='SOLLECITAZ NASCOSTO'!$P$10,IF(C342&lt;='SOLLECITAZ NASCOSTO'!$P$9,IF(C342&lt;='SOLLECITAZ NASCOSTO'!$P$8,IF(C342&lt;='SOLLECITAZ NASCOSTO'!$P$7,IF(C342&lt;='SOLLECITAZ NASCOSTO'!$P$6,IF(C342&lt;='SOLLECITAZ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slu'!$G$112))*(C342-IF(C342&lt;='SOLLECITAZ NASCOSTO'!$P$12,IF(C342&lt;='SOLLECITAZ NASCOSTO'!$P$11,IF(C342&lt;='SOLLECITAZ NASCOSTO'!$P$10,IF(C342&lt;='SOLLECITAZ NASCOSTO'!$P$9,IF(C342&lt;='SOLLECITAZ NASCOSTO'!$P$8,IF(C342&lt;='SOLLECITAZ NASCOSTO'!$P$7,IF(C342&lt;='SOLLECITAZ NASCOSTO'!$P$6,IF(C342&lt;='SOLLECITAZ NASCOSTO'!$P$5,'SOLLECITAZ NASCOSTO'!$P$3,'SOLLECITAZ NASCOSTO'!$P$5),'SOLLECITAZ NASCOSTO'!$P$5),'SOLLECITAZ NASCOSTO'!$P$7),'SOLLECITAZ NASCOSTO'!$P$8),'SOLLECITAZ NASCOSTO'!$P$9),'SOLLECITAZ NASCOSTO'!$P$10),'SOLLECITAZ NASCOSTO'!$P$11),'SOLLECITAZ NASCOSTO'!$P$12))/IF(C342&lt;='SOLLECITAZ NASCOSTO'!$P$12,IF(C342&lt;='SOLLECITAZ NASCOSTO'!$P$11,IF(C342&lt;='SOLLECITAZ NASCOSTO'!$P$10,IF(C342&lt;='SOLLECITAZ NASCOSTO'!$P$9,IF(C342&lt;='SOLLECITAZ NASCOSTO'!$P$8,IF(C342&lt;='SOLLECITAZ NASCOSTO'!$P$7,IF(C342&lt;='SOLLECITAZ NASCOSTO'!$P$6,IF(C342&lt;='SOLLECITAZ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slu'!$C$112)+IF(C342&lt;='SOLLECITAZ NASCOSTO'!$P$12,IF(C342&lt;='SOLLECITAZ NASCOSTO'!$P$11,IF(C342&lt;='SOLLECITAZ NASCOSTO'!$P$10,IF(C342&lt;='SOLLECITAZ NASCOSTO'!$P$9,IF(C342&lt;='SOLLECITAZ NASCOSTO'!$P$8,IF(C342&lt;='SOLLECITAZ NASCOSTO'!$P$7,IF(C342&lt;='SOLLECITAZ NASCOSTO'!$P$6,IF(C342&lt;='SOLLECITAZ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19.065070109216922</v>
      </c>
      <c r="O343" s="42">
        <f>IF(C343&lt;='SOLLECITAZ NASCOSTO'!$P$12,IF(C343&lt;='SOLLECITAZ NASCOSTO'!$P$11,IF(C343&lt;='SOLLECITAZ NASCOSTO'!$P$10,IF(C343&lt;='SOLLECITAZ NASCOSTO'!$P$9,IF(C343&lt;='SOLLECITAZ NASCOSTO'!$P$8,IF(C343&lt;='SOLLECITAZ NASCOSTO'!$P$7,IF(C343&lt;='SOLLECITAZ NASCOSTO'!$P$6,IF(C343&lt;='SOLLECITAZ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slu'!$G$111),55555)*(C343-C342)/IF(C343&lt;='SOLLECITAZ NASCOSTO'!$P$12,IF(C343&lt;='SOLLECITAZ NASCOSTO'!$P$11,IF(C343&lt;='SOLLECITAZ NASCOSTO'!$P$10,IF(C343&lt;='SOLLECITAZ NASCOSTO'!$P$9,IF(C343&lt;='SOLLECITAZ NASCOSTO'!$P$8,IF(C343&lt;='SOLLECITAZ NASCOSTO'!$P$7,IF(C343&lt;='SOLLECITAZ NASCOSTO'!$P$6,IF(C343&lt;='SOLLECITAZ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43" s="42">
        <f t="shared" si="93"/>
        <v>3.1000000000000103E-4</v>
      </c>
      <c r="Q343" s="42">
        <f t="shared" si="91"/>
        <v>1</v>
      </c>
      <c r="R343" s="441">
        <f t="shared" si="85"/>
        <v>2.1306490384615384</v>
      </c>
      <c r="S343" s="46">
        <f t="shared" si="92"/>
        <v>2.1306490384615384</v>
      </c>
      <c r="T343" s="211">
        <f t="shared" si="88"/>
        <v>1.2193509615384617</v>
      </c>
      <c r="U343" s="46">
        <f t="shared" si="89"/>
        <v>24.776555481625579</v>
      </c>
      <c r="V343" s="46">
        <f t="shared" si="90"/>
        <v>-20.732230980865399</v>
      </c>
      <c r="W343" s="496"/>
    </row>
    <row r="344" spans="1:23" x14ac:dyDescent="0.25">
      <c r="A344" s="589">
        <f t="shared" si="86"/>
        <v>7.4999999998270894E-6</v>
      </c>
      <c r="B344" s="32">
        <f t="shared" si="99"/>
        <v>312</v>
      </c>
      <c r="C344" s="441">
        <f>'SOLLECITAZ NASCOSTO'!$D$6/'SOLLECITAZ NASCOSTO'!$B$448*'SOLLECITAZ NASCOSTO'!B344</f>
        <v>2.1375000000000002</v>
      </c>
      <c r="D344" s="132">
        <f t="shared" si="87"/>
        <v>0.30000749999999982</v>
      </c>
      <c r="E344" s="132">
        <f t="shared" si="81"/>
        <v>7.4999999998270894E-6</v>
      </c>
      <c r="F344" s="132">
        <f t="shared" si="82"/>
        <v>0.30000749999999982</v>
      </c>
      <c r="G344" s="132">
        <f t="shared" si="83"/>
        <v>4.5002250028124947E-2</v>
      </c>
      <c r="H344" s="132">
        <f t="shared" si="100"/>
        <v>0</v>
      </c>
      <c r="I344" s="132">
        <v>0</v>
      </c>
      <c r="J344" s="131">
        <f t="shared" si="101"/>
        <v>0.15000374999999991</v>
      </c>
      <c r="K344" s="130">
        <f t="shared" si="84"/>
        <v>2.2501687542187811E-3</v>
      </c>
      <c r="L344" s="42">
        <f t="shared" si="20"/>
        <v>24.907664171643518</v>
      </c>
      <c r="M344" s="42">
        <f t="shared" si="15"/>
        <v>-20.902423319821917</v>
      </c>
      <c r="N344" s="42">
        <f>(IF(C343&lt;='SOLLECITAZ NASCOSTO'!$P$12,IF(C343&lt;='SOLLECITAZ NASCOSTO'!$P$11,IF(C343&lt;='SOLLECITAZ NASCOSTO'!$P$10,IF(C343&lt;='SOLLECITAZ NASCOSTO'!$P$9,IF(C343&lt;='SOLLECITAZ NASCOSTO'!$P$8,IF(C343&lt;='SOLLECITAZ NASCOSTO'!$P$7,IF(C343&lt;='SOLLECITAZ NASCOSTO'!$P$6,IF(C343&lt;='SOLLECITAZ NASCOSTO'!$P$5,'Progetto del paramento slu'!$G$105,'Progetto del paramento slu'!$G$106),'Progetto del paramento slu'!$G$107),'Progetto del paramento slu'!$G$108),'Progetto del paramento slu'!$G$109),'Progetto del paramento slu'!$G$110),'Progetto del paramento slu'!$G$111),'Progetto del paramento slu'!$G$112),55555)-IF(C343&lt;='SOLLECITAZ NASCOSTO'!$P$12,IF(C343&lt;='SOLLECITAZ NASCOSTO'!$P$11,IF(C343&lt;='SOLLECITAZ NASCOSTO'!$P$10,IF(C343&lt;='SOLLECITAZ NASCOSTO'!$P$9,IF(C343&lt;='SOLLECITAZ NASCOSTO'!$P$8,IF(C343&lt;='SOLLECITAZ NASCOSTO'!$P$7,IF(C343&lt;='SOLLECITAZ NASCOSTO'!$P$6,IF(C343&lt;='SOLLECITAZ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slu'!$G$112))*(C343-IF(C343&lt;='SOLLECITAZ NASCOSTO'!$P$12,IF(C343&lt;='SOLLECITAZ NASCOSTO'!$P$11,IF(C343&lt;='SOLLECITAZ NASCOSTO'!$P$10,IF(C343&lt;='SOLLECITAZ NASCOSTO'!$P$9,IF(C343&lt;='SOLLECITAZ NASCOSTO'!$P$8,IF(C343&lt;='SOLLECITAZ NASCOSTO'!$P$7,IF(C343&lt;='SOLLECITAZ NASCOSTO'!$P$6,IF(C343&lt;='SOLLECITAZ NASCOSTO'!$P$5,'SOLLECITAZ NASCOSTO'!$P$3,'SOLLECITAZ NASCOSTO'!$P$5),'SOLLECITAZ NASCOSTO'!$P$5),'SOLLECITAZ NASCOSTO'!$P$7),'SOLLECITAZ NASCOSTO'!$P$8),'SOLLECITAZ NASCOSTO'!$P$9),'SOLLECITAZ NASCOSTO'!$P$10),'SOLLECITAZ NASCOSTO'!$P$11),'SOLLECITAZ NASCOSTO'!$P$12))/IF(C343&lt;='SOLLECITAZ NASCOSTO'!$P$12,IF(C343&lt;='SOLLECITAZ NASCOSTO'!$P$11,IF(C343&lt;='SOLLECITAZ NASCOSTO'!$P$10,IF(C343&lt;='SOLLECITAZ NASCOSTO'!$P$9,IF(C343&lt;='SOLLECITAZ NASCOSTO'!$P$8,IF(C343&lt;='SOLLECITAZ NASCOSTO'!$P$7,IF(C343&lt;='SOLLECITAZ NASCOSTO'!$P$6,IF(C343&lt;='SOLLECITAZ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slu'!$C$112)+IF(C343&lt;='SOLLECITAZ NASCOSTO'!$P$12,IF(C343&lt;='SOLLECITAZ NASCOSTO'!$P$11,IF(C343&lt;='SOLLECITAZ NASCOSTO'!$P$10,IF(C343&lt;='SOLLECITAZ NASCOSTO'!$P$9,IF(C343&lt;='SOLLECITAZ NASCOSTO'!$P$8,IF(C343&lt;='SOLLECITAZ NASCOSTO'!$P$7,IF(C343&lt;='SOLLECITAZ NASCOSTO'!$P$6,IF(C343&lt;='SOLLECITAZ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19.113202328209272</v>
      </c>
      <c r="O344" s="42">
        <f>IF(C344&lt;='SOLLECITAZ NASCOSTO'!$P$12,IF(C344&lt;='SOLLECITAZ NASCOSTO'!$P$11,IF(C344&lt;='SOLLECITAZ NASCOSTO'!$P$10,IF(C344&lt;='SOLLECITAZ NASCOSTO'!$P$9,IF(C344&lt;='SOLLECITAZ NASCOSTO'!$P$8,IF(C344&lt;='SOLLECITAZ NASCOSTO'!$P$7,IF(C344&lt;='SOLLECITAZ NASCOSTO'!$P$6,IF(C344&lt;='SOLLECITAZ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slu'!$G$111),55555)*(C344-C343)/IF(C344&lt;='SOLLECITAZ NASCOSTO'!$P$12,IF(C344&lt;='SOLLECITAZ NASCOSTO'!$P$11,IF(C344&lt;='SOLLECITAZ NASCOSTO'!$P$10,IF(C344&lt;='SOLLECITAZ NASCOSTO'!$P$9,IF(C344&lt;='SOLLECITAZ NASCOSTO'!$P$8,IF(C344&lt;='SOLLECITAZ NASCOSTO'!$P$7,IF(C344&lt;='SOLLECITAZ NASCOSTO'!$P$6,IF(C344&lt;='SOLLECITAZ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44" s="42">
        <f t="shared" si="93"/>
        <v>3.1100000000000105E-4</v>
      </c>
      <c r="Q344" s="42">
        <f t="shared" si="91"/>
        <v>1</v>
      </c>
      <c r="R344" s="441">
        <f t="shared" si="85"/>
        <v>2.1375000000000002</v>
      </c>
      <c r="S344" s="46">
        <f t="shared" si="92"/>
        <v>2.1375000000000002</v>
      </c>
      <c r="T344" s="211">
        <f t="shared" si="88"/>
        <v>1.2124999999999999</v>
      </c>
      <c r="U344" s="46">
        <f t="shared" si="89"/>
        <v>24.907664171643518</v>
      </c>
      <c r="V344" s="46">
        <f t="shared" si="90"/>
        <v>-20.902423319821917</v>
      </c>
      <c r="W344" s="496"/>
    </row>
    <row r="345" spans="1:23" x14ac:dyDescent="0.25">
      <c r="A345" s="589">
        <f t="shared" si="86"/>
        <v>7.5240384613817213E-6</v>
      </c>
      <c r="B345" s="32">
        <f t="shared" si="99"/>
        <v>313</v>
      </c>
      <c r="C345" s="441">
        <f>'SOLLECITAZ NASCOSTO'!$D$6/'SOLLECITAZ NASCOSTO'!$B$448*'SOLLECITAZ NASCOSTO'!B345</f>
        <v>2.1443509615384615</v>
      </c>
      <c r="D345" s="132">
        <f t="shared" si="87"/>
        <v>0.30000752403846137</v>
      </c>
      <c r="E345" s="132">
        <f t="shared" si="81"/>
        <v>7.5240384613817213E-6</v>
      </c>
      <c r="F345" s="132">
        <f t="shared" si="82"/>
        <v>0.30000752403846137</v>
      </c>
      <c r="G345" s="132">
        <f t="shared" si="83"/>
        <v>4.5002257239843989E-2</v>
      </c>
      <c r="H345" s="132">
        <f t="shared" si="100"/>
        <v>0</v>
      </c>
      <c r="I345" s="132">
        <v>0</v>
      </c>
      <c r="J345" s="131">
        <f t="shared" si="101"/>
        <v>0.15000376201923069</v>
      </c>
      <c r="K345" s="130">
        <f t="shared" si="84"/>
        <v>2.2501692951112529E-3</v>
      </c>
      <c r="L345" s="42">
        <f t="shared" si="20"/>
        <v>25.039102613642523</v>
      </c>
      <c r="M345" s="42">
        <f t="shared" si="15"/>
        <v>-21.073515008930162</v>
      </c>
      <c r="N345" s="42">
        <f>(IF(C344&lt;='SOLLECITAZ NASCOSTO'!$P$12,IF(C344&lt;='SOLLECITAZ NASCOSTO'!$P$11,IF(C344&lt;='SOLLECITAZ NASCOSTO'!$P$10,IF(C344&lt;='SOLLECITAZ NASCOSTO'!$P$9,IF(C344&lt;='SOLLECITAZ NASCOSTO'!$P$8,IF(C344&lt;='SOLLECITAZ NASCOSTO'!$P$7,IF(C344&lt;='SOLLECITAZ NASCOSTO'!$P$6,IF(C344&lt;='SOLLECITAZ NASCOSTO'!$P$5,'Progetto del paramento slu'!$G$105,'Progetto del paramento slu'!$G$106),'Progetto del paramento slu'!$G$107),'Progetto del paramento slu'!$G$108),'Progetto del paramento slu'!$G$109),'Progetto del paramento slu'!$G$110),'Progetto del paramento slu'!$G$111),'Progetto del paramento slu'!$G$112),55555)-IF(C344&lt;='SOLLECITAZ NASCOSTO'!$P$12,IF(C344&lt;='SOLLECITAZ NASCOSTO'!$P$11,IF(C344&lt;='SOLLECITAZ NASCOSTO'!$P$10,IF(C344&lt;='SOLLECITAZ NASCOSTO'!$P$9,IF(C344&lt;='SOLLECITAZ NASCOSTO'!$P$8,IF(C344&lt;='SOLLECITAZ NASCOSTO'!$P$7,IF(C344&lt;='SOLLECITAZ NASCOSTO'!$P$6,IF(C344&lt;='SOLLECITAZ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slu'!$G$112))*(C344-IF(C344&lt;='SOLLECITAZ NASCOSTO'!$P$12,IF(C344&lt;='SOLLECITAZ NASCOSTO'!$P$11,IF(C344&lt;='SOLLECITAZ NASCOSTO'!$P$10,IF(C344&lt;='SOLLECITAZ NASCOSTO'!$P$9,IF(C344&lt;='SOLLECITAZ NASCOSTO'!$P$8,IF(C344&lt;='SOLLECITAZ NASCOSTO'!$P$7,IF(C344&lt;='SOLLECITAZ NASCOSTO'!$P$6,IF(C344&lt;='SOLLECITAZ NASCOSTO'!$P$5,'SOLLECITAZ NASCOSTO'!$P$3,'SOLLECITAZ NASCOSTO'!$P$5),'SOLLECITAZ NASCOSTO'!$P$5),'SOLLECITAZ NASCOSTO'!$P$7),'SOLLECITAZ NASCOSTO'!$P$8),'SOLLECITAZ NASCOSTO'!$P$9),'SOLLECITAZ NASCOSTO'!$P$10),'SOLLECITAZ NASCOSTO'!$P$11),'SOLLECITAZ NASCOSTO'!$P$12))/IF(C344&lt;='SOLLECITAZ NASCOSTO'!$P$12,IF(C344&lt;='SOLLECITAZ NASCOSTO'!$P$11,IF(C344&lt;='SOLLECITAZ NASCOSTO'!$P$10,IF(C344&lt;='SOLLECITAZ NASCOSTO'!$P$9,IF(C344&lt;='SOLLECITAZ NASCOSTO'!$P$8,IF(C344&lt;='SOLLECITAZ NASCOSTO'!$P$7,IF(C344&lt;='SOLLECITAZ NASCOSTO'!$P$6,IF(C344&lt;='SOLLECITAZ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slu'!$C$112)+IF(C344&lt;='SOLLECITAZ NASCOSTO'!$P$12,IF(C344&lt;='SOLLECITAZ NASCOSTO'!$P$11,IF(C344&lt;='SOLLECITAZ NASCOSTO'!$P$10,IF(C344&lt;='SOLLECITAZ NASCOSTO'!$P$9,IF(C344&lt;='SOLLECITAZ NASCOSTO'!$P$8,IF(C344&lt;='SOLLECITAZ NASCOSTO'!$P$7,IF(C344&lt;='SOLLECITAZ NASCOSTO'!$P$6,IF(C344&lt;='SOLLECITAZ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19.161334547201626</v>
      </c>
      <c r="O345" s="42">
        <f>IF(C345&lt;='SOLLECITAZ NASCOSTO'!$P$12,IF(C345&lt;='SOLLECITAZ NASCOSTO'!$P$11,IF(C345&lt;='SOLLECITAZ NASCOSTO'!$P$10,IF(C345&lt;='SOLLECITAZ NASCOSTO'!$P$9,IF(C345&lt;='SOLLECITAZ NASCOSTO'!$P$8,IF(C345&lt;='SOLLECITAZ NASCOSTO'!$P$7,IF(C345&lt;='SOLLECITAZ NASCOSTO'!$P$6,IF(C345&lt;='SOLLECITAZ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slu'!$G$111),55555)*(C345-C344)/IF(C345&lt;='SOLLECITAZ NASCOSTO'!$P$12,IF(C345&lt;='SOLLECITAZ NASCOSTO'!$P$11,IF(C345&lt;='SOLLECITAZ NASCOSTO'!$P$10,IF(C345&lt;='SOLLECITAZ NASCOSTO'!$P$9,IF(C345&lt;='SOLLECITAZ NASCOSTO'!$P$8,IF(C345&lt;='SOLLECITAZ NASCOSTO'!$P$7,IF(C345&lt;='SOLLECITAZ NASCOSTO'!$P$6,IF(C345&lt;='SOLLECITAZ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45" s="42">
        <f t="shared" si="93"/>
        <v>3.1200000000000108E-4</v>
      </c>
      <c r="Q345" s="42">
        <f t="shared" si="91"/>
        <v>1</v>
      </c>
      <c r="R345" s="441">
        <f t="shared" si="85"/>
        <v>2.1443509615384615</v>
      </c>
      <c r="S345" s="46">
        <f t="shared" si="92"/>
        <v>2.1443509615384615</v>
      </c>
      <c r="T345" s="211">
        <f t="shared" si="88"/>
        <v>1.2056490384615386</v>
      </c>
      <c r="U345" s="46">
        <f t="shared" si="89"/>
        <v>25.039102613642523</v>
      </c>
      <c r="V345" s="46">
        <f t="shared" si="90"/>
        <v>-21.073515008930162</v>
      </c>
      <c r="W345" s="496"/>
    </row>
    <row r="346" spans="1:23" x14ac:dyDescent="0.25">
      <c r="A346" s="589">
        <f t="shared" si="86"/>
        <v>7.5480769229363531E-6</v>
      </c>
      <c r="B346" s="32">
        <f t="shared" si="99"/>
        <v>314</v>
      </c>
      <c r="C346" s="441">
        <f>'SOLLECITAZ NASCOSTO'!$D$6/'SOLLECITAZ NASCOSTO'!$B$448*'SOLLECITAZ NASCOSTO'!B346</f>
        <v>2.1512019230769233</v>
      </c>
      <c r="D346" s="132">
        <f t="shared" si="87"/>
        <v>0.30000754807692293</v>
      </c>
      <c r="E346" s="132">
        <f t="shared" si="81"/>
        <v>7.5480769229363531E-6</v>
      </c>
      <c r="F346" s="132">
        <f t="shared" si="82"/>
        <v>0.30000754807692293</v>
      </c>
      <c r="G346" s="132">
        <f t="shared" si="83"/>
        <v>4.5002264451563613E-2</v>
      </c>
      <c r="H346" s="132">
        <f t="shared" si="100"/>
        <v>0</v>
      </c>
      <c r="I346" s="132">
        <v>0</v>
      </c>
      <c r="J346" s="131">
        <f t="shared" si="101"/>
        <v>0.15000377403846146</v>
      </c>
      <c r="K346" s="130">
        <f t="shared" si="84"/>
        <v>2.2501698360038115E-3</v>
      </c>
      <c r="L346" s="42">
        <f t="shared" si="20"/>
        <v>25.170870807622617</v>
      </c>
      <c r="M346" s="42">
        <f t="shared" si="15"/>
        <v>-21.245508307308299</v>
      </c>
      <c r="N346" s="42">
        <f>(IF(C345&lt;='SOLLECITAZ NASCOSTO'!$P$12,IF(C345&lt;='SOLLECITAZ NASCOSTO'!$P$11,IF(C345&lt;='SOLLECITAZ NASCOSTO'!$P$10,IF(C345&lt;='SOLLECITAZ NASCOSTO'!$P$9,IF(C345&lt;='SOLLECITAZ NASCOSTO'!$P$8,IF(C345&lt;='SOLLECITAZ NASCOSTO'!$P$7,IF(C345&lt;='SOLLECITAZ NASCOSTO'!$P$6,IF(C345&lt;='SOLLECITAZ NASCOSTO'!$P$5,'Progetto del paramento slu'!$G$105,'Progetto del paramento slu'!$G$106),'Progetto del paramento slu'!$G$107),'Progetto del paramento slu'!$G$108),'Progetto del paramento slu'!$G$109),'Progetto del paramento slu'!$G$110),'Progetto del paramento slu'!$G$111),'Progetto del paramento slu'!$G$112),55555)-IF(C345&lt;='SOLLECITAZ NASCOSTO'!$P$12,IF(C345&lt;='SOLLECITAZ NASCOSTO'!$P$11,IF(C345&lt;='SOLLECITAZ NASCOSTO'!$P$10,IF(C345&lt;='SOLLECITAZ NASCOSTO'!$P$9,IF(C345&lt;='SOLLECITAZ NASCOSTO'!$P$8,IF(C345&lt;='SOLLECITAZ NASCOSTO'!$P$7,IF(C345&lt;='SOLLECITAZ NASCOSTO'!$P$6,IF(C345&lt;='SOLLECITAZ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slu'!$G$112))*(C345-IF(C345&lt;='SOLLECITAZ NASCOSTO'!$P$12,IF(C345&lt;='SOLLECITAZ NASCOSTO'!$P$11,IF(C345&lt;='SOLLECITAZ NASCOSTO'!$P$10,IF(C345&lt;='SOLLECITAZ NASCOSTO'!$P$9,IF(C345&lt;='SOLLECITAZ NASCOSTO'!$P$8,IF(C345&lt;='SOLLECITAZ NASCOSTO'!$P$7,IF(C345&lt;='SOLLECITAZ NASCOSTO'!$P$6,IF(C345&lt;='SOLLECITAZ NASCOSTO'!$P$5,'SOLLECITAZ NASCOSTO'!$P$3,'SOLLECITAZ NASCOSTO'!$P$5),'SOLLECITAZ NASCOSTO'!$P$5),'SOLLECITAZ NASCOSTO'!$P$7),'SOLLECITAZ NASCOSTO'!$P$8),'SOLLECITAZ NASCOSTO'!$P$9),'SOLLECITAZ NASCOSTO'!$P$10),'SOLLECITAZ NASCOSTO'!$P$11),'SOLLECITAZ NASCOSTO'!$P$12))/IF(C345&lt;='SOLLECITAZ NASCOSTO'!$P$12,IF(C345&lt;='SOLLECITAZ NASCOSTO'!$P$11,IF(C345&lt;='SOLLECITAZ NASCOSTO'!$P$10,IF(C345&lt;='SOLLECITAZ NASCOSTO'!$P$9,IF(C345&lt;='SOLLECITAZ NASCOSTO'!$P$8,IF(C345&lt;='SOLLECITAZ NASCOSTO'!$P$7,IF(C345&lt;='SOLLECITAZ NASCOSTO'!$P$6,IF(C345&lt;='SOLLECITAZ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slu'!$C$112)+IF(C345&lt;='SOLLECITAZ NASCOSTO'!$P$12,IF(C345&lt;='SOLLECITAZ NASCOSTO'!$P$11,IF(C345&lt;='SOLLECITAZ NASCOSTO'!$P$10,IF(C345&lt;='SOLLECITAZ NASCOSTO'!$P$9,IF(C345&lt;='SOLLECITAZ NASCOSTO'!$P$8,IF(C345&lt;='SOLLECITAZ NASCOSTO'!$P$7,IF(C345&lt;='SOLLECITAZ NASCOSTO'!$P$6,IF(C345&lt;='SOLLECITAZ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19.209466766193977</v>
      </c>
      <c r="O346" s="42">
        <f>IF(C346&lt;='SOLLECITAZ NASCOSTO'!$P$12,IF(C346&lt;='SOLLECITAZ NASCOSTO'!$P$11,IF(C346&lt;='SOLLECITAZ NASCOSTO'!$P$10,IF(C346&lt;='SOLLECITAZ NASCOSTO'!$P$9,IF(C346&lt;='SOLLECITAZ NASCOSTO'!$P$8,IF(C346&lt;='SOLLECITAZ NASCOSTO'!$P$7,IF(C346&lt;='SOLLECITAZ NASCOSTO'!$P$6,IF(C346&lt;='SOLLECITAZ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slu'!$G$111),55555)*(C346-C345)/IF(C346&lt;='SOLLECITAZ NASCOSTO'!$P$12,IF(C346&lt;='SOLLECITAZ NASCOSTO'!$P$11,IF(C346&lt;='SOLLECITAZ NASCOSTO'!$P$10,IF(C346&lt;='SOLLECITAZ NASCOSTO'!$P$9,IF(C346&lt;='SOLLECITAZ NASCOSTO'!$P$8,IF(C346&lt;='SOLLECITAZ NASCOSTO'!$P$7,IF(C346&lt;='SOLLECITAZ NASCOSTO'!$P$6,IF(C346&lt;='SOLLECITAZ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46" s="42">
        <f t="shared" si="93"/>
        <v>3.130000000000011E-4</v>
      </c>
      <c r="Q346" s="42">
        <f t="shared" si="91"/>
        <v>1</v>
      </c>
      <c r="R346" s="441">
        <f t="shared" si="85"/>
        <v>2.1512019230769233</v>
      </c>
      <c r="S346" s="46">
        <f t="shared" si="92"/>
        <v>2.1512019230769233</v>
      </c>
      <c r="T346" s="211">
        <f t="shared" si="88"/>
        <v>1.1987980769230768</v>
      </c>
      <c r="U346" s="46">
        <f t="shared" si="89"/>
        <v>25.170870807622617</v>
      </c>
      <c r="V346" s="46">
        <f t="shared" si="90"/>
        <v>-21.245508307308299</v>
      </c>
      <c r="W346" s="496"/>
    </row>
    <row r="347" spans="1:23" x14ac:dyDescent="0.25">
      <c r="A347" s="589">
        <f t="shared" si="86"/>
        <v>7.5721153844354738E-6</v>
      </c>
      <c r="B347" s="32">
        <f t="shared" si="99"/>
        <v>315</v>
      </c>
      <c r="C347" s="441">
        <f>'SOLLECITAZ NASCOSTO'!$D$6/'SOLLECITAZ NASCOSTO'!$B$448*'SOLLECITAZ NASCOSTO'!B347</f>
        <v>2.1580528846153846</v>
      </c>
      <c r="D347" s="132">
        <f t="shared" si="87"/>
        <v>0.30000757211538442</v>
      </c>
      <c r="E347" s="132">
        <f t="shared" si="81"/>
        <v>7.5721153844354738E-6</v>
      </c>
      <c r="F347" s="132">
        <f t="shared" si="82"/>
        <v>0.30000757211538442</v>
      </c>
      <c r="G347" s="132">
        <f t="shared" si="83"/>
        <v>4.5002271663283792E-2</v>
      </c>
      <c r="H347" s="132">
        <f t="shared" si="100"/>
        <v>0</v>
      </c>
      <c r="I347" s="132">
        <v>0</v>
      </c>
      <c r="J347" s="131">
        <f t="shared" si="101"/>
        <v>0.15000378605769221</v>
      </c>
      <c r="K347" s="130">
        <f t="shared" si="84"/>
        <v>2.2501703768964556E-3</v>
      </c>
      <c r="L347" s="42">
        <f t="shared" si="20"/>
        <v>25.30296875358378</v>
      </c>
      <c r="M347" s="42">
        <f t="shared" si="15"/>
        <v>-21.418405474074444</v>
      </c>
      <c r="N347" s="42">
        <f>(IF(C346&lt;='SOLLECITAZ NASCOSTO'!$P$12,IF(C346&lt;='SOLLECITAZ NASCOSTO'!$P$11,IF(C346&lt;='SOLLECITAZ NASCOSTO'!$P$10,IF(C346&lt;='SOLLECITAZ NASCOSTO'!$P$9,IF(C346&lt;='SOLLECITAZ NASCOSTO'!$P$8,IF(C346&lt;='SOLLECITAZ NASCOSTO'!$P$7,IF(C346&lt;='SOLLECITAZ NASCOSTO'!$P$6,IF(C346&lt;='SOLLECITAZ NASCOSTO'!$P$5,'Progetto del paramento slu'!$G$105,'Progetto del paramento slu'!$G$106),'Progetto del paramento slu'!$G$107),'Progetto del paramento slu'!$G$108),'Progetto del paramento slu'!$G$109),'Progetto del paramento slu'!$G$110),'Progetto del paramento slu'!$G$111),'Progetto del paramento slu'!$G$112),55555)-IF(C346&lt;='SOLLECITAZ NASCOSTO'!$P$12,IF(C346&lt;='SOLLECITAZ NASCOSTO'!$P$11,IF(C346&lt;='SOLLECITAZ NASCOSTO'!$P$10,IF(C346&lt;='SOLLECITAZ NASCOSTO'!$P$9,IF(C346&lt;='SOLLECITAZ NASCOSTO'!$P$8,IF(C346&lt;='SOLLECITAZ NASCOSTO'!$P$7,IF(C346&lt;='SOLLECITAZ NASCOSTO'!$P$6,IF(C346&lt;='SOLLECITAZ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slu'!$G$112))*(C346-IF(C346&lt;='SOLLECITAZ NASCOSTO'!$P$12,IF(C346&lt;='SOLLECITAZ NASCOSTO'!$P$11,IF(C346&lt;='SOLLECITAZ NASCOSTO'!$P$10,IF(C346&lt;='SOLLECITAZ NASCOSTO'!$P$9,IF(C346&lt;='SOLLECITAZ NASCOSTO'!$P$8,IF(C346&lt;='SOLLECITAZ NASCOSTO'!$P$7,IF(C346&lt;='SOLLECITAZ NASCOSTO'!$P$6,IF(C346&lt;='SOLLECITAZ NASCOSTO'!$P$5,'SOLLECITAZ NASCOSTO'!$P$3,'SOLLECITAZ NASCOSTO'!$P$5),'SOLLECITAZ NASCOSTO'!$P$5),'SOLLECITAZ NASCOSTO'!$P$7),'SOLLECITAZ NASCOSTO'!$P$8),'SOLLECITAZ NASCOSTO'!$P$9),'SOLLECITAZ NASCOSTO'!$P$10),'SOLLECITAZ NASCOSTO'!$P$11),'SOLLECITAZ NASCOSTO'!$P$12))/IF(C346&lt;='SOLLECITAZ NASCOSTO'!$P$12,IF(C346&lt;='SOLLECITAZ NASCOSTO'!$P$11,IF(C346&lt;='SOLLECITAZ NASCOSTO'!$P$10,IF(C346&lt;='SOLLECITAZ NASCOSTO'!$P$9,IF(C346&lt;='SOLLECITAZ NASCOSTO'!$P$8,IF(C346&lt;='SOLLECITAZ NASCOSTO'!$P$7,IF(C346&lt;='SOLLECITAZ NASCOSTO'!$P$6,IF(C346&lt;='SOLLECITAZ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slu'!$C$112)+IF(C346&lt;='SOLLECITAZ NASCOSTO'!$P$12,IF(C346&lt;='SOLLECITAZ NASCOSTO'!$P$11,IF(C346&lt;='SOLLECITAZ NASCOSTO'!$P$10,IF(C346&lt;='SOLLECITAZ NASCOSTO'!$P$9,IF(C346&lt;='SOLLECITAZ NASCOSTO'!$P$8,IF(C346&lt;='SOLLECITAZ NASCOSTO'!$P$7,IF(C346&lt;='SOLLECITAZ NASCOSTO'!$P$6,IF(C346&lt;='SOLLECITAZ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19.257598985186331</v>
      </c>
      <c r="O347" s="42">
        <f>IF(C347&lt;='SOLLECITAZ NASCOSTO'!$P$12,IF(C347&lt;='SOLLECITAZ NASCOSTO'!$P$11,IF(C347&lt;='SOLLECITAZ NASCOSTO'!$P$10,IF(C347&lt;='SOLLECITAZ NASCOSTO'!$P$9,IF(C347&lt;='SOLLECITAZ NASCOSTO'!$P$8,IF(C347&lt;='SOLLECITAZ NASCOSTO'!$P$7,IF(C347&lt;='SOLLECITAZ NASCOSTO'!$P$6,IF(C347&lt;='SOLLECITAZ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slu'!$G$111),55555)*(C347-C346)/IF(C347&lt;='SOLLECITAZ NASCOSTO'!$P$12,IF(C347&lt;='SOLLECITAZ NASCOSTO'!$P$11,IF(C347&lt;='SOLLECITAZ NASCOSTO'!$P$10,IF(C347&lt;='SOLLECITAZ NASCOSTO'!$P$9,IF(C347&lt;='SOLLECITAZ NASCOSTO'!$P$8,IF(C347&lt;='SOLLECITAZ NASCOSTO'!$P$7,IF(C347&lt;='SOLLECITAZ NASCOSTO'!$P$6,IF(C347&lt;='SOLLECITAZ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47" s="42">
        <f t="shared" si="93"/>
        <v>3.1400000000000113E-4</v>
      </c>
      <c r="Q347" s="42">
        <f t="shared" si="91"/>
        <v>1</v>
      </c>
      <c r="R347" s="441">
        <f t="shared" si="85"/>
        <v>2.1580528846153846</v>
      </c>
      <c r="S347" s="46">
        <f t="shared" si="92"/>
        <v>2.1580528846153846</v>
      </c>
      <c r="T347" s="211">
        <f t="shared" si="88"/>
        <v>1.1919471153846155</v>
      </c>
      <c r="U347" s="46">
        <f t="shared" si="89"/>
        <v>25.30296875358378</v>
      </c>
      <c r="V347" s="46">
        <f t="shared" si="90"/>
        <v>-21.418405474074444</v>
      </c>
      <c r="W347" s="496"/>
    </row>
    <row r="348" spans="1:23" x14ac:dyDescent="0.25">
      <c r="A348" s="589">
        <f t="shared" si="86"/>
        <v>7.5961538459901057E-6</v>
      </c>
      <c r="B348" s="32">
        <f t="shared" si="99"/>
        <v>316</v>
      </c>
      <c r="C348" s="441">
        <f>'SOLLECITAZ NASCOSTO'!$D$6/'SOLLECITAZ NASCOSTO'!$B$448*'SOLLECITAZ NASCOSTO'!B348</f>
        <v>2.1649038461538463</v>
      </c>
      <c r="D348" s="132">
        <f t="shared" si="87"/>
        <v>0.30000759615384598</v>
      </c>
      <c r="E348" s="132">
        <f t="shared" si="81"/>
        <v>7.5961538459901057E-6</v>
      </c>
      <c r="F348" s="132">
        <f t="shared" si="82"/>
        <v>0.30000759615384598</v>
      </c>
      <c r="G348" s="132">
        <f t="shared" si="83"/>
        <v>4.5002278875004569E-2</v>
      </c>
      <c r="H348" s="132">
        <f t="shared" si="100"/>
        <v>0</v>
      </c>
      <c r="I348" s="132">
        <v>0</v>
      </c>
      <c r="J348" s="131">
        <f t="shared" si="101"/>
        <v>0.15000379807692299</v>
      </c>
      <c r="K348" s="130">
        <f t="shared" si="84"/>
        <v>2.2501709177891877E-3</v>
      </c>
      <c r="L348" s="42">
        <f t="shared" si="20"/>
        <v>25.435396451526028</v>
      </c>
      <c r="M348" s="42">
        <f t="shared" si="15"/>
        <v>-21.592208768346762</v>
      </c>
      <c r="N348" s="42">
        <f>(IF(C347&lt;='SOLLECITAZ NASCOSTO'!$P$12,IF(C347&lt;='SOLLECITAZ NASCOSTO'!$P$11,IF(C347&lt;='SOLLECITAZ NASCOSTO'!$P$10,IF(C347&lt;='SOLLECITAZ NASCOSTO'!$P$9,IF(C347&lt;='SOLLECITAZ NASCOSTO'!$P$8,IF(C347&lt;='SOLLECITAZ NASCOSTO'!$P$7,IF(C347&lt;='SOLLECITAZ NASCOSTO'!$P$6,IF(C347&lt;='SOLLECITAZ NASCOSTO'!$P$5,'Progetto del paramento slu'!$G$105,'Progetto del paramento slu'!$G$106),'Progetto del paramento slu'!$G$107),'Progetto del paramento slu'!$G$108),'Progetto del paramento slu'!$G$109),'Progetto del paramento slu'!$G$110),'Progetto del paramento slu'!$G$111),'Progetto del paramento slu'!$G$112),55555)-IF(C347&lt;='SOLLECITAZ NASCOSTO'!$P$12,IF(C347&lt;='SOLLECITAZ NASCOSTO'!$P$11,IF(C347&lt;='SOLLECITAZ NASCOSTO'!$P$10,IF(C347&lt;='SOLLECITAZ NASCOSTO'!$P$9,IF(C347&lt;='SOLLECITAZ NASCOSTO'!$P$8,IF(C347&lt;='SOLLECITAZ NASCOSTO'!$P$7,IF(C347&lt;='SOLLECITAZ NASCOSTO'!$P$6,IF(C347&lt;='SOLLECITAZ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slu'!$G$112))*(C347-IF(C347&lt;='SOLLECITAZ NASCOSTO'!$P$12,IF(C347&lt;='SOLLECITAZ NASCOSTO'!$P$11,IF(C347&lt;='SOLLECITAZ NASCOSTO'!$P$10,IF(C347&lt;='SOLLECITAZ NASCOSTO'!$P$9,IF(C347&lt;='SOLLECITAZ NASCOSTO'!$P$8,IF(C347&lt;='SOLLECITAZ NASCOSTO'!$P$7,IF(C347&lt;='SOLLECITAZ NASCOSTO'!$P$6,IF(C347&lt;='SOLLECITAZ NASCOSTO'!$P$5,'SOLLECITAZ NASCOSTO'!$P$3,'SOLLECITAZ NASCOSTO'!$P$5),'SOLLECITAZ NASCOSTO'!$P$5),'SOLLECITAZ NASCOSTO'!$P$7),'SOLLECITAZ NASCOSTO'!$P$8),'SOLLECITAZ NASCOSTO'!$P$9),'SOLLECITAZ NASCOSTO'!$P$10),'SOLLECITAZ NASCOSTO'!$P$11),'SOLLECITAZ NASCOSTO'!$P$12))/IF(C347&lt;='SOLLECITAZ NASCOSTO'!$P$12,IF(C347&lt;='SOLLECITAZ NASCOSTO'!$P$11,IF(C347&lt;='SOLLECITAZ NASCOSTO'!$P$10,IF(C347&lt;='SOLLECITAZ NASCOSTO'!$P$9,IF(C347&lt;='SOLLECITAZ NASCOSTO'!$P$8,IF(C347&lt;='SOLLECITAZ NASCOSTO'!$P$7,IF(C347&lt;='SOLLECITAZ NASCOSTO'!$P$6,IF(C347&lt;='SOLLECITAZ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slu'!$C$112)+IF(C347&lt;='SOLLECITAZ NASCOSTO'!$P$12,IF(C347&lt;='SOLLECITAZ NASCOSTO'!$P$11,IF(C347&lt;='SOLLECITAZ NASCOSTO'!$P$10,IF(C347&lt;='SOLLECITAZ NASCOSTO'!$P$9,IF(C347&lt;='SOLLECITAZ NASCOSTO'!$P$8,IF(C347&lt;='SOLLECITAZ NASCOSTO'!$P$7,IF(C347&lt;='SOLLECITAZ NASCOSTO'!$P$6,IF(C347&lt;='SOLLECITAZ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19.305731204178681</v>
      </c>
      <c r="O348" s="42">
        <f>IF(C348&lt;='SOLLECITAZ NASCOSTO'!$P$12,IF(C348&lt;='SOLLECITAZ NASCOSTO'!$P$11,IF(C348&lt;='SOLLECITAZ NASCOSTO'!$P$10,IF(C348&lt;='SOLLECITAZ NASCOSTO'!$P$9,IF(C348&lt;='SOLLECITAZ NASCOSTO'!$P$8,IF(C348&lt;='SOLLECITAZ NASCOSTO'!$P$7,IF(C348&lt;='SOLLECITAZ NASCOSTO'!$P$6,IF(C348&lt;='SOLLECITAZ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slu'!$G$111),55555)*(C348-C347)/IF(C348&lt;='SOLLECITAZ NASCOSTO'!$P$12,IF(C348&lt;='SOLLECITAZ NASCOSTO'!$P$11,IF(C348&lt;='SOLLECITAZ NASCOSTO'!$P$10,IF(C348&lt;='SOLLECITAZ NASCOSTO'!$P$9,IF(C348&lt;='SOLLECITAZ NASCOSTO'!$P$8,IF(C348&lt;='SOLLECITAZ NASCOSTO'!$P$7,IF(C348&lt;='SOLLECITAZ NASCOSTO'!$P$6,IF(C348&lt;='SOLLECITAZ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48" s="42">
        <f t="shared" si="93"/>
        <v>3.1500000000000115E-4</v>
      </c>
      <c r="Q348" s="42">
        <f t="shared" si="91"/>
        <v>1</v>
      </c>
      <c r="R348" s="441">
        <f t="shared" si="85"/>
        <v>2.1649038461538463</v>
      </c>
      <c r="S348" s="46">
        <f t="shared" si="92"/>
        <v>2.1649038461538463</v>
      </c>
      <c r="T348" s="211">
        <f t="shared" si="88"/>
        <v>1.1850961538461537</v>
      </c>
      <c r="U348" s="46">
        <f t="shared" si="89"/>
        <v>25.435396451526028</v>
      </c>
      <c r="V348" s="46">
        <f t="shared" si="90"/>
        <v>-21.592208768346762</v>
      </c>
      <c r="W348" s="496"/>
    </row>
    <row r="349" spans="1:23" s="428" customFormat="1" x14ac:dyDescent="0.25">
      <c r="A349" s="589">
        <f t="shared" si="86"/>
        <v>7.6201923075447375E-6</v>
      </c>
      <c r="B349" s="32">
        <f t="shared" si="99"/>
        <v>317</v>
      </c>
      <c r="C349" s="441">
        <f>'SOLLECITAZ NASCOSTO'!$D$6/'SOLLECITAZ NASCOSTO'!$B$448*'SOLLECITAZ NASCOSTO'!B349</f>
        <v>2.1717548076923077</v>
      </c>
      <c r="D349" s="132">
        <f t="shared" si="87"/>
        <v>0.30000762019230753</v>
      </c>
      <c r="E349" s="132">
        <f t="shared" si="81"/>
        <v>7.6201923075447375E-6</v>
      </c>
      <c r="F349" s="132">
        <f t="shared" si="82"/>
        <v>0.30000762019230753</v>
      </c>
      <c r="G349" s="132">
        <f t="shared" si="83"/>
        <v>4.5002286086725928E-2</v>
      </c>
      <c r="H349" s="132">
        <f t="shared" si="100"/>
        <v>0</v>
      </c>
      <c r="I349" s="132">
        <v>0</v>
      </c>
      <c r="J349" s="131">
        <f t="shared" si="101"/>
        <v>0.15000381009615377</v>
      </c>
      <c r="K349" s="130">
        <f t="shared" si="84"/>
        <v>2.2501714586820065E-3</v>
      </c>
      <c r="L349" s="42">
        <f t="shared" si="20"/>
        <v>25.568153901449346</v>
      </c>
      <c r="M349" s="42">
        <f t="shared" si="15"/>
        <v>-21.766920449243365</v>
      </c>
      <c r="N349" s="42">
        <f>(IF(C348&lt;='SOLLECITAZ NASCOSTO'!$P$12,IF(C348&lt;='SOLLECITAZ NASCOSTO'!$P$11,IF(C348&lt;='SOLLECITAZ NASCOSTO'!$P$10,IF(C348&lt;='SOLLECITAZ NASCOSTO'!$P$9,IF(C348&lt;='SOLLECITAZ NASCOSTO'!$P$8,IF(C348&lt;='SOLLECITAZ NASCOSTO'!$P$7,IF(C348&lt;='SOLLECITAZ NASCOSTO'!$P$6,IF(C348&lt;='SOLLECITAZ NASCOSTO'!$P$5,'Progetto del paramento slu'!$G$105,'Progetto del paramento slu'!$G$106),'Progetto del paramento slu'!$G$107),'Progetto del paramento slu'!$G$108),'Progetto del paramento slu'!$G$109),'Progetto del paramento slu'!$G$110),'Progetto del paramento slu'!$G$111),'Progetto del paramento slu'!$G$112),55555)-IF(C348&lt;='SOLLECITAZ NASCOSTO'!$P$12,IF(C348&lt;='SOLLECITAZ NASCOSTO'!$P$11,IF(C348&lt;='SOLLECITAZ NASCOSTO'!$P$10,IF(C348&lt;='SOLLECITAZ NASCOSTO'!$P$9,IF(C348&lt;='SOLLECITAZ NASCOSTO'!$P$8,IF(C348&lt;='SOLLECITAZ NASCOSTO'!$P$7,IF(C348&lt;='SOLLECITAZ NASCOSTO'!$P$6,IF(C348&lt;='SOLLECITAZ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slu'!$G$112))*(C348-IF(C348&lt;='SOLLECITAZ NASCOSTO'!$P$12,IF(C348&lt;='SOLLECITAZ NASCOSTO'!$P$11,IF(C348&lt;='SOLLECITAZ NASCOSTO'!$P$10,IF(C348&lt;='SOLLECITAZ NASCOSTO'!$P$9,IF(C348&lt;='SOLLECITAZ NASCOSTO'!$P$8,IF(C348&lt;='SOLLECITAZ NASCOSTO'!$P$7,IF(C348&lt;='SOLLECITAZ NASCOSTO'!$P$6,IF(C348&lt;='SOLLECITAZ NASCOSTO'!$P$5,'SOLLECITAZ NASCOSTO'!$P$3,'SOLLECITAZ NASCOSTO'!$P$5),'SOLLECITAZ NASCOSTO'!$P$5),'SOLLECITAZ NASCOSTO'!$P$7),'SOLLECITAZ NASCOSTO'!$P$8),'SOLLECITAZ NASCOSTO'!$P$9),'SOLLECITAZ NASCOSTO'!$P$10),'SOLLECITAZ NASCOSTO'!$P$11),'SOLLECITAZ NASCOSTO'!$P$12))/IF(C348&lt;='SOLLECITAZ NASCOSTO'!$P$12,IF(C348&lt;='SOLLECITAZ NASCOSTO'!$P$11,IF(C348&lt;='SOLLECITAZ NASCOSTO'!$P$10,IF(C348&lt;='SOLLECITAZ NASCOSTO'!$P$9,IF(C348&lt;='SOLLECITAZ NASCOSTO'!$P$8,IF(C348&lt;='SOLLECITAZ NASCOSTO'!$P$7,IF(C348&lt;='SOLLECITAZ NASCOSTO'!$P$6,IF(C348&lt;='SOLLECITAZ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slu'!$C$112)+IF(C348&lt;='SOLLECITAZ NASCOSTO'!$P$12,IF(C348&lt;='SOLLECITAZ NASCOSTO'!$P$11,IF(C348&lt;='SOLLECITAZ NASCOSTO'!$P$10,IF(C348&lt;='SOLLECITAZ NASCOSTO'!$P$9,IF(C348&lt;='SOLLECITAZ NASCOSTO'!$P$8,IF(C348&lt;='SOLLECITAZ NASCOSTO'!$P$7,IF(C348&lt;='SOLLECITAZ NASCOSTO'!$P$6,IF(C348&lt;='SOLLECITAZ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19.353863423171035</v>
      </c>
      <c r="O349" s="42">
        <f>IF(C349&lt;='SOLLECITAZ NASCOSTO'!$P$12,IF(C349&lt;='SOLLECITAZ NASCOSTO'!$P$11,IF(C349&lt;='SOLLECITAZ NASCOSTO'!$P$10,IF(C349&lt;='SOLLECITAZ NASCOSTO'!$P$9,IF(C349&lt;='SOLLECITAZ NASCOSTO'!$P$8,IF(C349&lt;='SOLLECITAZ NASCOSTO'!$P$7,IF(C349&lt;='SOLLECITAZ NASCOSTO'!$P$6,IF(C349&lt;='SOLLECITAZ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slu'!$G$111),55555)*(C349-C348)/IF(C349&lt;='SOLLECITAZ NASCOSTO'!$P$12,IF(C349&lt;='SOLLECITAZ NASCOSTO'!$P$11,IF(C349&lt;='SOLLECITAZ NASCOSTO'!$P$10,IF(C349&lt;='SOLLECITAZ NASCOSTO'!$P$9,IF(C349&lt;='SOLLECITAZ NASCOSTO'!$P$8,IF(C349&lt;='SOLLECITAZ NASCOSTO'!$P$7,IF(C349&lt;='SOLLECITAZ NASCOSTO'!$P$6,IF(C349&lt;='SOLLECITAZ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49" s="42">
        <f t="shared" si="93"/>
        <v>3.1600000000000118E-4</v>
      </c>
      <c r="Q349" s="42">
        <f t="shared" si="91"/>
        <v>1</v>
      </c>
      <c r="R349" s="441">
        <f t="shared" si="85"/>
        <v>2.1717548076923077</v>
      </c>
      <c r="S349" s="46">
        <f t="shared" si="92"/>
        <v>2.1717548076923077</v>
      </c>
      <c r="T349" s="211">
        <f t="shared" si="88"/>
        <v>1.1782451923076924</v>
      </c>
      <c r="U349" s="46">
        <f t="shared" si="89"/>
        <v>25.568153901449346</v>
      </c>
      <c r="V349" s="46">
        <f t="shared" si="90"/>
        <v>-21.766920449243365</v>
      </c>
      <c r="W349" s="496"/>
    </row>
    <row r="350" spans="1:23" s="428" customFormat="1" x14ac:dyDescent="0.25">
      <c r="A350" s="589">
        <f t="shared" si="86"/>
        <v>7.6442307690438582E-6</v>
      </c>
      <c r="B350" s="32">
        <f t="shared" si="99"/>
        <v>318</v>
      </c>
      <c r="C350" s="441">
        <f>'SOLLECITAZ NASCOSTO'!$D$6/'SOLLECITAZ NASCOSTO'!$B$448*'SOLLECITAZ NASCOSTO'!B350</f>
        <v>2.1786057692307694</v>
      </c>
      <c r="D350" s="132">
        <f t="shared" si="87"/>
        <v>0.30000764423076903</v>
      </c>
      <c r="E350" s="132">
        <f t="shared" si="81"/>
        <v>7.6442307690438582E-6</v>
      </c>
      <c r="F350" s="132">
        <f t="shared" si="82"/>
        <v>0.30000764423076903</v>
      </c>
      <c r="G350" s="132">
        <f t="shared" si="83"/>
        <v>4.5002293298447842E-2</v>
      </c>
      <c r="H350" s="132">
        <f t="shared" si="100"/>
        <v>0</v>
      </c>
      <c r="I350" s="132">
        <v>0</v>
      </c>
      <c r="J350" s="131">
        <f t="shared" si="101"/>
        <v>0.15000382211538452</v>
      </c>
      <c r="K350" s="130">
        <f t="shared" si="84"/>
        <v>2.2501719995749103E-3</v>
      </c>
      <c r="L350" s="42">
        <f t="shared" si="20"/>
        <v>25.701241103353748</v>
      </c>
      <c r="M350" s="42">
        <f t="shared" si="15"/>
        <v>-21.942542775882419</v>
      </c>
      <c r="N350" s="42">
        <f>(IF(C349&lt;='SOLLECITAZ NASCOSTO'!$P$12,IF(C349&lt;='SOLLECITAZ NASCOSTO'!$P$11,IF(C349&lt;='SOLLECITAZ NASCOSTO'!$P$10,IF(C349&lt;='SOLLECITAZ NASCOSTO'!$P$9,IF(C349&lt;='SOLLECITAZ NASCOSTO'!$P$8,IF(C349&lt;='SOLLECITAZ NASCOSTO'!$P$7,IF(C349&lt;='SOLLECITAZ NASCOSTO'!$P$6,IF(C349&lt;='SOLLECITAZ NASCOSTO'!$P$5,'Progetto del paramento slu'!$G$105,'Progetto del paramento slu'!$G$106),'Progetto del paramento slu'!$G$107),'Progetto del paramento slu'!$G$108),'Progetto del paramento slu'!$G$109),'Progetto del paramento slu'!$G$110),'Progetto del paramento slu'!$G$111),'Progetto del paramento slu'!$G$112),55555)-IF(C349&lt;='SOLLECITAZ NASCOSTO'!$P$12,IF(C349&lt;='SOLLECITAZ NASCOSTO'!$P$11,IF(C349&lt;='SOLLECITAZ NASCOSTO'!$P$10,IF(C349&lt;='SOLLECITAZ NASCOSTO'!$P$9,IF(C349&lt;='SOLLECITAZ NASCOSTO'!$P$8,IF(C349&lt;='SOLLECITAZ NASCOSTO'!$P$7,IF(C349&lt;='SOLLECITAZ NASCOSTO'!$P$6,IF(C349&lt;='SOLLECITAZ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slu'!$G$112))*(C349-IF(C349&lt;='SOLLECITAZ NASCOSTO'!$P$12,IF(C349&lt;='SOLLECITAZ NASCOSTO'!$P$11,IF(C349&lt;='SOLLECITAZ NASCOSTO'!$P$10,IF(C349&lt;='SOLLECITAZ NASCOSTO'!$P$9,IF(C349&lt;='SOLLECITAZ NASCOSTO'!$P$8,IF(C349&lt;='SOLLECITAZ NASCOSTO'!$P$7,IF(C349&lt;='SOLLECITAZ NASCOSTO'!$P$6,IF(C349&lt;='SOLLECITAZ NASCOSTO'!$P$5,'SOLLECITAZ NASCOSTO'!$P$3,'SOLLECITAZ NASCOSTO'!$P$5),'SOLLECITAZ NASCOSTO'!$P$5),'SOLLECITAZ NASCOSTO'!$P$7),'SOLLECITAZ NASCOSTO'!$P$8),'SOLLECITAZ NASCOSTO'!$P$9),'SOLLECITAZ NASCOSTO'!$P$10),'SOLLECITAZ NASCOSTO'!$P$11),'SOLLECITAZ NASCOSTO'!$P$12))/IF(C349&lt;='SOLLECITAZ NASCOSTO'!$P$12,IF(C349&lt;='SOLLECITAZ NASCOSTO'!$P$11,IF(C349&lt;='SOLLECITAZ NASCOSTO'!$P$10,IF(C349&lt;='SOLLECITAZ NASCOSTO'!$P$9,IF(C349&lt;='SOLLECITAZ NASCOSTO'!$P$8,IF(C349&lt;='SOLLECITAZ NASCOSTO'!$P$7,IF(C349&lt;='SOLLECITAZ NASCOSTO'!$P$6,IF(C349&lt;='SOLLECITAZ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slu'!$C$112)+IF(C349&lt;='SOLLECITAZ NASCOSTO'!$P$12,IF(C349&lt;='SOLLECITAZ NASCOSTO'!$P$11,IF(C349&lt;='SOLLECITAZ NASCOSTO'!$P$10,IF(C349&lt;='SOLLECITAZ NASCOSTO'!$P$9,IF(C349&lt;='SOLLECITAZ NASCOSTO'!$P$8,IF(C349&lt;='SOLLECITAZ NASCOSTO'!$P$7,IF(C349&lt;='SOLLECITAZ NASCOSTO'!$P$6,IF(C349&lt;='SOLLECITAZ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19.401995642163385</v>
      </c>
      <c r="O350" s="42">
        <f>IF(C350&lt;='SOLLECITAZ NASCOSTO'!$P$12,IF(C350&lt;='SOLLECITAZ NASCOSTO'!$P$11,IF(C350&lt;='SOLLECITAZ NASCOSTO'!$P$10,IF(C350&lt;='SOLLECITAZ NASCOSTO'!$P$9,IF(C350&lt;='SOLLECITAZ NASCOSTO'!$P$8,IF(C350&lt;='SOLLECITAZ NASCOSTO'!$P$7,IF(C350&lt;='SOLLECITAZ NASCOSTO'!$P$6,IF(C350&lt;='SOLLECITAZ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slu'!$G$111),55555)*(C350-C349)/IF(C350&lt;='SOLLECITAZ NASCOSTO'!$P$12,IF(C350&lt;='SOLLECITAZ NASCOSTO'!$P$11,IF(C350&lt;='SOLLECITAZ NASCOSTO'!$P$10,IF(C350&lt;='SOLLECITAZ NASCOSTO'!$P$9,IF(C350&lt;='SOLLECITAZ NASCOSTO'!$P$8,IF(C350&lt;='SOLLECITAZ NASCOSTO'!$P$7,IF(C350&lt;='SOLLECITAZ NASCOSTO'!$P$6,IF(C350&lt;='SOLLECITAZ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50" s="42">
        <f t="shared" si="93"/>
        <v>3.170000000000012E-4</v>
      </c>
      <c r="Q350" s="42">
        <f t="shared" si="91"/>
        <v>1</v>
      </c>
      <c r="R350" s="441">
        <f t="shared" si="85"/>
        <v>2.1786057692307694</v>
      </c>
      <c r="S350" s="46">
        <f t="shared" si="92"/>
        <v>2.1786057692307694</v>
      </c>
      <c r="T350" s="211">
        <f t="shared" si="88"/>
        <v>1.1713942307692307</v>
      </c>
      <c r="U350" s="46">
        <f t="shared" si="89"/>
        <v>25.701241103353748</v>
      </c>
      <c r="V350" s="46">
        <f t="shared" si="90"/>
        <v>-21.942542775882419</v>
      </c>
      <c r="W350" s="496"/>
    </row>
    <row r="351" spans="1:23" s="428" customFormat="1" x14ac:dyDescent="0.25">
      <c r="A351" s="589">
        <f t="shared" si="86"/>
        <v>7.6682692305984901E-6</v>
      </c>
      <c r="B351" s="32">
        <f t="shared" si="99"/>
        <v>319</v>
      </c>
      <c r="C351" s="441">
        <f>'SOLLECITAZ NASCOSTO'!$D$6/'SOLLECITAZ NASCOSTO'!$B$448*'SOLLECITAZ NASCOSTO'!B351</f>
        <v>2.1854567307692307</v>
      </c>
      <c r="D351" s="132">
        <f t="shared" si="87"/>
        <v>0.30000766826923059</v>
      </c>
      <c r="E351" s="132">
        <f t="shared" si="81"/>
        <v>7.6682692305984901E-6</v>
      </c>
      <c r="F351" s="132">
        <f t="shared" si="82"/>
        <v>0.30000766826923059</v>
      </c>
      <c r="G351" s="132">
        <f t="shared" si="83"/>
        <v>4.5002300510170352E-2</v>
      </c>
      <c r="H351" s="132">
        <f t="shared" si="100"/>
        <v>0</v>
      </c>
      <c r="I351" s="132">
        <v>0</v>
      </c>
      <c r="J351" s="131">
        <f t="shared" si="101"/>
        <v>0.15000383413461529</v>
      </c>
      <c r="K351" s="130">
        <f t="shared" si="84"/>
        <v>2.2501725404679021E-3</v>
      </c>
      <c r="L351" s="42">
        <f t="shared" si="20"/>
        <v>25.834658057239221</v>
      </c>
      <c r="M351" s="42">
        <f t="shared" si="15"/>
        <v>-22.11907800738204</v>
      </c>
      <c r="N351" s="42">
        <f>(IF(C350&lt;='SOLLECITAZ NASCOSTO'!$P$12,IF(C350&lt;='SOLLECITAZ NASCOSTO'!$P$11,IF(C350&lt;='SOLLECITAZ NASCOSTO'!$P$10,IF(C350&lt;='SOLLECITAZ NASCOSTO'!$P$9,IF(C350&lt;='SOLLECITAZ NASCOSTO'!$P$8,IF(C350&lt;='SOLLECITAZ NASCOSTO'!$P$7,IF(C350&lt;='SOLLECITAZ NASCOSTO'!$P$6,IF(C350&lt;='SOLLECITAZ NASCOSTO'!$P$5,'Progetto del paramento slu'!$G$105,'Progetto del paramento slu'!$G$106),'Progetto del paramento slu'!$G$107),'Progetto del paramento slu'!$G$108),'Progetto del paramento slu'!$G$109),'Progetto del paramento slu'!$G$110),'Progetto del paramento slu'!$G$111),'Progetto del paramento slu'!$G$112),55555)-IF(C350&lt;='SOLLECITAZ NASCOSTO'!$P$12,IF(C350&lt;='SOLLECITAZ NASCOSTO'!$P$11,IF(C350&lt;='SOLLECITAZ NASCOSTO'!$P$10,IF(C350&lt;='SOLLECITAZ NASCOSTO'!$P$9,IF(C350&lt;='SOLLECITAZ NASCOSTO'!$P$8,IF(C350&lt;='SOLLECITAZ NASCOSTO'!$P$7,IF(C350&lt;='SOLLECITAZ NASCOSTO'!$P$6,IF(C350&lt;='SOLLECITAZ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slu'!$G$112))*(C350-IF(C350&lt;='SOLLECITAZ NASCOSTO'!$P$12,IF(C350&lt;='SOLLECITAZ NASCOSTO'!$P$11,IF(C350&lt;='SOLLECITAZ NASCOSTO'!$P$10,IF(C350&lt;='SOLLECITAZ NASCOSTO'!$P$9,IF(C350&lt;='SOLLECITAZ NASCOSTO'!$P$8,IF(C350&lt;='SOLLECITAZ NASCOSTO'!$P$7,IF(C350&lt;='SOLLECITAZ NASCOSTO'!$P$6,IF(C350&lt;='SOLLECITAZ NASCOSTO'!$P$5,'SOLLECITAZ NASCOSTO'!$P$3,'SOLLECITAZ NASCOSTO'!$P$5),'SOLLECITAZ NASCOSTO'!$P$5),'SOLLECITAZ NASCOSTO'!$P$7),'SOLLECITAZ NASCOSTO'!$P$8),'SOLLECITAZ NASCOSTO'!$P$9),'SOLLECITAZ NASCOSTO'!$P$10),'SOLLECITAZ NASCOSTO'!$P$11),'SOLLECITAZ NASCOSTO'!$P$12))/IF(C350&lt;='SOLLECITAZ NASCOSTO'!$P$12,IF(C350&lt;='SOLLECITAZ NASCOSTO'!$P$11,IF(C350&lt;='SOLLECITAZ NASCOSTO'!$P$10,IF(C350&lt;='SOLLECITAZ NASCOSTO'!$P$9,IF(C350&lt;='SOLLECITAZ NASCOSTO'!$P$8,IF(C350&lt;='SOLLECITAZ NASCOSTO'!$P$7,IF(C350&lt;='SOLLECITAZ NASCOSTO'!$P$6,IF(C350&lt;='SOLLECITAZ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slu'!$C$112)+IF(C350&lt;='SOLLECITAZ NASCOSTO'!$P$12,IF(C350&lt;='SOLLECITAZ NASCOSTO'!$P$11,IF(C350&lt;='SOLLECITAZ NASCOSTO'!$P$10,IF(C350&lt;='SOLLECITAZ NASCOSTO'!$P$9,IF(C350&lt;='SOLLECITAZ NASCOSTO'!$P$8,IF(C350&lt;='SOLLECITAZ NASCOSTO'!$P$7,IF(C350&lt;='SOLLECITAZ NASCOSTO'!$P$6,IF(C350&lt;='SOLLECITAZ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19.450127861155742</v>
      </c>
      <c r="O351" s="42">
        <f>IF(C351&lt;='SOLLECITAZ NASCOSTO'!$P$12,IF(C351&lt;='SOLLECITAZ NASCOSTO'!$P$11,IF(C351&lt;='SOLLECITAZ NASCOSTO'!$P$10,IF(C351&lt;='SOLLECITAZ NASCOSTO'!$P$9,IF(C351&lt;='SOLLECITAZ NASCOSTO'!$P$8,IF(C351&lt;='SOLLECITAZ NASCOSTO'!$P$7,IF(C351&lt;='SOLLECITAZ NASCOSTO'!$P$6,IF(C351&lt;='SOLLECITAZ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slu'!$G$111),55555)*(C351-C350)/IF(C351&lt;='SOLLECITAZ NASCOSTO'!$P$12,IF(C351&lt;='SOLLECITAZ NASCOSTO'!$P$11,IF(C351&lt;='SOLLECITAZ NASCOSTO'!$P$10,IF(C351&lt;='SOLLECITAZ NASCOSTO'!$P$9,IF(C351&lt;='SOLLECITAZ NASCOSTO'!$P$8,IF(C351&lt;='SOLLECITAZ NASCOSTO'!$P$7,IF(C351&lt;='SOLLECITAZ NASCOSTO'!$P$6,IF(C351&lt;='SOLLECITAZ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51" s="42">
        <f t="shared" si="93"/>
        <v>3.1800000000000122E-4</v>
      </c>
      <c r="Q351" s="42">
        <f t="shared" si="91"/>
        <v>1</v>
      </c>
      <c r="R351" s="441">
        <f t="shared" si="85"/>
        <v>2.1854567307692307</v>
      </c>
      <c r="S351" s="46">
        <f t="shared" si="92"/>
        <v>2.1854567307692307</v>
      </c>
      <c r="T351" s="211">
        <f t="shared" si="88"/>
        <v>1.1645432692307693</v>
      </c>
      <c r="U351" s="46">
        <f t="shared" si="89"/>
        <v>25.834658057239221</v>
      </c>
      <c r="V351" s="46">
        <f t="shared" si="90"/>
        <v>-22.11907800738204</v>
      </c>
      <c r="W351" s="496"/>
    </row>
    <row r="352" spans="1:23" s="428" customFormat="1" x14ac:dyDescent="0.25">
      <c r="A352" s="589">
        <f t="shared" si="86"/>
        <v>7.6923076921531219E-6</v>
      </c>
      <c r="B352" s="32">
        <f t="shared" si="99"/>
        <v>320</v>
      </c>
      <c r="C352" s="441">
        <f>'SOLLECITAZ NASCOSTO'!$D$6/'SOLLECITAZ NASCOSTO'!$B$448*'SOLLECITAZ NASCOSTO'!B352</f>
        <v>2.1923076923076925</v>
      </c>
      <c r="D352" s="132">
        <f t="shared" si="87"/>
        <v>0.30000769230769214</v>
      </c>
      <c r="E352" s="132">
        <f t="shared" ref="E352:E415" si="102">D352-$D$9</f>
        <v>7.6923076921531219E-6</v>
      </c>
      <c r="F352" s="132">
        <f t="shared" ref="F352:F415" si="103">E352*$D$12*$D$11+$D$8*$D$9</f>
        <v>0.30000769230769214</v>
      </c>
      <c r="G352" s="132">
        <f t="shared" ref="G352:G415" si="104">$D$12*E352*$D$11*($D$9+E352/2)+$D$9*$D$8*$D$9/2</f>
        <v>4.5002307721893446E-2</v>
      </c>
      <c r="H352" s="132">
        <f t="shared" ref="H352:H357" si="105">I352*F352</f>
        <v>0</v>
      </c>
      <c r="I352" s="132">
        <v>0</v>
      </c>
      <c r="J352" s="131">
        <f t="shared" ref="J352:J357" si="106">G352/F352</f>
        <v>0.1500038461538461</v>
      </c>
      <c r="K352" s="130">
        <f t="shared" ref="K352:K415" si="107">$D$8*$D$9^3/12+$D$8*$D$9*(J352-$D$9/2)^2+$D$11*$D$12*(J352-$D$9)^3/3+$D$11*$D$12*(E352-(J352-$D$9))^3/3</f>
        <v>2.2501730813609807E-3</v>
      </c>
      <c r="L352" s="42">
        <f t="shared" si="20"/>
        <v>25.968404763105777</v>
      </c>
      <c r="M352" s="42">
        <f t="shared" si="15"/>
        <v>-22.296528402860393</v>
      </c>
      <c r="N352" s="42">
        <f>(IF(C351&lt;='SOLLECITAZ NASCOSTO'!$P$12,IF(C351&lt;='SOLLECITAZ NASCOSTO'!$P$11,IF(C351&lt;='SOLLECITAZ NASCOSTO'!$P$10,IF(C351&lt;='SOLLECITAZ NASCOSTO'!$P$9,IF(C351&lt;='SOLLECITAZ NASCOSTO'!$P$8,IF(C351&lt;='SOLLECITAZ NASCOSTO'!$P$7,IF(C351&lt;='SOLLECITAZ NASCOSTO'!$P$6,IF(C351&lt;='SOLLECITAZ NASCOSTO'!$P$5,'Progetto del paramento slu'!$G$105,'Progetto del paramento slu'!$G$106),'Progetto del paramento slu'!$G$107),'Progetto del paramento slu'!$G$108),'Progetto del paramento slu'!$G$109),'Progetto del paramento slu'!$G$110),'Progetto del paramento slu'!$G$111),'Progetto del paramento slu'!$G$112),55555)-IF(C351&lt;='SOLLECITAZ NASCOSTO'!$P$12,IF(C351&lt;='SOLLECITAZ NASCOSTO'!$P$11,IF(C351&lt;='SOLLECITAZ NASCOSTO'!$P$10,IF(C351&lt;='SOLLECITAZ NASCOSTO'!$P$9,IF(C351&lt;='SOLLECITAZ NASCOSTO'!$P$8,IF(C351&lt;='SOLLECITAZ NASCOSTO'!$P$7,IF(C351&lt;='SOLLECITAZ NASCOSTO'!$P$6,IF(C351&lt;='SOLLECITAZ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slu'!$G$112))*(C351-IF(C351&lt;='SOLLECITAZ NASCOSTO'!$P$12,IF(C351&lt;='SOLLECITAZ NASCOSTO'!$P$11,IF(C351&lt;='SOLLECITAZ NASCOSTO'!$P$10,IF(C351&lt;='SOLLECITAZ NASCOSTO'!$P$9,IF(C351&lt;='SOLLECITAZ NASCOSTO'!$P$8,IF(C351&lt;='SOLLECITAZ NASCOSTO'!$P$7,IF(C351&lt;='SOLLECITAZ NASCOSTO'!$P$6,IF(C351&lt;='SOLLECITAZ NASCOSTO'!$P$5,'SOLLECITAZ NASCOSTO'!$P$3,'SOLLECITAZ NASCOSTO'!$P$5),'SOLLECITAZ NASCOSTO'!$P$5),'SOLLECITAZ NASCOSTO'!$P$7),'SOLLECITAZ NASCOSTO'!$P$8),'SOLLECITAZ NASCOSTO'!$P$9),'SOLLECITAZ NASCOSTO'!$P$10),'SOLLECITAZ NASCOSTO'!$P$11),'SOLLECITAZ NASCOSTO'!$P$12))/IF(C351&lt;='SOLLECITAZ NASCOSTO'!$P$12,IF(C351&lt;='SOLLECITAZ NASCOSTO'!$P$11,IF(C351&lt;='SOLLECITAZ NASCOSTO'!$P$10,IF(C351&lt;='SOLLECITAZ NASCOSTO'!$P$9,IF(C351&lt;='SOLLECITAZ NASCOSTO'!$P$8,IF(C351&lt;='SOLLECITAZ NASCOSTO'!$P$7,IF(C351&lt;='SOLLECITAZ NASCOSTO'!$P$6,IF(C351&lt;='SOLLECITAZ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slu'!$C$112)+IF(C351&lt;='SOLLECITAZ NASCOSTO'!$P$12,IF(C351&lt;='SOLLECITAZ NASCOSTO'!$P$11,IF(C351&lt;='SOLLECITAZ NASCOSTO'!$P$10,IF(C351&lt;='SOLLECITAZ NASCOSTO'!$P$9,IF(C351&lt;='SOLLECITAZ NASCOSTO'!$P$8,IF(C351&lt;='SOLLECITAZ NASCOSTO'!$P$7,IF(C351&lt;='SOLLECITAZ NASCOSTO'!$P$6,IF(C351&lt;='SOLLECITAZ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19.498260080148093</v>
      </c>
      <c r="O352" s="42">
        <f>IF(C352&lt;='SOLLECITAZ NASCOSTO'!$P$12,IF(C352&lt;='SOLLECITAZ NASCOSTO'!$P$11,IF(C352&lt;='SOLLECITAZ NASCOSTO'!$P$10,IF(C352&lt;='SOLLECITAZ NASCOSTO'!$P$9,IF(C352&lt;='SOLLECITAZ NASCOSTO'!$P$8,IF(C352&lt;='SOLLECITAZ NASCOSTO'!$P$7,IF(C352&lt;='SOLLECITAZ NASCOSTO'!$P$6,IF(C352&lt;='SOLLECITAZ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slu'!$G$111),55555)*(C352-C351)/IF(C352&lt;='SOLLECITAZ NASCOSTO'!$P$12,IF(C352&lt;='SOLLECITAZ NASCOSTO'!$P$11,IF(C352&lt;='SOLLECITAZ NASCOSTO'!$P$10,IF(C352&lt;='SOLLECITAZ NASCOSTO'!$P$9,IF(C352&lt;='SOLLECITAZ NASCOSTO'!$P$8,IF(C352&lt;='SOLLECITAZ NASCOSTO'!$P$7,IF(C352&lt;='SOLLECITAZ NASCOSTO'!$P$6,IF(C352&lt;='SOLLECITAZ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52" s="42">
        <f t="shared" si="93"/>
        <v>3.1900000000000125E-4</v>
      </c>
      <c r="Q352" s="42">
        <f t="shared" si="91"/>
        <v>1</v>
      </c>
      <c r="R352" s="441">
        <f t="shared" ref="R352:R415" si="108">C352</f>
        <v>2.1923076923076925</v>
      </c>
      <c r="S352" s="46">
        <f t="shared" si="92"/>
        <v>2.1923076923076925</v>
      </c>
      <c r="T352" s="211">
        <f t="shared" si="88"/>
        <v>1.1576923076923076</v>
      </c>
      <c r="U352" s="46">
        <f t="shared" si="89"/>
        <v>25.968404763105777</v>
      </c>
      <c r="V352" s="46">
        <f t="shared" si="90"/>
        <v>-22.296528402860393</v>
      </c>
      <c r="W352" s="496"/>
    </row>
    <row r="353" spans="1:23" s="428" customFormat="1" x14ac:dyDescent="0.25">
      <c r="A353" s="589">
        <f t="shared" ref="A353:A416" si="109">E353</f>
        <v>7.7163461536522426E-6</v>
      </c>
      <c r="B353" s="32">
        <f t="shared" ref="B353:B468" si="110">B352+1</f>
        <v>321</v>
      </c>
      <c r="C353" s="441">
        <f>'SOLLECITAZ NASCOSTO'!$D$6/'SOLLECITAZ NASCOSTO'!$B$448*'SOLLECITAZ NASCOSTO'!B353</f>
        <v>2.1991586538461538</v>
      </c>
      <c r="D353" s="132">
        <f t="shared" ref="D353:D416" si="111">$D$9+$D$14+$D$16*C353</f>
        <v>0.30000771634615364</v>
      </c>
      <c r="E353" s="132">
        <f t="shared" si="102"/>
        <v>7.7163461536522426E-6</v>
      </c>
      <c r="F353" s="132">
        <f t="shared" si="103"/>
        <v>0.30000771634615364</v>
      </c>
      <c r="G353" s="132">
        <f t="shared" si="104"/>
        <v>4.5002314933617095E-2</v>
      </c>
      <c r="H353" s="132">
        <f t="shared" si="105"/>
        <v>0</v>
      </c>
      <c r="I353" s="132">
        <v>0</v>
      </c>
      <c r="J353" s="131">
        <f t="shared" si="106"/>
        <v>0.15000385817307682</v>
      </c>
      <c r="K353" s="130">
        <f t="shared" si="107"/>
        <v>2.2501736222541448E-3</v>
      </c>
      <c r="L353" s="42">
        <f t="shared" si="20"/>
        <v>26.102481220953404</v>
      </c>
      <c r="M353" s="42">
        <f t="shared" si="15"/>
        <v>-22.474896221435589</v>
      </c>
      <c r="N353" s="42">
        <f>(IF(C352&lt;='SOLLECITAZ NASCOSTO'!$P$12,IF(C352&lt;='SOLLECITAZ NASCOSTO'!$P$11,IF(C352&lt;='SOLLECITAZ NASCOSTO'!$P$10,IF(C352&lt;='SOLLECITAZ NASCOSTO'!$P$9,IF(C352&lt;='SOLLECITAZ NASCOSTO'!$P$8,IF(C352&lt;='SOLLECITAZ NASCOSTO'!$P$7,IF(C352&lt;='SOLLECITAZ NASCOSTO'!$P$6,IF(C352&lt;='SOLLECITAZ NASCOSTO'!$P$5,'Progetto del paramento slu'!$G$105,'Progetto del paramento slu'!$G$106),'Progetto del paramento slu'!$G$107),'Progetto del paramento slu'!$G$108),'Progetto del paramento slu'!$G$109),'Progetto del paramento slu'!$G$110),'Progetto del paramento slu'!$G$111),'Progetto del paramento slu'!$G$112),55555)-IF(C352&lt;='SOLLECITAZ NASCOSTO'!$P$12,IF(C352&lt;='SOLLECITAZ NASCOSTO'!$P$11,IF(C352&lt;='SOLLECITAZ NASCOSTO'!$P$10,IF(C352&lt;='SOLLECITAZ NASCOSTO'!$P$9,IF(C352&lt;='SOLLECITAZ NASCOSTO'!$P$8,IF(C352&lt;='SOLLECITAZ NASCOSTO'!$P$7,IF(C352&lt;='SOLLECITAZ NASCOSTO'!$P$6,IF(C352&lt;='SOLLECITAZ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slu'!$G$112))*(C352-IF(C352&lt;='SOLLECITAZ NASCOSTO'!$P$12,IF(C352&lt;='SOLLECITAZ NASCOSTO'!$P$11,IF(C352&lt;='SOLLECITAZ NASCOSTO'!$P$10,IF(C352&lt;='SOLLECITAZ NASCOSTO'!$P$9,IF(C352&lt;='SOLLECITAZ NASCOSTO'!$P$8,IF(C352&lt;='SOLLECITAZ NASCOSTO'!$P$7,IF(C352&lt;='SOLLECITAZ NASCOSTO'!$P$6,IF(C352&lt;='SOLLECITAZ NASCOSTO'!$P$5,'SOLLECITAZ NASCOSTO'!$P$3,'SOLLECITAZ NASCOSTO'!$P$5),'SOLLECITAZ NASCOSTO'!$P$5),'SOLLECITAZ NASCOSTO'!$P$7),'SOLLECITAZ NASCOSTO'!$P$8),'SOLLECITAZ NASCOSTO'!$P$9),'SOLLECITAZ NASCOSTO'!$P$10),'SOLLECITAZ NASCOSTO'!$P$11),'SOLLECITAZ NASCOSTO'!$P$12))/IF(C352&lt;='SOLLECITAZ NASCOSTO'!$P$12,IF(C352&lt;='SOLLECITAZ NASCOSTO'!$P$11,IF(C352&lt;='SOLLECITAZ NASCOSTO'!$P$10,IF(C352&lt;='SOLLECITAZ NASCOSTO'!$P$9,IF(C352&lt;='SOLLECITAZ NASCOSTO'!$P$8,IF(C352&lt;='SOLLECITAZ NASCOSTO'!$P$7,IF(C352&lt;='SOLLECITAZ NASCOSTO'!$P$6,IF(C352&lt;='SOLLECITAZ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slu'!$C$112)+IF(C352&lt;='SOLLECITAZ NASCOSTO'!$P$12,IF(C352&lt;='SOLLECITAZ NASCOSTO'!$P$11,IF(C352&lt;='SOLLECITAZ NASCOSTO'!$P$10,IF(C352&lt;='SOLLECITAZ NASCOSTO'!$P$9,IF(C352&lt;='SOLLECITAZ NASCOSTO'!$P$8,IF(C352&lt;='SOLLECITAZ NASCOSTO'!$P$7,IF(C352&lt;='SOLLECITAZ NASCOSTO'!$P$6,IF(C352&lt;='SOLLECITAZ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19.546392299140447</v>
      </c>
      <c r="O353" s="42">
        <f>IF(C353&lt;='SOLLECITAZ NASCOSTO'!$P$12,IF(C353&lt;='SOLLECITAZ NASCOSTO'!$P$11,IF(C353&lt;='SOLLECITAZ NASCOSTO'!$P$10,IF(C353&lt;='SOLLECITAZ NASCOSTO'!$P$9,IF(C353&lt;='SOLLECITAZ NASCOSTO'!$P$8,IF(C353&lt;='SOLLECITAZ NASCOSTO'!$P$7,IF(C353&lt;='SOLLECITAZ NASCOSTO'!$P$6,IF(C353&lt;='SOLLECITAZ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slu'!$G$111),55555)*(C353-C352)/IF(C353&lt;='SOLLECITAZ NASCOSTO'!$P$12,IF(C353&lt;='SOLLECITAZ NASCOSTO'!$P$11,IF(C353&lt;='SOLLECITAZ NASCOSTO'!$P$10,IF(C353&lt;='SOLLECITAZ NASCOSTO'!$P$9,IF(C353&lt;='SOLLECITAZ NASCOSTO'!$P$8,IF(C353&lt;='SOLLECITAZ NASCOSTO'!$P$7,IF(C353&lt;='SOLLECITAZ NASCOSTO'!$P$6,IF(C353&lt;='SOLLECITAZ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53" s="42">
        <f t="shared" si="93"/>
        <v>3.2000000000000127E-4</v>
      </c>
      <c r="Q353" s="42">
        <f t="shared" si="91"/>
        <v>1</v>
      </c>
      <c r="R353" s="441">
        <f t="shared" si="108"/>
        <v>2.1991586538461538</v>
      </c>
      <c r="S353" s="46">
        <f t="shared" si="92"/>
        <v>2.1991586538461538</v>
      </c>
      <c r="T353" s="211">
        <f t="shared" ref="T353:T416" si="112">$R$468-S353</f>
        <v>1.1508413461538463</v>
      </c>
      <c r="U353" s="46">
        <f t="shared" si="89"/>
        <v>26.102481220953404</v>
      </c>
      <c r="V353" s="46">
        <f t="shared" si="90"/>
        <v>-22.474896221435589</v>
      </c>
      <c r="W353" s="496"/>
    </row>
    <row r="354" spans="1:23" s="428" customFormat="1" x14ac:dyDescent="0.25">
      <c r="A354" s="589">
        <f t="shared" si="109"/>
        <v>7.7403846152068745E-6</v>
      </c>
      <c r="B354" s="32">
        <f t="shared" si="110"/>
        <v>322</v>
      </c>
      <c r="C354" s="441">
        <f>'SOLLECITAZ NASCOSTO'!$D$6/'SOLLECITAZ NASCOSTO'!$B$448*'SOLLECITAZ NASCOSTO'!B354</f>
        <v>2.2060096153846152</v>
      </c>
      <c r="D354" s="132">
        <f t="shared" si="111"/>
        <v>0.3000077403846152</v>
      </c>
      <c r="E354" s="132">
        <f t="shared" si="102"/>
        <v>7.7403846152068745E-6</v>
      </c>
      <c r="F354" s="132">
        <f t="shared" si="103"/>
        <v>0.3000077403846152</v>
      </c>
      <c r="G354" s="132">
        <f t="shared" si="104"/>
        <v>4.5002322145341341E-2</v>
      </c>
      <c r="H354" s="132">
        <f t="shared" si="105"/>
        <v>0</v>
      </c>
      <c r="I354" s="132">
        <v>0</v>
      </c>
      <c r="J354" s="131">
        <f t="shared" si="106"/>
        <v>0.15000387019230763</v>
      </c>
      <c r="K354" s="130">
        <f t="shared" si="107"/>
        <v>2.2501741631473973E-3</v>
      </c>
      <c r="L354" s="42">
        <f t="shared" si="20"/>
        <v>26.236887430782108</v>
      </c>
      <c r="M354" s="42">
        <f t="shared" ref="M354:M417" si="113">M353-(L354+L353)*(C354-C353)/2</f>
        <v>-22.654183722225785</v>
      </c>
      <c r="N354" s="42">
        <f>(IF(C353&lt;='SOLLECITAZ NASCOSTO'!$P$12,IF(C353&lt;='SOLLECITAZ NASCOSTO'!$P$11,IF(C353&lt;='SOLLECITAZ NASCOSTO'!$P$10,IF(C353&lt;='SOLLECITAZ NASCOSTO'!$P$9,IF(C353&lt;='SOLLECITAZ NASCOSTO'!$P$8,IF(C353&lt;='SOLLECITAZ NASCOSTO'!$P$7,IF(C353&lt;='SOLLECITAZ NASCOSTO'!$P$6,IF(C353&lt;='SOLLECITAZ NASCOSTO'!$P$5,'Progetto del paramento slu'!$G$105,'Progetto del paramento slu'!$G$106),'Progetto del paramento slu'!$G$107),'Progetto del paramento slu'!$G$108),'Progetto del paramento slu'!$G$109),'Progetto del paramento slu'!$G$110),'Progetto del paramento slu'!$G$111),'Progetto del paramento slu'!$G$112),55555)-IF(C353&lt;='SOLLECITAZ NASCOSTO'!$P$12,IF(C353&lt;='SOLLECITAZ NASCOSTO'!$P$11,IF(C353&lt;='SOLLECITAZ NASCOSTO'!$P$10,IF(C353&lt;='SOLLECITAZ NASCOSTO'!$P$9,IF(C353&lt;='SOLLECITAZ NASCOSTO'!$P$8,IF(C353&lt;='SOLLECITAZ NASCOSTO'!$P$7,IF(C353&lt;='SOLLECITAZ NASCOSTO'!$P$6,IF(C353&lt;='SOLLECITAZ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slu'!$G$112))*(C353-IF(C353&lt;='SOLLECITAZ NASCOSTO'!$P$12,IF(C353&lt;='SOLLECITAZ NASCOSTO'!$P$11,IF(C353&lt;='SOLLECITAZ NASCOSTO'!$P$10,IF(C353&lt;='SOLLECITAZ NASCOSTO'!$P$9,IF(C353&lt;='SOLLECITAZ NASCOSTO'!$P$8,IF(C353&lt;='SOLLECITAZ NASCOSTO'!$P$7,IF(C353&lt;='SOLLECITAZ NASCOSTO'!$P$6,IF(C353&lt;='SOLLECITAZ NASCOSTO'!$P$5,'SOLLECITAZ NASCOSTO'!$P$3,'SOLLECITAZ NASCOSTO'!$P$5),'SOLLECITAZ NASCOSTO'!$P$5),'SOLLECITAZ NASCOSTO'!$P$7),'SOLLECITAZ NASCOSTO'!$P$8),'SOLLECITAZ NASCOSTO'!$P$9),'SOLLECITAZ NASCOSTO'!$P$10),'SOLLECITAZ NASCOSTO'!$P$11),'SOLLECITAZ NASCOSTO'!$P$12))/IF(C353&lt;='SOLLECITAZ NASCOSTO'!$P$12,IF(C353&lt;='SOLLECITAZ NASCOSTO'!$P$11,IF(C353&lt;='SOLLECITAZ NASCOSTO'!$P$10,IF(C353&lt;='SOLLECITAZ NASCOSTO'!$P$9,IF(C353&lt;='SOLLECITAZ NASCOSTO'!$P$8,IF(C353&lt;='SOLLECITAZ NASCOSTO'!$P$7,IF(C353&lt;='SOLLECITAZ NASCOSTO'!$P$6,IF(C353&lt;='SOLLECITAZ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slu'!$C$112)+IF(C353&lt;='SOLLECITAZ NASCOSTO'!$P$12,IF(C353&lt;='SOLLECITAZ NASCOSTO'!$P$11,IF(C353&lt;='SOLLECITAZ NASCOSTO'!$P$10,IF(C353&lt;='SOLLECITAZ NASCOSTO'!$P$9,IF(C353&lt;='SOLLECITAZ NASCOSTO'!$P$8,IF(C353&lt;='SOLLECITAZ NASCOSTO'!$P$7,IF(C353&lt;='SOLLECITAZ NASCOSTO'!$P$6,IF(C353&lt;='SOLLECITAZ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19.5945245181328</v>
      </c>
      <c r="O354" s="42">
        <f>IF(C354&lt;='SOLLECITAZ NASCOSTO'!$P$12,IF(C354&lt;='SOLLECITAZ NASCOSTO'!$P$11,IF(C354&lt;='SOLLECITAZ NASCOSTO'!$P$10,IF(C354&lt;='SOLLECITAZ NASCOSTO'!$P$9,IF(C354&lt;='SOLLECITAZ NASCOSTO'!$P$8,IF(C354&lt;='SOLLECITAZ NASCOSTO'!$P$7,IF(C354&lt;='SOLLECITAZ NASCOSTO'!$P$6,IF(C354&lt;='SOLLECITAZ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slu'!$G$111),55555)*(C354-C353)/IF(C354&lt;='SOLLECITAZ NASCOSTO'!$P$12,IF(C354&lt;='SOLLECITAZ NASCOSTO'!$P$11,IF(C354&lt;='SOLLECITAZ NASCOSTO'!$P$10,IF(C354&lt;='SOLLECITAZ NASCOSTO'!$P$9,IF(C354&lt;='SOLLECITAZ NASCOSTO'!$P$8,IF(C354&lt;='SOLLECITAZ NASCOSTO'!$P$7,IF(C354&lt;='SOLLECITAZ NASCOSTO'!$P$6,IF(C354&lt;='SOLLECITAZ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54" s="42">
        <f t="shared" si="93"/>
        <v>3.210000000000013E-4</v>
      </c>
      <c r="Q354" s="42">
        <f t="shared" si="91"/>
        <v>1</v>
      </c>
      <c r="R354" s="441">
        <f t="shared" si="108"/>
        <v>2.2060096153846152</v>
      </c>
      <c r="S354" s="46">
        <f t="shared" si="92"/>
        <v>2.2060096153846152</v>
      </c>
      <c r="T354" s="211">
        <f t="shared" si="112"/>
        <v>1.1439903846153849</v>
      </c>
      <c r="U354" s="46">
        <f t="shared" ref="U354:U417" si="114">IF(Q354=1,L354,0)</f>
        <v>26.236887430782108</v>
      </c>
      <c r="V354" s="46">
        <f t="shared" ref="V354:V417" si="115">IF(Q354=1,M354,0)</f>
        <v>-22.654183722225785</v>
      </c>
      <c r="W354" s="496"/>
    </row>
    <row r="355" spans="1:23" s="428" customFormat="1" x14ac:dyDescent="0.25">
      <c r="A355" s="589">
        <f t="shared" si="109"/>
        <v>7.7644230767615063E-6</v>
      </c>
      <c r="B355" s="32">
        <f t="shared" si="110"/>
        <v>323</v>
      </c>
      <c r="C355" s="441">
        <f>'SOLLECITAZ NASCOSTO'!$D$6/'SOLLECITAZ NASCOSTO'!$B$448*'SOLLECITAZ NASCOSTO'!B355</f>
        <v>2.2128605769230769</v>
      </c>
      <c r="D355" s="132">
        <f t="shared" si="111"/>
        <v>0.30000776442307675</v>
      </c>
      <c r="E355" s="132">
        <f t="shared" si="102"/>
        <v>7.7644230767615063E-6</v>
      </c>
      <c r="F355" s="132">
        <f t="shared" si="103"/>
        <v>0.30000776442307675</v>
      </c>
      <c r="G355" s="132">
        <f t="shared" si="104"/>
        <v>4.5002329357066162E-2</v>
      </c>
      <c r="H355" s="132">
        <f t="shared" si="105"/>
        <v>0</v>
      </c>
      <c r="I355" s="132">
        <v>0</v>
      </c>
      <c r="J355" s="131">
        <f t="shared" si="106"/>
        <v>0.15000388221153838</v>
      </c>
      <c r="K355" s="130">
        <f t="shared" si="107"/>
        <v>2.2501747040407361E-3</v>
      </c>
      <c r="L355" s="42">
        <f t="shared" ref="L355:L467" si="116">L354+N355*(C355-C354)+O355*(C355-C354)/2</f>
        <v>26.371623392591896</v>
      </c>
      <c r="M355" s="42">
        <f t="shared" si="113"/>
        <v>-22.834393164349127</v>
      </c>
      <c r="N355" s="42">
        <f>(IF(C354&lt;='SOLLECITAZ NASCOSTO'!$P$12,IF(C354&lt;='SOLLECITAZ NASCOSTO'!$P$11,IF(C354&lt;='SOLLECITAZ NASCOSTO'!$P$10,IF(C354&lt;='SOLLECITAZ NASCOSTO'!$P$9,IF(C354&lt;='SOLLECITAZ NASCOSTO'!$P$8,IF(C354&lt;='SOLLECITAZ NASCOSTO'!$P$7,IF(C354&lt;='SOLLECITAZ NASCOSTO'!$P$6,IF(C354&lt;='SOLLECITAZ NASCOSTO'!$P$5,'Progetto del paramento slu'!$G$105,'Progetto del paramento slu'!$G$106),'Progetto del paramento slu'!$G$107),'Progetto del paramento slu'!$G$108),'Progetto del paramento slu'!$G$109),'Progetto del paramento slu'!$G$110),'Progetto del paramento slu'!$G$111),'Progetto del paramento slu'!$G$112),55555)-IF(C354&lt;='SOLLECITAZ NASCOSTO'!$P$12,IF(C354&lt;='SOLLECITAZ NASCOSTO'!$P$11,IF(C354&lt;='SOLLECITAZ NASCOSTO'!$P$10,IF(C354&lt;='SOLLECITAZ NASCOSTO'!$P$9,IF(C354&lt;='SOLLECITAZ NASCOSTO'!$P$8,IF(C354&lt;='SOLLECITAZ NASCOSTO'!$P$7,IF(C354&lt;='SOLLECITAZ NASCOSTO'!$P$6,IF(C354&lt;='SOLLECITAZ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slu'!$G$112))*(C354-IF(C354&lt;='SOLLECITAZ NASCOSTO'!$P$12,IF(C354&lt;='SOLLECITAZ NASCOSTO'!$P$11,IF(C354&lt;='SOLLECITAZ NASCOSTO'!$P$10,IF(C354&lt;='SOLLECITAZ NASCOSTO'!$P$9,IF(C354&lt;='SOLLECITAZ NASCOSTO'!$P$8,IF(C354&lt;='SOLLECITAZ NASCOSTO'!$P$7,IF(C354&lt;='SOLLECITAZ NASCOSTO'!$P$6,IF(C354&lt;='SOLLECITAZ NASCOSTO'!$P$5,'SOLLECITAZ NASCOSTO'!$P$3,'SOLLECITAZ NASCOSTO'!$P$5),'SOLLECITAZ NASCOSTO'!$P$5),'SOLLECITAZ NASCOSTO'!$P$7),'SOLLECITAZ NASCOSTO'!$P$8),'SOLLECITAZ NASCOSTO'!$P$9),'SOLLECITAZ NASCOSTO'!$P$10),'SOLLECITAZ NASCOSTO'!$P$11),'SOLLECITAZ NASCOSTO'!$P$12))/IF(C354&lt;='SOLLECITAZ NASCOSTO'!$P$12,IF(C354&lt;='SOLLECITAZ NASCOSTO'!$P$11,IF(C354&lt;='SOLLECITAZ NASCOSTO'!$P$10,IF(C354&lt;='SOLLECITAZ NASCOSTO'!$P$9,IF(C354&lt;='SOLLECITAZ NASCOSTO'!$P$8,IF(C354&lt;='SOLLECITAZ NASCOSTO'!$P$7,IF(C354&lt;='SOLLECITAZ NASCOSTO'!$P$6,IF(C354&lt;='SOLLECITAZ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slu'!$C$112)+IF(C354&lt;='SOLLECITAZ NASCOSTO'!$P$12,IF(C354&lt;='SOLLECITAZ NASCOSTO'!$P$11,IF(C354&lt;='SOLLECITAZ NASCOSTO'!$P$10,IF(C354&lt;='SOLLECITAZ NASCOSTO'!$P$9,IF(C354&lt;='SOLLECITAZ NASCOSTO'!$P$8,IF(C354&lt;='SOLLECITAZ NASCOSTO'!$P$7,IF(C354&lt;='SOLLECITAZ NASCOSTO'!$P$6,IF(C354&lt;='SOLLECITAZ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19.642656737125147</v>
      </c>
      <c r="O355" s="42">
        <f>IF(C355&lt;='SOLLECITAZ NASCOSTO'!$P$12,IF(C355&lt;='SOLLECITAZ NASCOSTO'!$P$11,IF(C355&lt;='SOLLECITAZ NASCOSTO'!$P$10,IF(C355&lt;='SOLLECITAZ NASCOSTO'!$P$9,IF(C355&lt;='SOLLECITAZ NASCOSTO'!$P$8,IF(C355&lt;='SOLLECITAZ NASCOSTO'!$P$7,IF(C355&lt;='SOLLECITAZ NASCOSTO'!$P$6,IF(C355&lt;='SOLLECITAZ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slu'!$G$111),55555)*(C355-C354)/IF(C355&lt;='SOLLECITAZ NASCOSTO'!$P$12,IF(C355&lt;='SOLLECITAZ NASCOSTO'!$P$11,IF(C355&lt;='SOLLECITAZ NASCOSTO'!$P$10,IF(C355&lt;='SOLLECITAZ NASCOSTO'!$P$9,IF(C355&lt;='SOLLECITAZ NASCOSTO'!$P$8,IF(C355&lt;='SOLLECITAZ NASCOSTO'!$P$7,IF(C355&lt;='SOLLECITAZ NASCOSTO'!$P$6,IF(C355&lt;='SOLLECITAZ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55" s="42">
        <f t="shared" si="93"/>
        <v>3.2200000000000132E-4</v>
      </c>
      <c r="Q355" s="42">
        <f t="shared" ref="Q355:Q418" si="117">IF(C355&lt;=$D$6,1,0+P355)</f>
        <v>1</v>
      </c>
      <c r="R355" s="441">
        <f t="shared" si="108"/>
        <v>2.2128605769230769</v>
      </c>
      <c r="S355" s="46">
        <f t="shared" ref="S355:S418" si="118">IF(Q355&lt;1,VLOOKUP(0,$Q$34:$R$468,2,TRUE),C355)</f>
        <v>2.2128605769230769</v>
      </c>
      <c r="T355" s="211">
        <f t="shared" si="112"/>
        <v>1.1371394230769232</v>
      </c>
      <c r="U355" s="46">
        <f t="shared" si="114"/>
        <v>26.371623392591896</v>
      </c>
      <c r="V355" s="46">
        <f t="shared" si="115"/>
        <v>-22.834393164349127</v>
      </c>
      <c r="W355" s="496"/>
    </row>
    <row r="356" spans="1:23" s="428" customFormat="1" x14ac:dyDescent="0.25">
      <c r="A356" s="589">
        <f t="shared" si="109"/>
        <v>7.7884615383161382E-6</v>
      </c>
      <c r="B356" s="32">
        <f t="shared" si="110"/>
        <v>324</v>
      </c>
      <c r="C356" s="441">
        <f>'SOLLECITAZ NASCOSTO'!$D$6/'SOLLECITAZ NASCOSTO'!$B$448*'SOLLECITAZ NASCOSTO'!B356</f>
        <v>2.2197115384615382</v>
      </c>
      <c r="D356" s="132">
        <f t="shared" si="111"/>
        <v>0.30000778846153831</v>
      </c>
      <c r="E356" s="132">
        <f t="shared" si="102"/>
        <v>7.7884615383161382E-6</v>
      </c>
      <c r="F356" s="132">
        <f t="shared" si="103"/>
        <v>0.30000778846153831</v>
      </c>
      <c r="G356" s="132">
        <f t="shared" si="104"/>
        <v>4.5002336568791559E-2</v>
      </c>
      <c r="H356" s="132">
        <f t="shared" si="105"/>
        <v>0</v>
      </c>
      <c r="I356" s="132">
        <v>0</v>
      </c>
      <c r="J356" s="131">
        <f t="shared" si="106"/>
        <v>0.15000389423076915</v>
      </c>
      <c r="K356" s="130">
        <f t="shared" si="107"/>
        <v>2.2501752449341616E-3</v>
      </c>
      <c r="L356" s="42">
        <f t="shared" si="116"/>
        <v>26.506689106382755</v>
      </c>
      <c r="M356" s="42">
        <f t="shared" si="113"/>
        <v>-23.015526806923734</v>
      </c>
      <c r="N356" s="42">
        <f>(IF(C355&lt;='SOLLECITAZ NASCOSTO'!$P$12,IF(C355&lt;='SOLLECITAZ NASCOSTO'!$P$11,IF(C355&lt;='SOLLECITAZ NASCOSTO'!$P$10,IF(C355&lt;='SOLLECITAZ NASCOSTO'!$P$9,IF(C355&lt;='SOLLECITAZ NASCOSTO'!$P$8,IF(C355&lt;='SOLLECITAZ NASCOSTO'!$P$7,IF(C355&lt;='SOLLECITAZ NASCOSTO'!$P$6,IF(C355&lt;='SOLLECITAZ NASCOSTO'!$P$5,'Progetto del paramento slu'!$G$105,'Progetto del paramento slu'!$G$106),'Progetto del paramento slu'!$G$107),'Progetto del paramento slu'!$G$108),'Progetto del paramento slu'!$G$109),'Progetto del paramento slu'!$G$110),'Progetto del paramento slu'!$G$111),'Progetto del paramento slu'!$G$112),55555)-IF(C355&lt;='SOLLECITAZ NASCOSTO'!$P$12,IF(C355&lt;='SOLLECITAZ NASCOSTO'!$P$11,IF(C355&lt;='SOLLECITAZ NASCOSTO'!$P$10,IF(C355&lt;='SOLLECITAZ NASCOSTO'!$P$9,IF(C355&lt;='SOLLECITAZ NASCOSTO'!$P$8,IF(C355&lt;='SOLLECITAZ NASCOSTO'!$P$7,IF(C355&lt;='SOLLECITAZ NASCOSTO'!$P$6,IF(C355&lt;='SOLLECITAZ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slu'!$G$112))*(C355-IF(C355&lt;='SOLLECITAZ NASCOSTO'!$P$12,IF(C355&lt;='SOLLECITAZ NASCOSTO'!$P$11,IF(C355&lt;='SOLLECITAZ NASCOSTO'!$P$10,IF(C355&lt;='SOLLECITAZ NASCOSTO'!$P$9,IF(C355&lt;='SOLLECITAZ NASCOSTO'!$P$8,IF(C355&lt;='SOLLECITAZ NASCOSTO'!$P$7,IF(C355&lt;='SOLLECITAZ NASCOSTO'!$P$6,IF(C355&lt;='SOLLECITAZ NASCOSTO'!$P$5,'SOLLECITAZ NASCOSTO'!$P$3,'SOLLECITAZ NASCOSTO'!$P$5),'SOLLECITAZ NASCOSTO'!$P$5),'SOLLECITAZ NASCOSTO'!$P$7),'SOLLECITAZ NASCOSTO'!$P$8),'SOLLECITAZ NASCOSTO'!$P$9),'SOLLECITAZ NASCOSTO'!$P$10),'SOLLECITAZ NASCOSTO'!$P$11),'SOLLECITAZ NASCOSTO'!$P$12))/IF(C355&lt;='SOLLECITAZ NASCOSTO'!$P$12,IF(C355&lt;='SOLLECITAZ NASCOSTO'!$P$11,IF(C355&lt;='SOLLECITAZ NASCOSTO'!$P$10,IF(C355&lt;='SOLLECITAZ NASCOSTO'!$P$9,IF(C355&lt;='SOLLECITAZ NASCOSTO'!$P$8,IF(C355&lt;='SOLLECITAZ NASCOSTO'!$P$7,IF(C355&lt;='SOLLECITAZ NASCOSTO'!$P$6,IF(C355&lt;='SOLLECITAZ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slu'!$C$112)+IF(C355&lt;='SOLLECITAZ NASCOSTO'!$P$12,IF(C355&lt;='SOLLECITAZ NASCOSTO'!$P$11,IF(C355&lt;='SOLLECITAZ NASCOSTO'!$P$10,IF(C355&lt;='SOLLECITAZ NASCOSTO'!$P$9,IF(C355&lt;='SOLLECITAZ NASCOSTO'!$P$8,IF(C355&lt;='SOLLECITAZ NASCOSTO'!$P$7,IF(C355&lt;='SOLLECITAZ NASCOSTO'!$P$6,IF(C355&lt;='SOLLECITAZ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19.690788956117501</v>
      </c>
      <c r="O356" s="42">
        <f>IF(C356&lt;='SOLLECITAZ NASCOSTO'!$P$12,IF(C356&lt;='SOLLECITAZ NASCOSTO'!$P$11,IF(C356&lt;='SOLLECITAZ NASCOSTO'!$P$10,IF(C356&lt;='SOLLECITAZ NASCOSTO'!$P$9,IF(C356&lt;='SOLLECITAZ NASCOSTO'!$P$8,IF(C356&lt;='SOLLECITAZ NASCOSTO'!$P$7,IF(C356&lt;='SOLLECITAZ NASCOSTO'!$P$6,IF(C356&lt;='SOLLECITAZ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slu'!$G$111),55555)*(C356-C355)/IF(C356&lt;='SOLLECITAZ NASCOSTO'!$P$12,IF(C356&lt;='SOLLECITAZ NASCOSTO'!$P$11,IF(C356&lt;='SOLLECITAZ NASCOSTO'!$P$10,IF(C356&lt;='SOLLECITAZ NASCOSTO'!$P$9,IF(C356&lt;='SOLLECITAZ NASCOSTO'!$P$8,IF(C356&lt;='SOLLECITAZ NASCOSTO'!$P$7,IF(C356&lt;='SOLLECITAZ NASCOSTO'!$P$6,IF(C356&lt;='SOLLECITAZ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56" s="42">
        <f t="shared" ref="P356:P419" si="119">P355+0.000001</f>
        <v>3.2300000000000135E-4</v>
      </c>
      <c r="Q356" s="42">
        <f t="shared" si="117"/>
        <v>1</v>
      </c>
      <c r="R356" s="441">
        <f t="shared" si="108"/>
        <v>2.2197115384615382</v>
      </c>
      <c r="S356" s="46">
        <f t="shared" si="118"/>
        <v>2.2197115384615382</v>
      </c>
      <c r="T356" s="211">
        <f t="shared" si="112"/>
        <v>1.1302884615384619</v>
      </c>
      <c r="U356" s="46">
        <f t="shared" si="114"/>
        <v>26.506689106382755</v>
      </c>
      <c r="V356" s="46">
        <f t="shared" si="115"/>
        <v>-23.015526806923734</v>
      </c>
      <c r="W356" s="496"/>
    </row>
    <row r="357" spans="1:23" s="428" customFormat="1" x14ac:dyDescent="0.25">
      <c r="A357" s="589">
        <f t="shared" si="109"/>
        <v>7.8124999998152589E-6</v>
      </c>
      <c r="B357" s="32">
        <f t="shared" si="110"/>
        <v>325</v>
      </c>
      <c r="C357" s="441">
        <f>'SOLLECITAZ NASCOSTO'!$D$6/'SOLLECITAZ NASCOSTO'!$B$448*'SOLLECITAZ NASCOSTO'!B357</f>
        <v>2.2265625</v>
      </c>
      <c r="D357" s="132">
        <f t="shared" si="111"/>
        <v>0.3000078124999998</v>
      </c>
      <c r="E357" s="132">
        <f t="shared" si="102"/>
        <v>7.8124999998152589E-6</v>
      </c>
      <c r="F357" s="132">
        <f t="shared" si="103"/>
        <v>0.3000078124999998</v>
      </c>
      <c r="G357" s="132">
        <f t="shared" si="104"/>
        <v>4.5002343780517519E-2</v>
      </c>
      <c r="H357" s="132">
        <f t="shared" si="105"/>
        <v>0</v>
      </c>
      <c r="I357" s="132">
        <v>0</v>
      </c>
      <c r="J357" s="131">
        <f t="shared" si="106"/>
        <v>0.1500039062499999</v>
      </c>
      <c r="K357" s="130">
        <f t="shared" si="107"/>
        <v>2.2501757858276721E-3</v>
      </c>
      <c r="L357" s="42">
        <f t="shared" si="116"/>
        <v>26.642084572154701</v>
      </c>
      <c r="M357" s="42">
        <f t="shared" si="113"/>
        <v>-23.19758690906777</v>
      </c>
      <c r="N357" s="42">
        <f>(IF(C356&lt;='SOLLECITAZ NASCOSTO'!$P$12,IF(C356&lt;='SOLLECITAZ NASCOSTO'!$P$11,IF(C356&lt;='SOLLECITAZ NASCOSTO'!$P$10,IF(C356&lt;='SOLLECITAZ NASCOSTO'!$P$9,IF(C356&lt;='SOLLECITAZ NASCOSTO'!$P$8,IF(C356&lt;='SOLLECITAZ NASCOSTO'!$P$7,IF(C356&lt;='SOLLECITAZ NASCOSTO'!$P$6,IF(C356&lt;='SOLLECITAZ NASCOSTO'!$P$5,'Progetto del paramento slu'!$G$105,'Progetto del paramento slu'!$G$106),'Progetto del paramento slu'!$G$107),'Progetto del paramento slu'!$G$108),'Progetto del paramento slu'!$G$109),'Progetto del paramento slu'!$G$110),'Progetto del paramento slu'!$G$111),'Progetto del paramento slu'!$G$112),55555)-IF(C356&lt;='SOLLECITAZ NASCOSTO'!$P$12,IF(C356&lt;='SOLLECITAZ NASCOSTO'!$P$11,IF(C356&lt;='SOLLECITAZ NASCOSTO'!$P$10,IF(C356&lt;='SOLLECITAZ NASCOSTO'!$P$9,IF(C356&lt;='SOLLECITAZ NASCOSTO'!$P$8,IF(C356&lt;='SOLLECITAZ NASCOSTO'!$P$7,IF(C356&lt;='SOLLECITAZ NASCOSTO'!$P$6,IF(C356&lt;='SOLLECITAZ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slu'!$G$112))*(C356-IF(C356&lt;='SOLLECITAZ NASCOSTO'!$P$12,IF(C356&lt;='SOLLECITAZ NASCOSTO'!$P$11,IF(C356&lt;='SOLLECITAZ NASCOSTO'!$P$10,IF(C356&lt;='SOLLECITAZ NASCOSTO'!$P$9,IF(C356&lt;='SOLLECITAZ NASCOSTO'!$P$8,IF(C356&lt;='SOLLECITAZ NASCOSTO'!$P$7,IF(C356&lt;='SOLLECITAZ NASCOSTO'!$P$6,IF(C356&lt;='SOLLECITAZ NASCOSTO'!$P$5,'SOLLECITAZ NASCOSTO'!$P$3,'SOLLECITAZ NASCOSTO'!$P$5),'SOLLECITAZ NASCOSTO'!$P$5),'SOLLECITAZ NASCOSTO'!$P$7),'SOLLECITAZ NASCOSTO'!$P$8),'SOLLECITAZ NASCOSTO'!$P$9),'SOLLECITAZ NASCOSTO'!$P$10),'SOLLECITAZ NASCOSTO'!$P$11),'SOLLECITAZ NASCOSTO'!$P$12))/IF(C356&lt;='SOLLECITAZ NASCOSTO'!$P$12,IF(C356&lt;='SOLLECITAZ NASCOSTO'!$P$11,IF(C356&lt;='SOLLECITAZ NASCOSTO'!$P$10,IF(C356&lt;='SOLLECITAZ NASCOSTO'!$P$9,IF(C356&lt;='SOLLECITAZ NASCOSTO'!$P$8,IF(C356&lt;='SOLLECITAZ NASCOSTO'!$P$7,IF(C356&lt;='SOLLECITAZ NASCOSTO'!$P$6,IF(C356&lt;='SOLLECITAZ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slu'!$C$112)+IF(C356&lt;='SOLLECITAZ NASCOSTO'!$P$12,IF(C356&lt;='SOLLECITAZ NASCOSTO'!$P$11,IF(C356&lt;='SOLLECITAZ NASCOSTO'!$P$10,IF(C356&lt;='SOLLECITAZ NASCOSTO'!$P$9,IF(C356&lt;='SOLLECITAZ NASCOSTO'!$P$8,IF(C356&lt;='SOLLECITAZ NASCOSTO'!$P$7,IF(C356&lt;='SOLLECITAZ NASCOSTO'!$P$6,IF(C356&lt;='SOLLECITAZ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19.738921175109851</v>
      </c>
      <c r="O357" s="42">
        <f>IF(C357&lt;='SOLLECITAZ NASCOSTO'!$P$12,IF(C357&lt;='SOLLECITAZ NASCOSTO'!$P$11,IF(C357&lt;='SOLLECITAZ NASCOSTO'!$P$10,IF(C357&lt;='SOLLECITAZ NASCOSTO'!$P$9,IF(C357&lt;='SOLLECITAZ NASCOSTO'!$P$8,IF(C357&lt;='SOLLECITAZ NASCOSTO'!$P$7,IF(C357&lt;='SOLLECITAZ NASCOSTO'!$P$6,IF(C357&lt;='SOLLECITAZ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slu'!$G$111),55555)*(C357-C356)/IF(C357&lt;='SOLLECITAZ NASCOSTO'!$P$12,IF(C357&lt;='SOLLECITAZ NASCOSTO'!$P$11,IF(C357&lt;='SOLLECITAZ NASCOSTO'!$P$10,IF(C357&lt;='SOLLECITAZ NASCOSTO'!$P$9,IF(C357&lt;='SOLLECITAZ NASCOSTO'!$P$8,IF(C357&lt;='SOLLECITAZ NASCOSTO'!$P$7,IF(C357&lt;='SOLLECITAZ NASCOSTO'!$P$6,IF(C357&lt;='SOLLECITAZ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57" s="42">
        <f t="shared" si="119"/>
        <v>3.2400000000000137E-4</v>
      </c>
      <c r="Q357" s="42">
        <f t="shared" si="117"/>
        <v>1</v>
      </c>
      <c r="R357" s="441">
        <f t="shared" si="108"/>
        <v>2.2265625</v>
      </c>
      <c r="S357" s="46">
        <f t="shared" si="118"/>
        <v>2.2265625</v>
      </c>
      <c r="T357" s="211">
        <f t="shared" si="112"/>
        <v>1.1234375000000001</v>
      </c>
      <c r="U357" s="46">
        <f t="shared" si="114"/>
        <v>26.642084572154701</v>
      </c>
      <c r="V357" s="46">
        <f t="shared" si="115"/>
        <v>-23.19758690906777</v>
      </c>
      <c r="W357" s="496"/>
    </row>
    <row r="358" spans="1:23" s="428" customFormat="1" x14ac:dyDescent="0.25">
      <c r="A358" s="589">
        <f t="shared" si="109"/>
        <v>7.8365384613698907E-6</v>
      </c>
      <c r="B358" s="32">
        <f t="shared" si="110"/>
        <v>326</v>
      </c>
      <c r="C358" s="441">
        <f>'SOLLECITAZ NASCOSTO'!$D$6/'SOLLECITAZ NASCOSTO'!$B$448*'SOLLECITAZ NASCOSTO'!B358</f>
        <v>2.2334134615384613</v>
      </c>
      <c r="D358" s="441">
        <f t="shared" si="111"/>
        <v>0.30000783653846136</v>
      </c>
      <c r="E358" s="441">
        <f t="shared" si="102"/>
        <v>7.8365384613698907E-6</v>
      </c>
      <c r="F358" s="441">
        <f t="shared" si="103"/>
        <v>0.30000783653846136</v>
      </c>
      <c r="G358" s="441">
        <f t="shared" si="104"/>
        <v>4.5002350992244075E-2</v>
      </c>
      <c r="H358" s="441">
        <f t="shared" ref="H358:H421" si="120">I358*F358</f>
        <v>0</v>
      </c>
      <c r="I358" s="441">
        <v>0</v>
      </c>
      <c r="J358" s="131">
        <f t="shared" ref="J358:J421" si="121">G358/F358</f>
        <v>0.15000391826923068</v>
      </c>
      <c r="K358" s="130">
        <f t="shared" si="107"/>
        <v>2.2501763267212707E-3</v>
      </c>
      <c r="L358" s="42">
        <f t="shared" ref="L358:L421" si="122">L357+N358*(C358-C357)+O358*(C358-C357)/2</f>
        <v>26.777809789907714</v>
      </c>
      <c r="M358" s="42">
        <f t="shared" si="113"/>
        <v>-23.380575729899348</v>
      </c>
      <c r="N358" s="42">
        <f>(IF(C357&lt;='SOLLECITAZ NASCOSTO'!$P$12,IF(C357&lt;='SOLLECITAZ NASCOSTO'!$P$11,IF(C357&lt;='SOLLECITAZ NASCOSTO'!$P$10,IF(C357&lt;='SOLLECITAZ NASCOSTO'!$P$9,IF(C357&lt;='SOLLECITAZ NASCOSTO'!$P$8,IF(C357&lt;='SOLLECITAZ NASCOSTO'!$P$7,IF(C357&lt;='SOLLECITAZ NASCOSTO'!$P$6,IF(C357&lt;='SOLLECITAZ NASCOSTO'!$P$5,'Progetto del paramento slu'!$G$105,'Progetto del paramento slu'!$G$106),'Progetto del paramento slu'!$G$107),'Progetto del paramento slu'!$G$108),'Progetto del paramento slu'!$G$109),'Progetto del paramento slu'!$G$110),'Progetto del paramento slu'!$G$111),'Progetto del paramento slu'!$G$112),55555)-IF(C357&lt;='SOLLECITAZ NASCOSTO'!$P$12,IF(C357&lt;='SOLLECITAZ NASCOSTO'!$P$11,IF(C357&lt;='SOLLECITAZ NASCOSTO'!$P$10,IF(C357&lt;='SOLLECITAZ NASCOSTO'!$P$9,IF(C357&lt;='SOLLECITAZ NASCOSTO'!$P$8,IF(C357&lt;='SOLLECITAZ NASCOSTO'!$P$7,IF(C357&lt;='SOLLECITAZ NASCOSTO'!$P$6,IF(C357&lt;='SOLLECITAZ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slu'!$G$112))*(C357-IF(C357&lt;='SOLLECITAZ NASCOSTO'!$P$12,IF(C357&lt;='SOLLECITAZ NASCOSTO'!$P$11,IF(C357&lt;='SOLLECITAZ NASCOSTO'!$P$10,IF(C357&lt;='SOLLECITAZ NASCOSTO'!$P$9,IF(C357&lt;='SOLLECITAZ NASCOSTO'!$P$8,IF(C357&lt;='SOLLECITAZ NASCOSTO'!$P$7,IF(C357&lt;='SOLLECITAZ NASCOSTO'!$P$6,IF(C357&lt;='SOLLECITAZ NASCOSTO'!$P$5,'SOLLECITAZ NASCOSTO'!$P$3,'SOLLECITAZ NASCOSTO'!$P$5),'SOLLECITAZ NASCOSTO'!$P$5),'SOLLECITAZ NASCOSTO'!$P$7),'SOLLECITAZ NASCOSTO'!$P$8),'SOLLECITAZ NASCOSTO'!$P$9),'SOLLECITAZ NASCOSTO'!$P$10),'SOLLECITAZ NASCOSTO'!$P$11),'SOLLECITAZ NASCOSTO'!$P$12))/IF(C357&lt;='SOLLECITAZ NASCOSTO'!$P$12,IF(C357&lt;='SOLLECITAZ NASCOSTO'!$P$11,IF(C357&lt;='SOLLECITAZ NASCOSTO'!$P$10,IF(C357&lt;='SOLLECITAZ NASCOSTO'!$P$9,IF(C357&lt;='SOLLECITAZ NASCOSTO'!$P$8,IF(C357&lt;='SOLLECITAZ NASCOSTO'!$P$7,IF(C357&lt;='SOLLECITAZ NASCOSTO'!$P$6,IF(C357&lt;='SOLLECITAZ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slu'!$C$112)+IF(C357&lt;='SOLLECITAZ NASCOSTO'!$P$12,IF(C357&lt;='SOLLECITAZ NASCOSTO'!$P$11,IF(C357&lt;='SOLLECITAZ NASCOSTO'!$P$10,IF(C357&lt;='SOLLECITAZ NASCOSTO'!$P$9,IF(C357&lt;='SOLLECITAZ NASCOSTO'!$P$8,IF(C357&lt;='SOLLECITAZ NASCOSTO'!$P$7,IF(C357&lt;='SOLLECITAZ NASCOSTO'!$P$6,IF(C357&lt;='SOLLECITAZ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19.787053394102209</v>
      </c>
      <c r="O358" s="42">
        <f>IF(C358&lt;='SOLLECITAZ NASCOSTO'!$P$12,IF(C358&lt;='SOLLECITAZ NASCOSTO'!$P$11,IF(C358&lt;='SOLLECITAZ NASCOSTO'!$P$10,IF(C358&lt;='SOLLECITAZ NASCOSTO'!$P$9,IF(C358&lt;='SOLLECITAZ NASCOSTO'!$P$8,IF(C358&lt;='SOLLECITAZ NASCOSTO'!$P$7,IF(C358&lt;='SOLLECITAZ NASCOSTO'!$P$6,IF(C358&lt;='SOLLECITAZ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slu'!$G$111),55555)*(C358-C357)/IF(C358&lt;='SOLLECITAZ NASCOSTO'!$P$12,IF(C358&lt;='SOLLECITAZ NASCOSTO'!$P$11,IF(C358&lt;='SOLLECITAZ NASCOSTO'!$P$10,IF(C358&lt;='SOLLECITAZ NASCOSTO'!$P$9,IF(C358&lt;='SOLLECITAZ NASCOSTO'!$P$8,IF(C358&lt;='SOLLECITAZ NASCOSTO'!$P$7,IF(C358&lt;='SOLLECITAZ NASCOSTO'!$P$6,IF(C358&lt;='SOLLECITAZ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58" s="42">
        <f t="shared" si="119"/>
        <v>3.2500000000000139E-4</v>
      </c>
      <c r="Q358" s="42">
        <f t="shared" si="117"/>
        <v>1</v>
      </c>
      <c r="R358" s="441">
        <f t="shared" si="108"/>
        <v>2.2334134615384613</v>
      </c>
      <c r="S358" s="46">
        <f t="shared" si="118"/>
        <v>2.2334134615384613</v>
      </c>
      <c r="T358" s="211">
        <f t="shared" si="112"/>
        <v>1.1165865384615388</v>
      </c>
      <c r="U358" s="46">
        <f t="shared" si="114"/>
        <v>26.777809789907714</v>
      </c>
      <c r="V358" s="46">
        <f t="shared" si="115"/>
        <v>-23.380575729899348</v>
      </c>
      <c r="W358" s="496"/>
    </row>
    <row r="359" spans="1:23" s="428" customFormat="1" x14ac:dyDescent="0.25">
      <c r="A359" s="589">
        <f t="shared" si="109"/>
        <v>7.8605769229245226E-6</v>
      </c>
      <c r="B359" s="32">
        <f t="shared" si="110"/>
        <v>327</v>
      </c>
      <c r="C359" s="441">
        <f>'SOLLECITAZ NASCOSTO'!$D$6/'SOLLECITAZ NASCOSTO'!$B$448*'SOLLECITAZ NASCOSTO'!B359</f>
        <v>2.2402644230769231</v>
      </c>
      <c r="D359" s="441">
        <f t="shared" si="111"/>
        <v>0.30000786057692291</v>
      </c>
      <c r="E359" s="441">
        <f t="shared" si="102"/>
        <v>7.8605769229245226E-6</v>
      </c>
      <c r="F359" s="441">
        <f t="shared" si="103"/>
        <v>0.30000786057692291</v>
      </c>
      <c r="G359" s="441">
        <f t="shared" si="104"/>
        <v>4.5002358203971207E-2</v>
      </c>
      <c r="H359" s="441">
        <f t="shared" si="120"/>
        <v>0</v>
      </c>
      <c r="I359" s="441">
        <v>0</v>
      </c>
      <c r="J359" s="131">
        <f t="shared" si="121"/>
        <v>0.15000393028846146</v>
      </c>
      <c r="K359" s="130">
        <f t="shared" si="107"/>
        <v>2.2501768676149564E-3</v>
      </c>
      <c r="L359" s="42">
        <f t="shared" si="122"/>
        <v>26.913864759641815</v>
      </c>
      <c r="M359" s="42">
        <f t="shared" si="113"/>
        <v>-23.564495528536632</v>
      </c>
      <c r="N359" s="42">
        <f>(IF(C358&lt;='SOLLECITAZ NASCOSTO'!$P$12,IF(C358&lt;='SOLLECITAZ NASCOSTO'!$P$11,IF(C358&lt;='SOLLECITAZ NASCOSTO'!$P$10,IF(C358&lt;='SOLLECITAZ NASCOSTO'!$P$9,IF(C358&lt;='SOLLECITAZ NASCOSTO'!$P$8,IF(C358&lt;='SOLLECITAZ NASCOSTO'!$P$7,IF(C358&lt;='SOLLECITAZ NASCOSTO'!$P$6,IF(C358&lt;='SOLLECITAZ NASCOSTO'!$P$5,'Progetto del paramento slu'!$G$105,'Progetto del paramento slu'!$G$106),'Progetto del paramento slu'!$G$107),'Progetto del paramento slu'!$G$108),'Progetto del paramento slu'!$G$109),'Progetto del paramento slu'!$G$110),'Progetto del paramento slu'!$G$111),'Progetto del paramento slu'!$G$112),55555)-IF(C358&lt;='SOLLECITAZ NASCOSTO'!$P$12,IF(C358&lt;='SOLLECITAZ NASCOSTO'!$P$11,IF(C358&lt;='SOLLECITAZ NASCOSTO'!$P$10,IF(C358&lt;='SOLLECITAZ NASCOSTO'!$P$9,IF(C358&lt;='SOLLECITAZ NASCOSTO'!$P$8,IF(C358&lt;='SOLLECITAZ NASCOSTO'!$P$7,IF(C358&lt;='SOLLECITAZ NASCOSTO'!$P$6,IF(C358&lt;='SOLLECITAZ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slu'!$G$112))*(C358-IF(C358&lt;='SOLLECITAZ NASCOSTO'!$P$12,IF(C358&lt;='SOLLECITAZ NASCOSTO'!$P$11,IF(C358&lt;='SOLLECITAZ NASCOSTO'!$P$10,IF(C358&lt;='SOLLECITAZ NASCOSTO'!$P$9,IF(C358&lt;='SOLLECITAZ NASCOSTO'!$P$8,IF(C358&lt;='SOLLECITAZ NASCOSTO'!$P$7,IF(C358&lt;='SOLLECITAZ NASCOSTO'!$P$6,IF(C358&lt;='SOLLECITAZ NASCOSTO'!$P$5,'SOLLECITAZ NASCOSTO'!$P$3,'SOLLECITAZ NASCOSTO'!$P$5),'SOLLECITAZ NASCOSTO'!$P$5),'SOLLECITAZ NASCOSTO'!$P$7),'SOLLECITAZ NASCOSTO'!$P$8),'SOLLECITAZ NASCOSTO'!$P$9),'SOLLECITAZ NASCOSTO'!$P$10),'SOLLECITAZ NASCOSTO'!$P$11),'SOLLECITAZ NASCOSTO'!$P$12))/IF(C358&lt;='SOLLECITAZ NASCOSTO'!$P$12,IF(C358&lt;='SOLLECITAZ NASCOSTO'!$P$11,IF(C358&lt;='SOLLECITAZ NASCOSTO'!$P$10,IF(C358&lt;='SOLLECITAZ NASCOSTO'!$P$9,IF(C358&lt;='SOLLECITAZ NASCOSTO'!$P$8,IF(C358&lt;='SOLLECITAZ NASCOSTO'!$P$7,IF(C358&lt;='SOLLECITAZ NASCOSTO'!$P$6,IF(C358&lt;='SOLLECITAZ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slu'!$C$112)+IF(C358&lt;='SOLLECITAZ NASCOSTO'!$P$12,IF(C358&lt;='SOLLECITAZ NASCOSTO'!$P$11,IF(C358&lt;='SOLLECITAZ NASCOSTO'!$P$10,IF(C358&lt;='SOLLECITAZ NASCOSTO'!$P$9,IF(C358&lt;='SOLLECITAZ NASCOSTO'!$P$8,IF(C358&lt;='SOLLECITAZ NASCOSTO'!$P$7,IF(C358&lt;='SOLLECITAZ NASCOSTO'!$P$6,IF(C358&lt;='SOLLECITAZ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19.835185613094559</v>
      </c>
      <c r="O359" s="42">
        <f>IF(C359&lt;='SOLLECITAZ NASCOSTO'!$P$12,IF(C359&lt;='SOLLECITAZ NASCOSTO'!$P$11,IF(C359&lt;='SOLLECITAZ NASCOSTO'!$P$10,IF(C359&lt;='SOLLECITAZ NASCOSTO'!$P$9,IF(C359&lt;='SOLLECITAZ NASCOSTO'!$P$8,IF(C359&lt;='SOLLECITAZ NASCOSTO'!$P$7,IF(C359&lt;='SOLLECITAZ NASCOSTO'!$P$6,IF(C359&lt;='SOLLECITAZ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slu'!$G$111),55555)*(C359-C358)/IF(C359&lt;='SOLLECITAZ NASCOSTO'!$P$12,IF(C359&lt;='SOLLECITAZ NASCOSTO'!$P$11,IF(C359&lt;='SOLLECITAZ NASCOSTO'!$P$10,IF(C359&lt;='SOLLECITAZ NASCOSTO'!$P$9,IF(C359&lt;='SOLLECITAZ NASCOSTO'!$P$8,IF(C359&lt;='SOLLECITAZ NASCOSTO'!$P$7,IF(C359&lt;='SOLLECITAZ NASCOSTO'!$P$6,IF(C359&lt;='SOLLECITAZ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59" s="42">
        <f t="shared" si="119"/>
        <v>3.2600000000000142E-4</v>
      </c>
      <c r="Q359" s="42">
        <f t="shared" si="117"/>
        <v>1</v>
      </c>
      <c r="R359" s="441">
        <f t="shared" si="108"/>
        <v>2.2402644230769231</v>
      </c>
      <c r="S359" s="46">
        <f t="shared" si="118"/>
        <v>2.2402644230769231</v>
      </c>
      <c r="T359" s="211">
        <f t="shared" si="112"/>
        <v>1.109735576923077</v>
      </c>
      <c r="U359" s="46">
        <f t="shared" si="114"/>
        <v>26.913864759641815</v>
      </c>
      <c r="V359" s="46">
        <f t="shared" si="115"/>
        <v>-23.564495528536632</v>
      </c>
      <c r="W359" s="496"/>
    </row>
    <row r="360" spans="1:23" s="428" customFormat="1" x14ac:dyDescent="0.25">
      <c r="A360" s="589">
        <f t="shared" si="109"/>
        <v>7.8846153844236433E-6</v>
      </c>
      <c r="B360" s="32">
        <f t="shared" si="110"/>
        <v>328</v>
      </c>
      <c r="C360" s="441">
        <f>'SOLLECITAZ NASCOSTO'!$D$6/'SOLLECITAZ NASCOSTO'!$B$448*'SOLLECITAZ NASCOSTO'!B360</f>
        <v>2.2471153846153844</v>
      </c>
      <c r="D360" s="441">
        <f t="shared" si="111"/>
        <v>0.30000788461538441</v>
      </c>
      <c r="E360" s="441">
        <f t="shared" si="102"/>
        <v>7.8846153844236433E-6</v>
      </c>
      <c r="F360" s="441">
        <f t="shared" si="103"/>
        <v>0.30000788461538441</v>
      </c>
      <c r="G360" s="441">
        <f t="shared" si="104"/>
        <v>4.5002365415698908E-2</v>
      </c>
      <c r="H360" s="441">
        <f t="shared" si="120"/>
        <v>0</v>
      </c>
      <c r="I360" s="441">
        <v>0</v>
      </c>
      <c r="J360" s="131">
        <f t="shared" si="121"/>
        <v>0.15000394230769223</v>
      </c>
      <c r="K360" s="130">
        <f t="shared" si="107"/>
        <v>2.2501774085087268E-3</v>
      </c>
      <c r="L360" s="42">
        <f t="shared" si="122"/>
        <v>27.050249481356982</v>
      </c>
      <c r="M360" s="42">
        <f t="shared" si="113"/>
        <v>-23.74934856409774</v>
      </c>
      <c r="N360" s="42">
        <f>(IF(C359&lt;='SOLLECITAZ NASCOSTO'!$P$12,IF(C359&lt;='SOLLECITAZ NASCOSTO'!$P$11,IF(C359&lt;='SOLLECITAZ NASCOSTO'!$P$10,IF(C359&lt;='SOLLECITAZ NASCOSTO'!$P$9,IF(C359&lt;='SOLLECITAZ NASCOSTO'!$P$8,IF(C359&lt;='SOLLECITAZ NASCOSTO'!$P$7,IF(C359&lt;='SOLLECITAZ NASCOSTO'!$P$6,IF(C359&lt;='SOLLECITAZ NASCOSTO'!$P$5,'Progetto del paramento slu'!$G$105,'Progetto del paramento slu'!$G$106),'Progetto del paramento slu'!$G$107),'Progetto del paramento slu'!$G$108),'Progetto del paramento slu'!$G$109),'Progetto del paramento slu'!$G$110),'Progetto del paramento slu'!$G$111),'Progetto del paramento slu'!$G$112),55555)-IF(C359&lt;='SOLLECITAZ NASCOSTO'!$P$12,IF(C359&lt;='SOLLECITAZ NASCOSTO'!$P$11,IF(C359&lt;='SOLLECITAZ NASCOSTO'!$P$10,IF(C359&lt;='SOLLECITAZ NASCOSTO'!$P$9,IF(C359&lt;='SOLLECITAZ NASCOSTO'!$P$8,IF(C359&lt;='SOLLECITAZ NASCOSTO'!$P$7,IF(C359&lt;='SOLLECITAZ NASCOSTO'!$P$6,IF(C359&lt;='SOLLECITAZ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slu'!$G$112))*(C359-IF(C359&lt;='SOLLECITAZ NASCOSTO'!$P$12,IF(C359&lt;='SOLLECITAZ NASCOSTO'!$P$11,IF(C359&lt;='SOLLECITAZ NASCOSTO'!$P$10,IF(C359&lt;='SOLLECITAZ NASCOSTO'!$P$9,IF(C359&lt;='SOLLECITAZ NASCOSTO'!$P$8,IF(C359&lt;='SOLLECITAZ NASCOSTO'!$P$7,IF(C359&lt;='SOLLECITAZ NASCOSTO'!$P$6,IF(C359&lt;='SOLLECITAZ NASCOSTO'!$P$5,'SOLLECITAZ NASCOSTO'!$P$3,'SOLLECITAZ NASCOSTO'!$P$5),'SOLLECITAZ NASCOSTO'!$P$5),'SOLLECITAZ NASCOSTO'!$P$7),'SOLLECITAZ NASCOSTO'!$P$8),'SOLLECITAZ NASCOSTO'!$P$9),'SOLLECITAZ NASCOSTO'!$P$10),'SOLLECITAZ NASCOSTO'!$P$11),'SOLLECITAZ NASCOSTO'!$P$12))/IF(C359&lt;='SOLLECITAZ NASCOSTO'!$P$12,IF(C359&lt;='SOLLECITAZ NASCOSTO'!$P$11,IF(C359&lt;='SOLLECITAZ NASCOSTO'!$P$10,IF(C359&lt;='SOLLECITAZ NASCOSTO'!$P$9,IF(C359&lt;='SOLLECITAZ NASCOSTO'!$P$8,IF(C359&lt;='SOLLECITAZ NASCOSTO'!$P$7,IF(C359&lt;='SOLLECITAZ NASCOSTO'!$P$6,IF(C359&lt;='SOLLECITAZ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slu'!$C$112)+IF(C359&lt;='SOLLECITAZ NASCOSTO'!$P$12,IF(C359&lt;='SOLLECITAZ NASCOSTO'!$P$11,IF(C359&lt;='SOLLECITAZ NASCOSTO'!$P$10,IF(C359&lt;='SOLLECITAZ NASCOSTO'!$P$9,IF(C359&lt;='SOLLECITAZ NASCOSTO'!$P$8,IF(C359&lt;='SOLLECITAZ NASCOSTO'!$P$7,IF(C359&lt;='SOLLECITAZ NASCOSTO'!$P$6,IF(C359&lt;='SOLLECITAZ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19.883317832086913</v>
      </c>
      <c r="O360" s="42">
        <f>IF(C360&lt;='SOLLECITAZ NASCOSTO'!$P$12,IF(C360&lt;='SOLLECITAZ NASCOSTO'!$P$11,IF(C360&lt;='SOLLECITAZ NASCOSTO'!$P$10,IF(C360&lt;='SOLLECITAZ NASCOSTO'!$P$9,IF(C360&lt;='SOLLECITAZ NASCOSTO'!$P$8,IF(C360&lt;='SOLLECITAZ NASCOSTO'!$P$7,IF(C360&lt;='SOLLECITAZ NASCOSTO'!$P$6,IF(C360&lt;='SOLLECITAZ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slu'!$G$111),55555)*(C360-C359)/IF(C360&lt;='SOLLECITAZ NASCOSTO'!$P$12,IF(C360&lt;='SOLLECITAZ NASCOSTO'!$P$11,IF(C360&lt;='SOLLECITAZ NASCOSTO'!$P$10,IF(C360&lt;='SOLLECITAZ NASCOSTO'!$P$9,IF(C360&lt;='SOLLECITAZ NASCOSTO'!$P$8,IF(C360&lt;='SOLLECITAZ NASCOSTO'!$P$7,IF(C360&lt;='SOLLECITAZ NASCOSTO'!$P$6,IF(C360&lt;='SOLLECITAZ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60" s="42">
        <f t="shared" si="119"/>
        <v>3.2700000000000144E-4</v>
      </c>
      <c r="Q360" s="42">
        <f t="shared" si="117"/>
        <v>1</v>
      </c>
      <c r="R360" s="441">
        <f t="shared" si="108"/>
        <v>2.2471153846153844</v>
      </c>
      <c r="S360" s="46">
        <f t="shared" si="118"/>
        <v>2.2471153846153844</v>
      </c>
      <c r="T360" s="211">
        <f t="shared" si="112"/>
        <v>1.1028846153846157</v>
      </c>
      <c r="U360" s="46">
        <f t="shared" si="114"/>
        <v>27.050249481356982</v>
      </c>
      <c r="V360" s="46">
        <f t="shared" si="115"/>
        <v>-23.74934856409774</v>
      </c>
      <c r="W360" s="496"/>
    </row>
    <row r="361" spans="1:23" s="428" customFormat="1" x14ac:dyDescent="0.25">
      <c r="A361" s="589">
        <f t="shared" si="109"/>
        <v>7.9086538459782751E-6</v>
      </c>
      <c r="B361" s="32">
        <f t="shared" si="110"/>
        <v>329</v>
      </c>
      <c r="C361" s="441">
        <f>'SOLLECITAZ NASCOSTO'!$D$6/'SOLLECITAZ NASCOSTO'!$B$448*'SOLLECITAZ NASCOSTO'!B361</f>
        <v>2.2539663461538462</v>
      </c>
      <c r="D361" s="441">
        <f t="shared" si="111"/>
        <v>0.30000790865384597</v>
      </c>
      <c r="E361" s="441">
        <f t="shared" si="102"/>
        <v>7.9086538459782751E-6</v>
      </c>
      <c r="F361" s="441">
        <f t="shared" si="103"/>
        <v>0.30000790865384597</v>
      </c>
      <c r="G361" s="441">
        <f t="shared" si="104"/>
        <v>4.5002372627427192E-2</v>
      </c>
      <c r="H361" s="441">
        <f t="shared" si="120"/>
        <v>0</v>
      </c>
      <c r="I361" s="441">
        <v>0</v>
      </c>
      <c r="J361" s="131">
        <f t="shared" si="121"/>
        <v>0.15000395432692298</v>
      </c>
      <c r="K361" s="130">
        <f t="shared" si="107"/>
        <v>2.250177949402586E-3</v>
      </c>
      <c r="L361" s="42">
        <f t="shared" si="122"/>
        <v>27.186963955053237</v>
      </c>
      <c r="M361" s="42">
        <f t="shared" si="113"/>
        <v>-23.935137095700835</v>
      </c>
      <c r="N361" s="42">
        <f>(IF(C360&lt;='SOLLECITAZ NASCOSTO'!$P$12,IF(C360&lt;='SOLLECITAZ NASCOSTO'!$P$11,IF(C360&lt;='SOLLECITAZ NASCOSTO'!$P$10,IF(C360&lt;='SOLLECITAZ NASCOSTO'!$P$9,IF(C360&lt;='SOLLECITAZ NASCOSTO'!$P$8,IF(C360&lt;='SOLLECITAZ NASCOSTO'!$P$7,IF(C360&lt;='SOLLECITAZ NASCOSTO'!$P$6,IF(C360&lt;='SOLLECITAZ NASCOSTO'!$P$5,'Progetto del paramento slu'!$G$105,'Progetto del paramento slu'!$G$106),'Progetto del paramento slu'!$G$107),'Progetto del paramento slu'!$G$108),'Progetto del paramento slu'!$G$109),'Progetto del paramento slu'!$G$110),'Progetto del paramento slu'!$G$111),'Progetto del paramento slu'!$G$112),55555)-IF(C360&lt;='SOLLECITAZ NASCOSTO'!$P$12,IF(C360&lt;='SOLLECITAZ NASCOSTO'!$P$11,IF(C360&lt;='SOLLECITAZ NASCOSTO'!$P$10,IF(C360&lt;='SOLLECITAZ NASCOSTO'!$P$9,IF(C360&lt;='SOLLECITAZ NASCOSTO'!$P$8,IF(C360&lt;='SOLLECITAZ NASCOSTO'!$P$7,IF(C360&lt;='SOLLECITAZ NASCOSTO'!$P$6,IF(C360&lt;='SOLLECITAZ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slu'!$G$112))*(C360-IF(C360&lt;='SOLLECITAZ NASCOSTO'!$P$12,IF(C360&lt;='SOLLECITAZ NASCOSTO'!$P$11,IF(C360&lt;='SOLLECITAZ NASCOSTO'!$P$10,IF(C360&lt;='SOLLECITAZ NASCOSTO'!$P$9,IF(C360&lt;='SOLLECITAZ NASCOSTO'!$P$8,IF(C360&lt;='SOLLECITAZ NASCOSTO'!$P$7,IF(C360&lt;='SOLLECITAZ NASCOSTO'!$P$6,IF(C360&lt;='SOLLECITAZ NASCOSTO'!$P$5,'SOLLECITAZ NASCOSTO'!$P$3,'SOLLECITAZ NASCOSTO'!$P$5),'SOLLECITAZ NASCOSTO'!$P$5),'SOLLECITAZ NASCOSTO'!$P$7),'SOLLECITAZ NASCOSTO'!$P$8),'SOLLECITAZ NASCOSTO'!$P$9),'SOLLECITAZ NASCOSTO'!$P$10),'SOLLECITAZ NASCOSTO'!$P$11),'SOLLECITAZ NASCOSTO'!$P$12))/IF(C360&lt;='SOLLECITAZ NASCOSTO'!$P$12,IF(C360&lt;='SOLLECITAZ NASCOSTO'!$P$11,IF(C360&lt;='SOLLECITAZ NASCOSTO'!$P$10,IF(C360&lt;='SOLLECITAZ NASCOSTO'!$P$9,IF(C360&lt;='SOLLECITAZ NASCOSTO'!$P$8,IF(C360&lt;='SOLLECITAZ NASCOSTO'!$P$7,IF(C360&lt;='SOLLECITAZ NASCOSTO'!$P$6,IF(C360&lt;='SOLLECITAZ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slu'!$C$112)+IF(C360&lt;='SOLLECITAZ NASCOSTO'!$P$12,IF(C360&lt;='SOLLECITAZ NASCOSTO'!$P$11,IF(C360&lt;='SOLLECITAZ NASCOSTO'!$P$10,IF(C360&lt;='SOLLECITAZ NASCOSTO'!$P$9,IF(C360&lt;='SOLLECITAZ NASCOSTO'!$P$8,IF(C360&lt;='SOLLECITAZ NASCOSTO'!$P$7,IF(C360&lt;='SOLLECITAZ NASCOSTO'!$P$6,IF(C360&lt;='SOLLECITAZ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19.931450051079263</v>
      </c>
      <c r="O361" s="42">
        <f>IF(C361&lt;='SOLLECITAZ NASCOSTO'!$P$12,IF(C361&lt;='SOLLECITAZ NASCOSTO'!$P$11,IF(C361&lt;='SOLLECITAZ NASCOSTO'!$P$10,IF(C361&lt;='SOLLECITAZ NASCOSTO'!$P$9,IF(C361&lt;='SOLLECITAZ NASCOSTO'!$P$8,IF(C361&lt;='SOLLECITAZ NASCOSTO'!$P$7,IF(C361&lt;='SOLLECITAZ NASCOSTO'!$P$6,IF(C361&lt;='SOLLECITAZ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slu'!$G$111),55555)*(C361-C360)/IF(C361&lt;='SOLLECITAZ NASCOSTO'!$P$12,IF(C361&lt;='SOLLECITAZ NASCOSTO'!$P$11,IF(C361&lt;='SOLLECITAZ NASCOSTO'!$P$10,IF(C361&lt;='SOLLECITAZ NASCOSTO'!$P$9,IF(C361&lt;='SOLLECITAZ NASCOSTO'!$P$8,IF(C361&lt;='SOLLECITAZ NASCOSTO'!$P$7,IF(C361&lt;='SOLLECITAZ NASCOSTO'!$P$6,IF(C361&lt;='SOLLECITAZ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61" s="42">
        <f t="shared" si="119"/>
        <v>3.2800000000000147E-4</v>
      </c>
      <c r="Q361" s="42">
        <f t="shared" si="117"/>
        <v>1</v>
      </c>
      <c r="R361" s="441">
        <f t="shared" si="108"/>
        <v>2.2539663461538462</v>
      </c>
      <c r="S361" s="46">
        <f t="shared" si="118"/>
        <v>2.2539663461538462</v>
      </c>
      <c r="T361" s="211">
        <f t="shared" si="112"/>
        <v>1.0960336538461539</v>
      </c>
      <c r="U361" s="46">
        <f t="shared" si="114"/>
        <v>27.186963955053237</v>
      </c>
      <c r="V361" s="46">
        <f t="shared" si="115"/>
        <v>-23.935137095700835</v>
      </c>
      <c r="W361" s="496"/>
    </row>
    <row r="362" spans="1:23" s="428" customFormat="1" x14ac:dyDescent="0.25">
      <c r="A362" s="589">
        <f t="shared" si="109"/>
        <v>7.932692307532907E-6</v>
      </c>
      <c r="B362" s="32">
        <f t="shared" si="110"/>
        <v>330</v>
      </c>
      <c r="C362" s="441">
        <f>'SOLLECITAZ NASCOSTO'!$D$6/'SOLLECITAZ NASCOSTO'!$B$448*'SOLLECITAZ NASCOSTO'!B362</f>
        <v>2.2608173076923075</v>
      </c>
      <c r="D362" s="441">
        <f t="shared" si="111"/>
        <v>0.30000793269230752</v>
      </c>
      <c r="E362" s="441">
        <f t="shared" si="102"/>
        <v>7.932692307532907E-6</v>
      </c>
      <c r="F362" s="441">
        <f t="shared" si="103"/>
        <v>0.30000793269230752</v>
      </c>
      <c r="G362" s="441">
        <f t="shared" si="104"/>
        <v>4.5002379839156059E-2</v>
      </c>
      <c r="H362" s="441">
        <f t="shared" si="120"/>
        <v>0</v>
      </c>
      <c r="I362" s="441">
        <v>0</v>
      </c>
      <c r="J362" s="131">
        <f t="shared" si="121"/>
        <v>0.15000396634615376</v>
      </c>
      <c r="K362" s="130">
        <f t="shared" si="107"/>
        <v>2.2501784902965319E-3</v>
      </c>
      <c r="L362" s="42">
        <f t="shared" si="122"/>
        <v>27.324008180730559</v>
      </c>
      <c r="M362" s="42">
        <f t="shared" si="113"/>
        <v>-24.121863382464031</v>
      </c>
      <c r="N362" s="42">
        <f>(IF(C361&lt;='SOLLECITAZ NASCOSTO'!$P$12,IF(C361&lt;='SOLLECITAZ NASCOSTO'!$P$11,IF(C361&lt;='SOLLECITAZ NASCOSTO'!$P$10,IF(C361&lt;='SOLLECITAZ NASCOSTO'!$P$9,IF(C361&lt;='SOLLECITAZ NASCOSTO'!$P$8,IF(C361&lt;='SOLLECITAZ NASCOSTO'!$P$7,IF(C361&lt;='SOLLECITAZ NASCOSTO'!$P$6,IF(C361&lt;='SOLLECITAZ NASCOSTO'!$P$5,'Progetto del paramento slu'!$G$105,'Progetto del paramento slu'!$G$106),'Progetto del paramento slu'!$G$107),'Progetto del paramento slu'!$G$108),'Progetto del paramento slu'!$G$109),'Progetto del paramento slu'!$G$110),'Progetto del paramento slu'!$G$111),'Progetto del paramento slu'!$G$112),55555)-IF(C361&lt;='SOLLECITAZ NASCOSTO'!$P$12,IF(C361&lt;='SOLLECITAZ NASCOSTO'!$P$11,IF(C361&lt;='SOLLECITAZ NASCOSTO'!$P$10,IF(C361&lt;='SOLLECITAZ NASCOSTO'!$P$9,IF(C361&lt;='SOLLECITAZ NASCOSTO'!$P$8,IF(C361&lt;='SOLLECITAZ NASCOSTO'!$P$7,IF(C361&lt;='SOLLECITAZ NASCOSTO'!$P$6,IF(C361&lt;='SOLLECITAZ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slu'!$G$112))*(C361-IF(C361&lt;='SOLLECITAZ NASCOSTO'!$P$12,IF(C361&lt;='SOLLECITAZ NASCOSTO'!$P$11,IF(C361&lt;='SOLLECITAZ NASCOSTO'!$P$10,IF(C361&lt;='SOLLECITAZ NASCOSTO'!$P$9,IF(C361&lt;='SOLLECITAZ NASCOSTO'!$P$8,IF(C361&lt;='SOLLECITAZ NASCOSTO'!$P$7,IF(C361&lt;='SOLLECITAZ NASCOSTO'!$P$6,IF(C361&lt;='SOLLECITAZ NASCOSTO'!$P$5,'SOLLECITAZ NASCOSTO'!$P$3,'SOLLECITAZ NASCOSTO'!$P$5),'SOLLECITAZ NASCOSTO'!$P$5),'SOLLECITAZ NASCOSTO'!$P$7),'SOLLECITAZ NASCOSTO'!$P$8),'SOLLECITAZ NASCOSTO'!$P$9),'SOLLECITAZ NASCOSTO'!$P$10),'SOLLECITAZ NASCOSTO'!$P$11),'SOLLECITAZ NASCOSTO'!$P$12))/IF(C361&lt;='SOLLECITAZ NASCOSTO'!$P$12,IF(C361&lt;='SOLLECITAZ NASCOSTO'!$P$11,IF(C361&lt;='SOLLECITAZ NASCOSTO'!$P$10,IF(C361&lt;='SOLLECITAZ NASCOSTO'!$P$9,IF(C361&lt;='SOLLECITAZ NASCOSTO'!$P$8,IF(C361&lt;='SOLLECITAZ NASCOSTO'!$P$7,IF(C361&lt;='SOLLECITAZ NASCOSTO'!$P$6,IF(C361&lt;='SOLLECITAZ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slu'!$C$112)+IF(C361&lt;='SOLLECITAZ NASCOSTO'!$P$12,IF(C361&lt;='SOLLECITAZ NASCOSTO'!$P$11,IF(C361&lt;='SOLLECITAZ NASCOSTO'!$P$10,IF(C361&lt;='SOLLECITAZ NASCOSTO'!$P$9,IF(C361&lt;='SOLLECITAZ NASCOSTO'!$P$8,IF(C361&lt;='SOLLECITAZ NASCOSTO'!$P$7,IF(C361&lt;='SOLLECITAZ NASCOSTO'!$P$6,IF(C361&lt;='SOLLECITAZ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19.979582270071617</v>
      </c>
      <c r="O362" s="42">
        <f>IF(C362&lt;='SOLLECITAZ NASCOSTO'!$P$12,IF(C362&lt;='SOLLECITAZ NASCOSTO'!$P$11,IF(C362&lt;='SOLLECITAZ NASCOSTO'!$P$10,IF(C362&lt;='SOLLECITAZ NASCOSTO'!$P$9,IF(C362&lt;='SOLLECITAZ NASCOSTO'!$P$8,IF(C362&lt;='SOLLECITAZ NASCOSTO'!$P$7,IF(C362&lt;='SOLLECITAZ NASCOSTO'!$P$6,IF(C362&lt;='SOLLECITAZ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slu'!$G$111),55555)*(C362-C361)/IF(C362&lt;='SOLLECITAZ NASCOSTO'!$P$12,IF(C362&lt;='SOLLECITAZ NASCOSTO'!$P$11,IF(C362&lt;='SOLLECITAZ NASCOSTO'!$P$10,IF(C362&lt;='SOLLECITAZ NASCOSTO'!$P$9,IF(C362&lt;='SOLLECITAZ NASCOSTO'!$P$8,IF(C362&lt;='SOLLECITAZ NASCOSTO'!$P$7,IF(C362&lt;='SOLLECITAZ NASCOSTO'!$P$6,IF(C362&lt;='SOLLECITAZ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62" s="42">
        <f t="shared" si="119"/>
        <v>3.2900000000000149E-4</v>
      </c>
      <c r="Q362" s="42">
        <f t="shared" si="117"/>
        <v>1</v>
      </c>
      <c r="R362" s="441">
        <f t="shared" si="108"/>
        <v>2.2608173076923075</v>
      </c>
      <c r="S362" s="46">
        <f t="shared" si="118"/>
        <v>2.2608173076923075</v>
      </c>
      <c r="T362" s="211">
        <f t="shared" si="112"/>
        <v>1.0891826923076926</v>
      </c>
      <c r="U362" s="46">
        <f t="shared" si="114"/>
        <v>27.324008180730559</v>
      </c>
      <c r="V362" s="46">
        <f t="shared" si="115"/>
        <v>-24.121863382464031</v>
      </c>
      <c r="W362" s="496"/>
    </row>
    <row r="363" spans="1:23" s="428" customFormat="1" x14ac:dyDescent="0.25">
      <c r="A363" s="589">
        <f t="shared" si="109"/>
        <v>7.9567307690320277E-6</v>
      </c>
      <c r="B363" s="32">
        <f t="shared" si="110"/>
        <v>331</v>
      </c>
      <c r="C363" s="441">
        <f>'SOLLECITAZ NASCOSTO'!$D$6/'SOLLECITAZ NASCOSTO'!$B$448*'SOLLECITAZ NASCOSTO'!B363</f>
        <v>2.2676682692307693</v>
      </c>
      <c r="D363" s="441">
        <f t="shared" si="111"/>
        <v>0.30000795673076902</v>
      </c>
      <c r="E363" s="441">
        <f t="shared" si="102"/>
        <v>7.9567307690320277E-6</v>
      </c>
      <c r="F363" s="441">
        <f t="shared" si="103"/>
        <v>0.30000795673076902</v>
      </c>
      <c r="G363" s="441">
        <f t="shared" si="104"/>
        <v>4.5002387050885488E-2</v>
      </c>
      <c r="H363" s="441">
        <f t="shared" si="120"/>
        <v>0</v>
      </c>
      <c r="I363" s="441">
        <v>0</v>
      </c>
      <c r="J363" s="131">
        <f t="shared" si="121"/>
        <v>0.15000397836538451</v>
      </c>
      <c r="K363" s="130">
        <f t="shared" si="107"/>
        <v>2.2501790311905629E-3</v>
      </c>
      <c r="L363" s="42">
        <f t="shared" si="122"/>
        <v>27.461382158388968</v>
      </c>
      <c r="M363" s="42">
        <f t="shared" si="113"/>
        <v>-24.309529683505492</v>
      </c>
      <c r="N363" s="42">
        <f>(IF(C362&lt;='SOLLECITAZ NASCOSTO'!$P$12,IF(C362&lt;='SOLLECITAZ NASCOSTO'!$P$11,IF(C362&lt;='SOLLECITAZ NASCOSTO'!$P$10,IF(C362&lt;='SOLLECITAZ NASCOSTO'!$P$9,IF(C362&lt;='SOLLECITAZ NASCOSTO'!$P$8,IF(C362&lt;='SOLLECITAZ NASCOSTO'!$P$7,IF(C362&lt;='SOLLECITAZ NASCOSTO'!$P$6,IF(C362&lt;='SOLLECITAZ NASCOSTO'!$P$5,'Progetto del paramento slu'!$G$105,'Progetto del paramento slu'!$G$106),'Progetto del paramento slu'!$G$107),'Progetto del paramento slu'!$G$108),'Progetto del paramento slu'!$G$109),'Progetto del paramento slu'!$G$110),'Progetto del paramento slu'!$G$111),'Progetto del paramento slu'!$G$112),55555)-IF(C362&lt;='SOLLECITAZ NASCOSTO'!$P$12,IF(C362&lt;='SOLLECITAZ NASCOSTO'!$P$11,IF(C362&lt;='SOLLECITAZ NASCOSTO'!$P$10,IF(C362&lt;='SOLLECITAZ NASCOSTO'!$P$9,IF(C362&lt;='SOLLECITAZ NASCOSTO'!$P$8,IF(C362&lt;='SOLLECITAZ NASCOSTO'!$P$7,IF(C362&lt;='SOLLECITAZ NASCOSTO'!$P$6,IF(C362&lt;='SOLLECITAZ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slu'!$G$112))*(C362-IF(C362&lt;='SOLLECITAZ NASCOSTO'!$P$12,IF(C362&lt;='SOLLECITAZ NASCOSTO'!$P$11,IF(C362&lt;='SOLLECITAZ NASCOSTO'!$P$10,IF(C362&lt;='SOLLECITAZ NASCOSTO'!$P$9,IF(C362&lt;='SOLLECITAZ NASCOSTO'!$P$8,IF(C362&lt;='SOLLECITAZ NASCOSTO'!$P$7,IF(C362&lt;='SOLLECITAZ NASCOSTO'!$P$6,IF(C362&lt;='SOLLECITAZ NASCOSTO'!$P$5,'SOLLECITAZ NASCOSTO'!$P$3,'SOLLECITAZ NASCOSTO'!$P$5),'SOLLECITAZ NASCOSTO'!$P$5),'SOLLECITAZ NASCOSTO'!$P$7),'SOLLECITAZ NASCOSTO'!$P$8),'SOLLECITAZ NASCOSTO'!$P$9),'SOLLECITAZ NASCOSTO'!$P$10),'SOLLECITAZ NASCOSTO'!$P$11),'SOLLECITAZ NASCOSTO'!$P$12))/IF(C362&lt;='SOLLECITAZ NASCOSTO'!$P$12,IF(C362&lt;='SOLLECITAZ NASCOSTO'!$P$11,IF(C362&lt;='SOLLECITAZ NASCOSTO'!$P$10,IF(C362&lt;='SOLLECITAZ NASCOSTO'!$P$9,IF(C362&lt;='SOLLECITAZ NASCOSTO'!$P$8,IF(C362&lt;='SOLLECITAZ NASCOSTO'!$P$7,IF(C362&lt;='SOLLECITAZ NASCOSTO'!$P$6,IF(C362&lt;='SOLLECITAZ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slu'!$C$112)+IF(C362&lt;='SOLLECITAZ NASCOSTO'!$P$12,IF(C362&lt;='SOLLECITAZ NASCOSTO'!$P$11,IF(C362&lt;='SOLLECITAZ NASCOSTO'!$P$10,IF(C362&lt;='SOLLECITAZ NASCOSTO'!$P$9,IF(C362&lt;='SOLLECITAZ NASCOSTO'!$P$8,IF(C362&lt;='SOLLECITAZ NASCOSTO'!$P$7,IF(C362&lt;='SOLLECITAZ NASCOSTO'!$P$6,IF(C362&lt;='SOLLECITAZ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20.027714489063968</v>
      </c>
      <c r="O363" s="42">
        <f>IF(C363&lt;='SOLLECITAZ NASCOSTO'!$P$12,IF(C363&lt;='SOLLECITAZ NASCOSTO'!$P$11,IF(C363&lt;='SOLLECITAZ NASCOSTO'!$P$10,IF(C363&lt;='SOLLECITAZ NASCOSTO'!$P$9,IF(C363&lt;='SOLLECITAZ NASCOSTO'!$P$8,IF(C363&lt;='SOLLECITAZ NASCOSTO'!$P$7,IF(C363&lt;='SOLLECITAZ NASCOSTO'!$P$6,IF(C363&lt;='SOLLECITAZ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slu'!$G$111),55555)*(C363-C362)/IF(C363&lt;='SOLLECITAZ NASCOSTO'!$P$12,IF(C363&lt;='SOLLECITAZ NASCOSTO'!$P$11,IF(C363&lt;='SOLLECITAZ NASCOSTO'!$P$10,IF(C363&lt;='SOLLECITAZ NASCOSTO'!$P$9,IF(C363&lt;='SOLLECITAZ NASCOSTO'!$P$8,IF(C363&lt;='SOLLECITAZ NASCOSTO'!$P$7,IF(C363&lt;='SOLLECITAZ NASCOSTO'!$P$6,IF(C363&lt;='SOLLECITAZ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63" s="42">
        <f t="shared" si="119"/>
        <v>3.3000000000000152E-4</v>
      </c>
      <c r="Q363" s="42">
        <f t="shared" si="117"/>
        <v>1</v>
      </c>
      <c r="R363" s="441">
        <f t="shared" si="108"/>
        <v>2.2676682692307693</v>
      </c>
      <c r="S363" s="46">
        <f t="shared" si="118"/>
        <v>2.2676682692307693</v>
      </c>
      <c r="T363" s="211">
        <f t="shared" si="112"/>
        <v>1.0823317307692308</v>
      </c>
      <c r="U363" s="46">
        <f t="shared" si="114"/>
        <v>27.461382158388968</v>
      </c>
      <c r="V363" s="46">
        <f t="shared" si="115"/>
        <v>-24.309529683505492</v>
      </c>
      <c r="W363" s="496"/>
    </row>
    <row r="364" spans="1:23" s="428" customFormat="1" x14ac:dyDescent="0.25">
      <c r="A364" s="589">
        <f t="shared" si="109"/>
        <v>7.9807692305866595E-6</v>
      </c>
      <c r="B364" s="32">
        <f t="shared" si="110"/>
        <v>332</v>
      </c>
      <c r="C364" s="441">
        <f>'SOLLECITAZ NASCOSTO'!$D$6/'SOLLECITAZ NASCOSTO'!$B$448*'SOLLECITAZ NASCOSTO'!B364</f>
        <v>2.2745192307692306</v>
      </c>
      <c r="D364" s="441">
        <f t="shared" si="111"/>
        <v>0.30000798076923058</v>
      </c>
      <c r="E364" s="441">
        <f t="shared" si="102"/>
        <v>7.9807692305866595E-6</v>
      </c>
      <c r="F364" s="441">
        <f t="shared" si="103"/>
        <v>0.30000798076923058</v>
      </c>
      <c r="G364" s="441">
        <f t="shared" si="104"/>
        <v>4.5002394262615514E-2</v>
      </c>
      <c r="H364" s="441">
        <f t="shared" si="120"/>
        <v>0</v>
      </c>
      <c r="I364" s="441">
        <v>0</v>
      </c>
      <c r="J364" s="131">
        <f t="shared" si="121"/>
        <v>0.15000399038461529</v>
      </c>
      <c r="K364" s="130">
        <f t="shared" si="107"/>
        <v>2.2501795720846814E-3</v>
      </c>
      <c r="L364" s="42">
        <f t="shared" si="122"/>
        <v>27.599085888028444</v>
      </c>
      <c r="M364" s="42">
        <f t="shared" si="113"/>
        <v>-24.498138257943335</v>
      </c>
      <c r="N364" s="42">
        <f>(IF(C363&lt;='SOLLECITAZ NASCOSTO'!$P$12,IF(C363&lt;='SOLLECITAZ NASCOSTO'!$P$11,IF(C363&lt;='SOLLECITAZ NASCOSTO'!$P$10,IF(C363&lt;='SOLLECITAZ NASCOSTO'!$P$9,IF(C363&lt;='SOLLECITAZ NASCOSTO'!$P$8,IF(C363&lt;='SOLLECITAZ NASCOSTO'!$P$7,IF(C363&lt;='SOLLECITAZ NASCOSTO'!$P$6,IF(C363&lt;='SOLLECITAZ NASCOSTO'!$P$5,'Progetto del paramento slu'!$G$105,'Progetto del paramento slu'!$G$106),'Progetto del paramento slu'!$G$107),'Progetto del paramento slu'!$G$108),'Progetto del paramento slu'!$G$109),'Progetto del paramento slu'!$G$110),'Progetto del paramento slu'!$G$111),'Progetto del paramento slu'!$G$112),55555)-IF(C363&lt;='SOLLECITAZ NASCOSTO'!$P$12,IF(C363&lt;='SOLLECITAZ NASCOSTO'!$P$11,IF(C363&lt;='SOLLECITAZ NASCOSTO'!$P$10,IF(C363&lt;='SOLLECITAZ NASCOSTO'!$P$9,IF(C363&lt;='SOLLECITAZ NASCOSTO'!$P$8,IF(C363&lt;='SOLLECITAZ NASCOSTO'!$P$7,IF(C363&lt;='SOLLECITAZ NASCOSTO'!$P$6,IF(C363&lt;='SOLLECITAZ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slu'!$G$112))*(C363-IF(C363&lt;='SOLLECITAZ NASCOSTO'!$P$12,IF(C363&lt;='SOLLECITAZ NASCOSTO'!$P$11,IF(C363&lt;='SOLLECITAZ NASCOSTO'!$P$10,IF(C363&lt;='SOLLECITAZ NASCOSTO'!$P$9,IF(C363&lt;='SOLLECITAZ NASCOSTO'!$P$8,IF(C363&lt;='SOLLECITAZ NASCOSTO'!$P$7,IF(C363&lt;='SOLLECITAZ NASCOSTO'!$P$6,IF(C363&lt;='SOLLECITAZ NASCOSTO'!$P$5,'SOLLECITAZ NASCOSTO'!$P$3,'SOLLECITAZ NASCOSTO'!$P$5),'SOLLECITAZ NASCOSTO'!$P$5),'SOLLECITAZ NASCOSTO'!$P$7),'SOLLECITAZ NASCOSTO'!$P$8),'SOLLECITAZ NASCOSTO'!$P$9),'SOLLECITAZ NASCOSTO'!$P$10),'SOLLECITAZ NASCOSTO'!$P$11),'SOLLECITAZ NASCOSTO'!$P$12))/IF(C363&lt;='SOLLECITAZ NASCOSTO'!$P$12,IF(C363&lt;='SOLLECITAZ NASCOSTO'!$P$11,IF(C363&lt;='SOLLECITAZ NASCOSTO'!$P$10,IF(C363&lt;='SOLLECITAZ NASCOSTO'!$P$9,IF(C363&lt;='SOLLECITAZ NASCOSTO'!$P$8,IF(C363&lt;='SOLLECITAZ NASCOSTO'!$P$7,IF(C363&lt;='SOLLECITAZ NASCOSTO'!$P$6,IF(C363&lt;='SOLLECITAZ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slu'!$C$112)+IF(C363&lt;='SOLLECITAZ NASCOSTO'!$P$12,IF(C363&lt;='SOLLECITAZ NASCOSTO'!$P$11,IF(C363&lt;='SOLLECITAZ NASCOSTO'!$P$10,IF(C363&lt;='SOLLECITAZ NASCOSTO'!$P$9,IF(C363&lt;='SOLLECITAZ NASCOSTO'!$P$8,IF(C363&lt;='SOLLECITAZ NASCOSTO'!$P$7,IF(C363&lt;='SOLLECITAZ NASCOSTO'!$P$6,IF(C363&lt;='SOLLECITAZ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20.075846708056321</v>
      </c>
      <c r="O364" s="42">
        <f>IF(C364&lt;='SOLLECITAZ NASCOSTO'!$P$12,IF(C364&lt;='SOLLECITAZ NASCOSTO'!$P$11,IF(C364&lt;='SOLLECITAZ NASCOSTO'!$P$10,IF(C364&lt;='SOLLECITAZ NASCOSTO'!$P$9,IF(C364&lt;='SOLLECITAZ NASCOSTO'!$P$8,IF(C364&lt;='SOLLECITAZ NASCOSTO'!$P$7,IF(C364&lt;='SOLLECITAZ NASCOSTO'!$P$6,IF(C364&lt;='SOLLECITAZ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slu'!$G$111),55555)*(C364-C363)/IF(C364&lt;='SOLLECITAZ NASCOSTO'!$P$12,IF(C364&lt;='SOLLECITAZ NASCOSTO'!$P$11,IF(C364&lt;='SOLLECITAZ NASCOSTO'!$P$10,IF(C364&lt;='SOLLECITAZ NASCOSTO'!$P$9,IF(C364&lt;='SOLLECITAZ NASCOSTO'!$P$8,IF(C364&lt;='SOLLECITAZ NASCOSTO'!$P$7,IF(C364&lt;='SOLLECITAZ NASCOSTO'!$P$6,IF(C364&lt;='SOLLECITAZ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64" s="42">
        <f t="shared" si="119"/>
        <v>3.3100000000000154E-4</v>
      </c>
      <c r="Q364" s="42">
        <f t="shared" si="117"/>
        <v>1</v>
      </c>
      <c r="R364" s="441">
        <f t="shared" si="108"/>
        <v>2.2745192307692306</v>
      </c>
      <c r="S364" s="46">
        <f t="shared" si="118"/>
        <v>2.2745192307692306</v>
      </c>
      <c r="T364" s="211">
        <f t="shared" si="112"/>
        <v>1.0754807692307695</v>
      </c>
      <c r="U364" s="46">
        <f t="shared" si="114"/>
        <v>27.599085888028444</v>
      </c>
      <c r="V364" s="46">
        <f t="shared" si="115"/>
        <v>-24.498138257943335</v>
      </c>
      <c r="W364" s="496"/>
    </row>
    <row r="365" spans="1:23" s="428" customFormat="1" x14ac:dyDescent="0.25">
      <c r="A365" s="589">
        <f t="shared" si="109"/>
        <v>8.0048076921412914E-6</v>
      </c>
      <c r="B365" s="32">
        <f t="shared" si="110"/>
        <v>333</v>
      </c>
      <c r="C365" s="441">
        <f>'SOLLECITAZ NASCOSTO'!$D$6/'SOLLECITAZ NASCOSTO'!$B$448*'SOLLECITAZ NASCOSTO'!B365</f>
        <v>2.2813701923076923</v>
      </c>
      <c r="D365" s="441">
        <f t="shared" si="111"/>
        <v>0.30000800480769213</v>
      </c>
      <c r="E365" s="441">
        <f t="shared" si="102"/>
        <v>8.0048076921412914E-6</v>
      </c>
      <c r="F365" s="441">
        <f t="shared" si="103"/>
        <v>0.30000800480769213</v>
      </c>
      <c r="G365" s="441">
        <f t="shared" si="104"/>
        <v>4.5002401474346115E-2</v>
      </c>
      <c r="H365" s="441">
        <f t="shared" si="120"/>
        <v>0</v>
      </c>
      <c r="I365" s="441">
        <v>0</v>
      </c>
      <c r="J365" s="131">
        <f t="shared" si="121"/>
        <v>0.15000400240384607</v>
      </c>
      <c r="K365" s="130">
        <f t="shared" si="107"/>
        <v>2.2501801129788867E-3</v>
      </c>
      <c r="L365" s="42">
        <f t="shared" si="122"/>
        <v>27.737119369649008</v>
      </c>
      <c r="M365" s="42">
        <f t="shared" si="113"/>
        <v>-24.687691364895723</v>
      </c>
      <c r="N365" s="42">
        <f>(IF(C364&lt;='SOLLECITAZ NASCOSTO'!$P$12,IF(C364&lt;='SOLLECITAZ NASCOSTO'!$P$11,IF(C364&lt;='SOLLECITAZ NASCOSTO'!$P$10,IF(C364&lt;='SOLLECITAZ NASCOSTO'!$P$9,IF(C364&lt;='SOLLECITAZ NASCOSTO'!$P$8,IF(C364&lt;='SOLLECITAZ NASCOSTO'!$P$7,IF(C364&lt;='SOLLECITAZ NASCOSTO'!$P$6,IF(C364&lt;='SOLLECITAZ NASCOSTO'!$P$5,'Progetto del paramento slu'!$G$105,'Progetto del paramento slu'!$G$106),'Progetto del paramento slu'!$G$107),'Progetto del paramento slu'!$G$108),'Progetto del paramento slu'!$G$109),'Progetto del paramento slu'!$G$110),'Progetto del paramento slu'!$G$111),'Progetto del paramento slu'!$G$112),55555)-IF(C364&lt;='SOLLECITAZ NASCOSTO'!$P$12,IF(C364&lt;='SOLLECITAZ NASCOSTO'!$P$11,IF(C364&lt;='SOLLECITAZ NASCOSTO'!$P$10,IF(C364&lt;='SOLLECITAZ NASCOSTO'!$P$9,IF(C364&lt;='SOLLECITAZ NASCOSTO'!$P$8,IF(C364&lt;='SOLLECITAZ NASCOSTO'!$P$7,IF(C364&lt;='SOLLECITAZ NASCOSTO'!$P$6,IF(C364&lt;='SOLLECITAZ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slu'!$G$112))*(C364-IF(C364&lt;='SOLLECITAZ NASCOSTO'!$P$12,IF(C364&lt;='SOLLECITAZ NASCOSTO'!$P$11,IF(C364&lt;='SOLLECITAZ NASCOSTO'!$P$10,IF(C364&lt;='SOLLECITAZ NASCOSTO'!$P$9,IF(C364&lt;='SOLLECITAZ NASCOSTO'!$P$8,IF(C364&lt;='SOLLECITAZ NASCOSTO'!$P$7,IF(C364&lt;='SOLLECITAZ NASCOSTO'!$P$6,IF(C364&lt;='SOLLECITAZ NASCOSTO'!$P$5,'SOLLECITAZ NASCOSTO'!$P$3,'SOLLECITAZ NASCOSTO'!$P$5),'SOLLECITAZ NASCOSTO'!$P$5),'SOLLECITAZ NASCOSTO'!$P$7),'SOLLECITAZ NASCOSTO'!$P$8),'SOLLECITAZ NASCOSTO'!$P$9),'SOLLECITAZ NASCOSTO'!$P$10),'SOLLECITAZ NASCOSTO'!$P$11),'SOLLECITAZ NASCOSTO'!$P$12))/IF(C364&lt;='SOLLECITAZ NASCOSTO'!$P$12,IF(C364&lt;='SOLLECITAZ NASCOSTO'!$P$11,IF(C364&lt;='SOLLECITAZ NASCOSTO'!$P$10,IF(C364&lt;='SOLLECITAZ NASCOSTO'!$P$9,IF(C364&lt;='SOLLECITAZ NASCOSTO'!$P$8,IF(C364&lt;='SOLLECITAZ NASCOSTO'!$P$7,IF(C364&lt;='SOLLECITAZ NASCOSTO'!$P$6,IF(C364&lt;='SOLLECITAZ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slu'!$C$112)+IF(C364&lt;='SOLLECITAZ NASCOSTO'!$P$12,IF(C364&lt;='SOLLECITAZ NASCOSTO'!$P$11,IF(C364&lt;='SOLLECITAZ NASCOSTO'!$P$10,IF(C364&lt;='SOLLECITAZ NASCOSTO'!$P$9,IF(C364&lt;='SOLLECITAZ NASCOSTO'!$P$8,IF(C364&lt;='SOLLECITAZ NASCOSTO'!$P$7,IF(C364&lt;='SOLLECITAZ NASCOSTO'!$P$6,IF(C364&lt;='SOLLECITAZ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20.123978927048672</v>
      </c>
      <c r="O365" s="42">
        <f>IF(C365&lt;='SOLLECITAZ NASCOSTO'!$P$12,IF(C365&lt;='SOLLECITAZ NASCOSTO'!$P$11,IF(C365&lt;='SOLLECITAZ NASCOSTO'!$P$10,IF(C365&lt;='SOLLECITAZ NASCOSTO'!$P$9,IF(C365&lt;='SOLLECITAZ NASCOSTO'!$P$8,IF(C365&lt;='SOLLECITAZ NASCOSTO'!$P$7,IF(C365&lt;='SOLLECITAZ NASCOSTO'!$P$6,IF(C365&lt;='SOLLECITAZ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slu'!$G$111),55555)*(C365-C364)/IF(C365&lt;='SOLLECITAZ NASCOSTO'!$P$12,IF(C365&lt;='SOLLECITAZ NASCOSTO'!$P$11,IF(C365&lt;='SOLLECITAZ NASCOSTO'!$P$10,IF(C365&lt;='SOLLECITAZ NASCOSTO'!$P$9,IF(C365&lt;='SOLLECITAZ NASCOSTO'!$P$8,IF(C365&lt;='SOLLECITAZ NASCOSTO'!$P$7,IF(C365&lt;='SOLLECITAZ NASCOSTO'!$P$6,IF(C365&lt;='SOLLECITAZ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65" s="42">
        <f t="shared" si="119"/>
        <v>3.3200000000000156E-4</v>
      </c>
      <c r="Q365" s="42">
        <f t="shared" si="117"/>
        <v>1</v>
      </c>
      <c r="R365" s="441">
        <f t="shared" si="108"/>
        <v>2.2813701923076923</v>
      </c>
      <c r="S365" s="46">
        <f t="shared" si="118"/>
        <v>2.2813701923076923</v>
      </c>
      <c r="T365" s="211">
        <f t="shared" si="112"/>
        <v>1.0686298076923078</v>
      </c>
      <c r="U365" s="46">
        <f t="shared" si="114"/>
        <v>27.737119369649008</v>
      </c>
      <c r="V365" s="46">
        <f t="shared" si="115"/>
        <v>-24.687691364895723</v>
      </c>
      <c r="W365" s="496"/>
    </row>
    <row r="366" spans="1:23" s="428" customFormat="1" x14ac:dyDescent="0.25">
      <c r="A366" s="589">
        <f t="shared" si="109"/>
        <v>8.0288461536404121E-6</v>
      </c>
      <c r="B366" s="32">
        <f t="shared" si="110"/>
        <v>334</v>
      </c>
      <c r="C366" s="441">
        <f>'SOLLECITAZ NASCOSTO'!$D$6/'SOLLECITAZ NASCOSTO'!$B$448*'SOLLECITAZ NASCOSTO'!B366</f>
        <v>2.2882211538461537</v>
      </c>
      <c r="D366" s="441">
        <f t="shared" si="111"/>
        <v>0.30000802884615363</v>
      </c>
      <c r="E366" s="441">
        <f t="shared" si="102"/>
        <v>8.0288461536404121E-6</v>
      </c>
      <c r="F366" s="441">
        <f t="shared" si="103"/>
        <v>0.30000802884615363</v>
      </c>
      <c r="G366" s="441">
        <f t="shared" si="104"/>
        <v>4.5002408686077279E-2</v>
      </c>
      <c r="H366" s="441">
        <f t="shared" si="120"/>
        <v>0</v>
      </c>
      <c r="I366" s="441">
        <v>0</v>
      </c>
      <c r="J366" s="131">
        <f t="shared" si="121"/>
        <v>0.15000401442307684</v>
      </c>
      <c r="K366" s="130">
        <f t="shared" si="107"/>
        <v>2.2501806538731779E-3</v>
      </c>
      <c r="L366" s="42">
        <f t="shared" si="122"/>
        <v>27.875482603250642</v>
      </c>
      <c r="M366" s="42">
        <f t="shared" si="113"/>
        <v>-24.878191263480769</v>
      </c>
      <c r="N366" s="42">
        <f>(IF(C365&lt;='SOLLECITAZ NASCOSTO'!$P$12,IF(C365&lt;='SOLLECITAZ NASCOSTO'!$P$11,IF(C365&lt;='SOLLECITAZ NASCOSTO'!$P$10,IF(C365&lt;='SOLLECITAZ NASCOSTO'!$P$9,IF(C365&lt;='SOLLECITAZ NASCOSTO'!$P$8,IF(C365&lt;='SOLLECITAZ NASCOSTO'!$P$7,IF(C365&lt;='SOLLECITAZ NASCOSTO'!$P$6,IF(C365&lt;='SOLLECITAZ NASCOSTO'!$P$5,'Progetto del paramento slu'!$G$105,'Progetto del paramento slu'!$G$106),'Progetto del paramento slu'!$G$107),'Progetto del paramento slu'!$G$108),'Progetto del paramento slu'!$G$109),'Progetto del paramento slu'!$G$110),'Progetto del paramento slu'!$G$111),'Progetto del paramento slu'!$G$112),55555)-IF(C365&lt;='SOLLECITAZ NASCOSTO'!$P$12,IF(C365&lt;='SOLLECITAZ NASCOSTO'!$P$11,IF(C365&lt;='SOLLECITAZ NASCOSTO'!$P$10,IF(C365&lt;='SOLLECITAZ NASCOSTO'!$P$9,IF(C365&lt;='SOLLECITAZ NASCOSTO'!$P$8,IF(C365&lt;='SOLLECITAZ NASCOSTO'!$P$7,IF(C365&lt;='SOLLECITAZ NASCOSTO'!$P$6,IF(C365&lt;='SOLLECITAZ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slu'!$G$112))*(C365-IF(C365&lt;='SOLLECITAZ NASCOSTO'!$P$12,IF(C365&lt;='SOLLECITAZ NASCOSTO'!$P$11,IF(C365&lt;='SOLLECITAZ NASCOSTO'!$P$10,IF(C365&lt;='SOLLECITAZ NASCOSTO'!$P$9,IF(C365&lt;='SOLLECITAZ NASCOSTO'!$P$8,IF(C365&lt;='SOLLECITAZ NASCOSTO'!$P$7,IF(C365&lt;='SOLLECITAZ NASCOSTO'!$P$6,IF(C365&lt;='SOLLECITAZ NASCOSTO'!$P$5,'SOLLECITAZ NASCOSTO'!$P$3,'SOLLECITAZ NASCOSTO'!$P$5),'SOLLECITAZ NASCOSTO'!$P$5),'SOLLECITAZ NASCOSTO'!$P$7),'SOLLECITAZ NASCOSTO'!$P$8),'SOLLECITAZ NASCOSTO'!$P$9),'SOLLECITAZ NASCOSTO'!$P$10),'SOLLECITAZ NASCOSTO'!$P$11),'SOLLECITAZ NASCOSTO'!$P$12))/IF(C365&lt;='SOLLECITAZ NASCOSTO'!$P$12,IF(C365&lt;='SOLLECITAZ NASCOSTO'!$P$11,IF(C365&lt;='SOLLECITAZ NASCOSTO'!$P$10,IF(C365&lt;='SOLLECITAZ NASCOSTO'!$P$9,IF(C365&lt;='SOLLECITAZ NASCOSTO'!$P$8,IF(C365&lt;='SOLLECITAZ NASCOSTO'!$P$7,IF(C365&lt;='SOLLECITAZ NASCOSTO'!$P$6,IF(C365&lt;='SOLLECITAZ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slu'!$C$112)+IF(C365&lt;='SOLLECITAZ NASCOSTO'!$P$12,IF(C365&lt;='SOLLECITAZ NASCOSTO'!$P$11,IF(C365&lt;='SOLLECITAZ NASCOSTO'!$P$10,IF(C365&lt;='SOLLECITAZ NASCOSTO'!$P$9,IF(C365&lt;='SOLLECITAZ NASCOSTO'!$P$8,IF(C365&lt;='SOLLECITAZ NASCOSTO'!$P$7,IF(C365&lt;='SOLLECITAZ NASCOSTO'!$P$6,IF(C365&lt;='SOLLECITAZ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20.172111146041026</v>
      </c>
      <c r="O366" s="42">
        <f>IF(C366&lt;='SOLLECITAZ NASCOSTO'!$P$12,IF(C366&lt;='SOLLECITAZ NASCOSTO'!$P$11,IF(C366&lt;='SOLLECITAZ NASCOSTO'!$P$10,IF(C366&lt;='SOLLECITAZ NASCOSTO'!$P$9,IF(C366&lt;='SOLLECITAZ NASCOSTO'!$P$8,IF(C366&lt;='SOLLECITAZ NASCOSTO'!$P$7,IF(C366&lt;='SOLLECITAZ NASCOSTO'!$P$6,IF(C366&lt;='SOLLECITAZ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slu'!$G$111),55555)*(C366-C365)/IF(C366&lt;='SOLLECITAZ NASCOSTO'!$P$12,IF(C366&lt;='SOLLECITAZ NASCOSTO'!$P$11,IF(C366&lt;='SOLLECITAZ NASCOSTO'!$P$10,IF(C366&lt;='SOLLECITAZ NASCOSTO'!$P$9,IF(C366&lt;='SOLLECITAZ NASCOSTO'!$P$8,IF(C366&lt;='SOLLECITAZ NASCOSTO'!$P$7,IF(C366&lt;='SOLLECITAZ NASCOSTO'!$P$6,IF(C366&lt;='SOLLECITAZ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66" s="42">
        <f t="shared" si="119"/>
        <v>3.3300000000000159E-4</v>
      </c>
      <c r="Q366" s="42">
        <f t="shared" si="117"/>
        <v>1</v>
      </c>
      <c r="R366" s="441">
        <f t="shared" si="108"/>
        <v>2.2882211538461537</v>
      </c>
      <c r="S366" s="46">
        <f t="shared" si="118"/>
        <v>2.2882211538461537</v>
      </c>
      <c r="T366" s="211">
        <f t="shared" si="112"/>
        <v>1.0617788461538464</v>
      </c>
      <c r="U366" s="46">
        <f t="shared" si="114"/>
        <v>27.875482603250642</v>
      </c>
      <c r="V366" s="46">
        <f t="shared" si="115"/>
        <v>-24.878191263480769</v>
      </c>
      <c r="W366" s="496"/>
    </row>
    <row r="367" spans="1:23" s="428" customFormat="1" x14ac:dyDescent="0.25">
      <c r="A367" s="589">
        <f t="shared" si="109"/>
        <v>8.0528846151950439E-6</v>
      </c>
      <c r="B367" s="32">
        <f t="shared" si="110"/>
        <v>335</v>
      </c>
      <c r="C367" s="441">
        <f>'SOLLECITAZ NASCOSTO'!$D$6/'SOLLECITAZ NASCOSTO'!$B$448*'SOLLECITAZ NASCOSTO'!B367</f>
        <v>2.2950721153846154</v>
      </c>
      <c r="D367" s="441">
        <f t="shared" si="111"/>
        <v>0.30000805288461518</v>
      </c>
      <c r="E367" s="441">
        <f t="shared" si="102"/>
        <v>8.0528846151950439E-6</v>
      </c>
      <c r="F367" s="441">
        <f t="shared" si="103"/>
        <v>0.30000805288461518</v>
      </c>
      <c r="G367" s="441">
        <f t="shared" si="104"/>
        <v>4.5002415897809032E-2</v>
      </c>
      <c r="H367" s="441">
        <f t="shared" si="120"/>
        <v>0</v>
      </c>
      <c r="I367" s="441">
        <v>0</v>
      </c>
      <c r="J367" s="131">
        <f t="shared" si="121"/>
        <v>0.15000402644230759</v>
      </c>
      <c r="K367" s="130">
        <f t="shared" si="107"/>
        <v>2.2501811947675567E-3</v>
      </c>
      <c r="L367" s="42">
        <f t="shared" si="122"/>
        <v>28.014175588833361</v>
      </c>
      <c r="M367" s="42">
        <f t="shared" si="113"/>
        <v>-25.06964021281664</v>
      </c>
      <c r="N367" s="42">
        <f>(IF(C366&lt;='SOLLECITAZ NASCOSTO'!$P$12,IF(C366&lt;='SOLLECITAZ NASCOSTO'!$P$11,IF(C366&lt;='SOLLECITAZ NASCOSTO'!$P$10,IF(C366&lt;='SOLLECITAZ NASCOSTO'!$P$9,IF(C366&lt;='SOLLECITAZ NASCOSTO'!$P$8,IF(C366&lt;='SOLLECITAZ NASCOSTO'!$P$7,IF(C366&lt;='SOLLECITAZ NASCOSTO'!$P$6,IF(C366&lt;='SOLLECITAZ NASCOSTO'!$P$5,'Progetto del paramento slu'!$G$105,'Progetto del paramento slu'!$G$106),'Progetto del paramento slu'!$G$107),'Progetto del paramento slu'!$G$108),'Progetto del paramento slu'!$G$109),'Progetto del paramento slu'!$G$110),'Progetto del paramento slu'!$G$111),'Progetto del paramento slu'!$G$112),55555)-IF(C366&lt;='SOLLECITAZ NASCOSTO'!$P$12,IF(C366&lt;='SOLLECITAZ NASCOSTO'!$P$11,IF(C366&lt;='SOLLECITAZ NASCOSTO'!$P$10,IF(C366&lt;='SOLLECITAZ NASCOSTO'!$P$9,IF(C366&lt;='SOLLECITAZ NASCOSTO'!$P$8,IF(C366&lt;='SOLLECITAZ NASCOSTO'!$P$7,IF(C366&lt;='SOLLECITAZ NASCOSTO'!$P$6,IF(C366&lt;='SOLLECITAZ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slu'!$G$112))*(C366-IF(C366&lt;='SOLLECITAZ NASCOSTO'!$P$12,IF(C366&lt;='SOLLECITAZ NASCOSTO'!$P$11,IF(C366&lt;='SOLLECITAZ NASCOSTO'!$P$10,IF(C366&lt;='SOLLECITAZ NASCOSTO'!$P$9,IF(C366&lt;='SOLLECITAZ NASCOSTO'!$P$8,IF(C366&lt;='SOLLECITAZ NASCOSTO'!$P$7,IF(C366&lt;='SOLLECITAZ NASCOSTO'!$P$6,IF(C366&lt;='SOLLECITAZ NASCOSTO'!$P$5,'SOLLECITAZ NASCOSTO'!$P$3,'SOLLECITAZ NASCOSTO'!$P$5),'SOLLECITAZ NASCOSTO'!$P$5),'SOLLECITAZ NASCOSTO'!$P$7),'SOLLECITAZ NASCOSTO'!$P$8),'SOLLECITAZ NASCOSTO'!$P$9),'SOLLECITAZ NASCOSTO'!$P$10),'SOLLECITAZ NASCOSTO'!$P$11),'SOLLECITAZ NASCOSTO'!$P$12))/IF(C366&lt;='SOLLECITAZ NASCOSTO'!$P$12,IF(C366&lt;='SOLLECITAZ NASCOSTO'!$P$11,IF(C366&lt;='SOLLECITAZ NASCOSTO'!$P$10,IF(C366&lt;='SOLLECITAZ NASCOSTO'!$P$9,IF(C366&lt;='SOLLECITAZ NASCOSTO'!$P$8,IF(C366&lt;='SOLLECITAZ NASCOSTO'!$P$7,IF(C366&lt;='SOLLECITAZ NASCOSTO'!$P$6,IF(C366&lt;='SOLLECITAZ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slu'!$C$112)+IF(C366&lt;='SOLLECITAZ NASCOSTO'!$P$12,IF(C366&lt;='SOLLECITAZ NASCOSTO'!$P$11,IF(C366&lt;='SOLLECITAZ NASCOSTO'!$P$10,IF(C366&lt;='SOLLECITAZ NASCOSTO'!$P$9,IF(C366&lt;='SOLLECITAZ NASCOSTO'!$P$8,IF(C366&lt;='SOLLECITAZ NASCOSTO'!$P$7,IF(C366&lt;='SOLLECITAZ NASCOSTO'!$P$6,IF(C366&lt;='SOLLECITAZ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20.220243365033379</v>
      </c>
      <c r="O367" s="42">
        <f>IF(C367&lt;='SOLLECITAZ NASCOSTO'!$P$12,IF(C367&lt;='SOLLECITAZ NASCOSTO'!$P$11,IF(C367&lt;='SOLLECITAZ NASCOSTO'!$P$10,IF(C367&lt;='SOLLECITAZ NASCOSTO'!$P$9,IF(C367&lt;='SOLLECITAZ NASCOSTO'!$P$8,IF(C367&lt;='SOLLECITAZ NASCOSTO'!$P$7,IF(C367&lt;='SOLLECITAZ NASCOSTO'!$P$6,IF(C367&lt;='SOLLECITAZ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slu'!$G$111),55555)*(C367-C366)/IF(C367&lt;='SOLLECITAZ NASCOSTO'!$P$12,IF(C367&lt;='SOLLECITAZ NASCOSTO'!$P$11,IF(C367&lt;='SOLLECITAZ NASCOSTO'!$P$10,IF(C367&lt;='SOLLECITAZ NASCOSTO'!$P$9,IF(C367&lt;='SOLLECITAZ NASCOSTO'!$P$8,IF(C367&lt;='SOLLECITAZ NASCOSTO'!$P$7,IF(C367&lt;='SOLLECITAZ NASCOSTO'!$P$6,IF(C367&lt;='SOLLECITAZ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67" s="42">
        <f t="shared" si="119"/>
        <v>3.3400000000000161E-4</v>
      </c>
      <c r="Q367" s="42">
        <f t="shared" si="117"/>
        <v>1</v>
      </c>
      <c r="R367" s="441">
        <f t="shared" si="108"/>
        <v>2.2950721153846154</v>
      </c>
      <c r="S367" s="46">
        <f t="shared" si="118"/>
        <v>2.2950721153846154</v>
      </c>
      <c r="T367" s="211">
        <f t="shared" si="112"/>
        <v>1.0549278846153847</v>
      </c>
      <c r="U367" s="46">
        <f t="shared" si="114"/>
        <v>28.014175588833361</v>
      </c>
      <c r="V367" s="46">
        <f t="shared" si="115"/>
        <v>-25.06964021281664</v>
      </c>
      <c r="W367" s="496"/>
    </row>
    <row r="368" spans="1:23" s="428" customFormat="1" x14ac:dyDescent="0.25">
      <c r="A368" s="589">
        <f t="shared" si="109"/>
        <v>8.0769230767496758E-6</v>
      </c>
      <c r="B368" s="32">
        <f t="shared" si="110"/>
        <v>336</v>
      </c>
      <c r="C368" s="441">
        <f>'SOLLECITAZ NASCOSTO'!$D$6/'SOLLECITAZ NASCOSTO'!$B$448*'SOLLECITAZ NASCOSTO'!B368</f>
        <v>2.3019230769230767</v>
      </c>
      <c r="D368" s="441">
        <f t="shared" si="111"/>
        <v>0.30000807692307674</v>
      </c>
      <c r="E368" s="441">
        <f t="shared" si="102"/>
        <v>8.0769230767496758E-6</v>
      </c>
      <c r="F368" s="441">
        <f t="shared" si="103"/>
        <v>0.30000807692307674</v>
      </c>
      <c r="G368" s="441">
        <f t="shared" si="104"/>
        <v>4.5002423109541369E-2</v>
      </c>
      <c r="H368" s="441">
        <f t="shared" si="120"/>
        <v>0</v>
      </c>
      <c r="I368" s="441">
        <v>0</v>
      </c>
      <c r="J368" s="131">
        <f t="shared" si="121"/>
        <v>0.15000403846153837</v>
      </c>
      <c r="K368" s="130">
        <f t="shared" si="107"/>
        <v>2.2501817356620222E-3</v>
      </c>
      <c r="L368" s="42">
        <f t="shared" si="122"/>
        <v>28.153198326397149</v>
      </c>
      <c r="M368" s="42">
        <f t="shared" si="113"/>
        <v>-25.26204047202145</v>
      </c>
      <c r="N368" s="42">
        <f>(IF(C367&lt;='SOLLECITAZ NASCOSTO'!$P$12,IF(C367&lt;='SOLLECITAZ NASCOSTO'!$P$11,IF(C367&lt;='SOLLECITAZ NASCOSTO'!$P$10,IF(C367&lt;='SOLLECITAZ NASCOSTO'!$P$9,IF(C367&lt;='SOLLECITAZ NASCOSTO'!$P$8,IF(C367&lt;='SOLLECITAZ NASCOSTO'!$P$7,IF(C367&lt;='SOLLECITAZ NASCOSTO'!$P$6,IF(C367&lt;='SOLLECITAZ NASCOSTO'!$P$5,'Progetto del paramento slu'!$G$105,'Progetto del paramento slu'!$G$106),'Progetto del paramento slu'!$G$107),'Progetto del paramento slu'!$G$108),'Progetto del paramento slu'!$G$109),'Progetto del paramento slu'!$G$110),'Progetto del paramento slu'!$G$111),'Progetto del paramento slu'!$G$112),55555)-IF(C367&lt;='SOLLECITAZ NASCOSTO'!$P$12,IF(C367&lt;='SOLLECITAZ NASCOSTO'!$P$11,IF(C367&lt;='SOLLECITAZ NASCOSTO'!$P$10,IF(C367&lt;='SOLLECITAZ NASCOSTO'!$P$9,IF(C367&lt;='SOLLECITAZ NASCOSTO'!$P$8,IF(C367&lt;='SOLLECITAZ NASCOSTO'!$P$7,IF(C367&lt;='SOLLECITAZ NASCOSTO'!$P$6,IF(C367&lt;='SOLLECITAZ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slu'!$G$112))*(C367-IF(C367&lt;='SOLLECITAZ NASCOSTO'!$P$12,IF(C367&lt;='SOLLECITAZ NASCOSTO'!$P$11,IF(C367&lt;='SOLLECITAZ NASCOSTO'!$P$10,IF(C367&lt;='SOLLECITAZ NASCOSTO'!$P$9,IF(C367&lt;='SOLLECITAZ NASCOSTO'!$P$8,IF(C367&lt;='SOLLECITAZ NASCOSTO'!$P$7,IF(C367&lt;='SOLLECITAZ NASCOSTO'!$P$6,IF(C367&lt;='SOLLECITAZ NASCOSTO'!$P$5,'SOLLECITAZ NASCOSTO'!$P$3,'SOLLECITAZ NASCOSTO'!$P$5),'SOLLECITAZ NASCOSTO'!$P$5),'SOLLECITAZ NASCOSTO'!$P$7),'SOLLECITAZ NASCOSTO'!$P$8),'SOLLECITAZ NASCOSTO'!$P$9),'SOLLECITAZ NASCOSTO'!$P$10),'SOLLECITAZ NASCOSTO'!$P$11),'SOLLECITAZ NASCOSTO'!$P$12))/IF(C367&lt;='SOLLECITAZ NASCOSTO'!$P$12,IF(C367&lt;='SOLLECITAZ NASCOSTO'!$P$11,IF(C367&lt;='SOLLECITAZ NASCOSTO'!$P$10,IF(C367&lt;='SOLLECITAZ NASCOSTO'!$P$9,IF(C367&lt;='SOLLECITAZ NASCOSTO'!$P$8,IF(C367&lt;='SOLLECITAZ NASCOSTO'!$P$7,IF(C367&lt;='SOLLECITAZ NASCOSTO'!$P$6,IF(C367&lt;='SOLLECITAZ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slu'!$C$112)+IF(C367&lt;='SOLLECITAZ NASCOSTO'!$P$12,IF(C367&lt;='SOLLECITAZ NASCOSTO'!$P$11,IF(C367&lt;='SOLLECITAZ NASCOSTO'!$P$10,IF(C367&lt;='SOLLECITAZ NASCOSTO'!$P$9,IF(C367&lt;='SOLLECITAZ NASCOSTO'!$P$8,IF(C367&lt;='SOLLECITAZ NASCOSTO'!$P$7,IF(C367&lt;='SOLLECITAZ NASCOSTO'!$P$6,IF(C367&lt;='SOLLECITAZ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20.268375584025733</v>
      </c>
      <c r="O368" s="42">
        <f>IF(C368&lt;='SOLLECITAZ NASCOSTO'!$P$12,IF(C368&lt;='SOLLECITAZ NASCOSTO'!$P$11,IF(C368&lt;='SOLLECITAZ NASCOSTO'!$P$10,IF(C368&lt;='SOLLECITAZ NASCOSTO'!$P$9,IF(C368&lt;='SOLLECITAZ NASCOSTO'!$P$8,IF(C368&lt;='SOLLECITAZ NASCOSTO'!$P$7,IF(C368&lt;='SOLLECITAZ NASCOSTO'!$P$6,IF(C368&lt;='SOLLECITAZ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slu'!$G$111),55555)*(C368-C367)/IF(C368&lt;='SOLLECITAZ NASCOSTO'!$P$12,IF(C368&lt;='SOLLECITAZ NASCOSTO'!$P$11,IF(C368&lt;='SOLLECITAZ NASCOSTO'!$P$10,IF(C368&lt;='SOLLECITAZ NASCOSTO'!$P$9,IF(C368&lt;='SOLLECITAZ NASCOSTO'!$P$8,IF(C368&lt;='SOLLECITAZ NASCOSTO'!$P$7,IF(C368&lt;='SOLLECITAZ NASCOSTO'!$P$6,IF(C368&lt;='SOLLECITAZ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68" s="42">
        <f t="shared" si="119"/>
        <v>3.3500000000000164E-4</v>
      </c>
      <c r="Q368" s="42">
        <f t="shared" si="117"/>
        <v>1</v>
      </c>
      <c r="R368" s="441">
        <f t="shared" si="108"/>
        <v>2.3019230769230767</v>
      </c>
      <c r="S368" s="46">
        <f t="shared" si="118"/>
        <v>2.3019230769230767</v>
      </c>
      <c r="T368" s="211">
        <f t="shared" si="112"/>
        <v>1.0480769230769234</v>
      </c>
      <c r="U368" s="46">
        <f t="shared" si="114"/>
        <v>28.153198326397149</v>
      </c>
      <c r="V368" s="46">
        <f t="shared" si="115"/>
        <v>-25.26204047202145</v>
      </c>
      <c r="W368" s="496"/>
    </row>
    <row r="369" spans="1:23" s="428" customFormat="1" x14ac:dyDescent="0.25">
      <c r="A369" s="589">
        <f t="shared" si="109"/>
        <v>8.1009615383043077E-6</v>
      </c>
      <c r="B369" s="32">
        <f t="shared" si="110"/>
        <v>337</v>
      </c>
      <c r="C369" s="441">
        <f>'SOLLECITAZ NASCOSTO'!$D$6/'SOLLECITAZ NASCOSTO'!$B$448*'SOLLECITAZ NASCOSTO'!B369</f>
        <v>2.3087740384615385</v>
      </c>
      <c r="D369" s="441">
        <f t="shared" si="111"/>
        <v>0.30000810096153829</v>
      </c>
      <c r="E369" s="441">
        <f t="shared" si="102"/>
        <v>8.1009615383043077E-6</v>
      </c>
      <c r="F369" s="441">
        <f t="shared" si="103"/>
        <v>0.30000810096153829</v>
      </c>
      <c r="G369" s="441">
        <f t="shared" si="104"/>
        <v>4.5002430321274281E-2</v>
      </c>
      <c r="H369" s="441">
        <f t="shared" si="120"/>
        <v>0</v>
      </c>
      <c r="I369" s="441">
        <v>0</v>
      </c>
      <c r="J369" s="131">
        <f t="shared" si="121"/>
        <v>0.15000405048076915</v>
      </c>
      <c r="K369" s="130">
        <f t="shared" si="107"/>
        <v>2.2501822765565744E-3</v>
      </c>
      <c r="L369" s="42">
        <f t="shared" si="122"/>
        <v>28.292550815942022</v>
      </c>
      <c r="M369" s="42">
        <f t="shared" si="113"/>
        <v>-25.455394300213364</v>
      </c>
      <c r="N369" s="42">
        <f>(IF(C368&lt;='SOLLECITAZ NASCOSTO'!$P$12,IF(C368&lt;='SOLLECITAZ NASCOSTO'!$P$11,IF(C368&lt;='SOLLECITAZ NASCOSTO'!$P$10,IF(C368&lt;='SOLLECITAZ NASCOSTO'!$P$9,IF(C368&lt;='SOLLECITAZ NASCOSTO'!$P$8,IF(C368&lt;='SOLLECITAZ NASCOSTO'!$P$7,IF(C368&lt;='SOLLECITAZ NASCOSTO'!$P$6,IF(C368&lt;='SOLLECITAZ NASCOSTO'!$P$5,'Progetto del paramento slu'!$G$105,'Progetto del paramento slu'!$G$106),'Progetto del paramento slu'!$G$107),'Progetto del paramento slu'!$G$108),'Progetto del paramento slu'!$G$109),'Progetto del paramento slu'!$G$110),'Progetto del paramento slu'!$G$111),'Progetto del paramento slu'!$G$112),55555)-IF(C368&lt;='SOLLECITAZ NASCOSTO'!$P$12,IF(C368&lt;='SOLLECITAZ NASCOSTO'!$P$11,IF(C368&lt;='SOLLECITAZ NASCOSTO'!$P$10,IF(C368&lt;='SOLLECITAZ NASCOSTO'!$P$9,IF(C368&lt;='SOLLECITAZ NASCOSTO'!$P$8,IF(C368&lt;='SOLLECITAZ NASCOSTO'!$P$7,IF(C368&lt;='SOLLECITAZ NASCOSTO'!$P$6,IF(C368&lt;='SOLLECITAZ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slu'!$G$112))*(C368-IF(C368&lt;='SOLLECITAZ NASCOSTO'!$P$12,IF(C368&lt;='SOLLECITAZ NASCOSTO'!$P$11,IF(C368&lt;='SOLLECITAZ NASCOSTO'!$P$10,IF(C368&lt;='SOLLECITAZ NASCOSTO'!$P$9,IF(C368&lt;='SOLLECITAZ NASCOSTO'!$P$8,IF(C368&lt;='SOLLECITAZ NASCOSTO'!$P$7,IF(C368&lt;='SOLLECITAZ NASCOSTO'!$P$6,IF(C368&lt;='SOLLECITAZ NASCOSTO'!$P$5,'SOLLECITAZ NASCOSTO'!$P$3,'SOLLECITAZ NASCOSTO'!$P$5),'SOLLECITAZ NASCOSTO'!$P$5),'SOLLECITAZ NASCOSTO'!$P$7),'SOLLECITAZ NASCOSTO'!$P$8),'SOLLECITAZ NASCOSTO'!$P$9),'SOLLECITAZ NASCOSTO'!$P$10),'SOLLECITAZ NASCOSTO'!$P$11),'SOLLECITAZ NASCOSTO'!$P$12))/IF(C368&lt;='SOLLECITAZ NASCOSTO'!$P$12,IF(C368&lt;='SOLLECITAZ NASCOSTO'!$P$11,IF(C368&lt;='SOLLECITAZ NASCOSTO'!$P$10,IF(C368&lt;='SOLLECITAZ NASCOSTO'!$P$9,IF(C368&lt;='SOLLECITAZ NASCOSTO'!$P$8,IF(C368&lt;='SOLLECITAZ NASCOSTO'!$P$7,IF(C368&lt;='SOLLECITAZ NASCOSTO'!$P$6,IF(C368&lt;='SOLLECITAZ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slu'!$C$112)+IF(C368&lt;='SOLLECITAZ NASCOSTO'!$P$12,IF(C368&lt;='SOLLECITAZ NASCOSTO'!$P$11,IF(C368&lt;='SOLLECITAZ NASCOSTO'!$P$10,IF(C368&lt;='SOLLECITAZ NASCOSTO'!$P$9,IF(C368&lt;='SOLLECITAZ NASCOSTO'!$P$8,IF(C368&lt;='SOLLECITAZ NASCOSTO'!$P$7,IF(C368&lt;='SOLLECITAZ NASCOSTO'!$P$6,IF(C368&lt;='SOLLECITAZ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20.316507803018084</v>
      </c>
      <c r="O369" s="42">
        <f>IF(C369&lt;='SOLLECITAZ NASCOSTO'!$P$12,IF(C369&lt;='SOLLECITAZ NASCOSTO'!$P$11,IF(C369&lt;='SOLLECITAZ NASCOSTO'!$P$10,IF(C369&lt;='SOLLECITAZ NASCOSTO'!$P$9,IF(C369&lt;='SOLLECITAZ NASCOSTO'!$P$8,IF(C369&lt;='SOLLECITAZ NASCOSTO'!$P$7,IF(C369&lt;='SOLLECITAZ NASCOSTO'!$P$6,IF(C369&lt;='SOLLECITAZ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slu'!$G$111),55555)*(C369-C368)/IF(C369&lt;='SOLLECITAZ NASCOSTO'!$P$12,IF(C369&lt;='SOLLECITAZ NASCOSTO'!$P$11,IF(C369&lt;='SOLLECITAZ NASCOSTO'!$P$10,IF(C369&lt;='SOLLECITAZ NASCOSTO'!$P$9,IF(C369&lt;='SOLLECITAZ NASCOSTO'!$P$8,IF(C369&lt;='SOLLECITAZ NASCOSTO'!$P$7,IF(C369&lt;='SOLLECITAZ NASCOSTO'!$P$6,IF(C369&lt;='SOLLECITAZ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69" s="42">
        <f t="shared" si="119"/>
        <v>3.3600000000000166E-4</v>
      </c>
      <c r="Q369" s="42">
        <f t="shared" si="117"/>
        <v>1</v>
      </c>
      <c r="R369" s="441">
        <f t="shared" si="108"/>
        <v>2.3087740384615385</v>
      </c>
      <c r="S369" s="46">
        <f t="shared" si="118"/>
        <v>2.3087740384615385</v>
      </c>
      <c r="T369" s="211">
        <f t="shared" si="112"/>
        <v>1.0412259615384616</v>
      </c>
      <c r="U369" s="46">
        <f t="shared" si="114"/>
        <v>28.292550815942022</v>
      </c>
      <c r="V369" s="46">
        <f t="shared" si="115"/>
        <v>-25.455394300213364</v>
      </c>
      <c r="W369" s="496"/>
    </row>
    <row r="370" spans="1:23" s="428" customFormat="1" x14ac:dyDescent="0.25">
      <c r="A370" s="589">
        <f t="shared" si="109"/>
        <v>8.1249999998034284E-6</v>
      </c>
      <c r="B370" s="32">
        <f t="shared" si="110"/>
        <v>338</v>
      </c>
      <c r="C370" s="441">
        <f>'SOLLECITAZ NASCOSTO'!$D$6/'SOLLECITAZ NASCOSTO'!$B$448*'SOLLECITAZ NASCOSTO'!B370</f>
        <v>2.3156249999999998</v>
      </c>
      <c r="D370" s="441">
        <f t="shared" si="111"/>
        <v>0.30000812499999979</v>
      </c>
      <c r="E370" s="441">
        <f t="shared" si="102"/>
        <v>8.1249999998034284E-6</v>
      </c>
      <c r="F370" s="441">
        <f t="shared" si="103"/>
        <v>0.30000812499999979</v>
      </c>
      <c r="G370" s="441">
        <f t="shared" si="104"/>
        <v>4.5002437533007755E-2</v>
      </c>
      <c r="H370" s="441">
        <f t="shared" si="120"/>
        <v>0</v>
      </c>
      <c r="I370" s="441">
        <v>0</v>
      </c>
      <c r="J370" s="131">
        <f t="shared" si="121"/>
        <v>0.15000406249999992</v>
      </c>
      <c r="K370" s="130">
        <f t="shared" si="107"/>
        <v>2.2501828174512121E-3</v>
      </c>
      <c r="L370" s="42">
        <f t="shared" si="122"/>
        <v>28.432233057467965</v>
      </c>
      <c r="M370" s="42">
        <f t="shared" si="113"/>
        <v>-25.649703956510496</v>
      </c>
      <c r="N370" s="42">
        <f>(IF(C369&lt;='SOLLECITAZ NASCOSTO'!$P$12,IF(C369&lt;='SOLLECITAZ NASCOSTO'!$P$11,IF(C369&lt;='SOLLECITAZ NASCOSTO'!$P$10,IF(C369&lt;='SOLLECITAZ NASCOSTO'!$P$9,IF(C369&lt;='SOLLECITAZ NASCOSTO'!$P$8,IF(C369&lt;='SOLLECITAZ NASCOSTO'!$P$7,IF(C369&lt;='SOLLECITAZ NASCOSTO'!$P$6,IF(C369&lt;='SOLLECITAZ NASCOSTO'!$P$5,'Progetto del paramento slu'!$G$105,'Progetto del paramento slu'!$G$106),'Progetto del paramento slu'!$G$107),'Progetto del paramento slu'!$G$108),'Progetto del paramento slu'!$G$109),'Progetto del paramento slu'!$G$110),'Progetto del paramento slu'!$G$111),'Progetto del paramento slu'!$G$112),55555)-IF(C369&lt;='SOLLECITAZ NASCOSTO'!$P$12,IF(C369&lt;='SOLLECITAZ NASCOSTO'!$P$11,IF(C369&lt;='SOLLECITAZ NASCOSTO'!$P$10,IF(C369&lt;='SOLLECITAZ NASCOSTO'!$P$9,IF(C369&lt;='SOLLECITAZ NASCOSTO'!$P$8,IF(C369&lt;='SOLLECITAZ NASCOSTO'!$P$7,IF(C369&lt;='SOLLECITAZ NASCOSTO'!$P$6,IF(C369&lt;='SOLLECITAZ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slu'!$G$112))*(C369-IF(C369&lt;='SOLLECITAZ NASCOSTO'!$P$12,IF(C369&lt;='SOLLECITAZ NASCOSTO'!$P$11,IF(C369&lt;='SOLLECITAZ NASCOSTO'!$P$10,IF(C369&lt;='SOLLECITAZ NASCOSTO'!$P$9,IF(C369&lt;='SOLLECITAZ NASCOSTO'!$P$8,IF(C369&lt;='SOLLECITAZ NASCOSTO'!$P$7,IF(C369&lt;='SOLLECITAZ NASCOSTO'!$P$6,IF(C369&lt;='SOLLECITAZ NASCOSTO'!$P$5,'SOLLECITAZ NASCOSTO'!$P$3,'SOLLECITAZ NASCOSTO'!$P$5),'SOLLECITAZ NASCOSTO'!$P$5),'SOLLECITAZ NASCOSTO'!$P$7),'SOLLECITAZ NASCOSTO'!$P$8),'SOLLECITAZ NASCOSTO'!$P$9),'SOLLECITAZ NASCOSTO'!$P$10),'SOLLECITAZ NASCOSTO'!$P$11),'SOLLECITAZ NASCOSTO'!$P$12))/IF(C369&lt;='SOLLECITAZ NASCOSTO'!$P$12,IF(C369&lt;='SOLLECITAZ NASCOSTO'!$P$11,IF(C369&lt;='SOLLECITAZ NASCOSTO'!$P$10,IF(C369&lt;='SOLLECITAZ NASCOSTO'!$P$9,IF(C369&lt;='SOLLECITAZ NASCOSTO'!$P$8,IF(C369&lt;='SOLLECITAZ NASCOSTO'!$P$7,IF(C369&lt;='SOLLECITAZ NASCOSTO'!$P$6,IF(C369&lt;='SOLLECITAZ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slu'!$C$112)+IF(C369&lt;='SOLLECITAZ NASCOSTO'!$P$12,IF(C369&lt;='SOLLECITAZ NASCOSTO'!$P$11,IF(C369&lt;='SOLLECITAZ NASCOSTO'!$P$10,IF(C369&lt;='SOLLECITAZ NASCOSTO'!$P$9,IF(C369&lt;='SOLLECITAZ NASCOSTO'!$P$8,IF(C369&lt;='SOLLECITAZ NASCOSTO'!$P$7,IF(C369&lt;='SOLLECITAZ NASCOSTO'!$P$6,IF(C369&lt;='SOLLECITAZ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20.364640022010438</v>
      </c>
      <c r="O370" s="42">
        <f>IF(C370&lt;='SOLLECITAZ NASCOSTO'!$P$12,IF(C370&lt;='SOLLECITAZ NASCOSTO'!$P$11,IF(C370&lt;='SOLLECITAZ NASCOSTO'!$P$10,IF(C370&lt;='SOLLECITAZ NASCOSTO'!$P$9,IF(C370&lt;='SOLLECITAZ NASCOSTO'!$P$8,IF(C370&lt;='SOLLECITAZ NASCOSTO'!$P$7,IF(C370&lt;='SOLLECITAZ NASCOSTO'!$P$6,IF(C370&lt;='SOLLECITAZ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slu'!$G$111),55555)*(C370-C369)/IF(C370&lt;='SOLLECITAZ NASCOSTO'!$P$12,IF(C370&lt;='SOLLECITAZ NASCOSTO'!$P$11,IF(C370&lt;='SOLLECITAZ NASCOSTO'!$P$10,IF(C370&lt;='SOLLECITAZ NASCOSTO'!$P$9,IF(C370&lt;='SOLLECITAZ NASCOSTO'!$P$8,IF(C370&lt;='SOLLECITAZ NASCOSTO'!$P$7,IF(C370&lt;='SOLLECITAZ NASCOSTO'!$P$6,IF(C370&lt;='SOLLECITAZ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70" s="42">
        <f t="shared" si="119"/>
        <v>3.3700000000000169E-4</v>
      </c>
      <c r="Q370" s="42">
        <f t="shared" si="117"/>
        <v>1</v>
      </c>
      <c r="R370" s="441">
        <f t="shared" si="108"/>
        <v>2.3156249999999998</v>
      </c>
      <c r="S370" s="46">
        <f t="shared" si="118"/>
        <v>2.3156249999999998</v>
      </c>
      <c r="T370" s="211">
        <f t="shared" si="112"/>
        <v>1.0343750000000003</v>
      </c>
      <c r="U370" s="46">
        <f t="shared" si="114"/>
        <v>28.432233057467965</v>
      </c>
      <c r="V370" s="46">
        <f t="shared" si="115"/>
        <v>-25.649703956510496</v>
      </c>
      <c r="W370" s="496"/>
    </row>
    <row r="371" spans="1:23" s="428" customFormat="1" x14ac:dyDescent="0.25">
      <c r="A371" s="589">
        <f t="shared" si="109"/>
        <v>8.1490384613580602E-6</v>
      </c>
      <c r="B371" s="32">
        <f t="shared" si="110"/>
        <v>339</v>
      </c>
      <c r="C371" s="441">
        <f>'SOLLECITAZ NASCOSTO'!$D$6/'SOLLECITAZ NASCOSTO'!$B$448*'SOLLECITAZ NASCOSTO'!B371</f>
        <v>2.3224759615384616</v>
      </c>
      <c r="D371" s="441">
        <f t="shared" si="111"/>
        <v>0.30000814903846135</v>
      </c>
      <c r="E371" s="441">
        <f t="shared" si="102"/>
        <v>8.1490384613580602E-6</v>
      </c>
      <c r="F371" s="441">
        <f t="shared" si="103"/>
        <v>0.30000814903846135</v>
      </c>
      <c r="G371" s="441">
        <f t="shared" si="104"/>
        <v>4.5002444744741819E-2</v>
      </c>
      <c r="H371" s="441">
        <f t="shared" si="120"/>
        <v>0</v>
      </c>
      <c r="I371" s="441">
        <v>0</v>
      </c>
      <c r="J371" s="131">
        <f t="shared" si="121"/>
        <v>0.15000407451923067</v>
      </c>
      <c r="K371" s="130">
        <f t="shared" si="107"/>
        <v>2.2501833583459378E-3</v>
      </c>
      <c r="L371" s="42">
        <f t="shared" si="122"/>
        <v>28.572245050974992</v>
      </c>
      <c r="M371" s="42">
        <f t="shared" si="113"/>
        <v>-25.84497170003101</v>
      </c>
      <c r="N371" s="42">
        <f>(IF(C370&lt;='SOLLECITAZ NASCOSTO'!$P$12,IF(C370&lt;='SOLLECITAZ NASCOSTO'!$P$11,IF(C370&lt;='SOLLECITAZ NASCOSTO'!$P$10,IF(C370&lt;='SOLLECITAZ NASCOSTO'!$P$9,IF(C370&lt;='SOLLECITAZ NASCOSTO'!$P$8,IF(C370&lt;='SOLLECITAZ NASCOSTO'!$P$7,IF(C370&lt;='SOLLECITAZ NASCOSTO'!$P$6,IF(C370&lt;='SOLLECITAZ NASCOSTO'!$P$5,'Progetto del paramento slu'!$G$105,'Progetto del paramento slu'!$G$106),'Progetto del paramento slu'!$G$107),'Progetto del paramento slu'!$G$108),'Progetto del paramento slu'!$G$109),'Progetto del paramento slu'!$G$110),'Progetto del paramento slu'!$G$111),'Progetto del paramento slu'!$G$112),55555)-IF(C370&lt;='SOLLECITAZ NASCOSTO'!$P$12,IF(C370&lt;='SOLLECITAZ NASCOSTO'!$P$11,IF(C370&lt;='SOLLECITAZ NASCOSTO'!$P$10,IF(C370&lt;='SOLLECITAZ NASCOSTO'!$P$9,IF(C370&lt;='SOLLECITAZ NASCOSTO'!$P$8,IF(C370&lt;='SOLLECITAZ NASCOSTO'!$P$7,IF(C370&lt;='SOLLECITAZ NASCOSTO'!$P$6,IF(C370&lt;='SOLLECITAZ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slu'!$G$112))*(C370-IF(C370&lt;='SOLLECITAZ NASCOSTO'!$P$12,IF(C370&lt;='SOLLECITAZ NASCOSTO'!$P$11,IF(C370&lt;='SOLLECITAZ NASCOSTO'!$P$10,IF(C370&lt;='SOLLECITAZ NASCOSTO'!$P$9,IF(C370&lt;='SOLLECITAZ NASCOSTO'!$P$8,IF(C370&lt;='SOLLECITAZ NASCOSTO'!$P$7,IF(C370&lt;='SOLLECITAZ NASCOSTO'!$P$6,IF(C370&lt;='SOLLECITAZ NASCOSTO'!$P$5,'SOLLECITAZ NASCOSTO'!$P$3,'SOLLECITAZ NASCOSTO'!$P$5),'SOLLECITAZ NASCOSTO'!$P$5),'SOLLECITAZ NASCOSTO'!$P$7),'SOLLECITAZ NASCOSTO'!$P$8),'SOLLECITAZ NASCOSTO'!$P$9),'SOLLECITAZ NASCOSTO'!$P$10),'SOLLECITAZ NASCOSTO'!$P$11),'SOLLECITAZ NASCOSTO'!$P$12))/IF(C370&lt;='SOLLECITAZ NASCOSTO'!$P$12,IF(C370&lt;='SOLLECITAZ NASCOSTO'!$P$11,IF(C370&lt;='SOLLECITAZ NASCOSTO'!$P$10,IF(C370&lt;='SOLLECITAZ NASCOSTO'!$P$9,IF(C370&lt;='SOLLECITAZ NASCOSTO'!$P$8,IF(C370&lt;='SOLLECITAZ NASCOSTO'!$P$7,IF(C370&lt;='SOLLECITAZ NASCOSTO'!$P$6,IF(C370&lt;='SOLLECITAZ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slu'!$C$112)+IF(C370&lt;='SOLLECITAZ NASCOSTO'!$P$12,IF(C370&lt;='SOLLECITAZ NASCOSTO'!$P$11,IF(C370&lt;='SOLLECITAZ NASCOSTO'!$P$10,IF(C370&lt;='SOLLECITAZ NASCOSTO'!$P$9,IF(C370&lt;='SOLLECITAZ NASCOSTO'!$P$8,IF(C370&lt;='SOLLECITAZ NASCOSTO'!$P$7,IF(C370&lt;='SOLLECITAZ NASCOSTO'!$P$6,IF(C370&lt;='SOLLECITAZ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20.412772241002788</v>
      </c>
      <c r="O371" s="42">
        <f>IF(C371&lt;='SOLLECITAZ NASCOSTO'!$P$12,IF(C371&lt;='SOLLECITAZ NASCOSTO'!$P$11,IF(C371&lt;='SOLLECITAZ NASCOSTO'!$P$10,IF(C371&lt;='SOLLECITAZ NASCOSTO'!$P$9,IF(C371&lt;='SOLLECITAZ NASCOSTO'!$P$8,IF(C371&lt;='SOLLECITAZ NASCOSTO'!$P$7,IF(C371&lt;='SOLLECITAZ NASCOSTO'!$P$6,IF(C371&lt;='SOLLECITAZ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slu'!$G$111),55555)*(C371-C370)/IF(C371&lt;='SOLLECITAZ NASCOSTO'!$P$12,IF(C371&lt;='SOLLECITAZ NASCOSTO'!$P$11,IF(C371&lt;='SOLLECITAZ NASCOSTO'!$P$10,IF(C371&lt;='SOLLECITAZ NASCOSTO'!$P$9,IF(C371&lt;='SOLLECITAZ NASCOSTO'!$P$8,IF(C371&lt;='SOLLECITAZ NASCOSTO'!$P$7,IF(C371&lt;='SOLLECITAZ NASCOSTO'!$P$6,IF(C371&lt;='SOLLECITAZ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71" s="42">
        <f t="shared" si="119"/>
        <v>3.3800000000000171E-4</v>
      </c>
      <c r="Q371" s="42">
        <f t="shared" si="117"/>
        <v>1</v>
      </c>
      <c r="R371" s="441">
        <f t="shared" si="108"/>
        <v>2.3224759615384616</v>
      </c>
      <c r="S371" s="46">
        <f t="shared" si="118"/>
        <v>2.3224759615384616</v>
      </c>
      <c r="T371" s="211">
        <f t="shared" si="112"/>
        <v>1.0275240384615385</v>
      </c>
      <c r="U371" s="46">
        <f t="shared" si="114"/>
        <v>28.572245050974992</v>
      </c>
      <c r="V371" s="46">
        <f t="shared" si="115"/>
        <v>-25.84497170003101</v>
      </c>
      <c r="W371" s="496"/>
    </row>
    <row r="372" spans="1:23" s="428" customFormat="1" x14ac:dyDescent="0.25">
      <c r="A372" s="589">
        <f t="shared" si="109"/>
        <v>8.1730769229126921E-6</v>
      </c>
      <c r="B372" s="32">
        <f t="shared" si="110"/>
        <v>340</v>
      </c>
      <c r="C372" s="441">
        <f>'SOLLECITAZ NASCOSTO'!$D$6/'SOLLECITAZ NASCOSTO'!$B$448*'SOLLECITAZ NASCOSTO'!B372</f>
        <v>2.3293269230769229</v>
      </c>
      <c r="D372" s="441">
        <f t="shared" si="111"/>
        <v>0.3000081730769229</v>
      </c>
      <c r="E372" s="441">
        <f t="shared" si="102"/>
        <v>8.1730769229126921E-6</v>
      </c>
      <c r="F372" s="441">
        <f t="shared" si="103"/>
        <v>0.3000081730769229</v>
      </c>
      <c r="G372" s="441">
        <f t="shared" si="104"/>
        <v>4.5002451956476466E-2</v>
      </c>
      <c r="H372" s="441">
        <f t="shared" si="120"/>
        <v>0</v>
      </c>
      <c r="I372" s="441">
        <v>0</v>
      </c>
      <c r="J372" s="131">
        <f t="shared" si="121"/>
        <v>0.15000408653846145</v>
      </c>
      <c r="K372" s="130">
        <f t="shared" si="107"/>
        <v>2.2501838992407498E-3</v>
      </c>
      <c r="L372" s="42">
        <f t="shared" si="122"/>
        <v>28.712586796463089</v>
      </c>
      <c r="M372" s="42">
        <f t="shared" si="113"/>
        <v>-26.041199789893021</v>
      </c>
      <c r="N372" s="42">
        <f>(IF(C371&lt;='SOLLECITAZ NASCOSTO'!$P$12,IF(C371&lt;='SOLLECITAZ NASCOSTO'!$P$11,IF(C371&lt;='SOLLECITAZ NASCOSTO'!$P$10,IF(C371&lt;='SOLLECITAZ NASCOSTO'!$P$9,IF(C371&lt;='SOLLECITAZ NASCOSTO'!$P$8,IF(C371&lt;='SOLLECITAZ NASCOSTO'!$P$7,IF(C371&lt;='SOLLECITAZ NASCOSTO'!$P$6,IF(C371&lt;='SOLLECITAZ NASCOSTO'!$P$5,'Progetto del paramento slu'!$G$105,'Progetto del paramento slu'!$G$106),'Progetto del paramento slu'!$G$107),'Progetto del paramento slu'!$G$108),'Progetto del paramento slu'!$G$109),'Progetto del paramento slu'!$G$110),'Progetto del paramento slu'!$G$111),'Progetto del paramento slu'!$G$112),55555)-IF(C371&lt;='SOLLECITAZ NASCOSTO'!$P$12,IF(C371&lt;='SOLLECITAZ NASCOSTO'!$P$11,IF(C371&lt;='SOLLECITAZ NASCOSTO'!$P$10,IF(C371&lt;='SOLLECITAZ NASCOSTO'!$P$9,IF(C371&lt;='SOLLECITAZ NASCOSTO'!$P$8,IF(C371&lt;='SOLLECITAZ NASCOSTO'!$P$7,IF(C371&lt;='SOLLECITAZ NASCOSTO'!$P$6,IF(C371&lt;='SOLLECITAZ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slu'!$G$112))*(C371-IF(C371&lt;='SOLLECITAZ NASCOSTO'!$P$12,IF(C371&lt;='SOLLECITAZ NASCOSTO'!$P$11,IF(C371&lt;='SOLLECITAZ NASCOSTO'!$P$10,IF(C371&lt;='SOLLECITAZ NASCOSTO'!$P$9,IF(C371&lt;='SOLLECITAZ NASCOSTO'!$P$8,IF(C371&lt;='SOLLECITAZ NASCOSTO'!$P$7,IF(C371&lt;='SOLLECITAZ NASCOSTO'!$P$6,IF(C371&lt;='SOLLECITAZ NASCOSTO'!$P$5,'SOLLECITAZ NASCOSTO'!$P$3,'SOLLECITAZ NASCOSTO'!$P$5),'SOLLECITAZ NASCOSTO'!$P$5),'SOLLECITAZ NASCOSTO'!$P$7),'SOLLECITAZ NASCOSTO'!$P$8),'SOLLECITAZ NASCOSTO'!$P$9),'SOLLECITAZ NASCOSTO'!$P$10),'SOLLECITAZ NASCOSTO'!$P$11),'SOLLECITAZ NASCOSTO'!$P$12))/IF(C371&lt;='SOLLECITAZ NASCOSTO'!$P$12,IF(C371&lt;='SOLLECITAZ NASCOSTO'!$P$11,IF(C371&lt;='SOLLECITAZ NASCOSTO'!$P$10,IF(C371&lt;='SOLLECITAZ NASCOSTO'!$P$9,IF(C371&lt;='SOLLECITAZ NASCOSTO'!$P$8,IF(C371&lt;='SOLLECITAZ NASCOSTO'!$P$7,IF(C371&lt;='SOLLECITAZ NASCOSTO'!$P$6,IF(C371&lt;='SOLLECITAZ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slu'!$C$112)+IF(C371&lt;='SOLLECITAZ NASCOSTO'!$P$12,IF(C371&lt;='SOLLECITAZ NASCOSTO'!$P$11,IF(C371&lt;='SOLLECITAZ NASCOSTO'!$P$10,IF(C371&lt;='SOLLECITAZ NASCOSTO'!$P$9,IF(C371&lt;='SOLLECITAZ NASCOSTO'!$P$8,IF(C371&lt;='SOLLECITAZ NASCOSTO'!$P$7,IF(C371&lt;='SOLLECITAZ NASCOSTO'!$P$6,IF(C371&lt;='SOLLECITAZ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20.460904459995142</v>
      </c>
      <c r="O372" s="42">
        <f>IF(C372&lt;='SOLLECITAZ NASCOSTO'!$P$12,IF(C372&lt;='SOLLECITAZ NASCOSTO'!$P$11,IF(C372&lt;='SOLLECITAZ NASCOSTO'!$P$10,IF(C372&lt;='SOLLECITAZ NASCOSTO'!$P$9,IF(C372&lt;='SOLLECITAZ NASCOSTO'!$P$8,IF(C372&lt;='SOLLECITAZ NASCOSTO'!$P$7,IF(C372&lt;='SOLLECITAZ NASCOSTO'!$P$6,IF(C372&lt;='SOLLECITAZ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slu'!$G$111),55555)*(C372-C371)/IF(C372&lt;='SOLLECITAZ NASCOSTO'!$P$12,IF(C372&lt;='SOLLECITAZ NASCOSTO'!$P$11,IF(C372&lt;='SOLLECITAZ NASCOSTO'!$P$10,IF(C372&lt;='SOLLECITAZ NASCOSTO'!$P$9,IF(C372&lt;='SOLLECITAZ NASCOSTO'!$P$8,IF(C372&lt;='SOLLECITAZ NASCOSTO'!$P$7,IF(C372&lt;='SOLLECITAZ NASCOSTO'!$P$6,IF(C372&lt;='SOLLECITAZ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72" s="42">
        <f t="shared" si="119"/>
        <v>3.3900000000000173E-4</v>
      </c>
      <c r="Q372" s="42">
        <f t="shared" si="117"/>
        <v>1</v>
      </c>
      <c r="R372" s="441">
        <f t="shared" si="108"/>
        <v>2.3293269230769229</v>
      </c>
      <c r="S372" s="46">
        <f t="shared" si="118"/>
        <v>2.3293269230769229</v>
      </c>
      <c r="T372" s="211">
        <f t="shared" si="112"/>
        <v>1.0206730769230772</v>
      </c>
      <c r="U372" s="46">
        <f t="shared" si="114"/>
        <v>28.712586796463089</v>
      </c>
      <c r="V372" s="46">
        <f t="shared" si="115"/>
        <v>-26.041199789893021</v>
      </c>
      <c r="W372" s="496"/>
    </row>
    <row r="373" spans="1:23" s="428" customFormat="1" x14ac:dyDescent="0.25">
      <c r="A373" s="589">
        <f t="shared" si="109"/>
        <v>8.1971153844118128E-6</v>
      </c>
      <c r="B373" s="32">
        <f t="shared" si="110"/>
        <v>341</v>
      </c>
      <c r="C373" s="441">
        <f>'SOLLECITAZ NASCOSTO'!$D$6/'SOLLECITAZ NASCOSTO'!$B$448*'SOLLECITAZ NASCOSTO'!B373</f>
        <v>2.3361778846153847</v>
      </c>
      <c r="D373" s="441">
        <f t="shared" si="111"/>
        <v>0.3000081971153844</v>
      </c>
      <c r="E373" s="441">
        <f t="shared" si="102"/>
        <v>8.1971153844118128E-6</v>
      </c>
      <c r="F373" s="441">
        <f t="shared" si="103"/>
        <v>0.3000081971153844</v>
      </c>
      <c r="G373" s="441">
        <f t="shared" si="104"/>
        <v>4.5002459168211675E-2</v>
      </c>
      <c r="H373" s="441">
        <f t="shared" si="120"/>
        <v>0</v>
      </c>
      <c r="I373" s="441">
        <v>0</v>
      </c>
      <c r="J373" s="131">
        <f t="shared" si="121"/>
        <v>0.15000409855769223</v>
      </c>
      <c r="K373" s="130">
        <f t="shared" si="107"/>
        <v>2.2501844401356472E-3</v>
      </c>
      <c r="L373" s="42">
        <f t="shared" si="122"/>
        <v>28.853258293932274</v>
      </c>
      <c r="M373" s="42">
        <f t="shared" si="113"/>
        <v>-26.238390485214694</v>
      </c>
      <c r="N373" s="42">
        <f>(IF(C372&lt;='SOLLECITAZ NASCOSTO'!$P$12,IF(C372&lt;='SOLLECITAZ NASCOSTO'!$P$11,IF(C372&lt;='SOLLECITAZ NASCOSTO'!$P$10,IF(C372&lt;='SOLLECITAZ NASCOSTO'!$P$9,IF(C372&lt;='SOLLECITAZ NASCOSTO'!$P$8,IF(C372&lt;='SOLLECITAZ NASCOSTO'!$P$7,IF(C372&lt;='SOLLECITAZ NASCOSTO'!$P$6,IF(C372&lt;='SOLLECITAZ NASCOSTO'!$P$5,'Progetto del paramento slu'!$G$105,'Progetto del paramento slu'!$G$106),'Progetto del paramento slu'!$G$107),'Progetto del paramento slu'!$G$108),'Progetto del paramento slu'!$G$109),'Progetto del paramento slu'!$G$110),'Progetto del paramento slu'!$G$111),'Progetto del paramento slu'!$G$112),55555)-IF(C372&lt;='SOLLECITAZ NASCOSTO'!$P$12,IF(C372&lt;='SOLLECITAZ NASCOSTO'!$P$11,IF(C372&lt;='SOLLECITAZ NASCOSTO'!$P$10,IF(C372&lt;='SOLLECITAZ NASCOSTO'!$P$9,IF(C372&lt;='SOLLECITAZ NASCOSTO'!$P$8,IF(C372&lt;='SOLLECITAZ NASCOSTO'!$P$7,IF(C372&lt;='SOLLECITAZ NASCOSTO'!$P$6,IF(C372&lt;='SOLLECITAZ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slu'!$G$112))*(C372-IF(C372&lt;='SOLLECITAZ NASCOSTO'!$P$12,IF(C372&lt;='SOLLECITAZ NASCOSTO'!$P$11,IF(C372&lt;='SOLLECITAZ NASCOSTO'!$P$10,IF(C372&lt;='SOLLECITAZ NASCOSTO'!$P$9,IF(C372&lt;='SOLLECITAZ NASCOSTO'!$P$8,IF(C372&lt;='SOLLECITAZ NASCOSTO'!$P$7,IF(C372&lt;='SOLLECITAZ NASCOSTO'!$P$6,IF(C372&lt;='SOLLECITAZ NASCOSTO'!$P$5,'SOLLECITAZ NASCOSTO'!$P$3,'SOLLECITAZ NASCOSTO'!$P$5),'SOLLECITAZ NASCOSTO'!$P$5),'SOLLECITAZ NASCOSTO'!$P$7),'SOLLECITAZ NASCOSTO'!$P$8),'SOLLECITAZ NASCOSTO'!$P$9),'SOLLECITAZ NASCOSTO'!$P$10),'SOLLECITAZ NASCOSTO'!$P$11),'SOLLECITAZ NASCOSTO'!$P$12))/IF(C372&lt;='SOLLECITAZ NASCOSTO'!$P$12,IF(C372&lt;='SOLLECITAZ NASCOSTO'!$P$11,IF(C372&lt;='SOLLECITAZ NASCOSTO'!$P$10,IF(C372&lt;='SOLLECITAZ NASCOSTO'!$P$9,IF(C372&lt;='SOLLECITAZ NASCOSTO'!$P$8,IF(C372&lt;='SOLLECITAZ NASCOSTO'!$P$7,IF(C372&lt;='SOLLECITAZ NASCOSTO'!$P$6,IF(C372&lt;='SOLLECITAZ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slu'!$C$112)+IF(C372&lt;='SOLLECITAZ NASCOSTO'!$P$12,IF(C372&lt;='SOLLECITAZ NASCOSTO'!$P$11,IF(C372&lt;='SOLLECITAZ NASCOSTO'!$P$10,IF(C372&lt;='SOLLECITAZ NASCOSTO'!$P$9,IF(C372&lt;='SOLLECITAZ NASCOSTO'!$P$8,IF(C372&lt;='SOLLECITAZ NASCOSTO'!$P$7,IF(C372&lt;='SOLLECITAZ NASCOSTO'!$P$6,IF(C372&lt;='SOLLECITAZ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20.509036678987492</v>
      </c>
      <c r="O373" s="42">
        <f>IF(C373&lt;='SOLLECITAZ NASCOSTO'!$P$12,IF(C373&lt;='SOLLECITAZ NASCOSTO'!$P$11,IF(C373&lt;='SOLLECITAZ NASCOSTO'!$P$10,IF(C373&lt;='SOLLECITAZ NASCOSTO'!$P$9,IF(C373&lt;='SOLLECITAZ NASCOSTO'!$P$8,IF(C373&lt;='SOLLECITAZ NASCOSTO'!$P$7,IF(C373&lt;='SOLLECITAZ NASCOSTO'!$P$6,IF(C373&lt;='SOLLECITAZ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slu'!$G$111),55555)*(C373-C372)/IF(C373&lt;='SOLLECITAZ NASCOSTO'!$P$12,IF(C373&lt;='SOLLECITAZ NASCOSTO'!$P$11,IF(C373&lt;='SOLLECITAZ NASCOSTO'!$P$10,IF(C373&lt;='SOLLECITAZ NASCOSTO'!$P$9,IF(C373&lt;='SOLLECITAZ NASCOSTO'!$P$8,IF(C373&lt;='SOLLECITAZ NASCOSTO'!$P$7,IF(C373&lt;='SOLLECITAZ NASCOSTO'!$P$6,IF(C373&lt;='SOLLECITAZ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73" s="42">
        <f t="shared" si="119"/>
        <v>3.4000000000000176E-4</v>
      </c>
      <c r="Q373" s="42">
        <f t="shared" si="117"/>
        <v>1</v>
      </c>
      <c r="R373" s="441">
        <f t="shared" si="108"/>
        <v>2.3361778846153847</v>
      </c>
      <c r="S373" s="46">
        <f t="shared" si="118"/>
        <v>2.3361778846153847</v>
      </c>
      <c r="T373" s="211">
        <f t="shared" si="112"/>
        <v>1.0138221153846154</v>
      </c>
      <c r="U373" s="46">
        <f t="shared" si="114"/>
        <v>28.853258293932274</v>
      </c>
      <c r="V373" s="46">
        <f t="shared" si="115"/>
        <v>-26.238390485214694</v>
      </c>
      <c r="W373" s="496"/>
    </row>
    <row r="374" spans="1:23" s="428" customFormat="1" x14ac:dyDescent="0.25">
      <c r="A374" s="589">
        <f t="shared" si="109"/>
        <v>8.2211538459664446E-6</v>
      </c>
      <c r="B374" s="32">
        <f t="shared" si="110"/>
        <v>342</v>
      </c>
      <c r="C374" s="441">
        <f>'SOLLECITAZ NASCOSTO'!$D$6/'SOLLECITAZ NASCOSTO'!$B$448*'SOLLECITAZ NASCOSTO'!B374</f>
        <v>2.343028846153846</v>
      </c>
      <c r="D374" s="441">
        <f t="shared" si="111"/>
        <v>0.30000822115384596</v>
      </c>
      <c r="E374" s="441">
        <f t="shared" si="102"/>
        <v>8.2211538459664446E-6</v>
      </c>
      <c r="F374" s="441">
        <f t="shared" si="103"/>
        <v>0.30000822115384596</v>
      </c>
      <c r="G374" s="441">
        <f t="shared" si="104"/>
        <v>4.5002466379947474E-2</v>
      </c>
      <c r="H374" s="441">
        <f t="shared" si="120"/>
        <v>0</v>
      </c>
      <c r="I374" s="441">
        <v>0</v>
      </c>
      <c r="J374" s="131">
        <f t="shared" si="121"/>
        <v>0.15000411057692298</v>
      </c>
      <c r="K374" s="130">
        <f t="shared" si="107"/>
        <v>2.2501849810306332E-3</v>
      </c>
      <c r="L374" s="42">
        <f t="shared" si="122"/>
        <v>28.994259543382526</v>
      </c>
      <c r="M374" s="42">
        <f t="shared" si="113"/>
        <v>-26.436546045114145</v>
      </c>
      <c r="N374" s="42">
        <f>(IF(C373&lt;='SOLLECITAZ NASCOSTO'!$P$12,IF(C373&lt;='SOLLECITAZ NASCOSTO'!$P$11,IF(C373&lt;='SOLLECITAZ NASCOSTO'!$P$10,IF(C373&lt;='SOLLECITAZ NASCOSTO'!$P$9,IF(C373&lt;='SOLLECITAZ NASCOSTO'!$P$8,IF(C373&lt;='SOLLECITAZ NASCOSTO'!$P$7,IF(C373&lt;='SOLLECITAZ NASCOSTO'!$P$6,IF(C373&lt;='SOLLECITAZ NASCOSTO'!$P$5,'Progetto del paramento slu'!$G$105,'Progetto del paramento slu'!$G$106),'Progetto del paramento slu'!$G$107),'Progetto del paramento slu'!$G$108),'Progetto del paramento slu'!$G$109),'Progetto del paramento slu'!$G$110),'Progetto del paramento slu'!$G$111),'Progetto del paramento slu'!$G$112),55555)-IF(C373&lt;='SOLLECITAZ NASCOSTO'!$P$12,IF(C373&lt;='SOLLECITAZ NASCOSTO'!$P$11,IF(C373&lt;='SOLLECITAZ NASCOSTO'!$P$10,IF(C373&lt;='SOLLECITAZ NASCOSTO'!$P$9,IF(C373&lt;='SOLLECITAZ NASCOSTO'!$P$8,IF(C373&lt;='SOLLECITAZ NASCOSTO'!$P$7,IF(C373&lt;='SOLLECITAZ NASCOSTO'!$P$6,IF(C373&lt;='SOLLECITAZ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slu'!$G$112))*(C373-IF(C373&lt;='SOLLECITAZ NASCOSTO'!$P$12,IF(C373&lt;='SOLLECITAZ NASCOSTO'!$P$11,IF(C373&lt;='SOLLECITAZ NASCOSTO'!$P$10,IF(C373&lt;='SOLLECITAZ NASCOSTO'!$P$9,IF(C373&lt;='SOLLECITAZ NASCOSTO'!$P$8,IF(C373&lt;='SOLLECITAZ NASCOSTO'!$P$7,IF(C373&lt;='SOLLECITAZ NASCOSTO'!$P$6,IF(C373&lt;='SOLLECITAZ NASCOSTO'!$P$5,'SOLLECITAZ NASCOSTO'!$P$3,'SOLLECITAZ NASCOSTO'!$P$5),'SOLLECITAZ NASCOSTO'!$P$5),'SOLLECITAZ NASCOSTO'!$P$7),'SOLLECITAZ NASCOSTO'!$P$8),'SOLLECITAZ NASCOSTO'!$P$9),'SOLLECITAZ NASCOSTO'!$P$10),'SOLLECITAZ NASCOSTO'!$P$11),'SOLLECITAZ NASCOSTO'!$P$12))/IF(C373&lt;='SOLLECITAZ NASCOSTO'!$P$12,IF(C373&lt;='SOLLECITAZ NASCOSTO'!$P$11,IF(C373&lt;='SOLLECITAZ NASCOSTO'!$P$10,IF(C373&lt;='SOLLECITAZ NASCOSTO'!$P$9,IF(C373&lt;='SOLLECITAZ NASCOSTO'!$P$8,IF(C373&lt;='SOLLECITAZ NASCOSTO'!$P$7,IF(C373&lt;='SOLLECITAZ NASCOSTO'!$P$6,IF(C373&lt;='SOLLECITAZ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slu'!$C$112)+IF(C373&lt;='SOLLECITAZ NASCOSTO'!$P$12,IF(C373&lt;='SOLLECITAZ NASCOSTO'!$P$11,IF(C373&lt;='SOLLECITAZ NASCOSTO'!$P$10,IF(C373&lt;='SOLLECITAZ NASCOSTO'!$P$9,IF(C373&lt;='SOLLECITAZ NASCOSTO'!$P$8,IF(C373&lt;='SOLLECITAZ NASCOSTO'!$P$7,IF(C373&lt;='SOLLECITAZ NASCOSTO'!$P$6,IF(C373&lt;='SOLLECITAZ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20.557168897979846</v>
      </c>
      <c r="O374" s="42">
        <f>IF(C374&lt;='SOLLECITAZ NASCOSTO'!$P$12,IF(C374&lt;='SOLLECITAZ NASCOSTO'!$P$11,IF(C374&lt;='SOLLECITAZ NASCOSTO'!$P$10,IF(C374&lt;='SOLLECITAZ NASCOSTO'!$P$9,IF(C374&lt;='SOLLECITAZ NASCOSTO'!$P$8,IF(C374&lt;='SOLLECITAZ NASCOSTO'!$P$7,IF(C374&lt;='SOLLECITAZ NASCOSTO'!$P$6,IF(C374&lt;='SOLLECITAZ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slu'!$G$111),55555)*(C374-C373)/IF(C374&lt;='SOLLECITAZ NASCOSTO'!$P$12,IF(C374&lt;='SOLLECITAZ NASCOSTO'!$P$11,IF(C374&lt;='SOLLECITAZ NASCOSTO'!$P$10,IF(C374&lt;='SOLLECITAZ NASCOSTO'!$P$9,IF(C374&lt;='SOLLECITAZ NASCOSTO'!$P$8,IF(C374&lt;='SOLLECITAZ NASCOSTO'!$P$7,IF(C374&lt;='SOLLECITAZ NASCOSTO'!$P$6,IF(C374&lt;='SOLLECITAZ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74" s="42">
        <f t="shared" si="119"/>
        <v>3.4100000000000178E-4</v>
      </c>
      <c r="Q374" s="42">
        <f t="shared" si="117"/>
        <v>1</v>
      </c>
      <c r="R374" s="441">
        <f t="shared" si="108"/>
        <v>2.343028846153846</v>
      </c>
      <c r="S374" s="46">
        <f t="shared" si="118"/>
        <v>2.343028846153846</v>
      </c>
      <c r="T374" s="211">
        <f t="shared" si="112"/>
        <v>1.0069711538461541</v>
      </c>
      <c r="U374" s="46">
        <f t="shared" si="114"/>
        <v>28.994259543382526</v>
      </c>
      <c r="V374" s="46">
        <f t="shared" si="115"/>
        <v>-26.436546045114145</v>
      </c>
      <c r="W374" s="496"/>
    </row>
    <row r="375" spans="1:23" s="428" customFormat="1" x14ac:dyDescent="0.25">
      <c r="A375" s="589">
        <f t="shared" si="109"/>
        <v>8.2451923075210765E-6</v>
      </c>
      <c r="B375" s="32">
        <f t="shared" si="110"/>
        <v>343</v>
      </c>
      <c r="C375" s="441">
        <f>'SOLLECITAZ NASCOSTO'!$D$6/'SOLLECITAZ NASCOSTO'!$B$448*'SOLLECITAZ NASCOSTO'!B375</f>
        <v>2.3498798076923078</v>
      </c>
      <c r="D375" s="441">
        <f t="shared" si="111"/>
        <v>0.30000824519230751</v>
      </c>
      <c r="E375" s="441">
        <f t="shared" si="102"/>
        <v>8.2451923075210765E-6</v>
      </c>
      <c r="F375" s="441">
        <f t="shared" si="103"/>
        <v>0.30000824519230751</v>
      </c>
      <c r="G375" s="441">
        <f t="shared" si="104"/>
        <v>4.5002473591683856E-2</v>
      </c>
      <c r="H375" s="441">
        <f t="shared" si="120"/>
        <v>0</v>
      </c>
      <c r="I375" s="441">
        <v>0</v>
      </c>
      <c r="J375" s="131">
        <f t="shared" si="121"/>
        <v>0.15000412259615378</v>
      </c>
      <c r="K375" s="130">
        <f t="shared" si="107"/>
        <v>2.2501855219257049E-3</v>
      </c>
      <c r="L375" s="42">
        <f t="shared" si="122"/>
        <v>29.135590544813866</v>
      </c>
      <c r="M375" s="42">
        <f t="shared" si="113"/>
        <v>-26.635668728709536</v>
      </c>
      <c r="N375" s="42">
        <f>(IF(C374&lt;='SOLLECITAZ NASCOSTO'!$P$12,IF(C374&lt;='SOLLECITAZ NASCOSTO'!$P$11,IF(C374&lt;='SOLLECITAZ NASCOSTO'!$P$10,IF(C374&lt;='SOLLECITAZ NASCOSTO'!$P$9,IF(C374&lt;='SOLLECITAZ NASCOSTO'!$P$8,IF(C374&lt;='SOLLECITAZ NASCOSTO'!$P$7,IF(C374&lt;='SOLLECITAZ NASCOSTO'!$P$6,IF(C374&lt;='SOLLECITAZ NASCOSTO'!$P$5,'Progetto del paramento slu'!$G$105,'Progetto del paramento slu'!$G$106),'Progetto del paramento slu'!$G$107),'Progetto del paramento slu'!$G$108),'Progetto del paramento slu'!$G$109),'Progetto del paramento slu'!$G$110),'Progetto del paramento slu'!$G$111),'Progetto del paramento slu'!$G$112),55555)-IF(C374&lt;='SOLLECITAZ NASCOSTO'!$P$12,IF(C374&lt;='SOLLECITAZ NASCOSTO'!$P$11,IF(C374&lt;='SOLLECITAZ NASCOSTO'!$P$10,IF(C374&lt;='SOLLECITAZ NASCOSTO'!$P$9,IF(C374&lt;='SOLLECITAZ NASCOSTO'!$P$8,IF(C374&lt;='SOLLECITAZ NASCOSTO'!$P$7,IF(C374&lt;='SOLLECITAZ NASCOSTO'!$P$6,IF(C374&lt;='SOLLECITAZ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slu'!$G$112))*(C374-IF(C374&lt;='SOLLECITAZ NASCOSTO'!$P$12,IF(C374&lt;='SOLLECITAZ NASCOSTO'!$P$11,IF(C374&lt;='SOLLECITAZ NASCOSTO'!$P$10,IF(C374&lt;='SOLLECITAZ NASCOSTO'!$P$9,IF(C374&lt;='SOLLECITAZ NASCOSTO'!$P$8,IF(C374&lt;='SOLLECITAZ NASCOSTO'!$P$7,IF(C374&lt;='SOLLECITAZ NASCOSTO'!$P$6,IF(C374&lt;='SOLLECITAZ NASCOSTO'!$P$5,'SOLLECITAZ NASCOSTO'!$P$3,'SOLLECITAZ NASCOSTO'!$P$5),'SOLLECITAZ NASCOSTO'!$P$5),'SOLLECITAZ NASCOSTO'!$P$7),'SOLLECITAZ NASCOSTO'!$P$8),'SOLLECITAZ NASCOSTO'!$P$9),'SOLLECITAZ NASCOSTO'!$P$10),'SOLLECITAZ NASCOSTO'!$P$11),'SOLLECITAZ NASCOSTO'!$P$12))/IF(C374&lt;='SOLLECITAZ NASCOSTO'!$P$12,IF(C374&lt;='SOLLECITAZ NASCOSTO'!$P$11,IF(C374&lt;='SOLLECITAZ NASCOSTO'!$P$10,IF(C374&lt;='SOLLECITAZ NASCOSTO'!$P$9,IF(C374&lt;='SOLLECITAZ NASCOSTO'!$P$8,IF(C374&lt;='SOLLECITAZ NASCOSTO'!$P$7,IF(C374&lt;='SOLLECITAZ NASCOSTO'!$P$6,IF(C374&lt;='SOLLECITAZ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slu'!$C$112)+IF(C374&lt;='SOLLECITAZ NASCOSTO'!$P$12,IF(C374&lt;='SOLLECITAZ NASCOSTO'!$P$11,IF(C374&lt;='SOLLECITAZ NASCOSTO'!$P$10,IF(C374&lt;='SOLLECITAZ NASCOSTO'!$P$9,IF(C374&lt;='SOLLECITAZ NASCOSTO'!$P$8,IF(C374&lt;='SOLLECITAZ NASCOSTO'!$P$7,IF(C374&lt;='SOLLECITAZ NASCOSTO'!$P$6,IF(C374&lt;='SOLLECITAZ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20.605301116972196</v>
      </c>
      <c r="O375" s="42">
        <f>IF(C375&lt;='SOLLECITAZ NASCOSTO'!$P$12,IF(C375&lt;='SOLLECITAZ NASCOSTO'!$P$11,IF(C375&lt;='SOLLECITAZ NASCOSTO'!$P$10,IF(C375&lt;='SOLLECITAZ NASCOSTO'!$P$9,IF(C375&lt;='SOLLECITAZ NASCOSTO'!$P$8,IF(C375&lt;='SOLLECITAZ NASCOSTO'!$P$7,IF(C375&lt;='SOLLECITAZ NASCOSTO'!$P$6,IF(C375&lt;='SOLLECITAZ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slu'!$G$111),55555)*(C375-C374)/IF(C375&lt;='SOLLECITAZ NASCOSTO'!$P$12,IF(C375&lt;='SOLLECITAZ NASCOSTO'!$P$11,IF(C375&lt;='SOLLECITAZ NASCOSTO'!$P$10,IF(C375&lt;='SOLLECITAZ NASCOSTO'!$P$9,IF(C375&lt;='SOLLECITAZ NASCOSTO'!$P$8,IF(C375&lt;='SOLLECITAZ NASCOSTO'!$P$7,IF(C375&lt;='SOLLECITAZ NASCOSTO'!$P$6,IF(C375&lt;='SOLLECITAZ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75" s="42">
        <f t="shared" si="119"/>
        <v>3.4200000000000181E-4</v>
      </c>
      <c r="Q375" s="42">
        <f t="shared" si="117"/>
        <v>1</v>
      </c>
      <c r="R375" s="441">
        <f t="shared" si="108"/>
        <v>2.3498798076923078</v>
      </c>
      <c r="S375" s="46">
        <f t="shared" si="118"/>
        <v>2.3498798076923078</v>
      </c>
      <c r="T375" s="211">
        <f t="shared" si="112"/>
        <v>1.0001201923076923</v>
      </c>
      <c r="U375" s="46">
        <f t="shared" si="114"/>
        <v>29.135590544813866</v>
      </c>
      <c r="V375" s="46">
        <f t="shared" si="115"/>
        <v>-26.635668728709536</v>
      </c>
      <c r="W375" s="496"/>
    </row>
    <row r="376" spans="1:23" s="428" customFormat="1" x14ac:dyDescent="0.25">
      <c r="A376" s="589">
        <f t="shared" si="109"/>
        <v>8.2692307690201972E-6</v>
      </c>
      <c r="B376" s="32">
        <f t="shared" si="110"/>
        <v>344</v>
      </c>
      <c r="C376" s="441">
        <f>'SOLLECITAZ NASCOSTO'!$D$6/'SOLLECITAZ NASCOSTO'!$B$448*'SOLLECITAZ NASCOSTO'!B376</f>
        <v>2.3567307692307691</v>
      </c>
      <c r="D376" s="441">
        <f t="shared" si="111"/>
        <v>0.30000826923076901</v>
      </c>
      <c r="E376" s="441">
        <f t="shared" si="102"/>
        <v>8.2692307690201972E-6</v>
      </c>
      <c r="F376" s="441">
        <f t="shared" si="103"/>
        <v>0.30000826923076901</v>
      </c>
      <c r="G376" s="441">
        <f t="shared" si="104"/>
        <v>4.5002480803420793E-2</v>
      </c>
      <c r="H376" s="441">
        <f t="shared" si="120"/>
        <v>0</v>
      </c>
      <c r="I376" s="441">
        <v>0</v>
      </c>
      <c r="J376" s="131">
        <f t="shared" si="121"/>
        <v>0.1500041346153845</v>
      </c>
      <c r="K376" s="130">
        <f t="shared" si="107"/>
        <v>2.2501860628208635E-3</v>
      </c>
      <c r="L376" s="42">
        <f t="shared" si="122"/>
        <v>29.277251298226272</v>
      </c>
      <c r="M376" s="42">
        <f t="shared" si="113"/>
        <v>-26.835760795118983</v>
      </c>
      <c r="N376" s="42">
        <f>(IF(C375&lt;='SOLLECITAZ NASCOSTO'!$P$12,IF(C375&lt;='SOLLECITAZ NASCOSTO'!$P$11,IF(C375&lt;='SOLLECITAZ NASCOSTO'!$P$10,IF(C375&lt;='SOLLECITAZ NASCOSTO'!$P$9,IF(C375&lt;='SOLLECITAZ NASCOSTO'!$P$8,IF(C375&lt;='SOLLECITAZ NASCOSTO'!$P$7,IF(C375&lt;='SOLLECITAZ NASCOSTO'!$P$6,IF(C375&lt;='SOLLECITAZ NASCOSTO'!$P$5,'Progetto del paramento slu'!$G$105,'Progetto del paramento slu'!$G$106),'Progetto del paramento slu'!$G$107),'Progetto del paramento slu'!$G$108),'Progetto del paramento slu'!$G$109),'Progetto del paramento slu'!$G$110),'Progetto del paramento slu'!$G$111),'Progetto del paramento slu'!$G$112),55555)-IF(C375&lt;='SOLLECITAZ NASCOSTO'!$P$12,IF(C375&lt;='SOLLECITAZ NASCOSTO'!$P$11,IF(C375&lt;='SOLLECITAZ NASCOSTO'!$P$10,IF(C375&lt;='SOLLECITAZ NASCOSTO'!$P$9,IF(C375&lt;='SOLLECITAZ NASCOSTO'!$P$8,IF(C375&lt;='SOLLECITAZ NASCOSTO'!$P$7,IF(C375&lt;='SOLLECITAZ NASCOSTO'!$P$6,IF(C375&lt;='SOLLECITAZ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slu'!$G$112))*(C375-IF(C375&lt;='SOLLECITAZ NASCOSTO'!$P$12,IF(C375&lt;='SOLLECITAZ NASCOSTO'!$P$11,IF(C375&lt;='SOLLECITAZ NASCOSTO'!$P$10,IF(C375&lt;='SOLLECITAZ NASCOSTO'!$P$9,IF(C375&lt;='SOLLECITAZ NASCOSTO'!$P$8,IF(C375&lt;='SOLLECITAZ NASCOSTO'!$P$7,IF(C375&lt;='SOLLECITAZ NASCOSTO'!$P$6,IF(C375&lt;='SOLLECITAZ NASCOSTO'!$P$5,'SOLLECITAZ NASCOSTO'!$P$3,'SOLLECITAZ NASCOSTO'!$P$5),'SOLLECITAZ NASCOSTO'!$P$5),'SOLLECITAZ NASCOSTO'!$P$7),'SOLLECITAZ NASCOSTO'!$P$8),'SOLLECITAZ NASCOSTO'!$P$9),'SOLLECITAZ NASCOSTO'!$P$10),'SOLLECITAZ NASCOSTO'!$P$11),'SOLLECITAZ NASCOSTO'!$P$12))/IF(C375&lt;='SOLLECITAZ NASCOSTO'!$P$12,IF(C375&lt;='SOLLECITAZ NASCOSTO'!$P$11,IF(C375&lt;='SOLLECITAZ NASCOSTO'!$P$10,IF(C375&lt;='SOLLECITAZ NASCOSTO'!$P$9,IF(C375&lt;='SOLLECITAZ NASCOSTO'!$P$8,IF(C375&lt;='SOLLECITAZ NASCOSTO'!$P$7,IF(C375&lt;='SOLLECITAZ NASCOSTO'!$P$6,IF(C375&lt;='SOLLECITAZ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slu'!$C$112)+IF(C375&lt;='SOLLECITAZ NASCOSTO'!$P$12,IF(C375&lt;='SOLLECITAZ NASCOSTO'!$P$11,IF(C375&lt;='SOLLECITAZ NASCOSTO'!$P$10,IF(C375&lt;='SOLLECITAZ NASCOSTO'!$P$9,IF(C375&lt;='SOLLECITAZ NASCOSTO'!$P$8,IF(C375&lt;='SOLLECITAZ NASCOSTO'!$P$7,IF(C375&lt;='SOLLECITAZ NASCOSTO'!$P$6,IF(C375&lt;='SOLLECITAZ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20.65343333596455</v>
      </c>
      <c r="O376" s="42">
        <f>IF(C376&lt;='SOLLECITAZ NASCOSTO'!$P$12,IF(C376&lt;='SOLLECITAZ NASCOSTO'!$P$11,IF(C376&lt;='SOLLECITAZ NASCOSTO'!$P$10,IF(C376&lt;='SOLLECITAZ NASCOSTO'!$P$9,IF(C376&lt;='SOLLECITAZ NASCOSTO'!$P$8,IF(C376&lt;='SOLLECITAZ NASCOSTO'!$P$7,IF(C376&lt;='SOLLECITAZ NASCOSTO'!$P$6,IF(C376&lt;='SOLLECITAZ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slu'!$G$111),55555)*(C376-C375)/IF(C376&lt;='SOLLECITAZ NASCOSTO'!$P$12,IF(C376&lt;='SOLLECITAZ NASCOSTO'!$P$11,IF(C376&lt;='SOLLECITAZ NASCOSTO'!$P$10,IF(C376&lt;='SOLLECITAZ NASCOSTO'!$P$9,IF(C376&lt;='SOLLECITAZ NASCOSTO'!$P$8,IF(C376&lt;='SOLLECITAZ NASCOSTO'!$P$7,IF(C376&lt;='SOLLECITAZ NASCOSTO'!$P$6,IF(C376&lt;='SOLLECITAZ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76" s="42">
        <f t="shared" si="119"/>
        <v>3.4300000000000183E-4</v>
      </c>
      <c r="Q376" s="42">
        <f t="shared" si="117"/>
        <v>1</v>
      </c>
      <c r="R376" s="441">
        <f t="shared" si="108"/>
        <v>2.3567307692307691</v>
      </c>
      <c r="S376" s="46">
        <f t="shared" si="118"/>
        <v>2.3567307692307691</v>
      </c>
      <c r="T376" s="211">
        <f t="shared" si="112"/>
        <v>0.99326923076923102</v>
      </c>
      <c r="U376" s="46">
        <f t="shared" si="114"/>
        <v>29.277251298226272</v>
      </c>
      <c r="V376" s="46">
        <f t="shared" si="115"/>
        <v>-26.835760795118983</v>
      </c>
      <c r="W376" s="496"/>
    </row>
    <row r="377" spans="1:23" s="428" customFormat="1" x14ac:dyDescent="0.25">
      <c r="A377" s="589">
        <f t="shared" si="109"/>
        <v>8.293269230574829E-6</v>
      </c>
      <c r="B377" s="32">
        <f t="shared" si="110"/>
        <v>345</v>
      </c>
      <c r="C377" s="441">
        <f>'SOLLECITAZ NASCOSTO'!$D$6/'SOLLECITAZ NASCOSTO'!$B$448*'SOLLECITAZ NASCOSTO'!B377</f>
        <v>2.3635817307692308</v>
      </c>
      <c r="D377" s="441">
        <f t="shared" si="111"/>
        <v>0.30000829326923056</v>
      </c>
      <c r="E377" s="441">
        <f t="shared" si="102"/>
        <v>8.293269230574829E-6</v>
      </c>
      <c r="F377" s="441">
        <f t="shared" si="103"/>
        <v>0.30000829326923056</v>
      </c>
      <c r="G377" s="441">
        <f t="shared" si="104"/>
        <v>4.5002488015158326E-2</v>
      </c>
      <c r="H377" s="441">
        <f t="shared" si="120"/>
        <v>0</v>
      </c>
      <c r="I377" s="441">
        <v>0</v>
      </c>
      <c r="J377" s="131">
        <f t="shared" si="121"/>
        <v>0.15000414663461528</v>
      </c>
      <c r="K377" s="130">
        <f t="shared" si="107"/>
        <v>2.2501866037161087E-3</v>
      </c>
      <c r="L377" s="42">
        <f t="shared" si="122"/>
        <v>29.419241803619766</v>
      </c>
      <c r="M377" s="42">
        <f t="shared" si="113"/>
        <v>-27.03682450346065</v>
      </c>
      <c r="N377" s="42">
        <f>(IF(C376&lt;='SOLLECITAZ NASCOSTO'!$P$12,IF(C376&lt;='SOLLECITAZ NASCOSTO'!$P$11,IF(C376&lt;='SOLLECITAZ NASCOSTO'!$P$10,IF(C376&lt;='SOLLECITAZ NASCOSTO'!$P$9,IF(C376&lt;='SOLLECITAZ NASCOSTO'!$P$8,IF(C376&lt;='SOLLECITAZ NASCOSTO'!$P$7,IF(C376&lt;='SOLLECITAZ NASCOSTO'!$P$6,IF(C376&lt;='SOLLECITAZ NASCOSTO'!$P$5,'Progetto del paramento slu'!$G$105,'Progetto del paramento slu'!$G$106),'Progetto del paramento slu'!$G$107),'Progetto del paramento slu'!$G$108),'Progetto del paramento slu'!$G$109),'Progetto del paramento slu'!$G$110),'Progetto del paramento slu'!$G$111),'Progetto del paramento slu'!$G$112),55555)-IF(C376&lt;='SOLLECITAZ NASCOSTO'!$P$12,IF(C376&lt;='SOLLECITAZ NASCOSTO'!$P$11,IF(C376&lt;='SOLLECITAZ NASCOSTO'!$P$10,IF(C376&lt;='SOLLECITAZ NASCOSTO'!$P$9,IF(C376&lt;='SOLLECITAZ NASCOSTO'!$P$8,IF(C376&lt;='SOLLECITAZ NASCOSTO'!$P$7,IF(C376&lt;='SOLLECITAZ NASCOSTO'!$P$6,IF(C376&lt;='SOLLECITAZ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slu'!$G$112))*(C376-IF(C376&lt;='SOLLECITAZ NASCOSTO'!$P$12,IF(C376&lt;='SOLLECITAZ NASCOSTO'!$P$11,IF(C376&lt;='SOLLECITAZ NASCOSTO'!$P$10,IF(C376&lt;='SOLLECITAZ NASCOSTO'!$P$9,IF(C376&lt;='SOLLECITAZ NASCOSTO'!$P$8,IF(C376&lt;='SOLLECITAZ NASCOSTO'!$P$7,IF(C376&lt;='SOLLECITAZ NASCOSTO'!$P$6,IF(C376&lt;='SOLLECITAZ NASCOSTO'!$P$5,'SOLLECITAZ NASCOSTO'!$P$3,'SOLLECITAZ NASCOSTO'!$P$5),'SOLLECITAZ NASCOSTO'!$P$5),'SOLLECITAZ NASCOSTO'!$P$7),'SOLLECITAZ NASCOSTO'!$P$8),'SOLLECITAZ NASCOSTO'!$P$9),'SOLLECITAZ NASCOSTO'!$P$10),'SOLLECITAZ NASCOSTO'!$P$11),'SOLLECITAZ NASCOSTO'!$P$12))/IF(C376&lt;='SOLLECITAZ NASCOSTO'!$P$12,IF(C376&lt;='SOLLECITAZ NASCOSTO'!$P$11,IF(C376&lt;='SOLLECITAZ NASCOSTO'!$P$10,IF(C376&lt;='SOLLECITAZ NASCOSTO'!$P$9,IF(C376&lt;='SOLLECITAZ NASCOSTO'!$P$8,IF(C376&lt;='SOLLECITAZ NASCOSTO'!$P$7,IF(C376&lt;='SOLLECITAZ NASCOSTO'!$P$6,IF(C376&lt;='SOLLECITAZ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slu'!$C$112)+IF(C376&lt;='SOLLECITAZ NASCOSTO'!$P$12,IF(C376&lt;='SOLLECITAZ NASCOSTO'!$P$11,IF(C376&lt;='SOLLECITAZ NASCOSTO'!$P$10,IF(C376&lt;='SOLLECITAZ NASCOSTO'!$P$9,IF(C376&lt;='SOLLECITAZ NASCOSTO'!$P$8,IF(C376&lt;='SOLLECITAZ NASCOSTO'!$P$7,IF(C376&lt;='SOLLECITAZ NASCOSTO'!$P$6,IF(C376&lt;='SOLLECITAZ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20.701565554956904</v>
      </c>
      <c r="O377" s="42">
        <f>IF(C377&lt;='SOLLECITAZ NASCOSTO'!$P$12,IF(C377&lt;='SOLLECITAZ NASCOSTO'!$P$11,IF(C377&lt;='SOLLECITAZ NASCOSTO'!$P$10,IF(C377&lt;='SOLLECITAZ NASCOSTO'!$P$9,IF(C377&lt;='SOLLECITAZ NASCOSTO'!$P$8,IF(C377&lt;='SOLLECITAZ NASCOSTO'!$P$7,IF(C377&lt;='SOLLECITAZ NASCOSTO'!$P$6,IF(C377&lt;='SOLLECITAZ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slu'!$G$111),55555)*(C377-C376)/IF(C377&lt;='SOLLECITAZ NASCOSTO'!$P$12,IF(C377&lt;='SOLLECITAZ NASCOSTO'!$P$11,IF(C377&lt;='SOLLECITAZ NASCOSTO'!$P$10,IF(C377&lt;='SOLLECITAZ NASCOSTO'!$P$9,IF(C377&lt;='SOLLECITAZ NASCOSTO'!$P$8,IF(C377&lt;='SOLLECITAZ NASCOSTO'!$P$7,IF(C377&lt;='SOLLECITAZ NASCOSTO'!$P$6,IF(C377&lt;='SOLLECITAZ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77" s="42">
        <f t="shared" si="119"/>
        <v>3.4400000000000186E-4</v>
      </c>
      <c r="Q377" s="42">
        <f t="shared" si="117"/>
        <v>1</v>
      </c>
      <c r="R377" s="441">
        <f t="shared" si="108"/>
        <v>2.3635817307692308</v>
      </c>
      <c r="S377" s="46">
        <f t="shared" si="118"/>
        <v>2.3635817307692308</v>
      </c>
      <c r="T377" s="211">
        <f t="shared" si="112"/>
        <v>0.98641826923076925</v>
      </c>
      <c r="U377" s="46">
        <f t="shared" si="114"/>
        <v>29.419241803619766</v>
      </c>
      <c r="V377" s="46">
        <f t="shared" si="115"/>
        <v>-27.03682450346065</v>
      </c>
      <c r="W377" s="496"/>
    </row>
    <row r="378" spans="1:23" s="428" customFormat="1" x14ac:dyDescent="0.25">
      <c r="A378" s="589">
        <f t="shared" si="109"/>
        <v>8.3173076921294609E-6</v>
      </c>
      <c r="B378" s="32">
        <f t="shared" si="110"/>
        <v>346</v>
      </c>
      <c r="C378" s="441">
        <f>'SOLLECITAZ NASCOSTO'!$D$6/'SOLLECITAZ NASCOSTO'!$B$448*'SOLLECITAZ NASCOSTO'!B378</f>
        <v>2.3704326923076922</v>
      </c>
      <c r="D378" s="441">
        <f t="shared" si="111"/>
        <v>0.30000831730769212</v>
      </c>
      <c r="E378" s="441">
        <f t="shared" si="102"/>
        <v>8.3173076921294609E-6</v>
      </c>
      <c r="F378" s="441">
        <f t="shared" si="103"/>
        <v>0.30000831730769212</v>
      </c>
      <c r="G378" s="441">
        <f t="shared" si="104"/>
        <v>4.5002495226896443E-2</v>
      </c>
      <c r="H378" s="441">
        <f t="shared" si="120"/>
        <v>0</v>
      </c>
      <c r="I378" s="441">
        <v>0</v>
      </c>
      <c r="J378" s="131">
        <f t="shared" si="121"/>
        <v>0.15000415865384606</v>
      </c>
      <c r="K378" s="130">
        <f t="shared" si="107"/>
        <v>2.2501871446114416E-3</v>
      </c>
      <c r="L378" s="42">
        <f t="shared" si="122"/>
        <v>29.561562060994326</v>
      </c>
      <c r="M378" s="42">
        <f t="shared" si="113"/>
        <v>-27.238862112852651</v>
      </c>
      <c r="N378" s="42">
        <f>(IF(C377&lt;='SOLLECITAZ NASCOSTO'!$P$12,IF(C377&lt;='SOLLECITAZ NASCOSTO'!$P$11,IF(C377&lt;='SOLLECITAZ NASCOSTO'!$P$10,IF(C377&lt;='SOLLECITAZ NASCOSTO'!$P$9,IF(C377&lt;='SOLLECITAZ NASCOSTO'!$P$8,IF(C377&lt;='SOLLECITAZ NASCOSTO'!$P$7,IF(C377&lt;='SOLLECITAZ NASCOSTO'!$P$6,IF(C377&lt;='SOLLECITAZ NASCOSTO'!$P$5,'Progetto del paramento slu'!$G$105,'Progetto del paramento slu'!$G$106),'Progetto del paramento slu'!$G$107),'Progetto del paramento slu'!$G$108),'Progetto del paramento slu'!$G$109),'Progetto del paramento slu'!$G$110),'Progetto del paramento slu'!$G$111),'Progetto del paramento slu'!$G$112),55555)-IF(C377&lt;='SOLLECITAZ NASCOSTO'!$P$12,IF(C377&lt;='SOLLECITAZ NASCOSTO'!$P$11,IF(C377&lt;='SOLLECITAZ NASCOSTO'!$P$10,IF(C377&lt;='SOLLECITAZ NASCOSTO'!$P$9,IF(C377&lt;='SOLLECITAZ NASCOSTO'!$P$8,IF(C377&lt;='SOLLECITAZ NASCOSTO'!$P$7,IF(C377&lt;='SOLLECITAZ NASCOSTO'!$P$6,IF(C377&lt;='SOLLECITAZ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slu'!$G$112))*(C377-IF(C377&lt;='SOLLECITAZ NASCOSTO'!$P$12,IF(C377&lt;='SOLLECITAZ NASCOSTO'!$P$11,IF(C377&lt;='SOLLECITAZ NASCOSTO'!$P$10,IF(C377&lt;='SOLLECITAZ NASCOSTO'!$P$9,IF(C377&lt;='SOLLECITAZ NASCOSTO'!$P$8,IF(C377&lt;='SOLLECITAZ NASCOSTO'!$P$7,IF(C377&lt;='SOLLECITAZ NASCOSTO'!$P$6,IF(C377&lt;='SOLLECITAZ NASCOSTO'!$P$5,'SOLLECITAZ NASCOSTO'!$P$3,'SOLLECITAZ NASCOSTO'!$P$5),'SOLLECITAZ NASCOSTO'!$P$5),'SOLLECITAZ NASCOSTO'!$P$7),'SOLLECITAZ NASCOSTO'!$P$8),'SOLLECITAZ NASCOSTO'!$P$9),'SOLLECITAZ NASCOSTO'!$P$10),'SOLLECITAZ NASCOSTO'!$P$11),'SOLLECITAZ NASCOSTO'!$P$12))/IF(C377&lt;='SOLLECITAZ NASCOSTO'!$P$12,IF(C377&lt;='SOLLECITAZ NASCOSTO'!$P$11,IF(C377&lt;='SOLLECITAZ NASCOSTO'!$P$10,IF(C377&lt;='SOLLECITAZ NASCOSTO'!$P$9,IF(C377&lt;='SOLLECITAZ NASCOSTO'!$P$8,IF(C377&lt;='SOLLECITAZ NASCOSTO'!$P$7,IF(C377&lt;='SOLLECITAZ NASCOSTO'!$P$6,IF(C377&lt;='SOLLECITAZ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slu'!$C$112)+IF(C377&lt;='SOLLECITAZ NASCOSTO'!$P$12,IF(C377&lt;='SOLLECITAZ NASCOSTO'!$P$11,IF(C377&lt;='SOLLECITAZ NASCOSTO'!$P$10,IF(C377&lt;='SOLLECITAZ NASCOSTO'!$P$9,IF(C377&lt;='SOLLECITAZ NASCOSTO'!$P$8,IF(C377&lt;='SOLLECITAZ NASCOSTO'!$P$7,IF(C377&lt;='SOLLECITAZ NASCOSTO'!$P$6,IF(C377&lt;='SOLLECITAZ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20.749697773949258</v>
      </c>
      <c r="O378" s="42">
        <f>IF(C378&lt;='SOLLECITAZ NASCOSTO'!$P$12,IF(C378&lt;='SOLLECITAZ NASCOSTO'!$P$11,IF(C378&lt;='SOLLECITAZ NASCOSTO'!$P$10,IF(C378&lt;='SOLLECITAZ NASCOSTO'!$P$9,IF(C378&lt;='SOLLECITAZ NASCOSTO'!$P$8,IF(C378&lt;='SOLLECITAZ NASCOSTO'!$P$7,IF(C378&lt;='SOLLECITAZ NASCOSTO'!$P$6,IF(C378&lt;='SOLLECITAZ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slu'!$G$111),55555)*(C378-C377)/IF(C378&lt;='SOLLECITAZ NASCOSTO'!$P$12,IF(C378&lt;='SOLLECITAZ NASCOSTO'!$P$11,IF(C378&lt;='SOLLECITAZ NASCOSTO'!$P$10,IF(C378&lt;='SOLLECITAZ NASCOSTO'!$P$9,IF(C378&lt;='SOLLECITAZ NASCOSTO'!$P$8,IF(C378&lt;='SOLLECITAZ NASCOSTO'!$P$7,IF(C378&lt;='SOLLECITAZ NASCOSTO'!$P$6,IF(C378&lt;='SOLLECITAZ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78" s="42">
        <f t="shared" si="119"/>
        <v>3.4500000000000188E-4</v>
      </c>
      <c r="Q378" s="42">
        <f t="shared" si="117"/>
        <v>1</v>
      </c>
      <c r="R378" s="441">
        <f t="shared" si="108"/>
        <v>2.3704326923076922</v>
      </c>
      <c r="S378" s="46">
        <f t="shared" si="118"/>
        <v>2.3704326923076922</v>
      </c>
      <c r="T378" s="211">
        <f t="shared" si="112"/>
        <v>0.97956730769230793</v>
      </c>
      <c r="U378" s="46">
        <f t="shared" si="114"/>
        <v>29.561562060994326</v>
      </c>
      <c r="V378" s="46">
        <f t="shared" si="115"/>
        <v>-27.238862112852651</v>
      </c>
      <c r="W378" s="496"/>
    </row>
    <row r="379" spans="1:23" s="428" customFormat="1" x14ac:dyDescent="0.25">
      <c r="A379" s="589">
        <f t="shared" si="109"/>
        <v>8.3413461536840927E-6</v>
      </c>
      <c r="B379" s="32">
        <f t="shared" si="110"/>
        <v>347</v>
      </c>
      <c r="C379" s="441">
        <f>'SOLLECITAZ NASCOSTO'!$D$6/'SOLLECITAZ NASCOSTO'!$B$448*'SOLLECITAZ NASCOSTO'!B379</f>
        <v>2.3772836538461539</v>
      </c>
      <c r="D379" s="441">
        <f t="shared" si="111"/>
        <v>0.30000834134615367</v>
      </c>
      <c r="E379" s="441">
        <f t="shared" si="102"/>
        <v>8.3413461536840927E-6</v>
      </c>
      <c r="F379" s="441">
        <f t="shared" si="103"/>
        <v>0.30000834134615367</v>
      </c>
      <c r="G379" s="441">
        <f t="shared" si="104"/>
        <v>4.5002502438635128E-2</v>
      </c>
      <c r="H379" s="441">
        <f t="shared" si="120"/>
        <v>0</v>
      </c>
      <c r="I379" s="441">
        <v>0</v>
      </c>
      <c r="J379" s="131">
        <f t="shared" si="121"/>
        <v>0.15000417067307684</v>
      </c>
      <c r="K379" s="130">
        <f t="shared" si="107"/>
        <v>2.2501876855068599E-3</v>
      </c>
      <c r="L379" s="42">
        <f t="shared" si="122"/>
        <v>29.704212070349975</v>
      </c>
      <c r="M379" s="42">
        <f t="shared" si="113"/>
        <v>-27.44187588241315</v>
      </c>
      <c r="N379" s="42">
        <f>(IF(C378&lt;='SOLLECITAZ NASCOSTO'!$P$12,IF(C378&lt;='SOLLECITAZ NASCOSTO'!$P$11,IF(C378&lt;='SOLLECITAZ NASCOSTO'!$P$10,IF(C378&lt;='SOLLECITAZ NASCOSTO'!$P$9,IF(C378&lt;='SOLLECITAZ NASCOSTO'!$P$8,IF(C378&lt;='SOLLECITAZ NASCOSTO'!$P$7,IF(C378&lt;='SOLLECITAZ NASCOSTO'!$P$6,IF(C378&lt;='SOLLECITAZ NASCOSTO'!$P$5,'Progetto del paramento slu'!$G$105,'Progetto del paramento slu'!$G$106),'Progetto del paramento slu'!$G$107),'Progetto del paramento slu'!$G$108),'Progetto del paramento slu'!$G$109),'Progetto del paramento slu'!$G$110),'Progetto del paramento slu'!$G$111),'Progetto del paramento slu'!$G$112),55555)-IF(C378&lt;='SOLLECITAZ NASCOSTO'!$P$12,IF(C378&lt;='SOLLECITAZ NASCOSTO'!$P$11,IF(C378&lt;='SOLLECITAZ NASCOSTO'!$P$10,IF(C378&lt;='SOLLECITAZ NASCOSTO'!$P$9,IF(C378&lt;='SOLLECITAZ NASCOSTO'!$P$8,IF(C378&lt;='SOLLECITAZ NASCOSTO'!$P$7,IF(C378&lt;='SOLLECITAZ NASCOSTO'!$P$6,IF(C378&lt;='SOLLECITAZ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slu'!$G$112))*(C378-IF(C378&lt;='SOLLECITAZ NASCOSTO'!$P$12,IF(C378&lt;='SOLLECITAZ NASCOSTO'!$P$11,IF(C378&lt;='SOLLECITAZ NASCOSTO'!$P$10,IF(C378&lt;='SOLLECITAZ NASCOSTO'!$P$9,IF(C378&lt;='SOLLECITAZ NASCOSTO'!$P$8,IF(C378&lt;='SOLLECITAZ NASCOSTO'!$P$7,IF(C378&lt;='SOLLECITAZ NASCOSTO'!$P$6,IF(C378&lt;='SOLLECITAZ NASCOSTO'!$P$5,'SOLLECITAZ NASCOSTO'!$P$3,'SOLLECITAZ NASCOSTO'!$P$5),'SOLLECITAZ NASCOSTO'!$P$5),'SOLLECITAZ NASCOSTO'!$P$7),'SOLLECITAZ NASCOSTO'!$P$8),'SOLLECITAZ NASCOSTO'!$P$9),'SOLLECITAZ NASCOSTO'!$P$10),'SOLLECITAZ NASCOSTO'!$P$11),'SOLLECITAZ NASCOSTO'!$P$12))/IF(C378&lt;='SOLLECITAZ NASCOSTO'!$P$12,IF(C378&lt;='SOLLECITAZ NASCOSTO'!$P$11,IF(C378&lt;='SOLLECITAZ NASCOSTO'!$P$10,IF(C378&lt;='SOLLECITAZ NASCOSTO'!$P$9,IF(C378&lt;='SOLLECITAZ NASCOSTO'!$P$8,IF(C378&lt;='SOLLECITAZ NASCOSTO'!$P$7,IF(C378&lt;='SOLLECITAZ NASCOSTO'!$P$6,IF(C378&lt;='SOLLECITAZ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slu'!$C$112)+IF(C378&lt;='SOLLECITAZ NASCOSTO'!$P$12,IF(C378&lt;='SOLLECITAZ NASCOSTO'!$P$11,IF(C378&lt;='SOLLECITAZ NASCOSTO'!$P$10,IF(C378&lt;='SOLLECITAZ NASCOSTO'!$P$9,IF(C378&lt;='SOLLECITAZ NASCOSTO'!$P$8,IF(C378&lt;='SOLLECITAZ NASCOSTO'!$P$7,IF(C378&lt;='SOLLECITAZ NASCOSTO'!$P$6,IF(C378&lt;='SOLLECITAZ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20.797829992941608</v>
      </c>
      <c r="O379" s="42">
        <f>IF(C379&lt;='SOLLECITAZ NASCOSTO'!$P$12,IF(C379&lt;='SOLLECITAZ NASCOSTO'!$P$11,IF(C379&lt;='SOLLECITAZ NASCOSTO'!$P$10,IF(C379&lt;='SOLLECITAZ NASCOSTO'!$P$9,IF(C379&lt;='SOLLECITAZ NASCOSTO'!$P$8,IF(C379&lt;='SOLLECITAZ NASCOSTO'!$P$7,IF(C379&lt;='SOLLECITAZ NASCOSTO'!$P$6,IF(C379&lt;='SOLLECITAZ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slu'!$G$111),55555)*(C379-C378)/IF(C379&lt;='SOLLECITAZ NASCOSTO'!$P$12,IF(C379&lt;='SOLLECITAZ NASCOSTO'!$P$11,IF(C379&lt;='SOLLECITAZ NASCOSTO'!$P$10,IF(C379&lt;='SOLLECITAZ NASCOSTO'!$P$9,IF(C379&lt;='SOLLECITAZ NASCOSTO'!$P$8,IF(C379&lt;='SOLLECITAZ NASCOSTO'!$P$7,IF(C379&lt;='SOLLECITAZ NASCOSTO'!$P$6,IF(C379&lt;='SOLLECITAZ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79" s="42">
        <f t="shared" si="119"/>
        <v>3.460000000000019E-4</v>
      </c>
      <c r="Q379" s="42">
        <f t="shared" si="117"/>
        <v>1</v>
      </c>
      <c r="R379" s="441">
        <f t="shared" si="108"/>
        <v>2.3772836538461539</v>
      </c>
      <c r="S379" s="46">
        <f t="shared" si="118"/>
        <v>2.3772836538461539</v>
      </c>
      <c r="T379" s="211">
        <f t="shared" si="112"/>
        <v>0.97271634615384617</v>
      </c>
      <c r="U379" s="46">
        <f t="shared" si="114"/>
        <v>29.704212070349975</v>
      </c>
      <c r="V379" s="46">
        <f t="shared" si="115"/>
        <v>-27.44187588241315</v>
      </c>
      <c r="W379" s="496"/>
    </row>
    <row r="380" spans="1:23" s="428" customFormat="1" x14ac:dyDescent="0.25">
      <c r="A380" s="589">
        <f t="shared" si="109"/>
        <v>8.3653846151832134E-6</v>
      </c>
      <c r="B380" s="32">
        <f t="shared" si="110"/>
        <v>348</v>
      </c>
      <c r="C380" s="441">
        <f>'SOLLECITAZ NASCOSTO'!$D$6/'SOLLECITAZ NASCOSTO'!$B$448*'SOLLECITAZ NASCOSTO'!B380</f>
        <v>2.3841346153846152</v>
      </c>
      <c r="D380" s="441">
        <f t="shared" si="111"/>
        <v>0.30000836538461517</v>
      </c>
      <c r="E380" s="441">
        <f t="shared" si="102"/>
        <v>8.3653846151832134E-6</v>
      </c>
      <c r="F380" s="441">
        <f t="shared" si="103"/>
        <v>0.30000836538461517</v>
      </c>
      <c r="G380" s="441">
        <f t="shared" si="104"/>
        <v>4.5002509650374382E-2</v>
      </c>
      <c r="H380" s="441">
        <f t="shared" si="120"/>
        <v>0</v>
      </c>
      <c r="I380" s="441">
        <v>0</v>
      </c>
      <c r="J380" s="131">
        <f t="shared" si="121"/>
        <v>0.15000418269230759</v>
      </c>
      <c r="K380" s="130">
        <f t="shared" si="107"/>
        <v>2.2501882264023649E-3</v>
      </c>
      <c r="L380" s="42">
        <f t="shared" si="122"/>
        <v>29.84719183168669</v>
      </c>
      <c r="M380" s="42">
        <f t="shared" si="113"/>
        <v>-27.645868071260264</v>
      </c>
      <c r="N380" s="42">
        <f>(IF(C379&lt;='SOLLECITAZ NASCOSTO'!$P$12,IF(C379&lt;='SOLLECITAZ NASCOSTO'!$P$11,IF(C379&lt;='SOLLECITAZ NASCOSTO'!$P$10,IF(C379&lt;='SOLLECITAZ NASCOSTO'!$P$9,IF(C379&lt;='SOLLECITAZ NASCOSTO'!$P$8,IF(C379&lt;='SOLLECITAZ NASCOSTO'!$P$7,IF(C379&lt;='SOLLECITAZ NASCOSTO'!$P$6,IF(C379&lt;='SOLLECITAZ NASCOSTO'!$P$5,'Progetto del paramento slu'!$G$105,'Progetto del paramento slu'!$G$106),'Progetto del paramento slu'!$G$107),'Progetto del paramento slu'!$G$108),'Progetto del paramento slu'!$G$109),'Progetto del paramento slu'!$G$110),'Progetto del paramento slu'!$G$111),'Progetto del paramento slu'!$G$112),55555)-IF(C379&lt;='SOLLECITAZ NASCOSTO'!$P$12,IF(C379&lt;='SOLLECITAZ NASCOSTO'!$P$11,IF(C379&lt;='SOLLECITAZ NASCOSTO'!$P$10,IF(C379&lt;='SOLLECITAZ NASCOSTO'!$P$9,IF(C379&lt;='SOLLECITAZ NASCOSTO'!$P$8,IF(C379&lt;='SOLLECITAZ NASCOSTO'!$P$7,IF(C379&lt;='SOLLECITAZ NASCOSTO'!$P$6,IF(C379&lt;='SOLLECITAZ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slu'!$G$112))*(C379-IF(C379&lt;='SOLLECITAZ NASCOSTO'!$P$12,IF(C379&lt;='SOLLECITAZ NASCOSTO'!$P$11,IF(C379&lt;='SOLLECITAZ NASCOSTO'!$P$10,IF(C379&lt;='SOLLECITAZ NASCOSTO'!$P$9,IF(C379&lt;='SOLLECITAZ NASCOSTO'!$P$8,IF(C379&lt;='SOLLECITAZ NASCOSTO'!$P$7,IF(C379&lt;='SOLLECITAZ NASCOSTO'!$P$6,IF(C379&lt;='SOLLECITAZ NASCOSTO'!$P$5,'SOLLECITAZ NASCOSTO'!$P$3,'SOLLECITAZ NASCOSTO'!$P$5),'SOLLECITAZ NASCOSTO'!$P$5),'SOLLECITAZ NASCOSTO'!$P$7),'SOLLECITAZ NASCOSTO'!$P$8),'SOLLECITAZ NASCOSTO'!$P$9),'SOLLECITAZ NASCOSTO'!$P$10),'SOLLECITAZ NASCOSTO'!$P$11),'SOLLECITAZ NASCOSTO'!$P$12))/IF(C379&lt;='SOLLECITAZ NASCOSTO'!$P$12,IF(C379&lt;='SOLLECITAZ NASCOSTO'!$P$11,IF(C379&lt;='SOLLECITAZ NASCOSTO'!$P$10,IF(C379&lt;='SOLLECITAZ NASCOSTO'!$P$9,IF(C379&lt;='SOLLECITAZ NASCOSTO'!$P$8,IF(C379&lt;='SOLLECITAZ NASCOSTO'!$P$7,IF(C379&lt;='SOLLECITAZ NASCOSTO'!$P$6,IF(C379&lt;='SOLLECITAZ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slu'!$C$112)+IF(C379&lt;='SOLLECITAZ NASCOSTO'!$P$12,IF(C379&lt;='SOLLECITAZ NASCOSTO'!$P$11,IF(C379&lt;='SOLLECITAZ NASCOSTO'!$P$10,IF(C379&lt;='SOLLECITAZ NASCOSTO'!$P$9,IF(C379&lt;='SOLLECITAZ NASCOSTO'!$P$8,IF(C379&lt;='SOLLECITAZ NASCOSTO'!$P$7,IF(C379&lt;='SOLLECITAZ NASCOSTO'!$P$6,IF(C379&lt;='SOLLECITAZ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20.845962211933962</v>
      </c>
      <c r="O380" s="42">
        <f>IF(C380&lt;='SOLLECITAZ NASCOSTO'!$P$12,IF(C380&lt;='SOLLECITAZ NASCOSTO'!$P$11,IF(C380&lt;='SOLLECITAZ NASCOSTO'!$P$10,IF(C380&lt;='SOLLECITAZ NASCOSTO'!$P$9,IF(C380&lt;='SOLLECITAZ NASCOSTO'!$P$8,IF(C380&lt;='SOLLECITAZ NASCOSTO'!$P$7,IF(C380&lt;='SOLLECITAZ NASCOSTO'!$P$6,IF(C380&lt;='SOLLECITAZ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slu'!$G$111),55555)*(C380-C379)/IF(C380&lt;='SOLLECITAZ NASCOSTO'!$P$12,IF(C380&lt;='SOLLECITAZ NASCOSTO'!$P$11,IF(C380&lt;='SOLLECITAZ NASCOSTO'!$P$10,IF(C380&lt;='SOLLECITAZ NASCOSTO'!$P$9,IF(C380&lt;='SOLLECITAZ NASCOSTO'!$P$8,IF(C380&lt;='SOLLECITAZ NASCOSTO'!$P$7,IF(C380&lt;='SOLLECITAZ NASCOSTO'!$P$6,IF(C380&lt;='SOLLECITAZ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80" s="42">
        <f t="shared" si="119"/>
        <v>3.4700000000000193E-4</v>
      </c>
      <c r="Q380" s="42">
        <f t="shared" si="117"/>
        <v>1</v>
      </c>
      <c r="R380" s="441">
        <f t="shared" si="108"/>
        <v>2.3841346153846152</v>
      </c>
      <c r="S380" s="46">
        <f t="shared" si="118"/>
        <v>2.3841346153846152</v>
      </c>
      <c r="T380" s="211">
        <f t="shared" si="112"/>
        <v>0.96586538461538485</v>
      </c>
      <c r="U380" s="46">
        <f t="shared" si="114"/>
        <v>29.84719183168669</v>
      </c>
      <c r="V380" s="46">
        <f t="shared" si="115"/>
        <v>-27.645868071260264</v>
      </c>
      <c r="W380" s="496"/>
    </row>
    <row r="381" spans="1:23" s="428" customFormat="1" x14ac:dyDescent="0.25">
      <c r="A381" s="589">
        <f t="shared" si="109"/>
        <v>8.3894230767378453E-6</v>
      </c>
      <c r="B381" s="32">
        <f t="shared" si="110"/>
        <v>349</v>
      </c>
      <c r="C381" s="441">
        <f>'SOLLECITAZ NASCOSTO'!$D$6/'SOLLECITAZ NASCOSTO'!$B$448*'SOLLECITAZ NASCOSTO'!B381</f>
        <v>2.390985576923077</v>
      </c>
      <c r="D381" s="441">
        <f t="shared" si="111"/>
        <v>0.30000838942307673</v>
      </c>
      <c r="E381" s="441">
        <f t="shared" si="102"/>
        <v>8.3894230767378453E-6</v>
      </c>
      <c r="F381" s="441">
        <f t="shared" si="103"/>
        <v>0.30000838942307673</v>
      </c>
      <c r="G381" s="441">
        <f t="shared" si="104"/>
        <v>4.5002516862114227E-2</v>
      </c>
      <c r="H381" s="441">
        <f t="shared" si="120"/>
        <v>0</v>
      </c>
      <c r="I381" s="441">
        <v>0</v>
      </c>
      <c r="J381" s="131">
        <f t="shared" si="121"/>
        <v>0.15000419471153836</v>
      </c>
      <c r="K381" s="130">
        <f t="shared" si="107"/>
        <v>2.2501887672979571E-3</v>
      </c>
      <c r="L381" s="42">
        <f t="shared" si="122"/>
        <v>29.990501345004493</v>
      </c>
      <c r="M381" s="42">
        <f t="shared" si="113"/>
        <v>-27.850840938512157</v>
      </c>
      <c r="N381" s="42">
        <f>(IF(C380&lt;='SOLLECITAZ NASCOSTO'!$P$12,IF(C380&lt;='SOLLECITAZ NASCOSTO'!$P$11,IF(C380&lt;='SOLLECITAZ NASCOSTO'!$P$10,IF(C380&lt;='SOLLECITAZ NASCOSTO'!$P$9,IF(C380&lt;='SOLLECITAZ NASCOSTO'!$P$8,IF(C380&lt;='SOLLECITAZ NASCOSTO'!$P$7,IF(C380&lt;='SOLLECITAZ NASCOSTO'!$P$6,IF(C380&lt;='SOLLECITAZ NASCOSTO'!$P$5,'Progetto del paramento slu'!$G$105,'Progetto del paramento slu'!$G$106),'Progetto del paramento slu'!$G$107),'Progetto del paramento slu'!$G$108),'Progetto del paramento slu'!$G$109),'Progetto del paramento slu'!$G$110),'Progetto del paramento slu'!$G$111),'Progetto del paramento slu'!$G$112),55555)-IF(C380&lt;='SOLLECITAZ NASCOSTO'!$P$12,IF(C380&lt;='SOLLECITAZ NASCOSTO'!$P$11,IF(C380&lt;='SOLLECITAZ NASCOSTO'!$P$10,IF(C380&lt;='SOLLECITAZ NASCOSTO'!$P$9,IF(C380&lt;='SOLLECITAZ NASCOSTO'!$P$8,IF(C380&lt;='SOLLECITAZ NASCOSTO'!$P$7,IF(C380&lt;='SOLLECITAZ NASCOSTO'!$P$6,IF(C380&lt;='SOLLECITAZ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slu'!$G$112))*(C380-IF(C380&lt;='SOLLECITAZ NASCOSTO'!$P$12,IF(C380&lt;='SOLLECITAZ NASCOSTO'!$P$11,IF(C380&lt;='SOLLECITAZ NASCOSTO'!$P$10,IF(C380&lt;='SOLLECITAZ NASCOSTO'!$P$9,IF(C380&lt;='SOLLECITAZ NASCOSTO'!$P$8,IF(C380&lt;='SOLLECITAZ NASCOSTO'!$P$7,IF(C380&lt;='SOLLECITAZ NASCOSTO'!$P$6,IF(C380&lt;='SOLLECITAZ NASCOSTO'!$P$5,'SOLLECITAZ NASCOSTO'!$P$3,'SOLLECITAZ NASCOSTO'!$P$5),'SOLLECITAZ NASCOSTO'!$P$5),'SOLLECITAZ NASCOSTO'!$P$7),'SOLLECITAZ NASCOSTO'!$P$8),'SOLLECITAZ NASCOSTO'!$P$9),'SOLLECITAZ NASCOSTO'!$P$10),'SOLLECITAZ NASCOSTO'!$P$11),'SOLLECITAZ NASCOSTO'!$P$12))/IF(C380&lt;='SOLLECITAZ NASCOSTO'!$P$12,IF(C380&lt;='SOLLECITAZ NASCOSTO'!$P$11,IF(C380&lt;='SOLLECITAZ NASCOSTO'!$P$10,IF(C380&lt;='SOLLECITAZ NASCOSTO'!$P$9,IF(C380&lt;='SOLLECITAZ NASCOSTO'!$P$8,IF(C380&lt;='SOLLECITAZ NASCOSTO'!$P$7,IF(C380&lt;='SOLLECITAZ NASCOSTO'!$P$6,IF(C380&lt;='SOLLECITAZ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slu'!$C$112)+IF(C380&lt;='SOLLECITAZ NASCOSTO'!$P$12,IF(C380&lt;='SOLLECITAZ NASCOSTO'!$P$11,IF(C380&lt;='SOLLECITAZ NASCOSTO'!$P$10,IF(C380&lt;='SOLLECITAZ NASCOSTO'!$P$9,IF(C380&lt;='SOLLECITAZ NASCOSTO'!$P$8,IF(C380&lt;='SOLLECITAZ NASCOSTO'!$P$7,IF(C380&lt;='SOLLECITAZ NASCOSTO'!$P$6,IF(C380&lt;='SOLLECITAZ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20.894094430926312</v>
      </c>
      <c r="O381" s="42">
        <f>IF(C381&lt;='SOLLECITAZ NASCOSTO'!$P$12,IF(C381&lt;='SOLLECITAZ NASCOSTO'!$P$11,IF(C381&lt;='SOLLECITAZ NASCOSTO'!$P$10,IF(C381&lt;='SOLLECITAZ NASCOSTO'!$P$9,IF(C381&lt;='SOLLECITAZ NASCOSTO'!$P$8,IF(C381&lt;='SOLLECITAZ NASCOSTO'!$P$7,IF(C381&lt;='SOLLECITAZ NASCOSTO'!$P$6,IF(C381&lt;='SOLLECITAZ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slu'!$G$111),55555)*(C381-C380)/IF(C381&lt;='SOLLECITAZ NASCOSTO'!$P$12,IF(C381&lt;='SOLLECITAZ NASCOSTO'!$P$11,IF(C381&lt;='SOLLECITAZ NASCOSTO'!$P$10,IF(C381&lt;='SOLLECITAZ NASCOSTO'!$P$9,IF(C381&lt;='SOLLECITAZ NASCOSTO'!$P$8,IF(C381&lt;='SOLLECITAZ NASCOSTO'!$P$7,IF(C381&lt;='SOLLECITAZ NASCOSTO'!$P$6,IF(C381&lt;='SOLLECITAZ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81" s="42">
        <f t="shared" si="119"/>
        <v>3.4800000000000195E-4</v>
      </c>
      <c r="Q381" s="42">
        <f t="shared" si="117"/>
        <v>1</v>
      </c>
      <c r="R381" s="441">
        <f t="shared" si="108"/>
        <v>2.390985576923077</v>
      </c>
      <c r="S381" s="46">
        <f t="shared" si="118"/>
        <v>2.390985576923077</v>
      </c>
      <c r="T381" s="211">
        <f t="shared" si="112"/>
        <v>0.95901442307692308</v>
      </c>
      <c r="U381" s="46">
        <f t="shared" si="114"/>
        <v>29.990501345004493</v>
      </c>
      <c r="V381" s="46">
        <f t="shared" si="115"/>
        <v>-27.850840938512157</v>
      </c>
      <c r="W381" s="496"/>
    </row>
    <row r="382" spans="1:23" s="428" customFormat="1" x14ac:dyDescent="0.25">
      <c r="A382" s="589">
        <f t="shared" si="109"/>
        <v>8.4134615382924771E-6</v>
      </c>
      <c r="B382" s="32">
        <f t="shared" si="110"/>
        <v>350</v>
      </c>
      <c r="C382" s="441">
        <f>'SOLLECITAZ NASCOSTO'!$D$6/'SOLLECITAZ NASCOSTO'!$B$448*'SOLLECITAZ NASCOSTO'!B382</f>
        <v>2.3978365384615383</v>
      </c>
      <c r="D382" s="441">
        <f t="shared" si="111"/>
        <v>0.30000841346153828</v>
      </c>
      <c r="E382" s="441">
        <f t="shared" si="102"/>
        <v>8.4134615382924771E-6</v>
      </c>
      <c r="F382" s="441">
        <f t="shared" si="103"/>
        <v>0.30000841346153828</v>
      </c>
      <c r="G382" s="441">
        <f t="shared" si="104"/>
        <v>4.5002524073854654E-2</v>
      </c>
      <c r="H382" s="441">
        <f t="shared" si="120"/>
        <v>0</v>
      </c>
      <c r="I382" s="441">
        <v>0</v>
      </c>
      <c r="J382" s="131">
        <f t="shared" si="121"/>
        <v>0.15000420673076914</v>
      </c>
      <c r="K382" s="130">
        <f t="shared" si="107"/>
        <v>2.2501893081936361E-3</v>
      </c>
      <c r="L382" s="42">
        <f t="shared" si="122"/>
        <v>30.134140610303362</v>
      </c>
      <c r="M382" s="42">
        <f t="shared" si="113"/>
        <v>-28.056796743286942</v>
      </c>
      <c r="N382" s="42">
        <f>(IF(C381&lt;='SOLLECITAZ NASCOSTO'!$P$12,IF(C381&lt;='SOLLECITAZ NASCOSTO'!$P$11,IF(C381&lt;='SOLLECITAZ NASCOSTO'!$P$10,IF(C381&lt;='SOLLECITAZ NASCOSTO'!$P$9,IF(C381&lt;='SOLLECITAZ NASCOSTO'!$P$8,IF(C381&lt;='SOLLECITAZ NASCOSTO'!$P$7,IF(C381&lt;='SOLLECITAZ NASCOSTO'!$P$6,IF(C381&lt;='SOLLECITAZ NASCOSTO'!$P$5,'Progetto del paramento slu'!$G$105,'Progetto del paramento slu'!$G$106),'Progetto del paramento slu'!$G$107),'Progetto del paramento slu'!$G$108),'Progetto del paramento slu'!$G$109),'Progetto del paramento slu'!$G$110),'Progetto del paramento slu'!$G$111),'Progetto del paramento slu'!$G$112),55555)-IF(C381&lt;='SOLLECITAZ NASCOSTO'!$P$12,IF(C381&lt;='SOLLECITAZ NASCOSTO'!$P$11,IF(C381&lt;='SOLLECITAZ NASCOSTO'!$P$10,IF(C381&lt;='SOLLECITAZ NASCOSTO'!$P$9,IF(C381&lt;='SOLLECITAZ NASCOSTO'!$P$8,IF(C381&lt;='SOLLECITAZ NASCOSTO'!$P$7,IF(C381&lt;='SOLLECITAZ NASCOSTO'!$P$6,IF(C381&lt;='SOLLECITAZ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slu'!$G$112))*(C381-IF(C381&lt;='SOLLECITAZ NASCOSTO'!$P$12,IF(C381&lt;='SOLLECITAZ NASCOSTO'!$P$11,IF(C381&lt;='SOLLECITAZ NASCOSTO'!$P$10,IF(C381&lt;='SOLLECITAZ NASCOSTO'!$P$9,IF(C381&lt;='SOLLECITAZ NASCOSTO'!$P$8,IF(C381&lt;='SOLLECITAZ NASCOSTO'!$P$7,IF(C381&lt;='SOLLECITAZ NASCOSTO'!$P$6,IF(C381&lt;='SOLLECITAZ NASCOSTO'!$P$5,'SOLLECITAZ NASCOSTO'!$P$3,'SOLLECITAZ NASCOSTO'!$P$5),'SOLLECITAZ NASCOSTO'!$P$5),'SOLLECITAZ NASCOSTO'!$P$7),'SOLLECITAZ NASCOSTO'!$P$8),'SOLLECITAZ NASCOSTO'!$P$9),'SOLLECITAZ NASCOSTO'!$P$10),'SOLLECITAZ NASCOSTO'!$P$11),'SOLLECITAZ NASCOSTO'!$P$12))/IF(C381&lt;='SOLLECITAZ NASCOSTO'!$P$12,IF(C381&lt;='SOLLECITAZ NASCOSTO'!$P$11,IF(C381&lt;='SOLLECITAZ NASCOSTO'!$P$10,IF(C381&lt;='SOLLECITAZ NASCOSTO'!$P$9,IF(C381&lt;='SOLLECITAZ NASCOSTO'!$P$8,IF(C381&lt;='SOLLECITAZ NASCOSTO'!$P$7,IF(C381&lt;='SOLLECITAZ NASCOSTO'!$P$6,IF(C381&lt;='SOLLECITAZ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slu'!$C$112)+IF(C381&lt;='SOLLECITAZ NASCOSTO'!$P$12,IF(C381&lt;='SOLLECITAZ NASCOSTO'!$P$11,IF(C381&lt;='SOLLECITAZ NASCOSTO'!$P$10,IF(C381&lt;='SOLLECITAZ NASCOSTO'!$P$9,IF(C381&lt;='SOLLECITAZ NASCOSTO'!$P$8,IF(C381&lt;='SOLLECITAZ NASCOSTO'!$P$7,IF(C381&lt;='SOLLECITAZ NASCOSTO'!$P$6,IF(C381&lt;='SOLLECITAZ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20.942226649918666</v>
      </c>
      <c r="O382" s="42">
        <f>IF(C382&lt;='SOLLECITAZ NASCOSTO'!$P$12,IF(C382&lt;='SOLLECITAZ NASCOSTO'!$P$11,IF(C382&lt;='SOLLECITAZ NASCOSTO'!$P$10,IF(C382&lt;='SOLLECITAZ NASCOSTO'!$P$9,IF(C382&lt;='SOLLECITAZ NASCOSTO'!$P$8,IF(C382&lt;='SOLLECITAZ NASCOSTO'!$P$7,IF(C382&lt;='SOLLECITAZ NASCOSTO'!$P$6,IF(C382&lt;='SOLLECITAZ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slu'!$G$111),55555)*(C382-C381)/IF(C382&lt;='SOLLECITAZ NASCOSTO'!$P$12,IF(C382&lt;='SOLLECITAZ NASCOSTO'!$P$11,IF(C382&lt;='SOLLECITAZ NASCOSTO'!$P$10,IF(C382&lt;='SOLLECITAZ NASCOSTO'!$P$9,IF(C382&lt;='SOLLECITAZ NASCOSTO'!$P$8,IF(C382&lt;='SOLLECITAZ NASCOSTO'!$P$7,IF(C382&lt;='SOLLECITAZ NASCOSTO'!$P$6,IF(C382&lt;='SOLLECITAZ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82" s="42">
        <f t="shared" si="119"/>
        <v>3.4900000000000198E-4</v>
      </c>
      <c r="Q382" s="42">
        <f t="shared" si="117"/>
        <v>1</v>
      </c>
      <c r="R382" s="441">
        <f t="shared" si="108"/>
        <v>2.3978365384615383</v>
      </c>
      <c r="S382" s="46">
        <f t="shared" si="118"/>
        <v>2.3978365384615383</v>
      </c>
      <c r="T382" s="211">
        <f t="shared" si="112"/>
        <v>0.95216346153846176</v>
      </c>
      <c r="U382" s="46">
        <f t="shared" si="114"/>
        <v>30.134140610303362</v>
      </c>
      <c r="V382" s="46">
        <f t="shared" si="115"/>
        <v>-28.056796743286942</v>
      </c>
      <c r="W382" s="496"/>
    </row>
    <row r="383" spans="1:23" s="428" customFormat="1" x14ac:dyDescent="0.25">
      <c r="A383" s="589">
        <f t="shared" si="109"/>
        <v>8.4374999997915978E-6</v>
      </c>
      <c r="B383" s="32">
        <f t="shared" si="110"/>
        <v>351</v>
      </c>
      <c r="C383" s="441">
        <f>'SOLLECITAZ NASCOSTO'!$D$6/'SOLLECITAZ NASCOSTO'!$B$448*'SOLLECITAZ NASCOSTO'!B383</f>
        <v>2.4046875000000001</v>
      </c>
      <c r="D383" s="441">
        <f t="shared" si="111"/>
        <v>0.30000843749999978</v>
      </c>
      <c r="E383" s="441">
        <f t="shared" si="102"/>
        <v>8.4374999997915978E-6</v>
      </c>
      <c r="F383" s="441">
        <f t="shared" si="103"/>
        <v>0.30000843749999978</v>
      </c>
      <c r="G383" s="441">
        <f t="shared" si="104"/>
        <v>4.5002531285595636E-2</v>
      </c>
      <c r="H383" s="441">
        <f t="shared" si="120"/>
        <v>0</v>
      </c>
      <c r="I383" s="441">
        <v>0</v>
      </c>
      <c r="J383" s="131">
        <f t="shared" si="121"/>
        <v>0.15000421874999989</v>
      </c>
      <c r="K383" s="130">
        <f t="shared" si="107"/>
        <v>2.2501898490894004E-3</v>
      </c>
      <c r="L383" s="42">
        <f t="shared" si="122"/>
        <v>30.278109627583319</v>
      </c>
      <c r="M383" s="42">
        <f t="shared" si="113"/>
        <v>-28.263737744702787</v>
      </c>
      <c r="N383" s="42">
        <f>(IF(C382&lt;='SOLLECITAZ NASCOSTO'!$P$12,IF(C382&lt;='SOLLECITAZ NASCOSTO'!$P$11,IF(C382&lt;='SOLLECITAZ NASCOSTO'!$P$10,IF(C382&lt;='SOLLECITAZ NASCOSTO'!$P$9,IF(C382&lt;='SOLLECITAZ NASCOSTO'!$P$8,IF(C382&lt;='SOLLECITAZ NASCOSTO'!$P$7,IF(C382&lt;='SOLLECITAZ NASCOSTO'!$P$6,IF(C382&lt;='SOLLECITAZ NASCOSTO'!$P$5,'Progetto del paramento slu'!$G$105,'Progetto del paramento slu'!$G$106),'Progetto del paramento slu'!$G$107),'Progetto del paramento slu'!$G$108),'Progetto del paramento slu'!$G$109),'Progetto del paramento slu'!$G$110),'Progetto del paramento slu'!$G$111),'Progetto del paramento slu'!$G$112),55555)-IF(C382&lt;='SOLLECITAZ NASCOSTO'!$P$12,IF(C382&lt;='SOLLECITAZ NASCOSTO'!$P$11,IF(C382&lt;='SOLLECITAZ NASCOSTO'!$P$10,IF(C382&lt;='SOLLECITAZ NASCOSTO'!$P$9,IF(C382&lt;='SOLLECITAZ NASCOSTO'!$P$8,IF(C382&lt;='SOLLECITAZ NASCOSTO'!$P$7,IF(C382&lt;='SOLLECITAZ NASCOSTO'!$P$6,IF(C382&lt;='SOLLECITAZ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slu'!$G$112))*(C382-IF(C382&lt;='SOLLECITAZ NASCOSTO'!$P$12,IF(C382&lt;='SOLLECITAZ NASCOSTO'!$P$11,IF(C382&lt;='SOLLECITAZ NASCOSTO'!$P$10,IF(C382&lt;='SOLLECITAZ NASCOSTO'!$P$9,IF(C382&lt;='SOLLECITAZ NASCOSTO'!$P$8,IF(C382&lt;='SOLLECITAZ NASCOSTO'!$P$7,IF(C382&lt;='SOLLECITAZ NASCOSTO'!$P$6,IF(C382&lt;='SOLLECITAZ NASCOSTO'!$P$5,'SOLLECITAZ NASCOSTO'!$P$3,'SOLLECITAZ NASCOSTO'!$P$5),'SOLLECITAZ NASCOSTO'!$P$5),'SOLLECITAZ NASCOSTO'!$P$7),'SOLLECITAZ NASCOSTO'!$P$8),'SOLLECITAZ NASCOSTO'!$P$9),'SOLLECITAZ NASCOSTO'!$P$10),'SOLLECITAZ NASCOSTO'!$P$11),'SOLLECITAZ NASCOSTO'!$P$12))/IF(C382&lt;='SOLLECITAZ NASCOSTO'!$P$12,IF(C382&lt;='SOLLECITAZ NASCOSTO'!$P$11,IF(C382&lt;='SOLLECITAZ NASCOSTO'!$P$10,IF(C382&lt;='SOLLECITAZ NASCOSTO'!$P$9,IF(C382&lt;='SOLLECITAZ NASCOSTO'!$P$8,IF(C382&lt;='SOLLECITAZ NASCOSTO'!$P$7,IF(C382&lt;='SOLLECITAZ NASCOSTO'!$P$6,IF(C382&lt;='SOLLECITAZ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slu'!$C$112)+IF(C382&lt;='SOLLECITAZ NASCOSTO'!$P$12,IF(C382&lt;='SOLLECITAZ NASCOSTO'!$P$11,IF(C382&lt;='SOLLECITAZ NASCOSTO'!$P$10,IF(C382&lt;='SOLLECITAZ NASCOSTO'!$P$9,IF(C382&lt;='SOLLECITAZ NASCOSTO'!$P$8,IF(C382&lt;='SOLLECITAZ NASCOSTO'!$P$7,IF(C382&lt;='SOLLECITAZ NASCOSTO'!$P$6,IF(C382&lt;='SOLLECITAZ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20.990358868911017</v>
      </c>
      <c r="O383" s="42">
        <f>IF(C383&lt;='SOLLECITAZ NASCOSTO'!$P$12,IF(C383&lt;='SOLLECITAZ NASCOSTO'!$P$11,IF(C383&lt;='SOLLECITAZ NASCOSTO'!$P$10,IF(C383&lt;='SOLLECITAZ NASCOSTO'!$P$9,IF(C383&lt;='SOLLECITAZ NASCOSTO'!$P$8,IF(C383&lt;='SOLLECITAZ NASCOSTO'!$P$7,IF(C383&lt;='SOLLECITAZ NASCOSTO'!$P$6,IF(C383&lt;='SOLLECITAZ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slu'!$G$111),55555)*(C383-C382)/IF(C383&lt;='SOLLECITAZ NASCOSTO'!$P$12,IF(C383&lt;='SOLLECITAZ NASCOSTO'!$P$11,IF(C383&lt;='SOLLECITAZ NASCOSTO'!$P$10,IF(C383&lt;='SOLLECITAZ NASCOSTO'!$P$9,IF(C383&lt;='SOLLECITAZ NASCOSTO'!$P$8,IF(C383&lt;='SOLLECITAZ NASCOSTO'!$P$7,IF(C383&lt;='SOLLECITAZ NASCOSTO'!$P$6,IF(C383&lt;='SOLLECITAZ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83" s="42">
        <f t="shared" si="119"/>
        <v>3.50000000000002E-4</v>
      </c>
      <c r="Q383" s="42">
        <f t="shared" si="117"/>
        <v>1</v>
      </c>
      <c r="R383" s="441">
        <f t="shared" si="108"/>
        <v>2.4046875000000001</v>
      </c>
      <c r="S383" s="46">
        <f t="shared" si="118"/>
        <v>2.4046875000000001</v>
      </c>
      <c r="T383" s="211">
        <f t="shared" si="112"/>
        <v>0.9453125</v>
      </c>
      <c r="U383" s="46">
        <f t="shared" si="114"/>
        <v>30.278109627583319</v>
      </c>
      <c r="V383" s="46">
        <f t="shared" si="115"/>
        <v>-28.263737744702787</v>
      </c>
      <c r="W383" s="496"/>
    </row>
    <row r="384" spans="1:23" s="428" customFormat="1" x14ac:dyDescent="0.25">
      <c r="A384" s="589">
        <f t="shared" si="109"/>
        <v>8.4615384613462297E-6</v>
      </c>
      <c r="B384" s="32">
        <f t="shared" si="110"/>
        <v>352</v>
      </c>
      <c r="C384" s="441">
        <f>'SOLLECITAZ NASCOSTO'!$D$6/'SOLLECITAZ NASCOSTO'!$B$448*'SOLLECITAZ NASCOSTO'!B384</f>
        <v>2.4115384615384614</v>
      </c>
      <c r="D384" s="441">
        <f t="shared" si="111"/>
        <v>0.30000846153846134</v>
      </c>
      <c r="E384" s="441">
        <f t="shared" si="102"/>
        <v>8.4615384613462297E-6</v>
      </c>
      <c r="F384" s="441">
        <f t="shared" si="103"/>
        <v>0.30000846153846134</v>
      </c>
      <c r="G384" s="441">
        <f t="shared" si="104"/>
        <v>4.5002538497337222E-2</v>
      </c>
      <c r="H384" s="441">
        <f t="shared" si="120"/>
        <v>0</v>
      </c>
      <c r="I384" s="441">
        <v>0</v>
      </c>
      <c r="J384" s="131">
        <f t="shared" si="121"/>
        <v>0.1500042307692307</v>
      </c>
      <c r="K384" s="130">
        <f t="shared" si="107"/>
        <v>2.2501903899852533E-3</v>
      </c>
      <c r="L384" s="42">
        <f t="shared" si="122"/>
        <v>30.422408396844347</v>
      </c>
      <c r="M384" s="42">
        <f t="shared" si="113"/>
        <v>-28.471666201877802</v>
      </c>
      <c r="N384" s="42">
        <f>(IF(C383&lt;='SOLLECITAZ NASCOSTO'!$P$12,IF(C383&lt;='SOLLECITAZ NASCOSTO'!$P$11,IF(C383&lt;='SOLLECITAZ NASCOSTO'!$P$10,IF(C383&lt;='SOLLECITAZ NASCOSTO'!$P$9,IF(C383&lt;='SOLLECITAZ NASCOSTO'!$P$8,IF(C383&lt;='SOLLECITAZ NASCOSTO'!$P$7,IF(C383&lt;='SOLLECITAZ NASCOSTO'!$P$6,IF(C383&lt;='SOLLECITAZ NASCOSTO'!$P$5,'Progetto del paramento slu'!$G$105,'Progetto del paramento slu'!$G$106),'Progetto del paramento slu'!$G$107),'Progetto del paramento slu'!$G$108),'Progetto del paramento slu'!$G$109),'Progetto del paramento slu'!$G$110),'Progetto del paramento slu'!$G$111),'Progetto del paramento slu'!$G$112),55555)-IF(C383&lt;='SOLLECITAZ NASCOSTO'!$P$12,IF(C383&lt;='SOLLECITAZ NASCOSTO'!$P$11,IF(C383&lt;='SOLLECITAZ NASCOSTO'!$P$10,IF(C383&lt;='SOLLECITAZ NASCOSTO'!$P$9,IF(C383&lt;='SOLLECITAZ NASCOSTO'!$P$8,IF(C383&lt;='SOLLECITAZ NASCOSTO'!$P$7,IF(C383&lt;='SOLLECITAZ NASCOSTO'!$P$6,IF(C383&lt;='SOLLECITAZ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slu'!$G$112))*(C383-IF(C383&lt;='SOLLECITAZ NASCOSTO'!$P$12,IF(C383&lt;='SOLLECITAZ NASCOSTO'!$P$11,IF(C383&lt;='SOLLECITAZ NASCOSTO'!$P$10,IF(C383&lt;='SOLLECITAZ NASCOSTO'!$P$9,IF(C383&lt;='SOLLECITAZ NASCOSTO'!$P$8,IF(C383&lt;='SOLLECITAZ NASCOSTO'!$P$7,IF(C383&lt;='SOLLECITAZ NASCOSTO'!$P$6,IF(C383&lt;='SOLLECITAZ NASCOSTO'!$P$5,'SOLLECITAZ NASCOSTO'!$P$3,'SOLLECITAZ NASCOSTO'!$P$5),'SOLLECITAZ NASCOSTO'!$P$5),'SOLLECITAZ NASCOSTO'!$P$7),'SOLLECITAZ NASCOSTO'!$P$8),'SOLLECITAZ NASCOSTO'!$P$9),'SOLLECITAZ NASCOSTO'!$P$10),'SOLLECITAZ NASCOSTO'!$P$11),'SOLLECITAZ NASCOSTO'!$P$12))/IF(C383&lt;='SOLLECITAZ NASCOSTO'!$P$12,IF(C383&lt;='SOLLECITAZ NASCOSTO'!$P$11,IF(C383&lt;='SOLLECITAZ NASCOSTO'!$P$10,IF(C383&lt;='SOLLECITAZ NASCOSTO'!$P$9,IF(C383&lt;='SOLLECITAZ NASCOSTO'!$P$8,IF(C383&lt;='SOLLECITAZ NASCOSTO'!$P$7,IF(C383&lt;='SOLLECITAZ NASCOSTO'!$P$6,IF(C383&lt;='SOLLECITAZ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slu'!$C$112)+IF(C383&lt;='SOLLECITAZ NASCOSTO'!$P$12,IF(C383&lt;='SOLLECITAZ NASCOSTO'!$P$11,IF(C383&lt;='SOLLECITAZ NASCOSTO'!$P$10,IF(C383&lt;='SOLLECITAZ NASCOSTO'!$P$9,IF(C383&lt;='SOLLECITAZ NASCOSTO'!$P$8,IF(C383&lt;='SOLLECITAZ NASCOSTO'!$P$7,IF(C383&lt;='SOLLECITAZ NASCOSTO'!$P$6,IF(C383&lt;='SOLLECITAZ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21.03849108790337</v>
      </c>
      <c r="O384" s="42">
        <f>IF(C384&lt;='SOLLECITAZ NASCOSTO'!$P$12,IF(C384&lt;='SOLLECITAZ NASCOSTO'!$P$11,IF(C384&lt;='SOLLECITAZ NASCOSTO'!$P$10,IF(C384&lt;='SOLLECITAZ NASCOSTO'!$P$9,IF(C384&lt;='SOLLECITAZ NASCOSTO'!$P$8,IF(C384&lt;='SOLLECITAZ NASCOSTO'!$P$7,IF(C384&lt;='SOLLECITAZ NASCOSTO'!$P$6,IF(C384&lt;='SOLLECITAZ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slu'!$G$111),55555)*(C384-C383)/IF(C384&lt;='SOLLECITAZ NASCOSTO'!$P$12,IF(C384&lt;='SOLLECITAZ NASCOSTO'!$P$11,IF(C384&lt;='SOLLECITAZ NASCOSTO'!$P$10,IF(C384&lt;='SOLLECITAZ NASCOSTO'!$P$9,IF(C384&lt;='SOLLECITAZ NASCOSTO'!$P$8,IF(C384&lt;='SOLLECITAZ NASCOSTO'!$P$7,IF(C384&lt;='SOLLECITAZ NASCOSTO'!$P$6,IF(C384&lt;='SOLLECITAZ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84" s="42">
        <f t="shared" si="119"/>
        <v>3.5100000000000203E-4</v>
      </c>
      <c r="Q384" s="42">
        <f t="shared" si="117"/>
        <v>1</v>
      </c>
      <c r="R384" s="441">
        <f t="shared" si="108"/>
        <v>2.4115384615384614</v>
      </c>
      <c r="S384" s="46">
        <f t="shared" si="118"/>
        <v>2.4115384615384614</v>
      </c>
      <c r="T384" s="211">
        <f t="shared" si="112"/>
        <v>0.93846153846153868</v>
      </c>
      <c r="U384" s="46">
        <f t="shared" si="114"/>
        <v>30.422408396844347</v>
      </c>
      <c r="V384" s="46">
        <f t="shared" si="115"/>
        <v>-28.471666201877802</v>
      </c>
      <c r="W384" s="496"/>
    </row>
    <row r="385" spans="1:23" s="428" customFormat="1" x14ac:dyDescent="0.25">
      <c r="A385" s="589">
        <f t="shared" si="109"/>
        <v>8.4855769229008615E-6</v>
      </c>
      <c r="B385" s="32">
        <f t="shared" si="110"/>
        <v>353</v>
      </c>
      <c r="C385" s="441">
        <f>'SOLLECITAZ NASCOSTO'!$D$6/'SOLLECITAZ NASCOSTO'!$B$448*'SOLLECITAZ NASCOSTO'!B385</f>
        <v>2.4183894230769232</v>
      </c>
      <c r="D385" s="441">
        <f t="shared" si="111"/>
        <v>0.30000848557692289</v>
      </c>
      <c r="E385" s="441">
        <f t="shared" si="102"/>
        <v>8.4855769229008615E-6</v>
      </c>
      <c r="F385" s="441">
        <f t="shared" si="103"/>
        <v>0.30000848557692289</v>
      </c>
      <c r="G385" s="441">
        <f t="shared" si="104"/>
        <v>4.5002545709079377E-2</v>
      </c>
      <c r="H385" s="441">
        <f t="shared" si="120"/>
        <v>0</v>
      </c>
      <c r="I385" s="441">
        <v>0</v>
      </c>
      <c r="J385" s="131">
        <f t="shared" si="121"/>
        <v>0.15000424278846144</v>
      </c>
      <c r="K385" s="130">
        <f t="shared" si="107"/>
        <v>2.2501909308811924E-3</v>
      </c>
      <c r="L385" s="42">
        <f t="shared" si="122"/>
        <v>30.567036918086458</v>
      </c>
      <c r="M385" s="42">
        <f t="shared" si="113"/>
        <v>-28.680584373930156</v>
      </c>
      <c r="N385" s="42">
        <f>(IF(C384&lt;='SOLLECITAZ NASCOSTO'!$P$12,IF(C384&lt;='SOLLECITAZ NASCOSTO'!$P$11,IF(C384&lt;='SOLLECITAZ NASCOSTO'!$P$10,IF(C384&lt;='SOLLECITAZ NASCOSTO'!$P$9,IF(C384&lt;='SOLLECITAZ NASCOSTO'!$P$8,IF(C384&lt;='SOLLECITAZ NASCOSTO'!$P$7,IF(C384&lt;='SOLLECITAZ NASCOSTO'!$P$6,IF(C384&lt;='SOLLECITAZ NASCOSTO'!$P$5,'Progetto del paramento slu'!$G$105,'Progetto del paramento slu'!$G$106),'Progetto del paramento slu'!$G$107),'Progetto del paramento slu'!$G$108),'Progetto del paramento slu'!$G$109),'Progetto del paramento slu'!$G$110),'Progetto del paramento slu'!$G$111),'Progetto del paramento slu'!$G$112),55555)-IF(C384&lt;='SOLLECITAZ NASCOSTO'!$P$12,IF(C384&lt;='SOLLECITAZ NASCOSTO'!$P$11,IF(C384&lt;='SOLLECITAZ NASCOSTO'!$P$10,IF(C384&lt;='SOLLECITAZ NASCOSTO'!$P$9,IF(C384&lt;='SOLLECITAZ NASCOSTO'!$P$8,IF(C384&lt;='SOLLECITAZ NASCOSTO'!$P$7,IF(C384&lt;='SOLLECITAZ NASCOSTO'!$P$6,IF(C384&lt;='SOLLECITAZ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slu'!$G$112))*(C384-IF(C384&lt;='SOLLECITAZ NASCOSTO'!$P$12,IF(C384&lt;='SOLLECITAZ NASCOSTO'!$P$11,IF(C384&lt;='SOLLECITAZ NASCOSTO'!$P$10,IF(C384&lt;='SOLLECITAZ NASCOSTO'!$P$9,IF(C384&lt;='SOLLECITAZ NASCOSTO'!$P$8,IF(C384&lt;='SOLLECITAZ NASCOSTO'!$P$7,IF(C384&lt;='SOLLECITAZ NASCOSTO'!$P$6,IF(C384&lt;='SOLLECITAZ NASCOSTO'!$P$5,'SOLLECITAZ NASCOSTO'!$P$3,'SOLLECITAZ NASCOSTO'!$P$5),'SOLLECITAZ NASCOSTO'!$P$5),'SOLLECITAZ NASCOSTO'!$P$7),'SOLLECITAZ NASCOSTO'!$P$8),'SOLLECITAZ NASCOSTO'!$P$9),'SOLLECITAZ NASCOSTO'!$P$10),'SOLLECITAZ NASCOSTO'!$P$11),'SOLLECITAZ NASCOSTO'!$P$12))/IF(C384&lt;='SOLLECITAZ NASCOSTO'!$P$12,IF(C384&lt;='SOLLECITAZ NASCOSTO'!$P$11,IF(C384&lt;='SOLLECITAZ NASCOSTO'!$P$10,IF(C384&lt;='SOLLECITAZ NASCOSTO'!$P$9,IF(C384&lt;='SOLLECITAZ NASCOSTO'!$P$8,IF(C384&lt;='SOLLECITAZ NASCOSTO'!$P$7,IF(C384&lt;='SOLLECITAZ NASCOSTO'!$P$6,IF(C384&lt;='SOLLECITAZ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slu'!$C$112)+IF(C384&lt;='SOLLECITAZ NASCOSTO'!$P$12,IF(C384&lt;='SOLLECITAZ NASCOSTO'!$P$11,IF(C384&lt;='SOLLECITAZ NASCOSTO'!$P$10,IF(C384&lt;='SOLLECITAZ NASCOSTO'!$P$9,IF(C384&lt;='SOLLECITAZ NASCOSTO'!$P$8,IF(C384&lt;='SOLLECITAZ NASCOSTO'!$P$7,IF(C384&lt;='SOLLECITAZ NASCOSTO'!$P$6,IF(C384&lt;='SOLLECITAZ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21.086623306895724</v>
      </c>
      <c r="O385" s="42">
        <f>IF(C385&lt;='SOLLECITAZ NASCOSTO'!$P$12,IF(C385&lt;='SOLLECITAZ NASCOSTO'!$P$11,IF(C385&lt;='SOLLECITAZ NASCOSTO'!$P$10,IF(C385&lt;='SOLLECITAZ NASCOSTO'!$P$9,IF(C385&lt;='SOLLECITAZ NASCOSTO'!$P$8,IF(C385&lt;='SOLLECITAZ NASCOSTO'!$P$7,IF(C385&lt;='SOLLECITAZ NASCOSTO'!$P$6,IF(C385&lt;='SOLLECITAZ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slu'!$G$111),55555)*(C385-C384)/IF(C385&lt;='SOLLECITAZ NASCOSTO'!$P$12,IF(C385&lt;='SOLLECITAZ NASCOSTO'!$P$11,IF(C385&lt;='SOLLECITAZ NASCOSTO'!$P$10,IF(C385&lt;='SOLLECITAZ NASCOSTO'!$P$9,IF(C385&lt;='SOLLECITAZ NASCOSTO'!$P$8,IF(C385&lt;='SOLLECITAZ NASCOSTO'!$P$7,IF(C385&lt;='SOLLECITAZ NASCOSTO'!$P$6,IF(C385&lt;='SOLLECITAZ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85" s="42">
        <f t="shared" si="119"/>
        <v>3.5200000000000205E-4</v>
      </c>
      <c r="Q385" s="42">
        <f t="shared" si="117"/>
        <v>1</v>
      </c>
      <c r="R385" s="441">
        <f t="shared" si="108"/>
        <v>2.4183894230769232</v>
      </c>
      <c r="S385" s="46">
        <f t="shared" si="118"/>
        <v>2.4183894230769232</v>
      </c>
      <c r="T385" s="211">
        <f t="shared" si="112"/>
        <v>0.93161057692307692</v>
      </c>
      <c r="U385" s="46">
        <f t="shared" si="114"/>
        <v>30.567036918086458</v>
      </c>
      <c r="V385" s="46">
        <f t="shared" si="115"/>
        <v>-28.680584373930156</v>
      </c>
      <c r="W385" s="496"/>
    </row>
    <row r="386" spans="1:23" s="428" customFormat="1" x14ac:dyDescent="0.25">
      <c r="A386" s="589">
        <f t="shared" si="109"/>
        <v>8.5096153843999822E-6</v>
      </c>
      <c r="B386" s="32">
        <f t="shared" si="110"/>
        <v>354</v>
      </c>
      <c r="C386" s="441">
        <f>'SOLLECITAZ NASCOSTO'!$D$6/'SOLLECITAZ NASCOSTO'!$B$448*'SOLLECITAZ NASCOSTO'!B386</f>
        <v>2.4252403846153845</v>
      </c>
      <c r="D386" s="441">
        <f t="shared" si="111"/>
        <v>0.30000850961538439</v>
      </c>
      <c r="E386" s="441">
        <f t="shared" si="102"/>
        <v>8.5096153843999822E-6</v>
      </c>
      <c r="F386" s="441">
        <f t="shared" si="103"/>
        <v>0.30000850961538439</v>
      </c>
      <c r="G386" s="441">
        <f t="shared" si="104"/>
        <v>4.5002552920822093E-2</v>
      </c>
      <c r="H386" s="441">
        <f t="shared" si="120"/>
        <v>0</v>
      </c>
      <c r="I386" s="441">
        <v>0</v>
      </c>
      <c r="J386" s="131">
        <f t="shared" si="121"/>
        <v>0.15000425480769219</v>
      </c>
      <c r="K386" s="130">
        <f t="shared" si="107"/>
        <v>2.250191471777217E-3</v>
      </c>
      <c r="L386" s="42">
        <f t="shared" si="122"/>
        <v>30.71199519130964</v>
      </c>
      <c r="M386" s="42">
        <f t="shared" si="113"/>
        <v>-28.89049451997796</v>
      </c>
      <c r="N386" s="42">
        <f>(IF(C385&lt;='SOLLECITAZ NASCOSTO'!$P$12,IF(C385&lt;='SOLLECITAZ NASCOSTO'!$P$11,IF(C385&lt;='SOLLECITAZ NASCOSTO'!$P$10,IF(C385&lt;='SOLLECITAZ NASCOSTO'!$P$9,IF(C385&lt;='SOLLECITAZ NASCOSTO'!$P$8,IF(C385&lt;='SOLLECITAZ NASCOSTO'!$P$7,IF(C385&lt;='SOLLECITAZ NASCOSTO'!$P$6,IF(C385&lt;='SOLLECITAZ NASCOSTO'!$P$5,'Progetto del paramento slu'!$G$105,'Progetto del paramento slu'!$G$106),'Progetto del paramento slu'!$G$107),'Progetto del paramento slu'!$G$108),'Progetto del paramento slu'!$G$109),'Progetto del paramento slu'!$G$110),'Progetto del paramento slu'!$G$111),'Progetto del paramento slu'!$G$112),55555)-IF(C385&lt;='SOLLECITAZ NASCOSTO'!$P$12,IF(C385&lt;='SOLLECITAZ NASCOSTO'!$P$11,IF(C385&lt;='SOLLECITAZ NASCOSTO'!$P$10,IF(C385&lt;='SOLLECITAZ NASCOSTO'!$P$9,IF(C385&lt;='SOLLECITAZ NASCOSTO'!$P$8,IF(C385&lt;='SOLLECITAZ NASCOSTO'!$P$7,IF(C385&lt;='SOLLECITAZ NASCOSTO'!$P$6,IF(C385&lt;='SOLLECITAZ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slu'!$G$112))*(C385-IF(C385&lt;='SOLLECITAZ NASCOSTO'!$P$12,IF(C385&lt;='SOLLECITAZ NASCOSTO'!$P$11,IF(C385&lt;='SOLLECITAZ NASCOSTO'!$P$10,IF(C385&lt;='SOLLECITAZ NASCOSTO'!$P$9,IF(C385&lt;='SOLLECITAZ NASCOSTO'!$P$8,IF(C385&lt;='SOLLECITAZ NASCOSTO'!$P$7,IF(C385&lt;='SOLLECITAZ NASCOSTO'!$P$6,IF(C385&lt;='SOLLECITAZ NASCOSTO'!$P$5,'SOLLECITAZ NASCOSTO'!$P$3,'SOLLECITAZ NASCOSTO'!$P$5),'SOLLECITAZ NASCOSTO'!$P$5),'SOLLECITAZ NASCOSTO'!$P$7),'SOLLECITAZ NASCOSTO'!$P$8),'SOLLECITAZ NASCOSTO'!$P$9),'SOLLECITAZ NASCOSTO'!$P$10),'SOLLECITAZ NASCOSTO'!$P$11),'SOLLECITAZ NASCOSTO'!$P$12))/IF(C385&lt;='SOLLECITAZ NASCOSTO'!$P$12,IF(C385&lt;='SOLLECITAZ NASCOSTO'!$P$11,IF(C385&lt;='SOLLECITAZ NASCOSTO'!$P$10,IF(C385&lt;='SOLLECITAZ NASCOSTO'!$P$9,IF(C385&lt;='SOLLECITAZ NASCOSTO'!$P$8,IF(C385&lt;='SOLLECITAZ NASCOSTO'!$P$7,IF(C385&lt;='SOLLECITAZ NASCOSTO'!$P$6,IF(C385&lt;='SOLLECITAZ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slu'!$C$112)+IF(C385&lt;='SOLLECITAZ NASCOSTO'!$P$12,IF(C385&lt;='SOLLECITAZ NASCOSTO'!$P$11,IF(C385&lt;='SOLLECITAZ NASCOSTO'!$P$10,IF(C385&lt;='SOLLECITAZ NASCOSTO'!$P$9,IF(C385&lt;='SOLLECITAZ NASCOSTO'!$P$8,IF(C385&lt;='SOLLECITAZ NASCOSTO'!$P$7,IF(C385&lt;='SOLLECITAZ NASCOSTO'!$P$6,IF(C385&lt;='SOLLECITAZ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21.134755525888078</v>
      </c>
      <c r="O386" s="42">
        <f>IF(C386&lt;='SOLLECITAZ NASCOSTO'!$P$12,IF(C386&lt;='SOLLECITAZ NASCOSTO'!$P$11,IF(C386&lt;='SOLLECITAZ NASCOSTO'!$P$10,IF(C386&lt;='SOLLECITAZ NASCOSTO'!$P$9,IF(C386&lt;='SOLLECITAZ NASCOSTO'!$P$8,IF(C386&lt;='SOLLECITAZ NASCOSTO'!$P$7,IF(C386&lt;='SOLLECITAZ NASCOSTO'!$P$6,IF(C386&lt;='SOLLECITAZ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slu'!$G$111),55555)*(C386-C385)/IF(C386&lt;='SOLLECITAZ NASCOSTO'!$P$12,IF(C386&lt;='SOLLECITAZ NASCOSTO'!$P$11,IF(C386&lt;='SOLLECITAZ NASCOSTO'!$P$10,IF(C386&lt;='SOLLECITAZ NASCOSTO'!$P$9,IF(C386&lt;='SOLLECITAZ NASCOSTO'!$P$8,IF(C386&lt;='SOLLECITAZ NASCOSTO'!$P$7,IF(C386&lt;='SOLLECITAZ NASCOSTO'!$P$6,IF(C386&lt;='SOLLECITAZ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86" s="42">
        <f t="shared" si="119"/>
        <v>3.5300000000000208E-4</v>
      </c>
      <c r="Q386" s="42">
        <f t="shared" si="117"/>
        <v>1</v>
      </c>
      <c r="R386" s="441">
        <f t="shared" si="108"/>
        <v>2.4252403846153845</v>
      </c>
      <c r="S386" s="46">
        <f t="shared" si="118"/>
        <v>2.4252403846153845</v>
      </c>
      <c r="T386" s="211">
        <f t="shared" si="112"/>
        <v>0.9247596153846156</v>
      </c>
      <c r="U386" s="46">
        <f t="shared" si="114"/>
        <v>30.71199519130964</v>
      </c>
      <c r="V386" s="46">
        <f t="shared" si="115"/>
        <v>-28.89049451997796</v>
      </c>
      <c r="W386" s="496"/>
    </row>
    <row r="387" spans="1:23" s="428" customFormat="1" x14ac:dyDescent="0.25">
      <c r="A387" s="589">
        <f t="shared" si="109"/>
        <v>8.5336538459546141E-6</v>
      </c>
      <c r="B387" s="32">
        <f t="shared" si="110"/>
        <v>355</v>
      </c>
      <c r="C387" s="441">
        <f>'SOLLECITAZ NASCOSTO'!$D$6/'SOLLECITAZ NASCOSTO'!$B$448*'SOLLECITAZ NASCOSTO'!B387</f>
        <v>2.4320913461538463</v>
      </c>
      <c r="D387" s="441">
        <f t="shared" si="111"/>
        <v>0.30000853365384594</v>
      </c>
      <c r="E387" s="441">
        <f t="shared" si="102"/>
        <v>8.5336538459546141E-6</v>
      </c>
      <c r="F387" s="441">
        <f t="shared" si="103"/>
        <v>0.30000853365384594</v>
      </c>
      <c r="G387" s="441">
        <f t="shared" si="104"/>
        <v>4.5002560132565407E-2</v>
      </c>
      <c r="H387" s="441">
        <f t="shared" si="120"/>
        <v>0</v>
      </c>
      <c r="I387" s="441">
        <v>0</v>
      </c>
      <c r="J387" s="131">
        <f t="shared" si="121"/>
        <v>0.15000426682692297</v>
      </c>
      <c r="K387" s="130">
        <f t="shared" si="107"/>
        <v>2.2501920126733292E-3</v>
      </c>
      <c r="L387" s="42">
        <f t="shared" si="122"/>
        <v>30.857283216513906</v>
      </c>
      <c r="M387" s="42">
        <f t="shared" si="113"/>
        <v>-29.101398899139383</v>
      </c>
      <c r="N387" s="42">
        <f>(IF(C386&lt;='SOLLECITAZ NASCOSTO'!$P$12,IF(C386&lt;='SOLLECITAZ NASCOSTO'!$P$11,IF(C386&lt;='SOLLECITAZ NASCOSTO'!$P$10,IF(C386&lt;='SOLLECITAZ NASCOSTO'!$P$9,IF(C386&lt;='SOLLECITAZ NASCOSTO'!$P$8,IF(C386&lt;='SOLLECITAZ NASCOSTO'!$P$7,IF(C386&lt;='SOLLECITAZ NASCOSTO'!$P$6,IF(C386&lt;='SOLLECITAZ NASCOSTO'!$P$5,'Progetto del paramento slu'!$G$105,'Progetto del paramento slu'!$G$106),'Progetto del paramento slu'!$G$107),'Progetto del paramento slu'!$G$108),'Progetto del paramento slu'!$G$109),'Progetto del paramento slu'!$G$110),'Progetto del paramento slu'!$G$111),'Progetto del paramento slu'!$G$112),55555)-IF(C386&lt;='SOLLECITAZ NASCOSTO'!$P$12,IF(C386&lt;='SOLLECITAZ NASCOSTO'!$P$11,IF(C386&lt;='SOLLECITAZ NASCOSTO'!$P$10,IF(C386&lt;='SOLLECITAZ NASCOSTO'!$P$9,IF(C386&lt;='SOLLECITAZ NASCOSTO'!$P$8,IF(C386&lt;='SOLLECITAZ NASCOSTO'!$P$7,IF(C386&lt;='SOLLECITAZ NASCOSTO'!$P$6,IF(C386&lt;='SOLLECITAZ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slu'!$G$112))*(C386-IF(C386&lt;='SOLLECITAZ NASCOSTO'!$P$12,IF(C386&lt;='SOLLECITAZ NASCOSTO'!$P$11,IF(C386&lt;='SOLLECITAZ NASCOSTO'!$P$10,IF(C386&lt;='SOLLECITAZ NASCOSTO'!$P$9,IF(C386&lt;='SOLLECITAZ NASCOSTO'!$P$8,IF(C386&lt;='SOLLECITAZ NASCOSTO'!$P$7,IF(C386&lt;='SOLLECITAZ NASCOSTO'!$P$6,IF(C386&lt;='SOLLECITAZ NASCOSTO'!$P$5,'SOLLECITAZ NASCOSTO'!$P$3,'SOLLECITAZ NASCOSTO'!$P$5),'SOLLECITAZ NASCOSTO'!$P$5),'SOLLECITAZ NASCOSTO'!$P$7),'SOLLECITAZ NASCOSTO'!$P$8),'SOLLECITAZ NASCOSTO'!$P$9),'SOLLECITAZ NASCOSTO'!$P$10),'SOLLECITAZ NASCOSTO'!$P$11),'SOLLECITAZ NASCOSTO'!$P$12))/IF(C386&lt;='SOLLECITAZ NASCOSTO'!$P$12,IF(C386&lt;='SOLLECITAZ NASCOSTO'!$P$11,IF(C386&lt;='SOLLECITAZ NASCOSTO'!$P$10,IF(C386&lt;='SOLLECITAZ NASCOSTO'!$P$9,IF(C386&lt;='SOLLECITAZ NASCOSTO'!$P$8,IF(C386&lt;='SOLLECITAZ NASCOSTO'!$P$7,IF(C386&lt;='SOLLECITAZ NASCOSTO'!$P$6,IF(C386&lt;='SOLLECITAZ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slu'!$C$112)+IF(C386&lt;='SOLLECITAZ NASCOSTO'!$P$12,IF(C386&lt;='SOLLECITAZ NASCOSTO'!$P$11,IF(C386&lt;='SOLLECITAZ NASCOSTO'!$P$10,IF(C386&lt;='SOLLECITAZ NASCOSTO'!$P$9,IF(C386&lt;='SOLLECITAZ NASCOSTO'!$P$8,IF(C386&lt;='SOLLECITAZ NASCOSTO'!$P$7,IF(C386&lt;='SOLLECITAZ NASCOSTO'!$P$6,IF(C386&lt;='SOLLECITAZ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21.182887744880428</v>
      </c>
      <c r="O387" s="42">
        <f>IF(C387&lt;='SOLLECITAZ NASCOSTO'!$P$12,IF(C387&lt;='SOLLECITAZ NASCOSTO'!$P$11,IF(C387&lt;='SOLLECITAZ NASCOSTO'!$P$10,IF(C387&lt;='SOLLECITAZ NASCOSTO'!$P$9,IF(C387&lt;='SOLLECITAZ NASCOSTO'!$P$8,IF(C387&lt;='SOLLECITAZ NASCOSTO'!$P$7,IF(C387&lt;='SOLLECITAZ NASCOSTO'!$P$6,IF(C387&lt;='SOLLECITAZ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slu'!$G$111),55555)*(C387-C386)/IF(C387&lt;='SOLLECITAZ NASCOSTO'!$P$12,IF(C387&lt;='SOLLECITAZ NASCOSTO'!$P$11,IF(C387&lt;='SOLLECITAZ NASCOSTO'!$P$10,IF(C387&lt;='SOLLECITAZ NASCOSTO'!$P$9,IF(C387&lt;='SOLLECITAZ NASCOSTO'!$P$8,IF(C387&lt;='SOLLECITAZ NASCOSTO'!$P$7,IF(C387&lt;='SOLLECITAZ NASCOSTO'!$P$6,IF(C387&lt;='SOLLECITAZ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87" s="42">
        <f t="shared" si="119"/>
        <v>3.540000000000021E-4</v>
      </c>
      <c r="Q387" s="42">
        <f t="shared" si="117"/>
        <v>1</v>
      </c>
      <c r="R387" s="441">
        <f t="shared" si="108"/>
        <v>2.4320913461538463</v>
      </c>
      <c r="S387" s="46">
        <f t="shared" si="118"/>
        <v>2.4320913461538463</v>
      </c>
      <c r="T387" s="211">
        <f t="shared" si="112"/>
        <v>0.91790865384615383</v>
      </c>
      <c r="U387" s="46">
        <f t="shared" si="114"/>
        <v>30.857283216513906</v>
      </c>
      <c r="V387" s="46">
        <f t="shared" si="115"/>
        <v>-29.101398899139383</v>
      </c>
      <c r="W387" s="496"/>
    </row>
    <row r="388" spans="1:23" s="428" customFormat="1" x14ac:dyDescent="0.25">
      <c r="A388" s="589">
        <f t="shared" si="109"/>
        <v>8.5576923075092459E-6</v>
      </c>
      <c r="B388" s="32">
        <f t="shared" si="110"/>
        <v>356</v>
      </c>
      <c r="C388" s="441">
        <f>'SOLLECITAZ NASCOSTO'!$D$6/'SOLLECITAZ NASCOSTO'!$B$448*'SOLLECITAZ NASCOSTO'!B388</f>
        <v>2.4389423076923076</v>
      </c>
      <c r="D388" s="441">
        <f t="shared" si="111"/>
        <v>0.3000085576923075</v>
      </c>
      <c r="E388" s="441">
        <f t="shared" si="102"/>
        <v>8.5576923075092459E-6</v>
      </c>
      <c r="F388" s="441">
        <f t="shared" si="103"/>
        <v>0.3000085576923075</v>
      </c>
      <c r="G388" s="441">
        <f t="shared" si="104"/>
        <v>4.5002567344309297E-2</v>
      </c>
      <c r="H388" s="441">
        <f t="shared" si="120"/>
        <v>0</v>
      </c>
      <c r="I388" s="441">
        <v>0</v>
      </c>
      <c r="J388" s="131">
        <f t="shared" si="121"/>
        <v>0.15000427884615375</v>
      </c>
      <c r="K388" s="130">
        <f t="shared" si="107"/>
        <v>2.2501925535695286E-3</v>
      </c>
      <c r="L388" s="42">
        <f t="shared" si="122"/>
        <v>31.002900993699242</v>
      </c>
      <c r="M388" s="42">
        <f t="shared" si="113"/>
        <v>-29.313299770532534</v>
      </c>
      <c r="N388" s="42">
        <f>(IF(C387&lt;='SOLLECITAZ NASCOSTO'!$P$12,IF(C387&lt;='SOLLECITAZ NASCOSTO'!$P$11,IF(C387&lt;='SOLLECITAZ NASCOSTO'!$P$10,IF(C387&lt;='SOLLECITAZ NASCOSTO'!$P$9,IF(C387&lt;='SOLLECITAZ NASCOSTO'!$P$8,IF(C387&lt;='SOLLECITAZ NASCOSTO'!$P$7,IF(C387&lt;='SOLLECITAZ NASCOSTO'!$P$6,IF(C387&lt;='SOLLECITAZ NASCOSTO'!$P$5,'Progetto del paramento slu'!$G$105,'Progetto del paramento slu'!$G$106),'Progetto del paramento slu'!$G$107),'Progetto del paramento slu'!$G$108),'Progetto del paramento slu'!$G$109),'Progetto del paramento slu'!$G$110),'Progetto del paramento slu'!$G$111),'Progetto del paramento slu'!$G$112),55555)-IF(C387&lt;='SOLLECITAZ NASCOSTO'!$P$12,IF(C387&lt;='SOLLECITAZ NASCOSTO'!$P$11,IF(C387&lt;='SOLLECITAZ NASCOSTO'!$P$10,IF(C387&lt;='SOLLECITAZ NASCOSTO'!$P$9,IF(C387&lt;='SOLLECITAZ NASCOSTO'!$P$8,IF(C387&lt;='SOLLECITAZ NASCOSTO'!$P$7,IF(C387&lt;='SOLLECITAZ NASCOSTO'!$P$6,IF(C387&lt;='SOLLECITAZ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slu'!$G$112))*(C387-IF(C387&lt;='SOLLECITAZ NASCOSTO'!$P$12,IF(C387&lt;='SOLLECITAZ NASCOSTO'!$P$11,IF(C387&lt;='SOLLECITAZ NASCOSTO'!$P$10,IF(C387&lt;='SOLLECITAZ NASCOSTO'!$P$9,IF(C387&lt;='SOLLECITAZ NASCOSTO'!$P$8,IF(C387&lt;='SOLLECITAZ NASCOSTO'!$P$7,IF(C387&lt;='SOLLECITAZ NASCOSTO'!$P$6,IF(C387&lt;='SOLLECITAZ NASCOSTO'!$P$5,'SOLLECITAZ NASCOSTO'!$P$3,'SOLLECITAZ NASCOSTO'!$P$5),'SOLLECITAZ NASCOSTO'!$P$5),'SOLLECITAZ NASCOSTO'!$P$7),'SOLLECITAZ NASCOSTO'!$P$8),'SOLLECITAZ NASCOSTO'!$P$9),'SOLLECITAZ NASCOSTO'!$P$10),'SOLLECITAZ NASCOSTO'!$P$11),'SOLLECITAZ NASCOSTO'!$P$12))/IF(C387&lt;='SOLLECITAZ NASCOSTO'!$P$12,IF(C387&lt;='SOLLECITAZ NASCOSTO'!$P$11,IF(C387&lt;='SOLLECITAZ NASCOSTO'!$P$10,IF(C387&lt;='SOLLECITAZ NASCOSTO'!$P$9,IF(C387&lt;='SOLLECITAZ NASCOSTO'!$P$8,IF(C387&lt;='SOLLECITAZ NASCOSTO'!$P$7,IF(C387&lt;='SOLLECITAZ NASCOSTO'!$P$6,IF(C387&lt;='SOLLECITAZ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slu'!$C$112)+IF(C387&lt;='SOLLECITAZ NASCOSTO'!$P$12,IF(C387&lt;='SOLLECITAZ NASCOSTO'!$P$11,IF(C387&lt;='SOLLECITAZ NASCOSTO'!$P$10,IF(C387&lt;='SOLLECITAZ NASCOSTO'!$P$9,IF(C387&lt;='SOLLECITAZ NASCOSTO'!$P$8,IF(C387&lt;='SOLLECITAZ NASCOSTO'!$P$7,IF(C387&lt;='SOLLECITAZ NASCOSTO'!$P$6,IF(C387&lt;='SOLLECITAZ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21.231019963872782</v>
      </c>
      <c r="O388" s="42">
        <f>IF(C388&lt;='SOLLECITAZ NASCOSTO'!$P$12,IF(C388&lt;='SOLLECITAZ NASCOSTO'!$P$11,IF(C388&lt;='SOLLECITAZ NASCOSTO'!$P$10,IF(C388&lt;='SOLLECITAZ NASCOSTO'!$P$9,IF(C388&lt;='SOLLECITAZ NASCOSTO'!$P$8,IF(C388&lt;='SOLLECITAZ NASCOSTO'!$P$7,IF(C388&lt;='SOLLECITAZ NASCOSTO'!$P$6,IF(C388&lt;='SOLLECITAZ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slu'!$G$111),55555)*(C388-C387)/IF(C388&lt;='SOLLECITAZ NASCOSTO'!$P$12,IF(C388&lt;='SOLLECITAZ NASCOSTO'!$P$11,IF(C388&lt;='SOLLECITAZ NASCOSTO'!$P$10,IF(C388&lt;='SOLLECITAZ NASCOSTO'!$P$9,IF(C388&lt;='SOLLECITAZ NASCOSTO'!$P$8,IF(C388&lt;='SOLLECITAZ NASCOSTO'!$P$7,IF(C388&lt;='SOLLECITAZ NASCOSTO'!$P$6,IF(C388&lt;='SOLLECITAZ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88" s="42">
        <f t="shared" si="119"/>
        <v>3.5500000000000212E-4</v>
      </c>
      <c r="Q388" s="42">
        <f t="shared" si="117"/>
        <v>1</v>
      </c>
      <c r="R388" s="441">
        <f t="shared" si="108"/>
        <v>2.4389423076923076</v>
      </c>
      <c r="S388" s="46">
        <f t="shared" si="118"/>
        <v>2.4389423076923076</v>
      </c>
      <c r="T388" s="211">
        <f t="shared" si="112"/>
        <v>0.91105769230769251</v>
      </c>
      <c r="U388" s="46">
        <f t="shared" si="114"/>
        <v>31.002900993699242</v>
      </c>
      <c r="V388" s="46">
        <f t="shared" si="115"/>
        <v>-29.313299770532534</v>
      </c>
      <c r="W388" s="496"/>
    </row>
    <row r="389" spans="1:23" s="428" customFormat="1" x14ac:dyDescent="0.25">
      <c r="A389" s="589">
        <f t="shared" si="109"/>
        <v>8.5817307690638778E-6</v>
      </c>
      <c r="B389" s="32">
        <f t="shared" si="110"/>
        <v>357</v>
      </c>
      <c r="C389" s="441">
        <f>'SOLLECITAZ NASCOSTO'!$D$6/'SOLLECITAZ NASCOSTO'!$B$448*'SOLLECITAZ NASCOSTO'!B389</f>
        <v>2.4457932692307693</v>
      </c>
      <c r="D389" s="441">
        <f t="shared" si="111"/>
        <v>0.30000858173076905</v>
      </c>
      <c r="E389" s="441">
        <f t="shared" si="102"/>
        <v>8.5817307690638778E-6</v>
      </c>
      <c r="F389" s="441">
        <f t="shared" si="103"/>
        <v>0.30000858173076905</v>
      </c>
      <c r="G389" s="441">
        <f t="shared" si="104"/>
        <v>4.5002574556053769E-2</v>
      </c>
      <c r="H389" s="441">
        <f t="shared" si="120"/>
        <v>0</v>
      </c>
      <c r="I389" s="441">
        <v>0</v>
      </c>
      <c r="J389" s="131">
        <f t="shared" si="121"/>
        <v>0.15000429086538453</v>
      </c>
      <c r="K389" s="130">
        <f t="shared" si="107"/>
        <v>2.2501930944658138E-3</v>
      </c>
      <c r="L389" s="42">
        <f t="shared" si="122"/>
        <v>31.148848522865666</v>
      </c>
      <c r="M389" s="42">
        <f t="shared" si="113"/>
        <v>-29.526199393275583</v>
      </c>
      <c r="N389" s="42">
        <f>(IF(C388&lt;='SOLLECITAZ NASCOSTO'!$P$12,IF(C388&lt;='SOLLECITAZ NASCOSTO'!$P$11,IF(C388&lt;='SOLLECITAZ NASCOSTO'!$P$10,IF(C388&lt;='SOLLECITAZ NASCOSTO'!$P$9,IF(C388&lt;='SOLLECITAZ NASCOSTO'!$P$8,IF(C388&lt;='SOLLECITAZ NASCOSTO'!$P$7,IF(C388&lt;='SOLLECITAZ NASCOSTO'!$P$6,IF(C388&lt;='SOLLECITAZ NASCOSTO'!$P$5,'Progetto del paramento slu'!$G$105,'Progetto del paramento slu'!$G$106),'Progetto del paramento slu'!$G$107),'Progetto del paramento slu'!$G$108),'Progetto del paramento slu'!$G$109),'Progetto del paramento slu'!$G$110),'Progetto del paramento slu'!$G$111),'Progetto del paramento slu'!$G$112),55555)-IF(C388&lt;='SOLLECITAZ NASCOSTO'!$P$12,IF(C388&lt;='SOLLECITAZ NASCOSTO'!$P$11,IF(C388&lt;='SOLLECITAZ NASCOSTO'!$P$10,IF(C388&lt;='SOLLECITAZ NASCOSTO'!$P$9,IF(C388&lt;='SOLLECITAZ NASCOSTO'!$P$8,IF(C388&lt;='SOLLECITAZ NASCOSTO'!$P$7,IF(C388&lt;='SOLLECITAZ NASCOSTO'!$P$6,IF(C388&lt;='SOLLECITAZ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slu'!$G$112))*(C388-IF(C388&lt;='SOLLECITAZ NASCOSTO'!$P$12,IF(C388&lt;='SOLLECITAZ NASCOSTO'!$P$11,IF(C388&lt;='SOLLECITAZ NASCOSTO'!$P$10,IF(C388&lt;='SOLLECITAZ NASCOSTO'!$P$9,IF(C388&lt;='SOLLECITAZ NASCOSTO'!$P$8,IF(C388&lt;='SOLLECITAZ NASCOSTO'!$P$7,IF(C388&lt;='SOLLECITAZ NASCOSTO'!$P$6,IF(C388&lt;='SOLLECITAZ NASCOSTO'!$P$5,'SOLLECITAZ NASCOSTO'!$P$3,'SOLLECITAZ NASCOSTO'!$P$5),'SOLLECITAZ NASCOSTO'!$P$5),'SOLLECITAZ NASCOSTO'!$P$7),'SOLLECITAZ NASCOSTO'!$P$8),'SOLLECITAZ NASCOSTO'!$P$9),'SOLLECITAZ NASCOSTO'!$P$10),'SOLLECITAZ NASCOSTO'!$P$11),'SOLLECITAZ NASCOSTO'!$P$12))/IF(C388&lt;='SOLLECITAZ NASCOSTO'!$P$12,IF(C388&lt;='SOLLECITAZ NASCOSTO'!$P$11,IF(C388&lt;='SOLLECITAZ NASCOSTO'!$P$10,IF(C388&lt;='SOLLECITAZ NASCOSTO'!$P$9,IF(C388&lt;='SOLLECITAZ NASCOSTO'!$P$8,IF(C388&lt;='SOLLECITAZ NASCOSTO'!$P$7,IF(C388&lt;='SOLLECITAZ NASCOSTO'!$P$6,IF(C388&lt;='SOLLECITAZ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slu'!$C$112)+IF(C388&lt;='SOLLECITAZ NASCOSTO'!$P$12,IF(C388&lt;='SOLLECITAZ NASCOSTO'!$P$11,IF(C388&lt;='SOLLECITAZ NASCOSTO'!$P$10,IF(C388&lt;='SOLLECITAZ NASCOSTO'!$P$9,IF(C388&lt;='SOLLECITAZ NASCOSTO'!$P$8,IF(C388&lt;='SOLLECITAZ NASCOSTO'!$P$7,IF(C388&lt;='SOLLECITAZ NASCOSTO'!$P$6,IF(C388&lt;='SOLLECITAZ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21.279152182865133</v>
      </c>
      <c r="O389" s="42">
        <f>IF(C389&lt;='SOLLECITAZ NASCOSTO'!$P$12,IF(C389&lt;='SOLLECITAZ NASCOSTO'!$P$11,IF(C389&lt;='SOLLECITAZ NASCOSTO'!$P$10,IF(C389&lt;='SOLLECITAZ NASCOSTO'!$P$9,IF(C389&lt;='SOLLECITAZ NASCOSTO'!$P$8,IF(C389&lt;='SOLLECITAZ NASCOSTO'!$P$7,IF(C389&lt;='SOLLECITAZ NASCOSTO'!$P$6,IF(C389&lt;='SOLLECITAZ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slu'!$G$111),55555)*(C389-C388)/IF(C389&lt;='SOLLECITAZ NASCOSTO'!$P$12,IF(C389&lt;='SOLLECITAZ NASCOSTO'!$P$11,IF(C389&lt;='SOLLECITAZ NASCOSTO'!$P$10,IF(C389&lt;='SOLLECITAZ NASCOSTO'!$P$9,IF(C389&lt;='SOLLECITAZ NASCOSTO'!$P$8,IF(C389&lt;='SOLLECITAZ NASCOSTO'!$P$7,IF(C389&lt;='SOLLECITAZ NASCOSTO'!$P$6,IF(C389&lt;='SOLLECITAZ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89" s="42">
        <f t="shared" si="119"/>
        <v>3.5600000000000215E-4</v>
      </c>
      <c r="Q389" s="42">
        <f t="shared" si="117"/>
        <v>1</v>
      </c>
      <c r="R389" s="441">
        <f t="shared" si="108"/>
        <v>2.4457932692307693</v>
      </c>
      <c r="S389" s="46">
        <f t="shared" si="118"/>
        <v>2.4457932692307693</v>
      </c>
      <c r="T389" s="211">
        <f t="shared" si="112"/>
        <v>0.90420673076923075</v>
      </c>
      <c r="U389" s="46">
        <f t="shared" si="114"/>
        <v>31.148848522865666</v>
      </c>
      <c r="V389" s="46">
        <f t="shared" si="115"/>
        <v>-29.526199393275583</v>
      </c>
      <c r="W389" s="496"/>
    </row>
    <row r="390" spans="1:23" s="428" customFormat="1" x14ac:dyDescent="0.25">
      <c r="A390" s="589">
        <f t="shared" si="109"/>
        <v>8.6057692305629985E-6</v>
      </c>
      <c r="B390" s="32">
        <f t="shared" si="110"/>
        <v>358</v>
      </c>
      <c r="C390" s="441">
        <f>'SOLLECITAZ NASCOSTO'!$D$6/'SOLLECITAZ NASCOSTO'!$B$448*'SOLLECITAZ NASCOSTO'!B390</f>
        <v>2.4526442307692307</v>
      </c>
      <c r="D390" s="441">
        <f t="shared" si="111"/>
        <v>0.30000860576923055</v>
      </c>
      <c r="E390" s="441">
        <f t="shared" si="102"/>
        <v>8.6057692305629985E-6</v>
      </c>
      <c r="F390" s="441">
        <f t="shared" si="103"/>
        <v>0.30000860576923055</v>
      </c>
      <c r="G390" s="441">
        <f t="shared" si="104"/>
        <v>4.5002581767798797E-2</v>
      </c>
      <c r="H390" s="441">
        <f t="shared" si="120"/>
        <v>0</v>
      </c>
      <c r="I390" s="441">
        <v>0</v>
      </c>
      <c r="J390" s="131">
        <f t="shared" si="121"/>
        <v>0.15000430288461528</v>
      </c>
      <c r="K390" s="130">
        <f t="shared" si="107"/>
        <v>2.2501936353621858E-3</v>
      </c>
      <c r="L390" s="42">
        <f t="shared" si="122"/>
        <v>31.295125804013157</v>
      </c>
      <c r="M390" s="42">
        <f t="shared" si="113"/>
        <v>-29.74010002648664</v>
      </c>
      <c r="N390" s="42">
        <f>(IF(C389&lt;='SOLLECITAZ NASCOSTO'!$P$12,IF(C389&lt;='SOLLECITAZ NASCOSTO'!$P$11,IF(C389&lt;='SOLLECITAZ NASCOSTO'!$P$10,IF(C389&lt;='SOLLECITAZ NASCOSTO'!$P$9,IF(C389&lt;='SOLLECITAZ NASCOSTO'!$P$8,IF(C389&lt;='SOLLECITAZ NASCOSTO'!$P$7,IF(C389&lt;='SOLLECITAZ NASCOSTO'!$P$6,IF(C389&lt;='SOLLECITAZ NASCOSTO'!$P$5,'Progetto del paramento slu'!$G$105,'Progetto del paramento slu'!$G$106),'Progetto del paramento slu'!$G$107),'Progetto del paramento slu'!$G$108),'Progetto del paramento slu'!$G$109),'Progetto del paramento slu'!$G$110),'Progetto del paramento slu'!$G$111),'Progetto del paramento slu'!$G$112),55555)-IF(C389&lt;='SOLLECITAZ NASCOSTO'!$P$12,IF(C389&lt;='SOLLECITAZ NASCOSTO'!$P$11,IF(C389&lt;='SOLLECITAZ NASCOSTO'!$P$10,IF(C389&lt;='SOLLECITAZ NASCOSTO'!$P$9,IF(C389&lt;='SOLLECITAZ NASCOSTO'!$P$8,IF(C389&lt;='SOLLECITAZ NASCOSTO'!$P$7,IF(C389&lt;='SOLLECITAZ NASCOSTO'!$P$6,IF(C389&lt;='SOLLECITAZ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slu'!$G$112))*(C389-IF(C389&lt;='SOLLECITAZ NASCOSTO'!$P$12,IF(C389&lt;='SOLLECITAZ NASCOSTO'!$P$11,IF(C389&lt;='SOLLECITAZ NASCOSTO'!$P$10,IF(C389&lt;='SOLLECITAZ NASCOSTO'!$P$9,IF(C389&lt;='SOLLECITAZ NASCOSTO'!$P$8,IF(C389&lt;='SOLLECITAZ NASCOSTO'!$P$7,IF(C389&lt;='SOLLECITAZ NASCOSTO'!$P$6,IF(C389&lt;='SOLLECITAZ NASCOSTO'!$P$5,'SOLLECITAZ NASCOSTO'!$P$3,'SOLLECITAZ NASCOSTO'!$P$5),'SOLLECITAZ NASCOSTO'!$P$5),'SOLLECITAZ NASCOSTO'!$P$7),'SOLLECITAZ NASCOSTO'!$P$8),'SOLLECITAZ NASCOSTO'!$P$9),'SOLLECITAZ NASCOSTO'!$P$10),'SOLLECITAZ NASCOSTO'!$P$11),'SOLLECITAZ NASCOSTO'!$P$12))/IF(C389&lt;='SOLLECITAZ NASCOSTO'!$P$12,IF(C389&lt;='SOLLECITAZ NASCOSTO'!$P$11,IF(C389&lt;='SOLLECITAZ NASCOSTO'!$P$10,IF(C389&lt;='SOLLECITAZ NASCOSTO'!$P$9,IF(C389&lt;='SOLLECITAZ NASCOSTO'!$P$8,IF(C389&lt;='SOLLECITAZ NASCOSTO'!$P$7,IF(C389&lt;='SOLLECITAZ NASCOSTO'!$P$6,IF(C389&lt;='SOLLECITAZ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slu'!$C$112)+IF(C389&lt;='SOLLECITAZ NASCOSTO'!$P$12,IF(C389&lt;='SOLLECITAZ NASCOSTO'!$P$11,IF(C389&lt;='SOLLECITAZ NASCOSTO'!$P$10,IF(C389&lt;='SOLLECITAZ NASCOSTO'!$P$9,IF(C389&lt;='SOLLECITAZ NASCOSTO'!$P$8,IF(C389&lt;='SOLLECITAZ NASCOSTO'!$P$7,IF(C389&lt;='SOLLECITAZ NASCOSTO'!$P$6,IF(C389&lt;='SOLLECITAZ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21.327284401857487</v>
      </c>
      <c r="O390" s="42">
        <f>IF(C390&lt;='SOLLECITAZ NASCOSTO'!$P$12,IF(C390&lt;='SOLLECITAZ NASCOSTO'!$P$11,IF(C390&lt;='SOLLECITAZ NASCOSTO'!$P$10,IF(C390&lt;='SOLLECITAZ NASCOSTO'!$P$9,IF(C390&lt;='SOLLECITAZ NASCOSTO'!$P$8,IF(C390&lt;='SOLLECITAZ NASCOSTO'!$P$7,IF(C390&lt;='SOLLECITAZ NASCOSTO'!$P$6,IF(C390&lt;='SOLLECITAZ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slu'!$G$111),55555)*(C390-C389)/IF(C390&lt;='SOLLECITAZ NASCOSTO'!$P$12,IF(C390&lt;='SOLLECITAZ NASCOSTO'!$P$11,IF(C390&lt;='SOLLECITAZ NASCOSTO'!$P$10,IF(C390&lt;='SOLLECITAZ NASCOSTO'!$P$9,IF(C390&lt;='SOLLECITAZ NASCOSTO'!$P$8,IF(C390&lt;='SOLLECITAZ NASCOSTO'!$P$7,IF(C390&lt;='SOLLECITAZ NASCOSTO'!$P$6,IF(C390&lt;='SOLLECITAZ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90" s="42">
        <f t="shared" si="119"/>
        <v>3.5700000000000217E-4</v>
      </c>
      <c r="Q390" s="42">
        <f t="shared" si="117"/>
        <v>1</v>
      </c>
      <c r="R390" s="441">
        <f t="shared" si="108"/>
        <v>2.4526442307692307</v>
      </c>
      <c r="S390" s="46">
        <f t="shared" si="118"/>
        <v>2.4526442307692307</v>
      </c>
      <c r="T390" s="211">
        <f t="shared" si="112"/>
        <v>0.89735576923076943</v>
      </c>
      <c r="U390" s="46">
        <f t="shared" si="114"/>
        <v>31.295125804013157</v>
      </c>
      <c r="V390" s="46">
        <f t="shared" si="115"/>
        <v>-29.74010002648664</v>
      </c>
      <c r="W390" s="496"/>
    </row>
    <row r="391" spans="1:23" s="428" customFormat="1" x14ac:dyDescent="0.25">
      <c r="A391" s="589">
        <f t="shared" si="109"/>
        <v>8.6298076921176303E-6</v>
      </c>
      <c r="B391" s="32">
        <f t="shared" si="110"/>
        <v>359</v>
      </c>
      <c r="C391" s="441">
        <f>'SOLLECITAZ NASCOSTO'!$D$6/'SOLLECITAZ NASCOSTO'!$B$448*'SOLLECITAZ NASCOSTO'!B391</f>
        <v>2.4594951923076924</v>
      </c>
      <c r="D391" s="441">
        <f t="shared" si="111"/>
        <v>0.30000862980769211</v>
      </c>
      <c r="E391" s="441">
        <f t="shared" si="102"/>
        <v>8.6298076921176303E-6</v>
      </c>
      <c r="F391" s="441">
        <f t="shared" si="103"/>
        <v>0.30000862980769211</v>
      </c>
      <c r="G391" s="441">
        <f t="shared" si="104"/>
        <v>4.5002588979544421E-2</v>
      </c>
      <c r="H391" s="441">
        <f t="shared" si="120"/>
        <v>0</v>
      </c>
      <c r="I391" s="441">
        <v>0</v>
      </c>
      <c r="J391" s="131">
        <f t="shared" si="121"/>
        <v>0.15000431490384605</v>
      </c>
      <c r="K391" s="130">
        <f t="shared" si="107"/>
        <v>2.2501941762586445E-3</v>
      </c>
      <c r="L391" s="42">
        <f t="shared" si="122"/>
        <v>31.441732837141736</v>
      </c>
      <c r="M391" s="42">
        <f t="shared" si="113"/>
        <v>-29.955003929283873</v>
      </c>
      <c r="N391" s="42">
        <f>(IF(C390&lt;='SOLLECITAZ NASCOSTO'!$P$12,IF(C390&lt;='SOLLECITAZ NASCOSTO'!$P$11,IF(C390&lt;='SOLLECITAZ NASCOSTO'!$P$10,IF(C390&lt;='SOLLECITAZ NASCOSTO'!$P$9,IF(C390&lt;='SOLLECITAZ NASCOSTO'!$P$8,IF(C390&lt;='SOLLECITAZ NASCOSTO'!$P$7,IF(C390&lt;='SOLLECITAZ NASCOSTO'!$P$6,IF(C390&lt;='SOLLECITAZ NASCOSTO'!$P$5,'Progetto del paramento slu'!$G$105,'Progetto del paramento slu'!$G$106),'Progetto del paramento slu'!$G$107),'Progetto del paramento slu'!$G$108),'Progetto del paramento slu'!$G$109),'Progetto del paramento slu'!$G$110),'Progetto del paramento slu'!$G$111),'Progetto del paramento slu'!$G$112),55555)-IF(C390&lt;='SOLLECITAZ NASCOSTO'!$P$12,IF(C390&lt;='SOLLECITAZ NASCOSTO'!$P$11,IF(C390&lt;='SOLLECITAZ NASCOSTO'!$P$10,IF(C390&lt;='SOLLECITAZ NASCOSTO'!$P$9,IF(C390&lt;='SOLLECITAZ NASCOSTO'!$P$8,IF(C390&lt;='SOLLECITAZ NASCOSTO'!$P$7,IF(C390&lt;='SOLLECITAZ NASCOSTO'!$P$6,IF(C390&lt;='SOLLECITAZ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slu'!$G$112))*(C390-IF(C390&lt;='SOLLECITAZ NASCOSTO'!$P$12,IF(C390&lt;='SOLLECITAZ NASCOSTO'!$P$11,IF(C390&lt;='SOLLECITAZ NASCOSTO'!$P$10,IF(C390&lt;='SOLLECITAZ NASCOSTO'!$P$9,IF(C390&lt;='SOLLECITAZ NASCOSTO'!$P$8,IF(C390&lt;='SOLLECITAZ NASCOSTO'!$P$7,IF(C390&lt;='SOLLECITAZ NASCOSTO'!$P$6,IF(C390&lt;='SOLLECITAZ NASCOSTO'!$P$5,'SOLLECITAZ NASCOSTO'!$P$3,'SOLLECITAZ NASCOSTO'!$P$5),'SOLLECITAZ NASCOSTO'!$P$5),'SOLLECITAZ NASCOSTO'!$P$7),'SOLLECITAZ NASCOSTO'!$P$8),'SOLLECITAZ NASCOSTO'!$P$9),'SOLLECITAZ NASCOSTO'!$P$10),'SOLLECITAZ NASCOSTO'!$P$11),'SOLLECITAZ NASCOSTO'!$P$12))/IF(C390&lt;='SOLLECITAZ NASCOSTO'!$P$12,IF(C390&lt;='SOLLECITAZ NASCOSTO'!$P$11,IF(C390&lt;='SOLLECITAZ NASCOSTO'!$P$10,IF(C390&lt;='SOLLECITAZ NASCOSTO'!$P$9,IF(C390&lt;='SOLLECITAZ NASCOSTO'!$P$8,IF(C390&lt;='SOLLECITAZ NASCOSTO'!$P$7,IF(C390&lt;='SOLLECITAZ NASCOSTO'!$P$6,IF(C390&lt;='SOLLECITAZ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slu'!$C$112)+IF(C390&lt;='SOLLECITAZ NASCOSTO'!$P$12,IF(C390&lt;='SOLLECITAZ NASCOSTO'!$P$11,IF(C390&lt;='SOLLECITAZ NASCOSTO'!$P$10,IF(C390&lt;='SOLLECITAZ NASCOSTO'!$P$9,IF(C390&lt;='SOLLECITAZ NASCOSTO'!$P$8,IF(C390&lt;='SOLLECITAZ NASCOSTO'!$P$7,IF(C390&lt;='SOLLECITAZ NASCOSTO'!$P$6,IF(C390&lt;='SOLLECITAZ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21.375416620849837</v>
      </c>
      <c r="O391" s="42">
        <f>IF(C391&lt;='SOLLECITAZ NASCOSTO'!$P$12,IF(C391&lt;='SOLLECITAZ NASCOSTO'!$P$11,IF(C391&lt;='SOLLECITAZ NASCOSTO'!$P$10,IF(C391&lt;='SOLLECITAZ NASCOSTO'!$P$9,IF(C391&lt;='SOLLECITAZ NASCOSTO'!$P$8,IF(C391&lt;='SOLLECITAZ NASCOSTO'!$P$7,IF(C391&lt;='SOLLECITAZ NASCOSTO'!$P$6,IF(C391&lt;='SOLLECITAZ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slu'!$G$111),55555)*(C391-C390)/IF(C391&lt;='SOLLECITAZ NASCOSTO'!$P$12,IF(C391&lt;='SOLLECITAZ NASCOSTO'!$P$11,IF(C391&lt;='SOLLECITAZ NASCOSTO'!$P$10,IF(C391&lt;='SOLLECITAZ NASCOSTO'!$P$9,IF(C391&lt;='SOLLECITAZ NASCOSTO'!$P$8,IF(C391&lt;='SOLLECITAZ NASCOSTO'!$P$7,IF(C391&lt;='SOLLECITAZ NASCOSTO'!$P$6,IF(C391&lt;='SOLLECITAZ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91" s="42">
        <f t="shared" si="119"/>
        <v>3.580000000000022E-4</v>
      </c>
      <c r="Q391" s="42">
        <f t="shared" si="117"/>
        <v>1</v>
      </c>
      <c r="R391" s="441">
        <f t="shared" si="108"/>
        <v>2.4594951923076924</v>
      </c>
      <c r="S391" s="46">
        <f t="shared" si="118"/>
        <v>2.4594951923076924</v>
      </c>
      <c r="T391" s="211">
        <f t="shared" si="112"/>
        <v>0.89050480769230766</v>
      </c>
      <c r="U391" s="46">
        <f t="shared" si="114"/>
        <v>31.441732837141736</v>
      </c>
      <c r="V391" s="46">
        <f t="shared" si="115"/>
        <v>-29.955003929283873</v>
      </c>
      <c r="W391" s="496"/>
    </row>
    <row r="392" spans="1:23" s="428" customFormat="1" x14ac:dyDescent="0.25">
      <c r="A392" s="589">
        <f t="shared" si="109"/>
        <v>8.6538461536722622E-6</v>
      </c>
      <c r="B392" s="32">
        <f t="shared" si="110"/>
        <v>360</v>
      </c>
      <c r="C392" s="441">
        <f>'SOLLECITAZ NASCOSTO'!$D$6/'SOLLECITAZ NASCOSTO'!$B$448*'SOLLECITAZ NASCOSTO'!B392</f>
        <v>2.4663461538461537</v>
      </c>
      <c r="D392" s="441">
        <f t="shared" si="111"/>
        <v>0.30000865384615366</v>
      </c>
      <c r="E392" s="441">
        <f t="shared" si="102"/>
        <v>8.6538461536722622E-6</v>
      </c>
      <c r="F392" s="441">
        <f t="shared" si="103"/>
        <v>0.30000865384615366</v>
      </c>
      <c r="G392" s="441">
        <f t="shared" si="104"/>
        <v>4.5002596191290628E-2</v>
      </c>
      <c r="H392" s="441">
        <f t="shared" si="120"/>
        <v>0</v>
      </c>
      <c r="I392" s="441">
        <v>0</v>
      </c>
      <c r="J392" s="131">
        <f t="shared" si="121"/>
        <v>0.15000432692307683</v>
      </c>
      <c r="K392" s="130">
        <f t="shared" si="107"/>
        <v>2.2501947171551903E-3</v>
      </c>
      <c r="L392" s="42">
        <f t="shared" si="122"/>
        <v>31.588669622251381</v>
      </c>
      <c r="M392" s="42">
        <f t="shared" si="113"/>
        <v>-30.170913360785391</v>
      </c>
      <c r="N392" s="42">
        <f>(IF(C391&lt;='SOLLECITAZ NASCOSTO'!$P$12,IF(C391&lt;='SOLLECITAZ NASCOSTO'!$P$11,IF(C391&lt;='SOLLECITAZ NASCOSTO'!$P$10,IF(C391&lt;='SOLLECITAZ NASCOSTO'!$P$9,IF(C391&lt;='SOLLECITAZ NASCOSTO'!$P$8,IF(C391&lt;='SOLLECITAZ NASCOSTO'!$P$7,IF(C391&lt;='SOLLECITAZ NASCOSTO'!$P$6,IF(C391&lt;='SOLLECITAZ NASCOSTO'!$P$5,'Progetto del paramento slu'!$G$105,'Progetto del paramento slu'!$G$106),'Progetto del paramento slu'!$G$107),'Progetto del paramento slu'!$G$108),'Progetto del paramento slu'!$G$109),'Progetto del paramento slu'!$G$110),'Progetto del paramento slu'!$G$111),'Progetto del paramento slu'!$G$112),55555)-IF(C391&lt;='SOLLECITAZ NASCOSTO'!$P$12,IF(C391&lt;='SOLLECITAZ NASCOSTO'!$P$11,IF(C391&lt;='SOLLECITAZ NASCOSTO'!$P$10,IF(C391&lt;='SOLLECITAZ NASCOSTO'!$P$9,IF(C391&lt;='SOLLECITAZ NASCOSTO'!$P$8,IF(C391&lt;='SOLLECITAZ NASCOSTO'!$P$7,IF(C391&lt;='SOLLECITAZ NASCOSTO'!$P$6,IF(C391&lt;='SOLLECITAZ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slu'!$G$112))*(C391-IF(C391&lt;='SOLLECITAZ NASCOSTO'!$P$12,IF(C391&lt;='SOLLECITAZ NASCOSTO'!$P$11,IF(C391&lt;='SOLLECITAZ NASCOSTO'!$P$10,IF(C391&lt;='SOLLECITAZ NASCOSTO'!$P$9,IF(C391&lt;='SOLLECITAZ NASCOSTO'!$P$8,IF(C391&lt;='SOLLECITAZ NASCOSTO'!$P$7,IF(C391&lt;='SOLLECITAZ NASCOSTO'!$P$6,IF(C391&lt;='SOLLECITAZ NASCOSTO'!$P$5,'SOLLECITAZ NASCOSTO'!$P$3,'SOLLECITAZ NASCOSTO'!$P$5),'SOLLECITAZ NASCOSTO'!$P$5),'SOLLECITAZ NASCOSTO'!$P$7),'SOLLECITAZ NASCOSTO'!$P$8),'SOLLECITAZ NASCOSTO'!$P$9),'SOLLECITAZ NASCOSTO'!$P$10),'SOLLECITAZ NASCOSTO'!$P$11),'SOLLECITAZ NASCOSTO'!$P$12))/IF(C391&lt;='SOLLECITAZ NASCOSTO'!$P$12,IF(C391&lt;='SOLLECITAZ NASCOSTO'!$P$11,IF(C391&lt;='SOLLECITAZ NASCOSTO'!$P$10,IF(C391&lt;='SOLLECITAZ NASCOSTO'!$P$9,IF(C391&lt;='SOLLECITAZ NASCOSTO'!$P$8,IF(C391&lt;='SOLLECITAZ NASCOSTO'!$P$7,IF(C391&lt;='SOLLECITAZ NASCOSTO'!$P$6,IF(C391&lt;='SOLLECITAZ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slu'!$C$112)+IF(C391&lt;='SOLLECITAZ NASCOSTO'!$P$12,IF(C391&lt;='SOLLECITAZ NASCOSTO'!$P$11,IF(C391&lt;='SOLLECITAZ NASCOSTO'!$P$10,IF(C391&lt;='SOLLECITAZ NASCOSTO'!$P$9,IF(C391&lt;='SOLLECITAZ NASCOSTO'!$P$8,IF(C391&lt;='SOLLECITAZ NASCOSTO'!$P$7,IF(C391&lt;='SOLLECITAZ NASCOSTO'!$P$6,IF(C391&lt;='SOLLECITAZ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21.423548839842191</v>
      </c>
      <c r="O392" s="42">
        <f>IF(C392&lt;='SOLLECITAZ NASCOSTO'!$P$12,IF(C392&lt;='SOLLECITAZ NASCOSTO'!$P$11,IF(C392&lt;='SOLLECITAZ NASCOSTO'!$P$10,IF(C392&lt;='SOLLECITAZ NASCOSTO'!$P$9,IF(C392&lt;='SOLLECITAZ NASCOSTO'!$P$8,IF(C392&lt;='SOLLECITAZ NASCOSTO'!$P$7,IF(C392&lt;='SOLLECITAZ NASCOSTO'!$P$6,IF(C392&lt;='SOLLECITAZ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slu'!$G$111),55555)*(C392-C391)/IF(C392&lt;='SOLLECITAZ NASCOSTO'!$P$12,IF(C392&lt;='SOLLECITAZ NASCOSTO'!$P$11,IF(C392&lt;='SOLLECITAZ NASCOSTO'!$P$10,IF(C392&lt;='SOLLECITAZ NASCOSTO'!$P$9,IF(C392&lt;='SOLLECITAZ NASCOSTO'!$P$8,IF(C392&lt;='SOLLECITAZ NASCOSTO'!$P$7,IF(C392&lt;='SOLLECITAZ NASCOSTO'!$P$6,IF(C392&lt;='SOLLECITAZ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92" s="42">
        <f t="shared" si="119"/>
        <v>3.5900000000000222E-4</v>
      </c>
      <c r="Q392" s="42">
        <f t="shared" si="117"/>
        <v>1</v>
      </c>
      <c r="R392" s="441">
        <f t="shared" si="108"/>
        <v>2.4663461538461537</v>
      </c>
      <c r="S392" s="46">
        <f t="shared" si="118"/>
        <v>2.4663461538461537</v>
      </c>
      <c r="T392" s="211">
        <f t="shared" si="112"/>
        <v>0.88365384615384635</v>
      </c>
      <c r="U392" s="46">
        <f t="shared" si="114"/>
        <v>31.588669622251381</v>
      </c>
      <c r="V392" s="46">
        <f t="shared" si="115"/>
        <v>-30.170913360785391</v>
      </c>
      <c r="W392" s="496"/>
    </row>
    <row r="393" spans="1:23" s="428" customFormat="1" x14ac:dyDescent="0.25">
      <c r="A393" s="589">
        <f t="shared" si="109"/>
        <v>8.6778846151713829E-6</v>
      </c>
      <c r="B393" s="32">
        <f t="shared" si="110"/>
        <v>361</v>
      </c>
      <c r="C393" s="441">
        <f>'SOLLECITAZ NASCOSTO'!$D$6/'SOLLECITAZ NASCOSTO'!$B$448*'SOLLECITAZ NASCOSTO'!B393</f>
        <v>2.4731971153846155</v>
      </c>
      <c r="D393" s="441">
        <f t="shared" si="111"/>
        <v>0.30000867788461516</v>
      </c>
      <c r="E393" s="441">
        <f t="shared" si="102"/>
        <v>8.6778846151713829E-6</v>
      </c>
      <c r="F393" s="441">
        <f t="shared" si="103"/>
        <v>0.30000867788461516</v>
      </c>
      <c r="G393" s="441">
        <f t="shared" si="104"/>
        <v>4.500260340303739E-2</v>
      </c>
      <c r="H393" s="441">
        <f t="shared" si="120"/>
        <v>0</v>
      </c>
      <c r="I393" s="441">
        <v>0</v>
      </c>
      <c r="J393" s="131">
        <f t="shared" si="121"/>
        <v>0.15000433894230758</v>
      </c>
      <c r="K393" s="130">
        <f t="shared" si="107"/>
        <v>2.2501952580518221E-3</v>
      </c>
      <c r="L393" s="42">
        <f t="shared" si="122"/>
        <v>31.735936159342113</v>
      </c>
      <c r="M393" s="42">
        <f t="shared" si="113"/>
        <v>-30.387830580109366</v>
      </c>
      <c r="N393" s="42">
        <f>(IF(C392&lt;='SOLLECITAZ NASCOSTO'!$P$12,IF(C392&lt;='SOLLECITAZ NASCOSTO'!$P$11,IF(C392&lt;='SOLLECITAZ NASCOSTO'!$P$10,IF(C392&lt;='SOLLECITAZ NASCOSTO'!$P$9,IF(C392&lt;='SOLLECITAZ NASCOSTO'!$P$8,IF(C392&lt;='SOLLECITAZ NASCOSTO'!$P$7,IF(C392&lt;='SOLLECITAZ NASCOSTO'!$P$6,IF(C392&lt;='SOLLECITAZ NASCOSTO'!$P$5,'Progetto del paramento slu'!$G$105,'Progetto del paramento slu'!$G$106),'Progetto del paramento slu'!$G$107),'Progetto del paramento slu'!$G$108),'Progetto del paramento slu'!$G$109),'Progetto del paramento slu'!$G$110),'Progetto del paramento slu'!$G$111),'Progetto del paramento slu'!$G$112),55555)-IF(C392&lt;='SOLLECITAZ NASCOSTO'!$P$12,IF(C392&lt;='SOLLECITAZ NASCOSTO'!$P$11,IF(C392&lt;='SOLLECITAZ NASCOSTO'!$P$10,IF(C392&lt;='SOLLECITAZ NASCOSTO'!$P$9,IF(C392&lt;='SOLLECITAZ NASCOSTO'!$P$8,IF(C392&lt;='SOLLECITAZ NASCOSTO'!$P$7,IF(C392&lt;='SOLLECITAZ NASCOSTO'!$P$6,IF(C392&lt;='SOLLECITAZ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slu'!$G$112))*(C392-IF(C392&lt;='SOLLECITAZ NASCOSTO'!$P$12,IF(C392&lt;='SOLLECITAZ NASCOSTO'!$P$11,IF(C392&lt;='SOLLECITAZ NASCOSTO'!$P$10,IF(C392&lt;='SOLLECITAZ NASCOSTO'!$P$9,IF(C392&lt;='SOLLECITAZ NASCOSTO'!$P$8,IF(C392&lt;='SOLLECITAZ NASCOSTO'!$P$7,IF(C392&lt;='SOLLECITAZ NASCOSTO'!$P$6,IF(C392&lt;='SOLLECITAZ NASCOSTO'!$P$5,'SOLLECITAZ NASCOSTO'!$P$3,'SOLLECITAZ NASCOSTO'!$P$5),'SOLLECITAZ NASCOSTO'!$P$5),'SOLLECITAZ NASCOSTO'!$P$7),'SOLLECITAZ NASCOSTO'!$P$8),'SOLLECITAZ NASCOSTO'!$P$9),'SOLLECITAZ NASCOSTO'!$P$10),'SOLLECITAZ NASCOSTO'!$P$11),'SOLLECITAZ NASCOSTO'!$P$12))/IF(C392&lt;='SOLLECITAZ NASCOSTO'!$P$12,IF(C392&lt;='SOLLECITAZ NASCOSTO'!$P$11,IF(C392&lt;='SOLLECITAZ NASCOSTO'!$P$10,IF(C392&lt;='SOLLECITAZ NASCOSTO'!$P$9,IF(C392&lt;='SOLLECITAZ NASCOSTO'!$P$8,IF(C392&lt;='SOLLECITAZ NASCOSTO'!$P$7,IF(C392&lt;='SOLLECITAZ NASCOSTO'!$P$6,IF(C392&lt;='SOLLECITAZ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slu'!$C$112)+IF(C392&lt;='SOLLECITAZ NASCOSTO'!$P$12,IF(C392&lt;='SOLLECITAZ NASCOSTO'!$P$11,IF(C392&lt;='SOLLECITAZ NASCOSTO'!$P$10,IF(C392&lt;='SOLLECITAZ NASCOSTO'!$P$9,IF(C392&lt;='SOLLECITAZ NASCOSTO'!$P$8,IF(C392&lt;='SOLLECITAZ NASCOSTO'!$P$7,IF(C392&lt;='SOLLECITAZ NASCOSTO'!$P$6,IF(C392&lt;='SOLLECITAZ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21.471681058834541</v>
      </c>
      <c r="O393" s="42">
        <f>IF(C393&lt;='SOLLECITAZ NASCOSTO'!$P$12,IF(C393&lt;='SOLLECITAZ NASCOSTO'!$P$11,IF(C393&lt;='SOLLECITAZ NASCOSTO'!$P$10,IF(C393&lt;='SOLLECITAZ NASCOSTO'!$P$9,IF(C393&lt;='SOLLECITAZ NASCOSTO'!$P$8,IF(C393&lt;='SOLLECITAZ NASCOSTO'!$P$7,IF(C393&lt;='SOLLECITAZ NASCOSTO'!$P$6,IF(C393&lt;='SOLLECITAZ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slu'!$G$111),55555)*(C393-C392)/IF(C393&lt;='SOLLECITAZ NASCOSTO'!$P$12,IF(C393&lt;='SOLLECITAZ NASCOSTO'!$P$11,IF(C393&lt;='SOLLECITAZ NASCOSTO'!$P$10,IF(C393&lt;='SOLLECITAZ NASCOSTO'!$P$9,IF(C393&lt;='SOLLECITAZ NASCOSTO'!$P$8,IF(C393&lt;='SOLLECITAZ NASCOSTO'!$P$7,IF(C393&lt;='SOLLECITAZ NASCOSTO'!$P$6,IF(C393&lt;='SOLLECITAZ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93" s="42">
        <f t="shared" si="119"/>
        <v>3.6000000000000225E-4</v>
      </c>
      <c r="Q393" s="42">
        <f t="shared" si="117"/>
        <v>1</v>
      </c>
      <c r="R393" s="441">
        <f t="shared" si="108"/>
        <v>2.4731971153846155</v>
      </c>
      <c r="S393" s="46">
        <f t="shared" si="118"/>
        <v>2.4731971153846155</v>
      </c>
      <c r="T393" s="211">
        <f t="shared" si="112"/>
        <v>0.87680288461538458</v>
      </c>
      <c r="U393" s="46">
        <f t="shared" si="114"/>
        <v>31.735936159342113</v>
      </c>
      <c r="V393" s="46">
        <f t="shared" si="115"/>
        <v>-30.387830580109366</v>
      </c>
      <c r="W393" s="496"/>
    </row>
    <row r="394" spans="1:23" s="428" customFormat="1" x14ac:dyDescent="0.25">
      <c r="A394" s="589">
        <f t="shared" si="109"/>
        <v>8.7019230767260147E-6</v>
      </c>
      <c r="B394" s="32">
        <f t="shared" si="110"/>
        <v>362</v>
      </c>
      <c r="C394" s="441">
        <f>'SOLLECITAZ NASCOSTO'!$D$6/'SOLLECITAZ NASCOSTO'!$B$448*'SOLLECITAZ NASCOSTO'!B394</f>
        <v>2.4800480769230768</v>
      </c>
      <c r="D394" s="441">
        <f t="shared" si="111"/>
        <v>0.30000870192307671</v>
      </c>
      <c r="E394" s="441">
        <f t="shared" si="102"/>
        <v>8.7019230767260147E-6</v>
      </c>
      <c r="F394" s="441">
        <f t="shared" si="103"/>
        <v>0.30000870192307671</v>
      </c>
      <c r="G394" s="441">
        <f t="shared" si="104"/>
        <v>4.5002610614784749E-2</v>
      </c>
      <c r="H394" s="441">
        <f t="shared" si="120"/>
        <v>0</v>
      </c>
      <c r="I394" s="441">
        <v>0</v>
      </c>
      <c r="J394" s="131">
        <f t="shared" si="121"/>
        <v>0.15000435096153836</v>
      </c>
      <c r="K394" s="130">
        <f t="shared" si="107"/>
        <v>2.250195798948541E-3</v>
      </c>
      <c r="L394" s="42">
        <f t="shared" si="122"/>
        <v>31.883532448413913</v>
      </c>
      <c r="M394" s="42">
        <f t="shared" si="113"/>
        <v>-30.605757846373908</v>
      </c>
      <c r="N394" s="42">
        <f>(IF(C393&lt;='SOLLECITAZ NASCOSTO'!$P$12,IF(C393&lt;='SOLLECITAZ NASCOSTO'!$P$11,IF(C393&lt;='SOLLECITAZ NASCOSTO'!$P$10,IF(C393&lt;='SOLLECITAZ NASCOSTO'!$P$9,IF(C393&lt;='SOLLECITAZ NASCOSTO'!$P$8,IF(C393&lt;='SOLLECITAZ NASCOSTO'!$P$7,IF(C393&lt;='SOLLECITAZ NASCOSTO'!$P$6,IF(C393&lt;='SOLLECITAZ NASCOSTO'!$P$5,'Progetto del paramento slu'!$G$105,'Progetto del paramento slu'!$G$106),'Progetto del paramento slu'!$G$107),'Progetto del paramento slu'!$G$108),'Progetto del paramento slu'!$G$109),'Progetto del paramento slu'!$G$110),'Progetto del paramento slu'!$G$111),'Progetto del paramento slu'!$G$112),55555)-IF(C393&lt;='SOLLECITAZ NASCOSTO'!$P$12,IF(C393&lt;='SOLLECITAZ NASCOSTO'!$P$11,IF(C393&lt;='SOLLECITAZ NASCOSTO'!$P$10,IF(C393&lt;='SOLLECITAZ NASCOSTO'!$P$9,IF(C393&lt;='SOLLECITAZ NASCOSTO'!$P$8,IF(C393&lt;='SOLLECITAZ NASCOSTO'!$P$7,IF(C393&lt;='SOLLECITAZ NASCOSTO'!$P$6,IF(C393&lt;='SOLLECITAZ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slu'!$G$112))*(C393-IF(C393&lt;='SOLLECITAZ NASCOSTO'!$P$12,IF(C393&lt;='SOLLECITAZ NASCOSTO'!$P$11,IF(C393&lt;='SOLLECITAZ NASCOSTO'!$P$10,IF(C393&lt;='SOLLECITAZ NASCOSTO'!$P$9,IF(C393&lt;='SOLLECITAZ NASCOSTO'!$P$8,IF(C393&lt;='SOLLECITAZ NASCOSTO'!$P$7,IF(C393&lt;='SOLLECITAZ NASCOSTO'!$P$6,IF(C393&lt;='SOLLECITAZ NASCOSTO'!$P$5,'SOLLECITAZ NASCOSTO'!$P$3,'SOLLECITAZ NASCOSTO'!$P$5),'SOLLECITAZ NASCOSTO'!$P$5),'SOLLECITAZ NASCOSTO'!$P$7),'SOLLECITAZ NASCOSTO'!$P$8),'SOLLECITAZ NASCOSTO'!$P$9),'SOLLECITAZ NASCOSTO'!$P$10),'SOLLECITAZ NASCOSTO'!$P$11),'SOLLECITAZ NASCOSTO'!$P$12))/IF(C393&lt;='SOLLECITAZ NASCOSTO'!$P$12,IF(C393&lt;='SOLLECITAZ NASCOSTO'!$P$11,IF(C393&lt;='SOLLECITAZ NASCOSTO'!$P$10,IF(C393&lt;='SOLLECITAZ NASCOSTO'!$P$9,IF(C393&lt;='SOLLECITAZ NASCOSTO'!$P$8,IF(C393&lt;='SOLLECITAZ NASCOSTO'!$P$7,IF(C393&lt;='SOLLECITAZ NASCOSTO'!$P$6,IF(C393&lt;='SOLLECITAZ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slu'!$C$112)+IF(C393&lt;='SOLLECITAZ NASCOSTO'!$P$12,IF(C393&lt;='SOLLECITAZ NASCOSTO'!$P$11,IF(C393&lt;='SOLLECITAZ NASCOSTO'!$P$10,IF(C393&lt;='SOLLECITAZ NASCOSTO'!$P$9,IF(C393&lt;='SOLLECITAZ NASCOSTO'!$P$8,IF(C393&lt;='SOLLECITAZ NASCOSTO'!$P$7,IF(C393&lt;='SOLLECITAZ NASCOSTO'!$P$6,IF(C393&lt;='SOLLECITAZ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21.519813277826895</v>
      </c>
      <c r="O394" s="42">
        <f>IF(C394&lt;='SOLLECITAZ NASCOSTO'!$P$12,IF(C394&lt;='SOLLECITAZ NASCOSTO'!$P$11,IF(C394&lt;='SOLLECITAZ NASCOSTO'!$P$10,IF(C394&lt;='SOLLECITAZ NASCOSTO'!$P$9,IF(C394&lt;='SOLLECITAZ NASCOSTO'!$P$8,IF(C394&lt;='SOLLECITAZ NASCOSTO'!$P$7,IF(C394&lt;='SOLLECITAZ NASCOSTO'!$P$6,IF(C394&lt;='SOLLECITAZ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slu'!$G$111),55555)*(C394-C393)/IF(C394&lt;='SOLLECITAZ NASCOSTO'!$P$12,IF(C394&lt;='SOLLECITAZ NASCOSTO'!$P$11,IF(C394&lt;='SOLLECITAZ NASCOSTO'!$P$10,IF(C394&lt;='SOLLECITAZ NASCOSTO'!$P$9,IF(C394&lt;='SOLLECITAZ NASCOSTO'!$P$8,IF(C394&lt;='SOLLECITAZ NASCOSTO'!$P$7,IF(C394&lt;='SOLLECITAZ NASCOSTO'!$P$6,IF(C394&lt;='SOLLECITAZ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94" s="42">
        <f t="shared" si="119"/>
        <v>3.6100000000000227E-4</v>
      </c>
      <c r="Q394" s="42">
        <f t="shared" si="117"/>
        <v>1</v>
      </c>
      <c r="R394" s="441">
        <f t="shared" si="108"/>
        <v>2.4800480769230768</v>
      </c>
      <c r="S394" s="46">
        <f t="shared" si="118"/>
        <v>2.4800480769230768</v>
      </c>
      <c r="T394" s="211">
        <f t="shared" si="112"/>
        <v>0.86995192307692326</v>
      </c>
      <c r="U394" s="46">
        <f t="shared" si="114"/>
        <v>31.883532448413913</v>
      </c>
      <c r="V394" s="46">
        <f t="shared" si="115"/>
        <v>-30.605757846373908</v>
      </c>
      <c r="W394" s="496"/>
    </row>
    <row r="395" spans="1:23" s="428" customFormat="1" x14ac:dyDescent="0.25">
      <c r="A395" s="589">
        <f t="shared" si="109"/>
        <v>8.7259615382806466E-6</v>
      </c>
      <c r="B395" s="32">
        <f t="shared" si="110"/>
        <v>363</v>
      </c>
      <c r="C395" s="441">
        <f>'SOLLECITAZ NASCOSTO'!$D$6/'SOLLECITAZ NASCOSTO'!$B$448*'SOLLECITAZ NASCOSTO'!B395</f>
        <v>2.4868990384615386</v>
      </c>
      <c r="D395" s="441">
        <f t="shared" si="111"/>
        <v>0.30000872596153827</v>
      </c>
      <c r="E395" s="441">
        <f t="shared" si="102"/>
        <v>8.7259615382806466E-6</v>
      </c>
      <c r="F395" s="441">
        <f t="shared" si="103"/>
        <v>0.30000872596153827</v>
      </c>
      <c r="G395" s="441">
        <f t="shared" si="104"/>
        <v>4.5002617826532684E-2</v>
      </c>
      <c r="H395" s="441">
        <f t="shared" si="120"/>
        <v>0</v>
      </c>
      <c r="I395" s="441">
        <v>0</v>
      </c>
      <c r="J395" s="131">
        <f t="shared" si="121"/>
        <v>0.15000436298076913</v>
      </c>
      <c r="K395" s="130">
        <f t="shared" si="107"/>
        <v>2.2501963398453466E-3</v>
      </c>
      <c r="L395" s="42">
        <f t="shared" si="122"/>
        <v>32.0314584894668</v>
      </c>
      <c r="M395" s="42">
        <f t="shared" si="113"/>
        <v>-30.824697418697184</v>
      </c>
      <c r="N395" s="42">
        <f>(IF(C394&lt;='SOLLECITAZ NASCOSTO'!$P$12,IF(C394&lt;='SOLLECITAZ NASCOSTO'!$P$11,IF(C394&lt;='SOLLECITAZ NASCOSTO'!$P$10,IF(C394&lt;='SOLLECITAZ NASCOSTO'!$P$9,IF(C394&lt;='SOLLECITAZ NASCOSTO'!$P$8,IF(C394&lt;='SOLLECITAZ NASCOSTO'!$P$7,IF(C394&lt;='SOLLECITAZ NASCOSTO'!$P$6,IF(C394&lt;='SOLLECITAZ NASCOSTO'!$P$5,'Progetto del paramento slu'!$G$105,'Progetto del paramento slu'!$G$106),'Progetto del paramento slu'!$G$107),'Progetto del paramento slu'!$G$108),'Progetto del paramento slu'!$G$109),'Progetto del paramento slu'!$G$110),'Progetto del paramento slu'!$G$111),'Progetto del paramento slu'!$G$112),55555)-IF(C394&lt;='SOLLECITAZ NASCOSTO'!$P$12,IF(C394&lt;='SOLLECITAZ NASCOSTO'!$P$11,IF(C394&lt;='SOLLECITAZ NASCOSTO'!$P$10,IF(C394&lt;='SOLLECITAZ NASCOSTO'!$P$9,IF(C394&lt;='SOLLECITAZ NASCOSTO'!$P$8,IF(C394&lt;='SOLLECITAZ NASCOSTO'!$P$7,IF(C394&lt;='SOLLECITAZ NASCOSTO'!$P$6,IF(C394&lt;='SOLLECITAZ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slu'!$G$112))*(C394-IF(C394&lt;='SOLLECITAZ NASCOSTO'!$P$12,IF(C394&lt;='SOLLECITAZ NASCOSTO'!$P$11,IF(C394&lt;='SOLLECITAZ NASCOSTO'!$P$10,IF(C394&lt;='SOLLECITAZ NASCOSTO'!$P$9,IF(C394&lt;='SOLLECITAZ NASCOSTO'!$P$8,IF(C394&lt;='SOLLECITAZ NASCOSTO'!$P$7,IF(C394&lt;='SOLLECITAZ NASCOSTO'!$P$6,IF(C394&lt;='SOLLECITAZ NASCOSTO'!$P$5,'SOLLECITAZ NASCOSTO'!$P$3,'SOLLECITAZ NASCOSTO'!$P$5),'SOLLECITAZ NASCOSTO'!$P$5),'SOLLECITAZ NASCOSTO'!$P$7),'SOLLECITAZ NASCOSTO'!$P$8),'SOLLECITAZ NASCOSTO'!$P$9),'SOLLECITAZ NASCOSTO'!$P$10),'SOLLECITAZ NASCOSTO'!$P$11),'SOLLECITAZ NASCOSTO'!$P$12))/IF(C394&lt;='SOLLECITAZ NASCOSTO'!$P$12,IF(C394&lt;='SOLLECITAZ NASCOSTO'!$P$11,IF(C394&lt;='SOLLECITAZ NASCOSTO'!$P$10,IF(C394&lt;='SOLLECITAZ NASCOSTO'!$P$9,IF(C394&lt;='SOLLECITAZ NASCOSTO'!$P$8,IF(C394&lt;='SOLLECITAZ NASCOSTO'!$P$7,IF(C394&lt;='SOLLECITAZ NASCOSTO'!$P$6,IF(C394&lt;='SOLLECITAZ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slu'!$C$112)+IF(C394&lt;='SOLLECITAZ NASCOSTO'!$P$12,IF(C394&lt;='SOLLECITAZ NASCOSTO'!$P$11,IF(C394&lt;='SOLLECITAZ NASCOSTO'!$P$10,IF(C394&lt;='SOLLECITAZ NASCOSTO'!$P$9,IF(C394&lt;='SOLLECITAZ NASCOSTO'!$P$8,IF(C394&lt;='SOLLECITAZ NASCOSTO'!$P$7,IF(C394&lt;='SOLLECITAZ NASCOSTO'!$P$6,IF(C394&lt;='SOLLECITAZ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21.567945496819249</v>
      </c>
      <c r="O395" s="42">
        <f>IF(C395&lt;='SOLLECITAZ NASCOSTO'!$P$12,IF(C395&lt;='SOLLECITAZ NASCOSTO'!$P$11,IF(C395&lt;='SOLLECITAZ NASCOSTO'!$P$10,IF(C395&lt;='SOLLECITAZ NASCOSTO'!$P$9,IF(C395&lt;='SOLLECITAZ NASCOSTO'!$P$8,IF(C395&lt;='SOLLECITAZ NASCOSTO'!$P$7,IF(C395&lt;='SOLLECITAZ NASCOSTO'!$P$6,IF(C395&lt;='SOLLECITAZ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slu'!$G$111),55555)*(C395-C394)/IF(C395&lt;='SOLLECITAZ NASCOSTO'!$P$12,IF(C395&lt;='SOLLECITAZ NASCOSTO'!$P$11,IF(C395&lt;='SOLLECITAZ NASCOSTO'!$P$10,IF(C395&lt;='SOLLECITAZ NASCOSTO'!$P$9,IF(C395&lt;='SOLLECITAZ NASCOSTO'!$P$8,IF(C395&lt;='SOLLECITAZ NASCOSTO'!$P$7,IF(C395&lt;='SOLLECITAZ NASCOSTO'!$P$6,IF(C395&lt;='SOLLECITAZ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95" s="42">
        <f t="shared" si="119"/>
        <v>3.6200000000000229E-4</v>
      </c>
      <c r="Q395" s="42">
        <f t="shared" si="117"/>
        <v>1</v>
      </c>
      <c r="R395" s="441">
        <f t="shared" si="108"/>
        <v>2.4868990384615386</v>
      </c>
      <c r="S395" s="46">
        <f t="shared" si="118"/>
        <v>2.4868990384615386</v>
      </c>
      <c r="T395" s="211">
        <f t="shared" si="112"/>
        <v>0.8631009615384615</v>
      </c>
      <c r="U395" s="46">
        <f t="shared" si="114"/>
        <v>32.0314584894668</v>
      </c>
      <c r="V395" s="46">
        <f t="shared" si="115"/>
        <v>-30.824697418697184</v>
      </c>
      <c r="W395" s="496"/>
    </row>
    <row r="396" spans="1:23" s="428" customFormat="1" x14ac:dyDescent="0.25">
      <c r="A396" s="589">
        <f t="shared" si="109"/>
        <v>8.7499999997797673E-6</v>
      </c>
      <c r="B396" s="32">
        <f t="shared" si="110"/>
        <v>364</v>
      </c>
      <c r="C396" s="441">
        <f>'SOLLECITAZ NASCOSTO'!$D$6/'SOLLECITAZ NASCOSTO'!$B$448*'SOLLECITAZ NASCOSTO'!B396</f>
        <v>2.4937499999999999</v>
      </c>
      <c r="D396" s="441">
        <f t="shared" si="111"/>
        <v>0.30000874999999977</v>
      </c>
      <c r="E396" s="441">
        <f t="shared" si="102"/>
        <v>8.7499999997797673E-6</v>
      </c>
      <c r="F396" s="441">
        <f t="shared" si="103"/>
        <v>0.30000874999999977</v>
      </c>
      <c r="G396" s="441">
        <f t="shared" si="104"/>
        <v>4.5002625038281181E-2</v>
      </c>
      <c r="H396" s="441">
        <f t="shared" si="120"/>
        <v>0</v>
      </c>
      <c r="I396" s="441">
        <v>0</v>
      </c>
      <c r="J396" s="131">
        <f t="shared" si="121"/>
        <v>0.15000437499999988</v>
      </c>
      <c r="K396" s="130">
        <f t="shared" si="107"/>
        <v>2.2501968807422381E-3</v>
      </c>
      <c r="L396" s="42">
        <f t="shared" si="122"/>
        <v>32.179714282500761</v>
      </c>
      <c r="M396" s="42">
        <f t="shared" si="113"/>
        <v>-31.044651556197305</v>
      </c>
      <c r="N396" s="42">
        <f>(IF(C395&lt;='SOLLECITAZ NASCOSTO'!$P$12,IF(C395&lt;='SOLLECITAZ NASCOSTO'!$P$11,IF(C395&lt;='SOLLECITAZ NASCOSTO'!$P$10,IF(C395&lt;='SOLLECITAZ NASCOSTO'!$P$9,IF(C395&lt;='SOLLECITAZ NASCOSTO'!$P$8,IF(C395&lt;='SOLLECITAZ NASCOSTO'!$P$7,IF(C395&lt;='SOLLECITAZ NASCOSTO'!$P$6,IF(C395&lt;='SOLLECITAZ NASCOSTO'!$P$5,'Progetto del paramento slu'!$G$105,'Progetto del paramento slu'!$G$106),'Progetto del paramento slu'!$G$107),'Progetto del paramento slu'!$G$108),'Progetto del paramento slu'!$G$109),'Progetto del paramento slu'!$G$110),'Progetto del paramento slu'!$G$111),'Progetto del paramento slu'!$G$112),55555)-IF(C395&lt;='SOLLECITAZ NASCOSTO'!$P$12,IF(C395&lt;='SOLLECITAZ NASCOSTO'!$P$11,IF(C395&lt;='SOLLECITAZ NASCOSTO'!$P$10,IF(C395&lt;='SOLLECITAZ NASCOSTO'!$P$9,IF(C395&lt;='SOLLECITAZ NASCOSTO'!$P$8,IF(C395&lt;='SOLLECITAZ NASCOSTO'!$P$7,IF(C395&lt;='SOLLECITAZ NASCOSTO'!$P$6,IF(C395&lt;='SOLLECITAZ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slu'!$G$112))*(C395-IF(C395&lt;='SOLLECITAZ NASCOSTO'!$P$12,IF(C395&lt;='SOLLECITAZ NASCOSTO'!$P$11,IF(C395&lt;='SOLLECITAZ NASCOSTO'!$P$10,IF(C395&lt;='SOLLECITAZ NASCOSTO'!$P$9,IF(C395&lt;='SOLLECITAZ NASCOSTO'!$P$8,IF(C395&lt;='SOLLECITAZ NASCOSTO'!$P$7,IF(C395&lt;='SOLLECITAZ NASCOSTO'!$P$6,IF(C395&lt;='SOLLECITAZ NASCOSTO'!$P$5,'SOLLECITAZ NASCOSTO'!$P$3,'SOLLECITAZ NASCOSTO'!$P$5),'SOLLECITAZ NASCOSTO'!$P$5),'SOLLECITAZ NASCOSTO'!$P$7),'SOLLECITAZ NASCOSTO'!$P$8),'SOLLECITAZ NASCOSTO'!$P$9),'SOLLECITAZ NASCOSTO'!$P$10),'SOLLECITAZ NASCOSTO'!$P$11),'SOLLECITAZ NASCOSTO'!$P$12))/IF(C395&lt;='SOLLECITAZ NASCOSTO'!$P$12,IF(C395&lt;='SOLLECITAZ NASCOSTO'!$P$11,IF(C395&lt;='SOLLECITAZ NASCOSTO'!$P$10,IF(C395&lt;='SOLLECITAZ NASCOSTO'!$P$9,IF(C395&lt;='SOLLECITAZ NASCOSTO'!$P$8,IF(C395&lt;='SOLLECITAZ NASCOSTO'!$P$7,IF(C395&lt;='SOLLECITAZ NASCOSTO'!$P$6,IF(C395&lt;='SOLLECITAZ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slu'!$C$112)+IF(C395&lt;='SOLLECITAZ NASCOSTO'!$P$12,IF(C395&lt;='SOLLECITAZ NASCOSTO'!$P$11,IF(C395&lt;='SOLLECITAZ NASCOSTO'!$P$10,IF(C395&lt;='SOLLECITAZ NASCOSTO'!$P$9,IF(C395&lt;='SOLLECITAZ NASCOSTO'!$P$8,IF(C395&lt;='SOLLECITAZ NASCOSTO'!$P$7,IF(C395&lt;='SOLLECITAZ NASCOSTO'!$P$6,IF(C395&lt;='SOLLECITAZ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21.616077715811603</v>
      </c>
      <c r="O396" s="42">
        <f>IF(C396&lt;='SOLLECITAZ NASCOSTO'!$P$12,IF(C396&lt;='SOLLECITAZ NASCOSTO'!$P$11,IF(C396&lt;='SOLLECITAZ NASCOSTO'!$P$10,IF(C396&lt;='SOLLECITAZ NASCOSTO'!$P$9,IF(C396&lt;='SOLLECITAZ NASCOSTO'!$P$8,IF(C396&lt;='SOLLECITAZ NASCOSTO'!$P$7,IF(C396&lt;='SOLLECITAZ NASCOSTO'!$P$6,IF(C396&lt;='SOLLECITAZ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slu'!$G$111),55555)*(C396-C395)/IF(C396&lt;='SOLLECITAZ NASCOSTO'!$P$12,IF(C396&lt;='SOLLECITAZ NASCOSTO'!$P$11,IF(C396&lt;='SOLLECITAZ NASCOSTO'!$P$10,IF(C396&lt;='SOLLECITAZ NASCOSTO'!$P$9,IF(C396&lt;='SOLLECITAZ NASCOSTO'!$P$8,IF(C396&lt;='SOLLECITAZ NASCOSTO'!$P$7,IF(C396&lt;='SOLLECITAZ NASCOSTO'!$P$6,IF(C396&lt;='SOLLECITAZ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96" s="42">
        <f t="shared" si="119"/>
        <v>3.6300000000000232E-4</v>
      </c>
      <c r="Q396" s="42">
        <f t="shared" si="117"/>
        <v>1</v>
      </c>
      <c r="R396" s="441">
        <f t="shared" si="108"/>
        <v>2.4937499999999999</v>
      </c>
      <c r="S396" s="46">
        <f t="shared" si="118"/>
        <v>2.4937499999999999</v>
      </c>
      <c r="T396" s="211">
        <f t="shared" si="112"/>
        <v>0.85625000000000018</v>
      </c>
      <c r="U396" s="46">
        <f t="shared" si="114"/>
        <v>32.179714282500761</v>
      </c>
      <c r="V396" s="46">
        <f t="shared" si="115"/>
        <v>-31.044651556197305</v>
      </c>
      <c r="W396" s="496"/>
    </row>
    <row r="397" spans="1:23" s="428" customFormat="1" x14ac:dyDescent="0.25">
      <c r="A397" s="589">
        <f t="shared" si="109"/>
        <v>8.7740384613343991E-6</v>
      </c>
      <c r="B397" s="32">
        <f t="shared" si="110"/>
        <v>365</v>
      </c>
      <c r="C397" s="441">
        <f>'SOLLECITAZ NASCOSTO'!$D$6/'SOLLECITAZ NASCOSTO'!$B$448*'SOLLECITAZ NASCOSTO'!B397</f>
        <v>2.5006009615384617</v>
      </c>
      <c r="D397" s="441">
        <f t="shared" si="111"/>
        <v>0.30000877403846132</v>
      </c>
      <c r="E397" s="441">
        <f t="shared" si="102"/>
        <v>8.7740384613343991E-6</v>
      </c>
      <c r="F397" s="441">
        <f t="shared" si="103"/>
        <v>0.30000877403846132</v>
      </c>
      <c r="G397" s="441">
        <f t="shared" si="104"/>
        <v>4.5002632250030275E-2</v>
      </c>
      <c r="H397" s="441">
        <f t="shared" si="120"/>
        <v>0</v>
      </c>
      <c r="I397" s="441">
        <v>0</v>
      </c>
      <c r="J397" s="131">
        <f t="shared" si="121"/>
        <v>0.15000438701923066</v>
      </c>
      <c r="K397" s="130">
        <f t="shared" si="107"/>
        <v>2.2501974216392173E-3</v>
      </c>
      <c r="L397" s="42">
        <f t="shared" si="122"/>
        <v>32.328299827515806</v>
      </c>
      <c r="M397" s="42">
        <f t="shared" si="113"/>
        <v>-31.265622517992441</v>
      </c>
      <c r="N397" s="42">
        <f>(IF(C396&lt;='SOLLECITAZ NASCOSTO'!$P$12,IF(C396&lt;='SOLLECITAZ NASCOSTO'!$P$11,IF(C396&lt;='SOLLECITAZ NASCOSTO'!$P$10,IF(C396&lt;='SOLLECITAZ NASCOSTO'!$P$9,IF(C396&lt;='SOLLECITAZ NASCOSTO'!$P$8,IF(C396&lt;='SOLLECITAZ NASCOSTO'!$P$7,IF(C396&lt;='SOLLECITAZ NASCOSTO'!$P$6,IF(C396&lt;='SOLLECITAZ NASCOSTO'!$P$5,'Progetto del paramento slu'!$G$105,'Progetto del paramento slu'!$G$106),'Progetto del paramento slu'!$G$107),'Progetto del paramento slu'!$G$108),'Progetto del paramento slu'!$G$109),'Progetto del paramento slu'!$G$110),'Progetto del paramento slu'!$G$111),'Progetto del paramento slu'!$G$112),55555)-IF(C396&lt;='SOLLECITAZ NASCOSTO'!$P$12,IF(C396&lt;='SOLLECITAZ NASCOSTO'!$P$11,IF(C396&lt;='SOLLECITAZ NASCOSTO'!$P$10,IF(C396&lt;='SOLLECITAZ NASCOSTO'!$P$9,IF(C396&lt;='SOLLECITAZ NASCOSTO'!$P$8,IF(C396&lt;='SOLLECITAZ NASCOSTO'!$P$7,IF(C396&lt;='SOLLECITAZ NASCOSTO'!$P$6,IF(C396&lt;='SOLLECITAZ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slu'!$G$112))*(C396-IF(C396&lt;='SOLLECITAZ NASCOSTO'!$P$12,IF(C396&lt;='SOLLECITAZ NASCOSTO'!$P$11,IF(C396&lt;='SOLLECITAZ NASCOSTO'!$P$10,IF(C396&lt;='SOLLECITAZ NASCOSTO'!$P$9,IF(C396&lt;='SOLLECITAZ NASCOSTO'!$P$8,IF(C396&lt;='SOLLECITAZ NASCOSTO'!$P$7,IF(C396&lt;='SOLLECITAZ NASCOSTO'!$P$6,IF(C396&lt;='SOLLECITAZ NASCOSTO'!$P$5,'SOLLECITAZ NASCOSTO'!$P$3,'SOLLECITAZ NASCOSTO'!$P$5),'SOLLECITAZ NASCOSTO'!$P$5),'SOLLECITAZ NASCOSTO'!$P$7),'SOLLECITAZ NASCOSTO'!$P$8),'SOLLECITAZ NASCOSTO'!$P$9),'SOLLECITAZ NASCOSTO'!$P$10),'SOLLECITAZ NASCOSTO'!$P$11),'SOLLECITAZ NASCOSTO'!$P$12))/IF(C396&lt;='SOLLECITAZ NASCOSTO'!$P$12,IF(C396&lt;='SOLLECITAZ NASCOSTO'!$P$11,IF(C396&lt;='SOLLECITAZ NASCOSTO'!$P$10,IF(C396&lt;='SOLLECITAZ NASCOSTO'!$P$9,IF(C396&lt;='SOLLECITAZ NASCOSTO'!$P$8,IF(C396&lt;='SOLLECITAZ NASCOSTO'!$P$7,IF(C396&lt;='SOLLECITAZ NASCOSTO'!$P$6,IF(C396&lt;='SOLLECITAZ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slu'!$C$112)+IF(C396&lt;='SOLLECITAZ NASCOSTO'!$P$12,IF(C396&lt;='SOLLECITAZ NASCOSTO'!$P$11,IF(C396&lt;='SOLLECITAZ NASCOSTO'!$P$10,IF(C396&lt;='SOLLECITAZ NASCOSTO'!$P$9,IF(C396&lt;='SOLLECITAZ NASCOSTO'!$P$8,IF(C396&lt;='SOLLECITAZ NASCOSTO'!$P$7,IF(C396&lt;='SOLLECITAZ NASCOSTO'!$P$6,IF(C396&lt;='SOLLECITAZ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21.664209934803953</v>
      </c>
      <c r="O397" s="42">
        <f>IF(C397&lt;='SOLLECITAZ NASCOSTO'!$P$12,IF(C397&lt;='SOLLECITAZ NASCOSTO'!$P$11,IF(C397&lt;='SOLLECITAZ NASCOSTO'!$P$10,IF(C397&lt;='SOLLECITAZ NASCOSTO'!$P$9,IF(C397&lt;='SOLLECITAZ NASCOSTO'!$P$8,IF(C397&lt;='SOLLECITAZ NASCOSTO'!$P$7,IF(C397&lt;='SOLLECITAZ NASCOSTO'!$P$6,IF(C397&lt;='SOLLECITAZ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slu'!$G$111),55555)*(C397-C396)/IF(C397&lt;='SOLLECITAZ NASCOSTO'!$P$12,IF(C397&lt;='SOLLECITAZ NASCOSTO'!$P$11,IF(C397&lt;='SOLLECITAZ NASCOSTO'!$P$10,IF(C397&lt;='SOLLECITAZ NASCOSTO'!$P$9,IF(C397&lt;='SOLLECITAZ NASCOSTO'!$P$8,IF(C397&lt;='SOLLECITAZ NASCOSTO'!$P$7,IF(C397&lt;='SOLLECITAZ NASCOSTO'!$P$6,IF(C397&lt;='SOLLECITAZ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97" s="42">
        <f t="shared" si="119"/>
        <v>3.6400000000000234E-4</v>
      </c>
      <c r="Q397" s="42">
        <f t="shared" si="117"/>
        <v>1</v>
      </c>
      <c r="R397" s="441">
        <f t="shared" si="108"/>
        <v>2.5006009615384617</v>
      </c>
      <c r="S397" s="46">
        <f t="shared" si="118"/>
        <v>2.5006009615384617</v>
      </c>
      <c r="T397" s="211">
        <f t="shared" si="112"/>
        <v>0.84939903846153841</v>
      </c>
      <c r="U397" s="46">
        <f t="shared" si="114"/>
        <v>32.328299827515806</v>
      </c>
      <c r="V397" s="46">
        <f t="shared" si="115"/>
        <v>-31.265622517992441</v>
      </c>
      <c r="W397" s="496"/>
    </row>
    <row r="398" spans="1:23" s="428" customFormat="1" x14ac:dyDescent="0.25">
      <c r="A398" s="589">
        <f t="shared" si="109"/>
        <v>8.798076922889031E-6</v>
      </c>
      <c r="B398" s="32">
        <f t="shared" si="110"/>
        <v>366</v>
      </c>
      <c r="C398" s="441">
        <f>'SOLLECITAZ NASCOSTO'!$D$6/'SOLLECITAZ NASCOSTO'!$B$448*'SOLLECITAZ NASCOSTO'!B398</f>
        <v>2.507451923076923</v>
      </c>
      <c r="D398" s="441">
        <f t="shared" si="111"/>
        <v>0.30000879807692288</v>
      </c>
      <c r="E398" s="441">
        <f t="shared" si="102"/>
        <v>8.798076922889031E-6</v>
      </c>
      <c r="F398" s="441">
        <f t="shared" si="103"/>
        <v>0.30000879807692288</v>
      </c>
      <c r="G398" s="441">
        <f t="shared" si="104"/>
        <v>4.5002639461779945E-2</v>
      </c>
      <c r="H398" s="441">
        <f t="shared" si="120"/>
        <v>0</v>
      </c>
      <c r="I398" s="441">
        <v>0</v>
      </c>
      <c r="J398" s="131">
        <f t="shared" si="121"/>
        <v>0.15000439903846144</v>
      </c>
      <c r="K398" s="130">
        <f t="shared" si="107"/>
        <v>2.2501979625362835E-3</v>
      </c>
      <c r="L398" s="42">
        <f t="shared" si="122"/>
        <v>32.477215124511922</v>
      </c>
      <c r="M398" s="42">
        <f t="shared" si="113"/>
        <v>-31.487612563200702</v>
      </c>
      <c r="N398" s="42">
        <f>(IF(C397&lt;='SOLLECITAZ NASCOSTO'!$P$12,IF(C397&lt;='SOLLECITAZ NASCOSTO'!$P$11,IF(C397&lt;='SOLLECITAZ NASCOSTO'!$P$10,IF(C397&lt;='SOLLECITAZ NASCOSTO'!$P$9,IF(C397&lt;='SOLLECITAZ NASCOSTO'!$P$8,IF(C397&lt;='SOLLECITAZ NASCOSTO'!$P$7,IF(C397&lt;='SOLLECITAZ NASCOSTO'!$P$6,IF(C397&lt;='SOLLECITAZ NASCOSTO'!$P$5,'Progetto del paramento slu'!$G$105,'Progetto del paramento slu'!$G$106),'Progetto del paramento slu'!$G$107),'Progetto del paramento slu'!$G$108),'Progetto del paramento slu'!$G$109),'Progetto del paramento slu'!$G$110),'Progetto del paramento slu'!$G$111),'Progetto del paramento slu'!$G$112),55555)-IF(C397&lt;='SOLLECITAZ NASCOSTO'!$P$12,IF(C397&lt;='SOLLECITAZ NASCOSTO'!$P$11,IF(C397&lt;='SOLLECITAZ NASCOSTO'!$P$10,IF(C397&lt;='SOLLECITAZ NASCOSTO'!$P$9,IF(C397&lt;='SOLLECITAZ NASCOSTO'!$P$8,IF(C397&lt;='SOLLECITAZ NASCOSTO'!$P$7,IF(C397&lt;='SOLLECITAZ NASCOSTO'!$P$6,IF(C397&lt;='SOLLECITAZ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slu'!$G$112))*(C397-IF(C397&lt;='SOLLECITAZ NASCOSTO'!$P$12,IF(C397&lt;='SOLLECITAZ NASCOSTO'!$P$11,IF(C397&lt;='SOLLECITAZ NASCOSTO'!$P$10,IF(C397&lt;='SOLLECITAZ NASCOSTO'!$P$9,IF(C397&lt;='SOLLECITAZ NASCOSTO'!$P$8,IF(C397&lt;='SOLLECITAZ NASCOSTO'!$P$7,IF(C397&lt;='SOLLECITAZ NASCOSTO'!$P$6,IF(C397&lt;='SOLLECITAZ NASCOSTO'!$P$5,'SOLLECITAZ NASCOSTO'!$P$3,'SOLLECITAZ NASCOSTO'!$P$5),'SOLLECITAZ NASCOSTO'!$P$5),'SOLLECITAZ NASCOSTO'!$P$7),'SOLLECITAZ NASCOSTO'!$P$8),'SOLLECITAZ NASCOSTO'!$P$9),'SOLLECITAZ NASCOSTO'!$P$10),'SOLLECITAZ NASCOSTO'!$P$11),'SOLLECITAZ NASCOSTO'!$P$12))/IF(C397&lt;='SOLLECITAZ NASCOSTO'!$P$12,IF(C397&lt;='SOLLECITAZ NASCOSTO'!$P$11,IF(C397&lt;='SOLLECITAZ NASCOSTO'!$P$10,IF(C397&lt;='SOLLECITAZ NASCOSTO'!$P$9,IF(C397&lt;='SOLLECITAZ NASCOSTO'!$P$8,IF(C397&lt;='SOLLECITAZ NASCOSTO'!$P$7,IF(C397&lt;='SOLLECITAZ NASCOSTO'!$P$6,IF(C397&lt;='SOLLECITAZ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slu'!$C$112)+IF(C397&lt;='SOLLECITAZ NASCOSTO'!$P$12,IF(C397&lt;='SOLLECITAZ NASCOSTO'!$P$11,IF(C397&lt;='SOLLECITAZ NASCOSTO'!$P$10,IF(C397&lt;='SOLLECITAZ NASCOSTO'!$P$9,IF(C397&lt;='SOLLECITAZ NASCOSTO'!$P$8,IF(C397&lt;='SOLLECITAZ NASCOSTO'!$P$7,IF(C397&lt;='SOLLECITAZ NASCOSTO'!$P$6,IF(C397&lt;='SOLLECITAZ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21.712342153796307</v>
      </c>
      <c r="O398" s="42">
        <f>IF(C398&lt;='SOLLECITAZ NASCOSTO'!$P$12,IF(C398&lt;='SOLLECITAZ NASCOSTO'!$P$11,IF(C398&lt;='SOLLECITAZ NASCOSTO'!$P$10,IF(C398&lt;='SOLLECITAZ NASCOSTO'!$P$9,IF(C398&lt;='SOLLECITAZ NASCOSTO'!$P$8,IF(C398&lt;='SOLLECITAZ NASCOSTO'!$P$7,IF(C398&lt;='SOLLECITAZ NASCOSTO'!$P$6,IF(C398&lt;='SOLLECITAZ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slu'!$G$111),55555)*(C398-C397)/IF(C398&lt;='SOLLECITAZ NASCOSTO'!$P$12,IF(C398&lt;='SOLLECITAZ NASCOSTO'!$P$11,IF(C398&lt;='SOLLECITAZ NASCOSTO'!$P$10,IF(C398&lt;='SOLLECITAZ NASCOSTO'!$P$9,IF(C398&lt;='SOLLECITAZ NASCOSTO'!$P$8,IF(C398&lt;='SOLLECITAZ NASCOSTO'!$P$7,IF(C398&lt;='SOLLECITAZ NASCOSTO'!$P$6,IF(C398&lt;='SOLLECITAZ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398" s="42">
        <f t="shared" si="119"/>
        <v>3.6500000000000237E-4</v>
      </c>
      <c r="Q398" s="42">
        <f t="shared" si="117"/>
        <v>1</v>
      </c>
      <c r="R398" s="441">
        <f t="shared" si="108"/>
        <v>2.507451923076923</v>
      </c>
      <c r="S398" s="46">
        <f t="shared" si="118"/>
        <v>2.507451923076923</v>
      </c>
      <c r="T398" s="211">
        <f t="shared" si="112"/>
        <v>0.84254807692307709</v>
      </c>
      <c r="U398" s="46">
        <f t="shared" si="114"/>
        <v>32.477215124511922</v>
      </c>
      <c r="V398" s="46">
        <f t="shared" si="115"/>
        <v>-31.487612563200702</v>
      </c>
      <c r="W398" s="496"/>
    </row>
    <row r="399" spans="1:23" s="428" customFormat="1" x14ac:dyDescent="0.25">
      <c r="A399" s="589">
        <f t="shared" si="109"/>
        <v>8.8221153844436628E-6</v>
      </c>
      <c r="B399" s="32">
        <f t="shared" si="110"/>
        <v>367</v>
      </c>
      <c r="C399" s="441">
        <f>'SOLLECITAZ NASCOSTO'!$D$6/'SOLLECITAZ NASCOSTO'!$B$448*'SOLLECITAZ NASCOSTO'!B399</f>
        <v>2.5143028846153848</v>
      </c>
      <c r="D399" s="441">
        <f t="shared" si="111"/>
        <v>0.30000882211538443</v>
      </c>
      <c r="E399" s="441">
        <f t="shared" si="102"/>
        <v>8.8221153844436628E-6</v>
      </c>
      <c r="F399" s="441">
        <f t="shared" si="103"/>
        <v>0.30000882211538443</v>
      </c>
      <c r="G399" s="441">
        <f t="shared" si="104"/>
        <v>4.500264667353019E-2</v>
      </c>
      <c r="H399" s="441">
        <f t="shared" si="120"/>
        <v>0</v>
      </c>
      <c r="I399" s="441">
        <v>0</v>
      </c>
      <c r="J399" s="131">
        <f t="shared" si="121"/>
        <v>0.15000441105769222</v>
      </c>
      <c r="K399" s="130">
        <f t="shared" si="107"/>
        <v>2.2501985034334366E-3</v>
      </c>
      <c r="L399" s="42">
        <f t="shared" si="122"/>
        <v>32.626460173489122</v>
      </c>
      <c r="M399" s="42">
        <f t="shared" si="113"/>
        <v>-31.710623950940256</v>
      </c>
      <c r="N399" s="42">
        <f>(IF(C398&lt;='SOLLECITAZ NASCOSTO'!$P$12,IF(C398&lt;='SOLLECITAZ NASCOSTO'!$P$11,IF(C398&lt;='SOLLECITAZ NASCOSTO'!$P$10,IF(C398&lt;='SOLLECITAZ NASCOSTO'!$P$9,IF(C398&lt;='SOLLECITAZ NASCOSTO'!$P$8,IF(C398&lt;='SOLLECITAZ NASCOSTO'!$P$7,IF(C398&lt;='SOLLECITAZ NASCOSTO'!$P$6,IF(C398&lt;='SOLLECITAZ NASCOSTO'!$P$5,'Progetto del paramento slu'!$G$105,'Progetto del paramento slu'!$G$106),'Progetto del paramento slu'!$G$107),'Progetto del paramento slu'!$G$108),'Progetto del paramento slu'!$G$109),'Progetto del paramento slu'!$G$110),'Progetto del paramento slu'!$G$111),'Progetto del paramento slu'!$G$112),55555)-IF(C398&lt;='SOLLECITAZ NASCOSTO'!$P$12,IF(C398&lt;='SOLLECITAZ NASCOSTO'!$P$11,IF(C398&lt;='SOLLECITAZ NASCOSTO'!$P$10,IF(C398&lt;='SOLLECITAZ NASCOSTO'!$P$9,IF(C398&lt;='SOLLECITAZ NASCOSTO'!$P$8,IF(C398&lt;='SOLLECITAZ NASCOSTO'!$P$7,IF(C398&lt;='SOLLECITAZ NASCOSTO'!$P$6,IF(C398&lt;='SOLLECITAZ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slu'!$G$112))*(C398-IF(C398&lt;='SOLLECITAZ NASCOSTO'!$P$12,IF(C398&lt;='SOLLECITAZ NASCOSTO'!$P$11,IF(C398&lt;='SOLLECITAZ NASCOSTO'!$P$10,IF(C398&lt;='SOLLECITAZ NASCOSTO'!$P$9,IF(C398&lt;='SOLLECITAZ NASCOSTO'!$P$8,IF(C398&lt;='SOLLECITAZ NASCOSTO'!$P$7,IF(C398&lt;='SOLLECITAZ NASCOSTO'!$P$6,IF(C398&lt;='SOLLECITAZ NASCOSTO'!$P$5,'SOLLECITAZ NASCOSTO'!$P$3,'SOLLECITAZ NASCOSTO'!$P$5),'SOLLECITAZ NASCOSTO'!$P$5),'SOLLECITAZ NASCOSTO'!$P$7),'SOLLECITAZ NASCOSTO'!$P$8),'SOLLECITAZ NASCOSTO'!$P$9),'SOLLECITAZ NASCOSTO'!$P$10),'SOLLECITAZ NASCOSTO'!$P$11),'SOLLECITAZ NASCOSTO'!$P$12))/IF(C398&lt;='SOLLECITAZ NASCOSTO'!$P$12,IF(C398&lt;='SOLLECITAZ NASCOSTO'!$P$11,IF(C398&lt;='SOLLECITAZ NASCOSTO'!$P$10,IF(C398&lt;='SOLLECITAZ NASCOSTO'!$P$9,IF(C398&lt;='SOLLECITAZ NASCOSTO'!$P$8,IF(C398&lt;='SOLLECITAZ NASCOSTO'!$P$7,IF(C398&lt;='SOLLECITAZ NASCOSTO'!$P$6,IF(C398&lt;='SOLLECITAZ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slu'!$C$112)+IF(C398&lt;='SOLLECITAZ NASCOSTO'!$P$12,IF(C398&lt;='SOLLECITAZ NASCOSTO'!$P$11,IF(C398&lt;='SOLLECITAZ NASCOSTO'!$P$10,IF(C398&lt;='SOLLECITAZ NASCOSTO'!$P$9,IF(C398&lt;='SOLLECITAZ NASCOSTO'!$P$8,IF(C398&lt;='SOLLECITAZ NASCOSTO'!$P$7,IF(C398&lt;='SOLLECITAZ NASCOSTO'!$P$6,IF(C398&lt;='SOLLECITAZ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21.760474372788657</v>
      </c>
      <c r="O399" s="42">
        <f>IF(C399&lt;='SOLLECITAZ NASCOSTO'!$P$12,IF(C399&lt;='SOLLECITAZ NASCOSTO'!$P$11,IF(C399&lt;='SOLLECITAZ NASCOSTO'!$P$10,IF(C399&lt;='SOLLECITAZ NASCOSTO'!$P$9,IF(C399&lt;='SOLLECITAZ NASCOSTO'!$P$8,IF(C399&lt;='SOLLECITAZ NASCOSTO'!$P$7,IF(C399&lt;='SOLLECITAZ NASCOSTO'!$P$6,IF(C399&lt;='SOLLECITAZ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slu'!$G$111),55555)*(C399-C398)/IF(C399&lt;='SOLLECITAZ NASCOSTO'!$P$12,IF(C399&lt;='SOLLECITAZ NASCOSTO'!$P$11,IF(C399&lt;='SOLLECITAZ NASCOSTO'!$P$10,IF(C399&lt;='SOLLECITAZ NASCOSTO'!$P$9,IF(C399&lt;='SOLLECITAZ NASCOSTO'!$P$8,IF(C399&lt;='SOLLECITAZ NASCOSTO'!$P$7,IF(C399&lt;='SOLLECITAZ NASCOSTO'!$P$6,IF(C399&lt;='SOLLECITAZ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399" s="42">
        <f t="shared" si="119"/>
        <v>3.6600000000000239E-4</v>
      </c>
      <c r="Q399" s="42">
        <f t="shared" si="117"/>
        <v>1</v>
      </c>
      <c r="R399" s="441">
        <f t="shared" si="108"/>
        <v>2.5143028846153848</v>
      </c>
      <c r="S399" s="46">
        <f t="shared" si="118"/>
        <v>2.5143028846153848</v>
      </c>
      <c r="T399" s="211">
        <f t="shared" si="112"/>
        <v>0.83569711538461533</v>
      </c>
      <c r="U399" s="46">
        <f t="shared" si="114"/>
        <v>32.626460173489122</v>
      </c>
      <c r="V399" s="46">
        <f t="shared" si="115"/>
        <v>-31.710623950940256</v>
      </c>
      <c r="W399" s="496"/>
    </row>
    <row r="400" spans="1:23" s="428" customFormat="1" x14ac:dyDescent="0.25">
      <c r="A400" s="589">
        <f t="shared" si="109"/>
        <v>8.8461538459427835E-6</v>
      </c>
      <c r="B400" s="32">
        <f t="shared" si="110"/>
        <v>368</v>
      </c>
      <c r="C400" s="441">
        <f>'SOLLECITAZ NASCOSTO'!$D$6/'SOLLECITAZ NASCOSTO'!$B$448*'SOLLECITAZ NASCOSTO'!B400</f>
        <v>2.5211538461538461</v>
      </c>
      <c r="D400" s="441">
        <f t="shared" si="111"/>
        <v>0.30000884615384593</v>
      </c>
      <c r="E400" s="441">
        <f t="shared" si="102"/>
        <v>8.8461538459427835E-6</v>
      </c>
      <c r="F400" s="441">
        <f t="shared" si="103"/>
        <v>0.30000884615384593</v>
      </c>
      <c r="G400" s="441">
        <f t="shared" si="104"/>
        <v>4.5002653885280998E-2</v>
      </c>
      <c r="H400" s="441">
        <f t="shared" si="120"/>
        <v>0</v>
      </c>
      <c r="I400" s="441">
        <v>0</v>
      </c>
      <c r="J400" s="131">
        <f t="shared" si="121"/>
        <v>0.15000442307692297</v>
      </c>
      <c r="K400" s="130">
        <f t="shared" si="107"/>
        <v>2.2501990443306742E-3</v>
      </c>
      <c r="L400" s="42">
        <f t="shared" si="122"/>
        <v>32.776034974447391</v>
      </c>
      <c r="M400" s="42">
        <f t="shared" si="113"/>
        <v>-31.934658940329214</v>
      </c>
      <c r="N400" s="42">
        <f>(IF(C399&lt;='SOLLECITAZ NASCOSTO'!$P$12,IF(C399&lt;='SOLLECITAZ NASCOSTO'!$P$11,IF(C399&lt;='SOLLECITAZ NASCOSTO'!$P$10,IF(C399&lt;='SOLLECITAZ NASCOSTO'!$P$9,IF(C399&lt;='SOLLECITAZ NASCOSTO'!$P$8,IF(C399&lt;='SOLLECITAZ NASCOSTO'!$P$7,IF(C399&lt;='SOLLECITAZ NASCOSTO'!$P$6,IF(C399&lt;='SOLLECITAZ NASCOSTO'!$P$5,'Progetto del paramento slu'!$G$105,'Progetto del paramento slu'!$G$106),'Progetto del paramento slu'!$G$107),'Progetto del paramento slu'!$G$108),'Progetto del paramento slu'!$G$109),'Progetto del paramento slu'!$G$110),'Progetto del paramento slu'!$G$111),'Progetto del paramento slu'!$G$112),55555)-IF(C399&lt;='SOLLECITAZ NASCOSTO'!$P$12,IF(C399&lt;='SOLLECITAZ NASCOSTO'!$P$11,IF(C399&lt;='SOLLECITAZ NASCOSTO'!$P$10,IF(C399&lt;='SOLLECITAZ NASCOSTO'!$P$9,IF(C399&lt;='SOLLECITAZ NASCOSTO'!$P$8,IF(C399&lt;='SOLLECITAZ NASCOSTO'!$P$7,IF(C399&lt;='SOLLECITAZ NASCOSTO'!$P$6,IF(C399&lt;='SOLLECITAZ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slu'!$G$112))*(C399-IF(C399&lt;='SOLLECITAZ NASCOSTO'!$P$12,IF(C399&lt;='SOLLECITAZ NASCOSTO'!$P$11,IF(C399&lt;='SOLLECITAZ NASCOSTO'!$P$10,IF(C399&lt;='SOLLECITAZ NASCOSTO'!$P$9,IF(C399&lt;='SOLLECITAZ NASCOSTO'!$P$8,IF(C399&lt;='SOLLECITAZ NASCOSTO'!$P$7,IF(C399&lt;='SOLLECITAZ NASCOSTO'!$P$6,IF(C399&lt;='SOLLECITAZ NASCOSTO'!$P$5,'SOLLECITAZ NASCOSTO'!$P$3,'SOLLECITAZ NASCOSTO'!$P$5),'SOLLECITAZ NASCOSTO'!$P$5),'SOLLECITAZ NASCOSTO'!$P$7),'SOLLECITAZ NASCOSTO'!$P$8),'SOLLECITAZ NASCOSTO'!$P$9),'SOLLECITAZ NASCOSTO'!$P$10),'SOLLECITAZ NASCOSTO'!$P$11),'SOLLECITAZ NASCOSTO'!$P$12))/IF(C399&lt;='SOLLECITAZ NASCOSTO'!$P$12,IF(C399&lt;='SOLLECITAZ NASCOSTO'!$P$11,IF(C399&lt;='SOLLECITAZ NASCOSTO'!$P$10,IF(C399&lt;='SOLLECITAZ NASCOSTO'!$P$9,IF(C399&lt;='SOLLECITAZ NASCOSTO'!$P$8,IF(C399&lt;='SOLLECITAZ NASCOSTO'!$P$7,IF(C399&lt;='SOLLECITAZ NASCOSTO'!$P$6,IF(C399&lt;='SOLLECITAZ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slu'!$C$112)+IF(C399&lt;='SOLLECITAZ NASCOSTO'!$P$12,IF(C399&lt;='SOLLECITAZ NASCOSTO'!$P$11,IF(C399&lt;='SOLLECITAZ NASCOSTO'!$P$10,IF(C399&lt;='SOLLECITAZ NASCOSTO'!$P$9,IF(C399&lt;='SOLLECITAZ NASCOSTO'!$P$8,IF(C399&lt;='SOLLECITAZ NASCOSTO'!$P$7,IF(C399&lt;='SOLLECITAZ NASCOSTO'!$P$6,IF(C399&lt;='SOLLECITAZ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21.808606591781011</v>
      </c>
      <c r="O400" s="42">
        <f>IF(C400&lt;='SOLLECITAZ NASCOSTO'!$P$12,IF(C400&lt;='SOLLECITAZ NASCOSTO'!$P$11,IF(C400&lt;='SOLLECITAZ NASCOSTO'!$P$10,IF(C400&lt;='SOLLECITAZ NASCOSTO'!$P$9,IF(C400&lt;='SOLLECITAZ NASCOSTO'!$P$8,IF(C400&lt;='SOLLECITAZ NASCOSTO'!$P$7,IF(C400&lt;='SOLLECITAZ NASCOSTO'!$P$6,IF(C400&lt;='SOLLECITAZ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slu'!$G$111),55555)*(C400-C399)/IF(C400&lt;='SOLLECITAZ NASCOSTO'!$P$12,IF(C400&lt;='SOLLECITAZ NASCOSTO'!$P$11,IF(C400&lt;='SOLLECITAZ NASCOSTO'!$P$10,IF(C400&lt;='SOLLECITAZ NASCOSTO'!$P$9,IF(C400&lt;='SOLLECITAZ NASCOSTO'!$P$8,IF(C400&lt;='SOLLECITAZ NASCOSTO'!$P$7,IF(C400&lt;='SOLLECITAZ NASCOSTO'!$P$6,IF(C400&lt;='SOLLECITAZ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00" s="42">
        <f t="shared" si="119"/>
        <v>3.6700000000000242E-4</v>
      </c>
      <c r="Q400" s="42">
        <f t="shared" si="117"/>
        <v>1</v>
      </c>
      <c r="R400" s="441">
        <f t="shared" si="108"/>
        <v>2.5211538461538461</v>
      </c>
      <c r="S400" s="46">
        <f t="shared" si="118"/>
        <v>2.5211538461538461</v>
      </c>
      <c r="T400" s="211">
        <f t="shared" si="112"/>
        <v>0.82884615384615401</v>
      </c>
      <c r="U400" s="46">
        <f t="shared" si="114"/>
        <v>32.776034974447391</v>
      </c>
      <c r="V400" s="46">
        <f t="shared" si="115"/>
        <v>-31.934658940329214</v>
      </c>
      <c r="W400" s="496"/>
    </row>
    <row r="401" spans="1:23" s="428" customFormat="1" x14ac:dyDescent="0.25">
      <c r="A401" s="589">
        <f t="shared" si="109"/>
        <v>8.8701923074974154E-6</v>
      </c>
      <c r="B401" s="32">
        <f t="shared" si="110"/>
        <v>369</v>
      </c>
      <c r="C401" s="441">
        <f>'SOLLECITAZ NASCOSTO'!$D$6/'SOLLECITAZ NASCOSTO'!$B$448*'SOLLECITAZ NASCOSTO'!B401</f>
        <v>2.5280048076923078</v>
      </c>
      <c r="D401" s="441">
        <f t="shared" si="111"/>
        <v>0.30000887019230749</v>
      </c>
      <c r="E401" s="441">
        <f t="shared" si="102"/>
        <v>8.8701923074974154E-6</v>
      </c>
      <c r="F401" s="441">
        <f t="shared" si="103"/>
        <v>0.30000887019230749</v>
      </c>
      <c r="G401" s="441">
        <f t="shared" si="104"/>
        <v>4.5002661097032402E-2</v>
      </c>
      <c r="H401" s="441">
        <f t="shared" si="120"/>
        <v>0</v>
      </c>
      <c r="I401" s="441">
        <v>0</v>
      </c>
      <c r="J401" s="131">
        <f t="shared" si="121"/>
        <v>0.15000443509615374</v>
      </c>
      <c r="K401" s="130">
        <f t="shared" si="107"/>
        <v>2.2501995852279998E-3</v>
      </c>
      <c r="L401" s="42">
        <f t="shared" si="122"/>
        <v>32.925939527386745</v>
      </c>
      <c r="M401" s="42">
        <f t="shared" si="113"/>
        <v>-32.159719790485745</v>
      </c>
      <c r="N401" s="42">
        <f>(IF(C400&lt;='SOLLECITAZ NASCOSTO'!$P$12,IF(C400&lt;='SOLLECITAZ NASCOSTO'!$P$11,IF(C400&lt;='SOLLECITAZ NASCOSTO'!$P$10,IF(C400&lt;='SOLLECITAZ NASCOSTO'!$P$9,IF(C400&lt;='SOLLECITAZ NASCOSTO'!$P$8,IF(C400&lt;='SOLLECITAZ NASCOSTO'!$P$7,IF(C400&lt;='SOLLECITAZ NASCOSTO'!$P$6,IF(C400&lt;='SOLLECITAZ NASCOSTO'!$P$5,'Progetto del paramento slu'!$G$105,'Progetto del paramento slu'!$G$106),'Progetto del paramento slu'!$G$107),'Progetto del paramento slu'!$G$108),'Progetto del paramento slu'!$G$109),'Progetto del paramento slu'!$G$110),'Progetto del paramento slu'!$G$111),'Progetto del paramento slu'!$G$112),55555)-IF(C400&lt;='SOLLECITAZ NASCOSTO'!$P$12,IF(C400&lt;='SOLLECITAZ NASCOSTO'!$P$11,IF(C400&lt;='SOLLECITAZ NASCOSTO'!$P$10,IF(C400&lt;='SOLLECITAZ NASCOSTO'!$P$9,IF(C400&lt;='SOLLECITAZ NASCOSTO'!$P$8,IF(C400&lt;='SOLLECITAZ NASCOSTO'!$P$7,IF(C400&lt;='SOLLECITAZ NASCOSTO'!$P$6,IF(C400&lt;='SOLLECITAZ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slu'!$G$112))*(C400-IF(C400&lt;='SOLLECITAZ NASCOSTO'!$P$12,IF(C400&lt;='SOLLECITAZ NASCOSTO'!$P$11,IF(C400&lt;='SOLLECITAZ NASCOSTO'!$P$10,IF(C400&lt;='SOLLECITAZ NASCOSTO'!$P$9,IF(C400&lt;='SOLLECITAZ NASCOSTO'!$P$8,IF(C400&lt;='SOLLECITAZ NASCOSTO'!$P$7,IF(C400&lt;='SOLLECITAZ NASCOSTO'!$P$6,IF(C400&lt;='SOLLECITAZ NASCOSTO'!$P$5,'SOLLECITAZ NASCOSTO'!$P$3,'SOLLECITAZ NASCOSTO'!$P$5),'SOLLECITAZ NASCOSTO'!$P$5),'SOLLECITAZ NASCOSTO'!$P$7),'SOLLECITAZ NASCOSTO'!$P$8),'SOLLECITAZ NASCOSTO'!$P$9),'SOLLECITAZ NASCOSTO'!$P$10),'SOLLECITAZ NASCOSTO'!$P$11),'SOLLECITAZ NASCOSTO'!$P$12))/IF(C400&lt;='SOLLECITAZ NASCOSTO'!$P$12,IF(C400&lt;='SOLLECITAZ NASCOSTO'!$P$11,IF(C400&lt;='SOLLECITAZ NASCOSTO'!$P$10,IF(C400&lt;='SOLLECITAZ NASCOSTO'!$P$9,IF(C400&lt;='SOLLECITAZ NASCOSTO'!$P$8,IF(C400&lt;='SOLLECITAZ NASCOSTO'!$P$7,IF(C400&lt;='SOLLECITAZ NASCOSTO'!$P$6,IF(C400&lt;='SOLLECITAZ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slu'!$C$112)+IF(C400&lt;='SOLLECITAZ NASCOSTO'!$P$12,IF(C400&lt;='SOLLECITAZ NASCOSTO'!$P$11,IF(C400&lt;='SOLLECITAZ NASCOSTO'!$P$10,IF(C400&lt;='SOLLECITAZ NASCOSTO'!$P$9,IF(C400&lt;='SOLLECITAZ NASCOSTO'!$P$8,IF(C400&lt;='SOLLECITAZ NASCOSTO'!$P$7,IF(C400&lt;='SOLLECITAZ NASCOSTO'!$P$6,IF(C400&lt;='SOLLECITAZ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21.856738810773361</v>
      </c>
      <c r="O401" s="42">
        <f>IF(C401&lt;='SOLLECITAZ NASCOSTO'!$P$12,IF(C401&lt;='SOLLECITAZ NASCOSTO'!$P$11,IF(C401&lt;='SOLLECITAZ NASCOSTO'!$P$10,IF(C401&lt;='SOLLECITAZ NASCOSTO'!$P$9,IF(C401&lt;='SOLLECITAZ NASCOSTO'!$P$8,IF(C401&lt;='SOLLECITAZ NASCOSTO'!$P$7,IF(C401&lt;='SOLLECITAZ NASCOSTO'!$P$6,IF(C401&lt;='SOLLECITAZ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slu'!$G$111),55555)*(C401-C400)/IF(C401&lt;='SOLLECITAZ NASCOSTO'!$P$12,IF(C401&lt;='SOLLECITAZ NASCOSTO'!$P$11,IF(C401&lt;='SOLLECITAZ NASCOSTO'!$P$10,IF(C401&lt;='SOLLECITAZ NASCOSTO'!$P$9,IF(C401&lt;='SOLLECITAZ NASCOSTO'!$P$8,IF(C401&lt;='SOLLECITAZ NASCOSTO'!$P$7,IF(C401&lt;='SOLLECITAZ NASCOSTO'!$P$6,IF(C401&lt;='SOLLECITAZ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01" s="42">
        <f t="shared" si="119"/>
        <v>3.6800000000000244E-4</v>
      </c>
      <c r="Q401" s="42">
        <f t="shared" si="117"/>
        <v>1</v>
      </c>
      <c r="R401" s="441">
        <f t="shared" si="108"/>
        <v>2.5280048076923078</v>
      </c>
      <c r="S401" s="46">
        <f t="shared" si="118"/>
        <v>2.5280048076923078</v>
      </c>
      <c r="T401" s="211">
        <f t="shared" si="112"/>
        <v>0.82199519230769225</v>
      </c>
      <c r="U401" s="46">
        <f t="shared" si="114"/>
        <v>32.925939527386745</v>
      </c>
      <c r="V401" s="46">
        <f t="shared" si="115"/>
        <v>-32.159719790485745</v>
      </c>
      <c r="W401" s="496"/>
    </row>
    <row r="402" spans="1:23" s="428" customFormat="1" x14ac:dyDescent="0.25">
      <c r="A402" s="589">
        <f t="shared" si="109"/>
        <v>8.8942307690520472E-6</v>
      </c>
      <c r="B402" s="32">
        <f t="shared" si="110"/>
        <v>370</v>
      </c>
      <c r="C402" s="441">
        <f>'SOLLECITAZ NASCOSTO'!$D$6/'SOLLECITAZ NASCOSTO'!$B$448*'SOLLECITAZ NASCOSTO'!B402</f>
        <v>2.5348557692307692</v>
      </c>
      <c r="D402" s="441">
        <f t="shared" si="111"/>
        <v>0.30000889423076904</v>
      </c>
      <c r="E402" s="441">
        <f t="shared" si="102"/>
        <v>8.8942307690520472E-6</v>
      </c>
      <c r="F402" s="441">
        <f t="shared" si="103"/>
        <v>0.30000889423076904</v>
      </c>
      <c r="G402" s="441">
        <f t="shared" si="104"/>
        <v>4.5002668308784383E-2</v>
      </c>
      <c r="H402" s="441">
        <f t="shared" si="120"/>
        <v>0</v>
      </c>
      <c r="I402" s="441">
        <v>0</v>
      </c>
      <c r="J402" s="131">
        <f t="shared" si="121"/>
        <v>0.15000444711538452</v>
      </c>
      <c r="K402" s="130">
        <f t="shared" si="107"/>
        <v>2.2502001261254126E-3</v>
      </c>
      <c r="L402" s="42">
        <f t="shared" si="122"/>
        <v>33.07617383230717</v>
      </c>
      <c r="M402" s="42">
        <f t="shared" si="113"/>
        <v>-32.385808760527958</v>
      </c>
      <c r="N402" s="42">
        <f>(IF(C401&lt;='SOLLECITAZ NASCOSTO'!$P$12,IF(C401&lt;='SOLLECITAZ NASCOSTO'!$P$11,IF(C401&lt;='SOLLECITAZ NASCOSTO'!$P$10,IF(C401&lt;='SOLLECITAZ NASCOSTO'!$P$9,IF(C401&lt;='SOLLECITAZ NASCOSTO'!$P$8,IF(C401&lt;='SOLLECITAZ NASCOSTO'!$P$7,IF(C401&lt;='SOLLECITAZ NASCOSTO'!$P$6,IF(C401&lt;='SOLLECITAZ NASCOSTO'!$P$5,'Progetto del paramento slu'!$G$105,'Progetto del paramento slu'!$G$106),'Progetto del paramento slu'!$G$107),'Progetto del paramento slu'!$G$108),'Progetto del paramento slu'!$G$109),'Progetto del paramento slu'!$G$110),'Progetto del paramento slu'!$G$111),'Progetto del paramento slu'!$G$112),55555)-IF(C401&lt;='SOLLECITAZ NASCOSTO'!$P$12,IF(C401&lt;='SOLLECITAZ NASCOSTO'!$P$11,IF(C401&lt;='SOLLECITAZ NASCOSTO'!$P$10,IF(C401&lt;='SOLLECITAZ NASCOSTO'!$P$9,IF(C401&lt;='SOLLECITAZ NASCOSTO'!$P$8,IF(C401&lt;='SOLLECITAZ NASCOSTO'!$P$7,IF(C401&lt;='SOLLECITAZ NASCOSTO'!$P$6,IF(C401&lt;='SOLLECITAZ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slu'!$G$112))*(C401-IF(C401&lt;='SOLLECITAZ NASCOSTO'!$P$12,IF(C401&lt;='SOLLECITAZ NASCOSTO'!$P$11,IF(C401&lt;='SOLLECITAZ NASCOSTO'!$P$10,IF(C401&lt;='SOLLECITAZ NASCOSTO'!$P$9,IF(C401&lt;='SOLLECITAZ NASCOSTO'!$P$8,IF(C401&lt;='SOLLECITAZ NASCOSTO'!$P$7,IF(C401&lt;='SOLLECITAZ NASCOSTO'!$P$6,IF(C401&lt;='SOLLECITAZ NASCOSTO'!$P$5,'SOLLECITAZ NASCOSTO'!$P$3,'SOLLECITAZ NASCOSTO'!$P$5),'SOLLECITAZ NASCOSTO'!$P$5),'SOLLECITAZ NASCOSTO'!$P$7),'SOLLECITAZ NASCOSTO'!$P$8),'SOLLECITAZ NASCOSTO'!$P$9),'SOLLECITAZ NASCOSTO'!$P$10),'SOLLECITAZ NASCOSTO'!$P$11),'SOLLECITAZ NASCOSTO'!$P$12))/IF(C401&lt;='SOLLECITAZ NASCOSTO'!$P$12,IF(C401&lt;='SOLLECITAZ NASCOSTO'!$P$11,IF(C401&lt;='SOLLECITAZ NASCOSTO'!$P$10,IF(C401&lt;='SOLLECITAZ NASCOSTO'!$P$9,IF(C401&lt;='SOLLECITAZ NASCOSTO'!$P$8,IF(C401&lt;='SOLLECITAZ NASCOSTO'!$P$7,IF(C401&lt;='SOLLECITAZ NASCOSTO'!$P$6,IF(C401&lt;='SOLLECITAZ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slu'!$C$112)+IF(C401&lt;='SOLLECITAZ NASCOSTO'!$P$12,IF(C401&lt;='SOLLECITAZ NASCOSTO'!$P$11,IF(C401&lt;='SOLLECITAZ NASCOSTO'!$P$10,IF(C401&lt;='SOLLECITAZ NASCOSTO'!$P$9,IF(C401&lt;='SOLLECITAZ NASCOSTO'!$P$8,IF(C401&lt;='SOLLECITAZ NASCOSTO'!$P$7,IF(C401&lt;='SOLLECITAZ NASCOSTO'!$P$6,IF(C401&lt;='SOLLECITAZ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21.904871029765715</v>
      </c>
      <c r="O402" s="42">
        <f>IF(C402&lt;='SOLLECITAZ NASCOSTO'!$P$12,IF(C402&lt;='SOLLECITAZ NASCOSTO'!$P$11,IF(C402&lt;='SOLLECITAZ NASCOSTO'!$P$10,IF(C402&lt;='SOLLECITAZ NASCOSTO'!$P$9,IF(C402&lt;='SOLLECITAZ NASCOSTO'!$P$8,IF(C402&lt;='SOLLECITAZ NASCOSTO'!$P$7,IF(C402&lt;='SOLLECITAZ NASCOSTO'!$P$6,IF(C402&lt;='SOLLECITAZ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slu'!$G$111),55555)*(C402-C401)/IF(C402&lt;='SOLLECITAZ NASCOSTO'!$P$12,IF(C402&lt;='SOLLECITAZ NASCOSTO'!$P$11,IF(C402&lt;='SOLLECITAZ NASCOSTO'!$P$10,IF(C402&lt;='SOLLECITAZ NASCOSTO'!$P$9,IF(C402&lt;='SOLLECITAZ NASCOSTO'!$P$8,IF(C402&lt;='SOLLECITAZ NASCOSTO'!$P$7,IF(C402&lt;='SOLLECITAZ NASCOSTO'!$P$6,IF(C402&lt;='SOLLECITAZ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02" s="42">
        <f t="shared" si="119"/>
        <v>3.6900000000000246E-4</v>
      </c>
      <c r="Q402" s="42">
        <f t="shared" si="117"/>
        <v>1</v>
      </c>
      <c r="R402" s="441">
        <f t="shared" si="108"/>
        <v>2.5348557692307692</v>
      </c>
      <c r="S402" s="46">
        <f t="shared" si="118"/>
        <v>2.5348557692307692</v>
      </c>
      <c r="T402" s="211">
        <f t="shared" si="112"/>
        <v>0.81514423076923093</v>
      </c>
      <c r="U402" s="46">
        <f t="shared" si="114"/>
        <v>33.07617383230717</v>
      </c>
      <c r="V402" s="46">
        <f t="shared" si="115"/>
        <v>-32.385808760527958</v>
      </c>
      <c r="W402" s="496"/>
    </row>
    <row r="403" spans="1:23" s="428" customFormat="1" x14ac:dyDescent="0.25">
      <c r="A403" s="589">
        <f t="shared" si="109"/>
        <v>8.9182692305511679E-6</v>
      </c>
      <c r="B403" s="32">
        <f t="shared" si="110"/>
        <v>371</v>
      </c>
      <c r="C403" s="441">
        <f>'SOLLECITAZ NASCOSTO'!$D$6/'SOLLECITAZ NASCOSTO'!$B$448*'SOLLECITAZ NASCOSTO'!B403</f>
        <v>2.5417067307692309</v>
      </c>
      <c r="D403" s="441">
        <f t="shared" si="111"/>
        <v>0.30000891826923054</v>
      </c>
      <c r="E403" s="441">
        <f t="shared" si="102"/>
        <v>8.9182692305511679E-6</v>
      </c>
      <c r="F403" s="441">
        <f t="shared" si="103"/>
        <v>0.30000891826923054</v>
      </c>
      <c r="G403" s="441">
        <f t="shared" si="104"/>
        <v>4.5002675520536925E-2</v>
      </c>
      <c r="H403" s="441">
        <f t="shared" si="120"/>
        <v>0</v>
      </c>
      <c r="I403" s="441">
        <v>0</v>
      </c>
      <c r="J403" s="131">
        <f t="shared" si="121"/>
        <v>0.15000445913461527</v>
      </c>
      <c r="K403" s="130">
        <f t="shared" si="107"/>
        <v>2.2502006670229108E-3</v>
      </c>
      <c r="L403" s="42">
        <f t="shared" si="122"/>
        <v>33.226737889208678</v>
      </c>
      <c r="M403" s="42">
        <f t="shared" si="113"/>
        <v>-32.612928109574021</v>
      </c>
      <c r="N403" s="42">
        <f>(IF(C402&lt;='SOLLECITAZ NASCOSTO'!$P$12,IF(C402&lt;='SOLLECITAZ NASCOSTO'!$P$11,IF(C402&lt;='SOLLECITAZ NASCOSTO'!$P$10,IF(C402&lt;='SOLLECITAZ NASCOSTO'!$P$9,IF(C402&lt;='SOLLECITAZ NASCOSTO'!$P$8,IF(C402&lt;='SOLLECITAZ NASCOSTO'!$P$7,IF(C402&lt;='SOLLECITAZ NASCOSTO'!$P$6,IF(C402&lt;='SOLLECITAZ NASCOSTO'!$P$5,'Progetto del paramento slu'!$G$105,'Progetto del paramento slu'!$G$106),'Progetto del paramento slu'!$G$107),'Progetto del paramento slu'!$G$108),'Progetto del paramento slu'!$G$109),'Progetto del paramento slu'!$G$110),'Progetto del paramento slu'!$G$111),'Progetto del paramento slu'!$G$112),55555)-IF(C402&lt;='SOLLECITAZ NASCOSTO'!$P$12,IF(C402&lt;='SOLLECITAZ NASCOSTO'!$P$11,IF(C402&lt;='SOLLECITAZ NASCOSTO'!$P$10,IF(C402&lt;='SOLLECITAZ NASCOSTO'!$P$9,IF(C402&lt;='SOLLECITAZ NASCOSTO'!$P$8,IF(C402&lt;='SOLLECITAZ NASCOSTO'!$P$7,IF(C402&lt;='SOLLECITAZ NASCOSTO'!$P$6,IF(C402&lt;='SOLLECITAZ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slu'!$G$112))*(C402-IF(C402&lt;='SOLLECITAZ NASCOSTO'!$P$12,IF(C402&lt;='SOLLECITAZ NASCOSTO'!$P$11,IF(C402&lt;='SOLLECITAZ NASCOSTO'!$P$10,IF(C402&lt;='SOLLECITAZ NASCOSTO'!$P$9,IF(C402&lt;='SOLLECITAZ NASCOSTO'!$P$8,IF(C402&lt;='SOLLECITAZ NASCOSTO'!$P$7,IF(C402&lt;='SOLLECITAZ NASCOSTO'!$P$6,IF(C402&lt;='SOLLECITAZ NASCOSTO'!$P$5,'SOLLECITAZ NASCOSTO'!$P$3,'SOLLECITAZ NASCOSTO'!$P$5),'SOLLECITAZ NASCOSTO'!$P$5),'SOLLECITAZ NASCOSTO'!$P$7),'SOLLECITAZ NASCOSTO'!$P$8),'SOLLECITAZ NASCOSTO'!$P$9),'SOLLECITAZ NASCOSTO'!$P$10),'SOLLECITAZ NASCOSTO'!$P$11),'SOLLECITAZ NASCOSTO'!$P$12))/IF(C402&lt;='SOLLECITAZ NASCOSTO'!$P$12,IF(C402&lt;='SOLLECITAZ NASCOSTO'!$P$11,IF(C402&lt;='SOLLECITAZ NASCOSTO'!$P$10,IF(C402&lt;='SOLLECITAZ NASCOSTO'!$P$9,IF(C402&lt;='SOLLECITAZ NASCOSTO'!$P$8,IF(C402&lt;='SOLLECITAZ NASCOSTO'!$P$7,IF(C402&lt;='SOLLECITAZ NASCOSTO'!$P$6,IF(C402&lt;='SOLLECITAZ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slu'!$C$112)+IF(C402&lt;='SOLLECITAZ NASCOSTO'!$P$12,IF(C402&lt;='SOLLECITAZ NASCOSTO'!$P$11,IF(C402&lt;='SOLLECITAZ NASCOSTO'!$P$10,IF(C402&lt;='SOLLECITAZ NASCOSTO'!$P$9,IF(C402&lt;='SOLLECITAZ NASCOSTO'!$P$8,IF(C402&lt;='SOLLECITAZ NASCOSTO'!$P$7,IF(C402&lt;='SOLLECITAZ NASCOSTO'!$P$6,IF(C402&lt;='SOLLECITAZ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21.953003248758069</v>
      </c>
      <c r="O403" s="42">
        <f>IF(C403&lt;='SOLLECITAZ NASCOSTO'!$P$12,IF(C403&lt;='SOLLECITAZ NASCOSTO'!$P$11,IF(C403&lt;='SOLLECITAZ NASCOSTO'!$P$10,IF(C403&lt;='SOLLECITAZ NASCOSTO'!$P$9,IF(C403&lt;='SOLLECITAZ NASCOSTO'!$P$8,IF(C403&lt;='SOLLECITAZ NASCOSTO'!$P$7,IF(C403&lt;='SOLLECITAZ NASCOSTO'!$P$6,IF(C403&lt;='SOLLECITAZ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slu'!$G$111),55555)*(C403-C402)/IF(C403&lt;='SOLLECITAZ NASCOSTO'!$P$12,IF(C403&lt;='SOLLECITAZ NASCOSTO'!$P$11,IF(C403&lt;='SOLLECITAZ NASCOSTO'!$P$10,IF(C403&lt;='SOLLECITAZ NASCOSTO'!$P$9,IF(C403&lt;='SOLLECITAZ NASCOSTO'!$P$8,IF(C403&lt;='SOLLECITAZ NASCOSTO'!$P$7,IF(C403&lt;='SOLLECITAZ NASCOSTO'!$P$6,IF(C403&lt;='SOLLECITAZ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03" s="42">
        <f t="shared" si="119"/>
        <v>3.7000000000000249E-4</v>
      </c>
      <c r="Q403" s="42">
        <f t="shared" si="117"/>
        <v>1</v>
      </c>
      <c r="R403" s="441">
        <f t="shared" si="108"/>
        <v>2.5417067307692309</v>
      </c>
      <c r="S403" s="46">
        <f t="shared" si="118"/>
        <v>2.5417067307692309</v>
      </c>
      <c r="T403" s="211">
        <f t="shared" si="112"/>
        <v>0.80829326923076916</v>
      </c>
      <c r="U403" s="46">
        <f t="shared" si="114"/>
        <v>33.226737889208678</v>
      </c>
      <c r="V403" s="46">
        <f t="shared" si="115"/>
        <v>-32.612928109574021</v>
      </c>
      <c r="W403" s="496"/>
    </row>
    <row r="404" spans="1:23" s="428" customFormat="1" x14ac:dyDescent="0.25">
      <c r="A404" s="589">
        <f t="shared" si="109"/>
        <v>8.9423076921057998E-6</v>
      </c>
      <c r="B404" s="32">
        <f t="shared" si="110"/>
        <v>372</v>
      </c>
      <c r="C404" s="441">
        <f>'SOLLECITAZ NASCOSTO'!$D$6/'SOLLECITAZ NASCOSTO'!$B$448*'SOLLECITAZ NASCOSTO'!B404</f>
        <v>2.5485576923076922</v>
      </c>
      <c r="D404" s="441">
        <f t="shared" si="111"/>
        <v>0.30000894230769209</v>
      </c>
      <c r="E404" s="441">
        <f t="shared" si="102"/>
        <v>8.9423076921057998E-6</v>
      </c>
      <c r="F404" s="441">
        <f t="shared" si="103"/>
        <v>0.30000894230769209</v>
      </c>
      <c r="G404" s="441">
        <f t="shared" si="104"/>
        <v>4.5002682732290064E-2</v>
      </c>
      <c r="H404" s="441">
        <f t="shared" si="120"/>
        <v>0</v>
      </c>
      <c r="I404" s="441">
        <v>0</v>
      </c>
      <c r="J404" s="131">
        <f t="shared" si="121"/>
        <v>0.15000447115384605</v>
      </c>
      <c r="K404" s="130">
        <f t="shared" si="107"/>
        <v>2.2502012079204966E-3</v>
      </c>
      <c r="L404" s="42">
        <f t="shared" si="122"/>
        <v>33.377631698091257</v>
      </c>
      <c r="M404" s="42">
        <f t="shared" si="113"/>
        <v>-32.841080096742047</v>
      </c>
      <c r="N404" s="42">
        <f>(IF(C403&lt;='SOLLECITAZ NASCOSTO'!$P$12,IF(C403&lt;='SOLLECITAZ NASCOSTO'!$P$11,IF(C403&lt;='SOLLECITAZ NASCOSTO'!$P$10,IF(C403&lt;='SOLLECITAZ NASCOSTO'!$P$9,IF(C403&lt;='SOLLECITAZ NASCOSTO'!$P$8,IF(C403&lt;='SOLLECITAZ NASCOSTO'!$P$7,IF(C403&lt;='SOLLECITAZ NASCOSTO'!$P$6,IF(C403&lt;='SOLLECITAZ NASCOSTO'!$P$5,'Progetto del paramento slu'!$G$105,'Progetto del paramento slu'!$G$106),'Progetto del paramento slu'!$G$107),'Progetto del paramento slu'!$G$108),'Progetto del paramento slu'!$G$109),'Progetto del paramento slu'!$G$110),'Progetto del paramento slu'!$G$111),'Progetto del paramento slu'!$G$112),55555)-IF(C403&lt;='SOLLECITAZ NASCOSTO'!$P$12,IF(C403&lt;='SOLLECITAZ NASCOSTO'!$P$11,IF(C403&lt;='SOLLECITAZ NASCOSTO'!$P$10,IF(C403&lt;='SOLLECITAZ NASCOSTO'!$P$9,IF(C403&lt;='SOLLECITAZ NASCOSTO'!$P$8,IF(C403&lt;='SOLLECITAZ NASCOSTO'!$P$7,IF(C403&lt;='SOLLECITAZ NASCOSTO'!$P$6,IF(C403&lt;='SOLLECITAZ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slu'!$G$112))*(C403-IF(C403&lt;='SOLLECITAZ NASCOSTO'!$P$12,IF(C403&lt;='SOLLECITAZ NASCOSTO'!$P$11,IF(C403&lt;='SOLLECITAZ NASCOSTO'!$P$10,IF(C403&lt;='SOLLECITAZ NASCOSTO'!$P$9,IF(C403&lt;='SOLLECITAZ NASCOSTO'!$P$8,IF(C403&lt;='SOLLECITAZ NASCOSTO'!$P$7,IF(C403&lt;='SOLLECITAZ NASCOSTO'!$P$6,IF(C403&lt;='SOLLECITAZ NASCOSTO'!$P$5,'SOLLECITAZ NASCOSTO'!$P$3,'SOLLECITAZ NASCOSTO'!$P$5),'SOLLECITAZ NASCOSTO'!$P$5),'SOLLECITAZ NASCOSTO'!$P$7),'SOLLECITAZ NASCOSTO'!$P$8),'SOLLECITAZ NASCOSTO'!$P$9),'SOLLECITAZ NASCOSTO'!$P$10),'SOLLECITAZ NASCOSTO'!$P$11),'SOLLECITAZ NASCOSTO'!$P$12))/IF(C403&lt;='SOLLECITAZ NASCOSTO'!$P$12,IF(C403&lt;='SOLLECITAZ NASCOSTO'!$P$11,IF(C403&lt;='SOLLECITAZ NASCOSTO'!$P$10,IF(C403&lt;='SOLLECITAZ NASCOSTO'!$P$9,IF(C403&lt;='SOLLECITAZ NASCOSTO'!$P$8,IF(C403&lt;='SOLLECITAZ NASCOSTO'!$P$7,IF(C403&lt;='SOLLECITAZ NASCOSTO'!$P$6,IF(C403&lt;='SOLLECITAZ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slu'!$C$112)+IF(C403&lt;='SOLLECITAZ NASCOSTO'!$P$12,IF(C403&lt;='SOLLECITAZ NASCOSTO'!$P$11,IF(C403&lt;='SOLLECITAZ NASCOSTO'!$P$10,IF(C403&lt;='SOLLECITAZ NASCOSTO'!$P$9,IF(C403&lt;='SOLLECITAZ NASCOSTO'!$P$8,IF(C403&lt;='SOLLECITAZ NASCOSTO'!$P$7,IF(C403&lt;='SOLLECITAZ NASCOSTO'!$P$6,IF(C403&lt;='SOLLECITAZ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22.001135467750423</v>
      </c>
      <c r="O404" s="42">
        <f>IF(C404&lt;='SOLLECITAZ NASCOSTO'!$P$12,IF(C404&lt;='SOLLECITAZ NASCOSTO'!$P$11,IF(C404&lt;='SOLLECITAZ NASCOSTO'!$P$10,IF(C404&lt;='SOLLECITAZ NASCOSTO'!$P$9,IF(C404&lt;='SOLLECITAZ NASCOSTO'!$P$8,IF(C404&lt;='SOLLECITAZ NASCOSTO'!$P$7,IF(C404&lt;='SOLLECITAZ NASCOSTO'!$P$6,IF(C404&lt;='SOLLECITAZ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slu'!$G$111),55555)*(C404-C403)/IF(C404&lt;='SOLLECITAZ NASCOSTO'!$P$12,IF(C404&lt;='SOLLECITAZ NASCOSTO'!$P$11,IF(C404&lt;='SOLLECITAZ NASCOSTO'!$P$10,IF(C404&lt;='SOLLECITAZ NASCOSTO'!$P$9,IF(C404&lt;='SOLLECITAZ NASCOSTO'!$P$8,IF(C404&lt;='SOLLECITAZ NASCOSTO'!$P$7,IF(C404&lt;='SOLLECITAZ NASCOSTO'!$P$6,IF(C404&lt;='SOLLECITAZ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04" s="42">
        <f t="shared" si="119"/>
        <v>3.7100000000000251E-4</v>
      </c>
      <c r="Q404" s="42">
        <f t="shared" si="117"/>
        <v>1</v>
      </c>
      <c r="R404" s="441">
        <f t="shared" si="108"/>
        <v>2.5485576923076922</v>
      </c>
      <c r="S404" s="46">
        <f t="shared" si="118"/>
        <v>2.5485576923076922</v>
      </c>
      <c r="T404" s="211">
        <f t="shared" si="112"/>
        <v>0.80144230769230784</v>
      </c>
      <c r="U404" s="46">
        <f t="shared" si="114"/>
        <v>33.377631698091257</v>
      </c>
      <c r="V404" s="46">
        <f t="shared" si="115"/>
        <v>-32.841080096742047</v>
      </c>
      <c r="W404" s="496"/>
    </row>
    <row r="405" spans="1:23" s="428" customFormat="1" x14ac:dyDescent="0.25">
      <c r="A405" s="589">
        <f t="shared" si="109"/>
        <v>8.9663461536604316E-6</v>
      </c>
      <c r="B405" s="32">
        <f t="shared" si="110"/>
        <v>373</v>
      </c>
      <c r="C405" s="441">
        <f>'SOLLECITAZ NASCOSTO'!$D$6/'SOLLECITAZ NASCOSTO'!$B$448*'SOLLECITAZ NASCOSTO'!B405</f>
        <v>2.555408653846154</v>
      </c>
      <c r="D405" s="441">
        <f t="shared" si="111"/>
        <v>0.30000896634615365</v>
      </c>
      <c r="E405" s="441">
        <f t="shared" si="102"/>
        <v>8.9663461536604316E-6</v>
      </c>
      <c r="F405" s="441">
        <f t="shared" si="103"/>
        <v>0.30000896634615365</v>
      </c>
      <c r="G405" s="441">
        <f t="shared" si="104"/>
        <v>4.5002689944043779E-2</v>
      </c>
      <c r="H405" s="441">
        <f t="shared" si="120"/>
        <v>0</v>
      </c>
      <c r="I405" s="441">
        <v>0</v>
      </c>
      <c r="J405" s="131">
        <f t="shared" si="121"/>
        <v>0.15000448317307682</v>
      </c>
      <c r="K405" s="130">
        <f t="shared" si="107"/>
        <v>2.2502017488181692E-3</v>
      </c>
      <c r="L405" s="42">
        <f t="shared" si="122"/>
        <v>33.52885525895492</v>
      </c>
      <c r="M405" s="42">
        <f t="shared" si="113"/>
        <v>-33.070266981150205</v>
      </c>
      <c r="N405" s="42">
        <f>(IF(C404&lt;='SOLLECITAZ NASCOSTO'!$P$12,IF(C404&lt;='SOLLECITAZ NASCOSTO'!$P$11,IF(C404&lt;='SOLLECITAZ NASCOSTO'!$P$10,IF(C404&lt;='SOLLECITAZ NASCOSTO'!$P$9,IF(C404&lt;='SOLLECITAZ NASCOSTO'!$P$8,IF(C404&lt;='SOLLECITAZ NASCOSTO'!$P$7,IF(C404&lt;='SOLLECITAZ NASCOSTO'!$P$6,IF(C404&lt;='SOLLECITAZ NASCOSTO'!$P$5,'Progetto del paramento slu'!$G$105,'Progetto del paramento slu'!$G$106),'Progetto del paramento slu'!$G$107),'Progetto del paramento slu'!$G$108),'Progetto del paramento slu'!$G$109),'Progetto del paramento slu'!$G$110),'Progetto del paramento slu'!$G$111),'Progetto del paramento slu'!$G$112),55555)-IF(C404&lt;='SOLLECITAZ NASCOSTO'!$P$12,IF(C404&lt;='SOLLECITAZ NASCOSTO'!$P$11,IF(C404&lt;='SOLLECITAZ NASCOSTO'!$P$10,IF(C404&lt;='SOLLECITAZ NASCOSTO'!$P$9,IF(C404&lt;='SOLLECITAZ NASCOSTO'!$P$8,IF(C404&lt;='SOLLECITAZ NASCOSTO'!$P$7,IF(C404&lt;='SOLLECITAZ NASCOSTO'!$P$6,IF(C404&lt;='SOLLECITAZ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slu'!$G$112))*(C404-IF(C404&lt;='SOLLECITAZ NASCOSTO'!$P$12,IF(C404&lt;='SOLLECITAZ NASCOSTO'!$P$11,IF(C404&lt;='SOLLECITAZ NASCOSTO'!$P$10,IF(C404&lt;='SOLLECITAZ NASCOSTO'!$P$9,IF(C404&lt;='SOLLECITAZ NASCOSTO'!$P$8,IF(C404&lt;='SOLLECITAZ NASCOSTO'!$P$7,IF(C404&lt;='SOLLECITAZ NASCOSTO'!$P$6,IF(C404&lt;='SOLLECITAZ NASCOSTO'!$P$5,'SOLLECITAZ NASCOSTO'!$P$3,'SOLLECITAZ NASCOSTO'!$P$5),'SOLLECITAZ NASCOSTO'!$P$5),'SOLLECITAZ NASCOSTO'!$P$7),'SOLLECITAZ NASCOSTO'!$P$8),'SOLLECITAZ NASCOSTO'!$P$9),'SOLLECITAZ NASCOSTO'!$P$10),'SOLLECITAZ NASCOSTO'!$P$11),'SOLLECITAZ NASCOSTO'!$P$12))/IF(C404&lt;='SOLLECITAZ NASCOSTO'!$P$12,IF(C404&lt;='SOLLECITAZ NASCOSTO'!$P$11,IF(C404&lt;='SOLLECITAZ NASCOSTO'!$P$10,IF(C404&lt;='SOLLECITAZ NASCOSTO'!$P$9,IF(C404&lt;='SOLLECITAZ NASCOSTO'!$P$8,IF(C404&lt;='SOLLECITAZ NASCOSTO'!$P$7,IF(C404&lt;='SOLLECITAZ NASCOSTO'!$P$6,IF(C404&lt;='SOLLECITAZ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slu'!$C$112)+IF(C404&lt;='SOLLECITAZ NASCOSTO'!$P$12,IF(C404&lt;='SOLLECITAZ NASCOSTO'!$P$11,IF(C404&lt;='SOLLECITAZ NASCOSTO'!$P$10,IF(C404&lt;='SOLLECITAZ NASCOSTO'!$P$9,IF(C404&lt;='SOLLECITAZ NASCOSTO'!$P$8,IF(C404&lt;='SOLLECITAZ NASCOSTO'!$P$7,IF(C404&lt;='SOLLECITAZ NASCOSTO'!$P$6,IF(C404&lt;='SOLLECITAZ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22.049267686742773</v>
      </c>
      <c r="O405" s="42">
        <f>IF(C405&lt;='SOLLECITAZ NASCOSTO'!$P$12,IF(C405&lt;='SOLLECITAZ NASCOSTO'!$P$11,IF(C405&lt;='SOLLECITAZ NASCOSTO'!$P$10,IF(C405&lt;='SOLLECITAZ NASCOSTO'!$P$9,IF(C405&lt;='SOLLECITAZ NASCOSTO'!$P$8,IF(C405&lt;='SOLLECITAZ NASCOSTO'!$P$7,IF(C405&lt;='SOLLECITAZ NASCOSTO'!$P$6,IF(C405&lt;='SOLLECITAZ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slu'!$G$111),55555)*(C405-C404)/IF(C405&lt;='SOLLECITAZ NASCOSTO'!$P$12,IF(C405&lt;='SOLLECITAZ NASCOSTO'!$P$11,IF(C405&lt;='SOLLECITAZ NASCOSTO'!$P$10,IF(C405&lt;='SOLLECITAZ NASCOSTO'!$P$9,IF(C405&lt;='SOLLECITAZ NASCOSTO'!$P$8,IF(C405&lt;='SOLLECITAZ NASCOSTO'!$P$7,IF(C405&lt;='SOLLECITAZ NASCOSTO'!$P$6,IF(C405&lt;='SOLLECITAZ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05" s="42">
        <f t="shared" si="119"/>
        <v>3.7200000000000254E-4</v>
      </c>
      <c r="Q405" s="42">
        <f t="shared" si="117"/>
        <v>1</v>
      </c>
      <c r="R405" s="441">
        <f t="shared" si="108"/>
        <v>2.555408653846154</v>
      </c>
      <c r="S405" s="46">
        <f t="shared" si="118"/>
        <v>2.555408653846154</v>
      </c>
      <c r="T405" s="211">
        <f t="shared" si="112"/>
        <v>0.79459134615384608</v>
      </c>
      <c r="U405" s="46">
        <f t="shared" si="114"/>
        <v>33.52885525895492</v>
      </c>
      <c r="V405" s="46">
        <f t="shared" si="115"/>
        <v>-33.070266981150205</v>
      </c>
      <c r="W405" s="496"/>
    </row>
    <row r="406" spans="1:23" s="428" customFormat="1" x14ac:dyDescent="0.25">
      <c r="A406" s="589">
        <f t="shared" si="109"/>
        <v>8.9903846151595523E-6</v>
      </c>
      <c r="B406" s="32">
        <f t="shared" si="110"/>
        <v>374</v>
      </c>
      <c r="C406" s="441">
        <f>'SOLLECITAZ NASCOSTO'!$D$6/'SOLLECITAZ NASCOSTO'!$B$448*'SOLLECITAZ NASCOSTO'!B406</f>
        <v>2.5622596153846153</v>
      </c>
      <c r="D406" s="441">
        <f t="shared" si="111"/>
        <v>0.30000899038461515</v>
      </c>
      <c r="E406" s="441">
        <f t="shared" si="102"/>
        <v>8.9903846151595523E-6</v>
      </c>
      <c r="F406" s="441">
        <f t="shared" si="103"/>
        <v>0.30000899038461515</v>
      </c>
      <c r="G406" s="441">
        <f t="shared" si="104"/>
        <v>4.5002697155798056E-2</v>
      </c>
      <c r="H406" s="441">
        <f t="shared" si="120"/>
        <v>0</v>
      </c>
      <c r="I406" s="441">
        <v>0</v>
      </c>
      <c r="J406" s="131">
        <f t="shared" si="121"/>
        <v>0.15000449519230757</v>
      </c>
      <c r="K406" s="130">
        <f t="shared" si="107"/>
        <v>2.2502022897159277E-3</v>
      </c>
      <c r="L406" s="42">
        <f t="shared" si="122"/>
        <v>33.680408571799653</v>
      </c>
      <c r="M406" s="42">
        <f t="shared" si="113"/>
        <v>-33.300491021916606</v>
      </c>
      <c r="N406" s="42">
        <f>(IF(C405&lt;='SOLLECITAZ NASCOSTO'!$P$12,IF(C405&lt;='SOLLECITAZ NASCOSTO'!$P$11,IF(C405&lt;='SOLLECITAZ NASCOSTO'!$P$10,IF(C405&lt;='SOLLECITAZ NASCOSTO'!$P$9,IF(C405&lt;='SOLLECITAZ NASCOSTO'!$P$8,IF(C405&lt;='SOLLECITAZ NASCOSTO'!$P$7,IF(C405&lt;='SOLLECITAZ NASCOSTO'!$P$6,IF(C405&lt;='SOLLECITAZ NASCOSTO'!$P$5,'Progetto del paramento slu'!$G$105,'Progetto del paramento slu'!$G$106),'Progetto del paramento slu'!$G$107),'Progetto del paramento slu'!$G$108),'Progetto del paramento slu'!$G$109),'Progetto del paramento slu'!$G$110),'Progetto del paramento slu'!$G$111),'Progetto del paramento slu'!$G$112),55555)-IF(C405&lt;='SOLLECITAZ NASCOSTO'!$P$12,IF(C405&lt;='SOLLECITAZ NASCOSTO'!$P$11,IF(C405&lt;='SOLLECITAZ NASCOSTO'!$P$10,IF(C405&lt;='SOLLECITAZ NASCOSTO'!$P$9,IF(C405&lt;='SOLLECITAZ NASCOSTO'!$P$8,IF(C405&lt;='SOLLECITAZ NASCOSTO'!$P$7,IF(C405&lt;='SOLLECITAZ NASCOSTO'!$P$6,IF(C405&lt;='SOLLECITAZ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slu'!$G$112))*(C405-IF(C405&lt;='SOLLECITAZ NASCOSTO'!$P$12,IF(C405&lt;='SOLLECITAZ NASCOSTO'!$P$11,IF(C405&lt;='SOLLECITAZ NASCOSTO'!$P$10,IF(C405&lt;='SOLLECITAZ NASCOSTO'!$P$9,IF(C405&lt;='SOLLECITAZ NASCOSTO'!$P$8,IF(C405&lt;='SOLLECITAZ NASCOSTO'!$P$7,IF(C405&lt;='SOLLECITAZ NASCOSTO'!$P$6,IF(C405&lt;='SOLLECITAZ NASCOSTO'!$P$5,'SOLLECITAZ NASCOSTO'!$P$3,'SOLLECITAZ NASCOSTO'!$P$5),'SOLLECITAZ NASCOSTO'!$P$5),'SOLLECITAZ NASCOSTO'!$P$7),'SOLLECITAZ NASCOSTO'!$P$8),'SOLLECITAZ NASCOSTO'!$P$9),'SOLLECITAZ NASCOSTO'!$P$10),'SOLLECITAZ NASCOSTO'!$P$11),'SOLLECITAZ NASCOSTO'!$P$12))/IF(C405&lt;='SOLLECITAZ NASCOSTO'!$P$12,IF(C405&lt;='SOLLECITAZ NASCOSTO'!$P$11,IF(C405&lt;='SOLLECITAZ NASCOSTO'!$P$10,IF(C405&lt;='SOLLECITAZ NASCOSTO'!$P$9,IF(C405&lt;='SOLLECITAZ NASCOSTO'!$P$8,IF(C405&lt;='SOLLECITAZ NASCOSTO'!$P$7,IF(C405&lt;='SOLLECITAZ NASCOSTO'!$P$6,IF(C405&lt;='SOLLECITAZ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slu'!$C$112)+IF(C405&lt;='SOLLECITAZ NASCOSTO'!$P$12,IF(C405&lt;='SOLLECITAZ NASCOSTO'!$P$11,IF(C405&lt;='SOLLECITAZ NASCOSTO'!$P$10,IF(C405&lt;='SOLLECITAZ NASCOSTO'!$P$9,IF(C405&lt;='SOLLECITAZ NASCOSTO'!$P$8,IF(C405&lt;='SOLLECITAZ NASCOSTO'!$P$7,IF(C405&lt;='SOLLECITAZ NASCOSTO'!$P$6,IF(C405&lt;='SOLLECITAZ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22.097399905735127</v>
      </c>
      <c r="O406" s="42">
        <f>IF(C406&lt;='SOLLECITAZ NASCOSTO'!$P$12,IF(C406&lt;='SOLLECITAZ NASCOSTO'!$P$11,IF(C406&lt;='SOLLECITAZ NASCOSTO'!$P$10,IF(C406&lt;='SOLLECITAZ NASCOSTO'!$P$9,IF(C406&lt;='SOLLECITAZ NASCOSTO'!$P$8,IF(C406&lt;='SOLLECITAZ NASCOSTO'!$P$7,IF(C406&lt;='SOLLECITAZ NASCOSTO'!$P$6,IF(C406&lt;='SOLLECITAZ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slu'!$G$111),55555)*(C406-C405)/IF(C406&lt;='SOLLECITAZ NASCOSTO'!$P$12,IF(C406&lt;='SOLLECITAZ NASCOSTO'!$P$11,IF(C406&lt;='SOLLECITAZ NASCOSTO'!$P$10,IF(C406&lt;='SOLLECITAZ NASCOSTO'!$P$9,IF(C406&lt;='SOLLECITAZ NASCOSTO'!$P$8,IF(C406&lt;='SOLLECITAZ NASCOSTO'!$P$7,IF(C406&lt;='SOLLECITAZ NASCOSTO'!$P$6,IF(C406&lt;='SOLLECITAZ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06" s="42">
        <f t="shared" si="119"/>
        <v>3.7300000000000256E-4</v>
      </c>
      <c r="Q406" s="42">
        <f t="shared" si="117"/>
        <v>1</v>
      </c>
      <c r="R406" s="441">
        <f t="shared" si="108"/>
        <v>2.5622596153846153</v>
      </c>
      <c r="S406" s="46">
        <f t="shared" si="118"/>
        <v>2.5622596153846153</v>
      </c>
      <c r="T406" s="211">
        <f t="shared" si="112"/>
        <v>0.78774038461538476</v>
      </c>
      <c r="U406" s="46">
        <f t="shared" si="114"/>
        <v>33.680408571799653</v>
      </c>
      <c r="V406" s="46">
        <f t="shared" si="115"/>
        <v>-33.300491021916606</v>
      </c>
      <c r="W406" s="496"/>
    </row>
    <row r="407" spans="1:23" s="428" customFormat="1" x14ac:dyDescent="0.25">
      <c r="A407" s="589">
        <f t="shared" si="109"/>
        <v>9.0144230767141842E-6</v>
      </c>
      <c r="B407" s="32">
        <f t="shared" si="110"/>
        <v>375</v>
      </c>
      <c r="C407" s="441">
        <f>'SOLLECITAZ NASCOSTO'!$D$6/'SOLLECITAZ NASCOSTO'!$B$448*'SOLLECITAZ NASCOSTO'!B407</f>
        <v>2.5691105769230771</v>
      </c>
      <c r="D407" s="441">
        <f t="shared" si="111"/>
        <v>0.3000090144230767</v>
      </c>
      <c r="E407" s="441">
        <f t="shared" si="102"/>
        <v>9.0144230767141842E-6</v>
      </c>
      <c r="F407" s="441">
        <f t="shared" si="103"/>
        <v>0.3000090144230767</v>
      </c>
      <c r="G407" s="441">
        <f t="shared" si="104"/>
        <v>4.5002704367552923E-2</v>
      </c>
      <c r="H407" s="441">
        <f t="shared" si="120"/>
        <v>0</v>
      </c>
      <c r="I407" s="441">
        <v>0</v>
      </c>
      <c r="J407" s="131">
        <f t="shared" si="121"/>
        <v>0.15000450721153835</v>
      </c>
      <c r="K407" s="130">
        <f t="shared" si="107"/>
        <v>2.2502028306137737E-3</v>
      </c>
      <c r="L407" s="42">
        <f t="shared" si="122"/>
        <v>33.83229163662547</v>
      </c>
      <c r="M407" s="42">
        <f t="shared" si="113"/>
        <v>-33.531754478159414</v>
      </c>
      <c r="N407" s="42">
        <f>(IF(C406&lt;='SOLLECITAZ NASCOSTO'!$P$12,IF(C406&lt;='SOLLECITAZ NASCOSTO'!$P$11,IF(C406&lt;='SOLLECITAZ NASCOSTO'!$P$10,IF(C406&lt;='SOLLECITAZ NASCOSTO'!$P$9,IF(C406&lt;='SOLLECITAZ NASCOSTO'!$P$8,IF(C406&lt;='SOLLECITAZ NASCOSTO'!$P$7,IF(C406&lt;='SOLLECITAZ NASCOSTO'!$P$6,IF(C406&lt;='SOLLECITAZ NASCOSTO'!$P$5,'Progetto del paramento slu'!$G$105,'Progetto del paramento slu'!$G$106),'Progetto del paramento slu'!$G$107),'Progetto del paramento slu'!$G$108),'Progetto del paramento slu'!$G$109),'Progetto del paramento slu'!$G$110),'Progetto del paramento slu'!$G$111),'Progetto del paramento slu'!$G$112),55555)-IF(C406&lt;='SOLLECITAZ NASCOSTO'!$P$12,IF(C406&lt;='SOLLECITAZ NASCOSTO'!$P$11,IF(C406&lt;='SOLLECITAZ NASCOSTO'!$P$10,IF(C406&lt;='SOLLECITAZ NASCOSTO'!$P$9,IF(C406&lt;='SOLLECITAZ NASCOSTO'!$P$8,IF(C406&lt;='SOLLECITAZ NASCOSTO'!$P$7,IF(C406&lt;='SOLLECITAZ NASCOSTO'!$P$6,IF(C406&lt;='SOLLECITAZ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slu'!$G$112))*(C406-IF(C406&lt;='SOLLECITAZ NASCOSTO'!$P$12,IF(C406&lt;='SOLLECITAZ NASCOSTO'!$P$11,IF(C406&lt;='SOLLECITAZ NASCOSTO'!$P$10,IF(C406&lt;='SOLLECITAZ NASCOSTO'!$P$9,IF(C406&lt;='SOLLECITAZ NASCOSTO'!$P$8,IF(C406&lt;='SOLLECITAZ NASCOSTO'!$P$7,IF(C406&lt;='SOLLECITAZ NASCOSTO'!$P$6,IF(C406&lt;='SOLLECITAZ NASCOSTO'!$P$5,'SOLLECITAZ NASCOSTO'!$P$3,'SOLLECITAZ NASCOSTO'!$P$5),'SOLLECITAZ NASCOSTO'!$P$5),'SOLLECITAZ NASCOSTO'!$P$7),'SOLLECITAZ NASCOSTO'!$P$8),'SOLLECITAZ NASCOSTO'!$P$9),'SOLLECITAZ NASCOSTO'!$P$10),'SOLLECITAZ NASCOSTO'!$P$11),'SOLLECITAZ NASCOSTO'!$P$12))/IF(C406&lt;='SOLLECITAZ NASCOSTO'!$P$12,IF(C406&lt;='SOLLECITAZ NASCOSTO'!$P$11,IF(C406&lt;='SOLLECITAZ NASCOSTO'!$P$10,IF(C406&lt;='SOLLECITAZ NASCOSTO'!$P$9,IF(C406&lt;='SOLLECITAZ NASCOSTO'!$P$8,IF(C406&lt;='SOLLECITAZ NASCOSTO'!$P$7,IF(C406&lt;='SOLLECITAZ NASCOSTO'!$P$6,IF(C406&lt;='SOLLECITAZ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slu'!$C$112)+IF(C406&lt;='SOLLECITAZ NASCOSTO'!$P$12,IF(C406&lt;='SOLLECITAZ NASCOSTO'!$P$11,IF(C406&lt;='SOLLECITAZ NASCOSTO'!$P$10,IF(C406&lt;='SOLLECITAZ NASCOSTO'!$P$9,IF(C406&lt;='SOLLECITAZ NASCOSTO'!$P$8,IF(C406&lt;='SOLLECITAZ NASCOSTO'!$P$7,IF(C406&lt;='SOLLECITAZ NASCOSTO'!$P$6,IF(C406&lt;='SOLLECITAZ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22.145532124727477</v>
      </c>
      <c r="O407" s="42">
        <f>IF(C407&lt;='SOLLECITAZ NASCOSTO'!$P$12,IF(C407&lt;='SOLLECITAZ NASCOSTO'!$P$11,IF(C407&lt;='SOLLECITAZ NASCOSTO'!$P$10,IF(C407&lt;='SOLLECITAZ NASCOSTO'!$P$9,IF(C407&lt;='SOLLECITAZ NASCOSTO'!$P$8,IF(C407&lt;='SOLLECITAZ NASCOSTO'!$P$7,IF(C407&lt;='SOLLECITAZ NASCOSTO'!$P$6,IF(C407&lt;='SOLLECITAZ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slu'!$G$111),55555)*(C407-C406)/IF(C407&lt;='SOLLECITAZ NASCOSTO'!$P$12,IF(C407&lt;='SOLLECITAZ NASCOSTO'!$P$11,IF(C407&lt;='SOLLECITAZ NASCOSTO'!$P$10,IF(C407&lt;='SOLLECITAZ NASCOSTO'!$P$9,IF(C407&lt;='SOLLECITAZ NASCOSTO'!$P$8,IF(C407&lt;='SOLLECITAZ NASCOSTO'!$P$7,IF(C407&lt;='SOLLECITAZ NASCOSTO'!$P$6,IF(C407&lt;='SOLLECITAZ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07" s="42">
        <f t="shared" si="119"/>
        <v>3.7400000000000259E-4</v>
      </c>
      <c r="Q407" s="42">
        <f t="shared" si="117"/>
        <v>1</v>
      </c>
      <c r="R407" s="441">
        <f t="shared" si="108"/>
        <v>2.5691105769230771</v>
      </c>
      <c r="S407" s="46">
        <f t="shared" si="118"/>
        <v>2.5691105769230771</v>
      </c>
      <c r="T407" s="211">
        <f t="shared" si="112"/>
        <v>0.78088942307692299</v>
      </c>
      <c r="U407" s="46">
        <f t="shared" si="114"/>
        <v>33.83229163662547</v>
      </c>
      <c r="V407" s="46">
        <f t="shared" si="115"/>
        <v>-33.531754478159414</v>
      </c>
      <c r="W407" s="496"/>
    </row>
    <row r="408" spans="1:23" s="428" customFormat="1" x14ac:dyDescent="0.25">
      <c r="A408" s="589">
        <f t="shared" si="109"/>
        <v>9.038461538268816E-6</v>
      </c>
      <c r="B408" s="32">
        <f t="shared" si="110"/>
        <v>376</v>
      </c>
      <c r="C408" s="441">
        <f>'SOLLECITAZ NASCOSTO'!$D$6/'SOLLECITAZ NASCOSTO'!$B$448*'SOLLECITAZ NASCOSTO'!B408</f>
        <v>2.5759615384615384</v>
      </c>
      <c r="D408" s="441">
        <f t="shared" si="111"/>
        <v>0.30000903846153826</v>
      </c>
      <c r="E408" s="441">
        <f t="shared" si="102"/>
        <v>9.038461538268816E-6</v>
      </c>
      <c r="F408" s="441">
        <f t="shared" si="103"/>
        <v>0.30000903846153826</v>
      </c>
      <c r="G408" s="441">
        <f t="shared" si="104"/>
        <v>4.5002711579308373E-2</v>
      </c>
      <c r="H408" s="441">
        <f t="shared" si="120"/>
        <v>0</v>
      </c>
      <c r="I408" s="441">
        <v>0</v>
      </c>
      <c r="J408" s="131">
        <f t="shared" si="121"/>
        <v>0.15000451923076913</v>
      </c>
      <c r="K408" s="130">
        <f t="shared" si="107"/>
        <v>2.2502033715117069E-3</v>
      </c>
      <c r="L408" s="42">
        <f t="shared" si="122"/>
        <v>33.984504453432358</v>
      </c>
      <c r="M408" s="42">
        <f t="shared" si="113"/>
        <v>-33.764059608996746</v>
      </c>
      <c r="N408" s="42">
        <f>(IF(C407&lt;='SOLLECITAZ NASCOSTO'!$P$12,IF(C407&lt;='SOLLECITAZ NASCOSTO'!$P$11,IF(C407&lt;='SOLLECITAZ NASCOSTO'!$P$10,IF(C407&lt;='SOLLECITAZ NASCOSTO'!$P$9,IF(C407&lt;='SOLLECITAZ NASCOSTO'!$P$8,IF(C407&lt;='SOLLECITAZ NASCOSTO'!$P$7,IF(C407&lt;='SOLLECITAZ NASCOSTO'!$P$6,IF(C407&lt;='SOLLECITAZ NASCOSTO'!$P$5,'Progetto del paramento slu'!$G$105,'Progetto del paramento slu'!$G$106),'Progetto del paramento slu'!$G$107),'Progetto del paramento slu'!$G$108),'Progetto del paramento slu'!$G$109),'Progetto del paramento slu'!$G$110),'Progetto del paramento slu'!$G$111),'Progetto del paramento slu'!$G$112),55555)-IF(C407&lt;='SOLLECITAZ NASCOSTO'!$P$12,IF(C407&lt;='SOLLECITAZ NASCOSTO'!$P$11,IF(C407&lt;='SOLLECITAZ NASCOSTO'!$P$10,IF(C407&lt;='SOLLECITAZ NASCOSTO'!$P$9,IF(C407&lt;='SOLLECITAZ NASCOSTO'!$P$8,IF(C407&lt;='SOLLECITAZ NASCOSTO'!$P$7,IF(C407&lt;='SOLLECITAZ NASCOSTO'!$P$6,IF(C407&lt;='SOLLECITAZ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slu'!$G$112))*(C407-IF(C407&lt;='SOLLECITAZ NASCOSTO'!$P$12,IF(C407&lt;='SOLLECITAZ NASCOSTO'!$P$11,IF(C407&lt;='SOLLECITAZ NASCOSTO'!$P$10,IF(C407&lt;='SOLLECITAZ NASCOSTO'!$P$9,IF(C407&lt;='SOLLECITAZ NASCOSTO'!$P$8,IF(C407&lt;='SOLLECITAZ NASCOSTO'!$P$7,IF(C407&lt;='SOLLECITAZ NASCOSTO'!$P$6,IF(C407&lt;='SOLLECITAZ NASCOSTO'!$P$5,'SOLLECITAZ NASCOSTO'!$P$3,'SOLLECITAZ NASCOSTO'!$P$5),'SOLLECITAZ NASCOSTO'!$P$5),'SOLLECITAZ NASCOSTO'!$P$7),'SOLLECITAZ NASCOSTO'!$P$8),'SOLLECITAZ NASCOSTO'!$P$9),'SOLLECITAZ NASCOSTO'!$P$10),'SOLLECITAZ NASCOSTO'!$P$11),'SOLLECITAZ NASCOSTO'!$P$12))/IF(C407&lt;='SOLLECITAZ NASCOSTO'!$P$12,IF(C407&lt;='SOLLECITAZ NASCOSTO'!$P$11,IF(C407&lt;='SOLLECITAZ NASCOSTO'!$P$10,IF(C407&lt;='SOLLECITAZ NASCOSTO'!$P$9,IF(C407&lt;='SOLLECITAZ NASCOSTO'!$P$8,IF(C407&lt;='SOLLECITAZ NASCOSTO'!$P$7,IF(C407&lt;='SOLLECITAZ NASCOSTO'!$P$6,IF(C407&lt;='SOLLECITAZ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slu'!$C$112)+IF(C407&lt;='SOLLECITAZ NASCOSTO'!$P$12,IF(C407&lt;='SOLLECITAZ NASCOSTO'!$P$11,IF(C407&lt;='SOLLECITAZ NASCOSTO'!$P$10,IF(C407&lt;='SOLLECITAZ NASCOSTO'!$P$9,IF(C407&lt;='SOLLECITAZ NASCOSTO'!$P$8,IF(C407&lt;='SOLLECITAZ NASCOSTO'!$P$7,IF(C407&lt;='SOLLECITAZ NASCOSTO'!$P$6,IF(C407&lt;='SOLLECITAZ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22.193664343719831</v>
      </c>
      <c r="O408" s="42">
        <f>IF(C408&lt;='SOLLECITAZ NASCOSTO'!$P$12,IF(C408&lt;='SOLLECITAZ NASCOSTO'!$P$11,IF(C408&lt;='SOLLECITAZ NASCOSTO'!$P$10,IF(C408&lt;='SOLLECITAZ NASCOSTO'!$P$9,IF(C408&lt;='SOLLECITAZ NASCOSTO'!$P$8,IF(C408&lt;='SOLLECITAZ NASCOSTO'!$P$7,IF(C408&lt;='SOLLECITAZ NASCOSTO'!$P$6,IF(C408&lt;='SOLLECITAZ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slu'!$G$111),55555)*(C408-C407)/IF(C408&lt;='SOLLECITAZ NASCOSTO'!$P$12,IF(C408&lt;='SOLLECITAZ NASCOSTO'!$P$11,IF(C408&lt;='SOLLECITAZ NASCOSTO'!$P$10,IF(C408&lt;='SOLLECITAZ NASCOSTO'!$P$9,IF(C408&lt;='SOLLECITAZ NASCOSTO'!$P$8,IF(C408&lt;='SOLLECITAZ NASCOSTO'!$P$7,IF(C408&lt;='SOLLECITAZ NASCOSTO'!$P$6,IF(C408&lt;='SOLLECITAZ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08" s="42">
        <f t="shared" si="119"/>
        <v>3.7500000000000261E-4</v>
      </c>
      <c r="Q408" s="42">
        <f t="shared" si="117"/>
        <v>1</v>
      </c>
      <c r="R408" s="441">
        <f t="shared" si="108"/>
        <v>2.5759615384615384</v>
      </c>
      <c r="S408" s="46">
        <f t="shared" si="118"/>
        <v>2.5759615384615384</v>
      </c>
      <c r="T408" s="211">
        <f t="shared" si="112"/>
        <v>0.77403846153846168</v>
      </c>
      <c r="U408" s="46">
        <f t="shared" si="114"/>
        <v>33.984504453432358</v>
      </c>
      <c r="V408" s="46">
        <f t="shared" si="115"/>
        <v>-33.764059608996746</v>
      </c>
      <c r="W408" s="496"/>
    </row>
    <row r="409" spans="1:23" x14ac:dyDescent="0.25">
      <c r="A409" s="589">
        <f t="shared" si="109"/>
        <v>9.0624999998234479E-6</v>
      </c>
      <c r="B409" s="32">
        <f t="shared" si="110"/>
        <v>377</v>
      </c>
      <c r="C409" s="441">
        <f>'SOLLECITAZ NASCOSTO'!$D$6/'SOLLECITAZ NASCOSTO'!$B$448*'SOLLECITAZ NASCOSTO'!B409</f>
        <v>2.5828125000000002</v>
      </c>
      <c r="D409" s="441">
        <f t="shared" si="111"/>
        <v>0.30000906249999981</v>
      </c>
      <c r="E409" s="441">
        <f t="shared" si="102"/>
        <v>9.0624999998234479E-6</v>
      </c>
      <c r="F409" s="441">
        <f t="shared" si="103"/>
        <v>0.30000906249999981</v>
      </c>
      <c r="G409" s="441">
        <f t="shared" si="104"/>
        <v>4.5002718791064399E-2</v>
      </c>
      <c r="H409" s="441">
        <f t="shared" si="120"/>
        <v>0</v>
      </c>
      <c r="I409" s="441">
        <v>0</v>
      </c>
      <c r="J409" s="131">
        <f t="shared" si="121"/>
        <v>0.15000453124999991</v>
      </c>
      <c r="K409" s="130">
        <f t="shared" si="107"/>
        <v>2.250203912409726E-3</v>
      </c>
      <c r="L409" s="42">
        <f t="shared" si="122"/>
        <v>34.137047022220329</v>
      </c>
      <c r="M409" s="42">
        <f t="shared" si="113"/>
        <v>-33.997408673546765</v>
      </c>
      <c r="N409" s="42">
        <f>(IF(C408&lt;='SOLLECITAZ NASCOSTO'!$P$12,IF(C408&lt;='SOLLECITAZ NASCOSTO'!$P$11,IF(C408&lt;='SOLLECITAZ NASCOSTO'!$P$10,IF(C408&lt;='SOLLECITAZ NASCOSTO'!$P$9,IF(C408&lt;='SOLLECITAZ NASCOSTO'!$P$8,IF(C408&lt;='SOLLECITAZ NASCOSTO'!$P$7,IF(C408&lt;='SOLLECITAZ NASCOSTO'!$P$6,IF(C408&lt;='SOLLECITAZ NASCOSTO'!$P$5,'Progetto del paramento slu'!$G$105,'Progetto del paramento slu'!$G$106),'Progetto del paramento slu'!$G$107),'Progetto del paramento slu'!$G$108),'Progetto del paramento slu'!$G$109),'Progetto del paramento slu'!$G$110),'Progetto del paramento slu'!$G$111),'Progetto del paramento slu'!$G$112),55555)-IF(C408&lt;='SOLLECITAZ NASCOSTO'!$P$12,IF(C408&lt;='SOLLECITAZ NASCOSTO'!$P$11,IF(C408&lt;='SOLLECITAZ NASCOSTO'!$P$10,IF(C408&lt;='SOLLECITAZ NASCOSTO'!$P$9,IF(C408&lt;='SOLLECITAZ NASCOSTO'!$P$8,IF(C408&lt;='SOLLECITAZ NASCOSTO'!$P$7,IF(C408&lt;='SOLLECITAZ NASCOSTO'!$P$6,IF(C408&lt;='SOLLECITAZ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slu'!$G$112))*(C408-IF(C408&lt;='SOLLECITAZ NASCOSTO'!$P$12,IF(C408&lt;='SOLLECITAZ NASCOSTO'!$P$11,IF(C408&lt;='SOLLECITAZ NASCOSTO'!$P$10,IF(C408&lt;='SOLLECITAZ NASCOSTO'!$P$9,IF(C408&lt;='SOLLECITAZ NASCOSTO'!$P$8,IF(C408&lt;='SOLLECITAZ NASCOSTO'!$P$7,IF(C408&lt;='SOLLECITAZ NASCOSTO'!$P$6,IF(C408&lt;='SOLLECITAZ NASCOSTO'!$P$5,'SOLLECITAZ NASCOSTO'!$P$3,'SOLLECITAZ NASCOSTO'!$P$5),'SOLLECITAZ NASCOSTO'!$P$5),'SOLLECITAZ NASCOSTO'!$P$7),'SOLLECITAZ NASCOSTO'!$P$8),'SOLLECITAZ NASCOSTO'!$P$9),'SOLLECITAZ NASCOSTO'!$P$10),'SOLLECITAZ NASCOSTO'!$P$11),'SOLLECITAZ NASCOSTO'!$P$12))/IF(C408&lt;='SOLLECITAZ NASCOSTO'!$P$12,IF(C408&lt;='SOLLECITAZ NASCOSTO'!$P$11,IF(C408&lt;='SOLLECITAZ NASCOSTO'!$P$10,IF(C408&lt;='SOLLECITAZ NASCOSTO'!$P$9,IF(C408&lt;='SOLLECITAZ NASCOSTO'!$P$8,IF(C408&lt;='SOLLECITAZ NASCOSTO'!$P$7,IF(C408&lt;='SOLLECITAZ NASCOSTO'!$P$6,IF(C408&lt;='SOLLECITAZ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slu'!$C$112)+IF(C408&lt;='SOLLECITAZ NASCOSTO'!$P$12,IF(C408&lt;='SOLLECITAZ NASCOSTO'!$P$11,IF(C408&lt;='SOLLECITAZ NASCOSTO'!$P$10,IF(C408&lt;='SOLLECITAZ NASCOSTO'!$P$9,IF(C408&lt;='SOLLECITAZ NASCOSTO'!$P$8,IF(C408&lt;='SOLLECITAZ NASCOSTO'!$P$7,IF(C408&lt;='SOLLECITAZ NASCOSTO'!$P$6,IF(C408&lt;='SOLLECITAZ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22.241796562712182</v>
      </c>
      <c r="O409" s="42">
        <f>IF(C409&lt;='SOLLECITAZ NASCOSTO'!$P$12,IF(C409&lt;='SOLLECITAZ NASCOSTO'!$P$11,IF(C409&lt;='SOLLECITAZ NASCOSTO'!$P$10,IF(C409&lt;='SOLLECITAZ NASCOSTO'!$P$9,IF(C409&lt;='SOLLECITAZ NASCOSTO'!$P$8,IF(C409&lt;='SOLLECITAZ NASCOSTO'!$P$7,IF(C409&lt;='SOLLECITAZ NASCOSTO'!$P$6,IF(C409&lt;='SOLLECITAZ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slu'!$G$111),55555)*(C409-C408)/IF(C409&lt;='SOLLECITAZ NASCOSTO'!$P$12,IF(C409&lt;='SOLLECITAZ NASCOSTO'!$P$11,IF(C409&lt;='SOLLECITAZ NASCOSTO'!$P$10,IF(C409&lt;='SOLLECITAZ NASCOSTO'!$P$9,IF(C409&lt;='SOLLECITAZ NASCOSTO'!$P$8,IF(C409&lt;='SOLLECITAZ NASCOSTO'!$P$7,IF(C409&lt;='SOLLECITAZ NASCOSTO'!$P$6,IF(C409&lt;='SOLLECITAZ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09" s="42">
        <f t="shared" si="119"/>
        <v>3.7600000000000263E-4</v>
      </c>
      <c r="Q409" s="42">
        <f t="shared" si="117"/>
        <v>1</v>
      </c>
      <c r="R409" s="441">
        <f t="shared" si="108"/>
        <v>2.5828125000000002</v>
      </c>
      <c r="S409" s="46">
        <f t="shared" si="118"/>
        <v>2.5828125000000002</v>
      </c>
      <c r="T409" s="211">
        <f t="shared" si="112"/>
        <v>0.76718749999999991</v>
      </c>
      <c r="U409" s="46">
        <f t="shared" si="114"/>
        <v>34.137047022220329</v>
      </c>
      <c r="V409" s="46">
        <f t="shared" si="115"/>
        <v>-33.997408673546765</v>
      </c>
      <c r="W409" s="496"/>
    </row>
    <row r="410" spans="1:23" x14ac:dyDescent="0.25">
      <c r="A410" s="589">
        <f t="shared" si="109"/>
        <v>9.0865384613225686E-6</v>
      </c>
      <c r="B410" s="32">
        <f t="shared" si="110"/>
        <v>378</v>
      </c>
      <c r="C410" s="441">
        <f>'SOLLECITAZ NASCOSTO'!$D$6/'SOLLECITAZ NASCOSTO'!$B$448*'SOLLECITAZ NASCOSTO'!B410</f>
        <v>2.5896634615384615</v>
      </c>
      <c r="D410" s="441">
        <f t="shared" si="111"/>
        <v>0.30000908653846131</v>
      </c>
      <c r="E410" s="441">
        <f t="shared" si="102"/>
        <v>9.0865384613225686E-6</v>
      </c>
      <c r="F410" s="441">
        <f t="shared" si="103"/>
        <v>0.30000908653846131</v>
      </c>
      <c r="G410" s="441">
        <f t="shared" si="104"/>
        <v>4.5002726002820986E-2</v>
      </c>
      <c r="H410" s="441">
        <f t="shared" si="120"/>
        <v>0</v>
      </c>
      <c r="I410" s="441">
        <v>0</v>
      </c>
      <c r="J410" s="131">
        <f t="shared" si="121"/>
        <v>0.15000454326923066</v>
      </c>
      <c r="K410" s="130">
        <f t="shared" si="107"/>
        <v>2.2502044533078309E-3</v>
      </c>
      <c r="L410" s="42">
        <f t="shared" si="122"/>
        <v>34.289919342989371</v>
      </c>
      <c r="M410" s="42">
        <f t="shared" si="113"/>
        <v>-34.231803930927583</v>
      </c>
      <c r="N410" s="42">
        <f>(IF(C409&lt;='SOLLECITAZ NASCOSTO'!$P$12,IF(C409&lt;='SOLLECITAZ NASCOSTO'!$P$11,IF(C409&lt;='SOLLECITAZ NASCOSTO'!$P$10,IF(C409&lt;='SOLLECITAZ NASCOSTO'!$P$9,IF(C409&lt;='SOLLECITAZ NASCOSTO'!$P$8,IF(C409&lt;='SOLLECITAZ NASCOSTO'!$P$7,IF(C409&lt;='SOLLECITAZ NASCOSTO'!$P$6,IF(C409&lt;='SOLLECITAZ NASCOSTO'!$P$5,'Progetto del paramento slu'!$G$105,'Progetto del paramento slu'!$G$106),'Progetto del paramento slu'!$G$107),'Progetto del paramento slu'!$G$108),'Progetto del paramento slu'!$G$109),'Progetto del paramento slu'!$G$110),'Progetto del paramento slu'!$G$111),'Progetto del paramento slu'!$G$112),55555)-IF(C409&lt;='SOLLECITAZ NASCOSTO'!$P$12,IF(C409&lt;='SOLLECITAZ NASCOSTO'!$P$11,IF(C409&lt;='SOLLECITAZ NASCOSTO'!$P$10,IF(C409&lt;='SOLLECITAZ NASCOSTO'!$P$9,IF(C409&lt;='SOLLECITAZ NASCOSTO'!$P$8,IF(C409&lt;='SOLLECITAZ NASCOSTO'!$P$7,IF(C409&lt;='SOLLECITAZ NASCOSTO'!$P$6,IF(C409&lt;='SOLLECITAZ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slu'!$G$112))*(C409-IF(C409&lt;='SOLLECITAZ NASCOSTO'!$P$12,IF(C409&lt;='SOLLECITAZ NASCOSTO'!$P$11,IF(C409&lt;='SOLLECITAZ NASCOSTO'!$P$10,IF(C409&lt;='SOLLECITAZ NASCOSTO'!$P$9,IF(C409&lt;='SOLLECITAZ NASCOSTO'!$P$8,IF(C409&lt;='SOLLECITAZ NASCOSTO'!$P$7,IF(C409&lt;='SOLLECITAZ NASCOSTO'!$P$6,IF(C409&lt;='SOLLECITAZ NASCOSTO'!$P$5,'SOLLECITAZ NASCOSTO'!$P$3,'SOLLECITAZ NASCOSTO'!$P$5),'SOLLECITAZ NASCOSTO'!$P$5),'SOLLECITAZ NASCOSTO'!$P$7),'SOLLECITAZ NASCOSTO'!$P$8),'SOLLECITAZ NASCOSTO'!$P$9),'SOLLECITAZ NASCOSTO'!$P$10),'SOLLECITAZ NASCOSTO'!$P$11),'SOLLECITAZ NASCOSTO'!$P$12))/IF(C409&lt;='SOLLECITAZ NASCOSTO'!$P$12,IF(C409&lt;='SOLLECITAZ NASCOSTO'!$P$11,IF(C409&lt;='SOLLECITAZ NASCOSTO'!$P$10,IF(C409&lt;='SOLLECITAZ NASCOSTO'!$P$9,IF(C409&lt;='SOLLECITAZ NASCOSTO'!$P$8,IF(C409&lt;='SOLLECITAZ NASCOSTO'!$P$7,IF(C409&lt;='SOLLECITAZ NASCOSTO'!$P$6,IF(C409&lt;='SOLLECITAZ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slu'!$C$112)+IF(C409&lt;='SOLLECITAZ NASCOSTO'!$P$12,IF(C409&lt;='SOLLECITAZ NASCOSTO'!$P$11,IF(C409&lt;='SOLLECITAZ NASCOSTO'!$P$10,IF(C409&lt;='SOLLECITAZ NASCOSTO'!$P$9,IF(C409&lt;='SOLLECITAZ NASCOSTO'!$P$8,IF(C409&lt;='SOLLECITAZ NASCOSTO'!$P$7,IF(C409&lt;='SOLLECITAZ NASCOSTO'!$P$6,IF(C409&lt;='SOLLECITAZ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22.289928781704536</v>
      </c>
      <c r="O410" s="42">
        <f>IF(C410&lt;='SOLLECITAZ NASCOSTO'!$P$12,IF(C410&lt;='SOLLECITAZ NASCOSTO'!$P$11,IF(C410&lt;='SOLLECITAZ NASCOSTO'!$P$10,IF(C410&lt;='SOLLECITAZ NASCOSTO'!$P$9,IF(C410&lt;='SOLLECITAZ NASCOSTO'!$P$8,IF(C410&lt;='SOLLECITAZ NASCOSTO'!$P$7,IF(C410&lt;='SOLLECITAZ NASCOSTO'!$P$6,IF(C410&lt;='SOLLECITAZ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slu'!$G$111),55555)*(C410-C409)/IF(C410&lt;='SOLLECITAZ NASCOSTO'!$P$12,IF(C410&lt;='SOLLECITAZ NASCOSTO'!$P$11,IF(C410&lt;='SOLLECITAZ NASCOSTO'!$P$10,IF(C410&lt;='SOLLECITAZ NASCOSTO'!$P$9,IF(C410&lt;='SOLLECITAZ NASCOSTO'!$P$8,IF(C410&lt;='SOLLECITAZ NASCOSTO'!$P$7,IF(C410&lt;='SOLLECITAZ NASCOSTO'!$P$6,IF(C410&lt;='SOLLECITAZ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10" s="42">
        <f t="shared" si="119"/>
        <v>3.7700000000000266E-4</v>
      </c>
      <c r="Q410" s="42">
        <f t="shared" si="117"/>
        <v>1</v>
      </c>
      <c r="R410" s="441">
        <f t="shared" si="108"/>
        <v>2.5896634615384615</v>
      </c>
      <c r="S410" s="46">
        <f t="shared" si="118"/>
        <v>2.5896634615384615</v>
      </c>
      <c r="T410" s="211">
        <f t="shared" si="112"/>
        <v>0.76033653846153859</v>
      </c>
      <c r="U410" s="46">
        <f t="shared" si="114"/>
        <v>34.289919342989371</v>
      </c>
      <c r="V410" s="46">
        <f t="shared" si="115"/>
        <v>-34.231803930927583</v>
      </c>
      <c r="W410" s="496"/>
    </row>
    <row r="411" spans="1:23" x14ac:dyDescent="0.25">
      <c r="A411" s="589">
        <f t="shared" si="109"/>
        <v>9.1105769228772004E-6</v>
      </c>
      <c r="B411" s="32">
        <f t="shared" si="110"/>
        <v>379</v>
      </c>
      <c r="C411" s="441">
        <f>'SOLLECITAZ NASCOSTO'!$D$6/'SOLLECITAZ NASCOSTO'!$B$448*'SOLLECITAZ NASCOSTO'!B411</f>
        <v>2.5965144230769233</v>
      </c>
      <c r="D411" s="441">
        <f t="shared" si="111"/>
        <v>0.30000911057692287</v>
      </c>
      <c r="E411" s="441">
        <f t="shared" si="102"/>
        <v>9.1105769228772004E-6</v>
      </c>
      <c r="F411" s="441">
        <f t="shared" si="103"/>
        <v>0.30000911057692287</v>
      </c>
      <c r="G411" s="441">
        <f t="shared" si="104"/>
        <v>4.5002733214578171E-2</v>
      </c>
      <c r="H411" s="441">
        <f t="shared" si="120"/>
        <v>0</v>
      </c>
      <c r="I411" s="441">
        <v>0</v>
      </c>
      <c r="J411" s="131">
        <f t="shared" si="121"/>
        <v>0.15000455528846146</v>
      </c>
      <c r="K411" s="130">
        <f t="shared" si="107"/>
        <v>2.2502049942060235E-3</v>
      </c>
      <c r="L411" s="42">
        <f t="shared" si="122"/>
        <v>34.443121415739498</v>
      </c>
      <c r="M411" s="42">
        <f t="shared" si="113"/>
        <v>-34.467247640257369</v>
      </c>
      <c r="N411" s="42">
        <f>(IF(C410&lt;='SOLLECITAZ NASCOSTO'!$P$12,IF(C410&lt;='SOLLECITAZ NASCOSTO'!$P$11,IF(C410&lt;='SOLLECITAZ NASCOSTO'!$P$10,IF(C410&lt;='SOLLECITAZ NASCOSTO'!$P$9,IF(C410&lt;='SOLLECITAZ NASCOSTO'!$P$8,IF(C410&lt;='SOLLECITAZ NASCOSTO'!$P$7,IF(C410&lt;='SOLLECITAZ NASCOSTO'!$P$6,IF(C410&lt;='SOLLECITAZ NASCOSTO'!$P$5,'Progetto del paramento slu'!$G$105,'Progetto del paramento slu'!$G$106),'Progetto del paramento slu'!$G$107),'Progetto del paramento slu'!$G$108),'Progetto del paramento slu'!$G$109),'Progetto del paramento slu'!$G$110),'Progetto del paramento slu'!$G$111),'Progetto del paramento slu'!$G$112),55555)-IF(C410&lt;='SOLLECITAZ NASCOSTO'!$P$12,IF(C410&lt;='SOLLECITAZ NASCOSTO'!$P$11,IF(C410&lt;='SOLLECITAZ NASCOSTO'!$P$10,IF(C410&lt;='SOLLECITAZ NASCOSTO'!$P$9,IF(C410&lt;='SOLLECITAZ NASCOSTO'!$P$8,IF(C410&lt;='SOLLECITAZ NASCOSTO'!$P$7,IF(C410&lt;='SOLLECITAZ NASCOSTO'!$P$6,IF(C410&lt;='SOLLECITAZ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slu'!$G$112))*(C410-IF(C410&lt;='SOLLECITAZ NASCOSTO'!$P$12,IF(C410&lt;='SOLLECITAZ NASCOSTO'!$P$11,IF(C410&lt;='SOLLECITAZ NASCOSTO'!$P$10,IF(C410&lt;='SOLLECITAZ NASCOSTO'!$P$9,IF(C410&lt;='SOLLECITAZ NASCOSTO'!$P$8,IF(C410&lt;='SOLLECITAZ NASCOSTO'!$P$7,IF(C410&lt;='SOLLECITAZ NASCOSTO'!$P$6,IF(C410&lt;='SOLLECITAZ NASCOSTO'!$P$5,'SOLLECITAZ NASCOSTO'!$P$3,'SOLLECITAZ NASCOSTO'!$P$5),'SOLLECITAZ NASCOSTO'!$P$5),'SOLLECITAZ NASCOSTO'!$P$7),'SOLLECITAZ NASCOSTO'!$P$8),'SOLLECITAZ NASCOSTO'!$P$9),'SOLLECITAZ NASCOSTO'!$P$10),'SOLLECITAZ NASCOSTO'!$P$11),'SOLLECITAZ NASCOSTO'!$P$12))/IF(C410&lt;='SOLLECITAZ NASCOSTO'!$P$12,IF(C410&lt;='SOLLECITAZ NASCOSTO'!$P$11,IF(C410&lt;='SOLLECITAZ NASCOSTO'!$P$10,IF(C410&lt;='SOLLECITAZ NASCOSTO'!$P$9,IF(C410&lt;='SOLLECITAZ NASCOSTO'!$P$8,IF(C410&lt;='SOLLECITAZ NASCOSTO'!$P$7,IF(C410&lt;='SOLLECITAZ NASCOSTO'!$P$6,IF(C410&lt;='SOLLECITAZ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slu'!$C$112)+IF(C410&lt;='SOLLECITAZ NASCOSTO'!$P$12,IF(C410&lt;='SOLLECITAZ NASCOSTO'!$P$11,IF(C410&lt;='SOLLECITAZ NASCOSTO'!$P$10,IF(C410&lt;='SOLLECITAZ NASCOSTO'!$P$9,IF(C410&lt;='SOLLECITAZ NASCOSTO'!$P$8,IF(C410&lt;='SOLLECITAZ NASCOSTO'!$P$7,IF(C410&lt;='SOLLECITAZ NASCOSTO'!$P$6,IF(C410&lt;='SOLLECITAZ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22.338061000696886</v>
      </c>
      <c r="O411" s="42">
        <f>IF(C411&lt;='SOLLECITAZ NASCOSTO'!$P$12,IF(C411&lt;='SOLLECITAZ NASCOSTO'!$P$11,IF(C411&lt;='SOLLECITAZ NASCOSTO'!$P$10,IF(C411&lt;='SOLLECITAZ NASCOSTO'!$P$9,IF(C411&lt;='SOLLECITAZ NASCOSTO'!$P$8,IF(C411&lt;='SOLLECITAZ NASCOSTO'!$P$7,IF(C411&lt;='SOLLECITAZ NASCOSTO'!$P$6,IF(C411&lt;='SOLLECITAZ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slu'!$G$111),55555)*(C411-C410)/IF(C411&lt;='SOLLECITAZ NASCOSTO'!$P$12,IF(C411&lt;='SOLLECITAZ NASCOSTO'!$P$11,IF(C411&lt;='SOLLECITAZ NASCOSTO'!$P$10,IF(C411&lt;='SOLLECITAZ NASCOSTO'!$P$9,IF(C411&lt;='SOLLECITAZ NASCOSTO'!$P$8,IF(C411&lt;='SOLLECITAZ NASCOSTO'!$P$7,IF(C411&lt;='SOLLECITAZ NASCOSTO'!$P$6,IF(C411&lt;='SOLLECITAZ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11" s="42">
        <f t="shared" si="119"/>
        <v>3.7800000000000268E-4</v>
      </c>
      <c r="Q411" s="42">
        <f t="shared" si="117"/>
        <v>1</v>
      </c>
      <c r="R411" s="441">
        <f t="shared" si="108"/>
        <v>2.5965144230769233</v>
      </c>
      <c r="S411" s="46">
        <f t="shared" si="118"/>
        <v>2.5965144230769233</v>
      </c>
      <c r="T411" s="211">
        <f t="shared" si="112"/>
        <v>0.75348557692307683</v>
      </c>
      <c r="U411" s="46">
        <f t="shared" si="114"/>
        <v>34.443121415739498</v>
      </c>
      <c r="V411" s="46">
        <f t="shared" si="115"/>
        <v>-34.467247640257369</v>
      </c>
      <c r="W411" s="496"/>
    </row>
    <row r="412" spans="1:23" x14ac:dyDescent="0.25">
      <c r="A412" s="589">
        <f t="shared" si="109"/>
        <v>9.1346153844318323E-6</v>
      </c>
      <c r="B412" s="32">
        <f t="shared" si="110"/>
        <v>380</v>
      </c>
      <c r="C412" s="441">
        <f>'SOLLECITAZ NASCOSTO'!$D$6/'SOLLECITAZ NASCOSTO'!$B$448*'SOLLECITAZ NASCOSTO'!B412</f>
        <v>2.6033653846153846</v>
      </c>
      <c r="D412" s="441">
        <f t="shared" si="111"/>
        <v>0.30000913461538442</v>
      </c>
      <c r="E412" s="441">
        <f t="shared" si="102"/>
        <v>9.1346153844318323E-6</v>
      </c>
      <c r="F412" s="441">
        <f t="shared" si="103"/>
        <v>0.30000913461538442</v>
      </c>
      <c r="G412" s="441">
        <f t="shared" si="104"/>
        <v>4.5002740426335924E-2</v>
      </c>
      <c r="H412" s="441">
        <f t="shared" si="120"/>
        <v>0</v>
      </c>
      <c r="I412" s="441">
        <v>0</v>
      </c>
      <c r="J412" s="131">
        <f t="shared" si="121"/>
        <v>0.15000456730769221</v>
      </c>
      <c r="K412" s="130">
        <f t="shared" si="107"/>
        <v>2.2502055351043028E-3</v>
      </c>
      <c r="L412" s="42">
        <f t="shared" si="122"/>
        <v>34.596653240470694</v>
      </c>
      <c r="M412" s="42">
        <f t="shared" si="113"/>
        <v>-34.703742060654236</v>
      </c>
      <c r="N412" s="42">
        <f>(IF(C411&lt;='SOLLECITAZ NASCOSTO'!$P$12,IF(C411&lt;='SOLLECITAZ NASCOSTO'!$P$11,IF(C411&lt;='SOLLECITAZ NASCOSTO'!$P$10,IF(C411&lt;='SOLLECITAZ NASCOSTO'!$P$9,IF(C411&lt;='SOLLECITAZ NASCOSTO'!$P$8,IF(C411&lt;='SOLLECITAZ NASCOSTO'!$P$7,IF(C411&lt;='SOLLECITAZ NASCOSTO'!$P$6,IF(C411&lt;='SOLLECITAZ NASCOSTO'!$P$5,'Progetto del paramento slu'!$G$105,'Progetto del paramento slu'!$G$106),'Progetto del paramento slu'!$G$107),'Progetto del paramento slu'!$G$108),'Progetto del paramento slu'!$G$109),'Progetto del paramento slu'!$G$110),'Progetto del paramento slu'!$G$111),'Progetto del paramento slu'!$G$112),55555)-IF(C411&lt;='SOLLECITAZ NASCOSTO'!$P$12,IF(C411&lt;='SOLLECITAZ NASCOSTO'!$P$11,IF(C411&lt;='SOLLECITAZ NASCOSTO'!$P$10,IF(C411&lt;='SOLLECITAZ NASCOSTO'!$P$9,IF(C411&lt;='SOLLECITAZ NASCOSTO'!$P$8,IF(C411&lt;='SOLLECITAZ NASCOSTO'!$P$7,IF(C411&lt;='SOLLECITAZ NASCOSTO'!$P$6,IF(C411&lt;='SOLLECITAZ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slu'!$G$112))*(C411-IF(C411&lt;='SOLLECITAZ NASCOSTO'!$P$12,IF(C411&lt;='SOLLECITAZ NASCOSTO'!$P$11,IF(C411&lt;='SOLLECITAZ NASCOSTO'!$P$10,IF(C411&lt;='SOLLECITAZ NASCOSTO'!$P$9,IF(C411&lt;='SOLLECITAZ NASCOSTO'!$P$8,IF(C411&lt;='SOLLECITAZ NASCOSTO'!$P$7,IF(C411&lt;='SOLLECITAZ NASCOSTO'!$P$6,IF(C411&lt;='SOLLECITAZ NASCOSTO'!$P$5,'SOLLECITAZ NASCOSTO'!$P$3,'SOLLECITAZ NASCOSTO'!$P$5),'SOLLECITAZ NASCOSTO'!$P$5),'SOLLECITAZ NASCOSTO'!$P$7),'SOLLECITAZ NASCOSTO'!$P$8),'SOLLECITAZ NASCOSTO'!$P$9),'SOLLECITAZ NASCOSTO'!$P$10),'SOLLECITAZ NASCOSTO'!$P$11),'SOLLECITAZ NASCOSTO'!$P$12))/IF(C411&lt;='SOLLECITAZ NASCOSTO'!$P$12,IF(C411&lt;='SOLLECITAZ NASCOSTO'!$P$11,IF(C411&lt;='SOLLECITAZ NASCOSTO'!$P$10,IF(C411&lt;='SOLLECITAZ NASCOSTO'!$P$9,IF(C411&lt;='SOLLECITAZ NASCOSTO'!$P$8,IF(C411&lt;='SOLLECITAZ NASCOSTO'!$P$7,IF(C411&lt;='SOLLECITAZ NASCOSTO'!$P$6,IF(C411&lt;='SOLLECITAZ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slu'!$C$112)+IF(C411&lt;='SOLLECITAZ NASCOSTO'!$P$12,IF(C411&lt;='SOLLECITAZ NASCOSTO'!$P$11,IF(C411&lt;='SOLLECITAZ NASCOSTO'!$P$10,IF(C411&lt;='SOLLECITAZ NASCOSTO'!$P$9,IF(C411&lt;='SOLLECITAZ NASCOSTO'!$P$8,IF(C411&lt;='SOLLECITAZ NASCOSTO'!$P$7,IF(C411&lt;='SOLLECITAZ NASCOSTO'!$P$6,IF(C411&lt;='SOLLECITAZ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22.38619321968924</v>
      </c>
      <c r="O412" s="42">
        <f>IF(C412&lt;='SOLLECITAZ NASCOSTO'!$P$12,IF(C412&lt;='SOLLECITAZ NASCOSTO'!$P$11,IF(C412&lt;='SOLLECITAZ NASCOSTO'!$P$10,IF(C412&lt;='SOLLECITAZ NASCOSTO'!$P$9,IF(C412&lt;='SOLLECITAZ NASCOSTO'!$P$8,IF(C412&lt;='SOLLECITAZ NASCOSTO'!$P$7,IF(C412&lt;='SOLLECITAZ NASCOSTO'!$P$6,IF(C412&lt;='SOLLECITAZ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slu'!$G$111),55555)*(C412-C411)/IF(C412&lt;='SOLLECITAZ NASCOSTO'!$P$12,IF(C412&lt;='SOLLECITAZ NASCOSTO'!$P$11,IF(C412&lt;='SOLLECITAZ NASCOSTO'!$P$10,IF(C412&lt;='SOLLECITAZ NASCOSTO'!$P$9,IF(C412&lt;='SOLLECITAZ NASCOSTO'!$P$8,IF(C412&lt;='SOLLECITAZ NASCOSTO'!$P$7,IF(C412&lt;='SOLLECITAZ NASCOSTO'!$P$6,IF(C412&lt;='SOLLECITAZ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12" s="42">
        <f t="shared" si="119"/>
        <v>3.7900000000000271E-4</v>
      </c>
      <c r="Q412" s="42">
        <f t="shared" si="117"/>
        <v>1</v>
      </c>
      <c r="R412" s="441">
        <f t="shared" si="108"/>
        <v>2.6033653846153846</v>
      </c>
      <c r="S412" s="46">
        <f t="shared" si="118"/>
        <v>2.6033653846153846</v>
      </c>
      <c r="T412" s="211">
        <f t="shared" si="112"/>
        <v>0.74663461538461551</v>
      </c>
      <c r="U412" s="46">
        <f t="shared" si="114"/>
        <v>34.596653240470694</v>
      </c>
      <c r="V412" s="46">
        <f t="shared" si="115"/>
        <v>-34.703742060654236</v>
      </c>
      <c r="W412" s="496"/>
    </row>
    <row r="413" spans="1:23" x14ac:dyDescent="0.25">
      <c r="A413" s="589">
        <f t="shared" si="109"/>
        <v>9.158653845930953E-6</v>
      </c>
      <c r="B413" s="32">
        <f t="shared" si="110"/>
        <v>381</v>
      </c>
      <c r="C413" s="441">
        <f>'SOLLECITAZ NASCOSTO'!$D$6/'SOLLECITAZ NASCOSTO'!$B$448*'SOLLECITAZ NASCOSTO'!B413</f>
        <v>2.6102163461538463</v>
      </c>
      <c r="D413" s="441">
        <f t="shared" si="111"/>
        <v>0.30000915865384592</v>
      </c>
      <c r="E413" s="441">
        <f t="shared" si="102"/>
        <v>9.158653845930953E-6</v>
      </c>
      <c r="F413" s="441">
        <f t="shared" si="103"/>
        <v>0.30000915865384592</v>
      </c>
      <c r="G413" s="441">
        <f t="shared" si="104"/>
        <v>4.5002747638094247E-2</v>
      </c>
      <c r="H413" s="441">
        <f t="shared" si="120"/>
        <v>0</v>
      </c>
      <c r="I413" s="441">
        <v>0</v>
      </c>
      <c r="J413" s="131">
        <f t="shared" si="121"/>
        <v>0.15000457932692296</v>
      </c>
      <c r="K413" s="130">
        <f t="shared" si="107"/>
        <v>2.250206076002668E-3</v>
      </c>
      <c r="L413" s="42">
        <f t="shared" si="122"/>
        <v>34.750514817182975</v>
      </c>
      <c r="M413" s="42">
        <f t="shared" si="113"/>
        <v>-34.941289451236351</v>
      </c>
      <c r="N413" s="42">
        <f>(IF(C412&lt;='SOLLECITAZ NASCOSTO'!$P$12,IF(C412&lt;='SOLLECITAZ NASCOSTO'!$P$11,IF(C412&lt;='SOLLECITAZ NASCOSTO'!$P$10,IF(C412&lt;='SOLLECITAZ NASCOSTO'!$P$9,IF(C412&lt;='SOLLECITAZ NASCOSTO'!$P$8,IF(C412&lt;='SOLLECITAZ NASCOSTO'!$P$7,IF(C412&lt;='SOLLECITAZ NASCOSTO'!$P$6,IF(C412&lt;='SOLLECITAZ NASCOSTO'!$P$5,'Progetto del paramento slu'!$G$105,'Progetto del paramento slu'!$G$106),'Progetto del paramento slu'!$G$107),'Progetto del paramento slu'!$G$108),'Progetto del paramento slu'!$G$109),'Progetto del paramento slu'!$G$110),'Progetto del paramento slu'!$G$111),'Progetto del paramento slu'!$G$112),55555)-IF(C412&lt;='SOLLECITAZ NASCOSTO'!$P$12,IF(C412&lt;='SOLLECITAZ NASCOSTO'!$P$11,IF(C412&lt;='SOLLECITAZ NASCOSTO'!$P$10,IF(C412&lt;='SOLLECITAZ NASCOSTO'!$P$9,IF(C412&lt;='SOLLECITAZ NASCOSTO'!$P$8,IF(C412&lt;='SOLLECITAZ NASCOSTO'!$P$7,IF(C412&lt;='SOLLECITAZ NASCOSTO'!$P$6,IF(C412&lt;='SOLLECITAZ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slu'!$G$112))*(C412-IF(C412&lt;='SOLLECITAZ NASCOSTO'!$P$12,IF(C412&lt;='SOLLECITAZ NASCOSTO'!$P$11,IF(C412&lt;='SOLLECITAZ NASCOSTO'!$P$10,IF(C412&lt;='SOLLECITAZ NASCOSTO'!$P$9,IF(C412&lt;='SOLLECITAZ NASCOSTO'!$P$8,IF(C412&lt;='SOLLECITAZ NASCOSTO'!$P$7,IF(C412&lt;='SOLLECITAZ NASCOSTO'!$P$6,IF(C412&lt;='SOLLECITAZ NASCOSTO'!$P$5,'SOLLECITAZ NASCOSTO'!$P$3,'SOLLECITAZ NASCOSTO'!$P$5),'SOLLECITAZ NASCOSTO'!$P$5),'SOLLECITAZ NASCOSTO'!$P$7),'SOLLECITAZ NASCOSTO'!$P$8),'SOLLECITAZ NASCOSTO'!$P$9),'SOLLECITAZ NASCOSTO'!$P$10),'SOLLECITAZ NASCOSTO'!$P$11),'SOLLECITAZ NASCOSTO'!$P$12))/IF(C412&lt;='SOLLECITAZ NASCOSTO'!$P$12,IF(C412&lt;='SOLLECITAZ NASCOSTO'!$P$11,IF(C412&lt;='SOLLECITAZ NASCOSTO'!$P$10,IF(C412&lt;='SOLLECITAZ NASCOSTO'!$P$9,IF(C412&lt;='SOLLECITAZ NASCOSTO'!$P$8,IF(C412&lt;='SOLLECITAZ NASCOSTO'!$P$7,IF(C412&lt;='SOLLECITAZ NASCOSTO'!$P$6,IF(C412&lt;='SOLLECITAZ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slu'!$C$112)+IF(C412&lt;='SOLLECITAZ NASCOSTO'!$P$12,IF(C412&lt;='SOLLECITAZ NASCOSTO'!$P$11,IF(C412&lt;='SOLLECITAZ NASCOSTO'!$P$10,IF(C412&lt;='SOLLECITAZ NASCOSTO'!$P$9,IF(C412&lt;='SOLLECITAZ NASCOSTO'!$P$8,IF(C412&lt;='SOLLECITAZ NASCOSTO'!$P$7,IF(C412&lt;='SOLLECITAZ NASCOSTO'!$P$6,IF(C412&lt;='SOLLECITAZ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22.434325438681594</v>
      </c>
      <c r="O413" s="42">
        <f>IF(C413&lt;='SOLLECITAZ NASCOSTO'!$P$12,IF(C413&lt;='SOLLECITAZ NASCOSTO'!$P$11,IF(C413&lt;='SOLLECITAZ NASCOSTO'!$P$10,IF(C413&lt;='SOLLECITAZ NASCOSTO'!$P$9,IF(C413&lt;='SOLLECITAZ NASCOSTO'!$P$8,IF(C413&lt;='SOLLECITAZ NASCOSTO'!$P$7,IF(C413&lt;='SOLLECITAZ NASCOSTO'!$P$6,IF(C413&lt;='SOLLECITAZ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slu'!$G$111),55555)*(C413-C412)/IF(C413&lt;='SOLLECITAZ NASCOSTO'!$P$12,IF(C413&lt;='SOLLECITAZ NASCOSTO'!$P$11,IF(C413&lt;='SOLLECITAZ NASCOSTO'!$P$10,IF(C413&lt;='SOLLECITAZ NASCOSTO'!$P$9,IF(C413&lt;='SOLLECITAZ NASCOSTO'!$P$8,IF(C413&lt;='SOLLECITAZ NASCOSTO'!$P$7,IF(C413&lt;='SOLLECITAZ NASCOSTO'!$P$6,IF(C413&lt;='SOLLECITAZ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13" s="42">
        <f t="shared" si="119"/>
        <v>3.8000000000000273E-4</v>
      </c>
      <c r="Q413" s="42">
        <f t="shared" si="117"/>
        <v>1</v>
      </c>
      <c r="R413" s="441">
        <f t="shared" si="108"/>
        <v>2.6102163461538463</v>
      </c>
      <c r="S413" s="46">
        <f t="shared" si="118"/>
        <v>2.6102163461538463</v>
      </c>
      <c r="T413" s="211">
        <f t="shared" si="112"/>
        <v>0.73978365384615374</v>
      </c>
      <c r="U413" s="46">
        <f t="shared" si="114"/>
        <v>34.750514817182975</v>
      </c>
      <c r="V413" s="46">
        <f t="shared" si="115"/>
        <v>-34.941289451236351</v>
      </c>
      <c r="W413" s="496"/>
    </row>
    <row r="414" spans="1:23" x14ac:dyDescent="0.25">
      <c r="A414" s="589">
        <f t="shared" si="109"/>
        <v>9.1826923074855848E-6</v>
      </c>
      <c r="B414" s="32">
        <f t="shared" si="110"/>
        <v>382</v>
      </c>
      <c r="C414" s="441">
        <f>'SOLLECITAZ NASCOSTO'!$D$6/'SOLLECITAZ NASCOSTO'!$B$448*'SOLLECITAZ NASCOSTO'!B414</f>
        <v>2.6170673076923077</v>
      </c>
      <c r="D414" s="441">
        <f t="shared" si="111"/>
        <v>0.30000918269230747</v>
      </c>
      <c r="E414" s="441">
        <f t="shared" si="102"/>
        <v>9.1826923074855848E-6</v>
      </c>
      <c r="F414" s="441">
        <f t="shared" si="103"/>
        <v>0.30000918269230747</v>
      </c>
      <c r="G414" s="441">
        <f t="shared" si="104"/>
        <v>4.5002754849853166E-2</v>
      </c>
      <c r="H414" s="441">
        <f t="shared" si="120"/>
        <v>0</v>
      </c>
      <c r="I414" s="441">
        <v>0</v>
      </c>
      <c r="J414" s="131">
        <f t="shared" si="121"/>
        <v>0.15000459134615376</v>
      </c>
      <c r="K414" s="130">
        <f t="shared" si="107"/>
        <v>2.2502066169011207E-3</v>
      </c>
      <c r="L414" s="42">
        <f t="shared" si="122"/>
        <v>34.904706145876325</v>
      </c>
      <c r="M414" s="42">
        <f t="shared" si="113"/>
        <v>-35.17989207112182</v>
      </c>
      <c r="N414" s="42">
        <f>(IF(C413&lt;='SOLLECITAZ NASCOSTO'!$P$12,IF(C413&lt;='SOLLECITAZ NASCOSTO'!$P$11,IF(C413&lt;='SOLLECITAZ NASCOSTO'!$P$10,IF(C413&lt;='SOLLECITAZ NASCOSTO'!$P$9,IF(C413&lt;='SOLLECITAZ NASCOSTO'!$P$8,IF(C413&lt;='SOLLECITAZ NASCOSTO'!$P$7,IF(C413&lt;='SOLLECITAZ NASCOSTO'!$P$6,IF(C413&lt;='SOLLECITAZ NASCOSTO'!$P$5,'Progetto del paramento slu'!$G$105,'Progetto del paramento slu'!$G$106),'Progetto del paramento slu'!$G$107),'Progetto del paramento slu'!$G$108),'Progetto del paramento slu'!$G$109),'Progetto del paramento slu'!$G$110),'Progetto del paramento slu'!$G$111),'Progetto del paramento slu'!$G$112),55555)-IF(C413&lt;='SOLLECITAZ NASCOSTO'!$P$12,IF(C413&lt;='SOLLECITAZ NASCOSTO'!$P$11,IF(C413&lt;='SOLLECITAZ NASCOSTO'!$P$10,IF(C413&lt;='SOLLECITAZ NASCOSTO'!$P$9,IF(C413&lt;='SOLLECITAZ NASCOSTO'!$P$8,IF(C413&lt;='SOLLECITAZ NASCOSTO'!$P$7,IF(C413&lt;='SOLLECITAZ NASCOSTO'!$P$6,IF(C413&lt;='SOLLECITAZ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slu'!$G$112))*(C413-IF(C413&lt;='SOLLECITAZ NASCOSTO'!$P$12,IF(C413&lt;='SOLLECITAZ NASCOSTO'!$P$11,IF(C413&lt;='SOLLECITAZ NASCOSTO'!$P$10,IF(C413&lt;='SOLLECITAZ NASCOSTO'!$P$9,IF(C413&lt;='SOLLECITAZ NASCOSTO'!$P$8,IF(C413&lt;='SOLLECITAZ NASCOSTO'!$P$7,IF(C413&lt;='SOLLECITAZ NASCOSTO'!$P$6,IF(C413&lt;='SOLLECITAZ NASCOSTO'!$P$5,'SOLLECITAZ NASCOSTO'!$P$3,'SOLLECITAZ NASCOSTO'!$P$5),'SOLLECITAZ NASCOSTO'!$P$5),'SOLLECITAZ NASCOSTO'!$P$7),'SOLLECITAZ NASCOSTO'!$P$8),'SOLLECITAZ NASCOSTO'!$P$9),'SOLLECITAZ NASCOSTO'!$P$10),'SOLLECITAZ NASCOSTO'!$P$11),'SOLLECITAZ NASCOSTO'!$P$12))/IF(C413&lt;='SOLLECITAZ NASCOSTO'!$P$12,IF(C413&lt;='SOLLECITAZ NASCOSTO'!$P$11,IF(C413&lt;='SOLLECITAZ NASCOSTO'!$P$10,IF(C413&lt;='SOLLECITAZ NASCOSTO'!$P$9,IF(C413&lt;='SOLLECITAZ NASCOSTO'!$P$8,IF(C413&lt;='SOLLECITAZ NASCOSTO'!$P$7,IF(C413&lt;='SOLLECITAZ NASCOSTO'!$P$6,IF(C413&lt;='SOLLECITAZ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slu'!$C$112)+IF(C413&lt;='SOLLECITAZ NASCOSTO'!$P$12,IF(C413&lt;='SOLLECITAZ NASCOSTO'!$P$11,IF(C413&lt;='SOLLECITAZ NASCOSTO'!$P$10,IF(C413&lt;='SOLLECITAZ NASCOSTO'!$P$9,IF(C413&lt;='SOLLECITAZ NASCOSTO'!$P$8,IF(C413&lt;='SOLLECITAZ NASCOSTO'!$P$7,IF(C413&lt;='SOLLECITAZ NASCOSTO'!$P$6,IF(C413&lt;='SOLLECITAZ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22.482457657673947</v>
      </c>
      <c r="O414" s="42">
        <f>IF(C414&lt;='SOLLECITAZ NASCOSTO'!$P$12,IF(C414&lt;='SOLLECITAZ NASCOSTO'!$P$11,IF(C414&lt;='SOLLECITAZ NASCOSTO'!$P$10,IF(C414&lt;='SOLLECITAZ NASCOSTO'!$P$9,IF(C414&lt;='SOLLECITAZ NASCOSTO'!$P$8,IF(C414&lt;='SOLLECITAZ NASCOSTO'!$P$7,IF(C414&lt;='SOLLECITAZ NASCOSTO'!$P$6,IF(C414&lt;='SOLLECITAZ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slu'!$G$111),55555)*(C414-C413)/IF(C414&lt;='SOLLECITAZ NASCOSTO'!$P$12,IF(C414&lt;='SOLLECITAZ NASCOSTO'!$P$11,IF(C414&lt;='SOLLECITAZ NASCOSTO'!$P$10,IF(C414&lt;='SOLLECITAZ NASCOSTO'!$P$9,IF(C414&lt;='SOLLECITAZ NASCOSTO'!$P$8,IF(C414&lt;='SOLLECITAZ NASCOSTO'!$P$7,IF(C414&lt;='SOLLECITAZ NASCOSTO'!$P$6,IF(C414&lt;='SOLLECITAZ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14" s="42">
        <f t="shared" si="119"/>
        <v>3.8100000000000276E-4</v>
      </c>
      <c r="Q414" s="42">
        <f t="shared" si="117"/>
        <v>1</v>
      </c>
      <c r="R414" s="441">
        <f t="shared" si="108"/>
        <v>2.6170673076923077</v>
      </c>
      <c r="S414" s="46">
        <f t="shared" si="118"/>
        <v>2.6170673076923077</v>
      </c>
      <c r="T414" s="211">
        <f t="shared" si="112"/>
        <v>0.73293269230769242</v>
      </c>
      <c r="U414" s="46">
        <f t="shared" si="114"/>
        <v>34.904706145876325</v>
      </c>
      <c r="V414" s="46">
        <f t="shared" si="115"/>
        <v>-35.17989207112182</v>
      </c>
      <c r="W414" s="496"/>
    </row>
    <row r="415" spans="1:23" x14ac:dyDescent="0.25">
      <c r="A415" s="589">
        <f t="shared" si="109"/>
        <v>9.2067307690402167E-6</v>
      </c>
      <c r="B415" s="32">
        <f t="shared" si="110"/>
        <v>383</v>
      </c>
      <c r="C415" s="441">
        <f>'SOLLECITAZ NASCOSTO'!$D$6/'SOLLECITAZ NASCOSTO'!$B$448*'SOLLECITAZ NASCOSTO'!B415</f>
        <v>2.6239182692307694</v>
      </c>
      <c r="D415" s="441">
        <f t="shared" si="111"/>
        <v>0.30000920673076903</v>
      </c>
      <c r="E415" s="441">
        <f t="shared" si="102"/>
        <v>9.2067307690402167E-6</v>
      </c>
      <c r="F415" s="441">
        <f t="shared" si="103"/>
        <v>0.30000920673076903</v>
      </c>
      <c r="G415" s="441">
        <f t="shared" si="104"/>
        <v>4.5002762061612654E-2</v>
      </c>
      <c r="H415" s="441">
        <f t="shared" si="120"/>
        <v>0</v>
      </c>
      <c r="I415" s="441">
        <v>0</v>
      </c>
      <c r="J415" s="131">
        <f t="shared" si="121"/>
        <v>0.15000460336538451</v>
      </c>
      <c r="K415" s="130">
        <f t="shared" si="107"/>
        <v>2.2502071577996602E-3</v>
      </c>
      <c r="L415" s="42">
        <f t="shared" si="122"/>
        <v>35.059227226550767</v>
      </c>
      <c r="M415" s="42">
        <f t="shared" si="113"/>
        <v>-35.41955217942882</v>
      </c>
      <c r="N415" s="42">
        <f>(IF(C414&lt;='SOLLECITAZ NASCOSTO'!$P$12,IF(C414&lt;='SOLLECITAZ NASCOSTO'!$P$11,IF(C414&lt;='SOLLECITAZ NASCOSTO'!$P$10,IF(C414&lt;='SOLLECITAZ NASCOSTO'!$P$9,IF(C414&lt;='SOLLECITAZ NASCOSTO'!$P$8,IF(C414&lt;='SOLLECITAZ NASCOSTO'!$P$7,IF(C414&lt;='SOLLECITAZ NASCOSTO'!$P$6,IF(C414&lt;='SOLLECITAZ NASCOSTO'!$P$5,'Progetto del paramento slu'!$G$105,'Progetto del paramento slu'!$G$106),'Progetto del paramento slu'!$G$107),'Progetto del paramento slu'!$G$108),'Progetto del paramento slu'!$G$109),'Progetto del paramento slu'!$G$110),'Progetto del paramento slu'!$G$111),'Progetto del paramento slu'!$G$112),55555)-IF(C414&lt;='SOLLECITAZ NASCOSTO'!$P$12,IF(C414&lt;='SOLLECITAZ NASCOSTO'!$P$11,IF(C414&lt;='SOLLECITAZ NASCOSTO'!$P$10,IF(C414&lt;='SOLLECITAZ NASCOSTO'!$P$9,IF(C414&lt;='SOLLECITAZ NASCOSTO'!$P$8,IF(C414&lt;='SOLLECITAZ NASCOSTO'!$P$7,IF(C414&lt;='SOLLECITAZ NASCOSTO'!$P$6,IF(C414&lt;='SOLLECITAZ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slu'!$G$112))*(C414-IF(C414&lt;='SOLLECITAZ NASCOSTO'!$P$12,IF(C414&lt;='SOLLECITAZ NASCOSTO'!$P$11,IF(C414&lt;='SOLLECITAZ NASCOSTO'!$P$10,IF(C414&lt;='SOLLECITAZ NASCOSTO'!$P$9,IF(C414&lt;='SOLLECITAZ NASCOSTO'!$P$8,IF(C414&lt;='SOLLECITAZ NASCOSTO'!$P$7,IF(C414&lt;='SOLLECITAZ NASCOSTO'!$P$6,IF(C414&lt;='SOLLECITAZ NASCOSTO'!$P$5,'SOLLECITAZ NASCOSTO'!$P$3,'SOLLECITAZ NASCOSTO'!$P$5),'SOLLECITAZ NASCOSTO'!$P$5),'SOLLECITAZ NASCOSTO'!$P$7),'SOLLECITAZ NASCOSTO'!$P$8),'SOLLECITAZ NASCOSTO'!$P$9),'SOLLECITAZ NASCOSTO'!$P$10),'SOLLECITAZ NASCOSTO'!$P$11),'SOLLECITAZ NASCOSTO'!$P$12))/IF(C414&lt;='SOLLECITAZ NASCOSTO'!$P$12,IF(C414&lt;='SOLLECITAZ NASCOSTO'!$P$11,IF(C414&lt;='SOLLECITAZ NASCOSTO'!$P$10,IF(C414&lt;='SOLLECITAZ NASCOSTO'!$P$9,IF(C414&lt;='SOLLECITAZ NASCOSTO'!$P$8,IF(C414&lt;='SOLLECITAZ NASCOSTO'!$P$7,IF(C414&lt;='SOLLECITAZ NASCOSTO'!$P$6,IF(C414&lt;='SOLLECITAZ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slu'!$C$112)+IF(C414&lt;='SOLLECITAZ NASCOSTO'!$P$12,IF(C414&lt;='SOLLECITAZ NASCOSTO'!$P$11,IF(C414&lt;='SOLLECITAZ NASCOSTO'!$P$10,IF(C414&lt;='SOLLECITAZ NASCOSTO'!$P$9,IF(C414&lt;='SOLLECITAZ NASCOSTO'!$P$8,IF(C414&lt;='SOLLECITAZ NASCOSTO'!$P$7,IF(C414&lt;='SOLLECITAZ NASCOSTO'!$P$6,IF(C414&lt;='SOLLECITAZ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22.530589876666298</v>
      </c>
      <c r="O415" s="42">
        <f>IF(C415&lt;='SOLLECITAZ NASCOSTO'!$P$12,IF(C415&lt;='SOLLECITAZ NASCOSTO'!$P$11,IF(C415&lt;='SOLLECITAZ NASCOSTO'!$P$10,IF(C415&lt;='SOLLECITAZ NASCOSTO'!$P$9,IF(C415&lt;='SOLLECITAZ NASCOSTO'!$P$8,IF(C415&lt;='SOLLECITAZ NASCOSTO'!$P$7,IF(C415&lt;='SOLLECITAZ NASCOSTO'!$P$6,IF(C415&lt;='SOLLECITAZ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slu'!$G$111),55555)*(C415-C414)/IF(C415&lt;='SOLLECITAZ NASCOSTO'!$P$12,IF(C415&lt;='SOLLECITAZ NASCOSTO'!$P$11,IF(C415&lt;='SOLLECITAZ NASCOSTO'!$P$10,IF(C415&lt;='SOLLECITAZ NASCOSTO'!$P$9,IF(C415&lt;='SOLLECITAZ NASCOSTO'!$P$8,IF(C415&lt;='SOLLECITAZ NASCOSTO'!$P$7,IF(C415&lt;='SOLLECITAZ NASCOSTO'!$P$6,IF(C415&lt;='SOLLECITAZ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15" s="42">
        <f t="shared" si="119"/>
        <v>3.8200000000000278E-4</v>
      </c>
      <c r="Q415" s="42">
        <f t="shared" si="117"/>
        <v>1</v>
      </c>
      <c r="R415" s="441">
        <f t="shared" si="108"/>
        <v>2.6239182692307694</v>
      </c>
      <c r="S415" s="46">
        <f t="shared" si="118"/>
        <v>2.6239182692307694</v>
      </c>
      <c r="T415" s="211">
        <f t="shared" si="112"/>
        <v>0.72608173076923066</v>
      </c>
      <c r="U415" s="46">
        <f t="shared" si="114"/>
        <v>35.059227226550767</v>
      </c>
      <c r="V415" s="46">
        <f t="shared" si="115"/>
        <v>-35.41955217942882</v>
      </c>
      <c r="W415" s="496"/>
    </row>
    <row r="416" spans="1:23" x14ac:dyDescent="0.25">
      <c r="A416" s="589">
        <f t="shared" si="109"/>
        <v>9.2307692305393374E-6</v>
      </c>
      <c r="B416" s="32">
        <f t="shared" si="110"/>
        <v>384</v>
      </c>
      <c r="C416" s="441">
        <f>'SOLLECITAZ NASCOSTO'!$D$6/'SOLLECITAZ NASCOSTO'!$B$448*'SOLLECITAZ NASCOSTO'!B416</f>
        <v>2.6307692307692307</v>
      </c>
      <c r="D416" s="441">
        <f t="shared" si="111"/>
        <v>0.30000923076923053</v>
      </c>
      <c r="E416" s="441">
        <f t="shared" ref="E416:E448" si="123">D416-$D$9</f>
        <v>9.2307692305393374E-6</v>
      </c>
      <c r="F416" s="441">
        <f t="shared" ref="F416:F448" si="124">E416*$D$12*$D$11+$D$8*$D$9</f>
        <v>0.30000923076923053</v>
      </c>
      <c r="G416" s="441">
        <f t="shared" ref="G416:G448" si="125">$D$12*E416*$D$11*($D$9+E416/2)+$D$9*$D$8*$D$9/2</f>
        <v>4.5002769273372711E-2</v>
      </c>
      <c r="H416" s="441">
        <f t="shared" si="120"/>
        <v>0</v>
      </c>
      <c r="I416" s="441">
        <v>0</v>
      </c>
      <c r="J416" s="131">
        <f t="shared" si="121"/>
        <v>0.15000461538461526</v>
      </c>
      <c r="K416" s="130">
        <f t="shared" ref="K416:K448" si="126">$D$8*$D$9^3/12+$D$8*$D$9*(J416-$D$9/2)^2+$D$11*$D$12*(J416-$D$9)^3/3+$D$11*$D$12*(E416-(J416-$D$9))^3/3</f>
        <v>2.2502076986982852E-3</v>
      </c>
      <c r="L416" s="42">
        <f t="shared" si="122"/>
        <v>35.214078059206273</v>
      </c>
      <c r="M416" s="42">
        <f t="shared" si="113"/>
        <v>-35.660272035275455</v>
      </c>
      <c r="N416" s="42">
        <f>(IF(C415&lt;='SOLLECITAZ NASCOSTO'!$P$12,IF(C415&lt;='SOLLECITAZ NASCOSTO'!$P$11,IF(C415&lt;='SOLLECITAZ NASCOSTO'!$P$10,IF(C415&lt;='SOLLECITAZ NASCOSTO'!$P$9,IF(C415&lt;='SOLLECITAZ NASCOSTO'!$P$8,IF(C415&lt;='SOLLECITAZ NASCOSTO'!$P$7,IF(C415&lt;='SOLLECITAZ NASCOSTO'!$P$6,IF(C415&lt;='SOLLECITAZ NASCOSTO'!$P$5,'Progetto del paramento slu'!$G$105,'Progetto del paramento slu'!$G$106),'Progetto del paramento slu'!$G$107),'Progetto del paramento slu'!$G$108),'Progetto del paramento slu'!$G$109),'Progetto del paramento slu'!$G$110),'Progetto del paramento slu'!$G$111),'Progetto del paramento slu'!$G$112),55555)-IF(C415&lt;='SOLLECITAZ NASCOSTO'!$P$12,IF(C415&lt;='SOLLECITAZ NASCOSTO'!$P$11,IF(C415&lt;='SOLLECITAZ NASCOSTO'!$P$10,IF(C415&lt;='SOLLECITAZ NASCOSTO'!$P$9,IF(C415&lt;='SOLLECITAZ NASCOSTO'!$P$8,IF(C415&lt;='SOLLECITAZ NASCOSTO'!$P$7,IF(C415&lt;='SOLLECITAZ NASCOSTO'!$P$6,IF(C415&lt;='SOLLECITAZ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slu'!$G$112))*(C415-IF(C415&lt;='SOLLECITAZ NASCOSTO'!$P$12,IF(C415&lt;='SOLLECITAZ NASCOSTO'!$P$11,IF(C415&lt;='SOLLECITAZ NASCOSTO'!$P$10,IF(C415&lt;='SOLLECITAZ NASCOSTO'!$P$9,IF(C415&lt;='SOLLECITAZ NASCOSTO'!$P$8,IF(C415&lt;='SOLLECITAZ NASCOSTO'!$P$7,IF(C415&lt;='SOLLECITAZ NASCOSTO'!$P$6,IF(C415&lt;='SOLLECITAZ NASCOSTO'!$P$5,'SOLLECITAZ NASCOSTO'!$P$3,'SOLLECITAZ NASCOSTO'!$P$5),'SOLLECITAZ NASCOSTO'!$P$5),'SOLLECITAZ NASCOSTO'!$P$7),'SOLLECITAZ NASCOSTO'!$P$8),'SOLLECITAZ NASCOSTO'!$P$9),'SOLLECITAZ NASCOSTO'!$P$10),'SOLLECITAZ NASCOSTO'!$P$11),'SOLLECITAZ NASCOSTO'!$P$12))/IF(C415&lt;='SOLLECITAZ NASCOSTO'!$P$12,IF(C415&lt;='SOLLECITAZ NASCOSTO'!$P$11,IF(C415&lt;='SOLLECITAZ NASCOSTO'!$P$10,IF(C415&lt;='SOLLECITAZ NASCOSTO'!$P$9,IF(C415&lt;='SOLLECITAZ NASCOSTO'!$P$8,IF(C415&lt;='SOLLECITAZ NASCOSTO'!$P$7,IF(C415&lt;='SOLLECITAZ NASCOSTO'!$P$6,IF(C415&lt;='SOLLECITAZ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slu'!$C$112)+IF(C415&lt;='SOLLECITAZ NASCOSTO'!$P$12,IF(C415&lt;='SOLLECITAZ NASCOSTO'!$P$11,IF(C415&lt;='SOLLECITAZ NASCOSTO'!$P$10,IF(C415&lt;='SOLLECITAZ NASCOSTO'!$P$9,IF(C415&lt;='SOLLECITAZ NASCOSTO'!$P$8,IF(C415&lt;='SOLLECITAZ NASCOSTO'!$P$7,IF(C415&lt;='SOLLECITAZ NASCOSTO'!$P$6,IF(C415&lt;='SOLLECITAZ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22.578722095658652</v>
      </c>
      <c r="O416" s="42">
        <f>IF(C416&lt;='SOLLECITAZ NASCOSTO'!$P$12,IF(C416&lt;='SOLLECITAZ NASCOSTO'!$P$11,IF(C416&lt;='SOLLECITAZ NASCOSTO'!$P$10,IF(C416&lt;='SOLLECITAZ NASCOSTO'!$P$9,IF(C416&lt;='SOLLECITAZ NASCOSTO'!$P$8,IF(C416&lt;='SOLLECITAZ NASCOSTO'!$P$7,IF(C416&lt;='SOLLECITAZ NASCOSTO'!$P$6,IF(C416&lt;='SOLLECITAZ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slu'!$G$111),55555)*(C416-C415)/IF(C416&lt;='SOLLECITAZ NASCOSTO'!$P$12,IF(C416&lt;='SOLLECITAZ NASCOSTO'!$P$11,IF(C416&lt;='SOLLECITAZ NASCOSTO'!$P$10,IF(C416&lt;='SOLLECITAZ NASCOSTO'!$P$9,IF(C416&lt;='SOLLECITAZ NASCOSTO'!$P$8,IF(C416&lt;='SOLLECITAZ NASCOSTO'!$P$7,IF(C416&lt;='SOLLECITAZ NASCOSTO'!$P$6,IF(C416&lt;='SOLLECITAZ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16" s="42">
        <f t="shared" si="119"/>
        <v>3.830000000000028E-4</v>
      </c>
      <c r="Q416" s="42">
        <f t="shared" si="117"/>
        <v>1</v>
      </c>
      <c r="R416" s="441">
        <f t="shared" ref="R416:R468" si="127">C416</f>
        <v>2.6307692307692307</v>
      </c>
      <c r="S416" s="46">
        <f t="shared" si="118"/>
        <v>2.6307692307692307</v>
      </c>
      <c r="T416" s="211">
        <f t="shared" si="112"/>
        <v>0.71923076923076934</v>
      </c>
      <c r="U416" s="46">
        <f t="shared" si="114"/>
        <v>35.214078059206273</v>
      </c>
      <c r="V416" s="46">
        <f t="shared" si="115"/>
        <v>-35.660272035275455</v>
      </c>
      <c r="W416" s="496"/>
    </row>
    <row r="417" spans="1:23" x14ac:dyDescent="0.25">
      <c r="A417" s="589">
        <f t="shared" ref="A417:A448" si="128">E417</f>
        <v>9.2548076920939693E-6</v>
      </c>
      <c r="B417" s="32">
        <f t="shared" si="110"/>
        <v>385</v>
      </c>
      <c r="C417" s="441">
        <f>'SOLLECITAZ NASCOSTO'!$D$6/'SOLLECITAZ NASCOSTO'!$B$448*'SOLLECITAZ NASCOSTO'!B417</f>
        <v>2.6376201923076921</v>
      </c>
      <c r="D417" s="441">
        <f t="shared" ref="D417:D448" si="129">$D$9+$D$14+$D$16*C417</f>
        <v>0.30000925480769208</v>
      </c>
      <c r="E417" s="441">
        <f t="shared" si="123"/>
        <v>9.2548076920939693E-6</v>
      </c>
      <c r="F417" s="441">
        <f t="shared" si="124"/>
        <v>0.30000925480769208</v>
      </c>
      <c r="G417" s="441">
        <f t="shared" si="125"/>
        <v>4.5002776485133358E-2</v>
      </c>
      <c r="H417" s="441">
        <f t="shared" si="120"/>
        <v>0</v>
      </c>
      <c r="I417" s="441">
        <v>0</v>
      </c>
      <c r="J417" s="131">
        <f t="shared" si="121"/>
        <v>0.15000462740384604</v>
      </c>
      <c r="K417" s="130">
        <f t="shared" si="126"/>
        <v>2.2502082395969977E-3</v>
      </c>
      <c r="L417" s="42">
        <f t="shared" si="122"/>
        <v>35.369258643842855</v>
      </c>
      <c r="M417" s="42">
        <f t="shared" si="113"/>
        <v>-35.902053897779879</v>
      </c>
      <c r="N417" s="42">
        <f>(IF(C416&lt;='SOLLECITAZ NASCOSTO'!$P$12,IF(C416&lt;='SOLLECITAZ NASCOSTO'!$P$11,IF(C416&lt;='SOLLECITAZ NASCOSTO'!$P$10,IF(C416&lt;='SOLLECITAZ NASCOSTO'!$P$9,IF(C416&lt;='SOLLECITAZ NASCOSTO'!$P$8,IF(C416&lt;='SOLLECITAZ NASCOSTO'!$P$7,IF(C416&lt;='SOLLECITAZ NASCOSTO'!$P$6,IF(C416&lt;='SOLLECITAZ NASCOSTO'!$P$5,'Progetto del paramento slu'!$G$105,'Progetto del paramento slu'!$G$106),'Progetto del paramento slu'!$G$107),'Progetto del paramento slu'!$G$108),'Progetto del paramento slu'!$G$109),'Progetto del paramento slu'!$G$110),'Progetto del paramento slu'!$G$111),'Progetto del paramento slu'!$G$112),55555)-IF(C416&lt;='SOLLECITAZ NASCOSTO'!$P$12,IF(C416&lt;='SOLLECITAZ NASCOSTO'!$P$11,IF(C416&lt;='SOLLECITAZ NASCOSTO'!$P$10,IF(C416&lt;='SOLLECITAZ NASCOSTO'!$P$9,IF(C416&lt;='SOLLECITAZ NASCOSTO'!$P$8,IF(C416&lt;='SOLLECITAZ NASCOSTO'!$P$7,IF(C416&lt;='SOLLECITAZ NASCOSTO'!$P$6,IF(C416&lt;='SOLLECITAZ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slu'!$G$112))*(C416-IF(C416&lt;='SOLLECITAZ NASCOSTO'!$P$12,IF(C416&lt;='SOLLECITAZ NASCOSTO'!$P$11,IF(C416&lt;='SOLLECITAZ NASCOSTO'!$P$10,IF(C416&lt;='SOLLECITAZ NASCOSTO'!$P$9,IF(C416&lt;='SOLLECITAZ NASCOSTO'!$P$8,IF(C416&lt;='SOLLECITAZ NASCOSTO'!$P$7,IF(C416&lt;='SOLLECITAZ NASCOSTO'!$P$6,IF(C416&lt;='SOLLECITAZ NASCOSTO'!$P$5,'SOLLECITAZ NASCOSTO'!$P$3,'SOLLECITAZ NASCOSTO'!$P$5),'SOLLECITAZ NASCOSTO'!$P$5),'SOLLECITAZ NASCOSTO'!$P$7),'SOLLECITAZ NASCOSTO'!$P$8),'SOLLECITAZ NASCOSTO'!$P$9),'SOLLECITAZ NASCOSTO'!$P$10),'SOLLECITAZ NASCOSTO'!$P$11),'SOLLECITAZ NASCOSTO'!$P$12))/IF(C416&lt;='SOLLECITAZ NASCOSTO'!$P$12,IF(C416&lt;='SOLLECITAZ NASCOSTO'!$P$11,IF(C416&lt;='SOLLECITAZ NASCOSTO'!$P$10,IF(C416&lt;='SOLLECITAZ NASCOSTO'!$P$9,IF(C416&lt;='SOLLECITAZ NASCOSTO'!$P$8,IF(C416&lt;='SOLLECITAZ NASCOSTO'!$P$7,IF(C416&lt;='SOLLECITAZ NASCOSTO'!$P$6,IF(C416&lt;='SOLLECITAZ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slu'!$C$112)+IF(C416&lt;='SOLLECITAZ NASCOSTO'!$P$12,IF(C416&lt;='SOLLECITAZ NASCOSTO'!$P$11,IF(C416&lt;='SOLLECITAZ NASCOSTO'!$P$10,IF(C416&lt;='SOLLECITAZ NASCOSTO'!$P$9,IF(C416&lt;='SOLLECITAZ NASCOSTO'!$P$8,IF(C416&lt;='SOLLECITAZ NASCOSTO'!$P$7,IF(C416&lt;='SOLLECITAZ NASCOSTO'!$P$6,IF(C416&lt;='SOLLECITAZ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22.626854314651002</v>
      </c>
      <c r="O417" s="42">
        <f>IF(C417&lt;='SOLLECITAZ NASCOSTO'!$P$12,IF(C417&lt;='SOLLECITAZ NASCOSTO'!$P$11,IF(C417&lt;='SOLLECITAZ NASCOSTO'!$P$10,IF(C417&lt;='SOLLECITAZ NASCOSTO'!$P$9,IF(C417&lt;='SOLLECITAZ NASCOSTO'!$P$8,IF(C417&lt;='SOLLECITAZ NASCOSTO'!$P$7,IF(C417&lt;='SOLLECITAZ NASCOSTO'!$P$6,IF(C417&lt;='SOLLECITAZ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slu'!$G$111),55555)*(C417-C416)/IF(C417&lt;='SOLLECITAZ NASCOSTO'!$P$12,IF(C417&lt;='SOLLECITAZ NASCOSTO'!$P$11,IF(C417&lt;='SOLLECITAZ NASCOSTO'!$P$10,IF(C417&lt;='SOLLECITAZ NASCOSTO'!$P$9,IF(C417&lt;='SOLLECITAZ NASCOSTO'!$P$8,IF(C417&lt;='SOLLECITAZ NASCOSTO'!$P$7,IF(C417&lt;='SOLLECITAZ NASCOSTO'!$P$6,IF(C417&lt;='SOLLECITAZ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17" s="42">
        <f t="shared" si="119"/>
        <v>3.8400000000000283E-4</v>
      </c>
      <c r="Q417" s="42">
        <f t="shared" si="117"/>
        <v>1</v>
      </c>
      <c r="R417" s="441">
        <f t="shared" si="127"/>
        <v>2.6376201923076921</v>
      </c>
      <c r="S417" s="46">
        <f t="shared" si="118"/>
        <v>2.6376201923076921</v>
      </c>
      <c r="T417" s="211">
        <f t="shared" ref="T417:T468" si="130">$R$468-S417</f>
        <v>0.71237980769230802</v>
      </c>
      <c r="U417" s="46">
        <f t="shared" si="114"/>
        <v>35.369258643842855</v>
      </c>
      <c r="V417" s="46">
        <f t="shared" si="115"/>
        <v>-35.902053897779879</v>
      </c>
      <c r="W417" s="496"/>
    </row>
    <row r="418" spans="1:23" x14ac:dyDescent="0.25">
      <c r="A418" s="589">
        <f t="shared" si="128"/>
        <v>9.2788461536486011E-6</v>
      </c>
      <c r="B418" s="32">
        <f t="shared" si="110"/>
        <v>386</v>
      </c>
      <c r="C418" s="441">
        <f>'SOLLECITAZ NASCOSTO'!$D$6/'SOLLECITAZ NASCOSTO'!$B$448*'SOLLECITAZ NASCOSTO'!B418</f>
        <v>2.6444711538461538</v>
      </c>
      <c r="D418" s="441">
        <f t="shared" si="129"/>
        <v>0.30000927884615364</v>
      </c>
      <c r="E418" s="441">
        <f t="shared" si="123"/>
        <v>9.2788461536486011E-6</v>
      </c>
      <c r="F418" s="441">
        <f t="shared" si="124"/>
        <v>0.30000927884615364</v>
      </c>
      <c r="G418" s="441">
        <f t="shared" si="125"/>
        <v>4.5002783696894588E-2</v>
      </c>
      <c r="H418" s="441">
        <f t="shared" si="120"/>
        <v>0</v>
      </c>
      <c r="I418" s="441">
        <v>0</v>
      </c>
      <c r="J418" s="131">
        <f t="shared" si="121"/>
        <v>0.15000463942307682</v>
      </c>
      <c r="K418" s="130">
        <f t="shared" si="126"/>
        <v>2.2502087804957974E-3</v>
      </c>
      <c r="L418" s="42">
        <f t="shared" si="122"/>
        <v>35.524768980460529</v>
      </c>
      <c r="M418" s="42">
        <f t="shared" ref="M418:M468" si="131">M417-(L418+L417)*(C418-C417)/2</f>
        <v>-36.144900026060256</v>
      </c>
      <c r="N418" s="42">
        <f>(IF(C417&lt;='SOLLECITAZ NASCOSTO'!$P$12,IF(C417&lt;='SOLLECITAZ NASCOSTO'!$P$11,IF(C417&lt;='SOLLECITAZ NASCOSTO'!$P$10,IF(C417&lt;='SOLLECITAZ NASCOSTO'!$P$9,IF(C417&lt;='SOLLECITAZ NASCOSTO'!$P$8,IF(C417&lt;='SOLLECITAZ NASCOSTO'!$P$7,IF(C417&lt;='SOLLECITAZ NASCOSTO'!$P$6,IF(C417&lt;='SOLLECITAZ NASCOSTO'!$P$5,'Progetto del paramento slu'!$G$105,'Progetto del paramento slu'!$G$106),'Progetto del paramento slu'!$G$107),'Progetto del paramento slu'!$G$108),'Progetto del paramento slu'!$G$109),'Progetto del paramento slu'!$G$110),'Progetto del paramento slu'!$G$111),'Progetto del paramento slu'!$G$112),55555)-IF(C417&lt;='SOLLECITAZ NASCOSTO'!$P$12,IF(C417&lt;='SOLLECITAZ NASCOSTO'!$P$11,IF(C417&lt;='SOLLECITAZ NASCOSTO'!$P$10,IF(C417&lt;='SOLLECITAZ NASCOSTO'!$P$9,IF(C417&lt;='SOLLECITAZ NASCOSTO'!$P$8,IF(C417&lt;='SOLLECITAZ NASCOSTO'!$P$7,IF(C417&lt;='SOLLECITAZ NASCOSTO'!$P$6,IF(C417&lt;='SOLLECITAZ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slu'!$G$112))*(C417-IF(C417&lt;='SOLLECITAZ NASCOSTO'!$P$12,IF(C417&lt;='SOLLECITAZ NASCOSTO'!$P$11,IF(C417&lt;='SOLLECITAZ NASCOSTO'!$P$10,IF(C417&lt;='SOLLECITAZ NASCOSTO'!$P$9,IF(C417&lt;='SOLLECITAZ NASCOSTO'!$P$8,IF(C417&lt;='SOLLECITAZ NASCOSTO'!$P$7,IF(C417&lt;='SOLLECITAZ NASCOSTO'!$P$6,IF(C417&lt;='SOLLECITAZ NASCOSTO'!$P$5,'SOLLECITAZ NASCOSTO'!$P$3,'SOLLECITAZ NASCOSTO'!$P$5),'SOLLECITAZ NASCOSTO'!$P$5),'SOLLECITAZ NASCOSTO'!$P$7),'SOLLECITAZ NASCOSTO'!$P$8),'SOLLECITAZ NASCOSTO'!$P$9),'SOLLECITAZ NASCOSTO'!$P$10),'SOLLECITAZ NASCOSTO'!$P$11),'SOLLECITAZ NASCOSTO'!$P$12))/IF(C417&lt;='SOLLECITAZ NASCOSTO'!$P$12,IF(C417&lt;='SOLLECITAZ NASCOSTO'!$P$11,IF(C417&lt;='SOLLECITAZ NASCOSTO'!$P$10,IF(C417&lt;='SOLLECITAZ NASCOSTO'!$P$9,IF(C417&lt;='SOLLECITAZ NASCOSTO'!$P$8,IF(C417&lt;='SOLLECITAZ NASCOSTO'!$P$7,IF(C417&lt;='SOLLECITAZ NASCOSTO'!$P$6,IF(C417&lt;='SOLLECITAZ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slu'!$C$112)+IF(C417&lt;='SOLLECITAZ NASCOSTO'!$P$12,IF(C417&lt;='SOLLECITAZ NASCOSTO'!$P$11,IF(C417&lt;='SOLLECITAZ NASCOSTO'!$P$10,IF(C417&lt;='SOLLECITAZ NASCOSTO'!$P$9,IF(C417&lt;='SOLLECITAZ NASCOSTO'!$P$8,IF(C417&lt;='SOLLECITAZ NASCOSTO'!$P$7,IF(C417&lt;='SOLLECITAZ NASCOSTO'!$P$6,IF(C417&lt;='SOLLECITAZ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22.674986533643352</v>
      </c>
      <c r="O418" s="42">
        <f>IF(C418&lt;='SOLLECITAZ NASCOSTO'!$P$12,IF(C418&lt;='SOLLECITAZ NASCOSTO'!$P$11,IF(C418&lt;='SOLLECITAZ NASCOSTO'!$P$10,IF(C418&lt;='SOLLECITAZ NASCOSTO'!$P$9,IF(C418&lt;='SOLLECITAZ NASCOSTO'!$P$8,IF(C418&lt;='SOLLECITAZ NASCOSTO'!$P$7,IF(C418&lt;='SOLLECITAZ NASCOSTO'!$P$6,IF(C418&lt;='SOLLECITAZ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slu'!$G$111),55555)*(C418-C417)/IF(C418&lt;='SOLLECITAZ NASCOSTO'!$P$12,IF(C418&lt;='SOLLECITAZ NASCOSTO'!$P$11,IF(C418&lt;='SOLLECITAZ NASCOSTO'!$P$10,IF(C418&lt;='SOLLECITAZ NASCOSTO'!$P$9,IF(C418&lt;='SOLLECITAZ NASCOSTO'!$P$8,IF(C418&lt;='SOLLECITAZ NASCOSTO'!$P$7,IF(C418&lt;='SOLLECITAZ NASCOSTO'!$P$6,IF(C418&lt;='SOLLECITAZ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18" s="42">
        <f t="shared" si="119"/>
        <v>3.8500000000000285E-4</v>
      </c>
      <c r="Q418" s="42">
        <f t="shared" si="117"/>
        <v>1</v>
      </c>
      <c r="R418" s="441">
        <f t="shared" si="127"/>
        <v>2.6444711538461538</v>
      </c>
      <c r="S418" s="46">
        <f t="shared" si="118"/>
        <v>2.6444711538461538</v>
      </c>
      <c r="T418" s="211">
        <f t="shared" si="130"/>
        <v>0.70552884615384626</v>
      </c>
      <c r="U418" s="46">
        <f t="shared" ref="U418:U468" si="132">IF(Q418=1,L418,0)</f>
        <v>35.524768980460529</v>
      </c>
      <c r="V418" s="46">
        <f t="shared" ref="V418:V468" si="133">IF(Q418=1,M418,0)</f>
        <v>-36.144900026060256</v>
      </c>
      <c r="W418" s="496"/>
    </row>
    <row r="419" spans="1:23" x14ac:dyDescent="0.25">
      <c r="A419" s="589">
        <f t="shared" si="128"/>
        <v>9.302884615203233E-6</v>
      </c>
      <c r="B419" s="32">
        <f t="shared" si="110"/>
        <v>387</v>
      </c>
      <c r="C419" s="441">
        <f>'SOLLECITAZ NASCOSTO'!$D$6/'SOLLECITAZ NASCOSTO'!$B$448*'SOLLECITAZ NASCOSTO'!B419</f>
        <v>2.6513221153846152</v>
      </c>
      <c r="D419" s="441">
        <f t="shared" si="129"/>
        <v>0.30000930288461519</v>
      </c>
      <c r="E419" s="441">
        <f t="shared" si="123"/>
        <v>9.302884615203233E-6</v>
      </c>
      <c r="F419" s="441">
        <f t="shared" si="124"/>
        <v>0.30000930288461519</v>
      </c>
      <c r="G419" s="441">
        <f t="shared" si="125"/>
        <v>4.5002790908656387E-2</v>
      </c>
      <c r="H419" s="441">
        <f t="shared" si="120"/>
        <v>0</v>
      </c>
      <c r="I419" s="441">
        <v>0</v>
      </c>
      <c r="J419" s="131">
        <f t="shared" si="121"/>
        <v>0.1500046514423076</v>
      </c>
      <c r="K419" s="130">
        <f t="shared" si="126"/>
        <v>2.2502093213946834E-3</v>
      </c>
      <c r="L419" s="42">
        <f t="shared" si="122"/>
        <v>35.680609069059265</v>
      </c>
      <c r="M419" s="42">
        <f t="shared" si="131"/>
        <v>-36.388812679234682</v>
      </c>
      <c r="N419" s="42">
        <f>(IF(C418&lt;='SOLLECITAZ NASCOSTO'!$P$12,IF(C418&lt;='SOLLECITAZ NASCOSTO'!$P$11,IF(C418&lt;='SOLLECITAZ NASCOSTO'!$P$10,IF(C418&lt;='SOLLECITAZ NASCOSTO'!$P$9,IF(C418&lt;='SOLLECITAZ NASCOSTO'!$P$8,IF(C418&lt;='SOLLECITAZ NASCOSTO'!$P$7,IF(C418&lt;='SOLLECITAZ NASCOSTO'!$P$6,IF(C418&lt;='SOLLECITAZ NASCOSTO'!$P$5,'Progetto del paramento slu'!$G$105,'Progetto del paramento slu'!$G$106),'Progetto del paramento slu'!$G$107),'Progetto del paramento slu'!$G$108),'Progetto del paramento slu'!$G$109),'Progetto del paramento slu'!$G$110),'Progetto del paramento slu'!$G$111),'Progetto del paramento slu'!$G$112),55555)-IF(C418&lt;='SOLLECITAZ NASCOSTO'!$P$12,IF(C418&lt;='SOLLECITAZ NASCOSTO'!$P$11,IF(C418&lt;='SOLLECITAZ NASCOSTO'!$P$10,IF(C418&lt;='SOLLECITAZ NASCOSTO'!$P$9,IF(C418&lt;='SOLLECITAZ NASCOSTO'!$P$8,IF(C418&lt;='SOLLECITAZ NASCOSTO'!$P$7,IF(C418&lt;='SOLLECITAZ NASCOSTO'!$P$6,IF(C418&lt;='SOLLECITAZ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slu'!$G$112))*(C418-IF(C418&lt;='SOLLECITAZ NASCOSTO'!$P$12,IF(C418&lt;='SOLLECITAZ NASCOSTO'!$P$11,IF(C418&lt;='SOLLECITAZ NASCOSTO'!$P$10,IF(C418&lt;='SOLLECITAZ NASCOSTO'!$P$9,IF(C418&lt;='SOLLECITAZ NASCOSTO'!$P$8,IF(C418&lt;='SOLLECITAZ NASCOSTO'!$P$7,IF(C418&lt;='SOLLECITAZ NASCOSTO'!$P$6,IF(C418&lt;='SOLLECITAZ NASCOSTO'!$P$5,'SOLLECITAZ NASCOSTO'!$P$3,'SOLLECITAZ NASCOSTO'!$P$5),'SOLLECITAZ NASCOSTO'!$P$5),'SOLLECITAZ NASCOSTO'!$P$7),'SOLLECITAZ NASCOSTO'!$P$8),'SOLLECITAZ NASCOSTO'!$P$9),'SOLLECITAZ NASCOSTO'!$P$10),'SOLLECITAZ NASCOSTO'!$P$11),'SOLLECITAZ NASCOSTO'!$P$12))/IF(C418&lt;='SOLLECITAZ NASCOSTO'!$P$12,IF(C418&lt;='SOLLECITAZ NASCOSTO'!$P$11,IF(C418&lt;='SOLLECITAZ NASCOSTO'!$P$10,IF(C418&lt;='SOLLECITAZ NASCOSTO'!$P$9,IF(C418&lt;='SOLLECITAZ NASCOSTO'!$P$8,IF(C418&lt;='SOLLECITAZ NASCOSTO'!$P$7,IF(C418&lt;='SOLLECITAZ NASCOSTO'!$P$6,IF(C418&lt;='SOLLECITAZ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slu'!$C$112)+IF(C418&lt;='SOLLECITAZ NASCOSTO'!$P$12,IF(C418&lt;='SOLLECITAZ NASCOSTO'!$P$11,IF(C418&lt;='SOLLECITAZ NASCOSTO'!$P$10,IF(C418&lt;='SOLLECITAZ NASCOSTO'!$P$9,IF(C418&lt;='SOLLECITAZ NASCOSTO'!$P$8,IF(C418&lt;='SOLLECITAZ NASCOSTO'!$P$7,IF(C418&lt;='SOLLECITAZ NASCOSTO'!$P$6,IF(C418&lt;='SOLLECITAZ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22.723118752635706</v>
      </c>
      <c r="O419" s="42">
        <f>IF(C419&lt;='SOLLECITAZ NASCOSTO'!$P$12,IF(C419&lt;='SOLLECITAZ NASCOSTO'!$P$11,IF(C419&lt;='SOLLECITAZ NASCOSTO'!$P$10,IF(C419&lt;='SOLLECITAZ NASCOSTO'!$P$9,IF(C419&lt;='SOLLECITAZ NASCOSTO'!$P$8,IF(C419&lt;='SOLLECITAZ NASCOSTO'!$P$7,IF(C419&lt;='SOLLECITAZ NASCOSTO'!$P$6,IF(C419&lt;='SOLLECITAZ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slu'!$G$111),55555)*(C419-C418)/IF(C419&lt;='SOLLECITAZ NASCOSTO'!$P$12,IF(C419&lt;='SOLLECITAZ NASCOSTO'!$P$11,IF(C419&lt;='SOLLECITAZ NASCOSTO'!$P$10,IF(C419&lt;='SOLLECITAZ NASCOSTO'!$P$9,IF(C419&lt;='SOLLECITAZ NASCOSTO'!$P$8,IF(C419&lt;='SOLLECITAZ NASCOSTO'!$P$7,IF(C419&lt;='SOLLECITAZ NASCOSTO'!$P$6,IF(C419&lt;='SOLLECITAZ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19" s="42">
        <f t="shared" si="119"/>
        <v>3.8600000000000288E-4</v>
      </c>
      <c r="Q419" s="42">
        <f t="shared" ref="Q419:Q468" si="134">IF(C419&lt;=$D$6,1,0+P419)</f>
        <v>1</v>
      </c>
      <c r="R419" s="441">
        <f t="shared" si="127"/>
        <v>2.6513221153846152</v>
      </c>
      <c r="S419" s="46">
        <f t="shared" ref="S419:S468" si="135">IF(Q419&lt;1,VLOOKUP(0,$Q$34:$R$468,2,TRUE),C419)</f>
        <v>2.6513221153846152</v>
      </c>
      <c r="T419" s="211">
        <f t="shared" si="130"/>
        <v>0.69867788461538494</v>
      </c>
      <c r="U419" s="46">
        <f t="shared" si="132"/>
        <v>35.680609069059265</v>
      </c>
      <c r="V419" s="46">
        <f t="shared" si="133"/>
        <v>-36.388812679234682</v>
      </c>
      <c r="W419" s="496"/>
    </row>
    <row r="420" spans="1:23" x14ac:dyDescent="0.25">
      <c r="A420" s="589">
        <f t="shared" si="128"/>
        <v>9.3269230767023537E-6</v>
      </c>
      <c r="B420" s="32">
        <f t="shared" si="110"/>
        <v>388</v>
      </c>
      <c r="C420" s="441">
        <f>'SOLLECITAZ NASCOSTO'!$D$6/'SOLLECITAZ NASCOSTO'!$B$448*'SOLLECITAZ NASCOSTO'!B420</f>
        <v>2.6581730769230769</v>
      </c>
      <c r="D420" s="441">
        <f t="shared" si="129"/>
        <v>0.30000932692307669</v>
      </c>
      <c r="E420" s="441">
        <f t="shared" si="123"/>
        <v>9.3269230767023537E-6</v>
      </c>
      <c r="F420" s="441">
        <f t="shared" si="124"/>
        <v>0.30000932692307669</v>
      </c>
      <c r="G420" s="441">
        <f t="shared" si="125"/>
        <v>4.5002798120418755E-2</v>
      </c>
      <c r="H420" s="441">
        <f t="shared" si="120"/>
        <v>0</v>
      </c>
      <c r="I420" s="441">
        <v>0</v>
      </c>
      <c r="J420" s="131">
        <f t="shared" si="121"/>
        <v>0.15000466346153835</v>
      </c>
      <c r="K420" s="130">
        <f t="shared" si="126"/>
        <v>2.2502098622936553E-3</v>
      </c>
      <c r="L420" s="42">
        <f t="shared" si="122"/>
        <v>35.836778909639094</v>
      </c>
      <c r="M420" s="42">
        <f t="shared" si="131"/>
        <v>-36.633794116421335</v>
      </c>
      <c r="N420" s="42">
        <f>(IF(C419&lt;='SOLLECITAZ NASCOSTO'!$P$12,IF(C419&lt;='SOLLECITAZ NASCOSTO'!$P$11,IF(C419&lt;='SOLLECITAZ NASCOSTO'!$P$10,IF(C419&lt;='SOLLECITAZ NASCOSTO'!$P$9,IF(C419&lt;='SOLLECITAZ NASCOSTO'!$P$8,IF(C419&lt;='SOLLECITAZ NASCOSTO'!$P$7,IF(C419&lt;='SOLLECITAZ NASCOSTO'!$P$6,IF(C419&lt;='SOLLECITAZ NASCOSTO'!$P$5,'Progetto del paramento slu'!$G$105,'Progetto del paramento slu'!$G$106),'Progetto del paramento slu'!$G$107),'Progetto del paramento slu'!$G$108),'Progetto del paramento slu'!$G$109),'Progetto del paramento slu'!$G$110),'Progetto del paramento slu'!$G$111),'Progetto del paramento slu'!$G$112),55555)-IF(C419&lt;='SOLLECITAZ NASCOSTO'!$P$12,IF(C419&lt;='SOLLECITAZ NASCOSTO'!$P$11,IF(C419&lt;='SOLLECITAZ NASCOSTO'!$P$10,IF(C419&lt;='SOLLECITAZ NASCOSTO'!$P$9,IF(C419&lt;='SOLLECITAZ NASCOSTO'!$P$8,IF(C419&lt;='SOLLECITAZ NASCOSTO'!$P$7,IF(C419&lt;='SOLLECITAZ NASCOSTO'!$P$6,IF(C419&lt;='SOLLECITAZ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slu'!$G$112))*(C419-IF(C419&lt;='SOLLECITAZ NASCOSTO'!$P$12,IF(C419&lt;='SOLLECITAZ NASCOSTO'!$P$11,IF(C419&lt;='SOLLECITAZ NASCOSTO'!$P$10,IF(C419&lt;='SOLLECITAZ NASCOSTO'!$P$9,IF(C419&lt;='SOLLECITAZ NASCOSTO'!$P$8,IF(C419&lt;='SOLLECITAZ NASCOSTO'!$P$7,IF(C419&lt;='SOLLECITAZ NASCOSTO'!$P$6,IF(C419&lt;='SOLLECITAZ NASCOSTO'!$P$5,'SOLLECITAZ NASCOSTO'!$P$3,'SOLLECITAZ NASCOSTO'!$P$5),'SOLLECITAZ NASCOSTO'!$P$5),'SOLLECITAZ NASCOSTO'!$P$7),'SOLLECITAZ NASCOSTO'!$P$8),'SOLLECITAZ NASCOSTO'!$P$9),'SOLLECITAZ NASCOSTO'!$P$10),'SOLLECITAZ NASCOSTO'!$P$11),'SOLLECITAZ NASCOSTO'!$P$12))/IF(C419&lt;='SOLLECITAZ NASCOSTO'!$P$12,IF(C419&lt;='SOLLECITAZ NASCOSTO'!$P$11,IF(C419&lt;='SOLLECITAZ NASCOSTO'!$P$10,IF(C419&lt;='SOLLECITAZ NASCOSTO'!$P$9,IF(C419&lt;='SOLLECITAZ NASCOSTO'!$P$8,IF(C419&lt;='SOLLECITAZ NASCOSTO'!$P$7,IF(C419&lt;='SOLLECITAZ NASCOSTO'!$P$6,IF(C419&lt;='SOLLECITAZ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slu'!$C$112)+IF(C419&lt;='SOLLECITAZ NASCOSTO'!$P$12,IF(C419&lt;='SOLLECITAZ NASCOSTO'!$P$11,IF(C419&lt;='SOLLECITAZ NASCOSTO'!$P$10,IF(C419&lt;='SOLLECITAZ NASCOSTO'!$P$9,IF(C419&lt;='SOLLECITAZ NASCOSTO'!$P$8,IF(C419&lt;='SOLLECITAZ NASCOSTO'!$P$7,IF(C419&lt;='SOLLECITAZ NASCOSTO'!$P$6,IF(C419&lt;='SOLLECITAZ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22.77125097162806</v>
      </c>
      <c r="O420" s="42">
        <f>IF(C420&lt;='SOLLECITAZ NASCOSTO'!$P$12,IF(C420&lt;='SOLLECITAZ NASCOSTO'!$P$11,IF(C420&lt;='SOLLECITAZ NASCOSTO'!$P$10,IF(C420&lt;='SOLLECITAZ NASCOSTO'!$P$9,IF(C420&lt;='SOLLECITAZ NASCOSTO'!$P$8,IF(C420&lt;='SOLLECITAZ NASCOSTO'!$P$7,IF(C420&lt;='SOLLECITAZ NASCOSTO'!$P$6,IF(C420&lt;='SOLLECITAZ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slu'!$G$111),55555)*(C420-C419)/IF(C420&lt;='SOLLECITAZ NASCOSTO'!$P$12,IF(C420&lt;='SOLLECITAZ NASCOSTO'!$P$11,IF(C420&lt;='SOLLECITAZ NASCOSTO'!$P$10,IF(C420&lt;='SOLLECITAZ NASCOSTO'!$P$9,IF(C420&lt;='SOLLECITAZ NASCOSTO'!$P$8,IF(C420&lt;='SOLLECITAZ NASCOSTO'!$P$7,IF(C420&lt;='SOLLECITAZ NASCOSTO'!$P$6,IF(C420&lt;='SOLLECITAZ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20" s="42">
        <f t="shared" ref="P420:P468" si="136">P419+0.000001</f>
        <v>3.870000000000029E-4</v>
      </c>
      <c r="Q420" s="42">
        <f t="shared" si="134"/>
        <v>1</v>
      </c>
      <c r="R420" s="441">
        <f t="shared" si="127"/>
        <v>2.6581730769230769</v>
      </c>
      <c r="S420" s="46">
        <f t="shared" si="135"/>
        <v>2.6581730769230769</v>
      </c>
      <c r="T420" s="211">
        <f t="shared" si="130"/>
        <v>0.69182692307692317</v>
      </c>
      <c r="U420" s="46">
        <f t="shared" si="132"/>
        <v>35.836778909639094</v>
      </c>
      <c r="V420" s="46">
        <f t="shared" si="133"/>
        <v>-36.633794116421335</v>
      </c>
      <c r="W420" s="496"/>
    </row>
    <row r="421" spans="1:23" x14ac:dyDescent="0.25">
      <c r="A421" s="589">
        <f t="shared" si="128"/>
        <v>9.3509615382569855E-6</v>
      </c>
      <c r="B421" s="32">
        <f t="shared" si="110"/>
        <v>389</v>
      </c>
      <c r="C421" s="441">
        <f>'SOLLECITAZ NASCOSTO'!$D$6/'SOLLECITAZ NASCOSTO'!$B$448*'SOLLECITAZ NASCOSTO'!B421</f>
        <v>2.6650240384615382</v>
      </c>
      <c r="D421" s="441">
        <f t="shared" si="129"/>
        <v>0.30000935096153825</v>
      </c>
      <c r="E421" s="441">
        <f t="shared" si="123"/>
        <v>9.3509615382569855E-6</v>
      </c>
      <c r="F421" s="441">
        <f t="shared" si="124"/>
        <v>0.30000935096153825</v>
      </c>
      <c r="G421" s="441">
        <f t="shared" si="125"/>
        <v>4.500280533218172E-2</v>
      </c>
      <c r="H421" s="441">
        <f t="shared" si="120"/>
        <v>0</v>
      </c>
      <c r="I421" s="441">
        <v>0</v>
      </c>
      <c r="J421" s="131">
        <f t="shared" si="121"/>
        <v>0.15000467548076915</v>
      </c>
      <c r="K421" s="130">
        <f t="shared" si="126"/>
        <v>2.2502104031927152E-3</v>
      </c>
      <c r="L421" s="42">
        <f t="shared" si="122"/>
        <v>35.993278502199985</v>
      </c>
      <c r="M421" s="42">
        <f t="shared" si="131"/>
        <v>-36.879846596738325</v>
      </c>
      <c r="N421" s="42">
        <f>(IF(C420&lt;='SOLLECITAZ NASCOSTO'!$P$12,IF(C420&lt;='SOLLECITAZ NASCOSTO'!$P$11,IF(C420&lt;='SOLLECITAZ NASCOSTO'!$P$10,IF(C420&lt;='SOLLECITAZ NASCOSTO'!$P$9,IF(C420&lt;='SOLLECITAZ NASCOSTO'!$P$8,IF(C420&lt;='SOLLECITAZ NASCOSTO'!$P$7,IF(C420&lt;='SOLLECITAZ NASCOSTO'!$P$6,IF(C420&lt;='SOLLECITAZ NASCOSTO'!$P$5,'Progetto del paramento slu'!$G$105,'Progetto del paramento slu'!$G$106),'Progetto del paramento slu'!$G$107),'Progetto del paramento slu'!$G$108),'Progetto del paramento slu'!$G$109),'Progetto del paramento slu'!$G$110),'Progetto del paramento slu'!$G$111),'Progetto del paramento slu'!$G$112),55555)-IF(C420&lt;='SOLLECITAZ NASCOSTO'!$P$12,IF(C420&lt;='SOLLECITAZ NASCOSTO'!$P$11,IF(C420&lt;='SOLLECITAZ NASCOSTO'!$P$10,IF(C420&lt;='SOLLECITAZ NASCOSTO'!$P$9,IF(C420&lt;='SOLLECITAZ NASCOSTO'!$P$8,IF(C420&lt;='SOLLECITAZ NASCOSTO'!$P$7,IF(C420&lt;='SOLLECITAZ NASCOSTO'!$P$6,IF(C420&lt;='SOLLECITAZ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slu'!$G$112))*(C420-IF(C420&lt;='SOLLECITAZ NASCOSTO'!$P$12,IF(C420&lt;='SOLLECITAZ NASCOSTO'!$P$11,IF(C420&lt;='SOLLECITAZ NASCOSTO'!$P$10,IF(C420&lt;='SOLLECITAZ NASCOSTO'!$P$9,IF(C420&lt;='SOLLECITAZ NASCOSTO'!$P$8,IF(C420&lt;='SOLLECITAZ NASCOSTO'!$P$7,IF(C420&lt;='SOLLECITAZ NASCOSTO'!$P$6,IF(C420&lt;='SOLLECITAZ NASCOSTO'!$P$5,'SOLLECITAZ NASCOSTO'!$P$3,'SOLLECITAZ NASCOSTO'!$P$5),'SOLLECITAZ NASCOSTO'!$P$5),'SOLLECITAZ NASCOSTO'!$P$7),'SOLLECITAZ NASCOSTO'!$P$8),'SOLLECITAZ NASCOSTO'!$P$9),'SOLLECITAZ NASCOSTO'!$P$10),'SOLLECITAZ NASCOSTO'!$P$11),'SOLLECITAZ NASCOSTO'!$P$12))/IF(C420&lt;='SOLLECITAZ NASCOSTO'!$P$12,IF(C420&lt;='SOLLECITAZ NASCOSTO'!$P$11,IF(C420&lt;='SOLLECITAZ NASCOSTO'!$P$10,IF(C420&lt;='SOLLECITAZ NASCOSTO'!$P$9,IF(C420&lt;='SOLLECITAZ NASCOSTO'!$P$8,IF(C420&lt;='SOLLECITAZ NASCOSTO'!$P$7,IF(C420&lt;='SOLLECITAZ NASCOSTO'!$P$6,IF(C420&lt;='SOLLECITAZ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slu'!$C$112)+IF(C420&lt;='SOLLECITAZ NASCOSTO'!$P$12,IF(C420&lt;='SOLLECITAZ NASCOSTO'!$P$11,IF(C420&lt;='SOLLECITAZ NASCOSTO'!$P$10,IF(C420&lt;='SOLLECITAZ NASCOSTO'!$P$9,IF(C420&lt;='SOLLECITAZ NASCOSTO'!$P$8,IF(C420&lt;='SOLLECITAZ NASCOSTO'!$P$7,IF(C420&lt;='SOLLECITAZ NASCOSTO'!$P$6,IF(C420&lt;='SOLLECITAZ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22.819383190620414</v>
      </c>
      <c r="O421" s="42">
        <f>IF(C421&lt;='SOLLECITAZ NASCOSTO'!$P$12,IF(C421&lt;='SOLLECITAZ NASCOSTO'!$P$11,IF(C421&lt;='SOLLECITAZ NASCOSTO'!$P$10,IF(C421&lt;='SOLLECITAZ NASCOSTO'!$P$9,IF(C421&lt;='SOLLECITAZ NASCOSTO'!$P$8,IF(C421&lt;='SOLLECITAZ NASCOSTO'!$P$7,IF(C421&lt;='SOLLECITAZ NASCOSTO'!$P$6,IF(C421&lt;='SOLLECITAZ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slu'!$G$111),55555)*(C421-C420)/IF(C421&lt;='SOLLECITAZ NASCOSTO'!$P$12,IF(C421&lt;='SOLLECITAZ NASCOSTO'!$P$11,IF(C421&lt;='SOLLECITAZ NASCOSTO'!$P$10,IF(C421&lt;='SOLLECITAZ NASCOSTO'!$P$9,IF(C421&lt;='SOLLECITAZ NASCOSTO'!$P$8,IF(C421&lt;='SOLLECITAZ NASCOSTO'!$P$7,IF(C421&lt;='SOLLECITAZ NASCOSTO'!$P$6,IF(C421&lt;='SOLLECITAZ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21" s="42">
        <f t="shared" si="136"/>
        <v>3.8800000000000293E-4</v>
      </c>
      <c r="Q421" s="42">
        <f t="shared" si="134"/>
        <v>1</v>
      </c>
      <c r="R421" s="441">
        <f t="shared" si="127"/>
        <v>2.6650240384615382</v>
      </c>
      <c r="S421" s="46">
        <f t="shared" si="135"/>
        <v>2.6650240384615382</v>
      </c>
      <c r="T421" s="211">
        <f t="shared" si="130"/>
        <v>0.68497596153846185</v>
      </c>
      <c r="U421" s="46">
        <f t="shared" si="132"/>
        <v>35.993278502199985</v>
      </c>
      <c r="V421" s="46">
        <f t="shared" si="133"/>
        <v>-36.879846596738325</v>
      </c>
      <c r="W421" s="496"/>
    </row>
    <row r="422" spans="1:23" x14ac:dyDescent="0.25">
      <c r="A422" s="589">
        <f t="shared" si="128"/>
        <v>9.3749999998116174E-6</v>
      </c>
      <c r="B422" s="32">
        <f t="shared" si="110"/>
        <v>390</v>
      </c>
      <c r="C422" s="441">
        <f>'SOLLECITAZ NASCOSTO'!$D$6/'SOLLECITAZ NASCOSTO'!$B$448*'SOLLECITAZ NASCOSTO'!B422</f>
        <v>2.671875</v>
      </c>
      <c r="D422" s="441">
        <f t="shared" si="129"/>
        <v>0.3000093749999998</v>
      </c>
      <c r="E422" s="441">
        <f t="shared" si="123"/>
        <v>9.3749999998116174E-6</v>
      </c>
      <c r="F422" s="441">
        <f t="shared" si="124"/>
        <v>0.3000093749999998</v>
      </c>
      <c r="G422" s="441">
        <f t="shared" si="125"/>
        <v>4.5002812543945253E-2</v>
      </c>
      <c r="H422" s="441">
        <f t="shared" ref="H422:H448" si="137">I422*F422</f>
        <v>0</v>
      </c>
      <c r="I422" s="441">
        <v>0</v>
      </c>
      <c r="J422" s="131">
        <f t="shared" ref="J422:J448" si="138">G422/F422</f>
        <v>0.1500046874999999</v>
      </c>
      <c r="K422" s="130">
        <f t="shared" si="126"/>
        <v>2.250210944091861E-3</v>
      </c>
      <c r="L422" s="42">
        <f t="shared" ref="L422:L448" si="139">L421+N422*(C422-C421)+O422*(C422-C421)/2</f>
        <v>36.150107846741967</v>
      </c>
      <c r="M422" s="42">
        <f t="shared" si="131"/>
        <v>-37.126972379303822</v>
      </c>
      <c r="N422" s="42">
        <f>(IF(C421&lt;='SOLLECITAZ NASCOSTO'!$P$12,IF(C421&lt;='SOLLECITAZ NASCOSTO'!$P$11,IF(C421&lt;='SOLLECITAZ NASCOSTO'!$P$10,IF(C421&lt;='SOLLECITAZ NASCOSTO'!$P$9,IF(C421&lt;='SOLLECITAZ NASCOSTO'!$P$8,IF(C421&lt;='SOLLECITAZ NASCOSTO'!$P$7,IF(C421&lt;='SOLLECITAZ NASCOSTO'!$P$6,IF(C421&lt;='SOLLECITAZ NASCOSTO'!$P$5,'Progetto del paramento slu'!$G$105,'Progetto del paramento slu'!$G$106),'Progetto del paramento slu'!$G$107),'Progetto del paramento slu'!$G$108),'Progetto del paramento slu'!$G$109),'Progetto del paramento slu'!$G$110),'Progetto del paramento slu'!$G$111),'Progetto del paramento slu'!$G$112),55555)-IF(C421&lt;='SOLLECITAZ NASCOSTO'!$P$12,IF(C421&lt;='SOLLECITAZ NASCOSTO'!$P$11,IF(C421&lt;='SOLLECITAZ NASCOSTO'!$P$10,IF(C421&lt;='SOLLECITAZ NASCOSTO'!$P$9,IF(C421&lt;='SOLLECITAZ NASCOSTO'!$P$8,IF(C421&lt;='SOLLECITAZ NASCOSTO'!$P$7,IF(C421&lt;='SOLLECITAZ NASCOSTO'!$P$6,IF(C421&lt;='SOLLECITAZ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slu'!$G$112))*(C421-IF(C421&lt;='SOLLECITAZ NASCOSTO'!$P$12,IF(C421&lt;='SOLLECITAZ NASCOSTO'!$P$11,IF(C421&lt;='SOLLECITAZ NASCOSTO'!$P$10,IF(C421&lt;='SOLLECITAZ NASCOSTO'!$P$9,IF(C421&lt;='SOLLECITAZ NASCOSTO'!$P$8,IF(C421&lt;='SOLLECITAZ NASCOSTO'!$P$7,IF(C421&lt;='SOLLECITAZ NASCOSTO'!$P$6,IF(C421&lt;='SOLLECITAZ NASCOSTO'!$P$5,'SOLLECITAZ NASCOSTO'!$P$3,'SOLLECITAZ NASCOSTO'!$P$5),'SOLLECITAZ NASCOSTO'!$P$5),'SOLLECITAZ NASCOSTO'!$P$7),'SOLLECITAZ NASCOSTO'!$P$8),'SOLLECITAZ NASCOSTO'!$P$9),'SOLLECITAZ NASCOSTO'!$P$10),'SOLLECITAZ NASCOSTO'!$P$11),'SOLLECITAZ NASCOSTO'!$P$12))/IF(C421&lt;='SOLLECITAZ NASCOSTO'!$P$12,IF(C421&lt;='SOLLECITAZ NASCOSTO'!$P$11,IF(C421&lt;='SOLLECITAZ NASCOSTO'!$P$10,IF(C421&lt;='SOLLECITAZ NASCOSTO'!$P$9,IF(C421&lt;='SOLLECITAZ NASCOSTO'!$P$8,IF(C421&lt;='SOLLECITAZ NASCOSTO'!$P$7,IF(C421&lt;='SOLLECITAZ NASCOSTO'!$P$6,IF(C421&lt;='SOLLECITAZ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slu'!$C$112)+IF(C421&lt;='SOLLECITAZ NASCOSTO'!$P$12,IF(C421&lt;='SOLLECITAZ NASCOSTO'!$P$11,IF(C421&lt;='SOLLECITAZ NASCOSTO'!$P$10,IF(C421&lt;='SOLLECITAZ NASCOSTO'!$P$9,IF(C421&lt;='SOLLECITAZ NASCOSTO'!$P$8,IF(C421&lt;='SOLLECITAZ NASCOSTO'!$P$7,IF(C421&lt;='SOLLECITAZ NASCOSTO'!$P$6,IF(C421&lt;='SOLLECITAZ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22.867515409612764</v>
      </c>
      <c r="O422" s="42">
        <f>IF(C422&lt;='SOLLECITAZ NASCOSTO'!$P$12,IF(C422&lt;='SOLLECITAZ NASCOSTO'!$P$11,IF(C422&lt;='SOLLECITAZ NASCOSTO'!$P$10,IF(C422&lt;='SOLLECITAZ NASCOSTO'!$P$9,IF(C422&lt;='SOLLECITAZ NASCOSTO'!$P$8,IF(C422&lt;='SOLLECITAZ NASCOSTO'!$P$7,IF(C422&lt;='SOLLECITAZ NASCOSTO'!$P$6,IF(C422&lt;='SOLLECITAZ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slu'!$G$111),55555)*(C422-C421)/IF(C422&lt;='SOLLECITAZ NASCOSTO'!$P$12,IF(C422&lt;='SOLLECITAZ NASCOSTO'!$P$11,IF(C422&lt;='SOLLECITAZ NASCOSTO'!$P$10,IF(C422&lt;='SOLLECITAZ NASCOSTO'!$P$9,IF(C422&lt;='SOLLECITAZ NASCOSTO'!$P$8,IF(C422&lt;='SOLLECITAZ NASCOSTO'!$P$7,IF(C422&lt;='SOLLECITAZ NASCOSTO'!$P$6,IF(C422&lt;='SOLLECITAZ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22" s="42">
        <f t="shared" si="136"/>
        <v>3.8900000000000295E-4</v>
      </c>
      <c r="Q422" s="42">
        <f t="shared" si="134"/>
        <v>1</v>
      </c>
      <c r="R422" s="441">
        <f t="shared" si="127"/>
        <v>2.671875</v>
      </c>
      <c r="S422" s="46">
        <f t="shared" si="135"/>
        <v>2.671875</v>
      </c>
      <c r="T422" s="211">
        <f t="shared" si="130"/>
        <v>0.67812500000000009</v>
      </c>
      <c r="U422" s="46">
        <f t="shared" si="132"/>
        <v>36.150107846741967</v>
      </c>
      <c r="V422" s="46">
        <f t="shared" si="133"/>
        <v>-37.126972379303822</v>
      </c>
      <c r="W422" s="496"/>
    </row>
    <row r="423" spans="1:23" x14ac:dyDescent="0.25">
      <c r="A423" s="589">
        <f t="shared" si="128"/>
        <v>9.3990384613107381E-6</v>
      </c>
      <c r="B423" s="32">
        <f t="shared" si="110"/>
        <v>391</v>
      </c>
      <c r="C423" s="441">
        <f>'SOLLECITAZ NASCOSTO'!$D$6/'SOLLECITAZ NASCOSTO'!$B$448*'SOLLECITAZ NASCOSTO'!B423</f>
        <v>2.6787259615384613</v>
      </c>
      <c r="D423" s="441">
        <f t="shared" si="129"/>
        <v>0.3000093990384613</v>
      </c>
      <c r="E423" s="441">
        <f t="shared" si="123"/>
        <v>9.3990384613107381E-6</v>
      </c>
      <c r="F423" s="441">
        <f t="shared" si="124"/>
        <v>0.3000093990384613</v>
      </c>
      <c r="G423" s="441">
        <f t="shared" si="125"/>
        <v>4.5002819755709356E-2</v>
      </c>
      <c r="H423" s="441">
        <f t="shared" si="137"/>
        <v>0</v>
      </c>
      <c r="I423" s="441">
        <v>0</v>
      </c>
      <c r="J423" s="131">
        <f t="shared" si="138"/>
        <v>0.15000469951923065</v>
      </c>
      <c r="K423" s="130">
        <f t="shared" si="126"/>
        <v>2.2502114849910927E-3</v>
      </c>
      <c r="L423" s="42">
        <f t="shared" si="139"/>
        <v>36.307266943265013</v>
      </c>
      <c r="M423" s="42">
        <f t="shared" si="131"/>
        <v>-37.375173723235932</v>
      </c>
      <c r="N423" s="42">
        <f>(IF(C422&lt;='SOLLECITAZ NASCOSTO'!$P$12,IF(C422&lt;='SOLLECITAZ NASCOSTO'!$P$11,IF(C422&lt;='SOLLECITAZ NASCOSTO'!$P$10,IF(C422&lt;='SOLLECITAZ NASCOSTO'!$P$9,IF(C422&lt;='SOLLECITAZ NASCOSTO'!$P$8,IF(C422&lt;='SOLLECITAZ NASCOSTO'!$P$7,IF(C422&lt;='SOLLECITAZ NASCOSTO'!$P$6,IF(C422&lt;='SOLLECITAZ NASCOSTO'!$P$5,'Progetto del paramento slu'!$G$105,'Progetto del paramento slu'!$G$106),'Progetto del paramento slu'!$G$107),'Progetto del paramento slu'!$G$108),'Progetto del paramento slu'!$G$109),'Progetto del paramento slu'!$G$110),'Progetto del paramento slu'!$G$111),'Progetto del paramento slu'!$G$112),55555)-IF(C422&lt;='SOLLECITAZ NASCOSTO'!$P$12,IF(C422&lt;='SOLLECITAZ NASCOSTO'!$P$11,IF(C422&lt;='SOLLECITAZ NASCOSTO'!$P$10,IF(C422&lt;='SOLLECITAZ NASCOSTO'!$P$9,IF(C422&lt;='SOLLECITAZ NASCOSTO'!$P$8,IF(C422&lt;='SOLLECITAZ NASCOSTO'!$P$7,IF(C422&lt;='SOLLECITAZ NASCOSTO'!$P$6,IF(C422&lt;='SOLLECITAZ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slu'!$G$112))*(C422-IF(C422&lt;='SOLLECITAZ NASCOSTO'!$P$12,IF(C422&lt;='SOLLECITAZ NASCOSTO'!$P$11,IF(C422&lt;='SOLLECITAZ NASCOSTO'!$P$10,IF(C422&lt;='SOLLECITAZ NASCOSTO'!$P$9,IF(C422&lt;='SOLLECITAZ NASCOSTO'!$P$8,IF(C422&lt;='SOLLECITAZ NASCOSTO'!$P$7,IF(C422&lt;='SOLLECITAZ NASCOSTO'!$P$6,IF(C422&lt;='SOLLECITAZ NASCOSTO'!$P$5,'SOLLECITAZ NASCOSTO'!$P$3,'SOLLECITAZ NASCOSTO'!$P$5),'SOLLECITAZ NASCOSTO'!$P$5),'SOLLECITAZ NASCOSTO'!$P$7),'SOLLECITAZ NASCOSTO'!$P$8),'SOLLECITAZ NASCOSTO'!$P$9),'SOLLECITAZ NASCOSTO'!$P$10),'SOLLECITAZ NASCOSTO'!$P$11),'SOLLECITAZ NASCOSTO'!$P$12))/IF(C422&lt;='SOLLECITAZ NASCOSTO'!$P$12,IF(C422&lt;='SOLLECITAZ NASCOSTO'!$P$11,IF(C422&lt;='SOLLECITAZ NASCOSTO'!$P$10,IF(C422&lt;='SOLLECITAZ NASCOSTO'!$P$9,IF(C422&lt;='SOLLECITAZ NASCOSTO'!$P$8,IF(C422&lt;='SOLLECITAZ NASCOSTO'!$P$7,IF(C422&lt;='SOLLECITAZ NASCOSTO'!$P$6,IF(C422&lt;='SOLLECITAZ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slu'!$C$112)+IF(C422&lt;='SOLLECITAZ NASCOSTO'!$P$12,IF(C422&lt;='SOLLECITAZ NASCOSTO'!$P$11,IF(C422&lt;='SOLLECITAZ NASCOSTO'!$P$10,IF(C422&lt;='SOLLECITAZ NASCOSTO'!$P$9,IF(C422&lt;='SOLLECITAZ NASCOSTO'!$P$8,IF(C422&lt;='SOLLECITAZ NASCOSTO'!$P$7,IF(C422&lt;='SOLLECITAZ NASCOSTO'!$P$6,IF(C422&lt;='SOLLECITAZ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22.915647628605118</v>
      </c>
      <c r="O423" s="42">
        <f>IF(C423&lt;='SOLLECITAZ NASCOSTO'!$P$12,IF(C423&lt;='SOLLECITAZ NASCOSTO'!$P$11,IF(C423&lt;='SOLLECITAZ NASCOSTO'!$P$10,IF(C423&lt;='SOLLECITAZ NASCOSTO'!$P$9,IF(C423&lt;='SOLLECITAZ NASCOSTO'!$P$8,IF(C423&lt;='SOLLECITAZ NASCOSTO'!$P$7,IF(C423&lt;='SOLLECITAZ NASCOSTO'!$P$6,IF(C423&lt;='SOLLECITAZ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slu'!$G$111),55555)*(C423-C422)/IF(C423&lt;='SOLLECITAZ NASCOSTO'!$P$12,IF(C423&lt;='SOLLECITAZ NASCOSTO'!$P$11,IF(C423&lt;='SOLLECITAZ NASCOSTO'!$P$10,IF(C423&lt;='SOLLECITAZ NASCOSTO'!$P$9,IF(C423&lt;='SOLLECITAZ NASCOSTO'!$P$8,IF(C423&lt;='SOLLECITAZ NASCOSTO'!$P$7,IF(C423&lt;='SOLLECITAZ NASCOSTO'!$P$6,IF(C423&lt;='SOLLECITAZ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23" s="42">
        <f t="shared" si="136"/>
        <v>3.9000000000000297E-4</v>
      </c>
      <c r="Q423" s="42">
        <f t="shared" si="134"/>
        <v>1</v>
      </c>
      <c r="R423" s="441">
        <f t="shared" si="127"/>
        <v>2.6787259615384613</v>
      </c>
      <c r="S423" s="46">
        <f t="shared" si="135"/>
        <v>2.6787259615384613</v>
      </c>
      <c r="T423" s="211">
        <f t="shared" si="130"/>
        <v>0.67127403846153877</v>
      </c>
      <c r="U423" s="46">
        <f t="shared" si="132"/>
        <v>36.307266943265013</v>
      </c>
      <c r="V423" s="46">
        <f t="shared" si="133"/>
        <v>-37.375173723235932</v>
      </c>
      <c r="W423" s="496"/>
    </row>
    <row r="424" spans="1:23" x14ac:dyDescent="0.25">
      <c r="A424" s="589">
        <f t="shared" si="128"/>
        <v>9.4230769228653699E-6</v>
      </c>
      <c r="B424" s="32">
        <f t="shared" si="110"/>
        <v>392</v>
      </c>
      <c r="C424" s="441">
        <f>'SOLLECITAZ NASCOSTO'!$D$6/'SOLLECITAZ NASCOSTO'!$B$448*'SOLLECITAZ NASCOSTO'!B424</f>
        <v>2.6855769230769231</v>
      </c>
      <c r="D424" s="441">
        <f t="shared" si="129"/>
        <v>0.30000942307692285</v>
      </c>
      <c r="E424" s="441">
        <f t="shared" si="123"/>
        <v>9.4230769228653699E-6</v>
      </c>
      <c r="F424" s="441">
        <f t="shared" si="124"/>
        <v>0.30000942307692285</v>
      </c>
      <c r="G424" s="441">
        <f t="shared" si="125"/>
        <v>4.5002826967474048E-2</v>
      </c>
      <c r="H424" s="441">
        <f t="shared" si="137"/>
        <v>0</v>
      </c>
      <c r="I424" s="441">
        <v>0</v>
      </c>
      <c r="J424" s="131">
        <f t="shared" si="138"/>
        <v>0.15000471153846143</v>
      </c>
      <c r="K424" s="130">
        <f t="shared" si="126"/>
        <v>2.2502120258904123E-3</v>
      </c>
      <c r="L424" s="42">
        <f t="shared" si="139"/>
        <v>36.46475579176915</v>
      </c>
      <c r="M424" s="42">
        <f t="shared" si="131"/>
        <v>-37.624452887652822</v>
      </c>
      <c r="N424" s="42">
        <f>(IF(C423&lt;='SOLLECITAZ NASCOSTO'!$P$12,IF(C423&lt;='SOLLECITAZ NASCOSTO'!$P$11,IF(C423&lt;='SOLLECITAZ NASCOSTO'!$P$10,IF(C423&lt;='SOLLECITAZ NASCOSTO'!$P$9,IF(C423&lt;='SOLLECITAZ NASCOSTO'!$P$8,IF(C423&lt;='SOLLECITAZ NASCOSTO'!$P$7,IF(C423&lt;='SOLLECITAZ NASCOSTO'!$P$6,IF(C423&lt;='SOLLECITAZ NASCOSTO'!$P$5,'Progetto del paramento slu'!$G$105,'Progetto del paramento slu'!$G$106),'Progetto del paramento slu'!$G$107),'Progetto del paramento slu'!$G$108),'Progetto del paramento slu'!$G$109),'Progetto del paramento slu'!$G$110),'Progetto del paramento slu'!$G$111),'Progetto del paramento slu'!$G$112),55555)-IF(C423&lt;='SOLLECITAZ NASCOSTO'!$P$12,IF(C423&lt;='SOLLECITAZ NASCOSTO'!$P$11,IF(C423&lt;='SOLLECITAZ NASCOSTO'!$P$10,IF(C423&lt;='SOLLECITAZ NASCOSTO'!$P$9,IF(C423&lt;='SOLLECITAZ NASCOSTO'!$P$8,IF(C423&lt;='SOLLECITAZ NASCOSTO'!$P$7,IF(C423&lt;='SOLLECITAZ NASCOSTO'!$P$6,IF(C423&lt;='SOLLECITAZ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slu'!$G$112))*(C423-IF(C423&lt;='SOLLECITAZ NASCOSTO'!$P$12,IF(C423&lt;='SOLLECITAZ NASCOSTO'!$P$11,IF(C423&lt;='SOLLECITAZ NASCOSTO'!$P$10,IF(C423&lt;='SOLLECITAZ NASCOSTO'!$P$9,IF(C423&lt;='SOLLECITAZ NASCOSTO'!$P$8,IF(C423&lt;='SOLLECITAZ NASCOSTO'!$P$7,IF(C423&lt;='SOLLECITAZ NASCOSTO'!$P$6,IF(C423&lt;='SOLLECITAZ NASCOSTO'!$P$5,'SOLLECITAZ NASCOSTO'!$P$3,'SOLLECITAZ NASCOSTO'!$P$5),'SOLLECITAZ NASCOSTO'!$P$5),'SOLLECITAZ NASCOSTO'!$P$7),'SOLLECITAZ NASCOSTO'!$P$8),'SOLLECITAZ NASCOSTO'!$P$9),'SOLLECITAZ NASCOSTO'!$P$10),'SOLLECITAZ NASCOSTO'!$P$11),'SOLLECITAZ NASCOSTO'!$P$12))/IF(C423&lt;='SOLLECITAZ NASCOSTO'!$P$12,IF(C423&lt;='SOLLECITAZ NASCOSTO'!$P$11,IF(C423&lt;='SOLLECITAZ NASCOSTO'!$P$10,IF(C423&lt;='SOLLECITAZ NASCOSTO'!$P$9,IF(C423&lt;='SOLLECITAZ NASCOSTO'!$P$8,IF(C423&lt;='SOLLECITAZ NASCOSTO'!$P$7,IF(C423&lt;='SOLLECITAZ NASCOSTO'!$P$6,IF(C423&lt;='SOLLECITAZ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slu'!$C$112)+IF(C423&lt;='SOLLECITAZ NASCOSTO'!$P$12,IF(C423&lt;='SOLLECITAZ NASCOSTO'!$P$11,IF(C423&lt;='SOLLECITAZ NASCOSTO'!$P$10,IF(C423&lt;='SOLLECITAZ NASCOSTO'!$P$9,IF(C423&lt;='SOLLECITAZ NASCOSTO'!$P$8,IF(C423&lt;='SOLLECITAZ NASCOSTO'!$P$7,IF(C423&lt;='SOLLECITAZ NASCOSTO'!$P$6,IF(C423&lt;='SOLLECITAZ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22.963779847597468</v>
      </c>
      <c r="O424" s="42">
        <f>IF(C424&lt;='SOLLECITAZ NASCOSTO'!$P$12,IF(C424&lt;='SOLLECITAZ NASCOSTO'!$P$11,IF(C424&lt;='SOLLECITAZ NASCOSTO'!$P$10,IF(C424&lt;='SOLLECITAZ NASCOSTO'!$P$9,IF(C424&lt;='SOLLECITAZ NASCOSTO'!$P$8,IF(C424&lt;='SOLLECITAZ NASCOSTO'!$P$7,IF(C424&lt;='SOLLECITAZ NASCOSTO'!$P$6,IF(C424&lt;='SOLLECITAZ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slu'!$G$111),55555)*(C424-C423)/IF(C424&lt;='SOLLECITAZ NASCOSTO'!$P$12,IF(C424&lt;='SOLLECITAZ NASCOSTO'!$P$11,IF(C424&lt;='SOLLECITAZ NASCOSTO'!$P$10,IF(C424&lt;='SOLLECITAZ NASCOSTO'!$P$9,IF(C424&lt;='SOLLECITAZ NASCOSTO'!$P$8,IF(C424&lt;='SOLLECITAZ NASCOSTO'!$P$7,IF(C424&lt;='SOLLECITAZ NASCOSTO'!$P$6,IF(C424&lt;='SOLLECITAZ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24" s="42">
        <f t="shared" si="136"/>
        <v>3.91000000000003E-4</v>
      </c>
      <c r="Q424" s="42">
        <f t="shared" si="134"/>
        <v>1</v>
      </c>
      <c r="R424" s="441">
        <f t="shared" si="127"/>
        <v>2.6855769230769231</v>
      </c>
      <c r="S424" s="46">
        <f t="shared" si="135"/>
        <v>2.6855769230769231</v>
      </c>
      <c r="T424" s="211">
        <f t="shared" si="130"/>
        <v>0.66442307692307701</v>
      </c>
      <c r="U424" s="46">
        <f t="shared" si="132"/>
        <v>36.46475579176915</v>
      </c>
      <c r="V424" s="46">
        <f t="shared" si="133"/>
        <v>-37.624452887652822</v>
      </c>
      <c r="W424" s="496"/>
    </row>
    <row r="425" spans="1:23" x14ac:dyDescent="0.25">
      <c r="A425" s="589">
        <f t="shared" si="128"/>
        <v>9.4471153844200018E-6</v>
      </c>
      <c r="B425" s="32">
        <f t="shared" si="110"/>
        <v>393</v>
      </c>
      <c r="C425" s="441">
        <f>'SOLLECITAZ NASCOSTO'!$D$6/'SOLLECITAZ NASCOSTO'!$B$448*'SOLLECITAZ NASCOSTO'!B425</f>
        <v>2.6924278846153844</v>
      </c>
      <c r="D425" s="441">
        <f t="shared" si="129"/>
        <v>0.30000944711538441</v>
      </c>
      <c r="E425" s="441">
        <f t="shared" si="123"/>
        <v>9.4471153844200018E-6</v>
      </c>
      <c r="F425" s="441">
        <f t="shared" si="124"/>
        <v>0.30000944711538441</v>
      </c>
      <c r="G425" s="441">
        <f t="shared" si="125"/>
        <v>4.5002834179239316E-2</v>
      </c>
      <c r="H425" s="441">
        <f t="shared" si="137"/>
        <v>0</v>
      </c>
      <c r="I425" s="441">
        <v>0</v>
      </c>
      <c r="J425" s="131">
        <f t="shared" si="138"/>
        <v>0.1500047235576922</v>
      </c>
      <c r="K425" s="130">
        <f t="shared" si="126"/>
        <v>2.2502125667898188E-3</v>
      </c>
      <c r="L425" s="42">
        <f t="shared" si="139"/>
        <v>36.62257439225435</v>
      </c>
      <c r="M425" s="42">
        <f t="shared" si="131"/>
        <v>-37.874812131672606</v>
      </c>
      <c r="N425" s="42">
        <f>(IF(C424&lt;='SOLLECITAZ NASCOSTO'!$P$12,IF(C424&lt;='SOLLECITAZ NASCOSTO'!$P$11,IF(C424&lt;='SOLLECITAZ NASCOSTO'!$P$10,IF(C424&lt;='SOLLECITAZ NASCOSTO'!$P$9,IF(C424&lt;='SOLLECITAZ NASCOSTO'!$P$8,IF(C424&lt;='SOLLECITAZ NASCOSTO'!$P$7,IF(C424&lt;='SOLLECITAZ NASCOSTO'!$P$6,IF(C424&lt;='SOLLECITAZ NASCOSTO'!$P$5,'Progetto del paramento slu'!$G$105,'Progetto del paramento slu'!$G$106),'Progetto del paramento slu'!$G$107),'Progetto del paramento slu'!$G$108),'Progetto del paramento slu'!$G$109),'Progetto del paramento slu'!$G$110),'Progetto del paramento slu'!$G$111),'Progetto del paramento slu'!$G$112),55555)-IF(C424&lt;='SOLLECITAZ NASCOSTO'!$P$12,IF(C424&lt;='SOLLECITAZ NASCOSTO'!$P$11,IF(C424&lt;='SOLLECITAZ NASCOSTO'!$P$10,IF(C424&lt;='SOLLECITAZ NASCOSTO'!$P$9,IF(C424&lt;='SOLLECITAZ NASCOSTO'!$P$8,IF(C424&lt;='SOLLECITAZ NASCOSTO'!$P$7,IF(C424&lt;='SOLLECITAZ NASCOSTO'!$P$6,IF(C424&lt;='SOLLECITAZ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slu'!$G$112))*(C424-IF(C424&lt;='SOLLECITAZ NASCOSTO'!$P$12,IF(C424&lt;='SOLLECITAZ NASCOSTO'!$P$11,IF(C424&lt;='SOLLECITAZ NASCOSTO'!$P$10,IF(C424&lt;='SOLLECITAZ NASCOSTO'!$P$9,IF(C424&lt;='SOLLECITAZ NASCOSTO'!$P$8,IF(C424&lt;='SOLLECITAZ NASCOSTO'!$P$7,IF(C424&lt;='SOLLECITAZ NASCOSTO'!$P$6,IF(C424&lt;='SOLLECITAZ NASCOSTO'!$P$5,'SOLLECITAZ NASCOSTO'!$P$3,'SOLLECITAZ NASCOSTO'!$P$5),'SOLLECITAZ NASCOSTO'!$P$5),'SOLLECITAZ NASCOSTO'!$P$7),'SOLLECITAZ NASCOSTO'!$P$8),'SOLLECITAZ NASCOSTO'!$P$9),'SOLLECITAZ NASCOSTO'!$P$10),'SOLLECITAZ NASCOSTO'!$P$11),'SOLLECITAZ NASCOSTO'!$P$12))/IF(C424&lt;='SOLLECITAZ NASCOSTO'!$P$12,IF(C424&lt;='SOLLECITAZ NASCOSTO'!$P$11,IF(C424&lt;='SOLLECITAZ NASCOSTO'!$P$10,IF(C424&lt;='SOLLECITAZ NASCOSTO'!$P$9,IF(C424&lt;='SOLLECITAZ NASCOSTO'!$P$8,IF(C424&lt;='SOLLECITAZ NASCOSTO'!$P$7,IF(C424&lt;='SOLLECITAZ NASCOSTO'!$P$6,IF(C424&lt;='SOLLECITAZ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slu'!$C$112)+IF(C424&lt;='SOLLECITAZ NASCOSTO'!$P$12,IF(C424&lt;='SOLLECITAZ NASCOSTO'!$P$11,IF(C424&lt;='SOLLECITAZ NASCOSTO'!$P$10,IF(C424&lt;='SOLLECITAZ NASCOSTO'!$P$9,IF(C424&lt;='SOLLECITAZ NASCOSTO'!$P$8,IF(C424&lt;='SOLLECITAZ NASCOSTO'!$P$7,IF(C424&lt;='SOLLECITAZ NASCOSTO'!$P$6,IF(C424&lt;='SOLLECITAZ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23.011912066589822</v>
      </c>
      <c r="O425" s="42">
        <f>IF(C425&lt;='SOLLECITAZ NASCOSTO'!$P$12,IF(C425&lt;='SOLLECITAZ NASCOSTO'!$P$11,IF(C425&lt;='SOLLECITAZ NASCOSTO'!$P$10,IF(C425&lt;='SOLLECITAZ NASCOSTO'!$P$9,IF(C425&lt;='SOLLECITAZ NASCOSTO'!$P$8,IF(C425&lt;='SOLLECITAZ NASCOSTO'!$P$7,IF(C425&lt;='SOLLECITAZ NASCOSTO'!$P$6,IF(C425&lt;='SOLLECITAZ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slu'!$G$111),55555)*(C425-C424)/IF(C425&lt;='SOLLECITAZ NASCOSTO'!$P$12,IF(C425&lt;='SOLLECITAZ NASCOSTO'!$P$11,IF(C425&lt;='SOLLECITAZ NASCOSTO'!$P$10,IF(C425&lt;='SOLLECITAZ NASCOSTO'!$P$9,IF(C425&lt;='SOLLECITAZ NASCOSTO'!$P$8,IF(C425&lt;='SOLLECITAZ NASCOSTO'!$P$7,IF(C425&lt;='SOLLECITAZ NASCOSTO'!$P$6,IF(C425&lt;='SOLLECITAZ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25" s="42">
        <f t="shared" si="136"/>
        <v>3.9200000000000302E-4</v>
      </c>
      <c r="Q425" s="42">
        <f t="shared" si="134"/>
        <v>1</v>
      </c>
      <c r="R425" s="441">
        <f t="shared" si="127"/>
        <v>2.6924278846153844</v>
      </c>
      <c r="S425" s="46">
        <f t="shared" si="135"/>
        <v>2.6924278846153844</v>
      </c>
      <c r="T425" s="211">
        <f t="shared" si="130"/>
        <v>0.65757211538461569</v>
      </c>
      <c r="U425" s="46">
        <f t="shared" si="132"/>
        <v>36.62257439225435</v>
      </c>
      <c r="V425" s="46">
        <f t="shared" si="133"/>
        <v>-37.874812131672606</v>
      </c>
      <c r="W425" s="496"/>
    </row>
    <row r="426" spans="1:23" x14ac:dyDescent="0.25">
      <c r="A426" s="589">
        <f t="shared" si="128"/>
        <v>9.4711538459191225E-6</v>
      </c>
      <c r="B426" s="32">
        <f t="shared" si="110"/>
        <v>394</v>
      </c>
      <c r="C426" s="441">
        <f>'SOLLECITAZ NASCOSTO'!$D$6/'SOLLECITAZ NASCOSTO'!$B$448*'SOLLECITAZ NASCOSTO'!B426</f>
        <v>2.6992788461538462</v>
      </c>
      <c r="D426" s="441">
        <f t="shared" si="129"/>
        <v>0.30000947115384591</v>
      </c>
      <c r="E426" s="441">
        <f t="shared" si="123"/>
        <v>9.4711538459191225E-6</v>
      </c>
      <c r="F426" s="441">
        <f t="shared" si="124"/>
        <v>0.30000947115384591</v>
      </c>
      <c r="G426" s="441">
        <f t="shared" si="125"/>
        <v>4.5002841391005154E-2</v>
      </c>
      <c r="H426" s="441">
        <f t="shared" si="137"/>
        <v>0</v>
      </c>
      <c r="I426" s="441">
        <v>0</v>
      </c>
      <c r="J426" s="131">
        <f t="shared" si="138"/>
        <v>0.15000473557692295</v>
      </c>
      <c r="K426" s="130">
        <f t="shared" si="126"/>
        <v>2.2502131076893102E-3</v>
      </c>
      <c r="L426" s="42">
        <f t="shared" si="139"/>
        <v>36.780722744720642</v>
      </c>
      <c r="M426" s="42">
        <f t="shared" si="131"/>
        <v>-38.126253714413451</v>
      </c>
      <c r="N426" s="42">
        <f>(IF(C425&lt;='SOLLECITAZ NASCOSTO'!$P$12,IF(C425&lt;='SOLLECITAZ NASCOSTO'!$P$11,IF(C425&lt;='SOLLECITAZ NASCOSTO'!$P$10,IF(C425&lt;='SOLLECITAZ NASCOSTO'!$P$9,IF(C425&lt;='SOLLECITAZ NASCOSTO'!$P$8,IF(C425&lt;='SOLLECITAZ NASCOSTO'!$P$7,IF(C425&lt;='SOLLECITAZ NASCOSTO'!$P$6,IF(C425&lt;='SOLLECITAZ NASCOSTO'!$P$5,'Progetto del paramento slu'!$G$105,'Progetto del paramento slu'!$G$106),'Progetto del paramento slu'!$G$107),'Progetto del paramento slu'!$G$108),'Progetto del paramento slu'!$G$109),'Progetto del paramento slu'!$G$110),'Progetto del paramento slu'!$G$111),'Progetto del paramento slu'!$G$112),55555)-IF(C425&lt;='SOLLECITAZ NASCOSTO'!$P$12,IF(C425&lt;='SOLLECITAZ NASCOSTO'!$P$11,IF(C425&lt;='SOLLECITAZ NASCOSTO'!$P$10,IF(C425&lt;='SOLLECITAZ NASCOSTO'!$P$9,IF(C425&lt;='SOLLECITAZ NASCOSTO'!$P$8,IF(C425&lt;='SOLLECITAZ NASCOSTO'!$P$7,IF(C425&lt;='SOLLECITAZ NASCOSTO'!$P$6,IF(C425&lt;='SOLLECITAZ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slu'!$G$112))*(C425-IF(C425&lt;='SOLLECITAZ NASCOSTO'!$P$12,IF(C425&lt;='SOLLECITAZ NASCOSTO'!$P$11,IF(C425&lt;='SOLLECITAZ NASCOSTO'!$P$10,IF(C425&lt;='SOLLECITAZ NASCOSTO'!$P$9,IF(C425&lt;='SOLLECITAZ NASCOSTO'!$P$8,IF(C425&lt;='SOLLECITAZ NASCOSTO'!$P$7,IF(C425&lt;='SOLLECITAZ NASCOSTO'!$P$6,IF(C425&lt;='SOLLECITAZ NASCOSTO'!$P$5,'SOLLECITAZ NASCOSTO'!$P$3,'SOLLECITAZ NASCOSTO'!$P$5),'SOLLECITAZ NASCOSTO'!$P$5),'SOLLECITAZ NASCOSTO'!$P$7),'SOLLECITAZ NASCOSTO'!$P$8),'SOLLECITAZ NASCOSTO'!$P$9),'SOLLECITAZ NASCOSTO'!$P$10),'SOLLECITAZ NASCOSTO'!$P$11),'SOLLECITAZ NASCOSTO'!$P$12))/IF(C425&lt;='SOLLECITAZ NASCOSTO'!$P$12,IF(C425&lt;='SOLLECITAZ NASCOSTO'!$P$11,IF(C425&lt;='SOLLECITAZ NASCOSTO'!$P$10,IF(C425&lt;='SOLLECITAZ NASCOSTO'!$P$9,IF(C425&lt;='SOLLECITAZ NASCOSTO'!$P$8,IF(C425&lt;='SOLLECITAZ NASCOSTO'!$P$7,IF(C425&lt;='SOLLECITAZ NASCOSTO'!$P$6,IF(C425&lt;='SOLLECITAZ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slu'!$C$112)+IF(C425&lt;='SOLLECITAZ NASCOSTO'!$P$12,IF(C425&lt;='SOLLECITAZ NASCOSTO'!$P$11,IF(C425&lt;='SOLLECITAZ NASCOSTO'!$P$10,IF(C425&lt;='SOLLECITAZ NASCOSTO'!$P$9,IF(C425&lt;='SOLLECITAZ NASCOSTO'!$P$8,IF(C425&lt;='SOLLECITAZ NASCOSTO'!$P$7,IF(C425&lt;='SOLLECITAZ NASCOSTO'!$P$6,IF(C425&lt;='SOLLECITAZ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23.060044285582173</v>
      </c>
      <c r="O426" s="42">
        <f>IF(C426&lt;='SOLLECITAZ NASCOSTO'!$P$12,IF(C426&lt;='SOLLECITAZ NASCOSTO'!$P$11,IF(C426&lt;='SOLLECITAZ NASCOSTO'!$P$10,IF(C426&lt;='SOLLECITAZ NASCOSTO'!$P$9,IF(C426&lt;='SOLLECITAZ NASCOSTO'!$P$8,IF(C426&lt;='SOLLECITAZ NASCOSTO'!$P$7,IF(C426&lt;='SOLLECITAZ NASCOSTO'!$P$6,IF(C426&lt;='SOLLECITAZ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slu'!$G$111),55555)*(C426-C425)/IF(C426&lt;='SOLLECITAZ NASCOSTO'!$P$12,IF(C426&lt;='SOLLECITAZ NASCOSTO'!$P$11,IF(C426&lt;='SOLLECITAZ NASCOSTO'!$P$10,IF(C426&lt;='SOLLECITAZ NASCOSTO'!$P$9,IF(C426&lt;='SOLLECITAZ NASCOSTO'!$P$8,IF(C426&lt;='SOLLECITAZ NASCOSTO'!$P$7,IF(C426&lt;='SOLLECITAZ NASCOSTO'!$P$6,IF(C426&lt;='SOLLECITAZ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26" s="42">
        <f t="shared" si="136"/>
        <v>3.9300000000000305E-4</v>
      </c>
      <c r="Q426" s="42">
        <f t="shared" si="134"/>
        <v>1</v>
      </c>
      <c r="R426" s="441">
        <f t="shared" si="127"/>
        <v>2.6992788461538462</v>
      </c>
      <c r="S426" s="46">
        <f t="shared" si="135"/>
        <v>2.6992788461538462</v>
      </c>
      <c r="T426" s="211">
        <f t="shared" si="130"/>
        <v>0.65072115384615392</v>
      </c>
      <c r="U426" s="46">
        <f t="shared" si="132"/>
        <v>36.780722744720642</v>
      </c>
      <c r="V426" s="46">
        <f t="shared" si="133"/>
        <v>-38.126253714413451</v>
      </c>
      <c r="W426" s="496"/>
    </row>
    <row r="427" spans="1:23" x14ac:dyDescent="0.25">
      <c r="A427" s="589">
        <f t="shared" si="128"/>
        <v>9.4951923074737543E-6</v>
      </c>
      <c r="B427" s="32">
        <f t="shared" si="110"/>
        <v>395</v>
      </c>
      <c r="C427" s="441">
        <f>'SOLLECITAZ NASCOSTO'!$D$6/'SOLLECITAZ NASCOSTO'!$B$448*'SOLLECITAZ NASCOSTO'!B427</f>
        <v>2.7061298076923075</v>
      </c>
      <c r="D427" s="441">
        <f t="shared" si="129"/>
        <v>0.30000949519230746</v>
      </c>
      <c r="E427" s="441">
        <f t="shared" si="123"/>
        <v>9.4951923074737543E-6</v>
      </c>
      <c r="F427" s="441">
        <f t="shared" si="124"/>
        <v>0.30000949519230746</v>
      </c>
      <c r="G427" s="441">
        <f t="shared" si="125"/>
        <v>4.5002848602771581E-2</v>
      </c>
      <c r="H427" s="441">
        <f t="shared" si="137"/>
        <v>0</v>
      </c>
      <c r="I427" s="441">
        <v>0</v>
      </c>
      <c r="J427" s="131">
        <f t="shared" si="138"/>
        <v>0.15000474759615373</v>
      </c>
      <c r="K427" s="130">
        <f t="shared" si="126"/>
        <v>2.2502136485888901E-3</v>
      </c>
      <c r="L427" s="42">
        <f t="shared" si="139"/>
        <v>36.939200849167996</v>
      </c>
      <c r="M427" s="42">
        <f t="shared" si="131"/>
        <v>-38.378779894993471</v>
      </c>
      <c r="N427" s="42">
        <f>(IF(C426&lt;='SOLLECITAZ NASCOSTO'!$P$12,IF(C426&lt;='SOLLECITAZ NASCOSTO'!$P$11,IF(C426&lt;='SOLLECITAZ NASCOSTO'!$P$10,IF(C426&lt;='SOLLECITAZ NASCOSTO'!$P$9,IF(C426&lt;='SOLLECITAZ NASCOSTO'!$P$8,IF(C426&lt;='SOLLECITAZ NASCOSTO'!$P$7,IF(C426&lt;='SOLLECITAZ NASCOSTO'!$P$6,IF(C426&lt;='SOLLECITAZ NASCOSTO'!$P$5,'Progetto del paramento slu'!$G$105,'Progetto del paramento slu'!$G$106),'Progetto del paramento slu'!$G$107),'Progetto del paramento slu'!$G$108),'Progetto del paramento slu'!$G$109),'Progetto del paramento slu'!$G$110),'Progetto del paramento slu'!$G$111),'Progetto del paramento slu'!$G$112),55555)-IF(C426&lt;='SOLLECITAZ NASCOSTO'!$P$12,IF(C426&lt;='SOLLECITAZ NASCOSTO'!$P$11,IF(C426&lt;='SOLLECITAZ NASCOSTO'!$P$10,IF(C426&lt;='SOLLECITAZ NASCOSTO'!$P$9,IF(C426&lt;='SOLLECITAZ NASCOSTO'!$P$8,IF(C426&lt;='SOLLECITAZ NASCOSTO'!$P$7,IF(C426&lt;='SOLLECITAZ NASCOSTO'!$P$6,IF(C426&lt;='SOLLECITAZ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slu'!$G$112))*(C426-IF(C426&lt;='SOLLECITAZ NASCOSTO'!$P$12,IF(C426&lt;='SOLLECITAZ NASCOSTO'!$P$11,IF(C426&lt;='SOLLECITAZ NASCOSTO'!$P$10,IF(C426&lt;='SOLLECITAZ NASCOSTO'!$P$9,IF(C426&lt;='SOLLECITAZ NASCOSTO'!$P$8,IF(C426&lt;='SOLLECITAZ NASCOSTO'!$P$7,IF(C426&lt;='SOLLECITAZ NASCOSTO'!$P$6,IF(C426&lt;='SOLLECITAZ NASCOSTO'!$P$5,'SOLLECITAZ NASCOSTO'!$P$3,'SOLLECITAZ NASCOSTO'!$P$5),'SOLLECITAZ NASCOSTO'!$P$5),'SOLLECITAZ NASCOSTO'!$P$7),'SOLLECITAZ NASCOSTO'!$P$8),'SOLLECITAZ NASCOSTO'!$P$9),'SOLLECITAZ NASCOSTO'!$P$10),'SOLLECITAZ NASCOSTO'!$P$11),'SOLLECITAZ NASCOSTO'!$P$12))/IF(C426&lt;='SOLLECITAZ NASCOSTO'!$P$12,IF(C426&lt;='SOLLECITAZ NASCOSTO'!$P$11,IF(C426&lt;='SOLLECITAZ NASCOSTO'!$P$10,IF(C426&lt;='SOLLECITAZ NASCOSTO'!$P$9,IF(C426&lt;='SOLLECITAZ NASCOSTO'!$P$8,IF(C426&lt;='SOLLECITAZ NASCOSTO'!$P$7,IF(C426&lt;='SOLLECITAZ NASCOSTO'!$P$6,IF(C426&lt;='SOLLECITAZ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slu'!$C$112)+IF(C426&lt;='SOLLECITAZ NASCOSTO'!$P$12,IF(C426&lt;='SOLLECITAZ NASCOSTO'!$P$11,IF(C426&lt;='SOLLECITAZ NASCOSTO'!$P$10,IF(C426&lt;='SOLLECITAZ NASCOSTO'!$P$9,IF(C426&lt;='SOLLECITAZ NASCOSTO'!$P$8,IF(C426&lt;='SOLLECITAZ NASCOSTO'!$P$7,IF(C426&lt;='SOLLECITAZ NASCOSTO'!$P$6,IF(C426&lt;='SOLLECITAZ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23.108176504574526</v>
      </c>
      <c r="O427" s="42">
        <f>IF(C427&lt;='SOLLECITAZ NASCOSTO'!$P$12,IF(C427&lt;='SOLLECITAZ NASCOSTO'!$P$11,IF(C427&lt;='SOLLECITAZ NASCOSTO'!$P$10,IF(C427&lt;='SOLLECITAZ NASCOSTO'!$P$9,IF(C427&lt;='SOLLECITAZ NASCOSTO'!$P$8,IF(C427&lt;='SOLLECITAZ NASCOSTO'!$P$7,IF(C427&lt;='SOLLECITAZ NASCOSTO'!$P$6,IF(C427&lt;='SOLLECITAZ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slu'!$G$111),55555)*(C427-C426)/IF(C427&lt;='SOLLECITAZ NASCOSTO'!$P$12,IF(C427&lt;='SOLLECITAZ NASCOSTO'!$P$11,IF(C427&lt;='SOLLECITAZ NASCOSTO'!$P$10,IF(C427&lt;='SOLLECITAZ NASCOSTO'!$P$9,IF(C427&lt;='SOLLECITAZ NASCOSTO'!$P$8,IF(C427&lt;='SOLLECITAZ NASCOSTO'!$P$7,IF(C427&lt;='SOLLECITAZ NASCOSTO'!$P$6,IF(C427&lt;='SOLLECITAZ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27" s="42">
        <f t="shared" si="136"/>
        <v>3.9400000000000307E-4</v>
      </c>
      <c r="Q427" s="42">
        <f t="shared" si="134"/>
        <v>1</v>
      </c>
      <c r="R427" s="441">
        <f t="shared" si="127"/>
        <v>2.7061298076923075</v>
      </c>
      <c r="S427" s="46">
        <f t="shared" si="135"/>
        <v>2.7061298076923075</v>
      </c>
      <c r="T427" s="211">
        <f t="shared" si="130"/>
        <v>0.6438701923076926</v>
      </c>
      <c r="U427" s="46">
        <f t="shared" si="132"/>
        <v>36.939200849167996</v>
      </c>
      <c r="V427" s="46">
        <f t="shared" si="133"/>
        <v>-38.378779894993471</v>
      </c>
      <c r="W427" s="496"/>
    </row>
    <row r="428" spans="1:23" x14ac:dyDescent="0.25">
      <c r="A428" s="589">
        <f t="shared" si="128"/>
        <v>9.5192307690283862E-6</v>
      </c>
      <c r="B428" s="32">
        <f t="shared" si="110"/>
        <v>396</v>
      </c>
      <c r="C428" s="441">
        <f>'SOLLECITAZ NASCOSTO'!$D$6/'SOLLECITAZ NASCOSTO'!$B$448*'SOLLECITAZ NASCOSTO'!B428</f>
        <v>2.7129807692307693</v>
      </c>
      <c r="D428" s="441">
        <f t="shared" si="129"/>
        <v>0.30000951923076902</v>
      </c>
      <c r="E428" s="441">
        <f t="shared" si="123"/>
        <v>9.5192307690283862E-6</v>
      </c>
      <c r="F428" s="441">
        <f t="shared" si="124"/>
        <v>0.30000951923076902</v>
      </c>
      <c r="G428" s="441">
        <f t="shared" si="125"/>
        <v>4.5002855814538584E-2</v>
      </c>
      <c r="H428" s="441">
        <f t="shared" si="137"/>
        <v>0</v>
      </c>
      <c r="I428" s="441">
        <v>0</v>
      </c>
      <c r="J428" s="131">
        <f t="shared" si="138"/>
        <v>0.15000475961538451</v>
      </c>
      <c r="K428" s="130">
        <f t="shared" si="126"/>
        <v>2.2502141894885563E-3</v>
      </c>
      <c r="L428" s="42">
        <f t="shared" si="139"/>
        <v>37.098008705596442</v>
      </c>
      <c r="M428" s="42">
        <f t="shared" si="131"/>
        <v>-38.632392932530834</v>
      </c>
      <c r="N428" s="42">
        <f>(IF(C427&lt;='SOLLECITAZ NASCOSTO'!$P$12,IF(C427&lt;='SOLLECITAZ NASCOSTO'!$P$11,IF(C427&lt;='SOLLECITAZ NASCOSTO'!$P$10,IF(C427&lt;='SOLLECITAZ NASCOSTO'!$P$9,IF(C427&lt;='SOLLECITAZ NASCOSTO'!$P$8,IF(C427&lt;='SOLLECITAZ NASCOSTO'!$P$7,IF(C427&lt;='SOLLECITAZ NASCOSTO'!$P$6,IF(C427&lt;='SOLLECITAZ NASCOSTO'!$P$5,'Progetto del paramento slu'!$G$105,'Progetto del paramento slu'!$G$106),'Progetto del paramento slu'!$G$107),'Progetto del paramento slu'!$G$108),'Progetto del paramento slu'!$G$109),'Progetto del paramento slu'!$G$110),'Progetto del paramento slu'!$G$111),'Progetto del paramento slu'!$G$112),55555)-IF(C427&lt;='SOLLECITAZ NASCOSTO'!$P$12,IF(C427&lt;='SOLLECITAZ NASCOSTO'!$P$11,IF(C427&lt;='SOLLECITAZ NASCOSTO'!$P$10,IF(C427&lt;='SOLLECITAZ NASCOSTO'!$P$9,IF(C427&lt;='SOLLECITAZ NASCOSTO'!$P$8,IF(C427&lt;='SOLLECITAZ NASCOSTO'!$P$7,IF(C427&lt;='SOLLECITAZ NASCOSTO'!$P$6,IF(C427&lt;='SOLLECITAZ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slu'!$G$112))*(C427-IF(C427&lt;='SOLLECITAZ NASCOSTO'!$P$12,IF(C427&lt;='SOLLECITAZ NASCOSTO'!$P$11,IF(C427&lt;='SOLLECITAZ NASCOSTO'!$P$10,IF(C427&lt;='SOLLECITAZ NASCOSTO'!$P$9,IF(C427&lt;='SOLLECITAZ NASCOSTO'!$P$8,IF(C427&lt;='SOLLECITAZ NASCOSTO'!$P$7,IF(C427&lt;='SOLLECITAZ NASCOSTO'!$P$6,IF(C427&lt;='SOLLECITAZ NASCOSTO'!$P$5,'SOLLECITAZ NASCOSTO'!$P$3,'SOLLECITAZ NASCOSTO'!$P$5),'SOLLECITAZ NASCOSTO'!$P$5),'SOLLECITAZ NASCOSTO'!$P$7),'SOLLECITAZ NASCOSTO'!$P$8),'SOLLECITAZ NASCOSTO'!$P$9),'SOLLECITAZ NASCOSTO'!$P$10),'SOLLECITAZ NASCOSTO'!$P$11),'SOLLECITAZ NASCOSTO'!$P$12))/IF(C427&lt;='SOLLECITAZ NASCOSTO'!$P$12,IF(C427&lt;='SOLLECITAZ NASCOSTO'!$P$11,IF(C427&lt;='SOLLECITAZ NASCOSTO'!$P$10,IF(C427&lt;='SOLLECITAZ NASCOSTO'!$P$9,IF(C427&lt;='SOLLECITAZ NASCOSTO'!$P$8,IF(C427&lt;='SOLLECITAZ NASCOSTO'!$P$7,IF(C427&lt;='SOLLECITAZ NASCOSTO'!$P$6,IF(C427&lt;='SOLLECITAZ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slu'!$C$112)+IF(C427&lt;='SOLLECITAZ NASCOSTO'!$P$12,IF(C427&lt;='SOLLECITAZ NASCOSTO'!$P$11,IF(C427&lt;='SOLLECITAZ NASCOSTO'!$P$10,IF(C427&lt;='SOLLECITAZ NASCOSTO'!$P$9,IF(C427&lt;='SOLLECITAZ NASCOSTO'!$P$8,IF(C427&lt;='SOLLECITAZ NASCOSTO'!$P$7,IF(C427&lt;='SOLLECITAZ NASCOSTO'!$P$6,IF(C427&lt;='SOLLECITAZ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23.156308723566877</v>
      </c>
      <c r="O428" s="42">
        <f>IF(C428&lt;='SOLLECITAZ NASCOSTO'!$P$12,IF(C428&lt;='SOLLECITAZ NASCOSTO'!$P$11,IF(C428&lt;='SOLLECITAZ NASCOSTO'!$P$10,IF(C428&lt;='SOLLECITAZ NASCOSTO'!$P$9,IF(C428&lt;='SOLLECITAZ NASCOSTO'!$P$8,IF(C428&lt;='SOLLECITAZ NASCOSTO'!$P$7,IF(C428&lt;='SOLLECITAZ NASCOSTO'!$P$6,IF(C428&lt;='SOLLECITAZ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slu'!$G$111),55555)*(C428-C427)/IF(C428&lt;='SOLLECITAZ NASCOSTO'!$P$12,IF(C428&lt;='SOLLECITAZ NASCOSTO'!$P$11,IF(C428&lt;='SOLLECITAZ NASCOSTO'!$P$10,IF(C428&lt;='SOLLECITAZ NASCOSTO'!$P$9,IF(C428&lt;='SOLLECITAZ NASCOSTO'!$P$8,IF(C428&lt;='SOLLECITAZ NASCOSTO'!$P$7,IF(C428&lt;='SOLLECITAZ NASCOSTO'!$P$6,IF(C428&lt;='SOLLECITAZ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28" s="42">
        <f t="shared" si="136"/>
        <v>3.950000000000031E-4</v>
      </c>
      <c r="Q428" s="42">
        <f t="shared" si="134"/>
        <v>1</v>
      </c>
      <c r="R428" s="441">
        <f t="shared" si="127"/>
        <v>2.7129807692307693</v>
      </c>
      <c r="S428" s="46">
        <f t="shared" si="135"/>
        <v>2.7129807692307693</v>
      </c>
      <c r="T428" s="211">
        <f t="shared" si="130"/>
        <v>0.63701923076923084</v>
      </c>
      <c r="U428" s="46">
        <f t="shared" si="132"/>
        <v>37.098008705596442</v>
      </c>
      <c r="V428" s="46">
        <f t="shared" si="133"/>
        <v>-38.632392932530834</v>
      </c>
      <c r="W428" s="496"/>
    </row>
    <row r="429" spans="1:23" x14ac:dyDescent="0.25">
      <c r="A429" s="589">
        <f t="shared" si="128"/>
        <v>9.543269230583018E-6</v>
      </c>
      <c r="B429" s="32">
        <f t="shared" si="110"/>
        <v>397</v>
      </c>
      <c r="C429" s="441">
        <f>'SOLLECITAZ NASCOSTO'!$D$6/'SOLLECITAZ NASCOSTO'!$B$448*'SOLLECITAZ NASCOSTO'!B429</f>
        <v>2.7198317307692306</v>
      </c>
      <c r="D429" s="441">
        <f t="shared" si="129"/>
        <v>0.30000954326923057</v>
      </c>
      <c r="E429" s="441">
        <f t="shared" si="123"/>
        <v>9.543269230583018E-6</v>
      </c>
      <c r="F429" s="441">
        <f t="shared" si="124"/>
        <v>0.30000954326923057</v>
      </c>
      <c r="G429" s="441">
        <f t="shared" si="125"/>
        <v>4.500286302630617E-2</v>
      </c>
      <c r="H429" s="441">
        <f t="shared" si="137"/>
        <v>0</v>
      </c>
      <c r="I429" s="441">
        <v>0</v>
      </c>
      <c r="J429" s="131">
        <f t="shared" si="138"/>
        <v>0.15000477163461531</v>
      </c>
      <c r="K429" s="130">
        <f t="shared" si="126"/>
        <v>2.2502147303883092E-3</v>
      </c>
      <c r="L429" s="42">
        <f t="shared" si="139"/>
        <v>37.257146314005958</v>
      </c>
      <c r="M429" s="42">
        <f t="shared" si="131"/>
        <v>-38.887095086143646</v>
      </c>
      <c r="N429" s="42">
        <f>(IF(C428&lt;='SOLLECITAZ NASCOSTO'!$P$12,IF(C428&lt;='SOLLECITAZ NASCOSTO'!$P$11,IF(C428&lt;='SOLLECITAZ NASCOSTO'!$P$10,IF(C428&lt;='SOLLECITAZ NASCOSTO'!$P$9,IF(C428&lt;='SOLLECITAZ NASCOSTO'!$P$8,IF(C428&lt;='SOLLECITAZ NASCOSTO'!$P$7,IF(C428&lt;='SOLLECITAZ NASCOSTO'!$P$6,IF(C428&lt;='SOLLECITAZ NASCOSTO'!$P$5,'Progetto del paramento slu'!$G$105,'Progetto del paramento slu'!$G$106),'Progetto del paramento slu'!$G$107),'Progetto del paramento slu'!$G$108),'Progetto del paramento slu'!$G$109),'Progetto del paramento slu'!$G$110),'Progetto del paramento slu'!$G$111),'Progetto del paramento slu'!$G$112),55555)-IF(C428&lt;='SOLLECITAZ NASCOSTO'!$P$12,IF(C428&lt;='SOLLECITAZ NASCOSTO'!$P$11,IF(C428&lt;='SOLLECITAZ NASCOSTO'!$P$10,IF(C428&lt;='SOLLECITAZ NASCOSTO'!$P$9,IF(C428&lt;='SOLLECITAZ NASCOSTO'!$P$8,IF(C428&lt;='SOLLECITAZ NASCOSTO'!$P$7,IF(C428&lt;='SOLLECITAZ NASCOSTO'!$P$6,IF(C428&lt;='SOLLECITAZ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slu'!$G$112))*(C428-IF(C428&lt;='SOLLECITAZ NASCOSTO'!$P$12,IF(C428&lt;='SOLLECITAZ NASCOSTO'!$P$11,IF(C428&lt;='SOLLECITAZ NASCOSTO'!$P$10,IF(C428&lt;='SOLLECITAZ NASCOSTO'!$P$9,IF(C428&lt;='SOLLECITAZ NASCOSTO'!$P$8,IF(C428&lt;='SOLLECITAZ NASCOSTO'!$P$7,IF(C428&lt;='SOLLECITAZ NASCOSTO'!$P$6,IF(C428&lt;='SOLLECITAZ NASCOSTO'!$P$5,'SOLLECITAZ NASCOSTO'!$P$3,'SOLLECITAZ NASCOSTO'!$P$5),'SOLLECITAZ NASCOSTO'!$P$5),'SOLLECITAZ NASCOSTO'!$P$7),'SOLLECITAZ NASCOSTO'!$P$8),'SOLLECITAZ NASCOSTO'!$P$9),'SOLLECITAZ NASCOSTO'!$P$10),'SOLLECITAZ NASCOSTO'!$P$11),'SOLLECITAZ NASCOSTO'!$P$12))/IF(C428&lt;='SOLLECITAZ NASCOSTO'!$P$12,IF(C428&lt;='SOLLECITAZ NASCOSTO'!$P$11,IF(C428&lt;='SOLLECITAZ NASCOSTO'!$P$10,IF(C428&lt;='SOLLECITAZ NASCOSTO'!$P$9,IF(C428&lt;='SOLLECITAZ NASCOSTO'!$P$8,IF(C428&lt;='SOLLECITAZ NASCOSTO'!$P$7,IF(C428&lt;='SOLLECITAZ NASCOSTO'!$P$6,IF(C428&lt;='SOLLECITAZ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slu'!$C$112)+IF(C428&lt;='SOLLECITAZ NASCOSTO'!$P$12,IF(C428&lt;='SOLLECITAZ NASCOSTO'!$P$11,IF(C428&lt;='SOLLECITAZ NASCOSTO'!$P$10,IF(C428&lt;='SOLLECITAZ NASCOSTO'!$P$9,IF(C428&lt;='SOLLECITAZ NASCOSTO'!$P$8,IF(C428&lt;='SOLLECITAZ NASCOSTO'!$P$7,IF(C428&lt;='SOLLECITAZ NASCOSTO'!$P$6,IF(C428&lt;='SOLLECITAZ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23.204440942559231</v>
      </c>
      <c r="O429" s="42">
        <f>IF(C429&lt;='SOLLECITAZ NASCOSTO'!$P$12,IF(C429&lt;='SOLLECITAZ NASCOSTO'!$P$11,IF(C429&lt;='SOLLECITAZ NASCOSTO'!$P$10,IF(C429&lt;='SOLLECITAZ NASCOSTO'!$P$9,IF(C429&lt;='SOLLECITAZ NASCOSTO'!$P$8,IF(C429&lt;='SOLLECITAZ NASCOSTO'!$P$7,IF(C429&lt;='SOLLECITAZ NASCOSTO'!$P$6,IF(C429&lt;='SOLLECITAZ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slu'!$G$111),55555)*(C429-C428)/IF(C429&lt;='SOLLECITAZ NASCOSTO'!$P$12,IF(C429&lt;='SOLLECITAZ NASCOSTO'!$P$11,IF(C429&lt;='SOLLECITAZ NASCOSTO'!$P$10,IF(C429&lt;='SOLLECITAZ NASCOSTO'!$P$9,IF(C429&lt;='SOLLECITAZ NASCOSTO'!$P$8,IF(C429&lt;='SOLLECITAZ NASCOSTO'!$P$7,IF(C429&lt;='SOLLECITAZ NASCOSTO'!$P$6,IF(C429&lt;='SOLLECITAZ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29" s="42">
        <f t="shared" si="136"/>
        <v>3.9600000000000312E-4</v>
      </c>
      <c r="Q429" s="42">
        <f t="shared" si="134"/>
        <v>1</v>
      </c>
      <c r="R429" s="441">
        <f t="shared" si="127"/>
        <v>2.7198317307692306</v>
      </c>
      <c r="S429" s="46">
        <f t="shared" si="135"/>
        <v>2.7198317307692306</v>
      </c>
      <c r="T429" s="211">
        <f t="shared" si="130"/>
        <v>0.63016826923076952</v>
      </c>
      <c r="U429" s="46">
        <f t="shared" si="132"/>
        <v>37.257146314005958</v>
      </c>
      <c r="V429" s="46">
        <f t="shared" si="133"/>
        <v>-38.887095086143646</v>
      </c>
      <c r="W429" s="496"/>
    </row>
    <row r="430" spans="1:23" x14ac:dyDescent="0.25">
      <c r="A430" s="589">
        <f t="shared" si="128"/>
        <v>9.5673076920821387E-6</v>
      </c>
      <c r="B430" s="32">
        <f t="shared" si="110"/>
        <v>398</v>
      </c>
      <c r="C430" s="441">
        <f>'SOLLECITAZ NASCOSTO'!$D$6/'SOLLECITAZ NASCOSTO'!$B$448*'SOLLECITAZ NASCOSTO'!B430</f>
        <v>2.7266826923076923</v>
      </c>
      <c r="D430" s="441">
        <f t="shared" si="129"/>
        <v>0.30000956730769207</v>
      </c>
      <c r="E430" s="441">
        <f t="shared" si="123"/>
        <v>9.5673076920821387E-6</v>
      </c>
      <c r="F430" s="441">
        <f t="shared" si="124"/>
        <v>0.30000956730769207</v>
      </c>
      <c r="G430" s="441">
        <f t="shared" si="125"/>
        <v>4.5002870238074311E-2</v>
      </c>
      <c r="H430" s="441">
        <f t="shared" si="137"/>
        <v>0</v>
      </c>
      <c r="I430" s="441">
        <v>0</v>
      </c>
      <c r="J430" s="131">
        <f t="shared" si="138"/>
        <v>0.15000478365384604</v>
      </c>
      <c r="K430" s="130">
        <f t="shared" si="126"/>
        <v>2.2502152712881481E-3</v>
      </c>
      <c r="L430" s="42">
        <f t="shared" si="139"/>
        <v>37.416613674396558</v>
      </c>
      <c r="M430" s="42">
        <f t="shared" si="131"/>
        <v>-39.142888614950081</v>
      </c>
      <c r="N430" s="42">
        <f>(IF(C429&lt;='SOLLECITAZ NASCOSTO'!$P$12,IF(C429&lt;='SOLLECITAZ NASCOSTO'!$P$11,IF(C429&lt;='SOLLECITAZ NASCOSTO'!$P$10,IF(C429&lt;='SOLLECITAZ NASCOSTO'!$P$9,IF(C429&lt;='SOLLECITAZ NASCOSTO'!$P$8,IF(C429&lt;='SOLLECITAZ NASCOSTO'!$P$7,IF(C429&lt;='SOLLECITAZ NASCOSTO'!$P$6,IF(C429&lt;='SOLLECITAZ NASCOSTO'!$P$5,'Progetto del paramento slu'!$G$105,'Progetto del paramento slu'!$G$106),'Progetto del paramento slu'!$G$107),'Progetto del paramento slu'!$G$108),'Progetto del paramento slu'!$G$109),'Progetto del paramento slu'!$G$110),'Progetto del paramento slu'!$G$111),'Progetto del paramento slu'!$G$112),55555)-IF(C429&lt;='SOLLECITAZ NASCOSTO'!$P$12,IF(C429&lt;='SOLLECITAZ NASCOSTO'!$P$11,IF(C429&lt;='SOLLECITAZ NASCOSTO'!$P$10,IF(C429&lt;='SOLLECITAZ NASCOSTO'!$P$9,IF(C429&lt;='SOLLECITAZ NASCOSTO'!$P$8,IF(C429&lt;='SOLLECITAZ NASCOSTO'!$P$7,IF(C429&lt;='SOLLECITAZ NASCOSTO'!$P$6,IF(C429&lt;='SOLLECITAZ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slu'!$G$112))*(C429-IF(C429&lt;='SOLLECITAZ NASCOSTO'!$P$12,IF(C429&lt;='SOLLECITAZ NASCOSTO'!$P$11,IF(C429&lt;='SOLLECITAZ NASCOSTO'!$P$10,IF(C429&lt;='SOLLECITAZ NASCOSTO'!$P$9,IF(C429&lt;='SOLLECITAZ NASCOSTO'!$P$8,IF(C429&lt;='SOLLECITAZ NASCOSTO'!$P$7,IF(C429&lt;='SOLLECITAZ NASCOSTO'!$P$6,IF(C429&lt;='SOLLECITAZ NASCOSTO'!$P$5,'SOLLECITAZ NASCOSTO'!$P$3,'SOLLECITAZ NASCOSTO'!$P$5),'SOLLECITAZ NASCOSTO'!$P$5),'SOLLECITAZ NASCOSTO'!$P$7),'SOLLECITAZ NASCOSTO'!$P$8),'SOLLECITAZ NASCOSTO'!$P$9),'SOLLECITAZ NASCOSTO'!$P$10),'SOLLECITAZ NASCOSTO'!$P$11),'SOLLECITAZ NASCOSTO'!$P$12))/IF(C429&lt;='SOLLECITAZ NASCOSTO'!$P$12,IF(C429&lt;='SOLLECITAZ NASCOSTO'!$P$11,IF(C429&lt;='SOLLECITAZ NASCOSTO'!$P$10,IF(C429&lt;='SOLLECITAZ NASCOSTO'!$P$9,IF(C429&lt;='SOLLECITAZ NASCOSTO'!$P$8,IF(C429&lt;='SOLLECITAZ NASCOSTO'!$P$7,IF(C429&lt;='SOLLECITAZ NASCOSTO'!$P$6,IF(C429&lt;='SOLLECITAZ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slu'!$C$112)+IF(C429&lt;='SOLLECITAZ NASCOSTO'!$P$12,IF(C429&lt;='SOLLECITAZ NASCOSTO'!$P$11,IF(C429&lt;='SOLLECITAZ NASCOSTO'!$P$10,IF(C429&lt;='SOLLECITAZ NASCOSTO'!$P$9,IF(C429&lt;='SOLLECITAZ NASCOSTO'!$P$8,IF(C429&lt;='SOLLECITAZ NASCOSTO'!$P$7,IF(C429&lt;='SOLLECITAZ NASCOSTO'!$P$6,IF(C429&lt;='SOLLECITAZ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23.252573161551584</v>
      </c>
      <c r="O430" s="42">
        <f>IF(C430&lt;='SOLLECITAZ NASCOSTO'!$P$12,IF(C430&lt;='SOLLECITAZ NASCOSTO'!$P$11,IF(C430&lt;='SOLLECITAZ NASCOSTO'!$P$10,IF(C430&lt;='SOLLECITAZ NASCOSTO'!$P$9,IF(C430&lt;='SOLLECITAZ NASCOSTO'!$P$8,IF(C430&lt;='SOLLECITAZ NASCOSTO'!$P$7,IF(C430&lt;='SOLLECITAZ NASCOSTO'!$P$6,IF(C430&lt;='SOLLECITAZ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slu'!$G$111),55555)*(C430-C429)/IF(C430&lt;='SOLLECITAZ NASCOSTO'!$P$12,IF(C430&lt;='SOLLECITAZ NASCOSTO'!$P$11,IF(C430&lt;='SOLLECITAZ NASCOSTO'!$P$10,IF(C430&lt;='SOLLECITAZ NASCOSTO'!$P$9,IF(C430&lt;='SOLLECITAZ NASCOSTO'!$P$8,IF(C430&lt;='SOLLECITAZ NASCOSTO'!$P$7,IF(C430&lt;='SOLLECITAZ NASCOSTO'!$P$6,IF(C430&lt;='SOLLECITAZ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30" s="42">
        <f t="shared" si="136"/>
        <v>3.9700000000000314E-4</v>
      </c>
      <c r="Q430" s="42">
        <f t="shared" si="134"/>
        <v>1</v>
      </c>
      <c r="R430" s="441">
        <f t="shared" si="127"/>
        <v>2.7266826923076923</v>
      </c>
      <c r="S430" s="46">
        <f t="shared" si="135"/>
        <v>2.7266826923076923</v>
      </c>
      <c r="T430" s="211">
        <f t="shared" si="130"/>
        <v>0.62331730769230775</v>
      </c>
      <c r="U430" s="46">
        <f t="shared" si="132"/>
        <v>37.416613674396558</v>
      </c>
      <c r="V430" s="46">
        <f t="shared" si="133"/>
        <v>-39.142888614950081</v>
      </c>
      <c r="W430" s="496"/>
    </row>
    <row r="431" spans="1:23" x14ac:dyDescent="0.25">
      <c r="A431" s="589">
        <f t="shared" si="128"/>
        <v>9.5913461536367706E-6</v>
      </c>
      <c r="B431" s="32">
        <f t="shared" si="110"/>
        <v>399</v>
      </c>
      <c r="C431" s="441">
        <f>'SOLLECITAZ NASCOSTO'!$D$6/'SOLLECITAZ NASCOSTO'!$B$448*'SOLLECITAZ NASCOSTO'!B431</f>
        <v>2.7335336538461537</v>
      </c>
      <c r="D431" s="441">
        <f t="shared" si="129"/>
        <v>0.30000959134615363</v>
      </c>
      <c r="E431" s="441">
        <f t="shared" si="123"/>
        <v>9.5913461536367706E-6</v>
      </c>
      <c r="F431" s="441">
        <f t="shared" si="124"/>
        <v>0.30000959134615363</v>
      </c>
      <c r="G431" s="441">
        <f t="shared" si="125"/>
        <v>4.5002877449843048E-2</v>
      </c>
      <c r="H431" s="441">
        <f t="shared" si="137"/>
        <v>0</v>
      </c>
      <c r="I431" s="441">
        <v>0</v>
      </c>
      <c r="J431" s="131">
        <f t="shared" si="138"/>
        <v>0.15000479567307681</v>
      </c>
      <c r="K431" s="130">
        <f t="shared" si="126"/>
        <v>2.250215812188074E-3</v>
      </c>
      <c r="L431" s="42">
        <f t="shared" si="139"/>
        <v>37.576410786768228</v>
      </c>
      <c r="M431" s="42">
        <f t="shared" si="131"/>
        <v>-39.399775778068246</v>
      </c>
      <c r="N431" s="42">
        <f>(IF(C430&lt;='SOLLECITAZ NASCOSTO'!$P$12,IF(C430&lt;='SOLLECITAZ NASCOSTO'!$P$11,IF(C430&lt;='SOLLECITAZ NASCOSTO'!$P$10,IF(C430&lt;='SOLLECITAZ NASCOSTO'!$P$9,IF(C430&lt;='SOLLECITAZ NASCOSTO'!$P$8,IF(C430&lt;='SOLLECITAZ NASCOSTO'!$P$7,IF(C430&lt;='SOLLECITAZ NASCOSTO'!$P$6,IF(C430&lt;='SOLLECITAZ NASCOSTO'!$P$5,'Progetto del paramento slu'!$G$105,'Progetto del paramento slu'!$G$106),'Progetto del paramento slu'!$G$107),'Progetto del paramento slu'!$G$108),'Progetto del paramento slu'!$G$109),'Progetto del paramento slu'!$G$110),'Progetto del paramento slu'!$G$111),'Progetto del paramento slu'!$G$112),55555)-IF(C430&lt;='SOLLECITAZ NASCOSTO'!$P$12,IF(C430&lt;='SOLLECITAZ NASCOSTO'!$P$11,IF(C430&lt;='SOLLECITAZ NASCOSTO'!$P$10,IF(C430&lt;='SOLLECITAZ NASCOSTO'!$P$9,IF(C430&lt;='SOLLECITAZ NASCOSTO'!$P$8,IF(C430&lt;='SOLLECITAZ NASCOSTO'!$P$7,IF(C430&lt;='SOLLECITAZ NASCOSTO'!$P$6,IF(C430&lt;='SOLLECITAZ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slu'!$G$112))*(C430-IF(C430&lt;='SOLLECITAZ NASCOSTO'!$P$12,IF(C430&lt;='SOLLECITAZ NASCOSTO'!$P$11,IF(C430&lt;='SOLLECITAZ NASCOSTO'!$P$10,IF(C430&lt;='SOLLECITAZ NASCOSTO'!$P$9,IF(C430&lt;='SOLLECITAZ NASCOSTO'!$P$8,IF(C430&lt;='SOLLECITAZ NASCOSTO'!$P$7,IF(C430&lt;='SOLLECITAZ NASCOSTO'!$P$6,IF(C430&lt;='SOLLECITAZ NASCOSTO'!$P$5,'SOLLECITAZ NASCOSTO'!$P$3,'SOLLECITAZ NASCOSTO'!$P$5),'SOLLECITAZ NASCOSTO'!$P$5),'SOLLECITAZ NASCOSTO'!$P$7),'SOLLECITAZ NASCOSTO'!$P$8),'SOLLECITAZ NASCOSTO'!$P$9),'SOLLECITAZ NASCOSTO'!$P$10),'SOLLECITAZ NASCOSTO'!$P$11),'SOLLECITAZ NASCOSTO'!$P$12))/IF(C430&lt;='SOLLECITAZ NASCOSTO'!$P$12,IF(C430&lt;='SOLLECITAZ NASCOSTO'!$P$11,IF(C430&lt;='SOLLECITAZ NASCOSTO'!$P$10,IF(C430&lt;='SOLLECITAZ NASCOSTO'!$P$9,IF(C430&lt;='SOLLECITAZ NASCOSTO'!$P$8,IF(C430&lt;='SOLLECITAZ NASCOSTO'!$P$7,IF(C430&lt;='SOLLECITAZ NASCOSTO'!$P$6,IF(C430&lt;='SOLLECITAZ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slu'!$C$112)+IF(C430&lt;='SOLLECITAZ NASCOSTO'!$P$12,IF(C430&lt;='SOLLECITAZ NASCOSTO'!$P$11,IF(C430&lt;='SOLLECITAZ NASCOSTO'!$P$10,IF(C430&lt;='SOLLECITAZ NASCOSTO'!$P$9,IF(C430&lt;='SOLLECITAZ NASCOSTO'!$P$8,IF(C430&lt;='SOLLECITAZ NASCOSTO'!$P$7,IF(C430&lt;='SOLLECITAZ NASCOSTO'!$P$6,IF(C430&lt;='SOLLECITAZ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23.300705380543938</v>
      </c>
      <c r="O431" s="42">
        <f>IF(C431&lt;='SOLLECITAZ NASCOSTO'!$P$12,IF(C431&lt;='SOLLECITAZ NASCOSTO'!$P$11,IF(C431&lt;='SOLLECITAZ NASCOSTO'!$P$10,IF(C431&lt;='SOLLECITAZ NASCOSTO'!$P$9,IF(C431&lt;='SOLLECITAZ NASCOSTO'!$P$8,IF(C431&lt;='SOLLECITAZ NASCOSTO'!$P$7,IF(C431&lt;='SOLLECITAZ NASCOSTO'!$P$6,IF(C431&lt;='SOLLECITAZ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slu'!$G$111),55555)*(C431-C430)/IF(C431&lt;='SOLLECITAZ NASCOSTO'!$P$12,IF(C431&lt;='SOLLECITAZ NASCOSTO'!$P$11,IF(C431&lt;='SOLLECITAZ NASCOSTO'!$P$10,IF(C431&lt;='SOLLECITAZ NASCOSTO'!$P$9,IF(C431&lt;='SOLLECITAZ NASCOSTO'!$P$8,IF(C431&lt;='SOLLECITAZ NASCOSTO'!$P$7,IF(C431&lt;='SOLLECITAZ NASCOSTO'!$P$6,IF(C431&lt;='SOLLECITAZ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31" s="42">
        <f t="shared" si="136"/>
        <v>3.9800000000000317E-4</v>
      </c>
      <c r="Q431" s="42">
        <f t="shared" si="134"/>
        <v>1</v>
      </c>
      <c r="R431" s="441">
        <f t="shared" si="127"/>
        <v>2.7335336538461537</v>
      </c>
      <c r="S431" s="46">
        <f t="shared" si="135"/>
        <v>2.7335336538461537</v>
      </c>
      <c r="T431" s="211">
        <f t="shared" si="130"/>
        <v>0.61646634615384643</v>
      </c>
      <c r="U431" s="46">
        <f t="shared" si="132"/>
        <v>37.576410786768228</v>
      </c>
      <c r="V431" s="46">
        <f t="shared" si="133"/>
        <v>-39.399775778068246</v>
      </c>
      <c r="W431" s="496"/>
    </row>
    <row r="432" spans="1:23" x14ac:dyDescent="0.25">
      <c r="A432" s="589">
        <f t="shared" si="128"/>
        <v>9.6153846151914024E-6</v>
      </c>
      <c r="B432" s="32">
        <f t="shared" si="110"/>
        <v>400</v>
      </c>
      <c r="C432" s="441">
        <f>'SOLLECITAZ NASCOSTO'!$D$6/'SOLLECITAZ NASCOSTO'!$B$448*'SOLLECITAZ NASCOSTO'!B432</f>
        <v>2.7403846153846154</v>
      </c>
      <c r="D432" s="441">
        <f t="shared" si="129"/>
        <v>0.30000961538461518</v>
      </c>
      <c r="E432" s="441">
        <f t="shared" si="123"/>
        <v>9.6153846151914024E-6</v>
      </c>
      <c r="F432" s="441">
        <f t="shared" si="124"/>
        <v>0.30000961538461518</v>
      </c>
      <c r="G432" s="441">
        <f t="shared" si="125"/>
        <v>4.5002884661612369E-2</v>
      </c>
      <c r="H432" s="441">
        <f t="shared" si="137"/>
        <v>0</v>
      </c>
      <c r="I432" s="441">
        <v>0</v>
      </c>
      <c r="J432" s="131">
        <f t="shared" si="138"/>
        <v>0.15000480769230762</v>
      </c>
      <c r="K432" s="130">
        <f t="shared" si="126"/>
        <v>2.2502163530880872E-3</v>
      </c>
      <c r="L432" s="42">
        <f t="shared" si="139"/>
        <v>37.736537651120983</v>
      </c>
      <c r="M432" s="42">
        <f t="shared" si="131"/>
        <v>-39.65775883461631</v>
      </c>
      <c r="N432" s="42">
        <f>(IF(C431&lt;='SOLLECITAZ NASCOSTO'!$P$12,IF(C431&lt;='SOLLECITAZ NASCOSTO'!$P$11,IF(C431&lt;='SOLLECITAZ NASCOSTO'!$P$10,IF(C431&lt;='SOLLECITAZ NASCOSTO'!$P$9,IF(C431&lt;='SOLLECITAZ NASCOSTO'!$P$8,IF(C431&lt;='SOLLECITAZ NASCOSTO'!$P$7,IF(C431&lt;='SOLLECITAZ NASCOSTO'!$P$6,IF(C431&lt;='SOLLECITAZ NASCOSTO'!$P$5,'Progetto del paramento slu'!$G$105,'Progetto del paramento slu'!$G$106),'Progetto del paramento slu'!$G$107),'Progetto del paramento slu'!$G$108),'Progetto del paramento slu'!$G$109),'Progetto del paramento slu'!$G$110),'Progetto del paramento slu'!$G$111),'Progetto del paramento slu'!$G$112),55555)-IF(C431&lt;='SOLLECITAZ NASCOSTO'!$P$12,IF(C431&lt;='SOLLECITAZ NASCOSTO'!$P$11,IF(C431&lt;='SOLLECITAZ NASCOSTO'!$P$10,IF(C431&lt;='SOLLECITAZ NASCOSTO'!$P$9,IF(C431&lt;='SOLLECITAZ NASCOSTO'!$P$8,IF(C431&lt;='SOLLECITAZ NASCOSTO'!$P$7,IF(C431&lt;='SOLLECITAZ NASCOSTO'!$P$6,IF(C431&lt;='SOLLECITAZ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slu'!$G$112))*(C431-IF(C431&lt;='SOLLECITAZ NASCOSTO'!$P$12,IF(C431&lt;='SOLLECITAZ NASCOSTO'!$P$11,IF(C431&lt;='SOLLECITAZ NASCOSTO'!$P$10,IF(C431&lt;='SOLLECITAZ NASCOSTO'!$P$9,IF(C431&lt;='SOLLECITAZ NASCOSTO'!$P$8,IF(C431&lt;='SOLLECITAZ NASCOSTO'!$P$7,IF(C431&lt;='SOLLECITAZ NASCOSTO'!$P$6,IF(C431&lt;='SOLLECITAZ NASCOSTO'!$P$5,'SOLLECITAZ NASCOSTO'!$P$3,'SOLLECITAZ NASCOSTO'!$P$5),'SOLLECITAZ NASCOSTO'!$P$5),'SOLLECITAZ NASCOSTO'!$P$7),'SOLLECITAZ NASCOSTO'!$P$8),'SOLLECITAZ NASCOSTO'!$P$9),'SOLLECITAZ NASCOSTO'!$P$10),'SOLLECITAZ NASCOSTO'!$P$11),'SOLLECITAZ NASCOSTO'!$P$12))/IF(C431&lt;='SOLLECITAZ NASCOSTO'!$P$12,IF(C431&lt;='SOLLECITAZ NASCOSTO'!$P$11,IF(C431&lt;='SOLLECITAZ NASCOSTO'!$P$10,IF(C431&lt;='SOLLECITAZ NASCOSTO'!$P$9,IF(C431&lt;='SOLLECITAZ NASCOSTO'!$P$8,IF(C431&lt;='SOLLECITAZ NASCOSTO'!$P$7,IF(C431&lt;='SOLLECITAZ NASCOSTO'!$P$6,IF(C431&lt;='SOLLECITAZ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slu'!$C$112)+IF(C431&lt;='SOLLECITAZ NASCOSTO'!$P$12,IF(C431&lt;='SOLLECITAZ NASCOSTO'!$P$11,IF(C431&lt;='SOLLECITAZ NASCOSTO'!$P$10,IF(C431&lt;='SOLLECITAZ NASCOSTO'!$P$9,IF(C431&lt;='SOLLECITAZ NASCOSTO'!$P$8,IF(C431&lt;='SOLLECITAZ NASCOSTO'!$P$7,IF(C431&lt;='SOLLECITAZ NASCOSTO'!$P$6,IF(C431&lt;='SOLLECITAZ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23.348837599536289</v>
      </c>
      <c r="O432" s="42">
        <f>IF(C432&lt;='SOLLECITAZ NASCOSTO'!$P$12,IF(C432&lt;='SOLLECITAZ NASCOSTO'!$P$11,IF(C432&lt;='SOLLECITAZ NASCOSTO'!$P$10,IF(C432&lt;='SOLLECITAZ NASCOSTO'!$P$9,IF(C432&lt;='SOLLECITAZ NASCOSTO'!$P$8,IF(C432&lt;='SOLLECITAZ NASCOSTO'!$P$7,IF(C432&lt;='SOLLECITAZ NASCOSTO'!$P$6,IF(C432&lt;='SOLLECITAZ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slu'!$G$111),55555)*(C432-C431)/IF(C432&lt;='SOLLECITAZ NASCOSTO'!$P$12,IF(C432&lt;='SOLLECITAZ NASCOSTO'!$P$11,IF(C432&lt;='SOLLECITAZ NASCOSTO'!$P$10,IF(C432&lt;='SOLLECITAZ NASCOSTO'!$P$9,IF(C432&lt;='SOLLECITAZ NASCOSTO'!$P$8,IF(C432&lt;='SOLLECITAZ NASCOSTO'!$P$7,IF(C432&lt;='SOLLECITAZ NASCOSTO'!$P$6,IF(C432&lt;='SOLLECITAZ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32" s="42">
        <f t="shared" si="136"/>
        <v>3.9900000000000319E-4</v>
      </c>
      <c r="Q432" s="42">
        <f t="shared" si="134"/>
        <v>1</v>
      </c>
      <c r="R432" s="441">
        <f t="shared" si="127"/>
        <v>2.7403846153846154</v>
      </c>
      <c r="S432" s="46">
        <f t="shared" si="135"/>
        <v>2.7403846153846154</v>
      </c>
      <c r="T432" s="211">
        <f t="shared" si="130"/>
        <v>0.60961538461538467</v>
      </c>
      <c r="U432" s="46">
        <f t="shared" si="132"/>
        <v>37.736537651120983</v>
      </c>
      <c r="V432" s="46">
        <f t="shared" si="133"/>
        <v>-39.65775883461631</v>
      </c>
      <c r="W432" s="496"/>
    </row>
    <row r="433" spans="1:25" x14ac:dyDescent="0.25">
      <c r="A433" s="589">
        <f t="shared" si="128"/>
        <v>9.6394230766905231E-6</v>
      </c>
      <c r="B433" s="32">
        <f t="shared" si="110"/>
        <v>401</v>
      </c>
      <c r="C433" s="441">
        <f>'SOLLECITAZ NASCOSTO'!$D$6/'SOLLECITAZ NASCOSTO'!$B$448*'SOLLECITAZ NASCOSTO'!B433</f>
        <v>2.7472355769230767</v>
      </c>
      <c r="D433" s="441">
        <f t="shared" si="129"/>
        <v>0.30000963942307668</v>
      </c>
      <c r="E433" s="441">
        <f t="shared" si="123"/>
        <v>9.6394230766905231E-6</v>
      </c>
      <c r="F433" s="441">
        <f t="shared" si="124"/>
        <v>0.30000963942307668</v>
      </c>
      <c r="G433" s="441">
        <f t="shared" si="125"/>
        <v>4.5002891873382245E-2</v>
      </c>
      <c r="H433" s="441">
        <f t="shared" si="137"/>
        <v>0</v>
      </c>
      <c r="I433" s="441">
        <v>0</v>
      </c>
      <c r="J433" s="131">
        <f t="shared" si="138"/>
        <v>0.15000481971153834</v>
      </c>
      <c r="K433" s="130">
        <f t="shared" si="126"/>
        <v>2.2502168939881858E-3</v>
      </c>
      <c r="L433" s="42">
        <f t="shared" si="139"/>
        <v>37.896994267454808</v>
      </c>
      <c r="M433" s="42">
        <f t="shared" si="131"/>
        <v>-39.916840043712384</v>
      </c>
      <c r="N433" s="42">
        <f>(IF(C432&lt;='SOLLECITAZ NASCOSTO'!$P$12,IF(C432&lt;='SOLLECITAZ NASCOSTO'!$P$11,IF(C432&lt;='SOLLECITAZ NASCOSTO'!$P$10,IF(C432&lt;='SOLLECITAZ NASCOSTO'!$P$9,IF(C432&lt;='SOLLECITAZ NASCOSTO'!$P$8,IF(C432&lt;='SOLLECITAZ NASCOSTO'!$P$7,IF(C432&lt;='SOLLECITAZ NASCOSTO'!$P$6,IF(C432&lt;='SOLLECITAZ NASCOSTO'!$P$5,'Progetto del paramento slu'!$G$105,'Progetto del paramento slu'!$G$106),'Progetto del paramento slu'!$G$107),'Progetto del paramento slu'!$G$108),'Progetto del paramento slu'!$G$109),'Progetto del paramento slu'!$G$110),'Progetto del paramento slu'!$G$111),'Progetto del paramento slu'!$G$112),55555)-IF(C432&lt;='SOLLECITAZ NASCOSTO'!$P$12,IF(C432&lt;='SOLLECITAZ NASCOSTO'!$P$11,IF(C432&lt;='SOLLECITAZ NASCOSTO'!$P$10,IF(C432&lt;='SOLLECITAZ NASCOSTO'!$P$9,IF(C432&lt;='SOLLECITAZ NASCOSTO'!$P$8,IF(C432&lt;='SOLLECITAZ NASCOSTO'!$P$7,IF(C432&lt;='SOLLECITAZ NASCOSTO'!$P$6,IF(C432&lt;='SOLLECITAZ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slu'!$G$112))*(C432-IF(C432&lt;='SOLLECITAZ NASCOSTO'!$P$12,IF(C432&lt;='SOLLECITAZ NASCOSTO'!$P$11,IF(C432&lt;='SOLLECITAZ NASCOSTO'!$P$10,IF(C432&lt;='SOLLECITAZ NASCOSTO'!$P$9,IF(C432&lt;='SOLLECITAZ NASCOSTO'!$P$8,IF(C432&lt;='SOLLECITAZ NASCOSTO'!$P$7,IF(C432&lt;='SOLLECITAZ NASCOSTO'!$P$6,IF(C432&lt;='SOLLECITAZ NASCOSTO'!$P$5,'SOLLECITAZ NASCOSTO'!$P$3,'SOLLECITAZ NASCOSTO'!$P$5),'SOLLECITAZ NASCOSTO'!$P$5),'SOLLECITAZ NASCOSTO'!$P$7),'SOLLECITAZ NASCOSTO'!$P$8),'SOLLECITAZ NASCOSTO'!$P$9),'SOLLECITAZ NASCOSTO'!$P$10),'SOLLECITAZ NASCOSTO'!$P$11),'SOLLECITAZ NASCOSTO'!$P$12))/IF(C432&lt;='SOLLECITAZ NASCOSTO'!$P$12,IF(C432&lt;='SOLLECITAZ NASCOSTO'!$P$11,IF(C432&lt;='SOLLECITAZ NASCOSTO'!$P$10,IF(C432&lt;='SOLLECITAZ NASCOSTO'!$P$9,IF(C432&lt;='SOLLECITAZ NASCOSTO'!$P$8,IF(C432&lt;='SOLLECITAZ NASCOSTO'!$P$7,IF(C432&lt;='SOLLECITAZ NASCOSTO'!$P$6,IF(C432&lt;='SOLLECITAZ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slu'!$C$112)+IF(C432&lt;='SOLLECITAZ NASCOSTO'!$P$12,IF(C432&lt;='SOLLECITAZ NASCOSTO'!$P$11,IF(C432&lt;='SOLLECITAZ NASCOSTO'!$P$10,IF(C432&lt;='SOLLECITAZ NASCOSTO'!$P$9,IF(C432&lt;='SOLLECITAZ NASCOSTO'!$P$8,IF(C432&lt;='SOLLECITAZ NASCOSTO'!$P$7,IF(C432&lt;='SOLLECITAZ NASCOSTO'!$P$6,IF(C432&lt;='SOLLECITAZ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23.396969818528643</v>
      </c>
      <c r="O433" s="42">
        <f>IF(C433&lt;='SOLLECITAZ NASCOSTO'!$P$12,IF(C433&lt;='SOLLECITAZ NASCOSTO'!$P$11,IF(C433&lt;='SOLLECITAZ NASCOSTO'!$P$10,IF(C433&lt;='SOLLECITAZ NASCOSTO'!$P$9,IF(C433&lt;='SOLLECITAZ NASCOSTO'!$P$8,IF(C433&lt;='SOLLECITAZ NASCOSTO'!$P$7,IF(C433&lt;='SOLLECITAZ NASCOSTO'!$P$6,IF(C433&lt;='SOLLECITAZ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slu'!$G$111),55555)*(C433-C432)/IF(C433&lt;='SOLLECITAZ NASCOSTO'!$P$12,IF(C433&lt;='SOLLECITAZ NASCOSTO'!$P$11,IF(C433&lt;='SOLLECITAZ NASCOSTO'!$P$10,IF(C433&lt;='SOLLECITAZ NASCOSTO'!$P$9,IF(C433&lt;='SOLLECITAZ NASCOSTO'!$P$8,IF(C433&lt;='SOLLECITAZ NASCOSTO'!$P$7,IF(C433&lt;='SOLLECITAZ NASCOSTO'!$P$6,IF(C433&lt;='SOLLECITAZ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33" s="42">
        <f t="shared" si="136"/>
        <v>4.0000000000000322E-4</v>
      </c>
      <c r="Q433" s="42">
        <f t="shared" si="134"/>
        <v>1</v>
      </c>
      <c r="R433" s="441">
        <f t="shared" si="127"/>
        <v>2.7472355769230767</v>
      </c>
      <c r="S433" s="46">
        <f t="shared" si="135"/>
        <v>2.7472355769230767</v>
      </c>
      <c r="T433" s="211">
        <f t="shared" si="130"/>
        <v>0.60276442307692335</v>
      </c>
      <c r="U433" s="46">
        <f t="shared" si="132"/>
        <v>37.896994267454808</v>
      </c>
      <c r="V433" s="46">
        <f t="shared" si="133"/>
        <v>-39.916840043712384</v>
      </c>
      <c r="W433" s="496"/>
    </row>
    <row r="434" spans="1:25" x14ac:dyDescent="0.25">
      <c r="A434" s="589">
        <f t="shared" si="128"/>
        <v>9.663461538245155E-6</v>
      </c>
      <c r="B434" s="32">
        <f t="shared" si="110"/>
        <v>402</v>
      </c>
      <c r="C434" s="441">
        <f>'SOLLECITAZ NASCOSTO'!$D$6/'SOLLECITAZ NASCOSTO'!$B$448*'SOLLECITAZ NASCOSTO'!B434</f>
        <v>2.7540865384615385</v>
      </c>
      <c r="D434" s="441">
        <f t="shared" si="129"/>
        <v>0.30000966346153823</v>
      </c>
      <c r="E434" s="441">
        <f t="shared" si="123"/>
        <v>9.663461538245155E-6</v>
      </c>
      <c r="F434" s="441">
        <f t="shared" si="124"/>
        <v>0.30000966346153823</v>
      </c>
      <c r="G434" s="441">
        <f t="shared" si="125"/>
        <v>4.5002899085152717E-2</v>
      </c>
      <c r="H434" s="441">
        <f t="shared" si="137"/>
        <v>0</v>
      </c>
      <c r="I434" s="441">
        <v>0</v>
      </c>
      <c r="J434" s="131">
        <f t="shared" si="138"/>
        <v>0.15000483173076912</v>
      </c>
      <c r="K434" s="130">
        <f t="shared" si="126"/>
        <v>2.2502174348883724E-3</v>
      </c>
      <c r="L434" s="42">
        <f t="shared" si="139"/>
        <v>38.057780635769717</v>
      </c>
      <c r="M434" s="42">
        <f t="shared" si="131"/>
        <v>-40.177021664474637</v>
      </c>
      <c r="N434" s="42">
        <f>(IF(C433&lt;='SOLLECITAZ NASCOSTO'!$P$12,IF(C433&lt;='SOLLECITAZ NASCOSTO'!$P$11,IF(C433&lt;='SOLLECITAZ NASCOSTO'!$P$10,IF(C433&lt;='SOLLECITAZ NASCOSTO'!$P$9,IF(C433&lt;='SOLLECITAZ NASCOSTO'!$P$8,IF(C433&lt;='SOLLECITAZ NASCOSTO'!$P$7,IF(C433&lt;='SOLLECITAZ NASCOSTO'!$P$6,IF(C433&lt;='SOLLECITAZ NASCOSTO'!$P$5,'Progetto del paramento slu'!$G$105,'Progetto del paramento slu'!$G$106),'Progetto del paramento slu'!$G$107),'Progetto del paramento slu'!$G$108),'Progetto del paramento slu'!$G$109),'Progetto del paramento slu'!$G$110),'Progetto del paramento slu'!$G$111),'Progetto del paramento slu'!$G$112),55555)-IF(C433&lt;='SOLLECITAZ NASCOSTO'!$P$12,IF(C433&lt;='SOLLECITAZ NASCOSTO'!$P$11,IF(C433&lt;='SOLLECITAZ NASCOSTO'!$P$10,IF(C433&lt;='SOLLECITAZ NASCOSTO'!$P$9,IF(C433&lt;='SOLLECITAZ NASCOSTO'!$P$8,IF(C433&lt;='SOLLECITAZ NASCOSTO'!$P$7,IF(C433&lt;='SOLLECITAZ NASCOSTO'!$P$6,IF(C433&lt;='SOLLECITAZ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slu'!$G$112))*(C433-IF(C433&lt;='SOLLECITAZ NASCOSTO'!$P$12,IF(C433&lt;='SOLLECITAZ NASCOSTO'!$P$11,IF(C433&lt;='SOLLECITAZ NASCOSTO'!$P$10,IF(C433&lt;='SOLLECITAZ NASCOSTO'!$P$9,IF(C433&lt;='SOLLECITAZ NASCOSTO'!$P$8,IF(C433&lt;='SOLLECITAZ NASCOSTO'!$P$7,IF(C433&lt;='SOLLECITAZ NASCOSTO'!$P$6,IF(C433&lt;='SOLLECITAZ NASCOSTO'!$P$5,'SOLLECITAZ NASCOSTO'!$P$3,'SOLLECITAZ NASCOSTO'!$P$5),'SOLLECITAZ NASCOSTO'!$P$5),'SOLLECITAZ NASCOSTO'!$P$7),'SOLLECITAZ NASCOSTO'!$P$8),'SOLLECITAZ NASCOSTO'!$P$9),'SOLLECITAZ NASCOSTO'!$P$10),'SOLLECITAZ NASCOSTO'!$P$11),'SOLLECITAZ NASCOSTO'!$P$12))/IF(C433&lt;='SOLLECITAZ NASCOSTO'!$P$12,IF(C433&lt;='SOLLECITAZ NASCOSTO'!$P$11,IF(C433&lt;='SOLLECITAZ NASCOSTO'!$P$10,IF(C433&lt;='SOLLECITAZ NASCOSTO'!$P$9,IF(C433&lt;='SOLLECITAZ NASCOSTO'!$P$8,IF(C433&lt;='SOLLECITAZ NASCOSTO'!$P$7,IF(C433&lt;='SOLLECITAZ NASCOSTO'!$P$6,IF(C433&lt;='SOLLECITAZ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slu'!$C$112)+IF(C433&lt;='SOLLECITAZ NASCOSTO'!$P$12,IF(C433&lt;='SOLLECITAZ NASCOSTO'!$P$11,IF(C433&lt;='SOLLECITAZ NASCOSTO'!$P$10,IF(C433&lt;='SOLLECITAZ NASCOSTO'!$P$9,IF(C433&lt;='SOLLECITAZ NASCOSTO'!$P$8,IF(C433&lt;='SOLLECITAZ NASCOSTO'!$P$7,IF(C433&lt;='SOLLECITAZ NASCOSTO'!$P$6,IF(C433&lt;='SOLLECITAZ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23.445102037520993</v>
      </c>
      <c r="O434" s="42">
        <f>IF(C434&lt;='SOLLECITAZ NASCOSTO'!$P$12,IF(C434&lt;='SOLLECITAZ NASCOSTO'!$P$11,IF(C434&lt;='SOLLECITAZ NASCOSTO'!$P$10,IF(C434&lt;='SOLLECITAZ NASCOSTO'!$P$9,IF(C434&lt;='SOLLECITAZ NASCOSTO'!$P$8,IF(C434&lt;='SOLLECITAZ NASCOSTO'!$P$7,IF(C434&lt;='SOLLECITAZ NASCOSTO'!$P$6,IF(C434&lt;='SOLLECITAZ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slu'!$G$111),55555)*(C434-C433)/IF(C434&lt;='SOLLECITAZ NASCOSTO'!$P$12,IF(C434&lt;='SOLLECITAZ NASCOSTO'!$P$11,IF(C434&lt;='SOLLECITAZ NASCOSTO'!$P$10,IF(C434&lt;='SOLLECITAZ NASCOSTO'!$P$9,IF(C434&lt;='SOLLECITAZ NASCOSTO'!$P$8,IF(C434&lt;='SOLLECITAZ NASCOSTO'!$P$7,IF(C434&lt;='SOLLECITAZ NASCOSTO'!$P$6,IF(C434&lt;='SOLLECITAZ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34" s="42">
        <f t="shared" si="136"/>
        <v>4.0100000000000324E-4</v>
      </c>
      <c r="Q434" s="42">
        <f t="shared" si="134"/>
        <v>1</v>
      </c>
      <c r="R434" s="441">
        <f t="shared" si="127"/>
        <v>2.7540865384615385</v>
      </c>
      <c r="S434" s="46">
        <f t="shared" si="135"/>
        <v>2.7540865384615385</v>
      </c>
      <c r="T434" s="211">
        <f t="shared" si="130"/>
        <v>0.59591346153846159</v>
      </c>
      <c r="U434" s="46">
        <f t="shared" si="132"/>
        <v>38.057780635769717</v>
      </c>
      <c r="V434" s="46">
        <f t="shared" si="133"/>
        <v>-40.177021664474637</v>
      </c>
      <c r="W434" s="496"/>
    </row>
    <row r="435" spans="1:25" x14ac:dyDescent="0.25">
      <c r="A435" s="589">
        <f t="shared" si="128"/>
        <v>9.6874999997997868E-6</v>
      </c>
      <c r="B435" s="32">
        <f t="shared" si="110"/>
        <v>403</v>
      </c>
      <c r="C435" s="441">
        <f>'SOLLECITAZ NASCOSTO'!$D$6/'SOLLECITAZ NASCOSTO'!$B$448*'SOLLECITAZ NASCOSTO'!B435</f>
        <v>2.7609374999999998</v>
      </c>
      <c r="D435" s="441">
        <f t="shared" si="129"/>
        <v>0.30000968749999979</v>
      </c>
      <c r="E435" s="441">
        <f t="shared" si="123"/>
        <v>9.6874999997997868E-6</v>
      </c>
      <c r="F435" s="441">
        <f t="shared" si="124"/>
        <v>0.30000968749999979</v>
      </c>
      <c r="G435" s="441">
        <f t="shared" si="125"/>
        <v>4.5002906296923766E-2</v>
      </c>
      <c r="H435" s="441">
        <f t="shared" si="137"/>
        <v>0</v>
      </c>
      <c r="I435" s="441">
        <v>0</v>
      </c>
      <c r="J435" s="131">
        <f t="shared" si="138"/>
        <v>0.15000484374999989</v>
      </c>
      <c r="K435" s="130">
        <f t="shared" si="126"/>
        <v>2.2502179757886453E-3</v>
      </c>
      <c r="L435" s="42">
        <f t="shared" si="139"/>
        <v>38.218896756065696</v>
      </c>
      <c r="M435" s="42">
        <f t="shared" si="131"/>
        <v>-40.438305956021182</v>
      </c>
      <c r="N435" s="42">
        <f>(IF(C434&lt;='SOLLECITAZ NASCOSTO'!$P$12,IF(C434&lt;='SOLLECITAZ NASCOSTO'!$P$11,IF(C434&lt;='SOLLECITAZ NASCOSTO'!$P$10,IF(C434&lt;='SOLLECITAZ NASCOSTO'!$P$9,IF(C434&lt;='SOLLECITAZ NASCOSTO'!$P$8,IF(C434&lt;='SOLLECITAZ NASCOSTO'!$P$7,IF(C434&lt;='SOLLECITAZ NASCOSTO'!$P$6,IF(C434&lt;='SOLLECITAZ NASCOSTO'!$P$5,'Progetto del paramento slu'!$G$105,'Progetto del paramento slu'!$G$106),'Progetto del paramento slu'!$G$107),'Progetto del paramento slu'!$G$108),'Progetto del paramento slu'!$G$109),'Progetto del paramento slu'!$G$110),'Progetto del paramento slu'!$G$111),'Progetto del paramento slu'!$G$112),55555)-IF(C434&lt;='SOLLECITAZ NASCOSTO'!$P$12,IF(C434&lt;='SOLLECITAZ NASCOSTO'!$P$11,IF(C434&lt;='SOLLECITAZ NASCOSTO'!$P$10,IF(C434&lt;='SOLLECITAZ NASCOSTO'!$P$9,IF(C434&lt;='SOLLECITAZ NASCOSTO'!$P$8,IF(C434&lt;='SOLLECITAZ NASCOSTO'!$P$7,IF(C434&lt;='SOLLECITAZ NASCOSTO'!$P$6,IF(C434&lt;='SOLLECITAZ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slu'!$G$112))*(C434-IF(C434&lt;='SOLLECITAZ NASCOSTO'!$P$12,IF(C434&lt;='SOLLECITAZ NASCOSTO'!$P$11,IF(C434&lt;='SOLLECITAZ NASCOSTO'!$P$10,IF(C434&lt;='SOLLECITAZ NASCOSTO'!$P$9,IF(C434&lt;='SOLLECITAZ NASCOSTO'!$P$8,IF(C434&lt;='SOLLECITAZ NASCOSTO'!$P$7,IF(C434&lt;='SOLLECITAZ NASCOSTO'!$P$6,IF(C434&lt;='SOLLECITAZ NASCOSTO'!$P$5,'SOLLECITAZ NASCOSTO'!$P$3,'SOLLECITAZ NASCOSTO'!$P$5),'SOLLECITAZ NASCOSTO'!$P$5),'SOLLECITAZ NASCOSTO'!$P$7),'SOLLECITAZ NASCOSTO'!$P$8),'SOLLECITAZ NASCOSTO'!$P$9),'SOLLECITAZ NASCOSTO'!$P$10),'SOLLECITAZ NASCOSTO'!$P$11),'SOLLECITAZ NASCOSTO'!$P$12))/IF(C434&lt;='SOLLECITAZ NASCOSTO'!$P$12,IF(C434&lt;='SOLLECITAZ NASCOSTO'!$P$11,IF(C434&lt;='SOLLECITAZ NASCOSTO'!$P$10,IF(C434&lt;='SOLLECITAZ NASCOSTO'!$P$9,IF(C434&lt;='SOLLECITAZ NASCOSTO'!$P$8,IF(C434&lt;='SOLLECITAZ NASCOSTO'!$P$7,IF(C434&lt;='SOLLECITAZ NASCOSTO'!$P$6,IF(C434&lt;='SOLLECITAZ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slu'!$C$112)+IF(C434&lt;='SOLLECITAZ NASCOSTO'!$P$12,IF(C434&lt;='SOLLECITAZ NASCOSTO'!$P$11,IF(C434&lt;='SOLLECITAZ NASCOSTO'!$P$10,IF(C434&lt;='SOLLECITAZ NASCOSTO'!$P$9,IF(C434&lt;='SOLLECITAZ NASCOSTO'!$P$8,IF(C434&lt;='SOLLECITAZ NASCOSTO'!$P$7,IF(C434&lt;='SOLLECITAZ NASCOSTO'!$P$6,IF(C434&lt;='SOLLECITAZ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23.493234256513347</v>
      </c>
      <c r="O435" s="42">
        <f>IF(C435&lt;='SOLLECITAZ NASCOSTO'!$P$12,IF(C435&lt;='SOLLECITAZ NASCOSTO'!$P$11,IF(C435&lt;='SOLLECITAZ NASCOSTO'!$P$10,IF(C435&lt;='SOLLECITAZ NASCOSTO'!$P$9,IF(C435&lt;='SOLLECITAZ NASCOSTO'!$P$8,IF(C435&lt;='SOLLECITAZ NASCOSTO'!$P$7,IF(C435&lt;='SOLLECITAZ NASCOSTO'!$P$6,IF(C435&lt;='SOLLECITAZ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slu'!$G$111),55555)*(C435-C434)/IF(C435&lt;='SOLLECITAZ NASCOSTO'!$P$12,IF(C435&lt;='SOLLECITAZ NASCOSTO'!$P$11,IF(C435&lt;='SOLLECITAZ NASCOSTO'!$P$10,IF(C435&lt;='SOLLECITAZ NASCOSTO'!$P$9,IF(C435&lt;='SOLLECITAZ NASCOSTO'!$P$8,IF(C435&lt;='SOLLECITAZ NASCOSTO'!$P$7,IF(C435&lt;='SOLLECITAZ NASCOSTO'!$P$6,IF(C435&lt;='SOLLECITAZ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35" s="42">
        <f t="shared" si="136"/>
        <v>4.0200000000000327E-4</v>
      </c>
      <c r="Q435" s="42">
        <f t="shared" si="134"/>
        <v>1</v>
      </c>
      <c r="R435" s="441">
        <f t="shared" si="127"/>
        <v>2.7609374999999998</v>
      </c>
      <c r="S435" s="46">
        <f t="shared" si="135"/>
        <v>2.7609374999999998</v>
      </c>
      <c r="T435" s="211">
        <f t="shared" si="130"/>
        <v>0.58906250000000027</v>
      </c>
      <c r="U435" s="46">
        <f t="shared" si="132"/>
        <v>38.218896756065696</v>
      </c>
      <c r="V435" s="46">
        <f t="shared" si="133"/>
        <v>-40.438305956021182</v>
      </c>
      <c r="W435" s="496"/>
    </row>
    <row r="436" spans="1:25" x14ac:dyDescent="0.25">
      <c r="A436" s="589">
        <f t="shared" si="128"/>
        <v>9.7115384612989075E-6</v>
      </c>
      <c r="B436" s="32">
        <f t="shared" si="110"/>
        <v>404</v>
      </c>
      <c r="C436" s="441">
        <f>'SOLLECITAZ NASCOSTO'!$D$6/'SOLLECITAZ NASCOSTO'!$B$448*'SOLLECITAZ NASCOSTO'!B436</f>
        <v>2.7677884615384616</v>
      </c>
      <c r="D436" s="441">
        <f t="shared" si="129"/>
        <v>0.30000971153846129</v>
      </c>
      <c r="E436" s="441">
        <f t="shared" si="123"/>
        <v>9.7115384612989075E-6</v>
      </c>
      <c r="F436" s="441">
        <f t="shared" si="124"/>
        <v>0.30000971153846129</v>
      </c>
      <c r="G436" s="441">
        <f t="shared" si="125"/>
        <v>4.5002913508695376E-2</v>
      </c>
      <c r="H436" s="441">
        <f t="shared" si="137"/>
        <v>0</v>
      </c>
      <c r="I436" s="441">
        <v>0</v>
      </c>
      <c r="J436" s="131">
        <f t="shared" si="138"/>
        <v>0.15000485576923064</v>
      </c>
      <c r="K436" s="130">
        <f t="shared" si="126"/>
        <v>2.2502185166890037E-3</v>
      </c>
      <c r="L436" s="42">
        <f t="shared" si="139"/>
        <v>38.38034262834276</v>
      </c>
      <c r="M436" s="42">
        <f t="shared" si="131"/>
        <v>-40.700695177470188</v>
      </c>
      <c r="N436" s="42">
        <f>(IF(C435&lt;='SOLLECITAZ NASCOSTO'!$P$12,IF(C435&lt;='SOLLECITAZ NASCOSTO'!$P$11,IF(C435&lt;='SOLLECITAZ NASCOSTO'!$P$10,IF(C435&lt;='SOLLECITAZ NASCOSTO'!$P$9,IF(C435&lt;='SOLLECITAZ NASCOSTO'!$P$8,IF(C435&lt;='SOLLECITAZ NASCOSTO'!$P$7,IF(C435&lt;='SOLLECITAZ NASCOSTO'!$P$6,IF(C435&lt;='SOLLECITAZ NASCOSTO'!$P$5,'Progetto del paramento slu'!$G$105,'Progetto del paramento slu'!$G$106),'Progetto del paramento slu'!$G$107),'Progetto del paramento slu'!$G$108),'Progetto del paramento slu'!$G$109),'Progetto del paramento slu'!$G$110),'Progetto del paramento slu'!$G$111),'Progetto del paramento slu'!$G$112),55555)-IF(C435&lt;='SOLLECITAZ NASCOSTO'!$P$12,IF(C435&lt;='SOLLECITAZ NASCOSTO'!$P$11,IF(C435&lt;='SOLLECITAZ NASCOSTO'!$P$10,IF(C435&lt;='SOLLECITAZ NASCOSTO'!$P$9,IF(C435&lt;='SOLLECITAZ NASCOSTO'!$P$8,IF(C435&lt;='SOLLECITAZ NASCOSTO'!$P$7,IF(C435&lt;='SOLLECITAZ NASCOSTO'!$P$6,IF(C435&lt;='SOLLECITAZ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slu'!$G$112))*(C435-IF(C435&lt;='SOLLECITAZ NASCOSTO'!$P$12,IF(C435&lt;='SOLLECITAZ NASCOSTO'!$P$11,IF(C435&lt;='SOLLECITAZ NASCOSTO'!$P$10,IF(C435&lt;='SOLLECITAZ NASCOSTO'!$P$9,IF(C435&lt;='SOLLECITAZ NASCOSTO'!$P$8,IF(C435&lt;='SOLLECITAZ NASCOSTO'!$P$7,IF(C435&lt;='SOLLECITAZ NASCOSTO'!$P$6,IF(C435&lt;='SOLLECITAZ NASCOSTO'!$P$5,'SOLLECITAZ NASCOSTO'!$P$3,'SOLLECITAZ NASCOSTO'!$P$5),'SOLLECITAZ NASCOSTO'!$P$5),'SOLLECITAZ NASCOSTO'!$P$7),'SOLLECITAZ NASCOSTO'!$P$8),'SOLLECITAZ NASCOSTO'!$P$9),'SOLLECITAZ NASCOSTO'!$P$10),'SOLLECITAZ NASCOSTO'!$P$11),'SOLLECITAZ NASCOSTO'!$P$12))/IF(C435&lt;='SOLLECITAZ NASCOSTO'!$P$12,IF(C435&lt;='SOLLECITAZ NASCOSTO'!$P$11,IF(C435&lt;='SOLLECITAZ NASCOSTO'!$P$10,IF(C435&lt;='SOLLECITAZ NASCOSTO'!$P$9,IF(C435&lt;='SOLLECITAZ NASCOSTO'!$P$8,IF(C435&lt;='SOLLECITAZ NASCOSTO'!$P$7,IF(C435&lt;='SOLLECITAZ NASCOSTO'!$P$6,IF(C435&lt;='SOLLECITAZ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slu'!$C$112)+IF(C435&lt;='SOLLECITAZ NASCOSTO'!$P$12,IF(C435&lt;='SOLLECITAZ NASCOSTO'!$P$11,IF(C435&lt;='SOLLECITAZ NASCOSTO'!$P$10,IF(C435&lt;='SOLLECITAZ NASCOSTO'!$P$9,IF(C435&lt;='SOLLECITAZ NASCOSTO'!$P$8,IF(C435&lt;='SOLLECITAZ NASCOSTO'!$P$7,IF(C435&lt;='SOLLECITAZ NASCOSTO'!$P$6,IF(C435&lt;='SOLLECITAZ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23.541366475505697</v>
      </c>
      <c r="O436" s="42">
        <f>IF(C436&lt;='SOLLECITAZ NASCOSTO'!$P$12,IF(C436&lt;='SOLLECITAZ NASCOSTO'!$P$11,IF(C436&lt;='SOLLECITAZ NASCOSTO'!$P$10,IF(C436&lt;='SOLLECITAZ NASCOSTO'!$P$9,IF(C436&lt;='SOLLECITAZ NASCOSTO'!$P$8,IF(C436&lt;='SOLLECITAZ NASCOSTO'!$P$7,IF(C436&lt;='SOLLECITAZ NASCOSTO'!$P$6,IF(C436&lt;='SOLLECITAZ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slu'!$G$111),55555)*(C436-C435)/IF(C436&lt;='SOLLECITAZ NASCOSTO'!$P$12,IF(C436&lt;='SOLLECITAZ NASCOSTO'!$P$11,IF(C436&lt;='SOLLECITAZ NASCOSTO'!$P$10,IF(C436&lt;='SOLLECITAZ NASCOSTO'!$P$9,IF(C436&lt;='SOLLECITAZ NASCOSTO'!$P$8,IF(C436&lt;='SOLLECITAZ NASCOSTO'!$P$7,IF(C436&lt;='SOLLECITAZ NASCOSTO'!$P$6,IF(C436&lt;='SOLLECITAZ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36" s="42">
        <f t="shared" si="136"/>
        <v>4.0300000000000329E-4</v>
      </c>
      <c r="Q436" s="42">
        <f t="shared" si="134"/>
        <v>1</v>
      </c>
      <c r="R436" s="441">
        <f t="shared" si="127"/>
        <v>2.7677884615384616</v>
      </c>
      <c r="S436" s="46">
        <f t="shared" si="135"/>
        <v>2.7677884615384616</v>
      </c>
      <c r="T436" s="211">
        <f t="shared" si="130"/>
        <v>0.5822115384615385</v>
      </c>
      <c r="U436" s="46">
        <f t="shared" si="132"/>
        <v>38.38034262834276</v>
      </c>
      <c r="V436" s="46">
        <f t="shared" si="133"/>
        <v>-40.700695177470188</v>
      </c>
      <c r="W436" s="496"/>
    </row>
    <row r="437" spans="1:25" x14ac:dyDescent="0.25">
      <c r="A437" s="589">
        <f t="shared" si="128"/>
        <v>9.7355769228535394E-6</v>
      </c>
      <c r="B437" s="32">
        <f t="shared" si="110"/>
        <v>405</v>
      </c>
      <c r="C437" s="441">
        <f>'SOLLECITAZ NASCOSTO'!$D$6/'SOLLECITAZ NASCOSTO'!$B$448*'SOLLECITAZ NASCOSTO'!B437</f>
        <v>2.7746394230769229</v>
      </c>
      <c r="D437" s="441">
        <f t="shared" si="129"/>
        <v>0.30000973557692284</v>
      </c>
      <c r="E437" s="441">
        <f t="shared" si="123"/>
        <v>9.7355769228535394E-6</v>
      </c>
      <c r="F437" s="441">
        <f t="shared" si="124"/>
        <v>0.30000973557692284</v>
      </c>
      <c r="G437" s="441">
        <f t="shared" si="125"/>
        <v>4.5002920720467583E-2</v>
      </c>
      <c r="H437" s="441">
        <f t="shared" si="137"/>
        <v>0</v>
      </c>
      <c r="I437" s="441">
        <v>0</v>
      </c>
      <c r="J437" s="131">
        <f t="shared" si="138"/>
        <v>0.15000486778846142</v>
      </c>
      <c r="K437" s="130">
        <f t="shared" si="126"/>
        <v>2.2502190575894505E-3</v>
      </c>
      <c r="L437" s="42">
        <f t="shared" si="139"/>
        <v>38.542118252600893</v>
      </c>
      <c r="M437" s="42">
        <f t="shared" si="131"/>
        <v>-40.964191587939759</v>
      </c>
      <c r="N437" s="42">
        <f>(IF(C436&lt;='SOLLECITAZ NASCOSTO'!$P$12,IF(C436&lt;='SOLLECITAZ NASCOSTO'!$P$11,IF(C436&lt;='SOLLECITAZ NASCOSTO'!$P$10,IF(C436&lt;='SOLLECITAZ NASCOSTO'!$P$9,IF(C436&lt;='SOLLECITAZ NASCOSTO'!$P$8,IF(C436&lt;='SOLLECITAZ NASCOSTO'!$P$7,IF(C436&lt;='SOLLECITAZ NASCOSTO'!$P$6,IF(C436&lt;='SOLLECITAZ NASCOSTO'!$P$5,'Progetto del paramento slu'!$G$105,'Progetto del paramento slu'!$G$106),'Progetto del paramento slu'!$G$107),'Progetto del paramento slu'!$G$108),'Progetto del paramento slu'!$G$109),'Progetto del paramento slu'!$G$110),'Progetto del paramento slu'!$G$111),'Progetto del paramento slu'!$G$112),55555)-IF(C436&lt;='SOLLECITAZ NASCOSTO'!$P$12,IF(C436&lt;='SOLLECITAZ NASCOSTO'!$P$11,IF(C436&lt;='SOLLECITAZ NASCOSTO'!$P$10,IF(C436&lt;='SOLLECITAZ NASCOSTO'!$P$9,IF(C436&lt;='SOLLECITAZ NASCOSTO'!$P$8,IF(C436&lt;='SOLLECITAZ NASCOSTO'!$P$7,IF(C436&lt;='SOLLECITAZ NASCOSTO'!$P$6,IF(C436&lt;='SOLLECITAZ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slu'!$G$112))*(C436-IF(C436&lt;='SOLLECITAZ NASCOSTO'!$P$12,IF(C436&lt;='SOLLECITAZ NASCOSTO'!$P$11,IF(C436&lt;='SOLLECITAZ NASCOSTO'!$P$10,IF(C436&lt;='SOLLECITAZ NASCOSTO'!$P$9,IF(C436&lt;='SOLLECITAZ NASCOSTO'!$P$8,IF(C436&lt;='SOLLECITAZ NASCOSTO'!$P$7,IF(C436&lt;='SOLLECITAZ NASCOSTO'!$P$6,IF(C436&lt;='SOLLECITAZ NASCOSTO'!$P$5,'SOLLECITAZ NASCOSTO'!$P$3,'SOLLECITAZ NASCOSTO'!$P$5),'SOLLECITAZ NASCOSTO'!$P$5),'SOLLECITAZ NASCOSTO'!$P$7),'SOLLECITAZ NASCOSTO'!$P$8),'SOLLECITAZ NASCOSTO'!$P$9),'SOLLECITAZ NASCOSTO'!$P$10),'SOLLECITAZ NASCOSTO'!$P$11),'SOLLECITAZ NASCOSTO'!$P$12))/IF(C436&lt;='SOLLECITAZ NASCOSTO'!$P$12,IF(C436&lt;='SOLLECITAZ NASCOSTO'!$P$11,IF(C436&lt;='SOLLECITAZ NASCOSTO'!$P$10,IF(C436&lt;='SOLLECITAZ NASCOSTO'!$P$9,IF(C436&lt;='SOLLECITAZ NASCOSTO'!$P$8,IF(C436&lt;='SOLLECITAZ NASCOSTO'!$P$7,IF(C436&lt;='SOLLECITAZ NASCOSTO'!$P$6,IF(C436&lt;='SOLLECITAZ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slu'!$C$112)+IF(C436&lt;='SOLLECITAZ NASCOSTO'!$P$12,IF(C436&lt;='SOLLECITAZ NASCOSTO'!$P$11,IF(C436&lt;='SOLLECITAZ NASCOSTO'!$P$10,IF(C436&lt;='SOLLECITAZ NASCOSTO'!$P$9,IF(C436&lt;='SOLLECITAZ NASCOSTO'!$P$8,IF(C436&lt;='SOLLECITAZ NASCOSTO'!$P$7,IF(C436&lt;='SOLLECITAZ NASCOSTO'!$P$6,IF(C436&lt;='SOLLECITAZ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23.589498694498051</v>
      </c>
      <c r="O437" s="42">
        <f>IF(C437&lt;='SOLLECITAZ NASCOSTO'!$P$12,IF(C437&lt;='SOLLECITAZ NASCOSTO'!$P$11,IF(C437&lt;='SOLLECITAZ NASCOSTO'!$P$10,IF(C437&lt;='SOLLECITAZ NASCOSTO'!$P$9,IF(C437&lt;='SOLLECITAZ NASCOSTO'!$P$8,IF(C437&lt;='SOLLECITAZ NASCOSTO'!$P$7,IF(C437&lt;='SOLLECITAZ NASCOSTO'!$P$6,IF(C437&lt;='SOLLECITAZ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slu'!$G$111),55555)*(C437-C436)/IF(C437&lt;='SOLLECITAZ NASCOSTO'!$P$12,IF(C437&lt;='SOLLECITAZ NASCOSTO'!$P$11,IF(C437&lt;='SOLLECITAZ NASCOSTO'!$P$10,IF(C437&lt;='SOLLECITAZ NASCOSTO'!$P$9,IF(C437&lt;='SOLLECITAZ NASCOSTO'!$P$8,IF(C437&lt;='SOLLECITAZ NASCOSTO'!$P$7,IF(C437&lt;='SOLLECITAZ NASCOSTO'!$P$6,IF(C437&lt;='SOLLECITAZ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37" s="42">
        <f t="shared" si="136"/>
        <v>4.0400000000000331E-4</v>
      </c>
      <c r="Q437" s="42">
        <f t="shared" si="134"/>
        <v>1</v>
      </c>
      <c r="R437" s="441">
        <f t="shared" si="127"/>
        <v>2.7746394230769229</v>
      </c>
      <c r="S437" s="46">
        <f t="shared" si="135"/>
        <v>2.7746394230769229</v>
      </c>
      <c r="T437" s="211">
        <f t="shared" si="130"/>
        <v>0.57536057692307718</v>
      </c>
      <c r="U437" s="46">
        <f t="shared" si="132"/>
        <v>38.542118252600893</v>
      </c>
      <c r="V437" s="46">
        <f t="shared" si="133"/>
        <v>-40.964191587939759</v>
      </c>
      <c r="W437" s="496"/>
    </row>
    <row r="438" spans="1:25" x14ac:dyDescent="0.25">
      <c r="A438" s="589">
        <f t="shared" si="128"/>
        <v>9.7596153844081712E-6</v>
      </c>
      <c r="B438" s="32">
        <f t="shared" si="110"/>
        <v>406</v>
      </c>
      <c r="C438" s="441">
        <f>'SOLLECITAZ NASCOSTO'!$D$6/'SOLLECITAZ NASCOSTO'!$B$448*'SOLLECITAZ NASCOSTO'!B438</f>
        <v>2.7814903846153847</v>
      </c>
      <c r="D438" s="441">
        <f t="shared" si="129"/>
        <v>0.3000097596153844</v>
      </c>
      <c r="E438" s="441">
        <f t="shared" si="123"/>
        <v>9.7596153844081712E-6</v>
      </c>
      <c r="F438" s="441">
        <f t="shared" si="124"/>
        <v>0.3000097596153844</v>
      </c>
      <c r="G438" s="441">
        <f t="shared" si="125"/>
        <v>4.5002927932240366E-2</v>
      </c>
      <c r="H438" s="441">
        <f t="shared" si="137"/>
        <v>0</v>
      </c>
      <c r="I438" s="441">
        <v>0</v>
      </c>
      <c r="J438" s="131">
        <f t="shared" si="138"/>
        <v>0.1500048798076922</v>
      </c>
      <c r="K438" s="130">
        <f t="shared" si="126"/>
        <v>2.2502195984899832E-3</v>
      </c>
      <c r="L438" s="42">
        <f t="shared" si="139"/>
        <v>38.704223628840111</v>
      </c>
      <c r="M438" s="42">
        <f t="shared" si="131"/>
        <v>-41.228797446548072</v>
      </c>
      <c r="N438" s="42">
        <f>(IF(C437&lt;='SOLLECITAZ NASCOSTO'!$P$12,IF(C437&lt;='SOLLECITAZ NASCOSTO'!$P$11,IF(C437&lt;='SOLLECITAZ NASCOSTO'!$P$10,IF(C437&lt;='SOLLECITAZ NASCOSTO'!$P$9,IF(C437&lt;='SOLLECITAZ NASCOSTO'!$P$8,IF(C437&lt;='SOLLECITAZ NASCOSTO'!$P$7,IF(C437&lt;='SOLLECITAZ NASCOSTO'!$P$6,IF(C437&lt;='SOLLECITAZ NASCOSTO'!$P$5,'Progetto del paramento slu'!$G$105,'Progetto del paramento slu'!$G$106),'Progetto del paramento slu'!$G$107),'Progetto del paramento slu'!$G$108),'Progetto del paramento slu'!$G$109),'Progetto del paramento slu'!$G$110),'Progetto del paramento slu'!$G$111),'Progetto del paramento slu'!$G$112),55555)-IF(C437&lt;='SOLLECITAZ NASCOSTO'!$P$12,IF(C437&lt;='SOLLECITAZ NASCOSTO'!$P$11,IF(C437&lt;='SOLLECITAZ NASCOSTO'!$P$10,IF(C437&lt;='SOLLECITAZ NASCOSTO'!$P$9,IF(C437&lt;='SOLLECITAZ NASCOSTO'!$P$8,IF(C437&lt;='SOLLECITAZ NASCOSTO'!$P$7,IF(C437&lt;='SOLLECITAZ NASCOSTO'!$P$6,IF(C437&lt;='SOLLECITAZ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slu'!$G$112))*(C437-IF(C437&lt;='SOLLECITAZ NASCOSTO'!$P$12,IF(C437&lt;='SOLLECITAZ NASCOSTO'!$P$11,IF(C437&lt;='SOLLECITAZ NASCOSTO'!$P$10,IF(C437&lt;='SOLLECITAZ NASCOSTO'!$P$9,IF(C437&lt;='SOLLECITAZ NASCOSTO'!$P$8,IF(C437&lt;='SOLLECITAZ NASCOSTO'!$P$7,IF(C437&lt;='SOLLECITAZ NASCOSTO'!$P$6,IF(C437&lt;='SOLLECITAZ NASCOSTO'!$P$5,'SOLLECITAZ NASCOSTO'!$P$3,'SOLLECITAZ NASCOSTO'!$P$5),'SOLLECITAZ NASCOSTO'!$P$5),'SOLLECITAZ NASCOSTO'!$P$7),'SOLLECITAZ NASCOSTO'!$P$8),'SOLLECITAZ NASCOSTO'!$P$9),'SOLLECITAZ NASCOSTO'!$P$10),'SOLLECITAZ NASCOSTO'!$P$11),'SOLLECITAZ NASCOSTO'!$P$12))/IF(C437&lt;='SOLLECITAZ NASCOSTO'!$P$12,IF(C437&lt;='SOLLECITAZ NASCOSTO'!$P$11,IF(C437&lt;='SOLLECITAZ NASCOSTO'!$P$10,IF(C437&lt;='SOLLECITAZ NASCOSTO'!$P$9,IF(C437&lt;='SOLLECITAZ NASCOSTO'!$P$8,IF(C437&lt;='SOLLECITAZ NASCOSTO'!$P$7,IF(C437&lt;='SOLLECITAZ NASCOSTO'!$P$6,IF(C437&lt;='SOLLECITAZ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slu'!$C$112)+IF(C437&lt;='SOLLECITAZ NASCOSTO'!$P$12,IF(C437&lt;='SOLLECITAZ NASCOSTO'!$P$11,IF(C437&lt;='SOLLECITAZ NASCOSTO'!$P$10,IF(C437&lt;='SOLLECITAZ NASCOSTO'!$P$9,IF(C437&lt;='SOLLECITAZ NASCOSTO'!$P$8,IF(C437&lt;='SOLLECITAZ NASCOSTO'!$P$7,IF(C437&lt;='SOLLECITAZ NASCOSTO'!$P$6,IF(C437&lt;='SOLLECITAZ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23.637630913490405</v>
      </c>
      <c r="O438" s="42">
        <f>IF(C438&lt;='SOLLECITAZ NASCOSTO'!$P$12,IF(C438&lt;='SOLLECITAZ NASCOSTO'!$P$11,IF(C438&lt;='SOLLECITAZ NASCOSTO'!$P$10,IF(C438&lt;='SOLLECITAZ NASCOSTO'!$P$9,IF(C438&lt;='SOLLECITAZ NASCOSTO'!$P$8,IF(C438&lt;='SOLLECITAZ NASCOSTO'!$P$7,IF(C438&lt;='SOLLECITAZ NASCOSTO'!$P$6,IF(C438&lt;='SOLLECITAZ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slu'!$G$111),55555)*(C438-C437)/IF(C438&lt;='SOLLECITAZ NASCOSTO'!$P$12,IF(C438&lt;='SOLLECITAZ NASCOSTO'!$P$11,IF(C438&lt;='SOLLECITAZ NASCOSTO'!$P$10,IF(C438&lt;='SOLLECITAZ NASCOSTO'!$P$9,IF(C438&lt;='SOLLECITAZ NASCOSTO'!$P$8,IF(C438&lt;='SOLLECITAZ NASCOSTO'!$P$7,IF(C438&lt;='SOLLECITAZ NASCOSTO'!$P$6,IF(C438&lt;='SOLLECITAZ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38" s="42">
        <f t="shared" si="136"/>
        <v>4.0500000000000334E-4</v>
      </c>
      <c r="Q438" s="42">
        <f t="shared" si="134"/>
        <v>1</v>
      </c>
      <c r="R438" s="441">
        <f t="shared" si="127"/>
        <v>2.7814903846153847</v>
      </c>
      <c r="S438" s="46">
        <f t="shared" si="135"/>
        <v>2.7814903846153847</v>
      </c>
      <c r="T438" s="211">
        <f t="shared" si="130"/>
        <v>0.56850961538461542</v>
      </c>
      <c r="U438" s="46">
        <f t="shared" si="132"/>
        <v>38.704223628840111</v>
      </c>
      <c r="V438" s="46">
        <f t="shared" si="133"/>
        <v>-41.228797446548072</v>
      </c>
      <c r="W438" s="496"/>
      <c r="X438" s="484"/>
    </row>
    <row r="439" spans="1:25" x14ac:dyDescent="0.25">
      <c r="A439" s="589">
        <f t="shared" si="128"/>
        <v>9.7836538459628031E-6</v>
      </c>
      <c r="B439" s="32">
        <f t="shared" si="110"/>
        <v>407</v>
      </c>
      <c r="C439" s="441">
        <f>'SOLLECITAZ NASCOSTO'!$D$6/'SOLLECITAZ NASCOSTO'!$B$448*'SOLLECITAZ NASCOSTO'!B439</f>
        <v>2.788341346153846</v>
      </c>
      <c r="D439" s="441">
        <f t="shared" si="129"/>
        <v>0.30000978365384595</v>
      </c>
      <c r="E439" s="441">
        <f t="shared" si="123"/>
        <v>9.7836538459628031E-6</v>
      </c>
      <c r="F439" s="441">
        <f t="shared" si="124"/>
        <v>0.30000978365384595</v>
      </c>
      <c r="G439" s="441">
        <f t="shared" si="125"/>
        <v>4.5002935144013725E-2</v>
      </c>
      <c r="H439" s="441">
        <f t="shared" si="137"/>
        <v>0</v>
      </c>
      <c r="I439" s="441">
        <v>0</v>
      </c>
      <c r="J439" s="131">
        <f t="shared" si="138"/>
        <v>0.15000489182692298</v>
      </c>
      <c r="K439" s="130">
        <f t="shared" si="126"/>
        <v>2.2502201393906031E-3</v>
      </c>
      <c r="L439" s="42">
        <f t="shared" si="139"/>
        <v>38.866658757060399</v>
      </c>
      <c r="M439" s="42">
        <f t="shared" si="131"/>
        <v>-41.494515012413224</v>
      </c>
      <c r="N439" s="42">
        <f>(IF(C438&lt;='SOLLECITAZ NASCOSTO'!$P$12,IF(C438&lt;='SOLLECITAZ NASCOSTO'!$P$11,IF(C438&lt;='SOLLECITAZ NASCOSTO'!$P$10,IF(C438&lt;='SOLLECITAZ NASCOSTO'!$P$9,IF(C438&lt;='SOLLECITAZ NASCOSTO'!$P$8,IF(C438&lt;='SOLLECITAZ NASCOSTO'!$P$7,IF(C438&lt;='SOLLECITAZ NASCOSTO'!$P$6,IF(C438&lt;='SOLLECITAZ NASCOSTO'!$P$5,'Progetto del paramento slu'!$G$105,'Progetto del paramento slu'!$G$106),'Progetto del paramento slu'!$G$107),'Progetto del paramento slu'!$G$108),'Progetto del paramento slu'!$G$109),'Progetto del paramento slu'!$G$110),'Progetto del paramento slu'!$G$111),'Progetto del paramento slu'!$G$112),55555)-IF(C438&lt;='SOLLECITAZ NASCOSTO'!$P$12,IF(C438&lt;='SOLLECITAZ NASCOSTO'!$P$11,IF(C438&lt;='SOLLECITAZ NASCOSTO'!$P$10,IF(C438&lt;='SOLLECITAZ NASCOSTO'!$P$9,IF(C438&lt;='SOLLECITAZ NASCOSTO'!$P$8,IF(C438&lt;='SOLLECITAZ NASCOSTO'!$P$7,IF(C438&lt;='SOLLECITAZ NASCOSTO'!$P$6,IF(C438&lt;='SOLLECITAZ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slu'!$G$112))*(C438-IF(C438&lt;='SOLLECITAZ NASCOSTO'!$P$12,IF(C438&lt;='SOLLECITAZ NASCOSTO'!$P$11,IF(C438&lt;='SOLLECITAZ NASCOSTO'!$P$10,IF(C438&lt;='SOLLECITAZ NASCOSTO'!$P$9,IF(C438&lt;='SOLLECITAZ NASCOSTO'!$P$8,IF(C438&lt;='SOLLECITAZ NASCOSTO'!$P$7,IF(C438&lt;='SOLLECITAZ NASCOSTO'!$P$6,IF(C438&lt;='SOLLECITAZ NASCOSTO'!$P$5,'SOLLECITAZ NASCOSTO'!$P$3,'SOLLECITAZ NASCOSTO'!$P$5),'SOLLECITAZ NASCOSTO'!$P$5),'SOLLECITAZ NASCOSTO'!$P$7),'SOLLECITAZ NASCOSTO'!$P$8),'SOLLECITAZ NASCOSTO'!$P$9),'SOLLECITAZ NASCOSTO'!$P$10),'SOLLECITAZ NASCOSTO'!$P$11),'SOLLECITAZ NASCOSTO'!$P$12))/IF(C438&lt;='SOLLECITAZ NASCOSTO'!$P$12,IF(C438&lt;='SOLLECITAZ NASCOSTO'!$P$11,IF(C438&lt;='SOLLECITAZ NASCOSTO'!$P$10,IF(C438&lt;='SOLLECITAZ NASCOSTO'!$P$9,IF(C438&lt;='SOLLECITAZ NASCOSTO'!$P$8,IF(C438&lt;='SOLLECITAZ NASCOSTO'!$P$7,IF(C438&lt;='SOLLECITAZ NASCOSTO'!$P$6,IF(C438&lt;='SOLLECITAZ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slu'!$C$112)+IF(C438&lt;='SOLLECITAZ NASCOSTO'!$P$12,IF(C438&lt;='SOLLECITAZ NASCOSTO'!$P$11,IF(C438&lt;='SOLLECITAZ NASCOSTO'!$P$10,IF(C438&lt;='SOLLECITAZ NASCOSTO'!$P$9,IF(C438&lt;='SOLLECITAZ NASCOSTO'!$P$8,IF(C438&lt;='SOLLECITAZ NASCOSTO'!$P$7,IF(C438&lt;='SOLLECITAZ NASCOSTO'!$P$6,IF(C438&lt;='SOLLECITAZ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23.685763132482759</v>
      </c>
      <c r="O439" s="42">
        <f>IF(C439&lt;='SOLLECITAZ NASCOSTO'!$P$12,IF(C439&lt;='SOLLECITAZ NASCOSTO'!$P$11,IF(C439&lt;='SOLLECITAZ NASCOSTO'!$P$10,IF(C439&lt;='SOLLECITAZ NASCOSTO'!$P$9,IF(C439&lt;='SOLLECITAZ NASCOSTO'!$P$8,IF(C439&lt;='SOLLECITAZ NASCOSTO'!$P$7,IF(C439&lt;='SOLLECITAZ NASCOSTO'!$P$6,IF(C439&lt;='SOLLECITAZ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slu'!$G$111),55555)*(C439-C438)/IF(C439&lt;='SOLLECITAZ NASCOSTO'!$P$12,IF(C439&lt;='SOLLECITAZ NASCOSTO'!$P$11,IF(C439&lt;='SOLLECITAZ NASCOSTO'!$P$10,IF(C439&lt;='SOLLECITAZ NASCOSTO'!$P$9,IF(C439&lt;='SOLLECITAZ NASCOSTO'!$P$8,IF(C439&lt;='SOLLECITAZ NASCOSTO'!$P$7,IF(C439&lt;='SOLLECITAZ NASCOSTO'!$P$6,IF(C439&lt;='SOLLECITAZ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39" s="42">
        <f t="shared" si="136"/>
        <v>4.0600000000000336E-4</v>
      </c>
      <c r="Q439" s="42">
        <f t="shared" si="134"/>
        <v>1</v>
      </c>
      <c r="R439" s="441">
        <f t="shared" si="127"/>
        <v>2.788341346153846</v>
      </c>
      <c r="S439" s="46">
        <f t="shared" si="135"/>
        <v>2.788341346153846</v>
      </c>
      <c r="T439" s="211">
        <f t="shared" si="130"/>
        <v>0.5616586538461541</v>
      </c>
      <c r="U439" s="46">
        <f t="shared" si="132"/>
        <v>38.866658757060399</v>
      </c>
      <c r="V439" s="46">
        <f t="shared" si="133"/>
        <v>-41.494515012413224</v>
      </c>
      <c r="W439" s="496"/>
      <c r="X439" s="484"/>
    </row>
    <row r="440" spans="1:25" ht="15" customHeight="1" x14ac:dyDescent="0.25">
      <c r="A440" s="589">
        <f t="shared" si="128"/>
        <v>9.8076923074619238E-6</v>
      </c>
      <c r="B440" s="32">
        <f t="shared" si="110"/>
        <v>408</v>
      </c>
      <c r="C440" s="441">
        <f>'SOLLECITAZ NASCOSTO'!$D$6/'SOLLECITAZ NASCOSTO'!$B$448*'SOLLECITAZ NASCOSTO'!B440</f>
        <v>2.7951923076923078</v>
      </c>
      <c r="D440" s="441">
        <f t="shared" si="129"/>
        <v>0.30000980769230745</v>
      </c>
      <c r="E440" s="441">
        <f t="shared" si="123"/>
        <v>9.8076923074619238E-6</v>
      </c>
      <c r="F440" s="441">
        <f t="shared" si="124"/>
        <v>0.30000980769230745</v>
      </c>
      <c r="G440" s="441">
        <f t="shared" si="125"/>
        <v>4.5002942355787653E-2</v>
      </c>
      <c r="H440" s="441">
        <f t="shared" si="137"/>
        <v>0</v>
      </c>
      <c r="I440" s="441">
        <v>0</v>
      </c>
      <c r="J440" s="131">
        <f t="shared" si="138"/>
        <v>0.15000490384615373</v>
      </c>
      <c r="K440" s="130">
        <f t="shared" si="126"/>
        <v>2.2502206802913084E-3</v>
      </c>
      <c r="L440" s="42">
        <f t="shared" si="139"/>
        <v>39.029423637261772</v>
      </c>
      <c r="M440" s="42">
        <f t="shared" si="131"/>
        <v>-41.761346544653399</v>
      </c>
      <c r="N440" s="42">
        <f>(IF(C439&lt;='SOLLECITAZ NASCOSTO'!$P$12,IF(C439&lt;='SOLLECITAZ NASCOSTO'!$P$11,IF(C439&lt;='SOLLECITAZ NASCOSTO'!$P$10,IF(C439&lt;='SOLLECITAZ NASCOSTO'!$P$9,IF(C439&lt;='SOLLECITAZ NASCOSTO'!$P$8,IF(C439&lt;='SOLLECITAZ NASCOSTO'!$P$7,IF(C439&lt;='SOLLECITAZ NASCOSTO'!$P$6,IF(C439&lt;='SOLLECITAZ NASCOSTO'!$P$5,'Progetto del paramento slu'!$G$105,'Progetto del paramento slu'!$G$106),'Progetto del paramento slu'!$G$107),'Progetto del paramento slu'!$G$108),'Progetto del paramento slu'!$G$109),'Progetto del paramento slu'!$G$110),'Progetto del paramento slu'!$G$111),'Progetto del paramento slu'!$G$112),55555)-IF(C439&lt;='SOLLECITAZ NASCOSTO'!$P$12,IF(C439&lt;='SOLLECITAZ NASCOSTO'!$P$11,IF(C439&lt;='SOLLECITAZ NASCOSTO'!$P$10,IF(C439&lt;='SOLLECITAZ NASCOSTO'!$P$9,IF(C439&lt;='SOLLECITAZ NASCOSTO'!$P$8,IF(C439&lt;='SOLLECITAZ NASCOSTO'!$P$7,IF(C439&lt;='SOLLECITAZ NASCOSTO'!$P$6,IF(C439&lt;='SOLLECITAZ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slu'!$G$112))*(C439-IF(C439&lt;='SOLLECITAZ NASCOSTO'!$P$12,IF(C439&lt;='SOLLECITAZ NASCOSTO'!$P$11,IF(C439&lt;='SOLLECITAZ NASCOSTO'!$P$10,IF(C439&lt;='SOLLECITAZ NASCOSTO'!$P$9,IF(C439&lt;='SOLLECITAZ NASCOSTO'!$P$8,IF(C439&lt;='SOLLECITAZ NASCOSTO'!$P$7,IF(C439&lt;='SOLLECITAZ NASCOSTO'!$P$6,IF(C439&lt;='SOLLECITAZ NASCOSTO'!$P$5,'SOLLECITAZ NASCOSTO'!$P$3,'SOLLECITAZ NASCOSTO'!$P$5),'SOLLECITAZ NASCOSTO'!$P$5),'SOLLECITAZ NASCOSTO'!$P$7),'SOLLECITAZ NASCOSTO'!$P$8),'SOLLECITAZ NASCOSTO'!$P$9),'SOLLECITAZ NASCOSTO'!$P$10),'SOLLECITAZ NASCOSTO'!$P$11),'SOLLECITAZ NASCOSTO'!$P$12))/IF(C439&lt;='SOLLECITAZ NASCOSTO'!$P$12,IF(C439&lt;='SOLLECITAZ NASCOSTO'!$P$11,IF(C439&lt;='SOLLECITAZ NASCOSTO'!$P$10,IF(C439&lt;='SOLLECITAZ NASCOSTO'!$P$9,IF(C439&lt;='SOLLECITAZ NASCOSTO'!$P$8,IF(C439&lt;='SOLLECITAZ NASCOSTO'!$P$7,IF(C439&lt;='SOLLECITAZ NASCOSTO'!$P$6,IF(C439&lt;='SOLLECITAZ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slu'!$C$112)+IF(C439&lt;='SOLLECITAZ NASCOSTO'!$P$12,IF(C439&lt;='SOLLECITAZ NASCOSTO'!$P$11,IF(C439&lt;='SOLLECITAZ NASCOSTO'!$P$10,IF(C439&lt;='SOLLECITAZ NASCOSTO'!$P$9,IF(C439&lt;='SOLLECITAZ NASCOSTO'!$P$8,IF(C439&lt;='SOLLECITAZ NASCOSTO'!$P$7,IF(C439&lt;='SOLLECITAZ NASCOSTO'!$P$6,IF(C439&lt;='SOLLECITAZ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23.733895351475109</v>
      </c>
      <c r="O440" s="42">
        <f>IF(C440&lt;='SOLLECITAZ NASCOSTO'!$P$12,IF(C440&lt;='SOLLECITAZ NASCOSTO'!$P$11,IF(C440&lt;='SOLLECITAZ NASCOSTO'!$P$10,IF(C440&lt;='SOLLECITAZ NASCOSTO'!$P$9,IF(C440&lt;='SOLLECITAZ NASCOSTO'!$P$8,IF(C440&lt;='SOLLECITAZ NASCOSTO'!$P$7,IF(C440&lt;='SOLLECITAZ NASCOSTO'!$P$6,IF(C440&lt;='SOLLECITAZ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slu'!$G$111),55555)*(C440-C439)/IF(C440&lt;='SOLLECITAZ NASCOSTO'!$P$12,IF(C440&lt;='SOLLECITAZ NASCOSTO'!$P$11,IF(C440&lt;='SOLLECITAZ NASCOSTO'!$P$10,IF(C440&lt;='SOLLECITAZ NASCOSTO'!$P$9,IF(C440&lt;='SOLLECITAZ NASCOSTO'!$P$8,IF(C440&lt;='SOLLECITAZ NASCOSTO'!$P$7,IF(C440&lt;='SOLLECITAZ NASCOSTO'!$P$6,IF(C440&lt;='SOLLECITAZ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40" s="42">
        <f t="shared" si="136"/>
        <v>4.0700000000000339E-4</v>
      </c>
      <c r="Q440" s="42">
        <f t="shared" si="134"/>
        <v>1</v>
      </c>
      <c r="R440" s="441">
        <f t="shared" si="127"/>
        <v>2.7951923076923078</v>
      </c>
      <c r="S440" s="46">
        <f t="shared" si="135"/>
        <v>2.7951923076923078</v>
      </c>
      <c r="T440" s="211">
        <f t="shared" si="130"/>
        <v>0.55480769230769234</v>
      </c>
      <c r="U440" s="46">
        <f t="shared" si="132"/>
        <v>39.029423637261772</v>
      </c>
      <c r="V440" s="46">
        <f t="shared" si="133"/>
        <v>-41.761346544653399</v>
      </c>
      <c r="W440" s="496"/>
      <c r="X440" s="484"/>
      <c r="Y440" s="428"/>
    </row>
    <row r="441" spans="1:25" ht="15" customHeight="1" x14ac:dyDescent="0.25">
      <c r="A441" s="589">
        <f t="shared" si="128"/>
        <v>9.8317307690165556E-6</v>
      </c>
      <c r="B441" s="32">
        <f t="shared" si="110"/>
        <v>409</v>
      </c>
      <c r="C441" s="441">
        <f>'SOLLECITAZ NASCOSTO'!$D$6/'SOLLECITAZ NASCOSTO'!$B$448*'SOLLECITAZ NASCOSTO'!B441</f>
        <v>2.8020432692307691</v>
      </c>
      <c r="D441" s="441">
        <f t="shared" si="129"/>
        <v>0.30000983173076901</v>
      </c>
      <c r="E441" s="441">
        <f t="shared" si="123"/>
        <v>9.8317307690165556E-6</v>
      </c>
      <c r="F441" s="441">
        <f t="shared" si="124"/>
        <v>0.30000983173076901</v>
      </c>
      <c r="G441" s="441">
        <f t="shared" si="125"/>
        <v>4.5002949567562171E-2</v>
      </c>
      <c r="H441" s="441">
        <f t="shared" si="137"/>
        <v>0</v>
      </c>
      <c r="I441" s="441">
        <v>0</v>
      </c>
      <c r="J441" s="131">
        <f t="shared" si="138"/>
        <v>0.15000491586538453</v>
      </c>
      <c r="K441" s="130">
        <f t="shared" si="126"/>
        <v>2.2502212211921021E-3</v>
      </c>
      <c r="L441" s="42">
        <f t="shared" si="139"/>
        <v>39.192518269444214</v>
      </c>
      <c r="M441" s="42">
        <f t="shared" si="131"/>
        <v>-42.029294302386695</v>
      </c>
      <c r="N441" s="42">
        <f>(IF(C440&lt;='SOLLECITAZ NASCOSTO'!$P$12,IF(C440&lt;='SOLLECITAZ NASCOSTO'!$P$11,IF(C440&lt;='SOLLECITAZ NASCOSTO'!$P$10,IF(C440&lt;='SOLLECITAZ NASCOSTO'!$P$9,IF(C440&lt;='SOLLECITAZ NASCOSTO'!$P$8,IF(C440&lt;='SOLLECITAZ NASCOSTO'!$P$7,IF(C440&lt;='SOLLECITAZ NASCOSTO'!$P$6,IF(C440&lt;='SOLLECITAZ NASCOSTO'!$P$5,'Progetto del paramento slu'!$G$105,'Progetto del paramento slu'!$G$106),'Progetto del paramento slu'!$G$107),'Progetto del paramento slu'!$G$108),'Progetto del paramento slu'!$G$109),'Progetto del paramento slu'!$G$110),'Progetto del paramento slu'!$G$111),'Progetto del paramento slu'!$G$112),55555)-IF(C440&lt;='SOLLECITAZ NASCOSTO'!$P$12,IF(C440&lt;='SOLLECITAZ NASCOSTO'!$P$11,IF(C440&lt;='SOLLECITAZ NASCOSTO'!$P$10,IF(C440&lt;='SOLLECITAZ NASCOSTO'!$P$9,IF(C440&lt;='SOLLECITAZ NASCOSTO'!$P$8,IF(C440&lt;='SOLLECITAZ NASCOSTO'!$P$7,IF(C440&lt;='SOLLECITAZ NASCOSTO'!$P$6,IF(C440&lt;='SOLLECITAZ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slu'!$G$112))*(C440-IF(C440&lt;='SOLLECITAZ NASCOSTO'!$P$12,IF(C440&lt;='SOLLECITAZ NASCOSTO'!$P$11,IF(C440&lt;='SOLLECITAZ NASCOSTO'!$P$10,IF(C440&lt;='SOLLECITAZ NASCOSTO'!$P$9,IF(C440&lt;='SOLLECITAZ NASCOSTO'!$P$8,IF(C440&lt;='SOLLECITAZ NASCOSTO'!$P$7,IF(C440&lt;='SOLLECITAZ NASCOSTO'!$P$6,IF(C440&lt;='SOLLECITAZ NASCOSTO'!$P$5,'SOLLECITAZ NASCOSTO'!$P$3,'SOLLECITAZ NASCOSTO'!$P$5),'SOLLECITAZ NASCOSTO'!$P$5),'SOLLECITAZ NASCOSTO'!$P$7),'SOLLECITAZ NASCOSTO'!$P$8),'SOLLECITAZ NASCOSTO'!$P$9),'SOLLECITAZ NASCOSTO'!$P$10),'SOLLECITAZ NASCOSTO'!$P$11),'SOLLECITAZ NASCOSTO'!$P$12))/IF(C440&lt;='SOLLECITAZ NASCOSTO'!$P$12,IF(C440&lt;='SOLLECITAZ NASCOSTO'!$P$11,IF(C440&lt;='SOLLECITAZ NASCOSTO'!$P$10,IF(C440&lt;='SOLLECITAZ NASCOSTO'!$P$9,IF(C440&lt;='SOLLECITAZ NASCOSTO'!$P$8,IF(C440&lt;='SOLLECITAZ NASCOSTO'!$P$7,IF(C440&lt;='SOLLECITAZ NASCOSTO'!$P$6,IF(C440&lt;='SOLLECITAZ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slu'!$C$112)+IF(C440&lt;='SOLLECITAZ NASCOSTO'!$P$12,IF(C440&lt;='SOLLECITAZ NASCOSTO'!$P$11,IF(C440&lt;='SOLLECITAZ NASCOSTO'!$P$10,IF(C440&lt;='SOLLECITAZ NASCOSTO'!$P$9,IF(C440&lt;='SOLLECITAZ NASCOSTO'!$P$8,IF(C440&lt;='SOLLECITAZ NASCOSTO'!$P$7,IF(C440&lt;='SOLLECITAZ NASCOSTO'!$P$6,IF(C440&lt;='SOLLECITAZ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23.782027570467463</v>
      </c>
      <c r="O441" s="42">
        <f>IF(C441&lt;='SOLLECITAZ NASCOSTO'!$P$12,IF(C441&lt;='SOLLECITAZ NASCOSTO'!$P$11,IF(C441&lt;='SOLLECITAZ NASCOSTO'!$P$10,IF(C441&lt;='SOLLECITAZ NASCOSTO'!$P$9,IF(C441&lt;='SOLLECITAZ NASCOSTO'!$P$8,IF(C441&lt;='SOLLECITAZ NASCOSTO'!$P$7,IF(C441&lt;='SOLLECITAZ NASCOSTO'!$P$6,IF(C441&lt;='SOLLECITAZ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slu'!$G$111),55555)*(C441-C440)/IF(C441&lt;='SOLLECITAZ NASCOSTO'!$P$12,IF(C441&lt;='SOLLECITAZ NASCOSTO'!$P$11,IF(C441&lt;='SOLLECITAZ NASCOSTO'!$P$10,IF(C441&lt;='SOLLECITAZ NASCOSTO'!$P$9,IF(C441&lt;='SOLLECITAZ NASCOSTO'!$P$8,IF(C441&lt;='SOLLECITAZ NASCOSTO'!$P$7,IF(C441&lt;='SOLLECITAZ NASCOSTO'!$P$6,IF(C441&lt;='SOLLECITAZ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41" s="42">
        <f t="shared" si="136"/>
        <v>4.0800000000000341E-4</v>
      </c>
      <c r="Q441" s="42">
        <f t="shared" si="134"/>
        <v>1</v>
      </c>
      <c r="R441" s="441">
        <f t="shared" si="127"/>
        <v>2.8020432692307691</v>
      </c>
      <c r="S441" s="46">
        <f t="shared" si="135"/>
        <v>2.8020432692307691</v>
      </c>
      <c r="T441" s="211">
        <f t="shared" si="130"/>
        <v>0.54795673076923102</v>
      </c>
      <c r="U441" s="46">
        <f t="shared" si="132"/>
        <v>39.192518269444214</v>
      </c>
      <c r="V441" s="46">
        <f t="shared" si="133"/>
        <v>-42.029294302386695</v>
      </c>
      <c r="W441" s="496"/>
    </row>
    <row r="442" spans="1:25" ht="15" customHeight="1" x14ac:dyDescent="0.25">
      <c r="A442" s="589">
        <f t="shared" si="128"/>
        <v>9.8557692305711875E-6</v>
      </c>
      <c r="B442" s="32">
        <f t="shared" si="110"/>
        <v>410</v>
      </c>
      <c r="C442" s="441">
        <f>'SOLLECITAZ NASCOSTO'!$D$6/'SOLLECITAZ NASCOSTO'!$B$448*'SOLLECITAZ NASCOSTO'!B442</f>
        <v>2.8088942307692308</v>
      </c>
      <c r="D442" s="441">
        <f t="shared" si="129"/>
        <v>0.30000985576923056</v>
      </c>
      <c r="E442" s="441">
        <f t="shared" si="123"/>
        <v>9.8557692305711875E-6</v>
      </c>
      <c r="F442" s="441">
        <f t="shared" si="124"/>
        <v>0.30000985576923056</v>
      </c>
      <c r="G442" s="441">
        <f t="shared" si="125"/>
        <v>4.5002956779337265E-2</v>
      </c>
      <c r="H442" s="441">
        <f t="shared" si="137"/>
        <v>0</v>
      </c>
      <c r="I442" s="441">
        <v>0</v>
      </c>
      <c r="J442" s="131">
        <f t="shared" si="138"/>
        <v>0.15000492788461528</v>
      </c>
      <c r="K442" s="130">
        <f t="shared" si="126"/>
        <v>2.2502217620929818E-3</v>
      </c>
      <c r="L442" s="42">
        <f t="shared" si="139"/>
        <v>39.355942653607741</v>
      </c>
      <c r="M442" s="42">
        <f t="shared" si="131"/>
        <v>-42.298360544731295</v>
      </c>
      <c r="N442" s="42">
        <f>(IF(C441&lt;='SOLLECITAZ NASCOSTO'!$P$12,IF(C441&lt;='SOLLECITAZ NASCOSTO'!$P$11,IF(C441&lt;='SOLLECITAZ NASCOSTO'!$P$10,IF(C441&lt;='SOLLECITAZ NASCOSTO'!$P$9,IF(C441&lt;='SOLLECITAZ NASCOSTO'!$P$8,IF(C441&lt;='SOLLECITAZ NASCOSTO'!$P$7,IF(C441&lt;='SOLLECITAZ NASCOSTO'!$P$6,IF(C441&lt;='SOLLECITAZ NASCOSTO'!$P$5,'Progetto del paramento slu'!$G$105,'Progetto del paramento slu'!$G$106),'Progetto del paramento slu'!$G$107),'Progetto del paramento slu'!$G$108),'Progetto del paramento slu'!$G$109),'Progetto del paramento slu'!$G$110),'Progetto del paramento slu'!$G$111),'Progetto del paramento slu'!$G$112),55555)-IF(C441&lt;='SOLLECITAZ NASCOSTO'!$P$12,IF(C441&lt;='SOLLECITAZ NASCOSTO'!$P$11,IF(C441&lt;='SOLLECITAZ NASCOSTO'!$P$10,IF(C441&lt;='SOLLECITAZ NASCOSTO'!$P$9,IF(C441&lt;='SOLLECITAZ NASCOSTO'!$P$8,IF(C441&lt;='SOLLECITAZ NASCOSTO'!$P$7,IF(C441&lt;='SOLLECITAZ NASCOSTO'!$P$6,IF(C441&lt;='SOLLECITAZ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slu'!$G$112))*(C441-IF(C441&lt;='SOLLECITAZ NASCOSTO'!$P$12,IF(C441&lt;='SOLLECITAZ NASCOSTO'!$P$11,IF(C441&lt;='SOLLECITAZ NASCOSTO'!$P$10,IF(C441&lt;='SOLLECITAZ NASCOSTO'!$P$9,IF(C441&lt;='SOLLECITAZ NASCOSTO'!$P$8,IF(C441&lt;='SOLLECITAZ NASCOSTO'!$P$7,IF(C441&lt;='SOLLECITAZ NASCOSTO'!$P$6,IF(C441&lt;='SOLLECITAZ NASCOSTO'!$P$5,'SOLLECITAZ NASCOSTO'!$P$3,'SOLLECITAZ NASCOSTO'!$P$5),'SOLLECITAZ NASCOSTO'!$P$5),'SOLLECITAZ NASCOSTO'!$P$7),'SOLLECITAZ NASCOSTO'!$P$8),'SOLLECITAZ NASCOSTO'!$P$9),'SOLLECITAZ NASCOSTO'!$P$10),'SOLLECITAZ NASCOSTO'!$P$11),'SOLLECITAZ NASCOSTO'!$P$12))/IF(C441&lt;='SOLLECITAZ NASCOSTO'!$P$12,IF(C441&lt;='SOLLECITAZ NASCOSTO'!$P$11,IF(C441&lt;='SOLLECITAZ NASCOSTO'!$P$10,IF(C441&lt;='SOLLECITAZ NASCOSTO'!$P$9,IF(C441&lt;='SOLLECITAZ NASCOSTO'!$P$8,IF(C441&lt;='SOLLECITAZ NASCOSTO'!$P$7,IF(C441&lt;='SOLLECITAZ NASCOSTO'!$P$6,IF(C441&lt;='SOLLECITAZ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slu'!$C$112)+IF(C441&lt;='SOLLECITAZ NASCOSTO'!$P$12,IF(C441&lt;='SOLLECITAZ NASCOSTO'!$P$11,IF(C441&lt;='SOLLECITAZ NASCOSTO'!$P$10,IF(C441&lt;='SOLLECITAZ NASCOSTO'!$P$9,IF(C441&lt;='SOLLECITAZ NASCOSTO'!$P$8,IF(C441&lt;='SOLLECITAZ NASCOSTO'!$P$7,IF(C441&lt;='SOLLECITAZ NASCOSTO'!$P$6,IF(C441&lt;='SOLLECITAZ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23.830159789459813</v>
      </c>
      <c r="O442" s="42">
        <f>IF(C442&lt;='SOLLECITAZ NASCOSTO'!$P$12,IF(C442&lt;='SOLLECITAZ NASCOSTO'!$P$11,IF(C442&lt;='SOLLECITAZ NASCOSTO'!$P$10,IF(C442&lt;='SOLLECITAZ NASCOSTO'!$P$9,IF(C442&lt;='SOLLECITAZ NASCOSTO'!$P$8,IF(C442&lt;='SOLLECITAZ NASCOSTO'!$P$7,IF(C442&lt;='SOLLECITAZ NASCOSTO'!$P$6,IF(C442&lt;='SOLLECITAZ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slu'!$G$111),55555)*(C442-C441)/IF(C442&lt;='SOLLECITAZ NASCOSTO'!$P$12,IF(C442&lt;='SOLLECITAZ NASCOSTO'!$P$11,IF(C442&lt;='SOLLECITAZ NASCOSTO'!$P$10,IF(C442&lt;='SOLLECITAZ NASCOSTO'!$P$9,IF(C442&lt;='SOLLECITAZ NASCOSTO'!$P$8,IF(C442&lt;='SOLLECITAZ NASCOSTO'!$P$7,IF(C442&lt;='SOLLECITAZ NASCOSTO'!$P$6,IF(C442&lt;='SOLLECITAZ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42" s="42">
        <f t="shared" si="136"/>
        <v>4.0900000000000344E-4</v>
      </c>
      <c r="Q442" s="42">
        <f t="shared" si="134"/>
        <v>1</v>
      </c>
      <c r="R442" s="441">
        <f t="shared" si="127"/>
        <v>2.8088942307692308</v>
      </c>
      <c r="S442" s="46">
        <f t="shared" si="135"/>
        <v>2.8088942307692308</v>
      </c>
      <c r="T442" s="211">
        <f t="shared" si="130"/>
        <v>0.54110576923076925</v>
      </c>
      <c r="U442" s="46">
        <f t="shared" si="132"/>
        <v>39.355942653607741</v>
      </c>
      <c r="V442" s="46">
        <f t="shared" si="133"/>
        <v>-42.298360544731295</v>
      </c>
      <c r="W442" s="496"/>
    </row>
    <row r="443" spans="1:25" ht="15" customHeight="1" x14ac:dyDescent="0.25">
      <c r="A443" s="589">
        <f t="shared" si="128"/>
        <v>9.8798076920703082E-6</v>
      </c>
      <c r="B443" s="32">
        <f t="shared" si="110"/>
        <v>411</v>
      </c>
      <c r="C443" s="441">
        <f>'SOLLECITAZ NASCOSTO'!$D$6/'SOLLECITAZ NASCOSTO'!$B$448*'SOLLECITAZ NASCOSTO'!B443</f>
        <v>2.8157451923076922</v>
      </c>
      <c r="D443" s="441">
        <f t="shared" si="129"/>
        <v>0.30000987980769206</v>
      </c>
      <c r="E443" s="441">
        <f t="shared" si="123"/>
        <v>9.8798076920703082E-6</v>
      </c>
      <c r="F443" s="441">
        <f t="shared" si="124"/>
        <v>0.30000987980769206</v>
      </c>
      <c r="G443" s="441">
        <f t="shared" si="125"/>
        <v>4.5002963991112921E-2</v>
      </c>
      <c r="H443" s="441">
        <f t="shared" si="137"/>
        <v>0</v>
      </c>
      <c r="I443" s="441">
        <v>0</v>
      </c>
      <c r="J443" s="131">
        <f t="shared" si="138"/>
        <v>0.15000493990384603</v>
      </c>
      <c r="K443" s="130">
        <f t="shared" si="126"/>
        <v>2.2502223029939468E-3</v>
      </c>
      <c r="L443" s="42">
        <f t="shared" si="139"/>
        <v>39.519696789752338</v>
      </c>
      <c r="M443" s="42">
        <f t="shared" si="131"/>
        <v>-42.568547530805297</v>
      </c>
      <c r="N443" s="42">
        <f>(IF(C442&lt;='SOLLECITAZ NASCOSTO'!$P$12,IF(C442&lt;='SOLLECITAZ NASCOSTO'!$P$11,IF(C442&lt;='SOLLECITAZ NASCOSTO'!$P$10,IF(C442&lt;='SOLLECITAZ NASCOSTO'!$P$9,IF(C442&lt;='SOLLECITAZ NASCOSTO'!$P$8,IF(C442&lt;='SOLLECITAZ NASCOSTO'!$P$7,IF(C442&lt;='SOLLECITAZ NASCOSTO'!$P$6,IF(C442&lt;='SOLLECITAZ NASCOSTO'!$P$5,'Progetto del paramento slu'!$G$105,'Progetto del paramento slu'!$G$106),'Progetto del paramento slu'!$G$107),'Progetto del paramento slu'!$G$108),'Progetto del paramento slu'!$G$109),'Progetto del paramento slu'!$G$110),'Progetto del paramento slu'!$G$111),'Progetto del paramento slu'!$G$112),55555)-IF(C442&lt;='SOLLECITAZ NASCOSTO'!$P$12,IF(C442&lt;='SOLLECITAZ NASCOSTO'!$P$11,IF(C442&lt;='SOLLECITAZ NASCOSTO'!$P$10,IF(C442&lt;='SOLLECITAZ NASCOSTO'!$P$9,IF(C442&lt;='SOLLECITAZ NASCOSTO'!$P$8,IF(C442&lt;='SOLLECITAZ NASCOSTO'!$P$7,IF(C442&lt;='SOLLECITAZ NASCOSTO'!$P$6,IF(C442&lt;='SOLLECITAZ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slu'!$G$112))*(C442-IF(C442&lt;='SOLLECITAZ NASCOSTO'!$P$12,IF(C442&lt;='SOLLECITAZ NASCOSTO'!$P$11,IF(C442&lt;='SOLLECITAZ NASCOSTO'!$P$10,IF(C442&lt;='SOLLECITAZ NASCOSTO'!$P$9,IF(C442&lt;='SOLLECITAZ NASCOSTO'!$P$8,IF(C442&lt;='SOLLECITAZ NASCOSTO'!$P$7,IF(C442&lt;='SOLLECITAZ NASCOSTO'!$P$6,IF(C442&lt;='SOLLECITAZ NASCOSTO'!$P$5,'SOLLECITAZ NASCOSTO'!$P$3,'SOLLECITAZ NASCOSTO'!$P$5),'SOLLECITAZ NASCOSTO'!$P$5),'SOLLECITAZ NASCOSTO'!$P$7),'SOLLECITAZ NASCOSTO'!$P$8),'SOLLECITAZ NASCOSTO'!$P$9),'SOLLECITAZ NASCOSTO'!$P$10),'SOLLECITAZ NASCOSTO'!$P$11),'SOLLECITAZ NASCOSTO'!$P$12))/IF(C442&lt;='SOLLECITAZ NASCOSTO'!$P$12,IF(C442&lt;='SOLLECITAZ NASCOSTO'!$P$11,IF(C442&lt;='SOLLECITAZ NASCOSTO'!$P$10,IF(C442&lt;='SOLLECITAZ NASCOSTO'!$P$9,IF(C442&lt;='SOLLECITAZ NASCOSTO'!$P$8,IF(C442&lt;='SOLLECITAZ NASCOSTO'!$P$7,IF(C442&lt;='SOLLECITAZ NASCOSTO'!$P$6,IF(C442&lt;='SOLLECITAZ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slu'!$C$112)+IF(C442&lt;='SOLLECITAZ NASCOSTO'!$P$12,IF(C442&lt;='SOLLECITAZ NASCOSTO'!$P$11,IF(C442&lt;='SOLLECITAZ NASCOSTO'!$P$10,IF(C442&lt;='SOLLECITAZ NASCOSTO'!$P$9,IF(C442&lt;='SOLLECITAZ NASCOSTO'!$P$8,IF(C442&lt;='SOLLECITAZ NASCOSTO'!$P$7,IF(C442&lt;='SOLLECITAZ NASCOSTO'!$P$6,IF(C442&lt;='SOLLECITAZ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23.878292008452167</v>
      </c>
      <c r="O443" s="42">
        <f>IF(C443&lt;='SOLLECITAZ NASCOSTO'!$P$12,IF(C443&lt;='SOLLECITAZ NASCOSTO'!$P$11,IF(C443&lt;='SOLLECITAZ NASCOSTO'!$P$10,IF(C443&lt;='SOLLECITAZ NASCOSTO'!$P$9,IF(C443&lt;='SOLLECITAZ NASCOSTO'!$P$8,IF(C443&lt;='SOLLECITAZ NASCOSTO'!$P$7,IF(C443&lt;='SOLLECITAZ NASCOSTO'!$P$6,IF(C443&lt;='SOLLECITAZ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slu'!$G$111),55555)*(C443-C442)/IF(C443&lt;='SOLLECITAZ NASCOSTO'!$P$12,IF(C443&lt;='SOLLECITAZ NASCOSTO'!$P$11,IF(C443&lt;='SOLLECITAZ NASCOSTO'!$P$10,IF(C443&lt;='SOLLECITAZ NASCOSTO'!$P$9,IF(C443&lt;='SOLLECITAZ NASCOSTO'!$P$8,IF(C443&lt;='SOLLECITAZ NASCOSTO'!$P$7,IF(C443&lt;='SOLLECITAZ NASCOSTO'!$P$6,IF(C443&lt;='SOLLECITAZ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43" s="42">
        <f t="shared" si="136"/>
        <v>4.1000000000000346E-4</v>
      </c>
      <c r="Q443" s="42">
        <f t="shared" si="134"/>
        <v>1</v>
      </c>
      <c r="R443" s="441">
        <f t="shared" si="127"/>
        <v>2.8157451923076922</v>
      </c>
      <c r="S443" s="46">
        <f t="shared" si="135"/>
        <v>2.8157451923076922</v>
      </c>
      <c r="T443" s="211">
        <f t="shared" si="130"/>
        <v>0.53425480769230793</v>
      </c>
      <c r="U443" s="46">
        <f t="shared" si="132"/>
        <v>39.519696789752338</v>
      </c>
      <c r="V443" s="46">
        <f t="shared" si="133"/>
        <v>-42.568547530805297</v>
      </c>
      <c r="W443" s="496"/>
    </row>
    <row r="444" spans="1:25" ht="15" customHeight="1" x14ac:dyDescent="0.25">
      <c r="A444" s="589">
        <f t="shared" si="128"/>
        <v>9.90384615362494E-6</v>
      </c>
      <c r="B444" s="32">
        <f t="shared" si="110"/>
        <v>412</v>
      </c>
      <c r="C444" s="441">
        <f>'SOLLECITAZ NASCOSTO'!$D$6/'SOLLECITAZ NASCOSTO'!$B$448*'SOLLECITAZ NASCOSTO'!B444</f>
        <v>2.8225961538461539</v>
      </c>
      <c r="D444" s="441">
        <f t="shared" si="129"/>
        <v>0.30000990384615361</v>
      </c>
      <c r="E444" s="441">
        <f t="shared" si="123"/>
        <v>9.90384615362494E-6</v>
      </c>
      <c r="F444" s="441">
        <f t="shared" si="124"/>
        <v>0.30000990384615361</v>
      </c>
      <c r="G444" s="441">
        <f t="shared" si="125"/>
        <v>4.5002971202889173E-2</v>
      </c>
      <c r="H444" s="441">
        <f t="shared" si="137"/>
        <v>0</v>
      </c>
      <c r="I444" s="441">
        <v>0</v>
      </c>
      <c r="J444" s="131">
        <f t="shared" si="138"/>
        <v>0.15000495192307683</v>
      </c>
      <c r="K444" s="130">
        <f t="shared" si="126"/>
        <v>2.2502228438950004E-3</v>
      </c>
      <c r="L444" s="42">
        <f t="shared" si="139"/>
        <v>39.683780677878019</v>
      </c>
      <c r="M444" s="42">
        <f t="shared" si="131"/>
        <v>-42.839857519726877</v>
      </c>
      <c r="N444" s="42">
        <f>(IF(C443&lt;='SOLLECITAZ NASCOSTO'!$P$12,IF(C443&lt;='SOLLECITAZ NASCOSTO'!$P$11,IF(C443&lt;='SOLLECITAZ NASCOSTO'!$P$10,IF(C443&lt;='SOLLECITAZ NASCOSTO'!$P$9,IF(C443&lt;='SOLLECITAZ NASCOSTO'!$P$8,IF(C443&lt;='SOLLECITAZ NASCOSTO'!$P$7,IF(C443&lt;='SOLLECITAZ NASCOSTO'!$P$6,IF(C443&lt;='SOLLECITAZ NASCOSTO'!$P$5,'Progetto del paramento slu'!$G$105,'Progetto del paramento slu'!$G$106),'Progetto del paramento slu'!$G$107),'Progetto del paramento slu'!$G$108),'Progetto del paramento slu'!$G$109),'Progetto del paramento slu'!$G$110),'Progetto del paramento slu'!$G$111),'Progetto del paramento slu'!$G$112),55555)-IF(C443&lt;='SOLLECITAZ NASCOSTO'!$P$12,IF(C443&lt;='SOLLECITAZ NASCOSTO'!$P$11,IF(C443&lt;='SOLLECITAZ NASCOSTO'!$P$10,IF(C443&lt;='SOLLECITAZ NASCOSTO'!$P$9,IF(C443&lt;='SOLLECITAZ NASCOSTO'!$P$8,IF(C443&lt;='SOLLECITAZ NASCOSTO'!$P$7,IF(C443&lt;='SOLLECITAZ NASCOSTO'!$P$6,IF(C443&lt;='SOLLECITAZ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slu'!$G$112))*(C443-IF(C443&lt;='SOLLECITAZ NASCOSTO'!$P$12,IF(C443&lt;='SOLLECITAZ NASCOSTO'!$P$11,IF(C443&lt;='SOLLECITAZ NASCOSTO'!$P$10,IF(C443&lt;='SOLLECITAZ NASCOSTO'!$P$9,IF(C443&lt;='SOLLECITAZ NASCOSTO'!$P$8,IF(C443&lt;='SOLLECITAZ NASCOSTO'!$P$7,IF(C443&lt;='SOLLECITAZ NASCOSTO'!$P$6,IF(C443&lt;='SOLLECITAZ NASCOSTO'!$P$5,'SOLLECITAZ NASCOSTO'!$P$3,'SOLLECITAZ NASCOSTO'!$P$5),'SOLLECITAZ NASCOSTO'!$P$5),'SOLLECITAZ NASCOSTO'!$P$7),'SOLLECITAZ NASCOSTO'!$P$8),'SOLLECITAZ NASCOSTO'!$P$9),'SOLLECITAZ NASCOSTO'!$P$10),'SOLLECITAZ NASCOSTO'!$P$11),'SOLLECITAZ NASCOSTO'!$P$12))/IF(C443&lt;='SOLLECITAZ NASCOSTO'!$P$12,IF(C443&lt;='SOLLECITAZ NASCOSTO'!$P$11,IF(C443&lt;='SOLLECITAZ NASCOSTO'!$P$10,IF(C443&lt;='SOLLECITAZ NASCOSTO'!$P$9,IF(C443&lt;='SOLLECITAZ NASCOSTO'!$P$8,IF(C443&lt;='SOLLECITAZ NASCOSTO'!$P$7,IF(C443&lt;='SOLLECITAZ NASCOSTO'!$P$6,IF(C443&lt;='SOLLECITAZ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slu'!$C$112)+IF(C443&lt;='SOLLECITAZ NASCOSTO'!$P$12,IF(C443&lt;='SOLLECITAZ NASCOSTO'!$P$11,IF(C443&lt;='SOLLECITAZ NASCOSTO'!$P$10,IF(C443&lt;='SOLLECITAZ NASCOSTO'!$P$9,IF(C443&lt;='SOLLECITAZ NASCOSTO'!$P$8,IF(C443&lt;='SOLLECITAZ NASCOSTO'!$P$7,IF(C443&lt;='SOLLECITAZ NASCOSTO'!$P$6,IF(C443&lt;='SOLLECITAZ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23.926424227444517</v>
      </c>
      <c r="O444" s="42">
        <f>IF(C444&lt;='SOLLECITAZ NASCOSTO'!$P$12,IF(C444&lt;='SOLLECITAZ NASCOSTO'!$P$11,IF(C444&lt;='SOLLECITAZ NASCOSTO'!$P$10,IF(C444&lt;='SOLLECITAZ NASCOSTO'!$P$9,IF(C444&lt;='SOLLECITAZ NASCOSTO'!$P$8,IF(C444&lt;='SOLLECITAZ NASCOSTO'!$P$7,IF(C444&lt;='SOLLECITAZ NASCOSTO'!$P$6,IF(C444&lt;='SOLLECITAZ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slu'!$G$111),55555)*(C444-C443)/IF(C444&lt;='SOLLECITAZ NASCOSTO'!$P$12,IF(C444&lt;='SOLLECITAZ NASCOSTO'!$P$11,IF(C444&lt;='SOLLECITAZ NASCOSTO'!$P$10,IF(C444&lt;='SOLLECITAZ NASCOSTO'!$P$9,IF(C444&lt;='SOLLECITAZ NASCOSTO'!$P$8,IF(C444&lt;='SOLLECITAZ NASCOSTO'!$P$7,IF(C444&lt;='SOLLECITAZ NASCOSTO'!$P$6,IF(C444&lt;='SOLLECITAZ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44" s="42">
        <f t="shared" si="136"/>
        <v>4.1100000000000348E-4</v>
      </c>
      <c r="Q444" s="42">
        <f t="shared" si="134"/>
        <v>1</v>
      </c>
      <c r="R444" s="441">
        <f t="shared" si="127"/>
        <v>2.8225961538461539</v>
      </c>
      <c r="S444" s="46">
        <f t="shared" si="135"/>
        <v>2.8225961538461539</v>
      </c>
      <c r="T444" s="211">
        <f t="shared" si="130"/>
        <v>0.52740384615384617</v>
      </c>
      <c r="U444" s="46">
        <f t="shared" si="132"/>
        <v>39.683780677878019</v>
      </c>
      <c r="V444" s="46">
        <f t="shared" si="133"/>
        <v>-42.839857519726877</v>
      </c>
      <c r="W444" s="496"/>
    </row>
    <row r="445" spans="1:25" ht="15" customHeight="1" x14ac:dyDescent="0.25">
      <c r="A445" s="589">
        <f t="shared" si="128"/>
        <v>9.9278846151795719E-6</v>
      </c>
      <c r="B445" s="32">
        <f t="shared" si="110"/>
        <v>413</v>
      </c>
      <c r="C445" s="441">
        <f>'SOLLECITAZ NASCOSTO'!$D$6/'SOLLECITAZ NASCOSTO'!$B$448*'SOLLECITAZ NASCOSTO'!B445</f>
        <v>2.8294471153846152</v>
      </c>
      <c r="D445" s="441">
        <f t="shared" si="129"/>
        <v>0.30000992788461517</v>
      </c>
      <c r="E445" s="441">
        <f t="shared" si="123"/>
        <v>9.9278846151795719E-6</v>
      </c>
      <c r="F445" s="441">
        <f t="shared" si="124"/>
        <v>0.30000992788461517</v>
      </c>
      <c r="G445" s="441">
        <f t="shared" si="125"/>
        <v>4.5002978414666002E-2</v>
      </c>
      <c r="H445" s="441">
        <f t="shared" si="137"/>
        <v>0</v>
      </c>
      <c r="I445" s="441">
        <v>0</v>
      </c>
      <c r="J445" s="131">
        <f t="shared" si="138"/>
        <v>0.15000496394230761</v>
      </c>
      <c r="K445" s="130">
        <f t="shared" si="126"/>
        <v>2.2502233847961402E-3</v>
      </c>
      <c r="L445" s="42">
        <f t="shared" si="139"/>
        <v>39.84819431798477</v>
      </c>
      <c r="M445" s="42">
        <f t="shared" si="131"/>
        <v>-43.11229277061414</v>
      </c>
      <c r="N445" s="42">
        <f>(IF(C444&lt;='SOLLECITAZ NASCOSTO'!$P$12,IF(C444&lt;='SOLLECITAZ NASCOSTO'!$P$11,IF(C444&lt;='SOLLECITAZ NASCOSTO'!$P$10,IF(C444&lt;='SOLLECITAZ NASCOSTO'!$P$9,IF(C444&lt;='SOLLECITAZ NASCOSTO'!$P$8,IF(C444&lt;='SOLLECITAZ NASCOSTO'!$P$7,IF(C444&lt;='SOLLECITAZ NASCOSTO'!$P$6,IF(C444&lt;='SOLLECITAZ NASCOSTO'!$P$5,'Progetto del paramento slu'!$G$105,'Progetto del paramento slu'!$G$106),'Progetto del paramento slu'!$G$107),'Progetto del paramento slu'!$G$108),'Progetto del paramento slu'!$G$109),'Progetto del paramento slu'!$G$110),'Progetto del paramento slu'!$G$111),'Progetto del paramento slu'!$G$112),55555)-IF(C444&lt;='SOLLECITAZ NASCOSTO'!$P$12,IF(C444&lt;='SOLLECITAZ NASCOSTO'!$P$11,IF(C444&lt;='SOLLECITAZ NASCOSTO'!$P$10,IF(C444&lt;='SOLLECITAZ NASCOSTO'!$P$9,IF(C444&lt;='SOLLECITAZ NASCOSTO'!$P$8,IF(C444&lt;='SOLLECITAZ NASCOSTO'!$P$7,IF(C444&lt;='SOLLECITAZ NASCOSTO'!$P$6,IF(C444&lt;='SOLLECITAZ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slu'!$G$112))*(C444-IF(C444&lt;='SOLLECITAZ NASCOSTO'!$P$12,IF(C444&lt;='SOLLECITAZ NASCOSTO'!$P$11,IF(C444&lt;='SOLLECITAZ NASCOSTO'!$P$10,IF(C444&lt;='SOLLECITAZ NASCOSTO'!$P$9,IF(C444&lt;='SOLLECITAZ NASCOSTO'!$P$8,IF(C444&lt;='SOLLECITAZ NASCOSTO'!$P$7,IF(C444&lt;='SOLLECITAZ NASCOSTO'!$P$6,IF(C444&lt;='SOLLECITAZ NASCOSTO'!$P$5,'SOLLECITAZ NASCOSTO'!$P$3,'SOLLECITAZ NASCOSTO'!$P$5),'SOLLECITAZ NASCOSTO'!$P$5),'SOLLECITAZ NASCOSTO'!$P$7),'SOLLECITAZ NASCOSTO'!$P$8),'SOLLECITAZ NASCOSTO'!$P$9),'SOLLECITAZ NASCOSTO'!$P$10),'SOLLECITAZ NASCOSTO'!$P$11),'SOLLECITAZ NASCOSTO'!$P$12))/IF(C444&lt;='SOLLECITAZ NASCOSTO'!$P$12,IF(C444&lt;='SOLLECITAZ NASCOSTO'!$P$11,IF(C444&lt;='SOLLECITAZ NASCOSTO'!$P$10,IF(C444&lt;='SOLLECITAZ NASCOSTO'!$P$9,IF(C444&lt;='SOLLECITAZ NASCOSTO'!$P$8,IF(C444&lt;='SOLLECITAZ NASCOSTO'!$P$7,IF(C444&lt;='SOLLECITAZ NASCOSTO'!$P$6,IF(C444&lt;='SOLLECITAZ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slu'!$C$112)+IF(C444&lt;='SOLLECITAZ NASCOSTO'!$P$12,IF(C444&lt;='SOLLECITAZ NASCOSTO'!$P$11,IF(C444&lt;='SOLLECITAZ NASCOSTO'!$P$10,IF(C444&lt;='SOLLECITAZ NASCOSTO'!$P$9,IF(C444&lt;='SOLLECITAZ NASCOSTO'!$P$8,IF(C444&lt;='SOLLECITAZ NASCOSTO'!$P$7,IF(C444&lt;='SOLLECITAZ NASCOSTO'!$P$6,IF(C444&lt;='SOLLECITAZ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23.974556446436871</v>
      </c>
      <c r="O445" s="42">
        <f>IF(C445&lt;='SOLLECITAZ NASCOSTO'!$P$12,IF(C445&lt;='SOLLECITAZ NASCOSTO'!$P$11,IF(C445&lt;='SOLLECITAZ NASCOSTO'!$P$10,IF(C445&lt;='SOLLECITAZ NASCOSTO'!$P$9,IF(C445&lt;='SOLLECITAZ NASCOSTO'!$P$8,IF(C445&lt;='SOLLECITAZ NASCOSTO'!$P$7,IF(C445&lt;='SOLLECITAZ NASCOSTO'!$P$6,IF(C445&lt;='SOLLECITAZ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slu'!$G$111),55555)*(C445-C444)/IF(C445&lt;='SOLLECITAZ NASCOSTO'!$P$12,IF(C445&lt;='SOLLECITAZ NASCOSTO'!$P$11,IF(C445&lt;='SOLLECITAZ NASCOSTO'!$P$10,IF(C445&lt;='SOLLECITAZ NASCOSTO'!$P$9,IF(C445&lt;='SOLLECITAZ NASCOSTO'!$P$8,IF(C445&lt;='SOLLECITAZ NASCOSTO'!$P$7,IF(C445&lt;='SOLLECITAZ NASCOSTO'!$P$6,IF(C445&lt;='SOLLECITAZ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4.8132218992350928E-2</v>
      </c>
      <c r="P445" s="42">
        <f t="shared" si="136"/>
        <v>4.1200000000000351E-4</v>
      </c>
      <c r="Q445" s="42">
        <f t="shared" si="134"/>
        <v>1</v>
      </c>
      <c r="R445" s="441">
        <f t="shared" si="127"/>
        <v>2.8294471153846152</v>
      </c>
      <c r="S445" s="46">
        <f t="shared" si="135"/>
        <v>2.8294471153846152</v>
      </c>
      <c r="T445" s="211">
        <f t="shared" si="130"/>
        <v>0.52055288461538485</v>
      </c>
      <c r="U445" s="46">
        <f t="shared" si="132"/>
        <v>39.84819431798477</v>
      </c>
      <c r="V445" s="46">
        <f t="shared" si="133"/>
        <v>-43.11229277061414</v>
      </c>
      <c r="W445" s="496"/>
    </row>
    <row r="446" spans="1:25" ht="15" customHeight="1" x14ac:dyDescent="0.25">
      <c r="A446" s="589">
        <f t="shared" si="128"/>
        <v>9.9519230766786926E-6</v>
      </c>
      <c r="B446" s="32">
        <f t="shared" si="110"/>
        <v>414</v>
      </c>
      <c r="C446" s="441">
        <f>'SOLLECITAZ NASCOSTO'!$D$6/'SOLLECITAZ NASCOSTO'!$B$448*'SOLLECITAZ NASCOSTO'!B446</f>
        <v>2.836298076923077</v>
      </c>
      <c r="D446" s="441">
        <f t="shared" si="129"/>
        <v>0.30000995192307667</v>
      </c>
      <c r="E446" s="441">
        <f t="shared" si="123"/>
        <v>9.9519230766786926E-6</v>
      </c>
      <c r="F446" s="441">
        <f t="shared" si="124"/>
        <v>0.30000995192307667</v>
      </c>
      <c r="G446" s="441">
        <f t="shared" si="125"/>
        <v>4.5002985626443386E-2</v>
      </c>
      <c r="H446" s="441">
        <f t="shared" si="137"/>
        <v>0</v>
      </c>
      <c r="I446" s="441">
        <v>0</v>
      </c>
      <c r="J446" s="131">
        <f t="shared" si="138"/>
        <v>0.15000497596153833</v>
      </c>
      <c r="K446" s="130">
        <f t="shared" si="126"/>
        <v>2.2502239256973651E-3</v>
      </c>
      <c r="L446" s="42">
        <f t="shared" si="139"/>
        <v>40.012937710072606</v>
      </c>
      <c r="M446" s="42">
        <f t="shared" si="131"/>
        <v>-43.385855542585261</v>
      </c>
      <c r="N446" s="42">
        <f>(IF(C445&lt;='SOLLECITAZ NASCOSTO'!$P$12,IF(C445&lt;='SOLLECITAZ NASCOSTO'!$P$11,IF(C445&lt;='SOLLECITAZ NASCOSTO'!$P$10,IF(C445&lt;='SOLLECITAZ NASCOSTO'!$P$9,IF(C445&lt;='SOLLECITAZ NASCOSTO'!$P$8,IF(C445&lt;='SOLLECITAZ NASCOSTO'!$P$7,IF(C445&lt;='SOLLECITAZ NASCOSTO'!$P$6,IF(C445&lt;='SOLLECITAZ NASCOSTO'!$P$5,'Progetto del paramento slu'!$G$105,'Progetto del paramento slu'!$G$106),'Progetto del paramento slu'!$G$107),'Progetto del paramento slu'!$G$108),'Progetto del paramento slu'!$G$109),'Progetto del paramento slu'!$G$110),'Progetto del paramento slu'!$G$111),'Progetto del paramento slu'!$G$112),55555)-IF(C445&lt;='SOLLECITAZ NASCOSTO'!$P$12,IF(C445&lt;='SOLLECITAZ NASCOSTO'!$P$11,IF(C445&lt;='SOLLECITAZ NASCOSTO'!$P$10,IF(C445&lt;='SOLLECITAZ NASCOSTO'!$P$9,IF(C445&lt;='SOLLECITAZ NASCOSTO'!$P$8,IF(C445&lt;='SOLLECITAZ NASCOSTO'!$P$7,IF(C445&lt;='SOLLECITAZ NASCOSTO'!$P$6,IF(C445&lt;='SOLLECITAZ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slu'!$G$112))*(C445-IF(C445&lt;='SOLLECITAZ NASCOSTO'!$P$12,IF(C445&lt;='SOLLECITAZ NASCOSTO'!$P$11,IF(C445&lt;='SOLLECITAZ NASCOSTO'!$P$10,IF(C445&lt;='SOLLECITAZ NASCOSTO'!$P$9,IF(C445&lt;='SOLLECITAZ NASCOSTO'!$P$8,IF(C445&lt;='SOLLECITAZ NASCOSTO'!$P$7,IF(C445&lt;='SOLLECITAZ NASCOSTO'!$P$6,IF(C445&lt;='SOLLECITAZ NASCOSTO'!$P$5,'SOLLECITAZ NASCOSTO'!$P$3,'SOLLECITAZ NASCOSTO'!$P$5),'SOLLECITAZ NASCOSTO'!$P$5),'SOLLECITAZ NASCOSTO'!$P$7),'SOLLECITAZ NASCOSTO'!$P$8),'SOLLECITAZ NASCOSTO'!$P$9),'SOLLECITAZ NASCOSTO'!$P$10),'SOLLECITAZ NASCOSTO'!$P$11),'SOLLECITAZ NASCOSTO'!$P$12))/IF(C445&lt;='SOLLECITAZ NASCOSTO'!$P$12,IF(C445&lt;='SOLLECITAZ NASCOSTO'!$P$11,IF(C445&lt;='SOLLECITAZ NASCOSTO'!$P$10,IF(C445&lt;='SOLLECITAZ NASCOSTO'!$P$9,IF(C445&lt;='SOLLECITAZ NASCOSTO'!$P$8,IF(C445&lt;='SOLLECITAZ NASCOSTO'!$P$7,IF(C445&lt;='SOLLECITAZ NASCOSTO'!$P$6,IF(C445&lt;='SOLLECITAZ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slu'!$C$112)+IF(C445&lt;='SOLLECITAZ NASCOSTO'!$P$12,IF(C445&lt;='SOLLECITAZ NASCOSTO'!$P$11,IF(C445&lt;='SOLLECITAZ NASCOSTO'!$P$10,IF(C445&lt;='SOLLECITAZ NASCOSTO'!$P$9,IF(C445&lt;='SOLLECITAZ NASCOSTO'!$P$8,IF(C445&lt;='SOLLECITAZ NASCOSTO'!$P$7,IF(C445&lt;='SOLLECITAZ NASCOSTO'!$P$6,IF(C445&lt;='SOLLECITAZ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24.022688665429222</v>
      </c>
      <c r="O446" s="42">
        <f>IF(C446&lt;='SOLLECITAZ NASCOSTO'!$P$12,IF(C446&lt;='SOLLECITAZ NASCOSTO'!$P$11,IF(C446&lt;='SOLLECITAZ NASCOSTO'!$P$10,IF(C446&lt;='SOLLECITAZ NASCOSTO'!$P$9,IF(C446&lt;='SOLLECITAZ NASCOSTO'!$P$8,IF(C446&lt;='SOLLECITAZ NASCOSTO'!$P$7,IF(C446&lt;='SOLLECITAZ NASCOSTO'!$P$6,IF(C446&lt;='SOLLECITAZ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slu'!$G$111),55555)*(C446-C445)/IF(C446&lt;='SOLLECITAZ NASCOSTO'!$P$12,IF(C446&lt;='SOLLECITAZ NASCOSTO'!$P$11,IF(C446&lt;='SOLLECITAZ NASCOSTO'!$P$10,IF(C446&lt;='SOLLECITAZ NASCOSTO'!$P$9,IF(C446&lt;='SOLLECITAZ NASCOSTO'!$P$8,IF(C446&lt;='SOLLECITAZ NASCOSTO'!$P$7,IF(C446&lt;='SOLLECITAZ NASCOSTO'!$P$6,IF(C446&lt;='SOLLECITAZ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4.8132218992354051E-2</v>
      </c>
      <c r="P446" s="42">
        <f t="shared" si="136"/>
        <v>4.1300000000000353E-4</v>
      </c>
      <c r="Q446" s="42">
        <f t="shared" si="134"/>
        <v>1</v>
      </c>
      <c r="R446" s="441">
        <f t="shared" si="127"/>
        <v>2.836298076923077</v>
      </c>
      <c r="S446" s="46">
        <f t="shared" si="135"/>
        <v>2.836298076923077</v>
      </c>
      <c r="T446" s="211">
        <f t="shared" si="130"/>
        <v>0.51370192307692308</v>
      </c>
      <c r="U446" s="46">
        <f t="shared" si="132"/>
        <v>40.012937710072606</v>
      </c>
      <c r="V446" s="46">
        <f t="shared" si="133"/>
        <v>-43.385855542585261</v>
      </c>
      <c r="W446" s="496"/>
    </row>
    <row r="447" spans="1:25" ht="15" customHeight="1" x14ac:dyDescent="0.25">
      <c r="A447" s="589">
        <f t="shared" si="128"/>
        <v>9.9759615382333244E-6</v>
      </c>
      <c r="B447" s="32">
        <f t="shared" si="110"/>
        <v>415</v>
      </c>
      <c r="C447" s="441">
        <f>'SOLLECITAZ NASCOSTO'!$D$6/'SOLLECITAZ NASCOSTO'!$B$448*'SOLLECITAZ NASCOSTO'!B447</f>
        <v>2.8431490384615383</v>
      </c>
      <c r="D447" s="441">
        <f t="shared" si="129"/>
        <v>0.30000997596153822</v>
      </c>
      <c r="E447" s="441">
        <f t="shared" si="123"/>
        <v>9.9759615382333244E-6</v>
      </c>
      <c r="F447" s="441">
        <f t="shared" si="124"/>
        <v>0.30000997596153822</v>
      </c>
      <c r="G447" s="441">
        <f t="shared" si="125"/>
        <v>4.5002992838221373E-2</v>
      </c>
      <c r="H447" s="441">
        <f t="shared" si="137"/>
        <v>0</v>
      </c>
      <c r="I447" s="441">
        <v>0</v>
      </c>
      <c r="J447" s="131">
        <f t="shared" si="138"/>
        <v>0.15000498798076911</v>
      </c>
      <c r="K447" s="130">
        <f t="shared" si="126"/>
        <v>2.2502244665986784E-3</v>
      </c>
      <c r="L447" s="42">
        <f t="shared" si="139"/>
        <v>40.178017977537912</v>
      </c>
      <c r="M447" s="42">
        <f t="shared" si="131"/>
        <v>-43.660548119159401</v>
      </c>
      <c r="N447" s="42">
        <f>(IF(C446&lt;='SOLLECITAZ NASCOSTO'!$P$12,IF(C446&lt;='SOLLECITAZ NASCOSTO'!$P$11,IF(C446&lt;='SOLLECITAZ NASCOSTO'!$P$10,IF(C446&lt;='SOLLECITAZ NASCOSTO'!$P$9,IF(C446&lt;='SOLLECITAZ NASCOSTO'!$P$8,IF(C446&lt;='SOLLECITAZ NASCOSTO'!$P$7,IF(C446&lt;='SOLLECITAZ NASCOSTO'!$P$6,IF(C446&lt;='SOLLECITAZ NASCOSTO'!$P$5,'Progetto del paramento slu'!$G$105,'Progetto del paramento slu'!$G$106),'Progetto del paramento slu'!$G$107),'Progetto del paramento slu'!$G$108),'Progetto del paramento slu'!$G$109),'Progetto del paramento slu'!$G$110),'Progetto del paramento slu'!$G$111),'Progetto del paramento slu'!$G$112),55555)-IF(C446&lt;='SOLLECITAZ NASCOSTO'!$P$12,IF(C446&lt;='SOLLECITAZ NASCOSTO'!$P$11,IF(C446&lt;='SOLLECITAZ NASCOSTO'!$P$10,IF(C446&lt;='SOLLECITAZ NASCOSTO'!$P$9,IF(C446&lt;='SOLLECITAZ NASCOSTO'!$P$8,IF(C446&lt;='SOLLECITAZ NASCOSTO'!$P$7,IF(C446&lt;='SOLLECITAZ NASCOSTO'!$P$6,IF(C446&lt;='SOLLECITAZ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slu'!$G$112))*(C446-IF(C446&lt;='SOLLECITAZ NASCOSTO'!$P$12,IF(C446&lt;='SOLLECITAZ NASCOSTO'!$P$11,IF(C446&lt;='SOLLECITAZ NASCOSTO'!$P$10,IF(C446&lt;='SOLLECITAZ NASCOSTO'!$P$9,IF(C446&lt;='SOLLECITAZ NASCOSTO'!$P$8,IF(C446&lt;='SOLLECITAZ NASCOSTO'!$P$7,IF(C446&lt;='SOLLECITAZ NASCOSTO'!$P$6,IF(C446&lt;='SOLLECITAZ NASCOSTO'!$P$5,'SOLLECITAZ NASCOSTO'!$P$3,'SOLLECITAZ NASCOSTO'!$P$5),'SOLLECITAZ NASCOSTO'!$P$5),'SOLLECITAZ NASCOSTO'!$P$7),'SOLLECITAZ NASCOSTO'!$P$8),'SOLLECITAZ NASCOSTO'!$P$9),'SOLLECITAZ NASCOSTO'!$P$10),'SOLLECITAZ NASCOSTO'!$P$11),'SOLLECITAZ NASCOSTO'!$P$12))/IF(C446&lt;='SOLLECITAZ NASCOSTO'!$P$12,IF(C446&lt;='SOLLECITAZ NASCOSTO'!$P$11,IF(C446&lt;='SOLLECITAZ NASCOSTO'!$P$10,IF(C446&lt;='SOLLECITAZ NASCOSTO'!$P$9,IF(C446&lt;='SOLLECITAZ NASCOSTO'!$P$8,IF(C446&lt;='SOLLECITAZ NASCOSTO'!$P$7,IF(C446&lt;='SOLLECITAZ NASCOSTO'!$P$6,IF(C446&lt;='SOLLECITAZ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slu'!$C$112)+IF(C446&lt;='SOLLECITAZ NASCOSTO'!$P$12,IF(C446&lt;='SOLLECITAZ NASCOSTO'!$P$11,IF(C446&lt;='SOLLECITAZ NASCOSTO'!$P$10,IF(C446&lt;='SOLLECITAZ NASCOSTO'!$P$9,IF(C446&lt;='SOLLECITAZ NASCOSTO'!$P$8,IF(C446&lt;='SOLLECITAZ NASCOSTO'!$P$7,IF(C446&lt;='SOLLECITAZ NASCOSTO'!$P$6,IF(C446&lt;='SOLLECITAZ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24.070820884421575</v>
      </c>
      <c r="O447" s="42">
        <f>IF(C447&lt;='SOLLECITAZ NASCOSTO'!$P$12,IF(C447&lt;='SOLLECITAZ NASCOSTO'!$P$11,IF(C447&lt;='SOLLECITAZ NASCOSTO'!$P$10,IF(C447&lt;='SOLLECITAZ NASCOSTO'!$P$9,IF(C447&lt;='SOLLECITAZ NASCOSTO'!$P$8,IF(C447&lt;='SOLLECITAZ NASCOSTO'!$P$7,IF(C447&lt;='SOLLECITAZ NASCOSTO'!$P$6,IF(C447&lt;='SOLLECITAZ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slu'!$G$111),55555)*(C447-C446)/IF(C447&lt;='SOLLECITAZ NASCOSTO'!$P$12,IF(C447&lt;='SOLLECITAZ NASCOSTO'!$P$11,IF(C447&lt;='SOLLECITAZ NASCOSTO'!$P$10,IF(C447&lt;='SOLLECITAZ NASCOSTO'!$P$9,IF(C447&lt;='SOLLECITAZ NASCOSTO'!$P$8,IF(C447&lt;='SOLLECITAZ NASCOSTO'!$P$7,IF(C447&lt;='SOLLECITAZ NASCOSTO'!$P$6,IF(C447&lt;='SOLLECITAZ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5.0211750854226953E-2</v>
      </c>
      <c r="P447" s="42">
        <f t="shared" si="136"/>
        <v>4.1400000000000356E-4</v>
      </c>
      <c r="Q447" s="42">
        <f t="shared" si="134"/>
        <v>1</v>
      </c>
      <c r="R447" s="441">
        <f t="shared" si="127"/>
        <v>2.8431490384615383</v>
      </c>
      <c r="S447" s="46">
        <f t="shared" si="135"/>
        <v>2.8431490384615383</v>
      </c>
      <c r="T447" s="211">
        <f t="shared" si="130"/>
        <v>0.50685096153846176</v>
      </c>
      <c r="U447" s="46">
        <f t="shared" si="132"/>
        <v>40.178017977537912</v>
      </c>
      <c r="V447" s="46">
        <f t="shared" si="133"/>
        <v>-43.660548119159401</v>
      </c>
      <c r="W447" s="496"/>
    </row>
    <row r="448" spans="1:25" ht="15" customHeight="1" x14ac:dyDescent="0.25">
      <c r="A448" s="589">
        <f t="shared" si="128"/>
        <v>9.9999999997879563E-6</v>
      </c>
      <c r="B448" s="32">
        <f t="shared" si="110"/>
        <v>416</v>
      </c>
      <c r="C448" s="441">
        <f>'SOLLECITAZ NASCOSTO'!$D$6/'SOLLECITAZ NASCOSTO'!$B$448*'SOLLECITAZ NASCOSTO'!B448</f>
        <v>2.85</v>
      </c>
      <c r="D448" s="441">
        <f t="shared" si="129"/>
        <v>0.30000999999999978</v>
      </c>
      <c r="E448" s="441">
        <f t="shared" si="123"/>
        <v>9.9999999997879563E-6</v>
      </c>
      <c r="F448" s="441">
        <f t="shared" si="124"/>
        <v>0.30000999999999978</v>
      </c>
      <c r="G448" s="441">
        <f t="shared" si="125"/>
        <v>4.5003000049999936E-2</v>
      </c>
      <c r="H448" s="441">
        <f t="shared" si="137"/>
        <v>0</v>
      </c>
      <c r="I448" s="441">
        <v>0</v>
      </c>
      <c r="J448" s="131">
        <f t="shared" si="138"/>
        <v>0.15000499999999989</v>
      </c>
      <c r="K448" s="130">
        <f t="shared" si="126"/>
        <v>2.2502250075000785E-3</v>
      </c>
      <c r="L448" s="42">
        <f t="shared" si="139"/>
        <v>40.361306950783039</v>
      </c>
      <c r="M448" s="42">
        <f t="shared" si="131"/>
        <v>-43.936434027868202</v>
      </c>
      <c r="N448" s="42">
        <f>(IF(C447&lt;='SOLLECITAZ NASCOSTO'!$P$12,IF(C447&lt;='SOLLECITAZ NASCOSTO'!$P$11,IF(C447&lt;='SOLLECITAZ NASCOSTO'!$P$10,IF(C447&lt;='SOLLECITAZ NASCOSTO'!$P$9,IF(C447&lt;='SOLLECITAZ NASCOSTO'!$P$8,IF(C447&lt;='SOLLECITAZ NASCOSTO'!$P$7,IF(C447&lt;='SOLLECITAZ NASCOSTO'!$P$6,IF(C447&lt;='SOLLECITAZ NASCOSTO'!$P$5,'Progetto del paramento slu'!$G$105,'Progetto del paramento slu'!$G$106),'Progetto del paramento slu'!$G$107),'Progetto del paramento slu'!$G$108),'Progetto del paramento slu'!$G$109),'Progetto del paramento slu'!$G$110),'Progetto del paramento slu'!$G$111),'Progetto del paramento slu'!$G$112),55555)-IF(C447&lt;='SOLLECITAZ NASCOSTO'!$P$12,IF(C447&lt;='SOLLECITAZ NASCOSTO'!$P$11,IF(C447&lt;='SOLLECITAZ NASCOSTO'!$P$10,IF(C447&lt;='SOLLECITAZ NASCOSTO'!$P$9,IF(C447&lt;='SOLLECITAZ NASCOSTO'!$P$8,IF(C447&lt;='SOLLECITAZ NASCOSTO'!$P$7,IF(C447&lt;='SOLLECITAZ NASCOSTO'!$P$6,IF(C447&lt;='SOLLECITAZ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slu'!$G$112))*(C447-IF(C447&lt;='SOLLECITAZ NASCOSTO'!$P$12,IF(C447&lt;='SOLLECITAZ NASCOSTO'!$P$11,IF(C447&lt;='SOLLECITAZ NASCOSTO'!$P$10,IF(C447&lt;='SOLLECITAZ NASCOSTO'!$P$9,IF(C447&lt;='SOLLECITAZ NASCOSTO'!$P$8,IF(C447&lt;='SOLLECITAZ NASCOSTO'!$P$7,IF(C447&lt;='SOLLECITAZ NASCOSTO'!$P$6,IF(C447&lt;='SOLLECITAZ NASCOSTO'!$P$5,'SOLLECITAZ NASCOSTO'!$P$3,'SOLLECITAZ NASCOSTO'!$P$5),'SOLLECITAZ NASCOSTO'!$P$5),'SOLLECITAZ NASCOSTO'!$P$7),'SOLLECITAZ NASCOSTO'!$P$8),'SOLLECITAZ NASCOSTO'!$P$9),'SOLLECITAZ NASCOSTO'!$P$10),'SOLLECITAZ NASCOSTO'!$P$11),'SOLLECITAZ NASCOSTO'!$P$12))/IF(C447&lt;='SOLLECITAZ NASCOSTO'!$P$12,IF(C447&lt;='SOLLECITAZ NASCOSTO'!$P$11,IF(C447&lt;='SOLLECITAZ NASCOSTO'!$P$10,IF(C447&lt;='SOLLECITAZ NASCOSTO'!$P$9,IF(C447&lt;='SOLLECITAZ NASCOSTO'!$P$8,IF(C447&lt;='SOLLECITAZ NASCOSTO'!$P$7,IF(C447&lt;='SOLLECITAZ NASCOSTO'!$P$6,IF(C447&lt;='SOLLECITAZ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slu'!$C$112)+IF(C447&lt;='SOLLECITAZ NASCOSTO'!$P$12,IF(C447&lt;='SOLLECITAZ NASCOSTO'!$P$11,IF(C447&lt;='SOLLECITAZ NASCOSTO'!$P$10,IF(C447&lt;='SOLLECITAZ NASCOSTO'!$P$9,IF(C447&lt;='SOLLECITAZ NASCOSTO'!$P$8,IF(C447&lt;='SOLLECITAZ NASCOSTO'!$P$7,IF(C447&lt;='SOLLECITAZ NASCOSTO'!$P$6,IF(C447&lt;='SOLLECITAZ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26.728653026316262</v>
      </c>
      <c r="O448" s="42">
        <f>IF(C448&lt;='SOLLECITAZ NASCOSTO'!$P$12,IF(C448&lt;='SOLLECITAZ NASCOSTO'!$P$11,IF(C448&lt;='SOLLECITAZ NASCOSTO'!$P$10,IF(C448&lt;='SOLLECITAZ NASCOSTO'!$P$9,IF(C448&lt;='SOLLECITAZ NASCOSTO'!$P$8,IF(C448&lt;='SOLLECITAZ NASCOSTO'!$P$7,IF(C448&lt;='SOLLECITAZ NASCOSTO'!$P$6,IF(C448&lt;='SOLLECITAZ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slu'!$G$111),55555)*(C448-C447)/IF(C448&lt;='SOLLECITAZ NASCOSTO'!$P$12,IF(C448&lt;='SOLLECITAZ NASCOSTO'!$P$11,IF(C448&lt;='SOLLECITAZ NASCOSTO'!$P$10,IF(C448&lt;='SOLLECITAZ NASCOSTO'!$P$9,IF(C448&lt;='SOLLECITAZ NASCOSTO'!$P$8,IF(C448&lt;='SOLLECITAZ NASCOSTO'!$P$7,IF(C448&lt;='SOLLECITAZ NASCOSTO'!$P$6,IF(C448&lt;='SOLLECITAZ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5.0211750854230207E-2</v>
      </c>
      <c r="P448" s="42">
        <f t="shared" si="136"/>
        <v>4.1500000000000358E-4</v>
      </c>
      <c r="Q448" s="42">
        <f t="shared" si="134"/>
        <v>1</v>
      </c>
      <c r="R448" s="441">
        <f t="shared" si="127"/>
        <v>2.85</v>
      </c>
      <c r="S448" s="46">
        <f t="shared" si="135"/>
        <v>2.85</v>
      </c>
      <c r="T448" s="211">
        <f t="shared" si="130"/>
        <v>0.5</v>
      </c>
      <c r="U448" s="46">
        <f t="shared" si="132"/>
        <v>40.361306950783039</v>
      </c>
      <c r="V448" s="46">
        <f t="shared" si="133"/>
        <v>-43.936434027868202</v>
      </c>
      <c r="W448" s="496"/>
    </row>
    <row r="449" spans="2:23" ht="15" customHeight="1" x14ac:dyDescent="0.25">
      <c r="B449" s="32">
        <v>1</v>
      </c>
      <c r="C449" s="441">
        <f>$C$448+DATI!$E$74/'SOLLECITAZ NASCOSTO'!$B$468*'SOLLECITAZ NASCOSTO'!B449</f>
        <v>2.875</v>
      </c>
      <c r="D449" s="1013" t="s">
        <v>36</v>
      </c>
      <c r="E449" s="1014"/>
      <c r="F449" s="1014"/>
      <c r="G449" s="1014"/>
      <c r="H449" s="1014"/>
      <c r="I449" s="1014"/>
      <c r="J449" s="1014"/>
      <c r="K449" s="1015"/>
      <c r="L449" s="42">
        <f>L448+N449*(C449-C448)+O449*(C449-C448)/2</f>
        <v>41.033068930777581</v>
      </c>
      <c r="M449" s="42">
        <f t="shared" si="131"/>
        <v>-44.953863726387709</v>
      </c>
      <c r="N449" s="42">
        <f>(IF(C448&lt;='SOLLECITAZ NASCOSTO'!$P$12,IF(C448&lt;='SOLLECITAZ NASCOSTO'!$P$11,IF(C448&lt;='SOLLECITAZ NASCOSTO'!$P$10,IF(C448&lt;='SOLLECITAZ NASCOSTO'!$P$9,IF(C448&lt;='SOLLECITAZ NASCOSTO'!$P$8,IF(C448&lt;='SOLLECITAZ NASCOSTO'!$P$7,IF(C448&lt;='SOLLECITAZ NASCOSTO'!$P$6,IF(C448&lt;='SOLLECITAZ NASCOSTO'!$P$5,'Progetto del paramento slu'!$G$105,'Progetto del paramento slu'!$G$106),'Progetto del paramento slu'!$G$107),'Progetto del paramento slu'!$G$108),'Progetto del paramento slu'!$G$109),'Progetto del paramento slu'!$G$110),'Progetto del paramento slu'!$G$111),'Progetto del paramento slu'!$G$112),55555)-IF(C448&lt;='SOLLECITAZ NASCOSTO'!$P$12,IF(C448&lt;='SOLLECITAZ NASCOSTO'!$P$11,IF(C448&lt;='SOLLECITAZ NASCOSTO'!$P$10,IF(C448&lt;='SOLLECITAZ NASCOSTO'!$P$9,IF(C448&lt;='SOLLECITAZ NASCOSTO'!$P$8,IF(C448&lt;='SOLLECITAZ NASCOSTO'!$P$7,IF(C448&lt;='SOLLECITAZ NASCOSTO'!$P$6,IF(C448&lt;='SOLLECITAZ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slu'!$G$112))*(C448-IF(C448&lt;='SOLLECITAZ NASCOSTO'!$P$12,IF(C448&lt;='SOLLECITAZ NASCOSTO'!$P$11,IF(C448&lt;='SOLLECITAZ NASCOSTO'!$P$10,IF(C448&lt;='SOLLECITAZ NASCOSTO'!$P$9,IF(C448&lt;='SOLLECITAZ NASCOSTO'!$P$8,IF(C448&lt;='SOLLECITAZ NASCOSTO'!$P$7,IF(C448&lt;='SOLLECITAZ NASCOSTO'!$P$6,IF(C448&lt;='SOLLECITAZ NASCOSTO'!$P$5,'SOLLECITAZ NASCOSTO'!$P$3,'SOLLECITAZ NASCOSTO'!$P$5),'SOLLECITAZ NASCOSTO'!$P$5),'SOLLECITAZ NASCOSTO'!$P$7),'SOLLECITAZ NASCOSTO'!$P$8),'SOLLECITAZ NASCOSTO'!$P$9),'SOLLECITAZ NASCOSTO'!$P$10),'SOLLECITAZ NASCOSTO'!$P$11),'SOLLECITAZ NASCOSTO'!$P$12))/IF(C448&lt;='SOLLECITAZ NASCOSTO'!$P$12,IF(C448&lt;='SOLLECITAZ NASCOSTO'!$P$11,IF(C448&lt;='SOLLECITAZ NASCOSTO'!$P$10,IF(C448&lt;='SOLLECITAZ NASCOSTO'!$P$9,IF(C448&lt;='SOLLECITAZ NASCOSTO'!$P$8,IF(C448&lt;='SOLLECITAZ NASCOSTO'!$P$7,IF(C448&lt;='SOLLECITAZ NASCOSTO'!$P$6,IF(C448&lt;='SOLLECITAZ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slu'!$C$112)+IF(C448&lt;='SOLLECITAZ NASCOSTO'!$P$12,IF(C448&lt;='SOLLECITAZ NASCOSTO'!$P$11,IF(C448&lt;='SOLLECITAZ NASCOSTO'!$P$10,IF(C448&lt;='SOLLECITAZ NASCOSTO'!$P$9,IF(C448&lt;='SOLLECITAZ NASCOSTO'!$P$8,IF(C448&lt;='SOLLECITAZ NASCOSTO'!$P$7,IF(C448&lt;='SOLLECITAZ NASCOSTO'!$P$6,IF(C448&lt;='SOLLECITAZ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26.778864777170494</v>
      </c>
      <c r="O449" s="42">
        <f>IF(C449&lt;='SOLLECITAZ NASCOSTO'!$P$12,IF(C449&lt;='SOLLECITAZ NASCOSTO'!$P$11,IF(C449&lt;='SOLLECITAZ NASCOSTO'!$P$10,IF(C449&lt;='SOLLECITAZ NASCOSTO'!$P$9,IF(C449&lt;='SOLLECITAZ NASCOSTO'!$P$8,IF(C449&lt;='SOLLECITAZ NASCOSTO'!$P$7,IF(C449&lt;='SOLLECITAZ NASCOSTO'!$P$6,IF(C449&lt;='SOLLECITAZ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slu'!$G$111),55555)*(C449-C448)/IF(C449&lt;='SOLLECITAZ NASCOSTO'!$P$12,IF(C449&lt;='SOLLECITAZ NASCOSTO'!$P$11,IF(C449&lt;='SOLLECITAZ NASCOSTO'!$P$10,IF(C449&lt;='SOLLECITAZ NASCOSTO'!$P$9,IF(C449&lt;='SOLLECITAZ NASCOSTO'!$P$8,IF(C449&lt;='SOLLECITAZ NASCOSTO'!$P$7,IF(C449&lt;='SOLLECITAZ NASCOSTO'!$P$6,IF(C449&lt;='SOLLECITAZ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49" s="42">
        <f t="shared" si="136"/>
        <v>4.1600000000000361E-4</v>
      </c>
      <c r="Q449" s="42">
        <f t="shared" si="134"/>
        <v>4.1600000000000361E-4</v>
      </c>
      <c r="R449" s="441">
        <f t="shared" si="127"/>
        <v>2.875</v>
      </c>
      <c r="S449" s="46" t="e">
        <f t="shared" si="135"/>
        <v>#N/A</v>
      </c>
      <c r="T449" s="211" t="e">
        <f t="shared" si="130"/>
        <v>#N/A</v>
      </c>
      <c r="U449" s="46">
        <f t="shared" si="132"/>
        <v>0</v>
      </c>
      <c r="V449" s="46">
        <f t="shared" si="133"/>
        <v>0</v>
      </c>
      <c r="W449" s="496"/>
    </row>
    <row r="450" spans="2:23" ht="15" customHeight="1" x14ac:dyDescent="0.25">
      <c r="B450" s="32">
        <f t="shared" si="110"/>
        <v>2</v>
      </c>
      <c r="C450" s="441">
        <f>$C$448+DATI!$E$74/'SOLLECITAZ NASCOSTO'!$B$468*'SOLLECITAZ NASCOSTO'!B450</f>
        <v>2.9</v>
      </c>
      <c r="D450" s="1016"/>
      <c r="E450" s="1017"/>
      <c r="F450" s="1017"/>
      <c r="G450" s="1017"/>
      <c r="H450" s="1017"/>
      <c r="I450" s="1017"/>
      <c r="J450" s="1017"/>
      <c r="K450" s="1018"/>
      <c r="L450" s="42">
        <f t="shared" si="116"/>
        <v>41.709411631902682</v>
      </c>
      <c r="M450" s="42">
        <f t="shared" si="131"/>
        <v>-45.988144733421208</v>
      </c>
      <c r="N450" s="42">
        <f>(IF(C449&lt;='SOLLECITAZ NASCOSTO'!$P$12,IF(C449&lt;='SOLLECITAZ NASCOSTO'!$P$11,IF(C449&lt;='SOLLECITAZ NASCOSTO'!$P$10,IF(C449&lt;='SOLLECITAZ NASCOSTO'!$P$9,IF(C449&lt;='SOLLECITAZ NASCOSTO'!$P$8,IF(C449&lt;='SOLLECITAZ NASCOSTO'!$P$7,IF(C449&lt;='SOLLECITAZ NASCOSTO'!$P$6,IF(C449&lt;='SOLLECITAZ NASCOSTO'!$P$5,'Progetto del paramento slu'!$G$105,'Progetto del paramento slu'!$G$106),'Progetto del paramento slu'!$G$107),'Progetto del paramento slu'!$G$108),'Progetto del paramento slu'!$G$109),'Progetto del paramento slu'!$G$110),'Progetto del paramento slu'!$G$111),'Progetto del paramento slu'!$G$112),55555)-IF(C449&lt;='SOLLECITAZ NASCOSTO'!$P$12,IF(C449&lt;='SOLLECITAZ NASCOSTO'!$P$11,IF(C449&lt;='SOLLECITAZ NASCOSTO'!$P$10,IF(C449&lt;='SOLLECITAZ NASCOSTO'!$P$9,IF(C449&lt;='SOLLECITAZ NASCOSTO'!$P$8,IF(C449&lt;='SOLLECITAZ NASCOSTO'!$P$7,IF(C449&lt;='SOLLECITAZ NASCOSTO'!$P$6,IF(C449&lt;='SOLLECITAZ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slu'!$G$112))*(C449-IF(C449&lt;='SOLLECITAZ NASCOSTO'!$P$12,IF(C449&lt;='SOLLECITAZ NASCOSTO'!$P$11,IF(C449&lt;='SOLLECITAZ NASCOSTO'!$P$10,IF(C449&lt;='SOLLECITAZ NASCOSTO'!$P$9,IF(C449&lt;='SOLLECITAZ NASCOSTO'!$P$8,IF(C449&lt;='SOLLECITAZ NASCOSTO'!$P$7,IF(C449&lt;='SOLLECITAZ NASCOSTO'!$P$6,IF(C449&lt;='SOLLECITAZ NASCOSTO'!$P$5,'SOLLECITAZ NASCOSTO'!$P$3,'SOLLECITAZ NASCOSTO'!$P$5),'SOLLECITAZ NASCOSTO'!$P$5),'SOLLECITAZ NASCOSTO'!$P$7),'SOLLECITAZ NASCOSTO'!$P$8),'SOLLECITAZ NASCOSTO'!$P$9),'SOLLECITAZ NASCOSTO'!$P$10),'SOLLECITAZ NASCOSTO'!$P$11),'SOLLECITAZ NASCOSTO'!$P$12))/IF(C449&lt;='SOLLECITAZ NASCOSTO'!$P$12,IF(C449&lt;='SOLLECITAZ NASCOSTO'!$P$11,IF(C449&lt;='SOLLECITAZ NASCOSTO'!$P$10,IF(C449&lt;='SOLLECITAZ NASCOSTO'!$P$9,IF(C449&lt;='SOLLECITAZ NASCOSTO'!$P$8,IF(C449&lt;='SOLLECITAZ NASCOSTO'!$P$7,IF(C449&lt;='SOLLECITAZ NASCOSTO'!$P$6,IF(C449&lt;='SOLLECITAZ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slu'!$C$112)+IF(C449&lt;='SOLLECITAZ NASCOSTO'!$P$12,IF(C449&lt;='SOLLECITAZ NASCOSTO'!$P$11,IF(C449&lt;='SOLLECITAZ NASCOSTO'!$P$10,IF(C449&lt;='SOLLECITAZ NASCOSTO'!$P$9,IF(C449&lt;='SOLLECITAZ NASCOSTO'!$P$8,IF(C449&lt;='SOLLECITAZ NASCOSTO'!$P$7,IF(C449&lt;='SOLLECITAZ NASCOSTO'!$P$6,IF(C449&lt;='SOLLECITAZ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26.962093622392942</v>
      </c>
      <c r="O450" s="42">
        <f>IF(C450&lt;='SOLLECITAZ NASCOSTO'!$P$12,IF(C450&lt;='SOLLECITAZ NASCOSTO'!$P$11,IF(C450&lt;='SOLLECITAZ NASCOSTO'!$P$10,IF(C450&lt;='SOLLECITAZ NASCOSTO'!$P$9,IF(C450&lt;='SOLLECITAZ NASCOSTO'!$P$8,IF(C450&lt;='SOLLECITAZ NASCOSTO'!$P$7,IF(C450&lt;='SOLLECITAZ NASCOSTO'!$P$6,IF(C450&lt;='SOLLECITAZ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slu'!$G$111),55555)*(C450-C449)/IF(C450&lt;='SOLLECITAZ NASCOSTO'!$P$12,IF(C450&lt;='SOLLECITAZ NASCOSTO'!$P$11,IF(C450&lt;='SOLLECITAZ NASCOSTO'!$P$10,IF(C450&lt;='SOLLECITAZ NASCOSTO'!$P$9,IF(C450&lt;='SOLLECITAZ NASCOSTO'!$P$8,IF(C450&lt;='SOLLECITAZ NASCOSTO'!$P$7,IF(C450&lt;='SOLLECITAZ NASCOSTO'!$P$6,IF(C450&lt;='SOLLECITAZ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0" s="42">
        <f t="shared" si="136"/>
        <v>4.1700000000000363E-4</v>
      </c>
      <c r="Q450" s="42">
        <f t="shared" si="134"/>
        <v>4.1700000000000363E-4</v>
      </c>
      <c r="R450" s="441">
        <f t="shared" si="127"/>
        <v>2.9</v>
      </c>
      <c r="S450" s="46" t="e">
        <f t="shared" si="135"/>
        <v>#N/A</v>
      </c>
      <c r="T450" s="211" t="e">
        <f t="shared" si="130"/>
        <v>#N/A</v>
      </c>
      <c r="U450" s="46">
        <f t="shared" si="132"/>
        <v>0</v>
      </c>
      <c r="V450" s="46">
        <f t="shared" si="133"/>
        <v>0</v>
      </c>
      <c r="W450" s="496"/>
    </row>
    <row r="451" spans="2:23" ht="15" customHeight="1" x14ac:dyDescent="0.25">
      <c r="B451" s="32">
        <f>B450+1</f>
        <v>3</v>
      </c>
      <c r="C451" s="441">
        <f>$C$448+DATI!$E$74/'SOLLECITAZ NASCOSTO'!$B$468*'SOLLECITAZ NASCOSTO'!B451</f>
        <v>2.9250000000000003</v>
      </c>
      <c r="D451" s="1016"/>
      <c r="E451" s="1017"/>
      <c r="F451" s="1017"/>
      <c r="G451" s="1017"/>
      <c r="H451" s="1017"/>
      <c r="I451" s="1017"/>
      <c r="J451" s="1017"/>
      <c r="K451" s="1018"/>
      <c r="L451" s="42">
        <f>L450+N451*(C451-C450)+O451*(C451-C450)/2</f>
        <v>42.390335054158356</v>
      </c>
      <c r="M451" s="42">
        <f>M450-(L451+L450)*(C451-C450)/2</f>
        <v>-47.039391566996983</v>
      </c>
      <c r="N451" s="42">
        <f>(IF(C450&lt;='SOLLECITAZ NASCOSTO'!$P$12,IF(C450&lt;='SOLLECITAZ NASCOSTO'!$P$11,IF(C450&lt;='SOLLECITAZ NASCOSTO'!$P$10,IF(C450&lt;='SOLLECITAZ NASCOSTO'!$P$9,IF(C450&lt;='SOLLECITAZ NASCOSTO'!$P$8,IF(C450&lt;='SOLLECITAZ NASCOSTO'!$P$7,IF(C450&lt;='SOLLECITAZ NASCOSTO'!$P$6,IF(C450&lt;='SOLLECITAZ NASCOSTO'!$P$5,'Progetto del paramento slu'!$G$105,'Progetto del paramento slu'!$G$106),'Progetto del paramento slu'!$G$107),'Progetto del paramento slu'!$G$108),'Progetto del paramento slu'!$G$109),'Progetto del paramento slu'!$G$110),'Progetto del paramento slu'!$G$111),'Progetto del paramento slu'!$G$112),55555)-IF(C450&lt;='SOLLECITAZ NASCOSTO'!$P$12,IF(C450&lt;='SOLLECITAZ NASCOSTO'!$P$11,IF(C450&lt;='SOLLECITAZ NASCOSTO'!$P$10,IF(C450&lt;='SOLLECITAZ NASCOSTO'!$P$9,IF(C450&lt;='SOLLECITAZ NASCOSTO'!$P$8,IF(C450&lt;='SOLLECITAZ NASCOSTO'!$P$7,IF(C450&lt;='SOLLECITAZ NASCOSTO'!$P$6,IF(C450&lt;='SOLLECITAZ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slu'!$G$112))*(C450-IF(C450&lt;='SOLLECITAZ NASCOSTO'!$P$12,IF(C450&lt;='SOLLECITAZ NASCOSTO'!$P$11,IF(C450&lt;='SOLLECITAZ NASCOSTO'!$P$10,IF(C450&lt;='SOLLECITAZ NASCOSTO'!$P$9,IF(C450&lt;='SOLLECITAZ NASCOSTO'!$P$8,IF(C450&lt;='SOLLECITAZ NASCOSTO'!$P$7,IF(C450&lt;='SOLLECITAZ NASCOSTO'!$P$6,IF(C450&lt;='SOLLECITAZ NASCOSTO'!$P$5,'SOLLECITAZ NASCOSTO'!$P$3,'SOLLECITAZ NASCOSTO'!$P$5),'SOLLECITAZ NASCOSTO'!$P$5),'SOLLECITAZ NASCOSTO'!$P$7),'SOLLECITAZ NASCOSTO'!$P$8),'SOLLECITAZ NASCOSTO'!$P$9),'SOLLECITAZ NASCOSTO'!$P$10),'SOLLECITAZ NASCOSTO'!$P$11),'SOLLECITAZ NASCOSTO'!$P$12))/IF(C450&lt;='SOLLECITAZ NASCOSTO'!$P$12,IF(C450&lt;='SOLLECITAZ NASCOSTO'!$P$11,IF(C450&lt;='SOLLECITAZ NASCOSTO'!$P$10,IF(C450&lt;='SOLLECITAZ NASCOSTO'!$P$9,IF(C450&lt;='SOLLECITAZ NASCOSTO'!$P$8,IF(C450&lt;='SOLLECITAZ NASCOSTO'!$P$7,IF(C450&lt;='SOLLECITAZ NASCOSTO'!$P$6,IF(C450&lt;='SOLLECITAZ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slu'!$C$112)+IF(C450&lt;='SOLLECITAZ NASCOSTO'!$P$12,IF(C450&lt;='SOLLECITAZ NASCOSTO'!$P$11,IF(C450&lt;='SOLLECITAZ NASCOSTO'!$P$10,IF(C450&lt;='SOLLECITAZ NASCOSTO'!$P$9,IF(C450&lt;='SOLLECITAZ NASCOSTO'!$P$8,IF(C450&lt;='SOLLECITAZ NASCOSTO'!$P$7,IF(C450&lt;='SOLLECITAZ NASCOSTO'!$P$6,IF(C450&lt;='SOLLECITAZ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27.145322467615387</v>
      </c>
      <c r="O451" s="42">
        <f>IF(C451&lt;='SOLLECITAZ NASCOSTO'!$P$12,IF(C451&lt;='SOLLECITAZ NASCOSTO'!$P$11,IF(C451&lt;='SOLLECITAZ NASCOSTO'!$P$10,IF(C451&lt;='SOLLECITAZ NASCOSTO'!$P$9,IF(C451&lt;='SOLLECITAZ NASCOSTO'!$P$8,IF(C451&lt;='SOLLECITAZ NASCOSTO'!$P$7,IF(C451&lt;='SOLLECITAZ NASCOSTO'!$P$6,IF(C451&lt;='SOLLECITAZ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slu'!$G$111),55555)*(C451-C450)/IF(C451&lt;='SOLLECITAZ NASCOSTO'!$P$12,IF(C451&lt;='SOLLECITAZ NASCOSTO'!$P$11,IF(C451&lt;='SOLLECITAZ NASCOSTO'!$P$10,IF(C451&lt;='SOLLECITAZ NASCOSTO'!$P$9,IF(C451&lt;='SOLLECITAZ NASCOSTO'!$P$8,IF(C451&lt;='SOLLECITAZ NASCOSTO'!$P$7,IF(C451&lt;='SOLLECITAZ NASCOSTO'!$P$6,IF(C451&lt;='SOLLECITAZ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0.18322884522245067</v>
      </c>
      <c r="P451" s="42">
        <f t="shared" si="136"/>
        <v>4.1800000000000366E-4</v>
      </c>
      <c r="Q451" s="42">
        <f t="shared" si="134"/>
        <v>4.1800000000000366E-4</v>
      </c>
      <c r="R451" s="441">
        <f t="shared" si="127"/>
        <v>2.9250000000000003</v>
      </c>
      <c r="S451" s="46" t="e">
        <f t="shared" si="135"/>
        <v>#N/A</v>
      </c>
      <c r="T451" s="211" t="e">
        <f t="shared" si="130"/>
        <v>#N/A</v>
      </c>
      <c r="U451" s="46">
        <f t="shared" si="132"/>
        <v>0</v>
      </c>
      <c r="V451" s="46">
        <f t="shared" si="133"/>
        <v>0</v>
      </c>
      <c r="W451" s="496"/>
    </row>
    <row r="452" spans="2:23" ht="15" customHeight="1" x14ac:dyDescent="0.25">
      <c r="B452" s="32">
        <f t="shared" si="110"/>
        <v>4</v>
      </c>
      <c r="C452" s="441">
        <f>$C$448+DATI!$E$74/'SOLLECITAZ NASCOSTO'!$B$468*'SOLLECITAZ NASCOSTO'!B452</f>
        <v>2.95</v>
      </c>
      <c r="D452" s="1016"/>
      <c r="E452" s="1017"/>
      <c r="F452" s="1017"/>
      <c r="G452" s="1017"/>
      <c r="H452" s="1017"/>
      <c r="I452" s="1017"/>
      <c r="J452" s="1017"/>
      <c r="K452" s="1018"/>
      <c r="L452" s="42">
        <f t="shared" si="116"/>
        <v>43.075839197544582</v>
      </c>
      <c r="M452" s="42">
        <f t="shared" si="131"/>
        <v>-48.107718745143266</v>
      </c>
      <c r="N452" s="42">
        <f>(IF(C451&lt;='SOLLECITAZ NASCOSTO'!$P$12,IF(C451&lt;='SOLLECITAZ NASCOSTO'!$P$11,IF(C451&lt;='SOLLECITAZ NASCOSTO'!$P$10,IF(C451&lt;='SOLLECITAZ NASCOSTO'!$P$9,IF(C451&lt;='SOLLECITAZ NASCOSTO'!$P$8,IF(C451&lt;='SOLLECITAZ NASCOSTO'!$P$7,IF(C451&lt;='SOLLECITAZ NASCOSTO'!$P$6,IF(C451&lt;='SOLLECITAZ NASCOSTO'!$P$5,'Progetto del paramento slu'!$G$105,'Progetto del paramento slu'!$G$106),'Progetto del paramento slu'!$G$107),'Progetto del paramento slu'!$G$108),'Progetto del paramento slu'!$G$109),'Progetto del paramento slu'!$G$110),'Progetto del paramento slu'!$G$111),'Progetto del paramento slu'!$G$112),55555)-IF(C451&lt;='SOLLECITAZ NASCOSTO'!$P$12,IF(C451&lt;='SOLLECITAZ NASCOSTO'!$P$11,IF(C451&lt;='SOLLECITAZ NASCOSTO'!$P$10,IF(C451&lt;='SOLLECITAZ NASCOSTO'!$P$9,IF(C451&lt;='SOLLECITAZ NASCOSTO'!$P$8,IF(C451&lt;='SOLLECITAZ NASCOSTO'!$P$7,IF(C451&lt;='SOLLECITAZ NASCOSTO'!$P$6,IF(C451&lt;='SOLLECITAZ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slu'!$G$112))*(C451-IF(C451&lt;='SOLLECITAZ NASCOSTO'!$P$12,IF(C451&lt;='SOLLECITAZ NASCOSTO'!$P$11,IF(C451&lt;='SOLLECITAZ NASCOSTO'!$P$10,IF(C451&lt;='SOLLECITAZ NASCOSTO'!$P$9,IF(C451&lt;='SOLLECITAZ NASCOSTO'!$P$8,IF(C451&lt;='SOLLECITAZ NASCOSTO'!$P$7,IF(C451&lt;='SOLLECITAZ NASCOSTO'!$P$6,IF(C451&lt;='SOLLECITAZ NASCOSTO'!$P$5,'SOLLECITAZ NASCOSTO'!$P$3,'SOLLECITAZ NASCOSTO'!$P$5),'SOLLECITAZ NASCOSTO'!$P$5),'SOLLECITAZ NASCOSTO'!$P$7),'SOLLECITAZ NASCOSTO'!$P$8),'SOLLECITAZ NASCOSTO'!$P$9),'SOLLECITAZ NASCOSTO'!$P$10),'SOLLECITAZ NASCOSTO'!$P$11),'SOLLECITAZ NASCOSTO'!$P$12))/IF(C451&lt;='SOLLECITAZ NASCOSTO'!$P$12,IF(C451&lt;='SOLLECITAZ NASCOSTO'!$P$11,IF(C451&lt;='SOLLECITAZ NASCOSTO'!$P$10,IF(C451&lt;='SOLLECITAZ NASCOSTO'!$P$9,IF(C451&lt;='SOLLECITAZ NASCOSTO'!$P$8,IF(C451&lt;='SOLLECITAZ NASCOSTO'!$P$7,IF(C451&lt;='SOLLECITAZ NASCOSTO'!$P$6,IF(C451&lt;='SOLLECITAZ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slu'!$C$112)+IF(C451&lt;='SOLLECITAZ NASCOSTO'!$P$12,IF(C451&lt;='SOLLECITAZ NASCOSTO'!$P$11,IF(C451&lt;='SOLLECITAZ NASCOSTO'!$P$10,IF(C451&lt;='SOLLECITAZ NASCOSTO'!$P$9,IF(C451&lt;='SOLLECITAZ NASCOSTO'!$P$8,IF(C451&lt;='SOLLECITAZ NASCOSTO'!$P$7,IF(C451&lt;='SOLLECITAZ NASCOSTO'!$P$6,IF(C451&lt;='SOLLECITAZ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27.328551312837838</v>
      </c>
      <c r="O452" s="42">
        <f>IF(C452&lt;='SOLLECITAZ NASCOSTO'!$P$12,IF(C452&lt;='SOLLECITAZ NASCOSTO'!$P$11,IF(C452&lt;='SOLLECITAZ NASCOSTO'!$P$10,IF(C452&lt;='SOLLECITAZ NASCOSTO'!$P$9,IF(C452&lt;='SOLLECITAZ NASCOSTO'!$P$8,IF(C452&lt;='SOLLECITAZ NASCOSTO'!$P$7,IF(C452&lt;='SOLLECITAZ NASCOSTO'!$P$6,IF(C452&lt;='SOLLECITAZ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slu'!$G$111),55555)*(C452-C451)/IF(C452&lt;='SOLLECITAZ NASCOSTO'!$P$12,IF(C452&lt;='SOLLECITAZ NASCOSTO'!$P$11,IF(C452&lt;='SOLLECITAZ NASCOSTO'!$P$10,IF(C452&lt;='SOLLECITAZ NASCOSTO'!$P$9,IF(C452&lt;='SOLLECITAZ NASCOSTO'!$P$8,IF(C452&lt;='SOLLECITAZ NASCOSTO'!$P$7,IF(C452&lt;='SOLLECITAZ NASCOSTO'!$P$6,IF(C452&lt;='SOLLECITAZ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2" s="42">
        <f t="shared" si="136"/>
        <v>4.1900000000000368E-4</v>
      </c>
      <c r="Q452" s="42">
        <f t="shared" si="134"/>
        <v>4.1900000000000368E-4</v>
      </c>
      <c r="R452" s="441">
        <f t="shared" si="127"/>
        <v>2.95</v>
      </c>
      <c r="S452" s="46" t="e">
        <f t="shared" si="135"/>
        <v>#N/A</v>
      </c>
      <c r="T452" s="211" t="e">
        <f t="shared" si="130"/>
        <v>#N/A</v>
      </c>
      <c r="U452" s="46">
        <f t="shared" si="132"/>
        <v>0</v>
      </c>
      <c r="V452" s="46">
        <f t="shared" si="133"/>
        <v>0</v>
      </c>
      <c r="W452" s="496"/>
    </row>
    <row r="453" spans="2:23" ht="15" customHeight="1" x14ac:dyDescent="0.25">
      <c r="B453" s="32">
        <f>B452+1</f>
        <v>5</v>
      </c>
      <c r="C453" s="441">
        <f>$C$448+DATI!$E$74/'SOLLECITAZ NASCOSTO'!$B$468*'SOLLECITAZ NASCOSTO'!B453</f>
        <v>2.9750000000000001</v>
      </c>
      <c r="D453" s="1016"/>
      <c r="E453" s="1017"/>
      <c r="F453" s="1017"/>
      <c r="G453" s="1017"/>
      <c r="H453" s="1017"/>
      <c r="I453" s="1017"/>
      <c r="J453" s="1017"/>
      <c r="K453" s="1018"/>
      <c r="L453" s="42">
        <f>L452+N453*(C453-C452)+O453*(C453-C452)/2</f>
        <v>43.765924062061373</v>
      </c>
      <c r="M453" s="42">
        <f t="shared" si="131"/>
        <v>-49.193240785888335</v>
      </c>
      <c r="N453" s="42">
        <f>(IF(C452&lt;='SOLLECITAZ NASCOSTO'!$P$12,IF(C452&lt;='SOLLECITAZ NASCOSTO'!$P$11,IF(C452&lt;='SOLLECITAZ NASCOSTO'!$P$10,IF(C452&lt;='SOLLECITAZ NASCOSTO'!$P$9,IF(C452&lt;='SOLLECITAZ NASCOSTO'!$P$8,IF(C452&lt;='SOLLECITAZ NASCOSTO'!$P$7,IF(C452&lt;='SOLLECITAZ NASCOSTO'!$P$6,IF(C452&lt;='SOLLECITAZ NASCOSTO'!$P$5,'Progetto del paramento slu'!$G$105,'Progetto del paramento slu'!$G$106),'Progetto del paramento slu'!$G$107),'Progetto del paramento slu'!$G$108),'Progetto del paramento slu'!$G$109),'Progetto del paramento slu'!$G$110),'Progetto del paramento slu'!$G$111),'Progetto del paramento slu'!$G$112),55555)-IF(C452&lt;='SOLLECITAZ NASCOSTO'!$P$12,IF(C452&lt;='SOLLECITAZ NASCOSTO'!$P$11,IF(C452&lt;='SOLLECITAZ NASCOSTO'!$P$10,IF(C452&lt;='SOLLECITAZ NASCOSTO'!$P$9,IF(C452&lt;='SOLLECITAZ NASCOSTO'!$P$8,IF(C452&lt;='SOLLECITAZ NASCOSTO'!$P$7,IF(C452&lt;='SOLLECITAZ NASCOSTO'!$P$6,IF(C452&lt;='SOLLECITAZ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slu'!$G$112))*(C452-IF(C452&lt;='SOLLECITAZ NASCOSTO'!$P$12,IF(C452&lt;='SOLLECITAZ NASCOSTO'!$P$11,IF(C452&lt;='SOLLECITAZ NASCOSTO'!$P$10,IF(C452&lt;='SOLLECITAZ NASCOSTO'!$P$9,IF(C452&lt;='SOLLECITAZ NASCOSTO'!$P$8,IF(C452&lt;='SOLLECITAZ NASCOSTO'!$P$7,IF(C452&lt;='SOLLECITAZ NASCOSTO'!$P$6,IF(C452&lt;='SOLLECITAZ NASCOSTO'!$P$5,'SOLLECITAZ NASCOSTO'!$P$3,'SOLLECITAZ NASCOSTO'!$P$5),'SOLLECITAZ NASCOSTO'!$P$5),'SOLLECITAZ NASCOSTO'!$P$7),'SOLLECITAZ NASCOSTO'!$P$8),'SOLLECITAZ NASCOSTO'!$P$9),'SOLLECITAZ NASCOSTO'!$P$10),'SOLLECITAZ NASCOSTO'!$P$11),'SOLLECITAZ NASCOSTO'!$P$12))/IF(C452&lt;='SOLLECITAZ NASCOSTO'!$P$12,IF(C452&lt;='SOLLECITAZ NASCOSTO'!$P$11,IF(C452&lt;='SOLLECITAZ NASCOSTO'!$P$10,IF(C452&lt;='SOLLECITAZ NASCOSTO'!$P$9,IF(C452&lt;='SOLLECITAZ NASCOSTO'!$P$8,IF(C452&lt;='SOLLECITAZ NASCOSTO'!$P$7,IF(C452&lt;='SOLLECITAZ NASCOSTO'!$P$6,IF(C452&lt;='SOLLECITAZ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slu'!$C$112)+IF(C452&lt;='SOLLECITAZ NASCOSTO'!$P$12,IF(C452&lt;='SOLLECITAZ NASCOSTO'!$P$11,IF(C452&lt;='SOLLECITAZ NASCOSTO'!$P$10,IF(C452&lt;='SOLLECITAZ NASCOSTO'!$P$9,IF(C452&lt;='SOLLECITAZ NASCOSTO'!$P$8,IF(C452&lt;='SOLLECITAZ NASCOSTO'!$P$7,IF(C452&lt;='SOLLECITAZ NASCOSTO'!$P$6,IF(C452&lt;='SOLLECITAZ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27.511780158060287</v>
      </c>
      <c r="O453" s="42">
        <f>IF(C453&lt;='SOLLECITAZ NASCOSTO'!$P$12,IF(C453&lt;='SOLLECITAZ NASCOSTO'!$P$11,IF(C453&lt;='SOLLECITAZ NASCOSTO'!$P$10,IF(C453&lt;='SOLLECITAZ NASCOSTO'!$P$9,IF(C453&lt;='SOLLECITAZ NASCOSTO'!$P$8,IF(C453&lt;='SOLLECITAZ NASCOSTO'!$P$7,IF(C453&lt;='SOLLECITAZ NASCOSTO'!$P$6,IF(C453&lt;='SOLLECITAZ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slu'!$G$111),55555)*(C453-C452)/IF(C453&lt;='SOLLECITAZ NASCOSTO'!$P$12,IF(C453&lt;='SOLLECITAZ NASCOSTO'!$P$11,IF(C453&lt;='SOLLECITAZ NASCOSTO'!$P$10,IF(C453&lt;='SOLLECITAZ NASCOSTO'!$P$9,IF(C453&lt;='SOLLECITAZ NASCOSTO'!$P$8,IF(C453&lt;='SOLLECITAZ NASCOSTO'!$P$7,IF(C453&lt;='SOLLECITAZ NASCOSTO'!$P$6,IF(C453&lt;='SOLLECITAZ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3" s="42">
        <f t="shared" si="136"/>
        <v>4.200000000000037E-4</v>
      </c>
      <c r="Q453" s="42">
        <f t="shared" si="134"/>
        <v>4.200000000000037E-4</v>
      </c>
      <c r="R453" s="441">
        <f t="shared" si="127"/>
        <v>2.9750000000000001</v>
      </c>
      <c r="S453" s="46" t="e">
        <f t="shared" si="135"/>
        <v>#N/A</v>
      </c>
      <c r="T453" s="211" t="e">
        <f t="shared" si="130"/>
        <v>#N/A</v>
      </c>
      <c r="U453" s="46">
        <f t="shared" si="132"/>
        <v>0</v>
      </c>
      <c r="V453" s="46">
        <f t="shared" si="133"/>
        <v>0</v>
      </c>
      <c r="W453" s="496"/>
    </row>
    <row r="454" spans="2:23" ht="15" customHeight="1" x14ac:dyDescent="0.25">
      <c r="B454" s="32">
        <f t="shared" si="110"/>
        <v>6</v>
      </c>
      <c r="C454" s="441">
        <f>$C$448+DATI!$E$74/'SOLLECITAZ NASCOSTO'!$B$468*'SOLLECITAZ NASCOSTO'!B454</f>
        <v>3</v>
      </c>
      <c r="D454" s="1016"/>
      <c r="E454" s="1017"/>
      <c r="F454" s="1017"/>
      <c r="G454" s="1017"/>
      <c r="H454" s="1017"/>
      <c r="I454" s="1017"/>
      <c r="J454" s="1017"/>
      <c r="K454" s="1018"/>
      <c r="L454" s="42">
        <f t="shared" si="116"/>
        <v>44.460589647708723</v>
      </c>
      <c r="M454" s="42">
        <f t="shared" si="131"/>
        <v>-50.296072207260458</v>
      </c>
      <c r="N454" s="42">
        <f>(IF(C453&lt;='SOLLECITAZ NASCOSTO'!$P$12,IF(C453&lt;='SOLLECITAZ NASCOSTO'!$P$11,IF(C453&lt;='SOLLECITAZ NASCOSTO'!$P$10,IF(C453&lt;='SOLLECITAZ NASCOSTO'!$P$9,IF(C453&lt;='SOLLECITAZ NASCOSTO'!$P$8,IF(C453&lt;='SOLLECITAZ NASCOSTO'!$P$7,IF(C453&lt;='SOLLECITAZ NASCOSTO'!$P$6,IF(C453&lt;='SOLLECITAZ NASCOSTO'!$P$5,'Progetto del paramento slu'!$G$105,'Progetto del paramento slu'!$G$106),'Progetto del paramento slu'!$G$107),'Progetto del paramento slu'!$G$108),'Progetto del paramento slu'!$G$109),'Progetto del paramento slu'!$G$110),'Progetto del paramento slu'!$G$111),'Progetto del paramento slu'!$G$112),55555)-IF(C453&lt;='SOLLECITAZ NASCOSTO'!$P$12,IF(C453&lt;='SOLLECITAZ NASCOSTO'!$P$11,IF(C453&lt;='SOLLECITAZ NASCOSTO'!$P$10,IF(C453&lt;='SOLLECITAZ NASCOSTO'!$P$9,IF(C453&lt;='SOLLECITAZ NASCOSTO'!$P$8,IF(C453&lt;='SOLLECITAZ NASCOSTO'!$P$7,IF(C453&lt;='SOLLECITAZ NASCOSTO'!$P$6,IF(C453&lt;='SOLLECITAZ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slu'!$G$112))*(C453-IF(C453&lt;='SOLLECITAZ NASCOSTO'!$P$12,IF(C453&lt;='SOLLECITAZ NASCOSTO'!$P$11,IF(C453&lt;='SOLLECITAZ NASCOSTO'!$P$10,IF(C453&lt;='SOLLECITAZ NASCOSTO'!$P$9,IF(C453&lt;='SOLLECITAZ NASCOSTO'!$P$8,IF(C453&lt;='SOLLECITAZ NASCOSTO'!$P$7,IF(C453&lt;='SOLLECITAZ NASCOSTO'!$P$6,IF(C453&lt;='SOLLECITAZ NASCOSTO'!$P$5,'SOLLECITAZ NASCOSTO'!$P$3,'SOLLECITAZ NASCOSTO'!$P$5),'SOLLECITAZ NASCOSTO'!$P$5),'SOLLECITAZ NASCOSTO'!$P$7),'SOLLECITAZ NASCOSTO'!$P$8),'SOLLECITAZ NASCOSTO'!$P$9),'SOLLECITAZ NASCOSTO'!$P$10),'SOLLECITAZ NASCOSTO'!$P$11),'SOLLECITAZ NASCOSTO'!$P$12))/IF(C453&lt;='SOLLECITAZ NASCOSTO'!$P$12,IF(C453&lt;='SOLLECITAZ NASCOSTO'!$P$11,IF(C453&lt;='SOLLECITAZ NASCOSTO'!$P$10,IF(C453&lt;='SOLLECITAZ NASCOSTO'!$P$9,IF(C453&lt;='SOLLECITAZ NASCOSTO'!$P$8,IF(C453&lt;='SOLLECITAZ NASCOSTO'!$P$7,IF(C453&lt;='SOLLECITAZ NASCOSTO'!$P$6,IF(C453&lt;='SOLLECITAZ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slu'!$C$112)+IF(C453&lt;='SOLLECITAZ NASCOSTO'!$P$12,IF(C453&lt;='SOLLECITAZ NASCOSTO'!$P$11,IF(C453&lt;='SOLLECITAZ NASCOSTO'!$P$10,IF(C453&lt;='SOLLECITAZ NASCOSTO'!$P$9,IF(C453&lt;='SOLLECITAZ NASCOSTO'!$P$8,IF(C453&lt;='SOLLECITAZ NASCOSTO'!$P$7,IF(C453&lt;='SOLLECITAZ NASCOSTO'!$P$6,IF(C453&lt;='SOLLECITAZ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27.695009003282735</v>
      </c>
      <c r="O454" s="42">
        <f>IF(C454&lt;='SOLLECITAZ NASCOSTO'!$P$12,IF(C454&lt;='SOLLECITAZ NASCOSTO'!$P$11,IF(C454&lt;='SOLLECITAZ NASCOSTO'!$P$10,IF(C454&lt;='SOLLECITAZ NASCOSTO'!$P$9,IF(C454&lt;='SOLLECITAZ NASCOSTO'!$P$8,IF(C454&lt;='SOLLECITAZ NASCOSTO'!$P$7,IF(C454&lt;='SOLLECITAZ NASCOSTO'!$P$6,IF(C454&lt;='SOLLECITAZ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slu'!$G$111),55555)*(C454-C453)/IF(C454&lt;='SOLLECITAZ NASCOSTO'!$P$12,IF(C454&lt;='SOLLECITAZ NASCOSTO'!$P$11,IF(C454&lt;='SOLLECITAZ NASCOSTO'!$P$10,IF(C454&lt;='SOLLECITAZ NASCOSTO'!$P$9,IF(C454&lt;='SOLLECITAZ NASCOSTO'!$P$8,IF(C454&lt;='SOLLECITAZ NASCOSTO'!$P$7,IF(C454&lt;='SOLLECITAZ NASCOSTO'!$P$6,IF(C454&lt;='SOLLECITAZ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4" s="42">
        <f t="shared" si="136"/>
        <v>4.2100000000000373E-4</v>
      </c>
      <c r="Q454" s="42">
        <f t="shared" si="134"/>
        <v>4.2100000000000373E-4</v>
      </c>
      <c r="R454" s="441">
        <f t="shared" si="127"/>
        <v>3</v>
      </c>
      <c r="S454" s="46" t="e">
        <f t="shared" si="135"/>
        <v>#N/A</v>
      </c>
      <c r="T454" s="211" t="e">
        <f t="shared" si="130"/>
        <v>#N/A</v>
      </c>
      <c r="U454" s="46">
        <f t="shared" si="132"/>
        <v>0</v>
      </c>
      <c r="V454" s="46">
        <f t="shared" si="133"/>
        <v>0</v>
      </c>
      <c r="W454" s="496"/>
    </row>
    <row r="455" spans="2:23" ht="15" customHeight="1" x14ac:dyDescent="0.25">
      <c r="B455" s="32">
        <f t="shared" si="110"/>
        <v>7</v>
      </c>
      <c r="C455" s="441">
        <f>$C$448+DATI!$E$74/'SOLLECITAZ NASCOSTO'!$B$468*'SOLLECITAZ NASCOSTO'!B455</f>
        <v>3.0249999999999999</v>
      </c>
      <c r="D455" s="1016"/>
      <c r="E455" s="1017"/>
      <c r="F455" s="1017"/>
      <c r="G455" s="1017"/>
      <c r="H455" s="1017"/>
      <c r="I455" s="1017"/>
      <c r="J455" s="1017"/>
      <c r="K455" s="1018"/>
      <c r="L455" s="42">
        <f t="shared" si="116"/>
        <v>45.159835954486631</v>
      </c>
      <c r="M455" s="42">
        <f>M454-(L455+L454)*(C455-C454)/2</f>
        <v>-51.416327527287898</v>
      </c>
      <c r="N455" s="42">
        <f>(IF(C454&lt;='SOLLECITAZ NASCOSTO'!$P$12,IF(C454&lt;='SOLLECITAZ NASCOSTO'!$P$11,IF(C454&lt;='SOLLECITAZ NASCOSTO'!$P$10,IF(C454&lt;='SOLLECITAZ NASCOSTO'!$P$9,IF(C454&lt;='SOLLECITAZ NASCOSTO'!$P$8,IF(C454&lt;='SOLLECITAZ NASCOSTO'!$P$7,IF(C454&lt;='SOLLECITAZ NASCOSTO'!$P$6,IF(C454&lt;='SOLLECITAZ NASCOSTO'!$P$5,'Progetto del paramento slu'!$G$105,'Progetto del paramento slu'!$G$106),'Progetto del paramento slu'!$G$107),'Progetto del paramento slu'!$G$108),'Progetto del paramento slu'!$G$109),'Progetto del paramento slu'!$G$110),'Progetto del paramento slu'!$G$111),'Progetto del paramento slu'!$G$112),55555)-IF(C454&lt;='SOLLECITAZ NASCOSTO'!$P$12,IF(C454&lt;='SOLLECITAZ NASCOSTO'!$P$11,IF(C454&lt;='SOLLECITAZ NASCOSTO'!$P$10,IF(C454&lt;='SOLLECITAZ NASCOSTO'!$P$9,IF(C454&lt;='SOLLECITAZ NASCOSTO'!$P$8,IF(C454&lt;='SOLLECITAZ NASCOSTO'!$P$7,IF(C454&lt;='SOLLECITAZ NASCOSTO'!$P$6,IF(C454&lt;='SOLLECITAZ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slu'!$G$112))*(C454-IF(C454&lt;='SOLLECITAZ NASCOSTO'!$P$12,IF(C454&lt;='SOLLECITAZ NASCOSTO'!$P$11,IF(C454&lt;='SOLLECITAZ NASCOSTO'!$P$10,IF(C454&lt;='SOLLECITAZ NASCOSTO'!$P$9,IF(C454&lt;='SOLLECITAZ NASCOSTO'!$P$8,IF(C454&lt;='SOLLECITAZ NASCOSTO'!$P$7,IF(C454&lt;='SOLLECITAZ NASCOSTO'!$P$6,IF(C454&lt;='SOLLECITAZ NASCOSTO'!$P$5,'SOLLECITAZ NASCOSTO'!$P$3,'SOLLECITAZ NASCOSTO'!$P$5),'SOLLECITAZ NASCOSTO'!$P$5),'SOLLECITAZ NASCOSTO'!$P$7),'SOLLECITAZ NASCOSTO'!$P$8),'SOLLECITAZ NASCOSTO'!$P$9),'SOLLECITAZ NASCOSTO'!$P$10),'SOLLECITAZ NASCOSTO'!$P$11),'SOLLECITAZ NASCOSTO'!$P$12))/IF(C454&lt;='SOLLECITAZ NASCOSTO'!$P$12,IF(C454&lt;='SOLLECITAZ NASCOSTO'!$P$11,IF(C454&lt;='SOLLECITAZ NASCOSTO'!$P$10,IF(C454&lt;='SOLLECITAZ NASCOSTO'!$P$9,IF(C454&lt;='SOLLECITAZ NASCOSTO'!$P$8,IF(C454&lt;='SOLLECITAZ NASCOSTO'!$P$7,IF(C454&lt;='SOLLECITAZ NASCOSTO'!$P$6,IF(C454&lt;='SOLLECITAZ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slu'!$C$112)+IF(C454&lt;='SOLLECITAZ NASCOSTO'!$P$12,IF(C454&lt;='SOLLECITAZ NASCOSTO'!$P$11,IF(C454&lt;='SOLLECITAZ NASCOSTO'!$P$10,IF(C454&lt;='SOLLECITAZ NASCOSTO'!$P$9,IF(C454&lt;='SOLLECITAZ NASCOSTO'!$P$8,IF(C454&lt;='SOLLECITAZ NASCOSTO'!$P$7,IF(C454&lt;='SOLLECITAZ NASCOSTO'!$P$6,IF(C454&lt;='SOLLECITAZ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27.878237848505179</v>
      </c>
      <c r="O455" s="42">
        <f>IF(C455&lt;='SOLLECITAZ NASCOSTO'!$P$12,IF(C455&lt;='SOLLECITAZ NASCOSTO'!$P$11,IF(C455&lt;='SOLLECITAZ NASCOSTO'!$P$10,IF(C455&lt;='SOLLECITAZ NASCOSTO'!$P$9,IF(C455&lt;='SOLLECITAZ NASCOSTO'!$P$8,IF(C455&lt;='SOLLECITAZ NASCOSTO'!$P$7,IF(C455&lt;='SOLLECITAZ NASCOSTO'!$P$6,IF(C455&lt;='SOLLECITAZ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slu'!$G$111),55555)*(C455-C454)/IF(C455&lt;='SOLLECITAZ NASCOSTO'!$P$12,IF(C455&lt;='SOLLECITAZ NASCOSTO'!$P$11,IF(C455&lt;='SOLLECITAZ NASCOSTO'!$P$10,IF(C455&lt;='SOLLECITAZ NASCOSTO'!$P$9,IF(C455&lt;='SOLLECITAZ NASCOSTO'!$P$8,IF(C455&lt;='SOLLECITAZ NASCOSTO'!$P$7,IF(C455&lt;='SOLLECITAZ NASCOSTO'!$P$6,IF(C455&lt;='SOLLECITAZ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5" s="42">
        <f t="shared" si="136"/>
        <v>4.2200000000000375E-4</v>
      </c>
      <c r="Q455" s="42">
        <f t="shared" si="134"/>
        <v>4.2200000000000375E-4</v>
      </c>
      <c r="R455" s="441">
        <f t="shared" si="127"/>
        <v>3.0249999999999999</v>
      </c>
      <c r="S455" s="46" t="e">
        <f t="shared" si="135"/>
        <v>#N/A</v>
      </c>
      <c r="T455" s="211" t="e">
        <f t="shared" si="130"/>
        <v>#N/A</v>
      </c>
      <c r="U455" s="46">
        <f t="shared" si="132"/>
        <v>0</v>
      </c>
      <c r="V455" s="46">
        <f t="shared" si="133"/>
        <v>0</v>
      </c>
      <c r="W455" s="496"/>
    </row>
    <row r="456" spans="2:23" ht="15" customHeight="1" x14ac:dyDescent="0.25">
      <c r="B456" s="32">
        <f t="shared" si="110"/>
        <v>8</v>
      </c>
      <c r="C456" s="441">
        <f>$C$448+DATI!$E$74/'SOLLECITAZ NASCOSTO'!$B$468*'SOLLECITAZ NASCOSTO'!B456</f>
        <v>3.0500000000000003</v>
      </c>
      <c r="D456" s="1016"/>
      <c r="E456" s="1017"/>
      <c r="F456" s="1017"/>
      <c r="G456" s="1017"/>
      <c r="H456" s="1017"/>
      <c r="I456" s="1017"/>
      <c r="J456" s="1017"/>
      <c r="K456" s="1018"/>
      <c r="L456" s="42">
        <f t="shared" si="116"/>
        <v>45.863662982395113</v>
      </c>
      <c r="M456" s="42">
        <f t="shared" si="131"/>
        <v>-52.554121263998937</v>
      </c>
      <c r="N456" s="42">
        <f>(IF(C455&lt;='SOLLECITAZ NASCOSTO'!$P$12,IF(C455&lt;='SOLLECITAZ NASCOSTO'!$P$11,IF(C455&lt;='SOLLECITAZ NASCOSTO'!$P$10,IF(C455&lt;='SOLLECITAZ NASCOSTO'!$P$9,IF(C455&lt;='SOLLECITAZ NASCOSTO'!$P$8,IF(C455&lt;='SOLLECITAZ NASCOSTO'!$P$7,IF(C455&lt;='SOLLECITAZ NASCOSTO'!$P$6,IF(C455&lt;='SOLLECITAZ NASCOSTO'!$P$5,'Progetto del paramento slu'!$G$105,'Progetto del paramento slu'!$G$106),'Progetto del paramento slu'!$G$107),'Progetto del paramento slu'!$G$108),'Progetto del paramento slu'!$G$109),'Progetto del paramento slu'!$G$110),'Progetto del paramento slu'!$G$111),'Progetto del paramento slu'!$G$112),55555)-IF(C455&lt;='SOLLECITAZ NASCOSTO'!$P$12,IF(C455&lt;='SOLLECITAZ NASCOSTO'!$P$11,IF(C455&lt;='SOLLECITAZ NASCOSTO'!$P$10,IF(C455&lt;='SOLLECITAZ NASCOSTO'!$P$9,IF(C455&lt;='SOLLECITAZ NASCOSTO'!$P$8,IF(C455&lt;='SOLLECITAZ NASCOSTO'!$P$7,IF(C455&lt;='SOLLECITAZ NASCOSTO'!$P$6,IF(C455&lt;='SOLLECITAZ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slu'!$G$112))*(C455-IF(C455&lt;='SOLLECITAZ NASCOSTO'!$P$12,IF(C455&lt;='SOLLECITAZ NASCOSTO'!$P$11,IF(C455&lt;='SOLLECITAZ NASCOSTO'!$P$10,IF(C455&lt;='SOLLECITAZ NASCOSTO'!$P$9,IF(C455&lt;='SOLLECITAZ NASCOSTO'!$P$8,IF(C455&lt;='SOLLECITAZ NASCOSTO'!$P$7,IF(C455&lt;='SOLLECITAZ NASCOSTO'!$P$6,IF(C455&lt;='SOLLECITAZ NASCOSTO'!$P$5,'SOLLECITAZ NASCOSTO'!$P$3,'SOLLECITAZ NASCOSTO'!$P$5),'SOLLECITAZ NASCOSTO'!$P$5),'SOLLECITAZ NASCOSTO'!$P$7),'SOLLECITAZ NASCOSTO'!$P$8),'SOLLECITAZ NASCOSTO'!$P$9),'SOLLECITAZ NASCOSTO'!$P$10),'SOLLECITAZ NASCOSTO'!$P$11),'SOLLECITAZ NASCOSTO'!$P$12))/IF(C455&lt;='SOLLECITAZ NASCOSTO'!$P$12,IF(C455&lt;='SOLLECITAZ NASCOSTO'!$P$11,IF(C455&lt;='SOLLECITAZ NASCOSTO'!$P$10,IF(C455&lt;='SOLLECITAZ NASCOSTO'!$P$9,IF(C455&lt;='SOLLECITAZ NASCOSTO'!$P$8,IF(C455&lt;='SOLLECITAZ NASCOSTO'!$P$7,IF(C455&lt;='SOLLECITAZ NASCOSTO'!$P$6,IF(C455&lt;='SOLLECITAZ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slu'!$C$112)+IF(C455&lt;='SOLLECITAZ NASCOSTO'!$P$12,IF(C455&lt;='SOLLECITAZ NASCOSTO'!$P$11,IF(C455&lt;='SOLLECITAZ NASCOSTO'!$P$10,IF(C455&lt;='SOLLECITAZ NASCOSTO'!$P$9,IF(C455&lt;='SOLLECITAZ NASCOSTO'!$P$8,IF(C455&lt;='SOLLECITAZ NASCOSTO'!$P$7,IF(C455&lt;='SOLLECITAZ NASCOSTO'!$P$6,IF(C455&lt;='SOLLECITAZ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28.061466693727628</v>
      </c>
      <c r="O456" s="42">
        <f>IF(C456&lt;='SOLLECITAZ NASCOSTO'!$P$12,IF(C456&lt;='SOLLECITAZ NASCOSTO'!$P$11,IF(C456&lt;='SOLLECITAZ NASCOSTO'!$P$10,IF(C456&lt;='SOLLECITAZ NASCOSTO'!$P$9,IF(C456&lt;='SOLLECITAZ NASCOSTO'!$P$8,IF(C456&lt;='SOLLECITAZ NASCOSTO'!$P$7,IF(C456&lt;='SOLLECITAZ NASCOSTO'!$P$6,IF(C456&lt;='SOLLECITAZ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slu'!$G$111),55555)*(C456-C455)/IF(C456&lt;='SOLLECITAZ NASCOSTO'!$P$12,IF(C456&lt;='SOLLECITAZ NASCOSTO'!$P$11,IF(C456&lt;='SOLLECITAZ NASCOSTO'!$P$10,IF(C456&lt;='SOLLECITAZ NASCOSTO'!$P$9,IF(C456&lt;='SOLLECITAZ NASCOSTO'!$P$8,IF(C456&lt;='SOLLECITAZ NASCOSTO'!$P$7,IF(C456&lt;='SOLLECITAZ NASCOSTO'!$P$6,IF(C456&lt;='SOLLECITAZ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0.18322884522245067</v>
      </c>
      <c r="P456" s="42">
        <f t="shared" si="136"/>
        <v>4.2300000000000378E-4</v>
      </c>
      <c r="Q456" s="42">
        <f t="shared" si="134"/>
        <v>4.2300000000000378E-4</v>
      </c>
      <c r="R456" s="441">
        <f t="shared" si="127"/>
        <v>3.0500000000000003</v>
      </c>
      <c r="S456" s="46" t="e">
        <f t="shared" si="135"/>
        <v>#N/A</v>
      </c>
      <c r="T456" s="211" t="e">
        <f t="shared" si="130"/>
        <v>#N/A</v>
      </c>
      <c r="U456" s="46">
        <f t="shared" si="132"/>
        <v>0</v>
      </c>
      <c r="V456" s="46">
        <f t="shared" si="133"/>
        <v>0</v>
      </c>
      <c r="W456" s="496"/>
    </row>
    <row r="457" spans="2:23" ht="15" customHeight="1" x14ac:dyDescent="0.25">
      <c r="B457" s="32">
        <f t="shared" si="110"/>
        <v>9</v>
      </c>
      <c r="C457" s="441">
        <f>$C$448+DATI!$E$74/'SOLLECITAZ NASCOSTO'!$B$468*'SOLLECITAZ NASCOSTO'!B457</f>
        <v>3.0750000000000002</v>
      </c>
      <c r="D457" s="1016"/>
      <c r="E457" s="1017"/>
      <c r="F457" s="1017"/>
      <c r="G457" s="1017"/>
      <c r="H457" s="1017"/>
      <c r="I457" s="1017"/>
      <c r="J457" s="1017"/>
      <c r="K457" s="1018"/>
      <c r="L457" s="42">
        <f t="shared" si="116"/>
        <v>46.572070731434145</v>
      </c>
      <c r="M457" s="42">
        <f t="shared" si="131"/>
        <v>-53.709567935421795</v>
      </c>
      <c r="N457" s="42">
        <f>(IF(C456&lt;='SOLLECITAZ NASCOSTO'!$P$12,IF(C456&lt;='SOLLECITAZ NASCOSTO'!$P$11,IF(C456&lt;='SOLLECITAZ NASCOSTO'!$P$10,IF(C456&lt;='SOLLECITAZ NASCOSTO'!$P$9,IF(C456&lt;='SOLLECITAZ NASCOSTO'!$P$8,IF(C456&lt;='SOLLECITAZ NASCOSTO'!$P$7,IF(C456&lt;='SOLLECITAZ NASCOSTO'!$P$6,IF(C456&lt;='SOLLECITAZ NASCOSTO'!$P$5,'Progetto del paramento slu'!$G$105,'Progetto del paramento slu'!$G$106),'Progetto del paramento slu'!$G$107),'Progetto del paramento slu'!$G$108),'Progetto del paramento slu'!$G$109),'Progetto del paramento slu'!$G$110),'Progetto del paramento slu'!$G$111),'Progetto del paramento slu'!$G$112),55555)-IF(C456&lt;='SOLLECITAZ NASCOSTO'!$P$12,IF(C456&lt;='SOLLECITAZ NASCOSTO'!$P$11,IF(C456&lt;='SOLLECITAZ NASCOSTO'!$P$10,IF(C456&lt;='SOLLECITAZ NASCOSTO'!$P$9,IF(C456&lt;='SOLLECITAZ NASCOSTO'!$P$8,IF(C456&lt;='SOLLECITAZ NASCOSTO'!$P$7,IF(C456&lt;='SOLLECITAZ NASCOSTO'!$P$6,IF(C456&lt;='SOLLECITAZ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slu'!$G$112))*(C456-IF(C456&lt;='SOLLECITAZ NASCOSTO'!$P$12,IF(C456&lt;='SOLLECITAZ NASCOSTO'!$P$11,IF(C456&lt;='SOLLECITAZ NASCOSTO'!$P$10,IF(C456&lt;='SOLLECITAZ NASCOSTO'!$P$9,IF(C456&lt;='SOLLECITAZ NASCOSTO'!$P$8,IF(C456&lt;='SOLLECITAZ NASCOSTO'!$P$7,IF(C456&lt;='SOLLECITAZ NASCOSTO'!$P$6,IF(C456&lt;='SOLLECITAZ NASCOSTO'!$P$5,'SOLLECITAZ NASCOSTO'!$P$3,'SOLLECITAZ NASCOSTO'!$P$5),'SOLLECITAZ NASCOSTO'!$P$5),'SOLLECITAZ NASCOSTO'!$P$7),'SOLLECITAZ NASCOSTO'!$P$8),'SOLLECITAZ NASCOSTO'!$P$9),'SOLLECITAZ NASCOSTO'!$P$10),'SOLLECITAZ NASCOSTO'!$P$11),'SOLLECITAZ NASCOSTO'!$P$12))/IF(C456&lt;='SOLLECITAZ NASCOSTO'!$P$12,IF(C456&lt;='SOLLECITAZ NASCOSTO'!$P$11,IF(C456&lt;='SOLLECITAZ NASCOSTO'!$P$10,IF(C456&lt;='SOLLECITAZ NASCOSTO'!$P$9,IF(C456&lt;='SOLLECITAZ NASCOSTO'!$P$8,IF(C456&lt;='SOLLECITAZ NASCOSTO'!$P$7,IF(C456&lt;='SOLLECITAZ NASCOSTO'!$P$6,IF(C456&lt;='SOLLECITAZ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slu'!$C$112)+IF(C456&lt;='SOLLECITAZ NASCOSTO'!$P$12,IF(C456&lt;='SOLLECITAZ NASCOSTO'!$P$11,IF(C456&lt;='SOLLECITAZ NASCOSTO'!$P$10,IF(C456&lt;='SOLLECITAZ NASCOSTO'!$P$9,IF(C456&lt;='SOLLECITAZ NASCOSTO'!$P$8,IF(C456&lt;='SOLLECITAZ NASCOSTO'!$P$7,IF(C456&lt;='SOLLECITAZ NASCOSTO'!$P$6,IF(C456&lt;='SOLLECITAZ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28.244695538950079</v>
      </c>
      <c r="O457" s="42">
        <f>IF(C457&lt;='SOLLECITAZ NASCOSTO'!$P$12,IF(C457&lt;='SOLLECITAZ NASCOSTO'!$P$11,IF(C457&lt;='SOLLECITAZ NASCOSTO'!$P$10,IF(C457&lt;='SOLLECITAZ NASCOSTO'!$P$9,IF(C457&lt;='SOLLECITAZ NASCOSTO'!$P$8,IF(C457&lt;='SOLLECITAZ NASCOSTO'!$P$7,IF(C457&lt;='SOLLECITAZ NASCOSTO'!$P$6,IF(C457&lt;='SOLLECITAZ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slu'!$G$111),55555)*(C457-C456)/IF(C457&lt;='SOLLECITAZ NASCOSTO'!$P$12,IF(C457&lt;='SOLLECITAZ NASCOSTO'!$P$11,IF(C457&lt;='SOLLECITAZ NASCOSTO'!$P$10,IF(C457&lt;='SOLLECITAZ NASCOSTO'!$P$9,IF(C457&lt;='SOLLECITAZ NASCOSTO'!$P$8,IF(C457&lt;='SOLLECITAZ NASCOSTO'!$P$7,IF(C457&lt;='SOLLECITAZ NASCOSTO'!$P$6,IF(C457&lt;='SOLLECITAZ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7" s="42">
        <f t="shared" si="136"/>
        <v>4.240000000000038E-4</v>
      </c>
      <c r="Q457" s="42">
        <f t="shared" si="134"/>
        <v>4.240000000000038E-4</v>
      </c>
      <c r="R457" s="441">
        <f t="shared" si="127"/>
        <v>3.0750000000000002</v>
      </c>
      <c r="S457" s="46" t="e">
        <f t="shared" si="135"/>
        <v>#N/A</v>
      </c>
      <c r="T457" s="211" t="e">
        <f t="shared" si="130"/>
        <v>#N/A</v>
      </c>
      <c r="U457" s="46">
        <f t="shared" si="132"/>
        <v>0</v>
      </c>
      <c r="V457" s="46">
        <f t="shared" si="133"/>
        <v>0</v>
      </c>
      <c r="W457" s="496"/>
    </row>
    <row r="458" spans="2:23" ht="15" customHeight="1" x14ac:dyDescent="0.25">
      <c r="B458" s="32">
        <f t="shared" si="110"/>
        <v>10</v>
      </c>
      <c r="C458" s="441">
        <f>$C$448+DATI!$E$74/'SOLLECITAZ NASCOSTO'!$B$468*'SOLLECITAZ NASCOSTO'!B458</f>
        <v>3.1</v>
      </c>
      <c r="D458" s="1016"/>
      <c r="E458" s="1017"/>
      <c r="F458" s="1017"/>
      <c r="G458" s="1017"/>
      <c r="H458" s="1017"/>
      <c r="I458" s="1017"/>
      <c r="J458" s="1017"/>
      <c r="K458" s="1018"/>
      <c r="L458" s="42">
        <f t="shared" si="116"/>
        <v>47.285059201603737</v>
      </c>
      <c r="M458" s="42">
        <f t="shared" si="131"/>
        <v>-54.882782059584763</v>
      </c>
      <c r="N458" s="42">
        <f>(IF(C457&lt;='SOLLECITAZ NASCOSTO'!$P$12,IF(C457&lt;='SOLLECITAZ NASCOSTO'!$P$11,IF(C457&lt;='SOLLECITAZ NASCOSTO'!$P$10,IF(C457&lt;='SOLLECITAZ NASCOSTO'!$P$9,IF(C457&lt;='SOLLECITAZ NASCOSTO'!$P$8,IF(C457&lt;='SOLLECITAZ NASCOSTO'!$P$7,IF(C457&lt;='SOLLECITAZ NASCOSTO'!$P$6,IF(C457&lt;='SOLLECITAZ NASCOSTO'!$P$5,'Progetto del paramento slu'!$G$105,'Progetto del paramento slu'!$G$106),'Progetto del paramento slu'!$G$107),'Progetto del paramento slu'!$G$108),'Progetto del paramento slu'!$G$109),'Progetto del paramento slu'!$G$110),'Progetto del paramento slu'!$G$111),'Progetto del paramento slu'!$G$112),55555)-IF(C457&lt;='SOLLECITAZ NASCOSTO'!$P$12,IF(C457&lt;='SOLLECITAZ NASCOSTO'!$P$11,IF(C457&lt;='SOLLECITAZ NASCOSTO'!$P$10,IF(C457&lt;='SOLLECITAZ NASCOSTO'!$P$9,IF(C457&lt;='SOLLECITAZ NASCOSTO'!$P$8,IF(C457&lt;='SOLLECITAZ NASCOSTO'!$P$7,IF(C457&lt;='SOLLECITAZ NASCOSTO'!$P$6,IF(C457&lt;='SOLLECITAZ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slu'!$G$112))*(C457-IF(C457&lt;='SOLLECITAZ NASCOSTO'!$P$12,IF(C457&lt;='SOLLECITAZ NASCOSTO'!$P$11,IF(C457&lt;='SOLLECITAZ NASCOSTO'!$P$10,IF(C457&lt;='SOLLECITAZ NASCOSTO'!$P$9,IF(C457&lt;='SOLLECITAZ NASCOSTO'!$P$8,IF(C457&lt;='SOLLECITAZ NASCOSTO'!$P$7,IF(C457&lt;='SOLLECITAZ NASCOSTO'!$P$6,IF(C457&lt;='SOLLECITAZ NASCOSTO'!$P$5,'SOLLECITAZ NASCOSTO'!$P$3,'SOLLECITAZ NASCOSTO'!$P$5),'SOLLECITAZ NASCOSTO'!$P$5),'SOLLECITAZ NASCOSTO'!$P$7),'SOLLECITAZ NASCOSTO'!$P$8),'SOLLECITAZ NASCOSTO'!$P$9),'SOLLECITAZ NASCOSTO'!$P$10),'SOLLECITAZ NASCOSTO'!$P$11),'SOLLECITAZ NASCOSTO'!$P$12))/IF(C457&lt;='SOLLECITAZ NASCOSTO'!$P$12,IF(C457&lt;='SOLLECITAZ NASCOSTO'!$P$11,IF(C457&lt;='SOLLECITAZ NASCOSTO'!$P$10,IF(C457&lt;='SOLLECITAZ NASCOSTO'!$P$9,IF(C457&lt;='SOLLECITAZ NASCOSTO'!$P$8,IF(C457&lt;='SOLLECITAZ NASCOSTO'!$P$7,IF(C457&lt;='SOLLECITAZ NASCOSTO'!$P$6,IF(C457&lt;='SOLLECITAZ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slu'!$C$112)+IF(C457&lt;='SOLLECITAZ NASCOSTO'!$P$12,IF(C457&lt;='SOLLECITAZ NASCOSTO'!$P$11,IF(C457&lt;='SOLLECITAZ NASCOSTO'!$P$10,IF(C457&lt;='SOLLECITAZ NASCOSTO'!$P$9,IF(C457&lt;='SOLLECITAZ NASCOSTO'!$P$8,IF(C457&lt;='SOLLECITAZ NASCOSTO'!$P$7,IF(C457&lt;='SOLLECITAZ NASCOSTO'!$P$6,IF(C457&lt;='SOLLECITAZ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28.427924384172528</v>
      </c>
      <c r="O458" s="42">
        <f>IF(C458&lt;='SOLLECITAZ NASCOSTO'!$P$12,IF(C458&lt;='SOLLECITAZ NASCOSTO'!$P$11,IF(C458&lt;='SOLLECITAZ NASCOSTO'!$P$10,IF(C458&lt;='SOLLECITAZ NASCOSTO'!$P$9,IF(C458&lt;='SOLLECITAZ NASCOSTO'!$P$8,IF(C458&lt;='SOLLECITAZ NASCOSTO'!$P$7,IF(C458&lt;='SOLLECITAZ NASCOSTO'!$P$6,IF(C458&lt;='SOLLECITAZ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slu'!$G$111),55555)*(C458-C457)/IF(C458&lt;='SOLLECITAZ NASCOSTO'!$P$12,IF(C458&lt;='SOLLECITAZ NASCOSTO'!$P$11,IF(C458&lt;='SOLLECITAZ NASCOSTO'!$P$10,IF(C458&lt;='SOLLECITAZ NASCOSTO'!$P$9,IF(C458&lt;='SOLLECITAZ NASCOSTO'!$P$8,IF(C458&lt;='SOLLECITAZ NASCOSTO'!$P$7,IF(C458&lt;='SOLLECITAZ NASCOSTO'!$P$6,IF(C458&lt;='SOLLECITAZ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8" s="42">
        <f t="shared" si="136"/>
        <v>4.2500000000000383E-4</v>
      </c>
      <c r="Q458" s="42">
        <f t="shared" si="134"/>
        <v>4.2500000000000383E-4</v>
      </c>
      <c r="R458" s="441">
        <f t="shared" si="127"/>
        <v>3.1</v>
      </c>
      <c r="S458" s="46" t="e">
        <f t="shared" si="135"/>
        <v>#N/A</v>
      </c>
      <c r="T458" s="211" t="e">
        <f t="shared" si="130"/>
        <v>#N/A</v>
      </c>
      <c r="U458" s="46">
        <f t="shared" si="132"/>
        <v>0</v>
      </c>
      <c r="V458" s="46">
        <f t="shared" si="133"/>
        <v>0</v>
      </c>
      <c r="W458" s="496"/>
    </row>
    <row r="459" spans="2:23" ht="15" customHeight="1" x14ac:dyDescent="0.25">
      <c r="B459" s="32">
        <f t="shared" si="110"/>
        <v>11</v>
      </c>
      <c r="C459" s="441">
        <f>$C$448+DATI!$E$74/'SOLLECITAZ NASCOSTO'!$B$468*'SOLLECITAZ NASCOSTO'!B459</f>
        <v>3.125</v>
      </c>
      <c r="D459" s="1016"/>
      <c r="E459" s="1017"/>
      <c r="F459" s="1017"/>
      <c r="G459" s="1017"/>
      <c r="H459" s="1017"/>
      <c r="I459" s="1017"/>
      <c r="J459" s="1017"/>
      <c r="K459" s="1018"/>
      <c r="L459" s="42">
        <f t="shared" si="116"/>
        <v>48.002628392903894</v>
      </c>
      <c r="M459" s="42">
        <f t="shared" si="131"/>
        <v>-56.073878154516102</v>
      </c>
      <c r="N459" s="42">
        <f>(IF(C458&lt;='SOLLECITAZ NASCOSTO'!$P$12,IF(C458&lt;='SOLLECITAZ NASCOSTO'!$P$11,IF(C458&lt;='SOLLECITAZ NASCOSTO'!$P$10,IF(C458&lt;='SOLLECITAZ NASCOSTO'!$P$9,IF(C458&lt;='SOLLECITAZ NASCOSTO'!$P$8,IF(C458&lt;='SOLLECITAZ NASCOSTO'!$P$7,IF(C458&lt;='SOLLECITAZ NASCOSTO'!$P$6,IF(C458&lt;='SOLLECITAZ NASCOSTO'!$P$5,'Progetto del paramento slu'!$G$105,'Progetto del paramento slu'!$G$106),'Progetto del paramento slu'!$G$107),'Progetto del paramento slu'!$G$108),'Progetto del paramento slu'!$G$109),'Progetto del paramento slu'!$G$110),'Progetto del paramento slu'!$G$111),'Progetto del paramento slu'!$G$112),55555)-IF(C458&lt;='SOLLECITAZ NASCOSTO'!$P$12,IF(C458&lt;='SOLLECITAZ NASCOSTO'!$P$11,IF(C458&lt;='SOLLECITAZ NASCOSTO'!$P$10,IF(C458&lt;='SOLLECITAZ NASCOSTO'!$P$9,IF(C458&lt;='SOLLECITAZ NASCOSTO'!$P$8,IF(C458&lt;='SOLLECITAZ NASCOSTO'!$P$7,IF(C458&lt;='SOLLECITAZ NASCOSTO'!$P$6,IF(C458&lt;='SOLLECITAZ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slu'!$G$112))*(C458-IF(C458&lt;='SOLLECITAZ NASCOSTO'!$P$12,IF(C458&lt;='SOLLECITAZ NASCOSTO'!$P$11,IF(C458&lt;='SOLLECITAZ NASCOSTO'!$P$10,IF(C458&lt;='SOLLECITAZ NASCOSTO'!$P$9,IF(C458&lt;='SOLLECITAZ NASCOSTO'!$P$8,IF(C458&lt;='SOLLECITAZ NASCOSTO'!$P$7,IF(C458&lt;='SOLLECITAZ NASCOSTO'!$P$6,IF(C458&lt;='SOLLECITAZ NASCOSTO'!$P$5,'SOLLECITAZ NASCOSTO'!$P$3,'SOLLECITAZ NASCOSTO'!$P$5),'SOLLECITAZ NASCOSTO'!$P$5),'SOLLECITAZ NASCOSTO'!$P$7),'SOLLECITAZ NASCOSTO'!$P$8),'SOLLECITAZ NASCOSTO'!$P$9),'SOLLECITAZ NASCOSTO'!$P$10),'SOLLECITAZ NASCOSTO'!$P$11),'SOLLECITAZ NASCOSTO'!$P$12))/IF(C458&lt;='SOLLECITAZ NASCOSTO'!$P$12,IF(C458&lt;='SOLLECITAZ NASCOSTO'!$P$11,IF(C458&lt;='SOLLECITAZ NASCOSTO'!$P$10,IF(C458&lt;='SOLLECITAZ NASCOSTO'!$P$9,IF(C458&lt;='SOLLECITAZ NASCOSTO'!$P$8,IF(C458&lt;='SOLLECITAZ NASCOSTO'!$P$7,IF(C458&lt;='SOLLECITAZ NASCOSTO'!$P$6,IF(C458&lt;='SOLLECITAZ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slu'!$C$112)+IF(C458&lt;='SOLLECITAZ NASCOSTO'!$P$12,IF(C458&lt;='SOLLECITAZ NASCOSTO'!$P$11,IF(C458&lt;='SOLLECITAZ NASCOSTO'!$P$10,IF(C458&lt;='SOLLECITAZ NASCOSTO'!$P$9,IF(C458&lt;='SOLLECITAZ NASCOSTO'!$P$8,IF(C458&lt;='SOLLECITAZ NASCOSTO'!$P$7,IF(C458&lt;='SOLLECITAZ NASCOSTO'!$P$6,IF(C458&lt;='SOLLECITAZ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28.611153229394972</v>
      </c>
      <c r="O459" s="42">
        <f>IF(C459&lt;='SOLLECITAZ NASCOSTO'!$P$12,IF(C459&lt;='SOLLECITAZ NASCOSTO'!$P$11,IF(C459&lt;='SOLLECITAZ NASCOSTO'!$P$10,IF(C459&lt;='SOLLECITAZ NASCOSTO'!$P$9,IF(C459&lt;='SOLLECITAZ NASCOSTO'!$P$8,IF(C459&lt;='SOLLECITAZ NASCOSTO'!$P$7,IF(C459&lt;='SOLLECITAZ NASCOSTO'!$P$6,IF(C459&lt;='SOLLECITAZ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slu'!$G$111),55555)*(C459-C458)/IF(C459&lt;='SOLLECITAZ NASCOSTO'!$P$12,IF(C459&lt;='SOLLECITAZ NASCOSTO'!$P$11,IF(C459&lt;='SOLLECITAZ NASCOSTO'!$P$10,IF(C459&lt;='SOLLECITAZ NASCOSTO'!$P$9,IF(C459&lt;='SOLLECITAZ NASCOSTO'!$P$8,IF(C459&lt;='SOLLECITAZ NASCOSTO'!$P$7,IF(C459&lt;='SOLLECITAZ NASCOSTO'!$P$6,IF(C459&lt;='SOLLECITAZ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59" s="42">
        <f t="shared" si="136"/>
        <v>4.2600000000000385E-4</v>
      </c>
      <c r="Q459" s="42">
        <f t="shared" si="134"/>
        <v>4.2600000000000385E-4</v>
      </c>
      <c r="R459" s="441">
        <f t="shared" si="127"/>
        <v>3.125</v>
      </c>
      <c r="S459" s="46" t="e">
        <f t="shared" si="135"/>
        <v>#N/A</v>
      </c>
      <c r="T459" s="211" t="e">
        <f t="shared" si="130"/>
        <v>#N/A</v>
      </c>
      <c r="U459" s="46">
        <f t="shared" si="132"/>
        <v>0</v>
      </c>
      <c r="V459" s="46">
        <f t="shared" si="133"/>
        <v>0</v>
      </c>
      <c r="W459" s="496"/>
    </row>
    <row r="460" spans="2:23" ht="18.75" customHeight="1" x14ac:dyDescent="0.25">
      <c r="B460" s="32">
        <f t="shared" si="110"/>
        <v>12</v>
      </c>
      <c r="C460" s="441">
        <f>$C$448+DATI!$E$74/'SOLLECITAZ NASCOSTO'!$B$468*'SOLLECITAZ NASCOSTO'!B460</f>
        <v>3.1500000000000004</v>
      </c>
      <c r="D460" s="1016"/>
      <c r="E460" s="1017"/>
      <c r="F460" s="1017"/>
      <c r="G460" s="1017"/>
      <c r="H460" s="1017"/>
      <c r="I460" s="1017"/>
      <c r="J460" s="1017"/>
      <c r="K460" s="1018"/>
      <c r="L460" s="42">
        <f t="shared" si="116"/>
        <v>48.724778305334624</v>
      </c>
      <c r="M460" s="42">
        <f t="shared" si="131"/>
        <v>-57.282970738244103</v>
      </c>
      <c r="N460" s="42">
        <f>(IF(C459&lt;='SOLLECITAZ NASCOSTO'!$P$12,IF(C459&lt;='SOLLECITAZ NASCOSTO'!$P$11,IF(C459&lt;='SOLLECITAZ NASCOSTO'!$P$10,IF(C459&lt;='SOLLECITAZ NASCOSTO'!$P$9,IF(C459&lt;='SOLLECITAZ NASCOSTO'!$P$8,IF(C459&lt;='SOLLECITAZ NASCOSTO'!$P$7,IF(C459&lt;='SOLLECITAZ NASCOSTO'!$P$6,IF(C459&lt;='SOLLECITAZ NASCOSTO'!$P$5,'Progetto del paramento slu'!$G$105,'Progetto del paramento slu'!$G$106),'Progetto del paramento slu'!$G$107),'Progetto del paramento slu'!$G$108),'Progetto del paramento slu'!$G$109),'Progetto del paramento slu'!$G$110),'Progetto del paramento slu'!$G$111),'Progetto del paramento slu'!$G$112),55555)-IF(C459&lt;='SOLLECITAZ NASCOSTO'!$P$12,IF(C459&lt;='SOLLECITAZ NASCOSTO'!$P$11,IF(C459&lt;='SOLLECITAZ NASCOSTO'!$P$10,IF(C459&lt;='SOLLECITAZ NASCOSTO'!$P$9,IF(C459&lt;='SOLLECITAZ NASCOSTO'!$P$8,IF(C459&lt;='SOLLECITAZ NASCOSTO'!$P$7,IF(C459&lt;='SOLLECITAZ NASCOSTO'!$P$6,IF(C459&lt;='SOLLECITAZ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slu'!$G$112))*(C459-IF(C459&lt;='SOLLECITAZ NASCOSTO'!$P$12,IF(C459&lt;='SOLLECITAZ NASCOSTO'!$P$11,IF(C459&lt;='SOLLECITAZ NASCOSTO'!$P$10,IF(C459&lt;='SOLLECITAZ NASCOSTO'!$P$9,IF(C459&lt;='SOLLECITAZ NASCOSTO'!$P$8,IF(C459&lt;='SOLLECITAZ NASCOSTO'!$P$7,IF(C459&lt;='SOLLECITAZ NASCOSTO'!$P$6,IF(C459&lt;='SOLLECITAZ NASCOSTO'!$P$5,'SOLLECITAZ NASCOSTO'!$P$3,'SOLLECITAZ NASCOSTO'!$P$5),'SOLLECITAZ NASCOSTO'!$P$5),'SOLLECITAZ NASCOSTO'!$P$7),'SOLLECITAZ NASCOSTO'!$P$8),'SOLLECITAZ NASCOSTO'!$P$9),'SOLLECITAZ NASCOSTO'!$P$10),'SOLLECITAZ NASCOSTO'!$P$11),'SOLLECITAZ NASCOSTO'!$P$12))/IF(C459&lt;='SOLLECITAZ NASCOSTO'!$P$12,IF(C459&lt;='SOLLECITAZ NASCOSTO'!$P$11,IF(C459&lt;='SOLLECITAZ NASCOSTO'!$P$10,IF(C459&lt;='SOLLECITAZ NASCOSTO'!$P$9,IF(C459&lt;='SOLLECITAZ NASCOSTO'!$P$8,IF(C459&lt;='SOLLECITAZ NASCOSTO'!$P$7,IF(C459&lt;='SOLLECITAZ NASCOSTO'!$P$6,IF(C459&lt;='SOLLECITAZ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slu'!$C$112)+IF(C459&lt;='SOLLECITAZ NASCOSTO'!$P$12,IF(C459&lt;='SOLLECITAZ NASCOSTO'!$P$11,IF(C459&lt;='SOLLECITAZ NASCOSTO'!$P$10,IF(C459&lt;='SOLLECITAZ NASCOSTO'!$P$9,IF(C459&lt;='SOLLECITAZ NASCOSTO'!$P$8,IF(C459&lt;='SOLLECITAZ NASCOSTO'!$P$7,IF(C459&lt;='SOLLECITAZ NASCOSTO'!$P$6,IF(C459&lt;='SOLLECITAZ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28.79438207461742</v>
      </c>
      <c r="O460" s="42">
        <f>IF(C460&lt;='SOLLECITAZ NASCOSTO'!$P$12,IF(C460&lt;='SOLLECITAZ NASCOSTO'!$P$11,IF(C460&lt;='SOLLECITAZ NASCOSTO'!$P$10,IF(C460&lt;='SOLLECITAZ NASCOSTO'!$P$9,IF(C460&lt;='SOLLECITAZ NASCOSTO'!$P$8,IF(C460&lt;='SOLLECITAZ NASCOSTO'!$P$7,IF(C460&lt;='SOLLECITAZ NASCOSTO'!$P$6,IF(C460&lt;='SOLLECITAZ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slu'!$G$111),55555)*(C460-C459)/IF(C460&lt;='SOLLECITAZ NASCOSTO'!$P$12,IF(C460&lt;='SOLLECITAZ NASCOSTO'!$P$11,IF(C460&lt;='SOLLECITAZ NASCOSTO'!$P$10,IF(C460&lt;='SOLLECITAZ NASCOSTO'!$P$9,IF(C460&lt;='SOLLECITAZ NASCOSTO'!$P$8,IF(C460&lt;='SOLLECITAZ NASCOSTO'!$P$7,IF(C460&lt;='SOLLECITAZ NASCOSTO'!$P$6,IF(C460&lt;='SOLLECITAZ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0.18322884522245067</v>
      </c>
      <c r="P460" s="42">
        <f t="shared" si="136"/>
        <v>4.2700000000000387E-4</v>
      </c>
      <c r="Q460" s="42">
        <f t="shared" si="134"/>
        <v>4.2700000000000387E-4</v>
      </c>
      <c r="R460" s="441">
        <f t="shared" si="127"/>
        <v>3.1500000000000004</v>
      </c>
      <c r="S460" s="46" t="e">
        <f t="shared" si="135"/>
        <v>#N/A</v>
      </c>
      <c r="T460" s="211" t="e">
        <f t="shared" si="130"/>
        <v>#N/A</v>
      </c>
      <c r="U460" s="46">
        <f t="shared" si="132"/>
        <v>0</v>
      </c>
      <c r="V460" s="46">
        <f t="shared" si="133"/>
        <v>0</v>
      </c>
    </row>
    <row r="461" spans="2:23" ht="18.75" customHeight="1" x14ac:dyDescent="0.25">
      <c r="B461" s="32">
        <f t="shared" si="110"/>
        <v>13</v>
      </c>
      <c r="C461" s="441">
        <f>$C$448+DATI!$E$74/'SOLLECITAZ NASCOSTO'!$B$468*'SOLLECITAZ NASCOSTO'!B461</f>
        <v>3.1750000000000003</v>
      </c>
      <c r="D461" s="1016"/>
      <c r="E461" s="1017"/>
      <c r="F461" s="1017"/>
      <c r="G461" s="1017"/>
      <c r="H461" s="1017"/>
      <c r="I461" s="1017"/>
      <c r="J461" s="1017"/>
      <c r="K461" s="1018"/>
      <c r="L461" s="42">
        <f t="shared" si="116"/>
        <v>49.451508938895898</v>
      </c>
      <c r="M461" s="42">
        <f t="shared" si="131"/>
        <v>-58.510174328796978</v>
      </c>
      <c r="N461" s="42">
        <f>(IF(C460&lt;='SOLLECITAZ NASCOSTO'!$P$12,IF(C460&lt;='SOLLECITAZ NASCOSTO'!$P$11,IF(C460&lt;='SOLLECITAZ NASCOSTO'!$P$10,IF(C460&lt;='SOLLECITAZ NASCOSTO'!$P$9,IF(C460&lt;='SOLLECITAZ NASCOSTO'!$P$8,IF(C460&lt;='SOLLECITAZ NASCOSTO'!$P$7,IF(C460&lt;='SOLLECITAZ NASCOSTO'!$P$6,IF(C460&lt;='SOLLECITAZ NASCOSTO'!$P$5,'Progetto del paramento slu'!$G$105,'Progetto del paramento slu'!$G$106),'Progetto del paramento slu'!$G$107),'Progetto del paramento slu'!$G$108),'Progetto del paramento slu'!$G$109),'Progetto del paramento slu'!$G$110),'Progetto del paramento slu'!$G$111),'Progetto del paramento slu'!$G$112),55555)-IF(C460&lt;='SOLLECITAZ NASCOSTO'!$P$12,IF(C460&lt;='SOLLECITAZ NASCOSTO'!$P$11,IF(C460&lt;='SOLLECITAZ NASCOSTO'!$P$10,IF(C460&lt;='SOLLECITAZ NASCOSTO'!$P$9,IF(C460&lt;='SOLLECITAZ NASCOSTO'!$P$8,IF(C460&lt;='SOLLECITAZ NASCOSTO'!$P$7,IF(C460&lt;='SOLLECITAZ NASCOSTO'!$P$6,IF(C460&lt;='SOLLECITAZ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slu'!$G$112))*(C460-IF(C460&lt;='SOLLECITAZ NASCOSTO'!$P$12,IF(C460&lt;='SOLLECITAZ NASCOSTO'!$P$11,IF(C460&lt;='SOLLECITAZ NASCOSTO'!$P$10,IF(C460&lt;='SOLLECITAZ NASCOSTO'!$P$9,IF(C460&lt;='SOLLECITAZ NASCOSTO'!$P$8,IF(C460&lt;='SOLLECITAZ NASCOSTO'!$P$7,IF(C460&lt;='SOLLECITAZ NASCOSTO'!$P$6,IF(C460&lt;='SOLLECITAZ NASCOSTO'!$P$5,'SOLLECITAZ NASCOSTO'!$P$3,'SOLLECITAZ NASCOSTO'!$P$5),'SOLLECITAZ NASCOSTO'!$P$5),'SOLLECITAZ NASCOSTO'!$P$7),'SOLLECITAZ NASCOSTO'!$P$8),'SOLLECITAZ NASCOSTO'!$P$9),'SOLLECITAZ NASCOSTO'!$P$10),'SOLLECITAZ NASCOSTO'!$P$11),'SOLLECITAZ NASCOSTO'!$P$12))/IF(C460&lt;='SOLLECITAZ NASCOSTO'!$P$12,IF(C460&lt;='SOLLECITAZ NASCOSTO'!$P$11,IF(C460&lt;='SOLLECITAZ NASCOSTO'!$P$10,IF(C460&lt;='SOLLECITAZ NASCOSTO'!$P$9,IF(C460&lt;='SOLLECITAZ NASCOSTO'!$P$8,IF(C460&lt;='SOLLECITAZ NASCOSTO'!$P$7,IF(C460&lt;='SOLLECITAZ NASCOSTO'!$P$6,IF(C460&lt;='SOLLECITAZ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slu'!$C$112)+IF(C460&lt;='SOLLECITAZ NASCOSTO'!$P$12,IF(C460&lt;='SOLLECITAZ NASCOSTO'!$P$11,IF(C460&lt;='SOLLECITAZ NASCOSTO'!$P$10,IF(C460&lt;='SOLLECITAZ NASCOSTO'!$P$9,IF(C460&lt;='SOLLECITAZ NASCOSTO'!$P$8,IF(C460&lt;='SOLLECITAZ NASCOSTO'!$P$7,IF(C460&lt;='SOLLECITAZ NASCOSTO'!$P$6,IF(C460&lt;='SOLLECITAZ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28.977610919839872</v>
      </c>
      <c r="O461" s="42">
        <f>IF(C461&lt;='SOLLECITAZ NASCOSTO'!$P$12,IF(C461&lt;='SOLLECITAZ NASCOSTO'!$P$11,IF(C461&lt;='SOLLECITAZ NASCOSTO'!$P$10,IF(C461&lt;='SOLLECITAZ NASCOSTO'!$P$9,IF(C461&lt;='SOLLECITAZ NASCOSTO'!$P$8,IF(C461&lt;='SOLLECITAZ NASCOSTO'!$P$7,IF(C461&lt;='SOLLECITAZ NASCOSTO'!$P$6,IF(C461&lt;='SOLLECITAZ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slu'!$G$111),55555)*(C461-C460)/IF(C461&lt;='SOLLECITAZ NASCOSTO'!$P$12,IF(C461&lt;='SOLLECITAZ NASCOSTO'!$P$11,IF(C461&lt;='SOLLECITAZ NASCOSTO'!$P$10,IF(C461&lt;='SOLLECITAZ NASCOSTO'!$P$9,IF(C461&lt;='SOLLECITAZ NASCOSTO'!$P$8,IF(C461&lt;='SOLLECITAZ NASCOSTO'!$P$7,IF(C461&lt;='SOLLECITAZ NASCOSTO'!$P$6,IF(C461&lt;='SOLLECITAZ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61" s="42">
        <f t="shared" si="136"/>
        <v>4.280000000000039E-4</v>
      </c>
      <c r="Q461" s="42">
        <f t="shared" si="134"/>
        <v>4.280000000000039E-4</v>
      </c>
      <c r="R461" s="441">
        <f t="shared" si="127"/>
        <v>3.1750000000000003</v>
      </c>
      <c r="S461" s="46" t="e">
        <f t="shared" si="135"/>
        <v>#N/A</v>
      </c>
      <c r="T461" s="211" t="e">
        <f t="shared" si="130"/>
        <v>#N/A</v>
      </c>
      <c r="U461" s="46">
        <f t="shared" si="132"/>
        <v>0</v>
      </c>
      <c r="V461" s="46">
        <f t="shared" si="133"/>
        <v>0</v>
      </c>
    </row>
    <row r="462" spans="2:23" ht="18.75" customHeight="1" x14ac:dyDescent="0.25">
      <c r="B462" s="32">
        <f t="shared" si="110"/>
        <v>14</v>
      </c>
      <c r="C462" s="441">
        <f>$C$448+DATI!$E$74/'SOLLECITAZ NASCOSTO'!$B$468*'SOLLECITAZ NASCOSTO'!B462</f>
        <v>3.2</v>
      </c>
      <c r="D462" s="1016"/>
      <c r="E462" s="1017"/>
      <c r="F462" s="1017"/>
      <c r="G462" s="1017"/>
      <c r="H462" s="1017"/>
      <c r="I462" s="1017"/>
      <c r="J462" s="1017"/>
      <c r="K462" s="1018"/>
      <c r="L462" s="42">
        <f t="shared" si="116"/>
        <v>50.182820293587739</v>
      </c>
      <c r="M462" s="42">
        <f t="shared" si="131"/>
        <v>-59.755603444203018</v>
      </c>
      <c r="N462" s="42">
        <f>(IF(C461&lt;='SOLLECITAZ NASCOSTO'!$P$12,IF(C461&lt;='SOLLECITAZ NASCOSTO'!$P$11,IF(C461&lt;='SOLLECITAZ NASCOSTO'!$P$10,IF(C461&lt;='SOLLECITAZ NASCOSTO'!$P$9,IF(C461&lt;='SOLLECITAZ NASCOSTO'!$P$8,IF(C461&lt;='SOLLECITAZ NASCOSTO'!$P$7,IF(C461&lt;='SOLLECITAZ NASCOSTO'!$P$6,IF(C461&lt;='SOLLECITAZ NASCOSTO'!$P$5,'Progetto del paramento slu'!$G$105,'Progetto del paramento slu'!$G$106),'Progetto del paramento slu'!$G$107),'Progetto del paramento slu'!$G$108),'Progetto del paramento slu'!$G$109),'Progetto del paramento slu'!$G$110),'Progetto del paramento slu'!$G$111),'Progetto del paramento slu'!$G$112),55555)-IF(C461&lt;='SOLLECITAZ NASCOSTO'!$P$12,IF(C461&lt;='SOLLECITAZ NASCOSTO'!$P$11,IF(C461&lt;='SOLLECITAZ NASCOSTO'!$P$10,IF(C461&lt;='SOLLECITAZ NASCOSTO'!$P$9,IF(C461&lt;='SOLLECITAZ NASCOSTO'!$P$8,IF(C461&lt;='SOLLECITAZ NASCOSTO'!$P$7,IF(C461&lt;='SOLLECITAZ NASCOSTO'!$P$6,IF(C461&lt;='SOLLECITAZ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slu'!$G$112))*(C461-IF(C461&lt;='SOLLECITAZ NASCOSTO'!$P$12,IF(C461&lt;='SOLLECITAZ NASCOSTO'!$P$11,IF(C461&lt;='SOLLECITAZ NASCOSTO'!$P$10,IF(C461&lt;='SOLLECITAZ NASCOSTO'!$P$9,IF(C461&lt;='SOLLECITAZ NASCOSTO'!$P$8,IF(C461&lt;='SOLLECITAZ NASCOSTO'!$P$7,IF(C461&lt;='SOLLECITAZ NASCOSTO'!$P$6,IF(C461&lt;='SOLLECITAZ NASCOSTO'!$P$5,'SOLLECITAZ NASCOSTO'!$P$3,'SOLLECITAZ NASCOSTO'!$P$5),'SOLLECITAZ NASCOSTO'!$P$5),'SOLLECITAZ NASCOSTO'!$P$7),'SOLLECITAZ NASCOSTO'!$P$8),'SOLLECITAZ NASCOSTO'!$P$9),'SOLLECITAZ NASCOSTO'!$P$10),'SOLLECITAZ NASCOSTO'!$P$11),'SOLLECITAZ NASCOSTO'!$P$12))/IF(C461&lt;='SOLLECITAZ NASCOSTO'!$P$12,IF(C461&lt;='SOLLECITAZ NASCOSTO'!$P$11,IF(C461&lt;='SOLLECITAZ NASCOSTO'!$P$10,IF(C461&lt;='SOLLECITAZ NASCOSTO'!$P$9,IF(C461&lt;='SOLLECITAZ NASCOSTO'!$P$8,IF(C461&lt;='SOLLECITAZ NASCOSTO'!$P$7,IF(C461&lt;='SOLLECITAZ NASCOSTO'!$P$6,IF(C461&lt;='SOLLECITAZ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slu'!$C$112)+IF(C461&lt;='SOLLECITAZ NASCOSTO'!$P$12,IF(C461&lt;='SOLLECITAZ NASCOSTO'!$P$11,IF(C461&lt;='SOLLECITAZ NASCOSTO'!$P$10,IF(C461&lt;='SOLLECITAZ NASCOSTO'!$P$9,IF(C461&lt;='SOLLECITAZ NASCOSTO'!$P$8,IF(C461&lt;='SOLLECITAZ NASCOSTO'!$P$7,IF(C461&lt;='SOLLECITAZ NASCOSTO'!$P$6,IF(C461&lt;='SOLLECITAZ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29.16083976506232</v>
      </c>
      <c r="O462" s="42">
        <f>IF(C462&lt;='SOLLECITAZ NASCOSTO'!$P$12,IF(C462&lt;='SOLLECITAZ NASCOSTO'!$P$11,IF(C462&lt;='SOLLECITAZ NASCOSTO'!$P$10,IF(C462&lt;='SOLLECITAZ NASCOSTO'!$P$9,IF(C462&lt;='SOLLECITAZ NASCOSTO'!$P$8,IF(C462&lt;='SOLLECITAZ NASCOSTO'!$P$7,IF(C462&lt;='SOLLECITAZ NASCOSTO'!$P$6,IF(C462&lt;='SOLLECITAZ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slu'!$G$111),55555)*(C462-C461)/IF(C462&lt;='SOLLECITAZ NASCOSTO'!$P$12,IF(C462&lt;='SOLLECITAZ NASCOSTO'!$P$11,IF(C462&lt;='SOLLECITAZ NASCOSTO'!$P$10,IF(C462&lt;='SOLLECITAZ NASCOSTO'!$P$9,IF(C462&lt;='SOLLECITAZ NASCOSTO'!$P$8,IF(C462&lt;='SOLLECITAZ NASCOSTO'!$P$7,IF(C462&lt;='SOLLECITAZ NASCOSTO'!$P$6,IF(C462&lt;='SOLLECITAZ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62" s="42">
        <f t="shared" si="136"/>
        <v>4.2900000000000392E-4</v>
      </c>
      <c r="Q462" s="42">
        <f t="shared" si="134"/>
        <v>4.2900000000000392E-4</v>
      </c>
      <c r="R462" s="441">
        <f t="shared" si="127"/>
        <v>3.2</v>
      </c>
      <c r="S462" s="46" t="e">
        <f t="shared" si="135"/>
        <v>#N/A</v>
      </c>
      <c r="T462" s="211" t="e">
        <f t="shared" si="130"/>
        <v>#N/A</v>
      </c>
      <c r="U462" s="46">
        <f t="shared" si="132"/>
        <v>0</v>
      </c>
      <c r="V462" s="46">
        <f t="shared" si="133"/>
        <v>0</v>
      </c>
    </row>
    <row r="463" spans="2:23" ht="18.75" customHeight="1" x14ac:dyDescent="0.25">
      <c r="B463" s="32">
        <f t="shared" si="110"/>
        <v>15</v>
      </c>
      <c r="C463" s="441">
        <f>$C$448+DATI!$E$74/'SOLLECITAZ NASCOSTO'!$B$468*'SOLLECITAZ NASCOSTO'!B463</f>
        <v>3.2250000000000001</v>
      </c>
      <c r="D463" s="1016"/>
      <c r="E463" s="1017"/>
      <c r="F463" s="1017"/>
      <c r="G463" s="1017"/>
      <c r="H463" s="1017"/>
      <c r="I463" s="1017"/>
      <c r="J463" s="1017"/>
      <c r="K463" s="1018"/>
      <c r="L463" s="42">
        <f t="shared" si="116"/>
        <v>50.918712369410137</v>
      </c>
      <c r="M463" s="42">
        <f t="shared" si="131"/>
        <v>-61.019372602490485</v>
      </c>
      <c r="N463" s="42">
        <f>(IF(C462&lt;='SOLLECITAZ NASCOSTO'!$P$12,IF(C462&lt;='SOLLECITAZ NASCOSTO'!$P$11,IF(C462&lt;='SOLLECITAZ NASCOSTO'!$P$10,IF(C462&lt;='SOLLECITAZ NASCOSTO'!$P$9,IF(C462&lt;='SOLLECITAZ NASCOSTO'!$P$8,IF(C462&lt;='SOLLECITAZ NASCOSTO'!$P$7,IF(C462&lt;='SOLLECITAZ NASCOSTO'!$P$6,IF(C462&lt;='SOLLECITAZ NASCOSTO'!$P$5,'Progetto del paramento slu'!$G$105,'Progetto del paramento slu'!$G$106),'Progetto del paramento slu'!$G$107),'Progetto del paramento slu'!$G$108),'Progetto del paramento slu'!$G$109),'Progetto del paramento slu'!$G$110),'Progetto del paramento slu'!$G$111),'Progetto del paramento slu'!$G$112),55555)-IF(C462&lt;='SOLLECITAZ NASCOSTO'!$P$12,IF(C462&lt;='SOLLECITAZ NASCOSTO'!$P$11,IF(C462&lt;='SOLLECITAZ NASCOSTO'!$P$10,IF(C462&lt;='SOLLECITAZ NASCOSTO'!$P$9,IF(C462&lt;='SOLLECITAZ NASCOSTO'!$P$8,IF(C462&lt;='SOLLECITAZ NASCOSTO'!$P$7,IF(C462&lt;='SOLLECITAZ NASCOSTO'!$P$6,IF(C462&lt;='SOLLECITAZ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slu'!$G$112))*(C462-IF(C462&lt;='SOLLECITAZ NASCOSTO'!$P$12,IF(C462&lt;='SOLLECITAZ NASCOSTO'!$P$11,IF(C462&lt;='SOLLECITAZ NASCOSTO'!$P$10,IF(C462&lt;='SOLLECITAZ NASCOSTO'!$P$9,IF(C462&lt;='SOLLECITAZ NASCOSTO'!$P$8,IF(C462&lt;='SOLLECITAZ NASCOSTO'!$P$7,IF(C462&lt;='SOLLECITAZ NASCOSTO'!$P$6,IF(C462&lt;='SOLLECITAZ NASCOSTO'!$P$5,'SOLLECITAZ NASCOSTO'!$P$3,'SOLLECITAZ NASCOSTO'!$P$5),'SOLLECITAZ NASCOSTO'!$P$5),'SOLLECITAZ NASCOSTO'!$P$7),'SOLLECITAZ NASCOSTO'!$P$8),'SOLLECITAZ NASCOSTO'!$P$9),'SOLLECITAZ NASCOSTO'!$P$10),'SOLLECITAZ NASCOSTO'!$P$11),'SOLLECITAZ NASCOSTO'!$P$12))/IF(C462&lt;='SOLLECITAZ NASCOSTO'!$P$12,IF(C462&lt;='SOLLECITAZ NASCOSTO'!$P$11,IF(C462&lt;='SOLLECITAZ NASCOSTO'!$P$10,IF(C462&lt;='SOLLECITAZ NASCOSTO'!$P$9,IF(C462&lt;='SOLLECITAZ NASCOSTO'!$P$8,IF(C462&lt;='SOLLECITAZ NASCOSTO'!$P$7,IF(C462&lt;='SOLLECITAZ NASCOSTO'!$P$6,IF(C462&lt;='SOLLECITAZ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slu'!$C$112)+IF(C462&lt;='SOLLECITAZ NASCOSTO'!$P$12,IF(C462&lt;='SOLLECITAZ NASCOSTO'!$P$11,IF(C462&lt;='SOLLECITAZ NASCOSTO'!$P$10,IF(C462&lt;='SOLLECITAZ NASCOSTO'!$P$9,IF(C462&lt;='SOLLECITAZ NASCOSTO'!$P$8,IF(C462&lt;='SOLLECITAZ NASCOSTO'!$P$7,IF(C462&lt;='SOLLECITAZ NASCOSTO'!$P$6,IF(C462&lt;='SOLLECITAZ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29.344068610284765</v>
      </c>
      <c r="O463" s="42">
        <f>IF(C463&lt;='SOLLECITAZ NASCOSTO'!$P$12,IF(C463&lt;='SOLLECITAZ NASCOSTO'!$P$11,IF(C463&lt;='SOLLECITAZ NASCOSTO'!$P$10,IF(C463&lt;='SOLLECITAZ NASCOSTO'!$P$9,IF(C463&lt;='SOLLECITAZ NASCOSTO'!$P$8,IF(C463&lt;='SOLLECITAZ NASCOSTO'!$P$7,IF(C463&lt;='SOLLECITAZ NASCOSTO'!$P$6,IF(C463&lt;='SOLLECITAZ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slu'!$G$111),55555)*(C463-C462)/IF(C463&lt;='SOLLECITAZ NASCOSTO'!$P$12,IF(C463&lt;='SOLLECITAZ NASCOSTO'!$P$11,IF(C463&lt;='SOLLECITAZ NASCOSTO'!$P$10,IF(C463&lt;='SOLLECITAZ NASCOSTO'!$P$9,IF(C463&lt;='SOLLECITAZ NASCOSTO'!$P$8,IF(C463&lt;='SOLLECITAZ NASCOSTO'!$P$7,IF(C463&lt;='SOLLECITAZ NASCOSTO'!$P$6,IF(C463&lt;='SOLLECITAZ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63" s="42">
        <f t="shared" si="136"/>
        <v>4.3000000000000395E-4</v>
      </c>
      <c r="Q463" s="42">
        <f t="shared" si="134"/>
        <v>4.3000000000000395E-4</v>
      </c>
      <c r="R463" s="441">
        <f t="shared" si="127"/>
        <v>3.2250000000000001</v>
      </c>
      <c r="S463" s="46" t="e">
        <f t="shared" si="135"/>
        <v>#N/A</v>
      </c>
      <c r="T463" s="211" t="e">
        <f t="shared" si="130"/>
        <v>#N/A</v>
      </c>
      <c r="U463" s="46">
        <f t="shared" si="132"/>
        <v>0</v>
      </c>
      <c r="V463" s="46">
        <f t="shared" si="133"/>
        <v>0</v>
      </c>
    </row>
    <row r="464" spans="2:23" ht="18.75" customHeight="1" x14ac:dyDescent="0.25">
      <c r="B464" s="32">
        <f t="shared" si="110"/>
        <v>16</v>
      </c>
      <c r="C464" s="441">
        <f>$C$448+DATI!$E$74/'SOLLECITAZ NASCOSTO'!$B$468*'SOLLECITAZ NASCOSTO'!B464</f>
        <v>3.25</v>
      </c>
      <c r="D464" s="1016"/>
      <c r="E464" s="1017"/>
      <c r="F464" s="1017"/>
      <c r="G464" s="1017"/>
      <c r="H464" s="1017"/>
      <c r="I464" s="1017"/>
      <c r="J464" s="1017"/>
      <c r="K464" s="1018"/>
      <c r="L464" s="42">
        <f t="shared" si="116"/>
        <v>51.659185166363095</v>
      </c>
      <c r="M464" s="42">
        <f t="shared" si="131"/>
        <v>-62.301596321687647</v>
      </c>
      <c r="N464" s="42">
        <f>(IF(C463&lt;='SOLLECITAZ NASCOSTO'!$P$12,IF(C463&lt;='SOLLECITAZ NASCOSTO'!$P$11,IF(C463&lt;='SOLLECITAZ NASCOSTO'!$P$10,IF(C463&lt;='SOLLECITAZ NASCOSTO'!$P$9,IF(C463&lt;='SOLLECITAZ NASCOSTO'!$P$8,IF(C463&lt;='SOLLECITAZ NASCOSTO'!$P$7,IF(C463&lt;='SOLLECITAZ NASCOSTO'!$P$6,IF(C463&lt;='SOLLECITAZ NASCOSTO'!$P$5,'Progetto del paramento slu'!$G$105,'Progetto del paramento slu'!$G$106),'Progetto del paramento slu'!$G$107),'Progetto del paramento slu'!$G$108),'Progetto del paramento slu'!$G$109),'Progetto del paramento slu'!$G$110),'Progetto del paramento slu'!$G$111),'Progetto del paramento slu'!$G$112),55555)-IF(C463&lt;='SOLLECITAZ NASCOSTO'!$P$12,IF(C463&lt;='SOLLECITAZ NASCOSTO'!$P$11,IF(C463&lt;='SOLLECITAZ NASCOSTO'!$P$10,IF(C463&lt;='SOLLECITAZ NASCOSTO'!$P$9,IF(C463&lt;='SOLLECITAZ NASCOSTO'!$P$8,IF(C463&lt;='SOLLECITAZ NASCOSTO'!$P$7,IF(C463&lt;='SOLLECITAZ NASCOSTO'!$P$6,IF(C463&lt;='SOLLECITAZ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slu'!$G$112))*(C463-IF(C463&lt;='SOLLECITAZ NASCOSTO'!$P$12,IF(C463&lt;='SOLLECITAZ NASCOSTO'!$P$11,IF(C463&lt;='SOLLECITAZ NASCOSTO'!$P$10,IF(C463&lt;='SOLLECITAZ NASCOSTO'!$P$9,IF(C463&lt;='SOLLECITAZ NASCOSTO'!$P$8,IF(C463&lt;='SOLLECITAZ NASCOSTO'!$P$7,IF(C463&lt;='SOLLECITAZ NASCOSTO'!$P$6,IF(C463&lt;='SOLLECITAZ NASCOSTO'!$P$5,'SOLLECITAZ NASCOSTO'!$P$3,'SOLLECITAZ NASCOSTO'!$P$5),'SOLLECITAZ NASCOSTO'!$P$5),'SOLLECITAZ NASCOSTO'!$P$7),'SOLLECITAZ NASCOSTO'!$P$8),'SOLLECITAZ NASCOSTO'!$P$9),'SOLLECITAZ NASCOSTO'!$P$10),'SOLLECITAZ NASCOSTO'!$P$11),'SOLLECITAZ NASCOSTO'!$P$12))/IF(C463&lt;='SOLLECITAZ NASCOSTO'!$P$12,IF(C463&lt;='SOLLECITAZ NASCOSTO'!$P$11,IF(C463&lt;='SOLLECITAZ NASCOSTO'!$P$10,IF(C463&lt;='SOLLECITAZ NASCOSTO'!$P$9,IF(C463&lt;='SOLLECITAZ NASCOSTO'!$P$8,IF(C463&lt;='SOLLECITAZ NASCOSTO'!$P$7,IF(C463&lt;='SOLLECITAZ NASCOSTO'!$P$6,IF(C463&lt;='SOLLECITAZ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slu'!$C$112)+IF(C463&lt;='SOLLECITAZ NASCOSTO'!$P$12,IF(C463&lt;='SOLLECITAZ NASCOSTO'!$P$11,IF(C463&lt;='SOLLECITAZ NASCOSTO'!$P$10,IF(C463&lt;='SOLLECITAZ NASCOSTO'!$P$9,IF(C463&lt;='SOLLECITAZ NASCOSTO'!$P$8,IF(C463&lt;='SOLLECITAZ NASCOSTO'!$P$7,IF(C463&lt;='SOLLECITAZ NASCOSTO'!$P$6,IF(C463&lt;='SOLLECITAZ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29.527297455507213</v>
      </c>
      <c r="O464" s="42">
        <f>IF(C464&lt;='SOLLECITAZ NASCOSTO'!$P$12,IF(C464&lt;='SOLLECITAZ NASCOSTO'!$P$11,IF(C464&lt;='SOLLECITAZ NASCOSTO'!$P$10,IF(C464&lt;='SOLLECITAZ NASCOSTO'!$P$9,IF(C464&lt;='SOLLECITAZ NASCOSTO'!$P$8,IF(C464&lt;='SOLLECITAZ NASCOSTO'!$P$7,IF(C464&lt;='SOLLECITAZ NASCOSTO'!$P$6,IF(C464&lt;='SOLLECITAZ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slu'!$G$111),55555)*(C464-C463)/IF(C464&lt;='SOLLECITAZ NASCOSTO'!$P$12,IF(C464&lt;='SOLLECITAZ NASCOSTO'!$P$11,IF(C464&lt;='SOLLECITAZ NASCOSTO'!$P$10,IF(C464&lt;='SOLLECITAZ NASCOSTO'!$P$9,IF(C464&lt;='SOLLECITAZ NASCOSTO'!$P$8,IF(C464&lt;='SOLLECITAZ NASCOSTO'!$P$7,IF(C464&lt;='SOLLECITAZ NASCOSTO'!$P$6,IF(C464&lt;='SOLLECITAZ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64" s="42">
        <f t="shared" si="136"/>
        <v>4.3100000000000397E-4</v>
      </c>
      <c r="Q464" s="42">
        <f t="shared" si="134"/>
        <v>4.3100000000000397E-4</v>
      </c>
      <c r="R464" s="441">
        <f t="shared" si="127"/>
        <v>3.25</v>
      </c>
      <c r="S464" s="46" t="e">
        <f t="shared" si="135"/>
        <v>#N/A</v>
      </c>
      <c r="T464" s="211" t="e">
        <f t="shared" si="130"/>
        <v>#N/A</v>
      </c>
      <c r="U464" s="46">
        <f t="shared" si="132"/>
        <v>0</v>
      </c>
      <c r="V464" s="46">
        <f t="shared" si="133"/>
        <v>0</v>
      </c>
    </row>
    <row r="465" spans="2:22" ht="18.75" customHeight="1" x14ac:dyDescent="0.25">
      <c r="B465" s="32">
        <f t="shared" si="110"/>
        <v>17</v>
      </c>
      <c r="C465" s="441">
        <f>$C$448+DATI!$E$74/'SOLLECITAZ NASCOSTO'!$B$468*'SOLLECITAZ NASCOSTO'!B465</f>
        <v>3.2750000000000004</v>
      </c>
      <c r="D465" s="1016"/>
      <c r="E465" s="1017"/>
      <c r="F465" s="1017"/>
      <c r="G465" s="1017"/>
      <c r="H465" s="1017"/>
      <c r="I465" s="1017"/>
      <c r="J465" s="1017"/>
      <c r="K465" s="1018"/>
      <c r="L465" s="42">
        <f t="shared" si="116"/>
        <v>52.404238684446632</v>
      </c>
      <c r="M465" s="42">
        <f t="shared" si="131"/>
        <v>-63.602389119822789</v>
      </c>
      <c r="N465" s="42">
        <f>(IF(C464&lt;='SOLLECITAZ NASCOSTO'!$P$12,IF(C464&lt;='SOLLECITAZ NASCOSTO'!$P$11,IF(C464&lt;='SOLLECITAZ NASCOSTO'!$P$10,IF(C464&lt;='SOLLECITAZ NASCOSTO'!$P$9,IF(C464&lt;='SOLLECITAZ NASCOSTO'!$P$8,IF(C464&lt;='SOLLECITAZ NASCOSTO'!$P$7,IF(C464&lt;='SOLLECITAZ NASCOSTO'!$P$6,IF(C464&lt;='SOLLECITAZ NASCOSTO'!$P$5,'Progetto del paramento slu'!$G$105,'Progetto del paramento slu'!$G$106),'Progetto del paramento slu'!$G$107),'Progetto del paramento slu'!$G$108),'Progetto del paramento slu'!$G$109),'Progetto del paramento slu'!$G$110),'Progetto del paramento slu'!$G$111),'Progetto del paramento slu'!$G$112),55555)-IF(C464&lt;='SOLLECITAZ NASCOSTO'!$P$12,IF(C464&lt;='SOLLECITAZ NASCOSTO'!$P$11,IF(C464&lt;='SOLLECITAZ NASCOSTO'!$P$10,IF(C464&lt;='SOLLECITAZ NASCOSTO'!$P$9,IF(C464&lt;='SOLLECITAZ NASCOSTO'!$P$8,IF(C464&lt;='SOLLECITAZ NASCOSTO'!$P$7,IF(C464&lt;='SOLLECITAZ NASCOSTO'!$P$6,IF(C464&lt;='SOLLECITAZ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slu'!$G$112))*(C464-IF(C464&lt;='SOLLECITAZ NASCOSTO'!$P$12,IF(C464&lt;='SOLLECITAZ NASCOSTO'!$P$11,IF(C464&lt;='SOLLECITAZ NASCOSTO'!$P$10,IF(C464&lt;='SOLLECITAZ NASCOSTO'!$P$9,IF(C464&lt;='SOLLECITAZ NASCOSTO'!$P$8,IF(C464&lt;='SOLLECITAZ NASCOSTO'!$P$7,IF(C464&lt;='SOLLECITAZ NASCOSTO'!$P$6,IF(C464&lt;='SOLLECITAZ NASCOSTO'!$P$5,'SOLLECITAZ NASCOSTO'!$P$3,'SOLLECITAZ NASCOSTO'!$P$5),'SOLLECITAZ NASCOSTO'!$P$5),'SOLLECITAZ NASCOSTO'!$P$7),'SOLLECITAZ NASCOSTO'!$P$8),'SOLLECITAZ NASCOSTO'!$P$9),'SOLLECITAZ NASCOSTO'!$P$10),'SOLLECITAZ NASCOSTO'!$P$11),'SOLLECITAZ NASCOSTO'!$P$12))/IF(C464&lt;='SOLLECITAZ NASCOSTO'!$P$12,IF(C464&lt;='SOLLECITAZ NASCOSTO'!$P$11,IF(C464&lt;='SOLLECITAZ NASCOSTO'!$P$10,IF(C464&lt;='SOLLECITAZ NASCOSTO'!$P$9,IF(C464&lt;='SOLLECITAZ NASCOSTO'!$P$8,IF(C464&lt;='SOLLECITAZ NASCOSTO'!$P$7,IF(C464&lt;='SOLLECITAZ NASCOSTO'!$P$6,IF(C464&lt;='SOLLECITAZ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slu'!$C$112)+IF(C464&lt;='SOLLECITAZ NASCOSTO'!$P$12,IF(C464&lt;='SOLLECITAZ NASCOSTO'!$P$11,IF(C464&lt;='SOLLECITAZ NASCOSTO'!$P$10,IF(C464&lt;='SOLLECITAZ NASCOSTO'!$P$9,IF(C464&lt;='SOLLECITAZ NASCOSTO'!$P$8,IF(C464&lt;='SOLLECITAZ NASCOSTO'!$P$7,IF(C464&lt;='SOLLECITAZ NASCOSTO'!$P$6,IF(C464&lt;='SOLLECITAZ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29.710526300729661</v>
      </c>
      <c r="O465" s="42">
        <f>IF(C465&lt;='SOLLECITAZ NASCOSTO'!$P$12,IF(C465&lt;='SOLLECITAZ NASCOSTO'!$P$11,IF(C465&lt;='SOLLECITAZ NASCOSTO'!$P$10,IF(C465&lt;='SOLLECITAZ NASCOSTO'!$P$9,IF(C465&lt;='SOLLECITAZ NASCOSTO'!$P$8,IF(C465&lt;='SOLLECITAZ NASCOSTO'!$P$7,IF(C465&lt;='SOLLECITAZ NASCOSTO'!$P$6,IF(C465&lt;='SOLLECITAZ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slu'!$G$111),55555)*(C465-C464)/IF(C465&lt;='SOLLECITAZ NASCOSTO'!$P$12,IF(C465&lt;='SOLLECITAZ NASCOSTO'!$P$11,IF(C465&lt;='SOLLECITAZ NASCOSTO'!$P$10,IF(C465&lt;='SOLLECITAZ NASCOSTO'!$P$9,IF(C465&lt;='SOLLECITAZ NASCOSTO'!$P$8,IF(C465&lt;='SOLLECITAZ NASCOSTO'!$P$7,IF(C465&lt;='SOLLECITAZ NASCOSTO'!$P$6,IF(C465&lt;='SOLLECITAZ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0.18322884522245067</v>
      </c>
      <c r="P465" s="42">
        <f t="shared" si="136"/>
        <v>4.32000000000004E-4</v>
      </c>
      <c r="Q465" s="42">
        <f t="shared" si="134"/>
        <v>4.32000000000004E-4</v>
      </c>
      <c r="R465" s="441">
        <f t="shared" si="127"/>
        <v>3.2750000000000004</v>
      </c>
      <c r="S465" s="46" t="e">
        <f t="shared" si="135"/>
        <v>#N/A</v>
      </c>
      <c r="T465" s="211" t="e">
        <f t="shared" si="130"/>
        <v>#N/A</v>
      </c>
      <c r="U465" s="46">
        <f t="shared" si="132"/>
        <v>0</v>
      </c>
      <c r="V465" s="46">
        <f t="shared" si="133"/>
        <v>0</v>
      </c>
    </row>
    <row r="466" spans="2:22" ht="18.75" customHeight="1" x14ac:dyDescent="0.25">
      <c r="B466" s="32">
        <f t="shared" si="110"/>
        <v>18</v>
      </c>
      <c r="C466" s="441">
        <f>$C$448+DATI!$E$74/'SOLLECITAZ NASCOSTO'!$B$468*'SOLLECITAZ NASCOSTO'!B466</f>
        <v>3.3000000000000003</v>
      </c>
      <c r="D466" s="1016"/>
      <c r="E466" s="1017"/>
      <c r="F466" s="1017"/>
      <c r="G466" s="1017"/>
      <c r="H466" s="1017"/>
      <c r="I466" s="1017"/>
      <c r="J466" s="1017"/>
      <c r="K466" s="1018"/>
      <c r="L466" s="42">
        <f t="shared" si="116"/>
        <v>53.153872923660714</v>
      </c>
      <c r="M466" s="42">
        <f t="shared" si="131"/>
        <v>-64.921865514924121</v>
      </c>
      <c r="N466" s="42">
        <f>(IF(C465&lt;='SOLLECITAZ NASCOSTO'!$P$12,IF(C465&lt;='SOLLECITAZ NASCOSTO'!$P$11,IF(C465&lt;='SOLLECITAZ NASCOSTO'!$P$10,IF(C465&lt;='SOLLECITAZ NASCOSTO'!$P$9,IF(C465&lt;='SOLLECITAZ NASCOSTO'!$P$8,IF(C465&lt;='SOLLECITAZ NASCOSTO'!$P$7,IF(C465&lt;='SOLLECITAZ NASCOSTO'!$P$6,IF(C465&lt;='SOLLECITAZ NASCOSTO'!$P$5,'Progetto del paramento slu'!$G$105,'Progetto del paramento slu'!$G$106),'Progetto del paramento slu'!$G$107),'Progetto del paramento slu'!$G$108),'Progetto del paramento slu'!$G$109),'Progetto del paramento slu'!$G$110),'Progetto del paramento slu'!$G$111),'Progetto del paramento slu'!$G$112),55555)-IF(C465&lt;='SOLLECITAZ NASCOSTO'!$P$12,IF(C465&lt;='SOLLECITAZ NASCOSTO'!$P$11,IF(C465&lt;='SOLLECITAZ NASCOSTO'!$P$10,IF(C465&lt;='SOLLECITAZ NASCOSTO'!$P$9,IF(C465&lt;='SOLLECITAZ NASCOSTO'!$P$8,IF(C465&lt;='SOLLECITAZ NASCOSTO'!$P$7,IF(C465&lt;='SOLLECITAZ NASCOSTO'!$P$6,IF(C465&lt;='SOLLECITAZ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slu'!$G$112))*(C465-IF(C465&lt;='SOLLECITAZ NASCOSTO'!$P$12,IF(C465&lt;='SOLLECITAZ NASCOSTO'!$P$11,IF(C465&lt;='SOLLECITAZ NASCOSTO'!$P$10,IF(C465&lt;='SOLLECITAZ NASCOSTO'!$P$9,IF(C465&lt;='SOLLECITAZ NASCOSTO'!$P$8,IF(C465&lt;='SOLLECITAZ NASCOSTO'!$P$7,IF(C465&lt;='SOLLECITAZ NASCOSTO'!$P$6,IF(C465&lt;='SOLLECITAZ NASCOSTO'!$P$5,'SOLLECITAZ NASCOSTO'!$P$3,'SOLLECITAZ NASCOSTO'!$P$5),'SOLLECITAZ NASCOSTO'!$P$5),'SOLLECITAZ NASCOSTO'!$P$7),'SOLLECITAZ NASCOSTO'!$P$8),'SOLLECITAZ NASCOSTO'!$P$9),'SOLLECITAZ NASCOSTO'!$P$10),'SOLLECITAZ NASCOSTO'!$P$11),'SOLLECITAZ NASCOSTO'!$P$12))/IF(C465&lt;='SOLLECITAZ NASCOSTO'!$P$12,IF(C465&lt;='SOLLECITAZ NASCOSTO'!$P$11,IF(C465&lt;='SOLLECITAZ NASCOSTO'!$P$10,IF(C465&lt;='SOLLECITAZ NASCOSTO'!$P$9,IF(C465&lt;='SOLLECITAZ NASCOSTO'!$P$8,IF(C465&lt;='SOLLECITAZ NASCOSTO'!$P$7,IF(C465&lt;='SOLLECITAZ NASCOSTO'!$P$6,IF(C465&lt;='SOLLECITAZ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slu'!$C$112)+IF(C465&lt;='SOLLECITAZ NASCOSTO'!$P$12,IF(C465&lt;='SOLLECITAZ NASCOSTO'!$P$11,IF(C465&lt;='SOLLECITAZ NASCOSTO'!$P$10,IF(C465&lt;='SOLLECITAZ NASCOSTO'!$P$9,IF(C465&lt;='SOLLECITAZ NASCOSTO'!$P$8,IF(C465&lt;='SOLLECITAZ NASCOSTO'!$P$7,IF(C465&lt;='SOLLECITAZ NASCOSTO'!$P$6,IF(C465&lt;='SOLLECITAZ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29.893755145952113</v>
      </c>
      <c r="O466" s="42">
        <f>IF(C466&lt;='SOLLECITAZ NASCOSTO'!$P$12,IF(C466&lt;='SOLLECITAZ NASCOSTO'!$P$11,IF(C466&lt;='SOLLECITAZ NASCOSTO'!$P$10,IF(C466&lt;='SOLLECITAZ NASCOSTO'!$P$9,IF(C466&lt;='SOLLECITAZ NASCOSTO'!$P$8,IF(C466&lt;='SOLLECITAZ NASCOSTO'!$P$7,IF(C466&lt;='SOLLECITAZ NASCOSTO'!$P$6,IF(C466&lt;='SOLLECITAZ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slu'!$G$111),55555)*(C466-C465)/IF(C466&lt;='SOLLECITAZ NASCOSTO'!$P$12,IF(C466&lt;='SOLLECITAZ NASCOSTO'!$P$11,IF(C466&lt;='SOLLECITAZ NASCOSTO'!$P$10,IF(C466&lt;='SOLLECITAZ NASCOSTO'!$P$9,IF(C466&lt;='SOLLECITAZ NASCOSTO'!$P$8,IF(C466&lt;='SOLLECITAZ NASCOSTO'!$P$7,IF(C466&lt;='SOLLECITAZ NASCOSTO'!$P$6,IF(C466&lt;='SOLLECITAZ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66" s="42">
        <f t="shared" si="136"/>
        <v>4.3300000000000402E-4</v>
      </c>
      <c r="Q466" s="42">
        <f t="shared" si="134"/>
        <v>4.3300000000000402E-4</v>
      </c>
      <c r="R466" s="441">
        <f t="shared" si="127"/>
        <v>3.3000000000000003</v>
      </c>
      <c r="S466" s="46" t="e">
        <f t="shared" si="135"/>
        <v>#N/A</v>
      </c>
      <c r="T466" s="211" t="e">
        <f t="shared" si="130"/>
        <v>#N/A</v>
      </c>
      <c r="U466" s="46">
        <f t="shared" si="132"/>
        <v>0</v>
      </c>
      <c r="V466" s="46">
        <f t="shared" si="133"/>
        <v>0</v>
      </c>
    </row>
    <row r="467" spans="2:22" ht="18.75" customHeight="1" x14ac:dyDescent="0.25">
      <c r="B467" s="32">
        <f t="shared" si="110"/>
        <v>19</v>
      </c>
      <c r="C467" s="441">
        <f>$C$448+DATI!$E$74/'SOLLECITAZ NASCOSTO'!$B$468*'SOLLECITAZ NASCOSTO'!B467</f>
        <v>3.3250000000000002</v>
      </c>
      <c r="D467" s="1016"/>
      <c r="E467" s="1017"/>
      <c r="F467" s="1017"/>
      <c r="G467" s="1017"/>
      <c r="H467" s="1017"/>
      <c r="I467" s="1017"/>
      <c r="J467" s="1017"/>
      <c r="K467" s="1018"/>
      <c r="L467" s="42">
        <f t="shared" si="116"/>
        <v>53.908087884005361</v>
      </c>
      <c r="M467" s="42">
        <f t="shared" si="131"/>
        <v>-66.260140025019936</v>
      </c>
      <c r="N467" s="42">
        <f>(IF(C466&lt;='SOLLECITAZ NASCOSTO'!$P$12,IF(C466&lt;='SOLLECITAZ NASCOSTO'!$P$11,IF(C466&lt;='SOLLECITAZ NASCOSTO'!$P$10,IF(C466&lt;='SOLLECITAZ NASCOSTO'!$P$9,IF(C466&lt;='SOLLECITAZ NASCOSTO'!$P$8,IF(C466&lt;='SOLLECITAZ NASCOSTO'!$P$7,IF(C466&lt;='SOLLECITAZ NASCOSTO'!$P$6,IF(C466&lt;='SOLLECITAZ NASCOSTO'!$P$5,'Progetto del paramento slu'!$G$105,'Progetto del paramento slu'!$G$106),'Progetto del paramento slu'!$G$107),'Progetto del paramento slu'!$G$108),'Progetto del paramento slu'!$G$109),'Progetto del paramento slu'!$G$110),'Progetto del paramento slu'!$G$111),'Progetto del paramento slu'!$G$112),55555)-IF(C466&lt;='SOLLECITAZ NASCOSTO'!$P$12,IF(C466&lt;='SOLLECITAZ NASCOSTO'!$P$11,IF(C466&lt;='SOLLECITAZ NASCOSTO'!$P$10,IF(C466&lt;='SOLLECITAZ NASCOSTO'!$P$9,IF(C466&lt;='SOLLECITAZ NASCOSTO'!$P$8,IF(C466&lt;='SOLLECITAZ NASCOSTO'!$P$7,IF(C466&lt;='SOLLECITAZ NASCOSTO'!$P$6,IF(C466&lt;='SOLLECITAZ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slu'!$G$112))*(C466-IF(C466&lt;='SOLLECITAZ NASCOSTO'!$P$12,IF(C466&lt;='SOLLECITAZ NASCOSTO'!$P$11,IF(C466&lt;='SOLLECITAZ NASCOSTO'!$P$10,IF(C466&lt;='SOLLECITAZ NASCOSTO'!$P$9,IF(C466&lt;='SOLLECITAZ NASCOSTO'!$P$8,IF(C466&lt;='SOLLECITAZ NASCOSTO'!$P$7,IF(C466&lt;='SOLLECITAZ NASCOSTO'!$P$6,IF(C466&lt;='SOLLECITAZ NASCOSTO'!$P$5,'SOLLECITAZ NASCOSTO'!$P$3,'SOLLECITAZ NASCOSTO'!$P$5),'SOLLECITAZ NASCOSTO'!$P$5),'SOLLECITAZ NASCOSTO'!$P$7),'SOLLECITAZ NASCOSTO'!$P$8),'SOLLECITAZ NASCOSTO'!$P$9),'SOLLECITAZ NASCOSTO'!$P$10),'SOLLECITAZ NASCOSTO'!$P$11),'SOLLECITAZ NASCOSTO'!$P$12))/IF(C466&lt;='SOLLECITAZ NASCOSTO'!$P$12,IF(C466&lt;='SOLLECITAZ NASCOSTO'!$P$11,IF(C466&lt;='SOLLECITAZ NASCOSTO'!$P$10,IF(C466&lt;='SOLLECITAZ NASCOSTO'!$P$9,IF(C466&lt;='SOLLECITAZ NASCOSTO'!$P$8,IF(C466&lt;='SOLLECITAZ NASCOSTO'!$P$7,IF(C466&lt;='SOLLECITAZ NASCOSTO'!$P$6,IF(C466&lt;='SOLLECITAZ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slu'!$C$112)+IF(C466&lt;='SOLLECITAZ NASCOSTO'!$P$12,IF(C466&lt;='SOLLECITAZ NASCOSTO'!$P$11,IF(C466&lt;='SOLLECITAZ NASCOSTO'!$P$10,IF(C466&lt;='SOLLECITAZ NASCOSTO'!$P$9,IF(C466&lt;='SOLLECITAZ NASCOSTO'!$P$8,IF(C466&lt;='SOLLECITAZ NASCOSTO'!$P$7,IF(C466&lt;='SOLLECITAZ NASCOSTO'!$P$6,IF(C466&lt;='SOLLECITAZ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30.076983991174558</v>
      </c>
      <c r="O467" s="42">
        <f>IF(C467&lt;='SOLLECITAZ NASCOSTO'!$P$12,IF(C467&lt;='SOLLECITAZ NASCOSTO'!$P$11,IF(C467&lt;='SOLLECITAZ NASCOSTO'!$P$10,IF(C467&lt;='SOLLECITAZ NASCOSTO'!$P$9,IF(C467&lt;='SOLLECITAZ NASCOSTO'!$P$8,IF(C467&lt;='SOLLECITAZ NASCOSTO'!$P$7,IF(C467&lt;='SOLLECITAZ NASCOSTO'!$P$6,IF(C467&lt;='SOLLECITAZ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slu'!$G$111),55555)*(C467-C466)/IF(C467&lt;='SOLLECITAZ NASCOSTO'!$P$12,IF(C467&lt;='SOLLECITAZ NASCOSTO'!$P$11,IF(C467&lt;='SOLLECITAZ NASCOSTO'!$P$10,IF(C467&lt;='SOLLECITAZ NASCOSTO'!$P$9,IF(C467&lt;='SOLLECITAZ NASCOSTO'!$P$8,IF(C467&lt;='SOLLECITAZ NASCOSTO'!$P$7,IF(C467&lt;='SOLLECITAZ NASCOSTO'!$P$6,IF(C467&lt;='SOLLECITAZ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67" s="42">
        <f t="shared" si="136"/>
        <v>4.3400000000000404E-4</v>
      </c>
      <c r="Q467" s="42">
        <f t="shared" si="134"/>
        <v>4.3400000000000404E-4</v>
      </c>
      <c r="R467" s="441">
        <f t="shared" si="127"/>
        <v>3.3250000000000002</v>
      </c>
      <c r="S467" s="46" t="e">
        <f t="shared" si="135"/>
        <v>#N/A</v>
      </c>
      <c r="T467" s="211" t="e">
        <f t="shared" si="130"/>
        <v>#N/A</v>
      </c>
      <c r="U467" s="46">
        <f t="shared" si="132"/>
        <v>0</v>
      </c>
      <c r="V467" s="46">
        <f t="shared" si="133"/>
        <v>0</v>
      </c>
    </row>
    <row r="468" spans="2:22" ht="18.75" customHeight="1" x14ac:dyDescent="0.25">
      <c r="B468" s="32">
        <f t="shared" si="110"/>
        <v>20</v>
      </c>
      <c r="C468" s="441">
        <f>$C$448+DATI!$E$74/'SOLLECITAZ NASCOSTO'!$B$468*'SOLLECITAZ NASCOSTO'!B468</f>
        <v>3.35</v>
      </c>
      <c r="D468" s="1019"/>
      <c r="E468" s="1020"/>
      <c r="F468" s="1020"/>
      <c r="G468" s="1020"/>
      <c r="H468" s="1020"/>
      <c r="I468" s="1020"/>
      <c r="J468" s="1020"/>
      <c r="K468" s="1021"/>
      <c r="L468" s="42">
        <f>L467+N468*(C468-C467)+O468*(C468-C467)/2</f>
        <v>54.666883565480568</v>
      </c>
      <c r="M468" s="42">
        <f t="shared" si="131"/>
        <v>-67.617327168138502</v>
      </c>
      <c r="N468" s="42">
        <f>(IF(C467&lt;='SOLLECITAZ NASCOSTO'!$P$12,IF(C467&lt;='SOLLECITAZ NASCOSTO'!$P$11,IF(C467&lt;='SOLLECITAZ NASCOSTO'!$P$10,IF(C467&lt;='SOLLECITAZ NASCOSTO'!$P$9,IF(C467&lt;='SOLLECITAZ NASCOSTO'!$P$8,IF(C467&lt;='SOLLECITAZ NASCOSTO'!$P$7,IF(C467&lt;='SOLLECITAZ NASCOSTO'!$P$6,IF(C467&lt;='SOLLECITAZ NASCOSTO'!$P$5,'Progetto del paramento slu'!$G$105,'Progetto del paramento slu'!$G$106),'Progetto del paramento slu'!$G$107),'Progetto del paramento slu'!$G$108),'Progetto del paramento slu'!$G$109),'Progetto del paramento slu'!$G$110),'Progetto del paramento slu'!$G$111),'Progetto del paramento slu'!$G$112),55555)-IF(C467&lt;='SOLLECITAZ NASCOSTO'!$P$12,IF(C467&lt;='SOLLECITAZ NASCOSTO'!$P$11,IF(C467&lt;='SOLLECITAZ NASCOSTO'!$P$10,IF(C467&lt;='SOLLECITAZ NASCOSTO'!$P$9,IF(C467&lt;='SOLLECITAZ NASCOSTO'!$P$8,IF(C467&lt;='SOLLECITAZ NASCOSTO'!$P$7,IF(C467&lt;='SOLLECITAZ NASCOSTO'!$P$6,IF(C467&lt;='SOLLECITAZ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slu'!$G$112))*(C467-IF(C467&lt;='SOLLECITAZ NASCOSTO'!$P$12,IF(C467&lt;='SOLLECITAZ NASCOSTO'!$P$11,IF(C467&lt;='SOLLECITAZ NASCOSTO'!$P$10,IF(C467&lt;='SOLLECITAZ NASCOSTO'!$P$9,IF(C467&lt;='SOLLECITAZ NASCOSTO'!$P$8,IF(C467&lt;='SOLLECITAZ NASCOSTO'!$P$7,IF(C467&lt;='SOLLECITAZ NASCOSTO'!$P$6,IF(C467&lt;='SOLLECITAZ NASCOSTO'!$P$5,'SOLLECITAZ NASCOSTO'!$P$3,'SOLLECITAZ NASCOSTO'!$P$5),'SOLLECITAZ NASCOSTO'!$P$5),'SOLLECITAZ NASCOSTO'!$P$7),'SOLLECITAZ NASCOSTO'!$P$8),'SOLLECITAZ NASCOSTO'!$P$9),'SOLLECITAZ NASCOSTO'!$P$10),'SOLLECITAZ NASCOSTO'!$P$11),'SOLLECITAZ NASCOSTO'!$P$12))/IF(C467&lt;='SOLLECITAZ NASCOSTO'!$P$12,IF(C467&lt;='SOLLECITAZ NASCOSTO'!$P$11,IF(C467&lt;='SOLLECITAZ NASCOSTO'!$P$10,IF(C467&lt;='SOLLECITAZ NASCOSTO'!$P$9,IF(C467&lt;='SOLLECITAZ NASCOSTO'!$P$8,IF(C467&lt;='SOLLECITAZ NASCOSTO'!$P$7,IF(C467&lt;='SOLLECITAZ NASCOSTO'!$P$6,IF(C467&lt;='SOLLECITAZ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slu'!$C$112)+IF(C467&lt;='SOLLECITAZ NASCOSTO'!$P$12,IF(C467&lt;='SOLLECITAZ NASCOSTO'!$P$11,IF(C467&lt;='SOLLECITAZ NASCOSTO'!$P$10,IF(C467&lt;='SOLLECITAZ NASCOSTO'!$P$9,IF(C467&lt;='SOLLECITAZ NASCOSTO'!$P$8,IF(C467&lt;='SOLLECITAZ NASCOSTO'!$P$7,IF(C467&lt;='SOLLECITAZ NASCOSTO'!$P$6,IF(C467&lt;='SOLLECITAZ NASCOSTO'!$P$5,'Progetto del paramento slu'!$G$104,'Progetto del paramento slu'!$G$105),'Progetto del paramento slu'!$G$105),'Progetto del paramento slu'!$G$107),'Progetto del paramento slu'!$G$108),'Progetto del paramento slu'!$G$109),'Progetto del paramento slu'!$G$110),'Progetto del paramento slu'!$G$111),'Progetto del paramento slu'!$G$112)</f>
        <v>30.260212836397006</v>
      </c>
      <c r="O468" s="42">
        <f>IF(C468&lt;='SOLLECITAZ NASCOSTO'!$P$12,IF(C468&lt;='SOLLECITAZ NASCOSTO'!$P$11,IF(C468&lt;='SOLLECITAZ NASCOSTO'!$P$10,IF(C468&lt;='SOLLECITAZ NASCOSTO'!$P$9,IF(C468&lt;='SOLLECITAZ NASCOSTO'!$P$8,IF(C468&lt;='SOLLECITAZ NASCOSTO'!$P$7,IF(C468&lt;='SOLLECITAZ NASCOSTO'!$P$6,IF(C468&lt;='SOLLECITAZ NASCOSTO'!$P$5,'Progetto del paramento slu'!$G$105-'Progetto del paramento slu'!$G$104,'Progetto del paramento slu'!$G$106-'Progetto del paramento slu'!$G$105),'Progetto del paramento slu'!$G$107-'Progetto del paramento slu'!$G$106),'Progetto del paramento slu'!$G$108-'Progetto del paramento slu'!$G$107),'Progetto del paramento slu'!$G$109-'Progetto del paramento slu'!$G$108),'Progetto del paramento slu'!$G$110-'Progetto del paramento slu'!$G$109),'Progetto del paramento slu'!$G$111-'Progetto del paramento slu'!$G$110),'Progetto del paramento slu'!$G$112-'Progetto del paramento slu'!$G$111),55555)*(C468-C467)/IF(C468&lt;='SOLLECITAZ NASCOSTO'!$P$12,IF(C468&lt;='SOLLECITAZ NASCOSTO'!$P$11,IF(C468&lt;='SOLLECITAZ NASCOSTO'!$P$10,IF(C468&lt;='SOLLECITAZ NASCOSTO'!$P$9,IF(C468&lt;='SOLLECITAZ NASCOSTO'!$P$8,IF(C468&lt;='SOLLECITAZ NASCOSTO'!$P$7,IF(C468&lt;='SOLLECITAZ NASCOSTO'!$P$6,IF(C468&lt;='SOLLECITAZ NASCOSTO'!$P$5,'Progetto del paramento slu'!$C$105,'Progetto del paramento slu'!$C$106),'Progetto del paramento slu'!$C$107),'Progetto del paramento slu'!$C$108),'Progetto del paramento slu'!$C$109),'Progetto del paramento slu'!$C$110),'Progetto del paramento slu'!$C$111),'Progetto del paramento slu'!$C$112),'Progetto del paramento slu'!$C$112)</f>
        <v>0.18322884522244742</v>
      </c>
      <c r="P468" s="42">
        <f t="shared" si="136"/>
        <v>4.3500000000000407E-4</v>
      </c>
      <c r="Q468" s="42">
        <f t="shared" si="134"/>
        <v>4.3500000000000407E-4</v>
      </c>
      <c r="R468" s="441">
        <f t="shared" si="127"/>
        <v>3.35</v>
      </c>
      <c r="S468" s="46" t="e">
        <f t="shared" si="135"/>
        <v>#N/A</v>
      </c>
      <c r="T468" s="211" t="e">
        <f t="shared" si="130"/>
        <v>#N/A</v>
      </c>
      <c r="U468" s="46">
        <f t="shared" si="132"/>
        <v>0</v>
      </c>
      <c r="V468" s="46">
        <f t="shared" si="133"/>
        <v>0</v>
      </c>
    </row>
  </sheetData>
  <customSheetViews>
    <customSheetView guid="{5E8F20A8-8220-4169-B947-2AB764A2AA7B}" scale="80" state="hidden" topLeftCell="V80">
      <selection activeCell="AA88" sqref="AA88"/>
      <pageMargins left="0.7" right="0.7" top="0.75" bottom="0.75" header="0.3" footer="0.3"/>
      <pageSetup paperSize="9" orientation="portrait" r:id="rId1"/>
    </customSheetView>
    <customSheetView guid="{9F540994-A66B-4083-BD64-035E71878618}" scale="93" state="hidden" topLeftCell="F1">
      <selection activeCell="C448" sqref="C447:R448"/>
      <pageMargins left="0.7" right="0.7" top="0.75" bottom="0.75" header="0.3" footer="0.3"/>
      <pageSetup paperSize="9" orientation="portrait" r:id="rId2"/>
    </customSheetView>
  </customSheetViews>
  <mergeCells count="12">
    <mergeCell ref="P1:P3"/>
    <mergeCell ref="S20:V20"/>
    <mergeCell ref="X81:Z81"/>
    <mergeCell ref="AA93:AA94"/>
    <mergeCell ref="Y96:Z96"/>
    <mergeCell ref="D449:K468"/>
    <mergeCell ref="D23:K31"/>
    <mergeCell ref="A7:A8"/>
    <mergeCell ref="B2:D2"/>
    <mergeCell ref="A20:O20"/>
    <mergeCell ref="K3:K5"/>
    <mergeCell ref="L3:L5"/>
  </mergeCells>
  <dataValidations disablePrompts="1" count="1">
    <dataValidation type="list" allowBlank="1" showInputMessage="1" showErrorMessage="1" sqref="H7 H9">
      <formula1>tfit</formula1>
    </dataValidation>
  </dataValidations>
  <pageMargins left="0.7" right="0.7" top="0.75" bottom="0.75" header="0.3" footer="0.3"/>
  <pageSetup paperSize="9" orientation="portrait" r:id="rId3"/>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V2739"/>
  <sheetViews>
    <sheetView topLeftCell="J1" zoomScale="44" zoomScaleNormal="44" workbookViewId="0">
      <selection activeCell="AG48" sqref="AG48"/>
    </sheetView>
  </sheetViews>
  <sheetFormatPr defaultRowHeight="15" x14ac:dyDescent="0.25"/>
  <cols>
    <col min="1" max="9" width="11.28515625" customWidth="1"/>
    <col min="10" max="10" width="12.140625" customWidth="1"/>
    <col min="11" max="15" width="11.28515625" customWidth="1"/>
    <col min="16" max="22" width="14.85546875" style="428" customWidth="1"/>
    <col min="23" max="24" width="11.28515625" style="428" customWidth="1"/>
    <col min="28" max="28" width="12.85546875" customWidth="1"/>
    <col min="30" max="30" width="12.5703125" customWidth="1"/>
  </cols>
  <sheetData>
    <row r="2" spans="1:48" ht="15.75" x14ac:dyDescent="0.25">
      <c r="A2" s="1035" t="s">
        <v>918</v>
      </c>
      <c r="B2" s="1036"/>
      <c r="C2" s="1036"/>
      <c r="D2" s="1036"/>
      <c r="E2" s="1036"/>
      <c r="F2" s="1036"/>
      <c r="G2" s="1036"/>
      <c r="H2" s="1036"/>
      <c r="I2" s="1036"/>
      <c r="J2" s="1036"/>
      <c r="K2" s="1036"/>
      <c r="L2" s="1036"/>
      <c r="M2" s="1036"/>
      <c r="N2" s="1036"/>
      <c r="O2" s="1037"/>
      <c r="P2" s="613"/>
      <c r="Q2" s="613"/>
      <c r="R2" s="613"/>
      <c r="S2" s="613"/>
      <c r="T2" s="613"/>
      <c r="U2" s="613"/>
      <c r="V2" s="613"/>
      <c r="W2" s="613"/>
      <c r="X2" s="613"/>
      <c r="Z2" s="967" t="s">
        <v>21</v>
      </c>
      <c r="AA2" s="1038" t="s">
        <v>932</v>
      </c>
      <c r="AB2" s="963" t="s">
        <v>134</v>
      </c>
      <c r="AC2" s="428" t="s">
        <v>961</v>
      </c>
      <c r="AH2" s="1042" t="s">
        <v>978</v>
      </c>
      <c r="AI2" s="1042"/>
      <c r="AJ2" s="1042"/>
      <c r="AK2" s="1042"/>
      <c r="AL2" s="1042"/>
      <c r="AM2" s="1042"/>
      <c r="AN2" s="1042"/>
      <c r="AP2" s="1042" t="s">
        <v>979</v>
      </c>
      <c r="AQ2" s="1042"/>
      <c r="AR2" s="1042"/>
      <c r="AS2" s="1042"/>
      <c r="AT2" s="1042"/>
      <c r="AU2" s="1042"/>
      <c r="AV2" s="1042"/>
    </row>
    <row r="3" spans="1:48" x14ac:dyDescent="0.25">
      <c r="A3" s="529">
        <v>1</v>
      </c>
      <c r="B3" s="529">
        <v>2</v>
      </c>
      <c r="C3" s="529">
        <v>3</v>
      </c>
      <c r="D3" s="529">
        <v>4</v>
      </c>
      <c r="E3" s="529">
        <v>5</v>
      </c>
      <c r="F3" s="529">
        <v>6</v>
      </c>
      <c r="G3" s="529">
        <v>7</v>
      </c>
      <c r="H3" s="529">
        <v>8</v>
      </c>
      <c r="I3" s="529">
        <v>9</v>
      </c>
      <c r="J3" s="529">
        <v>10</v>
      </c>
      <c r="K3" s="529">
        <v>11</v>
      </c>
      <c r="L3" s="529">
        <v>12</v>
      </c>
      <c r="M3" s="529">
        <v>13</v>
      </c>
      <c r="N3" s="529">
        <v>14</v>
      </c>
      <c r="O3" s="529">
        <v>15</v>
      </c>
      <c r="P3" s="606">
        <v>4</v>
      </c>
      <c r="Q3" s="606">
        <v>5</v>
      </c>
      <c r="R3" s="606">
        <v>6</v>
      </c>
      <c r="S3" s="606">
        <v>7</v>
      </c>
      <c r="T3" s="606">
        <v>8</v>
      </c>
      <c r="U3" s="606">
        <v>9</v>
      </c>
      <c r="V3" s="606">
        <v>10</v>
      </c>
      <c r="W3" s="47"/>
      <c r="X3" s="47"/>
      <c r="Z3" s="968"/>
      <c r="AA3" s="1039"/>
      <c r="AB3" s="963"/>
      <c r="AC3" s="428" t="s">
        <v>962</v>
      </c>
      <c r="AH3" s="1042"/>
      <c r="AI3" s="1042"/>
      <c r="AJ3" s="1042"/>
      <c r="AK3" s="1042"/>
      <c r="AL3" s="1042"/>
      <c r="AM3" s="1042"/>
      <c r="AN3" s="1042"/>
      <c r="AP3" s="1042"/>
      <c r="AQ3" s="1042"/>
      <c r="AR3" s="1042"/>
      <c r="AS3" s="1042"/>
      <c r="AT3" s="1042"/>
      <c r="AU3" s="1042"/>
      <c r="AV3" s="1042"/>
    </row>
    <row r="4" spans="1:48" x14ac:dyDescent="0.25">
      <c r="A4" s="438" t="s">
        <v>929</v>
      </c>
      <c r="B4" s="83" t="s">
        <v>1022</v>
      </c>
      <c r="C4" s="529" t="s">
        <v>134</v>
      </c>
      <c r="D4" s="529" t="s">
        <v>911</v>
      </c>
      <c r="E4" s="529" t="s">
        <v>912</v>
      </c>
      <c r="F4" s="529" t="s">
        <v>913</v>
      </c>
      <c r="G4" s="529" t="s">
        <v>914</v>
      </c>
      <c r="H4" s="529" t="s">
        <v>915</v>
      </c>
      <c r="I4" s="529" t="s">
        <v>916</v>
      </c>
      <c r="J4" s="560" t="s">
        <v>910</v>
      </c>
      <c r="K4" s="438" t="s">
        <v>923</v>
      </c>
      <c r="L4" s="438" t="s">
        <v>924</v>
      </c>
      <c r="M4" s="438" t="s">
        <v>925</v>
      </c>
      <c r="N4" s="438" t="s">
        <v>926</v>
      </c>
      <c r="O4" s="438" t="s">
        <v>927</v>
      </c>
      <c r="P4" s="606" t="s">
        <v>293</v>
      </c>
      <c r="Q4" s="606" t="s">
        <v>968</v>
      </c>
      <c r="R4" s="606" t="s">
        <v>969</v>
      </c>
      <c r="S4" s="606" t="s">
        <v>970</v>
      </c>
      <c r="T4" s="606" t="s">
        <v>971</v>
      </c>
      <c r="U4" s="606" t="s">
        <v>972</v>
      </c>
      <c r="V4" s="607" t="s">
        <v>1021</v>
      </c>
      <c r="W4" s="58"/>
      <c r="X4" s="58"/>
      <c r="Z4" s="571">
        <v>0</v>
      </c>
      <c r="AA4" s="546">
        <f>MINA(sezione!A5:A247)</f>
        <v>5616.7482966182288</v>
      </c>
      <c r="AB4" s="546">
        <f>VLOOKUP(sezione!$AA$4,sezione!$A$5:$O$247,3,FALSE)</f>
        <v>49.120433017591289</v>
      </c>
      <c r="AH4" s="1043"/>
      <c r="AI4" s="1043"/>
      <c r="AJ4" s="1043"/>
      <c r="AK4" s="1043"/>
      <c r="AL4" s="1043"/>
      <c r="AM4" s="1043"/>
      <c r="AN4" s="1043"/>
      <c r="AP4" s="1043"/>
      <c r="AQ4" s="1043"/>
      <c r="AR4" s="1043"/>
      <c r="AS4" s="1043"/>
      <c r="AT4" s="1043"/>
      <c r="AU4" s="1043"/>
      <c r="AV4" s="1043"/>
    </row>
    <row r="5" spans="1:48" x14ac:dyDescent="0.25">
      <c r="A5" s="553">
        <f>ABS(V5)</f>
        <v>686638.5133717166</v>
      </c>
      <c r="B5" s="3">
        <v>0</v>
      </c>
      <c r="C5" s="42">
        <v>0.01</v>
      </c>
      <c r="D5" s="611">
        <f>-'Progetto del paramento slu'!$G$47*'Progetto del paramento slu'!$G$41*IF(DATI!$G$218="dx",DATI!$E$61,DATI!$E$64*DATI!$E$63)*1000*C5^2*sezione!$AD$5*(1-sezione!$AD$6)</f>
        <v>-0.82319997600000006</v>
      </c>
      <c r="E5" s="553">
        <f>-'Foglio deposito bis'!$F$48*(C5-sezione!$AL$27)*IF(ABS(K5)&lt;'Progetto del paramento slu'!$G$58,ABS(K5)*'Progetto del paramento slu'!$G$54,'Progetto del paramento slu'!$G$53)</f>
        <v>0</v>
      </c>
      <c r="F5" s="553">
        <f>-'Foglio deposito bis'!$F$49*(C5-sezione!$AM$27)*IF(ABS(L5)&lt;'Progetto del paramento slu'!$G$58,ABS(L5)*'Progetto del paramento slu'!$G$54,'Progetto del paramento slu'!$G$53)</f>
        <v>30730922.746430419</v>
      </c>
      <c r="G5" s="553">
        <f>-'Foglio deposito bis'!$F$50*(C5-sezione!$AN$27)*IF(ABS(M5)&lt;'Progetto del paramento slu'!$G$58,ABS(M5)*'Progetto del paramento slu'!$G$54,'Progetto del paramento slu'!$G$53)</f>
        <v>0</v>
      </c>
      <c r="H5" s="553">
        <f>-'Foglio deposito bis'!$F$51*(C5-sezione!$AO$27)*IF(ABS(N5)&lt;'Progetto del paramento slu'!$G$58,ABS(N5)*'Progetto del paramento slu'!$G$54,'Progetto del paramento slu'!$G$53)</f>
        <v>81919399.66185239</v>
      </c>
      <c r="I5" s="479">
        <f>-'Foglio deposito bis'!$F$52*(C5-sezione!$AP$27)*IF(ABS(O5)&lt;'Progetto del paramento slu'!$G$58,ABS(O5)*'Progetto del paramento slu'!$G$54,'Progetto del paramento slu'!$G$53)</f>
        <v>62643679.867304929</v>
      </c>
      <c r="J5" s="479">
        <f t="shared" ref="J5:J68" si="0">D5+E5+F5+G5+H5+I5</f>
        <v>175294001.45238775</v>
      </c>
      <c r="K5" s="558">
        <f>'Progetto del paramento slu'!$G$60*(sezione!$AL$27-C5)/C5</f>
        <v>13.996500000000001</v>
      </c>
      <c r="L5" s="558">
        <f>'Progetto del paramento slu'!$G$60*(sezione!$AM$27-C5)/C5</f>
        <v>52.496499999999997</v>
      </c>
      <c r="M5" s="559">
        <f>'Progetto del paramento slu'!$G$60*(sezione!$AN$27-C5)/C5</f>
        <v>90.996499999999997</v>
      </c>
      <c r="N5" s="559">
        <f>'Progetto del paramento slu'!$G$60*(sezione!$AO$27-C5)/C5</f>
        <v>118.99650000000001</v>
      </c>
      <c r="O5" s="559">
        <f>'Progetto del paramento slu'!$G$60*(sezione!$AP$27-C5)/C5</f>
        <v>90.996499999999997</v>
      </c>
      <c r="P5" s="553">
        <f>-'Progetto del paramento slu'!$G$47*'Progetto del paramento slu'!$G$41*IF(DATI!$G$218="dx",DATI!$E$61,DATI!$E$64*DATI!$E$63)*1000*C5*sezione!$AD$5</f>
        <v>-140.9589</v>
      </c>
      <c r="Q5" s="553">
        <f>'Foglio deposito bis'!$F$48*IF(ABS(K5)&lt;'Progetto del paramento slu'!$G$58,ABS(K5)*'Progetto del paramento slu'!$G$54,'Progetto del paramento slu'!$G$53)*IF(K5&lt;0,-1,1)</f>
        <v>0</v>
      </c>
      <c r="R5" s="553">
        <f>'Foglio deposito bis'!$F$49*IF(ABS(L5)&lt;'Progetto del paramento slu'!$G$58,ABS(L5)*'Progetto del paramento slu'!$G$54,'Progetto del paramento slu'!$G$53)*IF(L5&lt;0,-1,1)</f>
        <v>204886.47740803001</v>
      </c>
      <c r="S5" s="553">
        <f>'Foglio deposito bis'!$F$50*IF(ABS(M5)&lt;'Progetto del paramento slu'!$G$58,ABS(M5)*'Progetto del paramento slu'!$G$54,'Progetto del paramento slu'!$G$53)*IF(M5&lt;0,-1,1)</f>
        <v>0</v>
      </c>
      <c r="T5" s="553">
        <f>'Foglio deposito bis'!$F$51*IF(ABS(N5)&lt;'Progetto del paramento slu'!$G$58,ABS(N5)*'Progetto del paramento slu'!$G$54,'Progetto del paramento slu'!$G$53)*IF(N5&lt;0,-1,1)</f>
        <v>240946.49743184328</v>
      </c>
      <c r="U5" s="553">
        <f>'Foglio deposito bis'!$F$52*IF(ABS(O5)&lt;'Progetto del paramento slu'!$G$58,ABS(O5)*'Progetto del paramento slu'!$G$54,'Progetto del paramento slu'!$G$53)*IF(O5&lt;0,-1,1)</f>
        <v>240946.49743184328</v>
      </c>
      <c r="V5" s="479">
        <f>P5+Q5+R5+S5+T5+U5</f>
        <v>686638.5133717166</v>
      </c>
      <c r="W5" s="559"/>
      <c r="X5" s="559"/>
      <c r="Z5" s="571">
        <f t="shared" ref="Z5:Z14" si="1">Z4+1</f>
        <v>1</v>
      </c>
      <c r="AA5" s="546">
        <f>MINA(sezione!A253:A495)</f>
        <v>5619.0229957404081</v>
      </c>
      <c r="AB5" s="546">
        <f>VLOOKUP(sezione!$AA$5,sezione!A253:O495,3,FALSE)</f>
        <v>49.120594390808741</v>
      </c>
      <c r="AC5" s="430" t="s">
        <v>920</v>
      </c>
      <c r="AD5" s="10">
        <v>0.81</v>
      </c>
      <c r="AH5" s="967" t="s">
        <v>21</v>
      </c>
      <c r="AI5" s="963" t="s">
        <v>23</v>
      </c>
      <c r="AJ5" s="1041" t="s">
        <v>973</v>
      </c>
      <c r="AK5" s="1041" t="s">
        <v>974</v>
      </c>
      <c r="AL5" s="1041" t="s">
        <v>975</v>
      </c>
      <c r="AM5" s="1044" t="s">
        <v>976</v>
      </c>
      <c r="AN5" s="1041" t="s">
        <v>977</v>
      </c>
      <c r="AP5" s="967" t="s">
        <v>21</v>
      </c>
      <c r="AQ5" s="963" t="s">
        <v>23</v>
      </c>
      <c r="AR5" s="1041" t="s">
        <v>973</v>
      </c>
      <c r="AS5" s="1041" t="s">
        <v>974</v>
      </c>
      <c r="AT5" s="1041" t="s">
        <v>975</v>
      </c>
      <c r="AU5" s="1044" t="s">
        <v>976</v>
      </c>
      <c r="AV5" s="1041" t="s">
        <v>977</v>
      </c>
    </row>
    <row r="6" spans="1:48" x14ac:dyDescent="0.25">
      <c r="A6" s="553">
        <f t="shared" ref="A6:A69" si="2">ABS(V6)</f>
        <v>683918.33086440945</v>
      </c>
      <c r="B6" s="3">
        <f>B5+0.05</f>
        <v>0.05</v>
      </c>
      <c r="C6" s="42">
        <f>'Foglio deposito bis'!$E$153/$B$247*B6</f>
        <v>0.20297699594046026</v>
      </c>
      <c r="D6" s="611">
        <f>-'Progetto del paramento slu'!$G$47*'Progetto del paramento slu'!$G$41*IF(DATI!$G$218="dx",DATI!$E$61,DATI!$E$64*DATI!$E$63)*1000*C6^2*sezione!$AD$5*(1-sezione!$AD$6)</f>
        <v>-339.1555984845856</v>
      </c>
      <c r="E6" s="553">
        <f>-'Foglio deposito bis'!$F$48*(C6-sezione!$AL$27)*IF(ABS(K6)&lt;'Progetto del paramento slu'!$G$58,ABS(K6)*'Progetto del paramento slu'!$G$54,'Progetto del paramento slu'!$G$53)</f>
        <v>0</v>
      </c>
      <c r="F6" s="553">
        <f>-'Foglio deposito bis'!$F$49*(C6-sezione!$AM$27)*IF(ABS(L6)&lt;'Progetto del paramento slu'!$G$58,ABS(L6)*'Progetto del paramento slu'!$G$54,'Progetto del paramento slu'!$G$53)</f>
        <v>30691384.369511399</v>
      </c>
      <c r="G6" s="553">
        <f>-'Foglio deposito bis'!$F$50*(C6-sezione!$AN$27)*IF(ABS(M6)&lt;'Progetto del paramento slu'!$G$58,ABS(M6)*'Progetto del paramento slu'!$G$54,'Progetto del paramento slu'!$G$53)</f>
        <v>0</v>
      </c>
      <c r="H6" s="553">
        <f>-'Foglio deposito bis'!$F$51*(C6-sezione!$AO$27)*IF(ABS(N6)&lt;'Progetto del paramento slu'!$G$58,ABS(N6)*'Progetto del paramento slu'!$G$54,'Progetto del paramento slu'!$G$53)</f>
        <v>81872902.53059563</v>
      </c>
      <c r="I6" s="479">
        <f>-'Foglio deposito bis'!$F$52*(C6-sezione!$AP$27)*IF(ABS(O6)&lt;'Progetto del paramento slu'!$G$58,ABS(O6)*'Progetto del paramento slu'!$G$54,'Progetto del paramento slu'!$G$53)</f>
        <v>62597182.736048162</v>
      </c>
      <c r="J6" s="479">
        <f t="shared" si="0"/>
        <v>175161130.48055673</v>
      </c>
      <c r="K6" s="558">
        <f>'Progetto del paramento slu'!$G$60*(sezione!$AL$27-C6)/C6</f>
        <v>0.68623333333333281</v>
      </c>
      <c r="L6" s="558">
        <f>'Progetto del paramento slu'!$G$60*(sezione!$AM$27-C6)/C6</f>
        <v>2.5829999999999984</v>
      </c>
      <c r="M6" s="559">
        <f>'Progetto del paramento slu'!$G$60*(sezione!$AN$27-C6)/C6</f>
        <v>4.4797666666666629</v>
      </c>
      <c r="N6" s="559">
        <f>'Progetto del paramento slu'!$G$60*(sezione!$AO$27-C6)/C6</f>
        <v>5.8592333333333286</v>
      </c>
      <c r="O6" s="559">
        <f>'Progetto del paramento slu'!$G$60*(sezione!$AP$27-C6)/C6</f>
        <v>4.4797666666666629</v>
      </c>
      <c r="P6" s="553">
        <f>-'Progetto del paramento slu'!$G$47*'Progetto del paramento slu'!$G$41*IF(DATI!$G$218="dx",DATI!$E$61,DATI!$E$64*DATI!$E$63)*1000*C6*sezione!$AD$5</f>
        <v>-2861.1414073071742</v>
      </c>
      <c r="Q6" s="553">
        <f>'Foglio deposito bis'!$F$48*IF(ABS(K6)&lt;'Progetto del paramento slu'!$G$58,ABS(K6)*'Progetto del paramento slu'!$G$54,'Progetto del paramento slu'!$G$53)*IF(K6&lt;0,-1,1)</f>
        <v>0</v>
      </c>
      <c r="R6" s="553">
        <f>'Foglio deposito bis'!$F$49*IF(ABS(L6)&lt;'Progetto del paramento slu'!$G$58,ABS(L6)*'Progetto del paramento slu'!$G$54,'Progetto del paramento slu'!$G$53)*IF(L6&lt;0,-1,1)</f>
        <v>204886.47740803001</v>
      </c>
      <c r="S6" s="553">
        <f>'Foglio deposito bis'!$F$50*IF(ABS(M6)&lt;'Progetto del paramento slu'!$G$58,ABS(M6)*'Progetto del paramento slu'!$G$54,'Progetto del paramento slu'!$G$53)*IF(M6&lt;0,-1,1)</f>
        <v>0</v>
      </c>
      <c r="T6" s="553">
        <f>'Foglio deposito bis'!$F$51*IF(ABS(N6)&lt;'Progetto del paramento slu'!$G$58,ABS(N6)*'Progetto del paramento slu'!$G$54,'Progetto del paramento slu'!$G$53)*IF(N6&lt;0,-1,1)</f>
        <v>240946.49743184328</v>
      </c>
      <c r="U6" s="553">
        <f>'Foglio deposito bis'!$F$52*IF(ABS(O6)&lt;'Progetto del paramento slu'!$G$58,ABS(O6)*'Progetto del paramento slu'!$G$54,'Progetto del paramento slu'!$G$53)*IF(O6&lt;0,-1,1)</f>
        <v>240946.49743184328</v>
      </c>
      <c r="V6" s="479">
        <f t="shared" ref="V6:V69" si="3">P6+Q6+R6+S6+T6+U6</f>
        <v>683918.33086440945</v>
      </c>
      <c r="W6" s="559"/>
      <c r="X6" s="559"/>
      <c r="Z6" s="571">
        <f t="shared" si="1"/>
        <v>2</v>
      </c>
      <c r="AA6" s="546">
        <f>MINA(sezione!A501:A743)</f>
        <v>5621.3531753285788</v>
      </c>
      <c r="AB6" s="546">
        <f>VLOOKUP(sezione!$AA$6,sezione!A501:O743,3,FALSE)</f>
        <v>49.120759699958292</v>
      </c>
      <c r="AC6" s="430" t="s">
        <v>919</v>
      </c>
      <c r="AD6" s="10">
        <v>0.41599999999999998</v>
      </c>
      <c r="AH6" s="968"/>
      <c r="AI6" s="963"/>
      <c r="AJ6" s="1041"/>
      <c r="AK6" s="1041"/>
      <c r="AL6" s="1041"/>
      <c r="AM6" s="1044"/>
      <c r="AN6" s="1041"/>
      <c r="AP6" s="968"/>
      <c r="AQ6" s="963"/>
      <c r="AR6" s="1041"/>
      <c r="AS6" s="1041"/>
      <c r="AT6" s="1041"/>
      <c r="AU6" s="1044"/>
      <c r="AV6" s="1041"/>
    </row>
    <row r="7" spans="1:48" x14ac:dyDescent="0.25">
      <c r="A7" s="553">
        <f t="shared" si="2"/>
        <v>681057.18945710221</v>
      </c>
      <c r="B7" s="3">
        <f t="shared" ref="B7:B70" si="4">B6+0.05</f>
        <v>0.1</v>
      </c>
      <c r="C7" s="42">
        <f>'Foglio deposito bis'!$E$153/$B$247*B7</f>
        <v>0.40595399188092052</v>
      </c>
      <c r="D7" s="611">
        <f>-'Progetto del paramento slu'!$G$47*'Progetto del paramento slu'!$G$41*IF(DATI!$G$218="dx",DATI!$E$61,DATI!$E$64*DATI!$E$63)*1000*C7^2*sezione!$AD$5*(1-sezione!$AD$6)</f>
        <v>-1356.6223939383424</v>
      </c>
      <c r="E7" s="553">
        <f>-'Foglio deposito bis'!$F$48*(C7-sezione!$AL$27)*IF(ABS(K7)&lt;'Progetto del paramento slu'!$G$58,ABS(K7)*'Progetto del paramento slu'!$G$54,'Progetto del paramento slu'!$G$53)</f>
        <v>0</v>
      </c>
      <c r="F7" s="553">
        <f>-'Foglio deposito bis'!$F$49*(C7-sezione!$AM$27)*IF(ABS(L7)&lt;'Progetto del paramento slu'!$G$58,ABS(L7)*'Progetto del paramento slu'!$G$54,'Progetto del paramento slu'!$G$53)</f>
        <v>30649797.12781829</v>
      </c>
      <c r="G7" s="553">
        <f>-'Foglio deposito bis'!$F$50*(C7-sezione!$AN$27)*IF(ABS(M7)&lt;'Progetto del paramento slu'!$G$58,ABS(M7)*'Progetto del paramento slu'!$G$54,'Progetto del paramento slu'!$G$53)</f>
        <v>0</v>
      </c>
      <c r="H7" s="553">
        <f>-'Foglio deposito bis'!$F$51*(C7-sezione!$AO$27)*IF(ABS(N7)&lt;'Progetto del paramento slu'!$G$58,ABS(N7)*'Progetto del paramento slu'!$G$54,'Progetto del paramento slu'!$G$53)</f>
        <v>81823995.934364542</v>
      </c>
      <c r="I7" s="479">
        <f>-'Foglio deposito bis'!$F$52*(C7-sezione!$AP$27)*IF(ABS(O7)&lt;'Progetto del paramento slu'!$G$58,ABS(O7)*'Progetto del paramento slu'!$G$54,'Progetto del paramento slu'!$G$53)</f>
        <v>62548276.139817074</v>
      </c>
      <c r="J7" s="479">
        <f t="shared" si="0"/>
        <v>175020712.57960597</v>
      </c>
      <c r="K7" s="558">
        <f>'Progetto del paramento slu'!$G$60*(sezione!$AL$27-C7)/C7</f>
        <v>0.34136666666666637</v>
      </c>
      <c r="L7" s="558">
        <f>'Progetto del paramento slu'!$G$60*(sezione!$AM$27-C7)/C7</f>
        <v>1.2897499999999991</v>
      </c>
      <c r="M7" s="559">
        <f>'Progetto del paramento slu'!$G$60*(sezione!$AN$27-C7)/C7</f>
        <v>2.2381333333333315</v>
      </c>
      <c r="N7" s="559">
        <f>'Progetto del paramento slu'!$G$60*(sezione!$AO$27-C7)/C7</f>
        <v>2.9278666666666644</v>
      </c>
      <c r="O7" s="559">
        <f>'Progetto del paramento slu'!$G$60*(sezione!$AP$27-C7)/C7</f>
        <v>2.2381333333333315</v>
      </c>
      <c r="P7" s="553">
        <f>-'Progetto del paramento slu'!$G$47*'Progetto del paramento slu'!$G$41*IF(DATI!$G$218="dx",DATI!$E$61,DATI!$E$64*DATI!$E$63)*1000*C7*sezione!$AD$5</f>
        <v>-5722.2828146143484</v>
      </c>
      <c r="Q7" s="553">
        <f>'Foglio deposito bis'!$F$48*IF(ABS(K7)&lt;'Progetto del paramento slu'!$G$58,ABS(K7)*'Progetto del paramento slu'!$G$54,'Progetto del paramento slu'!$G$53)*IF(K7&lt;0,-1,1)</f>
        <v>0</v>
      </c>
      <c r="R7" s="553">
        <f>'Foglio deposito bis'!$F$49*IF(ABS(L7)&lt;'Progetto del paramento slu'!$G$58,ABS(L7)*'Progetto del paramento slu'!$G$54,'Progetto del paramento slu'!$G$53)*IF(L7&lt;0,-1,1)</f>
        <v>204886.47740803001</v>
      </c>
      <c r="S7" s="553">
        <f>'Foglio deposito bis'!$F$50*IF(ABS(M7)&lt;'Progetto del paramento slu'!$G$58,ABS(M7)*'Progetto del paramento slu'!$G$54,'Progetto del paramento slu'!$G$53)*IF(M7&lt;0,-1,1)</f>
        <v>0</v>
      </c>
      <c r="T7" s="553">
        <f>'Foglio deposito bis'!$F$51*IF(ABS(N7)&lt;'Progetto del paramento slu'!$G$58,ABS(N7)*'Progetto del paramento slu'!$G$54,'Progetto del paramento slu'!$G$53)*IF(N7&lt;0,-1,1)</f>
        <v>240946.49743184328</v>
      </c>
      <c r="U7" s="553">
        <f>'Foglio deposito bis'!$F$52*IF(ABS(O7)&lt;'Progetto del paramento slu'!$G$58,ABS(O7)*'Progetto del paramento slu'!$G$54,'Progetto del paramento slu'!$G$53)*IF(O7&lt;0,-1,1)</f>
        <v>240946.49743184328</v>
      </c>
      <c r="V7" s="479">
        <f t="shared" si="3"/>
        <v>681057.18945710221</v>
      </c>
      <c r="W7" s="559"/>
      <c r="X7" s="559"/>
      <c r="Z7" s="571">
        <f t="shared" si="1"/>
        <v>3</v>
      </c>
      <c r="AA7" s="546">
        <f>MINA(sezione!A749:A991)</f>
        <v>5469.2052991737728</v>
      </c>
      <c r="AB7" s="546">
        <f>VLOOKUP(sezione!$AA$7,sezione!A749:O991,3,FALSE)</f>
        <v>49.932837123972035</v>
      </c>
      <c r="AH7" s="576">
        <v>0</v>
      </c>
      <c r="AI7" s="556">
        <f>'Foglio deposito bis'!E153</f>
        <v>300</v>
      </c>
      <c r="AJ7" s="556">
        <f>AI7-sezione!$AH$20</f>
        <v>260</v>
      </c>
      <c r="AK7" s="556">
        <f>AI7-sezione!$AI$20</f>
        <v>150</v>
      </c>
      <c r="AL7" s="556">
        <f>AI7-sezione!$AJ$20</f>
        <v>40</v>
      </c>
      <c r="AM7" s="556">
        <f>AI7-sezione!$AK$20</f>
        <v>-40</v>
      </c>
      <c r="AN7" s="556">
        <f>AI7-sezione!AV7</f>
        <v>40</v>
      </c>
      <c r="AP7" s="576">
        <v>0</v>
      </c>
      <c r="AQ7" s="556">
        <f>sezione!AI7</f>
        <v>300</v>
      </c>
      <c r="AR7" s="556">
        <f>sezione!$AH$20</f>
        <v>40</v>
      </c>
      <c r="AS7" s="556">
        <f>sezione!$AI$20</f>
        <v>150</v>
      </c>
      <c r="AT7" s="556">
        <f>sezione!$AJ$20</f>
        <v>260</v>
      </c>
      <c r="AU7" s="556">
        <f>sezione!$AK$20</f>
        <v>340</v>
      </c>
      <c r="AV7" s="556">
        <f>'Progetto del paramento slu'!D154*1000-'Foglio deposito bis'!$E$40</f>
        <v>260</v>
      </c>
    </row>
    <row r="8" spans="1:48" x14ac:dyDescent="0.25">
      <c r="A8" s="553">
        <f t="shared" si="2"/>
        <v>678196.04804979509</v>
      </c>
      <c r="B8" s="3">
        <f t="shared" si="4"/>
        <v>0.15000000000000002</v>
      </c>
      <c r="C8" s="42">
        <f>'Foglio deposito bis'!$E$153/$B$247*B8</f>
        <v>0.60893098782138078</v>
      </c>
      <c r="D8" s="611">
        <f>-'Progetto del paramento slu'!$G$47*'Progetto del paramento slu'!$G$41*IF(DATI!$G$218="dx",DATI!$E$61,DATI!$E$64*DATI!$E$63)*1000*C8^2*sezione!$AD$5*(1-sezione!$AD$6)</f>
        <v>-3052.4003863612702</v>
      </c>
      <c r="E8" s="553">
        <f>-'Foglio deposito bis'!$F$48*(C8-sezione!$AL$27)*IF(ABS(K8)&lt;'Progetto del paramento slu'!$G$58,ABS(K8)*'Progetto del paramento slu'!$G$54,'Progetto del paramento slu'!$G$53)</f>
        <v>0</v>
      </c>
      <c r="F8" s="553">
        <f>-'Foglio deposito bis'!$F$49*(C8-sezione!$AM$27)*IF(ABS(L8)&lt;'Progetto del paramento slu'!$G$58,ABS(L8)*'Progetto del paramento slu'!$G$54,'Progetto del paramento slu'!$G$53)</f>
        <v>30608209.886125188</v>
      </c>
      <c r="G8" s="553">
        <f>-'Foglio deposito bis'!$F$50*(C8-sezione!$AN$27)*IF(ABS(M8)&lt;'Progetto del paramento slu'!$G$58,ABS(M8)*'Progetto del paramento slu'!$G$54,'Progetto del paramento slu'!$G$53)</f>
        <v>0</v>
      </c>
      <c r="H8" s="553">
        <f>-'Foglio deposito bis'!$F$51*(C8-sezione!$AO$27)*IF(ABS(N8)&lt;'Progetto del paramento slu'!$G$58,ABS(N8)*'Progetto del paramento slu'!$G$54,'Progetto del paramento slu'!$G$53)</f>
        <v>81775089.338133439</v>
      </c>
      <c r="I8" s="479">
        <f>-'Foglio deposito bis'!$F$52*(C8-sezione!$AP$27)*IF(ABS(O8)&lt;'Progetto del paramento slu'!$G$58,ABS(O8)*'Progetto del paramento slu'!$G$54,'Progetto del paramento slu'!$G$53)</f>
        <v>62499369.543585978</v>
      </c>
      <c r="J8" s="479">
        <f t="shared" si="0"/>
        <v>174879616.36745825</v>
      </c>
      <c r="K8" s="558">
        <f>'Progetto del paramento slu'!$G$60*(sezione!$AL$27-C8)/C8</f>
        <v>0.2264111111111109</v>
      </c>
      <c r="L8" s="558">
        <f>'Progetto del paramento slu'!$G$60*(sezione!$AM$27-C8)/C8</f>
        <v>0.85866666666666591</v>
      </c>
      <c r="M8" s="559">
        <f>'Progetto del paramento slu'!$G$60*(sezione!$AN$27-C8)/C8</f>
        <v>1.4909222222222207</v>
      </c>
      <c r="N8" s="559">
        <f>'Progetto del paramento slu'!$G$60*(sezione!$AO$27-C8)/C8</f>
        <v>1.9507444444444428</v>
      </c>
      <c r="O8" s="559">
        <f>'Progetto del paramento slu'!$G$60*(sezione!$AP$27-C8)/C8</f>
        <v>1.4909222222222207</v>
      </c>
      <c r="P8" s="553">
        <f>-'Progetto del paramento slu'!$G$47*'Progetto del paramento slu'!$G$41*IF(DATI!$G$218="dx",DATI!$E$61,DATI!$E$64*DATI!$E$63)*1000*C8*sezione!$AD$5</f>
        <v>-8583.424221921523</v>
      </c>
      <c r="Q8" s="553">
        <f>'Foglio deposito bis'!$F$48*IF(ABS(K8)&lt;'Progetto del paramento slu'!$G$58,ABS(K8)*'Progetto del paramento slu'!$G$54,'Progetto del paramento slu'!$G$53)*IF(K8&lt;0,-1,1)</f>
        <v>0</v>
      </c>
      <c r="R8" s="553">
        <f>'Foglio deposito bis'!$F$49*IF(ABS(L8)&lt;'Progetto del paramento slu'!$G$58,ABS(L8)*'Progetto del paramento slu'!$G$54,'Progetto del paramento slu'!$G$53)*IF(L8&lt;0,-1,1)</f>
        <v>204886.47740803001</v>
      </c>
      <c r="S8" s="553">
        <f>'Foglio deposito bis'!$F$50*IF(ABS(M8)&lt;'Progetto del paramento slu'!$G$58,ABS(M8)*'Progetto del paramento slu'!$G$54,'Progetto del paramento slu'!$G$53)*IF(M8&lt;0,-1,1)</f>
        <v>0</v>
      </c>
      <c r="T8" s="553">
        <f>'Foglio deposito bis'!$F$51*IF(ABS(N8)&lt;'Progetto del paramento slu'!$G$58,ABS(N8)*'Progetto del paramento slu'!$G$54,'Progetto del paramento slu'!$G$53)*IF(N8&lt;0,-1,1)</f>
        <v>240946.49743184328</v>
      </c>
      <c r="U8" s="553">
        <f>'Foglio deposito bis'!$F$52*IF(ABS(O8)&lt;'Progetto del paramento slu'!$G$58,ABS(O8)*'Progetto del paramento slu'!$G$54,'Progetto del paramento slu'!$G$53)*IF(O8&lt;0,-1,1)</f>
        <v>240946.49743184328</v>
      </c>
      <c r="V8" s="479">
        <f t="shared" si="3"/>
        <v>678196.04804979509</v>
      </c>
      <c r="W8" s="559"/>
      <c r="X8" s="559"/>
      <c r="Z8" s="571">
        <f t="shared" si="1"/>
        <v>4</v>
      </c>
      <c r="AA8" s="546">
        <f>MINA(sezione!A997:A1239)</f>
        <v>5466.8366042201524</v>
      </c>
      <c r="AB8" s="546">
        <f>VLOOKUP(sezione!$AA$8,sezione!A997:O1239,3,FALSE)</f>
        <v>49.933005165504248</v>
      </c>
      <c r="AH8" s="576">
        <f t="shared" ref="AH8:AH17" si="5">AH7+1</f>
        <v>1</v>
      </c>
      <c r="AI8" s="556">
        <f>'Foglio deposito bis'!E154</f>
        <v>300.00098557692309</v>
      </c>
      <c r="AJ8" s="556">
        <f>AI8-sezione!$AH$20</f>
        <v>260.00098557692309</v>
      </c>
      <c r="AK8" s="556">
        <f>AI8-sezione!$AI$20</f>
        <v>150.00098557692309</v>
      </c>
      <c r="AL8" s="556">
        <f>AI8-sezione!$AJ$20</f>
        <v>40.000985576923085</v>
      </c>
      <c r="AM8" s="556">
        <f>AI8-sezione!$AK$20</f>
        <v>-39.999014423076915</v>
      </c>
      <c r="AN8" s="556">
        <f>AI8-sezione!AV8</f>
        <v>40</v>
      </c>
      <c r="AP8" s="576">
        <f t="shared" ref="AP8:AP17" si="6">AP7+1</f>
        <v>1</v>
      </c>
      <c r="AQ8" s="556">
        <f>sezione!AI8</f>
        <v>300.00098557692309</v>
      </c>
      <c r="AR8" s="556">
        <f>sezione!$AH$20</f>
        <v>40</v>
      </c>
      <c r="AS8" s="556">
        <f>sezione!$AI$20</f>
        <v>150</v>
      </c>
      <c r="AT8" s="556">
        <f>sezione!$AJ$20</f>
        <v>260</v>
      </c>
      <c r="AU8" s="556">
        <f>sezione!$AK$20</f>
        <v>340</v>
      </c>
      <c r="AV8" s="556">
        <f>'Progetto del paramento slu'!D155*1000-'Foglio deposito bis'!$E$40</f>
        <v>260.00098557692309</v>
      </c>
    </row>
    <row r="9" spans="1:48" x14ac:dyDescent="0.25">
      <c r="A9" s="553">
        <f t="shared" si="2"/>
        <v>675334.90664248785</v>
      </c>
      <c r="B9" s="3">
        <f t="shared" si="4"/>
        <v>0.2</v>
      </c>
      <c r="C9" s="42">
        <f>'Foglio deposito bis'!$E$153/$B$247*B9</f>
        <v>0.81190798376184103</v>
      </c>
      <c r="D9" s="611">
        <f>-'Progetto del paramento slu'!$G$47*'Progetto del paramento slu'!$G$41*IF(DATI!$G$218="dx",DATI!$E$61,DATI!$E$64*DATI!$E$63)*1000*C9^2*sezione!$AD$5*(1-sezione!$AD$6)</f>
        <v>-5426.4895757533695</v>
      </c>
      <c r="E9" s="553">
        <f>-'Foglio deposito bis'!$F$48*(C9-sezione!$AL$27)*IF(ABS(K9)&lt;'Progetto del paramento slu'!$G$58,ABS(K9)*'Progetto del paramento slu'!$G$54,'Progetto del paramento slu'!$G$53)</f>
        <v>0</v>
      </c>
      <c r="F9" s="553">
        <f>-'Foglio deposito bis'!$F$49*(C9-sezione!$AM$27)*IF(ABS(L9)&lt;'Progetto del paramento slu'!$G$58,ABS(L9)*'Progetto del paramento slu'!$G$54,'Progetto del paramento slu'!$G$53)</f>
        <v>30566622.644432079</v>
      </c>
      <c r="G9" s="553">
        <f>-'Foglio deposito bis'!$F$50*(C9-sezione!$AN$27)*IF(ABS(M9)&lt;'Progetto del paramento slu'!$G$58,ABS(M9)*'Progetto del paramento slu'!$G$54,'Progetto del paramento slu'!$G$53)</f>
        <v>0</v>
      </c>
      <c r="H9" s="553">
        <f>-'Foglio deposito bis'!$F$51*(C9-sezione!$AO$27)*IF(ABS(N9)&lt;'Progetto del paramento slu'!$G$58,ABS(N9)*'Progetto del paramento slu'!$G$54,'Progetto del paramento slu'!$G$53)</f>
        <v>81726182.741902336</v>
      </c>
      <c r="I9" s="479">
        <f>-'Foglio deposito bis'!$F$52*(C9-sezione!$AP$27)*IF(ABS(O9)&lt;'Progetto del paramento slu'!$G$58,ABS(O9)*'Progetto del paramento slu'!$G$54,'Progetto del paramento slu'!$G$53)</f>
        <v>62450462.94735489</v>
      </c>
      <c r="J9" s="479">
        <f t="shared" si="0"/>
        <v>174737841.84411356</v>
      </c>
      <c r="K9" s="558">
        <f>'Progetto del paramento slu'!$G$60*(sezione!$AL$27-C9)/C9</f>
        <v>0.16893333333333319</v>
      </c>
      <c r="L9" s="558">
        <f>'Progetto del paramento slu'!$G$60*(sezione!$AM$27-C9)/C9</f>
        <v>0.64312499999999939</v>
      </c>
      <c r="M9" s="559">
        <f>'Progetto del paramento slu'!$G$60*(sezione!$AN$27-C9)/C9</f>
        <v>1.1173166666666656</v>
      </c>
      <c r="N9" s="559">
        <f>'Progetto del paramento slu'!$G$60*(sezione!$AO$27-C9)/C9</f>
        <v>1.4621833333333321</v>
      </c>
      <c r="O9" s="559">
        <f>'Progetto del paramento slu'!$G$60*(sezione!$AP$27-C9)/C9</f>
        <v>1.1173166666666656</v>
      </c>
      <c r="P9" s="553">
        <f>-'Progetto del paramento slu'!$G$47*'Progetto del paramento slu'!$G$41*IF(DATI!$G$218="dx",DATI!$E$61,DATI!$E$64*DATI!$E$63)*1000*C9*sezione!$AD$5</f>
        <v>-11444.565629228697</v>
      </c>
      <c r="Q9" s="553">
        <f>'Foglio deposito bis'!$F$48*IF(ABS(K9)&lt;'Progetto del paramento slu'!$G$58,ABS(K9)*'Progetto del paramento slu'!$G$54,'Progetto del paramento slu'!$G$53)*IF(K9&lt;0,-1,1)</f>
        <v>0</v>
      </c>
      <c r="R9" s="553">
        <f>'Foglio deposito bis'!$F$49*IF(ABS(L9)&lt;'Progetto del paramento slu'!$G$58,ABS(L9)*'Progetto del paramento slu'!$G$54,'Progetto del paramento slu'!$G$53)*IF(L9&lt;0,-1,1)</f>
        <v>204886.47740803001</v>
      </c>
      <c r="S9" s="553">
        <f>'Foglio deposito bis'!$F$50*IF(ABS(M9)&lt;'Progetto del paramento slu'!$G$58,ABS(M9)*'Progetto del paramento slu'!$G$54,'Progetto del paramento slu'!$G$53)*IF(M9&lt;0,-1,1)</f>
        <v>0</v>
      </c>
      <c r="T9" s="553">
        <f>'Foglio deposito bis'!$F$51*IF(ABS(N9)&lt;'Progetto del paramento slu'!$G$58,ABS(N9)*'Progetto del paramento slu'!$G$54,'Progetto del paramento slu'!$G$53)*IF(N9&lt;0,-1,1)</f>
        <v>240946.49743184328</v>
      </c>
      <c r="U9" s="553">
        <f>'Foglio deposito bis'!$F$52*IF(ABS(O9)&lt;'Progetto del paramento slu'!$G$58,ABS(O9)*'Progetto del paramento slu'!$G$54,'Progetto del paramento slu'!$G$53)*IF(O9&lt;0,-1,1)</f>
        <v>240946.49743184328</v>
      </c>
      <c r="V9" s="479">
        <f t="shared" si="3"/>
        <v>675334.90664248785</v>
      </c>
      <c r="W9" s="559"/>
      <c r="X9" s="559"/>
      <c r="Z9" s="571">
        <f t="shared" si="1"/>
        <v>5</v>
      </c>
      <c r="AA9" s="546">
        <f>MINA(sezione!A1245:A1487)</f>
        <v>4460.8760729344795</v>
      </c>
      <c r="AB9" s="546">
        <f>VLOOKUP(sezione!$AA$9,sezione!A1245:O1487,3,FALSE)</f>
        <v>67.795446549390931</v>
      </c>
      <c r="AH9" s="576">
        <f t="shared" si="5"/>
        <v>2</v>
      </c>
      <c r="AI9" s="556">
        <f>'Foglio deposito bis'!E155</f>
        <v>300.00199519230762</v>
      </c>
      <c r="AJ9" s="556">
        <f>AI9-sezione!$AH$20</f>
        <v>260.00199519230762</v>
      </c>
      <c r="AK9" s="556">
        <f>AI9-sezione!$AI$20</f>
        <v>150.00199519230762</v>
      </c>
      <c r="AL9" s="556">
        <f>AI9-sezione!$AJ$20</f>
        <v>40.001995192307618</v>
      </c>
      <c r="AM9" s="556">
        <f>AI9-sezione!$AK$20</f>
        <v>-39.998004807692382</v>
      </c>
      <c r="AN9" s="556">
        <f>AI9-sezione!AV9</f>
        <v>40</v>
      </c>
      <c r="AP9" s="576">
        <f t="shared" si="6"/>
        <v>2</v>
      </c>
      <c r="AQ9" s="556">
        <f>sezione!AI9</f>
        <v>300.00199519230762</v>
      </c>
      <c r="AR9" s="556">
        <f>sezione!$AH$20</f>
        <v>40</v>
      </c>
      <c r="AS9" s="556">
        <f>sezione!$AI$20</f>
        <v>150</v>
      </c>
      <c r="AT9" s="556">
        <f>sezione!$AJ$20</f>
        <v>260</v>
      </c>
      <c r="AU9" s="556">
        <f>sezione!$AK$20</f>
        <v>340</v>
      </c>
      <c r="AV9" s="556">
        <f>'Progetto del paramento slu'!D156*1000-'Foglio deposito bis'!$E$40</f>
        <v>260.00199519230762</v>
      </c>
    </row>
    <row r="10" spans="1:48" x14ac:dyDescent="0.25">
      <c r="A10" s="553">
        <f t="shared" si="2"/>
        <v>672473.76523518073</v>
      </c>
      <c r="B10" s="3">
        <f t="shared" si="4"/>
        <v>0.25</v>
      </c>
      <c r="C10" s="42">
        <f>'Foglio deposito bis'!$E$153/$B$247*B10</f>
        <v>1.0148849797023012</v>
      </c>
      <c r="D10" s="611">
        <f>-'Progetto del paramento slu'!$G$47*'Progetto del paramento slu'!$G$41*IF(DATI!$G$218="dx",DATI!$E$61,DATI!$E$64*DATI!$E$63)*1000*C10^2*sezione!$AD$5*(1-sezione!$AD$6)</f>
        <v>-8478.8899621146375</v>
      </c>
      <c r="E10" s="553">
        <f>-'Foglio deposito bis'!$F$48*(C10-sezione!$AL$27)*IF(ABS(K10)&lt;'Progetto del paramento slu'!$G$58,ABS(K10)*'Progetto del paramento slu'!$G$54,'Progetto del paramento slu'!$G$53)</f>
        <v>0</v>
      </c>
      <c r="F10" s="553">
        <f>-'Foglio deposito bis'!$F$49*(C10-sezione!$AM$27)*IF(ABS(L10)&lt;'Progetto del paramento slu'!$G$58,ABS(L10)*'Progetto del paramento slu'!$G$54,'Progetto del paramento slu'!$G$53)</f>
        <v>30525035.402738981</v>
      </c>
      <c r="G10" s="553">
        <f>-'Foglio deposito bis'!$F$50*(C10-sezione!$AN$27)*IF(ABS(M10)&lt;'Progetto del paramento slu'!$G$58,ABS(M10)*'Progetto del paramento slu'!$G$54,'Progetto del paramento slu'!$G$53)</f>
        <v>0</v>
      </c>
      <c r="H10" s="553">
        <f>-'Foglio deposito bis'!$F$51*(C10-sezione!$AO$27)*IF(ABS(N10)&lt;'Progetto del paramento slu'!$G$58,ABS(N10)*'Progetto del paramento slu'!$G$54,'Progetto del paramento slu'!$G$53)</f>
        <v>81677276.145671248</v>
      </c>
      <c r="I10" s="479">
        <f>-'Foglio deposito bis'!$F$52*(C10-sezione!$AP$27)*IF(ABS(O10)&lt;'Progetto del paramento slu'!$G$58,ABS(O10)*'Progetto del paramento slu'!$G$54,'Progetto del paramento slu'!$G$53)</f>
        <v>62401556.351123795</v>
      </c>
      <c r="J10" s="479">
        <f t="shared" si="0"/>
        <v>174595389.00957191</v>
      </c>
      <c r="K10" s="558">
        <f>'Progetto del paramento slu'!$G$60*(sezione!$AL$27-C10)/C10</f>
        <v>0.13444666666666655</v>
      </c>
      <c r="L10" s="558">
        <f>'Progetto del paramento slu'!$G$60*(sezione!$AM$27-C10)/C10</f>
        <v>0.5137999999999997</v>
      </c>
      <c r="M10" s="559">
        <f>'Progetto del paramento slu'!$G$60*(sezione!$AN$27-C10)/C10</f>
        <v>0.89315333333333269</v>
      </c>
      <c r="N10" s="559">
        <f>'Progetto del paramento slu'!$G$60*(sezione!$AO$27-C10)/C10</f>
        <v>1.1690466666666657</v>
      </c>
      <c r="O10" s="559">
        <f>'Progetto del paramento slu'!$G$60*(sezione!$AP$27-C10)/C10</f>
        <v>0.89315333333333269</v>
      </c>
      <c r="P10" s="553">
        <f>-'Progetto del paramento slu'!$G$47*'Progetto del paramento slu'!$G$41*IF(DATI!$G$218="dx",DATI!$E$61,DATI!$E$64*DATI!$E$63)*1000*C10*sezione!$AD$5</f>
        <v>-14305.707036535869</v>
      </c>
      <c r="Q10" s="553">
        <f>'Foglio deposito bis'!$F$48*IF(ABS(K10)&lt;'Progetto del paramento slu'!$G$58,ABS(K10)*'Progetto del paramento slu'!$G$54,'Progetto del paramento slu'!$G$53)*IF(K10&lt;0,-1,1)</f>
        <v>0</v>
      </c>
      <c r="R10" s="553">
        <f>'Foglio deposito bis'!$F$49*IF(ABS(L10)&lt;'Progetto del paramento slu'!$G$58,ABS(L10)*'Progetto del paramento slu'!$G$54,'Progetto del paramento slu'!$G$53)*IF(L10&lt;0,-1,1)</f>
        <v>204886.47740803001</v>
      </c>
      <c r="S10" s="553">
        <f>'Foglio deposito bis'!$F$50*IF(ABS(M10)&lt;'Progetto del paramento slu'!$G$58,ABS(M10)*'Progetto del paramento slu'!$G$54,'Progetto del paramento slu'!$G$53)*IF(M10&lt;0,-1,1)</f>
        <v>0</v>
      </c>
      <c r="T10" s="553">
        <f>'Foglio deposito bis'!$F$51*IF(ABS(N10)&lt;'Progetto del paramento slu'!$G$58,ABS(N10)*'Progetto del paramento slu'!$G$54,'Progetto del paramento slu'!$G$53)*IF(N10&lt;0,-1,1)</f>
        <v>240946.49743184328</v>
      </c>
      <c r="U10" s="553">
        <f>'Foglio deposito bis'!$F$52*IF(ABS(O10)&lt;'Progetto del paramento slu'!$G$58,ABS(O10)*'Progetto del paramento slu'!$G$54,'Progetto del paramento slu'!$G$53)*IF(O10&lt;0,-1,1)</f>
        <v>240946.49743184328</v>
      </c>
      <c r="V10" s="479">
        <f t="shared" si="3"/>
        <v>672473.76523518073</v>
      </c>
      <c r="W10" s="559"/>
      <c r="X10" s="559"/>
      <c r="Z10" s="571">
        <f t="shared" si="1"/>
        <v>6</v>
      </c>
      <c r="AA10" s="546">
        <f>MINA(sezione!A1493:A1735)</f>
        <v>4457.736612162902</v>
      </c>
      <c r="AB10" s="546">
        <f>VLOOKUP(sezione!$AA$10,sezione!A1493:O1735,3,FALSE)</f>
        <v>67.795669271104259</v>
      </c>
      <c r="AH10" s="576">
        <f t="shared" si="5"/>
        <v>3</v>
      </c>
      <c r="AI10" s="556">
        <f>'Foglio deposito bis'!E156</f>
        <v>300.0029807692307</v>
      </c>
      <c r="AJ10" s="556">
        <f>AI10-sezione!$AH$20</f>
        <v>260.0029807692307</v>
      </c>
      <c r="AK10" s="556">
        <f>AI10-sezione!$AI$20</f>
        <v>150.0029807692307</v>
      </c>
      <c r="AL10" s="556">
        <f>AI10-sezione!$AJ$20</f>
        <v>40.002980769230703</v>
      </c>
      <c r="AM10" s="556">
        <f>AI10-sezione!$AK$20</f>
        <v>-39.997019230769297</v>
      </c>
      <c r="AN10" s="556">
        <f>AI10-sezione!AV10</f>
        <v>40</v>
      </c>
      <c r="AP10" s="576">
        <f t="shared" si="6"/>
        <v>3</v>
      </c>
      <c r="AQ10" s="556">
        <f>sezione!AI10</f>
        <v>300.0029807692307</v>
      </c>
      <c r="AR10" s="556">
        <f>sezione!$AH$20</f>
        <v>40</v>
      </c>
      <c r="AS10" s="556">
        <f>sezione!$AI$20</f>
        <v>150</v>
      </c>
      <c r="AT10" s="556">
        <f>sezione!$AJ$20</f>
        <v>260</v>
      </c>
      <c r="AU10" s="556">
        <f>sezione!$AK$20</f>
        <v>340</v>
      </c>
      <c r="AV10" s="556">
        <f>'Progetto del paramento slu'!D157*1000-'Foglio deposito bis'!$E$40</f>
        <v>260.0029807692307</v>
      </c>
    </row>
    <row r="11" spans="1:48" x14ac:dyDescent="0.25">
      <c r="A11" s="553">
        <f t="shared" si="2"/>
        <v>669612.6238278735</v>
      </c>
      <c r="B11" s="3">
        <f t="shared" si="4"/>
        <v>0.3</v>
      </c>
      <c r="C11" s="42">
        <f>'Foglio deposito bis'!$E$153/$B$247*B11</f>
        <v>1.2178619756427613</v>
      </c>
      <c r="D11" s="611">
        <f>-'Progetto del paramento slu'!$G$47*'Progetto del paramento slu'!$G$41*IF(DATI!$G$218="dx",DATI!$E$61,DATI!$E$64*DATI!$E$63)*1000*C11^2*sezione!$AD$5*(1-sezione!$AD$6)</f>
        <v>-12209.601545445075</v>
      </c>
      <c r="E11" s="553">
        <f>-'Foglio deposito bis'!$F$48*(C11-sezione!$AL$27)*IF(ABS(K11)&lt;'Progetto del paramento slu'!$G$58,ABS(K11)*'Progetto del paramento slu'!$G$54,'Progetto del paramento slu'!$G$53)</f>
        <v>0</v>
      </c>
      <c r="F11" s="553">
        <f>-'Foglio deposito bis'!$F$49*(C11-sezione!$AM$27)*IF(ABS(L11)&lt;'Progetto del paramento slu'!$G$58,ABS(L11)*'Progetto del paramento slu'!$G$54,'Progetto del paramento slu'!$G$53)</f>
        <v>30483448.161045875</v>
      </c>
      <c r="G11" s="553">
        <f>-'Foglio deposito bis'!$F$50*(C11-sezione!$AN$27)*IF(ABS(M11)&lt;'Progetto del paramento slu'!$G$58,ABS(M11)*'Progetto del paramento slu'!$G$54,'Progetto del paramento slu'!$G$53)</f>
        <v>0</v>
      </c>
      <c r="H11" s="553">
        <f>-'Foglio deposito bis'!$F$51*(C11-sezione!$AO$27)*IF(ABS(N11)&lt;'Progetto del paramento slu'!$G$58,ABS(N11)*'Progetto del paramento slu'!$G$54,'Progetto del paramento slu'!$G$53)</f>
        <v>81628369.54944016</v>
      </c>
      <c r="I11" s="479">
        <f>-'Foglio deposito bis'!$F$52*(C11-sezione!$AP$27)*IF(ABS(O11)&lt;'Progetto del paramento slu'!$G$58,ABS(O11)*'Progetto del paramento slu'!$G$54,'Progetto del paramento slu'!$G$53)</f>
        <v>62352649.754892707</v>
      </c>
      <c r="J11" s="479">
        <f t="shared" si="0"/>
        <v>174452257.86383331</v>
      </c>
      <c r="K11" s="558">
        <f>'Progetto del paramento slu'!$G$60*(sezione!$AL$27-C11)/C11</f>
        <v>0.11145555555555547</v>
      </c>
      <c r="L11" s="558">
        <f>'Progetto del paramento slu'!$G$60*(sezione!$AM$27-C11)/C11</f>
        <v>0.42758333333333304</v>
      </c>
      <c r="M11" s="559">
        <f>'Progetto del paramento slu'!$G$60*(sezione!$AN$27-C11)/C11</f>
        <v>0.74371111111111077</v>
      </c>
      <c r="N11" s="559">
        <f>'Progetto del paramento slu'!$G$60*(sezione!$AO$27-C11)/C11</f>
        <v>0.97362222222222172</v>
      </c>
      <c r="O11" s="559">
        <f>'Progetto del paramento slu'!$G$60*(sezione!$AP$27-C11)/C11</f>
        <v>0.74371111111111077</v>
      </c>
      <c r="P11" s="553">
        <f>-'Progetto del paramento slu'!$G$47*'Progetto del paramento slu'!$G$41*IF(DATI!$G$218="dx",DATI!$E$61,DATI!$E$64*DATI!$E$63)*1000*C11*sezione!$AD$5</f>
        <v>-17166.848443843042</v>
      </c>
      <c r="Q11" s="553">
        <f>'Foglio deposito bis'!$F$48*IF(ABS(K11)&lt;'Progetto del paramento slu'!$G$58,ABS(K11)*'Progetto del paramento slu'!$G$54,'Progetto del paramento slu'!$G$53)*IF(K11&lt;0,-1,1)</f>
        <v>0</v>
      </c>
      <c r="R11" s="553">
        <f>'Foglio deposito bis'!$F$49*IF(ABS(L11)&lt;'Progetto del paramento slu'!$G$58,ABS(L11)*'Progetto del paramento slu'!$G$54,'Progetto del paramento slu'!$G$53)*IF(L11&lt;0,-1,1)</f>
        <v>204886.47740803001</v>
      </c>
      <c r="S11" s="553">
        <f>'Foglio deposito bis'!$F$50*IF(ABS(M11)&lt;'Progetto del paramento slu'!$G$58,ABS(M11)*'Progetto del paramento slu'!$G$54,'Progetto del paramento slu'!$G$53)*IF(M11&lt;0,-1,1)</f>
        <v>0</v>
      </c>
      <c r="T11" s="553">
        <f>'Foglio deposito bis'!$F$51*IF(ABS(N11)&lt;'Progetto del paramento slu'!$G$58,ABS(N11)*'Progetto del paramento slu'!$G$54,'Progetto del paramento slu'!$G$53)*IF(N11&lt;0,-1,1)</f>
        <v>240946.49743184328</v>
      </c>
      <c r="U11" s="553">
        <f>'Foglio deposito bis'!$F$52*IF(ABS(O11)&lt;'Progetto del paramento slu'!$G$58,ABS(O11)*'Progetto del paramento slu'!$G$54,'Progetto del paramento slu'!$G$53)*IF(O11&lt;0,-1,1)</f>
        <v>240946.49743184328</v>
      </c>
      <c r="V11" s="479">
        <f t="shared" si="3"/>
        <v>669612.6238278735</v>
      </c>
      <c r="W11" s="559"/>
      <c r="X11" s="559"/>
      <c r="Z11" s="571">
        <f t="shared" si="1"/>
        <v>7</v>
      </c>
      <c r="AA11" s="546">
        <f>MINA(sezione!A1741:A1983)</f>
        <v>2913.015397149371</v>
      </c>
      <c r="AB11" s="546">
        <f>VLOOKUP(sezione!$AA$11,sezione!A1741:O1983,3,FALSE)</f>
        <v>101.08490095112916</v>
      </c>
      <c r="AH11" s="576">
        <f t="shared" si="5"/>
        <v>4</v>
      </c>
      <c r="AI11" s="556">
        <f>'Foglio deposito bis'!E157</f>
        <v>300.00399038461529</v>
      </c>
      <c r="AJ11" s="556">
        <f>AI11-sezione!$AH$20</f>
        <v>260.00399038461529</v>
      </c>
      <c r="AK11" s="556">
        <f>AI11-sezione!$AI$20</f>
        <v>150.00399038461529</v>
      </c>
      <c r="AL11" s="556">
        <f>AI11-sezione!$AJ$20</f>
        <v>40.003990384615292</v>
      </c>
      <c r="AM11" s="556">
        <f>AI11-sezione!$AK$20</f>
        <v>-39.996009615384708</v>
      </c>
      <c r="AN11" s="556">
        <f>AI11-sezione!AV11</f>
        <v>40</v>
      </c>
      <c r="AP11" s="576">
        <f t="shared" si="6"/>
        <v>4</v>
      </c>
      <c r="AQ11" s="556">
        <f>sezione!AI11</f>
        <v>300.00399038461529</v>
      </c>
      <c r="AR11" s="556">
        <f>sezione!$AH$20</f>
        <v>40</v>
      </c>
      <c r="AS11" s="556">
        <f>sezione!$AI$20</f>
        <v>150</v>
      </c>
      <c r="AT11" s="556">
        <f>sezione!$AJ$20</f>
        <v>260</v>
      </c>
      <c r="AU11" s="556">
        <f>sezione!$AK$20</f>
        <v>340</v>
      </c>
      <c r="AV11" s="556">
        <f>'Progetto del paramento slu'!D158*1000-'Foglio deposito bis'!$E$40</f>
        <v>260.00399038461529</v>
      </c>
    </row>
    <row r="12" spans="1:48" x14ac:dyDescent="0.25">
      <c r="A12" s="553">
        <f t="shared" si="2"/>
        <v>666751.48242056638</v>
      </c>
      <c r="B12" s="3">
        <f t="shared" si="4"/>
        <v>0.35</v>
      </c>
      <c r="C12" s="42">
        <f>'Foglio deposito bis'!$E$153/$B$247*B12</f>
        <v>1.4208389715832215</v>
      </c>
      <c r="D12" s="611">
        <f>-'Progetto del paramento slu'!$G$47*'Progetto del paramento slu'!$G$41*IF(DATI!$G$218="dx",DATI!$E$61,DATI!$E$64*DATI!$E$63)*1000*C12^2*sezione!$AD$5*(1-sezione!$AD$6)</f>
        <v>-16618.624325744684</v>
      </c>
      <c r="E12" s="553">
        <f>-'Foglio deposito bis'!$F$48*(C12-sezione!$AL$27)*IF(ABS(K12)&lt;'Progetto del paramento slu'!$G$58,ABS(K12)*'Progetto del paramento slu'!$G$54,'Progetto del paramento slu'!$G$53)</f>
        <v>0</v>
      </c>
      <c r="F12" s="553">
        <f>-'Foglio deposito bis'!$F$49*(C12-sezione!$AM$27)*IF(ABS(L12)&lt;'Progetto del paramento slu'!$G$58,ABS(L12)*'Progetto del paramento slu'!$G$54,'Progetto del paramento slu'!$G$53)</f>
        <v>30441860.91935277</v>
      </c>
      <c r="G12" s="553">
        <f>-'Foglio deposito bis'!$F$50*(C12-sezione!$AN$27)*IF(ABS(M12)&lt;'Progetto del paramento slu'!$G$58,ABS(M12)*'Progetto del paramento slu'!$G$54,'Progetto del paramento slu'!$G$53)</f>
        <v>0</v>
      </c>
      <c r="H12" s="553">
        <f>-'Foglio deposito bis'!$F$51*(C12-sezione!$AO$27)*IF(ABS(N12)&lt;'Progetto del paramento slu'!$G$58,ABS(N12)*'Progetto del paramento slu'!$G$54,'Progetto del paramento slu'!$G$53)</f>
        <v>81579462.953209072</v>
      </c>
      <c r="I12" s="479">
        <f>-'Foglio deposito bis'!$F$52*(C12-sezione!$AP$27)*IF(ABS(O12)&lt;'Progetto del paramento slu'!$G$58,ABS(O12)*'Progetto del paramento slu'!$G$54,'Progetto del paramento slu'!$G$53)</f>
        <v>62303743.158661604</v>
      </c>
      <c r="J12" s="479">
        <f t="shared" si="0"/>
        <v>174308448.40689769</v>
      </c>
      <c r="K12" s="558">
        <f>'Progetto del paramento slu'!$G$60*(sezione!$AL$27-C12)/C12</f>
        <v>9.5033333333333275E-2</v>
      </c>
      <c r="L12" s="558">
        <f>'Progetto del paramento slu'!$G$60*(sezione!$AM$27-C12)/C12</f>
        <v>0.36599999999999983</v>
      </c>
      <c r="M12" s="559">
        <f>'Progetto del paramento slu'!$G$60*(sezione!$AN$27-C12)/C12</f>
        <v>0.63696666666666624</v>
      </c>
      <c r="N12" s="559">
        <f>'Progetto del paramento slu'!$G$60*(sezione!$AO$27-C12)/C12</f>
        <v>0.83403333333333274</v>
      </c>
      <c r="O12" s="559">
        <f>'Progetto del paramento slu'!$G$60*(sezione!$AP$27-C12)/C12</f>
        <v>0.63696666666666624</v>
      </c>
      <c r="P12" s="553">
        <f>-'Progetto del paramento slu'!$G$47*'Progetto del paramento slu'!$G$41*IF(DATI!$G$218="dx",DATI!$E$61,DATI!$E$64*DATI!$E$63)*1000*C12*sezione!$AD$5</f>
        <v>-20027.989851150214</v>
      </c>
      <c r="Q12" s="553">
        <f>'Foglio deposito bis'!$F$48*IF(ABS(K12)&lt;'Progetto del paramento slu'!$G$58,ABS(K12)*'Progetto del paramento slu'!$G$54,'Progetto del paramento slu'!$G$53)*IF(K12&lt;0,-1,1)</f>
        <v>0</v>
      </c>
      <c r="R12" s="553">
        <f>'Foglio deposito bis'!$F$49*IF(ABS(L12)&lt;'Progetto del paramento slu'!$G$58,ABS(L12)*'Progetto del paramento slu'!$G$54,'Progetto del paramento slu'!$G$53)*IF(L12&lt;0,-1,1)</f>
        <v>204886.47740803001</v>
      </c>
      <c r="S12" s="553">
        <f>'Foglio deposito bis'!$F$50*IF(ABS(M12)&lt;'Progetto del paramento slu'!$G$58,ABS(M12)*'Progetto del paramento slu'!$G$54,'Progetto del paramento slu'!$G$53)*IF(M12&lt;0,-1,1)</f>
        <v>0</v>
      </c>
      <c r="T12" s="553">
        <f>'Foglio deposito bis'!$F$51*IF(ABS(N12)&lt;'Progetto del paramento slu'!$G$58,ABS(N12)*'Progetto del paramento slu'!$G$54,'Progetto del paramento slu'!$G$53)*IF(N12&lt;0,-1,1)</f>
        <v>240946.49743184328</v>
      </c>
      <c r="U12" s="553">
        <f>'Foglio deposito bis'!$F$52*IF(ABS(O12)&lt;'Progetto del paramento slu'!$G$58,ABS(O12)*'Progetto del paramento slu'!$G$54,'Progetto del paramento slu'!$G$53)*IF(O12&lt;0,-1,1)</f>
        <v>240946.49743184328</v>
      </c>
      <c r="V12" s="479">
        <f t="shared" si="3"/>
        <v>666751.48242056638</v>
      </c>
      <c r="W12" s="559"/>
      <c r="X12" s="559"/>
      <c r="Z12" s="571">
        <f t="shared" si="1"/>
        <v>8</v>
      </c>
      <c r="AA12" s="546">
        <f>MINA(sezione!A1989:A2231)</f>
        <v>2906.9541544804815</v>
      </c>
      <c r="AB12" s="546">
        <f>VLOOKUP(sezione!$AA$12,sezione!A1989:O2231,3,FALSE)</f>
        <v>101.08523303320473</v>
      </c>
      <c r="AH12" s="576">
        <f t="shared" si="5"/>
        <v>5</v>
      </c>
      <c r="AI12" s="556">
        <f>'Foglio deposito bis'!E158</f>
        <v>300.00499999999988</v>
      </c>
      <c r="AJ12" s="556">
        <f>AI12-sezione!$AH$20</f>
        <v>260.00499999999988</v>
      </c>
      <c r="AK12" s="556">
        <f>AI12-sezione!$AI$20</f>
        <v>150.00499999999988</v>
      </c>
      <c r="AL12" s="556">
        <f>AI12-sezione!$AJ$20</f>
        <v>40.004999999999882</v>
      </c>
      <c r="AM12" s="556">
        <f>AI12-sezione!$AK$20</f>
        <v>-39.995000000000118</v>
      </c>
      <c r="AN12" s="556">
        <f>AI12-sezione!AV12</f>
        <v>40</v>
      </c>
      <c r="AP12" s="576">
        <f t="shared" si="6"/>
        <v>5</v>
      </c>
      <c r="AQ12" s="556">
        <f>sezione!AI12</f>
        <v>300.00499999999988</v>
      </c>
      <c r="AR12" s="556">
        <f>sezione!$AH$20</f>
        <v>40</v>
      </c>
      <c r="AS12" s="556">
        <f>sezione!$AI$20</f>
        <v>150</v>
      </c>
      <c r="AT12" s="556">
        <f>sezione!$AJ$20</f>
        <v>260</v>
      </c>
      <c r="AU12" s="556">
        <f>sezione!$AK$20</f>
        <v>340</v>
      </c>
      <c r="AV12" s="556">
        <f>'Progetto del paramento slu'!D159*1000-'Foglio deposito bis'!$E$40</f>
        <v>260.00499999999988</v>
      </c>
    </row>
    <row r="13" spans="1:48" x14ac:dyDescent="0.25">
      <c r="A13" s="553">
        <f t="shared" si="2"/>
        <v>663890.34101325914</v>
      </c>
      <c r="B13" s="3">
        <f t="shared" si="4"/>
        <v>0.39999999999999997</v>
      </c>
      <c r="C13" s="42">
        <f>'Foglio deposito bis'!$E$153/$B$247*B13</f>
        <v>1.6238159675236818</v>
      </c>
      <c r="D13" s="611">
        <f>-'Progetto del paramento slu'!$G$47*'Progetto del paramento slu'!$G$41*IF(DATI!$G$218="dx",DATI!$E$61,DATI!$E$64*DATI!$E$63)*1000*C13^2*sezione!$AD$5*(1-sezione!$AD$6)</f>
        <v>-21705.958303013471</v>
      </c>
      <c r="E13" s="553">
        <f>-'Foglio deposito bis'!$F$48*(C13-sezione!$AL$27)*IF(ABS(K13)&lt;'Progetto del paramento slu'!$G$58,ABS(K13)*'Progetto del paramento slu'!$G$54,'Progetto del paramento slu'!$G$53)</f>
        <v>0</v>
      </c>
      <c r="F13" s="553">
        <f>-'Foglio deposito bis'!$F$49*(C13-sezione!$AM$27)*IF(ABS(L13)&lt;'Progetto del paramento slu'!$G$58,ABS(L13)*'Progetto del paramento slu'!$G$54,'Progetto del paramento slu'!$G$53)</f>
        <v>30400273.677659664</v>
      </c>
      <c r="G13" s="553">
        <f>-'Foglio deposito bis'!$F$50*(C13-sezione!$AN$27)*IF(ABS(M13)&lt;'Progetto del paramento slu'!$G$58,ABS(M13)*'Progetto del paramento slu'!$G$54,'Progetto del paramento slu'!$G$53)</f>
        <v>0</v>
      </c>
      <c r="H13" s="553">
        <f>-'Foglio deposito bis'!$F$51*(C13-sezione!$AO$27)*IF(ABS(N13)&lt;'Progetto del paramento slu'!$G$58,ABS(N13)*'Progetto del paramento slu'!$G$54,'Progetto del paramento slu'!$G$53)</f>
        <v>81530556.356977984</v>
      </c>
      <c r="I13" s="479">
        <f>-'Foglio deposito bis'!$F$52*(C13-sezione!$AP$27)*IF(ABS(O13)&lt;'Progetto del paramento slu'!$G$58,ABS(O13)*'Progetto del paramento slu'!$G$54,'Progetto del paramento slu'!$G$53)</f>
        <v>62254836.562430516</v>
      </c>
      <c r="J13" s="479">
        <f t="shared" si="0"/>
        <v>174163960.63876516</v>
      </c>
      <c r="K13" s="558">
        <f>'Progetto del paramento slu'!$G$60*(sezione!$AL$27-C13)/C13</f>
        <v>8.2716666666666605E-2</v>
      </c>
      <c r="L13" s="558">
        <f>'Progetto del paramento slu'!$G$60*(sezione!$AM$27-C13)/C13</f>
        <v>0.31981249999999972</v>
      </c>
      <c r="M13" s="559">
        <f>'Progetto del paramento slu'!$G$60*(sezione!$AN$27-C13)/C13</f>
        <v>0.55690833333333289</v>
      </c>
      <c r="N13" s="559">
        <f>'Progetto del paramento slu'!$G$60*(sezione!$AO$27-C13)/C13</f>
        <v>0.72934166666666622</v>
      </c>
      <c r="O13" s="559">
        <f>'Progetto del paramento slu'!$G$60*(sezione!$AP$27-C13)/C13</f>
        <v>0.55690833333333289</v>
      </c>
      <c r="P13" s="553">
        <f>-'Progetto del paramento slu'!$G$47*'Progetto del paramento slu'!$G$41*IF(DATI!$G$218="dx",DATI!$E$61,DATI!$E$64*DATI!$E$63)*1000*C13*sezione!$AD$5</f>
        <v>-22889.131258457393</v>
      </c>
      <c r="Q13" s="553">
        <f>'Foglio deposito bis'!$F$48*IF(ABS(K13)&lt;'Progetto del paramento slu'!$G$58,ABS(K13)*'Progetto del paramento slu'!$G$54,'Progetto del paramento slu'!$G$53)*IF(K13&lt;0,-1,1)</f>
        <v>0</v>
      </c>
      <c r="R13" s="553">
        <f>'Foglio deposito bis'!$F$49*IF(ABS(L13)&lt;'Progetto del paramento slu'!$G$58,ABS(L13)*'Progetto del paramento slu'!$G$54,'Progetto del paramento slu'!$G$53)*IF(L13&lt;0,-1,1)</f>
        <v>204886.47740803001</v>
      </c>
      <c r="S13" s="553">
        <f>'Foglio deposito bis'!$F$50*IF(ABS(M13)&lt;'Progetto del paramento slu'!$G$58,ABS(M13)*'Progetto del paramento slu'!$G$54,'Progetto del paramento slu'!$G$53)*IF(M13&lt;0,-1,1)</f>
        <v>0</v>
      </c>
      <c r="T13" s="553">
        <f>'Foglio deposito bis'!$F$51*IF(ABS(N13)&lt;'Progetto del paramento slu'!$G$58,ABS(N13)*'Progetto del paramento slu'!$G$54,'Progetto del paramento slu'!$G$53)*IF(N13&lt;0,-1,1)</f>
        <v>240946.49743184328</v>
      </c>
      <c r="U13" s="553">
        <f>'Foglio deposito bis'!$F$52*IF(ABS(O13)&lt;'Progetto del paramento slu'!$G$58,ABS(O13)*'Progetto del paramento slu'!$G$54,'Progetto del paramento slu'!$G$53)*IF(O13&lt;0,-1,1)</f>
        <v>240946.49743184328</v>
      </c>
      <c r="V13" s="479">
        <f t="shared" si="3"/>
        <v>663890.34101325914</v>
      </c>
      <c r="W13" s="559"/>
      <c r="X13" s="559"/>
      <c r="Z13" s="571">
        <f t="shared" si="1"/>
        <v>9</v>
      </c>
      <c r="AA13" s="546">
        <f>MINA(sezione!A2237:A2479)</f>
        <v>80004.011637995252</v>
      </c>
      <c r="AB13" s="546">
        <f>VLOOKUP(sezione!$AA$13,sezione!A2237:O2479,3,FALSE)</f>
        <v>170.09981998802934</v>
      </c>
      <c r="AH13" s="576">
        <f t="shared" si="5"/>
        <v>6</v>
      </c>
      <c r="AI13" s="556">
        <f>'Foglio deposito bis'!E159</f>
        <v>300.00598557692291</v>
      </c>
      <c r="AJ13" s="556">
        <f>AI13-sezione!$AH$20</f>
        <v>260.00598557692291</v>
      </c>
      <c r="AK13" s="556">
        <f>AI13-sezione!$AI$20</f>
        <v>150.00598557692291</v>
      </c>
      <c r="AL13" s="556">
        <f>AI13-sezione!$AJ$20</f>
        <v>40.00598557692291</v>
      </c>
      <c r="AM13" s="556">
        <f>AI13-sezione!$AK$20</f>
        <v>-39.99401442307709</v>
      </c>
      <c r="AN13" s="556">
        <f>AI13-sezione!AV13</f>
        <v>40</v>
      </c>
      <c r="AP13" s="576">
        <f t="shared" si="6"/>
        <v>6</v>
      </c>
      <c r="AQ13" s="556">
        <f>sezione!AI13</f>
        <v>300.00598557692291</v>
      </c>
      <c r="AR13" s="556">
        <f>sezione!$AH$20</f>
        <v>40</v>
      </c>
      <c r="AS13" s="556">
        <f>sezione!$AI$20</f>
        <v>150</v>
      </c>
      <c r="AT13" s="556">
        <f>sezione!$AJ$20</f>
        <v>260</v>
      </c>
      <c r="AU13" s="556">
        <f>sezione!$AK$20</f>
        <v>340</v>
      </c>
      <c r="AV13" s="556">
        <f>'Progetto del paramento slu'!D160*1000-'Foglio deposito bis'!$E$40</f>
        <v>260.00598557692291</v>
      </c>
    </row>
    <row r="14" spans="1:48" x14ac:dyDescent="0.25">
      <c r="A14" s="553">
        <f t="shared" si="2"/>
        <v>661029.19960595202</v>
      </c>
      <c r="B14" s="3">
        <f t="shared" si="4"/>
        <v>0.44999999999999996</v>
      </c>
      <c r="C14" s="42">
        <f>'Foglio deposito bis'!$E$153/$B$247*B14</f>
        <v>1.826792963464142</v>
      </c>
      <c r="D14" s="611">
        <f>-'Progetto del paramento slu'!$G$47*'Progetto del paramento slu'!$G$41*IF(DATI!$G$218="dx",DATI!$E$61,DATI!$E$64*DATI!$E$63)*1000*C14^2*sezione!$AD$5*(1-sezione!$AD$6)</f>
        <v>-27471.603477251421</v>
      </c>
      <c r="E14" s="553">
        <f>-'Foglio deposito bis'!$F$48*(C14-sezione!$AL$27)*IF(ABS(K14)&lt;'Progetto del paramento slu'!$G$58,ABS(K14)*'Progetto del paramento slu'!$G$54,'Progetto del paramento slu'!$G$53)</f>
        <v>0</v>
      </c>
      <c r="F14" s="553">
        <f>-'Foglio deposito bis'!$F$49*(C14-sezione!$AM$27)*IF(ABS(L14)&lt;'Progetto del paramento slu'!$G$58,ABS(L14)*'Progetto del paramento slu'!$G$54,'Progetto del paramento slu'!$G$53)</f>
        <v>30358686.435966559</v>
      </c>
      <c r="G14" s="553">
        <f>-'Foglio deposito bis'!$F$50*(C14-sezione!$AN$27)*IF(ABS(M14)&lt;'Progetto del paramento slu'!$G$58,ABS(M14)*'Progetto del paramento slu'!$G$54,'Progetto del paramento slu'!$G$53)</f>
        <v>0</v>
      </c>
      <c r="H14" s="553">
        <f>-'Foglio deposito bis'!$F$51*(C14-sezione!$AO$27)*IF(ABS(N14)&lt;'Progetto del paramento slu'!$G$58,ABS(N14)*'Progetto del paramento slu'!$G$54,'Progetto del paramento slu'!$G$53)</f>
        <v>81481649.760746896</v>
      </c>
      <c r="I14" s="479">
        <f>-'Foglio deposito bis'!$F$52*(C14-sezione!$AP$27)*IF(ABS(O14)&lt;'Progetto del paramento slu'!$G$58,ABS(O14)*'Progetto del paramento slu'!$G$54,'Progetto del paramento slu'!$G$53)</f>
        <v>62205929.966199435</v>
      </c>
      <c r="J14" s="479">
        <f t="shared" si="0"/>
        <v>174018794.55943564</v>
      </c>
      <c r="K14" s="558">
        <f>'Progetto del paramento slu'!$G$60*(sezione!$AL$27-C14)/C14</f>
        <v>7.3137037037036987E-2</v>
      </c>
      <c r="L14" s="558">
        <f>'Progetto del paramento slu'!$G$60*(sezione!$AM$27-C14)/C14</f>
        <v>0.28388888888888869</v>
      </c>
      <c r="M14" s="559">
        <f>'Progetto del paramento slu'!$G$60*(sezione!$AN$27-C14)/C14</f>
        <v>0.49464074074074044</v>
      </c>
      <c r="N14" s="559">
        <f>'Progetto del paramento slu'!$G$60*(sezione!$AO$27-C14)/C14</f>
        <v>0.64791481481481439</v>
      </c>
      <c r="O14" s="559">
        <f>'Progetto del paramento slu'!$G$60*(sezione!$AP$27-C14)/C14</f>
        <v>0.49464074074074044</v>
      </c>
      <c r="P14" s="553">
        <f>-'Progetto del paramento slu'!$G$47*'Progetto del paramento slu'!$G$41*IF(DATI!$G$218="dx",DATI!$E$61,DATI!$E$64*DATI!$E$63)*1000*C14*sezione!$AD$5</f>
        <v>-25750.272665764562</v>
      </c>
      <c r="Q14" s="553">
        <f>'Foglio deposito bis'!$F$48*IF(ABS(K14)&lt;'Progetto del paramento slu'!$G$58,ABS(K14)*'Progetto del paramento slu'!$G$54,'Progetto del paramento slu'!$G$53)*IF(K14&lt;0,-1,1)</f>
        <v>0</v>
      </c>
      <c r="R14" s="553">
        <f>'Foglio deposito bis'!$F$49*IF(ABS(L14)&lt;'Progetto del paramento slu'!$G$58,ABS(L14)*'Progetto del paramento slu'!$G$54,'Progetto del paramento slu'!$G$53)*IF(L14&lt;0,-1,1)</f>
        <v>204886.47740803001</v>
      </c>
      <c r="S14" s="553">
        <f>'Foglio deposito bis'!$F$50*IF(ABS(M14)&lt;'Progetto del paramento slu'!$G$58,ABS(M14)*'Progetto del paramento slu'!$G$54,'Progetto del paramento slu'!$G$53)*IF(M14&lt;0,-1,1)</f>
        <v>0</v>
      </c>
      <c r="T14" s="553">
        <f>'Foglio deposito bis'!$F$51*IF(ABS(N14)&lt;'Progetto del paramento slu'!$G$58,ABS(N14)*'Progetto del paramento slu'!$G$54,'Progetto del paramento slu'!$G$53)*IF(N14&lt;0,-1,1)</f>
        <v>240946.49743184328</v>
      </c>
      <c r="U14" s="553">
        <f>'Foglio deposito bis'!$F$52*IF(ABS(O14)&lt;'Progetto del paramento slu'!$G$58,ABS(O14)*'Progetto del paramento slu'!$G$54,'Progetto del paramento slu'!$G$53)*IF(O14&lt;0,-1,1)</f>
        <v>240946.49743184328</v>
      </c>
      <c r="V14" s="479">
        <f t="shared" si="3"/>
        <v>661029.19960595202</v>
      </c>
      <c r="W14" s="559"/>
      <c r="X14" s="559"/>
      <c r="Z14" s="571">
        <f t="shared" si="1"/>
        <v>10</v>
      </c>
      <c r="AA14" s="546">
        <f>MINA(sezione!A2485:A2727)</f>
        <v>79997.525903160451</v>
      </c>
      <c r="AB14" s="546">
        <f>VLOOKUP(sezione!$AA$14,sezione!A2485:O2727,3,FALSE)</f>
        <v>170.1003924221919</v>
      </c>
      <c r="AH14" s="576">
        <f t="shared" si="5"/>
        <v>7</v>
      </c>
      <c r="AI14" s="556">
        <f>'Foglio deposito bis'!E160</f>
        <v>300.0069951923075</v>
      </c>
      <c r="AJ14" s="556">
        <f>AI14-sezione!$AH$20</f>
        <v>260.0069951923075</v>
      </c>
      <c r="AK14" s="556">
        <f>AI14-sezione!$AI$20</f>
        <v>150.0069951923075</v>
      </c>
      <c r="AL14" s="556">
        <f>AI14-sezione!$AJ$20</f>
        <v>40.0069951923075</v>
      </c>
      <c r="AM14" s="556">
        <f>AI14-sezione!$AK$20</f>
        <v>-39.9930048076925</v>
      </c>
      <c r="AN14" s="556">
        <f>AI14-sezione!AV14</f>
        <v>40</v>
      </c>
      <c r="AP14" s="576">
        <f t="shared" si="6"/>
        <v>7</v>
      </c>
      <c r="AQ14" s="556">
        <f>sezione!AI14</f>
        <v>300.0069951923075</v>
      </c>
      <c r="AR14" s="556">
        <f>sezione!$AH$20</f>
        <v>40</v>
      </c>
      <c r="AS14" s="556">
        <f>sezione!$AI$20</f>
        <v>150</v>
      </c>
      <c r="AT14" s="556">
        <f>sezione!$AJ$20</f>
        <v>260</v>
      </c>
      <c r="AU14" s="556">
        <f>sezione!$AK$20</f>
        <v>340</v>
      </c>
      <c r="AV14" s="556">
        <f>'Progetto del paramento slu'!D161*1000-'Foglio deposito bis'!$E$40</f>
        <v>260.0069951923075</v>
      </c>
    </row>
    <row r="15" spans="1:48" x14ac:dyDescent="0.25">
      <c r="A15" s="553">
        <f t="shared" si="2"/>
        <v>658168.0581986449</v>
      </c>
      <c r="B15" s="3">
        <f t="shared" si="4"/>
        <v>0.49999999999999994</v>
      </c>
      <c r="C15" s="42">
        <f>'Foglio deposito bis'!$E$153/$B$247*B15</f>
        <v>2.0297699594046019</v>
      </c>
      <c r="D15" s="611">
        <f>-'Progetto del paramento slu'!$G$47*'Progetto del paramento slu'!$G$41*IF(DATI!$G$218="dx",DATI!$E$61,DATI!$E$64*DATI!$E$63)*1000*C15^2*sezione!$AD$5*(1-sezione!$AD$6)</f>
        <v>-33915.559848458528</v>
      </c>
      <c r="E15" s="553">
        <f>-'Foglio deposito bis'!$F$48*(C15-sezione!$AL$27)*IF(ABS(K15)&lt;'Progetto del paramento slu'!$G$58,ABS(K15)*'Progetto del paramento slu'!$G$54,'Progetto del paramento slu'!$G$53)</f>
        <v>0</v>
      </c>
      <c r="F15" s="553">
        <f>-'Foglio deposito bis'!$F$49*(C15-sezione!$AM$27)*IF(ABS(L15)&lt;'Progetto del paramento slu'!$G$58,ABS(L15)*'Progetto del paramento slu'!$G$54,'Progetto del paramento slu'!$G$53)</f>
        <v>30317099.194273453</v>
      </c>
      <c r="G15" s="553">
        <f>-'Foglio deposito bis'!$F$50*(C15-sezione!$AN$27)*IF(ABS(M15)&lt;'Progetto del paramento slu'!$G$58,ABS(M15)*'Progetto del paramento slu'!$G$54,'Progetto del paramento slu'!$G$53)</f>
        <v>0</v>
      </c>
      <c r="H15" s="553">
        <f>-'Foglio deposito bis'!$F$51*(C15-sezione!$AO$27)*IF(ABS(N15)&lt;'Progetto del paramento slu'!$G$58,ABS(N15)*'Progetto del paramento slu'!$G$54,'Progetto del paramento slu'!$G$53)</f>
        <v>81432743.164515808</v>
      </c>
      <c r="I15" s="479">
        <f>-'Foglio deposito bis'!$F$52*(C15-sezione!$AP$27)*IF(ABS(O15)&lt;'Progetto del paramento slu'!$G$58,ABS(O15)*'Progetto del paramento slu'!$G$54,'Progetto del paramento slu'!$G$53)</f>
        <v>62157023.369968347</v>
      </c>
      <c r="J15" s="479">
        <f t="shared" si="0"/>
        <v>173872950.16890916</v>
      </c>
      <c r="K15" s="558">
        <f>'Progetto del paramento slu'!$G$60*(sezione!$AL$27-C15)/C15</f>
        <v>6.5473333333333286E-2</v>
      </c>
      <c r="L15" s="558">
        <f>'Progetto del paramento slu'!$G$60*(sezione!$AM$27-C15)/C15</f>
        <v>0.25514999999999988</v>
      </c>
      <c r="M15" s="559">
        <f>'Progetto del paramento slu'!$G$60*(sezione!$AN$27-C15)/C15</f>
        <v>0.44482666666666648</v>
      </c>
      <c r="N15" s="559">
        <f>'Progetto del paramento slu'!$G$60*(sezione!$AO$27-C15)/C15</f>
        <v>0.58277333333333303</v>
      </c>
      <c r="O15" s="559">
        <f>'Progetto del paramento slu'!$G$60*(sezione!$AP$27-C15)/C15</f>
        <v>0.44482666666666648</v>
      </c>
      <c r="P15" s="553">
        <f>-'Progetto del paramento slu'!$G$47*'Progetto del paramento slu'!$G$41*IF(DATI!$G$218="dx",DATI!$E$61,DATI!$E$64*DATI!$E$63)*1000*C15*sezione!$AD$5</f>
        <v>-28611.41407307173</v>
      </c>
      <c r="Q15" s="553">
        <f>'Foglio deposito bis'!$F$48*IF(ABS(K15)&lt;'Progetto del paramento slu'!$G$58,ABS(K15)*'Progetto del paramento slu'!$G$54,'Progetto del paramento slu'!$G$53)*IF(K15&lt;0,-1,1)</f>
        <v>0</v>
      </c>
      <c r="R15" s="553">
        <f>'Foglio deposito bis'!$F$49*IF(ABS(L15)&lt;'Progetto del paramento slu'!$G$58,ABS(L15)*'Progetto del paramento slu'!$G$54,'Progetto del paramento slu'!$G$53)*IF(L15&lt;0,-1,1)</f>
        <v>204886.47740803001</v>
      </c>
      <c r="S15" s="553">
        <f>'Foglio deposito bis'!$F$50*IF(ABS(M15)&lt;'Progetto del paramento slu'!$G$58,ABS(M15)*'Progetto del paramento slu'!$G$54,'Progetto del paramento slu'!$G$53)*IF(M15&lt;0,-1,1)</f>
        <v>0</v>
      </c>
      <c r="T15" s="553">
        <f>'Foglio deposito bis'!$F$51*IF(ABS(N15)&lt;'Progetto del paramento slu'!$G$58,ABS(N15)*'Progetto del paramento slu'!$G$54,'Progetto del paramento slu'!$G$53)*IF(N15&lt;0,-1,1)</f>
        <v>240946.49743184328</v>
      </c>
      <c r="U15" s="553">
        <f>'Foglio deposito bis'!$F$52*IF(ABS(O15)&lt;'Progetto del paramento slu'!$G$58,ABS(O15)*'Progetto del paramento slu'!$G$54,'Progetto del paramento slu'!$G$53)*IF(O15&lt;0,-1,1)</f>
        <v>240946.49743184328</v>
      </c>
      <c r="V15" s="479">
        <f t="shared" si="3"/>
        <v>658168.0581986449</v>
      </c>
      <c r="W15" s="559"/>
      <c r="X15" s="559"/>
      <c r="AH15" s="576">
        <f t="shared" si="5"/>
        <v>8</v>
      </c>
      <c r="AI15" s="556">
        <f>'Foglio deposito bis'!E161</f>
        <v>300.00798076923058</v>
      </c>
      <c r="AJ15" s="556">
        <f>AI15-sezione!$AH$20</f>
        <v>260.00798076923058</v>
      </c>
      <c r="AK15" s="556">
        <f>AI15-sezione!$AI$20</f>
        <v>150.00798076923058</v>
      </c>
      <c r="AL15" s="556">
        <f>AI15-sezione!$AJ$20</f>
        <v>40.007980769230585</v>
      </c>
      <c r="AM15" s="556">
        <f>AI15-sezione!$AK$20</f>
        <v>-39.992019230769415</v>
      </c>
      <c r="AN15" s="556">
        <f>AI15-sezione!AV15</f>
        <v>40</v>
      </c>
      <c r="AP15" s="576">
        <f t="shared" si="6"/>
        <v>8</v>
      </c>
      <c r="AQ15" s="556">
        <f>sezione!AI15</f>
        <v>300.00798076923058</v>
      </c>
      <c r="AR15" s="556">
        <f>sezione!$AH$20</f>
        <v>40</v>
      </c>
      <c r="AS15" s="556">
        <f>sezione!$AI$20</f>
        <v>150</v>
      </c>
      <c r="AT15" s="556">
        <f>sezione!$AJ$20</f>
        <v>260</v>
      </c>
      <c r="AU15" s="556">
        <f>sezione!$AK$20</f>
        <v>340</v>
      </c>
      <c r="AV15" s="556">
        <f>'Progetto del paramento slu'!D162*1000-'Foglio deposito bis'!$E$40</f>
        <v>260.00798076923058</v>
      </c>
    </row>
    <row r="16" spans="1:48" x14ac:dyDescent="0.25">
      <c r="A16" s="553">
        <f t="shared" si="2"/>
        <v>655306.91679133766</v>
      </c>
      <c r="B16" s="3">
        <f t="shared" si="4"/>
        <v>0.54999999999999993</v>
      </c>
      <c r="C16" s="42">
        <f>'Foglio deposito bis'!$E$153/$B$247*B16</f>
        <v>2.2327469553450623</v>
      </c>
      <c r="D16" s="611">
        <f>-'Progetto del paramento slu'!$G$47*'Progetto del paramento slu'!$G$41*IF(DATI!$G$218="dx",DATI!$E$61,DATI!$E$64*DATI!$E$63)*1000*C16^2*sezione!$AD$5*(1-sezione!$AD$6)</f>
        <v>-41037.827416634827</v>
      </c>
      <c r="E16" s="553">
        <f>-'Foglio deposito bis'!$F$48*(C16-sezione!$AL$27)*IF(ABS(K16)&lt;'Progetto del paramento slu'!$G$58,ABS(K16)*'Progetto del paramento slu'!$G$54,'Progetto del paramento slu'!$G$53)</f>
        <v>0</v>
      </c>
      <c r="F16" s="553">
        <f>-'Foglio deposito bis'!$F$49*(C16-sezione!$AM$27)*IF(ABS(L16)&lt;'Progetto del paramento slu'!$G$58,ABS(L16)*'Progetto del paramento slu'!$G$54,'Progetto del paramento slu'!$G$53)</f>
        <v>30275511.952580348</v>
      </c>
      <c r="G16" s="553">
        <f>-'Foglio deposito bis'!$F$50*(C16-sezione!$AN$27)*IF(ABS(M16)&lt;'Progetto del paramento slu'!$G$58,ABS(M16)*'Progetto del paramento slu'!$G$54,'Progetto del paramento slu'!$G$53)</f>
        <v>0</v>
      </c>
      <c r="H16" s="553">
        <f>-'Foglio deposito bis'!$F$51*(C16-sezione!$AO$27)*IF(ABS(N16)&lt;'Progetto del paramento slu'!$G$58,ABS(N16)*'Progetto del paramento slu'!$G$54,'Progetto del paramento slu'!$G$53)</f>
        <v>81383836.568284705</v>
      </c>
      <c r="I16" s="479">
        <f>-'Foglio deposito bis'!$F$52*(C16-sezione!$AP$27)*IF(ABS(O16)&lt;'Progetto del paramento slu'!$G$58,ABS(O16)*'Progetto del paramento slu'!$G$54,'Progetto del paramento slu'!$G$53)</f>
        <v>62108116.773737244</v>
      </c>
      <c r="J16" s="479">
        <f t="shared" si="0"/>
        <v>173726427.46718568</v>
      </c>
      <c r="K16" s="558">
        <f>'Progetto del paramento slu'!$G$60*(sezione!$AL$27-C16)/C16</f>
        <v>5.9203030303030264E-2</v>
      </c>
      <c r="L16" s="558">
        <f>'Progetto del paramento slu'!$G$60*(sezione!$AM$27-C16)/C16</f>
        <v>0.23163636363636353</v>
      </c>
      <c r="M16" s="559">
        <f>'Progetto del paramento slu'!$G$60*(sezione!$AN$27-C16)/C16</f>
        <v>0.40406969696969669</v>
      </c>
      <c r="N16" s="559">
        <f>'Progetto del paramento slu'!$G$60*(sezione!$AO$27-C16)/C16</f>
        <v>0.52947575757575727</v>
      </c>
      <c r="O16" s="559">
        <f>'Progetto del paramento slu'!$G$60*(sezione!$AP$27-C16)/C16</f>
        <v>0.40406969696969669</v>
      </c>
      <c r="P16" s="553">
        <f>-'Progetto del paramento slu'!$G$47*'Progetto del paramento slu'!$G$41*IF(DATI!$G$218="dx",DATI!$E$61,DATI!$E$64*DATI!$E$63)*1000*C16*sezione!$AD$5</f>
        <v>-31472.555480378913</v>
      </c>
      <c r="Q16" s="553">
        <f>'Foglio deposito bis'!$F$48*IF(ABS(K16)&lt;'Progetto del paramento slu'!$G$58,ABS(K16)*'Progetto del paramento slu'!$G$54,'Progetto del paramento slu'!$G$53)*IF(K16&lt;0,-1,1)</f>
        <v>0</v>
      </c>
      <c r="R16" s="553">
        <f>'Foglio deposito bis'!$F$49*IF(ABS(L16)&lt;'Progetto del paramento slu'!$G$58,ABS(L16)*'Progetto del paramento slu'!$G$54,'Progetto del paramento slu'!$G$53)*IF(L16&lt;0,-1,1)</f>
        <v>204886.47740803001</v>
      </c>
      <c r="S16" s="553">
        <f>'Foglio deposito bis'!$F$50*IF(ABS(M16)&lt;'Progetto del paramento slu'!$G$58,ABS(M16)*'Progetto del paramento slu'!$G$54,'Progetto del paramento slu'!$G$53)*IF(M16&lt;0,-1,1)</f>
        <v>0</v>
      </c>
      <c r="T16" s="553">
        <f>'Foglio deposito bis'!$F$51*IF(ABS(N16)&lt;'Progetto del paramento slu'!$G$58,ABS(N16)*'Progetto del paramento slu'!$G$54,'Progetto del paramento slu'!$G$53)*IF(N16&lt;0,-1,1)</f>
        <v>240946.49743184328</v>
      </c>
      <c r="U16" s="553">
        <f>'Foglio deposito bis'!$F$52*IF(ABS(O16)&lt;'Progetto del paramento slu'!$G$58,ABS(O16)*'Progetto del paramento slu'!$G$54,'Progetto del paramento slu'!$G$53)*IF(O16&lt;0,-1,1)</f>
        <v>240946.49743184328</v>
      </c>
      <c r="V16" s="479">
        <f t="shared" si="3"/>
        <v>655306.91679133766</v>
      </c>
      <c r="W16" s="559"/>
      <c r="X16" s="559"/>
      <c r="Z16" t="s">
        <v>1009</v>
      </c>
      <c r="AC16" t="s">
        <v>1010</v>
      </c>
      <c r="AH16" s="576">
        <f t="shared" si="5"/>
        <v>9</v>
      </c>
      <c r="AI16" s="556">
        <f>'Foglio deposito bis'!E162</f>
        <v>300.00899038461517</v>
      </c>
      <c r="AJ16" s="556">
        <f>AI16-sezione!$AH$20</f>
        <v>260.00899038461517</v>
      </c>
      <c r="AK16" s="556">
        <f>AI16-sezione!$AI$20</f>
        <v>150.00899038461517</v>
      </c>
      <c r="AL16" s="556">
        <f>AI16-sezione!$AJ$20</f>
        <v>40.008990384615174</v>
      </c>
      <c r="AM16" s="556">
        <f>AI16-sezione!$AK$20</f>
        <v>-39.991009615384826</v>
      </c>
      <c r="AN16" s="556">
        <f>AI16-sezione!AV16</f>
        <v>40</v>
      </c>
      <c r="AP16" s="576">
        <f t="shared" si="6"/>
        <v>9</v>
      </c>
      <c r="AQ16" s="556">
        <f>sezione!AI16</f>
        <v>300.00899038461517</v>
      </c>
      <c r="AR16" s="556">
        <f>sezione!$AH$20</f>
        <v>40</v>
      </c>
      <c r="AS16" s="556">
        <f>sezione!$AI$20</f>
        <v>150</v>
      </c>
      <c r="AT16" s="556">
        <f>sezione!$AJ$20</f>
        <v>260</v>
      </c>
      <c r="AU16" s="556">
        <f>sezione!$AK$20</f>
        <v>340</v>
      </c>
      <c r="AV16" s="556">
        <f>'Progetto del paramento slu'!D163*1000-'Foglio deposito bis'!$E$40</f>
        <v>260.00899038461517</v>
      </c>
    </row>
    <row r="17" spans="1:48" x14ac:dyDescent="0.25">
      <c r="A17" s="553">
        <f t="shared" si="2"/>
        <v>652445.77538403054</v>
      </c>
      <c r="B17" s="3">
        <f t="shared" si="4"/>
        <v>0.6</v>
      </c>
      <c r="C17" s="42">
        <f>'Foglio deposito bis'!$E$153/$B$247*B17</f>
        <v>2.4357239512855227</v>
      </c>
      <c r="D17" s="611">
        <f>-'Progetto del paramento slu'!$G$47*'Progetto del paramento slu'!$G$41*IF(DATI!$G$218="dx",DATI!$E$61,DATI!$E$64*DATI!$E$63)*1000*C17^2*sezione!$AD$5*(1-sezione!$AD$6)</f>
        <v>-48838.406181780301</v>
      </c>
      <c r="E17" s="553">
        <f>-'Foglio deposito bis'!$F$48*(C17-sezione!$AL$27)*IF(ABS(K17)&lt;'Progetto del paramento slu'!$G$58,ABS(K17)*'Progetto del paramento slu'!$G$54,'Progetto del paramento slu'!$G$53)</f>
        <v>0</v>
      </c>
      <c r="F17" s="553">
        <f>-'Foglio deposito bis'!$F$49*(C17-sezione!$AM$27)*IF(ABS(L17)&lt;'Progetto del paramento slu'!$G$58,ABS(L17)*'Progetto del paramento slu'!$G$54,'Progetto del paramento slu'!$G$53)</f>
        <v>30233924.710887246</v>
      </c>
      <c r="G17" s="553">
        <f>-'Foglio deposito bis'!$F$50*(C17-sezione!$AN$27)*IF(ABS(M17)&lt;'Progetto del paramento slu'!$G$58,ABS(M17)*'Progetto del paramento slu'!$G$54,'Progetto del paramento slu'!$G$53)</f>
        <v>0</v>
      </c>
      <c r="H17" s="553">
        <f>-'Foglio deposito bis'!$F$51*(C17-sezione!$AO$27)*IF(ABS(N17)&lt;'Progetto del paramento slu'!$G$58,ABS(N17)*'Progetto del paramento slu'!$G$54,'Progetto del paramento slu'!$G$53)</f>
        <v>81334929.972053617</v>
      </c>
      <c r="I17" s="479">
        <f>-'Foglio deposito bis'!$F$52*(C17-sezione!$AP$27)*IF(ABS(O17)&lt;'Progetto del paramento slu'!$G$58,ABS(O17)*'Progetto del paramento slu'!$G$54,'Progetto del paramento slu'!$G$53)</f>
        <v>62059210.177506149</v>
      </c>
      <c r="J17" s="479">
        <f t="shared" si="0"/>
        <v>173579226.45426524</v>
      </c>
      <c r="K17" s="558">
        <f>'Progetto del paramento slu'!$G$60*(sezione!$AL$27-C17)/C17</f>
        <v>5.3977777777777736E-2</v>
      </c>
      <c r="L17" s="558">
        <f>'Progetto del paramento slu'!$G$60*(sezione!$AM$27-C17)/C17</f>
        <v>0.21204166666666655</v>
      </c>
      <c r="M17" s="559">
        <f>'Progetto del paramento slu'!$G$60*(sezione!$AN$27-C17)/C17</f>
        <v>0.3701055555555553</v>
      </c>
      <c r="N17" s="559">
        <f>'Progetto del paramento slu'!$G$60*(sezione!$AO$27-C17)/C17</f>
        <v>0.48506111111111078</v>
      </c>
      <c r="O17" s="559">
        <f>'Progetto del paramento slu'!$G$60*(sezione!$AP$27-C17)/C17</f>
        <v>0.3701055555555553</v>
      </c>
      <c r="P17" s="553">
        <f>-'Progetto del paramento slu'!$G$47*'Progetto del paramento slu'!$G$41*IF(DATI!$G$218="dx",DATI!$E$61,DATI!$E$64*DATI!$E$63)*1000*C17*sezione!$AD$5</f>
        <v>-34333.696887686085</v>
      </c>
      <c r="Q17" s="553">
        <f>'Foglio deposito bis'!$F$48*IF(ABS(K17)&lt;'Progetto del paramento slu'!$G$58,ABS(K17)*'Progetto del paramento slu'!$G$54,'Progetto del paramento slu'!$G$53)*IF(K17&lt;0,-1,1)</f>
        <v>0</v>
      </c>
      <c r="R17" s="553">
        <f>'Foglio deposito bis'!$F$49*IF(ABS(L17)&lt;'Progetto del paramento slu'!$G$58,ABS(L17)*'Progetto del paramento slu'!$G$54,'Progetto del paramento slu'!$G$53)*IF(L17&lt;0,-1,1)</f>
        <v>204886.47740803001</v>
      </c>
      <c r="S17" s="553">
        <f>'Foglio deposito bis'!$F$50*IF(ABS(M17)&lt;'Progetto del paramento slu'!$G$58,ABS(M17)*'Progetto del paramento slu'!$G$54,'Progetto del paramento slu'!$G$53)*IF(M17&lt;0,-1,1)</f>
        <v>0</v>
      </c>
      <c r="T17" s="553">
        <f>'Foglio deposito bis'!$F$51*IF(ABS(N17)&lt;'Progetto del paramento slu'!$G$58,ABS(N17)*'Progetto del paramento slu'!$G$54,'Progetto del paramento slu'!$G$53)*IF(N17&lt;0,-1,1)</f>
        <v>240946.49743184328</v>
      </c>
      <c r="U17" s="553">
        <f>'Foglio deposito bis'!$F$52*IF(ABS(O17)&lt;'Progetto del paramento slu'!$G$58,ABS(O17)*'Progetto del paramento slu'!$G$54,'Progetto del paramento slu'!$G$53)*IF(O17&lt;0,-1,1)</f>
        <v>240946.49743184328</v>
      </c>
      <c r="V17" s="479">
        <f t="shared" si="3"/>
        <v>652445.77538403054</v>
      </c>
      <c r="W17" s="559"/>
      <c r="X17" s="559"/>
      <c r="Z17" s="978" t="s">
        <v>967</v>
      </c>
      <c r="AA17" s="978"/>
      <c r="AC17" s="978" t="s">
        <v>967</v>
      </c>
      <c r="AD17" s="978"/>
      <c r="AH17" s="576">
        <f t="shared" si="5"/>
        <v>10</v>
      </c>
      <c r="AI17" s="556">
        <f>'Foglio deposito bis'!E163</f>
        <v>300.00999999999976</v>
      </c>
      <c r="AJ17" s="556">
        <f>AI17-sezione!$AH$20</f>
        <v>260.00999999999976</v>
      </c>
      <c r="AK17" s="556">
        <f>AI17-sezione!$AI$20</f>
        <v>150.00999999999976</v>
      </c>
      <c r="AL17" s="556">
        <f>AI17-sezione!$AJ$20</f>
        <v>40.009999999999764</v>
      </c>
      <c r="AM17" s="556">
        <f>AI17-sezione!$AK$20</f>
        <v>-39.990000000000236</v>
      </c>
      <c r="AN17" s="556">
        <f>AI17-sezione!AV17</f>
        <v>40</v>
      </c>
      <c r="AP17" s="576">
        <f t="shared" si="6"/>
        <v>10</v>
      </c>
      <c r="AQ17" s="556">
        <f>sezione!AI17</f>
        <v>300.00999999999976</v>
      </c>
      <c r="AR17" s="556">
        <f>sezione!$AH$20</f>
        <v>40</v>
      </c>
      <c r="AS17" s="556">
        <f>sezione!$AI$20</f>
        <v>150</v>
      </c>
      <c r="AT17" s="556">
        <f>sezione!$AJ$20</f>
        <v>260</v>
      </c>
      <c r="AU17" s="556">
        <f>sezione!$AK$20</f>
        <v>340</v>
      </c>
      <c r="AV17" s="556">
        <f>'Progetto del paramento slu'!D164*1000-'Foglio deposito bis'!$E$40</f>
        <v>260.00999999999976</v>
      </c>
    </row>
    <row r="18" spans="1:48" x14ac:dyDescent="0.25">
      <c r="A18" s="553">
        <f t="shared" si="2"/>
        <v>649584.6339767233</v>
      </c>
      <c r="B18" s="3">
        <f t="shared" si="4"/>
        <v>0.65</v>
      </c>
      <c r="C18" s="42">
        <f>'Foglio deposito bis'!$E$153/$B$247*B18</f>
        <v>2.638700947225983</v>
      </c>
      <c r="D18" s="611">
        <f>-'Progetto del paramento slu'!$G$47*'Progetto del paramento slu'!$G$41*IF(DATI!$G$218="dx",DATI!$E$61,DATI!$E$64*DATI!$E$63)*1000*C18^2*sezione!$AD$5*(1-sezione!$AD$6)</f>
        <v>-57317.29614389495</v>
      </c>
      <c r="E18" s="553">
        <f>-'Foglio deposito bis'!$F$48*(C18-sezione!$AL$27)*IF(ABS(K18)&lt;'Progetto del paramento slu'!$G$58,ABS(K18)*'Progetto del paramento slu'!$G$54,'Progetto del paramento slu'!$G$53)</f>
        <v>0</v>
      </c>
      <c r="F18" s="553">
        <f>-'Foglio deposito bis'!$F$49*(C18-sezione!$AM$27)*IF(ABS(L18)&lt;'Progetto del paramento slu'!$G$58,ABS(L18)*'Progetto del paramento slu'!$G$54,'Progetto del paramento slu'!$G$53)</f>
        <v>30192337.46919414</v>
      </c>
      <c r="G18" s="553">
        <f>-'Foglio deposito bis'!$F$50*(C18-sezione!$AN$27)*IF(ABS(M18)&lt;'Progetto del paramento slu'!$G$58,ABS(M18)*'Progetto del paramento slu'!$G$54,'Progetto del paramento slu'!$G$53)</f>
        <v>0</v>
      </c>
      <c r="H18" s="553">
        <f>-'Foglio deposito bis'!$F$51*(C18-sezione!$AO$27)*IF(ABS(N18)&lt;'Progetto del paramento slu'!$G$58,ABS(N18)*'Progetto del paramento slu'!$G$54,'Progetto del paramento slu'!$G$53)</f>
        <v>81286023.375822529</v>
      </c>
      <c r="I18" s="479">
        <f>-'Foglio deposito bis'!$F$52*(C18-sezione!$AP$27)*IF(ABS(O18)&lt;'Progetto del paramento slu'!$G$58,ABS(O18)*'Progetto del paramento slu'!$G$54,'Progetto del paramento slu'!$G$53)</f>
        <v>62010303.581275061</v>
      </c>
      <c r="J18" s="479">
        <f t="shared" si="0"/>
        <v>173431347.13014781</v>
      </c>
      <c r="K18" s="558">
        <f>'Progetto del paramento slu'!$G$60*(sezione!$AL$27-C18)/C18</f>
        <v>4.9556410256410215E-2</v>
      </c>
      <c r="L18" s="558">
        <f>'Progetto del paramento slu'!$G$60*(sezione!$AM$27-C18)/C18</f>
        <v>0.19546153846153835</v>
      </c>
      <c r="M18" s="559">
        <f>'Progetto del paramento slu'!$G$60*(sezione!$AN$27-C18)/C18</f>
        <v>0.34136666666666643</v>
      </c>
      <c r="N18" s="559">
        <f>'Progetto del paramento slu'!$G$60*(sezione!$AO$27-C18)/C18</f>
        <v>0.44747948717948688</v>
      </c>
      <c r="O18" s="559">
        <f>'Progetto del paramento slu'!$G$60*(sezione!$AP$27-C18)/C18</f>
        <v>0.34136666666666643</v>
      </c>
      <c r="P18" s="553">
        <f>-'Progetto del paramento slu'!$G$47*'Progetto del paramento slu'!$G$41*IF(DATI!$G$218="dx",DATI!$E$61,DATI!$E$64*DATI!$E$63)*1000*C18*sezione!$AD$5</f>
        <v>-37194.838294993264</v>
      </c>
      <c r="Q18" s="553">
        <f>'Foglio deposito bis'!$F$48*IF(ABS(K18)&lt;'Progetto del paramento slu'!$G$58,ABS(K18)*'Progetto del paramento slu'!$G$54,'Progetto del paramento slu'!$G$53)*IF(K18&lt;0,-1,1)</f>
        <v>0</v>
      </c>
      <c r="R18" s="553">
        <f>'Foglio deposito bis'!$F$49*IF(ABS(L18)&lt;'Progetto del paramento slu'!$G$58,ABS(L18)*'Progetto del paramento slu'!$G$54,'Progetto del paramento slu'!$G$53)*IF(L18&lt;0,-1,1)</f>
        <v>204886.47740803001</v>
      </c>
      <c r="S18" s="553">
        <f>'Foglio deposito bis'!$F$50*IF(ABS(M18)&lt;'Progetto del paramento slu'!$G$58,ABS(M18)*'Progetto del paramento slu'!$G$54,'Progetto del paramento slu'!$G$53)*IF(M18&lt;0,-1,1)</f>
        <v>0</v>
      </c>
      <c r="T18" s="553">
        <f>'Foglio deposito bis'!$F$51*IF(ABS(N18)&lt;'Progetto del paramento slu'!$G$58,ABS(N18)*'Progetto del paramento slu'!$G$54,'Progetto del paramento slu'!$G$53)*IF(N18&lt;0,-1,1)</f>
        <v>240946.49743184328</v>
      </c>
      <c r="U18" s="553">
        <f>'Foglio deposito bis'!$F$52*IF(ABS(O18)&lt;'Progetto del paramento slu'!$G$58,ABS(O18)*'Progetto del paramento slu'!$G$54,'Progetto del paramento slu'!$G$53)*IF(O18&lt;0,-1,1)</f>
        <v>240946.49743184328</v>
      </c>
      <c r="V18" s="479">
        <f t="shared" si="3"/>
        <v>649584.6339767233</v>
      </c>
      <c r="W18" s="559"/>
      <c r="X18" s="559"/>
      <c r="Z18" s="571">
        <f>DATI!E61/2*1.2</f>
        <v>0.6</v>
      </c>
      <c r="AA18" s="280">
        <f>'Foglio deposito bis'!D143/1000</f>
        <v>0.17010039242219191</v>
      </c>
      <c r="AC18" s="584">
        <f>sezione!Z18</f>
        <v>0.6</v>
      </c>
      <c r="AD18" s="280">
        <f>IF('ANALISI DELLE SPINTE'!C76="wood",DATI!E66-'Foglio deposito bis'!D133/1000,'Foglio deposito bis'!D133/1000)</f>
        <v>4.9120433017591288E-2</v>
      </c>
    </row>
    <row r="19" spans="1:48" x14ac:dyDescent="0.25">
      <c r="A19" s="553">
        <f t="shared" si="2"/>
        <v>646723.49256941618</v>
      </c>
      <c r="B19" s="3">
        <f t="shared" si="4"/>
        <v>0.70000000000000007</v>
      </c>
      <c r="C19" s="42">
        <f>'Foglio deposito bis'!$E$153/$B$247*B19</f>
        <v>2.8416779431664434</v>
      </c>
      <c r="D19" s="611">
        <f>-'Progetto del paramento slu'!$G$47*'Progetto del paramento slu'!$G$41*IF(DATI!$G$218="dx",DATI!$E$61,DATI!$E$64*DATI!$E$63)*1000*C19^2*sezione!$AD$5*(1-sezione!$AD$6)</f>
        <v>-66474.497302978765</v>
      </c>
      <c r="E19" s="553">
        <f>-'Foglio deposito bis'!$F$48*(C19-sezione!$AL$27)*IF(ABS(K19)&lt;'Progetto del paramento slu'!$G$58,ABS(K19)*'Progetto del paramento slu'!$G$54,'Progetto del paramento slu'!$G$53)</f>
        <v>0</v>
      </c>
      <c r="F19" s="553">
        <f>-'Foglio deposito bis'!$F$49*(C19-sezione!$AM$27)*IF(ABS(L19)&lt;'Progetto del paramento slu'!$G$58,ABS(L19)*'Progetto del paramento slu'!$G$54,'Progetto del paramento slu'!$G$53)</f>
        <v>30150750.227501035</v>
      </c>
      <c r="G19" s="553">
        <f>-'Foglio deposito bis'!$F$50*(C19-sezione!$AN$27)*IF(ABS(M19)&lt;'Progetto del paramento slu'!$G$58,ABS(M19)*'Progetto del paramento slu'!$G$54,'Progetto del paramento slu'!$G$53)</f>
        <v>0</v>
      </c>
      <c r="H19" s="553">
        <f>-'Foglio deposito bis'!$F$51*(C19-sezione!$AO$27)*IF(ABS(N19)&lt;'Progetto del paramento slu'!$G$58,ABS(N19)*'Progetto del paramento slu'!$G$54,'Progetto del paramento slu'!$G$53)</f>
        <v>81237116.779591441</v>
      </c>
      <c r="I19" s="479">
        <f>-'Foglio deposito bis'!$F$52*(C19-sezione!$AP$27)*IF(ABS(O19)&lt;'Progetto del paramento slu'!$G$58,ABS(O19)*'Progetto del paramento slu'!$G$54,'Progetto del paramento slu'!$G$53)</f>
        <v>61961396.985043973</v>
      </c>
      <c r="J19" s="479">
        <f t="shared" si="0"/>
        <v>173282789.49483347</v>
      </c>
      <c r="K19" s="558">
        <f>'Progetto del paramento slu'!$G$60*(sezione!$AL$27-C19)/C19</f>
        <v>4.5766666666666629E-2</v>
      </c>
      <c r="L19" s="558">
        <f>'Progetto del paramento slu'!$G$60*(sezione!$AM$27-C19)/C19</f>
        <v>0.18124999999999983</v>
      </c>
      <c r="M19" s="559">
        <f>'Progetto del paramento slu'!$G$60*(sezione!$AN$27-C19)/C19</f>
        <v>0.31673333333333309</v>
      </c>
      <c r="N19" s="559">
        <f>'Progetto del paramento slu'!$G$60*(sezione!$AO$27-C19)/C19</f>
        <v>0.4152666666666664</v>
      </c>
      <c r="O19" s="559">
        <f>'Progetto del paramento slu'!$G$60*(sezione!$AP$27-C19)/C19</f>
        <v>0.31673333333333309</v>
      </c>
      <c r="P19" s="553">
        <f>-'Progetto del paramento slu'!$G$47*'Progetto del paramento slu'!$G$41*IF(DATI!$G$218="dx",DATI!$E$61,DATI!$E$64*DATI!$E$63)*1000*C19*sezione!$AD$5</f>
        <v>-40055.979702300436</v>
      </c>
      <c r="Q19" s="553">
        <f>'Foglio deposito bis'!$F$48*IF(ABS(K19)&lt;'Progetto del paramento slu'!$G$58,ABS(K19)*'Progetto del paramento slu'!$G$54,'Progetto del paramento slu'!$G$53)*IF(K19&lt;0,-1,1)</f>
        <v>0</v>
      </c>
      <c r="R19" s="553">
        <f>'Foglio deposito bis'!$F$49*IF(ABS(L19)&lt;'Progetto del paramento slu'!$G$58,ABS(L19)*'Progetto del paramento slu'!$G$54,'Progetto del paramento slu'!$G$53)*IF(L19&lt;0,-1,1)</f>
        <v>204886.47740803001</v>
      </c>
      <c r="S19" s="553">
        <f>'Foglio deposito bis'!$F$50*IF(ABS(M19)&lt;'Progetto del paramento slu'!$G$58,ABS(M19)*'Progetto del paramento slu'!$G$54,'Progetto del paramento slu'!$G$53)*IF(M19&lt;0,-1,1)</f>
        <v>0</v>
      </c>
      <c r="T19" s="553">
        <f>'Foglio deposito bis'!$F$51*IF(ABS(N19)&lt;'Progetto del paramento slu'!$G$58,ABS(N19)*'Progetto del paramento slu'!$G$54,'Progetto del paramento slu'!$G$53)*IF(N19&lt;0,-1,1)</f>
        <v>240946.49743184328</v>
      </c>
      <c r="U19" s="553">
        <f>'Foglio deposito bis'!$F$52*IF(ABS(O19)&lt;'Progetto del paramento slu'!$G$58,ABS(O19)*'Progetto del paramento slu'!$G$54,'Progetto del paramento slu'!$G$53)*IF(O19&lt;0,-1,1)</f>
        <v>240946.49743184328</v>
      </c>
      <c r="V19" s="479">
        <f t="shared" si="3"/>
        <v>646723.49256941618</v>
      </c>
      <c r="W19" s="559"/>
      <c r="X19" s="559"/>
      <c r="Z19" s="571">
        <f>-Z18</f>
        <v>-0.6</v>
      </c>
      <c r="AA19" s="280">
        <f>AA18</f>
        <v>0.17010039242219191</v>
      </c>
      <c r="AC19" s="584">
        <f>-AC18</f>
        <v>-0.6</v>
      </c>
      <c r="AD19" s="280">
        <f>AD18</f>
        <v>4.9120433017591288E-2</v>
      </c>
    </row>
    <row r="20" spans="1:48" x14ac:dyDescent="0.25">
      <c r="A20" s="553">
        <f t="shared" si="2"/>
        <v>643862.35116210894</v>
      </c>
      <c r="B20" s="3">
        <f t="shared" si="4"/>
        <v>0.75000000000000011</v>
      </c>
      <c r="C20" s="42">
        <f>'Foglio deposito bis'!$E$153/$B$247*B20</f>
        <v>3.0446549391069042</v>
      </c>
      <c r="D20" s="611">
        <f>-'Progetto del paramento slu'!$G$47*'Progetto del paramento slu'!$G$41*IF(DATI!$G$218="dx",DATI!$E$61,DATI!$E$64*DATI!$E$63)*1000*C20^2*sezione!$AD$5*(1-sezione!$AD$6)</f>
        <v>-76310.009659031755</v>
      </c>
      <c r="E20" s="553">
        <f>-'Foglio deposito bis'!$F$48*(C20-sezione!$AL$27)*IF(ABS(K20)&lt;'Progetto del paramento slu'!$G$58,ABS(K20)*'Progetto del paramento slu'!$G$54,'Progetto del paramento slu'!$G$53)</f>
        <v>0</v>
      </c>
      <c r="F20" s="553">
        <f>-'Foglio deposito bis'!$F$49*(C20-sezione!$AM$27)*IF(ABS(L20)&lt;'Progetto del paramento slu'!$G$58,ABS(L20)*'Progetto del paramento slu'!$G$54,'Progetto del paramento slu'!$G$53)</f>
        <v>30109162.985807929</v>
      </c>
      <c r="G20" s="553">
        <f>-'Foglio deposito bis'!$F$50*(C20-sezione!$AN$27)*IF(ABS(M20)&lt;'Progetto del paramento slu'!$G$58,ABS(M20)*'Progetto del paramento slu'!$G$54,'Progetto del paramento slu'!$G$53)</f>
        <v>0</v>
      </c>
      <c r="H20" s="553">
        <f>-'Foglio deposito bis'!$F$51*(C20-sezione!$AO$27)*IF(ABS(N20)&lt;'Progetto del paramento slu'!$G$58,ABS(N20)*'Progetto del paramento slu'!$G$54,'Progetto del paramento slu'!$G$53)</f>
        <v>81188210.183360338</v>
      </c>
      <c r="I20" s="479">
        <f>-'Foglio deposito bis'!$F$52*(C20-sezione!$AP$27)*IF(ABS(O20)&lt;'Progetto del paramento slu'!$G$58,ABS(O20)*'Progetto del paramento slu'!$G$54,'Progetto del paramento slu'!$G$53)</f>
        <v>61912490.388812877</v>
      </c>
      <c r="J20" s="479">
        <f t="shared" si="0"/>
        <v>173133553.54832211</v>
      </c>
      <c r="K20" s="558">
        <f>'Progetto del paramento slu'!$G$60*(sezione!$AL$27-C20)/C20</f>
        <v>4.2482222222222178E-2</v>
      </c>
      <c r="L20" s="558">
        <f>'Progetto del paramento slu'!$G$60*(sezione!$AM$27-C20)/C20</f>
        <v>0.16893333333333319</v>
      </c>
      <c r="M20" s="559">
        <f>'Progetto del paramento slu'!$G$60*(sezione!$AN$27-C20)/C20</f>
        <v>0.29538444444444412</v>
      </c>
      <c r="N20" s="559">
        <f>'Progetto del paramento slu'!$G$60*(sezione!$AO$27-C20)/C20</f>
        <v>0.38734888888888852</v>
      </c>
      <c r="O20" s="559">
        <f>'Progetto del paramento slu'!$G$60*(sezione!$AP$27-C20)/C20</f>
        <v>0.29538444444444412</v>
      </c>
      <c r="P20" s="553">
        <f>-'Progetto del paramento slu'!$G$47*'Progetto del paramento slu'!$G$41*IF(DATI!$G$218="dx",DATI!$E$61,DATI!$E$64*DATI!$E$63)*1000*C20*sezione!$AD$5</f>
        <v>-42917.121109607622</v>
      </c>
      <c r="Q20" s="553">
        <f>'Foglio deposito bis'!$F$48*IF(ABS(K20)&lt;'Progetto del paramento slu'!$G$58,ABS(K20)*'Progetto del paramento slu'!$G$54,'Progetto del paramento slu'!$G$53)*IF(K20&lt;0,-1,1)</f>
        <v>0</v>
      </c>
      <c r="R20" s="553">
        <f>'Foglio deposito bis'!$F$49*IF(ABS(L20)&lt;'Progetto del paramento slu'!$G$58,ABS(L20)*'Progetto del paramento slu'!$G$54,'Progetto del paramento slu'!$G$53)*IF(L20&lt;0,-1,1)</f>
        <v>204886.47740803001</v>
      </c>
      <c r="S20" s="553">
        <f>'Foglio deposito bis'!$F$50*IF(ABS(M20)&lt;'Progetto del paramento slu'!$G$58,ABS(M20)*'Progetto del paramento slu'!$G$54,'Progetto del paramento slu'!$G$53)*IF(M20&lt;0,-1,1)</f>
        <v>0</v>
      </c>
      <c r="T20" s="553">
        <f>'Foglio deposito bis'!$F$51*IF(ABS(N20)&lt;'Progetto del paramento slu'!$G$58,ABS(N20)*'Progetto del paramento slu'!$G$54,'Progetto del paramento slu'!$G$53)*IF(N20&lt;0,-1,1)</f>
        <v>240946.49743184328</v>
      </c>
      <c r="U20" s="553">
        <f>'Foglio deposito bis'!$F$52*IF(ABS(O20)&lt;'Progetto del paramento slu'!$G$58,ABS(O20)*'Progetto del paramento slu'!$G$54,'Progetto del paramento slu'!$G$53)*IF(O20&lt;0,-1,1)</f>
        <v>240946.49743184328</v>
      </c>
      <c r="V20" s="479">
        <f t="shared" si="3"/>
        <v>643862.35116210894</v>
      </c>
      <c r="W20" s="559"/>
      <c r="X20" s="559"/>
      <c r="Z20" s="428"/>
      <c r="AA20" s="428"/>
      <c r="AC20" s="428"/>
      <c r="AD20" s="428"/>
      <c r="AH20" s="557">
        <f>'Foglio deposito bis'!E40</f>
        <v>40</v>
      </c>
      <c r="AI20" s="557">
        <f>DATI!E62/2*1000</f>
        <v>150</v>
      </c>
      <c r="AJ20" s="557">
        <f>DATI!E62*1000-AH20</f>
        <v>260</v>
      </c>
      <c r="AK20" s="557">
        <f>DATI!E62*1000+AH20</f>
        <v>340</v>
      </c>
    </row>
    <row r="21" spans="1:48" x14ac:dyDescent="0.25">
      <c r="A21" s="553">
        <f>ABS(V21)</f>
        <v>641001.20975480182</v>
      </c>
      <c r="B21" s="3">
        <f t="shared" si="4"/>
        <v>0.80000000000000016</v>
      </c>
      <c r="C21" s="42">
        <f>'Foglio deposito bis'!$E$153/$B$247*B21</f>
        <v>3.2476319350473646</v>
      </c>
      <c r="D21" s="611">
        <f>-'Progetto del paramento slu'!$G$47*'Progetto del paramento slu'!$G$41*IF(DATI!$G$218="dx",DATI!$E$61,DATI!$E$64*DATI!$E$63)*1000*C21^2*sezione!$AD$5*(1-sezione!$AD$6)</f>
        <v>-86823.833212053927</v>
      </c>
      <c r="E21" s="553">
        <f>-'Foglio deposito bis'!$F$48*(C21-sezione!$AL$27)*IF(ABS(K21)&lt;'Progetto del paramento slu'!$G$58,ABS(K21)*'Progetto del paramento slu'!$G$54,'Progetto del paramento slu'!$G$53)</f>
        <v>0</v>
      </c>
      <c r="F21" s="553">
        <f>-'Foglio deposito bis'!$F$49*(C21-sezione!$AM$27)*IF(ABS(L21)&lt;'Progetto del paramento slu'!$G$58,ABS(L21)*'Progetto del paramento slu'!$G$54,'Progetto del paramento slu'!$G$53)</f>
        <v>30067575.744114824</v>
      </c>
      <c r="G21" s="553">
        <f>-'Foglio deposito bis'!$F$50*(C21-sezione!$AN$27)*IF(ABS(M21)&lt;'Progetto del paramento slu'!$G$58,ABS(M21)*'Progetto del paramento slu'!$G$54,'Progetto del paramento slu'!$G$53)</f>
        <v>0</v>
      </c>
      <c r="H21" s="553">
        <f>-'Foglio deposito bis'!$F$51*(C21-sezione!$AO$27)*IF(ABS(N21)&lt;'Progetto del paramento slu'!$G$58,ABS(N21)*'Progetto del paramento slu'!$G$54,'Progetto del paramento slu'!$G$53)</f>
        <v>81139303.58712925</v>
      </c>
      <c r="I21" s="479">
        <f>-'Foglio deposito bis'!$F$52*(C21-sezione!$AP$27)*IF(ABS(O21)&lt;'Progetto del paramento slu'!$G$58,ABS(O21)*'Progetto del paramento slu'!$G$54,'Progetto del paramento slu'!$G$53)</f>
        <v>61863583.792581789</v>
      </c>
      <c r="J21" s="479">
        <f t="shared" si="0"/>
        <v>172983639.2906138</v>
      </c>
      <c r="K21" s="558">
        <f>'Progetto del paramento slu'!$G$60*(sezione!$AL$27-C21)/C21</f>
        <v>3.9608333333333287E-2</v>
      </c>
      <c r="L21" s="558">
        <f>'Progetto del paramento slu'!$G$60*(sezione!$AM$27-C21)/C21</f>
        <v>0.15815624999999983</v>
      </c>
      <c r="M21" s="559">
        <f>'Progetto del paramento slu'!$G$60*(sezione!$AN$27-C21)/C21</f>
        <v>0.27670416666666636</v>
      </c>
      <c r="N21" s="559">
        <f>'Progetto del paramento slu'!$G$60*(sezione!$AO$27-C21)/C21</f>
        <v>0.36292083333333297</v>
      </c>
      <c r="O21" s="559">
        <f>'Progetto del paramento slu'!$G$60*(sezione!$AP$27-C21)/C21</f>
        <v>0.27670416666666636</v>
      </c>
      <c r="P21" s="553">
        <f>-'Progetto del paramento slu'!$G$47*'Progetto del paramento slu'!$G$41*IF(DATI!$G$218="dx",DATI!$E$61,DATI!$E$64*DATI!$E$63)*1000*C21*sezione!$AD$5</f>
        <v>-45778.262516914794</v>
      </c>
      <c r="Q21" s="553">
        <f>'Foglio deposito bis'!$F$48*IF(ABS(K21)&lt;'Progetto del paramento slu'!$G$58,ABS(K21)*'Progetto del paramento slu'!$G$54,'Progetto del paramento slu'!$G$53)*IF(K21&lt;0,-1,1)</f>
        <v>0</v>
      </c>
      <c r="R21" s="553">
        <f>'Foglio deposito bis'!$F$49*IF(ABS(L21)&lt;'Progetto del paramento slu'!$G$58,ABS(L21)*'Progetto del paramento slu'!$G$54,'Progetto del paramento slu'!$G$53)*IF(L21&lt;0,-1,1)</f>
        <v>204886.47740803001</v>
      </c>
      <c r="S21" s="553">
        <f>'Foglio deposito bis'!$F$50*IF(ABS(M21)&lt;'Progetto del paramento slu'!$G$58,ABS(M21)*'Progetto del paramento slu'!$G$54,'Progetto del paramento slu'!$G$53)*IF(M21&lt;0,-1,1)</f>
        <v>0</v>
      </c>
      <c r="T21" s="553">
        <f>'Foglio deposito bis'!$F$51*IF(ABS(N21)&lt;'Progetto del paramento slu'!$G$58,ABS(N21)*'Progetto del paramento slu'!$G$54,'Progetto del paramento slu'!$G$53)*IF(N21&lt;0,-1,1)</f>
        <v>240946.49743184328</v>
      </c>
      <c r="U21" s="553">
        <f>'Foglio deposito bis'!$F$52*IF(ABS(O21)&lt;'Progetto del paramento slu'!$G$58,ABS(O21)*'Progetto del paramento slu'!$G$54,'Progetto del paramento slu'!$G$53)*IF(O21&lt;0,-1,1)</f>
        <v>240946.49743184328</v>
      </c>
      <c r="V21" s="479">
        <f t="shared" si="3"/>
        <v>641001.20975480182</v>
      </c>
      <c r="W21" s="559"/>
      <c r="X21" s="559"/>
      <c r="Z21" s="1041" t="s">
        <v>968</v>
      </c>
      <c r="AA21" s="1041"/>
      <c r="AC21" s="1041" t="s">
        <v>968</v>
      </c>
      <c r="AD21" s="1041"/>
    </row>
    <row r="22" spans="1:48" x14ac:dyDescent="0.25">
      <c r="A22" s="553">
        <f t="shared" si="2"/>
        <v>638140.06834749458</v>
      </c>
      <c r="B22" s="3">
        <f t="shared" si="4"/>
        <v>0.8500000000000002</v>
      </c>
      <c r="C22" s="42">
        <f>'Foglio deposito bis'!$E$153/$B$247*B22</f>
        <v>3.450608930987825</v>
      </c>
      <c r="D22" s="611">
        <f>-'Progetto del paramento slu'!$G$47*'Progetto del paramento slu'!$G$41*IF(DATI!$G$218="dx",DATI!$E$61,DATI!$E$64*DATI!$E$63)*1000*C22^2*sezione!$AD$5*(1-sezione!$AD$6)</f>
        <v>-98015.967962045252</v>
      </c>
      <c r="E22" s="553">
        <f>-'Foglio deposito bis'!$F$48*(C22-sezione!$AL$27)*IF(ABS(K22)&lt;'Progetto del paramento slu'!$G$58,ABS(K22)*'Progetto del paramento slu'!$G$54,'Progetto del paramento slu'!$G$53)</f>
        <v>0</v>
      </c>
      <c r="F22" s="553">
        <f>-'Foglio deposito bis'!$F$49*(C22-sezione!$AM$27)*IF(ABS(L22)&lt;'Progetto del paramento slu'!$G$58,ABS(L22)*'Progetto del paramento slu'!$G$54,'Progetto del paramento slu'!$G$53)</f>
        <v>30025988.502421718</v>
      </c>
      <c r="G22" s="553">
        <f>-'Foglio deposito bis'!$F$50*(C22-sezione!$AN$27)*IF(ABS(M22)&lt;'Progetto del paramento slu'!$G$58,ABS(M22)*'Progetto del paramento slu'!$G$54,'Progetto del paramento slu'!$G$53)</f>
        <v>0</v>
      </c>
      <c r="H22" s="553">
        <f>-'Foglio deposito bis'!$F$51*(C22-sezione!$AO$27)*IF(ABS(N22)&lt;'Progetto del paramento slu'!$G$58,ABS(N22)*'Progetto del paramento slu'!$G$54,'Progetto del paramento slu'!$G$53)</f>
        <v>81090396.990898162</v>
      </c>
      <c r="I22" s="479">
        <f>-'Foglio deposito bis'!$F$52*(C22-sezione!$AP$27)*IF(ABS(O22)&lt;'Progetto del paramento slu'!$G$58,ABS(O22)*'Progetto del paramento slu'!$G$54,'Progetto del paramento slu'!$G$53)</f>
        <v>61814677.196350701</v>
      </c>
      <c r="J22" s="479">
        <f t="shared" si="0"/>
        <v>172833046.72170854</v>
      </c>
      <c r="K22" s="558">
        <f>'Progetto del paramento slu'!$G$60*(sezione!$AL$27-C22)/C22</f>
        <v>3.7072549019607798E-2</v>
      </c>
      <c r="L22" s="558">
        <f>'Progetto del paramento slu'!$G$60*(sezione!$AM$27-C22)/C22</f>
        <v>0.14864705882352927</v>
      </c>
      <c r="M22" s="559">
        <f>'Progetto del paramento slu'!$G$60*(sezione!$AN$27-C22)/C22</f>
        <v>0.26022156862745072</v>
      </c>
      <c r="N22" s="559">
        <f>'Progetto del paramento slu'!$G$60*(sezione!$AO$27-C22)/C22</f>
        <v>0.34136666666666632</v>
      </c>
      <c r="O22" s="559">
        <f>'Progetto del paramento slu'!$G$60*(sezione!$AP$27-C22)/C22</f>
        <v>0.26022156862745072</v>
      </c>
      <c r="P22" s="553">
        <f>-'Progetto del paramento slu'!$G$47*'Progetto del paramento slu'!$G$41*IF(DATI!$G$218="dx",DATI!$E$61,DATI!$E$64*DATI!$E$63)*1000*C22*sezione!$AD$5</f>
        <v>-48639.403924221973</v>
      </c>
      <c r="Q22" s="553">
        <f>'Foglio deposito bis'!$F$48*IF(ABS(K22)&lt;'Progetto del paramento slu'!$G$58,ABS(K22)*'Progetto del paramento slu'!$G$54,'Progetto del paramento slu'!$G$53)*IF(K22&lt;0,-1,1)</f>
        <v>0</v>
      </c>
      <c r="R22" s="553">
        <f>'Foglio deposito bis'!$F$49*IF(ABS(L22)&lt;'Progetto del paramento slu'!$G$58,ABS(L22)*'Progetto del paramento slu'!$G$54,'Progetto del paramento slu'!$G$53)*IF(L22&lt;0,-1,1)</f>
        <v>204886.47740803001</v>
      </c>
      <c r="S22" s="553">
        <f>'Foglio deposito bis'!$F$50*IF(ABS(M22)&lt;'Progetto del paramento slu'!$G$58,ABS(M22)*'Progetto del paramento slu'!$G$54,'Progetto del paramento slu'!$G$53)*IF(M22&lt;0,-1,1)</f>
        <v>0</v>
      </c>
      <c r="T22" s="553">
        <f>'Foglio deposito bis'!$F$51*IF(ABS(N22)&lt;'Progetto del paramento slu'!$G$58,ABS(N22)*'Progetto del paramento slu'!$G$54,'Progetto del paramento slu'!$G$53)*IF(N22&lt;0,-1,1)</f>
        <v>240946.49743184328</v>
      </c>
      <c r="U22" s="553">
        <f>'Foglio deposito bis'!$F$52*IF(ABS(O22)&lt;'Progetto del paramento slu'!$G$58,ABS(O22)*'Progetto del paramento slu'!$G$54,'Progetto del paramento slu'!$G$53)*IF(O22&lt;0,-1,1)</f>
        <v>240946.49743184328</v>
      </c>
      <c r="V22" s="479">
        <f t="shared" si="3"/>
        <v>638140.06834749458</v>
      </c>
      <c r="W22" s="559"/>
      <c r="X22" s="559"/>
      <c r="Z22" s="491">
        <f>DATI!E61/2*1.2</f>
        <v>0.6</v>
      </c>
      <c r="AA22" s="491">
        <f>sezione!AH20/1000</f>
        <v>0.04</v>
      </c>
      <c r="AC22" s="586">
        <f>Z22</f>
        <v>0.6</v>
      </c>
      <c r="AD22" s="586">
        <f>Z22</f>
        <v>0.6</v>
      </c>
    </row>
    <row r="23" spans="1:48" x14ac:dyDescent="0.25">
      <c r="A23" s="553">
        <f t="shared" si="2"/>
        <v>635278.92694018746</v>
      </c>
      <c r="B23" s="3">
        <f t="shared" si="4"/>
        <v>0.90000000000000024</v>
      </c>
      <c r="C23" s="42">
        <f>'Foglio deposito bis'!$E$153/$B$247*B23</f>
        <v>3.6535859269282853</v>
      </c>
      <c r="D23" s="611">
        <f>-'Progetto del paramento slu'!$G$47*'Progetto del paramento slu'!$G$41*IF(DATI!$G$218="dx",DATI!$E$61,DATI!$E$64*DATI!$E$63)*1000*C23^2*sezione!$AD$5*(1-sezione!$AD$6)</f>
        <v>-109886.41390900577</v>
      </c>
      <c r="E23" s="553">
        <f>-'Foglio deposito bis'!$F$48*(C23-sezione!$AL$27)*IF(ABS(K23)&lt;'Progetto del paramento slu'!$G$58,ABS(K23)*'Progetto del paramento slu'!$G$54,'Progetto del paramento slu'!$G$53)</f>
        <v>0</v>
      </c>
      <c r="F23" s="553">
        <f>-'Foglio deposito bis'!$F$49*(C23-sezione!$AM$27)*IF(ABS(L23)&lt;'Progetto del paramento slu'!$G$58,ABS(L23)*'Progetto del paramento slu'!$G$54,'Progetto del paramento slu'!$G$53)</f>
        <v>29984401.260728613</v>
      </c>
      <c r="G23" s="553">
        <f>-'Foglio deposito bis'!$F$50*(C23-sezione!$AN$27)*IF(ABS(M23)&lt;'Progetto del paramento slu'!$G$58,ABS(M23)*'Progetto del paramento slu'!$G$54,'Progetto del paramento slu'!$G$53)</f>
        <v>0</v>
      </c>
      <c r="H23" s="553">
        <f>-'Foglio deposito bis'!$F$51*(C23-sezione!$AO$27)*IF(ABS(N23)&lt;'Progetto del paramento slu'!$G$58,ABS(N23)*'Progetto del paramento slu'!$G$54,'Progetto del paramento slu'!$G$53)</f>
        <v>81041490.394667074</v>
      </c>
      <c r="I23" s="479">
        <f>-'Foglio deposito bis'!$F$52*(C23-sezione!$AP$27)*IF(ABS(O23)&lt;'Progetto del paramento slu'!$G$58,ABS(O23)*'Progetto del paramento slu'!$G$54,'Progetto del paramento slu'!$G$53)</f>
        <v>61765770.600119613</v>
      </c>
      <c r="J23" s="479">
        <f t="shared" si="0"/>
        <v>172681775.84160629</v>
      </c>
      <c r="K23" s="558">
        <f>'Progetto del paramento slu'!$G$60*(sezione!$AL$27-C23)/C23</f>
        <v>3.4818518518518478E-2</v>
      </c>
      <c r="L23" s="558">
        <f>'Progetto del paramento slu'!$G$60*(sezione!$AM$27-C23)/C23</f>
        <v>0.14019444444444432</v>
      </c>
      <c r="M23" s="559">
        <f>'Progetto del paramento slu'!$G$60*(sezione!$AN$27-C23)/C23</f>
        <v>0.24557037037037016</v>
      </c>
      <c r="N23" s="559">
        <f>'Progetto del paramento slu'!$G$60*(sezione!$AO$27-C23)/C23</f>
        <v>0.32220740740740711</v>
      </c>
      <c r="O23" s="559">
        <f>'Progetto del paramento slu'!$G$60*(sezione!$AP$27-C23)/C23</f>
        <v>0.24557037037037016</v>
      </c>
      <c r="P23" s="553">
        <f>-'Progetto del paramento slu'!$G$47*'Progetto del paramento slu'!$G$41*IF(DATI!$G$218="dx",DATI!$E$61,DATI!$E$64*DATI!$E$63)*1000*C23*sezione!$AD$5</f>
        <v>-51500.545331529152</v>
      </c>
      <c r="Q23" s="553">
        <f>'Foglio deposito bis'!$F$48*IF(ABS(K23)&lt;'Progetto del paramento slu'!$G$58,ABS(K23)*'Progetto del paramento slu'!$G$54,'Progetto del paramento slu'!$G$53)*IF(K23&lt;0,-1,1)</f>
        <v>0</v>
      </c>
      <c r="R23" s="553">
        <f>'Foglio deposito bis'!$F$49*IF(ABS(L23)&lt;'Progetto del paramento slu'!$G$58,ABS(L23)*'Progetto del paramento slu'!$G$54,'Progetto del paramento slu'!$G$53)*IF(L23&lt;0,-1,1)</f>
        <v>204886.47740803001</v>
      </c>
      <c r="S23" s="553">
        <f>'Foglio deposito bis'!$F$50*IF(ABS(M23)&lt;'Progetto del paramento slu'!$G$58,ABS(M23)*'Progetto del paramento slu'!$G$54,'Progetto del paramento slu'!$G$53)*IF(M23&lt;0,-1,1)</f>
        <v>0</v>
      </c>
      <c r="T23" s="553">
        <f>'Foglio deposito bis'!$F$51*IF(ABS(N23)&lt;'Progetto del paramento slu'!$G$58,ABS(N23)*'Progetto del paramento slu'!$G$54,'Progetto del paramento slu'!$G$53)*IF(N23&lt;0,-1,1)</f>
        <v>240946.49743184328</v>
      </c>
      <c r="U23" s="553">
        <f>'Foglio deposito bis'!$F$52*IF(ABS(O23)&lt;'Progetto del paramento slu'!$G$58,ABS(O23)*'Progetto del paramento slu'!$G$54,'Progetto del paramento slu'!$G$53)*IF(O23&lt;0,-1,1)</f>
        <v>240946.49743184328</v>
      </c>
      <c r="V23" s="479">
        <f t="shared" si="3"/>
        <v>635278.92694018746</v>
      </c>
      <c r="W23" s="559"/>
      <c r="X23" s="559"/>
      <c r="Z23" s="491">
        <f>-DATI!E61/2</f>
        <v>-0.5</v>
      </c>
      <c r="AA23" s="491">
        <f>AA22</f>
        <v>0.04</v>
      </c>
      <c r="AC23" s="586">
        <f>-DATI!H61/2</f>
        <v>0</v>
      </c>
      <c r="AD23" s="586">
        <f>AD22</f>
        <v>0.6</v>
      </c>
      <c r="AH23" s="431" t="s">
        <v>1003</v>
      </c>
      <c r="AI23" s="428"/>
      <c r="AJ23" s="428"/>
      <c r="AK23" s="428"/>
      <c r="AL23" s="428"/>
      <c r="AM23" s="428"/>
      <c r="AN23" s="428"/>
      <c r="AO23" s="428"/>
      <c r="AP23" s="428"/>
      <c r="AQ23" s="428"/>
    </row>
    <row r="24" spans="1:48" x14ac:dyDescent="0.25">
      <c r="A24" s="553">
        <f t="shared" si="2"/>
        <v>632417.78553288023</v>
      </c>
      <c r="B24" s="3">
        <f t="shared" si="4"/>
        <v>0.95000000000000029</v>
      </c>
      <c r="C24" s="42">
        <f>'Foglio deposito bis'!$E$153/$B$247*B24</f>
        <v>3.8565629228687457</v>
      </c>
      <c r="D24" s="611">
        <f>-'Progetto del paramento slu'!$G$47*'Progetto del paramento slu'!$G$41*IF(DATI!$G$218="dx",DATI!$E$61,DATI!$E$64*DATI!$E$63)*1000*C24^2*sezione!$AD$5*(1-sezione!$AD$6)</f>
        <v>-122435.17105293543</v>
      </c>
      <c r="E24" s="553">
        <f>-'Foglio deposito bis'!$F$48*(C24-sezione!$AL$27)*IF(ABS(K24)&lt;'Progetto del paramento slu'!$G$58,ABS(K24)*'Progetto del paramento slu'!$G$54,'Progetto del paramento slu'!$G$53)</f>
        <v>0</v>
      </c>
      <c r="F24" s="553">
        <f>-'Foglio deposito bis'!$F$49*(C24-sezione!$AM$27)*IF(ABS(L24)&lt;'Progetto del paramento slu'!$G$58,ABS(L24)*'Progetto del paramento slu'!$G$54,'Progetto del paramento slu'!$G$53)</f>
        <v>29942814.019035511</v>
      </c>
      <c r="G24" s="553">
        <f>-'Foglio deposito bis'!$F$50*(C24-sezione!$AN$27)*IF(ABS(M24)&lt;'Progetto del paramento slu'!$G$58,ABS(M24)*'Progetto del paramento slu'!$G$54,'Progetto del paramento slu'!$G$53)</f>
        <v>0</v>
      </c>
      <c r="H24" s="553">
        <f>-'Foglio deposito bis'!$F$51*(C24-sezione!$AO$27)*IF(ABS(N24)&lt;'Progetto del paramento slu'!$G$58,ABS(N24)*'Progetto del paramento slu'!$G$54,'Progetto del paramento slu'!$G$53)</f>
        <v>80992583.798435971</v>
      </c>
      <c r="I24" s="479">
        <f>-'Foglio deposito bis'!$F$52*(C24-sezione!$AP$27)*IF(ABS(O24)&lt;'Progetto del paramento slu'!$G$58,ABS(O24)*'Progetto del paramento slu'!$G$54,'Progetto del paramento slu'!$G$53)</f>
        <v>61716864.003888518</v>
      </c>
      <c r="J24" s="479">
        <f t="shared" si="0"/>
        <v>172529826.65030706</v>
      </c>
      <c r="K24" s="558">
        <f>'Progetto del paramento slu'!$G$60*(sezione!$AL$27-C24)/C24</f>
        <v>3.2801754385964874E-2</v>
      </c>
      <c r="L24" s="558">
        <f>'Progetto del paramento slu'!$G$60*(sezione!$AM$27-C24)/C24</f>
        <v>0.13263157894736827</v>
      </c>
      <c r="M24" s="559">
        <f>'Progetto del paramento slu'!$G$60*(sezione!$AN$27-C24)/C24</f>
        <v>0.23246140350877167</v>
      </c>
      <c r="N24" s="559">
        <f>'Progetto del paramento slu'!$G$60*(sezione!$AO$27-C24)/C24</f>
        <v>0.30506491228070143</v>
      </c>
      <c r="O24" s="559">
        <f>'Progetto del paramento slu'!$G$60*(sezione!$AP$27-C24)/C24</f>
        <v>0.23246140350877167</v>
      </c>
      <c r="P24" s="553">
        <f>-'Progetto del paramento slu'!$G$47*'Progetto del paramento slu'!$G$41*IF(DATI!$G$218="dx",DATI!$E$61,DATI!$E$64*DATI!$E$63)*1000*C24*sezione!$AD$5</f>
        <v>-54361.686738836317</v>
      </c>
      <c r="Q24" s="553">
        <f>'Foglio deposito bis'!$F$48*IF(ABS(K24)&lt;'Progetto del paramento slu'!$G$58,ABS(K24)*'Progetto del paramento slu'!$G$54,'Progetto del paramento slu'!$G$53)*IF(K24&lt;0,-1,1)</f>
        <v>0</v>
      </c>
      <c r="R24" s="553">
        <f>'Foglio deposito bis'!$F$49*IF(ABS(L24)&lt;'Progetto del paramento slu'!$G$58,ABS(L24)*'Progetto del paramento slu'!$G$54,'Progetto del paramento slu'!$G$53)*IF(L24&lt;0,-1,1)</f>
        <v>204886.47740803001</v>
      </c>
      <c r="S24" s="553">
        <f>'Foglio deposito bis'!$F$50*IF(ABS(M24)&lt;'Progetto del paramento slu'!$G$58,ABS(M24)*'Progetto del paramento slu'!$G$54,'Progetto del paramento slu'!$G$53)*IF(M24&lt;0,-1,1)</f>
        <v>0</v>
      </c>
      <c r="T24" s="553">
        <f>'Foglio deposito bis'!$F$51*IF(ABS(N24)&lt;'Progetto del paramento slu'!$G$58,ABS(N24)*'Progetto del paramento slu'!$G$54,'Progetto del paramento slu'!$G$53)*IF(N24&lt;0,-1,1)</f>
        <v>240946.49743184328</v>
      </c>
      <c r="U24" s="553">
        <f>'Foglio deposito bis'!$F$52*IF(ABS(O24)&lt;'Progetto del paramento slu'!$G$58,ABS(O24)*'Progetto del paramento slu'!$G$54,'Progetto del paramento slu'!$G$53)*IF(O24&lt;0,-1,1)</f>
        <v>240946.49743184328</v>
      </c>
      <c r="V24" s="479">
        <f t="shared" si="3"/>
        <v>632417.78553288023</v>
      </c>
      <c r="W24" s="559"/>
      <c r="X24" s="559"/>
      <c r="Z24" s="42"/>
      <c r="AA24" s="42"/>
      <c r="AC24" s="42"/>
      <c r="AD24" s="42"/>
      <c r="AH24" s="428"/>
      <c r="AI24" s="428"/>
      <c r="AJ24" s="428"/>
      <c r="AK24" s="428"/>
      <c r="AL24" s="428"/>
      <c r="AM24" s="428"/>
      <c r="AN24" s="428"/>
      <c r="AO24" s="428"/>
      <c r="AP24" s="428"/>
      <c r="AQ24" s="428"/>
    </row>
    <row r="25" spans="1:48" x14ac:dyDescent="0.25">
      <c r="A25" s="553">
        <f t="shared" si="2"/>
        <v>629556.6441255731</v>
      </c>
      <c r="B25" s="3">
        <f t="shared" si="4"/>
        <v>1.0000000000000002</v>
      </c>
      <c r="C25" s="42">
        <f>'Foglio deposito bis'!$E$153/$B$247*B25</f>
        <v>4.0595399188092056</v>
      </c>
      <c r="D25" s="611">
        <f>-'Progetto del paramento slu'!$G$47*'Progetto del paramento slu'!$G$41*IF(DATI!$G$218="dx",DATI!$E$61,DATI!$E$64*DATI!$E$63)*1000*C25^2*sezione!$AD$5*(1-sezione!$AD$6)</f>
        <v>-135662.23939383426</v>
      </c>
      <c r="E25" s="553">
        <f>-'Foglio deposito bis'!$F$48*(C25-sezione!$AL$27)*IF(ABS(K25)&lt;'Progetto del paramento slu'!$G$58,ABS(K25)*'Progetto del paramento slu'!$G$54,'Progetto del paramento slu'!$G$53)</f>
        <v>0</v>
      </c>
      <c r="F25" s="553">
        <f>-'Foglio deposito bis'!$F$49*(C25-sezione!$AM$27)*IF(ABS(L25)&lt;'Progetto del paramento slu'!$G$58,ABS(L25)*'Progetto del paramento slu'!$G$54,'Progetto del paramento slu'!$G$53)</f>
        <v>29901226.777342405</v>
      </c>
      <c r="G25" s="553">
        <f>-'Foglio deposito bis'!$F$50*(C25-sezione!$AN$27)*IF(ABS(M25)&lt;'Progetto del paramento slu'!$G$58,ABS(M25)*'Progetto del paramento slu'!$G$54,'Progetto del paramento slu'!$G$53)</f>
        <v>0</v>
      </c>
      <c r="H25" s="553">
        <f>-'Foglio deposito bis'!$F$51*(C25-sezione!$AO$27)*IF(ABS(N25)&lt;'Progetto del paramento slu'!$G$58,ABS(N25)*'Progetto del paramento slu'!$G$54,'Progetto del paramento slu'!$G$53)</f>
        <v>80943677.202204883</v>
      </c>
      <c r="I25" s="479">
        <f>-'Foglio deposito bis'!$F$52*(C25-sezione!$AP$27)*IF(ABS(O25)&lt;'Progetto del paramento slu'!$G$58,ABS(O25)*'Progetto del paramento slu'!$G$54,'Progetto del paramento slu'!$G$53)</f>
        <v>61667957.407657415</v>
      </c>
      <c r="J25" s="479">
        <f t="shared" si="0"/>
        <v>172377199.14781088</v>
      </c>
      <c r="K25" s="558">
        <f>'Progetto del paramento slu'!$G$60*(sezione!$AL$27-C25)/C25</f>
        <v>3.0986666666666631E-2</v>
      </c>
      <c r="L25" s="558">
        <f>'Progetto del paramento slu'!$G$60*(sezione!$AM$27-C25)/C25</f>
        <v>0.12582499999999985</v>
      </c>
      <c r="M25" s="559">
        <f>'Progetto del paramento slu'!$G$60*(sezione!$AN$27-C25)/C25</f>
        <v>0.2206633333333331</v>
      </c>
      <c r="N25" s="559">
        <f>'Progetto del paramento slu'!$G$60*(sezione!$AO$27-C25)/C25</f>
        <v>0.28963666666666643</v>
      </c>
      <c r="O25" s="559">
        <f>'Progetto del paramento slu'!$G$60*(sezione!$AP$27-C25)/C25</f>
        <v>0.2206633333333331</v>
      </c>
      <c r="P25" s="553">
        <f>-'Progetto del paramento slu'!$G$47*'Progetto del paramento slu'!$G$41*IF(DATI!$G$218="dx",DATI!$E$61,DATI!$E$64*DATI!$E$63)*1000*C25*sezione!$AD$5</f>
        <v>-57222.828146143496</v>
      </c>
      <c r="Q25" s="553">
        <f>'Foglio deposito bis'!$F$48*IF(ABS(K25)&lt;'Progetto del paramento slu'!$G$58,ABS(K25)*'Progetto del paramento slu'!$G$54,'Progetto del paramento slu'!$G$53)*IF(K25&lt;0,-1,1)</f>
        <v>0</v>
      </c>
      <c r="R25" s="553">
        <f>'Foglio deposito bis'!$F$49*IF(ABS(L25)&lt;'Progetto del paramento slu'!$G$58,ABS(L25)*'Progetto del paramento slu'!$G$54,'Progetto del paramento slu'!$G$53)*IF(L25&lt;0,-1,1)</f>
        <v>204886.47740803001</v>
      </c>
      <c r="S25" s="553">
        <f>'Foglio deposito bis'!$F$50*IF(ABS(M25)&lt;'Progetto del paramento slu'!$G$58,ABS(M25)*'Progetto del paramento slu'!$G$54,'Progetto del paramento slu'!$G$53)*IF(M25&lt;0,-1,1)</f>
        <v>0</v>
      </c>
      <c r="T25" s="553">
        <f>'Foglio deposito bis'!$F$51*IF(ABS(N25)&lt;'Progetto del paramento slu'!$G$58,ABS(N25)*'Progetto del paramento slu'!$G$54,'Progetto del paramento slu'!$G$53)*IF(N25&lt;0,-1,1)</f>
        <v>240946.49743184328</v>
      </c>
      <c r="U25" s="553">
        <f>'Foglio deposito bis'!$F$52*IF(ABS(O25)&lt;'Progetto del paramento slu'!$G$58,ABS(O25)*'Progetto del paramento slu'!$G$54,'Progetto del paramento slu'!$G$53)*IF(O25&lt;0,-1,1)</f>
        <v>240946.49743184328</v>
      </c>
      <c r="V25" s="479">
        <f t="shared" si="3"/>
        <v>629556.6441255731</v>
      </c>
      <c r="W25" s="559"/>
      <c r="X25" s="559"/>
      <c r="Z25" s="1040" t="s">
        <v>969</v>
      </c>
      <c r="AA25" s="1040"/>
      <c r="AC25" s="1040" t="s">
        <v>969</v>
      </c>
      <c r="AD25" s="1040"/>
      <c r="AH25" s="967" t="s">
        <v>21</v>
      </c>
      <c r="AI25" s="969" t="s">
        <v>993</v>
      </c>
      <c r="AJ25" s="963" t="s">
        <v>134</v>
      </c>
      <c r="AK25" s="963" t="s">
        <v>23</v>
      </c>
      <c r="AL25" s="963" t="s">
        <v>980</v>
      </c>
      <c r="AM25" s="963" t="s">
        <v>981</v>
      </c>
      <c r="AN25" s="967" t="s">
        <v>982</v>
      </c>
      <c r="AO25" s="967" t="s">
        <v>983</v>
      </c>
      <c r="AP25" s="967" t="s">
        <v>939</v>
      </c>
      <c r="AQ25" s="523" t="str">
        <f>IF(DATI!$C$69="muro a contrafforti","hc(z)","")</f>
        <v/>
      </c>
    </row>
    <row r="26" spans="1:48" x14ac:dyDescent="0.25">
      <c r="A26" s="553">
        <f t="shared" si="2"/>
        <v>626695.50271826587</v>
      </c>
      <c r="B26" s="3">
        <f t="shared" si="4"/>
        <v>1.0500000000000003</v>
      </c>
      <c r="C26" s="42">
        <f>'Foglio deposito bis'!$E$153/$B$247*B26</f>
        <v>4.262516914749666</v>
      </c>
      <c r="D26" s="611">
        <f>-'Progetto del paramento slu'!$G$47*'Progetto del paramento slu'!$G$41*IF(DATI!$G$218="dx",DATI!$E$61,DATI!$E$64*DATI!$E$63)*1000*C26^2*sezione!$AD$5*(1-sezione!$AD$6)</f>
        <v>-149567.61893170228</v>
      </c>
      <c r="E26" s="553">
        <f>-'Foglio deposito bis'!$F$48*(C26-sezione!$AL$27)*IF(ABS(K26)&lt;'Progetto del paramento slu'!$G$58,ABS(K26)*'Progetto del paramento slu'!$G$54,'Progetto del paramento slu'!$G$53)</f>
        <v>0</v>
      </c>
      <c r="F26" s="553">
        <f>-'Foglio deposito bis'!$F$49*(C26-sezione!$AM$27)*IF(ABS(L26)&lt;'Progetto del paramento slu'!$G$58,ABS(L26)*'Progetto del paramento slu'!$G$54,'Progetto del paramento slu'!$G$53)</f>
        <v>29859639.5356493</v>
      </c>
      <c r="G26" s="553">
        <f>-'Foglio deposito bis'!$F$50*(C26-sezione!$AN$27)*IF(ABS(M26)&lt;'Progetto del paramento slu'!$G$58,ABS(M26)*'Progetto del paramento slu'!$G$54,'Progetto del paramento slu'!$G$53)</f>
        <v>0</v>
      </c>
      <c r="H26" s="553">
        <f>-'Foglio deposito bis'!$F$51*(C26-sezione!$AO$27)*IF(ABS(N26)&lt;'Progetto del paramento slu'!$G$58,ABS(N26)*'Progetto del paramento slu'!$G$54,'Progetto del paramento slu'!$G$53)</f>
        <v>80894770.605973795</v>
      </c>
      <c r="I26" s="479">
        <f>-'Foglio deposito bis'!$F$52*(C26-sezione!$AP$27)*IF(ABS(O26)&lt;'Progetto del paramento slu'!$G$58,ABS(O26)*'Progetto del paramento slu'!$G$54,'Progetto del paramento slu'!$G$53)</f>
        <v>61619050.811426334</v>
      </c>
      <c r="J26" s="479">
        <f t="shared" si="0"/>
        <v>172223893.33411774</v>
      </c>
      <c r="K26" s="558">
        <f>'Progetto del paramento slu'!$G$60*(sezione!$AL$27-C26)/C26</f>
        <v>2.9344444444444406E-2</v>
      </c>
      <c r="L26" s="558">
        <f>'Progetto del paramento slu'!$G$60*(sezione!$AM$27-C26)/C26</f>
        <v>0.11966666666666656</v>
      </c>
      <c r="M26" s="559">
        <f>'Progetto del paramento slu'!$G$60*(sezione!$AN$27-C26)/C26</f>
        <v>0.2099888888888887</v>
      </c>
      <c r="N26" s="559">
        <f>'Progetto del paramento slu'!$G$60*(sezione!$AO$27-C26)/C26</f>
        <v>0.27567777777777752</v>
      </c>
      <c r="O26" s="559">
        <f>'Progetto del paramento slu'!$G$60*(sezione!$AP$27-C26)/C26</f>
        <v>0.2099888888888887</v>
      </c>
      <c r="P26" s="553">
        <f>-'Progetto del paramento slu'!$G$47*'Progetto del paramento slu'!$G$41*IF(DATI!$G$218="dx",DATI!$E$61,DATI!$E$64*DATI!$E$63)*1000*C26*sezione!$AD$5</f>
        <v>-60083.969553450668</v>
      </c>
      <c r="Q26" s="553">
        <f>'Foglio deposito bis'!$F$48*IF(ABS(K26)&lt;'Progetto del paramento slu'!$G$58,ABS(K26)*'Progetto del paramento slu'!$G$54,'Progetto del paramento slu'!$G$53)*IF(K26&lt;0,-1,1)</f>
        <v>0</v>
      </c>
      <c r="R26" s="553">
        <f>'Foglio deposito bis'!$F$49*IF(ABS(L26)&lt;'Progetto del paramento slu'!$G$58,ABS(L26)*'Progetto del paramento slu'!$G$54,'Progetto del paramento slu'!$G$53)*IF(L26&lt;0,-1,1)</f>
        <v>204886.47740803001</v>
      </c>
      <c r="S26" s="553">
        <f>'Foglio deposito bis'!$F$50*IF(ABS(M26)&lt;'Progetto del paramento slu'!$G$58,ABS(M26)*'Progetto del paramento slu'!$G$54,'Progetto del paramento slu'!$G$53)*IF(M26&lt;0,-1,1)</f>
        <v>0</v>
      </c>
      <c r="T26" s="553">
        <f>'Foglio deposito bis'!$F$51*IF(ABS(N26)&lt;'Progetto del paramento slu'!$G$58,ABS(N26)*'Progetto del paramento slu'!$G$54,'Progetto del paramento slu'!$G$53)*IF(N26&lt;0,-1,1)</f>
        <v>240946.49743184328</v>
      </c>
      <c r="U26" s="553">
        <f>'Foglio deposito bis'!$F$52*IF(ABS(O26)&lt;'Progetto del paramento slu'!$G$58,ABS(O26)*'Progetto del paramento slu'!$G$54,'Progetto del paramento slu'!$G$53)*IF(O26&lt;0,-1,1)</f>
        <v>240946.49743184328</v>
      </c>
      <c r="V26" s="479">
        <f t="shared" si="3"/>
        <v>626695.50271826587</v>
      </c>
      <c r="W26" s="559"/>
      <c r="X26" s="559"/>
      <c r="Z26" s="491">
        <f>DATI!E61/2*1.2</f>
        <v>0.6</v>
      </c>
      <c r="AA26" s="491">
        <f>sezione!AI20/1000</f>
        <v>0.15</v>
      </c>
      <c r="AC26" s="586">
        <f>Z26</f>
        <v>0.6</v>
      </c>
      <c r="AD26" s="586">
        <f>Z26</f>
        <v>0.6</v>
      </c>
      <c r="AH26" s="968"/>
      <c r="AI26" s="970"/>
      <c r="AJ26" s="963"/>
      <c r="AK26" s="963"/>
      <c r="AL26" s="963"/>
      <c r="AM26" s="963"/>
      <c r="AN26" s="968"/>
      <c r="AO26" s="968"/>
      <c r="AP26" s="968"/>
      <c r="AQ26" s="523" t="s">
        <v>960</v>
      </c>
    </row>
    <row r="27" spans="1:48" x14ac:dyDescent="0.25">
      <c r="A27" s="553">
        <f t="shared" si="2"/>
        <v>623834.36131095875</v>
      </c>
      <c r="B27" s="3">
        <f t="shared" si="4"/>
        <v>1.1000000000000003</v>
      </c>
      <c r="C27" s="42">
        <f>'Foglio deposito bis'!$E$153/$B$247*B27</f>
        <v>4.4654939106901264</v>
      </c>
      <c r="D27" s="611">
        <f>-'Progetto del paramento slu'!$G$47*'Progetto del paramento slu'!$G$41*IF(DATI!$G$218="dx",DATI!$E$61,DATI!$E$64*DATI!$E$63)*1000*C27^2*sezione!$AD$5*(1-sezione!$AD$6)</f>
        <v>-164151.30966653946</v>
      </c>
      <c r="E27" s="553">
        <f>-'Foglio deposito bis'!$F$48*(C27-sezione!$AL$27)*IF(ABS(K27)&lt;'Progetto del paramento slu'!$G$58,ABS(K27)*'Progetto del paramento slu'!$G$54,'Progetto del paramento slu'!$G$53)</f>
        <v>0</v>
      </c>
      <c r="F27" s="553">
        <f>-'Foglio deposito bis'!$F$49*(C27-sezione!$AM$27)*IF(ABS(L27)&lt;'Progetto del paramento slu'!$G$58,ABS(L27)*'Progetto del paramento slu'!$G$54,'Progetto del paramento slu'!$G$53)</f>
        <v>29818052.293956194</v>
      </c>
      <c r="G27" s="553">
        <f>-'Foglio deposito bis'!$F$50*(C27-sezione!$AN$27)*IF(ABS(M27)&lt;'Progetto del paramento slu'!$G$58,ABS(M27)*'Progetto del paramento slu'!$G$54,'Progetto del paramento slu'!$G$53)</f>
        <v>0</v>
      </c>
      <c r="H27" s="553">
        <f>-'Foglio deposito bis'!$F$51*(C27-sezione!$AO$27)*IF(ABS(N27)&lt;'Progetto del paramento slu'!$G$58,ABS(N27)*'Progetto del paramento slu'!$G$54,'Progetto del paramento slu'!$G$53)</f>
        <v>80845864.009742707</v>
      </c>
      <c r="I27" s="479">
        <f>-'Foglio deposito bis'!$F$52*(C27-sezione!$AP$27)*IF(ABS(O27)&lt;'Progetto del paramento slu'!$G$58,ABS(O27)*'Progetto del paramento slu'!$G$54,'Progetto del paramento slu'!$G$53)</f>
        <v>61570144.215195246</v>
      </c>
      <c r="J27" s="479">
        <f t="shared" si="0"/>
        <v>172069909.20922759</v>
      </c>
      <c r="K27" s="558">
        <f>'Progetto del paramento slu'!$G$60*(sezione!$AL$27-C27)/C27</f>
        <v>2.785151515151512E-2</v>
      </c>
      <c r="L27" s="558">
        <f>'Progetto del paramento slu'!$G$60*(sezione!$AM$27-C27)/C27</f>
        <v>0.11406818181818169</v>
      </c>
      <c r="M27" s="559">
        <f>'Progetto del paramento slu'!$G$60*(sezione!$AN$27-C27)/C27</f>
        <v>0.20028484848484829</v>
      </c>
      <c r="N27" s="559">
        <f>'Progetto del paramento slu'!$G$60*(sezione!$AO$27-C27)/C27</f>
        <v>0.26298787878787855</v>
      </c>
      <c r="O27" s="559">
        <f>'Progetto del paramento slu'!$G$60*(sezione!$AP$27-C27)/C27</f>
        <v>0.20028484848484829</v>
      </c>
      <c r="P27" s="553">
        <f>-'Progetto del paramento slu'!$G$47*'Progetto del paramento slu'!$G$41*IF(DATI!$G$218="dx",DATI!$E$61,DATI!$E$64*DATI!$E$63)*1000*C27*sezione!$AD$5</f>
        <v>-62945.110960757847</v>
      </c>
      <c r="Q27" s="553">
        <f>'Foglio deposito bis'!$F$48*IF(ABS(K27)&lt;'Progetto del paramento slu'!$G$58,ABS(K27)*'Progetto del paramento slu'!$G$54,'Progetto del paramento slu'!$G$53)*IF(K27&lt;0,-1,1)</f>
        <v>0</v>
      </c>
      <c r="R27" s="553">
        <f>'Foglio deposito bis'!$F$49*IF(ABS(L27)&lt;'Progetto del paramento slu'!$G$58,ABS(L27)*'Progetto del paramento slu'!$G$54,'Progetto del paramento slu'!$G$53)*IF(L27&lt;0,-1,1)</f>
        <v>204886.47740803001</v>
      </c>
      <c r="S27" s="553">
        <f>'Foglio deposito bis'!$F$50*IF(ABS(M27)&lt;'Progetto del paramento slu'!$G$58,ABS(M27)*'Progetto del paramento slu'!$G$54,'Progetto del paramento slu'!$G$53)*IF(M27&lt;0,-1,1)</f>
        <v>0</v>
      </c>
      <c r="T27" s="553">
        <f>'Foglio deposito bis'!$F$51*IF(ABS(N27)&lt;'Progetto del paramento slu'!$G$58,ABS(N27)*'Progetto del paramento slu'!$G$54,'Progetto del paramento slu'!$G$53)*IF(N27&lt;0,-1,1)</f>
        <v>240946.49743184328</v>
      </c>
      <c r="U27" s="553">
        <f>'Foglio deposito bis'!$F$52*IF(ABS(O27)&lt;'Progetto del paramento slu'!$G$58,ABS(O27)*'Progetto del paramento slu'!$G$54,'Progetto del paramento slu'!$G$53)*IF(O27&lt;0,-1,1)</f>
        <v>240946.49743184328</v>
      </c>
      <c r="V27" s="479">
        <f t="shared" si="3"/>
        <v>623834.36131095875</v>
      </c>
      <c r="W27" s="559"/>
      <c r="X27" s="559"/>
      <c r="Z27" s="491">
        <f>-DATI!E61/2</f>
        <v>-0.5</v>
      </c>
      <c r="AA27" s="491">
        <f>AA26</f>
        <v>0.15</v>
      </c>
      <c r="AC27" s="586">
        <f>-DATI!H61/2</f>
        <v>0</v>
      </c>
      <c r="AD27" s="586">
        <f>AD26</f>
        <v>0.6</v>
      </c>
      <c r="AH27" s="576">
        <v>0</v>
      </c>
      <c r="AI27" s="532">
        <f>'Foglio deposito bis'!C153</f>
        <v>3.35</v>
      </c>
      <c r="AJ27" s="556">
        <f>'Foglio deposito bis'!D153</f>
        <v>49.120433017591289</v>
      </c>
      <c r="AK27" s="556">
        <f>sezione!AI7</f>
        <v>300</v>
      </c>
      <c r="AL27" s="591">
        <f>IF(DATI!$G$218="sx",IF('Foglio deposito bis'!$F100&lt;=0,sezione!AJ7,sezione!AR7),IF('Foglio deposito bis'!$F100&lt;=0,sezione!AR7,sezione!AJ7))</f>
        <v>40</v>
      </c>
      <c r="AM27" s="591">
        <f>IF(DATI!$G$218="sx",IF('Foglio deposito bis'!$F100&lt;=0,sezione!AK7,sezione!AS7),IF('Foglio deposito bis'!$F100&lt;=0,sezione!AS7,sezione!AK7))</f>
        <v>150</v>
      </c>
      <c r="AN27" s="591">
        <f>IF(DATI!$G$218="sx",IF('Foglio deposito bis'!$F100&lt;=0,sezione!AL7,sezione!AT7),IF('Foglio deposito bis'!$F100&lt;=0,sezione!AT7,sezione!AL7))</f>
        <v>260</v>
      </c>
      <c r="AO27" s="591">
        <f>IF(DATI!$G$218="sx",IF('Foglio deposito bis'!$F100&lt;=0,sezione!AM7,sezione!AU7),IF('Foglio deposito bis'!$F100&lt;=0,sezione!AU7,sezione!AM7))</f>
        <v>340</v>
      </c>
      <c r="AP27" s="591">
        <f>IF(DATI!$G$218="sx",IF('Foglio deposito bis'!$F100&lt;=0,sezione!AN7,sezione!AV7),IF('Foglio deposito bis'!$F100&lt;=0,sezione!AV7,sezione!AN7))</f>
        <v>260</v>
      </c>
      <c r="AQ27" s="578" t="str">
        <f>IF(DATI!$C$69="muro a contrafforti",VLOOKUP(sezione!AG47,'SOLLECITAZ NASCOSTO'!$C$23:$M$468,3,TRUE)*1000,"")</f>
        <v/>
      </c>
    </row>
    <row r="28" spans="1:48" x14ac:dyDescent="0.25">
      <c r="A28" s="553">
        <f t="shared" si="2"/>
        <v>620973.21990365162</v>
      </c>
      <c r="B28" s="3">
        <f t="shared" si="4"/>
        <v>1.1500000000000004</v>
      </c>
      <c r="C28" s="42">
        <f>'Foglio deposito bis'!$E$153/$B$247*B28</f>
        <v>4.6684709066305867</v>
      </c>
      <c r="D28" s="611">
        <f>-'Progetto del paramento slu'!$G$47*'Progetto del paramento slu'!$G$41*IF(DATI!$G$218="dx",DATI!$E$61,DATI!$E$64*DATI!$E$63)*1000*C28^2*sezione!$AD$5*(1-sezione!$AD$6)</f>
        <v>-179413.31159834581</v>
      </c>
      <c r="E28" s="553">
        <f>-'Foglio deposito bis'!$F$48*(C28-sezione!$AL$27)*IF(ABS(K28)&lt;'Progetto del paramento slu'!$G$58,ABS(K28)*'Progetto del paramento slu'!$G$54,'Progetto del paramento slu'!$G$53)</f>
        <v>0</v>
      </c>
      <c r="F28" s="553">
        <f>-'Foglio deposito bis'!$F$49*(C28-sezione!$AM$27)*IF(ABS(L28)&lt;'Progetto del paramento slu'!$G$58,ABS(L28)*'Progetto del paramento slu'!$G$54,'Progetto del paramento slu'!$G$53)</f>
        <v>29776465.052263089</v>
      </c>
      <c r="G28" s="553">
        <f>-'Foglio deposito bis'!$F$50*(C28-sezione!$AN$27)*IF(ABS(M28)&lt;'Progetto del paramento slu'!$G$58,ABS(M28)*'Progetto del paramento slu'!$G$54,'Progetto del paramento slu'!$G$53)</f>
        <v>0</v>
      </c>
      <c r="H28" s="553">
        <f>-'Foglio deposito bis'!$F$51*(C28-sezione!$AO$27)*IF(ABS(N28)&lt;'Progetto del paramento slu'!$G$58,ABS(N28)*'Progetto del paramento slu'!$G$54,'Progetto del paramento slu'!$G$53)</f>
        <v>80796957.413511604</v>
      </c>
      <c r="I28" s="479">
        <f>-'Foglio deposito bis'!$F$52*(C28-sezione!$AP$27)*IF(ABS(O28)&lt;'Progetto del paramento slu'!$G$58,ABS(O28)*'Progetto del paramento slu'!$G$54,'Progetto del paramento slu'!$G$53)</f>
        <v>61521237.618964158</v>
      </c>
      <c r="J28" s="479">
        <f t="shared" si="0"/>
        <v>171915246.77314052</v>
      </c>
      <c r="K28" s="558">
        <f>'Progetto del paramento slu'!$G$60*(sezione!$AL$27-C28)/C28</f>
        <v>2.6488405797101416E-2</v>
      </c>
      <c r="L28" s="558">
        <f>'Progetto del paramento slu'!$G$60*(sezione!$AM$27-C28)/C28</f>
        <v>0.10895652173913034</v>
      </c>
      <c r="M28" s="559">
        <f>'Progetto del paramento slu'!$G$60*(sezione!$AN$27-C28)/C28</f>
        <v>0.19142463768115925</v>
      </c>
      <c r="N28" s="559">
        <f>'Progetto del paramento slu'!$G$60*(sezione!$AO$27-C28)/C28</f>
        <v>0.25140144927536207</v>
      </c>
      <c r="O28" s="559">
        <f>'Progetto del paramento slu'!$G$60*(sezione!$AP$27-C28)/C28</f>
        <v>0.19142463768115925</v>
      </c>
      <c r="P28" s="553">
        <f>-'Progetto del paramento slu'!$G$47*'Progetto del paramento slu'!$G$41*IF(DATI!$G$218="dx",DATI!$E$61,DATI!$E$64*DATI!$E$63)*1000*C28*sezione!$AD$5</f>
        <v>-65806.252368065019</v>
      </c>
      <c r="Q28" s="553">
        <f>'Foglio deposito bis'!$F$48*IF(ABS(K28)&lt;'Progetto del paramento slu'!$G$58,ABS(K28)*'Progetto del paramento slu'!$G$54,'Progetto del paramento slu'!$G$53)*IF(K28&lt;0,-1,1)</f>
        <v>0</v>
      </c>
      <c r="R28" s="553">
        <f>'Foglio deposito bis'!$F$49*IF(ABS(L28)&lt;'Progetto del paramento slu'!$G$58,ABS(L28)*'Progetto del paramento slu'!$G$54,'Progetto del paramento slu'!$G$53)*IF(L28&lt;0,-1,1)</f>
        <v>204886.47740803001</v>
      </c>
      <c r="S28" s="553">
        <f>'Foglio deposito bis'!$F$50*IF(ABS(M28)&lt;'Progetto del paramento slu'!$G$58,ABS(M28)*'Progetto del paramento slu'!$G$54,'Progetto del paramento slu'!$G$53)*IF(M28&lt;0,-1,1)</f>
        <v>0</v>
      </c>
      <c r="T28" s="553">
        <f>'Foglio deposito bis'!$F$51*IF(ABS(N28)&lt;'Progetto del paramento slu'!$G$58,ABS(N28)*'Progetto del paramento slu'!$G$54,'Progetto del paramento slu'!$G$53)*IF(N28&lt;0,-1,1)</f>
        <v>240946.49743184328</v>
      </c>
      <c r="U28" s="553">
        <f>'Foglio deposito bis'!$F$52*IF(ABS(O28)&lt;'Progetto del paramento slu'!$G$58,ABS(O28)*'Progetto del paramento slu'!$G$54,'Progetto del paramento slu'!$G$53)*IF(O28&lt;0,-1,1)</f>
        <v>240946.49743184328</v>
      </c>
      <c r="V28" s="479">
        <f>P28+Q28+R28+S28+T28+U28</f>
        <v>620973.21990365162</v>
      </c>
      <c r="W28" s="559"/>
      <c r="X28" s="559"/>
      <c r="Z28" s="42"/>
      <c r="AA28" s="42"/>
      <c r="AC28" s="42"/>
      <c r="AD28" s="42"/>
      <c r="AH28" s="576">
        <f t="shared" ref="AH28:AH37" si="7">AH27+1</f>
        <v>1</v>
      </c>
      <c r="AI28" s="532">
        <f>'Foglio deposito bis'!C154</f>
        <v>3.0691105769230771</v>
      </c>
      <c r="AJ28" s="556">
        <f>'Foglio deposito bis'!D154</f>
        <v>49.120594390808741</v>
      </c>
      <c r="AK28" s="556">
        <f>sezione!AI8</f>
        <v>300.00098557692309</v>
      </c>
      <c r="AL28" s="591">
        <f>IF(DATI!$G$218="sx",IF('Foglio deposito bis'!$F101&lt;=0,sezione!AJ8,sezione!AR8),IF('Foglio deposito bis'!$F101&lt;=0,sezione!AR8,sezione!AJ8))</f>
        <v>40</v>
      </c>
      <c r="AM28" s="591">
        <f>IF(DATI!$G$218="sx",IF('Foglio deposito bis'!$F101&lt;=0,sezione!AK8,sezione!AS8),IF('Foglio deposito bis'!$F101&lt;=0,sezione!AS8,sezione!AK8))</f>
        <v>150</v>
      </c>
      <c r="AN28" s="591">
        <f>IF(DATI!$G$218="sx",IF('Foglio deposito bis'!$F101&lt;=0,sezione!AL8,sezione!AT8),IF('Foglio deposito bis'!$F101&lt;=0,sezione!AT8,sezione!AL8))</f>
        <v>260</v>
      </c>
      <c r="AO28" s="591">
        <f>IF(DATI!$G$218="sx",IF('Foglio deposito bis'!$F101&lt;=0,sezione!AM8,sezione!AU8),IF('Foglio deposito bis'!$F101&lt;=0,sezione!AU8,sezione!AM8))</f>
        <v>340</v>
      </c>
      <c r="AP28" s="591">
        <f>IF(DATI!$G$218="sx",IF('Foglio deposito bis'!$F101&lt;=0,sezione!AN8,sezione!AV8),IF('Foglio deposito bis'!$F101&lt;=0,sezione!AV8,sezione!AN8))</f>
        <v>260.00098557692309</v>
      </c>
      <c r="AQ28" s="578" t="str">
        <f>IF(DATI!$C$69="muro a contrafforti",VLOOKUP(sezione!AG48,'SOLLECITAZ NASCOSTO'!$C$23:$M$468,3,TRUE)*1000,"")</f>
        <v/>
      </c>
    </row>
    <row r="29" spans="1:48" x14ac:dyDescent="0.25">
      <c r="A29" s="553">
        <f t="shared" si="2"/>
        <v>618112.07849634439</v>
      </c>
      <c r="B29" s="3">
        <f t="shared" si="4"/>
        <v>1.2000000000000004</v>
      </c>
      <c r="C29" s="42">
        <f>'Foglio deposito bis'!$E$153/$B$247*B29</f>
        <v>4.8714479025710471</v>
      </c>
      <c r="D29" s="611">
        <f>-'Progetto del paramento slu'!$G$47*'Progetto del paramento slu'!$G$41*IF(DATI!$G$218="dx",DATI!$E$61,DATI!$E$64*DATI!$E$63)*1000*C29^2*sezione!$AD$5*(1-sezione!$AD$6)</f>
        <v>-195353.62472712132</v>
      </c>
      <c r="E29" s="553">
        <f>-'Foglio deposito bis'!$F$48*(C29-sezione!$AL$27)*IF(ABS(K29)&lt;'Progetto del paramento slu'!$G$58,ABS(K29)*'Progetto del paramento slu'!$G$54,'Progetto del paramento slu'!$G$53)</f>
        <v>0</v>
      </c>
      <c r="F29" s="553">
        <f>-'Foglio deposito bis'!$F$49*(C29-sezione!$AM$27)*IF(ABS(L29)&lt;'Progetto del paramento slu'!$G$58,ABS(L29)*'Progetto del paramento slu'!$G$54,'Progetto del paramento slu'!$G$53)</f>
        <v>29734877.810569983</v>
      </c>
      <c r="G29" s="553">
        <f>-'Foglio deposito bis'!$F$50*(C29-sezione!$AN$27)*IF(ABS(M29)&lt;'Progetto del paramento slu'!$G$58,ABS(M29)*'Progetto del paramento slu'!$G$54,'Progetto del paramento slu'!$G$53)</f>
        <v>0</v>
      </c>
      <c r="H29" s="553">
        <f>-'Foglio deposito bis'!$F$51*(C29-sezione!$AO$27)*IF(ABS(N29)&lt;'Progetto del paramento slu'!$G$58,ABS(N29)*'Progetto del paramento slu'!$G$54,'Progetto del paramento slu'!$G$53)</f>
        <v>80748050.817280516</v>
      </c>
      <c r="I29" s="479">
        <f>-'Foglio deposito bis'!$F$52*(C29-sezione!$AP$27)*IF(ABS(O29)&lt;'Progetto del paramento slu'!$G$58,ABS(O29)*'Progetto del paramento slu'!$G$54,'Progetto del paramento slu'!$G$53)</f>
        <v>61472331.022733055</v>
      </c>
      <c r="J29" s="479">
        <f t="shared" si="0"/>
        <v>171759906.02585644</v>
      </c>
      <c r="K29" s="558">
        <f>'Progetto del paramento slu'!$G$60*(sezione!$AL$27-C29)/C29</f>
        <v>2.5238888888888859E-2</v>
      </c>
      <c r="L29" s="558">
        <f>'Progetto del paramento slu'!$G$60*(sezione!$AM$27-C29)/C29</f>
        <v>0.10427083333333323</v>
      </c>
      <c r="M29" s="559">
        <f>'Progetto del paramento slu'!$G$60*(sezione!$AN$27-C29)/C29</f>
        <v>0.18330277777777759</v>
      </c>
      <c r="N29" s="559">
        <f>'Progetto del paramento slu'!$G$60*(sezione!$AO$27-C29)/C29</f>
        <v>0.2407805555555553</v>
      </c>
      <c r="O29" s="559">
        <f>'Progetto del paramento slu'!$G$60*(sezione!$AP$27-C29)/C29</f>
        <v>0.18330277777777759</v>
      </c>
      <c r="P29" s="553">
        <f>-'Progetto del paramento slu'!$G$47*'Progetto del paramento slu'!$G$41*IF(DATI!$G$218="dx",DATI!$E$61,DATI!$E$64*DATI!$E$63)*1000*C29*sezione!$AD$5</f>
        <v>-68667.393775372198</v>
      </c>
      <c r="Q29" s="553">
        <f>'Foglio deposito bis'!$F$48*IF(ABS(K29)&lt;'Progetto del paramento slu'!$G$58,ABS(K29)*'Progetto del paramento slu'!$G$54,'Progetto del paramento slu'!$G$53)*IF(K29&lt;0,-1,1)</f>
        <v>0</v>
      </c>
      <c r="R29" s="553">
        <f>'Foglio deposito bis'!$F$49*IF(ABS(L29)&lt;'Progetto del paramento slu'!$G$58,ABS(L29)*'Progetto del paramento slu'!$G$54,'Progetto del paramento slu'!$G$53)*IF(L29&lt;0,-1,1)</f>
        <v>204886.47740803001</v>
      </c>
      <c r="S29" s="553">
        <f>'Foglio deposito bis'!$F$50*IF(ABS(M29)&lt;'Progetto del paramento slu'!$G$58,ABS(M29)*'Progetto del paramento slu'!$G$54,'Progetto del paramento slu'!$G$53)*IF(M29&lt;0,-1,1)</f>
        <v>0</v>
      </c>
      <c r="T29" s="553">
        <f>'Foglio deposito bis'!$F$51*IF(ABS(N29)&lt;'Progetto del paramento slu'!$G$58,ABS(N29)*'Progetto del paramento slu'!$G$54,'Progetto del paramento slu'!$G$53)*IF(N29&lt;0,-1,1)</f>
        <v>240946.49743184328</v>
      </c>
      <c r="U29" s="553">
        <f>'Foglio deposito bis'!$F$52*IF(ABS(O29)&lt;'Progetto del paramento slu'!$G$58,ABS(O29)*'Progetto del paramento slu'!$G$54,'Progetto del paramento slu'!$G$53)*IF(O29&lt;0,-1,1)</f>
        <v>240946.49743184328</v>
      </c>
      <c r="V29" s="479">
        <f t="shared" si="3"/>
        <v>618112.07849634439</v>
      </c>
      <c r="W29" s="559"/>
      <c r="X29" s="559"/>
      <c r="Z29" s="1040" t="s">
        <v>970</v>
      </c>
      <c r="AA29" s="1040"/>
      <c r="AC29" s="1040" t="s">
        <v>970</v>
      </c>
      <c r="AD29" s="1040"/>
      <c r="AH29" s="576">
        <f t="shared" si="7"/>
        <v>2</v>
      </c>
      <c r="AI29" s="532">
        <f>'Foglio deposito bis'!C155</f>
        <v>2.7813701923076923</v>
      </c>
      <c r="AJ29" s="556">
        <f>'Foglio deposito bis'!D155</f>
        <v>49.120759699958292</v>
      </c>
      <c r="AK29" s="556">
        <f>sezione!AI9</f>
        <v>300.00199519230762</v>
      </c>
      <c r="AL29" s="591">
        <f>IF(DATI!$G$218="sx",IF('Foglio deposito bis'!$F102&lt;=0,sezione!AJ9,sezione!AR9),IF('Foglio deposito bis'!$F102&lt;=0,sezione!AR9,sezione!AJ9))</f>
        <v>40</v>
      </c>
      <c r="AM29" s="591">
        <f>IF(DATI!$G$218="sx",IF('Foglio deposito bis'!$F102&lt;=0,sezione!AK9,sezione!AS9),IF('Foglio deposito bis'!$F102&lt;=0,sezione!AS9,sezione!AK9))</f>
        <v>150</v>
      </c>
      <c r="AN29" s="591">
        <f>IF(DATI!$G$218="sx",IF('Foglio deposito bis'!$F102&lt;=0,sezione!AL9,sezione!AT9),IF('Foglio deposito bis'!$F102&lt;=0,sezione!AT9,sezione!AL9))</f>
        <v>260</v>
      </c>
      <c r="AO29" s="591">
        <f>IF(DATI!$G$218="sx",IF('Foglio deposito bis'!$F102&lt;=0,sezione!AM9,sezione!AU9),IF('Foglio deposito bis'!$F102&lt;=0,sezione!AU9,sezione!AM9))</f>
        <v>340</v>
      </c>
      <c r="AP29" s="591">
        <f>IF(DATI!$G$218="sx",IF('Foglio deposito bis'!$F102&lt;=0,sezione!AN9,sezione!AV9),IF('Foglio deposito bis'!$F102&lt;=0,sezione!AV9,sezione!AN9))</f>
        <v>260.00199519230762</v>
      </c>
      <c r="AQ29" s="578" t="str">
        <f>IF(DATI!$C$69="muro a contrafforti",VLOOKUP(sezione!AG49,'SOLLECITAZ NASCOSTO'!$C$23:$M$468,3,TRUE)*1000,"")</f>
        <v/>
      </c>
    </row>
    <row r="30" spans="1:48" x14ac:dyDescent="0.25">
      <c r="A30" s="553">
        <f t="shared" si="2"/>
        <v>615250.93708903727</v>
      </c>
      <c r="B30" s="3">
        <f t="shared" si="4"/>
        <v>1.2500000000000004</v>
      </c>
      <c r="C30" s="553">
        <f>'Foglio deposito bis'!$E$153/$B$247*B30</f>
        <v>5.0744248985115075</v>
      </c>
      <c r="D30" s="611">
        <f>-'Progetto del paramento slu'!$G$47*'Progetto del paramento slu'!$G$41*IF(DATI!$G$218="dx",DATI!$E$61,DATI!$E$64*DATI!$E$63)*1000*C30^2*sezione!$AD$5*(1-sezione!$AD$6)</f>
        <v>-211972.24905286607</v>
      </c>
      <c r="E30" s="553">
        <f>-'Foglio deposito bis'!$F$48*(C30-sezione!$AL$27)*IF(ABS(K30)&lt;'Progetto del paramento slu'!$G$58,ABS(K30)*'Progetto del paramento slu'!$G$54,'Progetto del paramento slu'!$G$53)</f>
        <v>0</v>
      </c>
      <c r="F30" s="553">
        <f>-'Foglio deposito bis'!$F$49*(C30-sezione!$AM$27)*IF(ABS(L30)&lt;'Progetto del paramento slu'!$G$58,ABS(L30)*'Progetto del paramento slu'!$G$54,'Progetto del paramento slu'!$G$53)</f>
        <v>29693290.568876877</v>
      </c>
      <c r="G30" s="553">
        <f>-'Foglio deposito bis'!$F$50*(C30-sezione!$AN$27)*IF(ABS(M30)&lt;'Progetto del paramento slu'!$G$58,ABS(M30)*'Progetto del paramento slu'!$G$54,'Progetto del paramento slu'!$G$53)</f>
        <v>0</v>
      </c>
      <c r="H30" s="553">
        <f>-'Foglio deposito bis'!$F$51*(C30-sezione!$AO$27)*IF(ABS(N30)&lt;'Progetto del paramento slu'!$G$58,ABS(N30)*'Progetto del paramento slu'!$G$54,'Progetto del paramento slu'!$G$53)</f>
        <v>80699144.221049428</v>
      </c>
      <c r="I30" s="479">
        <f>-'Foglio deposito bis'!$F$52*(C30-sezione!$AP$27)*IF(ABS(O30)&lt;'Progetto del paramento slu'!$G$58,ABS(O30)*'Progetto del paramento slu'!$G$54,'Progetto del paramento slu'!$G$53)</f>
        <v>61423424.426501974</v>
      </c>
      <c r="J30" s="479">
        <f t="shared" si="0"/>
        <v>171603886.9673754</v>
      </c>
      <c r="K30" s="558">
        <f>'Progetto del paramento slu'!$G$60*(sezione!$AL$27-C30)/C30</f>
        <v>2.4089333333333303E-2</v>
      </c>
      <c r="L30" s="558">
        <f>'Progetto del paramento slu'!$G$60*(sezione!$AM$27-C30)/C30</f>
        <v>9.9959999999999896E-2</v>
      </c>
      <c r="M30" s="559">
        <f>'Progetto del paramento slu'!$G$60*(sezione!$AN$27-C30)/C30</f>
        <v>0.17583066666666647</v>
      </c>
      <c r="N30" s="559">
        <f>'Progetto del paramento slu'!$G$60*(sezione!$AO$27-C30)/C30</f>
        <v>0.23100933333333312</v>
      </c>
      <c r="O30" s="559">
        <f>'Progetto del paramento slu'!$G$60*(sezione!$AP$27-C30)/C30</f>
        <v>0.17583066666666647</v>
      </c>
      <c r="P30" s="553">
        <f>-'Progetto del paramento slu'!$G$47*'Progetto del paramento slu'!$G$41*IF(DATI!$G$218="dx",DATI!$E$61,DATI!$E$64*DATI!$E$63)*1000*C30*sezione!$AD$5</f>
        <v>-71528.535182679378</v>
      </c>
      <c r="Q30" s="553">
        <f>'Foglio deposito bis'!$F$48*IF(ABS(K30)&lt;'Progetto del paramento slu'!$G$58,ABS(K30)*'Progetto del paramento slu'!$G$54,'Progetto del paramento slu'!$G$53)*IF(K30&lt;0,-1,1)</f>
        <v>0</v>
      </c>
      <c r="R30" s="553">
        <f>'Foglio deposito bis'!$F$49*IF(ABS(L30)&lt;'Progetto del paramento slu'!$G$58,ABS(L30)*'Progetto del paramento slu'!$G$54,'Progetto del paramento slu'!$G$53)*IF(L30&lt;0,-1,1)</f>
        <v>204886.47740803001</v>
      </c>
      <c r="S30" s="553">
        <f>'Foglio deposito bis'!$F$50*IF(ABS(M30)&lt;'Progetto del paramento slu'!$G$58,ABS(M30)*'Progetto del paramento slu'!$G$54,'Progetto del paramento slu'!$G$53)*IF(M30&lt;0,-1,1)</f>
        <v>0</v>
      </c>
      <c r="T30" s="553">
        <f>'Foglio deposito bis'!$F$51*IF(ABS(N30)&lt;'Progetto del paramento slu'!$G$58,ABS(N30)*'Progetto del paramento slu'!$G$54,'Progetto del paramento slu'!$G$53)*IF(N30&lt;0,-1,1)</f>
        <v>240946.49743184328</v>
      </c>
      <c r="U30" s="553">
        <f>'Foglio deposito bis'!$F$52*IF(ABS(O30)&lt;'Progetto del paramento slu'!$G$58,ABS(O30)*'Progetto del paramento slu'!$G$54,'Progetto del paramento slu'!$G$53)*IF(O30&lt;0,-1,1)</f>
        <v>240946.49743184328</v>
      </c>
      <c r="V30" s="479">
        <f t="shared" si="3"/>
        <v>615250.93708903727</v>
      </c>
      <c r="W30" s="559"/>
      <c r="X30" s="559"/>
      <c r="Z30" s="491">
        <f>DATI!E61/2*1.2</f>
        <v>0.6</v>
      </c>
      <c r="AA30" s="491">
        <f>sezione!AJ20/1000</f>
        <v>0.26</v>
      </c>
      <c r="AC30" s="586">
        <f>Z30</f>
        <v>0.6</v>
      </c>
      <c r="AD30" s="586">
        <f>Z30</f>
        <v>0.6</v>
      </c>
      <c r="AH30" s="576">
        <f t="shared" si="7"/>
        <v>3</v>
      </c>
      <c r="AI30" s="532">
        <f>'Foglio deposito bis'!C156</f>
        <v>2.5004807692307693</v>
      </c>
      <c r="AJ30" s="556">
        <f>'Foglio deposito bis'!D156</f>
        <v>49.932837123972035</v>
      </c>
      <c r="AK30" s="556">
        <f>sezione!AI10</f>
        <v>300.0029807692307</v>
      </c>
      <c r="AL30" s="591">
        <f>IF(DATI!$G$218="sx",IF('Foglio deposito bis'!$F103&lt;=0,sezione!AJ10,sezione!AR10),IF('Foglio deposito bis'!$F103&lt;=0,sezione!AR10,sezione!AJ10))</f>
        <v>40</v>
      </c>
      <c r="AM30" s="591">
        <f>IF(DATI!$G$218="sx",IF('Foglio deposito bis'!$F103&lt;=0,sezione!AK10,sezione!AS10),IF('Foglio deposito bis'!$F103&lt;=0,sezione!AS10,sezione!AK10))</f>
        <v>150</v>
      </c>
      <c r="AN30" s="591">
        <f>IF(DATI!$G$218="sx",IF('Foglio deposito bis'!$F103&lt;=0,sezione!AL10,sezione!AT10),IF('Foglio deposito bis'!$F103&lt;=0,sezione!AT10,sezione!AL10))</f>
        <v>260</v>
      </c>
      <c r="AO30" s="591">
        <f>IF(DATI!$G$218="sx",IF('Foglio deposito bis'!$F103&lt;=0,sezione!AM10,sezione!AU10),IF('Foglio deposito bis'!$F103&lt;=0,sezione!AU10,sezione!AM10))</f>
        <v>340</v>
      </c>
      <c r="AP30" s="591">
        <f>IF(DATI!$G$218="sx",IF('Foglio deposito bis'!$F103&lt;=0,sezione!AN10,sezione!AV10),IF('Foglio deposito bis'!$F103&lt;=0,sezione!AV10,sezione!AN10))</f>
        <v>260.0029807692307</v>
      </c>
      <c r="AQ30" s="578" t="str">
        <f>IF(DATI!$C$69="muro a contrafforti",VLOOKUP(sezione!AG50,'SOLLECITAZ NASCOSTO'!$C$23:$M$468,3,TRUE)*1000,"")</f>
        <v/>
      </c>
    </row>
    <row r="31" spans="1:48" x14ac:dyDescent="0.25">
      <c r="A31" s="553">
        <f t="shared" si="2"/>
        <v>612389.79568173003</v>
      </c>
      <c r="B31" s="3">
        <f t="shared" si="4"/>
        <v>1.3000000000000005</v>
      </c>
      <c r="C31" s="553">
        <f>'Foglio deposito bis'!$E$153/$B$247*B31</f>
        <v>5.2774018944519678</v>
      </c>
      <c r="D31" s="611">
        <f>-'Progetto del paramento slu'!$G$47*'Progetto del paramento slu'!$G$41*IF(DATI!$G$218="dx",DATI!$E$61,DATI!$E$64*DATI!$E$63)*1000*C31^2*sezione!$AD$5*(1-sezione!$AD$6)</f>
        <v>-229269.18457557991</v>
      </c>
      <c r="E31" s="553">
        <f>-'Foglio deposito bis'!$F$48*(C31-sezione!$AL$27)*IF(ABS(K31)&lt;'Progetto del paramento slu'!$G$58,ABS(K31)*'Progetto del paramento slu'!$G$54,'Progetto del paramento slu'!$G$53)</f>
        <v>0</v>
      </c>
      <c r="F31" s="553">
        <f>-'Foglio deposito bis'!$F$49*(C31-sezione!$AM$27)*IF(ABS(L31)&lt;'Progetto del paramento slu'!$G$58,ABS(L31)*'Progetto del paramento slu'!$G$54,'Progetto del paramento slu'!$G$53)</f>
        <v>29651703.327183776</v>
      </c>
      <c r="G31" s="553">
        <f>-'Foglio deposito bis'!$F$50*(C31-sezione!$AN$27)*IF(ABS(M31)&lt;'Progetto del paramento slu'!$G$58,ABS(M31)*'Progetto del paramento slu'!$G$54,'Progetto del paramento slu'!$G$53)</f>
        <v>0</v>
      </c>
      <c r="H31" s="553">
        <f>-'Foglio deposito bis'!$F$51*(C31-sezione!$AO$27)*IF(ABS(N31)&lt;'Progetto del paramento slu'!$G$58,ABS(N31)*'Progetto del paramento slu'!$G$54,'Progetto del paramento slu'!$G$53)</f>
        <v>80650237.62481834</v>
      </c>
      <c r="I31" s="479">
        <f>-'Foglio deposito bis'!$F$52*(C31-sezione!$AP$27)*IF(ABS(O31)&lt;'Progetto del paramento slu'!$G$58,ABS(O31)*'Progetto del paramento slu'!$G$54,'Progetto del paramento slu'!$G$53)</f>
        <v>61374517.830270872</v>
      </c>
      <c r="J31" s="479">
        <f t="shared" si="0"/>
        <v>171447189.59769741</v>
      </c>
      <c r="K31" s="558">
        <f>'Progetto del paramento slu'!$G$60*(sezione!$AL$27-C31)/C31</f>
        <v>2.3028205128205099E-2</v>
      </c>
      <c r="L31" s="558">
        <f>'Progetto del paramento slu'!$G$60*(sezione!$AM$27-C31)/C31</f>
        <v>9.598076923076912E-2</v>
      </c>
      <c r="M31" s="559">
        <f>'Progetto del paramento slu'!$G$60*(sezione!$AN$27-C31)/C31</f>
        <v>0.16893333333333316</v>
      </c>
      <c r="N31" s="559">
        <f>'Progetto del paramento slu'!$G$60*(sezione!$AO$27-C31)/C31</f>
        <v>0.22198974358974338</v>
      </c>
      <c r="O31" s="559">
        <f>'Progetto del paramento slu'!$G$60*(sezione!$AP$27-C31)/C31</f>
        <v>0.16893333333333316</v>
      </c>
      <c r="P31" s="553">
        <f>-'Progetto del paramento slu'!$G$47*'Progetto del paramento slu'!$G$41*IF(DATI!$G$218="dx",DATI!$E$61,DATI!$E$64*DATI!$E$63)*1000*C31*sezione!$AD$5</f>
        <v>-74389.676589986542</v>
      </c>
      <c r="Q31" s="553">
        <f>'Foglio deposito bis'!$F$48*IF(ABS(K31)&lt;'Progetto del paramento slu'!$G$58,ABS(K31)*'Progetto del paramento slu'!$G$54,'Progetto del paramento slu'!$G$53)*IF(K31&lt;0,-1,1)</f>
        <v>0</v>
      </c>
      <c r="R31" s="553">
        <f>'Foglio deposito bis'!$F$49*IF(ABS(L31)&lt;'Progetto del paramento slu'!$G$58,ABS(L31)*'Progetto del paramento slu'!$G$54,'Progetto del paramento slu'!$G$53)*IF(L31&lt;0,-1,1)</f>
        <v>204886.47740803001</v>
      </c>
      <c r="S31" s="553">
        <f>'Foglio deposito bis'!$F$50*IF(ABS(M31)&lt;'Progetto del paramento slu'!$G$58,ABS(M31)*'Progetto del paramento slu'!$G$54,'Progetto del paramento slu'!$G$53)*IF(M31&lt;0,-1,1)</f>
        <v>0</v>
      </c>
      <c r="T31" s="553">
        <f>'Foglio deposito bis'!$F$51*IF(ABS(N31)&lt;'Progetto del paramento slu'!$G$58,ABS(N31)*'Progetto del paramento slu'!$G$54,'Progetto del paramento slu'!$G$53)*IF(N31&lt;0,-1,1)</f>
        <v>240946.49743184328</v>
      </c>
      <c r="U31" s="553">
        <f>'Foglio deposito bis'!$F$52*IF(ABS(O31)&lt;'Progetto del paramento slu'!$G$58,ABS(O31)*'Progetto del paramento slu'!$G$54,'Progetto del paramento slu'!$G$53)*IF(O31&lt;0,-1,1)</f>
        <v>240946.49743184328</v>
      </c>
      <c r="V31" s="479">
        <f t="shared" si="3"/>
        <v>612389.79568173003</v>
      </c>
      <c r="W31" s="559"/>
      <c r="X31" s="559"/>
      <c r="Z31" s="491">
        <f>-DATI!E61/2</f>
        <v>-0.5</v>
      </c>
      <c r="AA31" s="491">
        <f>AA30</f>
        <v>0.26</v>
      </c>
      <c r="AC31" s="586">
        <f>-DATI!H61/2</f>
        <v>0</v>
      </c>
      <c r="AD31" s="586">
        <f>AD30</f>
        <v>0.6</v>
      </c>
      <c r="AH31" s="576">
        <f t="shared" si="7"/>
        <v>4</v>
      </c>
      <c r="AI31" s="532">
        <f>'Foglio deposito bis'!C157</f>
        <v>2.212740384615385</v>
      </c>
      <c r="AJ31" s="556">
        <f>'Foglio deposito bis'!D157</f>
        <v>49.933005165504248</v>
      </c>
      <c r="AK31" s="556">
        <f>sezione!AI11</f>
        <v>300.00399038461529</v>
      </c>
      <c r="AL31" s="591">
        <f>IF(DATI!$G$218="sx",IF('Foglio deposito bis'!$F104&lt;=0,sezione!AJ11,sezione!AR11),IF('Foglio deposito bis'!$F104&lt;=0,sezione!AR11,sezione!AJ11))</f>
        <v>40</v>
      </c>
      <c r="AM31" s="591">
        <f>IF(DATI!$G$218="sx",IF('Foglio deposito bis'!$F104&lt;=0,sezione!AK11,sezione!AS11),IF('Foglio deposito bis'!$F104&lt;=0,sezione!AS11,sezione!AK11))</f>
        <v>150</v>
      </c>
      <c r="AN31" s="591">
        <f>IF(DATI!$G$218="sx",IF('Foglio deposito bis'!$F104&lt;=0,sezione!AL11,sezione!AT11),IF('Foglio deposito bis'!$F104&lt;=0,sezione!AT11,sezione!AL11))</f>
        <v>260</v>
      </c>
      <c r="AO31" s="591">
        <f>IF(DATI!$G$218="sx",IF('Foglio deposito bis'!$F104&lt;=0,sezione!AM11,sezione!AU11),IF('Foglio deposito bis'!$F104&lt;=0,sezione!AU11,sezione!AM11))</f>
        <v>340</v>
      </c>
      <c r="AP31" s="591">
        <f>IF(DATI!$G$218="sx",IF('Foglio deposito bis'!$F104&lt;=0,sezione!AN11,sezione!AV11),IF('Foglio deposito bis'!$F104&lt;=0,sezione!AV11,sezione!AN11))</f>
        <v>260.00399038461529</v>
      </c>
      <c r="AQ31" s="578" t="str">
        <f>IF(DATI!$C$69="muro a contrafforti",VLOOKUP(sezione!AG51,'SOLLECITAZ NASCOSTO'!$C$23:$M$468,3,TRUE)*1000,"")</f>
        <v/>
      </c>
    </row>
    <row r="32" spans="1:48" x14ac:dyDescent="0.25">
      <c r="A32" s="553">
        <f t="shared" si="2"/>
        <v>609528.65427442291</v>
      </c>
      <c r="B32" s="3">
        <f t="shared" si="4"/>
        <v>1.3500000000000005</v>
      </c>
      <c r="C32" s="553">
        <f>'Foglio deposito bis'!$E$153/$B$247*B32</f>
        <v>5.4803788903924282</v>
      </c>
      <c r="D32" s="611">
        <f>-'Progetto del paramento slu'!$G$47*'Progetto del paramento slu'!$G$41*IF(DATI!$G$218="dx",DATI!$E$61,DATI!$E$64*DATI!$E$63)*1000*C32^2*sezione!$AD$5*(1-sezione!$AD$6)</f>
        <v>-247244.431295263</v>
      </c>
      <c r="E32" s="553">
        <f>-'Foglio deposito bis'!$F$48*(C32-sezione!$AL$27)*IF(ABS(K32)&lt;'Progetto del paramento slu'!$G$58,ABS(K32)*'Progetto del paramento slu'!$G$54,'Progetto del paramento slu'!$G$53)</f>
        <v>0</v>
      </c>
      <c r="F32" s="553">
        <f>-'Foglio deposito bis'!$F$49*(C32-sezione!$AM$27)*IF(ABS(L32)&lt;'Progetto del paramento slu'!$G$58,ABS(L32)*'Progetto del paramento slu'!$G$54,'Progetto del paramento slu'!$G$53)</f>
        <v>29610116.08549067</v>
      </c>
      <c r="G32" s="553">
        <f>-'Foglio deposito bis'!$F$50*(C32-sezione!$AN$27)*IF(ABS(M32)&lt;'Progetto del paramento slu'!$G$58,ABS(M32)*'Progetto del paramento slu'!$G$54,'Progetto del paramento slu'!$G$53)</f>
        <v>0</v>
      </c>
      <c r="H32" s="553">
        <f>-'Foglio deposito bis'!$F$51*(C32-sezione!$AO$27)*IF(ABS(N32)&lt;'Progetto del paramento slu'!$G$58,ABS(N32)*'Progetto del paramento slu'!$G$54,'Progetto del paramento slu'!$G$53)</f>
        <v>80601331.028587237</v>
      </c>
      <c r="I32" s="479">
        <f>-'Foglio deposito bis'!$F$52*(C32-sezione!$AP$27)*IF(ABS(O32)&lt;'Progetto del paramento slu'!$G$58,ABS(O32)*'Progetto del paramento slu'!$G$54,'Progetto del paramento slu'!$G$53)</f>
        <v>61325611.234039783</v>
      </c>
      <c r="J32" s="479">
        <f t="shared" si="0"/>
        <v>171289813.91682243</v>
      </c>
      <c r="K32" s="558">
        <f>'Progetto del paramento slu'!$G$60*(sezione!$AL$27-C32)/C32</f>
        <v>2.2045679012345651E-2</v>
      </c>
      <c r="L32" s="558">
        <f>'Progetto del paramento slu'!$G$60*(sezione!$AM$27-C32)/C32</f>
        <v>9.2296296296296196E-2</v>
      </c>
      <c r="M32" s="559">
        <f>'Progetto del paramento slu'!$G$60*(sezione!$AN$27-C32)/C32</f>
        <v>0.16254691358024675</v>
      </c>
      <c r="N32" s="559">
        <f>'Progetto del paramento slu'!$G$60*(sezione!$AO$27-C32)/C32</f>
        <v>0.21363827160493801</v>
      </c>
      <c r="O32" s="559">
        <f>'Progetto del paramento slu'!$G$60*(sezione!$AP$27-C32)/C32</f>
        <v>0.16254691358024675</v>
      </c>
      <c r="P32" s="553">
        <f>-'Progetto del paramento slu'!$G$47*'Progetto del paramento slu'!$G$41*IF(DATI!$G$218="dx",DATI!$E$61,DATI!$E$64*DATI!$E$63)*1000*C32*sezione!$AD$5</f>
        <v>-77250.817997293721</v>
      </c>
      <c r="Q32" s="414">
        <f>'Foglio deposito bis'!$F$48*IF(ABS(K32)&lt;'Progetto del paramento slu'!$G$58,ABS(K32)*'Progetto del paramento slu'!$G$54,'Progetto del paramento slu'!$G$53)*IF(K32&lt;0,-1,1)</f>
        <v>0</v>
      </c>
      <c r="R32" s="414">
        <f>'Foglio deposito bis'!$F$49*IF(ABS(L32)&lt;'Progetto del paramento slu'!$G$58,ABS(L32)*'Progetto del paramento slu'!$G$54,'Progetto del paramento slu'!$G$53)*IF(L32&lt;0,-1,1)</f>
        <v>204886.47740803001</v>
      </c>
      <c r="S32" s="414">
        <f>'Foglio deposito bis'!$F$50*IF(ABS(M32)&lt;'Progetto del paramento slu'!$G$58,ABS(M32)*'Progetto del paramento slu'!$G$54,'Progetto del paramento slu'!$G$53)*IF(M32&lt;0,-1,1)</f>
        <v>0</v>
      </c>
      <c r="T32" s="414">
        <f>'Foglio deposito bis'!$F$51*IF(ABS(N32)&lt;'Progetto del paramento slu'!$G$58,ABS(N32)*'Progetto del paramento slu'!$G$54,'Progetto del paramento slu'!$G$53)*IF(N32&lt;0,-1,1)</f>
        <v>240946.49743184328</v>
      </c>
      <c r="U32" s="414">
        <f>'Foglio deposito bis'!$F$52*IF(ABS(O32)&lt;'Progetto del paramento slu'!$G$58,ABS(O32)*'Progetto del paramento slu'!$G$54,'Progetto del paramento slu'!$G$53)*IF(O32&lt;0,-1,1)</f>
        <v>240946.49743184328</v>
      </c>
      <c r="V32" s="616">
        <f>P32+Q32+R32+S32+T32+U32</f>
        <v>609528.65427442291</v>
      </c>
      <c r="W32" s="559"/>
      <c r="X32" s="559"/>
      <c r="Z32" s="42"/>
      <c r="AA32" s="42"/>
      <c r="AC32" s="42"/>
      <c r="AD32" s="42"/>
      <c r="AH32" s="576">
        <f t="shared" si="7"/>
        <v>5</v>
      </c>
      <c r="AI32" s="532">
        <f>'Foglio deposito bis'!C158</f>
        <v>1.925</v>
      </c>
      <c r="AJ32" s="556">
        <f>'Foglio deposito bis'!D158</f>
        <v>67.795446549390931</v>
      </c>
      <c r="AK32" s="556">
        <f>sezione!AI12</f>
        <v>300.00499999999988</v>
      </c>
      <c r="AL32" s="591">
        <f>IF(DATI!$G$218="sx",IF('Foglio deposito bis'!$F105&lt;=0,sezione!AJ12,sezione!AR12),IF('Foglio deposito bis'!$F105&lt;=0,sezione!AR12,sezione!AJ12))</f>
        <v>40</v>
      </c>
      <c r="AM32" s="591">
        <f>IF(DATI!$G$218="sx",IF('Foglio deposito bis'!$F105&lt;=0,sezione!AK12,sezione!AS12),IF('Foglio deposito bis'!$F105&lt;=0,sezione!AS12,sezione!AK12))</f>
        <v>150</v>
      </c>
      <c r="AN32" s="591">
        <f>IF(DATI!$G$218="sx",IF('Foglio deposito bis'!$F105&lt;=0,sezione!AL12,sezione!AT12),IF('Foglio deposito bis'!$F105&lt;=0,sezione!AT12,sezione!AL12))</f>
        <v>260</v>
      </c>
      <c r="AO32" s="591">
        <f>IF(DATI!$G$218="sx",IF('Foglio deposito bis'!$F105&lt;=0,sezione!AM12,sezione!AU12),IF('Foglio deposito bis'!$F105&lt;=0,sezione!AU12,sezione!AM12))</f>
        <v>340</v>
      </c>
      <c r="AP32" s="591">
        <f>IF(DATI!$G$218="sx",IF('Foglio deposito bis'!$F105&lt;=0,sezione!AN12,sezione!AV12),IF('Foglio deposito bis'!$F105&lt;=0,sezione!AV12,sezione!AN12))</f>
        <v>260.00499999999988</v>
      </c>
      <c r="AQ32" s="578" t="str">
        <f>IF(DATI!$C$69="muro a contrafforti",VLOOKUP(sezione!AG52,'SOLLECITAZ NASCOSTO'!$C$23:$M$468,3,TRUE)*1000,"")</f>
        <v/>
      </c>
    </row>
    <row r="33" spans="1:43" x14ac:dyDescent="0.25">
      <c r="A33" s="553">
        <f t="shared" si="2"/>
        <v>606667.51286711567</v>
      </c>
      <c r="B33" s="3">
        <f t="shared" si="4"/>
        <v>1.4000000000000006</v>
      </c>
      <c r="C33" s="553">
        <f>'Foglio deposito bis'!$E$153/$B$247*B33</f>
        <v>5.6833558863328886</v>
      </c>
      <c r="D33" s="611">
        <f>-'Progetto del paramento slu'!$G$47*'Progetto del paramento slu'!$G$41*IF(DATI!$G$218="dx",DATI!$E$61,DATI!$E$64*DATI!$E$63)*1000*C33^2*sezione!$AD$5*(1-sezione!$AD$6)</f>
        <v>-265897.98921191524</v>
      </c>
      <c r="E33" s="553">
        <f>-'Foglio deposito bis'!$F$48*(C33-sezione!$AL$27)*IF(ABS(K33)&lt;'Progetto del paramento slu'!$G$58,ABS(K33)*'Progetto del paramento slu'!$G$54,'Progetto del paramento slu'!$G$53)</f>
        <v>0</v>
      </c>
      <c r="F33" s="553">
        <f>-'Foglio deposito bis'!$F$49*(C33-sezione!$AM$27)*IF(ABS(L33)&lt;'Progetto del paramento slu'!$G$58,ABS(L33)*'Progetto del paramento slu'!$G$54,'Progetto del paramento slu'!$G$53)</f>
        <v>29568528.843797565</v>
      </c>
      <c r="G33" s="553">
        <f>-'Foglio deposito bis'!$F$50*(C33-sezione!$AN$27)*IF(ABS(M33)&lt;'Progetto del paramento slu'!$G$58,ABS(M33)*'Progetto del paramento slu'!$G$54,'Progetto del paramento slu'!$G$53)</f>
        <v>0</v>
      </c>
      <c r="H33" s="553">
        <f>-'Foglio deposito bis'!$F$51*(C33-sezione!$AO$27)*IF(ABS(N33)&lt;'Progetto del paramento slu'!$G$58,ABS(N33)*'Progetto del paramento slu'!$G$54,'Progetto del paramento slu'!$G$53)</f>
        <v>80552424.432356149</v>
      </c>
      <c r="I33" s="479">
        <f>-'Foglio deposito bis'!$F$52*(C33-sezione!$AP$27)*IF(ABS(O33)&lt;'Progetto del paramento slu'!$G$58,ABS(O33)*'Progetto del paramento slu'!$G$54,'Progetto del paramento slu'!$G$53)</f>
        <v>61276704.637808688</v>
      </c>
      <c r="J33" s="479">
        <f t="shared" si="0"/>
        <v>171131759.92475048</v>
      </c>
      <c r="K33" s="558">
        <f>'Progetto del paramento slu'!$G$60*(sezione!$AL$27-C33)/C33</f>
        <v>2.1133333333333306E-2</v>
      </c>
      <c r="L33" s="558">
        <f>'Progetto del paramento slu'!$G$60*(sezione!$AM$27-C33)/C33</f>
        <v>8.8874999999999899E-2</v>
      </c>
      <c r="M33" s="559">
        <f>'Progetto del paramento slu'!$G$60*(sezione!$AN$27-C33)/C33</f>
        <v>0.15661666666666649</v>
      </c>
      <c r="N33" s="559">
        <f>'Progetto del paramento slu'!$G$60*(sezione!$AO$27-C33)/C33</f>
        <v>0.20588333333333311</v>
      </c>
      <c r="O33" s="559">
        <f>'Progetto del paramento slu'!$G$60*(sezione!$AP$27-C33)/C33</f>
        <v>0.15661666666666649</v>
      </c>
      <c r="P33" s="553">
        <f>-'Progetto del paramento slu'!$G$47*'Progetto del paramento slu'!$G$41*IF(DATI!$G$218="dx",DATI!$E$61,DATI!$E$64*DATI!$E$63)*1000*C33*sezione!$AD$5</f>
        <v>-80111.959404600901</v>
      </c>
      <c r="Q33" s="553">
        <f>'Foglio deposito bis'!$F$48*IF(ABS(K33)&lt;'Progetto del paramento slu'!$G$58,ABS(K33)*'Progetto del paramento slu'!$G$54,'Progetto del paramento slu'!$G$53)*IF(K33&lt;0,-1,1)</f>
        <v>0</v>
      </c>
      <c r="R33" s="553">
        <f>'Foglio deposito bis'!$F$49*IF(ABS(L33)&lt;'Progetto del paramento slu'!$G$58,ABS(L33)*'Progetto del paramento slu'!$G$54,'Progetto del paramento slu'!$G$53)*IF(L33&lt;0,-1,1)</f>
        <v>204886.47740803001</v>
      </c>
      <c r="S33" s="553">
        <f>'Foglio deposito bis'!$F$50*IF(ABS(M33)&lt;'Progetto del paramento slu'!$G$58,ABS(M33)*'Progetto del paramento slu'!$G$54,'Progetto del paramento slu'!$G$53)*IF(M33&lt;0,-1,1)</f>
        <v>0</v>
      </c>
      <c r="T33" s="553">
        <f>'Foglio deposito bis'!$F$51*IF(ABS(N33)&lt;'Progetto del paramento slu'!$G$58,ABS(N33)*'Progetto del paramento slu'!$G$54,'Progetto del paramento slu'!$G$53)*IF(N33&lt;0,-1,1)</f>
        <v>240946.49743184328</v>
      </c>
      <c r="U33" s="553">
        <f>'Foglio deposito bis'!$F$52*IF(ABS(O33)&lt;'Progetto del paramento slu'!$G$58,ABS(O33)*'Progetto del paramento slu'!$G$54,'Progetto del paramento slu'!$G$53)*IF(O33&lt;0,-1,1)</f>
        <v>240946.49743184328</v>
      </c>
      <c r="V33" s="479">
        <f t="shared" si="3"/>
        <v>606667.51286711567</v>
      </c>
      <c r="W33" s="559"/>
      <c r="X33" s="559"/>
      <c r="Z33" s="42"/>
      <c r="AA33" s="42"/>
      <c r="AC33" s="42"/>
      <c r="AD33" s="42"/>
      <c r="AH33" s="576">
        <f t="shared" si="7"/>
        <v>6</v>
      </c>
      <c r="AI33" s="532">
        <f>'Foglio deposito bis'!C159</f>
        <v>1.644110576923077</v>
      </c>
      <c r="AJ33" s="556">
        <f>'Foglio deposito bis'!D159</f>
        <v>67.795669271104259</v>
      </c>
      <c r="AK33" s="556">
        <f>sezione!AI13</f>
        <v>300.00598557692291</v>
      </c>
      <c r="AL33" s="591">
        <f>IF(DATI!$G$218="sx",IF('Foglio deposito bis'!$F106&lt;=0,sezione!AJ13,sezione!AR13),IF('Foglio deposito bis'!$F106&lt;=0,sezione!AR13,sezione!AJ13))</f>
        <v>40</v>
      </c>
      <c r="AM33" s="591">
        <f>IF(DATI!$G$218="sx",IF('Foglio deposito bis'!$F106&lt;=0,sezione!AK13,sezione!AS13),IF('Foglio deposito bis'!$F106&lt;=0,sezione!AS13,sezione!AK13))</f>
        <v>150</v>
      </c>
      <c r="AN33" s="591">
        <f>IF(DATI!$G$218="sx",IF('Foglio deposito bis'!$F106&lt;=0,sezione!AL13,sezione!AT13),IF('Foglio deposito bis'!$F106&lt;=0,sezione!AT13,sezione!AL13))</f>
        <v>260</v>
      </c>
      <c r="AO33" s="591">
        <f>IF(DATI!$G$218="sx",IF('Foglio deposito bis'!$F106&lt;=0,sezione!AM13,sezione!AU13),IF('Foglio deposito bis'!$F106&lt;=0,sezione!AU13,sezione!AM13))</f>
        <v>340</v>
      </c>
      <c r="AP33" s="591">
        <f>IF(DATI!$G$218="sx",IF('Foglio deposito bis'!$F106&lt;=0,sezione!AN13,sezione!AV13),IF('Foglio deposito bis'!$F106&lt;=0,sezione!AV13,sezione!AN13))</f>
        <v>260.00598557692291</v>
      </c>
      <c r="AQ33" s="578" t="str">
        <f>IF(DATI!$C$69="muro a contrafforti",VLOOKUP(sezione!AG53,'SOLLECITAZ NASCOSTO'!$C$23:$M$468,3,TRUE)*1000,"")</f>
        <v/>
      </c>
    </row>
    <row r="34" spans="1:43" x14ac:dyDescent="0.25">
      <c r="A34" s="553">
        <f t="shared" si="2"/>
        <v>603806.37145980855</v>
      </c>
      <c r="B34" s="3">
        <f t="shared" si="4"/>
        <v>1.4500000000000006</v>
      </c>
      <c r="C34" s="553">
        <f>'Foglio deposito bis'!$E$153/$B$247*B34</f>
        <v>5.8863328822733489</v>
      </c>
      <c r="D34" s="611">
        <f>-'Progetto del paramento slu'!$G$47*'Progetto del paramento slu'!$G$41*IF(DATI!$G$218="dx",DATI!$E$61,DATI!$E$64*DATI!$E$63)*1000*C34^2*sezione!$AD$5*(1-sezione!$AD$6)</f>
        <v>-285229.8583255366</v>
      </c>
      <c r="E34" s="553">
        <f>-'Foglio deposito bis'!$F$48*(C34-sezione!$AL$27)*IF(ABS(K34)&lt;'Progetto del paramento slu'!$G$58,ABS(K34)*'Progetto del paramento slu'!$G$54,'Progetto del paramento slu'!$G$53)</f>
        <v>0</v>
      </c>
      <c r="F34" s="553">
        <f>-'Foglio deposito bis'!$F$49*(C34-sezione!$AM$27)*IF(ABS(L34)&lt;'Progetto del paramento slu'!$G$58,ABS(L34)*'Progetto del paramento slu'!$G$54,'Progetto del paramento slu'!$G$53)</f>
        <v>29526941.602104459</v>
      </c>
      <c r="G34" s="553">
        <f>-'Foglio deposito bis'!$F$50*(C34-sezione!$AN$27)*IF(ABS(M34)&lt;'Progetto del paramento slu'!$G$58,ABS(M34)*'Progetto del paramento slu'!$G$54,'Progetto del paramento slu'!$G$53)</f>
        <v>0</v>
      </c>
      <c r="H34" s="553">
        <f>-'Foglio deposito bis'!$F$51*(C34-sezione!$AO$27)*IF(ABS(N34)&lt;'Progetto del paramento slu'!$G$58,ABS(N34)*'Progetto del paramento slu'!$G$54,'Progetto del paramento slu'!$G$53)</f>
        <v>80503517.836125061</v>
      </c>
      <c r="I34" s="479">
        <f>-'Foglio deposito bis'!$F$52*(C34-sezione!$AP$27)*IF(ABS(O34)&lt;'Progetto del paramento slu'!$G$58,ABS(O34)*'Progetto del paramento slu'!$G$54,'Progetto del paramento slu'!$G$53)</f>
        <v>61227798.0415776</v>
      </c>
      <c r="J34" s="479">
        <f t="shared" si="0"/>
        <v>170973027.6214816</v>
      </c>
      <c r="K34" s="558">
        <f>'Progetto del paramento slu'!$G$60*(sezione!$AL$27-C34)/C34</f>
        <v>2.0283908045976982E-2</v>
      </c>
      <c r="L34" s="558">
        <f>'Progetto del paramento slu'!$G$60*(sezione!$AM$27-C34)/C34</f>
        <v>8.5689655172413712E-2</v>
      </c>
      <c r="M34" s="559">
        <f>'Progetto del paramento slu'!$G$60*(sezione!$AN$27-C34)/C34</f>
        <v>0.15109540229885041</v>
      </c>
      <c r="N34" s="559">
        <f>'Progetto del paramento slu'!$G$60*(sezione!$AO$27-C34)/C34</f>
        <v>0.19866321839080436</v>
      </c>
      <c r="O34" s="559">
        <f>'Progetto del paramento slu'!$G$60*(sezione!$AP$27-C34)/C34</f>
        <v>0.15109540229885041</v>
      </c>
      <c r="P34" s="553">
        <f>-'Progetto del paramento slu'!$G$47*'Progetto del paramento slu'!$G$41*IF(DATI!$G$218="dx",DATI!$E$61,DATI!$E$64*DATI!$E$63)*1000*C34*sezione!$AD$5</f>
        <v>-82973.10081190808</v>
      </c>
      <c r="Q34" s="553">
        <f>'Foglio deposito bis'!$F$48*IF(ABS(K34)&lt;'Progetto del paramento slu'!$G$58,ABS(K34)*'Progetto del paramento slu'!$G$54,'Progetto del paramento slu'!$G$53)*IF(K34&lt;0,-1,1)</f>
        <v>0</v>
      </c>
      <c r="R34" s="553">
        <f>'Foglio deposito bis'!$F$49*IF(ABS(L34)&lt;'Progetto del paramento slu'!$G$58,ABS(L34)*'Progetto del paramento slu'!$G$54,'Progetto del paramento slu'!$G$53)*IF(L34&lt;0,-1,1)</f>
        <v>204886.47740803001</v>
      </c>
      <c r="S34" s="553">
        <f>'Foglio deposito bis'!$F$50*IF(ABS(M34)&lt;'Progetto del paramento slu'!$G$58,ABS(M34)*'Progetto del paramento slu'!$G$54,'Progetto del paramento slu'!$G$53)*IF(M34&lt;0,-1,1)</f>
        <v>0</v>
      </c>
      <c r="T34" s="553">
        <f>'Foglio deposito bis'!$F$51*IF(ABS(N34)&lt;'Progetto del paramento slu'!$G$58,ABS(N34)*'Progetto del paramento slu'!$G$54,'Progetto del paramento slu'!$G$53)*IF(N34&lt;0,-1,1)</f>
        <v>240946.49743184328</v>
      </c>
      <c r="U34" s="553">
        <f>'Foglio deposito bis'!$F$52*IF(ABS(O34)&lt;'Progetto del paramento slu'!$G$58,ABS(O34)*'Progetto del paramento slu'!$G$54,'Progetto del paramento slu'!$G$53)*IF(O34&lt;0,-1,1)</f>
        <v>240946.49743184328</v>
      </c>
      <c r="V34" s="479">
        <f t="shared" si="3"/>
        <v>603806.37145980855</v>
      </c>
      <c r="W34" s="559"/>
      <c r="X34" s="559"/>
      <c r="Z34" s="1040" t="s">
        <v>971</v>
      </c>
      <c r="AA34" s="1040"/>
      <c r="AC34" s="1040" t="s">
        <v>971</v>
      </c>
      <c r="AD34" s="1040"/>
      <c r="AH34" s="576">
        <f t="shared" si="7"/>
        <v>7</v>
      </c>
      <c r="AI34" s="532">
        <f>'Foglio deposito bis'!C160</f>
        <v>1.3563701923076925</v>
      </c>
      <c r="AJ34" s="556">
        <f>'Foglio deposito bis'!D160</f>
        <v>101.08490095112916</v>
      </c>
      <c r="AK34" s="556">
        <f>sezione!AI14</f>
        <v>300.0069951923075</v>
      </c>
      <c r="AL34" s="591">
        <f>IF(DATI!$G$218="sx",IF('Foglio deposito bis'!$F107&lt;=0,sezione!AJ14,sezione!AR14),IF('Foglio deposito bis'!$F107&lt;=0,sezione!AR14,sezione!AJ14))</f>
        <v>40</v>
      </c>
      <c r="AM34" s="591">
        <f>IF(DATI!$G$218="sx",IF('Foglio deposito bis'!$F107&lt;=0,sezione!AK14,sezione!AS14),IF('Foglio deposito bis'!$F107&lt;=0,sezione!AS14,sezione!AK14))</f>
        <v>150</v>
      </c>
      <c r="AN34" s="591">
        <f>IF(DATI!$G$218="sx",IF('Foglio deposito bis'!$F107&lt;=0,sezione!AL14,sezione!AT14),IF('Foglio deposito bis'!$F107&lt;=0,sezione!AT14,sezione!AL14))</f>
        <v>260</v>
      </c>
      <c r="AO34" s="591">
        <f>IF(DATI!$G$218="sx",IF('Foglio deposito bis'!$F107&lt;=0,sezione!AM14,sezione!AU14),IF('Foglio deposito bis'!$F107&lt;=0,sezione!AU14,sezione!AM14))</f>
        <v>340</v>
      </c>
      <c r="AP34" s="591">
        <f>IF(DATI!$G$218="sx",IF('Foglio deposito bis'!$F107&lt;=0,sezione!AN14,sezione!AV14),IF('Foglio deposito bis'!$F107&lt;=0,sezione!AV14,sezione!AN14))</f>
        <v>260.0069951923075</v>
      </c>
      <c r="AQ34" s="578" t="str">
        <f>IF(DATI!$C$69="muro a contrafforti",VLOOKUP(sezione!AG54,'SOLLECITAZ NASCOSTO'!$C$23:$M$468,3,TRUE)*1000,"")</f>
        <v/>
      </c>
    </row>
    <row r="35" spans="1:43" x14ac:dyDescent="0.25">
      <c r="A35" s="553">
        <f t="shared" si="2"/>
        <v>600945.23005250131</v>
      </c>
      <c r="B35" s="3">
        <f t="shared" si="4"/>
        <v>1.5000000000000007</v>
      </c>
      <c r="C35" s="553">
        <f>'Foglio deposito bis'!$E$153/$B$247*B35</f>
        <v>6.0893098782138102</v>
      </c>
      <c r="D35" s="611">
        <f>-'Progetto del paramento slu'!$G$47*'Progetto del paramento slu'!$G$41*IF(DATI!$G$218="dx",DATI!$E$61,DATI!$E$64*DATI!$E$63)*1000*C35^2*sezione!$AD$5*(1-sezione!$AD$6)</f>
        <v>-305240.0386361272</v>
      </c>
      <c r="E35" s="553">
        <f>-'Foglio deposito bis'!$F$48*(C35-sezione!$AL$27)*IF(ABS(K35)&lt;'Progetto del paramento slu'!$G$58,ABS(K35)*'Progetto del paramento slu'!$G$54,'Progetto del paramento slu'!$G$53)</f>
        <v>0</v>
      </c>
      <c r="F35" s="553">
        <f>-'Foglio deposito bis'!$F$49*(C35-sezione!$AM$27)*IF(ABS(L35)&lt;'Progetto del paramento slu'!$G$58,ABS(L35)*'Progetto del paramento slu'!$G$54,'Progetto del paramento slu'!$G$53)</f>
        <v>29485354.360411353</v>
      </c>
      <c r="G35" s="553">
        <f>-'Foglio deposito bis'!$F$50*(C35-sezione!$AN$27)*IF(ABS(M35)&lt;'Progetto del paramento slu'!$G$58,ABS(M35)*'Progetto del paramento slu'!$G$54,'Progetto del paramento slu'!$G$53)</f>
        <v>0</v>
      </c>
      <c r="H35" s="553">
        <f>-'Foglio deposito bis'!$F$51*(C35-sezione!$AO$27)*IF(ABS(N35)&lt;'Progetto del paramento slu'!$G$58,ABS(N35)*'Progetto del paramento slu'!$G$54,'Progetto del paramento slu'!$G$53)</f>
        <v>80454611.239893973</v>
      </c>
      <c r="I35" s="479">
        <f>-'Foglio deposito bis'!$F$52*(C35-sezione!$AP$27)*IF(ABS(O35)&lt;'Progetto del paramento slu'!$G$58,ABS(O35)*'Progetto del paramento slu'!$G$54,'Progetto del paramento slu'!$G$53)</f>
        <v>61178891.445346512</v>
      </c>
      <c r="J35" s="479">
        <f t="shared" si="0"/>
        <v>170813617.00701571</v>
      </c>
      <c r="K35" s="558">
        <f>'Progetto del paramento slu'!$G$60*(sezione!$AL$27-C35)/C35</f>
        <v>1.9491111111111081E-2</v>
      </c>
      <c r="L35" s="558">
        <f>'Progetto del paramento slu'!$G$60*(sezione!$AM$27-C35)/C35</f>
        <v>8.271666666666655E-2</v>
      </c>
      <c r="M35" s="559">
        <f>'Progetto del paramento slu'!$G$60*(sezione!$AN$27-C35)/C35</f>
        <v>0.14594222222222203</v>
      </c>
      <c r="N35" s="559">
        <f>'Progetto del paramento slu'!$G$60*(sezione!$AO$27-C35)/C35</f>
        <v>0.19192444444444423</v>
      </c>
      <c r="O35" s="559">
        <f>'Progetto del paramento slu'!$G$60*(sezione!$AP$27-C35)/C35</f>
        <v>0.14594222222222203</v>
      </c>
      <c r="P35" s="553">
        <f>-'Progetto del paramento slu'!$G$47*'Progetto del paramento slu'!$G$41*IF(DATI!$G$218="dx",DATI!$E$61,DATI!$E$64*DATI!$E$63)*1000*C35*sezione!$AD$5</f>
        <v>-85834.242219215259</v>
      </c>
      <c r="Q35" s="553">
        <f>'Foglio deposito bis'!$F$48*IF(ABS(K35)&lt;'Progetto del paramento slu'!$G$58,ABS(K35)*'Progetto del paramento slu'!$G$54,'Progetto del paramento slu'!$G$53)*IF(K35&lt;0,-1,1)</f>
        <v>0</v>
      </c>
      <c r="R35" s="553">
        <f>'Foglio deposito bis'!$F$49*IF(ABS(L35)&lt;'Progetto del paramento slu'!$G$58,ABS(L35)*'Progetto del paramento slu'!$G$54,'Progetto del paramento slu'!$G$53)*IF(L35&lt;0,-1,1)</f>
        <v>204886.47740803001</v>
      </c>
      <c r="S35" s="553">
        <f>'Foglio deposito bis'!$F$50*IF(ABS(M35)&lt;'Progetto del paramento slu'!$G$58,ABS(M35)*'Progetto del paramento slu'!$G$54,'Progetto del paramento slu'!$G$53)*IF(M35&lt;0,-1,1)</f>
        <v>0</v>
      </c>
      <c r="T35" s="553">
        <f>'Foglio deposito bis'!$F$51*IF(ABS(N35)&lt;'Progetto del paramento slu'!$G$58,ABS(N35)*'Progetto del paramento slu'!$G$54,'Progetto del paramento slu'!$G$53)*IF(N35&lt;0,-1,1)</f>
        <v>240946.49743184328</v>
      </c>
      <c r="U35" s="553">
        <f>'Foglio deposito bis'!$F$52*IF(ABS(O35)&lt;'Progetto del paramento slu'!$G$58,ABS(O35)*'Progetto del paramento slu'!$G$54,'Progetto del paramento slu'!$G$53)*IF(O35&lt;0,-1,1)</f>
        <v>240946.49743184328</v>
      </c>
      <c r="V35" s="479">
        <f t="shared" si="3"/>
        <v>600945.23005250131</v>
      </c>
      <c r="W35" s="559"/>
      <c r="X35" s="559"/>
      <c r="Z35" s="491">
        <f>DATI!E61/2*1.2</f>
        <v>0.6</v>
      </c>
      <c r="AA35" s="491">
        <f>sezione!AK20/1000</f>
        <v>0.34</v>
      </c>
      <c r="AC35" s="586">
        <f>Z35</f>
        <v>0.6</v>
      </c>
      <c r="AD35" s="586">
        <f>AA35</f>
        <v>0.34</v>
      </c>
      <c r="AH35" s="576">
        <f t="shared" si="7"/>
        <v>8</v>
      </c>
      <c r="AI35" s="532">
        <f>'Foglio deposito bis'!C161</f>
        <v>1.0754807692307695</v>
      </c>
      <c r="AJ35" s="556">
        <f>'Foglio deposito bis'!D161</f>
        <v>101.08523303320473</v>
      </c>
      <c r="AK35" s="556">
        <f>sezione!AI15</f>
        <v>300.00798076923058</v>
      </c>
      <c r="AL35" s="591">
        <f>IF(DATI!$G$218="sx",IF('Foglio deposito bis'!$F108&lt;=0,sezione!AJ15,sezione!AR15),IF('Foglio deposito bis'!$F108&lt;=0,sezione!AR15,sezione!AJ15))</f>
        <v>40</v>
      </c>
      <c r="AM35" s="591">
        <f>IF(DATI!$G$218="sx",IF('Foglio deposito bis'!$F108&lt;=0,sezione!AK15,sezione!AS15),IF('Foglio deposito bis'!$F108&lt;=0,sezione!AS15,sezione!AK15))</f>
        <v>150</v>
      </c>
      <c r="AN35" s="591">
        <f>IF(DATI!$G$218="sx",IF('Foglio deposito bis'!$F108&lt;=0,sezione!AL15,sezione!AT15),IF('Foglio deposito bis'!$F108&lt;=0,sezione!AT15,sezione!AL15))</f>
        <v>260</v>
      </c>
      <c r="AO35" s="591">
        <f>IF(DATI!$G$218="sx",IF('Foglio deposito bis'!$F108&lt;=0,sezione!AM15,sezione!AU15),IF('Foglio deposito bis'!$F108&lt;=0,sezione!AU15,sezione!AM15))</f>
        <v>340</v>
      </c>
      <c r="AP35" s="591">
        <f>IF(DATI!$G$218="sx",IF('Foglio deposito bis'!$F108&lt;=0,sezione!AN15,sezione!AV15),IF('Foglio deposito bis'!$F108&lt;=0,sezione!AV15,sezione!AN15))</f>
        <v>260.00798076923058</v>
      </c>
      <c r="AQ35" s="578" t="str">
        <f>IF(DATI!$C$69="muro a contrafforti",VLOOKUP(sezione!AG55,'SOLLECITAZ NASCOSTO'!$C$23:$M$468,3,TRUE)*1000,"")</f>
        <v/>
      </c>
    </row>
    <row r="36" spans="1:43" x14ac:dyDescent="0.25">
      <c r="A36" s="553">
        <f t="shared" si="2"/>
        <v>598084.08864519408</v>
      </c>
      <c r="B36" s="3">
        <f t="shared" si="4"/>
        <v>1.5500000000000007</v>
      </c>
      <c r="C36" s="553">
        <f>'Foglio deposito bis'!$E$153/$B$247*B36</f>
        <v>6.2922868741542706</v>
      </c>
      <c r="D36" s="611">
        <f>-'Progetto del paramento slu'!$G$47*'Progetto del paramento slu'!$G$41*IF(DATI!$G$218="dx",DATI!$E$61,DATI!$E$64*DATI!$E$63)*1000*C36^2*sezione!$AD$5*(1-sezione!$AD$6)</f>
        <v>-325928.53014368704</v>
      </c>
      <c r="E36" s="553">
        <f>-'Foglio deposito bis'!$F$48*(C36-sezione!$AL$27)*IF(ABS(K36)&lt;'Progetto del paramento slu'!$G$58,ABS(K36)*'Progetto del paramento slu'!$G$54,'Progetto del paramento slu'!$G$53)</f>
        <v>0</v>
      </c>
      <c r="F36" s="553">
        <f>-'Foglio deposito bis'!$F$49*(C36-sezione!$AM$27)*IF(ABS(L36)&lt;'Progetto del paramento slu'!$G$58,ABS(L36)*'Progetto del paramento slu'!$G$54,'Progetto del paramento slu'!$G$53)</f>
        <v>29443767.118718248</v>
      </c>
      <c r="G36" s="553">
        <f>-'Foglio deposito bis'!$F$50*(C36-sezione!$AN$27)*IF(ABS(M36)&lt;'Progetto del paramento slu'!$G$58,ABS(M36)*'Progetto del paramento slu'!$G$54,'Progetto del paramento slu'!$G$53)</f>
        <v>0</v>
      </c>
      <c r="H36" s="553">
        <f>-'Foglio deposito bis'!$F$51*(C36-sezione!$AO$27)*IF(ABS(N36)&lt;'Progetto del paramento slu'!$G$58,ABS(N36)*'Progetto del paramento slu'!$G$54,'Progetto del paramento slu'!$G$53)</f>
        <v>80405704.643662885</v>
      </c>
      <c r="I36" s="479">
        <f>-'Foglio deposito bis'!$F$52*(C36-sezione!$AP$27)*IF(ABS(O36)&lt;'Progetto del paramento slu'!$G$58,ABS(O36)*'Progetto del paramento slu'!$G$54,'Progetto del paramento slu'!$G$53)</f>
        <v>61129984.849115424</v>
      </c>
      <c r="J36" s="479">
        <f t="shared" si="0"/>
        <v>170653528.08135286</v>
      </c>
      <c r="K36" s="558">
        <f>'Progetto del paramento slu'!$G$60*(sezione!$AL$27-C36)/C36</f>
        <v>1.8749462365591371E-2</v>
      </c>
      <c r="L36" s="558">
        <f>'Progetto del paramento slu'!$G$60*(sezione!$AM$27-C36)/C36</f>
        <v>7.9935483870967633E-2</v>
      </c>
      <c r="M36" s="559">
        <f>'Progetto del paramento slu'!$G$60*(sezione!$AN$27-C36)/C36</f>
        <v>0.14112150537634391</v>
      </c>
      <c r="N36" s="559">
        <f>'Progetto del paramento slu'!$G$60*(sezione!$AO$27-C36)/C36</f>
        <v>0.18562043010752663</v>
      </c>
      <c r="O36" s="559">
        <f>'Progetto del paramento slu'!$G$60*(sezione!$AP$27-C36)/C36</f>
        <v>0.14112150537634391</v>
      </c>
      <c r="P36" s="553">
        <f>-'Progetto del paramento slu'!$G$47*'Progetto del paramento slu'!$G$41*IF(DATI!$G$218="dx",DATI!$E$61,DATI!$E$64*DATI!$E$63)*1000*C36*sezione!$AD$5</f>
        <v>-88695.383626522453</v>
      </c>
      <c r="Q36" s="553">
        <f>'Foglio deposito bis'!$F$48*IF(ABS(K36)&lt;'Progetto del paramento slu'!$G$58,ABS(K36)*'Progetto del paramento slu'!$G$54,'Progetto del paramento slu'!$G$53)*IF(K36&lt;0,-1,1)</f>
        <v>0</v>
      </c>
      <c r="R36" s="553">
        <f>'Foglio deposito bis'!$F$49*IF(ABS(L36)&lt;'Progetto del paramento slu'!$G$58,ABS(L36)*'Progetto del paramento slu'!$G$54,'Progetto del paramento slu'!$G$53)*IF(L36&lt;0,-1,1)</f>
        <v>204886.47740803001</v>
      </c>
      <c r="S36" s="553">
        <f>'Foglio deposito bis'!$F$50*IF(ABS(M36)&lt;'Progetto del paramento slu'!$G$58,ABS(M36)*'Progetto del paramento slu'!$G$54,'Progetto del paramento slu'!$G$53)*IF(M36&lt;0,-1,1)</f>
        <v>0</v>
      </c>
      <c r="T36" s="553">
        <f>'Foglio deposito bis'!$F$51*IF(ABS(N36)&lt;'Progetto del paramento slu'!$G$58,ABS(N36)*'Progetto del paramento slu'!$G$54,'Progetto del paramento slu'!$G$53)*IF(N36&lt;0,-1,1)</f>
        <v>240946.49743184328</v>
      </c>
      <c r="U36" s="553">
        <f>'Foglio deposito bis'!$F$52*IF(ABS(O36)&lt;'Progetto del paramento slu'!$G$58,ABS(O36)*'Progetto del paramento slu'!$G$54,'Progetto del paramento slu'!$G$53)*IF(O36&lt;0,-1,1)</f>
        <v>240946.49743184328</v>
      </c>
      <c r="V36" s="479">
        <f t="shared" si="3"/>
        <v>598084.08864519408</v>
      </c>
      <c r="W36" s="559"/>
      <c r="X36" s="559"/>
      <c r="Z36" s="491">
        <f>-DATI!E61/2</f>
        <v>-0.5</v>
      </c>
      <c r="AA36" s="491">
        <f>AA35</f>
        <v>0.34</v>
      </c>
      <c r="AC36" s="586">
        <f>-DATI!H61/2</f>
        <v>0</v>
      </c>
      <c r="AD36" s="586">
        <f>AD35</f>
        <v>0.34</v>
      </c>
      <c r="AH36" s="576">
        <f t="shared" si="7"/>
        <v>9</v>
      </c>
      <c r="AI36" s="532">
        <f>'Foglio deposito bis'!C162</f>
        <v>0.78774038461538476</v>
      </c>
      <c r="AJ36" s="556">
        <f>'Foglio deposito bis'!D162</f>
        <v>170.09981998802934</v>
      </c>
      <c r="AK36" s="556">
        <f>sezione!AI16</f>
        <v>300.00899038461517</v>
      </c>
      <c r="AL36" s="591">
        <f>IF(DATI!$G$218="sx",IF('Foglio deposito bis'!$F109&lt;=0,sezione!AJ16,sezione!AR16),IF('Foglio deposito bis'!$F109&lt;=0,sezione!AR16,sezione!AJ16))</f>
        <v>40</v>
      </c>
      <c r="AM36" s="591">
        <f>IF(DATI!$G$218="sx",IF('Foglio deposito bis'!$F109&lt;=0,sezione!AK16,sezione!AS16),IF('Foglio deposito bis'!$F109&lt;=0,sezione!AS16,sezione!AK16))</f>
        <v>150</v>
      </c>
      <c r="AN36" s="591">
        <f>IF(DATI!$G$218="sx",IF('Foglio deposito bis'!$F109&lt;=0,sezione!AL16,sezione!AT16),IF('Foglio deposito bis'!$F109&lt;=0,sezione!AT16,sezione!AL16))</f>
        <v>260</v>
      </c>
      <c r="AO36" s="591">
        <f>IF(DATI!$G$218="sx",IF('Foglio deposito bis'!$F109&lt;=0,sezione!AM16,sezione!AU16),IF('Foglio deposito bis'!$F109&lt;=0,sezione!AU16,sezione!AM16))</f>
        <v>340</v>
      </c>
      <c r="AP36" s="591">
        <f>IF(DATI!$G$218="sx",IF('Foglio deposito bis'!$F109&lt;=0,sezione!AN16,sezione!AV16),IF('Foglio deposito bis'!$F109&lt;=0,sezione!AV16,sezione!AN16))</f>
        <v>260.00899038461517</v>
      </c>
      <c r="AQ36" s="578" t="str">
        <f>IF(DATI!$C$69="muro a contrafforti",VLOOKUP(sezione!AG56,'SOLLECITAZ NASCOSTO'!$C$23:$M$468,3,TRUE)*1000,"")</f>
        <v/>
      </c>
    </row>
    <row r="37" spans="1:43" x14ac:dyDescent="0.25">
      <c r="A37" s="553">
        <f t="shared" si="2"/>
        <v>595222.94723788695</v>
      </c>
      <c r="B37" s="3">
        <f t="shared" si="4"/>
        <v>1.6000000000000008</v>
      </c>
      <c r="C37" s="553">
        <f>'Foglio deposito bis'!$E$153/$B$247*B37</f>
        <v>6.4952638700947309</v>
      </c>
      <c r="D37" s="611">
        <f>-'Progetto del paramento slu'!$G$47*'Progetto del paramento slu'!$G$41*IF(DATI!$G$218="dx",DATI!$E$61,DATI!$E$64*DATI!$E$63)*1000*C37^2*sezione!$AD$5*(1-sezione!$AD$6)</f>
        <v>-347295.33284821588</v>
      </c>
      <c r="E37" s="553">
        <f>-'Foglio deposito bis'!$F$48*(C37-sezione!$AL$27)*IF(ABS(K37)&lt;'Progetto del paramento slu'!$G$58,ABS(K37)*'Progetto del paramento slu'!$G$54,'Progetto del paramento slu'!$G$53)</f>
        <v>0</v>
      </c>
      <c r="F37" s="553">
        <f>-'Foglio deposito bis'!$F$49*(C37-sezione!$AM$27)*IF(ABS(L37)&lt;'Progetto del paramento slu'!$G$58,ABS(L37)*'Progetto del paramento slu'!$G$54,'Progetto del paramento slu'!$G$53)</f>
        <v>29402179.877025142</v>
      </c>
      <c r="G37" s="553">
        <f>-'Foglio deposito bis'!$F$50*(C37-sezione!$AN$27)*IF(ABS(M37)&lt;'Progetto del paramento slu'!$G$58,ABS(M37)*'Progetto del paramento slu'!$G$54,'Progetto del paramento slu'!$G$53)</f>
        <v>0</v>
      </c>
      <c r="H37" s="553">
        <f>-'Foglio deposito bis'!$F$51*(C37-sezione!$AO$27)*IF(ABS(N37)&lt;'Progetto del paramento slu'!$G$58,ABS(N37)*'Progetto del paramento slu'!$G$54,'Progetto del paramento slu'!$G$53)</f>
        <v>80356798.047431797</v>
      </c>
      <c r="I37" s="479">
        <f>-'Foglio deposito bis'!$F$52*(C37-sezione!$AP$27)*IF(ABS(O37)&lt;'Progetto del paramento slu'!$G$58,ABS(O37)*'Progetto del paramento slu'!$G$54,'Progetto del paramento slu'!$G$53)</f>
        <v>61081078.252884328</v>
      </c>
      <c r="J37" s="479">
        <f t="shared" si="0"/>
        <v>170492760.84449303</v>
      </c>
      <c r="K37" s="558">
        <f>'Progetto del paramento slu'!$G$60*(sezione!$AL$27-C37)/C37</f>
        <v>1.8054166666666639E-2</v>
      </c>
      <c r="L37" s="558">
        <f>'Progetto del paramento slu'!$G$60*(sezione!$AM$27-C37)/C37</f>
        <v>7.73281249999999E-2</v>
      </c>
      <c r="M37" s="559">
        <f>'Progetto del paramento slu'!$G$60*(sezione!$AN$27-C37)/C37</f>
        <v>0.13660208333333315</v>
      </c>
      <c r="N37" s="559">
        <f>'Progetto del paramento slu'!$G$60*(sezione!$AO$27-C37)/C37</f>
        <v>0.17971041666666643</v>
      </c>
      <c r="O37" s="559">
        <f>'Progetto del paramento slu'!$G$60*(sezione!$AP$27-C37)/C37</f>
        <v>0.13660208333333315</v>
      </c>
      <c r="P37" s="553">
        <f>-'Progetto del paramento slu'!$G$47*'Progetto del paramento slu'!$G$41*IF(DATI!$G$218="dx",DATI!$E$61,DATI!$E$64*DATI!$E$63)*1000*C37*sezione!$AD$5</f>
        <v>-91556.525033829617</v>
      </c>
      <c r="Q37" s="553">
        <f>'Foglio deposito bis'!$F$48*IF(ABS(K37)&lt;'Progetto del paramento slu'!$G$58,ABS(K37)*'Progetto del paramento slu'!$G$54,'Progetto del paramento slu'!$G$53)*IF(K37&lt;0,-1,1)</f>
        <v>0</v>
      </c>
      <c r="R37" s="553">
        <f>'Foglio deposito bis'!$F$49*IF(ABS(L37)&lt;'Progetto del paramento slu'!$G$58,ABS(L37)*'Progetto del paramento slu'!$G$54,'Progetto del paramento slu'!$G$53)*IF(L37&lt;0,-1,1)</f>
        <v>204886.47740803001</v>
      </c>
      <c r="S37" s="553">
        <f>'Foglio deposito bis'!$F$50*IF(ABS(M37)&lt;'Progetto del paramento slu'!$G$58,ABS(M37)*'Progetto del paramento slu'!$G$54,'Progetto del paramento slu'!$G$53)*IF(M37&lt;0,-1,1)</f>
        <v>0</v>
      </c>
      <c r="T37" s="553">
        <f>'Foglio deposito bis'!$F$51*IF(ABS(N37)&lt;'Progetto del paramento slu'!$G$58,ABS(N37)*'Progetto del paramento slu'!$G$54,'Progetto del paramento slu'!$G$53)*IF(N37&lt;0,-1,1)</f>
        <v>240946.49743184328</v>
      </c>
      <c r="U37" s="553">
        <f>'Foglio deposito bis'!$F$52*IF(ABS(O37)&lt;'Progetto del paramento slu'!$G$58,ABS(O37)*'Progetto del paramento slu'!$G$54,'Progetto del paramento slu'!$G$53)*IF(O37&lt;0,-1,1)</f>
        <v>240946.49743184328</v>
      </c>
      <c r="V37" s="479">
        <f t="shared" si="3"/>
        <v>595222.94723788695</v>
      </c>
      <c r="W37" s="559"/>
      <c r="X37" s="559"/>
      <c r="Z37" s="42"/>
      <c r="AA37" s="42"/>
      <c r="AC37" s="42"/>
      <c r="AD37" s="42"/>
      <c r="AH37" s="576">
        <f t="shared" si="7"/>
        <v>10</v>
      </c>
      <c r="AI37" s="532">
        <f>'Foglio deposito bis'!C163</f>
        <v>0.5</v>
      </c>
      <c r="AJ37" s="556">
        <f>'Foglio deposito bis'!D163</f>
        <v>170.1003924221919</v>
      </c>
      <c r="AK37" s="556">
        <f>sezione!AI17</f>
        <v>300.00999999999976</v>
      </c>
      <c r="AL37" s="591">
        <f>IF(DATI!$G$218="sx",IF('Foglio deposito bis'!$F110&lt;=0,sezione!AJ17,sezione!AR17),IF('Foglio deposito bis'!$F110&lt;=0,sezione!AR17,sezione!AJ17))</f>
        <v>40</v>
      </c>
      <c r="AM37" s="591">
        <f>IF(DATI!$G$218="sx",IF('Foglio deposito bis'!$F110&lt;=0,sezione!AK17,sezione!AS17),IF('Foglio deposito bis'!$F110&lt;=0,sezione!AS17,sezione!AK17))</f>
        <v>150</v>
      </c>
      <c r="AN37" s="591">
        <f>IF(DATI!$G$218="sx",IF('Foglio deposito bis'!$F110&lt;=0,sezione!AL17,sezione!AT17),IF('Foglio deposito bis'!$F110&lt;=0,sezione!AT17,sezione!AL17))</f>
        <v>260</v>
      </c>
      <c r="AO37" s="591">
        <f>IF(DATI!$G$218="sx",IF('Foglio deposito bis'!$F110&lt;=0,sezione!AM17,sezione!AU17),IF('Foglio deposito bis'!$F110&lt;=0,sezione!AU17,sezione!AM17))</f>
        <v>340</v>
      </c>
      <c r="AP37" s="591">
        <f>IF(DATI!$G$218="sx",IF('Foglio deposito bis'!$F110&lt;=0,sezione!AN17,sezione!AV17),IF('Foglio deposito bis'!$F110&lt;=0,sezione!AV17,sezione!AN17))</f>
        <v>260.00999999999976</v>
      </c>
      <c r="AQ37" s="578" t="str">
        <f>IF(DATI!$C$69="muro a contrafforti",VLOOKUP(sezione!AG57,'SOLLECITAZ NASCOSTO'!$C$23:$M$468,3,TRUE)*1000,"")</f>
        <v/>
      </c>
    </row>
    <row r="38" spans="1:43" x14ac:dyDescent="0.25">
      <c r="A38" s="553">
        <f t="shared" si="2"/>
        <v>592361.80583057983</v>
      </c>
      <c r="B38" s="3">
        <f t="shared" si="4"/>
        <v>1.6500000000000008</v>
      </c>
      <c r="C38" s="553">
        <f>'Foglio deposito bis'!$E$153/$B$247*B38</f>
        <v>6.6982408660351913</v>
      </c>
      <c r="D38" s="611">
        <f>-'Progetto del paramento slu'!$G$47*'Progetto del paramento slu'!$G$41*IF(DATI!$G$218="dx",DATI!$E$61,DATI!$E$64*DATI!$E$63)*1000*C38^2*sezione!$AD$5*(1-sezione!$AD$6)</f>
        <v>-369340.44674971403</v>
      </c>
      <c r="E38" s="553">
        <f>-'Foglio deposito bis'!$F$48*(C38-sezione!$AL$27)*IF(ABS(K38)&lt;'Progetto del paramento slu'!$G$58,ABS(K38)*'Progetto del paramento slu'!$G$54,'Progetto del paramento slu'!$G$53)</f>
        <v>0</v>
      </c>
      <c r="F38" s="553">
        <f>-'Foglio deposito bis'!$F$49*(C38-sezione!$AM$27)*IF(ABS(L38)&lt;'Progetto del paramento slu'!$G$58,ABS(L38)*'Progetto del paramento slu'!$G$54,'Progetto del paramento slu'!$G$53)</f>
        <v>29360592.63533204</v>
      </c>
      <c r="G38" s="553">
        <f>-'Foglio deposito bis'!$F$50*(C38-sezione!$AN$27)*IF(ABS(M38)&lt;'Progetto del paramento slu'!$G$58,ABS(M38)*'Progetto del paramento slu'!$G$54,'Progetto del paramento slu'!$G$53)</f>
        <v>0</v>
      </c>
      <c r="H38" s="553">
        <f>-'Foglio deposito bis'!$F$51*(C38-sezione!$AO$27)*IF(ABS(N38)&lt;'Progetto del paramento slu'!$G$58,ABS(N38)*'Progetto del paramento slu'!$G$54,'Progetto del paramento slu'!$G$53)</f>
        <v>80307891.451200709</v>
      </c>
      <c r="I38" s="479">
        <f>-'Foglio deposito bis'!$F$52*(C38-sezione!$AP$27)*IF(ABS(O38)&lt;'Progetto del paramento slu'!$G$58,ABS(O38)*'Progetto del paramento slu'!$G$54,'Progetto del paramento slu'!$G$53)</f>
        <v>61032171.65665324</v>
      </c>
      <c r="J38" s="479">
        <f t="shared" si="0"/>
        <v>170331315.29643628</v>
      </c>
      <c r="K38" s="558">
        <f>'Progetto del paramento slu'!$G$60*(sezione!$AL$27-C38)/C38</f>
        <v>1.7401010101010073E-2</v>
      </c>
      <c r="L38" s="558">
        <f>'Progetto del paramento slu'!$G$60*(sezione!$AM$27-C38)/C38</f>
        <v>7.4878787878787795E-2</v>
      </c>
      <c r="M38" s="559">
        <f>'Progetto del paramento slu'!$G$60*(sezione!$AN$27-C38)/C38</f>
        <v>0.13235656565656551</v>
      </c>
      <c r="N38" s="559">
        <f>'Progetto del paramento slu'!$G$60*(sezione!$AO$27-C38)/C38</f>
        <v>0.17415858585858565</v>
      </c>
      <c r="O38" s="559">
        <f>'Progetto del paramento slu'!$G$60*(sezione!$AP$27-C38)/C38</f>
        <v>0.13235656565656551</v>
      </c>
      <c r="P38" s="553">
        <f>-'Progetto del paramento slu'!$G$47*'Progetto del paramento slu'!$G$41*IF(DATI!$G$218="dx",DATI!$E$61,DATI!$E$64*DATI!$E$63)*1000*C38*sezione!$AD$5</f>
        <v>-94417.666441136796</v>
      </c>
      <c r="Q38" s="553">
        <f>'Foglio deposito bis'!$F$48*IF(ABS(K38)&lt;'Progetto del paramento slu'!$G$58,ABS(K38)*'Progetto del paramento slu'!$G$54,'Progetto del paramento slu'!$G$53)*IF(K38&lt;0,-1,1)</f>
        <v>0</v>
      </c>
      <c r="R38" s="553">
        <f>'Foglio deposito bis'!$F$49*IF(ABS(L38)&lt;'Progetto del paramento slu'!$G$58,ABS(L38)*'Progetto del paramento slu'!$G$54,'Progetto del paramento slu'!$G$53)*IF(L38&lt;0,-1,1)</f>
        <v>204886.47740803001</v>
      </c>
      <c r="S38" s="553">
        <f>'Foglio deposito bis'!$F$50*IF(ABS(M38)&lt;'Progetto del paramento slu'!$G$58,ABS(M38)*'Progetto del paramento slu'!$G$54,'Progetto del paramento slu'!$G$53)*IF(M38&lt;0,-1,1)</f>
        <v>0</v>
      </c>
      <c r="T38" s="553">
        <f>'Foglio deposito bis'!$F$51*IF(ABS(N38)&lt;'Progetto del paramento slu'!$G$58,ABS(N38)*'Progetto del paramento slu'!$G$54,'Progetto del paramento slu'!$G$53)*IF(N38&lt;0,-1,1)</f>
        <v>240946.49743184328</v>
      </c>
      <c r="U38" s="553">
        <f>'Foglio deposito bis'!$F$52*IF(ABS(O38)&lt;'Progetto del paramento slu'!$G$58,ABS(O38)*'Progetto del paramento slu'!$G$54,'Progetto del paramento slu'!$G$53)*IF(O38&lt;0,-1,1)</f>
        <v>240946.49743184328</v>
      </c>
      <c r="V38" s="479">
        <f t="shared" si="3"/>
        <v>592361.80583057983</v>
      </c>
      <c r="W38" s="559"/>
      <c r="X38" s="559"/>
      <c r="Z38" s="42"/>
      <c r="AA38" s="42"/>
      <c r="AC38" s="42"/>
      <c r="AD38" s="42"/>
    </row>
    <row r="39" spans="1:43" x14ac:dyDescent="0.25">
      <c r="A39" s="553">
        <f t="shared" si="2"/>
        <v>589500.6644232726</v>
      </c>
      <c r="B39" s="3">
        <f t="shared" si="4"/>
        <v>1.7000000000000008</v>
      </c>
      <c r="C39" s="553">
        <f>'Foglio deposito bis'!$E$153/$B$247*B39</f>
        <v>6.9012178619756517</v>
      </c>
      <c r="D39" s="611">
        <f>-'Progetto del paramento slu'!$G$47*'Progetto del paramento slu'!$G$41*IF(DATI!$G$218="dx",DATI!$E$61,DATI!$E$64*DATI!$E$63)*1000*C39^2*sezione!$AD$5*(1-sezione!$AD$6)</f>
        <v>-392063.87184818118</v>
      </c>
      <c r="E39" s="553">
        <f>-'Foglio deposito bis'!$F$48*(C39-sezione!$AL$27)*IF(ABS(K39)&lt;'Progetto del paramento slu'!$G$58,ABS(K39)*'Progetto del paramento slu'!$G$54,'Progetto del paramento slu'!$G$53)</f>
        <v>0</v>
      </c>
      <c r="F39" s="553">
        <f>-'Foglio deposito bis'!$F$49*(C39-sezione!$AM$27)*IF(ABS(L39)&lt;'Progetto del paramento slu'!$G$58,ABS(L39)*'Progetto del paramento slu'!$G$54,'Progetto del paramento slu'!$G$53)</f>
        <v>29319005.393638935</v>
      </c>
      <c r="G39" s="553">
        <f>-'Foglio deposito bis'!$F$50*(C39-sezione!$AN$27)*IF(ABS(M39)&lt;'Progetto del paramento slu'!$G$58,ABS(M39)*'Progetto del paramento slu'!$G$54,'Progetto del paramento slu'!$G$53)</f>
        <v>0</v>
      </c>
      <c r="H39" s="553">
        <f>-'Foglio deposito bis'!$F$51*(C39-sezione!$AO$27)*IF(ABS(N39)&lt;'Progetto del paramento slu'!$G$58,ABS(N39)*'Progetto del paramento slu'!$G$54,'Progetto del paramento slu'!$G$53)</f>
        <v>80258984.854969621</v>
      </c>
      <c r="I39" s="479">
        <f>-'Foglio deposito bis'!$F$52*(C39-sezione!$AP$27)*IF(ABS(O39)&lt;'Progetto del paramento slu'!$G$58,ABS(O39)*'Progetto del paramento slu'!$G$54,'Progetto del paramento slu'!$G$53)</f>
        <v>60983265.060422145</v>
      </c>
      <c r="J39" s="479">
        <f t="shared" si="0"/>
        <v>170169191.43718252</v>
      </c>
      <c r="K39" s="558">
        <f>'Progetto del paramento slu'!$G$60*(sezione!$AL$27-C39)/C39</f>
        <v>1.6786274509803894E-2</v>
      </c>
      <c r="L39" s="558">
        <f>'Progetto del paramento slu'!$G$60*(sezione!$AM$27-C39)/C39</f>
        <v>7.2573529411764606E-2</v>
      </c>
      <c r="M39" s="559">
        <f>'Progetto del paramento slu'!$G$60*(sezione!$AN$27-C39)/C39</f>
        <v>0.12836078431372533</v>
      </c>
      <c r="N39" s="559">
        <f>'Progetto del paramento slu'!$G$60*(sezione!$AO$27-C39)/C39</f>
        <v>0.16893333333333313</v>
      </c>
      <c r="O39" s="559">
        <f>'Progetto del paramento slu'!$G$60*(sezione!$AP$27-C39)/C39</f>
        <v>0.12836078431372533</v>
      </c>
      <c r="P39" s="553">
        <f>-'Progetto del paramento slu'!$G$47*'Progetto del paramento slu'!$G$41*IF(DATI!$G$218="dx",DATI!$E$61,DATI!$E$64*DATI!$E$63)*1000*C39*sezione!$AD$5</f>
        <v>-97278.807848443961</v>
      </c>
      <c r="Q39" s="553">
        <f>'Foglio deposito bis'!$F$48*IF(ABS(K39)&lt;'Progetto del paramento slu'!$G$58,ABS(K39)*'Progetto del paramento slu'!$G$54,'Progetto del paramento slu'!$G$53)*IF(K39&lt;0,-1,1)</f>
        <v>0</v>
      </c>
      <c r="R39" s="553">
        <f>'Foglio deposito bis'!$F$49*IF(ABS(L39)&lt;'Progetto del paramento slu'!$G$58,ABS(L39)*'Progetto del paramento slu'!$G$54,'Progetto del paramento slu'!$G$53)*IF(L39&lt;0,-1,1)</f>
        <v>204886.47740803001</v>
      </c>
      <c r="S39" s="553">
        <f>'Foglio deposito bis'!$F$50*IF(ABS(M39)&lt;'Progetto del paramento slu'!$G$58,ABS(M39)*'Progetto del paramento slu'!$G$54,'Progetto del paramento slu'!$G$53)*IF(M39&lt;0,-1,1)</f>
        <v>0</v>
      </c>
      <c r="T39" s="553">
        <f>'Foglio deposito bis'!$F$51*IF(ABS(N39)&lt;'Progetto del paramento slu'!$G$58,ABS(N39)*'Progetto del paramento slu'!$G$54,'Progetto del paramento slu'!$G$53)*IF(N39&lt;0,-1,1)</f>
        <v>240946.49743184328</v>
      </c>
      <c r="U39" s="553">
        <f>'Foglio deposito bis'!$F$52*IF(ABS(O39)&lt;'Progetto del paramento slu'!$G$58,ABS(O39)*'Progetto del paramento slu'!$G$54,'Progetto del paramento slu'!$G$53)*IF(O39&lt;0,-1,1)</f>
        <v>240946.49743184328</v>
      </c>
      <c r="V39" s="479">
        <f t="shared" si="3"/>
        <v>589500.6644232726</v>
      </c>
      <c r="W39" s="559"/>
      <c r="X39" s="559"/>
      <c r="Z39" s="1040" t="s">
        <v>972</v>
      </c>
      <c r="AA39" s="1040"/>
      <c r="AC39" s="1040" t="s">
        <v>972</v>
      </c>
      <c r="AD39" s="1040"/>
    </row>
    <row r="40" spans="1:43" x14ac:dyDescent="0.25">
      <c r="A40" s="553">
        <f t="shared" si="2"/>
        <v>586639.52301596547</v>
      </c>
      <c r="B40" s="3">
        <f t="shared" si="4"/>
        <v>1.7500000000000009</v>
      </c>
      <c r="C40" s="553">
        <f>'Foglio deposito bis'!$E$153/$B$247*B40</f>
        <v>7.104194857916112</v>
      </c>
      <c r="D40" s="611">
        <f>-'Progetto del paramento slu'!$G$47*'Progetto del paramento slu'!$G$41*IF(DATI!$G$218="dx",DATI!$E$61,DATI!$E$64*DATI!$E$63)*1000*C40^2*sezione!$AD$5*(1-sezione!$AD$6)</f>
        <v>-415465.60814361763</v>
      </c>
      <c r="E40" s="553">
        <f>-'Foglio deposito bis'!$F$48*(C40-sezione!$AL$27)*IF(ABS(K40)&lt;'Progetto del paramento slu'!$G$58,ABS(K40)*'Progetto del paramento slu'!$G$54,'Progetto del paramento slu'!$G$53)</f>
        <v>0</v>
      </c>
      <c r="F40" s="553">
        <f>-'Foglio deposito bis'!$F$49*(C40-sezione!$AM$27)*IF(ABS(L40)&lt;'Progetto del paramento slu'!$G$58,ABS(L40)*'Progetto del paramento slu'!$G$54,'Progetto del paramento slu'!$G$53)</f>
        <v>29277418.151945829</v>
      </c>
      <c r="G40" s="553">
        <f>-'Foglio deposito bis'!$F$50*(C40-sezione!$AN$27)*IF(ABS(M40)&lt;'Progetto del paramento slu'!$G$58,ABS(M40)*'Progetto del paramento slu'!$G$54,'Progetto del paramento slu'!$G$53)</f>
        <v>0</v>
      </c>
      <c r="H40" s="553">
        <f>-'Foglio deposito bis'!$F$51*(C40-sezione!$AO$27)*IF(ABS(N40)&lt;'Progetto del paramento slu'!$G$58,ABS(N40)*'Progetto del paramento slu'!$G$54,'Progetto del paramento slu'!$G$53)</f>
        <v>80210078.258738503</v>
      </c>
      <c r="I40" s="479">
        <f>-'Foglio deposito bis'!$F$52*(C40-sezione!$AP$27)*IF(ABS(O40)&lt;'Progetto del paramento slu'!$G$58,ABS(O40)*'Progetto del paramento slu'!$G$54,'Progetto del paramento slu'!$G$53)</f>
        <v>60934358.464191057</v>
      </c>
      <c r="J40" s="479">
        <f t="shared" si="0"/>
        <v>170006389.26673177</v>
      </c>
      <c r="K40" s="558">
        <f>'Progetto del paramento slu'!$G$60*(sezione!$AL$27-C40)/C40</f>
        <v>1.620666666666664E-2</v>
      </c>
      <c r="L40" s="558">
        <f>'Progetto del paramento slu'!$G$60*(sezione!$AM$27-C40)/C40</f>
        <v>7.0399999999999921E-2</v>
      </c>
      <c r="M40" s="559">
        <f>'Progetto del paramento slu'!$G$60*(sezione!$AN$27-C40)/C40</f>
        <v>0.12459333333333318</v>
      </c>
      <c r="N40" s="559">
        <f>'Progetto del paramento slu'!$G$60*(sezione!$AO$27-C40)/C40</f>
        <v>0.16400666666666647</v>
      </c>
      <c r="O40" s="559">
        <f>'Progetto del paramento slu'!$G$60*(sezione!$AP$27-C40)/C40</f>
        <v>0.12459333333333318</v>
      </c>
      <c r="P40" s="553">
        <f>-'Progetto del paramento slu'!$G$47*'Progetto del paramento slu'!$G$41*IF(DATI!$G$218="dx",DATI!$E$61,DATI!$E$64*DATI!$E$63)*1000*C40*sezione!$AD$5</f>
        <v>-100139.94925575114</v>
      </c>
      <c r="Q40" s="553">
        <f>'Foglio deposito bis'!$F$48*IF(ABS(K40)&lt;'Progetto del paramento slu'!$G$58,ABS(K40)*'Progetto del paramento slu'!$G$54,'Progetto del paramento slu'!$G$53)*IF(K40&lt;0,-1,1)</f>
        <v>0</v>
      </c>
      <c r="R40" s="553">
        <f>'Foglio deposito bis'!$F$49*IF(ABS(L40)&lt;'Progetto del paramento slu'!$G$58,ABS(L40)*'Progetto del paramento slu'!$G$54,'Progetto del paramento slu'!$G$53)*IF(L40&lt;0,-1,1)</f>
        <v>204886.47740803001</v>
      </c>
      <c r="S40" s="553">
        <f>'Foglio deposito bis'!$F$50*IF(ABS(M40)&lt;'Progetto del paramento slu'!$G$58,ABS(M40)*'Progetto del paramento slu'!$G$54,'Progetto del paramento slu'!$G$53)*IF(M40&lt;0,-1,1)</f>
        <v>0</v>
      </c>
      <c r="T40" s="553">
        <f>'Foglio deposito bis'!$F$51*IF(ABS(N40)&lt;'Progetto del paramento slu'!$G$58,ABS(N40)*'Progetto del paramento slu'!$G$54,'Progetto del paramento slu'!$G$53)*IF(N40&lt;0,-1,1)</f>
        <v>240946.49743184328</v>
      </c>
      <c r="U40" s="553">
        <f>'Foglio deposito bis'!$F$52*IF(ABS(O40)&lt;'Progetto del paramento slu'!$G$58,ABS(O40)*'Progetto del paramento slu'!$G$54,'Progetto del paramento slu'!$G$53)*IF(O40&lt;0,-1,1)</f>
        <v>240946.49743184328</v>
      </c>
      <c r="V40" s="479">
        <f t="shared" si="3"/>
        <v>586639.52301596547</v>
      </c>
      <c r="W40" s="559"/>
      <c r="X40" s="559"/>
      <c r="Z40" s="491">
        <f>DATI!E61/2*1.2</f>
        <v>0.6</v>
      </c>
      <c r="AA40" s="491">
        <f>sezione!AV17/1000</f>
        <v>0.26000999999999974</v>
      </c>
      <c r="AC40" s="586">
        <f>Z40</f>
        <v>0.6</v>
      </c>
      <c r="AD40" s="586">
        <f>sezione!AV7/1000</f>
        <v>0.26</v>
      </c>
    </row>
    <row r="41" spans="1:43" x14ac:dyDescent="0.25">
      <c r="A41" s="553">
        <f t="shared" si="2"/>
        <v>583778.38160865824</v>
      </c>
      <c r="B41" s="3">
        <f t="shared" si="4"/>
        <v>1.8000000000000009</v>
      </c>
      <c r="C41" s="553">
        <f>'Foglio deposito bis'!$E$153/$B$247*B41</f>
        <v>7.3071718538565724</v>
      </c>
      <c r="D41" s="611">
        <f>-'Progetto del paramento slu'!$G$47*'Progetto del paramento slu'!$G$41*IF(DATI!$G$218="dx",DATI!$E$61,DATI!$E$64*DATI!$E$63)*1000*C41^2*sezione!$AD$5*(1-sezione!$AD$6)</f>
        <v>-439545.65563602326</v>
      </c>
      <c r="E41" s="553">
        <f>-'Foglio deposito bis'!$F$48*(C41-sezione!$AL$27)*IF(ABS(K41)&lt;'Progetto del paramento slu'!$G$58,ABS(K41)*'Progetto del paramento slu'!$G$54,'Progetto del paramento slu'!$G$53)</f>
        <v>0</v>
      </c>
      <c r="F41" s="553">
        <f>-'Foglio deposito bis'!$F$49*(C41-sezione!$AM$27)*IF(ABS(L41)&lt;'Progetto del paramento slu'!$G$58,ABS(L41)*'Progetto del paramento slu'!$G$54,'Progetto del paramento slu'!$G$53)</f>
        <v>29235830.910252724</v>
      </c>
      <c r="G41" s="553">
        <f>-'Foglio deposito bis'!$F$50*(C41-sezione!$AN$27)*IF(ABS(M41)&lt;'Progetto del paramento slu'!$G$58,ABS(M41)*'Progetto del paramento slu'!$G$54,'Progetto del paramento slu'!$G$53)</f>
        <v>0</v>
      </c>
      <c r="H41" s="553">
        <f>-'Foglio deposito bis'!$F$51*(C41-sezione!$AO$27)*IF(ABS(N41)&lt;'Progetto del paramento slu'!$G$58,ABS(N41)*'Progetto del paramento slu'!$G$54,'Progetto del paramento slu'!$G$53)</f>
        <v>80161171.662507415</v>
      </c>
      <c r="I41" s="479">
        <f>-'Foglio deposito bis'!$F$52*(C41-sezione!$AP$27)*IF(ABS(O41)&lt;'Progetto del paramento slu'!$G$58,ABS(O41)*'Progetto del paramento slu'!$G$54,'Progetto del paramento slu'!$G$53)</f>
        <v>60885451.867959954</v>
      </c>
      <c r="J41" s="479">
        <f t="shared" si="0"/>
        <v>169842908.78508407</v>
      </c>
      <c r="K41" s="558">
        <f>'Progetto del paramento slu'!$G$60*(sezione!$AL$27-C41)/C41</f>
        <v>1.5659259259259234E-2</v>
      </c>
      <c r="L41" s="558">
        <f>'Progetto del paramento slu'!$G$60*(sezione!$AM$27-C41)/C41</f>
        <v>6.8347222222222129E-2</v>
      </c>
      <c r="M41" s="559">
        <f>'Progetto del paramento slu'!$G$60*(sezione!$AN$27-C41)/C41</f>
        <v>0.12103518518518502</v>
      </c>
      <c r="N41" s="559">
        <f>'Progetto del paramento slu'!$G$60*(sezione!$AO$27-C41)/C41</f>
        <v>0.1593537037037035</v>
      </c>
      <c r="O41" s="559">
        <f>'Progetto del paramento slu'!$G$60*(sezione!$AP$27-C41)/C41</f>
        <v>0.12103518518518502</v>
      </c>
      <c r="P41" s="553">
        <f>-'Progetto del paramento slu'!$G$47*'Progetto del paramento slu'!$G$41*IF(DATI!$G$218="dx",DATI!$E$61,DATI!$E$64*DATI!$E$63)*1000*C41*sezione!$AD$5</f>
        <v>-103001.09066305832</v>
      </c>
      <c r="Q41" s="553">
        <f>'Foglio deposito bis'!$F$48*IF(ABS(K41)&lt;'Progetto del paramento slu'!$G$58,ABS(K41)*'Progetto del paramento slu'!$G$54,'Progetto del paramento slu'!$G$53)*IF(K41&lt;0,-1,1)</f>
        <v>0</v>
      </c>
      <c r="R41" s="553">
        <f>'Foglio deposito bis'!$F$49*IF(ABS(L41)&lt;'Progetto del paramento slu'!$G$58,ABS(L41)*'Progetto del paramento slu'!$G$54,'Progetto del paramento slu'!$G$53)*IF(L41&lt;0,-1,1)</f>
        <v>204886.47740803001</v>
      </c>
      <c r="S41" s="553">
        <f>'Foglio deposito bis'!$F$50*IF(ABS(M41)&lt;'Progetto del paramento slu'!$G$58,ABS(M41)*'Progetto del paramento slu'!$G$54,'Progetto del paramento slu'!$G$53)*IF(M41&lt;0,-1,1)</f>
        <v>0</v>
      </c>
      <c r="T41" s="553">
        <f>'Foglio deposito bis'!$F$51*IF(ABS(N41)&lt;'Progetto del paramento slu'!$G$58,ABS(N41)*'Progetto del paramento slu'!$G$54,'Progetto del paramento slu'!$G$53)*IF(N41&lt;0,-1,1)</f>
        <v>240946.49743184328</v>
      </c>
      <c r="U41" s="553">
        <f>'Foglio deposito bis'!$F$52*IF(ABS(O41)&lt;'Progetto del paramento slu'!$G$58,ABS(O41)*'Progetto del paramento slu'!$G$54,'Progetto del paramento slu'!$G$53)*IF(O41&lt;0,-1,1)</f>
        <v>240946.49743184328</v>
      </c>
      <c r="V41" s="479">
        <f t="shared" si="3"/>
        <v>583778.38160865824</v>
      </c>
      <c r="W41" s="559"/>
      <c r="X41" s="559"/>
      <c r="Z41" s="491">
        <f>-DATI!E61/2</f>
        <v>-0.5</v>
      </c>
      <c r="AA41" s="491">
        <f>AA40</f>
        <v>0.26000999999999974</v>
      </c>
      <c r="AC41" s="586">
        <f>-DATI!H61/2</f>
        <v>0</v>
      </c>
      <c r="AD41" s="586">
        <f>AD40</f>
        <v>0.26</v>
      </c>
    </row>
    <row r="42" spans="1:43" x14ac:dyDescent="0.25">
      <c r="A42" s="553">
        <f t="shared" si="2"/>
        <v>580917.24020135112</v>
      </c>
      <c r="B42" s="3">
        <f t="shared" si="4"/>
        <v>1.850000000000001</v>
      </c>
      <c r="C42" s="553">
        <f>'Foglio deposito bis'!$E$153/$B$247*B42</f>
        <v>7.5101488497970328</v>
      </c>
      <c r="D42" s="611">
        <f>-'Progetto del paramento slu'!$G$47*'Progetto del paramento slu'!$G$41*IF(DATI!$G$218="dx",DATI!$E$61,DATI!$E$64*DATI!$E$63)*1000*C42^2*sezione!$AD$5*(1-sezione!$AD$6)</f>
        <v>-464304.01432539802</v>
      </c>
      <c r="E42" s="553">
        <f>-'Foglio deposito bis'!$F$48*(C42-sezione!$AL$27)*IF(ABS(K42)&lt;'Progetto del paramento slu'!$G$58,ABS(K42)*'Progetto del paramento slu'!$G$54,'Progetto del paramento slu'!$G$53)</f>
        <v>0</v>
      </c>
      <c r="F42" s="553">
        <f>-'Foglio deposito bis'!$F$49*(C42-sezione!$AM$27)*IF(ABS(L42)&lt;'Progetto del paramento slu'!$G$58,ABS(L42)*'Progetto del paramento slu'!$G$54,'Progetto del paramento slu'!$G$53)</f>
        <v>29194243.668559618</v>
      </c>
      <c r="G42" s="553">
        <f>-'Foglio deposito bis'!$F$50*(C42-sezione!$AN$27)*IF(ABS(M42)&lt;'Progetto del paramento slu'!$G$58,ABS(M42)*'Progetto del paramento slu'!$G$54,'Progetto del paramento slu'!$G$53)</f>
        <v>0</v>
      </c>
      <c r="H42" s="553">
        <f>-'Foglio deposito bis'!$F$51*(C42-sezione!$AO$27)*IF(ABS(N42)&lt;'Progetto del paramento slu'!$G$58,ABS(N42)*'Progetto del paramento slu'!$G$54,'Progetto del paramento slu'!$G$53)</f>
        <v>80112265.066276327</v>
      </c>
      <c r="I42" s="479">
        <f>-'Foglio deposito bis'!$F$52*(C42-sezione!$AP$27)*IF(ABS(O42)&lt;'Progetto del paramento slu'!$G$58,ABS(O42)*'Progetto del paramento slu'!$G$54,'Progetto del paramento slu'!$G$53)</f>
        <v>60836545.271728873</v>
      </c>
      <c r="J42" s="479">
        <f t="shared" si="0"/>
        <v>169678749.99223942</v>
      </c>
      <c r="K42" s="558">
        <f>'Progetto del paramento slu'!$G$60*(sezione!$AL$27-C42)/C42</f>
        <v>1.5141441441441417E-2</v>
      </c>
      <c r="L42" s="558">
        <f>'Progetto del paramento slu'!$G$60*(sezione!$AM$27-C42)/C42</f>
        <v>6.6405405405405321E-2</v>
      </c>
      <c r="M42" s="559">
        <f>'Progetto del paramento slu'!$G$60*(sezione!$AN$27-C42)/C42</f>
        <v>0.11766936936936921</v>
      </c>
      <c r="N42" s="559">
        <f>'Progetto del paramento slu'!$G$60*(sezione!$AO$27-C42)/C42</f>
        <v>0.15495225225225204</v>
      </c>
      <c r="O42" s="559">
        <f>'Progetto del paramento slu'!$G$60*(sezione!$AP$27-C42)/C42</f>
        <v>0.11766936936936921</v>
      </c>
      <c r="P42" s="553">
        <f>-'Progetto del paramento slu'!$G$47*'Progetto del paramento slu'!$G$41*IF(DATI!$G$218="dx",DATI!$E$61,DATI!$E$64*DATI!$E$63)*1000*C42*sezione!$AD$5</f>
        <v>-105862.2320703655</v>
      </c>
      <c r="Q42" s="553">
        <f>'Foglio deposito bis'!$F$48*IF(ABS(K42)&lt;'Progetto del paramento slu'!$G$58,ABS(K42)*'Progetto del paramento slu'!$G$54,'Progetto del paramento slu'!$G$53)*IF(K42&lt;0,-1,1)</f>
        <v>0</v>
      </c>
      <c r="R42" s="553">
        <f>'Foglio deposito bis'!$F$49*IF(ABS(L42)&lt;'Progetto del paramento slu'!$G$58,ABS(L42)*'Progetto del paramento slu'!$G$54,'Progetto del paramento slu'!$G$53)*IF(L42&lt;0,-1,1)</f>
        <v>204886.47740803001</v>
      </c>
      <c r="S42" s="553">
        <f>'Foglio deposito bis'!$F$50*IF(ABS(M42)&lt;'Progetto del paramento slu'!$G$58,ABS(M42)*'Progetto del paramento slu'!$G$54,'Progetto del paramento slu'!$G$53)*IF(M42&lt;0,-1,1)</f>
        <v>0</v>
      </c>
      <c r="T42" s="553">
        <f>'Foglio deposito bis'!$F$51*IF(ABS(N42)&lt;'Progetto del paramento slu'!$G$58,ABS(N42)*'Progetto del paramento slu'!$G$54,'Progetto del paramento slu'!$G$53)*IF(N42&lt;0,-1,1)</f>
        <v>240946.49743184328</v>
      </c>
      <c r="U42" s="553">
        <f>'Foglio deposito bis'!$F$52*IF(ABS(O42)&lt;'Progetto del paramento slu'!$G$58,ABS(O42)*'Progetto del paramento slu'!$G$54,'Progetto del paramento slu'!$G$53)*IF(O42&lt;0,-1,1)</f>
        <v>240946.49743184328</v>
      </c>
      <c r="V42" s="479">
        <f t="shared" si="3"/>
        <v>580917.24020135112</v>
      </c>
      <c r="W42" s="559"/>
      <c r="X42" s="559"/>
    </row>
    <row r="43" spans="1:43" x14ac:dyDescent="0.25">
      <c r="A43" s="553">
        <f t="shared" si="2"/>
        <v>578056.09879404388</v>
      </c>
      <c r="B43" s="3">
        <f t="shared" si="4"/>
        <v>1.900000000000001</v>
      </c>
      <c r="C43" s="553">
        <f>'Foglio deposito bis'!$E$153/$B$247*B43</f>
        <v>7.7131258457374932</v>
      </c>
      <c r="D43" s="611">
        <f>-'Progetto del paramento slu'!$G$47*'Progetto del paramento slu'!$G$41*IF(DATI!$G$218="dx",DATI!$E$61,DATI!$E$64*DATI!$E$63)*1000*C43^2*sezione!$AD$5*(1-sezione!$AD$6)</f>
        <v>-489740.68421174202</v>
      </c>
      <c r="E43" s="553">
        <f>-'Foglio deposito bis'!$F$48*(C43-sezione!$AL$27)*IF(ABS(K43)&lt;'Progetto del paramento slu'!$G$58,ABS(K43)*'Progetto del paramento slu'!$G$54,'Progetto del paramento slu'!$G$53)</f>
        <v>0</v>
      </c>
      <c r="F43" s="553">
        <f>-'Foglio deposito bis'!$F$49*(C43-sezione!$AM$27)*IF(ABS(L43)&lt;'Progetto del paramento slu'!$G$58,ABS(L43)*'Progetto del paramento slu'!$G$54,'Progetto del paramento slu'!$G$53)</f>
        <v>29152656.426866513</v>
      </c>
      <c r="G43" s="553">
        <f>-'Foglio deposito bis'!$F$50*(C43-sezione!$AN$27)*IF(ABS(M43)&lt;'Progetto del paramento slu'!$G$58,ABS(M43)*'Progetto del paramento slu'!$G$54,'Progetto del paramento slu'!$G$53)</f>
        <v>0</v>
      </c>
      <c r="H43" s="553">
        <f>-'Foglio deposito bis'!$F$51*(C43-sezione!$AO$27)*IF(ABS(N43)&lt;'Progetto del paramento slu'!$G$58,ABS(N43)*'Progetto del paramento slu'!$G$54,'Progetto del paramento slu'!$G$53)</f>
        <v>80063358.470045239</v>
      </c>
      <c r="I43" s="479">
        <f>-'Foglio deposito bis'!$F$52*(C43-sezione!$AP$27)*IF(ABS(O43)&lt;'Progetto del paramento slu'!$G$58,ABS(O43)*'Progetto del paramento slu'!$G$54,'Progetto del paramento slu'!$G$53)</f>
        <v>60787638.675497785</v>
      </c>
      <c r="J43" s="479">
        <f t="shared" si="0"/>
        <v>169513912.88819778</v>
      </c>
      <c r="K43" s="558">
        <f>'Progetto del paramento slu'!$G$60*(sezione!$AL$27-C43)/C43</f>
        <v>1.4650877192982432E-2</v>
      </c>
      <c r="L43" s="558">
        <f>'Progetto del paramento slu'!$G$60*(sezione!$AM$27-C43)/C43</f>
        <v>6.4565789473684118E-2</v>
      </c>
      <c r="M43" s="559">
        <f>'Progetto del paramento slu'!$G$60*(sezione!$AN$27-C43)/C43</f>
        <v>0.11448070175438581</v>
      </c>
      <c r="N43" s="559">
        <f>'Progetto del paramento slu'!$G$60*(sezione!$AO$27-C43)/C43</f>
        <v>0.15078245614035068</v>
      </c>
      <c r="O43" s="559">
        <f>'Progetto del paramento slu'!$G$60*(sezione!$AP$27-C43)/C43</f>
        <v>0.11448070175438581</v>
      </c>
      <c r="P43" s="553">
        <f>-'Progetto del paramento slu'!$G$47*'Progetto del paramento slu'!$G$41*IF(DATI!$G$218="dx",DATI!$E$61,DATI!$E$64*DATI!$E$63)*1000*C43*sezione!$AD$5</f>
        <v>-108723.37347767266</v>
      </c>
      <c r="Q43" s="553">
        <f>'Foglio deposito bis'!$F$48*IF(ABS(K43)&lt;'Progetto del paramento slu'!$G$58,ABS(K43)*'Progetto del paramento slu'!$G$54,'Progetto del paramento slu'!$G$53)*IF(K43&lt;0,-1,1)</f>
        <v>0</v>
      </c>
      <c r="R43" s="553">
        <f>'Foglio deposito bis'!$F$49*IF(ABS(L43)&lt;'Progetto del paramento slu'!$G$58,ABS(L43)*'Progetto del paramento slu'!$G$54,'Progetto del paramento slu'!$G$53)*IF(L43&lt;0,-1,1)</f>
        <v>204886.47740803001</v>
      </c>
      <c r="S43" s="553">
        <f>'Foglio deposito bis'!$F$50*IF(ABS(M43)&lt;'Progetto del paramento slu'!$G$58,ABS(M43)*'Progetto del paramento slu'!$G$54,'Progetto del paramento slu'!$G$53)*IF(M43&lt;0,-1,1)</f>
        <v>0</v>
      </c>
      <c r="T43" s="553">
        <f>'Foglio deposito bis'!$F$51*IF(ABS(N43)&lt;'Progetto del paramento slu'!$G$58,ABS(N43)*'Progetto del paramento slu'!$G$54,'Progetto del paramento slu'!$G$53)*IF(N43&lt;0,-1,1)</f>
        <v>240946.49743184328</v>
      </c>
      <c r="U43" s="553">
        <f>'Foglio deposito bis'!$F$52*IF(ABS(O43)&lt;'Progetto del paramento slu'!$G$58,ABS(O43)*'Progetto del paramento slu'!$G$54,'Progetto del paramento slu'!$G$53)*IF(O43&lt;0,-1,1)</f>
        <v>240946.49743184328</v>
      </c>
      <c r="V43" s="479">
        <f t="shared" si="3"/>
        <v>578056.09879404388</v>
      </c>
      <c r="W43" s="559"/>
      <c r="X43" s="559"/>
    </row>
    <row r="44" spans="1:43" x14ac:dyDescent="0.25">
      <c r="A44" s="553">
        <f t="shared" si="2"/>
        <v>575194.95738673676</v>
      </c>
      <c r="B44" s="3">
        <f t="shared" si="4"/>
        <v>1.9500000000000011</v>
      </c>
      <c r="C44" s="553">
        <f>'Foglio deposito bis'!$E$153/$B$247*B44</f>
        <v>7.9161028416779535</v>
      </c>
      <c r="D44" s="611">
        <f>-'Progetto del paramento slu'!$G$47*'Progetto del paramento slu'!$G$41*IF(DATI!$G$218="dx",DATI!$E$61,DATI!$E$64*DATI!$E$63)*1000*C44^2*sezione!$AD$5*(1-sezione!$AD$6)</f>
        <v>-515855.66529505514</v>
      </c>
      <c r="E44" s="553">
        <f>-'Foglio deposito bis'!$F$48*(C44-sezione!$AL$27)*IF(ABS(K44)&lt;'Progetto del paramento slu'!$G$58,ABS(K44)*'Progetto del paramento slu'!$G$54,'Progetto del paramento slu'!$G$53)</f>
        <v>0</v>
      </c>
      <c r="F44" s="553">
        <f>-'Foglio deposito bis'!$F$49*(C44-sezione!$AM$27)*IF(ABS(L44)&lt;'Progetto del paramento slu'!$G$58,ABS(L44)*'Progetto del paramento slu'!$G$54,'Progetto del paramento slu'!$G$53)</f>
        <v>29111069.185173415</v>
      </c>
      <c r="G44" s="553">
        <f>-'Foglio deposito bis'!$F$50*(C44-sezione!$AN$27)*IF(ABS(M44)&lt;'Progetto del paramento slu'!$G$58,ABS(M44)*'Progetto del paramento slu'!$G$54,'Progetto del paramento slu'!$G$53)</f>
        <v>0</v>
      </c>
      <c r="H44" s="553">
        <f>-'Foglio deposito bis'!$F$51*(C44-sezione!$AO$27)*IF(ABS(N44)&lt;'Progetto del paramento slu'!$G$58,ABS(N44)*'Progetto del paramento slu'!$G$54,'Progetto del paramento slu'!$G$53)</f>
        <v>80014451.873814151</v>
      </c>
      <c r="I44" s="479">
        <f>-'Foglio deposito bis'!$F$52*(C44-sezione!$AP$27)*IF(ABS(O44)&lt;'Progetto del paramento slu'!$G$58,ABS(O44)*'Progetto del paramento slu'!$G$54,'Progetto del paramento slu'!$G$53)</f>
        <v>60738732.079266682</v>
      </c>
      <c r="J44" s="479">
        <f t="shared" si="0"/>
        <v>169348397.47295919</v>
      </c>
      <c r="K44" s="558">
        <f>'Progetto del paramento slu'!$G$60*(sezione!$AL$27-C44)/C44</f>
        <v>1.4185470085470062E-2</v>
      </c>
      <c r="L44" s="558">
        <f>'Progetto del paramento slu'!$G$60*(sezione!$AM$27-C44)/C44</f>
        <v>6.282051282051275E-2</v>
      </c>
      <c r="M44" s="559">
        <f>'Progetto del paramento slu'!$G$60*(sezione!$AN$27-C44)/C44</f>
        <v>0.11145555555555542</v>
      </c>
      <c r="N44" s="559">
        <f>'Progetto del paramento slu'!$G$60*(sezione!$AO$27-C44)/C44</f>
        <v>0.1468264957264955</v>
      </c>
      <c r="O44" s="559">
        <f>'Progetto del paramento slu'!$G$60*(sezione!$AP$27-C44)/C44</f>
        <v>0.11145555555555542</v>
      </c>
      <c r="P44" s="553">
        <f>-'Progetto del paramento slu'!$G$47*'Progetto del paramento slu'!$G$41*IF(DATI!$G$218="dx",DATI!$E$61,DATI!$E$64*DATI!$E$63)*1000*C44*sezione!$AD$5</f>
        <v>-111584.51488497984</v>
      </c>
      <c r="Q44" s="553">
        <f>'Foglio deposito bis'!$F$48*IF(ABS(K44)&lt;'Progetto del paramento slu'!$G$58,ABS(K44)*'Progetto del paramento slu'!$G$54,'Progetto del paramento slu'!$G$53)*IF(K44&lt;0,-1,1)</f>
        <v>0</v>
      </c>
      <c r="R44" s="553">
        <f>'Foglio deposito bis'!$F$49*IF(ABS(L44)&lt;'Progetto del paramento slu'!$G$58,ABS(L44)*'Progetto del paramento slu'!$G$54,'Progetto del paramento slu'!$G$53)*IF(L44&lt;0,-1,1)</f>
        <v>204886.47740803001</v>
      </c>
      <c r="S44" s="553">
        <f>'Foglio deposito bis'!$F$50*IF(ABS(M44)&lt;'Progetto del paramento slu'!$G$58,ABS(M44)*'Progetto del paramento slu'!$G$54,'Progetto del paramento slu'!$G$53)*IF(M44&lt;0,-1,1)</f>
        <v>0</v>
      </c>
      <c r="T44" s="553">
        <f>'Foglio deposito bis'!$F$51*IF(ABS(N44)&lt;'Progetto del paramento slu'!$G$58,ABS(N44)*'Progetto del paramento slu'!$G$54,'Progetto del paramento slu'!$G$53)*IF(N44&lt;0,-1,1)</f>
        <v>240946.49743184328</v>
      </c>
      <c r="U44" s="553">
        <f>'Foglio deposito bis'!$F$52*IF(ABS(O44)&lt;'Progetto del paramento slu'!$G$58,ABS(O44)*'Progetto del paramento slu'!$G$54,'Progetto del paramento slu'!$G$53)*IF(O44&lt;0,-1,1)</f>
        <v>240946.49743184328</v>
      </c>
      <c r="V44" s="479">
        <f t="shared" si="3"/>
        <v>575194.95738673676</v>
      </c>
      <c r="W44" s="559"/>
      <c r="X44" s="559"/>
    </row>
    <row r="45" spans="1:43" x14ac:dyDescent="0.25">
      <c r="A45" s="553">
        <f t="shared" si="2"/>
        <v>572333.81597942952</v>
      </c>
      <c r="B45" s="3">
        <f t="shared" si="4"/>
        <v>2.0000000000000009</v>
      </c>
      <c r="C45" s="553">
        <f>'Foglio deposito bis'!$E$153/$B$247*B45</f>
        <v>8.119079837618413</v>
      </c>
      <c r="D45" s="611">
        <f>-'Progetto del paramento slu'!$G$47*'Progetto del paramento slu'!$G$41*IF(DATI!$G$218="dx",DATI!$E$61,DATI!$E$64*DATI!$E$63)*1000*C45^2*sezione!$AD$5*(1-sezione!$AD$6)</f>
        <v>-542648.95757533738</v>
      </c>
      <c r="E45" s="553">
        <f>-'Foglio deposito bis'!$F$48*(C45-sezione!$AL$27)*IF(ABS(K45)&lt;'Progetto del paramento slu'!$G$58,ABS(K45)*'Progetto del paramento slu'!$G$54,'Progetto del paramento slu'!$G$53)</f>
        <v>0</v>
      </c>
      <c r="F45" s="553">
        <f>-'Foglio deposito bis'!$F$49*(C45-sezione!$AM$27)*IF(ABS(L45)&lt;'Progetto del paramento slu'!$G$58,ABS(L45)*'Progetto del paramento slu'!$G$54,'Progetto del paramento slu'!$G$53)</f>
        <v>29069481.943480305</v>
      </c>
      <c r="G45" s="553">
        <f>-'Foglio deposito bis'!$F$50*(C45-sezione!$AN$27)*IF(ABS(M45)&lt;'Progetto del paramento slu'!$G$58,ABS(M45)*'Progetto del paramento slu'!$G$54,'Progetto del paramento slu'!$G$53)</f>
        <v>0</v>
      </c>
      <c r="H45" s="553">
        <f>-'Foglio deposito bis'!$F$51*(C45-sezione!$AO$27)*IF(ABS(N45)&lt;'Progetto del paramento slu'!$G$58,ABS(N45)*'Progetto del paramento slu'!$G$54,'Progetto del paramento slu'!$G$53)</f>
        <v>79965545.277583063</v>
      </c>
      <c r="I45" s="479">
        <f>-'Foglio deposito bis'!$F$52*(C45-sezione!$AP$27)*IF(ABS(O45)&lt;'Progetto del paramento slu'!$G$58,ABS(O45)*'Progetto del paramento slu'!$G$54,'Progetto del paramento slu'!$G$53)</f>
        <v>60689825.483035594</v>
      </c>
      <c r="J45" s="479">
        <f t="shared" si="0"/>
        <v>169182203.74652362</v>
      </c>
      <c r="K45" s="558">
        <f>'Progetto del paramento slu'!$G$60*(sezione!$AL$27-C45)/C45</f>
        <v>1.3743333333333312E-2</v>
      </c>
      <c r="L45" s="558">
        <f>'Progetto del paramento slu'!$G$60*(sezione!$AM$27-C45)/C45</f>
        <v>6.1162499999999918E-2</v>
      </c>
      <c r="M45" s="559">
        <f>'Progetto del paramento slu'!$G$60*(sezione!$AN$27-C45)/C45</f>
        <v>0.10858166666666653</v>
      </c>
      <c r="N45" s="559">
        <f>'Progetto del paramento slu'!$G$60*(sezione!$AO$27-C45)/C45</f>
        <v>0.14306833333333316</v>
      </c>
      <c r="O45" s="559">
        <f>'Progetto del paramento slu'!$G$60*(sezione!$AP$27-C45)/C45</f>
        <v>0.10858166666666653</v>
      </c>
      <c r="P45" s="553">
        <f>-'Progetto del paramento slu'!$G$47*'Progetto del paramento slu'!$G$41*IF(DATI!$G$218="dx",DATI!$E$61,DATI!$E$64*DATI!$E$63)*1000*C45*sezione!$AD$5</f>
        <v>-114445.65629228702</v>
      </c>
      <c r="Q45" s="553">
        <f>'Foglio deposito bis'!$F$48*IF(ABS(K45)&lt;'Progetto del paramento slu'!$G$58,ABS(K45)*'Progetto del paramento slu'!$G$54,'Progetto del paramento slu'!$G$53)*IF(K45&lt;0,-1,1)</f>
        <v>0</v>
      </c>
      <c r="R45" s="553">
        <f>'Foglio deposito bis'!$F$49*IF(ABS(L45)&lt;'Progetto del paramento slu'!$G$58,ABS(L45)*'Progetto del paramento slu'!$G$54,'Progetto del paramento slu'!$G$53)*IF(L45&lt;0,-1,1)</f>
        <v>204886.47740803001</v>
      </c>
      <c r="S45" s="553">
        <f>'Foglio deposito bis'!$F$50*IF(ABS(M45)&lt;'Progetto del paramento slu'!$G$58,ABS(M45)*'Progetto del paramento slu'!$G$54,'Progetto del paramento slu'!$G$53)*IF(M45&lt;0,-1,1)</f>
        <v>0</v>
      </c>
      <c r="T45" s="553">
        <f>'Foglio deposito bis'!$F$51*IF(ABS(N45)&lt;'Progetto del paramento slu'!$G$58,ABS(N45)*'Progetto del paramento slu'!$G$54,'Progetto del paramento slu'!$G$53)*IF(N45&lt;0,-1,1)</f>
        <v>240946.49743184328</v>
      </c>
      <c r="U45" s="553">
        <f>'Foglio deposito bis'!$F$52*IF(ABS(O45)&lt;'Progetto del paramento slu'!$G$58,ABS(O45)*'Progetto del paramento slu'!$G$54,'Progetto del paramento slu'!$G$53)*IF(O45&lt;0,-1,1)</f>
        <v>240946.49743184328</v>
      </c>
      <c r="V45" s="479">
        <f t="shared" si="3"/>
        <v>572333.81597942952</v>
      </c>
      <c r="W45" s="559"/>
      <c r="X45" s="559"/>
      <c r="Z45" s="965" t="s">
        <v>931</v>
      </c>
      <c r="AA45" s="965" t="s">
        <v>930</v>
      </c>
      <c r="AB45" s="978" t="s">
        <v>1013</v>
      </c>
      <c r="AC45" s="978"/>
      <c r="AD45" s="978"/>
      <c r="AG45" s="1046" t="s">
        <v>22</v>
      </c>
    </row>
    <row r="46" spans="1:43" x14ac:dyDescent="0.25">
      <c r="A46" s="553">
        <f t="shared" si="2"/>
        <v>569472.6745721224</v>
      </c>
      <c r="B46" s="3">
        <f t="shared" si="4"/>
        <v>2.0500000000000007</v>
      </c>
      <c r="C46" s="553">
        <f>'Foglio deposito bis'!$E$153/$B$247*B46</f>
        <v>8.3220568335588734</v>
      </c>
      <c r="D46" s="611">
        <f>-'Progetto del paramento slu'!$G$47*'Progetto del paramento slu'!$G$41*IF(DATI!$G$218="dx",DATI!$E$61,DATI!$E$64*DATI!$E$63)*1000*C46^2*sezione!$AD$5*(1-sezione!$AD$6)</f>
        <v>-570120.56105258863</v>
      </c>
      <c r="E46" s="553">
        <f>-'Foglio deposito bis'!$F$48*(C46-sezione!$AL$27)*IF(ABS(K46)&lt;'Progetto del paramento slu'!$G$58,ABS(K46)*'Progetto del paramento slu'!$G$54,'Progetto del paramento slu'!$G$53)</f>
        <v>0</v>
      </c>
      <c r="F46" s="553">
        <f>-'Foglio deposito bis'!$F$49*(C46-sezione!$AM$27)*IF(ABS(L46)&lt;'Progetto del paramento slu'!$G$58,ABS(L46)*'Progetto del paramento slu'!$G$54,'Progetto del paramento slu'!$G$53)</f>
        <v>29027894.701787204</v>
      </c>
      <c r="G46" s="553">
        <f>-'Foglio deposito bis'!$F$50*(C46-sezione!$AN$27)*IF(ABS(M46)&lt;'Progetto del paramento slu'!$G$58,ABS(M46)*'Progetto del paramento slu'!$G$54,'Progetto del paramento slu'!$G$53)</f>
        <v>0</v>
      </c>
      <c r="H46" s="553">
        <f>-'Foglio deposito bis'!$F$51*(C46-sezione!$AO$27)*IF(ABS(N46)&lt;'Progetto del paramento slu'!$G$58,ABS(N46)*'Progetto del paramento slu'!$G$54,'Progetto del paramento slu'!$G$53)</f>
        <v>79916638.681351975</v>
      </c>
      <c r="I46" s="479">
        <f>-'Foglio deposito bis'!$F$52*(C46-sezione!$AP$27)*IF(ABS(O46)&lt;'Progetto del paramento slu'!$G$58,ABS(O46)*'Progetto del paramento slu'!$G$54,'Progetto del paramento slu'!$G$53)</f>
        <v>60640918.886804514</v>
      </c>
      <c r="J46" s="479">
        <f t="shared" si="0"/>
        <v>169015331.70889109</v>
      </c>
      <c r="K46" s="558">
        <f>'Progetto del paramento slu'!$G$60*(sezione!$AL$27-C46)/C46</f>
        <v>1.3322764227642255E-2</v>
      </c>
      <c r="L46" s="558">
        <f>'Progetto del paramento slu'!$G$60*(sezione!$AM$27-C46)/C46</f>
        <v>5.9585365853658465E-2</v>
      </c>
      <c r="M46" s="559">
        <f>'Progetto del paramento slu'!$G$60*(sezione!$AN$27-C46)/C46</f>
        <v>0.10584796747967466</v>
      </c>
      <c r="N46" s="559">
        <f>'Progetto del paramento slu'!$G$60*(sezione!$AO$27-C46)/C46</f>
        <v>0.13949349593495919</v>
      </c>
      <c r="O46" s="559">
        <f>'Progetto del paramento slu'!$G$60*(sezione!$AP$27-C46)/C46</f>
        <v>0.10584796747967466</v>
      </c>
      <c r="P46" s="553">
        <f>-'Progetto del paramento slu'!$G$47*'Progetto del paramento slu'!$G$41*IF(DATI!$G$218="dx",DATI!$E$61,DATI!$E$64*DATI!$E$63)*1000*C46*sezione!$AD$5</f>
        <v>-117306.79769959417</v>
      </c>
      <c r="Q46" s="553">
        <f>'Foglio deposito bis'!$F$48*IF(ABS(K46)&lt;'Progetto del paramento slu'!$G$58,ABS(K46)*'Progetto del paramento slu'!$G$54,'Progetto del paramento slu'!$G$53)*IF(K46&lt;0,-1,1)</f>
        <v>0</v>
      </c>
      <c r="R46" s="553">
        <f>'Foglio deposito bis'!$F$49*IF(ABS(L46)&lt;'Progetto del paramento slu'!$G$58,ABS(L46)*'Progetto del paramento slu'!$G$54,'Progetto del paramento slu'!$G$53)*IF(L46&lt;0,-1,1)</f>
        <v>204886.47740803001</v>
      </c>
      <c r="S46" s="553">
        <f>'Foglio deposito bis'!$F$50*IF(ABS(M46)&lt;'Progetto del paramento slu'!$G$58,ABS(M46)*'Progetto del paramento slu'!$G$54,'Progetto del paramento slu'!$G$53)*IF(M46&lt;0,-1,1)</f>
        <v>0</v>
      </c>
      <c r="T46" s="553">
        <f>'Foglio deposito bis'!$F$51*IF(ABS(N46)&lt;'Progetto del paramento slu'!$G$58,ABS(N46)*'Progetto del paramento slu'!$G$54,'Progetto del paramento slu'!$G$53)*IF(N46&lt;0,-1,1)</f>
        <v>240946.49743184328</v>
      </c>
      <c r="U46" s="553">
        <f>'Foglio deposito bis'!$F$52*IF(ABS(O46)&lt;'Progetto del paramento slu'!$G$58,ABS(O46)*'Progetto del paramento slu'!$G$54,'Progetto del paramento slu'!$G$53)*IF(O46&lt;0,-1,1)</f>
        <v>240946.49743184328</v>
      </c>
      <c r="V46" s="479">
        <f t="shared" si="3"/>
        <v>569472.6745721224</v>
      </c>
      <c r="W46" s="559"/>
      <c r="X46" s="559"/>
      <c r="Z46" s="966"/>
      <c r="AA46" s="1045"/>
      <c r="AB46" s="593">
        <v>0</v>
      </c>
      <c r="AC46" s="532">
        <f>AC47</f>
        <v>3.35</v>
      </c>
      <c r="AD46" s="592">
        <v>0</v>
      </c>
      <c r="AG46" s="1047"/>
    </row>
    <row r="47" spans="1:43" x14ac:dyDescent="0.25">
      <c r="A47" s="553">
        <f t="shared" si="2"/>
        <v>566611.53316481528</v>
      </c>
      <c r="B47" s="3">
        <f t="shared" si="4"/>
        <v>2.1000000000000005</v>
      </c>
      <c r="C47" s="553">
        <f>'Foglio deposito bis'!$E$153/$B$247*B47</f>
        <v>8.525033829499332</v>
      </c>
      <c r="D47" s="611">
        <f>-'Progetto del paramento slu'!$G$47*'Progetto del paramento slu'!$G$41*IF(DATI!$G$218="dx",DATI!$E$61,DATI!$E$64*DATI!$E$63)*1000*C47^2*sezione!$AD$5*(1-sezione!$AD$6)</f>
        <v>-598270.47572680912</v>
      </c>
      <c r="E47" s="553">
        <f>-'Foglio deposito bis'!$F$48*(C47-sezione!$AL$27)*IF(ABS(K47)&lt;'Progetto del paramento slu'!$G$58,ABS(K47)*'Progetto del paramento slu'!$G$54,'Progetto del paramento slu'!$G$53)</f>
        <v>0</v>
      </c>
      <c r="F47" s="553">
        <f>-'Foglio deposito bis'!$F$49*(C47-sezione!$AM$27)*IF(ABS(L47)&lt;'Progetto del paramento slu'!$G$58,ABS(L47)*'Progetto del paramento slu'!$G$54,'Progetto del paramento slu'!$G$53)</f>
        <v>28986307.460094094</v>
      </c>
      <c r="G47" s="553">
        <f>-'Foglio deposito bis'!$F$50*(C47-sezione!$AN$27)*IF(ABS(M47)&lt;'Progetto del paramento slu'!$G$58,ABS(M47)*'Progetto del paramento slu'!$G$54,'Progetto del paramento slu'!$G$53)</f>
        <v>0</v>
      </c>
      <c r="H47" s="553">
        <f>-'Foglio deposito bis'!$F$51*(C47-sezione!$AO$27)*IF(ABS(N47)&lt;'Progetto del paramento slu'!$G$58,ABS(N47)*'Progetto del paramento slu'!$G$54,'Progetto del paramento slu'!$G$53)</f>
        <v>79867732.085120872</v>
      </c>
      <c r="I47" s="479">
        <f>-'Foglio deposito bis'!$F$52*(C47-sezione!$AP$27)*IF(ABS(O47)&lt;'Progetto del paramento slu'!$G$58,ABS(O47)*'Progetto del paramento slu'!$G$54,'Progetto del paramento slu'!$G$53)</f>
        <v>60592012.290573411</v>
      </c>
      <c r="J47" s="479">
        <f t="shared" si="0"/>
        <v>168847781.36006156</v>
      </c>
      <c r="K47" s="558">
        <f>'Progetto del paramento slu'!$G$60*(sezione!$AL$27-C47)/C47</f>
        <v>1.2922222222222206E-2</v>
      </c>
      <c r="L47" s="558">
        <f>'Progetto del paramento slu'!$G$60*(sezione!$AM$27-C47)/C47</f>
        <v>5.8083333333333272E-2</v>
      </c>
      <c r="M47" s="559">
        <f>'Progetto del paramento slu'!$G$60*(sezione!$AN$27-C47)/C47</f>
        <v>0.10324444444444433</v>
      </c>
      <c r="N47" s="559">
        <f>'Progetto del paramento slu'!$G$60*(sezione!$AO$27-C47)/C47</f>
        <v>0.13608888888888879</v>
      </c>
      <c r="O47" s="559">
        <f>'Progetto del paramento slu'!$G$60*(sezione!$AP$27-C47)/C47</f>
        <v>0.10324444444444433</v>
      </c>
      <c r="P47" s="553">
        <f>-'Progetto del paramento slu'!$G$47*'Progetto del paramento slu'!$G$41*IF(DATI!$G$218="dx",DATI!$E$61,DATI!$E$64*DATI!$E$63)*1000*C47*sezione!$AD$5</f>
        <v>-120167.93910690134</v>
      </c>
      <c r="Q47" s="553">
        <f>'Foglio deposito bis'!$F$48*IF(ABS(K47)&lt;'Progetto del paramento slu'!$G$58,ABS(K47)*'Progetto del paramento slu'!$G$54,'Progetto del paramento slu'!$G$53)*IF(K47&lt;0,-1,1)</f>
        <v>0</v>
      </c>
      <c r="R47" s="553">
        <f>'Foglio deposito bis'!$F$49*IF(ABS(L47)&lt;'Progetto del paramento slu'!$G$58,ABS(L47)*'Progetto del paramento slu'!$G$54,'Progetto del paramento slu'!$G$53)*IF(L47&lt;0,-1,1)</f>
        <v>204886.47740803001</v>
      </c>
      <c r="S47" s="553">
        <f>'Foglio deposito bis'!$F$50*IF(ABS(M47)&lt;'Progetto del paramento slu'!$G$58,ABS(M47)*'Progetto del paramento slu'!$G$54,'Progetto del paramento slu'!$G$53)*IF(M47&lt;0,-1,1)</f>
        <v>0</v>
      </c>
      <c r="T47" s="553">
        <f>'Foglio deposito bis'!$F$51*IF(ABS(N47)&lt;'Progetto del paramento slu'!$G$58,ABS(N47)*'Progetto del paramento slu'!$G$54,'Progetto del paramento slu'!$G$53)*IF(N47&lt;0,-1,1)</f>
        <v>240946.49743184328</v>
      </c>
      <c r="U47" s="553">
        <f>'Foglio deposito bis'!$F$52*IF(ABS(O47)&lt;'Progetto del paramento slu'!$G$58,ABS(O47)*'Progetto del paramento slu'!$G$54,'Progetto del paramento slu'!$G$53)*IF(O47&lt;0,-1,1)</f>
        <v>240946.49743184328</v>
      </c>
      <c r="V47" s="479">
        <f t="shared" si="3"/>
        <v>566611.53316481528</v>
      </c>
      <c r="W47" s="559"/>
      <c r="X47" s="559"/>
      <c r="Z47" s="593">
        <f>ABS('Foglio deposito bis'!F100)</f>
        <v>1E-4</v>
      </c>
      <c r="AA47" s="80">
        <f>ABS('Foglio deposito bis'!G100)</f>
        <v>161.42827347438211</v>
      </c>
      <c r="AB47" s="417">
        <f>'Foglio deposito bis'!G100</f>
        <v>-161.42827347438211</v>
      </c>
      <c r="AC47" s="532">
        <f>'Foglio deposito bis'!C100</f>
        <v>3.35</v>
      </c>
      <c r="AD47" s="605">
        <f>'Foglio deposito bis'!F100</f>
        <v>-1E-4</v>
      </c>
      <c r="AG47" s="568">
        <f>VLOOKUP('SOLLECITAZ NASCOSTO'!J15,'SOLLECITAZ NASCOSTO'!A32:C448,3,TRUE)</f>
        <v>0</v>
      </c>
    </row>
    <row r="48" spans="1:43" x14ac:dyDescent="0.25">
      <c r="A48" s="553">
        <f t="shared" si="2"/>
        <v>563750.39175750804</v>
      </c>
      <c r="B48" s="3">
        <f t="shared" si="4"/>
        <v>2.1500000000000004</v>
      </c>
      <c r="C48" s="553">
        <f>'Foglio deposito bis'!$E$153/$B$247*B48</f>
        <v>8.7280108254397923</v>
      </c>
      <c r="D48" s="611">
        <f>-'Progetto del paramento slu'!$G$47*'Progetto del paramento slu'!$G$41*IF(DATI!$G$218="dx",DATI!$E$61,DATI!$E$64*DATI!$E$63)*1000*C48^2*sezione!$AD$5*(1-sezione!$AD$6)</f>
        <v>-627098.70159799873</v>
      </c>
      <c r="E48" s="553">
        <f>-'Foglio deposito bis'!$F$48*(C48-sezione!$AL$27)*IF(ABS(K48)&lt;'Progetto del paramento slu'!$G$58,ABS(K48)*'Progetto del paramento slu'!$G$54,'Progetto del paramento slu'!$G$53)</f>
        <v>0</v>
      </c>
      <c r="F48" s="553">
        <f>-'Foglio deposito bis'!$F$49*(C48-sezione!$AM$27)*IF(ABS(L48)&lt;'Progetto del paramento slu'!$G$58,ABS(L48)*'Progetto del paramento slu'!$G$54,'Progetto del paramento slu'!$G$53)</f>
        <v>28944720.218400996</v>
      </c>
      <c r="G48" s="553">
        <f>-'Foglio deposito bis'!$F$50*(C48-sezione!$AN$27)*IF(ABS(M48)&lt;'Progetto del paramento slu'!$G$58,ABS(M48)*'Progetto del paramento slu'!$G$54,'Progetto del paramento slu'!$G$53)</f>
        <v>0</v>
      </c>
      <c r="H48" s="553">
        <f>-'Foglio deposito bis'!$F$51*(C48-sezione!$AO$27)*IF(ABS(N48)&lt;'Progetto del paramento slu'!$G$58,ABS(N48)*'Progetto del paramento slu'!$G$54,'Progetto del paramento slu'!$G$53)</f>
        <v>79818825.488889784</v>
      </c>
      <c r="I48" s="479">
        <f>-'Foglio deposito bis'!$F$52*(C48-sezione!$AP$27)*IF(ABS(O48)&lt;'Progetto del paramento slu'!$G$58,ABS(O48)*'Progetto del paramento slu'!$G$54,'Progetto del paramento slu'!$G$53)</f>
        <v>60543105.694342323</v>
      </c>
      <c r="J48" s="479">
        <f t="shared" si="0"/>
        <v>168679552.7000351</v>
      </c>
      <c r="K48" s="558">
        <f>'Progetto del paramento slu'!$G$60*(sezione!$AL$27-C48)/C48</f>
        <v>1.2540310077519363E-2</v>
      </c>
      <c r="L48" s="558">
        <f>'Progetto del paramento slu'!$G$60*(sezione!$AM$27-C48)/C48</f>
        <v>5.6651162790697616E-2</v>
      </c>
      <c r="M48" s="559">
        <f>'Progetto del paramento slu'!$G$60*(sezione!$AN$27-C48)/C48</f>
        <v>0.10076201550387587</v>
      </c>
      <c r="N48" s="559">
        <f>'Progetto del paramento slu'!$G$60*(sezione!$AO$27-C48)/C48</f>
        <v>0.13284263565891458</v>
      </c>
      <c r="O48" s="559">
        <f>'Progetto del paramento slu'!$G$60*(sezione!$AP$27-C48)/C48</f>
        <v>0.10076201550387587</v>
      </c>
      <c r="P48" s="553">
        <f>-'Progetto del paramento slu'!$G$47*'Progetto del paramento slu'!$G$41*IF(DATI!$G$218="dx",DATI!$E$61,DATI!$E$64*DATI!$E$63)*1000*C48*sezione!$AD$5</f>
        <v>-123029.08051420852</v>
      </c>
      <c r="Q48" s="553">
        <f>'Foglio deposito bis'!$F$48*IF(ABS(K48)&lt;'Progetto del paramento slu'!$G$58,ABS(K48)*'Progetto del paramento slu'!$G$54,'Progetto del paramento slu'!$G$53)*IF(K48&lt;0,-1,1)</f>
        <v>0</v>
      </c>
      <c r="R48" s="553">
        <f>'Foglio deposito bis'!$F$49*IF(ABS(L48)&lt;'Progetto del paramento slu'!$G$58,ABS(L48)*'Progetto del paramento slu'!$G$54,'Progetto del paramento slu'!$G$53)*IF(L48&lt;0,-1,1)</f>
        <v>204886.47740803001</v>
      </c>
      <c r="S48" s="553">
        <f>'Foglio deposito bis'!$F$50*IF(ABS(M48)&lt;'Progetto del paramento slu'!$G$58,ABS(M48)*'Progetto del paramento slu'!$G$54,'Progetto del paramento slu'!$G$53)*IF(M48&lt;0,-1,1)</f>
        <v>0</v>
      </c>
      <c r="T48" s="553">
        <f>'Foglio deposito bis'!$F$51*IF(ABS(N48)&lt;'Progetto del paramento slu'!$G$58,ABS(N48)*'Progetto del paramento slu'!$G$54,'Progetto del paramento slu'!$G$53)*IF(N48&lt;0,-1,1)</f>
        <v>240946.49743184328</v>
      </c>
      <c r="U48" s="553">
        <f>'Foglio deposito bis'!$F$52*IF(ABS(O48)&lt;'Progetto del paramento slu'!$G$58,ABS(O48)*'Progetto del paramento slu'!$G$54,'Progetto del paramento slu'!$G$53)*IF(O48&lt;0,-1,1)</f>
        <v>240946.49743184328</v>
      </c>
      <c r="V48" s="479">
        <f t="shared" si="3"/>
        <v>563750.39175750804</v>
      </c>
      <c r="W48" s="559"/>
      <c r="X48" s="559"/>
      <c r="Z48" s="593">
        <f>ABS('Foglio deposito bis'!F101)</f>
        <v>0.18943953028727276</v>
      </c>
      <c r="AA48" s="80">
        <f>ABS('Foglio deposito bis'!G101)</f>
        <v>161.42853062364338</v>
      </c>
      <c r="AB48" s="417">
        <f>'Foglio deposito bis'!G101</f>
        <v>-161.42853062364338</v>
      </c>
      <c r="AC48" s="532">
        <f>'Foglio deposito bis'!C101</f>
        <v>3.0691105769230771</v>
      </c>
      <c r="AD48" s="605">
        <f>'Foglio deposito bis'!F101</f>
        <v>-0.18943953028727276</v>
      </c>
      <c r="AG48" s="568">
        <f>'SOLLECITAZ NASCOSTO'!$D$4/'Progetto del paramento slu'!$B$164*'Progetto del paramento slu'!B155+VLOOKUP('SOLLECITAZ NASCOSTO'!$J$15,'SOLLECITAZ NASCOSTO'!$A$32:$C$448,3,TRUE)</f>
        <v>0.28500000000000003</v>
      </c>
    </row>
    <row r="49" spans="1:33" x14ac:dyDescent="0.25">
      <c r="A49" s="553">
        <f t="shared" si="2"/>
        <v>560889.25035020092</v>
      </c>
      <c r="B49" s="3">
        <f t="shared" si="4"/>
        <v>2.2000000000000002</v>
      </c>
      <c r="C49" s="553">
        <f>'Foglio deposito bis'!$E$153/$B$247*B49</f>
        <v>8.9309878213802509</v>
      </c>
      <c r="D49" s="611">
        <f>-'Progetto del paramento slu'!$G$47*'Progetto del paramento slu'!$G$41*IF(DATI!$G$218="dx",DATI!$E$61,DATI!$E$64*DATI!$E$63)*1000*C49^2*sezione!$AD$5*(1-sezione!$AD$6)</f>
        <v>-656605.23866615759</v>
      </c>
      <c r="E49" s="553">
        <f>-'Foglio deposito bis'!$F$48*(C49-sezione!$AL$27)*IF(ABS(K49)&lt;'Progetto del paramento slu'!$G$58,ABS(K49)*'Progetto del paramento slu'!$G$54,'Progetto del paramento slu'!$G$53)</f>
        <v>0</v>
      </c>
      <c r="F49" s="553">
        <f>-'Foglio deposito bis'!$F$49*(C49-sezione!$AM$27)*IF(ABS(L49)&lt;'Progetto del paramento slu'!$G$58,ABS(L49)*'Progetto del paramento slu'!$G$54,'Progetto del paramento slu'!$G$53)</f>
        <v>28903132.976707883</v>
      </c>
      <c r="G49" s="553">
        <f>-'Foglio deposito bis'!$F$50*(C49-sezione!$AN$27)*IF(ABS(M49)&lt;'Progetto del paramento slu'!$G$58,ABS(M49)*'Progetto del paramento slu'!$G$54,'Progetto del paramento slu'!$G$53)</f>
        <v>0</v>
      </c>
      <c r="H49" s="553">
        <f>-'Foglio deposito bis'!$F$51*(C49-sezione!$AO$27)*IF(ABS(N49)&lt;'Progetto del paramento slu'!$G$58,ABS(N49)*'Progetto del paramento slu'!$G$54,'Progetto del paramento slu'!$G$53)</f>
        <v>79769918.892658696</v>
      </c>
      <c r="I49" s="479">
        <f>-'Foglio deposito bis'!$F$52*(C49-sezione!$AP$27)*IF(ABS(O49)&lt;'Progetto del paramento slu'!$G$58,ABS(O49)*'Progetto del paramento slu'!$G$54,'Progetto del paramento slu'!$G$53)</f>
        <v>60494199.098111227</v>
      </c>
      <c r="J49" s="479">
        <f t="shared" si="0"/>
        <v>168510645.72881165</v>
      </c>
      <c r="K49" s="558">
        <f>'Progetto del paramento slu'!$G$60*(sezione!$AL$27-C49)/C49</f>
        <v>1.2175757575757564E-2</v>
      </c>
      <c r="L49" s="558">
        <f>'Progetto del paramento slu'!$G$60*(sezione!$AM$27-C49)/C49</f>
        <v>5.5284090909090859E-2</v>
      </c>
      <c r="M49" s="559">
        <f>'Progetto del paramento slu'!$G$60*(sezione!$AN$27-C49)/C49</f>
        <v>9.8392424242424156E-2</v>
      </c>
      <c r="N49" s="559">
        <f>'Progetto del paramento slu'!$G$60*(sezione!$AO$27-C49)/C49</f>
        <v>0.12974393939393927</v>
      </c>
      <c r="O49" s="559">
        <f>'Progetto del paramento slu'!$G$60*(sezione!$AP$27-C49)/C49</f>
        <v>9.8392424242424156E-2</v>
      </c>
      <c r="P49" s="553">
        <f>-'Progetto del paramento slu'!$G$47*'Progetto del paramento slu'!$G$41*IF(DATI!$G$218="dx",DATI!$E$61,DATI!$E$64*DATI!$E$63)*1000*C49*sezione!$AD$5</f>
        <v>-125890.22192151567</v>
      </c>
      <c r="Q49" s="553">
        <f>'Foglio deposito bis'!$F$48*IF(ABS(K49)&lt;'Progetto del paramento slu'!$G$58,ABS(K49)*'Progetto del paramento slu'!$G$54,'Progetto del paramento slu'!$G$53)*IF(K49&lt;0,-1,1)</f>
        <v>0</v>
      </c>
      <c r="R49" s="553">
        <f>'Foglio deposito bis'!$F$49*IF(ABS(L49)&lt;'Progetto del paramento slu'!$G$58,ABS(L49)*'Progetto del paramento slu'!$G$54,'Progetto del paramento slu'!$G$53)*IF(L49&lt;0,-1,1)</f>
        <v>204886.47740803001</v>
      </c>
      <c r="S49" s="553">
        <f>'Foglio deposito bis'!$F$50*IF(ABS(M49)&lt;'Progetto del paramento slu'!$G$58,ABS(M49)*'Progetto del paramento slu'!$G$54,'Progetto del paramento slu'!$G$53)*IF(M49&lt;0,-1,1)</f>
        <v>0</v>
      </c>
      <c r="T49" s="553">
        <f>'Foglio deposito bis'!$F$51*IF(ABS(N49)&lt;'Progetto del paramento slu'!$G$58,ABS(N49)*'Progetto del paramento slu'!$G$54,'Progetto del paramento slu'!$G$53)*IF(N49&lt;0,-1,1)</f>
        <v>240946.49743184328</v>
      </c>
      <c r="U49" s="553">
        <f>'Foglio deposito bis'!$F$52*IF(ABS(O49)&lt;'Progetto del paramento slu'!$G$58,ABS(O49)*'Progetto del paramento slu'!$G$54,'Progetto del paramento slu'!$G$53)*IF(O49&lt;0,-1,1)</f>
        <v>240946.49743184328</v>
      </c>
      <c r="V49" s="479">
        <f t="shared" si="3"/>
        <v>560889.25035020092</v>
      </c>
      <c r="W49" s="559"/>
      <c r="X49" s="559"/>
      <c r="Z49" s="593">
        <f>ABS('Foglio deposito bis'!F102)</f>
        <v>0.88527816845511631</v>
      </c>
      <c r="AA49" s="80">
        <f>ABS('Foglio deposito bis'!G102)</f>
        <v>161.42879404528236</v>
      </c>
      <c r="AB49" s="417">
        <f>'Foglio deposito bis'!G102</f>
        <v>-161.42879404528236</v>
      </c>
      <c r="AC49" s="532">
        <f>'Foglio deposito bis'!C102</f>
        <v>2.7813701923076923</v>
      </c>
      <c r="AD49" s="605">
        <f>'Foglio deposito bis'!F102</f>
        <v>-0.88527816845511631</v>
      </c>
      <c r="AG49" s="568">
        <f>'SOLLECITAZ NASCOSTO'!$D$4/'Progetto del paramento slu'!$B$164*'Progetto del paramento slu'!B156+VLOOKUP('SOLLECITAZ NASCOSTO'!$J$15,'SOLLECITAZ NASCOSTO'!$A$32:$C$448,3,TRUE)</f>
        <v>0.57000000000000006</v>
      </c>
    </row>
    <row r="50" spans="1:33" x14ac:dyDescent="0.25">
      <c r="A50" s="553">
        <f t="shared" si="2"/>
        <v>558028.10894289368</v>
      </c>
      <c r="B50" s="3">
        <f t="shared" si="4"/>
        <v>2.25</v>
      </c>
      <c r="C50" s="553">
        <f>'Foglio deposito bis'!$E$153/$B$247*B50</f>
        <v>9.1339648173207113</v>
      </c>
      <c r="D50" s="611">
        <f>-'Progetto del paramento slu'!$G$47*'Progetto del paramento slu'!$G$41*IF(DATI!$G$218="dx",DATI!$E$61,DATI!$E$64*DATI!$E$63)*1000*C50^2*sezione!$AD$5*(1-sezione!$AD$6)</f>
        <v>-686790.08693128556</v>
      </c>
      <c r="E50" s="553">
        <f>-'Foglio deposito bis'!$F$48*(C50-sezione!$AL$27)*IF(ABS(K50)&lt;'Progetto del paramento slu'!$G$58,ABS(K50)*'Progetto del paramento slu'!$G$54,'Progetto del paramento slu'!$G$53)</f>
        <v>0</v>
      </c>
      <c r="F50" s="553">
        <f>-'Foglio deposito bis'!$F$49*(C50-sezione!$AM$27)*IF(ABS(L50)&lt;'Progetto del paramento slu'!$G$58,ABS(L50)*'Progetto del paramento slu'!$G$54,'Progetto del paramento slu'!$G$53)</f>
        <v>28861545.735014785</v>
      </c>
      <c r="G50" s="553">
        <f>-'Foglio deposito bis'!$F$50*(C50-sezione!$AN$27)*IF(ABS(M50)&lt;'Progetto del paramento slu'!$G$58,ABS(M50)*'Progetto del paramento slu'!$G$54,'Progetto del paramento slu'!$G$53)</f>
        <v>0</v>
      </c>
      <c r="H50" s="553">
        <f>-'Foglio deposito bis'!$F$51*(C50-sezione!$AO$27)*IF(ABS(N50)&lt;'Progetto del paramento slu'!$G$58,ABS(N50)*'Progetto del paramento slu'!$G$54,'Progetto del paramento slu'!$G$53)</f>
        <v>79721012.296427608</v>
      </c>
      <c r="I50" s="479">
        <f>-'Foglio deposito bis'!$F$52*(C50-sezione!$AP$27)*IF(ABS(O50)&lt;'Progetto del paramento slu'!$G$58,ABS(O50)*'Progetto del paramento slu'!$G$54,'Progetto del paramento slu'!$G$53)</f>
        <v>60445292.501880139</v>
      </c>
      <c r="J50" s="479">
        <f t="shared" si="0"/>
        <v>168341060.44639125</v>
      </c>
      <c r="K50" s="558">
        <f>'Progetto del paramento slu'!$G$60*(sezione!$AL$27-C50)/C50</f>
        <v>1.1827407407407396E-2</v>
      </c>
      <c r="L50" s="558">
        <f>'Progetto del paramento slu'!$G$60*(sezione!$AM$27-C50)/C50</f>
        <v>5.3977777777777729E-2</v>
      </c>
      <c r="M50" s="559">
        <f>'Progetto del paramento slu'!$G$60*(sezione!$AN$27-C50)/C50</f>
        <v>9.6128148148148074E-2</v>
      </c>
      <c r="N50" s="559">
        <f>'Progetto del paramento slu'!$G$60*(sezione!$AO$27-C50)/C50</f>
        <v>0.12678296296296288</v>
      </c>
      <c r="O50" s="559">
        <f>'Progetto del paramento slu'!$G$60*(sezione!$AP$27-C50)/C50</f>
        <v>9.6128148148148074E-2</v>
      </c>
      <c r="P50" s="553">
        <f>-'Progetto del paramento slu'!$G$47*'Progetto del paramento slu'!$G$41*IF(DATI!$G$218="dx",DATI!$E$61,DATI!$E$64*DATI!$E$63)*1000*C50*sezione!$AD$5</f>
        <v>-128751.36332882284</v>
      </c>
      <c r="Q50" s="553">
        <f>'Foglio deposito bis'!$F$48*IF(ABS(K50)&lt;'Progetto del paramento slu'!$G$58,ABS(K50)*'Progetto del paramento slu'!$G$54,'Progetto del paramento slu'!$G$53)*IF(K50&lt;0,-1,1)</f>
        <v>0</v>
      </c>
      <c r="R50" s="553">
        <f>'Foglio deposito bis'!$F$49*IF(ABS(L50)&lt;'Progetto del paramento slu'!$G$58,ABS(L50)*'Progetto del paramento slu'!$G$54,'Progetto del paramento slu'!$G$53)*IF(L50&lt;0,-1,1)</f>
        <v>204886.47740803001</v>
      </c>
      <c r="S50" s="553">
        <f>'Foglio deposito bis'!$F$50*IF(ABS(M50)&lt;'Progetto del paramento slu'!$G$58,ABS(M50)*'Progetto del paramento slu'!$G$54,'Progetto del paramento slu'!$G$53)*IF(M50&lt;0,-1,1)</f>
        <v>0</v>
      </c>
      <c r="T50" s="553">
        <f>'Foglio deposito bis'!$F$51*IF(ABS(N50)&lt;'Progetto del paramento slu'!$G$58,ABS(N50)*'Progetto del paramento slu'!$G$54,'Progetto del paramento slu'!$G$53)*IF(N50&lt;0,-1,1)</f>
        <v>240946.49743184328</v>
      </c>
      <c r="U50" s="553">
        <f>'Foglio deposito bis'!$F$52*IF(ABS(O50)&lt;'Progetto del paramento slu'!$G$58,ABS(O50)*'Progetto del paramento slu'!$G$54,'Progetto del paramento slu'!$G$53)*IF(O50&lt;0,-1,1)</f>
        <v>240946.49743184328</v>
      </c>
      <c r="V50" s="479">
        <f t="shared" si="3"/>
        <v>558028.10894289368</v>
      </c>
      <c r="W50" s="559"/>
      <c r="X50" s="559"/>
      <c r="Z50" s="593">
        <f>ABS('Foglio deposito bis'!F103)</f>
        <v>2.2132615078574891</v>
      </c>
      <c r="AA50" s="80">
        <f>ABS('Foglio deposito bis'!G103)</f>
        <v>171.90247810253885</v>
      </c>
      <c r="AB50" s="417">
        <f>'Foglio deposito bis'!G103</f>
        <v>-171.90247810253885</v>
      </c>
      <c r="AC50" s="532">
        <f>'Foglio deposito bis'!C103</f>
        <v>2.5004807692307693</v>
      </c>
      <c r="AD50" s="605">
        <f>'Foglio deposito bis'!F103</f>
        <v>-2.2132615078574891</v>
      </c>
      <c r="AG50" s="568">
        <f>'SOLLECITAZ NASCOSTO'!$D$4/'Progetto del paramento slu'!$B$164*'Progetto del paramento slu'!B157+VLOOKUP('SOLLECITAZ NASCOSTO'!$J$15,'SOLLECITAZ NASCOSTO'!$A$32:$C$448,3,TRUE)</f>
        <v>0.85500000000000009</v>
      </c>
    </row>
    <row r="51" spans="1:33" x14ac:dyDescent="0.25">
      <c r="A51" s="553">
        <f t="shared" si="2"/>
        <v>555166.96753558656</v>
      </c>
      <c r="B51" s="3">
        <f t="shared" si="4"/>
        <v>2.2999999999999998</v>
      </c>
      <c r="C51" s="553">
        <f>'Foglio deposito bis'!$E$153/$B$247*B51</f>
        <v>9.3369418132611699</v>
      </c>
      <c r="D51" s="611">
        <f>-'Progetto del paramento slu'!$G$47*'Progetto del paramento slu'!$G$41*IF(DATI!$G$218="dx",DATI!$E$61,DATI!$E$64*DATI!$E$63)*1000*C51^2*sezione!$AD$5*(1-sezione!$AD$6)</f>
        <v>-717653.24639338267</v>
      </c>
      <c r="E51" s="553">
        <f>-'Foglio deposito bis'!$F$48*(C51-sezione!$AL$27)*IF(ABS(K51)&lt;'Progetto del paramento slu'!$G$58,ABS(K51)*'Progetto del paramento slu'!$G$54,'Progetto del paramento slu'!$G$53)</f>
        <v>0</v>
      </c>
      <c r="F51" s="553">
        <f>-'Foglio deposito bis'!$F$49*(C51-sezione!$AM$27)*IF(ABS(L51)&lt;'Progetto del paramento slu'!$G$58,ABS(L51)*'Progetto del paramento slu'!$G$54,'Progetto del paramento slu'!$G$53)</f>
        <v>28819958.493321672</v>
      </c>
      <c r="G51" s="553">
        <f>-'Foglio deposito bis'!$F$50*(C51-sezione!$AN$27)*IF(ABS(M51)&lt;'Progetto del paramento slu'!$G$58,ABS(M51)*'Progetto del paramento slu'!$G$54,'Progetto del paramento slu'!$G$53)</f>
        <v>0</v>
      </c>
      <c r="H51" s="553">
        <f>-'Foglio deposito bis'!$F$51*(C51-sezione!$AO$27)*IF(ABS(N51)&lt;'Progetto del paramento slu'!$G$58,ABS(N51)*'Progetto del paramento slu'!$G$54,'Progetto del paramento slu'!$G$53)</f>
        <v>79672105.700196519</v>
      </c>
      <c r="I51" s="479">
        <f>-'Foglio deposito bis'!$F$52*(C51-sezione!$AP$27)*IF(ABS(O51)&lt;'Progetto del paramento slu'!$G$58,ABS(O51)*'Progetto del paramento slu'!$G$54,'Progetto del paramento slu'!$G$53)</f>
        <v>60396385.905649044</v>
      </c>
      <c r="J51" s="479">
        <f t="shared" si="0"/>
        <v>168170796.85277385</v>
      </c>
      <c r="K51" s="558">
        <f>'Progetto del paramento slu'!$G$60*(sezione!$AL$27-C51)/C51</f>
        <v>1.1494202898550715E-2</v>
      </c>
      <c r="L51" s="558">
        <f>'Progetto del paramento slu'!$G$60*(sezione!$AM$27-C51)/C51</f>
        <v>5.2728260869565176E-2</v>
      </c>
      <c r="M51" s="559">
        <f>'Progetto del paramento slu'!$G$60*(sezione!$AN$27-C51)/C51</f>
        <v>9.3962318840579651E-2</v>
      </c>
      <c r="N51" s="559">
        <f>'Progetto del paramento slu'!$G$60*(sezione!$AO$27-C51)/C51</f>
        <v>0.12395072463768109</v>
      </c>
      <c r="O51" s="559">
        <f>'Progetto del paramento slu'!$G$60*(sezione!$AP$27-C51)/C51</f>
        <v>9.3962318840579651E-2</v>
      </c>
      <c r="P51" s="553">
        <f>-'Progetto del paramento slu'!$G$47*'Progetto del paramento slu'!$G$41*IF(DATI!$G$218="dx",DATI!$E$61,DATI!$E$64*DATI!$E$63)*1000*C51*sezione!$AD$5</f>
        <v>-131612.50473612998</v>
      </c>
      <c r="Q51" s="553">
        <f>'Foglio deposito bis'!$F$48*IF(ABS(K51)&lt;'Progetto del paramento slu'!$G$58,ABS(K51)*'Progetto del paramento slu'!$G$54,'Progetto del paramento slu'!$G$53)*IF(K51&lt;0,-1,1)</f>
        <v>0</v>
      </c>
      <c r="R51" s="553">
        <f>'Foglio deposito bis'!$F$49*IF(ABS(L51)&lt;'Progetto del paramento slu'!$G$58,ABS(L51)*'Progetto del paramento slu'!$G$54,'Progetto del paramento slu'!$G$53)*IF(L51&lt;0,-1,1)</f>
        <v>204886.47740803001</v>
      </c>
      <c r="S51" s="553">
        <f>'Foglio deposito bis'!$F$50*IF(ABS(M51)&lt;'Progetto del paramento slu'!$G$58,ABS(M51)*'Progetto del paramento slu'!$G$54,'Progetto del paramento slu'!$G$53)*IF(M51&lt;0,-1,1)</f>
        <v>0</v>
      </c>
      <c r="T51" s="553">
        <f>'Foglio deposito bis'!$F$51*IF(ABS(N51)&lt;'Progetto del paramento slu'!$G$58,ABS(N51)*'Progetto del paramento slu'!$G$54,'Progetto del paramento slu'!$G$53)*IF(N51&lt;0,-1,1)</f>
        <v>240946.49743184328</v>
      </c>
      <c r="U51" s="553">
        <f>'Foglio deposito bis'!$F$52*IF(ABS(O51)&lt;'Progetto del paramento slu'!$G$58,ABS(O51)*'Progetto del paramento slu'!$G$54,'Progetto del paramento slu'!$G$53)*IF(O51&lt;0,-1,1)</f>
        <v>240946.49743184328</v>
      </c>
      <c r="V51" s="479">
        <f t="shared" si="3"/>
        <v>555166.96753558656</v>
      </c>
      <c r="W51" s="559"/>
      <c r="X51" s="559"/>
      <c r="Z51" s="593">
        <f>ABS('Foglio deposito bis'!F104)</f>
        <v>4.40223767847512</v>
      </c>
      <c r="AA51" s="80">
        <f>ABS('Foglio deposito bis'!G104)</f>
        <v>171.90281478567334</v>
      </c>
      <c r="AB51" s="417">
        <f>'Foglio deposito bis'!G104</f>
        <v>-171.90281478567334</v>
      </c>
      <c r="AC51" s="532">
        <f>'Foglio deposito bis'!C104</f>
        <v>2.212740384615385</v>
      </c>
      <c r="AD51" s="605">
        <f>'Foglio deposito bis'!F104</f>
        <v>-4.40223767847512</v>
      </c>
      <c r="AG51" s="568">
        <f>'SOLLECITAZ NASCOSTO'!$D$4/'Progetto del paramento slu'!$B$164*'Progetto del paramento slu'!B158+VLOOKUP('SOLLECITAZ NASCOSTO'!$J$15,'SOLLECITAZ NASCOSTO'!$A$32:$C$448,3,TRUE)</f>
        <v>1.1400000000000001</v>
      </c>
    </row>
    <row r="52" spans="1:33" x14ac:dyDescent="0.25">
      <c r="A52" s="553">
        <f t="shared" si="2"/>
        <v>552305.82612827944</v>
      </c>
      <c r="B52" s="3">
        <f t="shared" si="4"/>
        <v>2.3499999999999996</v>
      </c>
      <c r="C52" s="553">
        <f>'Foglio deposito bis'!$E$153/$B$247*B52</f>
        <v>9.5399188092016303</v>
      </c>
      <c r="D52" s="611">
        <f>-'Progetto del paramento slu'!$G$47*'Progetto del paramento slu'!$G$41*IF(DATI!$G$218="dx",DATI!$E$61,DATI!$E$64*DATI!$E$63)*1000*C52^2*sezione!$AD$5*(1-sezione!$AD$6)</f>
        <v>-749194.71705244912</v>
      </c>
      <c r="E52" s="553">
        <f>-'Foglio deposito bis'!$F$48*(C52-sezione!$AL$27)*IF(ABS(K52)&lt;'Progetto del paramento slu'!$G$58,ABS(K52)*'Progetto del paramento slu'!$G$54,'Progetto del paramento slu'!$G$53)</f>
        <v>0</v>
      </c>
      <c r="F52" s="553">
        <f>-'Foglio deposito bis'!$F$49*(C52-sezione!$AM$27)*IF(ABS(L52)&lt;'Progetto del paramento slu'!$G$58,ABS(L52)*'Progetto del paramento slu'!$G$54,'Progetto del paramento slu'!$G$53)</f>
        <v>28778371.251628574</v>
      </c>
      <c r="G52" s="553">
        <f>-'Foglio deposito bis'!$F$50*(C52-sezione!$AN$27)*IF(ABS(M52)&lt;'Progetto del paramento slu'!$G$58,ABS(M52)*'Progetto del paramento slu'!$G$54,'Progetto del paramento slu'!$G$53)</f>
        <v>0</v>
      </c>
      <c r="H52" s="553">
        <f>-'Foglio deposito bis'!$F$51*(C52-sezione!$AO$27)*IF(ABS(N52)&lt;'Progetto del paramento slu'!$G$58,ABS(N52)*'Progetto del paramento slu'!$G$54,'Progetto del paramento slu'!$G$53)</f>
        <v>79623199.103965417</v>
      </c>
      <c r="I52" s="479">
        <f>-'Foglio deposito bis'!$F$52*(C52-sezione!$AP$27)*IF(ABS(O52)&lt;'Progetto del paramento slu'!$G$58,ABS(O52)*'Progetto del paramento slu'!$G$54,'Progetto del paramento slu'!$G$53)</f>
        <v>60347479.309417956</v>
      </c>
      <c r="J52" s="479">
        <f t="shared" si="0"/>
        <v>167999854.94795951</v>
      </c>
      <c r="K52" s="558">
        <f>'Progetto del paramento slu'!$G$60*(sezione!$AL$27-C52)/C52</f>
        <v>1.1175177304964529E-2</v>
      </c>
      <c r="L52" s="558">
        <f>'Progetto del paramento slu'!$G$60*(sezione!$AM$27-C52)/C52</f>
        <v>5.1531914893616991E-2</v>
      </c>
      <c r="M52" s="559">
        <f>'Progetto del paramento slu'!$G$60*(sezione!$AN$27-C52)/C52</f>
        <v>9.1888652482269434E-2</v>
      </c>
      <c r="N52" s="559">
        <f>'Progetto del paramento slu'!$G$60*(sezione!$AO$27-C52)/C52</f>
        <v>0.12123900709219849</v>
      </c>
      <c r="O52" s="559">
        <f>'Progetto del paramento slu'!$G$60*(sezione!$AP$27-C52)/C52</f>
        <v>9.1888652482269434E-2</v>
      </c>
      <c r="P52" s="553">
        <f>-'Progetto del paramento slu'!$G$47*'Progetto del paramento slu'!$G$41*IF(DATI!$G$218="dx",DATI!$E$61,DATI!$E$64*DATI!$E$63)*1000*C52*sezione!$AD$5</f>
        <v>-134473.64614343716</v>
      </c>
      <c r="Q52" s="553">
        <f>'Foglio deposito bis'!$F$48*IF(ABS(K52)&lt;'Progetto del paramento slu'!$G$58,ABS(K52)*'Progetto del paramento slu'!$G$54,'Progetto del paramento slu'!$G$53)*IF(K52&lt;0,-1,1)</f>
        <v>0</v>
      </c>
      <c r="R52" s="553">
        <f>'Foglio deposito bis'!$F$49*IF(ABS(L52)&lt;'Progetto del paramento slu'!$G$58,ABS(L52)*'Progetto del paramento slu'!$G$54,'Progetto del paramento slu'!$G$53)*IF(L52&lt;0,-1,1)</f>
        <v>204886.47740803001</v>
      </c>
      <c r="S52" s="553">
        <f>'Foglio deposito bis'!$F$50*IF(ABS(M52)&lt;'Progetto del paramento slu'!$G$58,ABS(M52)*'Progetto del paramento slu'!$G$54,'Progetto del paramento slu'!$G$53)*IF(M52&lt;0,-1,1)</f>
        <v>0</v>
      </c>
      <c r="T52" s="553">
        <f>'Foglio deposito bis'!$F$51*IF(ABS(N52)&lt;'Progetto del paramento slu'!$G$58,ABS(N52)*'Progetto del paramento slu'!$G$54,'Progetto del paramento slu'!$G$53)*IF(N52&lt;0,-1,1)</f>
        <v>240946.49743184328</v>
      </c>
      <c r="U52" s="553">
        <f>'Foglio deposito bis'!$F$52*IF(ABS(O52)&lt;'Progetto del paramento slu'!$G$58,ABS(O52)*'Progetto del paramento slu'!$G$54,'Progetto del paramento slu'!$G$53)*IF(O52&lt;0,-1,1)</f>
        <v>240946.49743184328</v>
      </c>
      <c r="V52" s="479">
        <f t="shared" si="3"/>
        <v>552305.82612827944</v>
      </c>
      <c r="W52" s="559"/>
      <c r="X52" s="559"/>
      <c r="Z52" s="593">
        <f>ABS('Foglio deposito bis'!F105)</f>
        <v>7.5958451946201109</v>
      </c>
      <c r="AA52" s="80">
        <f>ABS('Foglio deposito bis'!G105)</f>
        <v>230.64709143925316</v>
      </c>
      <c r="AB52" s="417">
        <f>'Foglio deposito bis'!G105</f>
        <v>-230.64709143925316</v>
      </c>
      <c r="AC52" s="532">
        <f>'Foglio deposito bis'!C105</f>
        <v>1.925</v>
      </c>
      <c r="AD52" s="605">
        <f>'Foglio deposito bis'!F105</f>
        <v>-7.5958451946201109</v>
      </c>
      <c r="AG52" s="568">
        <f>'SOLLECITAZ NASCOSTO'!$D$4/'Progetto del paramento slu'!$B$164*'Progetto del paramento slu'!B159+VLOOKUP('SOLLECITAZ NASCOSTO'!$J$15,'SOLLECITAZ NASCOSTO'!$A$32:$C$448,3,TRUE)</f>
        <v>1.4250000000000003</v>
      </c>
    </row>
    <row r="53" spans="1:33" x14ac:dyDescent="0.25">
      <c r="A53" s="553">
        <f t="shared" si="2"/>
        <v>549444.68472097232</v>
      </c>
      <c r="B53" s="3">
        <f t="shared" si="4"/>
        <v>2.3999999999999995</v>
      </c>
      <c r="C53" s="553">
        <f>'Foglio deposito bis'!$E$153/$B$247*B53</f>
        <v>9.7428958051420889</v>
      </c>
      <c r="D53" s="611">
        <f>-'Progetto del paramento slu'!$G$47*'Progetto del paramento slu'!$G$41*IF(DATI!$G$218="dx",DATI!$E$61,DATI!$E$64*DATI!$E$63)*1000*C53^2*sezione!$AD$5*(1-sezione!$AD$6)</f>
        <v>-781414.49890848447</v>
      </c>
      <c r="E53" s="553">
        <f>-'Foglio deposito bis'!$F$48*(C53-sezione!$AL$27)*IF(ABS(K53)&lt;'Progetto del paramento slu'!$G$58,ABS(K53)*'Progetto del paramento slu'!$G$54,'Progetto del paramento slu'!$G$53)</f>
        <v>0</v>
      </c>
      <c r="F53" s="553">
        <f>-'Foglio deposito bis'!$F$49*(C53-sezione!$AM$27)*IF(ABS(L53)&lt;'Progetto del paramento slu'!$G$58,ABS(L53)*'Progetto del paramento slu'!$G$54,'Progetto del paramento slu'!$G$53)</f>
        <v>28736784.009935465</v>
      </c>
      <c r="G53" s="553">
        <f>-'Foglio deposito bis'!$F$50*(C53-sezione!$AN$27)*IF(ABS(M53)&lt;'Progetto del paramento slu'!$G$58,ABS(M53)*'Progetto del paramento slu'!$G$54,'Progetto del paramento slu'!$G$53)</f>
        <v>0</v>
      </c>
      <c r="H53" s="553">
        <f>-'Foglio deposito bis'!$F$51*(C53-sezione!$AO$27)*IF(ABS(N53)&lt;'Progetto del paramento slu'!$G$58,ABS(N53)*'Progetto del paramento slu'!$G$54,'Progetto del paramento slu'!$G$53)</f>
        <v>79574292.507734329</v>
      </c>
      <c r="I53" s="479">
        <f>-'Foglio deposito bis'!$F$52*(C53-sezione!$AP$27)*IF(ABS(O53)&lt;'Progetto del paramento slu'!$G$58,ABS(O53)*'Progetto del paramento slu'!$G$54,'Progetto del paramento slu'!$G$53)</f>
        <v>60298572.713186868</v>
      </c>
      <c r="J53" s="479">
        <f t="shared" si="0"/>
        <v>167828234.73194817</v>
      </c>
      <c r="K53" s="558">
        <f>'Progetto del paramento slu'!$G$60*(sezione!$AL$27-C53)/C53</f>
        <v>1.0869444444444437E-2</v>
      </c>
      <c r="L53" s="558">
        <f>'Progetto del paramento slu'!$G$60*(sezione!$AM$27-C53)/C53</f>
        <v>5.0385416666666641E-2</v>
      </c>
      <c r="M53" s="559">
        <f>'Progetto del paramento slu'!$G$60*(sezione!$AN$27-C53)/C53</f>
        <v>8.9901388888888836E-2</v>
      </c>
      <c r="N53" s="559">
        <f>'Progetto del paramento slu'!$G$60*(sezione!$AO$27-C53)/C53</f>
        <v>0.11864027777777772</v>
      </c>
      <c r="O53" s="559">
        <f>'Progetto del paramento slu'!$G$60*(sezione!$AP$27-C53)/C53</f>
        <v>8.9901388888888836E-2</v>
      </c>
      <c r="P53" s="553">
        <f>-'Progetto del paramento slu'!$G$47*'Progetto del paramento slu'!$G$41*IF(DATI!$G$218="dx",DATI!$E$61,DATI!$E$64*DATI!$E$63)*1000*C53*sezione!$AD$5</f>
        <v>-137334.78755074431</v>
      </c>
      <c r="Q53" s="553">
        <f>'Foglio deposito bis'!$F$48*IF(ABS(K53)&lt;'Progetto del paramento slu'!$G$58,ABS(K53)*'Progetto del paramento slu'!$G$54,'Progetto del paramento slu'!$G$53)*IF(K53&lt;0,-1,1)</f>
        <v>0</v>
      </c>
      <c r="R53" s="553">
        <f>'Foglio deposito bis'!$F$49*IF(ABS(L53)&lt;'Progetto del paramento slu'!$G$58,ABS(L53)*'Progetto del paramento slu'!$G$54,'Progetto del paramento slu'!$G$53)*IF(L53&lt;0,-1,1)</f>
        <v>204886.47740803001</v>
      </c>
      <c r="S53" s="553">
        <f>'Foglio deposito bis'!$F$50*IF(ABS(M53)&lt;'Progetto del paramento slu'!$G$58,ABS(M53)*'Progetto del paramento slu'!$G$54,'Progetto del paramento slu'!$G$53)*IF(M53&lt;0,-1,1)</f>
        <v>0</v>
      </c>
      <c r="T53" s="553">
        <f>'Foglio deposito bis'!$F$51*IF(ABS(N53)&lt;'Progetto del paramento slu'!$G$58,ABS(N53)*'Progetto del paramento slu'!$G$54,'Progetto del paramento slu'!$G$53)*IF(N53&lt;0,-1,1)</f>
        <v>240946.49743184328</v>
      </c>
      <c r="U53" s="553">
        <f>'Foglio deposito bis'!$F$52*IF(ABS(O53)&lt;'Progetto del paramento slu'!$G$58,ABS(O53)*'Progetto del paramento slu'!$G$54,'Progetto del paramento slu'!$G$53)*IF(O53&lt;0,-1,1)</f>
        <v>240946.49743184328</v>
      </c>
      <c r="V53" s="479">
        <f t="shared" si="3"/>
        <v>549444.68472097232</v>
      </c>
      <c r="W53" s="559"/>
      <c r="X53" s="559"/>
      <c r="Z53" s="593">
        <f>ABS('Foglio deposito bis'!F106)</f>
        <v>11.8426129137434</v>
      </c>
      <c r="AA53" s="80">
        <f>ABS('Foglio deposito bis'!G106)</f>
        <v>230.64761083876141</v>
      </c>
      <c r="AB53" s="417">
        <f>'Foglio deposito bis'!G106</f>
        <v>-230.64761083876141</v>
      </c>
      <c r="AC53" s="532">
        <f>'Foglio deposito bis'!C106</f>
        <v>1.644110576923077</v>
      </c>
      <c r="AD53" s="605">
        <f>'Foglio deposito bis'!F106</f>
        <v>-11.8426129137434</v>
      </c>
      <c r="AG53" s="568">
        <f>'SOLLECITAZ NASCOSTO'!$D$4/'Progetto del paramento slu'!$B$164*'Progetto del paramento slu'!B160+VLOOKUP('SOLLECITAZ NASCOSTO'!$J$15,'SOLLECITAZ NASCOSTO'!$A$32:$C$448,3,TRUE)</f>
        <v>1.7100000000000002</v>
      </c>
    </row>
    <row r="54" spans="1:33" x14ac:dyDescent="0.25">
      <c r="A54" s="553">
        <f t="shared" si="2"/>
        <v>546583.54331366508</v>
      </c>
      <c r="B54" s="3">
        <f t="shared" si="4"/>
        <v>2.4499999999999993</v>
      </c>
      <c r="C54" s="553">
        <f>'Foglio deposito bis'!$E$153/$B$247*B54</f>
        <v>9.9458728010825492</v>
      </c>
      <c r="D54" s="611">
        <f>-'Progetto del paramento slu'!$G$47*'Progetto del paramento slu'!$G$41*IF(DATI!$G$218="dx",DATI!$E$61,DATI!$E$64*DATI!$E$63)*1000*C54^2*sezione!$AD$5*(1-sezione!$AD$6)</f>
        <v>-814312.59196148941</v>
      </c>
      <c r="E54" s="553">
        <f>-'Foglio deposito bis'!$F$48*(C54-sezione!$AL$27)*IF(ABS(K54)&lt;'Progetto del paramento slu'!$G$58,ABS(K54)*'Progetto del paramento slu'!$G$54,'Progetto del paramento slu'!$G$53)</f>
        <v>0</v>
      </c>
      <c r="F54" s="553">
        <f>-'Foglio deposito bis'!$F$49*(C54-sezione!$AM$27)*IF(ABS(L54)&lt;'Progetto del paramento slu'!$G$58,ABS(L54)*'Progetto del paramento slu'!$G$54,'Progetto del paramento slu'!$G$53)</f>
        <v>28695196.768242363</v>
      </c>
      <c r="G54" s="553">
        <f>-'Foglio deposito bis'!$F$50*(C54-sezione!$AN$27)*IF(ABS(M54)&lt;'Progetto del paramento slu'!$G$58,ABS(M54)*'Progetto del paramento slu'!$G$54,'Progetto del paramento slu'!$G$53)</f>
        <v>0</v>
      </c>
      <c r="H54" s="553">
        <f>-'Foglio deposito bis'!$F$51*(C54-sezione!$AO$27)*IF(ABS(N54)&lt;'Progetto del paramento slu'!$G$58,ABS(N54)*'Progetto del paramento slu'!$G$54,'Progetto del paramento slu'!$G$53)</f>
        <v>79525385.91150324</v>
      </c>
      <c r="I54" s="479">
        <f>-'Foglio deposito bis'!$F$52*(C54-sezione!$AP$27)*IF(ABS(O54)&lt;'Progetto del paramento slu'!$G$58,ABS(O54)*'Progetto del paramento slu'!$G$54,'Progetto del paramento slu'!$G$53)</f>
        <v>60249666.116955779</v>
      </c>
      <c r="J54" s="479">
        <f t="shared" si="0"/>
        <v>167655936.2047399</v>
      </c>
      <c r="K54" s="558">
        <f>'Progetto del paramento slu'!$G$60*(sezione!$AL$27-C54)/C54</f>
        <v>1.0576190476190468E-2</v>
      </c>
      <c r="L54" s="558">
        <f>'Progetto del paramento slu'!$G$60*(sezione!$AM$27-C54)/C54</f>
        <v>4.9285714285714259E-2</v>
      </c>
      <c r="M54" s="559">
        <f>'Progetto del paramento slu'!$G$60*(sezione!$AN$27-C54)/C54</f>
        <v>8.7995238095238057E-2</v>
      </c>
      <c r="N54" s="559">
        <f>'Progetto del paramento slu'!$G$60*(sezione!$AO$27-C54)/C54</f>
        <v>0.11614761904761899</v>
      </c>
      <c r="O54" s="559">
        <f>'Progetto del paramento slu'!$G$60*(sezione!$AP$27-C54)/C54</f>
        <v>8.7995238095238057E-2</v>
      </c>
      <c r="P54" s="553">
        <f>-'Progetto del paramento slu'!$G$47*'Progetto del paramento slu'!$G$41*IF(DATI!$G$218="dx",DATI!$E$61,DATI!$E$64*DATI!$E$63)*1000*C54*sezione!$AD$5</f>
        <v>-140195.92895805149</v>
      </c>
      <c r="Q54" s="553">
        <f>'Foglio deposito bis'!$F$48*IF(ABS(K54)&lt;'Progetto del paramento slu'!$G$58,ABS(K54)*'Progetto del paramento slu'!$G$54,'Progetto del paramento slu'!$G$53)*IF(K54&lt;0,-1,1)</f>
        <v>0</v>
      </c>
      <c r="R54" s="553">
        <f>'Foglio deposito bis'!$F$49*IF(ABS(L54)&lt;'Progetto del paramento slu'!$G$58,ABS(L54)*'Progetto del paramento slu'!$G$54,'Progetto del paramento slu'!$G$53)*IF(L54&lt;0,-1,1)</f>
        <v>204886.47740803001</v>
      </c>
      <c r="S54" s="553">
        <f>'Foglio deposito bis'!$F$50*IF(ABS(M54)&lt;'Progetto del paramento slu'!$G$58,ABS(M54)*'Progetto del paramento slu'!$G$54,'Progetto del paramento slu'!$G$53)*IF(M54&lt;0,-1,1)</f>
        <v>0</v>
      </c>
      <c r="T54" s="553">
        <f>'Foglio deposito bis'!$F$51*IF(ABS(N54)&lt;'Progetto del paramento slu'!$G$58,ABS(N54)*'Progetto del paramento slu'!$G$54,'Progetto del paramento slu'!$G$53)*IF(N54&lt;0,-1,1)</f>
        <v>240946.49743184328</v>
      </c>
      <c r="U54" s="553">
        <f>'Foglio deposito bis'!$F$52*IF(ABS(O54)&lt;'Progetto del paramento slu'!$G$58,ABS(O54)*'Progetto del paramento slu'!$G$54,'Progetto del paramento slu'!$G$53)*IF(O54&lt;0,-1,1)</f>
        <v>240946.49743184328</v>
      </c>
      <c r="V54" s="479">
        <f t="shared" si="3"/>
        <v>546583.54331366508</v>
      </c>
      <c r="W54" s="559"/>
      <c r="X54" s="559"/>
      <c r="Z54" s="593">
        <f>ABS('Foglio deposito bis'!F107)</f>
        <v>17.513768691665764</v>
      </c>
      <c r="AA54" s="80">
        <f>ABS('Foglio deposito bis'!G107)</f>
        <v>327.81310174719664</v>
      </c>
      <c r="AB54" s="417">
        <f>'Foglio deposito bis'!G107</f>
        <v>-327.81310174719664</v>
      </c>
      <c r="AC54" s="532">
        <f>'Foglio deposito bis'!C107</f>
        <v>1.3563701923076925</v>
      </c>
      <c r="AD54" s="605">
        <f>'Foglio deposito bis'!F107</f>
        <v>-17.513768691665764</v>
      </c>
      <c r="AG54" s="568">
        <f>'SOLLECITAZ NASCOSTO'!$D$4/'Progetto del paramento slu'!$B$164*'Progetto del paramento slu'!B161+VLOOKUP('SOLLECITAZ NASCOSTO'!$J$15,'SOLLECITAZ NASCOSTO'!$A$32:$C$448,3,TRUE)</f>
        <v>1.9950000000000001</v>
      </c>
    </row>
    <row r="55" spans="1:33" x14ac:dyDescent="0.25">
      <c r="A55" s="553">
        <f t="shared" si="2"/>
        <v>543722.40190635796</v>
      </c>
      <c r="B55" s="3">
        <f t="shared" si="4"/>
        <v>2.4999999999999991</v>
      </c>
      <c r="C55" s="553">
        <f>'Foglio deposito bis'!$E$153/$B$247*B55</f>
        <v>10.148849797023008</v>
      </c>
      <c r="D55" s="611">
        <f>-'Progetto del paramento slu'!$G$47*'Progetto del paramento slu'!$G$41*IF(DATI!$G$218="dx",DATI!$E$61,DATI!$E$64*DATI!$E$63)*1000*C55^2*sezione!$AD$5*(1-sezione!$AD$6)</f>
        <v>-847888.996211463</v>
      </c>
      <c r="E55" s="553">
        <f>-'Foglio deposito bis'!$F$48*(C55-sezione!$AL$27)*IF(ABS(K55)&lt;'Progetto del paramento slu'!$G$58,ABS(K55)*'Progetto del paramento slu'!$G$54,'Progetto del paramento slu'!$G$53)</f>
        <v>0</v>
      </c>
      <c r="F55" s="553">
        <f>-'Foglio deposito bis'!$F$49*(C55-sezione!$AM$27)*IF(ABS(L55)&lt;'Progetto del paramento slu'!$G$58,ABS(L55)*'Progetto del paramento slu'!$G$54,'Progetto del paramento slu'!$G$53)</f>
        <v>28653609.526549254</v>
      </c>
      <c r="G55" s="553">
        <f>-'Foglio deposito bis'!$F$50*(C55-sezione!$AN$27)*IF(ABS(M55)&lt;'Progetto del paramento slu'!$G$58,ABS(M55)*'Progetto del paramento slu'!$G$54,'Progetto del paramento slu'!$G$53)</f>
        <v>0</v>
      </c>
      <c r="H55" s="553">
        <f>-'Foglio deposito bis'!$F$51*(C55-sezione!$AO$27)*IF(ABS(N55)&lt;'Progetto del paramento slu'!$G$58,ABS(N55)*'Progetto del paramento slu'!$G$54,'Progetto del paramento slu'!$G$53)</f>
        <v>79476479.315272138</v>
      </c>
      <c r="I55" s="479">
        <f>-'Foglio deposito bis'!$F$52*(C55-sezione!$AP$27)*IF(ABS(O55)&lt;'Progetto del paramento slu'!$G$58,ABS(O55)*'Progetto del paramento slu'!$G$54,'Progetto del paramento slu'!$G$53)</f>
        <v>60200759.520724684</v>
      </c>
      <c r="J55" s="479">
        <f t="shared" si="0"/>
        <v>167482959.36633462</v>
      </c>
      <c r="K55" s="558">
        <f>'Progetto del paramento slu'!$G$60*(sezione!$AL$27-C55)/C55</f>
        <v>1.0294666666666662E-2</v>
      </c>
      <c r="L55" s="558">
        <f>'Progetto del paramento slu'!$G$60*(sezione!$AM$27-C55)/C55</f>
        <v>4.8229999999999981E-2</v>
      </c>
      <c r="M55" s="559">
        <f>'Progetto del paramento slu'!$G$60*(sezione!$AN$27-C55)/C55</f>
        <v>8.6165333333333302E-2</v>
      </c>
      <c r="N55" s="559">
        <f>'Progetto del paramento slu'!$G$60*(sezione!$AO$27-C55)/C55</f>
        <v>0.11375466666666664</v>
      </c>
      <c r="O55" s="559">
        <f>'Progetto del paramento slu'!$G$60*(sezione!$AP$27-C55)/C55</f>
        <v>8.6165333333333302E-2</v>
      </c>
      <c r="P55" s="553">
        <f>-'Progetto del paramento slu'!$G$47*'Progetto del paramento slu'!$G$41*IF(DATI!$G$218="dx",DATI!$E$61,DATI!$E$64*DATI!$E$63)*1000*C55*sezione!$AD$5</f>
        <v>-143057.07036535864</v>
      </c>
      <c r="Q55" s="553">
        <f>'Foglio deposito bis'!$F$48*IF(ABS(K55)&lt;'Progetto del paramento slu'!$G$58,ABS(K55)*'Progetto del paramento slu'!$G$54,'Progetto del paramento slu'!$G$53)*IF(K55&lt;0,-1,1)</f>
        <v>0</v>
      </c>
      <c r="R55" s="553">
        <f>'Foglio deposito bis'!$F$49*IF(ABS(L55)&lt;'Progetto del paramento slu'!$G$58,ABS(L55)*'Progetto del paramento slu'!$G$54,'Progetto del paramento slu'!$G$53)*IF(L55&lt;0,-1,1)</f>
        <v>204886.47740803001</v>
      </c>
      <c r="S55" s="553">
        <f>'Foglio deposito bis'!$F$50*IF(ABS(M55)&lt;'Progetto del paramento slu'!$G$58,ABS(M55)*'Progetto del paramento slu'!$G$54,'Progetto del paramento slu'!$G$53)*IF(M55&lt;0,-1,1)</f>
        <v>0</v>
      </c>
      <c r="T55" s="553">
        <f>'Foglio deposito bis'!$F$51*IF(ABS(N55)&lt;'Progetto del paramento slu'!$G$58,ABS(N55)*'Progetto del paramento slu'!$G$54,'Progetto del paramento slu'!$G$53)*IF(N55&lt;0,-1,1)</f>
        <v>240946.49743184328</v>
      </c>
      <c r="U55" s="553">
        <f>'Foglio deposito bis'!$F$52*IF(ABS(O55)&lt;'Progetto del paramento slu'!$G$58,ABS(O55)*'Progetto del paramento slu'!$G$54,'Progetto del paramento slu'!$G$53)*IF(O55&lt;0,-1,1)</f>
        <v>240946.49743184328</v>
      </c>
      <c r="V55" s="479">
        <f t="shared" si="3"/>
        <v>543722.40190635796</v>
      </c>
      <c r="W55" s="559"/>
      <c r="X55" s="559"/>
      <c r="Z55" s="593">
        <f>ABS('Foglio deposito bis'!F108)</f>
        <v>24.498138257943335</v>
      </c>
      <c r="AA55" s="80">
        <f>ABS('Foglio deposito bis'!G108)</f>
        <v>327.81399237307892</v>
      </c>
      <c r="AB55" s="417">
        <f>'Foglio deposito bis'!G108</f>
        <v>-327.81399237307892</v>
      </c>
      <c r="AC55" s="532">
        <f>'Foglio deposito bis'!C108</f>
        <v>1.0754807692307695</v>
      </c>
      <c r="AD55" s="605">
        <f>'Foglio deposito bis'!F108</f>
        <v>-24.498138257943335</v>
      </c>
      <c r="AG55" s="568">
        <f>'SOLLECITAZ NASCOSTO'!$D$4/'Progetto del paramento slu'!$B$164*'Progetto del paramento slu'!B162+VLOOKUP('SOLLECITAZ NASCOSTO'!$J$15,'SOLLECITAZ NASCOSTO'!$A$32:$C$448,3,TRUE)</f>
        <v>2.2800000000000002</v>
      </c>
    </row>
    <row r="56" spans="1:33" x14ac:dyDescent="0.25">
      <c r="A56" s="553">
        <f t="shared" si="2"/>
        <v>540861.26049905072</v>
      </c>
      <c r="B56" s="3">
        <f t="shared" si="4"/>
        <v>2.5499999999999989</v>
      </c>
      <c r="C56" s="553">
        <f>'Foglio deposito bis'!$E$153/$B$247*B56</f>
        <v>10.351826792963468</v>
      </c>
      <c r="D56" s="611">
        <f>-'Progetto del paramento slu'!$G$47*'Progetto del paramento slu'!$G$41*IF(DATI!$G$218="dx",DATI!$E$61,DATI!$E$64*DATI!$E$63)*1000*C56^2*sezione!$AD$5*(1-sezione!$AD$6)</f>
        <v>-882143.71165840607</v>
      </c>
      <c r="E56" s="553">
        <f>-'Foglio deposito bis'!$F$48*(C56-sezione!$AL$27)*IF(ABS(K56)&lt;'Progetto del paramento slu'!$G$58,ABS(K56)*'Progetto del paramento slu'!$G$54,'Progetto del paramento slu'!$G$53)</f>
        <v>0</v>
      </c>
      <c r="F56" s="553">
        <f>-'Foglio deposito bis'!$F$49*(C56-sezione!$AM$27)*IF(ABS(L56)&lt;'Progetto del paramento slu'!$G$58,ABS(L56)*'Progetto del paramento slu'!$G$54,'Progetto del paramento slu'!$G$53)</f>
        <v>28612022.284856156</v>
      </c>
      <c r="G56" s="553">
        <f>-'Foglio deposito bis'!$F$50*(C56-sezione!$AN$27)*IF(ABS(M56)&lt;'Progetto del paramento slu'!$G$58,ABS(M56)*'Progetto del paramento slu'!$G$54,'Progetto del paramento slu'!$G$53)</f>
        <v>0</v>
      </c>
      <c r="H56" s="553">
        <f>-'Foglio deposito bis'!$F$51*(C56-sezione!$AO$27)*IF(ABS(N56)&lt;'Progetto del paramento slu'!$G$58,ABS(N56)*'Progetto del paramento slu'!$G$54,'Progetto del paramento slu'!$G$53)</f>
        <v>79427572.719041049</v>
      </c>
      <c r="I56" s="479">
        <f>-'Foglio deposito bis'!$F$52*(C56-sezione!$AP$27)*IF(ABS(O56)&lt;'Progetto del paramento slu'!$G$58,ABS(O56)*'Progetto del paramento slu'!$G$54,'Progetto del paramento slu'!$G$53)</f>
        <v>60151852.924493596</v>
      </c>
      <c r="J56" s="479">
        <f t="shared" si="0"/>
        <v>167309304.21673238</v>
      </c>
      <c r="K56" s="558">
        <f>'Progetto del paramento slu'!$G$60*(sezione!$AL$27-C56)/C56</f>
        <v>1.0024183006535943E-2</v>
      </c>
      <c r="L56" s="558">
        <f>'Progetto del paramento slu'!$G$60*(sezione!$AM$27-C56)/C56</f>
        <v>4.7215686274509783E-2</v>
      </c>
      <c r="M56" s="559">
        <f>'Progetto del paramento slu'!$G$60*(sezione!$AN$27-C56)/C56</f>
        <v>8.4407189542483635E-2</v>
      </c>
      <c r="N56" s="559">
        <f>'Progetto del paramento slu'!$G$60*(sezione!$AO$27-C56)/C56</f>
        <v>0.1114555555555555</v>
      </c>
      <c r="O56" s="559">
        <f>'Progetto del paramento slu'!$G$60*(sezione!$AP$27-C56)/C56</f>
        <v>8.4407189542483635E-2</v>
      </c>
      <c r="P56" s="553">
        <f>-'Progetto del paramento slu'!$G$47*'Progetto del paramento slu'!$G$41*IF(DATI!$G$218="dx",DATI!$E$61,DATI!$E$64*DATI!$E$63)*1000*C56*sezione!$AD$5</f>
        <v>-145918.21177266582</v>
      </c>
      <c r="Q56" s="553">
        <f>'Foglio deposito bis'!$F$48*IF(ABS(K56)&lt;'Progetto del paramento slu'!$G$58,ABS(K56)*'Progetto del paramento slu'!$G$54,'Progetto del paramento slu'!$G$53)*IF(K56&lt;0,-1,1)</f>
        <v>0</v>
      </c>
      <c r="R56" s="553">
        <f>'Foglio deposito bis'!$F$49*IF(ABS(L56)&lt;'Progetto del paramento slu'!$G$58,ABS(L56)*'Progetto del paramento slu'!$G$54,'Progetto del paramento slu'!$G$53)*IF(L56&lt;0,-1,1)</f>
        <v>204886.47740803001</v>
      </c>
      <c r="S56" s="553">
        <f>'Foglio deposito bis'!$F$50*IF(ABS(M56)&lt;'Progetto del paramento slu'!$G$58,ABS(M56)*'Progetto del paramento slu'!$G$54,'Progetto del paramento slu'!$G$53)*IF(M56&lt;0,-1,1)</f>
        <v>0</v>
      </c>
      <c r="T56" s="553">
        <f>'Foglio deposito bis'!$F$51*IF(ABS(N56)&lt;'Progetto del paramento slu'!$G$58,ABS(N56)*'Progetto del paramento slu'!$G$54,'Progetto del paramento slu'!$G$53)*IF(N56&lt;0,-1,1)</f>
        <v>240946.49743184328</v>
      </c>
      <c r="U56" s="553">
        <f>'Foglio deposito bis'!$F$52*IF(ABS(O56)&lt;'Progetto del paramento slu'!$G$58,ABS(O56)*'Progetto del paramento slu'!$G$54,'Progetto del paramento slu'!$G$53)*IF(O56&lt;0,-1,1)</f>
        <v>240946.49743184328</v>
      </c>
      <c r="V56" s="479">
        <f t="shared" si="3"/>
        <v>540861.26049905072</v>
      </c>
      <c r="W56" s="559"/>
      <c r="X56" s="559"/>
      <c r="Z56" s="593">
        <f>ABS('Foglio deposito bis'!F109)</f>
        <v>33.300491021916606</v>
      </c>
      <c r="AA56" s="80">
        <f>ABS('Foglio deposito bis'!G109)</f>
        <v>536.02467902300441</v>
      </c>
      <c r="AB56" s="417">
        <f>'Foglio deposito bis'!G109</f>
        <v>-536.02467902300441</v>
      </c>
      <c r="AC56" s="532">
        <f>'Foglio deposito bis'!C109</f>
        <v>0.78774038461538476</v>
      </c>
      <c r="AD56" s="605">
        <f>'Foglio deposito bis'!F109</f>
        <v>-33.300491021916606</v>
      </c>
      <c r="AG56" s="568">
        <f>'SOLLECITAZ NASCOSTO'!$D$4/'Progetto del paramento slu'!$B$164*'Progetto del paramento slu'!B163+VLOOKUP('SOLLECITAZ NASCOSTO'!$J$15,'SOLLECITAZ NASCOSTO'!$A$32:$C$448,3,TRUE)</f>
        <v>2.5650000000000004</v>
      </c>
    </row>
    <row r="57" spans="1:33" x14ac:dyDescent="0.25">
      <c r="A57" s="553">
        <f t="shared" si="2"/>
        <v>538000.1190917436</v>
      </c>
      <c r="B57" s="3">
        <f t="shared" si="4"/>
        <v>2.5999999999999988</v>
      </c>
      <c r="C57" s="553">
        <f>'Foglio deposito bis'!$E$153/$B$247*B57</f>
        <v>10.554803788903927</v>
      </c>
      <c r="D57" s="611">
        <f>-'Progetto del paramento slu'!$G$47*'Progetto del paramento slu'!$G$41*IF(DATI!$G$218="dx",DATI!$E$61,DATI!$E$64*DATI!$E$63)*1000*C57^2*sezione!$AD$5*(1-sezione!$AD$6)</f>
        <v>-917076.73830231803</v>
      </c>
      <c r="E57" s="553">
        <f>-'Foglio deposito bis'!$F$48*(C57-sezione!$AL$27)*IF(ABS(K57)&lt;'Progetto del paramento slu'!$G$58,ABS(K57)*'Progetto del paramento slu'!$G$54,'Progetto del paramento slu'!$G$53)</f>
        <v>0</v>
      </c>
      <c r="F57" s="553">
        <f>-'Foglio deposito bis'!$F$49*(C57-sezione!$AM$27)*IF(ABS(L57)&lt;'Progetto del paramento slu'!$G$58,ABS(L57)*'Progetto del paramento slu'!$G$54,'Progetto del paramento slu'!$G$53)</f>
        <v>28570435.043163043</v>
      </c>
      <c r="G57" s="553">
        <f>-'Foglio deposito bis'!$F$50*(C57-sezione!$AN$27)*IF(ABS(M57)&lt;'Progetto del paramento slu'!$G$58,ABS(M57)*'Progetto del paramento slu'!$G$54,'Progetto del paramento slu'!$G$53)</f>
        <v>0</v>
      </c>
      <c r="H57" s="553">
        <f>-'Foglio deposito bis'!$F$51*(C57-sezione!$AO$27)*IF(ABS(N57)&lt;'Progetto del paramento slu'!$G$58,ABS(N57)*'Progetto del paramento slu'!$G$54,'Progetto del paramento slu'!$G$53)</f>
        <v>79378666.122809961</v>
      </c>
      <c r="I57" s="479">
        <f>-'Foglio deposito bis'!$F$52*(C57-sezione!$AP$27)*IF(ABS(O57)&lt;'Progetto del paramento slu'!$G$58,ABS(O57)*'Progetto del paramento slu'!$G$54,'Progetto del paramento slu'!$G$53)</f>
        <v>60102946.328262493</v>
      </c>
      <c r="J57" s="479">
        <f t="shared" si="0"/>
        <v>167134970.75593317</v>
      </c>
      <c r="K57" s="558">
        <f>'Progetto del paramento slu'!$G$60*(sezione!$AL$27-C57)/C57</f>
        <v>9.7641025641025617E-3</v>
      </c>
      <c r="L57" s="558">
        <f>'Progetto del paramento slu'!$G$60*(sezione!$AM$27-C57)/C57</f>
        <v>4.62403846153846E-2</v>
      </c>
      <c r="M57" s="559">
        <f>'Progetto del paramento slu'!$G$60*(sezione!$AN$27-C57)/C57</f>
        <v>8.2716666666666647E-2</v>
      </c>
      <c r="N57" s="559">
        <f>'Progetto del paramento slu'!$G$60*(sezione!$AO$27-C57)/C57</f>
        <v>0.10924487179487177</v>
      </c>
      <c r="O57" s="559">
        <f>'Progetto del paramento slu'!$G$60*(sezione!$AP$27-C57)/C57</f>
        <v>8.2716666666666647E-2</v>
      </c>
      <c r="P57" s="553">
        <f>-'Progetto del paramento slu'!$G$47*'Progetto del paramento slu'!$G$41*IF(DATI!$G$218="dx",DATI!$E$61,DATI!$E$64*DATI!$E$63)*1000*C57*sezione!$AD$5</f>
        <v>-148779.35317997297</v>
      </c>
      <c r="Q57" s="553">
        <f>'Foglio deposito bis'!$F$48*IF(ABS(K57)&lt;'Progetto del paramento slu'!$G$58,ABS(K57)*'Progetto del paramento slu'!$G$54,'Progetto del paramento slu'!$G$53)*IF(K57&lt;0,-1,1)</f>
        <v>0</v>
      </c>
      <c r="R57" s="553">
        <f>'Foglio deposito bis'!$F$49*IF(ABS(L57)&lt;'Progetto del paramento slu'!$G$58,ABS(L57)*'Progetto del paramento slu'!$G$54,'Progetto del paramento slu'!$G$53)*IF(L57&lt;0,-1,1)</f>
        <v>204886.47740803001</v>
      </c>
      <c r="S57" s="553">
        <f>'Foglio deposito bis'!$F$50*IF(ABS(M57)&lt;'Progetto del paramento slu'!$G$58,ABS(M57)*'Progetto del paramento slu'!$G$54,'Progetto del paramento slu'!$G$53)*IF(M57&lt;0,-1,1)</f>
        <v>0</v>
      </c>
      <c r="T57" s="553">
        <f>'Foglio deposito bis'!$F$51*IF(ABS(N57)&lt;'Progetto del paramento slu'!$G$58,ABS(N57)*'Progetto del paramento slu'!$G$54,'Progetto del paramento slu'!$G$53)*IF(N57&lt;0,-1,1)</f>
        <v>240946.49743184328</v>
      </c>
      <c r="U57" s="553">
        <f>'Foglio deposito bis'!$F$52*IF(ABS(O57)&lt;'Progetto del paramento slu'!$G$58,ABS(O57)*'Progetto del paramento slu'!$G$54,'Progetto del paramento slu'!$G$53)*IF(O57&lt;0,-1,1)</f>
        <v>240946.49743184328</v>
      </c>
      <c r="V57" s="479">
        <f t="shared" si="3"/>
        <v>538000.1190917436</v>
      </c>
      <c r="W57" s="559"/>
      <c r="X57" s="559"/>
      <c r="Z57" s="593">
        <f>ABS('Foglio deposito bis'!F110)</f>
        <v>43.936434027868202</v>
      </c>
      <c r="AA57" s="80">
        <f>ABS('Foglio deposito bis'!G110)</f>
        <v>536.0267328442452</v>
      </c>
      <c r="AB57" s="417">
        <f>'Foglio deposito bis'!G110</f>
        <v>-536.0267328442452</v>
      </c>
      <c r="AC57" s="532">
        <f>'Foglio deposito bis'!C110</f>
        <v>0.5</v>
      </c>
      <c r="AD57" s="605">
        <f>'Foglio deposito bis'!F110</f>
        <v>-43.936434027868202</v>
      </c>
      <c r="AG57" s="568">
        <f>'SOLLECITAZ NASCOSTO'!$D$4/'Progetto del paramento slu'!$B$164*'Progetto del paramento slu'!B164+VLOOKUP('SOLLECITAZ NASCOSTO'!$J$15,'SOLLECITAZ NASCOSTO'!$A$32:$C$448,3,TRUE)</f>
        <v>2.8500000000000005</v>
      </c>
    </row>
    <row r="58" spans="1:33" x14ac:dyDescent="0.25">
      <c r="A58" s="553">
        <f t="shared" si="2"/>
        <v>535138.97768443648</v>
      </c>
      <c r="B58" s="3">
        <f t="shared" si="4"/>
        <v>2.6499999999999986</v>
      </c>
      <c r="C58" s="553">
        <f>'Foglio deposito bis'!$E$153/$B$247*B58</f>
        <v>10.757780784844387</v>
      </c>
      <c r="D58" s="611">
        <f>-'Progetto del paramento slu'!$G$47*'Progetto del paramento slu'!$G$41*IF(DATI!$G$218="dx",DATI!$E$61,DATI!$E$64*DATI!$E$63)*1000*C58^2*sezione!$AD$5*(1-sezione!$AD$6)</f>
        <v>-952688.07614319969</v>
      </c>
      <c r="E58" s="553">
        <f>-'Foglio deposito bis'!$F$48*(C58-sezione!$AL$27)*IF(ABS(K58)&lt;'Progetto del paramento slu'!$G$58,ABS(K58)*'Progetto del paramento slu'!$G$54,'Progetto del paramento slu'!$G$53)</f>
        <v>0</v>
      </c>
      <c r="F58" s="553">
        <f>-'Foglio deposito bis'!$F$49*(C58-sezione!$AM$27)*IF(ABS(L58)&lt;'Progetto del paramento slu'!$G$58,ABS(L58)*'Progetto del paramento slu'!$G$54,'Progetto del paramento slu'!$G$53)</f>
        <v>28528847.801469944</v>
      </c>
      <c r="G58" s="553">
        <f>-'Foglio deposito bis'!$F$50*(C58-sezione!$AN$27)*IF(ABS(M58)&lt;'Progetto del paramento slu'!$G$58,ABS(M58)*'Progetto del paramento slu'!$G$54,'Progetto del paramento slu'!$G$53)</f>
        <v>0</v>
      </c>
      <c r="H58" s="553">
        <f>-'Foglio deposito bis'!$F$51*(C58-sezione!$AO$27)*IF(ABS(N58)&lt;'Progetto del paramento slu'!$G$58,ABS(N58)*'Progetto del paramento slu'!$G$54,'Progetto del paramento slu'!$G$53)</f>
        <v>79329759.526578873</v>
      </c>
      <c r="I58" s="479">
        <f>-'Foglio deposito bis'!$F$52*(C58-sezione!$AP$27)*IF(ABS(O58)&lt;'Progetto del paramento slu'!$G$58,ABS(O58)*'Progetto del paramento slu'!$G$54,'Progetto del paramento slu'!$G$53)</f>
        <v>60054039.732031412</v>
      </c>
      <c r="J58" s="479">
        <f t="shared" si="0"/>
        <v>166959958.98393703</v>
      </c>
      <c r="K58" s="558">
        <f>'Progetto del paramento slu'!$G$60*(sezione!$AL$27-C58)/C58</f>
        <v>9.5138364779874182E-3</v>
      </c>
      <c r="L58" s="558">
        <f>'Progetto del paramento slu'!$G$60*(sezione!$AM$27-C58)/C58</f>
        <v>4.5301886792452818E-2</v>
      </c>
      <c r="M58" s="559">
        <f>'Progetto del paramento slu'!$G$60*(sezione!$AN$27-C58)/C58</f>
        <v>8.1089937106918211E-2</v>
      </c>
      <c r="N58" s="559">
        <f>'Progetto del paramento slu'!$G$60*(sezione!$AO$27-C58)/C58</f>
        <v>0.10711761006289305</v>
      </c>
      <c r="O58" s="559">
        <f>'Progetto del paramento slu'!$G$60*(sezione!$AP$27-C58)/C58</f>
        <v>8.1089937106918211E-2</v>
      </c>
      <c r="P58" s="553">
        <f>-'Progetto del paramento slu'!$G$47*'Progetto del paramento slu'!$G$41*IF(DATI!$G$218="dx",DATI!$E$61,DATI!$E$64*DATI!$E$63)*1000*C58*sezione!$AD$5</f>
        <v>-151640.49458728015</v>
      </c>
      <c r="Q58" s="553">
        <f>'Foglio deposito bis'!$F$48*IF(ABS(K58)&lt;'Progetto del paramento slu'!$G$58,ABS(K58)*'Progetto del paramento slu'!$G$54,'Progetto del paramento slu'!$G$53)*IF(K58&lt;0,-1,1)</f>
        <v>0</v>
      </c>
      <c r="R58" s="553">
        <f>'Foglio deposito bis'!$F$49*IF(ABS(L58)&lt;'Progetto del paramento slu'!$G$58,ABS(L58)*'Progetto del paramento slu'!$G$54,'Progetto del paramento slu'!$G$53)*IF(L58&lt;0,-1,1)</f>
        <v>204886.47740803001</v>
      </c>
      <c r="S58" s="553">
        <f>'Foglio deposito bis'!$F$50*IF(ABS(M58)&lt;'Progetto del paramento slu'!$G$58,ABS(M58)*'Progetto del paramento slu'!$G$54,'Progetto del paramento slu'!$G$53)*IF(M58&lt;0,-1,1)</f>
        <v>0</v>
      </c>
      <c r="T58" s="553">
        <f>'Foglio deposito bis'!$F$51*IF(ABS(N58)&lt;'Progetto del paramento slu'!$G$58,ABS(N58)*'Progetto del paramento slu'!$G$54,'Progetto del paramento slu'!$G$53)*IF(N58&lt;0,-1,1)</f>
        <v>240946.49743184328</v>
      </c>
      <c r="U58" s="553">
        <f>'Foglio deposito bis'!$F$52*IF(ABS(O58)&lt;'Progetto del paramento slu'!$G$58,ABS(O58)*'Progetto del paramento slu'!$G$54,'Progetto del paramento slu'!$G$53)*IF(O58&lt;0,-1,1)</f>
        <v>240946.49743184328</v>
      </c>
      <c r="V58" s="479">
        <f t="shared" si="3"/>
        <v>535138.97768443648</v>
      </c>
      <c r="W58" s="559"/>
      <c r="X58" s="559"/>
      <c r="Z58" s="428"/>
      <c r="AA58" s="428"/>
      <c r="AB58" s="593">
        <v>0</v>
      </c>
      <c r="AC58" s="532">
        <f>AC57</f>
        <v>0.5</v>
      </c>
      <c r="AD58" s="605">
        <f>'Foglio deposito bis'!F129</f>
        <v>0</v>
      </c>
    </row>
    <row r="59" spans="1:33" x14ac:dyDescent="0.25">
      <c r="A59" s="553">
        <f t="shared" si="2"/>
        <v>532277.83627712924</v>
      </c>
      <c r="B59" s="3">
        <f t="shared" si="4"/>
        <v>2.6999999999999984</v>
      </c>
      <c r="C59" s="553">
        <f>'Foglio deposito bis'!$E$153/$B$247*B59</f>
        <v>10.960757780784846</v>
      </c>
      <c r="D59" s="611">
        <f>-'Progetto del paramento slu'!$G$47*'Progetto del paramento slu'!$G$41*IF(DATI!$G$218="dx",DATI!$E$61,DATI!$E$64*DATI!$E$63)*1000*C59^2*sezione!$AD$5*(1-sezione!$AD$6)</f>
        <v>-988977.72518105002</v>
      </c>
      <c r="E59" s="553">
        <f>-'Foglio deposito bis'!$F$48*(C59-sezione!$AL$27)*IF(ABS(K59)&lt;'Progetto del paramento slu'!$G$58,ABS(K59)*'Progetto del paramento slu'!$G$54,'Progetto del paramento slu'!$G$53)</f>
        <v>0</v>
      </c>
      <c r="F59" s="553">
        <f>-'Foglio deposito bis'!$F$49*(C59-sezione!$AM$27)*IF(ABS(L59)&lt;'Progetto del paramento slu'!$G$58,ABS(L59)*'Progetto del paramento slu'!$G$54,'Progetto del paramento slu'!$G$53)</f>
        <v>28487260.559776839</v>
      </c>
      <c r="G59" s="553">
        <f>-'Foglio deposito bis'!$F$50*(C59-sezione!$AN$27)*IF(ABS(M59)&lt;'Progetto del paramento slu'!$G$58,ABS(M59)*'Progetto del paramento slu'!$G$54,'Progetto del paramento slu'!$G$53)</f>
        <v>0</v>
      </c>
      <c r="H59" s="553">
        <f>-'Foglio deposito bis'!$F$51*(C59-sezione!$AO$27)*IF(ABS(N59)&lt;'Progetto del paramento slu'!$G$58,ABS(N59)*'Progetto del paramento slu'!$G$54,'Progetto del paramento slu'!$G$53)</f>
        <v>79280852.930347785</v>
      </c>
      <c r="I59" s="479">
        <f>-'Foglio deposito bis'!$F$52*(C59-sezione!$AP$27)*IF(ABS(O59)&lt;'Progetto del paramento slu'!$G$58,ABS(O59)*'Progetto del paramento slu'!$G$54,'Progetto del paramento slu'!$G$53)</f>
        <v>60005133.135800324</v>
      </c>
      <c r="J59" s="479">
        <f t="shared" si="0"/>
        <v>166784268.9007439</v>
      </c>
      <c r="K59" s="558">
        <f>'Progetto del paramento slu'!$G$60*(sezione!$AL$27-C59)/C59</f>
        <v>9.2728395061728378E-3</v>
      </c>
      <c r="L59" s="558">
        <f>'Progetto del paramento slu'!$G$60*(sezione!$AM$27-C59)/C59</f>
        <v>4.4398148148148145E-2</v>
      </c>
      <c r="M59" s="559">
        <f>'Progetto del paramento slu'!$G$60*(sezione!$AN$27-C59)/C59</f>
        <v>7.9523456790123445E-2</v>
      </c>
      <c r="N59" s="559">
        <f>'Progetto del paramento slu'!$G$60*(sezione!$AO$27-C59)/C59</f>
        <v>0.10506913580246913</v>
      </c>
      <c r="O59" s="559">
        <f>'Progetto del paramento slu'!$G$60*(sezione!$AP$27-C59)/C59</f>
        <v>7.9523456790123445E-2</v>
      </c>
      <c r="P59" s="553">
        <f>-'Progetto del paramento slu'!$G$47*'Progetto del paramento slu'!$G$41*IF(DATI!$G$218="dx",DATI!$E$61,DATI!$E$64*DATI!$E$63)*1000*C59*sezione!$AD$5</f>
        <v>-154501.6359945873</v>
      </c>
      <c r="Q59" s="553">
        <f>'Foglio deposito bis'!$F$48*IF(ABS(K59)&lt;'Progetto del paramento slu'!$G$58,ABS(K59)*'Progetto del paramento slu'!$G$54,'Progetto del paramento slu'!$G$53)*IF(K59&lt;0,-1,1)</f>
        <v>0</v>
      </c>
      <c r="R59" s="553">
        <f>'Foglio deposito bis'!$F$49*IF(ABS(L59)&lt;'Progetto del paramento slu'!$G$58,ABS(L59)*'Progetto del paramento slu'!$G$54,'Progetto del paramento slu'!$G$53)*IF(L59&lt;0,-1,1)</f>
        <v>204886.47740803001</v>
      </c>
      <c r="S59" s="553">
        <f>'Foglio deposito bis'!$F$50*IF(ABS(M59)&lt;'Progetto del paramento slu'!$G$58,ABS(M59)*'Progetto del paramento slu'!$G$54,'Progetto del paramento slu'!$G$53)*IF(M59&lt;0,-1,1)</f>
        <v>0</v>
      </c>
      <c r="T59" s="553">
        <f>'Foglio deposito bis'!$F$51*IF(ABS(N59)&lt;'Progetto del paramento slu'!$G$58,ABS(N59)*'Progetto del paramento slu'!$G$54,'Progetto del paramento slu'!$G$53)*IF(N59&lt;0,-1,1)</f>
        <v>240946.49743184328</v>
      </c>
      <c r="U59" s="553">
        <f>'Foglio deposito bis'!$F$52*IF(ABS(O59)&lt;'Progetto del paramento slu'!$G$58,ABS(O59)*'Progetto del paramento slu'!$G$54,'Progetto del paramento slu'!$G$53)*IF(O59&lt;0,-1,1)</f>
        <v>240946.49743184328</v>
      </c>
      <c r="V59" s="479">
        <f t="shared" si="3"/>
        <v>532277.83627712924</v>
      </c>
      <c r="W59" s="559"/>
      <c r="X59" s="559"/>
    </row>
    <row r="60" spans="1:33" x14ac:dyDescent="0.25">
      <c r="A60" s="553">
        <f t="shared" si="2"/>
        <v>529416.69486982212</v>
      </c>
      <c r="B60" s="3">
        <f t="shared" si="4"/>
        <v>2.7499999999999982</v>
      </c>
      <c r="C60" s="553">
        <f>'Foglio deposito bis'!$E$153/$B$247*B60</f>
        <v>11.163734776725306</v>
      </c>
      <c r="D60" s="611">
        <f>-'Progetto del paramento slu'!$G$47*'Progetto del paramento slu'!$G$41*IF(DATI!$G$218="dx",DATI!$E$61,DATI!$E$64*DATI!$E$63)*1000*C60^2*sezione!$AD$5*(1-sezione!$AD$6)</f>
        <v>-1025945.6854158698</v>
      </c>
      <c r="E60" s="553">
        <f>-'Foglio deposito bis'!$F$48*(C60-sezione!$AL$27)*IF(ABS(K60)&lt;'Progetto del paramento slu'!$G$58,ABS(K60)*'Progetto del paramento slu'!$G$54,'Progetto del paramento slu'!$G$53)</f>
        <v>0</v>
      </c>
      <c r="F60" s="553">
        <f>-'Foglio deposito bis'!$F$49*(C60-sezione!$AM$27)*IF(ABS(L60)&lt;'Progetto del paramento slu'!$G$58,ABS(L60)*'Progetto del paramento slu'!$G$54,'Progetto del paramento slu'!$G$53)</f>
        <v>28445673.318083733</v>
      </c>
      <c r="G60" s="553">
        <f>-'Foglio deposito bis'!$F$50*(C60-sezione!$AN$27)*IF(ABS(M60)&lt;'Progetto del paramento slu'!$G$58,ABS(M60)*'Progetto del paramento slu'!$G$54,'Progetto del paramento slu'!$G$53)</f>
        <v>0</v>
      </c>
      <c r="H60" s="553">
        <f>-'Foglio deposito bis'!$F$51*(C60-sezione!$AO$27)*IF(ABS(N60)&lt;'Progetto del paramento slu'!$G$58,ABS(N60)*'Progetto del paramento slu'!$G$54,'Progetto del paramento slu'!$G$53)</f>
        <v>79231946.334116697</v>
      </c>
      <c r="I60" s="479">
        <f>-'Foglio deposito bis'!$F$52*(C60-sezione!$AP$27)*IF(ABS(O60)&lt;'Progetto del paramento slu'!$G$58,ABS(O60)*'Progetto del paramento slu'!$G$54,'Progetto del paramento slu'!$G$53)</f>
        <v>59956226.539569221</v>
      </c>
      <c r="J60" s="479">
        <f t="shared" si="0"/>
        <v>166607900.5063538</v>
      </c>
      <c r="K60" s="558">
        <f>'Progetto del paramento slu'!$G$60*(sezione!$AL$27-C60)/C60</f>
        <v>9.0406060606060597E-3</v>
      </c>
      <c r="L60" s="558">
        <f>'Progetto del paramento slu'!$G$60*(sezione!$AM$27-C60)/C60</f>
        <v>4.352727272727272E-2</v>
      </c>
      <c r="M60" s="559">
        <f>'Progetto del paramento slu'!$G$60*(sezione!$AN$27-C60)/C60</f>
        <v>7.8013939393939385E-2</v>
      </c>
      <c r="N60" s="559">
        <f>'Progetto del paramento slu'!$G$60*(sezione!$AO$27-C60)/C60</f>
        <v>0.10309515151515151</v>
      </c>
      <c r="O60" s="559">
        <f>'Progetto del paramento slu'!$G$60*(sezione!$AP$27-C60)/C60</f>
        <v>7.8013939393939385E-2</v>
      </c>
      <c r="P60" s="553">
        <f>-'Progetto del paramento slu'!$G$47*'Progetto del paramento slu'!$G$41*IF(DATI!$G$218="dx",DATI!$E$61,DATI!$E$64*DATI!$E$63)*1000*C60*sezione!$AD$5</f>
        <v>-157362.77740189448</v>
      </c>
      <c r="Q60" s="553">
        <f>'Foglio deposito bis'!$F$48*IF(ABS(K60)&lt;'Progetto del paramento slu'!$G$58,ABS(K60)*'Progetto del paramento slu'!$G$54,'Progetto del paramento slu'!$G$53)*IF(K60&lt;0,-1,1)</f>
        <v>0</v>
      </c>
      <c r="R60" s="553">
        <f>'Foglio deposito bis'!$F$49*IF(ABS(L60)&lt;'Progetto del paramento slu'!$G$58,ABS(L60)*'Progetto del paramento slu'!$G$54,'Progetto del paramento slu'!$G$53)*IF(L60&lt;0,-1,1)</f>
        <v>204886.47740803001</v>
      </c>
      <c r="S60" s="553">
        <f>'Foglio deposito bis'!$F$50*IF(ABS(M60)&lt;'Progetto del paramento slu'!$G$58,ABS(M60)*'Progetto del paramento slu'!$G$54,'Progetto del paramento slu'!$G$53)*IF(M60&lt;0,-1,1)</f>
        <v>0</v>
      </c>
      <c r="T60" s="553">
        <f>'Foglio deposito bis'!$F$51*IF(ABS(N60)&lt;'Progetto del paramento slu'!$G$58,ABS(N60)*'Progetto del paramento slu'!$G$54,'Progetto del paramento slu'!$G$53)*IF(N60&lt;0,-1,1)</f>
        <v>240946.49743184328</v>
      </c>
      <c r="U60" s="553">
        <f>'Foglio deposito bis'!$F$52*IF(ABS(O60)&lt;'Progetto del paramento slu'!$G$58,ABS(O60)*'Progetto del paramento slu'!$G$54,'Progetto del paramento slu'!$G$53)*IF(O60&lt;0,-1,1)</f>
        <v>240946.49743184328</v>
      </c>
      <c r="V60" s="479">
        <f t="shared" si="3"/>
        <v>529416.69486982212</v>
      </c>
      <c r="W60" s="559"/>
      <c r="X60" s="559"/>
    </row>
    <row r="61" spans="1:33" x14ac:dyDescent="0.25">
      <c r="A61" s="553">
        <f t="shared" si="2"/>
        <v>526555.553462515</v>
      </c>
      <c r="B61" s="3">
        <f t="shared" si="4"/>
        <v>2.799999999999998</v>
      </c>
      <c r="C61" s="553">
        <f>'Foglio deposito bis'!$E$153/$B$247*B61</f>
        <v>11.366711772665765</v>
      </c>
      <c r="D61" s="611">
        <f>-'Progetto del paramento slu'!$G$47*'Progetto del paramento slu'!$G$41*IF(DATI!$G$218="dx",DATI!$E$61,DATI!$E$64*DATI!$E$63)*1000*C61^2*sezione!$AD$5*(1-sezione!$AD$6)</f>
        <v>-1063591.9568476586</v>
      </c>
      <c r="E61" s="553">
        <f>-'Foglio deposito bis'!$F$48*(C61-sezione!$AL$27)*IF(ABS(K61)&lt;'Progetto del paramento slu'!$G$58,ABS(K61)*'Progetto del paramento slu'!$G$54,'Progetto del paramento slu'!$G$53)</f>
        <v>0</v>
      </c>
      <c r="F61" s="553">
        <f>-'Foglio deposito bis'!$F$49*(C61-sezione!$AM$27)*IF(ABS(L61)&lt;'Progetto del paramento slu'!$G$58,ABS(L61)*'Progetto del paramento slu'!$G$54,'Progetto del paramento slu'!$G$53)</f>
        <v>28404086.076390628</v>
      </c>
      <c r="G61" s="553">
        <f>-'Foglio deposito bis'!$F$50*(C61-sezione!$AN$27)*IF(ABS(M61)&lt;'Progetto del paramento slu'!$G$58,ABS(M61)*'Progetto del paramento slu'!$G$54,'Progetto del paramento slu'!$G$53)</f>
        <v>0</v>
      </c>
      <c r="H61" s="553">
        <f>-'Foglio deposito bis'!$F$51*(C61-sezione!$AO$27)*IF(ABS(N61)&lt;'Progetto del paramento slu'!$G$58,ABS(N61)*'Progetto del paramento slu'!$G$54,'Progetto del paramento slu'!$G$53)</f>
        <v>79183039.737885594</v>
      </c>
      <c r="I61" s="479">
        <f>-'Foglio deposito bis'!$F$52*(C61-sezione!$AP$27)*IF(ABS(O61)&lt;'Progetto del paramento slu'!$G$58,ABS(O61)*'Progetto del paramento slu'!$G$54,'Progetto del paramento slu'!$G$53)</f>
        <v>59907319.943338133</v>
      </c>
      <c r="J61" s="479">
        <f t="shared" si="0"/>
        <v>166430853.80076671</v>
      </c>
      <c r="K61" s="558">
        <f>'Progetto del paramento slu'!$G$60*(sezione!$AL$27-C61)/C61</f>
        <v>8.8166666666666654E-3</v>
      </c>
      <c r="L61" s="558">
        <f>'Progetto del paramento slu'!$G$60*(sezione!$AM$27-C61)/C61</f>
        <v>4.2687500000000003E-2</v>
      </c>
      <c r="M61" s="559">
        <f>'Progetto del paramento slu'!$G$60*(sezione!$AN$27-C61)/C61</f>
        <v>7.6558333333333339E-2</v>
      </c>
      <c r="N61" s="559">
        <f>'Progetto del paramento slu'!$G$60*(sezione!$AO$27-C61)/C61</f>
        <v>0.10119166666666665</v>
      </c>
      <c r="O61" s="559">
        <f>'Progetto del paramento slu'!$G$60*(sezione!$AP$27-C61)/C61</f>
        <v>7.6558333333333339E-2</v>
      </c>
      <c r="P61" s="553">
        <f>-'Progetto del paramento slu'!$G$47*'Progetto del paramento slu'!$G$41*IF(DATI!$G$218="dx",DATI!$E$61,DATI!$E$64*DATI!$E$63)*1000*C61*sezione!$AD$5</f>
        <v>-160223.91880920163</v>
      </c>
      <c r="Q61" s="553">
        <f>'Foglio deposito bis'!$F$48*IF(ABS(K61)&lt;'Progetto del paramento slu'!$G$58,ABS(K61)*'Progetto del paramento slu'!$G$54,'Progetto del paramento slu'!$G$53)*IF(K61&lt;0,-1,1)</f>
        <v>0</v>
      </c>
      <c r="R61" s="553">
        <f>'Foglio deposito bis'!$F$49*IF(ABS(L61)&lt;'Progetto del paramento slu'!$G$58,ABS(L61)*'Progetto del paramento slu'!$G$54,'Progetto del paramento slu'!$G$53)*IF(L61&lt;0,-1,1)</f>
        <v>204886.47740803001</v>
      </c>
      <c r="S61" s="553">
        <f>'Foglio deposito bis'!$F$50*IF(ABS(M61)&lt;'Progetto del paramento slu'!$G$58,ABS(M61)*'Progetto del paramento slu'!$G$54,'Progetto del paramento slu'!$G$53)*IF(M61&lt;0,-1,1)</f>
        <v>0</v>
      </c>
      <c r="T61" s="553">
        <f>'Foglio deposito bis'!$F$51*IF(ABS(N61)&lt;'Progetto del paramento slu'!$G$58,ABS(N61)*'Progetto del paramento slu'!$G$54,'Progetto del paramento slu'!$G$53)*IF(N61&lt;0,-1,1)</f>
        <v>240946.49743184328</v>
      </c>
      <c r="U61" s="553">
        <f>'Foglio deposito bis'!$F$52*IF(ABS(O61)&lt;'Progetto del paramento slu'!$G$58,ABS(O61)*'Progetto del paramento slu'!$G$54,'Progetto del paramento slu'!$G$53)*IF(O61&lt;0,-1,1)</f>
        <v>240946.49743184328</v>
      </c>
      <c r="V61" s="479">
        <f t="shared" si="3"/>
        <v>526555.553462515</v>
      </c>
      <c r="W61" s="559"/>
      <c r="X61" s="559"/>
    </row>
    <row r="62" spans="1:33" x14ac:dyDescent="0.25">
      <c r="A62" s="553">
        <f t="shared" si="2"/>
        <v>523694.41205520777</v>
      </c>
      <c r="B62" s="3">
        <f t="shared" si="4"/>
        <v>2.8499999999999979</v>
      </c>
      <c r="C62" s="553">
        <f>'Foglio deposito bis'!$E$153/$B$247*B62</f>
        <v>11.569688768606225</v>
      </c>
      <c r="D62" s="611">
        <f>-'Progetto del paramento slu'!$G$47*'Progetto del paramento slu'!$G$41*IF(DATI!$G$218="dx",DATI!$E$61,DATI!$E$64*DATI!$E$63)*1000*C62^2*sezione!$AD$5*(1-sezione!$AD$6)</f>
        <v>-1101916.5394764165</v>
      </c>
      <c r="E62" s="553">
        <f>-'Foglio deposito bis'!$F$48*(C62-sezione!$AL$27)*IF(ABS(K62)&lt;'Progetto del paramento slu'!$G$58,ABS(K62)*'Progetto del paramento slu'!$G$54,'Progetto del paramento slu'!$G$53)</f>
        <v>0</v>
      </c>
      <c r="F62" s="553">
        <f>-'Foglio deposito bis'!$F$49*(C62-sezione!$AM$27)*IF(ABS(L62)&lt;'Progetto del paramento slu'!$G$58,ABS(L62)*'Progetto del paramento slu'!$G$54,'Progetto del paramento slu'!$G$53)</f>
        <v>28362498.834697526</v>
      </c>
      <c r="G62" s="553">
        <f>-'Foglio deposito bis'!$F$50*(C62-sezione!$AN$27)*IF(ABS(M62)&lt;'Progetto del paramento slu'!$G$58,ABS(M62)*'Progetto del paramento slu'!$G$54,'Progetto del paramento slu'!$G$53)</f>
        <v>0</v>
      </c>
      <c r="H62" s="553">
        <f>-'Foglio deposito bis'!$F$51*(C62-sezione!$AO$27)*IF(ABS(N62)&lt;'Progetto del paramento slu'!$G$58,ABS(N62)*'Progetto del paramento slu'!$G$54,'Progetto del paramento slu'!$G$53)</f>
        <v>79134133.141654506</v>
      </c>
      <c r="I62" s="479">
        <f>-'Foglio deposito bis'!$F$52*(C62-sezione!$AP$27)*IF(ABS(O62)&lt;'Progetto del paramento slu'!$G$58,ABS(O62)*'Progetto del paramento slu'!$G$54,'Progetto del paramento slu'!$G$53)</f>
        <v>59858413.347107053</v>
      </c>
      <c r="J62" s="479">
        <f t="shared" si="0"/>
        <v>166253128.78398266</v>
      </c>
      <c r="K62" s="558">
        <f>'Progetto del paramento slu'!$G$60*(sezione!$AL$27-C62)/C62</f>
        <v>8.6005847953216363E-3</v>
      </c>
      <c r="L62" s="558">
        <f>'Progetto del paramento slu'!$G$60*(sezione!$AM$27-C62)/C62</f>
        <v>4.1877192982456138E-2</v>
      </c>
      <c r="M62" s="559">
        <f>'Progetto del paramento slu'!$G$60*(sezione!$AN$27-C62)/C62</f>
        <v>7.5153801169590639E-2</v>
      </c>
      <c r="N62" s="559">
        <f>'Progetto del paramento slu'!$G$60*(sezione!$AO$27-C62)/C62</f>
        <v>9.9354970760233918E-2</v>
      </c>
      <c r="O62" s="559">
        <f>'Progetto del paramento slu'!$G$60*(sezione!$AP$27-C62)/C62</f>
        <v>7.5153801169590639E-2</v>
      </c>
      <c r="P62" s="553">
        <f>-'Progetto del paramento slu'!$G$47*'Progetto del paramento slu'!$G$41*IF(DATI!$G$218="dx",DATI!$E$61,DATI!$E$64*DATI!$E$63)*1000*C62*sezione!$AD$5</f>
        <v>-163085.06021650881</v>
      </c>
      <c r="Q62" s="553">
        <f>'Foglio deposito bis'!$F$48*IF(ABS(K62)&lt;'Progetto del paramento slu'!$G$58,ABS(K62)*'Progetto del paramento slu'!$G$54,'Progetto del paramento slu'!$G$53)*IF(K62&lt;0,-1,1)</f>
        <v>0</v>
      </c>
      <c r="R62" s="553">
        <f>'Foglio deposito bis'!$F$49*IF(ABS(L62)&lt;'Progetto del paramento slu'!$G$58,ABS(L62)*'Progetto del paramento slu'!$G$54,'Progetto del paramento slu'!$G$53)*IF(L62&lt;0,-1,1)</f>
        <v>204886.47740803001</v>
      </c>
      <c r="S62" s="553">
        <f>'Foglio deposito bis'!$F$50*IF(ABS(M62)&lt;'Progetto del paramento slu'!$G$58,ABS(M62)*'Progetto del paramento slu'!$G$54,'Progetto del paramento slu'!$G$53)*IF(M62&lt;0,-1,1)</f>
        <v>0</v>
      </c>
      <c r="T62" s="553">
        <f>'Foglio deposito bis'!$F$51*IF(ABS(N62)&lt;'Progetto del paramento slu'!$G$58,ABS(N62)*'Progetto del paramento slu'!$G$54,'Progetto del paramento slu'!$G$53)*IF(N62&lt;0,-1,1)</f>
        <v>240946.49743184328</v>
      </c>
      <c r="U62" s="553">
        <f>'Foglio deposito bis'!$F$52*IF(ABS(O62)&lt;'Progetto del paramento slu'!$G$58,ABS(O62)*'Progetto del paramento slu'!$G$54,'Progetto del paramento slu'!$G$53)*IF(O62&lt;0,-1,1)</f>
        <v>240946.49743184328</v>
      </c>
      <c r="V62" s="479">
        <f t="shared" si="3"/>
        <v>523694.41205520777</v>
      </c>
      <c r="W62" s="559"/>
      <c r="X62" s="559"/>
    </row>
    <row r="63" spans="1:33" x14ac:dyDescent="0.25">
      <c r="A63" s="553">
        <f t="shared" si="2"/>
        <v>520833.27064790064</v>
      </c>
      <c r="B63" s="3">
        <f t="shared" si="4"/>
        <v>2.8999999999999977</v>
      </c>
      <c r="C63" s="553">
        <f>'Foglio deposito bis'!$E$153/$B$247*B63</f>
        <v>11.772665764546684</v>
      </c>
      <c r="D63" s="611">
        <f>-'Progetto del paramento slu'!$G$47*'Progetto del paramento slu'!$G$41*IF(DATI!$G$218="dx",DATI!$E$61,DATI!$E$64*DATI!$E$63)*1000*C63^2*sezione!$AD$5*(1-sezione!$AD$6)</f>
        <v>-1140919.4333021434</v>
      </c>
      <c r="E63" s="553">
        <f>-'Foglio deposito bis'!$F$48*(C63-sezione!$AL$27)*IF(ABS(K63)&lt;'Progetto del paramento slu'!$G$58,ABS(K63)*'Progetto del paramento slu'!$G$54,'Progetto del paramento slu'!$G$53)</f>
        <v>0</v>
      </c>
      <c r="F63" s="553">
        <f>-'Foglio deposito bis'!$F$49*(C63-sezione!$AM$27)*IF(ABS(L63)&lt;'Progetto del paramento slu'!$G$58,ABS(L63)*'Progetto del paramento slu'!$G$54,'Progetto del paramento slu'!$G$53)</f>
        <v>28320911.59300442</v>
      </c>
      <c r="G63" s="553">
        <f>-'Foglio deposito bis'!$F$50*(C63-sezione!$AN$27)*IF(ABS(M63)&lt;'Progetto del paramento slu'!$G$58,ABS(M63)*'Progetto del paramento slu'!$G$54,'Progetto del paramento slu'!$G$53)</f>
        <v>0</v>
      </c>
      <c r="H63" s="553">
        <f>-'Foglio deposito bis'!$F$51*(C63-sezione!$AO$27)*IF(ABS(N63)&lt;'Progetto del paramento slu'!$G$58,ABS(N63)*'Progetto del paramento slu'!$G$54,'Progetto del paramento slu'!$G$53)</f>
        <v>79085226.545423418</v>
      </c>
      <c r="I63" s="479">
        <f>-'Foglio deposito bis'!$F$52*(C63-sezione!$AP$27)*IF(ABS(O63)&lt;'Progetto del paramento slu'!$G$58,ABS(O63)*'Progetto del paramento slu'!$G$54,'Progetto del paramento slu'!$G$53)</f>
        <v>59809506.75087595</v>
      </c>
      <c r="J63" s="479">
        <f t="shared" si="0"/>
        <v>166074725.45600164</v>
      </c>
      <c r="K63" s="558">
        <f>'Progetto del paramento slu'!$G$60*(sezione!$AL$27-C63)/C63</f>
        <v>8.391954022988507E-3</v>
      </c>
      <c r="L63" s="558">
        <f>'Progetto del paramento slu'!$G$60*(sezione!$AM$27-C63)/C63</f>
        <v>4.1094827586206903E-2</v>
      </c>
      <c r="M63" s="559">
        <f>'Progetto del paramento slu'!$G$60*(sezione!$AN$27-C63)/C63</f>
        <v>7.3797701149425299E-2</v>
      </c>
      <c r="N63" s="559">
        <f>'Progetto del paramento slu'!$G$60*(sezione!$AO$27-C63)/C63</f>
        <v>9.7581609195402305E-2</v>
      </c>
      <c r="O63" s="559">
        <f>'Progetto del paramento slu'!$G$60*(sezione!$AP$27-C63)/C63</f>
        <v>7.3797701149425299E-2</v>
      </c>
      <c r="P63" s="553">
        <f>-'Progetto del paramento slu'!$G$47*'Progetto del paramento slu'!$G$41*IF(DATI!$G$218="dx",DATI!$E$61,DATI!$E$64*DATI!$E$63)*1000*C63*sezione!$AD$5</f>
        <v>-165946.20162381596</v>
      </c>
      <c r="Q63" s="553">
        <f>'Foglio deposito bis'!$F$48*IF(ABS(K63)&lt;'Progetto del paramento slu'!$G$58,ABS(K63)*'Progetto del paramento slu'!$G$54,'Progetto del paramento slu'!$G$53)*IF(K63&lt;0,-1,1)</f>
        <v>0</v>
      </c>
      <c r="R63" s="553">
        <f>'Foglio deposito bis'!$F$49*IF(ABS(L63)&lt;'Progetto del paramento slu'!$G$58,ABS(L63)*'Progetto del paramento slu'!$G$54,'Progetto del paramento slu'!$G$53)*IF(L63&lt;0,-1,1)</f>
        <v>204886.47740803001</v>
      </c>
      <c r="S63" s="553">
        <f>'Foglio deposito bis'!$F$50*IF(ABS(M63)&lt;'Progetto del paramento slu'!$G$58,ABS(M63)*'Progetto del paramento slu'!$G$54,'Progetto del paramento slu'!$G$53)*IF(M63&lt;0,-1,1)</f>
        <v>0</v>
      </c>
      <c r="T63" s="553">
        <f>'Foglio deposito bis'!$F$51*IF(ABS(N63)&lt;'Progetto del paramento slu'!$G$58,ABS(N63)*'Progetto del paramento slu'!$G$54,'Progetto del paramento slu'!$G$53)*IF(N63&lt;0,-1,1)</f>
        <v>240946.49743184328</v>
      </c>
      <c r="U63" s="553">
        <f>'Foglio deposito bis'!$F$52*IF(ABS(O63)&lt;'Progetto del paramento slu'!$G$58,ABS(O63)*'Progetto del paramento slu'!$G$54,'Progetto del paramento slu'!$G$53)*IF(O63&lt;0,-1,1)</f>
        <v>240946.49743184328</v>
      </c>
      <c r="V63" s="479">
        <f t="shared" si="3"/>
        <v>520833.27064790064</v>
      </c>
      <c r="W63" s="559"/>
      <c r="X63" s="559"/>
    </row>
    <row r="64" spans="1:33" x14ac:dyDescent="0.25">
      <c r="A64" s="553">
        <f t="shared" si="2"/>
        <v>517972.12924059341</v>
      </c>
      <c r="B64" s="3">
        <f t="shared" si="4"/>
        <v>2.9499999999999975</v>
      </c>
      <c r="C64" s="553">
        <f>'Foglio deposito bis'!$E$153/$B$247*B64</f>
        <v>11.975642760487144</v>
      </c>
      <c r="D64" s="611">
        <f>-'Progetto del paramento slu'!$G$47*'Progetto del paramento slu'!$G$41*IF(DATI!$G$218="dx",DATI!$E$61,DATI!$E$64*DATI!$E$63)*1000*C64^2*sezione!$AD$5*(1-sezione!$AD$6)</f>
        <v>-1180600.6383248402</v>
      </c>
      <c r="E64" s="553">
        <f>-'Foglio deposito bis'!$F$48*(C64-sezione!$AL$27)*IF(ABS(K64)&lt;'Progetto del paramento slu'!$G$58,ABS(K64)*'Progetto del paramento slu'!$G$54,'Progetto del paramento slu'!$G$53)</f>
        <v>0</v>
      </c>
      <c r="F64" s="553">
        <f>-'Foglio deposito bis'!$F$49*(C64-sezione!$AM$27)*IF(ABS(L64)&lt;'Progetto del paramento slu'!$G$58,ABS(L64)*'Progetto del paramento slu'!$G$54,'Progetto del paramento slu'!$G$53)</f>
        <v>28279324.351311315</v>
      </c>
      <c r="G64" s="553">
        <f>-'Foglio deposito bis'!$F$50*(C64-sezione!$AN$27)*IF(ABS(M64)&lt;'Progetto del paramento slu'!$G$58,ABS(M64)*'Progetto del paramento slu'!$G$54,'Progetto del paramento slu'!$G$53)</f>
        <v>0</v>
      </c>
      <c r="H64" s="553">
        <f>-'Foglio deposito bis'!$F$51*(C64-sezione!$AO$27)*IF(ABS(N64)&lt;'Progetto del paramento slu'!$G$58,ABS(N64)*'Progetto del paramento slu'!$G$54,'Progetto del paramento slu'!$G$53)</f>
        <v>79036319.94919233</v>
      </c>
      <c r="I64" s="479">
        <f>-'Foglio deposito bis'!$F$52*(C64-sezione!$AP$27)*IF(ABS(O64)&lt;'Progetto del paramento slu'!$G$58,ABS(O64)*'Progetto del paramento slu'!$G$54,'Progetto del paramento slu'!$G$53)</f>
        <v>59760600.154644862</v>
      </c>
      <c r="J64" s="479">
        <f t="shared" si="0"/>
        <v>165895643.81682366</v>
      </c>
      <c r="K64" s="558">
        <f>'Progetto del paramento slu'!$G$60*(sezione!$AL$27-C64)/C64</f>
        <v>8.1903954802259905E-3</v>
      </c>
      <c r="L64" s="558">
        <f>'Progetto del paramento slu'!$G$60*(sezione!$AM$27-C64)/C64</f>
        <v>4.033898305084746E-2</v>
      </c>
      <c r="M64" s="559">
        <f>'Progetto del paramento slu'!$G$60*(sezione!$AN$27-C64)/C64</f>
        <v>7.2487570621468933E-2</v>
      </c>
      <c r="N64" s="559">
        <f>'Progetto del paramento slu'!$G$60*(sezione!$AO$27-C64)/C64</f>
        <v>9.5868361581920913E-2</v>
      </c>
      <c r="O64" s="559">
        <f>'Progetto del paramento slu'!$G$60*(sezione!$AP$27-C64)/C64</f>
        <v>7.2487570621468933E-2</v>
      </c>
      <c r="P64" s="553">
        <f>-'Progetto del paramento slu'!$G$47*'Progetto del paramento slu'!$G$41*IF(DATI!$G$218="dx",DATI!$E$61,DATI!$E$64*DATI!$E$63)*1000*C64*sezione!$AD$5</f>
        <v>-168807.34303112314</v>
      </c>
      <c r="Q64" s="553">
        <f>'Foglio deposito bis'!$F$48*IF(ABS(K64)&lt;'Progetto del paramento slu'!$G$58,ABS(K64)*'Progetto del paramento slu'!$G$54,'Progetto del paramento slu'!$G$53)*IF(K64&lt;0,-1,1)</f>
        <v>0</v>
      </c>
      <c r="R64" s="553">
        <f>'Foglio deposito bis'!$F$49*IF(ABS(L64)&lt;'Progetto del paramento slu'!$G$58,ABS(L64)*'Progetto del paramento slu'!$G$54,'Progetto del paramento slu'!$G$53)*IF(L64&lt;0,-1,1)</f>
        <v>204886.47740803001</v>
      </c>
      <c r="S64" s="553">
        <f>'Foglio deposito bis'!$F$50*IF(ABS(M64)&lt;'Progetto del paramento slu'!$G$58,ABS(M64)*'Progetto del paramento slu'!$G$54,'Progetto del paramento slu'!$G$53)*IF(M64&lt;0,-1,1)</f>
        <v>0</v>
      </c>
      <c r="T64" s="553">
        <f>'Foglio deposito bis'!$F$51*IF(ABS(N64)&lt;'Progetto del paramento slu'!$G$58,ABS(N64)*'Progetto del paramento slu'!$G$54,'Progetto del paramento slu'!$G$53)*IF(N64&lt;0,-1,1)</f>
        <v>240946.49743184328</v>
      </c>
      <c r="U64" s="553">
        <f>'Foglio deposito bis'!$F$52*IF(ABS(O64)&lt;'Progetto del paramento slu'!$G$58,ABS(O64)*'Progetto del paramento slu'!$G$54,'Progetto del paramento slu'!$G$53)*IF(O64&lt;0,-1,1)</f>
        <v>240946.49743184328</v>
      </c>
      <c r="V64" s="479">
        <f t="shared" si="3"/>
        <v>517972.12924059341</v>
      </c>
      <c r="W64" s="559"/>
      <c r="X64" s="559"/>
    </row>
    <row r="65" spans="1:24" x14ac:dyDescent="0.25">
      <c r="A65" s="553">
        <f t="shared" si="2"/>
        <v>515110.98783328629</v>
      </c>
      <c r="B65" s="3">
        <f t="shared" si="4"/>
        <v>2.9999999999999973</v>
      </c>
      <c r="C65" s="553">
        <f>'Foglio deposito bis'!$E$153/$B$247*B65</f>
        <v>12.178619756427603</v>
      </c>
      <c r="D65" s="611">
        <f>-'Progetto del paramento slu'!$G$47*'Progetto del paramento slu'!$G$41*IF(DATI!$G$218="dx",DATI!$E$61,DATI!$E$64*DATI!$E$63)*1000*C65^2*sezione!$AD$5*(1-sezione!$AD$6)</f>
        <v>-1220960.1545445053</v>
      </c>
      <c r="E65" s="553">
        <f>-'Foglio deposito bis'!$F$48*(C65-sezione!$AL$27)*IF(ABS(K65)&lt;'Progetto del paramento slu'!$G$58,ABS(K65)*'Progetto del paramento slu'!$G$54,'Progetto del paramento slu'!$G$53)</f>
        <v>0</v>
      </c>
      <c r="F65" s="553">
        <f>-'Foglio deposito bis'!$F$49*(C65-sezione!$AM$27)*IF(ABS(L65)&lt;'Progetto del paramento slu'!$G$58,ABS(L65)*'Progetto del paramento slu'!$G$54,'Progetto del paramento slu'!$G$53)</f>
        <v>28237737.109618209</v>
      </c>
      <c r="G65" s="553">
        <f>-'Foglio deposito bis'!$F$50*(C65-sezione!$AN$27)*IF(ABS(M65)&lt;'Progetto del paramento slu'!$G$58,ABS(M65)*'Progetto del paramento slu'!$G$54,'Progetto del paramento slu'!$G$53)</f>
        <v>0</v>
      </c>
      <c r="H65" s="553">
        <f>-'Foglio deposito bis'!$F$51*(C65-sezione!$AO$27)*IF(ABS(N65)&lt;'Progetto del paramento slu'!$G$58,ABS(N65)*'Progetto del paramento slu'!$G$54,'Progetto del paramento slu'!$G$53)</f>
        <v>78987413.352961227</v>
      </c>
      <c r="I65" s="479">
        <f>-'Foglio deposito bis'!$F$52*(C65-sezione!$AP$27)*IF(ABS(O65)&lt;'Progetto del paramento slu'!$G$58,ABS(O65)*'Progetto del paramento slu'!$G$54,'Progetto del paramento slu'!$G$53)</f>
        <v>59711693.558413774</v>
      </c>
      <c r="J65" s="479">
        <f t="shared" si="0"/>
        <v>165715883.8664487</v>
      </c>
      <c r="K65" s="558">
        <f>'Progetto del paramento slu'!$G$60*(sezione!$AL$27-C65)/C65</f>
        <v>7.9955555555555578E-3</v>
      </c>
      <c r="L65" s="558">
        <f>'Progetto del paramento slu'!$G$60*(sezione!$AM$27-C65)/C65</f>
        <v>3.9608333333333343E-2</v>
      </c>
      <c r="M65" s="559">
        <f>'Progetto del paramento slu'!$G$60*(sezione!$AN$27-C65)/C65</f>
        <v>7.1221111111111124E-2</v>
      </c>
      <c r="N65" s="559">
        <f>'Progetto del paramento slu'!$G$60*(sezione!$AO$27-C65)/C65</f>
        <v>9.4212222222222239E-2</v>
      </c>
      <c r="O65" s="559">
        <f>'Progetto del paramento slu'!$G$60*(sezione!$AP$27-C65)/C65</f>
        <v>7.1221111111111124E-2</v>
      </c>
      <c r="P65" s="553">
        <f>-'Progetto del paramento slu'!$G$47*'Progetto del paramento slu'!$G$41*IF(DATI!$G$218="dx",DATI!$E$61,DATI!$E$64*DATI!$E$63)*1000*C65*sezione!$AD$5</f>
        <v>-171668.48443843029</v>
      </c>
      <c r="Q65" s="553">
        <f>'Foglio deposito bis'!$F$48*IF(ABS(K65)&lt;'Progetto del paramento slu'!$G$58,ABS(K65)*'Progetto del paramento slu'!$G$54,'Progetto del paramento slu'!$G$53)*IF(K65&lt;0,-1,1)</f>
        <v>0</v>
      </c>
      <c r="R65" s="553">
        <f>'Foglio deposito bis'!$F$49*IF(ABS(L65)&lt;'Progetto del paramento slu'!$G$58,ABS(L65)*'Progetto del paramento slu'!$G$54,'Progetto del paramento slu'!$G$53)*IF(L65&lt;0,-1,1)</f>
        <v>204886.47740803001</v>
      </c>
      <c r="S65" s="553">
        <f>'Foglio deposito bis'!$F$50*IF(ABS(M65)&lt;'Progetto del paramento slu'!$G$58,ABS(M65)*'Progetto del paramento slu'!$G$54,'Progetto del paramento slu'!$G$53)*IF(M65&lt;0,-1,1)</f>
        <v>0</v>
      </c>
      <c r="T65" s="553">
        <f>'Foglio deposito bis'!$F$51*IF(ABS(N65)&lt;'Progetto del paramento slu'!$G$58,ABS(N65)*'Progetto del paramento slu'!$G$54,'Progetto del paramento slu'!$G$53)*IF(N65&lt;0,-1,1)</f>
        <v>240946.49743184328</v>
      </c>
      <c r="U65" s="553">
        <f>'Foglio deposito bis'!$F$52*IF(ABS(O65)&lt;'Progetto del paramento slu'!$G$58,ABS(O65)*'Progetto del paramento slu'!$G$54,'Progetto del paramento slu'!$G$53)*IF(O65&lt;0,-1,1)</f>
        <v>240946.49743184328</v>
      </c>
      <c r="V65" s="479">
        <f t="shared" si="3"/>
        <v>515110.98783328629</v>
      </c>
      <c r="W65" s="559"/>
      <c r="X65" s="559"/>
    </row>
    <row r="66" spans="1:24" x14ac:dyDescent="0.25">
      <c r="A66" s="553">
        <f t="shared" si="2"/>
        <v>512249.84642597917</v>
      </c>
      <c r="B66" s="3">
        <f t="shared" si="4"/>
        <v>3.0499999999999972</v>
      </c>
      <c r="C66" s="553">
        <f>'Foglio deposito bis'!$E$153/$B$247*B66</f>
        <v>12.381596752368063</v>
      </c>
      <c r="D66" s="611">
        <f>-'Progetto del paramento slu'!$G$47*'Progetto del paramento slu'!$G$41*IF(DATI!$G$218="dx",DATI!$E$61,DATI!$E$64*DATI!$E$63)*1000*C66^2*sezione!$AD$5*(1-sezione!$AD$6)</f>
        <v>-1261997.9819611404</v>
      </c>
      <c r="E66" s="553">
        <f>-'Foglio deposito bis'!$F$48*(C66-sezione!$AL$27)*IF(ABS(K66)&lt;'Progetto del paramento slu'!$G$58,ABS(K66)*'Progetto del paramento slu'!$G$54,'Progetto del paramento slu'!$G$53)</f>
        <v>0</v>
      </c>
      <c r="F66" s="553">
        <f>-'Foglio deposito bis'!$F$49*(C66-sezione!$AM$27)*IF(ABS(L66)&lt;'Progetto del paramento slu'!$G$58,ABS(L66)*'Progetto del paramento slu'!$G$54,'Progetto del paramento slu'!$G$53)</f>
        <v>28196149.867925104</v>
      </c>
      <c r="G66" s="553">
        <f>-'Foglio deposito bis'!$F$50*(C66-sezione!$AN$27)*IF(ABS(M66)&lt;'Progetto del paramento slu'!$G$58,ABS(M66)*'Progetto del paramento slu'!$G$54,'Progetto del paramento slu'!$G$53)</f>
        <v>0</v>
      </c>
      <c r="H66" s="553">
        <f>-'Foglio deposito bis'!$F$51*(C66-sezione!$AO$27)*IF(ABS(N66)&lt;'Progetto del paramento slu'!$G$58,ABS(N66)*'Progetto del paramento slu'!$G$54,'Progetto del paramento slu'!$G$53)</f>
        <v>78938506.756730139</v>
      </c>
      <c r="I66" s="479">
        <f>-'Foglio deposito bis'!$F$52*(C66-sezione!$AP$27)*IF(ABS(O66)&lt;'Progetto del paramento slu'!$G$58,ABS(O66)*'Progetto del paramento slu'!$G$54,'Progetto del paramento slu'!$G$53)</f>
        <v>59662786.962182678</v>
      </c>
      <c r="J66" s="479">
        <f t="shared" si="0"/>
        <v>165535445.60487679</v>
      </c>
      <c r="K66" s="558">
        <f>'Progetto del paramento slu'!$G$60*(sezione!$AL$27-C66)/C66</f>
        <v>7.8071038251366145E-3</v>
      </c>
      <c r="L66" s="558">
        <f>'Progetto del paramento slu'!$G$60*(sezione!$AM$27-C66)/C66</f>
        <v>3.8901639344262301E-2</v>
      </c>
      <c r="M66" s="559">
        <f>'Progetto del paramento slu'!$G$60*(sezione!$AN$27-C66)/C66</f>
        <v>6.9996174863387994E-2</v>
      </c>
      <c r="N66" s="559">
        <f>'Progetto del paramento slu'!$G$60*(sezione!$AO$27-C66)/C66</f>
        <v>9.2610382513661216E-2</v>
      </c>
      <c r="O66" s="559">
        <f>'Progetto del paramento slu'!$G$60*(sezione!$AP$27-C66)/C66</f>
        <v>6.9996174863387994E-2</v>
      </c>
      <c r="P66" s="553">
        <f>-'Progetto del paramento slu'!$G$47*'Progetto del paramento slu'!$G$41*IF(DATI!$G$218="dx",DATI!$E$61,DATI!$E$64*DATI!$E$63)*1000*C66*sezione!$AD$5</f>
        <v>-174529.62584573746</v>
      </c>
      <c r="Q66" s="553">
        <f>'Foglio deposito bis'!$F$48*IF(ABS(K66)&lt;'Progetto del paramento slu'!$G$58,ABS(K66)*'Progetto del paramento slu'!$G$54,'Progetto del paramento slu'!$G$53)*IF(K66&lt;0,-1,1)</f>
        <v>0</v>
      </c>
      <c r="R66" s="553">
        <f>'Foglio deposito bis'!$F$49*IF(ABS(L66)&lt;'Progetto del paramento slu'!$G$58,ABS(L66)*'Progetto del paramento slu'!$G$54,'Progetto del paramento slu'!$G$53)*IF(L66&lt;0,-1,1)</f>
        <v>204886.47740803001</v>
      </c>
      <c r="S66" s="553">
        <f>'Foglio deposito bis'!$F$50*IF(ABS(M66)&lt;'Progetto del paramento slu'!$G$58,ABS(M66)*'Progetto del paramento slu'!$G$54,'Progetto del paramento slu'!$G$53)*IF(M66&lt;0,-1,1)</f>
        <v>0</v>
      </c>
      <c r="T66" s="553">
        <f>'Foglio deposito bis'!$F$51*IF(ABS(N66)&lt;'Progetto del paramento slu'!$G$58,ABS(N66)*'Progetto del paramento slu'!$G$54,'Progetto del paramento slu'!$G$53)*IF(N66&lt;0,-1,1)</f>
        <v>240946.49743184328</v>
      </c>
      <c r="U66" s="553">
        <f>'Foglio deposito bis'!$F$52*IF(ABS(O66)&lt;'Progetto del paramento slu'!$G$58,ABS(O66)*'Progetto del paramento slu'!$G$54,'Progetto del paramento slu'!$G$53)*IF(O66&lt;0,-1,1)</f>
        <v>240946.49743184328</v>
      </c>
      <c r="V66" s="479">
        <f t="shared" si="3"/>
        <v>512249.84642597917</v>
      </c>
      <c r="W66" s="559"/>
      <c r="X66" s="559"/>
    </row>
    <row r="67" spans="1:24" x14ac:dyDescent="0.25">
      <c r="A67" s="553">
        <f t="shared" si="2"/>
        <v>509388.70501867193</v>
      </c>
      <c r="B67" s="3">
        <f t="shared" si="4"/>
        <v>3.099999999999997</v>
      </c>
      <c r="C67" s="553">
        <f>'Foglio deposito bis'!$E$153/$B$247*B67</f>
        <v>12.584573748308522</v>
      </c>
      <c r="D67" s="611">
        <f>-'Progetto del paramento slu'!$G$47*'Progetto del paramento slu'!$G$41*IF(DATI!$G$218="dx",DATI!$E$61,DATI!$E$64*DATI!$E$63)*1000*C67^2*sezione!$AD$5*(1-sezione!$AD$6)</f>
        <v>-1303714.120574744</v>
      </c>
      <c r="E67" s="553">
        <f>-'Foglio deposito bis'!$F$48*(C67-sezione!$AL$27)*IF(ABS(K67)&lt;'Progetto del paramento slu'!$G$58,ABS(K67)*'Progetto del paramento slu'!$G$54,'Progetto del paramento slu'!$G$53)</f>
        <v>0</v>
      </c>
      <c r="F67" s="553">
        <f>-'Foglio deposito bis'!$F$49*(C67-sezione!$AM$27)*IF(ABS(L67)&lt;'Progetto del paramento slu'!$G$58,ABS(L67)*'Progetto del paramento slu'!$G$54,'Progetto del paramento slu'!$G$53)</f>
        <v>28154562.626231998</v>
      </c>
      <c r="G67" s="553">
        <f>-'Foglio deposito bis'!$F$50*(C67-sezione!$AN$27)*IF(ABS(M67)&lt;'Progetto del paramento slu'!$G$58,ABS(M67)*'Progetto del paramento slu'!$G$54,'Progetto del paramento slu'!$G$53)</f>
        <v>0</v>
      </c>
      <c r="H67" s="553">
        <f>-'Foglio deposito bis'!$F$51*(C67-sezione!$AO$27)*IF(ABS(N67)&lt;'Progetto del paramento slu'!$G$58,ABS(N67)*'Progetto del paramento slu'!$G$54,'Progetto del paramento slu'!$G$53)</f>
        <v>78889600.160499051</v>
      </c>
      <c r="I67" s="479">
        <f>-'Foglio deposito bis'!$F$52*(C67-sezione!$AP$27)*IF(ABS(O67)&lt;'Progetto del paramento slu'!$G$58,ABS(O67)*'Progetto del paramento slu'!$G$54,'Progetto del paramento slu'!$G$53)</f>
        <v>59613880.36595159</v>
      </c>
      <c r="J67" s="479">
        <f t="shared" si="0"/>
        <v>165354329.03210789</v>
      </c>
      <c r="K67" s="558">
        <f>'Progetto del paramento slu'!$G$60*(sezione!$AL$27-C67)/C67</f>
        <v>7.6247311827957022E-3</v>
      </c>
      <c r="L67" s="558">
        <f>'Progetto del paramento slu'!$G$60*(sezione!$AM$27-C67)/C67</f>
        <v>3.8217741935483884E-2</v>
      </c>
      <c r="M67" s="559">
        <f>'Progetto del paramento slu'!$G$60*(sezione!$AN$27-C67)/C67</f>
        <v>6.8810752688172064E-2</v>
      </c>
      <c r="N67" s="559">
        <f>'Progetto del paramento slu'!$G$60*(sezione!$AO$27-C67)/C67</f>
        <v>9.106021505376348E-2</v>
      </c>
      <c r="O67" s="559">
        <f>'Progetto del paramento slu'!$G$60*(sezione!$AP$27-C67)/C67</f>
        <v>6.8810752688172064E-2</v>
      </c>
      <c r="P67" s="553">
        <f>-'Progetto del paramento slu'!$G$47*'Progetto del paramento slu'!$G$41*IF(DATI!$G$218="dx",DATI!$E$61,DATI!$E$64*DATI!$E$63)*1000*C67*sezione!$AD$5</f>
        <v>-177390.76725304461</v>
      </c>
      <c r="Q67" s="553">
        <f>'Foglio deposito bis'!$F$48*IF(ABS(K67)&lt;'Progetto del paramento slu'!$G$58,ABS(K67)*'Progetto del paramento slu'!$G$54,'Progetto del paramento slu'!$G$53)*IF(K67&lt;0,-1,1)</f>
        <v>0</v>
      </c>
      <c r="R67" s="553">
        <f>'Foglio deposito bis'!$F$49*IF(ABS(L67)&lt;'Progetto del paramento slu'!$G$58,ABS(L67)*'Progetto del paramento slu'!$G$54,'Progetto del paramento slu'!$G$53)*IF(L67&lt;0,-1,1)</f>
        <v>204886.47740803001</v>
      </c>
      <c r="S67" s="553">
        <f>'Foglio deposito bis'!$F$50*IF(ABS(M67)&lt;'Progetto del paramento slu'!$G$58,ABS(M67)*'Progetto del paramento slu'!$G$54,'Progetto del paramento slu'!$G$53)*IF(M67&lt;0,-1,1)</f>
        <v>0</v>
      </c>
      <c r="T67" s="553">
        <f>'Foglio deposito bis'!$F$51*IF(ABS(N67)&lt;'Progetto del paramento slu'!$G$58,ABS(N67)*'Progetto del paramento slu'!$G$54,'Progetto del paramento slu'!$G$53)*IF(N67&lt;0,-1,1)</f>
        <v>240946.49743184328</v>
      </c>
      <c r="U67" s="553">
        <f>'Foglio deposito bis'!$F$52*IF(ABS(O67)&lt;'Progetto del paramento slu'!$G$58,ABS(O67)*'Progetto del paramento slu'!$G$54,'Progetto del paramento slu'!$G$53)*IF(O67&lt;0,-1,1)</f>
        <v>240946.49743184328</v>
      </c>
      <c r="V67" s="479">
        <f t="shared" si="3"/>
        <v>509388.70501867193</v>
      </c>
      <c r="W67" s="559"/>
      <c r="X67" s="559"/>
    </row>
    <row r="68" spans="1:24" x14ac:dyDescent="0.25">
      <c r="A68" s="553">
        <f t="shared" si="2"/>
        <v>506527.56361136481</v>
      </c>
      <c r="B68" s="3">
        <f t="shared" si="4"/>
        <v>3.1499999999999968</v>
      </c>
      <c r="C68" s="553">
        <f>'Foglio deposito bis'!$E$153/$B$247*B68</f>
        <v>12.787550744248982</v>
      </c>
      <c r="D68" s="611">
        <f>-'Progetto del paramento slu'!$G$47*'Progetto del paramento slu'!$G$41*IF(DATI!$G$218="dx",DATI!$E$61,DATI!$E$64*DATI!$E$63)*1000*C68^2*sezione!$AD$5*(1-sezione!$AD$6)</f>
        <v>-1346108.5703853169</v>
      </c>
      <c r="E68" s="553">
        <f>-'Foglio deposito bis'!$F$48*(C68-sezione!$AL$27)*IF(ABS(K68)&lt;'Progetto del paramento slu'!$G$58,ABS(K68)*'Progetto del paramento slu'!$G$54,'Progetto del paramento slu'!$G$53)</f>
        <v>0</v>
      </c>
      <c r="F68" s="553">
        <f>-'Foglio deposito bis'!$F$49*(C68-sezione!$AM$27)*IF(ABS(L68)&lt;'Progetto del paramento slu'!$G$58,ABS(L68)*'Progetto del paramento slu'!$G$54,'Progetto del paramento slu'!$G$53)</f>
        <v>28112975.384538893</v>
      </c>
      <c r="G68" s="553">
        <f>-'Foglio deposito bis'!$F$50*(C68-sezione!$AN$27)*IF(ABS(M68)&lt;'Progetto del paramento slu'!$G$58,ABS(M68)*'Progetto del paramento slu'!$G$54,'Progetto del paramento slu'!$G$53)</f>
        <v>0</v>
      </c>
      <c r="H68" s="553">
        <f>-'Foglio deposito bis'!$F$51*(C68-sezione!$AO$27)*IF(ABS(N68)&lt;'Progetto del paramento slu'!$G$58,ABS(N68)*'Progetto del paramento slu'!$G$54,'Progetto del paramento slu'!$G$53)</f>
        <v>78840693.564267963</v>
      </c>
      <c r="I68" s="479">
        <f>-'Foglio deposito bis'!$F$52*(C68-sezione!$AP$27)*IF(ABS(O68)&lt;'Progetto del paramento slu'!$G$58,ABS(O68)*'Progetto del paramento slu'!$G$54,'Progetto del paramento slu'!$G$53)</f>
        <v>59564973.769720495</v>
      </c>
      <c r="J68" s="479">
        <f t="shared" si="0"/>
        <v>165172534.14814204</v>
      </c>
      <c r="K68" s="558">
        <f>'Progetto del paramento slu'!$G$60*(sezione!$AL$27-C68)/C68</f>
        <v>7.4481481481481508E-3</v>
      </c>
      <c r="L68" s="558">
        <f>'Progetto del paramento slu'!$G$60*(sezione!$AM$27-C68)/C68</f>
        <v>3.7555555555555564E-2</v>
      </c>
      <c r="M68" s="559">
        <f>'Progetto del paramento slu'!$G$60*(sezione!$AN$27-C68)/C68</f>
        <v>6.766296296296298E-2</v>
      </c>
      <c r="N68" s="559">
        <f>'Progetto del paramento slu'!$G$60*(sezione!$AO$27-C68)/C68</f>
        <v>8.9559259259259283E-2</v>
      </c>
      <c r="O68" s="559">
        <f>'Progetto del paramento slu'!$G$60*(sezione!$AP$27-C68)/C68</f>
        <v>6.766296296296298E-2</v>
      </c>
      <c r="P68" s="553">
        <f>-'Progetto del paramento slu'!$G$47*'Progetto del paramento slu'!$G$41*IF(DATI!$G$218="dx",DATI!$E$61,DATI!$E$64*DATI!$E$63)*1000*C68*sezione!$AD$5</f>
        <v>-180251.90866035179</v>
      </c>
      <c r="Q68" s="553">
        <f>'Foglio deposito bis'!$F$48*IF(ABS(K68)&lt;'Progetto del paramento slu'!$G$58,ABS(K68)*'Progetto del paramento slu'!$G$54,'Progetto del paramento slu'!$G$53)*IF(K68&lt;0,-1,1)</f>
        <v>0</v>
      </c>
      <c r="R68" s="553">
        <f>'Foglio deposito bis'!$F$49*IF(ABS(L68)&lt;'Progetto del paramento slu'!$G$58,ABS(L68)*'Progetto del paramento slu'!$G$54,'Progetto del paramento slu'!$G$53)*IF(L68&lt;0,-1,1)</f>
        <v>204886.47740803001</v>
      </c>
      <c r="S68" s="553">
        <f>'Foglio deposito bis'!$F$50*IF(ABS(M68)&lt;'Progetto del paramento slu'!$G$58,ABS(M68)*'Progetto del paramento slu'!$G$54,'Progetto del paramento slu'!$G$53)*IF(M68&lt;0,-1,1)</f>
        <v>0</v>
      </c>
      <c r="T68" s="553">
        <f>'Foglio deposito bis'!$F$51*IF(ABS(N68)&lt;'Progetto del paramento slu'!$G$58,ABS(N68)*'Progetto del paramento slu'!$G$54,'Progetto del paramento slu'!$G$53)*IF(N68&lt;0,-1,1)</f>
        <v>240946.49743184328</v>
      </c>
      <c r="U68" s="553">
        <f>'Foglio deposito bis'!$F$52*IF(ABS(O68)&lt;'Progetto del paramento slu'!$G$58,ABS(O68)*'Progetto del paramento slu'!$G$54,'Progetto del paramento slu'!$G$53)*IF(O68&lt;0,-1,1)</f>
        <v>240946.49743184328</v>
      </c>
      <c r="V68" s="479">
        <f t="shared" si="3"/>
        <v>506527.56361136481</v>
      </c>
      <c r="W68" s="559"/>
      <c r="X68" s="559"/>
    </row>
    <row r="69" spans="1:24" x14ac:dyDescent="0.25">
      <c r="A69" s="553">
        <f t="shared" si="2"/>
        <v>503666.42220405769</v>
      </c>
      <c r="B69" s="3">
        <f t="shared" si="4"/>
        <v>3.1999999999999966</v>
      </c>
      <c r="C69" s="553">
        <f>'Foglio deposito bis'!$E$153/$B$247*B69</f>
        <v>12.990527740189441</v>
      </c>
      <c r="D69" s="611">
        <f>-'Progetto del paramento slu'!$G$47*'Progetto del paramento slu'!$G$41*IF(DATI!$G$218="dx",DATI!$E$61,DATI!$E$64*DATI!$E$63)*1000*C69^2*sezione!$AD$5*(1-sezione!$AD$6)</f>
        <v>-1389181.3313928589</v>
      </c>
      <c r="E69" s="553">
        <f>-'Foglio deposito bis'!$F$48*(C69-sezione!$AL$27)*IF(ABS(K69)&lt;'Progetto del paramento slu'!$G$58,ABS(K69)*'Progetto del paramento slu'!$G$54,'Progetto del paramento slu'!$G$53)</f>
        <v>0</v>
      </c>
      <c r="F69" s="553">
        <f>-'Foglio deposito bis'!$F$49*(C69-sezione!$AM$27)*IF(ABS(L69)&lt;'Progetto del paramento slu'!$G$58,ABS(L69)*'Progetto del paramento slu'!$G$54,'Progetto del paramento slu'!$G$53)</f>
        <v>28071388.142845791</v>
      </c>
      <c r="G69" s="553">
        <f>-'Foglio deposito bis'!$F$50*(C69-sezione!$AN$27)*IF(ABS(M69)&lt;'Progetto del paramento slu'!$G$58,ABS(M69)*'Progetto del paramento slu'!$G$54,'Progetto del paramento slu'!$G$53)</f>
        <v>0</v>
      </c>
      <c r="H69" s="553">
        <f>-'Foglio deposito bis'!$F$51*(C69-sezione!$AO$27)*IF(ABS(N69)&lt;'Progetto del paramento slu'!$G$58,ABS(N69)*'Progetto del paramento slu'!$G$54,'Progetto del paramento slu'!$G$53)</f>
        <v>78791786.96803686</v>
      </c>
      <c r="I69" s="479">
        <f>-'Foglio deposito bis'!$F$52*(C69-sezione!$AP$27)*IF(ABS(O69)&lt;'Progetto del paramento slu'!$G$58,ABS(O69)*'Progetto del paramento slu'!$G$54,'Progetto del paramento slu'!$G$53)</f>
        <v>59516067.173489407</v>
      </c>
      <c r="J69" s="479">
        <f t="shared" ref="J69:J132" si="8">D69+E69+F69+G69+H69+I69</f>
        <v>164990060.95297921</v>
      </c>
      <c r="K69" s="558">
        <f>'Progetto del paramento slu'!$G$60*(sezione!$AL$27-C69)/C69</f>
        <v>7.2770833333333368E-3</v>
      </c>
      <c r="L69" s="558">
        <f>'Progetto del paramento slu'!$G$60*(sezione!$AM$27-C69)/C69</f>
        <v>3.6914062500000018E-2</v>
      </c>
      <c r="M69" s="559">
        <f>'Progetto del paramento slu'!$G$60*(sezione!$AN$27-C69)/C69</f>
        <v>6.6551041666666685E-2</v>
      </c>
      <c r="N69" s="559">
        <f>'Progetto del paramento slu'!$G$60*(sezione!$AO$27-C69)/C69</f>
        <v>8.8105208333333365E-2</v>
      </c>
      <c r="O69" s="559">
        <f>'Progetto del paramento slu'!$G$60*(sezione!$AP$27-C69)/C69</f>
        <v>6.6551041666666685E-2</v>
      </c>
      <c r="P69" s="553">
        <f>-'Progetto del paramento slu'!$G$47*'Progetto del paramento slu'!$G$41*IF(DATI!$G$218="dx",DATI!$E$61,DATI!$E$64*DATI!$E$63)*1000*C69*sezione!$AD$5</f>
        <v>-183113.05006765891</v>
      </c>
      <c r="Q69" s="553">
        <f>'Foglio deposito bis'!$F$48*IF(ABS(K69)&lt;'Progetto del paramento slu'!$G$58,ABS(K69)*'Progetto del paramento slu'!$G$54,'Progetto del paramento slu'!$G$53)*IF(K69&lt;0,-1,1)</f>
        <v>0</v>
      </c>
      <c r="R69" s="553">
        <f>'Foglio deposito bis'!$F$49*IF(ABS(L69)&lt;'Progetto del paramento slu'!$G$58,ABS(L69)*'Progetto del paramento slu'!$G$54,'Progetto del paramento slu'!$G$53)*IF(L69&lt;0,-1,1)</f>
        <v>204886.47740803001</v>
      </c>
      <c r="S69" s="553">
        <f>'Foglio deposito bis'!$F$50*IF(ABS(M69)&lt;'Progetto del paramento slu'!$G$58,ABS(M69)*'Progetto del paramento slu'!$G$54,'Progetto del paramento slu'!$G$53)*IF(M69&lt;0,-1,1)</f>
        <v>0</v>
      </c>
      <c r="T69" s="553">
        <f>'Foglio deposito bis'!$F$51*IF(ABS(N69)&lt;'Progetto del paramento slu'!$G$58,ABS(N69)*'Progetto del paramento slu'!$G$54,'Progetto del paramento slu'!$G$53)*IF(N69&lt;0,-1,1)</f>
        <v>240946.49743184328</v>
      </c>
      <c r="U69" s="553">
        <f>'Foglio deposito bis'!$F$52*IF(ABS(O69)&lt;'Progetto del paramento slu'!$G$58,ABS(O69)*'Progetto del paramento slu'!$G$54,'Progetto del paramento slu'!$G$53)*IF(O69&lt;0,-1,1)</f>
        <v>240946.49743184328</v>
      </c>
      <c r="V69" s="479">
        <f t="shared" si="3"/>
        <v>503666.42220405769</v>
      </c>
      <c r="W69" s="559"/>
      <c r="X69" s="559"/>
    </row>
    <row r="70" spans="1:24" x14ac:dyDescent="0.25">
      <c r="A70" s="553">
        <f t="shared" ref="A70:A133" si="9">ABS(V70)</f>
        <v>500805.28079675045</v>
      </c>
      <c r="B70" s="3">
        <f t="shared" si="4"/>
        <v>3.2499999999999964</v>
      </c>
      <c r="C70" s="553">
        <f>'Foglio deposito bis'!$E$153/$B$247*B70</f>
        <v>13.193504736129901</v>
      </c>
      <c r="D70" s="611">
        <f>-'Progetto del paramento slu'!$G$47*'Progetto del paramento slu'!$G$41*IF(DATI!$G$218="dx",DATI!$E$61,DATI!$E$64*DATI!$E$63)*1000*C70^2*sezione!$AD$5*(1-sezione!$AD$6)</f>
        <v>-1432932.4035973705</v>
      </c>
      <c r="E70" s="553">
        <f>-'Foglio deposito bis'!$F$48*(C70-sezione!$AL$27)*IF(ABS(K70)&lt;'Progetto del paramento slu'!$G$58,ABS(K70)*'Progetto del paramento slu'!$G$54,'Progetto del paramento slu'!$G$53)</f>
        <v>0</v>
      </c>
      <c r="F70" s="553">
        <f>-'Foglio deposito bis'!$F$49*(C70-sezione!$AM$27)*IF(ABS(L70)&lt;'Progetto del paramento slu'!$G$58,ABS(L70)*'Progetto del paramento slu'!$G$54,'Progetto del paramento slu'!$G$53)</f>
        <v>28029800.901152685</v>
      </c>
      <c r="G70" s="553">
        <f>-'Foglio deposito bis'!$F$50*(C70-sezione!$AN$27)*IF(ABS(M70)&lt;'Progetto del paramento slu'!$G$58,ABS(M70)*'Progetto del paramento slu'!$G$54,'Progetto del paramento slu'!$G$53)</f>
        <v>0</v>
      </c>
      <c r="H70" s="553">
        <f>-'Foglio deposito bis'!$F$51*(C70-sezione!$AO$27)*IF(ABS(N70)&lt;'Progetto del paramento slu'!$G$58,ABS(N70)*'Progetto del paramento slu'!$G$54,'Progetto del paramento slu'!$G$53)</f>
        <v>78742880.371805772</v>
      </c>
      <c r="I70" s="479">
        <f>-'Foglio deposito bis'!$F$52*(C70-sezione!$AP$27)*IF(ABS(O70)&lt;'Progetto del paramento slu'!$G$58,ABS(O70)*'Progetto del paramento slu'!$G$54,'Progetto del paramento slu'!$G$53)</f>
        <v>59467160.577258319</v>
      </c>
      <c r="J70" s="479">
        <f t="shared" si="8"/>
        <v>164806909.44661939</v>
      </c>
      <c r="K70" s="558">
        <f>'Progetto del paramento slu'!$G$60*(sezione!$AL$27-C70)/C70</f>
        <v>7.1112820512820541E-3</v>
      </c>
      <c r="L70" s="558">
        <f>'Progetto del paramento slu'!$G$60*(sezione!$AM$27-C70)/C70</f>
        <v>3.62923076923077E-2</v>
      </c>
      <c r="M70" s="559">
        <f>'Progetto del paramento slu'!$G$60*(sezione!$AN$27-C70)/C70</f>
        <v>6.5473333333333356E-2</v>
      </c>
      <c r="N70" s="559">
        <f>'Progetto del paramento slu'!$G$60*(sezione!$AO$27-C70)/C70</f>
        <v>8.6695897435897465E-2</v>
      </c>
      <c r="O70" s="559">
        <f>'Progetto del paramento slu'!$G$60*(sezione!$AP$27-C70)/C70</f>
        <v>6.5473333333333356E-2</v>
      </c>
      <c r="P70" s="553">
        <f>-'Progetto del paramento slu'!$G$47*'Progetto del paramento slu'!$G$41*IF(DATI!$G$218="dx",DATI!$E$61,DATI!$E$64*DATI!$E$63)*1000*C70*sezione!$AD$5</f>
        <v>-185974.19147496609</v>
      </c>
      <c r="Q70" s="553">
        <f>'Foglio deposito bis'!$F$48*IF(ABS(K70)&lt;'Progetto del paramento slu'!$G$58,ABS(K70)*'Progetto del paramento slu'!$G$54,'Progetto del paramento slu'!$G$53)*IF(K70&lt;0,-1,1)</f>
        <v>0</v>
      </c>
      <c r="R70" s="553">
        <f>'Foglio deposito bis'!$F$49*IF(ABS(L70)&lt;'Progetto del paramento slu'!$G$58,ABS(L70)*'Progetto del paramento slu'!$G$54,'Progetto del paramento slu'!$G$53)*IF(L70&lt;0,-1,1)</f>
        <v>204886.47740803001</v>
      </c>
      <c r="S70" s="553">
        <f>'Foglio deposito bis'!$F$50*IF(ABS(M70)&lt;'Progetto del paramento slu'!$G$58,ABS(M70)*'Progetto del paramento slu'!$G$54,'Progetto del paramento slu'!$G$53)*IF(M70&lt;0,-1,1)</f>
        <v>0</v>
      </c>
      <c r="T70" s="553">
        <f>'Foglio deposito bis'!$F$51*IF(ABS(N70)&lt;'Progetto del paramento slu'!$G$58,ABS(N70)*'Progetto del paramento slu'!$G$54,'Progetto del paramento slu'!$G$53)*IF(N70&lt;0,-1,1)</f>
        <v>240946.49743184328</v>
      </c>
      <c r="U70" s="553">
        <f>'Foglio deposito bis'!$F$52*IF(ABS(O70)&lt;'Progetto del paramento slu'!$G$58,ABS(O70)*'Progetto del paramento slu'!$G$54,'Progetto del paramento slu'!$G$53)*IF(O70&lt;0,-1,1)</f>
        <v>240946.49743184328</v>
      </c>
      <c r="V70" s="479">
        <f t="shared" ref="V70:V133" si="10">P70+Q70+R70+S70+T70+U70</f>
        <v>500805.28079675045</v>
      </c>
      <c r="W70" s="559"/>
      <c r="X70" s="559"/>
    </row>
    <row r="71" spans="1:24" x14ac:dyDescent="0.25">
      <c r="A71" s="553">
        <f t="shared" si="9"/>
        <v>497944.13938944333</v>
      </c>
      <c r="B71" s="3">
        <f t="shared" ref="B71:B107" si="11">B70+0.05</f>
        <v>3.2999999999999963</v>
      </c>
      <c r="C71" s="553">
        <f>'Foglio deposito bis'!$E$153/$B$247*B71</f>
        <v>13.396481732070361</v>
      </c>
      <c r="D71" s="611">
        <f>-'Progetto del paramento slu'!$G$47*'Progetto del paramento slu'!$G$41*IF(DATI!$G$218="dx",DATI!$E$61,DATI!$E$64*DATI!$E$63)*1000*C71^2*sezione!$AD$5*(1-sezione!$AD$6)</f>
        <v>-1477361.786998851</v>
      </c>
      <c r="E71" s="553">
        <f>-'Foglio deposito bis'!$F$48*(C71-sezione!$AL$27)*IF(ABS(K71)&lt;'Progetto del paramento slu'!$G$58,ABS(K71)*'Progetto del paramento slu'!$G$54,'Progetto del paramento slu'!$G$53)</f>
        <v>0</v>
      </c>
      <c r="F71" s="553">
        <f>-'Foglio deposito bis'!$F$49*(C71-sezione!$AM$27)*IF(ABS(L71)&lt;'Progetto del paramento slu'!$G$58,ABS(L71)*'Progetto del paramento slu'!$G$54,'Progetto del paramento slu'!$G$53)</f>
        <v>27988213.65945958</v>
      </c>
      <c r="G71" s="553">
        <f>-'Foglio deposito bis'!$F$50*(C71-sezione!$AN$27)*IF(ABS(M71)&lt;'Progetto del paramento slu'!$G$58,ABS(M71)*'Progetto del paramento slu'!$G$54,'Progetto del paramento slu'!$G$53)</f>
        <v>0</v>
      </c>
      <c r="H71" s="553">
        <f>-'Foglio deposito bis'!$F$51*(C71-sezione!$AO$27)*IF(ABS(N71)&lt;'Progetto del paramento slu'!$G$58,ABS(N71)*'Progetto del paramento slu'!$G$54,'Progetto del paramento slu'!$G$53)</f>
        <v>78693973.775574684</v>
      </c>
      <c r="I71" s="479">
        <f>-'Foglio deposito bis'!$F$52*(C71-sezione!$AP$27)*IF(ABS(O71)&lt;'Progetto del paramento slu'!$G$58,ABS(O71)*'Progetto del paramento slu'!$G$54,'Progetto del paramento slu'!$G$53)</f>
        <v>59418253.981027223</v>
      </c>
      <c r="J71" s="479">
        <f t="shared" si="8"/>
        <v>164623079.62906262</v>
      </c>
      <c r="K71" s="558">
        <f>'Progetto del paramento slu'!$G$60*(sezione!$AL$27-C71)/C71</f>
        <v>6.9505050505050542E-3</v>
      </c>
      <c r="L71" s="558">
        <f>'Progetto del paramento slu'!$G$60*(sezione!$AM$27-C71)/C71</f>
        <v>3.5689393939393951E-2</v>
      </c>
      <c r="M71" s="559">
        <f>'Progetto del paramento slu'!$G$60*(sezione!$AN$27-C71)/C71</f>
        <v>6.4428282828282848E-2</v>
      </c>
      <c r="N71" s="559">
        <f>'Progetto del paramento slu'!$G$60*(sezione!$AO$27-C71)/C71</f>
        <v>8.5329292929292949E-2</v>
      </c>
      <c r="O71" s="559">
        <f>'Progetto del paramento slu'!$G$60*(sezione!$AP$27-C71)/C71</f>
        <v>6.4428282828282848E-2</v>
      </c>
      <c r="P71" s="553">
        <f>-'Progetto del paramento slu'!$G$47*'Progetto del paramento slu'!$G$41*IF(DATI!$G$218="dx",DATI!$E$61,DATI!$E$64*DATI!$E$63)*1000*C71*sezione!$AD$5</f>
        <v>-188835.33288227327</v>
      </c>
      <c r="Q71" s="553">
        <f>'Foglio deposito bis'!$F$48*IF(ABS(K71)&lt;'Progetto del paramento slu'!$G$58,ABS(K71)*'Progetto del paramento slu'!$G$54,'Progetto del paramento slu'!$G$53)*IF(K71&lt;0,-1,1)</f>
        <v>0</v>
      </c>
      <c r="R71" s="553">
        <f>'Foglio deposito bis'!$F$49*IF(ABS(L71)&lt;'Progetto del paramento slu'!$G$58,ABS(L71)*'Progetto del paramento slu'!$G$54,'Progetto del paramento slu'!$G$53)*IF(L71&lt;0,-1,1)</f>
        <v>204886.47740803001</v>
      </c>
      <c r="S71" s="553">
        <f>'Foglio deposito bis'!$F$50*IF(ABS(M71)&lt;'Progetto del paramento slu'!$G$58,ABS(M71)*'Progetto del paramento slu'!$G$54,'Progetto del paramento slu'!$G$53)*IF(M71&lt;0,-1,1)</f>
        <v>0</v>
      </c>
      <c r="T71" s="553">
        <f>'Foglio deposito bis'!$F$51*IF(ABS(N71)&lt;'Progetto del paramento slu'!$G$58,ABS(N71)*'Progetto del paramento slu'!$G$54,'Progetto del paramento slu'!$G$53)*IF(N71&lt;0,-1,1)</f>
        <v>240946.49743184328</v>
      </c>
      <c r="U71" s="553">
        <f>'Foglio deposito bis'!$F$52*IF(ABS(O71)&lt;'Progetto del paramento slu'!$G$58,ABS(O71)*'Progetto del paramento slu'!$G$54,'Progetto del paramento slu'!$G$53)*IF(O71&lt;0,-1,1)</f>
        <v>240946.49743184328</v>
      </c>
      <c r="V71" s="479">
        <f t="shared" si="10"/>
        <v>497944.13938944333</v>
      </c>
      <c r="W71" s="559"/>
      <c r="X71" s="559"/>
    </row>
    <row r="72" spans="1:24" x14ac:dyDescent="0.25">
      <c r="A72" s="553">
        <f t="shared" si="9"/>
        <v>495082.99798213609</v>
      </c>
      <c r="B72" s="3">
        <f t="shared" si="11"/>
        <v>3.3499999999999961</v>
      </c>
      <c r="C72" s="553">
        <f>'Foglio deposito bis'!$E$153/$B$247*B72</f>
        <v>13.59945872801082</v>
      </c>
      <c r="D72" s="611">
        <f>-'Progetto del paramento slu'!$G$47*'Progetto del paramento slu'!$G$41*IF(DATI!$G$218="dx",DATI!$E$61,DATI!$E$64*DATI!$E$63)*1000*C72^2*sezione!$AD$5*(1-sezione!$AD$6)</f>
        <v>-1522469.4815973006</v>
      </c>
      <c r="E72" s="553">
        <f>-'Foglio deposito bis'!$F$48*(C72-sezione!$AL$27)*IF(ABS(K72)&lt;'Progetto del paramento slu'!$G$58,ABS(K72)*'Progetto del paramento slu'!$G$54,'Progetto del paramento slu'!$G$53)</f>
        <v>0</v>
      </c>
      <c r="F72" s="553">
        <f>-'Foglio deposito bis'!$F$49*(C72-sezione!$AM$27)*IF(ABS(L72)&lt;'Progetto del paramento slu'!$G$58,ABS(L72)*'Progetto del paramento slu'!$G$54,'Progetto del paramento slu'!$G$53)</f>
        <v>27946626.417766474</v>
      </c>
      <c r="G72" s="553">
        <f>-'Foglio deposito bis'!$F$50*(C72-sezione!$AN$27)*IF(ABS(M72)&lt;'Progetto del paramento slu'!$G$58,ABS(M72)*'Progetto del paramento slu'!$G$54,'Progetto del paramento slu'!$G$53)</f>
        <v>0</v>
      </c>
      <c r="H72" s="553">
        <f>-'Foglio deposito bis'!$F$51*(C72-sezione!$AO$27)*IF(ABS(N72)&lt;'Progetto del paramento slu'!$G$58,ABS(N72)*'Progetto del paramento slu'!$G$54,'Progetto del paramento slu'!$G$53)</f>
        <v>78645067.179343596</v>
      </c>
      <c r="I72" s="479">
        <f>-'Foglio deposito bis'!$F$52*(C72-sezione!$AP$27)*IF(ABS(O72)&lt;'Progetto del paramento slu'!$G$58,ABS(O72)*'Progetto del paramento slu'!$G$54,'Progetto del paramento slu'!$G$53)</f>
        <v>59369347.384796135</v>
      </c>
      <c r="J72" s="479">
        <f t="shared" si="8"/>
        <v>164438571.5003089</v>
      </c>
      <c r="K72" s="558">
        <f>'Progetto del paramento slu'!$G$60*(sezione!$AL$27-C72)/C72</f>
        <v>6.7945273631840842E-3</v>
      </c>
      <c r="L72" s="558">
        <f>'Progetto del paramento slu'!$G$60*(sezione!$AM$27-C72)/C72</f>
        <v>3.5104477611940313E-2</v>
      </c>
      <c r="M72" s="559">
        <f>'Progetto del paramento slu'!$G$60*(sezione!$AN$27-C72)/C72</f>
        <v>6.3414427860696551E-2</v>
      </c>
      <c r="N72" s="559">
        <f>'Progetto del paramento slu'!$G$60*(sezione!$AO$27-C72)/C72</f>
        <v>8.4003482587064721E-2</v>
      </c>
      <c r="O72" s="559">
        <f>'Progetto del paramento slu'!$G$60*(sezione!$AP$27-C72)/C72</f>
        <v>6.3414427860696551E-2</v>
      </c>
      <c r="P72" s="553">
        <f>-'Progetto del paramento slu'!$G$47*'Progetto del paramento slu'!$G$41*IF(DATI!$G$218="dx",DATI!$E$61,DATI!$E$64*DATI!$E$63)*1000*C72*sezione!$AD$5</f>
        <v>-191696.47428958045</v>
      </c>
      <c r="Q72" s="553">
        <f>'Foglio deposito bis'!$F$48*IF(ABS(K72)&lt;'Progetto del paramento slu'!$G$58,ABS(K72)*'Progetto del paramento slu'!$G$54,'Progetto del paramento slu'!$G$53)*IF(K72&lt;0,-1,1)</f>
        <v>0</v>
      </c>
      <c r="R72" s="553">
        <f>'Foglio deposito bis'!$F$49*IF(ABS(L72)&lt;'Progetto del paramento slu'!$G$58,ABS(L72)*'Progetto del paramento slu'!$G$54,'Progetto del paramento slu'!$G$53)*IF(L72&lt;0,-1,1)</f>
        <v>204886.47740803001</v>
      </c>
      <c r="S72" s="553">
        <f>'Foglio deposito bis'!$F$50*IF(ABS(M72)&lt;'Progetto del paramento slu'!$G$58,ABS(M72)*'Progetto del paramento slu'!$G$54,'Progetto del paramento slu'!$G$53)*IF(M72&lt;0,-1,1)</f>
        <v>0</v>
      </c>
      <c r="T72" s="553">
        <f>'Foglio deposito bis'!$F$51*IF(ABS(N72)&lt;'Progetto del paramento slu'!$G$58,ABS(N72)*'Progetto del paramento slu'!$G$54,'Progetto del paramento slu'!$G$53)*IF(N72&lt;0,-1,1)</f>
        <v>240946.49743184328</v>
      </c>
      <c r="U72" s="553">
        <f>'Foglio deposito bis'!$F$52*IF(ABS(O72)&lt;'Progetto del paramento slu'!$G$58,ABS(O72)*'Progetto del paramento slu'!$G$54,'Progetto del paramento slu'!$G$53)*IF(O72&lt;0,-1,1)</f>
        <v>240946.49743184328</v>
      </c>
      <c r="V72" s="479">
        <f t="shared" si="10"/>
        <v>495082.99798213609</v>
      </c>
      <c r="W72" s="559"/>
      <c r="X72" s="559"/>
    </row>
    <row r="73" spans="1:24" x14ac:dyDescent="0.25">
      <c r="A73" s="553">
        <f t="shared" si="9"/>
        <v>492221.85657482897</v>
      </c>
      <c r="B73" s="3">
        <f t="shared" si="11"/>
        <v>3.3999999999999959</v>
      </c>
      <c r="C73" s="553">
        <f>'Foglio deposito bis'!$E$153/$B$247*B73</f>
        <v>13.80243572395128</v>
      </c>
      <c r="D73" s="611">
        <f>-'Progetto del paramento slu'!$G$47*'Progetto del paramento slu'!$G$41*IF(DATI!$G$218="dx",DATI!$E$61,DATI!$E$64*DATI!$E$63)*1000*C73^2*sezione!$AD$5*(1-sezione!$AD$6)</f>
        <v>-1568255.4873927196</v>
      </c>
      <c r="E73" s="553">
        <f>-'Foglio deposito bis'!$F$48*(C73-sezione!$AL$27)*IF(ABS(K73)&lt;'Progetto del paramento slu'!$G$58,ABS(K73)*'Progetto del paramento slu'!$G$54,'Progetto del paramento slu'!$G$53)</f>
        <v>0</v>
      </c>
      <c r="F73" s="553">
        <f>-'Foglio deposito bis'!$F$49*(C73-sezione!$AM$27)*IF(ABS(L73)&lt;'Progetto del paramento slu'!$G$58,ABS(L73)*'Progetto del paramento slu'!$G$54,'Progetto del paramento slu'!$G$53)</f>
        <v>27905039.176073369</v>
      </c>
      <c r="G73" s="553">
        <f>-'Foglio deposito bis'!$F$50*(C73-sezione!$AN$27)*IF(ABS(M73)&lt;'Progetto del paramento slu'!$G$58,ABS(M73)*'Progetto del paramento slu'!$G$54,'Progetto del paramento slu'!$G$53)</f>
        <v>0</v>
      </c>
      <c r="H73" s="553">
        <f>-'Foglio deposito bis'!$F$51*(C73-sezione!$AO$27)*IF(ABS(N73)&lt;'Progetto del paramento slu'!$G$58,ABS(N73)*'Progetto del paramento slu'!$G$54,'Progetto del paramento slu'!$G$53)</f>
        <v>78596160.583112493</v>
      </c>
      <c r="I73" s="479">
        <f>-'Foglio deposito bis'!$F$52*(C73-sezione!$AP$27)*IF(ABS(O73)&lt;'Progetto del paramento slu'!$G$58,ABS(O73)*'Progetto del paramento slu'!$G$54,'Progetto del paramento slu'!$G$53)</f>
        <v>59320440.788565047</v>
      </c>
      <c r="J73" s="479">
        <f t="shared" si="8"/>
        <v>164253385.0603582</v>
      </c>
      <c r="K73" s="558">
        <f>'Progetto del paramento slu'!$G$60*(sezione!$AL$27-C73)/C73</f>
        <v>6.6431372549019653E-3</v>
      </c>
      <c r="L73" s="558">
        <f>'Progetto del paramento slu'!$G$60*(sezione!$AM$27-C73)/C73</f>
        <v>3.4536764705882371E-2</v>
      </c>
      <c r="M73" s="559">
        <f>'Progetto del paramento slu'!$G$60*(sezione!$AN$27-C73)/C73</f>
        <v>6.2430392156862774E-2</v>
      </c>
      <c r="N73" s="559">
        <f>'Progetto del paramento slu'!$G$60*(sezione!$AO$27-C73)/C73</f>
        <v>8.2716666666666688E-2</v>
      </c>
      <c r="O73" s="559">
        <f>'Progetto del paramento slu'!$G$60*(sezione!$AP$27-C73)/C73</f>
        <v>6.2430392156862774E-2</v>
      </c>
      <c r="P73" s="553">
        <f>-'Progetto del paramento slu'!$G$47*'Progetto del paramento slu'!$G$41*IF(DATI!$G$218="dx",DATI!$E$61,DATI!$E$64*DATI!$E$63)*1000*C73*sezione!$AD$5</f>
        <v>-194557.61569688763</v>
      </c>
      <c r="Q73" s="553">
        <f>'Foglio deposito bis'!$F$48*IF(ABS(K73)&lt;'Progetto del paramento slu'!$G$58,ABS(K73)*'Progetto del paramento slu'!$G$54,'Progetto del paramento slu'!$G$53)*IF(K73&lt;0,-1,1)</f>
        <v>0</v>
      </c>
      <c r="R73" s="553">
        <f>'Foglio deposito bis'!$F$49*IF(ABS(L73)&lt;'Progetto del paramento slu'!$G$58,ABS(L73)*'Progetto del paramento slu'!$G$54,'Progetto del paramento slu'!$G$53)*IF(L73&lt;0,-1,1)</f>
        <v>204886.47740803001</v>
      </c>
      <c r="S73" s="553">
        <f>'Foglio deposito bis'!$F$50*IF(ABS(M73)&lt;'Progetto del paramento slu'!$G$58,ABS(M73)*'Progetto del paramento slu'!$G$54,'Progetto del paramento slu'!$G$53)*IF(M73&lt;0,-1,1)</f>
        <v>0</v>
      </c>
      <c r="T73" s="553">
        <f>'Foglio deposito bis'!$F$51*IF(ABS(N73)&lt;'Progetto del paramento slu'!$G$58,ABS(N73)*'Progetto del paramento slu'!$G$54,'Progetto del paramento slu'!$G$53)*IF(N73&lt;0,-1,1)</f>
        <v>240946.49743184328</v>
      </c>
      <c r="U73" s="553">
        <f>'Foglio deposito bis'!$F$52*IF(ABS(O73)&lt;'Progetto del paramento slu'!$G$58,ABS(O73)*'Progetto del paramento slu'!$G$54,'Progetto del paramento slu'!$G$53)*IF(O73&lt;0,-1,1)</f>
        <v>240946.49743184328</v>
      </c>
      <c r="V73" s="479">
        <f t="shared" si="10"/>
        <v>492221.85657482897</v>
      </c>
      <c r="W73" s="559"/>
      <c r="X73" s="559"/>
    </row>
    <row r="74" spans="1:24" x14ac:dyDescent="0.25">
      <c r="A74" s="553">
        <f t="shared" si="9"/>
        <v>489360.71516752185</v>
      </c>
      <c r="B74" s="3">
        <f t="shared" si="11"/>
        <v>3.4499999999999957</v>
      </c>
      <c r="C74" s="553">
        <f>'Foglio deposito bis'!$E$153/$B$247*B74</f>
        <v>14.005412719891739</v>
      </c>
      <c r="D74" s="611">
        <f>-'Progetto del paramento slu'!$G$47*'Progetto del paramento slu'!$G$41*IF(DATI!$G$218="dx",DATI!$E$61,DATI!$E$64*DATI!$E$63)*1000*C74^2*sezione!$AD$5*(1-sezione!$AD$6)</f>
        <v>-1614719.8043851077</v>
      </c>
      <c r="E74" s="553">
        <f>-'Foglio deposito bis'!$F$48*(C74-sezione!$AL$27)*IF(ABS(K74)&lt;'Progetto del paramento slu'!$G$58,ABS(K74)*'Progetto del paramento slu'!$G$54,'Progetto del paramento slu'!$G$53)</f>
        <v>0</v>
      </c>
      <c r="F74" s="553">
        <f>-'Foglio deposito bis'!$F$49*(C74-sezione!$AM$27)*IF(ABS(L74)&lt;'Progetto del paramento slu'!$G$58,ABS(L74)*'Progetto del paramento slu'!$G$54,'Progetto del paramento slu'!$G$53)</f>
        <v>27863451.934380263</v>
      </c>
      <c r="G74" s="553">
        <f>-'Foglio deposito bis'!$F$50*(C74-sezione!$AN$27)*IF(ABS(M74)&lt;'Progetto del paramento slu'!$G$58,ABS(M74)*'Progetto del paramento slu'!$G$54,'Progetto del paramento slu'!$G$53)</f>
        <v>0</v>
      </c>
      <c r="H74" s="553">
        <f>-'Foglio deposito bis'!$F$51*(C74-sezione!$AO$27)*IF(ABS(N74)&lt;'Progetto del paramento slu'!$G$58,ABS(N74)*'Progetto del paramento slu'!$G$54,'Progetto del paramento slu'!$G$53)</f>
        <v>78547253.986881405</v>
      </c>
      <c r="I74" s="479">
        <f>-'Foglio deposito bis'!$F$52*(C74-sezione!$AP$27)*IF(ABS(O74)&lt;'Progetto del paramento slu'!$G$58,ABS(O74)*'Progetto del paramento slu'!$G$54,'Progetto del paramento slu'!$G$53)</f>
        <v>59271534.192333952</v>
      </c>
      <c r="J74" s="479">
        <f t="shared" si="8"/>
        <v>164067520.30921051</v>
      </c>
      <c r="K74" s="558">
        <f>'Progetto del paramento slu'!$G$60*(sezione!$AL$27-C74)/C74</f>
        <v>6.4961352657004886E-3</v>
      </c>
      <c r="L74" s="558">
        <f>'Progetto del paramento slu'!$G$60*(sezione!$AM$27-C74)/C74</f>
        <v>3.3985507246376827E-2</v>
      </c>
      <c r="M74" s="559">
        <f>'Progetto del paramento slu'!$G$60*(sezione!$AN$27-C74)/C74</f>
        <v>6.1474879227053164E-2</v>
      </c>
      <c r="N74" s="559">
        <f>'Progetto del paramento slu'!$G$60*(sezione!$AO$27-C74)/C74</f>
        <v>8.1467149758454149E-2</v>
      </c>
      <c r="O74" s="559">
        <f>'Progetto del paramento slu'!$G$60*(sezione!$AP$27-C74)/C74</f>
        <v>6.1474879227053164E-2</v>
      </c>
      <c r="P74" s="553">
        <f>-'Progetto del paramento slu'!$G$47*'Progetto del paramento slu'!$G$41*IF(DATI!$G$218="dx",DATI!$E$61,DATI!$E$64*DATI!$E$63)*1000*C74*sezione!$AD$5</f>
        <v>-197418.75710419475</v>
      </c>
      <c r="Q74" s="553">
        <f>'Foglio deposito bis'!$F$48*IF(ABS(K74)&lt;'Progetto del paramento slu'!$G$58,ABS(K74)*'Progetto del paramento slu'!$G$54,'Progetto del paramento slu'!$G$53)*IF(K74&lt;0,-1,1)</f>
        <v>0</v>
      </c>
      <c r="R74" s="553">
        <f>'Foglio deposito bis'!$F$49*IF(ABS(L74)&lt;'Progetto del paramento slu'!$G$58,ABS(L74)*'Progetto del paramento slu'!$G$54,'Progetto del paramento slu'!$G$53)*IF(L74&lt;0,-1,1)</f>
        <v>204886.47740803001</v>
      </c>
      <c r="S74" s="553">
        <f>'Foglio deposito bis'!$F$50*IF(ABS(M74)&lt;'Progetto del paramento slu'!$G$58,ABS(M74)*'Progetto del paramento slu'!$G$54,'Progetto del paramento slu'!$G$53)*IF(M74&lt;0,-1,1)</f>
        <v>0</v>
      </c>
      <c r="T74" s="553">
        <f>'Foglio deposito bis'!$F$51*IF(ABS(N74)&lt;'Progetto del paramento slu'!$G$58,ABS(N74)*'Progetto del paramento slu'!$G$54,'Progetto del paramento slu'!$G$53)*IF(N74&lt;0,-1,1)</f>
        <v>240946.49743184328</v>
      </c>
      <c r="U74" s="553">
        <f>'Foglio deposito bis'!$F$52*IF(ABS(O74)&lt;'Progetto del paramento slu'!$G$58,ABS(O74)*'Progetto del paramento slu'!$G$54,'Progetto del paramento slu'!$G$53)*IF(O74&lt;0,-1,1)</f>
        <v>240946.49743184328</v>
      </c>
      <c r="V74" s="479">
        <f t="shared" si="10"/>
        <v>489360.71516752185</v>
      </c>
      <c r="W74" s="559"/>
      <c r="X74" s="559"/>
    </row>
    <row r="75" spans="1:24" x14ac:dyDescent="0.25">
      <c r="A75" s="553">
        <f t="shared" si="9"/>
        <v>486499.57376021461</v>
      </c>
      <c r="B75" s="3">
        <f t="shared" si="11"/>
        <v>3.4999999999999956</v>
      </c>
      <c r="C75" s="553">
        <f>'Foglio deposito bis'!$E$153/$B$247*B75</f>
        <v>14.208389715832199</v>
      </c>
      <c r="D75" s="611">
        <f>-'Progetto del paramento slu'!$G$47*'Progetto del paramento slu'!$G$41*IF(DATI!$G$218="dx",DATI!$E$61,DATI!$E$64*DATI!$E$63)*1000*C75^2*sezione!$AD$5*(1-sezione!$AD$6)</f>
        <v>-1661862.4325744649</v>
      </c>
      <c r="E75" s="553">
        <f>-'Foglio deposito bis'!$F$48*(C75-sezione!$AL$27)*IF(ABS(K75)&lt;'Progetto del paramento slu'!$G$58,ABS(K75)*'Progetto del paramento slu'!$G$54,'Progetto del paramento slu'!$G$53)</f>
        <v>0</v>
      </c>
      <c r="F75" s="553">
        <f>-'Foglio deposito bis'!$F$49*(C75-sezione!$AM$27)*IF(ABS(L75)&lt;'Progetto del paramento slu'!$G$58,ABS(L75)*'Progetto del paramento slu'!$G$54,'Progetto del paramento slu'!$G$53)</f>
        <v>27821864.692687158</v>
      </c>
      <c r="G75" s="553">
        <f>-'Foglio deposito bis'!$F$50*(C75-sezione!$AN$27)*IF(ABS(M75)&lt;'Progetto del paramento slu'!$G$58,ABS(M75)*'Progetto del paramento slu'!$G$54,'Progetto del paramento slu'!$G$53)</f>
        <v>0</v>
      </c>
      <c r="H75" s="553">
        <f>-'Foglio deposito bis'!$F$51*(C75-sezione!$AO$27)*IF(ABS(N75)&lt;'Progetto del paramento slu'!$G$58,ABS(N75)*'Progetto del paramento slu'!$G$54,'Progetto del paramento slu'!$G$53)</f>
        <v>78498347.390650317</v>
      </c>
      <c r="I75" s="479">
        <f>-'Foglio deposito bis'!$F$52*(C75-sezione!$AP$27)*IF(ABS(O75)&lt;'Progetto del paramento slu'!$G$58,ABS(O75)*'Progetto del paramento slu'!$G$54,'Progetto del paramento slu'!$G$53)</f>
        <v>59222627.596102864</v>
      </c>
      <c r="J75" s="479">
        <f t="shared" si="8"/>
        <v>163880977.24686587</v>
      </c>
      <c r="K75" s="558">
        <f>'Progetto del paramento slu'!$G$60*(sezione!$AL$27-C75)/C75</f>
        <v>6.3533333333333384E-3</v>
      </c>
      <c r="L75" s="558">
        <f>'Progetto del paramento slu'!$G$60*(sezione!$AM$27-C75)/C75</f>
        <v>3.3450000000000014E-2</v>
      </c>
      <c r="M75" s="559">
        <f>'Progetto del paramento slu'!$G$60*(sezione!$AN$27-C75)/C75</f>
        <v>6.0546666666666693E-2</v>
      </c>
      <c r="N75" s="559">
        <f>'Progetto del paramento slu'!$G$60*(sezione!$AO$27-C75)/C75</f>
        <v>8.0253333333333371E-2</v>
      </c>
      <c r="O75" s="559">
        <f>'Progetto del paramento slu'!$G$60*(sezione!$AP$27-C75)/C75</f>
        <v>6.0546666666666693E-2</v>
      </c>
      <c r="P75" s="553">
        <f>-'Progetto del paramento slu'!$G$47*'Progetto del paramento slu'!$G$41*IF(DATI!$G$218="dx",DATI!$E$61,DATI!$E$64*DATI!$E$63)*1000*C75*sezione!$AD$5</f>
        <v>-200279.89851150193</v>
      </c>
      <c r="Q75" s="553">
        <f>'Foglio deposito bis'!$F$48*IF(ABS(K75)&lt;'Progetto del paramento slu'!$G$58,ABS(K75)*'Progetto del paramento slu'!$G$54,'Progetto del paramento slu'!$G$53)*IF(K75&lt;0,-1,1)</f>
        <v>0</v>
      </c>
      <c r="R75" s="553">
        <f>'Foglio deposito bis'!$F$49*IF(ABS(L75)&lt;'Progetto del paramento slu'!$G$58,ABS(L75)*'Progetto del paramento slu'!$G$54,'Progetto del paramento slu'!$G$53)*IF(L75&lt;0,-1,1)</f>
        <v>204886.47740803001</v>
      </c>
      <c r="S75" s="553">
        <f>'Foglio deposito bis'!$F$50*IF(ABS(M75)&lt;'Progetto del paramento slu'!$G$58,ABS(M75)*'Progetto del paramento slu'!$G$54,'Progetto del paramento slu'!$G$53)*IF(M75&lt;0,-1,1)</f>
        <v>0</v>
      </c>
      <c r="T75" s="553">
        <f>'Foglio deposito bis'!$F$51*IF(ABS(N75)&lt;'Progetto del paramento slu'!$G$58,ABS(N75)*'Progetto del paramento slu'!$G$54,'Progetto del paramento slu'!$G$53)*IF(N75&lt;0,-1,1)</f>
        <v>240946.49743184328</v>
      </c>
      <c r="U75" s="553">
        <f>'Foglio deposito bis'!$F$52*IF(ABS(O75)&lt;'Progetto del paramento slu'!$G$58,ABS(O75)*'Progetto del paramento slu'!$G$54,'Progetto del paramento slu'!$G$53)*IF(O75&lt;0,-1,1)</f>
        <v>240946.49743184328</v>
      </c>
      <c r="V75" s="479">
        <f t="shared" si="10"/>
        <v>486499.57376021461</v>
      </c>
      <c r="W75" s="559"/>
      <c r="X75" s="559"/>
    </row>
    <row r="76" spans="1:24" x14ac:dyDescent="0.25">
      <c r="A76" s="553">
        <f t="shared" si="9"/>
        <v>483638.43235290749</v>
      </c>
      <c r="B76" s="3">
        <f t="shared" si="11"/>
        <v>3.5499999999999954</v>
      </c>
      <c r="C76" s="553">
        <f>'Foglio deposito bis'!$E$153/$B$247*B76</f>
        <v>14.411366711772658</v>
      </c>
      <c r="D76" s="611">
        <f>-'Progetto del paramento slu'!$G$47*'Progetto del paramento slu'!$G$41*IF(DATI!$G$218="dx",DATI!$E$61,DATI!$E$64*DATI!$E$63)*1000*C76^2*sezione!$AD$5*(1-sezione!$AD$6)</f>
        <v>-1709683.3719607908</v>
      </c>
      <c r="E76" s="553">
        <f>-'Foglio deposito bis'!$F$48*(C76-sezione!$AL$27)*IF(ABS(K76)&lt;'Progetto del paramento slu'!$G$58,ABS(K76)*'Progetto del paramento slu'!$G$54,'Progetto del paramento slu'!$G$53)</f>
        <v>0</v>
      </c>
      <c r="F76" s="553">
        <f>-'Foglio deposito bis'!$F$49*(C76-sezione!$AM$27)*IF(ABS(L76)&lt;'Progetto del paramento slu'!$G$58,ABS(L76)*'Progetto del paramento slu'!$G$54,'Progetto del paramento slu'!$G$53)</f>
        <v>27780277.450994059</v>
      </c>
      <c r="G76" s="553">
        <f>-'Foglio deposito bis'!$F$50*(C76-sezione!$AN$27)*IF(ABS(M76)&lt;'Progetto del paramento slu'!$G$58,ABS(M76)*'Progetto del paramento slu'!$G$54,'Progetto del paramento slu'!$G$53)</f>
        <v>0</v>
      </c>
      <c r="H76" s="553">
        <f>-'Foglio deposito bis'!$F$51*(C76-sezione!$AO$27)*IF(ABS(N76)&lt;'Progetto del paramento slu'!$G$58,ABS(N76)*'Progetto del paramento slu'!$G$54,'Progetto del paramento slu'!$G$53)</f>
        <v>78449440.794419244</v>
      </c>
      <c r="I76" s="479">
        <f>-'Foglio deposito bis'!$F$52*(C76-sezione!$AP$27)*IF(ABS(O76)&lt;'Progetto del paramento slu'!$G$58,ABS(O76)*'Progetto del paramento slu'!$G$54,'Progetto del paramento slu'!$G$53)</f>
        <v>59173720.999871776</v>
      </c>
      <c r="J76" s="479">
        <f t="shared" si="8"/>
        <v>163693755.87332428</v>
      </c>
      <c r="K76" s="558">
        <f>'Progetto del paramento slu'!$G$60*(sezione!$AL$27-C76)/C76</f>
        <v>6.2145539906103336E-3</v>
      </c>
      <c r="L76" s="558">
        <f>'Progetto del paramento slu'!$G$60*(sezione!$AM$27-C76)/C76</f>
        <v>3.2929577464788758E-2</v>
      </c>
      <c r="M76" s="559">
        <f>'Progetto del paramento slu'!$G$60*(sezione!$AN$27-C76)/C76</f>
        <v>5.9644600938967174E-2</v>
      </c>
      <c r="N76" s="559">
        <f>'Progetto del paramento slu'!$G$60*(sezione!$AO$27-C76)/C76</f>
        <v>7.9073708920187835E-2</v>
      </c>
      <c r="O76" s="559">
        <f>'Progetto del paramento slu'!$G$60*(sezione!$AP$27-C76)/C76</f>
        <v>5.9644600938967174E-2</v>
      </c>
      <c r="P76" s="553">
        <f>-'Progetto del paramento slu'!$G$47*'Progetto del paramento slu'!$G$41*IF(DATI!$G$218="dx",DATI!$E$61,DATI!$E$64*DATI!$E$63)*1000*C76*sezione!$AD$5</f>
        <v>-203141.03991880908</v>
      </c>
      <c r="Q76" s="553">
        <f>'Foglio deposito bis'!$F$48*IF(ABS(K76)&lt;'Progetto del paramento slu'!$G$58,ABS(K76)*'Progetto del paramento slu'!$G$54,'Progetto del paramento slu'!$G$53)*IF(K76&lt;0,-1,1)</f>
        <v>0</v>
      </c>
      <c r="R76" s="553">
        <f>'Foglio deposito bis'!$F$49*IF(ABS(L76)&lt;'Progetto del paramento slu'!$G$58,ABS(L76)*'Progetto del paramento slu'!$G$54,'Progetto del paramento slu'!$G$53)*IF(L76&lt;0,-1,1)</f>
        <v>204886.47740803001</v>
      </c>
      <c r="S76" s="553">
        <f>'Foglio deposito bis'!$F$50*IF(ABS(M76)&lt;'Progetto del paramento slu'!$G$58,ABS(M76)*'Progetto del paramento slu'!$G$54,'Progetto del paramento slu'!$G$53)*IF(M76&lt;0,-1,1)</f>
        <v>0</v>
      </c>
      <c r="T76" s="553">
        <f>'Foglio deposito bis'!$F$51*IF(ABS(N76)&lt;'Progetto del paramento slu'!$G$58,ABS(N76)*'Progetto del paramento slu'!$G$54,'Progetto del paramento slu'!$G$53)*IF(N76&lt;0,-1,1)</f>
        <v>240946.49743184328</v>
      </c>
      <c r="U76" s="553">
        <f>'Foglio deposito bis'!$F$52*IF(ABS(O76)&lt;'Progetto del paramento slu'!$G$58,ABS(O76)*'Progetto del paramento slu'!$G$54,'Progetto del paramento slu'!$G$53)*IF(O76&lt;0,-1,1)</f>
        <v>240946.49743184328</v>
      </c>
      <c r="V76" s="479">
        <f t="shared" si="10"/>
        <v>483638.43235290749</v>
      </c>
      <c r="W76" s="559"/>
      <c r="X76" s="559"/>
    </row>
    <row r="77" spans="1:24" x14ac:dyDescent="0.25">
      <c r="A77" s="553">
        <f t="shared" si="9"/>
        <v>480777.29094560031</v>
      </c>
      <c r="B77" s="3">
        <f t="shared" si="11"/>
        <v>3.5999999999999952</v>
      </c>
      <c r="C77" s="553">
        <f>'Foglio deposito bis'!$E$153/$B$247*B77</f>
        <v>14.614343707713118</v>
      </c>
      <c r="D77" s="611">
        <f>-'Progetto del paramento slu'!$G$47*'Progetto del paramento slu'!$G$41*IF(DATI!$G$218="dx",DATI!$E$61,DATI!$E$64*DATI!$E$63)*1000*C77^2*sezione!$AD$5*(1-sezione!$AD$6)</f>
        <v>-1758182.6225440868</v>
      </c>
      <c r="E77" s="553">
        <f>-'Foglio deposito bis'!$F$48*(C77-sezione!$AL$27)*IF(ABS(K77)&lt;'Progetto del paramento slu'!$G$58,ABS(K77)*'Progetto del paramento slu'!$G$54,'Progetto del paramento slu'!$G$53)</f>
        <v>0</v>
      </c>
      <c r="F77" s="553">
        <f>-'Foglio deposito bis'!$F$49*(C77-sezione!$AM$27)*IF(ABS(L77)&lt;'Progetto del paramento slu'!$G$58,ABS(L77)*'Progetto del paramento slu'!$G$54,'Progetto del paramento slu'!$G$53)</f>
        <v>27738690.209300954</v>
      </c>
      <c r="G77" s="553">
        <f>-'Foglio deposito bis'!$F$50*(C77-sezione!$AN$27)*IF(ABS(M77)&lt;'Progetto del paramento slu'!$G$58,ABS(M77)*'Progetto del paramento slu'!$G$54,'Progetto del paramento slu'!$G$53)</f>
        <v>0</v>
      </c>
      <c r="H77" s="553">
        <f>-'Foglio deposito bis'!$F$51*(C77-sezione!$AO$27)*IF(ABS(N77)&lt;'Progetto del paramento slu'!$G$58,ABS(N77)*'Progetto del paramento slu'!$G$54,'Progetto del paramento slu'!$G$53)</f>
        <v>78400534.198188126</v>
      </c>
      <c r="I77" s="479">
        <f>-'Foglio deposito bis'!$F$52*(C77-sezione!$AP$27)*IF(ABS(O77)&lt;'Progetto del paramento slu'!$G$58,ABS(O77)*'Progetto del paramento slu'!$G$54,'Progetto del paramento slu'!$G$53)</f>
        <v>59124814.403640673</v>
      </c>
      <c r="J77" s="479">
        <f t="shared" si="8"/>
        <v>163505856.18858567</v>
      </c>
      <c r="K77" s="558">
        <f>'Progetto del paramento slu'!$G$60*(sezione!$AL$27-C77)/C77</f>
        <v>6.0796296296296353E-3</v>
      </c>
      <c r="L77" s="558">
        <f>'Progetto del paramento slu'!$G$60*(sezione!$AM$27-C77)/C77</f>
        <v>3.2423611111111132E-2</v>
      </c>
      <c r="M77" s="559">
        <f>'Progetto del paramento slu'!$G$60*(sezione!$AN$27-C77)/C77</f>
        <v>5.8767592592592628E-2</v>
      </c>
      <c r="N77" s="559">
        <f>'Progetto del paramento slu'!$G$60*(sezione!$AO$27-C77)/C77</f>
        <v>7.7926851851851886E-2</v>
      </c>
      <c r="O77" s="559">
        <f>'Progetto del paramento slu'!$G$60*(sezione!$AP$27-C77)/C77</f>
        <v>5.8767592592592628E-2</v>
      </c>
      <c r="P77" s="553">
        <f>-'Progetto del paramento slu'!$G$47*'Progetto del paramento slu'!$G$41*IF(DATI!$G$218="dx",DATI!$E$61,DATI!$E$64*DATI!$E$63)*1000*C77*sezione!$AD$5</f>
        <v>-206002.18132611626</v>
      </c>
      <c r="Q77" s="553">
        <f>'Foglio deposito bis'!$F$48*IF(ABS(K77)&lt;'Progetto del paramento slu'!$G$58,ABS(K77)*'Progetto del paramento slu'!$G$54,'Progetto del paramento slu'!$G$53)*IF(K77&lt;0,-1,1)</f>
        <v>0</v>
      </c>
      <c r="R77" s="553">
        <f>'Foglio deposito bis'!$F$49*IF(ABS(L77)&lt;'Progetto del paramento slu'!$G$58,ABS(L77)*'Progetto del paramento slu'!$G$54,'Progetto del paramento slu'!$G$53)*IF(L77&lt;0,-1,1)</f>
        <v>204886.47740803001</v>
      </c>
      <c r="S77" s="553">
        <f>'Foglio deposito bis'!$F$50*IF(ABS(M77)&lt;'Progetto del paramento slu'!$G$58,ABS(M77)*'Progetto del paramento slu'!$G$54,'Progetto del paramento slu'!$G$53)*IF(M77&lt;0,-1,1)</f>
        <v>0</v>
      </c>
      <c r="T77" s="553">
        <f>'Foglio deposito bis'!$F$51*IF(ABS(N77)&lt;'Progetto del paramento slu'!$G$58,ABS(N77)*'Progetto del paramento slu'!$G$54,'Progetto del paramento slu'!$G$53)*IF(N77&lt;0,-1,1)</f>
        <v>240946.49743184328</v>
      </c>
      <c r="U77" s="553">
        <f>'Foglio deposito bis'!$F$52*IF(ABS(O77)&lt;'Progetto del paramento slu'!$G$58,ABS(O77)*'Progetto del paramento slu'!$G$54,'Progetto del paramento slu'!$G$53)*IF(O77&lt;0,-1,1)</f>
        <v>240946.49743184328</v>
      </c>
      <c r="V77" s="479">
        <f t="shared" si="10"/>
        <v>480777.29094560031</v>
      </c>
      <c r="W77" s="559"/>
      <c r="X77" s="559"/>
    </row>
    <row r="78" spans="1:24" x14ac:dyDescent="0.25">
      <c r="A78" s="553">
        <f t="shared" si="9"/>
        <v>477916.14953829313</v>
      </c>
      <c r="B78" s="3">
        <f t="shared" si="11"/>
        <v>3.649999999999995</v>
      </c>
      <c r="C78" s="553">
        <f>'Foglio deposito bis'!$E$153/$B$247*B78</f>
        <v>14.817320703653577</v>
      </c>
      <c r="D78" s="611">
        <f>-'Progetto del paramento slu'!$G$47*'Progetto del paramento slu'!$G$41*IF(DATI!$G$218="dx",DATI!$E$61,DATI!$E$64*DATI!$E$63)*1000*C78^2*sezione!$AD$5*(1-sezione!$AD$6)</f>
        <v>-1807360.1843243511</v>
      </c>
      <c r="E78" s="553">
        <f>-'Foglio deposito bis'!$F$48*(C78-sezione!$AL$27)*IF(ABS(K78)&lt;'Progetto del paramento slu'!$G$58,ABS(K78)*'Progetto del paramento slu'!$G$54,'Progetto del paramento slu'!$G$53)</f>
        <v>0</v>
      </c>
      <c r="F78" s="553">
        <f>-'Foglio deposito bis'!$F$49*(C78-sezione!$AM$27)*IF(ABS(L78)&lt;'Progetto del paramento slu'!$G$58,ABS(L78)*'Progetto del paramento slu'!$G$54,'Progetto del paramento slu'!$G$53)</f>
        <v>27697102.967607848</v>
      </c>
      <c r="G78" s="553">
        <f>-'Foglio deposito bis'!$F$50*(C78-sezione!$AN$27)*IF(ABS(M78)&lt;'Progetto del paramento slu'!$G$58,ABS(M78)*'Progetto del paramento slu'!$G$54,'Progetto del paramento slu'!$G$53)</f>
        <v>0</v>
      </c>
      <c r="H78" s="553">
        <f>-'Foglio deposito bis'!$F$51*(C78-sezione!$AO$27)*IF(ABS(N78)&lt;'Progetto del paramento slu'!$G$58,ABS(N78)*'Progetto del paramento slu'!$G$54,'Progetto del paramento slu'!$G$53)</f>
        <v>78351627.601957038</v>
      </c>
      <c r="I78" s="479">
        <f>-'Foglio deposito bis'!$F$52*(C78-sezione!$AP$27)*IF(ABS(O78)&lt;'Progetto del paramento slu'!$G$58,ABS(O78)*'Progetto del paramento slu'!$G$54,'Progetto del paramento slu'!$G$53)</f>
        <v>59075907.807409592</v>
      </c>
      <c r="J78" s="479">
        <f t="shared" si="8"/>
        <v>163317278.19265014</v>
      </c>
      <c r="K78" s="558">
        <f>'Progetto del paramento slu'!$G$60*(sezione!$AL$27-C78)/C78</f>
        <v>5.9484018264840234E-3</v>
      </c>
      <c r="L78" s="558">
        <f>'Progetto del paramento slu'!$G$60*(sezione!$AM$27-C78)/C78</f>
        <v>3.1931506849315096E-2</v>
      </c>
      <c r="M78" s="559">
        <f>'Progetto del paramento slu'!$G$60*(sezione!$AN$27-C78)/C78</f>
        <v>5.7914611872146166E-2</v>
      </c>
      <c r="N78" s="559">
        <f>'Progetto del paramento slu'!$G$60*(sezione!$AO$27-C78)/C78</f>
        <v>7.6811415525114196E-2</v>
      </c>
      <c r="O78" s="559">
        <f>'Progetto del paramento slu'!$G$60*(sezione!$AP$27-C78)/C78</f>
        <v>5.7914611872146166E-2</v>
      </c>
      <c r="P78" s="553">
        <f>-'Progetto del paramento slu'!$G$47*'Progetto del paramento slu'!$G$41*IF(DATI!$G$218="dx",DATI!$E$61,DATI!$E$64*DATI!$E$63)*1000*C78*sezione!$AD$5</f>
        <v>-208863.32273342344</v>
      </c>
      <c r="Q78" s="553">
        <f>'Foglio deposito bis'!$F$48*IF(ABS(K78)&lt;'Progetto del paramento slu'!$G$58,ABS(K78)*'Progetto del paramento slu'!$G$54,'Progetto del paramento slu'!$G$53)*IF(K78&lt;0,-1,1)</f>
        <v>0</v>
      </c>
      <c r="R78" s="553">
        <f>'Foglio deposito bis'!$F$49*IF(ABS(L78)&lt;'Progetto del paramento slu'!$G$58,ABS(L78)*'Progetto del paramento slu'!$G$54,'Progetto del paramento slu'!$G$53)*IF(L78&lt;0,-1,1)</f>
        <v>204886.47740803001</v>
      </c>
      <c r="S78" s="553">
        <f>'Foglio deposito bis'!$F$50*IF(ABS(M78)&lt;'Progetto del paramento slu'!$G$58,ABS(M78)*'Progetto del paramento slu'!$G$54,'Progetto del paramento slu'!$G$53)*IF(M78&lt;0,-1,1)</f>
        <v>0</v>
      </c>
      <c r="T78" s="553">
        <f>'Foglio deposito bis'!$F$51*IF(ABS(N78)&lt;'Progetto del paramento slu'!$G$58,ABS(N78)*'Progetto del paramento slu'!$G$54,'Progetto del paramento slu'!$G$53)*IF(N78&lt;0,-1,1)</f>
        <v>240946.49743184328</v>
      </c>
      <c r="U78" s="553">
        <f>'Foglio deposito bis'!$F$52*IF(ABS(O78)&lt;'Progetto del paramento slu'!$G$58,ABS(O78)*'Progetto del paramento slu'!$G$54,'Progetto del paramento slu'!$G$53)*IF(O78&lt;0,-1,1)</f>
        <v>240946.49743184328</v>
      </c>
      <c r="V78" s="479">
        <f t="shared" si="10"/>
        <v>477916.14953829313</v>
      </c>
      <c r="W78" s="559"/>
      <c r="X78" s="559"/>
    </row>
    <row r="79" spans="1:24" x14ac:dyDescent="0.25">
      <c r="A79" s="553">
        <f t="shared" si="9"/>
        <v>475055.00813098601</v>
      </c>
      <c r="B79" s="3">
        <f t="shared" si="11"/>
        <v>3.6999999999999948</v>
      </c>
      <c r="C79" s="553">
        <f>'Foglio deposito bis'!$E$153/$B$247*B79</f>
        <v>15.020297699594037</v>
      </c>
      <c r="D79" s="611">
        <f>-'Progetto del paramento slu'!$G$47*'Progetto del paramento slu'!$G$41*IF(DATI!$G$218="dx",DATI!$E$61,DATI!$E$64*DATI!$E$63)*1000*C79^2*sezione!$AD$5*(1-sezione!$AD$6)</f>
        <v>-1857216.0573015851</v>
      </c>
      <c r="E79" s="553">
        <f>-'Foglio deposito bis'!$F$48*(C79-sezione!$AL$27)*IF(ABS(K79)&lt;'Progetto del paramento slu'!$G$58,ABS(K79)*'Progetto del paramento slu'!$G$54,'Progetto del paramento slu'!$G$53)</f>
        <v>0</v>
      </c>
      <c r="F79" s="553">
        <f>-'Foglio deposito bis'!$F$49*(C79-sezione!$AM$27)*IF(ABS(L79)&lt;'Progetto del paramento slu'!$G$58,ABS(L79)*'Progetto del paramento slu'!$G$54,'Progetto del paramento slu'!$G$53)</f>
        <v>27655515.725914747</v>
      </c>
      <c r="G79" s="553">
        <f>-'Foglio deposito bis'!$F$50*(C79-sezione!$AN$27)*IF(ABS(M79)&lt;'Progetto del paramento slu'!$G$58,ABS(M79)*'Progetto del paramento slu'!$G$54,'Progetto del paramento slu'!$G$53)</f>
        <v>0</v>
      </c>
      <c r="H79" s="553">
        <f>-'Foglio deposito bis'!$F$51*(C79-sezione!$AO$27)*IF(ABS(N79)&lt;'Progetto del paramento slu'!$G$58,ABS(N79)*'Progetto del paramento slu'!$G$54,'Progetto del paramento slu'!$G$53)</f>
        <v>78302721.00572595</v>
      </c>
      <c r="I79" s="479">
        <f>-'Foglio deposito bis'!$F$52*(C79-sezione!$AP$27)*IF(ABS(O79)&lt;'Progetto del paramento slu'!$G$58,ABS(O79)*'Progetto del paramento slu'!$G$54,'Progetto del paramento slu'!$G$53)</f>
        <v>59027001.211178489</v>
      </c>
      <c r="J79" s="479">
        <f t="shared" si="8"/>
        <v>163128021.8855176</v>
      </c>
      <c r="K79" s="558">
        <f>'Progetto del paramento slu'!$G$60*(sezione!$AL$27-C79)/C79</f>
        <v>5.8207207207207259E-3</v>
      </c>
      <c r="L79" s="558">
        <f>'Progetto del paramento slu'!$G$60*(sezione!$AM$27-C79)/C79</f>
        <v>3.1452702702702721E-2</v>
      </c>
      <c r="M79" s="559">
        <f>'Progetto del paramento slu'!$G$60*(sezione!$AN$27-C79)/C79</f>
        <v>5.7084684684684715E-2</v>
      </c>
      <c r="N79" s="559">
        <f>'Progetto del paramento slu'!$G$60*(sezione!$AO$27-C79)/C79</f>
        <v>7.5726126126126184E-2</v>
      </c>
      <c r="O79" s="559">
        <f>'Progetto del paramento slu'!$G$60*(sezione!$AP$27-C79)/C79</f>
        <v>5.7084684684684715E-2</v>
      </c>
      <c r="P79" s="553">
        <f>-'Progetto del paramento slu'!$G$47*'Progetto del paramento slu'!$G$41*IF(DATI!$G$218="dx",DATI!$E$61,DATI!$E$64*DATI!$E$63)*1000*C79*sezione!$AD$5</f>
        <v>-211724.46414073059</v>
      </c>
      <c r="Q79" s="553">
        <f>'Foglio deposito bis'!$F$48*IF(ABS(K79)&lt;'Progetto del paramento slu'!$G$58,ABS(K79)*'Progetto del paramento slu'!$G$54,'Progetto del paramento slu'!$G$53)*IF(K79&lt;0,-1,1)</f>
        <v>0</v>
      </c>
      <c r="R79" s="553">
        <f>'Foglio deposito bis'!$F$49*IF(ABS(L79)&lt;'Progetto del paramento slu'!$G$58,ABS(L79)*'Progetto del paramento slu'!$G$54,'Progetto del paramento slu'!$G$53)*IF(L79&lt;0,-1,1)</f>
        <v>204886.47740803001</v>
      </c>
      <c r="S79" s="553">
        <f>'Foglio deposito bis'!$F$50*IF(ABS(M79)&lt;'Progetto del paramento slu'!$G$58,ABS(M79)*'Progetto del paramento slu'!$G$54,'Progetto del paramento slu'!$G$53)*IF(M79&lt;0,-1,1)</f>
        <v>0</v>
      </c>
      <c r="T79" s="553">
        <f>'Foglio deposito bis'!$F$51*IF(ABS(N79)&lt;'Progetto del paramento slu'!$G$58,ABS(N79)*'Progetto del paramento slu'!$G$54,'Progetto del paramento slu'!$G$53)*IF(N79&lt;0,-1,1)</f>
        <v>240946.49743184328</v>
      </c>
      <c r="U79" s="553">
        <f>'Foglio deposito bis'!$F$52*IF(ABS(O79)&lt;'Progetto del paramento slu'!$G$58,ABS(O79)*'Progetto del paramento slu'!$G$54,'Progetto del paramento slu'!$G$53)*IF(O79&lt;0,-1,1)</f>
        <v>240946.49743184328</v>
      </c>
      <c r="V79" s="479">
        <f t="shared" si="10"/>
        <v>475055.00813098601</v>
      </c>
      <c r="W79" s="559"/>
      <c r="X79" s="559"/>
    </row>
    <row r="80" spans="1:24" x14ac:dyDescent="0.25">
      <c r="A80" s="553">
        <f t="shared" si="9"/>
        <v>472193.86672367883</v>
      </c>
      <c r="B80" s="3">
        <f t="shared" si="11"/>
        <v>3.7499999999999947</v>
      </c>
      <c r="C80" s="553">
        <f>'Foglio deposito bis'!$E$153/$B$247*B80</f>
        <v>15.223274695534496</v>
      </c>
      <c r="D80" s="611">
        <f>-'Progetto del paramento slu'!$G$47*'Progetto del paramento slu'!$G$41*IF(DATI!$G$218="dx",DATI!$E$61,DATI!$E$64*DATI!$E$63)*1000*C80^2*sezione!$AD$5*(1-sezione!$AD$6)</f>
        <v>-1907750.2414757875</v>
      </c>
      <c r="E80" s="553">
        <f>-'Foglio deposito bis'!$F$48*(C80-sezione!$AL$27)*IF(ABS(K80)&lt;'Progetto del paramento slu'!$G$58,ABS(K80)*'Progetto del paramento slu'!$G$54,'Progetto del paramento slu'!$G$53)</f>
        <v>0</v>
      </c>
      <c r="F80" s="553">
        <f>-'Foglio deposito bis'!$F$49*(C80-sezione!$AM$27)*IF(ABS(L80)&lt;'Progetto del paramento slu'!$G$58,ABS(L80)*'Progetto del paramento slu'!$G$54,'Progetto del paramento slu'!$G$53)</f>
        <v>27613928.484221641</v>
      </c>
      <c r="G80" s="553">
        <f>-'Foglio deposito bis'!$F$50*(C80-sezione!$AN$27)*IF(ABS(M80)&lt;'Progetto del paramento slu'!$G$58,ABS(M80)*'Progetto del paramento slu'!$G$54,'Progetto del paramento slu'!$G$53)</f>
        <v>0</v>
      </c>
      <c r="H80" s="553">
        <f>-'Foglio deposito bis'!$F$51*(C80-sezione!$AO$27)*IF(ABS(N80)&lt;'Progetto del paramento slu'!$G$58,ABS(N80)*'Progetto del paramento slu'!$G$54,'Progetto del paramento slu'!$G$53)</f>
        <v>78253814.409494862</v>
      </c>
      <c r="I80" s="479">
        <f>-'Foglio deposito bis'!$F$52*(C80-sezione!$AP$27)*IF(ABS(O80)&lt;'Progetto del paramento slu'!$G$58,ABS(O80)*'Progetto del paramento slu'!$G$54,'Progetto del paramento slu'!$G$53)</f>
        <v>58978094.614947401</v>
      </c>
      <c r="J80" s="479">
        <f t="shared" si="8"/>
        <v>162938087.26718813</v>
      </c>
      <c r="K80" s="558">
        <f>'Progetto del paramento slu'!$G$60*(sezione!$AL$27-C80)/C80</f>
        <v>5.696444444444451E-3</v>
      </c>
      <c r="L80" s="558">
        <f>'Progetto del paramento slu'!$G$60*(sezione!$AM$27-C80)/C80</f>
        <v>3.098666666666669E-2</v>
      </c>
      <c r="M80" s="559">
        <f>'Progetto del paramento slu'!$G$60*(sezione!$AN$27-C80)/C80</f>
        <v>5.6276888888888932E-2</v>
      </c>
      <c r="N80" s="559">
        <f>'Progetto del paramento slu'!$G$60*(sezione!$AO$27-C80)/C80</f>
        <v>7.4669777777777835E-2</v>
      </c>
      <c r="O80" s="559">
        <f>'Progetto del paramento slu'!$G$60*(sezione!$AP$27-C80)/C80</f>
        <v>5.6276888888888932E-2</v>
      </c>
      <c r="P80" s="553">
        <f>-'Progetto del paramento slu'!$G$47*'Progetto del paramento slu'!$G$41*IF(DATI!$G$218="dx",DATI!$E$61,DATI!$E$64*DATI!$E$63)*1000*C80*sezione!$AD$5</f>
        <v>-214585.60554803774</v>
      </c>
      <c r="Q80" s="553">
        <f>'Foglio deposito bis'!$F$48*IF(ABS(K80)&lt;'Progetto del paramento slu'!$G$58,ABS(K80)*'Progetto del paramento slu'!$G$54,'Progetto del paramento slu'!$G$53)*IF(K80&lt;0,-1,1)</f>
        <v>0</v>
      </c>
      <c r="R80" s="553">
        <f>'Foglio deposito bis'!$F$49*IF(ABS(L80)&lt;'Progetto del paramento slu'!$G$58,ABS(L80)*'Progetto del paramento slu'!$G$54,'Progetto del paramento slu'!$G$53)*IF(L80&lt;0,-1,1)</f>
        <v>204886.47740803001</v>
      </c>
      <c r="S80" s="553">
        <f>'Foglio deposito bis'!$F$50*IF(ABS(M80)&lt;'Progetto del paramento slu'!$G$58,ABS(M80)*'Progetto del paramento slu'!$G$54,'Progetto del paramento slu'!$G$53)*IF(M80&lt;0,-1,1)</f>
        <v>0</v>
      </c>
      <c r="T80" s="553">
        <f>'Foglio deposito bis'!$F$51*IF(ABS(N80)&lt;'Progetto del paramento slu'!$G$58,ABS(N80)*'Progetto del paramento slu'!$G$54,'Progetto del paramento slu'!$G$53)*IF(N80&lt;0,-1,1)</f>
        <v>240946.49743184328</v>
      </c>
      <c r="U80" s="553">
        <f>'Foglio deposito bis'!$F$52*IF(ABS(O80)&lt;'Progetto del paramento slu'!$G$58,ABS(O80)*'Progetto del paramento slu'!$G$54,'Progetto del paramento slu'!$G$53)*IF(O80&lt;0,-1,1)</f>
        <v>240946.49743184328</v>
      </c>
      <c r="V80" s="479">
        <f t="shared" si="10"/>
        <v>472193.86672367883</v>
      </c>
      <c r="W80" s="559"/>
      <c r="X80" s="559"/>
    </row>
    <row r="81" spans="1:24" x14ac:dyDescent="0.25">
      <c r="A81" s="553">
        <f t="shared" si="9"/>
        <v>469332.72531637165</v>
      </c>
      <c r="B81" s="3">
        <f t="shared" si="11"/>
        <v>3.7999999999999945</v>
      </c>
      <c r="C81" s="553">
        <f>'Foglio deposito bis'!$E$153/$B$247*B81</f>
        <v>15.426251691474956</v>
      </c>
      <c r="D81" s="611">
        <f>-'Progetto del paramento slu'!$G$47*'Progetto del paramento slu'!$G$41*IF(DATI!$G$218="dx",DATI!$E$61,DATI!$E$64*DATI!$E$63)*1000*C81^2*sezione!$AD$5*(1-sezione!$AD$6)</f>
        <v>-1958962.7368469601</v>
      </c>
      <c r="E81" s="553">
        <f>-'Foglio deposito bis'!$F$48*(C81-sezione!$AL$27)*IF(ABS(K81)&lt;'Progetto del paramento slu'!$G$58,ABS(K81)*'Progetto del paramento slu'!$G$54,'Progetto del paramento slu'!$G$53)</f>
        <v>0</v>
      </c>
      <c r="F81" s="553">
        <f>-'Foglio deposito bis'!$F$49*(C81-sezione!$AM$27)*IF(ABS(L81)&lt;'Progetto del paramento slu'!$G$58,ABS(L81)*'Progetto del paramento slu'!$G$54,'Progetto del paramento slu'!$G$53)</f>
        <v>27572341.242528535</v>
      </c>
      <c r="G81" s="553">
        <f>-'Foglio deposito bis'!$F$50*(C81-sezione!$AN$27)*IF(ABS(M81)&lt;'Progetto del paramento slu'!$G$58,ABS(M81)*'Progetto del paramento slu'!$G$54,'Progetto del paramento slu'!$G$53)</f>
        <v>0</v>
      </c>
      <c r="H81" s="553">
        <f>-'Foglio deposito bis'!$F$51*(C81-sezione!$AO$27)*IF(ABS(N81)&lt;'Progetto del paramento slu'!$G$58,ABS(N81)*'Progetto del paramento slu'!$G$54,'Progetto del paramento slu'!$G$53)</f>
        <v>78204907.813263774</v>
      </c>
      <c r="I81" s="479">
        <f>-'Foglio deposito bis'!$F$52*(C81-sezione!$AP$27)*IF(ABS(O81)&lt;'Progetto del paramento slu'!$G$58,ABS(O81)*'Progetto del paramento slu'!$G$54,'Progetto del paramento slu'!$G$53)</f>
        <v>58929188.018716313</v>
      </c>
      <c r="J81" s="479">
        <f t="shared" si="8"/>
        <v>162747474.33766165</v>
      </c>
      <c r="K81" s="558">
        <f>'Progetto del paramento slu'!$G$60*(sezione!$AL$27-C81)/C81</f>
        <v>5.5754385964912343E-3</v>
      </c>
      <c r="L81" s="558">
        <f>'Progetto del paramento slu'!$G$60*(sezione!$AM$27-C81)/C81</f>
        <v>3.0532894736842127E-2</v>
      </c>
      <c r="M81" s="559">
        <f>'Progetto del paramento slu'!$G$60*(sezione!$AN$27-C81)/C81</f>
        <v>5.549035087719302E-2</v>
      </c>
      <c r="N81" s="559">
        <f>'Progetto del paramento slu'!$G$60*(sezione!$AO$27-C81)/C81</f>
        <v>7.3641228070175493E-2</v>
      </c>
      <c r="O81" s="559">
        <f>'Progetto del paramento slu'!$G$60*(sezione!$AP$27-C81)/C81</f>
        <v>5.549035087719302E-2</v>
      </c>
      <c r="P81" s="553">
        <f>-'Progetto del paramento slu'!$G$47*'Progetto del paramento slu'!$G$41*IF(DATI!$G$218="dx",DATI!$E$61,DATI!$E$64*DATI!$E$63)*1000*C81*sezione!$AD$5</f>
        <v>-217446.74695534489</v>
      </c>
      <c r="Q81" s="553">
        <f>'Foglio deposito bis'!$F$48*IF(ABS(K81)&lt;'Progetto del paramento slu'!$G$58,ABS(K81)*'Progetto del paramento slu'!$G$54,'Progetto del paramento slu'!$G$53)*IF(K81&lt;0,-1,1)</f>
        <v>0</v>
      </c>
      <c r="R81" s="553">
        <f>'Foglio deposito bis'!$F$49*IF(ABS(L81)&lt;'Progetto del paramento slu'!$G$58,ABS(L81)*'Progetto del paramento slu'!$G$54,'Progetto del paramento slu'!$G$53)*IF(L81&lt;0,-1,1)</f>
        <v>204886.47740803001</v>
      </c>
      <c r="S81" s="553">
        <f>'Foglio deposito bis'!$F$50*IF(ABS(M81)&lt;'Progetto del paramento slu'!$G$58,ABS(M81)*'Progetto del paramento slu'!$G$54,'Progetto del paramento slu'!$G$53)*IF(M81&lt;0,-1,1)</f>
        <v>0</v>
      </c>
      <c r="T81" s="553">
        <f>'Foglio deposito bis'!$F$51*IF(ABS(N81)&lt;'Progetto del paramento slu'!$G$58,ABS(N81)*'Progetto del paramento slu'!$G$54,'Progetto del paramento slu'!$G$53)*IF(N81&lt;0,-1,1)</f>
        <v>240946.49743184328</v>
      </c>
      <c r="U81" s="553">
        <f>'Foglio deposito bis'!$F$52*IF(ABS(O81)&lt;'Progetto del paramento slu'!$G$58,ABS(O81)*'Progetto del paramento slu'!$G$54,'Progetto del paramento slu'!$G$53)*IF(O81&lt;0,-1,1)</f>
        <v>240946.49743184328</v>
      </c>
      <c r="V81" s="479">
        <f t="shared" si="10"/>
        <v>469332.72531637165</v>
      </c>
      <c r="W81" s="559"/>
      <c r="X81" s="559"/>
    </row>
    <row r="82" spans="1:24" x14ac:dyDescent="0.25">
      <c r="A82" s="553">
        <f t="shared" si="9"/>
        <v>466471.58390906453</v>
      </c>
      <c r="B82" s="3">
        <f t="shared" si="11"/>
        <v>3.8499999999999943</v>
      </c>
      <c r="C82" s="553">
        <f>'Foglio deposito bis'!$E$153/$B$247*B82</f>
        <v>15.629228687415415</v>
      </c>
      <c r="D82" s="611">
        <f>-'Progetto del paramento slu'!$G$47*'Progetto del paramento slu'!$G$41*IF(DATI!$G$218="dx",DATI!$E$61,DATI!$E$64*DATI!$E$63)*1000*C82^2*sezione!$AD$5*(1-sezione!$AD$6)</f>
        <v>-2010853.5434151015</v>
      </c>
      <c r="E82" s="553">
        <f>-'Foglio deposito bis'!$F$48*(C82-sezione!$AL$27)*IF(ABS(K82)&lt;'Progetto del paramento slu'!$G$58,ABS(K82)*'Progetto del paramento slu'!$G$54,'Progetto del paramento slu'!$G$53)</f>
        <v>0</v>
      </c>
      <c r="F82" s="553">
        <f>-'Foglio deposito bis'!$F$49*(C82-sezione!$AM$27)*IF(ABS(L82)&lt;'Progetto del paramento slu'!$G$58,ABS(L82)*'Progetto del paramento slu'!$G$54,'Progetto del paramento slu'!$G$53)</f>
        <v>27530754.00083543</v>
      </c>
      <c r="G82" s="553">
        <f>-'Foglio deposito bis'!$F$50*(C82-sezione!$AN$27)*IF(ABS(M82)&lt;'Progetto del paramento slu'!$G$58,ABS(M82)*'Progetto del paramento slu'!$G$54,'Progetto del paramento slu'!$G$53)</f>
        <v>0</v>
      </c>
      <c r="H82" s="553">
        <f>-'Foglio deposito bis'!$F$51*(C82-sezione!$AO$27)*IF(ABS(N82)&lt;'Progetto del paramento slu'!$G$58,ABS(N82)*'Progetto del paramento slu'!$G$54,'Progetto del paramento slu'!$G$53)</f>
        <v>78156001.217032686</v>
      </c>
      <c r="I82" s="479">
        <f>-'Foglio deposito bis'!$F$52*(C82-sezione!$AP$27)*IF(ABS(O82)&lt;'Progetto del paramento slu'!$G$58,ABS(O82)*'Progetto del paramento slu'!$G$54,'Progetto del paramento slu'!$G$53)</f>
        <v>58880281.422485232</v>
      </c>
      <c r="J82" s="479">
        <f t="shared" si="8"/>
        <v>162556183.09693825</v>
      </c>
      <c r="K82" s="558">
        <f>'Progetto del paramento slu'!$G$60*(sezione!$AL$27-C82)/C82</f>
        <v>5.4575757575757644E-3</v>
      </c>
      <c r="L82" s="558">
        <f>'Progetto del paramento slu'!$G$60*(sezione!$AM$27-C82)/C82</f>
        <v>3.009090909090912E-2</v>
      </c>
      <c r="M82" s="559">
        <f>'Progetto del paramento slu'!$G$60*(sezione!$AN$27-C82)/C82</f>
        <v>5.4724242424242474E-2</v>
      </c>
      <c r="N82" s="559">
        <f>'Progetto del paramento slu'!$G$60*(sezione!$AO$27-C82)/C82</f>
        <v>7.263939393939399E-2</v>
      </c>
      <c r="O82" s="559">
        <f>'Progetto del paramento slu'!$G$60*(sezione!$AP$27-C82)/C82</f>
        <v>5.4724242424242474E-2</v>
      </c>
      <c r="P82" s="553">
        <f>-'Progetto del paramento slu'!$G$47*'Progetto del paramento slu'!$G$41*IF(DATI!$G$218="dx",DATI!$E$61,DATI!$E$64*DATI!$E$63)*1000*C82*sezione!$AD$5</f>
        <v>-220307.88836265204</v>
      </c>
      <c r="Q82" s="553">
        <f>'Foglio deposito bis'!$F$48*IF(ABS(K82)&lt;'Progetto del paramento slu'!$G$58,ABS(K82)*'Progetto del paramento slu'!$G$54,'Progetto del paramento slu'!$G$53)*IF(K82&lt;0,-1,1)</f>
        <v>0</v>
      </c>
      <c r="R82" s="553">
        <f>'Foglio deposito bis'!$F$49*IF(ABS(L82)&lt;'Progetto del paramento slu'!$G$58,ABS(L82)*'Progetto del paramento slu'!$G$54,'Progetto del paramento slu'!$G$53)*IF(L82&lt;0,-1,1)</f>
        <v>204886.47740803001</v>
      </c>
      <c r="S82" s="553">
        <f>'Foglio deposito bis'!$F$50*IF(ABS(M82)&lt;'Progetto del paramento slu'!$G$58,ABS(M82)*'Progetto del paramento slu'!$G$54,'Progetto del paramento slu'!$G$53)*IF(M82&lt;0,-1,1)</f>
        <v>0</v>
      </c>
      <c r="T82" s="553">
        <f>'Foglio deposito bis'!$F$51*IF(ABS(N82)&lt;'Progetto del paramento slu'!$G$58,ABS(N82)*'Progetto del paramento slu'!$G$54,'Progetto del paramento slu'!$G$53)*IF(N82&lt;0,-1,1)</f>
        <v>240946.49743184328</v>
      </c>
      <c r="U82" s="553">
        <f>'Foglio deposito bis'!$F$52*IF(ABS(O82)&lt;'Progetto del paramento slu'!$G$58,ABS(O82)*'Progetto del paramento slu'!$G$54,'Progetto del paramento slu'!$G$53)*IF(O82&lt;0,-1,1)</f>
        <v>240946.49743184328</v>
      </c>
      <c r="V82" s="479">
        <f t="shared" si="10"/>
        <v>466471.58390906453</v>
      </c>
      <c r="W82" s="559"/>
      <c r="X82" s="559"/>
    </row>
    <row r="83" spans="1:24" x14ac:dyDescent="0.25">
      <c r="A83" s="553">
        <f t="shared" si="9"/>
        <v>463610.44250175729</v>
      </c>
      <c r="B83" s="3">
        <f t="shared" si="11"/>
        <v>3.8999999999999941</v>
      </c>
      <c r="C83" s="553">
        <f>'Foglio deposito bis'!$E$153/$B$247*B83</f>
        <v>15.832205683355875</v>
      </c>
      <c r="D83" s="611">
        <f>-'Progetto del paramento slu'!$G$47*'Progetto del paramento slu'!$G$41*IF(DATI!$G$218="dx",DATI!$E$61,DATI!$E$64*DATI!$E$63)*1000*C83^2*sezione!$AD$5*(1-sezione!$AD$6)</f>
        <v>-2063422.6611802119</v>
      </c>
      <c r="E83" s="553">
        <f>-'Foglio deposito bis'!$F$48*(C83-sezione!$AL$27)*IF(ABS(K83)&lt;'Progetto del paramento slu'!$G$58,ABS(K83)*'Progetto del paramento slu'!$G$54,'Progetto del paramento slu'!$G$53)</f>
        <v>0</v>
      </c>
      <c r="F83" s="553">
        <f>-'Foglio deposito bis'!$F$49*(C83-sezione!$AM$27)*IF(ABS(L83)&lt;'Progetto del paramento slu'!$G$58,ABS(L83)*'Progetto del paramento slu'!$G$54,'Progetto del paramento slu'!$G$53)</f>
        <v>27489166.759142324</v>
      </c>
      <c r="G83" s="553">
        <f>-'Foglio deposito bis'!$F$50*(C83-sezione!$AN$27)*IF(ABS(M83)&lt;'Progetto del paramento slu'!$G$58,ABS(M83)*'Progetto del paramento slu'!$G$54,'Progetto del paramento slu'!$G$53)</f>
        <v>0</v>
      </c>
      <c r="H83" s="553">
        <f>-'Foglio deposito bis'!$F$51*(C83-sezione!$AO$27)*IF(ABS(N83)&lt;'Progetto del paramento slu'!$G$58,ABS(N83)*'Progetto del paramento slu'!$G$54,'Progetto del paramento slu'!$G$53)</f>
        <v>78107094.620801598</v>
      </c>
      <c r="I83" s="479">
        <f>-'Foglio deposito bis'!$F$52*(C83-sezione!$AP$27)*IF(ABS(O83)&lt;'Progetto del paramento slu'!$G$58,ABS(O83)*'Progetto del paramento slu'!$G$54,'Progetto del paramento slu'!$G$53)</f>
        <v>58831374.826254129</v>
      </c>
      <c r="J83" s="479">
        <f t="shared" si="8"/>
        <v>162364213.54501784</v>
      </c>
      <c r="K83" s="558">
        <f>'Progetto del paramento slu'!$G$60*(sezione!$AL$27-C83)/C83</f>
        <v>5.3427350427350494E-3</v>
      </c>
      <c r="L83" s="558">
        <f>'Progetto del paramento slu'!$G$60*(sezione!$AM$27-C83)/C83</f>
        <v>2.9660256410256432E-2</v>
      </c>
      <c r="M83" s="559">
        <f>'Progetto del paramento slu'!$G$60*(sezione!$AN$27-C83)/C83</f>
        <v>5.3977777777777819E-2</v>
      </c>
      <c r="N83" s="559">
        <f>'Progetto del paramento slu'!$G$60*(sezione!$AO$27-C83)/C83</f>
        <v>7.1663247863247917E-2</v>
      </c>
      <c r="O83" s="559">
        <f>'Progetto del paramento slu'!$G$60*(sezione!$AP$27-C83)/C83</f>
        <v>5.3977777777777819E-2</v>
      </c>
      <c r="P83" s="553">
        <f>-'Progetto del paramento slu'!$G$47*'Progetto del paramento slu'!$G$41*IF(DATI!$G$218="dx",DATI!$E$61,DATI!$E$64*DATI!$E$63)*1000*C83*sezione!$AD$5</f>
        <v>-223169.02976995925</v>
      </c>
      <c r="Q83" s="553">
        <f>'Foglio deposito bis'!$F$48*IF(ABS(K83)&lt;'Progetto del paramento slu'!$G$58,ABS(K83)*'Progetto del paramento slu'!$G$54,'Progetto del paramento slu'!$G$53)*IF(K83&lt;0,-1,1)</f>
        <v>0</v>
      </c>
      <c r="R83" s="553">
        <f>'Foglio deposito bis'!$F$49*IF(ABS(L83)&lt;'Progetto del paramento slu'!$G$58,ABS(L83)*'Progetto del paramento slu'!$G$54,'Progetto del paramento slu'!$G$53)*IF(L83&lt;0,-1,1)</f>
        <v>204886.47740803001</v>
      </c>
      <c r="S83" s="553">
        <f>'Foglio deposito bis'!$F$50*IF(ABS(M83)&lt;'Progetto del paramento slu'!$G$58,ABS(M83)*'Progetto del paramento slu'!$G$54,'Progetto del paramento slu'!$G$53)*IF(M83&lt;0,-1,1)</f>
        <v>0</v>
      </c>
      <c r="T83" s="553">
        <f>'Foglio deposito bis'!$F$51*IF(ABS(N83)&lt;'Progetto del paramento slu'!$G$58,ABS(N83)*'Progetto del paramento slu'!$G$54,'Progetto del paramento slu'!$G$53)*IF(N83&lt;0,-1,1)</f>
        <v>240946.49743184328</v>
      </c>
      <c r="U83" s="553">
        <f>'Foglio deposito bis'!$F$52*IF(ABS(O83)&lt;'Progetto del paramento slu'!$G$58,ABS(O83)*'Progetto del paramento slu'!$G$54,'Progetto del paramento slu'!$G$53)*IF(O83&lt;0,-1,1)</f>
        <v>240946.49743184328</v>
      </c>
      <c r="V83" s="479">
        <f t="shared" si="10"/>
        <v>463610.44250175729</v>
      </c>
      <c r="W83" s="559"/>
      <c r="X83" s="559"/>
    </row>
    <row r="84" spans="1:24" x14ac:dyDescent="0.25">
      <c r="A84" s="553">
        <f t="shared" si="9"/>
        <v>460749.30109445017</v>
      </c>
      <c r="B84" s="3">
        <f t="shared" si="11"/>
        <v>3.949999999999994</v>
      </c>
      <c r="C84" s="553">
        <f>'Foglio deposito bis'!$E$153/$B$247*B84</f>
        <v>16.035182679296334</v>
      </c>
      <c r="D84" s="611">
        <f>-'Progetto del paramento slu'!$G$47*'Progetto del paramento slu'!$G$41*IF(DATI!$G$218="dx",DATI!$E$61,DATI!$E$64*DATI!$E$63)*1000*C84^2*sezione!$AD$5*(1-sezione!$AD$6)</f>
        <v>-2116670.0901422915</v>
      </c>
      <c r="E84" s="553">
        <f>-'Foglio deposito bis'!$F$48*(C84-sezione!$AL$27)*IF(ABS(K84)&lt;'Progetto del paramento slu'!$G$58,ABS(K84)*'Progetto del paramento slu'!$G$54,'Progetto del paramento slu'!$G$53)</f>
        <v>0</v>
      </c>
      <c r="F84" s="553">
        <f>-'Foglio deposito bis'!$F$49*(C84-sezione!$AM$27)*IF(ABS(L84)&lt;'Progetto del paramento slu'!$G$58,ABS(L84)*'Progetto del paramento slu'!$G$54,'Progetto del paramento slu'!$G$53)</f>
        <v>27447579.517449219</v>
      </c>
      <c r="G84" s="553">
        <f>-'Foglio deposito bis'!$F$50*(C84-sezione!$AN$27)*IF(ABS(M84)&lt;'Progetto del paramento slu'!$G$58,ABS(M84)*'Progetto del paramento slu'!$G$54,'Progetto del paramento slu'!$G$53)</f>
        <v>0</v>
      </c>
      <c r="H84" s="553">
        <f>-'Foglio deposito bis'!$F$51*(C84-sezione!$AO$27)*IF(ABS(N84)&lt;'Progetto del paramento slu'!$G$58,ABS(N84)*'Progetto del paramento slu'!$G$54,'Progetto del paramento slu'!$G$53)</f>
        <v>78058188.02457051</v>
      </c>
      <c r="I84" s="479">
        <f>-'Foglio deposito bis'!$F$52*(C84-sezione!$AP$27)*IF(ABS(O84)&lt;'Progetto del paramento slu'!$G$58,ABS(O84)*'Progetto del paramento slu'!$G$54,'Progetto del paramento slu'!$G$53)</f>
        <v>58782468.230023041</v>
      </c>
      <c r="J84" s="479">
        <f t="shared" si="8"/>
        <v>162171565.6819005</v>
      </c>
      <c r="K84" s="558">
        <f>'Progetto del paramento slu'!$G$60*(sezione!$AL$27-C84)/C84</f>
        <v>5.2308016877637194E-3</v>
      </c>
      <c r="L84" s="558">
        <f>'Progetto del paramento slu'!$G$60*(sezione!$AM$27-C84)/C84</f>
        <v>2.9240506329113951E-2</v>
      </c>
      <c r="M84" s="559">
        <f>'Progetto del paramento slu'!$G$60*(sezione!$AN$27-C84)/C84</f>
        <v>5.3250210970464187E-2</v>
      </c>
      <c r="N84" s="559">
        <f>'Progetto del paramento slu'!$G$60*(sezione!$AO$27-C84)/C84</f>
        <v>7.0711814345991622E-2</v>
      </c>
      <c r="O84" s="559">
        <f>'Progetto del paramento slu'!$G$60*(sezione!$AP$27-C84)/C84</f>
        <v>5.3250210970464187E-2</v>
      </c>
      <c r="P84" s="553">
        <f>-'Progetto del paramento slu'!$G$47*'Progetto del paramento slu'!$G$41*IF(DATI!$G$218="dx",DATI!$E$61,DATI!$E$64*DATI!$E$63)*1000*C84*sezione!$AD$5</f>
        <v>-226030.17117726643</v>
      </c>
      <c r="Q84" s="553">
        <f>'Foglio deposito bis'!$F$48*IF(ABS(K84)&lt;'Progetto del paramento slu'!$G$58,ABS(K84)*'Progetto del paramento slu'!$G$54,'Progetto del paramento slu'!$G$53)*IF(K84&lt;0,-1,1)</f>
        <v>0</v>
      </c>
      <c r="R84" s="553">
        <f>'Foglio deposito bis'!$F$49*IF(ABS(L84)&lt;'Progetto del paramento slu'!$G$58,ABS(L84)*'Progetto del paramento slu'!$G$54,'Progetto del paramento slu'!$G$53)*IF(L84&lt;0,-1,1)</f>
        <v>204886.47740803001</v>
      </c>
      <c r="S84" s="553">
        <f>'Foglio deposito bis'!$F$50*IF(ABS(M84)&lt;'Progetto del paramento slu'!$G$58,ABS(M84)*'Progetto del paramento slu'!$G$54,'Progetto del paramento slu'!$G$53)*IF(M84&lt;0,-1,1)</f>
        <v>0</v>
      </c>
      <c r="T84" s="553">
        <f>'Foglio deposito bis'!$F$51*IF(ABS(N84)&lt;'Progetto del paramento slu'!$G$58,ABS(N84)*'Progetto del paramento slu'!$G$54,'Progetto del paramento slu'!$G$53)*IF(N84&lt;0,-1,1)</f>
        <v>240946.49743184328</v>
      </c>
      <c r="U84" s="553">
        <f>'Foglio deposito bis'!$F$52*IF(ABS(O84)&lt;'Progetto del paramento slu'!$G$58,ABS(O84)*'Progetto del paramento slu'!$G$54,'Progetto del paramento slu'!$G$53)*IF(O84&lt;0,-1,1)</f>
        <v>240946.49743184328</v>
      </c>
      <c r="V84" s="479">
        <f t="shared" si="10"/>
        <v>460749.30109445017</v>
      </c>
      <c r="W84" s="559"/>
      <c r="X84" s="559"/>
    </row>
    <row r="85" spans="1:24" x14ac:dyDescent="0.25">
      <c r="A85" s="553">
        <f t="shared" si="9"/>
        <v>457888.15968714299</v>
      </c>
      <c r="B85" s="3">
        <f t="shared" si="11"/>
        <v>3.9999999999999938</v>
      </c>
      <c r="C85" s="553">
        <f>'Foglio deposito bis'!$E$153/$B$247*B85</f>
        <v>16.238159675236794</v>
      </c>
      <c r="D85" s="611">
        <f>-'Progetto del paramento slu'!$G$47*'Progetto del paramento slu'!$G$41*IF(DATI!$G$218="dx",DATI!$E$61,DATI!$E$64*DATI!$E$63)*1000*C85^2*sezione!$AD$5*(1-sezione!$AD$6)</f>
        <v>-2170595.8303013402</v>
      </c>
      <c r="E85" s="553">
        <f>-'Foglio deposito bis'!$F$48*(C85-sezione!$AL$27)*IF(ABS(K85)&lt;'Progetto del paramento slu'!$G$58,ABS(K85)*'Progetto del paramento slu'!$G$54,'Progetto del paramento slu'!$G$53)</f>
        <v>0</v>
      </c>
      <c r="F85" s="553">
        <f>-'Foglio deposito bis'!$F$49*(C85-sezione!$AM$27)*IF(ABS(L85)&lt;'Progetto del paramento slu'!$G$58,ABS(L85)*'Progetto del paramento slu'!$G$54,'Progetto del paramento slu'!$G$53)</f>
        <v>27405992.275756113</v>
      </c>
      <c r="G85" s="553">
        <f>-'Foglio deposito bis'!$F$50*(C85-sezione!$AN$27)*IF(ABS(M85)&lt;'Progetto del paramento slu'!$G$58,ABS(M85)*'Progetto del paramento slu'!$G$54,'Progetto del paramento slu'!$G$53)</f>
        <v>0</v>
      </c>
      <c r="H85" s="553">
        <f>-'Foglio deposito bis'!$F$51*(C85-sezione!$AO$27)*IF(ABS(N85)&lt;'Progetto del paramento slu'!$G$58,ABS(N85)*'Progetto del paramento slu'!$G$54,'Progetto del paramento slu'!$G$53)</f>
        <v>78009281.428339422</v>
      </c>
      <c r="I85" s="479">
        <f>-'Foglio deposito bis'!$F$52*(C85-sezione!$AP$27)*IF(ABS(O85)&lt;'Progetto del paramento slu'!$G$58,ABS(O85)*'Progetto del paramento slu'!$G$54,'Progetto del paramento slu'!$G$53)</f>
        <v>58733561.633791946</v>
      </c>
      <c r="J85" s="479">
        <f t="shared" si="8"/>
        <v>161978239.50758615</v>
      </c>
      <c r="K85" s="558">
        <f>'Progetto del paramento slu'!$G$60*(sezione!$AL$27-C85)/C85</f>
        <v>5.1216666666666737E-3</v>
      </c>
      <c r="L85" s="558">
        <f>'Progetto del paramento slu'!$G$60*(sezione!$AM$27-C85)/C85</f>
        <v>2.8831250000000024E-2</v>
      </c>
      <c r="M85" s="559">
        <f>'Progetto del paramento slu'!$G$60*(sezione!$AN$27-C85)/C85</f>
        <v>5.254083333333337E-2</v>
      </c>
      <c r="N85" s="559">
        <f>'Progetto del paramento slu'!$G$60*(sezione!$AO$27-C85)/C85</f>
        <v>6.978416666666673E-2</v>
      </c>
      <c r="O85" s="559">
        <f>'Progetto del paramento slu'!$G$60*(sezione!$AP$27-C85)/C85</f>
        <v>5.254083333333337E-2</v>
      </c>
      <c r="P85" s="553">
        <f>-'Progetto del paramento slu'!$G$47*'Progetto del paramento slu'!$G$41*IF(DATI!$G$218="dx",DATI!$E$61,DATI!$E$64*DATI!$E$63)*1000*C85*sezione!$AD$5</f>
        <v>-228891.31258457358</v>
      </c>
      <c r="Q85" s="553">
        <f>'Foglio deposito bis'!$F$48*IF(ABS(K85)&lt;'Progetto del paramento slu'!$G$58,ABS(K85)*'Progetto del paramento slu'!$G$54,'Progetto del paramento slu'!$G$53)*IF(K85&lt;0,-1,1)</f>
        <v>0</v>
      </c>
      <c r="R85" s="553">
        <f>'Foglio deposito bis'!$F$49*IF(ABS(L85)&lt;'Progetto del paramento slu'!$G$58,ABS(L85)*'Progetto del paramento slu'!$G$54,'Progetto del paramento slu'!$G$53)*IF(L85&lt;0,-1,1)</f>
        <v>204886.47740803001</v>
      </c>
      <c r="S85" s="553">
        <f>'Foglio deposito bis'!$F$50*IF(ABS(M85)&lt;'Progetto del paramento slu'!$G$58,ABS(M85)*'Progetto del paramento slu'!$G$54,'Progetto del paramento slu'!$G$53)*IF(M85&lt;0,-1,1)</f>
        <v>0</v>
      </c>
      <c r="T85" s="553">
        <f>'Foglio deposito bis'!$F$51*IF(ABS(N85)&lt;'Progetto del paramento slu'!$G$58,ABS(N85)*'Progetto del paramento slu'!$G$54,'Progetto del paramento slu'!$G$53)*IF(N85&lt;0,-1,1)</f>
        <v>240946.49743184328</v>
      </c>
      <c r="U85" s="553">
        <f>'Foglio deposito bis'!$F$52*IF(ABS(O85)&lt;'Progetto del paramento slu'!$G$58,ABS(O85)*'Progetto del paramento slu'!$G$54,'Progetto del paramento slu'!$G$53)*IF(O85&lt;0,-1,1)</f>
        <v>240946.49743184328</v>
      </c>
      <c r="V85" s="479">
        <f t="shared" si="10"/>
        <v>457888.15968714299</v>
      </c>
      <c r="W85" s="559"/>
      <c r="X85" s="559"/>
    </row>
    <row r="86" spans="1:24" x14ac:dyDescent="0.25">
      <c r="A86" s="553">
        <f t="shared" si="9"/>
        <v>455027.01827983581</v>
      </c>
      <c r="B86" s="3">
        <f t="shared" si="11"/>
        <v>4.0499999999999936</v>
      </c>
      <c r="C86" s="553">
        <f>'Foglio deposito bis'!$E$153/$B$247*B86</f>
        <v>16.441136671177254</v>
      </c>
      <c r="D86" s="611">
        <f>-'Progetto del paramento slu'!$G$47*'Progetto del paramento slu'!$G$41*IF(DATI!$G$218="dx",DATI!$E$61,DATI!$E$64*DATI!$E$63)*1000*C86^2*sezione!$AD$5*(1-sezione!$AD$6)</f>
        <v>-2225199.8816573583</v>
      </c>
      <c r="E86" s="553">
        <f>-'Foglio deposito bis'!$F$48*(C86-sezione!$AL$27)*IF(ABS(K86)&lt;'Progetto del paramento slu'!$G$58,ABS(K86)*'Progetto del paramento slu'!$G$54,'Progetto del paramento slu'!$G$53)</f>
        <v>0</v>
      </c>
      <c r="F86" s="553">
        <f>-'Foglio deposito bis'!$F$49*(C86-sezione!$AM$27)*IF(ABS(L86)&lt;'Progetto del paramento slu'!$G$58,ABS(L86)*'Progetto del paramento slu'!$G$54,'Progetto del paramento slu'!$G$53)</f>
        <v>27364405.034063011</v>
      </c>
      <c r="G86" s="553">
        <f>-'Foglio deposito bis'!$F$50*(C86-sezione!$AN$27)*IF(ABS(M86)&lt;'Progetto del paramento slu'!$G$58,ABS(M86)*'Progetto del paramento slu'!$G$54,'Progetto del paramento slu'!$G$53)</f>
        <v>0</v>
      </c>
      <c r="H86" s="553">
        <f>-'Foglio deposito bis'!$F$51*(C86-sezione!$AO$27)*IF(ABS(N86)&lt;'Progetto del paramento slu'!$G$58,ABS(N86)*'Progetto del paramento slu'!$G$54,'Progetto del paramento slu'!$G$53)</f>
        <v>77960374.832108304</v>
      </c>
      <c r="I86" s="479">
        <f>-'Foglio deposito bis'!$F$52*(C86-sezione!$AP$27)*IF(ABS(O86)&lt;'Progetto del paramento slu'!$G$58,ABS(O86)*'Progetto del paramento slu'!$G$54,'Progetto del paramento slu'!$G$53)</f>
        <v>58684655.037560858</v>
      </c>
      <c r="J86" s="479">
        <f t="shared" si="8"/>
        <v>161784235.02207482</v>
      </c>
      <c r="K86" s="558">
        <f>'Progetto del paramento slu'!$G$60*(sezione!$AL$27-C86)/C86</f>
        <v>5.0152263374485659E-3</v>
      </c>
      <c r="L86" s="558">
        <f>'Progetto del paramento slu'!$G$60*(sezione!$AM$27-C86)/C86</f>
        <v>2.8432098765432123E-2</v>
      </c>
      <c r="M86" s="559">
        <f>'Progetto del paramento slu'!$G$60*(sezione!$AN$27-C86)/C86</f>
        <v>5.184897119341568E-2</v>
      </c>
      <c r="N86" s="559">
        <f>'Progetto del paramento slu'!$G$60*(sezione!$AO$27-C86)/C86</f>
        <v>6.887942386831282E-2</v>
      </c>
      <c r="O86" s="559">
        <f>'Progetto del paramento slu'!$G$60*(sezione!$AP$27-C86)/C86</f>
        <v>5.184897119341568E-2</v>
      </c>
      <c r="P86" s="553">
        <f>-'Progetto del paramento slu'!$G$47*'Progetto del paramento slu'!$G$41*IF(DATI!$G$218="dx",DATI!$E$61,DATI!$E$64*DATI!$E$63)*1000*C86*sezione!$AD$5</f>
        <v>-231752.45399188073</v>
      </c>
      <c r="Q86" s="553">
        <f>'Foglio deposito bis'!$F$48*IF(ABS(K86)&lt;'Progetto del paramento slu'!$G$58,ABS(K86)*'Progetto del paramento slu'!$G$54,'Progetto del paramento slu'!$G$53)*IF(K86&lt;0,-1,1)</f>
        <v>0</v>
      </c>
      <c r="R86" s="553">
        <f>'Foglio deposito bis'!$F$49*IF(ABS(L86)&lt;'Progetto del paramento slu'!$G$58,ABS(L86)*'Progetto del paramento slu'!$G$54,'Progetto del paramento slu'!$G$53)*IF(L86&lt;0,-1,1)</f>
        <v>204886.47740803001</v>
      </c>
      <c r="S86" s="553">
        <f>'Foglio deposito bis'!$F$50*IF(ABS(M86)&lt;'Progetto del paramento slu'!$G$58,ABS(M86)*'Progetto del paramento slu'!$G$54,'Progetto del paramento slu'!$G$53)*IF(M86&lt;0,-1,1)</f>
        <v>0</v>
      </c>
      <c r="T86" s="553">
        <f>'Foglio deposito bis'!$F$51*IF(ABS(N86)&lt;'Progetto del paramento slu'!$G$58,ABS(N86)*'Progetto del paramento slu'!$G$54,'Progetto del paramento slu'!$G$53)*IF(N86&lt;0,-1,1)</f>
        <v>240946.49743184328</v>
      </c>
      <c r="U86" s="553">
        <f>'Foglio deposito bis'!$F$52*IF(ABS(O86)&lt;'Progetto del paramento slu'!$G$58,ABS(O86)*'Progetto del paramento slu'!$G$54,'Progetto del paramento slu'!$G$53)*IF(O86&lt;0,-1,1)</f>
        <v>240946.49743184328</v>
      </c>
      <c r="V86" s="479">
        <f t="shared" si="10"/>
        <v>455027.01827983581</v>
      </c>
      <c r="W86" s="559"/>
      <c r="X86" s="559"/>
    </row>
    <row r="87" spans="1:24" x14ac:dyDescent="0.25">
      <c r="A87" s="553">
        <f t="shared" si="9"/>
        <v>452165.87687252869</v>
      </c>
      <c r="B87" s="3">
        <f t="shared" si="11"/>
        <v>4.0999999999999934</v>
      </c>
      <c r="C87" s="553">
        <f>'Foglio deposito bis'!$E$153/$B$247*B87</f>
        <v>16.644113667117711</v>
      </c>
      <c r="D87" s="611">
        <f>-'Progetto del paramento slu'!$G$47*'Progetto del paramento slu'!$G$41*IF(DATI!$G$218="dx",DATI!$E$61,DATI!$E$64*DATI!$E$63)*1000*C87^2*sezione!$AD$5*(1-sezione!$AD$6)</f>
        <v>-2280482.2442103452</v>
      </c>
      <c r="E87" s="553">
        <f>-'Foglio deposito bis'!$F$48*(C87-sezione!$AL$27)*IF(ABS(K87)&lt;'Progetto del paramento slu'!$G$58,ABS(K87)*'Progetto del paramento slu'!$G$54,'Progetto del paramento slu'!$G$53)</f>
        <v>0</v>
      </c>
      <c r="F87" s="553">
        <f>-'Foglio deposito bis'!$F$49*(C87-sezione!$AM$27)*IF(ABS(L87)&lt;'Progetto del paramento slu'!$G$58,ABS(L87)*'Progetto del paramento slu'!$G$54,'Progetto del paramento slu'!$G$53)</f>
        <v>27322817.792369906</v>
      </c>
      <c r="G87" s="553">
        <f>-'Foglio deposito bis'!$F$50*(C87-sezione!$AN$27)*IF(ABS(M87)&lt;'Progetto del paramento slu'!$G$58,ABS(M87)*'Progetto del paramento slu'!$G$54,'Progetto del paramento slu'!$G$53)</f>
        <v>0</v>
      </c>
      <c r="H87" s="553">
        <f>-'Foglio deposito bis'!$F$51*(C87-sezione!$AO$27)*IF(ABS(N87)&lt;'Progetto del paramento slu'!$G$58,ABS(N87)*'Progetto del paramento slu'!$G$54,'Progetto del paramento slu'!$G$53)</f>
        <v>77911468.235877216</v>
      </c>
      <c r="I87" s="479">
        <f>-'Foglio deposito bis'!$F$52*(C87-sezione!$AP$27)*IF(ABS(O87)&lt;'Progetto del paramento slu'!$G$58,ABS(O87)*'Progetto del paramento slu'!$G$54,'Progetto del paramento slu'!$G$53)</f>
        <v>58635748.441329762</v>
      </c>
      <c r="J87" s="479">
        <f t="shared" si="8"/>
        <v>161589552.22536653</v>
      </c>
      <c r="K87" s="558">
        <f>'Progetto del paramento slu'!$G$60*(sezione!$AL$27-C87)/C87</f>
        <v>4.9113821138211458E-3</v>
      </c>
      <c r="L87" s="558">
        <f>'Progetto del paramento slu'!$G$60*(sezione!$AM$27-C87)/C87</f>
        <v>2.8042682926829297E-2</v>
      </c>
      <c r="M87" s="559">
        <f>'Progetto del paramento slu'!$G$60*(sezione!$AN$27-C87)/C87</f>
        <v>5.1173983739837448E-2</v>
      </c>
      <c r="N87" s="559">
        <f>'Progetto del paramento slu'!$G$60*(sezione!$AO$27-C87)/C87</f>
        <v>6.7996747967479745E-2</v>
      </c>
      <c r="O87" s="559">
        <f>'Progetto del paramento slu'!$G$60*(sezione!$AP$27-C87)/C87</f>
        <v>5.1173983739837448E-2</v>
      </c>
      <c r="P87" s="553">
        <f>-'Progetto del paramento slu'!$G$47*'Progetto del paramento slu'!$G$41*IF(DATI!$G$218="dx",DATI!$E$61,DATI!$E$64*DATI!$E$63)*1000*C87*sezione!$AD$5</f>
        <v>-234613.59539918788</v>
      </c>
      <c r="Q87" s="553">
        <f>'Foglio deposito bis'!$F$48*IF(ABS(K87)&lt;'Progetto del paramento slu'!$G$58,ABS(K87)*'Progetto del paramento slu'!$G$54,'Progetto del paramento slu'!$G$53)*IF(K87&lt;0,-1,1)</f>
        <v>0</v>
      </c>
      <c r="R87" s="553">
        <f>'Foglio deposito bis'!$F$49*IF(ABS(L87)&lt;'Progetto del paramento slu'!$G$58,ABS(L87)*'Progetto del paramento slu'!$G$54,'Progetto del paramento slu'!$G$53)*IF(L87&lt;0,-1,1)</f>
        <v>204886.47740803001</v>
      </c>
      <c r="S87" s="553">
        <f>'Foglio deposito bis'!$F$50*IF(ABS(M87)&lt;'Progetto del paramento slu'!$G$58,ABS(M87)*'Progetto del paramento slu'!$G$54,'Progetto del paramento slu'!$G$53)*IF(M87&lt;0,-1,1)</f>
        <v>0</v>
      </c>
      <c r="T87" s="553">
        <f>'Foglio deposito bis'!$F$51*IF(ABS(N87)&lt;'Progetto del paramento slu'!$G$58,ABS(N87)*'Progetto del paramento slu'!$G$54,'Progetto del paramento slu'!$G$53)*IF(N87&lt;0,-1,1)</f>
        <v>240946.49743184328</v>
      </c>
      <c r="U87" s="553">
        <f>'Foglio deposito bis'!$F$52*IF(ABS(O87)&lt;'Progetto del paramento slu'!$G$58,ABS(O87)*'Progetto del paramento slu'!$G$54,'Progetto del paramento slu'!$G$53)*IF(O87&lt;0,-1,1)</f>
        <v>240946.49743184328</v>
      </c>
      <c r="V87" s="479">
        <f t="shared" si="10"/>
        <v>452165.87687252869</v>
      </c>
      <c r="W87" s="559"/>
      <c r="X87" s="559"/>
    </row>
    <row r="88" spans="1:24" x14ac:dyDescent="0.25">
      <c r="A88" s="553">
        <f t="shared" si="9"/>
        <v>449304.73546522157</v>
      </c>
      <c r="B88" s="3">
        <f t="shared" si="11"/>
        <v>4.1499999999999932</v>
      </c>
      <c r="C88" s="553">
        <f>'Foglio deposito bis'!$E$153/$B$247*B88</f>
        <v>16.847090663058172</v>
      </c>
      <c r="D88" s="611">
        <f>-'Progetto del paramento slu'!$G$47*'Progetto del paramento slu'!$G$41*IF(DATI!$G$218="dx",DATI!$E$61,DATI!$E$64*DATI!$E$63)*1000*C88^2*sezione!$AD$5*(1-sezione!$AD$6)</f>
        <v>-2336442.917960302</v>
      </c>
      <c r="E88" s="553">
        <f>-'Foglio deposito bis'!$F$48*(C88-sezione!$AL$27)*IF(ABS(K88)&lt;'Progetto del paramento slu'!$G$58,ABS(K88)*'Progetto del paramento slu'!$G$54,'Progetto del paramento slu'!$G$53)</f>
        <v>0</v>
      </c>
      <c r="F88" s="553">
        <f>-'Foglio deposito bis'!$F$49*(C88-sezione!$AM$27)*IF(ABS(L88)&lt;'Progetto del paramento slu'!$G$58,ABS(L88)*'Progetto del paramento slu'!$G$54,'Progetto del paramento slu'!$G$53)</f>
        <v>27281230.5506768</v>
      </c>
      <c r="G88" s="553">
        <f>-'Foglio deposito bis'!$F$50*(C88-sezione!$AN$27)*IF(ABS(M88)&lt;'Progetto del paramento slu'!$G$58,ABS(M88)*'Progetto del paramento slu'!$G$54,'Progetto del paramento slu'!$G$53)</f>
        <v>0</v>
      </c>
      <c r="H88" s="553">
        <f>-'Foglio deposito bis'!$F$51*(C88-sezione!$AO$27)*IF(ABS(N88)&lt;'Progetto del paramento slu'!$G$58,ABS(N88)*'Progetto del paramento slu'!$G$54,'Progetto del paramento slu'!$G$53)</f>
        <v>77862561.639646143</v>
      </c>
      <c r="I88" s="479">
        <f>-'Foglio deposito bis'!$F$52*(C88-sezione!$AP$27)*IF(ABS(O88)&lt;'Progetto del paramento slu'!$G$58,ABS(O88)*'Progetto del paramento slu'!$G$54,'Progetto del paramento slu'!$G$53)</f>
        <v>58586841.845098674</v>
      </c>
      <c r="J88" s="479">
        <f t="shared" si="8"/>
        <v>161394191.11746132</v>
      </c>
      <c r="K88" s="558">
        <f>'Progetto del paramento slu'!$G$60*(sezione!$AL$27-C88)/C88</f>
        <v>4.8100401606425772E-3</v>
      </c>
      <c r="L88" s="558">
        <f>'Progetto del paramento slu'!$G$60*(sezione!$AM$27-C88)/C88</f>
        <v>2.7662650602409668E-2</v>
      </c>
      <c r="M88" s="559">
        <f>'Progetto del paramento slu'!$G$60*(sezione!$AN$27-C88)/C88</f>
        <v>5.0515261044176758E-2</v>
      </c>
      <c r="N88" s="559">
        <f>'Progetto del paramento slu'!$G$60*(sezione!$AO$27-C88)/C88</f>
        <v>6.7135341365461912E-2</v>
      </c>
      <c r="O88" s="559">
        <f>'Progetto del paramento slu'!$G$60*(sezione!$AP$27-C88)/C88</f>
        <v>5.0515261044176758E-2</v>
      </c>
      <c r="P88" s="553">
        <f>-'Progetto del paramento slu'!$G$47*'Progetto del paramento slu'!$G$41*IF(DATI!$G$218="dx",DATI!$E$61,DATI!$E$64*DATI!$E$63)*1000*C88*sezione!$AD$5</f>
        <v>-237474.73680649503</v>
      </c>
      <c r="Q88" s="553">
        <f>'Foglio deposito bis'!$F$48*IF(ABS(K88)&lt;'Progetto del paramento slu'!$G$58,ABS(K88)*'Progetto del paramento slu'!$G$54,'Progetto del paramento slu'!$G$53)*IF(K88&lt;0,-1,1)</f>
        <v>0</v>
      </c>
      <c r="R88" s="553">
        <f>'Foglio deposito bis'!$F$49*IF(ABS(L88)&lt;'Progetto del paramento slu'!$G$58,ABS(L88)*'Progetto del paramento slu'!$G$54,'Progetto del paramento slu'!$G$53)*IF(L88&lt;0,-1,1)</f>
        <v>204886.47740803001</v>
      </c>
      <c r="S88" s="553">
        <f>'Foglio deposito bis'!$F$50*IF(ABS(M88)&lt;'Progetto del paramento slu'!$G$58,ABS(M88)*'Progetto del paramento slu'!$G$54,'Progetto del paramento slu'!$G$53)*IF(M88&lt;0,-1,1)</f>
        <v>0</v>
      </c>
      <c r="T88" s="553">
        <f>'Foglio deposito bis'!$F$51*IF(ABS(N88)&lt;'Progetto del paramento slu'!$G$58,ABS(N88)*'Progetto del paramento slu'!$G$54,'Progetto del paramento slu'!$G$53)*IF(N88&lt;0,-1,1)</f>
        <v>240946.49743184328</v>
      </c>
      <c r="U88" s="553">
        <f>'Foglio deposito bis'!$F$52*IF(ABS(O88)&lt;'Progetto del paramento slu'!$G$58,ABS(O88)*'Progetto del paramento slu'!$G$54,'Progetto del paramento slu'!$G$53)*IF(O88&lt;0,-1,1)</f>
        <v>240946.49743184328</v>
      </c>
      <c r="V88" s="479">
        <f t="shared" si="10"/>
        <v>449304.73546522157</v>
      </c>
      <c r="W88" s="559"/>
      <c r="X88" s="559"/>
    </row>
    <row r="89" spans="1:24" x14ac:dyDescent="0.25">
      <c r="A89" s="553">
        <f t="shared" si="9"/>
        <v>446443.59405791434</v>
      </c>
      <c r="B89" s="3">
        <f t="shared" si="11"/>
        <v>4.1999999999999931</v>
      </c>
      <c r="C89" s="553">
        <f>'Foglio deposito bis'!$E$153/$B$247*B89</f>
        <v>17.050067658998632</v>
      </c>
      <c r="D89" s="611">
        <f>-'Progetto del paramento slu'!$G$47*'Progetto del paramento slu'!$G$41*IF(DATI!$G$218="dx",DATI!$E$61,DATI!$E$64*DATI!$E$63)*1000*C89^2*sezione!$AD$5*(1-sezione!$AD$6)</f>
        <v>-2393081.9029072272</v>
      </c>
      <c r="E89" s="553">
        <f>-'Foglio deposito bis'!$F$48*(C89-sezione!$AL$27)*IF(ABS(K89)&lt;'Progetto del paramento slu'!$G$58,ABS(K89)*'Progetto del paramento slu'!$G$54,'Progetto del paramento slu'!$G$53)</f>
        <v>0</v>
      </c>
      <c r="F89" s="553">
        <f>-'Foglio deposito bis'!$F$49*(C89-sezione!$AM$27)*IF(ABS(L89)&lt;'Progetto del paramento slu'!$G$58,ABS(L89)*'Progetto del paramento slu'!$G$54,'Progetto del paramento slu'!$G$53)</f>
        <v>27239643.308983695</v>
      </c>
      <c r="G89" s="553">
        <f>-'Foglio deposito bis'!$F$50*(C89-sezione!$AN$27)*IF(ABS(M89)&lt;'Progetto del paramento slu'!$G$58,ABS(M89)*'Progetto del paramento slu'!$G$54,'Progetto del paramento slu'!$G$53)</f>
        <v>0</v>
      </c>
      <c r="H89" s="553">
        <f>-'Foglio deposito bis'!$F$51*(C89-sezione!$AO$27)*IF(ABS(N89)&lt;'Progetto del paramento slu'!$G$58,ABS(N89)*'Progetto del paramento slu'!$G$54,'Progetto del paramento slu'!$G$53)</f>
        <v>77813655.043415055</v>
      </c>
      <c r="I89" s="479">
        <f>-'Foglio deposito bis'!$F$52*(C89-sezione!$AP$27)*IF(ABS(O89)&lt;'Progetto del paramento slu'!$G$58,ABS(O89)*'Progetto del paramento slu'!$G$54,'Progetto del paramento slu'!$G$53)</f>
        <v>58537935.248867586</v>
      </c>
      <c r="J89" s="479">
        <f t="shared" si="8"/>
        <v>161198151.69835913</v>
      </c>
      <c r="K89" s="558">
        <f>'Progetto del paramento slu'!$G$60*(sezione!$AL$27-C89)/C89</f>
        <v>4.7111111111111182E-3</v>
      </c>
      <c r="L89" s="558">
        <f>'Progetto del paramento slu'!$G$60*(sezione!$AM$27-C89)/C89</f>
        <v>2.729166666666669E-2</v>
      </c>
      <c r="M89" s="559">
        <f>'Progetto del paramento slu'!$G$60*(sezione!$AN$27-C89)/C89</f>
        <v>4.9872222222222269E-2</v>
      </c>
      <c r="N89" s="559">
        <f>'Progetto del paramento slu'!$G$60*(sezione!$AO$27-C89)/C89</f>
        <v>6.6294444444444517E-2</v>
      </c>
      <c r="O89" s="559">
        <f>'Progetto del paramento slu'!$G$60*(sezione!$AP$27-C89)/C89</f>
        <v>4.9872222222222269E-2</v>
      </c>
      <c r="P89" s="553">
        <f>-'Progetto del paramento slu'!$G$47*'Progetto del paramento slu'!$G$41*IF(DATI!$G$218="dx",DATI!$E$61,DATI!$E$64*DATI!$E$63)*1000*C89*sezione!$AD$5</f>
        <v>-240335.87821380224</v>
      </c>
      <c r="Q89" s="553">
        <f>'Foglio deposito bis'!$F$48*IF(ABS(K89)&lt;'Progetto del paramento slu'!$G$58,ABS(K89)*'Progetto del paramento slu'!$G$54,'Progetto del paramento slu'!$G$53)*IF(K89&lt;0,-1,1)</f>
        <v>0</v>
      </c>
      <c r="R89" s="553">
        <f>'Foglio deposito bis'!$F$49*IF(ABS(L89)&lt;'Progetto del paramento slu'!$G$58,ABS(L89)*'Progetto del paramento slu'!$G$54,'Progetto del paramento slu'!$G$53)*IF(L89&lt;0,-1,1)</f>
        <v>204886.47740803001</v>
      </c>
      <c r="S89" s="553">
        <f>'Foglio deposito bis'!$F$50*IF(ABS(M89)&lt;'Progetto del paramento slu'!$G$58,ABS(M89)*'Progetto del paramento slu'!$G$54,'Progetto del paramento slu'!$G$53)*IF(M89&lt;0,-1,1)</f>
        <v>0</v>
      </c>
      <c r="T89" s="553">
        <f>'Foglio deposito bis'!$F$51*IF(ABS(N89)&lt;'Progetto del paramento slu'!$G$58,ABS(N89)*'Progetto del paramento slu'!$G$54,'Progetto del paramento slu'!$G$53)*IF(N89&lt;0,-1,1)</f>
        <v>240946.49743184328</v>
      </c>
      <c r="U89" s="553">
        <f>'Foglio deposito bis'!$F$52*IF(ABS(O89)&lt;'Progetto del paramento slu'!$G$58,ABS(O89)*'Progetto del paramento slu'!$G$54,'Progetto del paramento slu'!$G$53)*IF(O89&lt;0,-1,1)</f>
        <v>240946.49743184328</v>
      </c>
      <c r="V89" s="479">
        <f t="shared" si="10"/>
        <v>446443.59405791434</v>
      </c>
      <c r="W89" s="559"/>
      <c r="X89" s="559"/>
    </row>
    <row r="90" spans="1:24" x14ac:dyDescent="0.25">
      <c r="A90" s="553">
        <f t="shared" si="9"/>
        <v>443582.45265060716</v>
      </c>
      <c r="B90" s="3">
        <f t="shared" si="11"/>
        <v>4.2499999999999929</v>
      </c>
      <c r="C90" s="553">
        <f>'Foglio deposito bis'!$E$153/$B$247*B90</f>
        <v>17.253044654939092</v>
      </c>
      <c r="D90" s="611">
        <f>-'Progetto del paramento slu'!$G$47*'Progetto del paramento slu'!$G$41*IF(DATI!$G$218="dx",DATI!$E$61,DATI!$E$64*DATI!$E$63)*1000*C90^2*sezione!$AD$5*(1-sezione!$AD$6)</f>
        <v>-2450399.1990511222</v>
      </c>
      <c r="E90" s="553">
        <f>-'Foglio deposito bis'!$F$48*(C90-sezione!$AL$27)*IF(ABS(K90)&lt;'Progetto del paramento slu'!$G$58,ABS(K90)*'Progetto del paramento slu'!$G$54,'Progetto del paramento slu'!$G$53)</f>
        <v>0</v>
      </c>
      <c r="F90" s="553">
        <f>-'Foglio deposito bis'!$F$49*(C90-sezione!$AM$27)*IF(ABS(L90)&lt;'Progetto del paramento slu'!$G$58,ABS(L90)*'Progetto del paramento slu'!$G$54,'Progetto del paramento slu'!$G$53)</f>
        <v>27198056.067290589</v>
      </c>
      <c r="G90" s="553">
        <f>-'Foglio deposito bis'!$F$50*(C90-sezione!$AN$27)*IF(ABS(M90)&lt;'Progetto del paramento slu'!$G$58,ABS(M90)*'Progetto del paramento slu'!$G$54,'Progetto del paramento slu'!$G$53)</f>
        <v>0</v>
      </c>
      <c r="H90" s="553">
        <f>-'Foglio deposito bis'!$F$51*(C90-sezione!$AO$27)*IF(ABS(N90)&lt;'Progetto del paramento slu'!$G$58,ABS(N90)*'Progetto del paramento slu'!$G$54,'Progetto del paramento slu'!$G$53)</f>
        <v>77764748.447183952</v>
      </c>
      <c r="I90" s="479">
        <f>-'Foglio deposito bis'!$F$52*(C90-sezione!$AP$27)*IF(ABS(O90)&lt;'Progetto del paramento slu'!$G$58,ABS(O90)*'Progetto del paramento slu'!$G$54,'Progetto del paramento slu'!$G$53)</f>
        <v>58489028.652636483</v>
      </c>
      <c r="J90" s="479">
        <f t="shared" si="8"/>
        <v>161001433.9680599</v>
      </c>
      <c r="K90" s="558">
        <f>'Progetto del paramento slu'!$G$60*(sezione!$AL$27-C90)/C90</f>
        <v>4.6145098039215762E-3</v>
      </c>
      <c r="L90" s="558">
        <f>'Progetto del paramento slu'!$G$60*(sezione!$AM$27-C90)/C90</f>
        <v>2.692941176470591E-2</v>
      </c>
      <c r="M90" s="559">
        <f>'Progetto del paramento slu'!$G$60*(sezione!$AN$27-C90)/C90</f>
        <v>4.9244313725490242E-2</v>
      </c>
      <c r="N90" s="559">
        <f>'Progetto del paramento slu'!$G$60*(sezione!$AO$27-C90)/C90</f>
        <v>6.5473333333333383E-2</v>
      </c>
      <c r="O90" s="559">
        <f>'Progetto del paramento slu'!$G$60*(sezione!$AP$27-C90)/C90</f>
        <v>4.9244313725490242E-2</v>
      </c>
      <c r="P90" s="553">
        <f>-'Progetto del paramento slu'!$G$47*'Progetto del paramento slu'!$G$41*IF(DATI!$G$218="dx",DATI!$E$61,DATI!$E$64*DATI!$E$63)*1000*C90*sezione!$AD$5</f>
        <v>-243197.01962110942</v>
      </c>
      <c r="Q90" s="553">
        <f>'Foglio deposito bis'!$F$48*IF(ABS(K90)&lt;'Progetto del paramento slu'!$G$58,ABS(K90)*'Progetto del paramento slu'!$G$54,'Progetto del paramento slu'!$G$53)*IF(K90&lt;0,-1,1)</f>
        <v>0</v>
      </c>
      <c r="R90" s="553">
        <f>'Foglio deposito bis'!$F$49*IF(ABS(L90)&lt;'Progetto del paramento slu'!$G$58,ABS(L90)*'Progetto del paramento slu'!$G$54,'Progetto del paramento slu'!$G$53)*IF(L90&lt;0,-1,1)</f>
        <v>204886.47740803001</v>
      </c>
      <c r="S90" s="553">
        <f>'Foglio deposito bis'!$F$50*IF(ABS(M90)&lt;'Progetto del paramento slu'!$G$58,ABS(M90)*'Progetto del paramento slu'!$G$54,'Progetto del paramento slu'!$G$53)*IF(M90&lt;0,-1,1)</f>
        <v>0</v>
      </c>
      <c r="T90" s="553">
        <f>'Foglio deposito bis'!$F$51*IF(ABS(N90)&lt;'Progetto del paramento slu'!$G$58,ABS(N90)*'Progetto del paramento slu'!$G$54,'Progetto del paramento slu'!$G$53)*IF(N90&lt;0,-1,1)</f>
        <v>240946.49743184328</v>
      </c>
      <c r="U90" s="553">
        <f>'Foglio deposito bis'!$F$52*IF(ABS(O90)&lt;'Progetto del paramento slu'!$G$58,ABS(O90)*'Progetto del paramento slu'!$G$54,'Progetto del paramento slu'!$G$53)*IF(O90&lt;0,-1,1)</f>
        <v>240946.49743184328</v>
      </c>
      <c r="V90" s="479">
        <f t="shared" si="10"/>
        <v>443582.45265060716</v>
      </c>
      <c r="W90" s="559"/>
      <c r="X90" s="559"/>
    </row>
    <row r="91" spans="1:24" x14ac:dyDescent="0.25">
      <c r="A91" s="553">
        <f t="shared" si="9"/>
        <v>440721.31124330009</v>
      </c>
      <c r="B91" s="3">
        <f t="shared" si="11"/>
        <v>4.2999999999999927</v>
      </c>
      <c r="C91" s="553">
        <f>'Foglio deposito bis'!$E$153/$B$247*B91</f>
        <v>17.456021650879549</v>
      </c>
      <c r="D91" s="611">
        <f>-'Progetto del paramento slu'!$G$47*'Progetto del paramento slu'!$G$41*IF(DATI!$G$218="dx",DATI!$E$61,DATI!$E$64*DATI!$E$63)*1000*C91^2*sezione!$AD$5*(1-sezione!$AD$6)</f>
        <v>-2508394.8063919852</v>
      </c>
      <c r="E91" s="553">
        <f>-'Foglio deposito bis'!$F$48*(C91-sezione!$AL$27)*IF(ABS(K91)&lt;'Progetto del paramento slu'!$G$58,ABS(K91)*'Progetto del paramento slu'!$G$54,'Progetto del paramento slu'!$G$53)</f>
        <v>0</v>
      </c>
      <c r="F91" s="553">
        <f>-'Foglio deposito bis'!$F$49*(C91-sezione!$AM$27)*IF(ABS(L91)&lt;'Progetto del paramento slu'!$G$58,ABS(L91)*'Progetto del paramento slu'!$G$54,'Progetto del paramento slu'!$G$53)</f>
        <v>27156468.825597484</v>
      </c>
      <c r="G91" s="553">
        <f>-'Foglio deposito bis'!$F$50*(C91-sezione!$AN$27)*IF(ABS(M91)&lt;'Progetto del paramento slu'!$G$58,ABS(M91)*'Progetto del paramento slu'!$G$54,'Progetto del paramento slu'!$G$53)</f>
        <v>0</v>
      </c>
      <c r="H91" s="553">
        <f>-'Foglio deposito bis'!$F$51*(C91-sezione!$AO$27)*IF(ABS(N91)&lt;'Progetto del paramento slu'!$G$58,ABS(N91)*'Progetto del paramento slu'!$G$54,'Progetto del paramento slu'!$G$53)</f>
        <v>77715841.850952864</v>
      </c>
      <c r="I91" s="479">
        <f>-'Foglio deposito bis'!$F$52*(C91-sezione!$AP$27)*IF(ABS(O91)&lt;'Progetto del paramento slu'!$G$58,ABS(O91)*'Progetto del paramento slu'!$G$54,'Progetto del paramento slu'!$G$53)</f>
        <v>58440122.056405403</v>
      </c>
      <c r="J91" s="479">
        <f t="shared" si="8"/>
        <v>160804037.92656377</v>
      </c>
      <c r="K91" s="558">
        <f>'Progetto del paramento slu'!$G$60*(sezione!$AL$27-C91)/C91</f>
        <v>4.5201550387596982E-3</v>
      </c>
      <c r="L91" s="558">
        <f>'Progetto del paramento slu'!$G$60*(sezione!$AM$27-C91)/C91</f>
        <v>2.6575581395348866E-2</v>
      </c>
      <c r="M91" s="559">
        <f>'Progetto del paramento slu'!$G$60*(sezione!$AN$27-C91)/C91</f>
        <v>4.8631007751938037E-2</v>
      </c>
      <c r="N91" s="559">
        <f>'Progetto del paramento slu'!$G$60*(sezione!$AO$27-C91)/C91</f>
        <v>6.4671317829457439E-2</v>
      </c>
      <c r="O91" s="559">
        <f>'Progetto del paramento slu'!$G$60*(sezione!$AP$27-C91)/C91</f>
        <v>4.8631007751938037E-2</v>
      </c>
      <c r="P91" s="553">
        <f>-'Progetto del paramento slu'!$G$47*'Progetto del paramento slu'!$G$41*IF(DATI!$G$218="dx",DATI!$E$61,DATI!$E$64*DATI!$E$63)*1000*C91*sezione!$AD$5</f>
        <v>-246058.16102841651</v>
      </c>
      <c r="Q91" s="553">
        <f>'Foglio deposito bis'!$F$48*IF(ABS(K91)&lt;'Progetto del paramento slu'!$G$58,ABS(K91)*'Progetto del paramento slu'!$G$54,'Progetto del paramento slu'!$G$53)*IF(K91&lt;0,-1,1)</f>
        <v>0</v>
      </c>
      <c r="R91" s="553">
        <f>'Foglio deposito bis'!$F$49*IF(ABS(L91)&lt;'Progetto del paramento slu'!$G$58,ABS(L91)*'Progetto del paramento slu'!$G$54,'Progetto del paramento slu'!$G$53)*IF(L91&lt;0,-1,1)</f>
        <v>204886.47740803001</v>
      </c>
      <c r="S91" s="553">
        <f>'Foglio deposito bis'!$F$50*IF(ABS(M91)&lt;'Progetto del paramento slu'!$G$58,ABS(M91)*'Progetto del paramento slu'!$G$54,'Progetto del paramento slu'!$G$53)*IF(M91&lt;0,-1,1)</f>
        <v>0</v>
      </c>
      <c r="T91" s="553">
        <f>'Foglio deposito bis'!$F$51*IF(ABS(N91)&lt;'Progetto del paramento slu'!$G$58,ABS(N91)*'Progetto del paramento slu'!$G$54,'Progetto del paramento slu'!$G$53)*IF(N91&lt;0,-1,1)</f>
        <v>240946.49743184328</v>
      </c>
      <c r="U91" s="553">
        <f>'Foglio deposito bis'!$F$52*IF(ABS(O91)&lt;'Progetto del paramento slu'!$G$58,ABS(O91)*'Progetto del paramento slu'!$G$54,'Progetto del paramento slu'!$G$53)*IF(O91&lt;0,-1,1)</f>
        <v>240946.49743184328</v>
      </c>
      <c r="V91" s="479">
        <f t="shared" si="10"/>
        <v>440721.31124330009</v>
      </c>
      <c r="W91" s="559"/>
      <c r="X91" s="559"/>
    </row>
    <row r="92" spans="1:24" x14ac:dyDescent="0.25">
      <c r="A92" s="553">
        <f t="shared" si="9"/>
        <v>437860.16983599286</v>
      </c>
      <c r="B92" s="3">
        <f t="shared" si="11"/>
        <v>4.3499999999999925</v>
      </c>
      <c r="C92" s="553">
        <f>'Foglio deposito bis'!$E$153/$B$247*B92</f>
        <v>17.65899864682001</v>
      </c>
      <c r="D92" s="611">
        <f>-'Progetto del paramento slu'!$G$47*'Progetto del paramento slu'!$G$41*IF(DATI!$G$218="dx",DATI!$E$61,DATI!$E$64*DATI!$E$63)*1000*C92^2*sezione!$AD$5*(1-sezione!$AD$6)</f>
        <v>-2567068.7249298184</v>
      </c>
      <c r="E92" s="553">
        <f>-'Foglio deposito bis'!$F$48*(C92-sezione!$AL$27)*IF(ABS(K92)&lt;'Progetto del paramento slu'!$G$58,ABS(K92)*'Progetto del paramento slu'!$G$54,'Progetto del paramento slu'!$G$53)</f>
        <v>0</v>
      </c>
      <c r="F92" s="553">
        <f>-'Foglio deposito bis'!$F$49*(C92-sezione!$AM$27)*IF(ABS(L92)&lt;'Progetto del paramento slu'!$G$58,ABS(L92)*'Progetto del paramento slu'!$G$54,'Progetto del paramento slu'!$G$53)</f>
        <v>27114881.583904378</v>
      </c>
      <c r="G92" s="553">
        <f>-'Foglio deposito bis'!$F$50*(C92-sezione!$AN$27)*IF(ABS(M92)&lt;'Progetto del paramento slu'!$G$58,ABS(M92)*'Progetto del paramento slu'!$G$54,'Progetto del paramento slu'!$G$53)</f>
        <v>0</v>
      </c>
      <c r="H92" s="553">
        <f>-'Foglio deposito bis'!$F$51*(C92-sezione!$AO$27)*IF(ABS(N92)&lt;'Progetto del paramento slu'!$G$58,ABS(N92)*'Progetto del paramento slu'!$G$54,'Progetto del paramento slu'!$G$53)</f>
        <v>77666935.254721776</v>
      </c>
      <c r="I92" s="479">
        <f>-'Foglio deposito bis'!$F$52*(C92-sezione!$AP$27)*IF(ABS(O92)&lt;'Progetto del paramento slu'!$G$58,ABS(O92)*'Progetto del paramento slu'!$G$54,'Progetto del paramento slu'!$G$53)</f>
        <v>58391215.460174315</v>
      </c>
      <c r="J92" s="479">
        <f t="shared" si="8"/>
        <v>160605963.57387066</v>
      </c>
      <c r="K92" s="558">
        <f>'Progetto del paramento slu'!$G$60*(sezione!$AL$27-C92)/C92</f>
        <v>4.4279693486590117E-3</v>
      </c>
      <c r="L92" s="558">
        <f>'Progetto del paramento slu'!$G$60*(sezione!$AM$27-C92)/C92</f>
        <v>2.6229885057471293E-2</v>
      </c>
      <c r="M92" s="559">
        <f>'Progetto del paramento slu'!$G$60*(sezione!$AN$27-C92)/C92</f>
        <v>4.8031800766283578E-2</v>
      </c>
      <c r="N92" s="559">
        <f>'Progetto del paramento slu'!$G$60*(sezione!$AO$27-C92)/C92</f>
        <v>6.38877394636016E-2</v>
      </c>
      <c r="O92" s="559">
        <f>'Progetto del paramento slu'!$G$60*(sezione!$AP$27-C92)/C92</f>
        <v>4.8031800766283578E-2</v>
      </c>
      <c r="P92" s="553">
        <f>-'Progetto del paramento slu'!$G$47*'Progetto del paramento slu'!$G$41*IF(DATI!$G$218="dx",DATI!$E$61,DATI!$E$64*DATI!$E$63)*1000*C92*sezione!$AD$5</f>
        <v>-248919.30243572372</v>
      </c>
      <c r="Q92" s="553">
        <f>'Foglio deposito bis'!$F$48*IF(ABS(K92)&lt;'Progetto del paramento slu'!$G$58,ABS(K92)*'Progetto del paramento slu'!$G$54,'Progetto del paramento slu'!$G$53)*IF(K92&lt;0,-1,1)</f>
        <v>0</v>
      </c>
      <c r="R92" s="553">
        <f>'Foglio deposito bis'!$F$49*IF(ABS(L92)&lt;'Progetto del paramento slu'!$G$58,ABS(L92)*'Progetto del paramento slu'!$G$54,'Progetto del paramento slu'!$G$53)*IF(L92&lt;0,-1,1)</f>
        <v>204886.47740803001</v>
      </c>
      <c r="S92" s="553">
        <f>'Foglio deposito bis'!$F$50*IF(ABS(M92)&lt;'Progetto del paramento slu'!$G$58,ABS(M92)*'Progetto del paramento slu'!$G$54,'Progetto del paramento slu'!$G$53)*IF(M92&lt;0,-1,1)</f>
        <v>0</v>
      </c>
      <c r="T92" s="553">
        <f>'Foglio deposito bis'!$F$51*IF(ABS(N92)&lt;'Progetto del paramento slu'!$G$58,ABS(N92)*'Progetto del paramento slu'!$G$54,'Progetto del paramento slu'!$G$53)*IF(N92&lt;0,-1,1)</f>
        <v>240946.49743184328</v>
      </c>
      <c r="U92" s="553">
        <f>'Foglio deposito bis'!$F$52*IF(ABS(O92)&lt;'Progetto del paramento slu'!$G$58,ABS(O92)*'Progetto del paramento slu'!$G$54,'Progetto del paramento slu'!$G$53)*IF(O92&lt;0,-1,1)</f>
        <v>240946.49743184328</v>
      </c>
      <c r="V92" s="479">
        <f t="shared" si="10"/>
        <v>437860.16983599286</v>
      </c>
      <c r="W92" s="559"/>
      <c r="X92" s="559"/>
    </row>
    <row r="93" spans="1:24" x14ac:dyDescent="0.25">
      <c r="A93" s="553">
        <f t="shared" si="9"/>
        <v>434999.02842868573</v>
      </c>
      <c r="B93" s="3">
        <f t="shared" si="11"/>
        <v>4.3999999999999924</v>
      </c>
      <c r="C93" s="553">
        <f>'Foglio deposito bis'!$E$153/$B$247*B93</f>
        <v>17.86197564276047</v>
      </c>
      <c r="D93" s="611">
        <f>-'Progetto del paramento slu'!$G$47*'Progetto del paramento slu'!$G$41*IF(DATI!$G$218="dx",DATI!$E$61,DATI!$E$64*DATI!$E$63)*1000*C93^2*sezione!$AD$5*(1-sezione!$AD$6)</f>
        <v>-2626420.954664621</v>
      </c>
      <c r="E93" s="553">
        <f>-'Foglio deposito bis'!$F$48*(C93-sezione!$AL$27)*IF(ABS(K93)&lt;'Progetto del paramento slu'!$G$58,ABS(K93)*'Progetto del paramento slu'!$G$54,'Progetto del paramento slu'!$G$53)</f>
        <v>0</v>
      </c>
      <c r="F93" s="553">
        <f>-'Foglio deposito bis'!$F$49*(C93-sezione!$AM$27)*IF(ABS(L93)&lt;'Progetto del paramento slu'!$G$58,ABS(L93)*'Progetto del paramento slu'!$G$54,'Progetto del paramento slu'!$G$53)</f>
        <v>27073294.34221128</v>
      </c>
      <c r="G93" s="553">
        <f>-'Foglio deposito bis'!$F$50*(C93-sezione!$AN$27)*IF(ABS(M93)&lt;'Progetto del paramento slu'!$G$58,ABS(M93)*'Progetto del paramento slu'!$G$54,'Progetto del paramento slu'!$G$53)</f>
        <v>0</v>
      </c>
      <c r="H93" s="553">
        <f>-'Foglio deposito bis'!$F$51*(C93-sezione!$AO$27)*IF(ABS(N93)&lt;'Progetto del paramento slu'!$G$58,ABS(N93)*'Progetto del paramento slu'!$G$54,'Progetto del paramento slu'!$G$53)</f>
        <v>77618028.658490673</v>
      </c>
      <c r="I93" s="479">
        <f>-'Foglio deposito bis'!$F$52*(C93-sezione!$AP$27)*IF(ABS(O93)&lt;'Progetto del paramento slu'!$G$58,ABS(O93)*'Progetto del paramento slu'!$G$54,'Progetto del paramento slu'!$G$53)</f>
        <v>58342308.863943227</v>
      </c>
      <c r="J93" s="479">
        <f t="shared" si="8"/>
        <v>160407210.90998057</v>
      </c>
      <c r="K93" s="558">
        <f>'Progetto del paramento slu'!$G$60*(sezione!$AL$27-C93)/C93</f>
        <v>4.3378787878787951E-3</v>
      </c>
      <c r="L93" s="558">
        <f>'Progetto del paramento slu'!$G$60*(sezione!$AM$27-C93)/C93</f>
        <v>2.5892045454545487E-2</v>
      </c>
      <c r="M93" s="559">
        <f>'Progetto del paramento slu'!$G$60*(sezione!$AN$27-C93)/C93</f>
        <v>4.7446212121212174E-2</v>
      </c>
      <c r="N93" s="559">
        <f>'Progetto del paramento slu'!$G$60*(sezione!$AO$27-C93)/C93</f>
        <v>6.312196969696976E-2</v>
      </c>
      <c r="O93" s="559">
        <f>'Progetto del paramento slu'!$G$60*(sezione!$AP$27-C93)/C93</f>
        <v>4.7446212121212174E-2</v>
      </c>
      <c r="P93" s="553">
        <f>-'Progetto del paramento slu'!$G$47*'Progetto del paramento slu'!$G$41*IF(DATI!$G$218="dx",DATI!$E$61,DATI!$E$64*DATI!$E$63)*1000*C93*sezione!$AD$5</f>
        <v>-251780.44384303087</v>
      </c>
      <c r="Q93" s="553">
        <f>'Foglio deposito bis'!$F$48*IF(ABS(K93)&lt;'Progetto del paramento slu'!$G$58,ABS(K93)*'Progetto del paramento slu'!$G$54,'Progetto del paramento slu'!$G$53)*IF(K93&lt;0,-1,1)</f>
        <v>0</v>
      </c>
      <c r="R93" s="553">
        <f>'Foglio deposito bis'!$F$49*IF(ABS(L93)&lt;'Progetto del paramento slu'!$G$58,ABS(L93)*'Progetto del paramento slu'!$G$54,'Progetto del paramento slu'!$G$53)*IF(L93&lt;0,-1,1)</f>
        <v>204886.47740803001</v>
      </c>
      <c r="S93" s="553">
        <f>'Foglio deposito bis'!$F$50*IF(ABS(M93)&lt;'Progetto del paramento slu'!$G$58,ABS(M93)*'Progetto del paramento slu'!$G$54,'Progetto del paramento slu'!$G$53)*IF(M93&lt;0,-1,1)</f>
        <v>0</v>
      </c>
      <c r="T93" s="553">
        <f>'Foglio deposito bis'!$F$51*IF(ABS(N93)&lt;'Progetto del paramento slu'!$G$58,ABS(N93)*'Progetto del paramento slu'!$G$54,'Progetto del paramento slu'!$G$53)*IF(N93&lt;0,-1,1)</f>
        <v>240946.49743184328</v>
      </c>
      <c r="U93" s="553">
        <f>'Foglio deposito bis'!$F$52*IF(ABS(O93)&lt;'Progetto del paramento slu'!$G$58,ABS(O93)*'Progetto del paramento slu'!$G$54,'Progetto del paramento slu'!$G$53)*IF(O93&lt;0,-1,1)</f>
        <v>240946.49743184328</v>
      </c>
      <c r="V93" s="479">
        <f t="shared" si="10"/>
        <v>434999.02842868573</v>
      </c>
      <c r="W93" s="559"/>
      <c r="X93" s="559"/>
    </row>
    <row r="94" spans="1:24" x14ac:dyDescent="0.25">
      <c r="A94" s="553">
        <f t="shared" si="9"/>
        <v>432137.8870213785</v>
      </c>
      <c r="B94" s="3">
        <f t="shared" si="11"/>
        <v>4.4499999999999922</v>
      </c>
      <c r="C94" s="553">
        <f>'Foglio deposito bis'!$E$153/$B$247*B94</f>
        <v>18.06495263870093</v>
      </c>
      <c r="D94" s="611">
        <f>-'Progetto del paramento slu'!$G$47*'Progetto del paramento slu'!$G$41*IF(DATI!$G$218="dx",DATI!$E$61,DATI!$E$64*DATI!$E$63)*1000*C94^2*sezione!$AD$5*(1-sezione!$AD$6)</f>
        <v>-2686451.4955963921</v>
      </c>
      <c r="E94" s="553">
        <f>-'Foglio deposito bis'!$F$48*(C94-sezione!$AL$27)*IF(ABS(K94)&lt;'Progetto del paramento slu'!$G$58,ABS(K94)*'Progetto del paramento slu'!$G$54,'Progetto del paramento slu'!$G$53)</f>
        <v>0</v>
      </c>
      <c r="F94" s="553">
        <f>-'Foglio deposito bis'!$F$49*(C94-sezione!$AM$27)*IF(ABS(L94)&lt;'Progetto del paramento slu'!$G$58,ABS(L94)*'Progetto del paramento slu'!$G$54,'Progetto del paramento slu'!$G$53)</f>
        <v>27031707.100518171</v>
      </c>
      <c r="G94" s="553">
        <f>-'Foglio deposito bis'!$F$50*(C94-sezione!$AN$27)*IF(ABS(M94)&lt;'Progetto del paramento slu'!$G$58,ABS(M94)*'Progetto del paramento slu'!$G$54,'Progetto del paramento slu'!$G$53)</f>
        <v>0</v>
      </c>
      <c r="H94" s="553">
        <f>-'Foglio deposito bis'!$F$51*(C94-sezione!$AO$27)*IF(ABS(N94)&lt;'Progetto del paramento slu'!$G$58,ABS(N94)*'Progetto del paramento slu'!$G$54,'Progetto del paramento slu'!$G$53)</f>
        <v>77569122.062259585</v>
      </c>
      <c r="I94" s="479">
        <f>-'Foglio deposito bis'!$F$52*(C94-sezione!$AP$27)*IF(ABS(O94)&lt;'Progetto del paramento slu'!$G$58,ABS(O94)*'Progetto del paramento slu'!$G$54,'Progetto del paramento slu'!$G$53)</f>
        <v>58293402.267712131</v>
      </c>
      <c r="J94" s="479">
        <f t="shared" si="8"/>
        <v>160207779.93489349</v>
      </c>
      <c r="K94" s="558">
        <f>'Progetto del paramento slu'!$G$60*(sezione!$AL$27-C94)/C94</f>
        <v>4.2498127340824046E-3</v>
      </c>
      <c r="L94" s="558">
        <f>'Progetto del paramento slu'!$G$60*(sezione!$AM$27-C94)/C94</f>
        <v>2.5561797752809014E-2</v>
      </c>
      <c r="M94" s="559">
        <f>'Progetto del paramento slu'!$G$60*(sezione!$AN$27-C94)/C94</f>
        <v>4.687378277153563E-2</v>
      </c>
      <c r="N94" s="559">
        <f>'Progetto del paramento slu'!$G$60*(sezione!$AO$27-C94)/C94</f>
        <v>6.2373408239700445E-2</v>
      </c>
      <c r="O94" s="559">
        <f>'Progetto del paramento slu'!$G$60*(sezione!$AP$27-C94)/C94</f>
        <v>4.687378277153563E-2</v>
      </c>
      <c r="P94" s="553">
        <f>-'Progetto del paramento slu'!$G$47*'Progetto del paramento slu'!$G$41*IF(DATI!$G$218="dx",DATI!$E$61,DATI!$E$64*DATI!$E$63)*1000*C94*sezione!$AD$5</f>
        <v>-254641.58525033807</v>
      </c>
      <c r="Q94" s="553">
        <f>'Foglio deposito bis'!$F$48*IF(ABS(K94)&lt;'Progetto del paramento slu'!$G$58,ABS(K94)*'Progetto del paramento slu'!$G$54,'Progetto del paramento slu'!$G$53)*IF(K94&lt;0,-1,1)</f>
        <v>0</v>
      </c>
      <c r="R94" s="553">
        <f>'Foglio deposito bis'!$F$49*IF(ABS(L94)&lt;'Progetto del paramento slu'!$G$58,ABS(L94)*'Progetto del paramento slu'!$G$54,'Progetto del paramento slu'!$G$53)*IF(L94&lt;0,-1,1)</f>
        <v>204886.47740803001</v>
      </c>
      <c r="S94" s="553">
        <f>'Foglio deposito bis'!$F$50*IF(ABS(M94)&lt;'Progetto del paramento slu'!$G$58,ABS(M94)*'Progetto del paramento slu'!$G$54,'Progetto del paramento slu'!$G$53)*IF(M94&lt;0,-1,1)</f>
        <v>0</v>
      </c>
      <c r="T94" s="553">
        <f>'Foglio deposito bis'!$F$51*IF(ABS(N94)&lt;'Progetto del paramento slu'!$G$58,ABS(N94)*'Progetto del paramento slu'!$G$54,'Progetto del paramento slu'!$G$53)*IF(N94&lt;0,-1,1)</f>
        <v>240946.49743184328</v>
      </c>
      <c r="U94" s="553">
        <f>'Foglio deposito bis'!$F$52*IF(ABS(O94)&lt;'Progetto del paramento slu'!$G$58,ABS(O94)*'Progetto del paramento slu'!$G$54,'Progetto del paramento slu'!$G$53)*IF(O94&lt;0,-1,1)</f>
        <v>240946.49743184328</v>
      </c>
      <c r="V94" s="479">
        <f t="shared" si="10"/>
        <v>432137.8870213785</v>
      </c>
      <c r="W94" s="559"/>
      <c r="X94" s="559"/>
    </row>
    <row r="95" spans="1:24" x14ac:dyDescent="0.25">
      <c r="A95" s="553">
        <f t="shared" si="9"/>
        <v>429276.74561407138</v>
      </c>
      <c r="B95" s="3">
        <f t="shared" si="11"/>
        <v>4.499999999999992</v>
      </c>
      <c r="C95" s="553">
        <f>'Foglio deposito bis'!$E$153/$B$247*B95</f>
        <v>18.267929634641387</v>
      </c>
      <c r="D95" s="611">
        <f>-'Progetto del paramento slu'!$G$47*'Progetto del paramento slu'!$G$41*IF(DATI!$G$218="dx",DATI!$E$61,DATI!$E$64*DATI!$E$63)*1000*C95^2*sezione!$AD$5*(1-sezione!$AD$6)</f>
        <v>-2747160.3477251325</v>
      </c>
      <c r="E95" s="553">
        <f>-'Foglio deposito bis'!$F$48*(C95-sezione!$AL$27)*IF(ABS(K95)&lt;'Progetto del paramento slu'!$G$58,ABS(K95)*'Progetto del paramento slu'!$G$54,'Progetto del paramento slu'!$G$53)</f>
        <v>0</v>
      </c>
      <c r="F95" s="553">
        <f>-'Foglio deposito bis'!$F$49*(C95-sezione!$AM$27)*IF(ABS(L95)&lt;'Progetto del paramento slu'!$G$58,ABS(L95)*'Progetto del paramento slu'!$G$54,'Progetto del paramento slu'!$G$53)</f>
        <v>26990119.858825069</v>
      </c>
      <c r="G95" s="553">
        <f>-'Foglio deposito bis'!$F$50*(C95-sezione!$AN$27)*IF(ABS(M95)&lt;'Progetto del paramento slu'!$G$58,ABS(M95)*'Progetto del paramento slu'!$G$54,'Progetto del paramento slu'!$G$53)</f>
        <v>0</v>
      </c>
      <c r="H95" s="553">
        <f>-'Foglio deposito bis'!$F$51*(C95-sezione!$AO$27)*IF(ABS(N95)&lt;'Progetto del paramento slu'!$G$58,ABS(N95)*'Progetto del paramento slu'!$G$54,'Progetto del paramento slu'!$G$53)</f>
        <v>77520215.466028497</v>
      </c>
      <c r="I95" s="479">
        <f>-'Foglio deposito bis'!$F$52*(C95-sezione!$AP$27)*IF(ABS(O95)&lt;'Progetto del paramento slu'!$G$58,ABS(O95)*'Progetto del paramento slu'!$G$54,'Progetto del paramento slu'!$G$53)</f>
        <v>58244495.671481043</v>
      </c>
      <c r="J95" s="479">
        <f t="shared" si="8"/>
        <v>160007670.64860946</v>
      </c>
      <c r="K95" s="558">
        <f>'Progetto del paramento slu'!$G$60*(sezione!$AL$27-C95)/C95</f>
        <v>4.163703703703712E-3</v>
      </c>
      <c r="L95" s="558">
        <f>'Progetto del paramento slu'!$G$60*(sezione!$AM$27-C95)/C95</f>
        <v>2.5238888888888922E-2</v>
      </c>
      <c r="M95" s="559">
        <f>'Progetto del paramento slu'!$G$60*(sezione!$AN$27-C95)/C95</f>
        <v>4.6314074074074132E-2</v>
      </c>
      <c r="N95" s="559">
        <f>'Progetto del paramento slu'!$G$60*(sezione!$AO$27-C95)/C95</f>
        <v>6.1641481481481547E-2</v>
      </c>
      <c r="O95" s="559">
        <f>'Progetto del paramento slu'!$G$60*(sezione!$AP$27-C95)/C95</f>
        <v>4.6314074074074132E-2</v>
      </c>
      <c r="P95" s="553">
        <f>-'Progetto del paramento slu'!$G$47*'Progetto del paramento slu'!$G$41*IF(DATI!$G$218="dx",DATI!$E$61,DATI!$E$64*DATI!$E$63)*1000*C95*sezione!$AD$5</f>
        <v>-257502.72665764519</v>
      </c>
      <c r="Q95" s="553">
        <f>'Foglio deposito bis'!$F$48*IF(ABS(K95)&lt;'Progetto del paramento slu'!$G$58,ABS(K95)*'Progetto del paramento slu'!$G$54,'Progetto del paramento slu'!$G$53)*IF(K95&lt;0,-1,1)</f>
        <v>0</v>
      </c>
      <c r="R95" s="553">
        <f>'Foglio deposito bis'!$F$49*IF(ABS(L95)&lt;'Progetto del paramento slu'!$G$58,ABS(L95)*'Progetto del paramento slu'!$G$54,'Progetto del paramento slu'!$G$53)*IF(L95&lt;0,-1,1)</f>
        <v>204886.47740803001</v>
      </c>
      <c r="S95" s="553">
        <f>'Foglio deposito bis'!$F$50*IF(ABS(M95)&lt;'Progetto del paramento slu'!$G$58,ABS(M95)*'Progetto del paramento slu'!$G$54,'Progetto del paramento slu'!$G$53)*IF(M95&lt;0,-1,1)</f>
        <v>0</v>
      </c>
      <c r="T95" s="553">
        <f>'Foglio deposito bis'!$F$51*IF(ABS(N95)&lt;'Progetto del paramento slu'!$G$58,ABS(N95)*'Progetto del paramento slu'!$G$54,'Progetto del paramento slu'!$G$53)*IF(N95&lt;0,-1,1)</f>
        <v>240946.49743184328</v>
      </c>
      <c r="U95" s="553">
        <f>'Foglio deposito bis'!$F$52*IF(ABS(O95)&lt;'Progetto del paramento slu'!$G$58,ABS(O95)*'Progetto del paramento slu'!$G$54,'Progetto del paramento slu'!$G$53)*IF(O95&lt;0,-1,1)</f>
        <v>240946.49743184328</v>
      </c>
      <c r="V95" s="479">
        <f t="shared" si="10"/>
        <v>429276.74561407138</v>
      </c>
      <c r="W95" s="559"/>
      <c r="X95" s="559"/>
    </row>
    <row r="96" spans="1:24" x14ac:dyDescent="0.25">
      <c r="A96" s="553">
        <f t="shared" si="9"/>
        <v>426415.60420676426</v>
      </c>
      <c r="B96" s="3">
        <f t="shared" si="11"/>
        <v>4.5499999999999918</v>
      </c>
      <c r="C96" s="553">
        <f>'Foglio deposito bis'!$E$153/$B$247*B96</f>
        <v>18.470906630581847</v>
      </c>
      <c r="D96" s="611">
        <f>-'Progetto del paramento slu'!$G$47*'Progetto del paramento slu'!$G$41*IF(DATI!$G$218="dx",DATI!$E$61,DATI!$E$64*DATI!$E$63)*1000*C96^2*sezione!$AD$5*(1-sezione!$AD$6)</f>
        <v>-2808547.5110508422</v>
      </c>
      <c r="E96" s="553">
        <f>-'Foglio deposito bis'!$F$48*(C96-sezione!$AL$27)*IF(ABS(K96)&lt;'Progetto del paramento slu'!$G$58,ABS(K96)*'Progetto del paramento slu'!$G$54,'Progetto del paramento slu'!$G$53)</f>
        <v>0</v>
      </c>
      <c r="F96" s="553">
        <f>-'Foglio deposito bis'!$F$49*(C96-sezione!$AM$27)*IF(ABS(L96)&lt;'Progetto del paramento slu'!$G$58,ABS(L96)*'Progetto del paramento slu'!$G$54,'Progetto del paramento slu'!$G$53)</f>
        <v>26948532.61713196</v>
      </c>
      <c r="G96" s="553">
        <f>-'Foglio deposito bis'!$F$50*(C96-sezione!$AN$27)*IF(ABS(M96)&lt;'Progetto del paramento slu'!$G$58,ABS(M96)*'Progetto del paramento slu'!$G$54,'Progetto del paramento slu'!$G$53)</f>
        <v>0</v>
      </c>
      <c r="H96" s="553">
        <f>-'Foglio deposito bis'!$F$51*(C96-sezione!$AO$27)*IF(ABS(N96)&lt;'Progetto del paramento slu'!$G$58,ABS(N96)*'Progetto del paramento slu'!$G$54,'Progetto del paramento slu'!$G$53)</f>
        <v>77471308.869797409</v>
      </c>
      <c r="I96" s="479">
        <f>-'Foglio deposito bis'!$F$52*(C96-sezione!$AP$27)*IF(ABS(O96)&lt;'Progetto del paramento slu'!$G$58,ABS(O96)*'Progetto del paramento slu'!$G$54,'Progetto del paramento slu'!$G$53)</f>
        <v>58195589.07524994</v>
      </c>
      <c r="J96" s="479">
        <f t="shared" si="8"/>
        <v>159806883.05112845</v>
      </c>
      <c r="K96" s="558">
        <f>'Progetto del paramento slu'!$G$60*(sezione!$AL$27-C96)/C96</f>
        <v>4.0794871794871878E-3</v>
      </c>
      <c r="L96" s="558">
        <f>'Progetto del paramento slu'!$G$60*(sezione!$AM$27-C96)/C96</f>
        <v>2.4923076923076954E-2</v>
      </c>
      <c r="M96" s="559">
        <f>'Progetto del paramento slu'!$G$60*(sezione!$AN$27-C96)/C96</f>
        <v>4.5766666666666719E-2</v>
      </c>
      <c r="N96" s="559">
        <f>'Progetto del paramento slu'!$G$60*(sezione!$AO$27-C96)/C96</f>
        <v>6.0925641025641103E-2</v>
      </c>
      <c r="O96" s="559">
        <f>'Progetto del paramento slu'!$G$60*(sezione!$AP$27-C96)/C96</f>
        <v>4.5766666666666719E-2</v>
      </c>
      <c r="P96" s="553">
        <f>-'Progetto del paramento slu'!$G$47*'Progetto del paramento slu'!$G$41*IF(DATI!$G$218="dx",DATI!$E$61,DATI!$E$64*DATI!$E$63)*1000*C96*sezione!$AD$5</f>
        <v>-260363.86806495234</v>
      </c>
      <c r="Q96" s="553">
        <f>'Foglio deposito bis'!$F$48*IF(ABS(K96)&lt;'Progetto del paramento slu'!$G$58,ABS(K96)*'Progetto del paramento slu'!$G$54,'Progetto del paramento slu'!$G$53)*IF(K96&lt;0,-1,1)</f>
        <v>0</v>
      </c>
      <c r="R96" s="553">
        <f>'Foglio deposito bis'!$F$49*IF(ABS(L96)&lt;'Progetto del paramento slu'!$G$58,ABS(L96)*'Progetto del paramento slu'!$G$54,'Progetto del paramento slu'!$G$53)*IF(L96&lt;0,-1,1)</f>
        <v>204886.47740803001</v>
      </c>
      <c r="S96" s="553">
        <f>'Foglio deposito bis'!$F$50*IF(ABS(M96)&lt;'Progetto del paramento slu'!$G$58,ABS(M96)*'Progetto del paramento slu'!$G$54,'Progetto del paramento slu'!$G$53)*IF(M96&lt;0,-1,1)</f>
        <v>0</v>
      </c>
      <c r="T96" s="553">
        <f>'Foglio deposito bis'!$F$51*IF(ABS(N96)&lt;'Progetto del paramento slu'!$G$58,ABS(N96)*'Progetto del paramento slu'!$G$54,'Progetto del paramento slu'!$G$53)*IF(N96&lt;0,-1,1)</f>
        <v>240946.49743184328</v>
      </c>
      <c r="U96" s="553">
        <f>'Foglio deposito bis'!$F$52*IF(ABS(O96)&lt;'Progetto del paramento slu'!$G$58,ABS(O96)*'Progetto del paramento slu'!$G$54,'Progetto del paramento slu'!$G$53)*IF(O96&lt;0,-1,1)</f>
        <v>240946.49743184328</v>
      </c>
      <c r="V96" s="479">
        <f t="shared" si="10"/>
        <v>426415.60420676426</v>
      </c>
      <c r="W96" s="559"/>
      <c r="X96" s="559"/>
    </row>
    <row r="97" spans="1:24" x14ac:dyDescent="0.25">
      <c r="A97" s="553">
        <f t="shared" si="9"/>
        <v>423554.46279945702</v>
      </c>
      <c r="B97" s="3">
        <f t="shared" si="11"/>
        <v>4.5999999999999917</v>
      </c>
      <c r="C97" s="553">
        <f>'Foglio deposito bis'!$E$153/$B$247*B97</f>
        <v>18.673883626522308</v>
      </c>
      <c r="D97" s="611">
        <f>-'Progetto del paramento slu'!$G$47*'Progetto del paramento slu'!$G$41*IF(DATI!$G$218="dx",DATI!$E$61,DATI!$E$64*DATI!$E$63)*1000*C97^2*sezione!$AD$5*(1-sezione!$AD$6)</f>
        <v>-2870612.9855735209</v>
      </c>
      <c r="E97" s="553">
        <f>-'Foglio deposito bis'!$F$48*(C97-sezione!$AL$27)*IF(ABS(K97)&lt;'Progetto del paramento slu'!$G$58,ABS(K97)*'Progetto del paramento slu'!$G$54,'Progetto del paramento slu'!$G$53)</f>
        <v>0</v>
      </c>
      <c r="F97" s="553">
        <f>-'Foglio deposito bis'!$F$49*(C97-sezione!$AM$27)*IF(ABS(L97)&lt;'Progetto del paramento slu'!$G$58,ABS(L97)*'Progetto del paramento slu'!$G$54,'Progetto del paramento slu'!$G$53)</f>
        <v>26906945.375438862</v>
      </c>
      <c r="G97" s="553">
        <f>-'Foglio deposito bis'!$F$50*(C97-sezione!$AN$27)*IF(ABS(M97)&lt;'Progetto del paramento slu'!$G$58,ABS(M97)*'Progetto del paramento slu'!$G$54,'Progetto del paramento slu'!$G$53)</f>
        <v>0</v>
      </c>
      <c r="H97" s="553">
        <f>-'Foglio deposito bis'!$F$51*(C97-sezione!$AO$27)*IF(ABS(N97)&lt;'Progetto del paramento slu'!$G$58,ABS(N97)*'Progetto del paramento slu'!$G$54,'Progetto del paramento slu'!$G$53)</f>
        <v>77422402.273566321</v>
      </c>
      <c r="I97" s="479">
        <f>-'Foglio deposito bis'!$F$52*(C97-sezione!$AP$27)*IF(ABS(O97)&lt;'Progetto del paramento slu'!$G$58,ABS(O97)*'Progetto del paramento slu'!$G$54,'Progetto del paramento slu'!$G$53)</f>
        <v>58146682.479018852</v>
      </c>
      <c r="J97" s="479">
        <f t="shared" si="8"/>
        <v>159605417.14245051</v>
      </c>
      <c r="K97" s="558">
        <f>'Progetto del paramento slu'!$G$60*(sezione!$AL$27-C97)/C97</f>
        <v>3.9971014492753698E-3</v>
      </c>
      <c r="L97" s="558">
        <f>'Progetto del paramento slu'!$G$60*(sezione!$AM$27-C97)/C97</f>
        <v>2.4614130434782638E-2</v>
      </c>
      <c r="M97" s="559">
        <f>'Progetto del paramento slu'!$G$60*(sezione!$AN$27-C97)/C97</f>
        <v>4.5231159420289907E-2</v>
      </c>
      <c r="N97" s="559">
        <f>'Progetto del paramento slu'!$G$60*(sezione!$AO$27-C97)/C97</f>
        <v>6.0225362318840653E-2</v>
      </c>
      <c r="O97" s="559">
        <f>'Progetto del paramento slu'!$G$60*(sezione!$AP$27-C97)/C97</f>
        <v>4.5231159420289907E-2</v>
      </c>
      <c r="P97" s="553">
        <f>-'Progetto del paramento slu'!$G$47*'Progetto del paramento slu'!$G$41*IF(DATI!$G$218="dx",DATI!$E$61,DATI!$E$64*DATI!$E$63)*1000*C97*sezione!$AD$5</f>
        <v>-263225.00947225955</v>
      </c>
      <c r="Q97" s="553">
        <f>'Foglio deposito bis'!$F$48*IF(ABS(K97)&lt;'Progetto del paramento slu'!$G$58,ABS(K97)*'Progetto del paramento slu'!$G$54,'Progetto del paramento slu'!$G$53)*IF(K97&lt;0,-1,1)</f>
        <v>0</v>
      </c>
      <c r="R97" s="553">
        <f>'Foglio deposito bis'!$F$49*IF(ABS(L97)&lt;'Progetto del paramento slu'!$G$58,ABS(L97)*'Progetto del paramento slu'!$G$54,'Progetto del paramento slu'!$G$53)*IF(L97&lt;0,-1,1)</f>
        <v>204886.47740803001</v>
      </c>
      <c r="S97" s="553">
        <f>'Foglio deposito bis'!$F$50*IF(ABS(M97)&lt;'Progetto del paramento slu'!$G$58,ABS(M97)*'Progetto del paramento slu'!$G$54,'Progetto del paramento slu'!$G$53)*IF(M97&lt;0,-1,1)</f>
        <v>0</v>
      </c>
      <c r="T97" s="553">
        <f>'Foglio deposito bis'!$F$51*IF(ABS(N97)&lt;'Progetto del paramento slu'!$G$58,ABS(N97)*'Progetto del paramento slu'!$G$54,'Progetto del paramento slu'!$G$53)*IF(N97&lt;0,-1,1)</f>
        <v>240946.49743184328</v>
      </c>
      <c r="U97" s="553">
        <f>'Foglio deposito bis'!$F$52*IF(ABS(O97)&lt;'Progetto del paramento slu'!$G$58,ABS(O97)*'Progetto del paramento slu'!$G$54,'Progetto del paramento slu'!$G$53)*IF(O97&lt;0,-1,1)</f>
        <v>240946.49743184328</v>
      </c>
      <c r="V97" s="479">
        <f t="shared" si="10"/>
        <v>423554.46279945702</v>
      </c>
      <c r="W97" s="559"/>
      <c r="X97" s="559"/>
    </row>
    <row r="98" spans="1:24" x14ac:dyDescent="0.25">
      <c r="A98" s="553">
        <f t="shared" si="9"/>
        <v>420693.3213921499</v>
      </c>
      <c r="B98" s="3">
        <f t="shared" si="11"/>
        <v>4.6499999999999915</v>
      </c>
      <c r="C98" s="553">
        <f>'Foglio deposito bis'!$E$153/$B$247*B98</f>
        <v>18.876860622462768</v>
      </c>
      <c r="D98" s="611">
        <f>-'Progetto del paramento slu'!$G$47*'Progetto del paramento slu'!$G$41*IF(DATI!$G$218="dx",DATI!$E$61,DATI!$E$64*DATI!$E$63)*1000*C98^2*sezione!$AD$5*(1-sezione!$AD$6)</f>
        <v>-2933356.7712931694</v>
      </c>
      <c r="E98" s="553">
        <f>-'Foglio deposito bis'!$F$48*(C98-sezione!$AL$27)*IF(ABS(K98)&lt;'Progetto del paramento slu'!$G$58,ABS(K98)*'Progetto del paramento slu'!$G$54,'Progetto del paramento slu'!$G$53)</f>
        <v>0</v>
      </c>
      <c r="F98" s="553">
        <f>-'Foglio deposito bis'!$F$49*(C98-sezione!$AM$27)*IF(ABS(L98)&lt;'Progetto del paramento slu'!$G$58,ABS(L98)*'Progetto del paramento slu'!$G$54,'Progetto del paramento slu'!$G$53)</f>
        <v>26865358.133745749</v>
      </c>
      <c r="G98" s="553">
        <f>-'Foglio deposito bis'!$F$50*(C98-sezione!$AN$27)*IF(ABS(M98)&lt;'Progetto del paramento slu'!$G$58,ABS(M98)*'Progetto del paramento slu'!$G$54,'Progetto del paramento slu'!$G$53)</f>
        <v>0</v>
      </c>
      <c r="H98" s="553">
        <f>-'Foglio deposito bis'!$F$51*(C98-sezione!$AO$27)*IF(ABS(N98)&lt;'Progetto del paramento slu'!$G$58,ABS(N98)*'Progetto del paramento slu'!$G$54,'Progetto del paramento slu'!$G$53)</f>
        <v>77373495.677335232</v>
      </c>
      <c r="I98" s="479">
        <f>-'Foglio deposito bis'!$F$52*(C98-sezione!$AP$27)*IF(ABS(O98)&lt;'Progetto del paramento slu'!$G$58,ABS(O98)*'Progetto del paramento slu'!$G$54,'Progetto del paramento slu'!$G$53)</f>
        <v>58097775.882787757</v>
      </c>
      <c r="J98" s="479">
        <f t="shared" si="8"/>
        <v>159403272.92257556</v>
      </c>
      <c r="K98" s="558">
        <f>'Progetto del paramento slu'!$G$60*(sezione!$AL$27-C98)/C98</f>
        <v>3.9164874551971401E-3</v>
      </c>
      <c r="L98" s="558">
        <f>'Progetto del paramento slu'!$G$60*(sezione!$AM$27-C98)/C98</f>
        <v>2.4311827956989277E-2</v>
      </c>
      <c r="M98" s="559">
        <f>'Progetto del paramento slu'!$G$60*(sezione!$AN$27-C98)/C98</f>
        <v>4.4707168458781414E-2</v>
      </c>
      <c r="N98" s="559">
        <f>'Progetto del paramento slu'!$G$60*(sezione!$AO$27-C98)/C98</f>
        <v>5.9540143369175694E-2</v>
      </c>
      <c r="O98" s="559">
        <f>'Progetto del paramento slu'!$G$60*(sezione!$AP$27-C98)/C98</f>
        <v>4.4707168458781414E-2</v>
      </c>
      <c r="P98" s="553">
        <f>-'Progetto del paramento slu'!$G$47*'Progetto del paramento slu'!$G$41*IF(DATI!$G$218="dx",DATI!$E$61,DATI!$E$64*DATI!$E$63)*1000*C98*sezione!$AD$5</f>
        <v>-266086.15087956667</v>
      </c>
      <c r="Q98" s="553">
        <f>'Foglio deposito bis'!$F$48*IF(ABS(K98)&lt;'Progetto del paramento slu'!$G$58,ABS(K98)*'Progetto del paramento slu'!$G$54,'Progetto del paramento slu'!$G$53)*IF(K98&lt;0,-1,1)</f>
        <v>0</v>
      </c>
      <c r="R98" s="553">
        <f>'Foglio deposito bis'!$F$49*IF(ABS(L98)&lt;'Progetto del paramento slu'!$G$58,ABS(L98)*'Progetto del paramento slu'!$G$54,'Progetto del paramento slu'!$G$53)*IF(L98&lt;0,-1,1)</f>
        <v>204886.47740803001</v>
      </c>
      <c r="S98" s="553">
        <f>'Foglio deposito bis'!$F$50*IF(ABS(M98)&lt;'Progetto del paramento slu'!$G$58,ABS(M98)*'Progetto del paramento slu'!$G$54,'Progetto del paramento slu'!$G$53)*IF(M98&lt;0,-1,1)</f>
        <v>0</v>
      </c>
      <c r="T98" s="553">
        <f>'Foglio deposito bis'!$F$51*IF(ABS(N98)&lt;'Progetto del paramento slu'!$G$58,ABS(N98)*'Progetto del paramento slu'!$G$54,'Progetto del paramento slu'!$G$53)*IF(N98&lt;0,-1,1)</f>
        <v>240946.49743184328</v>
      </c>
      <c r="U98" s="553">
        <f>'Foglio deposito bis'!$F$52*IF(ABS(O98)&lt;'Progetto del paramento slu'!$G$58,ABS(O98)*'Progetto del paramento slu'!$G$54,'Progetto del paramento slu'!$G$53)*IF(O98&lt;0,-1,1)</f>
        <v>240946.49743184328</v>
      </c>
      <c r="V98" s="479">
        <f t="shared" si="10"/>
        <v>420693.3213921499</v>
      </c>
      <c r="W98" s="559"/>
      <c r="X98" s="559"/>
    </row>
    <row r="99" spans="1:24" x14ac:dyDescent="0.25">
      <c r="A99" s="553">
        <f t="shared" si="9"/>
        <v>417832.17998484266</v>
      </c>
      <c r="B99" s="3">
        <f t="shared" si="11"/>
        <v>4.6999999999999913</v>
      </c>
      <c r="C99" s="553">
        <f>'Foglio deposito bis'!$E$153/$B$247*B99</f>
        <v>19.079837618403229</v>
      </c>
      <c r="D99" s="611">
        <f>-'Progetto del paramento slu'!$G$47*'Progetto del paramento slu'!$G$41*IF(DATI!$G$218="dx",DATI!$E$61,DATI!$E$64*DATI!$E$63)*1000*C99^2*sezione!$AD$5*(1-sezione!$AD$6)</f>
        <v>-2996778.8682097872</v>
      </c>
      <c r="E99" s="553">
        <f>-'Foglio deposito bis'!$F$48*(C99-sezione!$AL$27)*IF(ABS(K99)&lt;'Progetto del paramento slu'!$G$58,ABS(K99)*'Progetto del paramento slu'!$G$54,'Progetto del paramento slu'!$G$53)</f>
        <v>0</v>
      </c>
      <c r="F99" s="553">
        <f>-'Foglio deposito bis'!$F$49*(C99-sezione!$AM$27)*IF(ABS(L99)&lt;'Progetto del paramento slu'!$G$58,ABS(L99)*'Progetto del paramento slu'!$G$54,'Progetto del paramento slu'!$G$53)</f>
        <v>26823770.89205265</v>
      </c>
      <c r="G99" s="553">
        <f>-'Foglio deposito bis'!$F$50*(C99-sezione!$AN$27)*IF(ABS(M99)&lt;'Progetto del paramento slu'!$G$58,ABS(M99)*'Progetto del paramento slu'!$G$54,'Progetto del paramento slu'!$G$53)</f>
        <v>0</v>
      </c>
      <c r="H99" s="553">
        <f>-'Foglio deposito bis'!$F$51*(C99-sezione!$AO$27)*IF(ABS(N99)&lt;'Progetto del paramento slu'!$G$58,ABS(N99)*'Progetto del paramento slu'!$G$54,'Progetto del paramento slu'!$G$53)</f>
        <v>77324589.08110413</v>
      </c>
      <c r="I99" s="479">
        <f>-'Foglio deposito bis'!$F$52*(C99-sezione!$AP$27)*IF(ABS(O99)&lt;'Progetto del paramento slu'!$G$58,ABS(O99)*'Progetto del paramento slu'!$G$54,'Progetto del paramento slu'!$G$53)</f>
        <v>58048869.286556669</v>
      </c>
      <c r="J99" s="479">
        <f t="shared" si="8"/>
        <v>159200450.39150366</v>
      </c>
      <c r="K99" s="558">
        <f>'Progetto del paramento slu'!$G$60*(sezione!$AL$27-C99)/C99</f>
        <v>3.8375886524822764E-3</v>
      </c>
      <c r="L99" s="558">
        <f>'Progetto del paramento slu'!$G$60*(sezione!$AM$27-C99)/C99</f>
        <v>2.4015957446808543E-2</v>
      </c>
      <c r="M99" s="559">
        <f>'Progetto del paramento slu'!$G$60*(sezione!$AN$27-C99)/C99</f>
        <v>4.4194326241134806E-2</v>
      </c>
      <c r="N99" s="559">
        <f>'Progetto del paramento slu'!$G$60*(sezione!$AO$27-C99)/C99</f>
        <v>5.886950354609935E-2</v>
      </c>
      <c r="O99" s="559">
        <f>'Progetto del paramento slu'!$G$60*(sezione!$AP$27-C99)/C99</f>
        <v>4.4194326241134806E-2</v>
      </c>
      <c r="P99" s="553">
        <f>-'Progetto del paramento slu'!$G$47*'Progetto del paramento slu'!$G$41*IF(DATI!$G$218="dx",DATI!$E$61,DATI!$E$64*DATI!$E$63)*1000*C99*sezione!$AD$5</f>
        <v>-268947.29228687391</v>
      </c>
      <c r="Q99" s="553">
        <f>'Foglio deposito bis'!$F$48*IF(ABS(K99)&lt;'Progetto del paramento slu'!$G$58,ABS(K99)*'Progetto del paramento slu'!$G$54,'Progetto del paramento slu'!$G$53)*IF(K99&lt;0,-1,1)</f>
        <v>0</v>
      </c>
      <c r="R99" s="553">
        <f>'Foglio deposito bis'!$F$49*IF(ABS(L99)&lt;'Progetto del paramento slu'!$G$58,ABS(L99)*'Progetto del paramento slu'!$G$54,'Progetto del paramento slu'!$G$53)*IF(L99&lt;0,-1,1)</f>
        <v>204886.47740803001</v>
      </c>
      <c r="S99" s="553">
        <f>'Foglio deposito bis'!$F$50*IF(ABS(M99)&lt;'Progetto del paramento slu'!$G$58,ABS(M99)*'Progetto del paramento slu'!$G$54,'Progetto del paramento slu'!$G$53)*IF(M99&lt;0,-1,1)</f>
        <v>0</v>
      </c>
      <c r="T99" s="553">
        <f>'Foglio deposito bis'!$F$51*IF(ABS(N99)&lt;'Progetto del paramento slu'!$G$58,ABS(N99)*'Progetto del paramento slu'!$G$54,'Progetto del paramento slu'!$G$53)*IF(N99&lt;0,-1,1)</f>
        <v>240946.49743184328</v>
      </c>
      <c r="U99" s="553">
        <f>'Foglio deposito bis'!$F$52*IF(ABS(O99)&lt;'Progetto del paramento slu'!$G$58,ABS(O99)*'Progetto del paramento slu'!$G$54,'Progetto del paramento slu'!$G$53)*IF(O99&lt;0,-1,1)</f>
        <v>240946.49743184328</v>
      </c>
      <c r="V99" s="479">
        <f t="shared" si="10"/>
        <v>417832.17998484266</v>
      </c>
      <c r="W99" s="559"/>
      <c r="X99" s="559"/>
    </row>
    <row r="100" spans="1:24" x14ac:dyDescent="0.25">
      <c r="A100" s="553">
        <f t="shared" si="9"/>
        <v>414971.03857753554</v>
      </c>
      <c r="B100" s="3">
        <f t="shared" si="11"/>
        <v>4.7499999999999911</v>
      </c>
      <c r="C100" s="553">
        <f>'Foglio deposito bis'!$E$153/$B$247*B100</f>
        <v>19.282814614343685</v>
      </c>
      <c r="D100" s="611">
        <f>-'Progetto del paramento slu'!$G$47*'Progetto del paramento slu'!$G$41*IF(DATI!$G$218="dx",DATI!$E$61,DATI!$E$64*DATI!$E$63)*1000*C100^2*sezione!$AD$5*(1-sezione!$AD$6)</f>
        <v>-3060879.276323372</v>
      </c>
      <c r="E100" s="553">
        <f>-'Foglio deposito bis'!$F$48*(C100-sezione!$AL$27)*IF(ABS(K100)&lt;'Progetto del paramento slu'!$G$58,ABS(K100)*'Progetto del paramento slu'!$G$54,'Progetto del paramento slu'!$G$53)</f>
        <v>0</v>
      </c>
      <c r="F100" s="553">
        <f>-'Foglio deposito bis'!$F$49*(C100-sezione!$AM$27)*IF(ABS(L100)&lt;'Progetto del paramento slu'!$G$58,ABS(L100)*'Progetto del paramento slu'!$G$54,'Progetto del paramento slu'!$G$53)</f>
        <v>26782183.650359541</v>
      </c>
      <c r="G100" s="553">
        <f>-'Foglio deposito bis'!$F$50*(C100-sezione!$AN$27)*IF(ABS(M100)&lt;'Progetto del paramento slu'!$G$58,ABS(M100)*'Progetto del paramento slu'!$G$54,'Progetto del paramento slu'!$G$53)</f>
        <v>0</v>
      </c>
      <c r="H100" s="553">
        <f>-'Foglio deposito bis'!$F$51*(C100-sezione!$AO$27)*IF(ABS(N100)&lt;'Progetto del paramento slu'!$G$58,ABS(N100)*'Progetto del paramento slu'!$G$54,'Progetto del paramento slu'!$G$53)</f>
        <v>77275682.484873042</v>
      </c>
      <c r="I100" s="479">
        <f>-'Foglio deposito bis'!$F$52*(C100-sezione!$AP$27)*IF(ABS(O100)&lt;'Progetto del paramento slu'!$G$58,ABS(O100)*'Progetto del paramento slu'!$G$54,'Progetto del paramento slu'!$G$53)</f>
        <v>57999962.690325581</v>
      </c>
      <c r="J100" s="479">
        <f t="shared" si="8"/>
        <v>158996949.54923481</v>
      </c>
      <c r="K100" s="558">
        <f>'Progetto del paramento slu'!$G$60*(sezione!$AL$27-C100)/C100</f>
        <v>3.760350877192991E-3</v>
      </c>
      <c r="L100" s="558">
        <f>'Progetto del paramento slu'!$G$60*(sezione!$AM$27-C100)/C100</f>
        <v>2.3726315789473713E-2</v>
      </c>
      <c r="M100" s="559">
        <f>'Progetto del paramento slu'!$G$60*(sezione!$AN$27-C100)/C100</f>
        <v>4.3692280701754439E-2</v>
      </c>
      <c r="N100" s="559">
        <f>'Progetto del paramento slu'!$G$60*(sezione!$AO$27-C100)/C100</f>
        <v>5.821298245614042E-2</v>
      </c>
      <c r="O100" s="559">
        <f>'Progetto del paramento slu'!$G$60*(sezione!$AP$27-C100)/C100</f>
        <v>4.3692280701754439E-2</v>
      </c>
      <c r="P100" s="553">
        <f>-'Progetto del paramento slu'!$G$47*'Progetto del paramento slu'!$G$41*IF(DATI!$G$218="dx",DATI!$E$61,DATI!$E$64*DATI!$E$63)*1000*C100*sezione!$AD$5</f>
        <v>-271808.43369418103</v>
      </c>
      <c r="Q100" s="553">
        <f>'Foglio deposito bis'!$F$48*IF(ABS(K100)&lt;'Progetto del paramento slu'!$G$58,ABS(K100)*'Progetto del paramento slu'!$G$54,'Progetto del paramento slu'!$G$53)*IF(K100&lt;0,-1,1)</f>
        <v>0</v>
      </c>
      <c r="R100" s="553">
        <f>'Foglio deposito bis'!$F$49*IF(ABS(L100)&lt;'Progetto del paramento slu'!$G$58,ABS(L100)*'Progetto del paramento slu'!$G$54,'Progetto del paramento slu'!$G$53)*IF(L100&lt;0,-1,1)</f>
        <v>204886.47740803001</v>
      </c>
      <c r="S100" s="553">
        <f>'Foglio deposito bis'!$F$50*IF(ABS(M100)&lt;'Progetto del paramento slu'!$G$58,ABS(M100)*'Progetto del paramento slu'!$G$54,'Progetto del paramento slu'!$G$53)*IF(M100&lt;0,-1,1)</f>
        <v>0</v>
      </c>
      <c r="T100" s="553">
        <f>'Foglio deposito bis'!$F$51*IF(ABS(N100)&lt;'Progetto del paramento slu'!$G$58,ABS(N100)*'Progetto del paramento slu'!$G$54,'Progetto del paramento slu'!$G$53)*IF(N100&lt;0,-1,1)</f>
        <v>240946.49743184328</v>
      </c>
      <c r="U100" s="553">
        <f>'Foglio deposito bis'!$F$52*IF(ABS(O100)&lt;'Progetto del paramento slu'!$G$58,ABS(O100)*'Progetto del paramento slu'!$G$54,'Progetto del paramento slu'!$G$53)*IF(O100&lt;0,-1,1)</f>
        <v>240946.49743184328</v>
      </c>
      <c r="V100" s="479">
        <f t="shared" si="10"/>
        <v>414971.03857753554</v>
      </c>
      <c r="W100" s="559"/>
      <c r="X100" s="559"/>
    </row>
    <row r="101" spans="1:24" x14ac:dyDescent="0.25">
      <c r="A101" s="553">
        <f t="shared" si="9"/>
        <v>412109.89717022842</v>
      </c>
      <c r="B101" s="3">
        <f t="shared" si="11"/>
        <v>4.7999999999999909</v>
      </c>
      <c r="C101" s="553">
        <f>'Foglio deposito bis'!$E$153/$B$247*B101</f>
        <v>19.485791610284146</v>
      </c>
      <c r="D101" s="611">
        <f>-'Progetto del paramento slu'!$G$47*'Progetto del paramento slu'!$G$41*IF(DATI!$G$218="dx",DATI!$E$61,DATI!$E$64*DATI!$E$63)*1000*C101^2*sezione!$AD$5*(1-sezione!$AD$6)</f>
        <v>-3125657.9956339276</v>
      </c>
      <c r="E101" s="553">
        <f>-'Foglio deposito bis'!$F$48*(C101-sezione!$AL$27)*IF(ABS(K101)&lt;'Progetto del paramento slu'!$G$58,ABS(K101)*'Progetto del paramento slu'!$G$54,'Progetto del paramento slu'!$G$53)</f>
        <v>0</v>
      </c>
      <c r="F101" s="553">
        <f>-'Foglio deposito bis'!$F$49*(C101-sezione!$AM$27)*IF(ABS(L101)&lt;'Progetto del paramento slu'!$G$58,ABS(L101)*'Progetto del paramento slu'!$G$54,'Progetto del paramento slu'!$G$53)</f>
        <v>26740596.408666439</v>
      </c>
      <c r="G101" s="553">
        <f>-'Foglio deposito bis'!$F$50*(C101-sezione!$AN$27)*IF(ABS(M101)&lt;'Progetto del paramento slu'!$G$58,ABS(M101)*'Progetto del paramento slu'!$G$54,'Progetto del paramento slu'!$G$53)</f>
        <v>0</v>
      </c>
      <c r="H101" s="553">
        <f>-'Foglio deposito bis'!$F$51*(C101-sezione!$AO$27)*IF(ABS(N101)&lt;'Progetto del paramento slu'!$G$58,ABS(N101)*'Progetto del paramento slu'!$G$54,'Progetto del paramento slu'!$G$53)</f>
        <v>77226775.888641953</v>
      </c>
      <c r="I101" s="479">
        <f>-'Foglio deposito bis'!$F$52*(C101-sezione!$AP$27)*IF(ABS(O101)&lt;'Progetto del paramento slu'!$G$58,ABS(O101)*'Progetto del paramento slu'!$G$54,'Progetto del paramento slu'!$G$53)</f>
        <v>57951056.094094492</v>
      </c>
      <c r="J101" s="479">
        <f t="shared" si="8"/>
        <v>158792770.39576897</v>
      </c>
      <c r="K101" s="558">
        <f>'Progetto del paramento slu'!$G$60*(sezione!$AL$27-C101)/C101</f>
        <v>3.6847222222222303E-3</v>
      </c>
      <c r="L101" s="558">
        <f>'Progetto del paramento slu'!$G$60*(sezione!$AM$27-C101)/C101</f>
        <v>2.3442708333333367E-2</v>
      </c>
      <c r="M101" s="559">
        <f>'Progetto del paramento slu'!$G$60*(sezione!$AN$27-C101)/C101</f>
        <v>4.32006944444445E-2</v>
      </c>
      <c r="N101" s="559">
        <f>'Progetto del paramento slu'!$G$60*(sezione!$AO$27-C101)/C101</f>
        <v>5.7570138888888962E-2</v>
      </c>
      <c r="O101" s="559">
        <f>'Progetto del paramento slu'!$G$60*(sezione!$AP$27-C101)/C101</f>
        <v>4.32006944444445E-2</v>
      </c>
      <c r="P101" s="553">
        <f>-'Progetto del paramento slu'!$G$47*'Progetto del paramento slu'!$G$41*IF(DATI!$G$218="dx",DATI!$E$61,DATI!$E$64*DATI!$E$63)*1000*C101*sezione!$AD$5</f>
        <v>-274669.57510148815</v>
      </c>
      <c r="Q101" s="553">
        <f>'Foglio deposito bis'!$F$48*IF(ABS(K101)&lt;'Progetto del paramento slu'!$G$58,ABS(K101)*'Progetto del paramento slu'!$G$54,'Progetto del paramento slu'!$G$53)*IF(K101&lt;0,-1,1)</f>
        <v>0</v>
      </c>
      <c r="R101" s="553">
        <f>'Foglio deposito bis'!$F$49*IF(ABS(L101)&lt;'Progetto del paramento slu'!$G$58,ABS(L101)*'Progetto del paramento slu'!$G$54,'Progetto del paramento slu'!$G$53)*IF(L101&lt;0,-1,1)</f>
        <v>204886.47740803001</v>
      </c>
      <c r="S101" s="553">
        <f>'Foglio deposito bis'!$F$50*IF(ABS(M101)&lt;'Progetto del paramento slu'!$G$58,ABS(M101)*'Progetto del paramento slu'!$G$54,'Progetto del paramento slu'!$G$53)*IF(M101&lt;0,-1,1)</f>
        <v>0</v>
      </c>
      <c r="T101" s="553">
        <f>'Foglio deposito bis'!$F$51*IF(ABS(N101)&lt;'Progetto del paramento slu'!$G$58,ABS(N101)*'Progetto del paramento slu'!$G$54,'Progetto del paramento slu'!$G$53)*IF(N101&lt;0,-1,1)</f>
        <v>240946.49743184328</v>
      </c>
      <c r="U101" s="553">
        <f>'Foglio deposito bis'!$F$52*IF(ABS(O101)&lt;'Progetto del paramento slu'!$G$58,ABS(O101)*'Progetto del paramento slu'!$G$54,'Progetto del paramento slu'!$G$53)*IF(O101&lt;0,-1,1)</f>
        <v>240946.49743184328</v>
      </c>
      <c r="V101" s="479">
        <f t="shared" si="10"/>
        <v>412109.89717022842</v>
      </c>
      <c r="W101" s="559"/>
      <c r="X101" s="559"/>
    </row>
    <row r="102" spans="1:24" x14ac:dyDescent="0.25">
      <c r="A102" s="553">
        <f t="shared" si="9"/>
        <v>409248.75576292118</v>
      </c>
      <c r="B102" s="3">
        <f t="shared" si="11"/>
        <v>4.8499999999999908</v>
      </c>
      <c r="C102" s="553">
        <f>'Foglio deposito bis'!$E$153/$B$247*B102</f>
        <v>19.688768606224606</v>
      </c>
      <c r="D102" s="611">
        <f>-'Progetto del paramento slu'!$G$47*'Progetto del paramento slu'!$G$41*IF(DATI!$G$218="dx",DATI!$E$61,DATI!$E$64*DATI!$E$63)*1000*C102^2*sezione!$AD$5*(1-sezione!$AD$6)</f>
        <v>-3191115.0261414531</v>
      </c>
      <c r="E102" s="553">
        <f>-'Foglio deposito bis'!$F$48*(C102-sezione!$AL$27)*IF(ABS(K102)&lt;'Progetto del paramento slu'!$G$58,ABS(K102)*'Progetto del paramento slu'!$G$54,'Progetto del paramento slu'!$G$53)</f>
        <v>0</v>
      </c>
      <c r="F102" s="553">
        <f>-'Foglio deposito bis'!$F$49*(C102-sezione!$AM$27)*IF(ABS(L102)&lt;'Progetto del paramento slu'!$G$58,ABS(L102)*'Progetto del paramento slu'!$G$54,'Progetto del paramento slu'!$G$53)</f>
        <v>26699009.16697333</v>
      </c>
      <c r="G102" s="553">
        <f>-'Foglio deposito bis'!$F$50*(C102-sezione!$AN$27)*IF(ABS(M102)&lt;'Progetto del paramento slu'!$G$58,ABS(M102)*'Progetto del paramento slu'!$G$54,'Progetto del paramento slu'!$G$53)</f>
        <v>0</v>
      </c>
      <c r="H102" s="553">
        <f>-'Foglio deposito bis'!$F$51*(C102-sezione!$AO$27)*IF(ABS(N102)&lt;'Progetto del paramento slu'!$G$58,ABS(N102)*'Progetto del paramento slu'!$G$54,'Progetto del paramento slu'!$G$53)</f>
        <v>77177869.292410865</v>
      </c>
      <c r="I102" s="479">
        <f>-'Foglio deposito bis'!$F$52*(C102-sezione!$AP$27)*IF(ABS(O102)&lt;'Progetto del paramento slu'!$G$58,ABS(O102)*'Progetto del paramento slu'!$G$54,'Progetto del paramento slu'!$G$53)</f>
        <v>57902149.497863397</v>
      </c>
      <c r="J102" s="479">
        <f t="shared" si="8"/>
        <v>158587912.93110615</v>
      </c>
      <c r="K102" s="558">
        <f>'Progetto del paramento slu'!$G$60*(sezione!$AL$27-C102)/C102</f>
        <v>3.6106529209622073E-3</v>
      </c>
      <c r="L102" s="558">
        <f>'Progetto del paramento slu'!$G$60*(sezione!$AM$27-C102)/C102</f>
        <v>2.3164948453608277E-2</v>
      </c>
      <c r="M102" s="559">
        <f>'Progetto del paramento slu'!$G$60*(sezione!$AN$27-C102)/C102</f>
        <v>4.2719243986254346E-2</v>
      </c>
      <c r="N102" s="559">
        <f>'Progetto del paramento slu'!$G$60*(sezione!$AO$27-C102)/C102</f>
        <v>5.6940549828178769E-2</v>
      </c>
      <c r="O102" s="559">
        <f>'Progetto del paramento slu'!$G$60*(sezione!$AP$27-C102)/C102</f>
        <v>4.2719243986254346E-2</v>
      </c>
      <c r="P102" s="553">
        <f>-'Progetto del paramento slu'!$G$47*'Progetto del paramento slu'!$G$41*IF(DATI!$G$218="dx",DATI!$E$61,DATI!$E$64*DATI!$E$63)*1000*C102*sezione!$AD$5</f>
        <v>-277530.71650879539</v>
      </c>
      <c r="Q102" s="553">
        <f>'Foglio deposito bis'!$F$48*IF(ABS(K102)&lt;'Progetto del paramento slu'!$G$58,ABS(K102)*'Progetto del paramento slu'!$G$54,'Progetto del paramento slu'!$G$53)*IF(K102&lt;0,-1,1)</f>
        <v>0</v>
      </c>
      <c r="R102" s="553">
        <f>'Foglio deposito bis'!$F$49*IF(ABS(L102)&lt;'Progetto del paramento slu'!$G$58,ABS(L102)*'Progetto del paramento slu'!$G$54,'Progetto del paramento slu'!$G$53)*IF(L102&lt;0,-1,1)</f>
        <v>204886.47740803001</v>
      </c>
      <c r="S102" s="553">
        <f>'Foglio deposito bis'!$F$50*IF(ABS(M102)&lt;'Progetto del paramento slu'!$G$58,ABS(M102)*'Progetto del paramento slu'!$G$54,'Progetto del paramento slu'!$G$53)*IF(M102&lt;0,-1,1)</f>
        <v>0</v>
      </c>
      <c r="T102" s="553">
        <f>'Foglio deposito bis'!$F$51*IF(ABS(N102)&lt;'Progetto del paramento slu'!$G$58,ABS(N102)*'Progetto del paramento slu'!$G$54,'Progetto del paramento slu'!$G$53)*IF(N102&lt;0,-1,1)</f>
        <v>240946.49743184328</v>
      </c>
      <c r="U102" s="553">
        <f>'Foglio deposito bis'!$F$52*IF(ABS(O102)&lt;'Progetto del paramento slu'!$G$58,ABS(O102)*'Progetto del paramento slu'!$G$54,'Progetto del paramento slu'!$G$53)*IF(O102&lt;0,-1,1)</f>
        <v>240946.49743184328</v>
      </c>
      <c r="V102" s="479">
        <f t="shared" si="10"/>
        <v>409248.75576292118</v>
      </c>
      <c r="W102" s="559"/>
      <c r="X102" s="559"/>
    </row>
    <row r="103" spans="1:24" x14ac:dyDescent="0.25">
      <c r="A103" s="553">
        <f t="shared" si="9"/>
        <v>406387.61435561406</v>
      </c>
      <c r="B103" s="3">
        <f t="shared" si="11"/>
        <v>4.8999999999999906</v>
      </c>
      <c r="C103" s="553">
        <f>'Foglio deposito bis'!$E$153/$B$247*B103</f>
        <v>19.891745602165066</v>
      </c>
      <c r="D103" s="611">
        <f>-'Progetto del paramento slu'!$G$47*'Progetto del paramento slu'!$G$41*IF(DATI!$G$218="dx",DATI!$E$61,DATI!$E$64*DATI!$E$63)*1000*C103^2*sezione!$AD$5*(1-sezione!$AD$6)</f>
        <v>-3257250.3678459474</v>
      </c>
      <c r="E103" s="553">
        <f>-'Foglio deposito bis'!$F$48*(C103-sezione!$AL$27)*IF(ABS(K103)&lt;'Progetto del paramento slu'!$G$58,ABS(K103)*'Progetto del paramento slu'!$G$54,'Progetto del paramento slu'!$G$53)</f>
        <v>0</v>
      </c>
      <c r="F103" s="553">
        <f>-'Foglio deposito bis'!$F$49*(C103-sezione!$AM$27)*IF(ABS(L103)&lt;'Progetto del paramento slu'!$G$58,ABS(L103)*'Progetto del paramento slu'!$G$54,'Progetto del paramento slu'!$G$53)</f>
        <v>26657421.925280228</v>
      </c>
      <c r="G103" s="553">
        <f>-'Foglio deposito bis'!$F$50*(C103-sezione!$AN$27)*IF(ABS(M103)&lt;'Progetto del paramento slu'!$G$58,ABS(M103)*'Progetto del paramento slu'!$G$54,'Progetto del paramento slu'!$G$53)</f>
        <v>0</v>
      </c>
      <c r="H103" s="553">
        <f>-'Foglio deposito bis'!$F$51*(C103-sezione!$AO$27)*IF(ABS(N103)&lt;'Progetto del paramento slu'!$G$58,ABS(N103)*'Progetto del paramento slu'!$G$54,'Progetto del paramento slu'!$G$53)</f>
        <v>77128962.696179762</v>
      </c>
      <c r="I103" s="479">
        <f>-'Foglio deposito bis'!$F$52*(C103-sezione!$AP$27)*IF(ABS(O103)&lt;'Progetto del paramento slu'!$G$58,ABS(O103)*'Progetto del paramento slu'!$G$54,'Progetto del paramento slu'!$G$53)</f>
        <v>57853242.901632309</v>
      </c>
      <c r="J103" s="479">
        <f t="shared" si="8"/>
        <v>158382377.15524635</v>
      </c>
      <c r="K103" s="558">
        <f>'Progetto del paramento slu'!$G$60*(sezione!$AL$27-C103)/C103</f>
        <v>3.538095238095246E-3</v>
      </c>
      <c r="L103" s="558">
        <f>'Progetto del paramento slu'!$G$60*(sezione!$AM$27-C103)/C103</f>
        <v>2.2892857142857173E-2</v>
      </c>
      <c r="M103" s="559">
        <f>'Progetto del paramento slu'!$G$60*(sezione!$AN$27-C103)/C103</f>
        <v>4.2247619047619096E-2</v>
      </c>
      <c r="N103" s="559">
        <f>'Progetto del paramento slu'!$G$60*(sezione!$AO$27-C103)/C103</f>
        <v>5.6323809523809582E-2</v>
      </c>
      <c r="O103" s="559">
        <f>'Progetto del paramento slu'!$G$60*(sezione!$AP$27-C103)/C103</f>
        <v>4.2247619047619096E-2</v>
      </c>
      <c r="P103" s="553">
        <f>-'Progetto del paramento slu'!$G$47*'Progetto del paramento slu'!$G$41*IF(DATI!$G$218="dx",DATI!$E$61,DATI!$E$64*DATI!$E$63)*1000*C103*sezione!$AD$5</f>
        <v>-280391.85791610251</v>
      </c>
      <c r="Q103" s="553">
        <f>'Foglio deposito bis'!$F$48*IF(ABS(K103)&lt;'Progetto del paramento slu'!$G$58,ABS(K103)*'Progetto del paramento slu'!$G$54,'Progetto del paramento slu'!$G$53)*IF(K103&lt;0,-1,1)</f>
        <v>0</v>
      </c>
      <c r="R103" s="553">
        <f>'Foglio deposito bis'!$F$49*IF(ABS(L103)&lt;'Progetto del paramento slu'!$G$58,ABS(L103)*'Progetto del paramento slu'!$G$54,'Progetto del paramento slu'!$G$53)*IF(L103&lt;0,-1,1)</f>
        <v>204886.47740803001</v>
      </c>
      <c r="S103" s="553">
        <f>'Foglio deposito bis'!$F$50*IF(ABS(M103)&lt;'Progetto del paramento slu'!$G$58,ABS(M103)*'Progetto del paramento slu'!$G$54,'Progetto del paramento slu'!$G$53)*IF(M103&lt;0,-1,1)</f>
        <v>0</v>
      </c>
      <c r="T103" s="553">
        <f>'Foglio deposito bis'!$F$51*IF(ABS(N103)&lt;'Progetto del paramento slu'!$G$58,ABS(N103)*'Progetto del paramento slu'!$G$54,'Progetto del paramento slu'!$G$53)*IF(N103&lt;0,-1,1)</f>
        <v>240946.49743184328</v>
      </c>
      <c r="U103" s="553">
        <f>'Foglio deposito bis'!$F$52*IF(ABS(O103)&lt;'Progetto del paramento slu'!$G$58,ABS(O103)*'Progetto del paramento slu'!$G$54,'Progetto del paramento slu'!$G$53)*IF(O103&lt;0,-1,1)</f>
        <v>240946.49743184328</v>
      </c>
      <c r="V103" s="479">
        <f t="shared" si="10"/>
        <v>406387.61435561406</v>
      </c>
      <c r="W103" s="559"/>
      <c r="X103" s="559"/>
    </row>
    <row r="104" spans="1:24" x14ac:dyDescent="0.25">
      <c r="A104" s="553">
        <f t="shared" si="9"/>
        <v>403526.47294830694</v>
      </c>
      <c r="B104" s="3">
        <f t="shared" si="11"/>
        <v>4.9499999999999904</v>
      </c>
      <c r="C104" s="553">
        <f>'Foglio deposito bis'!$E$153/$B$247*B104</f>
        <v>20.094722598105523</v>
      </c>
      <c r="D104" s="611">
        <f>-'Progetto del paramento slu'!$G$47*'Progetto del paramento slu'!$G$41*IF(DATI!$G$218="dx",DATI!$E$61,DATI!$E$64*DATI!$E$63)*1000*C104^2*sezione!$AD$5*(1-sezione!$AD$6)</f>
        <v>-3324064.0207474087</v>
      </c>
      <c r="E104" s="553">
        <f>-'Foglio deposito bis'!$F$48*(C104-sezione!$AL$27)*IF(ABS(K104)&lt;'Progetto del paramento slu'!$G$58,ABS(K104)*'Progetto del paramento slu'!$G$54,'Progetto del paramento slu'!$G$53)</f>
        <v>0</v>
      </c>
      <c r="F104" s="553">
        <f>-'Foglio deposito bis'!$F$49*(C104-sezione!$AM$27)*IF(ABS(L104)&lt;'Progetto del paramento slu'!$G$58,ABS(L104)*'Progetto del paramento slu'!$G$54,'Progetto del paramento slu'!$G$53)</f>
        <v>26615834.683587119</v>
      </c>
      <c r="G104" s="553">
        <f>-'Foglio deposito bis'!$F$50*(C104-sezione!$AN$27)*IF(ABS(M104)&lt;'Progetto del paramento slu'!$G$58,ABS(M104)*'Progetto del paramento slu'!$G$54,'Progetto del paramento slu'!$G$53)</f>
        <v>0</v>
      </c>
      <c r="H104" s="553">
        <f>-'Foglio deposito bis'!$F$51*(C104-sezione!$AO$27)*IF(ABS(N104)&lt;'Progetto del paramento slu'!$G$58,ABS(N104)*'Progetto del paramento slu'!$G$54,'Progetto del paramento slu'!$G$53)</f>
        <v>77080056.099948674</v>
      </c>
      <c r="I104" s="479">
        <f>-'Foglio deposito bis'!$F$52*(C104-sezione!$AP$27)*IF(ABS(O104)&lt;'Progetto del paramento slu'!$G$58,ABS(O104)*'Progetto del paramento slu'!$G$54,'Progetto del paramento slu'!$G$53)</f>
        <v>57804336.305401213</v>
      </c>
      <c r="J104" s="479">
        <f t="shared" si="8"/>
        <v>158176163.06818959</v>
      </c>
      <c r="K104" s="558">
        <f>'Progetto del paramento slu'!$G$60*(sezione!$AL$27-C104)/C104</f>
        <v>3.4670033670033758E-3</v>
      </c>
      <c r="L104" s="558">
        <f>'Progetto del paramento slu'!$G$60*(sezione!$AM$27-C104)/C104</f>
        <v>2.2626262626262657E-2</v>
      </c>
      <c r="M104" s="559">
        <f>'Progetto del paramento slu'!$G$60*(sezione!$AN$27-C104)/C104</f>
        <v>4.178552188552194E-2</v>
      </c>
      <c r="N104" s="559">
        <f>'Progetto del paramento slu'!$G$60*(sezione!$AO$27-C104)/C104</f>
        <v>5.5719528619528697E-2</v>
      </c>
      <c r="O104" s="559">
        <f>'Progetto del paramento slu'!$G$60*(sezione!$AP$27-C104)/C104</f>
        <v>4.178552188552194E-2</v>
      </c>
      <c r="P104" s="553">
        <f>-'Progetto del paramento slu'!$G$47*'Progetto del paramento slu'!$G$41*IF(DATI!$G$218="dx",DATI!$E$61,DATI!$E$64*DATI!$E$63)*1000*C104*sezione!$AD$5</f>
        <v>-283252.99932340963</v>
      </c>
      <c r="Q104" s="553">
        <f>'Foglio deposito bis'!$F$48*IF(ABS(K104)&lt;'Progetto del paramento slu'!$G$58,ABS(K104)*'Progetto del paramento slu'!$G$54,'Progetto del paramento slu'!$G$53)*IF(K104&lt;0,-1,1)</f>
        <v>0</v>
      </c>
      <c r="R104" s="553">
        <f>'Foglio deposito bis'!$F$49*IF(ABS(L104)&lt;'Progetto del paramento slu'!$G$58,ABS(L104)*'Progetto del paramento slu'!$G$54,'Progetto del paramento slu'!$G$53)*IF(L104&lt;0,-1,1)</f>
        <v>204886.47740803001</v>
      </c>
      <c r="S104" s="553">
        <f>'Foglio deposito bis'!$F$50*IF(ABS(M104)&lt;'Progetto del paramento slu'!$G$58,ABS(M104)*'Progetto del paramento slu'!$G$54,'Progetto del paramento slu'!$G$53)*IF(M104&lt;0,-1,1)</f>
        <v>0</v>
      </c>
      <c r="T104" s="553">
        <f>'Foglio deposito bis'!$F$51*IF(ABS(N104)&lt;'Progetto del paramento slu'!$G$58,ABS(N104)*'Progetto del paramento slu'!$G$54,'Progetto del paramento slu'!$G$53)*IF(N104&lt;0,-1,1)</f>
        <v>240946.49743184328</v>
      </c>
      <c r="U104" s="553">
        <f>'Foglio deposito bis'!$F$52*IF(ABS(O104)&lt;'Progetto del paramento slu'!$G$58,ABS(O104)*'Progetto del paramento slu'!$G$54,'Progetto del paramento slu'!$G$53)*IF(O104&lt;0,-1,1)</f>
        <v>240946.49743184328</v>
      </c>
      <c r="V104" s="479">
        <f t="shared" si="10"/>
        <v>403526.47294830694</v>
      </c>
      <c r="W104" s="559"/>
      <c r="X104" s="559"/>
    </row>
    <row r="105" spans="1:24" x14ac:dyDescent="0.25">
      <c r="A105" s="553">
        <f t="shared" si="9"/>
        <v>400665.3315409997</v>
      </c>
      <c r="B105" s="3">
        <f t="shared" si="11"/>
        <v>4.9999999999999902</v>
      </c>
      <c r="C105" s="553">
        <f>'Foglio deposito bis'!$E$153/$B$247*B105</f>
        <v>20.297699594045984</v>
      </c>
      <c r="D105" s="611">
        <f>-'Progetto del paramento slu'!$G$47*'Progetto del paramento slu'!$G$41*IF(DATI!$G$218="dx",DATI!$E$61,DATI!$E$64*DATI!$E$63)*1000*C105^2*sezione!$AD$5*(1-sezione!$AD$6)</f>
        <v>-3391555.9848458418</v>
      </c>
      <c r="E105" s="553">
        <f>-'Foglio deposito bis'!$F$48*(C105-sezione!$AL$27)*IF(ABS(K105)&lt;'Progetto del paramento slu'!$G$58,ABS(K105)*'Progetto del paramento slu'!$G$54,'Progetto del paramento slu'!$G$53)</f>
        <v>0</v>
      </c>
      <c r="F105" s="553">
        <f>-'Foglio deposito bis'!$F$49*(C105-sezione!$AM$27)*IF(ABS(L105)&lt;'Progetto del paramento slu'!$G$58,ABS(L105)*'Progetto del paramento slu'!$G$54,'Progetto del paramento slu'!$G$53)</f>
        <v>26574247.441894021</v>
      </c>
      <c r="G105" s="553">
        <f>-'Foglio deposito bis'!$F$50*(C105-sezione!$AN$27)*IF(ABS(M105)&lt;'Progetto del paramento slu'!$G$58,ABS(M105)*'Progetto del paramento slu'!$G$54,'Progetto del paramento slu'!$G$53)</f>
        <v>0</v>
      </c>
      <c r="H105" s="553">
        <f>-'Foglio deposito bis'!$F$51*(C105-sezione!$AO$27)*IF(ABS(N105)&lt;'Progetto del paramento slu'!$G$58,ABS(N105)*'Progetto del paramento slu'!$G$54,'Progetto del paramento slu'!$G$53)</f>
        <v>77031149.503717586</v>
      </c>
      <c r="I105" s="479">
        <f>-'Foglio deposito bis'!$F$52*(C105-sezione!$AP$27)*IF(ABS(O105)&lt;'Progetto del paramento slu'!$G$58,ABS(O105)*'Progetto del paramento slu'!$G$54,'Progetto del paramento slu'!$G$53)</f>
        <v>57755429.709170125</v>
      </c>
      <c r="J105" s="479">
        <f t="shared" si="8"/>
        <v>157969270.66993588</v>
      </c>
      <c r="K105" s="558">
        <f>'Progetto del paramento slu'!$G$60*(sezione!$AL$27-C105)/C105</f>
        <v>3.397333333333342E-3</v>
      </c>
      <c r="L105" s="558">
        <f>'Progetto del paramento slu'!$G$60*(sezione!$AM$27-C105)/C105</f>
        <v>2.2365000000000031E-2</v>
      </c>
      <c r="M105" s="559">
        <f>'Progetto del paramento slu'!$G$60*(sezione!$AN$27-C105)/C105</f>
        <v>4.1332666666666726E-2</v>
      </c>
      <c r="N105" s="559">
        <f>'Progetto del paramento slu'!$G$60*(sezione!$AO$27-C105)/C105</f>
        <v>5.5127333333333403E-2</v>
      </c>
      <c r="O105" s="559">
        <f>'Progetto del paramento slu'!$G$60*(sezione!$AP$27-C105)/C105</f>
        <v>4.1332666666666726E-2</v>
      </c>
      <c r="P105" s="553">
        <f>-'Progetto del paramento slu'!$G$47*'Progetto del paramento slu'!$G$41*IF(DATI!$G$218="dx",DATI!$E$61,DATI!$E$64*DATI!$E$63)*1000*C105*sezione!$AD$5</f>
        <v>-286114.14073071687</v>
      </c>
      <c r="Q105" s="553">
        <f>'Foglio deposito bis'!$F$48*IF(ABS(K105)&lt;'Progetto del paramento slu'!$G$58,ABS(K105)*'Progetto del paramento slu'!$G$54,'Progetto del paramento slu'!$G$53)*IF(K105&lt;0,-1,1)</f>
        <v>0</v>
      </c>
      <c r="R105" s="553">
        <f>'Foglio deposito bis'!$F$49*IF(ABS(L105)&lt;'Progetto del paramento slu'!$G$58,ABS(L105)*'Progetto del paramento slu'!$G$54,'Progetto del paramento slu'!$G$53)*IF(L105&lt;0,-1,1)</f>
        <v>204886.47740803001</v>
      </c>
      <c r="S105" s="553">
        <f>'Foglio deposito bis'!$F$50*IF(ABS(M105)&lt;'Progetto del paramento slu'!$G$58,ABS(M105)*'Progetto del paramento slu'!$G$54,'Progetto del paramento slu'!$G$53)*IF(M105&lt;0,-1,1)</f>
        <v>0</v>
      </c>
      <c r="T105" s="553">
        <f>'Foglio deposito bis'!$F$51*IF(ABS(N105)&lt;'Progetto del paramento slu'!$G$58,ABS(N105)*'Progetto del paramento slu'!$G$54,'Progetto del paramento slu'!$G$53)*IF(N105&lt;0,-1,1)</f>
        <v>240946.49743184328</v>
      </c>
      <c r="U105" s="553">
        <f>'Foglio deposito bis'!$F$52*IF(ABS(O105)&lt;'Progetto del paramento slu'!$G$58,ABS(O105)*'Progetto del paramento slu'!$G$54,'Progetto del paramento slu'!$G$53)*IF(O105&lt;0,-1,1)</f>
        <v>240946.49743184328</v>
      </c>
      <c r="V105" s="479">
        <f t="shared" si="10"/>
        <v>400665.3315409997</v>
      </c>
      <c r="W105" s="559"/>
      <c r="X105" s="559"/>
    </row>
    <row r="106" spans="1:24" x14ac:dyDescent="0.25">
      <c r="A106" s="553">
        <f t="shared" si="9"/>
        <v>397804.19013369258</v>
      </c>
      <c r="B106" s="3">
        <f t="shared" si="11"/>
        <v>5.0499999999999901</v>
      </c>
      <c r="C106" s="553">
        <f>'Foglio deposito bis'!$E$153/$B$247*B106</f>
        <v>20.500676589986444</v>
      </c>
      <c r="D106" s="611">
        <f>-'Progetto del paramento slu'!$G$47*'Progetto del paramento slu'!$G$41*IF(DATI!$G$218="dx",DATI!$E$61,DATI!$E$64*DATI!$E$63)*1000*C106^2*sezione!$AD$5*(1-sezione!$AD$6)</f>
        <v>-3459726.2601412432</v>
      </c>
      <c r="E106" s="553">
        <f>-'Foglio deposito bis'!$F$48*(C106-sezione!$AL$27)*IF(ABS(K106)&lt;'Progetto del paramento slu'!$G$58,ABS(K106)*'Progetto del paramento slu'!$G$54,'Progetto del paramento slu'!$G$53)</f>
        <v>0</v>
      </c>
      <c r="F106" s="553">
        <f>-'Foglio deposito bis'!$F$49*(C106-sezione!$AM$27)*IF(ABS(L106)&lt;'Progetto del paramento slu'!$G$58,ABS(L106)*'Progetto del paramento slu'!$G$54,'Progetto del paramento slu'!$G$53)</f>
        <v>26532660.200200908</v>
      </c>
      <c r="G106" s="553">
        <f>-'Foglio deposito bis'!$F$50*(C106-sezione!$AN$27)*IF(ABS(M106)&lt;'Progetto del paramento slu'!$G$58,ABS(M106)*'Progetto del paramento slu'!$G$54,'Progetto del paramento slu'!$G$53)</f>
        <v>0</v>
      </c>
      <c r="H106" s="553">
        <f>-'Foglio deposito bis'!$F$51*(C106-sezione!$AO$27)*IF(ABS(N106)&lt;'Progetto del paramento slu'!$G$58,ABS(N106)*'Progetto del paramento slu'!$G$54,'Progetto del paramento slu'!$G$53)</f>
        <v>76982242.907486498</v>
      </c>
      <c r="I106" s="479">
        <f>-'Foglio deposito bis'!$F$52*(C106-sezione!$AP$27)*IF(ABS(O106)&lt;'Progetto del paramento slu'!$G$58,ABS(O106)*'Progetto del paramento slu'!$G$54,'Progetto del paramento slu'!$G$53)</f>
        <v>57706523.112939022</v>
      </c>
      <c r="J106" s="479">
        <f t="shared" si="8"/>
        <v>157761699.96048519</v>
      </c>
      <c r="K106" s="558">
        <f>'Progetto del paramento slu'!$G$60*(sezione!$AL$27-C106)/C106</f>
        <v>3.3290429042904372E-3</v>
      </c>
      <c r="L106" s="558">
        <f>'Progetto del paramento slu'!$G$60*(sezione!$AM$27-C106)/C106</f>
        <v>2.2108910891089139E-2</v>
      </c>
      <c r="M106" s="559">
        <f>'Progetto del paramento slu'!$G$60*(sezione!$AN$27-C106)/C106</f>
        <v>4.0888778877887839E-2</v>
      </c>
      <c r="N106" s="559">
        <f>'Progetto del paramento slu'!$G$60*(sezione!$AO$27-C106)/C106</f>
        <v>5.4546864686468723E-2</v>
      </c>
      <c r="O106" s="559">
        <f>'Progetto del paramento slu'!$G$60*(sezione!$AP$27-C106)/C106</f>
        <v>4.0888778877887839E-2</v>
      </c>
      <c r="P106" s="553">
        <f>-'Progetto del paramento slu'!$G$47*'Progetto del paramento slu'!$G$41*IF(DATI!$G$218="dx",DATI!$E$61,DATI!$E$64*DATI!$E$63)*1000*C106*sezione!$AD$5</f>
        <v>-288975.28213802399</v>
      </c>
      <c r="Q106" s="553">
        <f>'Foglio deposito bis'!$F$48*IF(ABS(K106)&lt;'Progetto del paramento slu'!$G$58,ABS(K106)*'Progetto del paramento slu'!$G$54,'Progetto del paramento slu'!$G$53)*IF(K106&lt;0,-1,1)</f>
        <v>0</v>
      </c>
      <c r="R106" s="553">
        <f>'Foglio deposito bis'!$F$49*IF(ABS(L106)&lt;'Progetto del paramento slu'!$G$58,ABS(L106)*'Progetto del paramento slu'!$G$54,'Progetto del paramento slu'!$G$53)*IF(L106&lt;0,-1,1)</f>
        <v>204886.47740803001</v>
      </c>
      <c r="S106" s="553">
        <f>'Foglio deposito bis'!$F$50*IF(ABS(M106)&lt;'Progetto del paramento slu'!$G$58,ABS(M106)*'Progetto del paramento slu'!$G$54,'Progetto del paramento slu'!$G$53)*IF(M106&lt;0,-1,1)</f>
        <v>0</v>
      </c>
      <c r="T106" s="553">
        <f>'Foglio deposito bis'!$F$51*IF(ABS(N106)&lt;'Progetto del paramento slu'!$G$58,ABS(N106)*'Progetto del paramento slu'!$G$54,'Progetto del paramento slu'!$G$53)*IF(N106&lt;0,-1,1)</f>
        <v>240946.49743184328</v>
      </c>
      <c r="U106" s="553">
        <f>'Foglio deposito bis'!$F$52*IF(ABS(O106)&lt;'Progetto del paramento slu'!$G$58,ABS(O106)*'Progetto del paramento slu'!$G$54,'Progetto del paramento slu'!$G$53)*IF(O106&lt;0,-1,1)</f>
        <v>240946.49743184328</v>
      </c>
      <c r="V106" s="479">
        <f t="shared" si="10"/>
        <v>397804.19013369258</v>
      </c>
      <c r="W106" s="559"/>
      <c r="X106" s="559"/>
    </row>
    <row r="107" spans="1:24" x14ac:dyDescent="0.25">
      <c r="A107" s="553">
        <f t="shared" si="9"/>
        <v>394943.04872638534</v>
      </c>
      <c r="B107" s="3">
        <f t="shared" si="11"/>
        <v>5.0999999999999899</v>
      </c>
      <c r="C107" s="553">
        <f>'Foglio deposito bis'!$E$153/$B$247*B107</f>
        <v>20.703653585926904</v>
      </c>
      <c r="D107" s="611">
        <f>-'Progetto del paramento slu'!$G$47*'Progetto del paramento slu'!$G$41*IF(DATI!$G$218="dx",DATI!$E$61,DATI!$E$64*DATI!$E$63)*1000*C107^2*sezione!$AD$5*(1-sezione!$AD$6)</f>
        <v>-3528574.846633614</v>
      </c>
      <c r="E107" s="553">
        <f>-'Foglio deposito bis'!$F$48*(C107-sezione!$AL$27)*IF(ABS(K107)&lt;'Progetto del paramento slu'!$G$58,ABS(K107)*'Progetto del paramento slu'!$G$54,'Progetto del paramento slu'!$G$53)</f>
        <v>0</v>
      </c>
      <c r="F107" s="553">
        <f>-'Foglio deposito bis'!$F$49*(C107-sezione!$AM$27)*IF(ABS(L107)&lt;'Progetto del paramento slu'!$G$58,ABS(L107)*'Progetto del paramento slu'!$G$54,'Progetto del paramento slu'!$G$53)</f>
        <v>26491072.95850781</v>
      </c>
      <c r="G107" s="553">
        <f>-'Foglio deposito bis'!$F$50*(C107-sezione!$AN$27)*IF(ABS(M107)&lt;'Progetto del paramento slu'!$G$58,ABS(M107)*'Progetto del paramento slu'!$G$54,'Progetto del paramento slu'!$G$53)</f>
        <v>0</v>
      </c>
      <c r="H107" s="553">
        <f>-'Foglio deposito bis'!$F$51*(C107-sezione!$AO$27)*IF(ABS(N107)&lt;'Progetto del paramento slu'!$G$58,ABS(N107)*'Progetto del paramento slu'!$G$54,'Progetto del paramento slu'!$G$53)</f>
        <v>76933336.311255395</v>
      </c>
      <c r="I107" s="479">
        <f>-'Foglio deposito bis'!$F$52*(C107-sezione!$AP$27)*IF(ABS(O107)&lt;'Progetto del paramento slu'!$G$58,ABS(O107)*'Progetto del paramento slu'!$G$54,'Progetto del paramento slu'!$G$53)</f>
        <v>57657616.516707942</v>
      </c>
      <c r="J107" s="479">
        <f t="shared" si="8"/>
        <v>157553450.93983752</v>
      </c>
      <c r="K107" s="558">
        <f>'Progetto del paramento slu'!$G$60*(sezione!$AL$27-C107)/C107</f>
        <v>3.2620915032679819E-3</v>
      </c>
      <c r="L107" s="558">
        <f>'Progetto del paramento slu'!$G$60*(sezione!$AM$27-C107)/C107</f>
        <v>2.1857843137254935E-2</v>
      </c>
      <c r="M107" s="559">
        <f>'Progetto del paramento slu'!$G$60*(sezione!$AN$27-C107)/C107</f>
        <v>4.0453594771241878E-2</v>
      </c>
      <c r="N107" s="559">
        <f>'Progetto del paramento slu'!$G$60*(sezione!$AO$27-C107)/C107</f>
        <v>5.397777777777784E-2</v>
      </c>
      <c r="O107" s="559">
        <f>'Progetto del paramento slu'!$G$60*(sezione!$AP$27-C107)/C107</f>
        <v>4.0453594771241878E-2</v>
      </c>
      <c r="P107" s="553">
        <f>-'Progetto del paramento slu'!$G$47*'Progetto del paramento slu'!$G$41*IF(DATI!$G$218="dx",DATI!$E$61,DATI!$E$64*DATI!$E$63)*1000*C107*sezione!$AD$5</f>
        <v>-291836.42354533123</v>
      </c>
      <c r="Q107" s="553">
        <f>'Foglio deposito bis'!$F$48*IF(ABS(K107)&lt;'Progetto del paramento slu'!$G$58,ABS(K107)*'Progetto del paramento slu'!$G$54,'Progetto del paramento slu'!$G$53)*IF(K107&lt;0,-1,1)</f>
        <v>0</v>
      </c>
      <c r="R107" s="553">
        <f>'Foglio deposito bis'!$F$49*IF(ABS(L107)&lt;'Progetto del paramento slu'!$G$58,ABS(L107)*'Progetto del paramento slu'!$G$54,'Progetto del paramento slu'!$G$53)*IF(L107&lt;0,-1,1)</f>
        <v>204886.47740803001</v>
      </c>
      <c r="S107" s="553">
        <f>'Foglio deposito bis'!$F$50*IF(ABS(M107)&lt;'Progetto del paramento slu'!$G$58,ABS(M107)*'Progetto del paramento slu'!$G$54,'Progetto del paramento slu'!$G$53)*IF(M107&lt;0,-1,1)</f>
        <v>0</v>
      </c>
      <c r="T107" s="553">
        <f>'Foglio deposito bis'!$F$51*IF(ABS(N107)&lt;'Progetto del paramento slu'!$G$58,ABS(N107)*'Progetto del paramento slu'!$G$54,'Progetto del paramento slu'!$G$53)*IF(N107&lt;0,-1,1)</f>
        <v>240946.49743184328</v>
      </c>
      <c r="U107" s="553">
        <f>'Foglio deposito bis'!$F$52*IF(ABS(O107)&lt;'Progetto del paramento slu'!$G$58,ABS(O107)*'Progetto del paramento slu'!$G$54,'Progetto del paramento slu'!$G$53)*IF(O107&lt;0,-1,1)</f>
        <v>240946.49743184328</v>
      </c>
      <c r="V107" s="479">
        <f t="shared" si="10"/>
        <v>394943.04872638534</v>
      </c>
      <c r="W107" s="559"/>
      <c r="X107" s="559"/>
    </row>
    <row r="108" spans="1:24" x14ac:dyDescent="0.25">
      <c r="A108" s="553">
        <f t="shared" si="9"/>
        <v>383498.48309715668</v>
      </c>
      <c r="B108" s="3">
        <f>B107+0.2</f>
        <v>5.2999999999999901</v>
      </c>
      <c r="C108" s="553">
        <f>'Foglio deposito bis'!$E$153/$B$247*B108</f>
        <v>21.515561569688746</v>
      </c>
      <c r="D108" s="611">
        <f>-'Progetto del paramento slu'!$G$47*'Progetto del paramento slu'!$G$41*IF(DATI!$G$218="dx",DATI!$E$61,DATI!$E$64*DATI!$E$63)*1000*C108^2*sezione!$AD$5*(1-sezione!$AD$6)</f>
        <v>-3810752.3045727881</v>
      </c>
      <c r="E108" s="553">
        <f>-'Foglio deposito bis'!$F$48*(C108-sezione!$AL$27)*IF(ABS(K108)&lt;'Progetto del paramento slu'!$G$58,ABS(K108)*'Progetto del paramento slu'!$G$54,'Progetto del paramento slu'!$G$53)</f>
        <v>0</v>
      </c>
      <c r="F108" s="553">
        <f>-'Foglio deposito bis'!$F$49*(C108-sezione!$AM$27)*IF(ABS(L108)&lt;'Progetto del paramento slu'!$G$58,ABS(L108)*'Progetto del paramento slu'!$G$54,'Progetto del paramento slu'!$G$53)</f>
        <v>26324723.991735391</v>
      </c>
      <c r="G108" s="553">
        <f>-'Foglio deposito bis'!$F$50*(C108-sezione!$AN$27)*IF(ABS(M108)&lt;'Progetto del paramento slu'!$G$58,ABS(M108)*'Progetto del paramento slu'!$G$54,'Progetto del paramento slu'!$G$53)</f>
        <v>0</v>
      </c>
      <c r="H108" s="553">
        <f>-'Foglio deposito bis'!$F$51*(C108-sezione!$AO$27)*IF(ABS(N108)&lt;'Progetto del paramento slu'!$G$58,ABS(N108)*'Progetto del paramento slu'!$G$54,'Progetto del paramento slu'!$G$53)</f>
        <v>76737709.926331028</v>
      </c>
      <c r="I108" s="479">
        <f>-'Foglio deposito bis'!$F$52*(C108-sezione!$AP$27)*IF(ABS(O108)&lt;'Progetto del paramento slu'!$G$58,ABS(O108)*'Progetto del paramento slu'!$G$54,'Progetto del paramento slu'!$G$53)</f>
        <v>57461990.131783582</v>
      </c>
      <c r="J108" s="479">
        <f t="shared" si="8"/>
        <v>156713671.74527723</v>
      </c>
      <c r="K108" s="558">
        <f>'Progetto del paramento slu'!$G$60*(sezione!$AL$27-C108)/C108</f>
        <v>3.0069182389937175E-3</v>
      </c>
      <c r="L108" s="558">
        <f>'Progetto del paramento slu'!$G$60*(sezione!$AM$27-C108)/C108</f>
        <v>2.0900943396226442E-2</v>
      </c>
      <c r="M108" s="559">
        <f>'Progetto del paramento slu'!$G$60*(sezione!$AN$27-C108)/C108</f>
        <v>3.8794968553459167E-2</v>
      </c>
      <c r="N108" s="559">
        <f>'Progetto del paramento slu'!$G$60*(sezione!$AO$27-C108)/C108</f>
        <v>5.1808805031446602E-2</v>
      </c>
      <c r="O108" s="559">
        <f>'Progetto del paramento slu'!$G$60*(sezione!$AP$27-C108)/C108</f>
        <v>3.8794968553459167E-2</v>
      </c>
      <c r="P108" s="553">
        <f>-'Progetto del paramento slu'!$G$47*'Progetto del paramento slu'!$G$41*IF(DATI!$G$218="dx",DATI!$E$61,DATI!$E$64*DATI!$E$63)*1000*C108*sezione!$AD$5</f>
        <v>-303280.98917455989</v>
      </c>
      <c r="Q108" s="553">
        <f>'Foglio deposito bis'!$F$48*IF(ABS(K108)&lt;'Progetto del paramento slu'!$G$58,ABS(K108)*'Progetto del paramento slu'!$G$54,'Progetto del paramento slu'!$G$53)*IF(K108&lt;0,-1,1)</f>
        <v>0</v>
      </c>
      <c r="R108" s="553">
        <f>'Foglio deposito bis'!$F$49*IF(ABS(L108)&lt;'Progetto del paramento slu'!$G$58,ABS(L108)*'Progetto del paramento slu'!$G$54,'Progetto del paramento slu'!$G$53)*IF(L108&lt;0,-1,1)</f>
        <v>204886.47740803001</v>
      </c>
      <c r="S108" s="553">
        <f>'Foglio deposito bis'!$F$50*IF(ABS(M108)&lt;'Progetto del paramento slu'!$G$58,ABS(M108)*'Progetto del paramento slu'!$G$54,'Progetto del paramento slu'!$G$53)*IF(M108&lt;0,-1,1)</f>
        <v>0</v>
      </c>
      <c r="T108" s="553">
        <f>'Foglio deposito bis'!$F$51*IF(ABS(N108)&lt;'Progetto del paramento slu'!$G$58,ABS(N108)*'Progetto del paramento slu'!$G$54,'Progetto del paramento slu'!$G$53)*IF(N108&lt;0,-1,1)</f>
        <v>240946.49743184328</v>
      </c>
      <c r="U108" s="553">
        <f>'Foglio deposito bis'!$F$52*IF(ABS(O108)&lt;'Progetto del paramento slu'!$G$58,ABS(O108)*'Progetto del paramento slu'!$G$54,'Progetto del paramento slu'!$G$53)*IF(O108&lt;0,-1,1)</f>
        <v>240946.49743184328</v>
      </c>
      <c r="V108" s="479">
        <f t="shared" si="10"/>
        <v>383498.48309715668</v>
      </c>
      <c r="W108" s="559"/>
      <c r="X108" s="559"/>
    </row>
    <row r="109" spans="1:24" x14ac:dyDescent="0.25">
      <c r="A109" s="553">
        <f t="shared" si="9"/>
        <v>372053.91746792797</v>
      </c>
      <c r="B109" s="3">
        <f t="shared" ref="B109:B172" si="12">B108+0.2</f>
        <v>5.4999999999999902</v>
      </c>
      <c r="C109" s="553">
        <f>'Foglio deposito bis'!$E$153/$B$247*B109</f>
        <v>22.327469553450587</v>
      </c>
      <c r="D109" s="611">
        <f>-'Progetto del paramento slu'!$G$47*'Progetto del paramento slu'!$G$41*IF(DATI!$G$218="dx",DATI!$E$61,DATI!$E$64*DATI!$E$63)*1000*C109^2*sezione!$AD$5*(1-sezione!$AD$6)</f>
        <v>-4103782.7416634704</v>
      </c>
      <c r="E109" s="553">
        <f>-'Foglio deposito bis'!$F$48*(C109-sezione!$AL$27)*IF(ABS(K109)&lt;'Progetto del paramento slu'!$G$58,ABS(K109)*'Progetto del paramento slu'!$G$54,'Progetto del paramento slu'!$G$53)</f>
        <v>0</v>
      </c>
      <c r="F109" s="553">
        <f>-'Foglio deposito bis'!$F$49*(C109-sezione!$AM$27)*IF(ABS(L109)&lt;'Progetto del paramento slu'!$G$58,ABS(L109)*'Progetto del paramento slu'!$G$54,'Progetto del paramento slu'!$G$53)</f>
        <v>26158375.024962969</v>
      </c>
      <c r="G109" s="553">
        <f>-'Foglio deposito bis'!$F$50*(C109-sezione!$AN$27)*IF(ABS(M109)&lt;'Progetto del paramento slu'!$G$58,ABS(M109)*'Progetto del paramento slu'!$G$54,'Progetto del paramento slu'!$G$53)</f>
        <v>0</v>
      </c>
      <c r="H109" s="553">
        <f>-'Foglio deposito bis'!$F$51*(C109-sezione!$AO$27)*IF(ABS(N109)&lt;'Progetto del paramento slu'!$G$58,ABS(N109)*'Progetto del paramento slu'!$G$54,'Progetto del paramento slu'!$G$53)</f>
        <v>76542083.541406661</v>
      </c>
      <c r="I109" s="479">
        <f>-'Foglio deposito bis'!$F$52*(C109-sezione!$AP$27)*IF(ABS(O109)&lt;'Progetto del paramento slu'!$G$58,ABS(O109)*'Progetto del paramento slu'!$G$54,'Progetto del paramento slu'!$G$53)</f>
        <v>57266363.746859208</v>
      </c>
      <c r="J109" s="479">
        <f t="shared" si="8"/>
        <v>155863039.57156539</v>
      </c>
      <c r="K109" s="558">
        <f>'Progetto del paramento slu'!$G$60*(sezione!$AL$27-C109)/C109</f>
        <v>2.7703030303030361E-3</v>
      </c>
      <c r="L109" s="558">
        <f>'Progetto del paramento slu'!$G$60*(sezione!$AM$27-C109)/C109</f>
        <v>2.0013636363636386E-2</v>
      </c>
      <c r="M109" s="559">
        <f>'Progetto del paramento slu'!$G$60*(sezione!$AN$27-C109)/C109</f>
        <v>3.725696969696974E-2</v>
      </c>
      <c r="N109" s="559">
        <f>'Progetto del paramento slu'!$G$60*(sezione!$AO$27-C109)/C109</f>
        <v>4.9797575757575804E-2</v>
      </c>
      <c r="O109" s="559">
        <f>'Progetto del paramento slu'!$G$60*(sezione!$AP$27-C109)/C109</f>
        <v>3.725696969696974E-2</v>
      </c>
      <c r="P109" s="553">
        <f>-'Progetto del paramento slu'!$G$47*'Progetto del paramento slu'!$G$41*IF(DATI!$G$218="dx",DATI!$E$61,DATI!$E$64*DATI!$E$63)*1000*C109*sezione!$AD$5</f>
        <v>-314725.5548037886</v>
      </c>
      <c r="Q109" s="553">
        <f>'Foglio deposito bis'!$F$48*IF(ABS(K109)&lt;'Progetto del paramento slu'!$G$58,ABS(K109)*'Progetto del paramento slu'!$G$54,'Progetto del paramento slu'!$G$53)*IF(K109&lt;0,-1,1)</f>
        <v>0</v>
      </c>
      <c r="R109" s="553">
        <f>'Foglio deposito bis'!$F$49*IF(ABS(L109)&lt;'Progetto del paramento slu'!$G$58,ABS(L109)*'Progetto del paramento slu'!$G$54,'Progetto del paramento slu'!$G$53)*IF(L109&lt;0,-1,1)</f>
        <v>204886.47740803001</v>
      </c>
      <c r="S109" s="553">
        <f>'Foglio deposito bis'!$F$50*IF(ABS(M109)&lt;'Progetto del paramento slu'!$G$58,ABS(M109)*'Progetto del paramento slu'!$G$54,'Progetto del paramento slu'!$G$53)*IF(M109&lt;0,-1,1)</f>
        <v>0</v>
      </c>
      <c r="T109" s="553">
        <f>'Foglio deposito bis'!$F$51*IF(ABS(N109)&lt;'Progetto del paramento slu'!$G$58,ABS(N109)*'Progetto del paramento slu'!$G$54,'Progetto del paramento slu'!$G$53)*IF(N109&lt;0,-1,1)</f>
        <v>240946.49743184328</v>
      </c>
      <c r="U109" s="553">
        <f>'Foglio deposito bis'!$F$52*IF(ABS(O109)&lt;'Progetto del paramento slu'!$G$58,ABS(O109)*'Progetto del paramento slu'!$G$54,'Progetto del paramento slu'!$G$53)*IF(O109&lt;0,-1,1)</f>
        <v>240946.49743184328</v>
      </c>
      <c r="V109" s="479">
        <f t="shared" si="10"/>
        <v>372053.91746792797</v>
      </c>
      <c r="W109" s="559"/>
      <c r="X109" s="559"/>
    </row>
    <row r="110" spans="1:24" x14ac:dyDescent="0.25">
      <c r="A110" s="553">
        <f t="shared" si="9"/>
        <v>360609.35183869925</v>
      </c>
      <c r="B110" s="3">
        <f t="shared" si="12"/>
        <v>5.6999999999999904</v>
      </c>
      <c r="C110" s="553">
        <f>'Foglio deposito bis'!$E$153/$B$247*B110</f>
        <v>23.139377537212429</v>
      </c>
      <c r="D110" s="611">
        <f>-'Progetto del paramento slu'!$G$47*'Progetto del paramento slu'!$G$41*IF(DATI!$G$218="dx",DATI!$E$61,DATI!$E$64*DATI!$E$63)*1000*C110^2*sezione!$AD$5*(1-sezione!$AD$6)</f>
        <v>-4407666.1579056587</v>
      </c>
      <c r="E110" s="553">
        <f>-'Foglio deposito bis'!$F$48*(C110-sezione!$AL$27)*IF(ABS(K110)&lt;'Progetto del paramento slu'!$G$58,ABS(K110)*'Progetto del paramento slu'!$G$54,'Progetto del paramento slu'!$G$53)</f>
        <v>0</v>
      </c>
      <c r="F110" s="553">
        <f>-'Foglio deposito bis'!$F$49*(C110-sezione!$AM$27)*IF(ABS(L110)&lt;'Progetto del paramento slu'!$G$58,ABS(L110)*'Progetto del paramento slu'!$G$54,'Progetto del paramento slu'!$G$53)</f>
        <v>25992026.058190551</v>
      </c>
      <c r="G110" s="553">
        <f>-'Foglio deposito bis'!$F$50*(C110-sezione!$AN$27)*IF(ABS(M110)&lt;'Progetto del paramento slu'!$G$58,ABS(M110)*'Progetto del paramento slu'!$G$54,'Progetto del paramento slu'!$G$53)</f>
        <v>0</v>
      </c>
      <c r="H110" s="553">
        <f>-'Foglio deposito bis'!$F$51*(C110-sezione!$AO$27)*IF(ABS(N110)&lt;'Progetto del paramento slu'!$G$58,ABS(N110)*'Progetto del paramento slu'!$G$54,'Progetto del paramento slu'!$G$53)</f>
        <v>76346457.156482294</v>
      </c>
      <c r="I110" s="479">
        <f>-'Foglio deposito bis'!$F$52*(C110-sezione!$AP$27)*IF(ABS(O110)&lt;'Progetto del paramento slu'!$G$58,ABS(O110)*'Progetto del paramento slu'!$G$54,'Progetto del paramento slu'!$G$53)</f>
        <v>57070737.361934848</v>
      </c>
      <c r="J110" s="479">
        <f t="shared" si="8"/>
        <v>155001554.41870204</v>
      </c>
      <c r="K110" s="558">
        <f>'Progetto del paramento slu'!$G$60*(sezione!$AL$27-C110)/C110</f>
        <v>2.550292397660824E-3</v>
      </c>
      <c r="L110" s="558">
        <f>'Progetto del paramento slu'!$G$60*(sezione!$AM$27-C110)/C110</f>
        <v>1.9188596491228092E-2</v>
      </c>
      <c r="M110" s="559">
        <f>'Progetto del paramento slu'!$G$60*(sezione!$AN$27-C110)/C110</f>
        <v>3.582690058479536E-2</v>
      </c>
      <c r="N110" s="559">
        <f>'Progetto del paramento slu'!$G$60*(sezione!$AO$27-C110)/C110</f>
        <v>4.7927485380116999E-2</v>
      </c>
      <c r="O110" s="559">
        <f>'Progetto del paramento slu'!$G$60*(sezione!$AP$27-C110)/C110</f>
        <v>3.582690058479536E-2</v>
      </c>
      <c r="P110" s="553">
        <f>-'Progetto del paramento slu'!$G$47*'Progetto del paramento slu'!$G$41*IF(DATI!$G$218="dx",DATI!$E$61,DATI!$E$64*DATI!$E$63)*1000*C110*sezione!$AD$5</f>
        <v>-326170.12043301732</v>
      </c>
      <c r="Q110" s="553">
        <f>'Foglio deposito bis'!$F$48*IF(ABS(K110)&lt;'Progetto del paramento slu'!$G$58,ABS(K110)*'Progetto del paramento slu'!$G$54,'Progetto del paramento slu'!$G$53)*IF(K110&lt;0,-1,1)</f>
        <v>0</v>
      </c>
      <c r="R110" s="553">
        <f>'Foglio deposito bis'!$F$49*IF(ABS(L110)&lt;'Progetto del paramento slu'!$G$58,ABS(L110)*'Progetto del paramento slu'!$G$54,'Progetto del paramento slu'!$G$53)*IF(L110&lt;0,-1,1)</f>
        <v>204886.47740803001</v>
      </c>
      <c r="S110" s="553">
        <f>'Foglio deposito bis'!$F$50*IF(ABS(M110)&lt;'Progetto del paramento slu'!$G$58,ABS(M110)*'Progetto del paramento slu'!$G$54,'Progetto del paramento slu'!$G$53)*IF(M110&lt;0,-1,1)</f>
        <v>0</v>
      </c>
      <c r="T110" s="553">
        <f>'Foglio deposito bis'!$F$51*IF(ABS(N110)&lt;'Progetto del paramento slu'!$G$58,ABS(N110)*'Progetto del paramento slu'!$G$54,'Progetto del paramento slu'!$G$53)*IF(N110&lt;0,-1,1)</f>
        <v>240946.49743184328</v>
      </c>
      <c r="U110" s="553">
        <f>'Foglio deposito bis'!$F$52*IF(ABS(O110)&lt;'Progetto del paramento slu'!$G$58,ABS(O110)*'Progetto del paramento slu'!$G$54,'Progetto del paramento slu'!$G$53)*IF(O110&lt;0,-1,1)</f>
        <v>240946.49743184328</v>
      </c>
      <c r="V110" s="479">
        <f t="shared" si="10"/>
        <v>360609.35183869925</v>
      </c>
      <c r="W110" s="559"/>
      <c r="X110" s="559"/>
    </row>
    <row r="111" spans="1:24" x14ac:dyDescent="0.25">
      <c r="A111" s="553">
        <f t="shared" si="9"/>
        <v>349164.78620947059</v>
      </c>
      <c r="B111" s="3">
        <f t="shared" si="12"/>
        <v>5.8999999999999906</v>
      </c>
      <c r="C111" s="553">
        <f>'Foglio deposito bis'!$E$153/$B$247*B111</f>
        <v>23.95128552097427</v>
      </c>
      <c r="D111" s="611">
        <f>-'Progetto del paramento slu'!$G$47*'Progetto del paramento slu'!$G$41*IF(DATI!$G$218="dx",DATI!$E$61,DATI!$E$64*DATI!$E$63)*1000*C111^2*sezione!$AD$5*(1-sezione!$AD$6)</f>
        <v>-4722402.5532993535</v>
      </c>
      <c r="E111" s="553">
        <f>-'Foglio deposito bis'!$F$48*(C111-sezione!$AL$27)*IF(ABS(K111)&lt;'Progetto del paramento slu'!$G$58,ABS(K111)*'Progetto del paramento slu'!$G$54,'Progetto del paramento slu'!$G$53)</f>
        <v>0</v>
      </c>
      <c r="F111" s="553">
        <f>-'Foglio deposito bis'!$F$49*(C111-sezione!$AM$27)*IF(ABS(L111)&lt;'Progetto del paramento slu'!$G$58,ABS(L111)*'Progetto del paramento slu'!$G$54,'Progetto del paramento slu'!$G$53)</f>
        <v>25825677.091418128</v>
      </c>
      <c r="G111" s="553">
        <f>-'Foglio deposito bis'!$F$50*(C111-sezione!$AN$27)*IF(ABS(M111)&lt;'Progetto del paramento slu'!$G$58,ABS(M111)*'Progetto del paramento slu'!$G$54,'Progetto del paramento slu'!$G$53)</f>
        <v>0</v>
      </c>
      <c r="H111" s="553">
        <f>-'Foglio deposito bis'!$F$51*(C111-sezione!$AO$27)*IF(ABS(N111)&lt;'Progetto del paramento slu'!$G$58,ABS(N111)*'Progetto del paramento slu'!$G$54,'Progetto del paramento slu'!$G$53)</f>
        <v>76150830.771557927</v>
      </c>
      <c r="I111" s="479">
        <f>-'Foglio deposito bis'!$F$52*(C111-sezione!$AP$27)*IF(ABS(O111)&lt;'Progetto del paramento slu'!$G$58,ABS(O111)*'Progetto del paramento slu'!$G$54,'Progetto del paramento slu'!$G$53)</f>
        <v>56875110.977010481</v>
      </c>
      <c r="J111" s="479">
        <f t="shared" si="8"/>
        <v>154129216.2866872</v>
      </c>
      <c r="K111" s="558">
        <f>'Progetto del paramento slu'!$G$60*(sezione!$AL$27-C111)/C111</f>
        <v>2.3451977401129989E-3</v>
      </c>
      <c r="L111" s="558">
        <f>'Progetto del paramento slu'!$G$60*(sezione!$AM$27-C111)/C111</f>
        <v>1.8419491525423749E-2</v>
      </c>
      <c r="M111" s="559">
        <f>'Progetto del paramento slu'!$G$60*(sezione!$AN$27-C111)/C111</f>
        <v>3.4493785310734493E-2</v>
      </c>
      <c r="N111" s="559">
        <f>'Progetto del paramento slu'!$G$60*(sezione!$AO$27-C111)/C111</f>
        <v>4.618418079096049E-2</v>
      </c>
      <c r="O111" s="559">
        <f>'Progetto del paramento slu'!$G$60*(sezione!$AP$27-C111)/C111</f>
        <v>3.4493785310734493E-2</v>
      </c>
      <c r="P111" s="553">
        <f>-'Progetto del paramento slu'!$G$47*'Progetto del paramento slu'!$G$41*IF(DATI!$G$218="dx",DATI!$E$61,DATI!$E$64*DATI!$E$63)*1000*C111*sezione!$AD$5</f>
        <v>-337614.68606224598</v>
      </c>
      <c r="Q111" s="553">
        <f>'Foglio deposito bis'!$F$48*IF(ABS(K111)&lt;'Progetto del paramento slu'!$G$58,ABS(K111)*'Progetto del paramento slu'!$G$54,'Progetto del paramento slu'!$G$53)*IF(K111&lt;0,-1,1)</f>
        <v>0</v>
      </c>
      <c r="R111" s="553">
        <f>'Foglio deposito bis'!$F$49*IF(ABS(L111)&lt;'Progetto del paramento slu'!$G$58,ABS(L111)*'Progetto del paramento slu'!$G$54,'Progetto del paramento slu'!$G$53)*IF(L111&lt;0,-1,1)</f>
        <v>204886.47740803001</v>
      </c>
      <c r="S111" s="553">
        <f>'Foglio deposito bis'!$F$50*IF(ABS(M111)&lt;'Progetto del paramento slu'!$G$58,ABS(M111)*'Progetto del paramento slu'!$G$54,'Progetto del paramento slu'!$G$53)*IF(M111&lt;0,-1,1)</f>
        <v>0</v>
      </c>
      <c r="T111" s="553">
        <f>'Foglio deposito bis'!$F$51*IF(ABS(N111)&lt;'Progetto del paramento slu'!$G$58,ABS(N111)*'Progetto del paramento slu'!$G$54,'Progetto del paramento slu'!$G$53)*IF(N111&lt;0,-1,1)</f>
        <v>240946.49743184328</v>
      </c>
      <c r="U111" s="553">
        <f>'Foglio deposito bis'!$F$52*IF(ABS(O111)&lt;'Progetto del paramento slu'!$G$58,ABS(O111)*'Progetto del paramento slu'!$G$54,'Progetto del paramento slu'!$G$53)*IF(O111&lt;0,-1,1)</f>
        <v>240946.49743184328</v>
      </c>
      <c r="V111" s="479">
        <f t="shared" si="10"/>
        <v>349164.78620947059</v>
      </c>
      <c r="W111" s="559"/>
      <c r="X111" s="559"/>
    </row>
    <row r="112" spans="1:24" x14ac:dyDescent="0.25">
      <c r="A112" s="553">
        <f t="shared" si="9"/>
        <v>337720.22058024188</v>
      </c>
      <c r="B112" s="3">
        <f t="shared" si="12"/>
        <v>6.0999999999999908</v>
      </c>
      <c r="C112" s="553">
        <f>'Foglio deposito bis'!$E$153/$B$247*B112</f>
        <v>24.763193504736112</v>
      </c>
      <c r="D112" s="611">
        <f>-'Progetto del paramento slu'!$G$47*'Progetto del paramento slu'!$G$41*IF(DATI!$G$218="dx",DATI!$E$61,DATI!$E$64*DATI!$E$63)*1000*C112^2*sezione!$AD$5*(1-sezione!$AD$6)</f>
        <v>-5047991.927844556</v>
      </c>
      <c r="E112" s="553">
        <f>-'Foglio deposito bis'!$F$48*(C112-sezione!$AL$27)*IF(ABS(K112)&lt;'Progetto del paramento slu'!$G$58,ABS(K112)*'Progetto del paramento slu'!$G$54,'Progetto del paramento slu'!$G$53)</f>
        <v>0</v>
      </c>
      <c r="F112" s="553">
        <f>-'Foglio deposito bis'!$F$49*(C112-sezione!$AM$27)*IF(ABS(L112)&lt;'Progetto del paramento slu'!$G$58,ABS(L112)*'Progetto del paramento slu'!$G$54,'Progetto del paramento slu'!$G$53)</f>
        <v>25659328.12464571</v>
      </c>
      <c r="G112" s="553">
        <f>-'Foglio deposito bis'!$F$50*(C112-sezione!$AN$27)*IF(ABS(M112)&lt;'Progetto del paramento slu'!$G$58,ABS(M112)*'Progetto del paramento slu'!$G$54,'Progetto del paramento slu'!$G$53)</f>
        <v>0</v>
      </c>
      <c r="H112" s="553">
        <f>-'Foglio deposito bis'!$F$51*(C112-sezione!$AO$27)*IF(ABS(N112)&lt;'Progetto del paramento slu'!$G$58,ABS(N112)*'Progetto del paramento slu'!$G$54,'Progetto del paramento slu'!$G$53)</f>
        <v>75955204.386633575</v>
      </c>
      <c r="I112" s="479">
        <f>-'Foglio deposito bis'!$F$52*(C112-sezione!$AP$27)*IF(ABS(O112)&lt;'Progetto del paramento slu'!$G$58,ABS(O112)*'Progetto del paramento slu'!$G$54,'Progetto del paramento slu'!$G$53)</f>
        <v>56679484.592086121</v>
      </c>
      <c r="J112" s="479">
        <f t="shared" si="8"/>
        <v>153246025.17552084</v>
      </c>
      <c r="K112" s="558">
        <f>'Progetto del paramento slu'!$G$60*(sezione!$AL$27-C112)/C112</f>
        <v>2.1535519125683101E-3</v>
      </c>
      <c r="L112" s="558">
        <f>'Progetto del paramento slu'!$G$60*(sezione!$AM$27-C112)/C112</f>
        <v>1.7700819672131163E-2</v>
      </c>
      <c r="M112" s="559">
        <f>'Progetto del paramento slu'!$G$60*(sezione!$AN$27-C112)/C112</f>
        <v>3.3248087431694016E-2</v>
      </c>
      <c r="N112" s="559">
        <f>'Progetto del paramento slu'!$G$60*(sezione!$AO$27-C112)/C112</f>
        <v>4.4555191256830634E-2</v>
      </c>
      <c r="O112" s="559">
        <f>'Progetto del paramento slu'!$G$60*(sezione!$AP$27-C112)/C112</f>
        <v>3.3248087431694016E-2</v>
      </c>
      <c r="P112" s="553">
        <f>-'Progetto del paramento slu'!$G$47*'Progetto del paramento slu'!$G$41*IF(DATI!$G$218="dx",DATI!$E$61,DATI!$E$64*DATI!$E$63)*1000*C112*sezione!$AD$5</f>
        <v>-349059.2516914747</v>
      </c>
      <c r="Q112" s="553">
        <f>'Foglio deposito bis'!$F$48*IF(ABS(K112)&lt;'Progetto del paramento slu'!$G$58,ABS(K112)*'Progetto del paramento slu'!$G$54,'Progetto del paramento slu'!$G$53)*IF(K112&lt;0,-1,1)</f>
        <v>0</v>
      </c>
      <c r="R112" s="553">
        <f>'Foglio deposito bis'!$F$49*IF(ABS(L112)&lt;'Progetto del paramento slu'!$G$58,ABS(L112)*'Progetto del paramento slu'!$G$54,'Progetto del paramento slu'!$G$53)*IF(L112&lt;0,-1,1)</f>
        <v>204886.47740803001</v>
      </c>
      <c r="S112" s="553">
        <f>'Foglio deposito bis'!$F$50*IF(ABS(M112)&lt;'Progetto del paramento slu'!$G$58,ABS(M112)*'Progetto del paramento slu'!$G$54,'Progetto del paramento slu'!$G$53)*IF(M112&lt;0,-1,1)</f>
        <v>0</v>
      </c>
      <c r="T112" s="553">
        <f>'Foglio deposito bis'!$F$51*IF(ABS(N112)&lt;'Progetto del paramento slu'!$G$58,ABS(N112)*'Progetto del paramento slu'!$G$54,'Progetto del paramento slu'!$G$53)*IF(N112&lt;0,-1,1)</f>
        <v>240946.49743184328</v>
      </c>
      <c r="U112" s="553">
        <f>'Foglio deposito bis'!$F$52*IF(ABS(O112)&lt;'Progetto del paramento slu'!$G$58,ABS(O112)*'Progetto del paramento slu'!$G$54,'Progetto del paramento slu'!$G$53)*IF(O112&lt;0,-1,1)</f>
        <v>240946.49743184328</v>
      </c>
      <c r="V112" s="479">
        <f t="shared" si="10"/>
        <v>337720.22058024188</v>
      </c>
      <c r="W112" s="559"/>
      <c r="X112" s="559"/>
    </row>
    <row r="113" spans="1:24" x14ac:dyDescent="0.25">
      <c r="A113" s="553">
        <f t="shared" si="9"/>
        <v>326275.65495101316</v>
      </c>
      <c r="B113" s="3">
        <f t="shared" si="12"/>
        <v>6.2999999999999909</v>
      </c>
      <c r="C113" s="553">
        <f>'Foglio deposito bis'!$E$153/$B$247*B113</f>
        <v>25.575101488497953</v>
      </c>
      <c r="D113" s="611">
        <f>-'Progetto del paramento slu'!$G$47*'Progetto del paramento slu'!$G$41*IF(DATI!$G$218="dx",DATI!$E$61,DATI!$E$64*DATI!$E$63)*1000*C113^2*sezione!$AD$5*(1-sezione!$AD$6)</f>
        <v>-5384434.2815412637</v>
      </c>
      <c r="E113" s="553">
        <f>-'Foglio deposito bis'!$F$48*(C113-sezione!$AL$27)*IF(ABS(K113)&lt;'Progetto del paramento slu'!$G$58,ABS(K113)*'Progetto del paramento slu'!$G$54,'Progetto del paramento slu'!$G$53)</f>
        <v>0</v>
      </c>
      <c r="F113" s="553">
        <f>-'Foglio deposito bis'!$F$49*(C113-sezione!$AM$27)*IF(ABS(L113)&lt;'Progetto del paramento slu'!$G$58,ABS(L113)*'Progetto del paramento slu'!$G$54,'Progetto del paramento slu'!$G$53)</f>
        <v>25492979.157873292</v>
      </c>
      <c r="G113" s="553">
        <f>-'Foglio deposito bis'!$F$50*(C113-sezione!$AN$27)*IF(ABS(M113)&lt;'Progetto del paramento slu'!$G$58,ABS(M113)*'Progetto del paramento slu'!$G$54,'Progetto del paramento slu'!$G$53)</f>
        <v>0</v>
      </c>
      <c r="H113" s="553">
        <f>-'Foglio deposito bis'!$F$51*(C113-sezione!$AO$27)*IF(ABS(N113)&lt;'Progetto del paramento slu'!$G$58,ABS(N113)*'Progetto del paramento slu'!$G$54,'Progetto del paramento slu'!$G$53)</f>
        <v>75759578.001709193</v>
      </c>
      <c r="I113" s="479">
        <f>-'Foglio deposito bis'!$F$52*(C113-sezione!$AP$27)*IF(ABS(O113)&lt;'Progetto del paramento slu'!$G$58,ABS(O113)*'Progetto del paramento slu'!$G$54,'Progetto del paramento slu'!$G$53)</f>
        <v>56483858.207161747</v>
      </c>
      <c r="J113" s="479">
        <f t="shared" si="8"/>
        <v>152351981.08520296</v>
      </c>
      <c r="K113" s="558">
        <f>'Progetto del paramento slu'!$G$60*(sezione!$AL$27-C113)/C113</f>
        <v>1.9740740740740777E-3</v>
      </c>
      <c r="L113" s="558">
        <f>'Progetto del paramento slu'!$G$60*(sezione!$AM$27-C113)/C113</f>
        <v>1.7027777777777791E-2</v>
      </c>
      <c r="M113" s="559">
        <f>'Progetto del paramento slu'!$G$60*(sezione!$AN$27-C113)/C113</f>
        <v>3.2081481481481509E-2</v>
      </c>
      <c r="N113" s="559">
        <f>'Progetto del paramento slu'!$G$60*(sezione!$AO$27-C113)/C113</f>
        <v>4.3029629629629661E-2</v>
      </c>
      <c r="O113" s="559">
        <f>'Progetto del paramento slu'!$G$60*(sezione!$AP$27-C113)/C113</f>
        <v>3.2081481481481509E-2</v>
      </c>
      <c r="P113" s="553">
        <f>-'Progetto del paramento slu'!$G$47*'Progetto del paramento slu'!$G$41*IF(DATI!$G$218="dx",DATI!$E$61,DATI!$E$64*DATI!$E$63)*1000*C113*sezione!$AD$5</f>
        <v>-360503.81732070341</v>
      </c>
      <c r="Q113" s="553">
        <f>'Foglio deposito bis'!$F$48*IF(ABS(K113)&lt;'Progetto del paramento slu'!$G$58,ABS(K113)*'Progetto del paramento slu'!$G$54,'Progetto del paramento slu'!$G$53)*IF(K113&lt;0,-1,1)</f>
        <v>0</v>
      </c>
      <c r="R113" s="553">
        <f>'Foglio deposito bis'!$F$49*IF(ABS(L113)&lt;'Progetto del paramento slu'!$G$58,ABS(L113)*'Progetto del paramento slu'!$G$54,'Progetto del paramento slu'!$G$53)*IF(L113&lt;0,-1,1)</f>
        <v>204886.47740803001</v>
      </c>
      <c r="S113" s="553">
        <f>'Foglio deposito bis'!$F$50*IF(ABS(M113)&lt;'Progetto del paramento slu'!$G$58,ABS(M113)*'Progetto del paramento slu'!$G$54,'Progetto del paramento slu'!$G$53)*IF(M113&lt;0,-1,1)</f>
        <v>0</v>
      </c>
      <c r="T113" s="553">
        <f>'Foglio deposito bis'!$F$51*IF(ABS(N113)&lt;'Progetto del paramento slu'!$G$58,ABS(N113)*'Progetto del paramento slu'!$G$54,'Progetto del paramento slu'!$G$53)*IF(N113&lt;0,-1,1)</f>
        <v>240946.49743184328</v>
      </c>
      <c r="U113" s="553">
        <f>'Foglio deposito bis'!$F$52*IF(ABS(O113)&lt;'Progetto del paramento slu'!$G$58,ABS(O113)*'Progetto del paramento slu'!$G$54,'Progetto del paramento slu'!$G$53)*IF(O113&lt;0,-1,1)</f>
        <v>240946.49743184328</v>
      </c>
      <c r="V113" s="479">
        <f t="shared" si="10"/>
        <v>326275.65495101316</v>
      </c>
      <c r="W113" s="559"/>
      <c r="X113" s="559"/>
    </row>
    <row r="114" spans="1:24" x14ac:dyDescent="0.25">
      <c r="A114" s="553">
        <f t="shared" si="9"/>
        <v>314831.08932178444</v>
      </c>
      <c r="B114" s="3">
        <f t="shared" si="12"/>
        <v>6.4999999999999911</v>
      </c>
      <c r="C114" s="553">
        <f>'Foglio deposito bis'!$E$153/$B$247*B114</f>
        <v>26.387009472259795</v>
      </c>
      <c r="D114" s="611">
        <f>-'Progetto del paramento slu'!$G$47*'Progetto del paramento slu'!$G$41*IF(DATI!$G$218="dx",DATI!$E$61,DATI!$E$64*DATI!$E$63)*1000*C114^2*sezione!$AD$5*(1-sezione!$AD$6)</f>
        <v>-5731729.6143894792</v>
      </c>
      <c r="E114" s="553">
        <f>-'Foglio deposito bis'!$F$48*(C114-sezione!$AL$27)*IF(ABS(K114)&lt;'Progetto del paramento slu'!$G$58,ABS(K114)*'Progetto del paramento slu'!$G$54,'Progetto del paramento slu'!$G$53)</f>
        <v>0</v>
      </c>
      <c r="F114" s="553">
        <f>-'Foglio deposito bis'!$F$49*(C114-sezione!$AM$27)*IF(ABS(L114)&lt;'Progetto del paramento slu'!$G$58,ABS(L114)*'Progetto del paramento slu'!$G$54,'Progetto del paramento slu'!$G$53)</f>
        <v>25326630.191100873</v>
      </c>
      <c r="G114" s="553">
        <f>-'Foglio deposito bis'!$F$50*(C114-sezione!$AN$27)*IF(ABS(M114)&lt;'Progetto del paramento slu'!$G$58,ABS(M114)*'Progetto del paramento slu'!$G$54,'Progetto del paramento slu'!$G$53)</f>
        <v>0</v>
      </c>
      <c r="H114" s="553">
        <f>-'Foglio deposito bis'!$F$51*(C114-sezione!$AO$27)*IF(ABS(N114)&lt;'Progetto del paramento slu'!$G$58,ABS(N114)*'Progetto del paramento slu'!$G$54,'Progetto del paramento slu'!$G$53)</f>
        <v>75563951.616784841</v>
      </c>
      <c r="I114" s="479">
        <f>-'Foglio deposito bis'!$F$52*(C114-sezione!$AP$27)*IF(ABS(O114)&lt;'Progetto del paramento slu'!$G$58,ABS(O114)*'Progetto del paramento slu'!$G$54,'Progetto del paramento slu'!$G$53)</f>
        <v>56288231.822237387</v>
      </c>
      <c r="J114" s="479">
        <f t="shared" si="8"/>
        <v>151447084.0157336</v>
      </c>
      <c r="K114" s="558">
        <f>'Progetto del paramento slu'!$G$60*(sezione!$AL$27-C114)/C114</f>
        <v>1.805641025641029E-3</v>
      </c>
      <c r="L114" s="558">
        <f>'Progetto del paramento slu'!$G$60*(sezione!$AM$27-C114)/C114</f>
        <v>1.6396153846153859E-2</v>
      </c>
      <c r="M114" s="559">
        <f>'Progetto del paramento slu'!$G$60*(sezione!$AN$27-C114)/C114</f>
        <v>3.0986666666666687E-2</v>
      </c>
      <c r="N114" s="559">
        <f>'Progetto del paramento slu'!$G$60*(sezione!$AO$27-C114)/C114</f>
        <v>4.1597948717948745E-2</v>
      </c>
      <c r="O114" s="559">
        <f>'Progetto del paramento slu'!$G$60*(sezione!$AP$27-C114)/C114</f>
        <v>3.0986666666666687E-2</v>
      </c>
      <c r="P114" s="553">
        <f>-'Progetto del paramento slu'!$G$47*'Progetto del paramento slu'!$G$41*IF(DATI!$G$218="dx",DATI!$E$61,DATI!$E$64*DATI!$E$63)*1000*C114*sezione!$AD$5</f>
        <v>-371948.38294993213</v>
      </c>
      <c r="Q114" s="553">
        <f>'Foglio deposito bis'!$F$48*IF(ABS(K114)&lt;'Progetto del paramento slu'!$G$58,ABS(K114)*'Progetto del paramento slu'!$G$54,'Progetto del paramento slu'!$G$53)*IF(K114&lt;0,-1,1)</f>
        <v>0</v>
      </c>
      <c r="R114" s="553">
        <f>'Foglio deposito bis'!$F$49*IF(ABS(L114)&lt;'Progetto del paramento slu'!$G$58,ABS(L114)*'Progetto del paramento slu'!$G$54,'Progetto del paramento slu'!$G$53)*IF(L114&lt;0,-1,1)</f>
        <v>204886.47740803001</v>
      </c>
      <c r="S114" s="553">
        <f>'Foglio deposito bis'!$F$50*IF(ABS(M114)&lt;'Progetto del paramento slu'!$G$58,ABS(M114)*'Progetto del paramento slu'!$G$54,'Progetto del paramento slu'!$G$53)*IF(M114&lt;0,-1,1)</f>
        <v>0</v>
      </c>
      <c r="T114" s="553">
        <f>'Foglio deposito bis'!$F$51*IF(ABS(N114)&lt;'Progetto del paramento slu'!$G$58,ABS(N114)*'Progetto del paramento slu'!$G$54,'Progetto del paramento slu'!$G$53)*IF(N114&lt;0,-1,1)</f>
        <v>240946.49743184328</v>
      </c>
      <c r="U114" s="553">
        <f>'Foglio deposito bis'!$F$52*IF(ABS(O114)&lt;'Progetto del paramento slu'!$G$58,ABS(O114)*'Progetto del paramento slu'!$G$54,'Progetto del paramento slu'!$G$53)*IF(O114&lt;0,-1,1)</f>
        <v>240946.49743184328</v>
      </c>
      <c r="V114" s="479">
        <f t="shared" si="10"/>
        <v>314831.08932178444</v>
      </c>
      <c r="W114" s="559"/>
      <c r="X114" s="559"/>
    </row>
    <row r="115" spans="1:24" x14ac:dyDescent="0.25">
      <c r="A115" s="553">
        <f t="shared" si="9"/>
        <v>303386.52369255573</v>
      </c>
      <c r="B115" s="3">
        <f t="shared" si="12"/>
        <v>6.6999999999999913</v>
      </c>
      <c r="C115" s="553">
        <f>'Foglio deposito bis'!$E$153/$B$247*B115</f>
        <v>27.198917456021636</v>
      </c>
      <c r="D115" s="611">
        <f>-'Progetto del paramento slu'!$G$47*'Progetto del paramento slu'!$G$41*IF(DATI!$G$218="dx",DATI!$E$61,DATI!$E$64*DATI!$E$63)*1000*C115^2*sezione!$AD$5*(1-sezione!$AD$6)</f>
        <v>-6089877.9263892006</v>
      </c>
      <c r="E115" s="553">
        <f>-'Foglio deposito bis'!$F$48*(C115-sezione!$AL$27)*IF(ABS(K115)&lt;'Progetto del paramento slu'!$G$58,ABS(K115)*'Progetto del paramento slu'!$G$54,'Progetto del paramento slu'!$G$53)</f>
        <v>0</v>
      </c>
      <c r="F115" s="553">
        <f>-'Foglio deposito bis'!$F$49*(C115-sezione!$AM$27)*IF(ABS(L115)&lt;'Progetto del paramento slu'!$G$58,ABS(L115)*'Progetto del paramento slu'!$G$54,'Progetto del paramento slu'!$G$53)</f>
        <v>25160281.224328451</v>
      </c>
      <c r="G115" s="553">
        <f>-'Foglio deposito bis'!$F$50*(C115-sezione!$AN$27)*IF(ABS(M115)&lt;'Progetto del paramento slu'!$G$58,ABS(M115)*'Progetto del paramento slu'!$G$54,'Progetto del paramento slu'!$G$53)</f>
        <v>0</v>
      </c>
      <c r="H115" s="553">
        <f>-'Foglio deposito bis'!$F$51*(C115-sezione!$AO$27)*IF(ABS(N115)&lt;'Progetto del paramento slu'!$G$58,ABS(N115)*'Progetto del paramento slu'!$G$54,'Progetto del paramento slu'!$G$53)</f>
        <v>75368325.231860474</v>
      </c>
      <c r="I115" s="479">
        <f>-'Foglio deposito bis'!$F$52*(C115-sezione!$AP$27)*IF(ABS(O115)&lt;'Progetto del paramento slu'!$G$58,ABS(O115)*'Progetto del paramento slu'!$G$54,'Progetto del paramento slu'!$G$53)</f>
        <v>56092605.43731302</v>
      </c>
      <c r="J115" s="479">
        <f t="shared" si="8"/>
        <v>150531333.96711275</v>
      </c>
      <c r="K115" s="558">
        <f>'Progetto del paramento slu'!$G$60*(sezione!$AL$27-C115)/C115</f>
        <v>1.6472636815920425E-3</v>
      </c>
      <c r="L115" s="558">
        <f>'Progetto del paramento slu'!$G$60*(sezione!$AM$27-C115)/C115</f>
        <v>1.5802238805970162E-2</v>
      </c>
      <c r="M115" s="559">
        <f>'Progetto del paramento slu'!$G$60*(sezione!$AN$27-C115)/C115</f>
        <v>2.9957213930348281E-2</v>
      </c>
      <c r="N115" s="559">
        <f>'Progetto del paramento slu'!$G$60*(sezione!$AO$27-C115)/C115</f>
        <v>4.0251741293532359E-2</v>
      </c>
      <c r="O115" s="559">
        <f>'Progetto del paramento slu'!$G$60*(sezione!$AP$27-C115)/C115</f>
        <v>2.9957213930348281E-2</v>
      </c>
      <c r="P115" s="553">
        <f>-'Progetto del paramento slu'!$G$47*'Progetto del paramento slu'!$G$41*IF(DATI!$G$218="dx",DATI!$E$61,DATI!$E$64*DATI!$E$63)*1000*C115*sezione!$AD$5</f>
        <v>-383392.94857916085</v>
      </c>
      <c r="Q115" s="553">
        <f>'Foglio deposito bis'!$F$48*IF(ABS(K115)&lt;'Progetto del paramento slu'!$G$58,ABS(K115)*'Progetto del paramento slu'!$G$54,'Progetto del paramento slu'!$G$53)*IF(K115&lt;0,-1,1)</f>
        <v>0</v>
      </c>
      <c r="R115" s="553">
        <f>'Foglio deposito bis'!$F$49*IF(ABS(L115)&lt;'Progetto del paramento slu'!$G$58,ABS(L115)*'Progetto del paramento slu'!$G$54,'Progetto del paramento slu'!$G$53)*IF(L115&lt;0,-1,1)</f>
        <v>204886.47740803001</v>
      </c>
      <c r="S115" s="553">
        <f>'Foglio deposito bis'!$F$50*IF(ABS(M115)&lt;'Progetto del paramento slu'!$G$58,ABS(M115)*'Progetto del paramento slu'!$G$54,'Progetto del paramento slu'!$G$53)*IF(M115&lt;0,-1,1)</f>
        <v>0</v>
      </c>
      <c r="T115" s="553">
        <f>'Foglio deposito bis'!$F$51*IF(ABS(N115)&lt;'Progetto del paramento slu'!$G$58,ABS(N115)*'Progetto del paramento slu'!$G$54,'Progetto del paramento slu'!$G$53)*IF(N115&lt;0,-1,1)</f>
        <v>240946.49743184328</v>
      </c>
      <c r="U115" s="553">
        <f>'Foglio deposito bis'!$F$52*IF(ABS(O115)&lt;'Progetto del paramento slu'!$G$58,ABS(O115)*'Progetto del paramento slu'!$G$54,'Progetto del paramento slu'!$G$53)*IF(O115&lt;0,-1,1)</f>
        <v>240946.49743184328</v>
      </c>
      <c r="V115" s="479">
        <f t="shared" si="10"/>
        <v>303386.52369255573</v>
      </c>
      <c r="W115" s="559"/>
      <c r="X115" s="559"/>
    </row>
    <row r="116" spans="1:24" x14ac:dyDescent="0.25">
      <c r="A116" s="553">
        <f t="shared" si="9"/>
        <v>291941.95806332707</v>
      </c>
      <c r="B116" s="3">
        <f t="shared" si="12"/>
        <v>6.8999999999999915</v>
      </c>
      <c r="C116" s="553">
        <f>'Foglio deposito bis'!$E$153/$B$247*B116</f>
        <v>28.010825439783478</v>
      </c>
      <c r="D116" s="611">
        <f>-'Progetto del paramento slu'!$G$47*'Progetto del paramento slu'!$G$41*IF(DATI!$G$218="dx",DATI!$E$61,DATI!$E$64*DATI!$E$63)*1000*C116^2*sezione!$AD$5*(1-sezione!$AD$6)</f>
        <v>-6458879.2175404308</v>
      </c>
      <c r="E116" s="553">
        <f>-'Foglio deposito bis'!$F$48*(C116-sezione!$AL$27)*IF(ABS(K116)&lt;'Progetto del paramento slu'!$G$58,ABS(K116)*'Progetto del paramento slu'!$G$54,'Progetto del paramento slu'!$G$53)</f>
        <v>0</v>
      </c>
      <c r="F116" s="553">
        <f>-'Foglio deposito bis'!$F$49*(C116-sezione!$AM$27)*IF(ABS(L116)&lt;'Progetto del paramento slu'!$G$58,ABS(L116)*'Progetto del paramento slu'!$G$54,'Progetto del paramento slu'!$G$53)</f>
        <v>24993932.257556032</v>
      </c>
      <c r="G116" s="553">
        <f>-'Foglio deposito bis'!$F$50*(C116-sezione!$AN$27)*IF(ABS(M116)&lt;'Progetto del paramento slu'!$G$58,ABS(M116)*'Progetto del paramento slu'!$G$54,'Progetto del paramento slu'!$G$53)</f>
        <v>0</v>
      </c>
      <c r="H116" s="553">
        <f>-'Foglio deposito bis'!$F$51*(C116-sezione!$AO$27)*IF(ABS(N116)&lt;'Progetto del paramento slu'!$G$58,ABS(N116)*'Progetto del paramento slu'!$G$54,'Progetto del paramento slu'!$G$53)</f>
        <v>75172698.846936107</v>
      </c>
      <c r="I116" s="479">
        <f>-'Foglio deposito bis'!$F$52*(C116-sezione!$AP$27)*IF(ABS(O116)&lt;'Progetto del paramento slu'!$G$58,ABS(O116)*'Progetto del paramento slu'!$G$54,'Progetto del paramento slu'!$G$53)</f>
        <v>55896979.052388646</v>
      </c>
      <c r="J116" s="479">
        <f t="shared" si="8"/>
        <v>149604730.93934035</v>
      </c>
      <c r="K116" s="558">
        <f>'Progetto del paramento slu'!$G$60*(sezione!$AL$27-C116)/C116</f>
        <v>1.4980676328502441E-3</v>
      </c>
      <c r="L116" s="558">
        <f>'Progetto del paramento slu'!$G$60*(sezione!$AM$27-C116)/C116</f>
        <v>1.5242753623188417E-2</v>
      </c>
      <c r="M116" s="559">
        <f>'Progetto del paramento slu'!$G$60*(sezione!$AN$27-C116)/C116</f>
        <v>2.8987439613526587E-2</v>
      </c>
      <c r="N116" s="559">
        <f>'Progetto del paramento slu'!$G$60*(sezione!$AO$27-C116)/C116</f>
        <v>3.8983574879227073E-2</v>
      </c>
      <c r="O116" s="559">
        <f>'Progetto del paramento slu'!$G$60*(sezione!$AP$27-C116)/C116</f>
        <v>2.8987439613526587E-2</v>
      </c>
      <c r="P116" s="553">
        <f>-'Progetto del paramento slu'!$G$47*'Progetto del paramento slu'!$G$41*IF(DATI!$G$218="dx",DATI!$E$61,DATI!$E$64*DATI!$E$63)*1000*C116*sezione!$AD$5</f>
        <v>-394837.5142083895</v>
      </c>
      <c r="Q116" s="553">
        <f>'Foglio deposito bis'!$F$48*IF(ABS(K116)&lt;'Progetto del paramento slu'!$G$58,ABS(K116)*'Progetto del paramento slu'!$G$54,'Progetto del paramento slu'!$G$53)*IF(K116&lt;0,-1,1)</f>
        <v>0</v>
      </c>
      <c r="R116" s="553">
        <f>'Foglio deposito bis'!$F$49*IF(ABS(L116)&lt;'Progetto del paramento slu'!$G$58,ABS(L116)*'Progetto del paramento slu'!$G$54,'Progetto del paramento slu'!$G$53)*IF(L116&lt;0,-1,1)</f>
        <v>204886.47740803001</v>
      </c>
      <c r="S116" s="553">
        <f>'Foglio deposito bis'!$F$50*IF(ABS(M116)&lt;'Progetto del paramento slu'!$G$58,ABS(M116)*'Progetto del paramento slu'!$G$54,'Progetto del paramento slu'!$G$53)*IF(M116&lt;0,-1,1)</f>
        <v>0</v>
      </c>
      <c r="T116" s="553">
        <f>'Foglio deposito bis'!$F$51*IF(ABS(N116)&lt;'Progetto del paramento slu'!$G$58,ABS(N116)*'Progetto del paramento slu'!$G$54,'Progetto del paramento slu'!$G$53)*IF(N116&lt;0,-1,1)</f>
        <v>240946.49743184328</v>
      </c>
      <c r="U116" s="553">
        <f>'Foglio deposito bis'!$F$52*IF(ABS(O116)&lt;'Progetto del paramento slu'!$G$58,ABS(O116)*'Progetto del paramento slu'!$G$54,'Progetto del paramento slu'!$G$53)*IF(O116&lt;0,-1,1)</f>
        <v>240946.49743184328</v>
      </c>
      <c r="V116" s="479">
        <f t="shared" si="10"/>
        <v>291941.95806332707</v>
      </c>
      <c r="W116" s="559"/>
      <c r="X116" s="559"/>
    </row>
    <row r="117" spans="1:24" x14ac:dyDescent="0.25">
      <c r="A117" s="553">
        <f t="shared" si="9"/>
        <v>280497.39243409835</v>
      </c>
      <c r="B117" s="3">
        <f t="shared" si="12"/>
        <v>7.0999999999999917</v>
      </c>
      <c r="C117" s="553">
        <f>'Foglio deposito bis'!$E$153/$B$247*B117</f>
        <v>28.822733423545319</v>
      </c>
      <c r="D117" s="611">
        <f>-'Progetto del paramento slu'!$G$47*'Progetto del paramento slu'!$G$41*IF(DATI!$G$218="dx",DATI!$E$61,DATI!$E$64*DATI!$E$63)*1000*C117^2*sezione!$AD$5*(1-sezione!$AD$6)</f>
        <v>-6838733.4878431661</v>
      </c>
      <c r="E117" s="553">
        <f>-'Foglio deposito bis'!$F$48*(C117-sezione!$AL$27)*IF(ABS(K117)&lt;'Progetto del paramento slu'!$G$58,ABS(K117)*'Progetto del paramento slu'!$G$54,'Progetto del paramento slu'!$G$53)</f>
        <v>0</v>
      </c>
      <c r="F117" s="553">
        <f>-'Foglio deposito bis'!$F$49*(C117-sezione!$AM$27)*IF(ABS(L117)&lt;'Progetto del paramento slu'!$G$58,ABS(L117)*'Progetto del paramento slu'!$G$54,'Progetto del paramento slu'!$G$53)</f>
        <v>24827583.290783614</v>
      </c>
      <c r="G117" s="553">
        <f>-'Foglio deposito bis'!$F$50*(C117-sezione!$AN$27)*IF(ABS(M117)&lt;'Progetto del paramento slu'!$G$58,ABS(M117)*'Progetto del paramento slu'!$G$54,'Progetto del paramento slu'!$G$53)</f>
        <v>0</v>
      </c>
      <c r="H117" s="553">
        <f>-'Foglio deposito bis'!$F$51*(C117-sezione!$AO$27)*IF(ABS(N117)&lt;'Progetto del paramento slu'!$G$58,ABS(N117)*'Progetto del paramento slu'!$G$54,'Progetto del paramento slu'!$G$53)</f>
        <v>74977072.46201174</v>
      </c>
      <c r="I117" s="479">
        <f>-'Foglio deposito bis'!$F$52*(C117-sezione!$AP$27)*IF(ABS(O117)&lt;'Progetto del paramento slu'!$G$58,ABS(O117)*'Progetto del paramento slu'!$G$54,'Progetto del paramento slu'!$G$53)</f>
        <v>55701352.667464286</v>
      </c>
      <c r="J117" s="479">
        <f t="shared" si="8"/>
        <v>148667274.93241647</v>
      </c>
      <c r="K117" s="558">
        <f>'Progetto del paramento slu'!$G$60*(sezione!$AL$27-C117)/C117</f>
        <v>1.3572769953051663E-3</v>
      </c>
      <c r="L117" s="558">
        <f>'Progetto del paramento slu'!$G$60*(sezione!$AM$27-C117)/C117</f>
        <v>1.4714788732394374E-2</v>
      </c>
      <c r="M117" s="559">
        <f>'Progetto del paramento slu'!$G$60*(sezione!$AN$27-C117)/C117</f>
        <v>2.8072300469483582E-2</v>
      </c>
      <c r="N117" s="559">
        <f>'Progetto del paramento slu'!$G$60*(sezione!$AO$27-C117)/C117</f>
        <v>3.7786854460093916E-2</v>
      </c>
      <c r="O117" s="559">
        <f>'Progetto del paramento slu'!$G$60*(sezione!$AP$27-C117)/C117</f>
        <v>2.8072300469483582E-2</v>
      </c>
      <c r="P117" s="553">
        <f>-'Progetto del paramento slu'!$G$47*'Progetto del paramento slu'!$G$41*IF(DATI!$G$218="dx",DATI!$E$61,DATI!$E$64*DATI!$E$63)*1000*C117*sezione!$AD$5</f>
        <v>-406282.07983761822</v>
      </c>
      <c r="Q117" s="553">
        <f>'Foglio deposito bis'!$F$48*IF(ABS(K117)&lt;'Progetto del paramento slu'!$G$58,ABS(K117)*'Progetto del paramento slu'!$G$54,'Progetto del paramento slu'!$G$53)*IF(K117&lt;0,-1,1)</f>
        <v>0</v>
      </c>
      <c r="R117" s="553">
        <f>'Foglio deposito bis'!$F$49*IF(ABS(L117)&lt;'Progetto del paramento slu'!$G$58,ABS(L117)*'Progetto del paramento slu'!$G$54,'Progetto del paramento slu'!$G$53)*IF(L117&lt;0,-1,1)</f>
        <v>204886.47740803001</v>
      </c>
      <c r="S117" s="553">
        <f>'Foglio deposito bis'!$F$50*IF(ABS(M117)&lt;'Progetto del paramento slu'!$G$58,ABS(M117)*'Progetto del paramento slu'!$G$54,'Progetto del paramento slu'!$G$53)*IF(M117&lt;0,-1,1)</f>
        <v>0</v>
      </c>
      <c r="T117" s="553">
        <f>'Foglio deposito bis'!$F$51*IF(ABS(N117)&lt;'Progetto del paramento slu'!$G$58,ABS(N117)*'Progetto del paramento slu'!$G$54,'Progetto del paramento slu'!$G$53)*IF(N117&lt;0,-1,1)</f>
        <v>240946.49743184328</v>
      </c>
      <c r="U117" s="553">
        <f>'Foglio deposito bis'!$F$52*IF(ABS(O117)&lt;'Progetto del paramento slu'!$G$58,ABS(O117)*'Progetto del paramento slu'!$G$54,'Progetto del paramento slu'!$G$53)*IF(O117&lt;0,-1,1)</f>
        <v>240946.49743184328</v>
      </c>
      <c r="V117" s="479">
        <f t="shared" si="10"/>
        <v>280497.39243409835</v>
      </c>
      <c r="W117" s="559"/>
      <c r="X117" s="559"/>
    </row>
    <row r="118" spans="1:24" x14ac:dyDescent="0.25">
      <c r="A118" s="553">
        <f t="shared" si="9"/>
        <v>269052.82680486963</v>
      </c>
      <c r="B118" s="3">
        <f t="shared" si="12"/>
        <v>7.2999999999999918</v>
      </c>
      <c r="C118" s="553">
        <f>'Foglio deposito bis'!$E$153/$B$247*B118</f>
        <v>29.634641407307161</v>
      </c>
      <c r="D118" s="611">
        <f>-'Progetto del paramento slu'!$G$47*'Progetto del paramento slu'!$G$41*IF(DATI!$G$218="dx",DATI!$E$61,DATI!$E$64*DATI!$E$63)*1000*C118^2*sezione!$AD$5*(1-sezione!$AD$6)</f>
        <v>-7229440.7372974083</v>
      </c>
      <c r="E118" s="553">
        <f>-'Foglio deposito bis'!$F$48*(C118-sezione!$AL$27)*IF(ABS(K118)&lt;'Progetto del paramento slu'!$G$58,ABS(K118)*'Progetto del paramento slu'!$G$54,'Progetto del paramento slu'!$G$53)</f>
        <v>0</v>
      </c>
      <c r="F118" s="553">
        <f>-'Foglio deposito bis'!$F$49*(C118-sezione!$AM$27)*IF(ABS(L118)&lt;'Progetto del paramento slu'!$G$58,ABS(L118)*'Progetto del paramento slu'!$G$54,'Progetto del paramento slu'!$G$53)</f>
        <v>24661234.324011192</v>
      </c>
      <c r="G118" s="553">
        <f>-'Foglio deposito bis'!$F$50*(C118-sezione!$AN$27)*IF(ABS(M118)&lt;'Progetto del paramento slu'!$G$58,ABS(M118)*'Progetto del paramento slu'!$G$54,'Progetto del paramento slu'!$G$53)</f>
        <v>0</v>
      </c>
      <c r="H118" s="553">
        <f>-'Foglio deposito bis'!$F$51*(C118-sezione!$AO$27)*IF(ABS(N118)&lt;'Progetto del paramento slu'!$G$58,ABS(N118)*'Progetto del paramento slu'!$G$54,'Progetto del paramento slu'!$G$53)</f>
        <v>74781446.077087373</v>
      </c>
      <c r="I118" s="479">
        <f>-'Foglio deposito bis'!$F$52*(C118-sezione!$AP$27)*IF(ABS(O118)&lt;'Progetto del paramento slu'!$G$58,ABS(O118)*'Progetto del paramento slu'!$G$54,'Progetto del paramento slu'!$G$53)</f>
        <v>55505726.282539919</v>
      </c>
      <c r="J118" s="479">
        <f t="shared" si="8"/>
        <v>147718965.9463411</v>
      </c>
      <c r="K118" s="558">
        <f>'Progetto del paramento slu'!$G$60*(sezione!$AL$27-C118)/C118</f>
        <v>1.224200913242011E-3</v>
      </c>
      <c r="L118" s="558">
        <f>'Progetto del paramento slu'!$G$60*(sezione!$AM$27-C118)/C118</f>
        <v>1.4215753424657543E-2</v>
      </c>
      <c r="M118" s="559">
        <f>'Progetto del paramento slu'!$G$60*(sezione!$AN$27-C118)/C118</f>
        <v>2.7207305936073071E-2</v>
      </c>
      <c r="N118" s="559">
        <f>'Progetto del paramento slu'!$G$60*(sezione!$AO$27-C118)/C118</f>
        <v>3.665570776255709E-2</v>
      </c>
      <c r="O118" s="559">
        <f>'Progetto del paramento slu'!$G$60*(sezione!$AP$27-C118)/C118</f>
        <v>2.7207305936073071E-2</v>
      </c>
      <c r="P118" s="553">
        <f>-'Progetto del paramento slu'!$G$47*'Progetto del paramento slu'!$G$41*IF(DATI!$G$218="dx",DATI!$E$61,DATI!$E$64*DATI!$E$63)*1000*C118*sezione!$AD$5</f>
        <v>-417726.64546684694</v>
      </c>
      <c r="Q118" s="553">
        <f>'Foglio deposito bis'!$F$48*IF(ABS(K118)&lt;'Progetto del paramento slu'!$G$58,ABS(K118)*'Progetto del paramento slu'!$G$54,'Progetto del paramento slu'!$G$53)*IF(K118&lt;0,-1,1)</f>
        <v>0</v>
      </c>
      <c r="R118" s="553">
        <f>'Foglio deposito bis'!$F$49*IF(ABS(L118)&lt;'Progetto del paramento slu'!$G$58,ABS(L118)*'Progetto del paramento slu'!$G$54,'Progetto del paramento slu'!$G$53)*IF(L118&lt;0,-1,1)</f>
        <v>204886.47740803001</v>
      </c>
      <c r="S118" s="553">
        <f>'Foglio deposito bis'!$F$50*IF(ABS(M118)&lt;'Progetto del paramento slu'!$G$58,ABS(M118)*'Progetto del paramento slu'!$G$54,'Progetto del paramento slu'!$G$53)*IF(M118&lt;0,-1,1)</f>
        <v>0</v>
      </c>
      <c r="T118" s="553">
        <f>'Foglio deposito bis'!$F$51*IF(ABS(N118)&lt;'Progetto del paramento slu'!$G$58,ABS(N118)*'Progetto del paramento slu'!$G$54,'Progetto del paramento slu'!$G$53)*IF(N118&lt;0,-1,1)</f>
        <v>240946.49743184328</v>
      </c>
      <c r="U118" s="553">
        <f>'Foglio deposito bis'!$F$52*IF(ABS(O118)&lt;'Progetto del paramento slu'!$G$58,ABS(O118)*'Progetto del paramento slu'!$G$54,'Progetto del paramento slu'!$G$53)*IF(O118&lt;0,-1,1)</f>
        <v>240946.49743184328</v>
      </c>
      <c r="V118" s="479">
        <f t="shared" si="10"/>
        <v>269052.82680486963</v>
      </c>
      <c r="W118" s="559"/>
      <c r="X118" s="559"/>
    </row>
    <row r="119" spans="1:24" x14ac:dyDescent="0.25">
      <c r="A119" s="553">
        <f t="shared" si="9"/>
        <v>257608.26117564092</v>
      </c>
      <c r="B119" s="3">
        <f t="shared" si="12"/>
        <v>7.499999999999992</v>
      </c>
      <c r="C119" s="553">
        <f>'Foglio deposito bis'!$E$153/$B$247*B119</f>
        <v>30.446549391069002</v>
      </c>
      <c r="D119" s="611">
        <f>-'Progetto del paramento slu'!$G$47*'Progetto del paramento slu'!$G$41*IF(DATI!$G$218="dx",DATI!$E$61,DATI!$E$64*DATI!$E$63)*1000*C119^2*sezione!$AD$5*(1-sezione!$AD$6)</f>
        <v>-7631000.9659031564</v>
      </c>
      <c r="E119" s="553">
        <f>-'Foglio deposito bis'!$F$48*(C119-sezione!$AL$27)*IF(ABS(K119)&lt;'Progetto del paramento slu'!$G$58,ABS(K119)*'Progetto del paramento slu'!$G$54,'Progetto del paramento slu'!$G$53)</f>
        <v>0</v>
      </c>
      <c r="F119" s="553">
        <f>-'Foglio deposito bis'!$F$49*(C119-sezione!$AM$27)*IF(ABS(L119)&lt;'Progetto del paramento slu'!$G$58,ABS(L119)*'Progetto del paramento slu'!$G$54,'Progetto del paramento slu'!$G$53)</f>
        <v>24494885.357238773</v>
      </c>
      <c r="G119" s="553">
        <f>-'Foglio deposito bis'!$F$50*(C119-sezione!$AN$27)*IF(ABS(M119)&lt;'Progetto del paramento slu'!$G$58,ABS(M119)*'Progetto del paramento slu'!$G$54,'Progetto del paramento slu'!$G$53)</f>
        <v>0</v>
      </c>
      <c r="H119" s="553">
        <f>-'Foglio deposito bis'!$F$51*(C119-sezione!$AO$27)*IF(ABS(N119)&lt;'Progetto del paramento slu'!$G$58,ABS(N119)*'Progetto del paramento slu'!$G$54,'Progetto del paramento slu'!$G$53)</f>
        <v>74585819.692163005</v>
      </c>
      <c r="I119" s="479">
        <f>-'Foglio deposito bis'!$F$52*(C119-sezione!$AP$27)*IF(ABS(O119)&lt;'Progetto del paramento slu'!$G$58,ABS(O119)*'Progetto del paramento slu'!$G$54,'Progetto del paramento slu'!$G$53)</f>
        <v>55310099.897615559</v>
      </c>
      <c r="J119" s="479">
        <f t="shared" si="8"/>
        <v>146759803.98111418</v>
      </c>
      <c r="K119" s="558">
        <f>'Progetto del paramento slu'!$G$60*(sezione!$AL$27-C119)/C119</f>
        <v>1.0982222222222237E-3</v>
      </c>
      <c r="L119" s="558">
        <f>'Progetto del paramento slu'!$G$60*(sezione!$AM$27-C119)/C119</f>
        <v>1.3743333333333338E-2</v>
      </c>
      <c r="M119" s="559">
        <f>'Progetto del paramento slu'!$G$60*(sezione!$AN$27-C119)/C119</f>
        <v>2.6388444444444457E-2</v>
      </c>
      <c r="N119" s="559">
        <f>'Progetto del paramento slu'!$G$60*(sezione!$AO$27-C119)/C119</f>
        <v>3.5584888888888902E-2</v>
      </c>
      <c r="O119" s="559">
        <f>'Progetto del paramento slu'!$G$60*(sezione!$AP$27-C119)/C119</f>
        <v>2.6388444444444457E-2</v>
      </c>
      <c r="P119" s="553">
        <f>-'Progetto del paramento slu'!$G$47*'Progetto del paramento slu'!$G$41*IF(DATI!$G$218="dx",DATI!$E$61,DATI!$E$64*DATI!$E$63)*1000*C119*sezione!$AD$5</f>
        <v>-429171.21109607565</v>
      </c>
      <c r="Q119" s="553">
        <f>'Foglio deposito bis'!$F$48*IF(ABS(K119)&lt;'Progetto del paramento slu'!$G$58,ABS(K119)*'Progetto del paramento slu'!$G$54,'Progetto del paramento slu'!$G$53)*IF(K119&lt;0,-1,1)</f>
        <v>0</v>
      </c>
      <c r="R119" s="553">
        <f>'Foglio deposito bis'!$F$49*IF(ABS(L119)&lt;'Progetto del paramento slu'!$G$58,ABS(L119)*'Progetto del paramento slu'!$G$54,'Progetto del paramento slu'!$G$53)*IF(L119&lt;0,-1,1)</f>
        <v>204886.47740803001</v>
      </c>
      <c r="S119" s="553">
        <f>'Foglio deposito bis'!$F$50*IF(ABS(M119)&lt;'Progetto del paramento slu'!$G$58,ABS(M119)*'Progetto del paramento slu'!$G$54,'Progetto del paramento slu'!$G$53)*IF(M119&lt;0,-1,1)</f>
        <v>0</v>
      </c>
      <c r="T119" s="553">
        <f>'Foglio deposito bis'!$F$51*IF(ABS(N119)&lt;'Progetto del paramento slu'!$G$58,ABS(N119)*'Progetto del paramento slu'!$G$54,'Progetto del paramento slu'!$G$53)*IF(N119&lt;0,-1,1)</f>
        <v>240946.49743184328</v>
      </c>
      <c r="U119" s="553">
        <f>'Foglio deposito bis'!$F$52*IF(ABS(O119)&lt;'Progetto del paramento slu'!$G$58,ABS(O119)*'Progetto del paramento slu'!$G$54,'Progetto del paramento slu'!$G$53)*IF(O119&lt;0,-1,1)</f>
        <v>240946.49743184328</v>
      </c>
      <c r="V119" s="479">
        <f t="shared" si="10"/>
        <v>257608.26117564092</v>
      </c>
      <c r="W119" s="559"/>
      <c r="X119" s="559"/>
    </row>
    <row r="120" spans="1:24" x14ac:dyDescent="0.25">
      <c r="A120" s="553">
        <f t="shared" si="9"/>
        <v>246163.69554641226</v>
      </c>
      <c r="B120" s="3">
        <f t="shared" si="12"/>
        <v>7.6999999999999922</v>
      </c>
      <c r="C120" s="553">
        <f>'Foglio deposito bis'!$E$153/$B$247*B120</f>
        <v>31.258457374830844</v>
      </c>
      <c r="D120" s="611">
        <f>-'Progetto del paramento slu'!$G$47*'Progetto del paramento slu'!$G$41*IF(DATI!$G$218="dx",DATI!$E$61,DATI!$E$64*DATI!$E$63)*1000*C120^2*sezione!$AD$5*(1-sezione!$AD$6)</f>
        <v>-8043414.1736604124</v>
      </c>
      <c r="E120" s="553">
        <f>-'Foglio deposito bis'!$F$48*(C120-sezione!$AL$27)*IF(ABS(K120)&lt;'Progetto del paramento slu'!$G$58,ABS(K120)*'Progetto del paramento slu'!$G$54,'Progetto del paramento slu'!$G$53)</f>
        <v>0</v>
      </c>
      <c r="F120" s="553">
        <f>-'Foglio deposito bis'!$F$49*(C120-sezione!$AM$27)*IF(ABS(L120)&lt;'Progetto del paramento slu'!$G$58,ABS(L120)*'Progetto del paramento slu'!$G$54,'Progetto del paramento slu'!$G$53)</f>
        <v>24328536.390466351</v>
      </c>
      <c r="G120" s="553">
        <f>-'Foglio deposito bis'!$F$50*(C120-sezione!$AN$27)*IF(ABS(M120)&lt;'Progetto del paramento slu'!$G$58,ABS(M120)*'Progetto del paramento slu'!$G$54,'Progetto del paramento slu'!$G$53)</f>
        <v>0</v>
      </c>
      <c r="H120" s="553">
        <f>-'Foglio deposito bis'!$F$51*(C120-sezione!$AO$27)*IF(ABS(N120)&lt;'Progetto del paramento slu'!$G$58,ABS(N120)*'Progetto del paramento slu'!$G$54,'Progetto del paramento slu'!$G$53)</f>
        <v>74390193.307238653</v>
      </c>
      <c r="I120" s="479">
        <f>-'Foglio deposito bis'!$F$52*(C120-sezione!$AP$27)*IF(ABS(O120)&lt;'Progetto del paramento slu'!$G$58,ABS(O120)*'Progetto del paramento slu'!$G$54,'Progetto del paramento slu'!$G$53)</f>
        <v>55114473.512691185</v>
      </c>
      <c r="J120" s="479">
        <f t="shared" si="8"/>
        <v>145789789.03673577</v>
      </c>
      <c r="K120" s="558">
        <f>'Progetto del paramento slu'!$G$60*(sezione!$AL$27-C120)/C120</f>
        <v>9.7878787878787998E-4</v>
      </c>
      <c r="L120" s="558">
        <f>'Progetto del paramento slu'!$G$60*(sezione!$AM$27-C120)/C120</f>
        <v>1.3295454545454551E-2</v>
      </c>
      <c r="M120" s="559">
        <f>'Progetto del paramento slu'!$G$60*(sezione!$AN$27-C120)/C120</f>
        <v>2.5612121212121221E-2</v>
      </c>
      <c r="N120" s="559">
        <f>'Progetto del paramento slu'!$G$60*(sezione!$AO$27-C120)/C120</f>
        <v>3.4569696969696972E-2</v>
      </c>
      <c r="O120" s="559">
        <f>'Progetto del paramento slu'!$G$60*(sezione!$AP$27-C120)/C120</f>
        <v>2.5612121212121221E-2</v>
      </c>
      <c r="P120" s="553">
        <f>-'Progetto del paramento slu'!$G$47*'Progetto del paramento slu'!$G$41*IF(DATI!$G$218="dx",DATI!$E$61,DATI!$E$64*DATI!$E$63)*1000*C120*sezione!$AD$5</f>
        <v>-440615.77672530431</v>
      </c>
      <c r="Q120" s="553">
        <f>'Foglio deposito bis'!$F$48*IF(ABS(K120)&lt;'Progetto del paramento slu'!$G$58,ABS(K120)*'Progetto del paramento slu'!$G$54,'Progetto del paramento slu'!$G$53)*IF(K120&lt;0,-1,1)</f>
        <v>0</v>
      </c>
      <c r="R120" s="553">
        <f>'Foglio deposito bis'!$F$49*IF(ABS(L120)&lt;'Progetto del paramento slu'!$G$58,ABS(L120)*'Progetto del paramento slu'!$G$54,'Progetto del paramento slu'!$G$53)*IF(L120&lt;0,-1,1)</f>
        <v>204886.47740803001</v>
      </c>
      <c r="S120" s="553">
        <f>'Foglio deposito bis'!$F$50*IF(ABS(M120)&lt;'Progetto del paramento slu'!$G$58,ABS(M120)*'Progetto del paramento slu'!$G$54,'Progetto del paramento slu'!$G$53)*IF(M120&lt;0,-1,1)</f>
        <v>0</v>
      </c>
      <c r="T120" s="553">
        <f>'Foglio deposito bis'!$F$51*IF(ABS(N120)&lt;'Progetto del paramento slu'!$G$58,ABS(N120)*'Progetto del paramento slu'!$G$54,'Progetto del paramento slu'!$G$53)*IF(N120&lt;0,-1,1)</f>
        <v>240946.49743184328</v>
      </c>
      <c r="U120" s="553">
        <f>'Foglio deposito bis'!$F$52*IF(ABS(O120)&lt;'Progetto del paramento slu'!$G$58,ABS(O120)*'Progetto del paramento slu'!$G$54,'Progetto del paramento slu'!$G$53)*IF(O120&lt;0,-1,1)</f>
        <v>240946.49743184328</v>
      </c>
      <c r="V120" s="479">
        <f t="shared" si="10"/>
        <v>246163.69554641226</v>
      </c>
      <c r="W120" s="559"/>
      <c r="X120" s="559"/>
    </row>
    <row r="121" spans="1:24" x14ac:dyDescent="0.25">
      <c r="A121" s="553">
        <f t="shared" si="9"/>
        <v>234719.12991718348</v>
      </c>
      <c r="B121" s="3">
        <f t="shared" si="12"/>
        <v>7.8999999999999924</v>
      </c>
      <c r="C121" s="553">
        <f>'Foglio deposito bis'!$E$153/$B$247*B121</f>
        <v>32.070365358592689</v>
      </c>
      <c r="D121" s="611">
        <f>-'Progetto del paramento slu'!$G$47*'Progetto del paramento slu'!$G$41*IF(DATI!$G$218="dx",DATI!$E$61,DATI!$E$64*DATI!$E$63)*1000*C121^2*sezione!$AD$5*(1-sezione!$AD$6)</f>
        <v>-8466680.3605691772</v>
      </c>
      <c r="E121" s="553">
        <f>-'Foglio deposito bis'!$F$48*(C121-sezione!$AL$27)*IF(ABS(K121)&lt;'Progetto del paramento slu'!$G$58,ABS(K121)*'Progetto del paramento slu'!$G$54,'Progetto del paramento slu'!$G$53)</f>
        <v>0</v>
      </c>
      <c r="F121" s="553">
        <f>-'Foglio deposito bis'!$F$49*(C121-sezione!$AM$27)*IF(ABS(L121)&lt;'Progetto del paramento slu'!$G$58,ABS(L121)*'Progetto del paramento slu'!$G$54,'Progetto del paramento slu'!$G$53)</f>
        <v>24162187.423693936</v>
      </c>
      <c r="G121" s="553">
        <f>-'Foglio deposito bis'!$F$50*(C121-sezione!$AN$27)*IF(ABS(M121)&lt;'Progetto del paramento slu'!$G$58,ABS(M121)*'Progetto del paramento slu'!$G$54,'Progetto del paramento slu'!$G$53)</f>
        <v>0</v>
      </c>
      <c r="H121" s="553">
        <f>-'Foglio deposito bis'!$F$51*(C121-sezione!$AO$27)*IF(ABS(N121)&lt;'Progetto del paramento slu'!$G$58,ABS(N121)*'Progetto del paramento slu'!$G$54,'Progetto del paramento slu'!$G$53)</f>
        <v>74194566.922314271</v>
      </c>
      <c r="I121" s="479">
        <f>-'Foglio deposito bis'!$F$52*(C121-sezione!$AP$27)*IF(ABS(O121)&lt;'Progetto del paramento slu'!$G$58,ABS(O121)*'Progetto del paramento slu'!$G$54,'Progetto del paramento slu'!$G$53)</f>
        <v>54918847.127766825</v>
      </c>
      <c r="J121" s="479">
        <f t="shared" si="8"/>
        <v>144808921.11320585</v>
      </c>
      <c r="K121" s="558">
        <f>'Progetto del paramento slu'!$G$60*(sezione!$AL$27-C121)/C121</f>
        <v>8.6540084388185708E-4</v>
      </c>
      <c r="L121" s="558">
        <f>'Progetto del paramento slu'!$G$60*(sezione!$AM$27-C121)/C121</f>
        <v>1.2870253164556965E-2</v>
      </c>
      <c r="M121" s="559">
        <f>'Progetto del paramento slu'!$G$60*(sezione!$AN$27-C121)/C121</f>
        <v>2.4875105485232071E-2</v>
      </c>
      <c r="N121" s="559">
        <f>'Progetto del paramento slu'!$G$60*(sezione!$AO$27-C121)/C121</f>
        <v>3.3605907172995782E-2</v>
      </c>
      <c r="O121" s="559">
        <f>'Progetto del paramento slu'!$G$60*(sezione!$AP$27-C121)/C121</f>
        <v>2.4875105485232071E-2</v>
      </c>
      <c r="P121" s="553">
        <f>-'Progetto del paramento slu'!$G$47*'Progetto del paramento slu'!$G$41*IF(DATI!$G$218="dx",DATI!$E$61,DATI!$E$64*DATI!$E$63)*1000*C121*sezione!$AD$5</f>
        <v>-452060.34235453309</v>
      </c>
      <c r="Q121" s="553">
        <f>'Foglio deposito bis'!$F$48*IF(ABS(K121)&lt;'Progetto del paramento slu'!$G$58,ABS(K121)*'Progetto del paramento slu'!$G$54,'Progetto del paramento slu'!$G$53)*IF(K121&lt;0,-1,1)</f>
        <v>0</v>
      </c>
      <c r="R121" s="553">
        <f>'Foglio deposito bis'!$F$49*IF(ABS(L121)&lt;'Progetto del paramento slu'!$G$58,ABS(L121)*'Progetto del paramento slu'!$G$54,'Progetto del paramento slu'!$G$53)*IF(L121&lt;0,-1,1)</f>
        <v>204886.47740803001</v>
      </c>
      <c r="S121" s="553">
        <f>'Foglio deposito bis'!$F$50*IF(ABS(M121)&lt;'Progetto del paramento slu'!$G$58,ABS(M121)*'Progetto del paramento slu'!$G$54,'Progetto del paramento slu'!$G$53)*IF(M121&lt;0,-1,1)</f>
        <v>0</v>
      </c>
      <c r="T121" s="553">
        <f>'Foglio deposito bis'!$F$51*IF(ABS(N121)&lt;'Progetto del paramento slu'!$G$58,ABS(N121)*'Progetto del paramento slu'!$G$54,'Progetto del paramento slu'!$G$53)*IF(N121&lt;0,-1,1)</f>
        <v>240946.49743184328</v>
      </c>
      <c r="U121" s="553">
        <f>'Foglio deposito bis'!$F$52*IF(ABS(O121)&lt;'Progetto del paramento slu'!$G$58,ABS(O121)*'Progetto del paramento slu'!$G$54,'Progetto del paramento slu'!$G$53)*IF(O121&lt;0,-1,1)</f>
        <v>240946.49743184328</v>
      </c>
      <c r="V121" s="479">
        <f t="shared" si="10"/>
        <v>234719.12991718348</v>
      </c>
      <c r="W121" s="559"/>
      <c r="X121" s="559"/>
    </row>
    <row r="122" spans="1:24" x14ac:dyDescent="0.25">
      <c r="A122" s="553">
        <f t="shared" si="9"/>
        <v>223274.56428795477</v>
      </c>
      <c r="B122" s="3">
        <f t="shared" si="12"/>
        <v>8.0999999999999925</v>
      </c>
      <c r="C122" s="553">
        <f>'Foglio deposito bis'!$E$153/$B$247*B122</f>
        <v>32.88227334235453</v>
      </c>
      <c r="D122" s="611">
        <f>-'Progetto del paramento slu'!$G$47*'Progetto del paramento slu'!$G$41*IF(DATI!$G$218="dx",DATI!$E$61,DATI!$E$64*DATI!$E$63)*1000*C122^2*sezione!$AD$5*(1-sezione!$AD$6)</f>
        <v>-8900799.5266294461</v>
      </c>
      <c r="E122" s="553">
        <f>-'Foglio deposito bis'!$F$48*(C122-sezione!$AL$27)*IF(ABS(K122)&lt;'Progetto del paramento slu'!$G$58,ABS(K122)*'Progetto del paramento slu'!$G$54,'Progetto del paramento slu'!$G$53)</f>
        <v>0</v>
      </c>
      <c r="F122" s="553">
        <f>-'Foglio deposito bis'!$F$49*(C122-sezione!$AM$27)*IF(ABS(L122)&lt;'Progetto del paramento slu'!$G$58,ABS(L122)*'Progetto del paramento slu'!$G$54,'Progetto del paramento slu'!$G$53)</f>
        <v>23995838.456921514</v>
      </c>
      <c r="G122" s="553">
        <f>-'Foglio deposito bis'!$F$50*(C122-sezione!$AN$27)*IF(ABS(M122)&lt;'Progetto del paramento slu'!$G$58,ABS(M122)*'Progetto del paramento slu'!$G$54,'Progetto del paramento slu'!$G$53)</f>
        <v>0</v>
      </c>
      <c r="H122" s="553">
        <f>-'Foglio deposito bis'!$F$51*(C122-sezione!$AO$27)*IF(ABS(N122)&lt;'Progetto del paramento slu'!$G$58,ABS(N122)*'Progetto del paramento slu'!$G$54,'Progetto del paramento slu'!$G$53)</f>
        <v>73998940.537389919</v>
      </c>
      <c r="I122" s="479">
        <f>-'Foglio deposito bis'!$F$52*(C122-sezione!$AP$27)*IF(ABS(O122)&lt;'Progetto del paramento slu'!$G$58,ABS(O122)*'Progetto del paramento slu'!$G$54,'Progetto del paramento slu'!$G$53)</f>
        <v>54723220.742842458</v>
      </c>
      <c r="J122" s="479">
        <f t="shared" si="8"/>
        <v>143817200.21052444</v>
      </c>
      <c r="K122" s="558">
        <f>'Progetto del paramento slu'!$G$60*(sezione!$AL$27-C122)/C122</f>
        <v>7.5761316872428018E-4</v>
      </c>
      <c r="L122" s="558">
        <f>'Progetto del paramento slu'!$G$60*(sezione!$AM$27-C122)/C122</f>
        <v>1.2466049382716051E-2</v>
      </c>
      <c r="M122" s="559">
        <f>'Progetto del paramento slu'!$G$60*(sezione!$AN$27-C122)/C122</f>
        <v>2.4174485596707825E-2</v>
      </c>
      <c r="N122" s="559">
        <f>'Progetto del paramento slu'!$G$60*(sezione!$AO$27-C122)/C122</f>
        <v>3.268971193415638E-2</v>
      </c>
      <c r="O122" s="559">
        <f>'Progetto del paramento slu'!$G$60*(sezione!$AP$27-C122)/C122</f>
        <v>2.4174485596707825E-2</v>
      </c>
      <c r="P122" s="553">
        <f>-'Progetto del paramento slu'!$G$47*'Progetto del paramento slu'!$G$41*IF(DATI!$G$218="dx",DATI!$E$61,DATI!$E$64*DATI!$E$63)*1000*C122*sezione!$AD$5</f>
        <v>-463504.9079837618</v>
      </c>
      <c r="Q122" s="553">
        <f>'Foglio deposito bis'!$F$48*IF(ABS(K122)&lt;'Progetto del paramento slu'!$G$58,ABS(K122)*'Progetto del paramento slu'!$G$54,'Progetto del paramento slu'!$G$53)*IF(K122&lt;0,-1,1)</f>
        <v>0</v>
      </c>
      <c r="R122" s="553">
        <f>'Foglio deposito bis'!$F$49*IF(ABS(L122)&lt;'Progetto del paramento slu'!$G$58,ABS(L122)*'Progetto del paramento slu'!$G$54,'Progetto del paramento slu'!$G$53)*IF(L122&lt;0,-1,1)</f>
        <v>204886.47740803001</v>
      </c>
      <c r="S122" s="553">
        <f>'Foglio deposito bis'!$F$50*IF(ABS(M122)&lt;'Progetto del paramento slu'!$G$58,ABS(M122)*'Progetto del paramento slu'!$G$54,'Progetto del paramento slu'!$G$53)*IF(M122&lt;0,-1,1)</f>
        <v>0</v>
      </c>
      <c r="T122" s="553">
        <f>'Foglio deposito bis'!$F$51*IF(ABS(N122)&lt;'Progetto del paramento slu'!$G$58,ABS(N122)*'Progetto del paramento slu'!$G$54,'Progetto del paramento slu'!$G$53)*IF(N122&lt;0,-1,1)</f>
        <v>240946.49743184328</v>
      </c>
      <c r="U122" s="553">
        <f>'Foglio deposito bis'!$F$52*IF(ABS(O122)&lt;'Progetto del paramento slu'!$G$58,ABS(O122)*'Progetto del paramento slu'!$G$54,'Progetto del paramento slu'!$G$53)*IF(O122&lt;0,-1,1)</f>
        <v>240946.49743184328</v>
      </c>
      <c r="V122" s="479">
        <f t="shared" si="10"/>
        <v>223274.56428795477</v>
      </c>
      <c r="W122" s="559"/>
      <c r="X122" s="559"/>
    </row>
    <row r="123" spans="1:24" x14ac:dyDescent="0.25">
      <c r="A123" s="553">
        <f t="shared" si="9"/>
        <v>211829.99865872622</v>
      </c>
      <c r="B123" s="3">
        <f t="shared" si="12"/>
        <v>8.2999999999999918</v>
      </c>
      <c r="C123" s="553">
        <f>'Foglio deposito bis'!$E$153/$B$247*B123</f>
        <v>33.694181326116365</v>
      </c>
      <c r="D123" s="611">
        <f>-'Progetto del paramento slu'!$G$47*'Progetto del paramento slu'!$G$41*IF(DATI!$G$218="dx",DATI!$E$61,DATI!$E$64*DATI!$E$63)*1000*C123^2*sezione!$AD$5*(1-sezione!$AD$6)</f>
        <v>-9345771.6718412172</v>
      </c>
      <c r="E123" s="553">
        <f>-'Foglio deposito bis'!$F$48*(C123-sezione!$AL$27)*IF(ABS(K123)&lt;'Progetto del paramento slu'!$G$58,ABS(K123)*'Progetto del paramento slu'!$G$54,'Progetto del paramento slu'!$G$53)</f>
        <v>0</v>
      </c>
      <c r="F123" s="553">
        <f>-'Foglio deposito bis'!$F$49*(C123-sezione!$AM$27)*IF(ABS(L123)&lt;'Progetto del paramento slu'!$G$58,ABS(L123)*'Progetto del paramento slu'!$G$54,'Progetto del paramento slu'!$G$53)</f>
        <v>23829489.490149096</v>
      </c>
      <c r="G123" s="553">
        <f>-'Foglio deposito bis'!$F$50*(C123-sezione!$AN$27)*IF(ABS(M123)&lt;'Progetto del paramento slu'!$G$58,ABS(M123)*'Progetto del paramento slu'!$G$54,'Progetto del paramento slu'!$G$53)</f>
        <v>0</v>
      </c>
      <c r="H123" s="553">
        <f>-'Foglio deposito bis'!$F$51*(C123-sezione!$AO$27)*IF(ABS(N123)&lt;'Progetto del paramento slu'!$G$58,ABS(N123)*'Progetto del paramento slu'!$G$54,'Progetto del paramento slu'!$G$53)</f>
        <v>73803314.152465552</v>
      </c>
      <c r="I123" s="479">
        <f>-'Foglio deposito bis'!$F$52*(C123-sezione!$AP$27)*IF(ABS(O123)&lt;'Progetto del paramento slu'!$G$58,ABS(O123)*'Progetto del paramento slu'!$G$54,'Progetto del paramento slu'!$G$53)</f>
        <v>54527594.357918099</v>
      </c>
      <c r="J123" s="479">
        <f t="shared" si="8"/>
        <v>142814626.32869154</v>
      </c>
      <c r="K123" s="558">
        <f>'Progetto del paramento slu'!$G$60*(sezione!$AL$27-C123)/C123</f>
        <v>6.5502008032128616E-4</v>
      </c>
      <c r="L123" s="558">
        <f>'Progetto del paramento slu'!$G$60*(sezione!$AM$27-C123)/C123</f>
        <v>1.2081325301204824E-2</v>
      </c>
      <c r="M123" s="559">
        <f>'Progetto del paramento slu'!$G$60*(sezione!$AN$27-C123)/C123</f>
        <v>2.350763052208836E-2</v>
      </c>
      <c r="N123" s="559">
        <f>'Progetto del paramento slu'!$G$60*(sezione!$AO$27-C123)/C123</f>
        <v>3.1817670682730934E-2</v>
      </c>
      <c r="O123" s="559">
        <f>'Progetto del paramento slu'!$G$60*(sezione!$AP$27-C123)/C123</f>
        <v>2.350763052208836E-2</v>
      </c>
      <c r="P123" s="553">
        <f>-'Progetto del paramento slu'!$G$47*'Progetto del paramento slu'!$G$41*IF(DATI!$G$218="dx",DATI!$E$61,DATI!$E$64*DATI!$E$63)*1000*C123*sezione!$AD$5</f>
        <v>-474949.47361299035</v>
      </c>
      <c r="Q123" s="553">
        <f>'Foglio deposito bis'!$F$48*IF(ABS(K123)&lt;'Progetto del paramento slu'!$G$58,ABS(K123)*'Progetto del paramento slu'!$G$54,'Progetto del paramento slu'!$G$53)*IF(K123&lt;0,-1,1)</f>
        <v>0</v>
      </c>
      <c r="R123" s="553">
        <f>'Foglio deposito bis'!$F$49*IF(ABS(L123)&lt;'Progetto del paramento slu'!$G$58,ABS(L123)*'Progetto del paramento slu'!$G$54,'Progetto del paramento slu'!$G$53)*IF(L123&lt;0,-1,1)</f>
        <v>204886.47740803001</v>
      </c>
      <c r="S123" s="553">
        <f>'Foglio deposito bis'!$F$50*IF(ABS(M123)&lt;'Progetto del paramento slu'!$G$58,ABS(M123)*'Progetto del paramento slu'!$G$54,'Progetto del paramento slu'!$G$53)*IF(M123&lt;0,-1,1)</f>
        <v>0</v>
      </c>
      <c r="T123" s="553">
        <f>'Foglio deposito bis'!$F$51*IF(ABS(N123)&lt;'Progetto del paramento slu'!$G$58,ABS(N123)*'Progetto del paramento slu'!$G$54,'Progetto del paramento slu'!$G$53)*IF(N123&lt;0,-1,1)</f>
        <v>240946.49743184328</v>
      </c>
      <c r="U123" s="553">
        <f>'Foglio deposito bis'!$F$52*IF(ABS(O123)&lt;'Progetto del paramento slu'!$G$58,ABS(O123)*'Progetto del paramento slu'!$G$54,'Progetto del paramento slu'!$G$53)*IF(O123&lt;0,-1,1)</f>
        <v>240946.49743184328</v>
      </c>
      <c r="V123" s="479">
        <f t="shared" si="10"/>
        <v>211829.99865872622</v>
      </c>
      <c r="W123" s="559"/>
      <c r="X123" s="559"/>
    </row>
    <row r="124" spans="1:24" x14ac:dyDescent="0.25">
      <c r="A124" s="553">
        <f t="shared" si="9"/>
        <v>200385.43302949751</v>
      </c>
      <c r="B124" s="3">
        <f t="shared" si="12"/>
        <v>8.4999999999999911</v>
      </c>
      <c r="C124" s="553">
        <f>'Foglio deposito bis'!$E$153/$B$247*B124</f>
        <v>34.506089309878206</v>
      </c>
      <c r="D124" s="611">
        <f>-'Progetto del paramento slu'!$G$47*'Progetto del paramento slu'!$G$41*IF(DATI!$G$218="dx",DATI!$E$61,DATI!$E$64*DATI!$E$63)*1000*C124^2*sezione!$AD$5*(1-sezione!$AD$6)</f>
        <v>-9801596.7962045018</v>
      </c>
      <c r="E124" s="553">
        <f>-'Foglio deposito bis'!$F$48*(C124-sezione!$AL$27)*IF(ABS(K124)&lt;'Progetto del paramento slu'!$G$58,ABS(K124)*'Progetto del paramento slu'!$G$54,'Progetto del paramento slu'!$G$53)</f>
        <v>0</v>
      </c>
      <c r="F124" s="553">
        <f>-'Foglio deposito bis'!$F$49*(C124-sezione!$AM$27)*IF(ABS(L124)&lt;'Progetto del paramento slu'!$G$58,ABS(L124)*'Progetto del paramento slu'!$G$54,'Progetto del paramento slu'!$G$53)</f>
        <v>23663140.523376673</v>
      </c>
      <c r="G124" s="553">
        <f>-'Foglio deposito bis'!$F$50*(C124-sezione!$AN$27)*IF(ABS(M124)&lt;'Progetto del paramento slu'!$G$58,ABS(M124)*'Progetto del paramento slu'!$G$54,'Progetto del paramento slu'!$G$53)</f>
        <v>0</v>
      </c>
      <c r="H124" s="553">
        <f>-'Foglio deposito bis'!$F$51*(C124-sezione!$AO$27)*IF(ABS(N124)&lt;'Progetto del paramento slu'!$G$58,ABS(N124)*'Progetto del paramento slu'!$G$54,'Progetto del paramento slu'!$G$53)</f>
        <v>73607687.76754117</v>
      </c>
      <c r="I124" s="479">
        <f>-'Foglio deposito bis'!$F$52*(C124-sezione!$AP$27)*IF(ABS(O124)&lt;'Progetto del paramento slu'!$G$58,ABS(O124)*'Progetto del paramento slu'!$G$54,'Progetto del paramento slu'!$G$53)</f>
        <v>54331967.972993724</v>
      </c>
      <c r="J124" s="479">
        <f t="shared" si="8"/>
        <v>141801199.46770707</v>
      </c>
      <c r="K124" s="558">
        <f>'Progetto del paramento slu'!$G$60*(sezione!$AL$27-C124)/C124</f>
        <v>5.5725490196078522E-4</v>
      </c>
      <c r="L124" s="558">
        <f>'Progetto del paramento slu'!$G$60*(sezione!$AM$27-C124)/C124</f>
        <v>1.1714705882352945E-2</v>
      </c>
      <c r="M124" s="559">
        <f>'Progetto del paramento slu'!$G$60*(sezione!$AN$27-C124)/C124</f>
        <v>2.2872156862745106E-2</v>
      </c>
      <c r="N124" s="559">
        <f>'Progetto del paramento slu'!$G$60*(sezione!$AO$27-C124)/C124</f>
        <v>3.0986666666666673E-2</v>
      </c>
      <c r="O124" s="559">
        <f>'Progetto del paramento slu'!$G$60*(sezione!$AP$27-C124)/C124</f>
        <v>2.2872156862745106E-2</v>
      </c>
      <c r="P124" s="553">
        <f>-'Progetto del paramento slu'!$G$47*'Progetto del paramento slu'!$G$41*IF(DATI!$G$218="dx",DATI!$E$61,DATI!$E$64*DATI!$E$63)*1000*C124*sezione!$AD$5</f>
        <v>-486394.03924221906</v>
      </c>
      <c r="Q124" s="553">
        <f>'Foglio deposito bis'!$F$48*IF(ABS(K124)&lt;'Progetto del paramento slu'!$G$58,ABS(K124)*'Progetto del paramento slu'!$G$54,'Progetto del paramento slu'!$G$53)*IF(K124&lt;0,-1,1)</f>
        <v>0</v>
      </c>
      <c r="R124" s="553">
        <f>'Foglio deposito bis'!$F$49*IF(ABS(L124)&lt;'Progetto del paramento slu'!$G$58,ABS(L124)*'Progetto del paramento slu'!$G$54,'Progetto del paramento slu'!$G$53)*IF(L124&lt;0,-1,1)</f>
        <v>204886.47740803001</v>
      </c>
      <c r="S124" s="553">
        <f>'Foglio deposito bis'!$F$50*IF(ABS(M124)&lt;'Progetto del paramento slu'!$G$58,ABS(M124)*'Progetto del paramento slu'!$G$54,'Progetto del paramento slu'!$G$53)*IF(M124&lt;0,-1,1)</f>
        <v>0</v>
      </c>
      <c r="T124" s="553">
        <f>'Foglio deposito bis'!$F$51*IF(ABS(N124)&lt;'Progetto del paramento slu'!$G$58,ABS(N124)*'Progetto del paramento slu'!$G$54,'Progetto del paramento slu'!$G$53)*IF(N124&lt;0,-1,1)</f>
        <v>240946.49743184328</v>
      </c>
      <c r="U124" s="553">
        <f>'Foglio deposito bis'!$F$52*IF(ABS(O124)&lt;'Progetto del paramento slu'!$G$58,ABS(O124)*'Progetto del paramento slu'!$G$54,'Progetto del paramento slu'!$G$53)*IF(O124&lt;0,-1,1)</f>
        <v>240946.49743184328</v>
      </c>
      <c r="V124" s="479">
        <f t="shared" si="10"/>
        <v>200385.43302949751</v>
      </c>
      <c r="W124" s="559"/>
      <c r="X124" s="559"/>
    </row>
    <row r="125" spans="1:24" x14ac:dyDescent="0.25">
      <c r="A125" s="553">
        <f t="shared" si="9"/>
        <v>188940.86740026885</v>
      </c>
      <c r="B125" s="3">
        <f t="shared" si="12"/>
        <v>8.6999999999999904</v>
      </c>
      <c r="C125" s="553">
        <f>'Foglio deposito bis'!$E$153/$B$247*B125</f>
        <v>35.31799729364004</v>
      </c>
      <c r="D125" s="611">
        <f>-'Progetto del paramento slu'!$G$47*'Progetto del paramento slu'!$G$41*IF(DATI!$G$218="dx",DATI!$E$61,DATI!$E$64*DATI!$E$63)*1000*C125^2*sezione!$AD$5*(1-sezione!$AD$6)</f>
        <v>-10268274.899719285</v>
      </c>
      <c r="E125" s="553">
        <f>-'Foglio deposito bis'!$F$48*(C125-sezione!$AL$27)*IF(ABS(K125)&lt;'Progetto del paramento slu'!$G$58,ABS(K125)*'Progetto del paramento slu'!$G$54,'Progetto del paramento slu'!$G$53)</f>
        <v>0</v>
      </c>
      <c r="F125" s="553">
        <f>-'Foglio deposito bis'!$F$49*(C125-sezione!$AM$27)*IF(ABS(L125)&lt;'Progetto del paramento slu'!$G$58,ABS(L125)*'Progetto del paramento slu'!$G$54,'Progetto del paramento slu'!$G$53)</f>
        <v>23496791.556604255</v>
      </c>
      <c r="G125" s="553">
        <f>-'Foglio deposito bis'!$F$50*(C125-sezione!$AN$27)*IF(ABS(M125)&lt;'Progetto del paramento slu'!$G$58,ABS(M125)*'Progetto del paramento slu'!$G$54,'Progetto del paramento slu'!$G$53)</f>
        <v>0</v>
      </c>
      <c r="H125" s="553">
        <f>-'Foglio deposito bis'!$F$51*(C125-sezione!$AO$27)*IF(ABS(N125)&lt;'Progetto del paramento slu'!$G$58,ABS(N125)*'Progetto del paramento slu'!$G$54,'Progetto del paramento slu'!$G$53)</f>
        <v>73412061.382616833</v>
      </c>
      <c r="I125" s="479">
        <f>-'Foglio deposito bis'!$F$52*(C125-sezione!$AP$27)*IF(ABS(O125)&lt;'Progetto del paramento slu'!$G$58,ABS(O125)*'Progetto del paramento slu'!$G$54,'Progetto del paramento slu'!$G$53)</f>
        <v>54136341.588069364</v>
      </c>
      <c r="J125" s="479">
        <f t="shared" si="8"/>
        <v>140776919.62757117</v>
      </c>
      <c r="K125" s="558">
        <f>'Progetto del paramento slu'!$G$60*(sezione!$AL$27-C125)/C125</f>
        <v>4.639846743295035E-4</v>
      </c>
      <c r="L125" s="558">
        <f>'Progetto del paramento slu'!$G$60*(sezione!$AM$27-C125)/C125</f>
        <v>1.1364942528735638E-2</v>
      </c>
      <c r="M125" s="559">
        <f>'Progetto del paramento slu'!$G$60*(sezione!$AN$27-C125)/C125</f>
        <v>2.226590038314177E-2</v>
      </c>
      <c r="N125" s="559">
        <f>'Progetto del paramento slu'!$G$60*(sezione!$AO$27-C125)/C125</f>
        <v>3.0193869731800785E-2</v>
      </c>
      <c r="O125" s="559">
        <f>'Progetto del paramento slu'!$G$60*(sezione!$AP$27-C125)/C125</f>
        <v>2.226590038314177E-2</v>
      </c>
      <c r="P125" s="553">
        <f>-'Progetto del paramento slu'!$G$47*'Progetto del paramento slu'!$G$41*IF(DATI!$G$218="dx",DATI!$E$61,DATI!$E$64*DATI!$E$63)*1000*C125*sezione!$AD$5</f>
        <v>-497838.60487144772</v>
      </c>
      <c r="Q125" s="553">
        <f>'Foglio deposito bis'!$F$48*IF(ABS(K125)&lt;'Progetto del paramento slu'!$G$58,ABS(K125)*'Progetto del paramento slu'!$G$54,'Progetto del paramento slu'!$G$53)*IF(K125&lt;0,-1,1)</f>
        <v>0</v>
      </c>
      <c r="R125" s="553">
        <f>'Foglio deposito bis'!$F$49*IF(ABS(L125)&lt;'Progetto del paramento slu'!$G$58,ABS(L125)*'Progetto del paramento slu'!$G$54,'Progetto del paramento slu'!$G$53)*IF(L125&lt;0,-1,1)</f>
        <v>204886.47740803001</v>
      </c>
      <c r="S125" s="553">
        <f>'Foglio deposito bis'!$F$50*IF(ABS(M125)&lt;'Progetto del paramento slu'!$G$58,ABS(M125)*'Progetto del paramento slu'!$G$54,'Progetto del paramento slu'!$G$53)*IF(M125&lt;0,-1,1)</f>
        <v>0</v>
      </c>
      <c r="T125" s="553">
        <f>'Foglio deposito bis'!$F$51*IF(ABS(N125)&lt;'Progetto del paramento slu'!$G$58,ABS(N125)*'Progetto del paramento slu'!$G$54,'Progetto del paramento slu'!$G$53)*IF(N125&lt;0,-1,1)</f>
        <v>240946.49743184328</v>
      </c>
      <c r="U125" s="553">
        <f>'Foglio deposito bis'!$F$52*IF(ABS(O125)&lt;'Progetto del paramento slu'!$G$58,ABS(O125)*'Progetto del paramento slu'!$G$54,'Progetto del paramento slu'!$G$53)*IF(O125&lt;0,-1,1)</f>
        <v>240946.49743184328</v>
      </c>
      <c r="V125" s="479">
        <f t="shared" si="10"/>
        <v>188940.86740026885</v>
      </c>
      <c r="W125" s="559"/>
      <c r="X125" s="559"/>
    </row>
    <row r="126" spans="1:24" x14ac:dyDescent="0.25">
      <c r="A126" s="553">
        <f t="shared" si="9"/>
        <v>177496.30177104013</v>
      </c>
      <c r="B126" s="3">
        <f t="shared" si="12"/>
        <v>8.8999999999999897</v>
      </c>
      <c r="C126" s="553">
        <f>'Foglio deposito bis'!$E$153/$B$247*B126</f>
        <v>36.129905277401882</v>
      </c>
      <c r="D126" s="611">
        <f>-'Progetto del paramento slu'!$G$47*'Progetto del paramento slu'!$G$41*IF(DATI!$G$218="dx",DATI!$E$61,DATI!$E$64*DATI!$E$63)*1000*C126^2*sezione!$AD$5*(1-sezione!$AD$6)</f>
        <v>-10745805.982385581</v>
      </c>
      <c r="E126" s="553">
        <f>-'Foglio deposito bis'!$F$48*(C126-sezione!$AL$27)*IF(ABS(K126)&lt;'Progetto del paramento slu'!$G$58,ABS(K126)*'Progetto del paramento slu'!$G$54,'Progetto del paramento slu'!$G$53)</f>
        <v>0</v>
      </c>
      <c r="F126" s="553">
        <f>-'Foglio deposito bis'!$F$49*(C126-sezione!$AM$27)*IF(ABS(L126)&lt;'Progetto del paramento slu'!$G$58,ABS(L126)*'Progetto del paramento slu'!$G$54,'Progetto del paramento slu'!$G$53)</f>
        <v>23330442.589831833</v>
      </c>
      <c r="G126" s="553">
        <f>-'Foglio deposito bis'!$F$50*(C126-sezione!$AN$27)*IF(ABS(M126)&lt;'Progetto del paramento slu'!$G$58,ABS(M126)*'Progetto del paramento slu'!$G$54,'Progetto del paramento slu'!$G$53)</f>
        <v>0</v>
      </c>
      <c r="H126" s="553">
        <f>-'Foglio deposito bis'!$F$51*(C126-sezione!$AO$27)*IF(ABS(N126)&lt;'Progetto del paramento slu'!$G$58,ABS(N126)*'Progetto del paramento slu'!$G$54,'Progetto del paramento slu'!$G$53)</f>
        <v>73216434.997692466</v>
      </c>
      <c r="I126" s="479">
        <f>-'Foglio deposito bis'!$F$52*(C126-sezione!$AP$27)*IF(ABS(O126)&lt;'Progetto del paramento slu'!$G$58,ABS(O126)*'Progetto del paramento slu'!$G$54,'Progetto del paramento slu'!$G$53)</f>
        <v>53940715.203144997</v>
      </c>
      <c r="J126" s="479">
        <f t="shared" si="8"/>
        <v>139741786.80828372</v>
      </c>
      <c r="K126" s="558">
        <f>'Progetto del paramento slu'!$G$60*(sezione!$AL$27-C126)/C126</f>
        <v>3.7490636704119989E-4</v>
      </c>
      <c r="L126" s="558">
        <f>'Progetto del paramento slu'!$G$60*(sezione!$AM$27-C126)/C126</f>
        <v>1.1030898876404498E-2</v>
      </c>
      <c r="M126" s="559">
        <f>'Progetto del paramento slu'!$G$60*(sezione!$AN$27-C126)/C126</f>
        <v>2.1686891385767799E-2</v>
      </c>
      <c r="N126" s="559">
        <f>'Progetto del paramento slu'!$G$60*(sezione!$AO$27-C126)/C126</f>
        <v>2.94367041198502E-2</v>
      </c>
      <c r="O126" s="559">
        <f>'Progetto del paramento slu'!$G$60*(sezione!$AP$27-C126)/C126</f>
        <v>2.1686891385767799E-2</v>
      </c>
      <c r="P126" s="553">
        <f>-'Progetto del paramento slu'!$G$47*'Progetto del paramento slu'!$G$41*IF(DATI!$G$218="dx",DATI!$E$61,DATI!$E$64*DATI!$E$63)*1000*C126*sezione!$AD$5</f>
        <v>-509283.17050067644</v>
      </c>
      <c r="Q126" s="553">
        <f>'Foglio deposito bis'!$F$48*IF(ABS(K126)&lt;'Progetto del paramento slu'!$G$58,ABS(K126)*'Progetto del paramento slu'!$G$54,'Progetto del paramento slu'!$G$53)*IF(K126&lt;0,-1,1)</f>
        <v>0</v>
      </c>
      <c r="R126" s="553">
        <f>'Foglio deposito bis'!$F$49*IF(ABS(L126)&lt;'Progetto del paramento slu'!$G$58,ABS(L126)*'Progetto del paramento slu'!$G$54,'Progetto del paramento slu'!$G$53)*IF(L126&lt;0,-1,1)</f>
        <v>204886.47740803001</v>
      </c>
      <c r="S126" s="553">
        <f>'Foglio deposito bis'!$F$50*IF(ABS(M126)&lt;'Progetto del paramento slu'!$G$58,ABS(M126)*'Progetto del paramento slu'!$G$54,'Progetto del paramento slu'!$G$53)*IF(M126&lt;0,-1,1)</f>
        <v>0</v>
      </c>
      <c r="T126" s="553">
        <f>'Foglio deposito bis'!$F$51*IF(ABS(N126)&lt;'Progetto del paramento slu'!$G$58,ABS(N126)*'Progetto del paramento slu'!$G$54,'Progetto del paramento slu'!$G$53)*IF(N126&lt;0,-1,1)</f>
        <v>240946.49743184328</v>
      </c>
      <c r="U126" s="553">
        <f>'Foglio deposito bis'!$F$52*IF(ABS(O126)&lt;'Progetto del paramento slu'!$G$58,ABS(O126)*'Progetto del paramento slu'!$G$54,'Progetto del paramento slu'!$G$53)*IF(O126&lt;0,-1,1)</f>
        <v>240946.49743184328</v>
      </c>
      <c r="V126" s="479">
        <f t="shared" si="10"/>
        <v>177496.30177104013</v>
      </c>
      <c r="W126" s="559"/>
      <c r="X126" s="559"/>
    </row>
    <row r="127" spans="1:24" x14ac:dyDescent="0.25">
      <c r="A127" s="553">
        <f t="shared" si="9"/>
        <v>166051.73614181153</v>
      </c>
      <c r="B127" s="3">
        <f t="shared" si="12"/>
        <v>9.099999999999989</v>
      </c>
      <c r="C127" s="553">
        <f>'Foglio deposito bis'!$E$153/$B$247*B127</f>
        <v>36.941813261163716</v>
      </c>
      <c r="D127" s="611">
        <f>-'Progetto del paramento slu'!$G$47*'Progetto del paramento slu'!$G$41*IF(DATI!$G$218="dx",DATI!$E$61,DATI!$E$64*DATI!$E$63)*1000*C127^2*sezione!$AD$5*(1-sezione!$AD$6)</f>
        <v>-11234190.044203378</v>
      </c>
      <c r="E127" s="553">
        <f>-'Foglio deposito bis'!$F$48*(C127-sezione!$AL$27)*IF(ABS(K127)&lt;'Progetto del paramento slu'!$G$58,ABS(K127)*'Progetto del paramento slu'!$G$54,'Progetto del paramento slu'!$G$53)</f>
        <v>0</v>
      </c>
      <c r="F127" s="553">
        <f>-'Foglio deposito bis'!$F$49*(C127-sezione!$AM$27)*IF(ABS(L127)&lt;'Progetto del paramento slu'!$G$58,ABS(L127)*'Progetto del paramento slu'!$G$54,'Progetto del paramento slu'!$G$53)</f>
        <v>23164093.623059418</v>
      </c>
      <c r="G127" s="553">
        <f>-'Foglio deposito bis'!$F$50*(C127-sezione!$AN$27)*IF(ABS(M127)&lt;'Progetto del paramento slu'!$G$58,ABS(M127)*'Progetto del paramento slu'!$G$54,'Progetto del paramento slu'!$G$53)</f>
        <v>0</v>
      </c>
      <c r="H127" s="553">
        <f>-'Foglio deposito bis'!$F$51*(C127-sezione!$AO$27)*IF(ABS(N127)&lt;'Progetto del paramento slu'!$G$58,ABS(N127)*'Progetto del paramento slu'!$G$54,'Progetto del paramento slu'!$G$53)</f>
        <v>73020808.612768099</v>
      </c>
      <c r="I127" s="479">
        <f>-'Foglio deposito bis'!$F$52*(C127-sezione!$AP$27)*IF(ABS(O127)&lt;'Progetto del paramento slu'!$G$58,ABS(O127)*'Progetto del paramento slu'!$G$54,'Progetto del paramento slu'!$G$53)</f>
        <v>53745088.818220638</v>
      </c>
      <c r="J127" s="479">
        <f t="shared" si="8"/>
        <v>138695801.00984478</v>
      </c>
      <c r="K127" s="558">
        <f>'Progetto del paramento slu'!$G$60*(sezione!$AL$27-C127)/C127</f>
        <v>2.8974358974359166E-4</v>
      </c>
      <c r="L127" s="558">
        <f>'Progetto del paramento slu'!$G$60*(sezione!$AM$27-C127)/C127</f>
        <v>1.0711538461538469E-2</v>
      </c>
      <c r="M127" s="559">
        <f>'Progetto del paramento slu'!$G$60*(sezione!$AN$27-C127)/C127</f>
        <v>2.1133333333333348E-2</v>
      </c>
      <c r="N127" s="559">
        <f>'Progetto del paramento slu'!$G$60*(sezione!$AO$27-C127)/C127</f>
        <v>2.8712820512820533E-2</v>
      </c>
      <c r="O127" s="559">
        <f>'Progetto del paramento slu'!$G$60*(sezione!$AP$27-C127)/C127</f>
        <v>2.1133333333333348E-2</v>
      </c>
      <c r="P127" s="553">
        <f>-'Progetto del paramento slu'!$G$47*'Progetto del paramento slu'!$G$41*IF(DATI!$G$218="dx",DATI!$E$61,DATI!$E$64*DATI!$E$63)*1000*C127*sezione!$AD$5</f>
        <v>-520727.73612990504</v>
      </c>
      <c r="Q127" s="553">
        <f>'Foglio deposito bis'!$F$48*IF(ABS(K127)&lt;'Progetto del paramento slu'!$G$58,ABS(K127)*'Progetto del paramento slu'!$G$54,'Progetto del paramento slu'!$G$53)*IF(K127&lt;0,-1,1)</f>
        <v>0</v>
      </c>
      <c r="R127" s="553">
        <f>'Foglio deposito bis'!$F$49*IF(ABS(L127)&lt;'Progetto del paramento slu'!$G$58,ABS(L127)*'Progetto del paramento slu'!$G$54,'Progetto del paramento slu'!$G$53)*IF(L127&lt;0,-1,1)</f>
        <v>204886.47740803001</v>
      </c>
      <c r="S127" s="553">
        <f>'Foglio deposito bis'!$F$50*IF(ABS(M127)&lt;'Progetto del paramento slu'!$G$58,ABS(M127)*'Progetto del paramento slu'!$G$54,'Progetto del paramento slu'!$G$53)*IF(M127&lt;0,-1,1)</f>
        <v>0</v>
      </c>
      <c r="T127" s="553">
        <f>'Foglio deposito bis'!$F$51*IF(ABS(N127)&lt;'Progetto del paramento slu'!$G$58,ABS(N127)*'Progetto del paramento slu'!$G$54,'Progetto del paramento slu'!$G$53)*IF(N127&lt;0,-1,1)</f>
        <v>240946.49743184328</v>
      </c>
      <c r="U127" s="553">
        <f>'Foglio deposito bis'!$F$52*IF(ABS(O127)&lt;'Progetto del paramento slu'!$G$58,ABS(O127)*'Progetto del paramento slu'!$G$54,'Progetto del paramento slu'!$G$53)*IF(O127&lt;0,-1,1)</f>
        <v>240946.49743184328</v>
      </c>
      <c r="V127" s="479">
        <f t="shared" si="10"/>
        <v>166051.73614181153</v>
      </c>
      <c r="W127" s="559"/>
      <c r="X127" s="559"/>
    </row>
    <row r="128" spans="1:24" x14ac:dyDescent="0.25">
      <c r="A128" s="553">
        <f t="shared" si="9"/>
        <v>154607.17051258287</v>
      </c>
      <c r="B128" s="3">
        <f t="shared" si="12"/>
        <v>9.2999999999999883</v>
      </c>
      <c r="C128" s="553">
        <f>'Foglio deposito bis'!$E$153/$B$247*B128</f>
        <v>37.753721244925558</v>
      </c>
      <c r="D128" s="611">
        <f>-'Progetto del paramento slu'!$G$47*'Progetto del paramento slu'!$G$41*IF(DATI!$G$218="dx",DATI!$E$61,DATI!$E$64*DATI!$E$63)*1000*C128^2*sezione!$AD$5*(1-sezione!$AD$6)</f>
        <v>-11733427.085172689</v>
      </c>
      <c r="E128" s="553">
        <f>-'Foglio deposito bis'!$F$48*(C128-sezione!$AL$27)*IF(ABS(K128)&lt;'Progetto del paramento slu'!$G$58,ABS(K128)*'Progetto del paramento slu'!$G$54,'Progetto del paramento slu'!$G$53)</f>
        <v>0</v>
      </c>
      <c r="F128" s="553">
        <f>-'Foglio deposito bis'!$F$49*(C128-sezione!$AM$27)*IF(ABS(L128)&lt;'Progetto del paramento slu'!$G$58,ABS(L128)*'Progetto del paramento slu'!$G$54,'Progetto del paramento slu'!$G$53)</f>
        <v>22997744.656286996</v>
      </c>
      <c r="G128" s="553">
        <f>-'Foglio deposito bis'!$F$50*(C128-sezione!$AN$27)*IF(ABS(M128)&lt;'Progetto del paramento slu'!$G$58,ABS(M128)*'Progetto del paramento slu'!$G$54,'Progetto del paramento slu'!$G$53)</f>
        <v>0</v>
      </c>
      <c r="H128" s="553">
        <f>-'Foglio deposito bis'!$F$51*(C128-sezione!$AO$27)*IF(ABS(N128)&lt;'Progetto del paramento slu'!$G$58,ABS(N128)*'Progetto del paramento slu'!$G$54,'Progetto del paramento slu'!$G$53)</f>
        <v>72825182.227843732</v>
      </c>
      <c r="I128" s="479">
        <f>-'Foglio deposito bis'!$F$52*(C128-sezione!$AP$27)*IF(ABS(O128)&lt;'Progetto del paramento slu'!$G$58,ABS(O128)*'Progetto del paramento slu'!$G$54,'Progetto del paramento slu'!$G$53)</f>
        <v>53549462.433296278</v>
      </c>
      <c r="J128" s="479">
        <f t="shared" si="8"/>
        <v>137638962.23225433</v>
      </c>
      <c r="K128" s="558">
        <f>'Progetto del paramento slu'!$G$60*(sezione!$AL$27-C128)/C128</f>
        <v>2.0824372759856803E-4</v>
      </c>
      <c r="L128" s="558">
        <f>'Progetto del paramento slu'!$G$60*(sezione!$AM$27-C128)/C128</f>
        <v>1.040591397849463E-2</v>
      </c>
      <c r="M128" s="559">
        <f>'Progetto del paramento slu'!$G$60*(sezione!$AN$27-C128)/C128</f>
        <v>2.0603584229390695E-2</v>
      </c>
      <c r="N128" s="559">
        <f>'Progetto del paramento slu'!$G$60*(sezione!$AO$27-C128)/C128</f>
        <v>2.8020071684587828E-2</v>
      </c>
      <c r="O128" s="559">
        <f>'Progetto del paramento slu'!$G$60*(sezione!$AP$27-C128)/C128</f>
        <v>2.0603584229390695E-2</v>
      </c>
      <c r="P128" s="553">
        <f>-'Progetto del paramento slu'!$G$47*'Progetto del paramento slu'!$G$41*IF(DATI!$G$218="dx",DATI!$E$61,DATI!$E$64*DATI!$E$63)*1000*C128*sezione!$AD$5</f>
        <v>-532172.3017591337</v>
      </c>
      <c r="Q128" s="553">
        <f>'Foglio deposito bis'!$F$48*IF(ABS(K128)&lt;'Progetto del paramento slu'!$G$58,ABS(K128)*'Progetto del paramento slu'!$G$54,'Progetto del paramento slu'!$G$53)*IF(K128&lt;0,-1,1)</f>
        <v>0</v>
      </c>
      <c r="R128" s="553">
        <f>'Foglio deposito bis'!$F$49*IF(ABS(L128)&lt;'Progetto del paramento slu'!$G$58,ABS(L128)*'Progetto del paramento slu'!$G$54,'Progetto del paramento slu'!$G$53)*IF(L128&lt;0,-1,1)</f>
        <v>204886.47740803001</v>
      </c>
      <c r="S128" s="553">
        <f>'Foglio deposito bis'!$F$50*IF(ABS(M128)&lt;'Progetto del paramento slu'!$G$58,ABS(M128)*'Progetto del paramento slu'!$G$54,'Progetto del paramento slu'!$G$53)*IF(M128&lt;0,-1,1)</f>
        <v>0</v>
      </c>
      <c r="T128" s="553">
        <f>'Foglio deposito bis'!$F$51*IF(ABS(N128)&lt;'Progetto del paramento slu'!$G$58,ABS(N128)*'Progetto del paramento slu'!$G$54,'Progetto del paramento slu'!$G$53)*IF(N128&lt;0,-1,1)</f>
        <v>240946.49743184328</v>
      </c>
      <c r="U128" s="553">
        <f>'Foglio deposito bis'!$F$52*IF(ABS(O128)&lt;'Progetto del paramento slu'!$G$58,ABS(O128)*'Progetto del paramento slu'!$G$54,'Progetto del paramento slu'!$G$53)*IF(O128&lt;0,-1,1)</f>
        <v>240946.49743184328</v>
      </c>
      <c r="V128" s="479">
        <f t="shared" si="10"/>
        <v>154607.17051258287</v>
      </c>
      <c r="W128" s="559"/>
      <c r="X128" s="559"/>
    </row>
    <row r="129" spans="1:24" x14ac:dyDescent="0.25">
      <c r="A129" s="553">
        <f t="shared" si="9"/>
        <v>143162.60488335427</v>
      </c>
      <c r="B129" s="3">
        <f t="shared" si="12"/>
        <v>9.4999999999999876</v>
      </c>
      <c r="C129" s="553">
        <f>'Foglio deposito bis'!$E$153/$B$247*B129</f>
        <v>38.565629228687392</v>
      </c>
      <c r="D129" s="611">
        <f>-'Progetto del paramento slu'!$G$47*'Progetto del paramento slu'!$G$41*IF(DATI!$G$218="dx",DATI!$E$61,DATI!$E$64*DATI!$E$63)*1000*C129^2*sezione!$AD$5*(1-sezione!$AD$6)</f>
        <v>-12243517.105293501</v>
      </c>
      <c r="E129" s="553">
        <f>-'Foglio deposito bis'!$F$48*(C129-sezione!$AL$27)*IF(ABS(K129)&lt;'Progetto del paramento slu'!$G$58,ABS(K129)*'Progetto del paramento slu'!$G$54,'Progetto del paramento slu'!$G$53)</f>
        <v>0</v>
      </c>
      <c r="F129" s="553">
        <f>-'Foglio deposito bis'!$F$49*(C129-sezione!$AM$27)*IF(ABS(L129)&lt;'Progetto del paramento slu'!$G$58,ABS(L129)*'Progetto del paramento slu'!$G$54,'Progetto del paramento slu'!$G$53)</f>
        <v>22831395.689514581</v>
      </c>
      <c r="G129" s="553">
        <f>-'Foglio deposito bis'!$F$50*(C129-sezione!$AN$27)*IF(ABS(M129)&lt;'Progetto del paramento slu'!$G$58,ABS(M129)*'Progetto del paramento slu'!$G$54,'Progetto del paramento slu'!$G$53)</f>
        <v>0</v>
      </c>
      <c r="H129" s="553">
        <f>-'Foglio deposito bis'!$F$51*(C129-sezione!$AO$27)*IF(ABS(N129)&lt;'Progetto del paramento slu'!$G$58,ABS(N129)*'Progetto del paramento slu'!$G$54,'Progetto del paramento slu'!$G$53)</f>
        <v>72629555.842919365</v>
      </c>
      <c r="I129" s="479">
        <f>-'Foglio deposito bis'!$F$52*(C129-sezione!$AP$27)*IF(ABS(O129)&lt;'Progetto del paramento slu'!$G$58,ABS(O129)*'Progetto del paramento slu'!$G$54,'Progetto del paramento slu'!$G$53)</f>
        <v>53353836.048371904</v>
      </c>
      <c r="J129" s="479">
        <f t="shared" si="8"/>
        <v>136571270.47551236</v>
      </c>
      <c r="K129" s="558">
        <f>'Progetto del paramento slu'!$G$60*(sezione!$AL$27-C129)/C129</f>
        <v>1.3017543859649344E-4</v>
      </c>
      <c r="L129" s="558">
        <f>'Progetto del paramento slu'!$G$60*(sezione!$AM$27-C129)/C129</f>
        <v>1.0113157894736852E-2</v>
      </c>
      <c r="M129" s="559">
        <f>'Progetto del paramento slu'!$G$60*(sezione!$AN$27-C129)/C129</f>
        <v>2.0096140350877208E-2</v>
      </c>
      <c r="N129" s="559">
        <f>'Progetto del paramento slu'!$G$60*(sezione!$AO$27-C129)/C129</f>
        <v>2.7356491228070195E-2</v>
      </c>
      <c r="O129" s="559">
        <f>'Progetto del paramento slu'!$G$60*(sezione!$AP$27-C129)/C129</f>
        <v>2.0096140350877208E-2</v>
      </c>
      <c r="P129" s="553">
        <f>-'Progetto del paramento slu'!$G$47*'Progetto del paramento slu'!$G$41*IF(DATI!$G$218="dx",DATI!$E$61,DATI!$E$64*DATI!$E$63)*1000*C129*sezione!$AD$5</f>
        <v>-543616.8673883623</v>
      </c>
      <c r="Q129" s="553">
        <f>'Foglio deposito bis'!$F$48*IF(ABS(K129)&lt;'Progetto del paramento slu'!$G$58,ABS(K129)*'Progetto del paramento slu'!$G$54,'Progetto del paramento slu'!$G$53)*IF(K129&lt;0,-1,1)</f>
        <v>0</v>
      </c>
      <c r="R129" s="553">
        <f>'Foglio deposito bis'!$F$49*IF(ABS(L129)&lt;'Progetto del paramento slu'!$G$58,ABS(L129)*'Progetto del paramento slu'!$G$54,'Progetto del paramento slu'!$G$53)*IF(L129&lt;0,-1,1)</f>
        <v>204886.47740803001</v>
      </c>
      <c r="S129" s="553">
        <f>'Foglio deposito bis'!$F$50*IF(ABS(M129)&lt;'Progetto del paramento slu'!$G$58,ABS(M129)*'Progetto del paramento slu'!$G$54,'Progetto del paramento slu'!$G$53)*IF(M129&lt;0,-1,1)</f>
        <v>0</v>
      </c>
      <c r="T129" s="553">
        <f>'Foglio deposito bis'!$F$51*IF(ABS(N129)&lt;'Progetto del paramento slu'!$G$58,ABS(N129)*'Progetto del paramento slu'!$G$54,'Progetto del paramento slu'!$G$53)*IF(N129&lt;0,-1,1)</f>
        <v>240946.49743184328</v>
      </c>
      <c r="U129" s="553">
        <f>'Foglio deposito bis'!$F$52*IF(ABS(O129)&lt;'Progetto del paramento slu'!$G$58,ABS(O129)*'Progetto del paramento slu'!$G$54,'Progetto del paramento slu'!$G$53)*IF(O129&lt;0,-1,1)</f>
        <v>240946.49743184328</v>
      </c>
      <c r="V129" s="479">
        <f t="shared" si="10"/>
        <v>143162.60488335427</v>
      </c>
      <c r="W129" s="559"/>
      <c r="X129" s="559"/>
    </row>
    <row r="130" spans="1:24" x14ac:dyDescent="0.25">
      <c r="A130" s="553">
        <f t="shared" si="9"/>
        <v>131718.03925412556</v>
      </c>
      <c r="B130" s="3">
        <f t="shared" si="12"/>
        <v>9.6999999999999869</v>
      </c>
      <c r="C130" s="553">
        <f>'Foglio deposito bis'!$E$153/$B$247*B130</f>
        <v>39.377537212449234</v>
      </c>
      <c r="D130" s="611">
        <f>-'Progetto del paramento slu'!$G$47*'Progetto del paramento slu'!$G$41*IF(DATI!$G$218="dx",DATI!$E$61,DATI!$E$64*DATI!$E$63)*1000*C130^2*sezione!$AD$5*(1-sezione!$AD$6)</f>
        <v>-12764460.104565827</v>
      </c>
      <c r="E130" s="553">
        <f>-'Foglio deposito bis'!$F$48*(C130-sezione!$AL$27)*IF(ABS(K130)&lt;'Progetto del paramento slu'!$G$58,ABS(K130)*'Progetto del paramento slu'!$G$54,'Progetto del paramento slu'!$G$53)</f>
        <v>0</v>
      </c>
      <c r="F130" s="553">
        <f>-'Foglio deposito bis'!$F$49*(C130-sezione!$AM$27)*IF(ABS(L130)&lt;'Progetto del paramento slu'!$G$58,ABS(L130)*'Progetto del paramento slu'!$G$54,'Progetto del paramento slu'!$G$53)</f>
        <v>22665046.722742163</v>
      </c>
      <c r="G130" s="553">
        <f>-'Foglio deposito bis'!$F$50*(C130-sezione!$AN$27)*IF(ABS(M130)&lt;'Progetto del paramento slu'!$G$58,ABS(M130)*'Progetto del paramento slu'!$G$54,'Progetto del paramento slu'!$G$53)</f>
        <v>0</v>
      </c>
      <c r="H130" s="553">
        <f>-'Foglio deposito bis'!$F$51*(C130-sezione!$AO$27)*IF(ABS(N130)&lt;'Progetto del paramento slu'!$G$58,ABS(N130)*'Progetto del paramento slu'!$G$54,'Progetto del paramento slu'!$G$53)</f>
        <v>72433929.457994998</v>
      </c>
      <c r="I130" s="479">
        <f>-'Foglio deposito bis'!$F$52*(C130-sezione!$AP$27)*IF(ABS(O130)&lt;'Progetto del paramento slu'!$G$58,ABS(O130)*'Progetto del paramento slu'!$G$54,'Progetto del paramento slu'!$G$53)</f>
        <v>53158209.663447544</v>
      </c>
      <c r="J130" s="479">
        <f t="shared" si="8"/>
        <v>135492725.7396189</v>
      </c>
      <c r="K130" s="558">
        <f>'Progetto del paramento slu'!$G$60*(sezione!$AL$27-C130)/C130</f>
        <v>5.5326460481101667E-5</v>
      </c>
      <c r="L130" s="558">
        <f>'Progetto del paramento slu'!$G$60*(sezione!$AM$27-C130)/C130</f>
        <v>9.8324742268041318E-3</v>
      </c>
      <c r="M130" s="559">
        <f>'Progetto del paramento slu'!$G$60*(sezione!$AN$27-C130)/C130</f>
        <v>1.9609621993127165E-2</v>
      </c>
      <c r="N130" s="559">
        <f>'Progetto del paramento slu'!$G$60*(sezione!$AO$27-C130)/C130</f>
        <v>2.6720274914089365E-2</v>
      </c>
      <c r="O130" s="559">
        <f>'Progetto del paramento slu'!$G$60*(sezione!$AP$27-C130)/C130</f>
        <v>1.9609621993127165E-2</v>
      </c>
      <c r="P130" s="553">
        <f>-'Progetto del paramento slu'!$G$47*'Progetto del paramento slu'!$G$41*IF(DATI!$G$218="dx",DATI!$E$61,DATI!$E$64*DATI!$E$63)*1000*C130*sezione!$AD$5</f>
        <v>-555061.43301759101</v>
      </c>
      <c r="Q130" s="553">
        <f>'Foglio deposito bis'!$F$48*IF(ABS(K130)&lt;'Progetto del paramento slu'!$G$58,ABS(K130)*'Progetto del paramento slu'!$G$54,'Progetto del paramento slu'!$G$53)*IF(K130&lt;0,-1,1)</f>
        <v>0</v>
      </c>
      <c r="R130" s="553">
        <f>'Foglio deposito bis'!$F$49*IF(ABS(L130)&lt;'Progetto del paramento slu'!$G$58,ABS(L130)*'Progetto del paramento slu'!$G$54,'Progetto del paramento slu'!$G$53)*IF(L130&lt;0,-1,1)</f>
        <v>204886.47740803001</v>
      </c>
      <c r="S130" s="553">
        <f>'Foglio deposito bis'!$F$50*IF(ABS(M130)&lt;'Progetto del paramento slu'!$G$58,ABS(M130)*'Progetto del paramento slu'!$G$54,'Progetto del paramento slu'!$G$53)*IF(M130&lt;0,-1,1)</f>
        <v>0</v>
      </c>
      <c r="T130" s="553">
        <f>'Foglio deposito bis'!$F$51*IF(ABS(N130)&lt;'Progetto del paramento slu'!$G$58,ABS(N130)*'Progetto del paramento slu'!$G$54,'Progetto del paramento slu'!$G$53)*IF(N130&lt;0,-1,1)</f>
        <v>240946.49743184328</v>
      </c>
      <c r="U130" s="553">
        <f>'Foglio deposito bis'!$F$52*IF(ABS(O130)&lt;'Progetto del paramento slu'!$G$58,ABS(O130)*'Progetto del paramento slu'!$G$54,'Progetto del paramento slu'!$G$53)*IF(O130&lt;0,-1,1)</f>
        <v>240946.49743184328</v>
      </c>
      <c r="V130" s="479">
        <f t="shared" si="10"/>
        <v>131718.03925412556</v>
      </c>
      <c r="W130" s="559"/>
      <c r="X130" s="559"/>
    </row>
    <row r="131" spans="1:24" x14ac:dyDescent="0.25">
      <c r="A131" s="553">
        <f t="shared" si="9"/>
        <v>120273.47362489696</v>
      </c>
      <c r="B131" s="3">
        <f t="shared" si="12"/>
        <v>9.8999999999999861</v>
      </c>
      <c r="C131" s="553">
        <f>'Foglio deposito bis'!$E$153/$B$247*B131</f>
        <v>40.189445196211068</v>
      </c>
      <c r="D131" s="611">
        <f>-'Progetto del paramento slu'!$G$47*'Progetto del paramento slu'!$G$41*IF(DATI!$G$218="dx",DATI!$E$61,DATI!$E$64*DATI!$E$63)*1000*C131^2*sezione!$AD$5*(1-sezione!$AD$6)</f>
        <v>-13296256.082989648</v>
      </c>
      <c r="E131" s="553">
        <f>-'Foglio deposito bis'!$F$48*(C131-sezione!$AL$27)*IF(ABS(K131)&lt;'Progetto del paramento slu'!$G$58,ABS(K131)*'Progetto del paramento slu'!$G$54,'Progetto del paramento slu'!$G$53)</f>
        <v>0</v>
      </c>
      <c r="F131" s="553">
        <f>-'Foglio deposito bis'!$F$49*(C131-sezione!$AM$27)*IF(ABS(L131)&lt;'Progetto del paramento slu'!$G$58,ABS(L131)*'Progetto del paramento slu'!$G$54,'Progetto del paramento slu'!$G$53)</f>
        <v>22498697.755969744</v>
      </c>
      <c r="G131" s="553">
        <f>-'Foglio deposito bis'!$F$50*(C131-sezione!$AN$27)*IF(ABS(M131)&lt;'Progetto del paramento slu'!$G$58,ABS(M131)*'Progetto del paramento slu'!$G$54,'Progetto del paramento slu'!$G$53)</f>
        <v>0</v>
      </c>
      <c r="H131" s="553">
        <f>-'Foglio deposito bis'!$F$51*(C131-sezione!$AO$27)*IF(ABS(N131)&lt;'Progetto del paramento slu'!$G$58,ABS(N131)*'Progetto del paramento slu'!$G$54,'Progetto del paramento slu'!$G$53)</f>
        <v>72238303.07307063</v>
      </c>
      <c r="I131" s="479">
        <f>-'Foglio deposito bis'!$F$52*(C131-sezione!$AP$27)*IF(ABS(O131)&lt;'Progetto del paramento slu'!$G$58,ABS(O131)*'Progetto del paramento slu'!$G$54,'Progetto del paramento slu'!$G$53)</f>
        <v>52962583.278523177</v>
      </c>
      <c r="J131" s="479">
        <f t="shared" si="8"/>
        <v>134403328.02457392</v>
      </c>
      <c r="K131" s="558">
        <f>'Progetto del paramento slu'!$G$60*(sezione!$AL$27-C131)/C131</f>
        <v>-1.6498316498314058E-5</v>
      </c>
      <c r="L131" s="558">
        <f>'Progetto del paramento slu'!$G$60*(sezione!$AM$27-C131)/C131</f>
        <v>9.563131313131322E-3</v>
      </c>
      <c r="M131" s="559">
        <f>'Progetto del paramento slu'!$G$60*(sezione!$AN$27-C131)/C131</f>
        <v>1.9142760942760958E-2</v>
      </c>
      <c r="N131" s="559">
        <f>'Progetto del paramento slu'!$G$60*(sezione!$AO$27-C131)/C131</f>
        <v>2.6109764309764329E-2</v>
      </c>
      <c r="O131" s="559">
        <f>'Progetto del paramento slu'!$G$60*(sezione!$AP$27-C131)/C131</f>
        <v>1.9142760942760958E-2</v>
      </c>
      <c r="P131" s="553">
        <f>-'Progetto del paramento slu'!$G$47*'Progetto del paramento slu'!$G$41*IF(DATI!$G$218="dx",DATI!$E$61,DATI!$E$64*DATI!$E$63)*1000*C131*sezione!$AD$5</f>
        <v>-566505.99864681961</v>
      </c>
      <c r="Q131" s="553">
        <f>'Foglio deposito bis'!$F$48*IF(ABS(K131)&lt;'Progetto del paramento slu'!$G$58,ABS(K131)*'Progetto del paramento slu'!$G$54,'Progetto del paramento slu'!$G$53)*IF(K131&lt;0,-1,1)</f>
        <v>0</v>
      </c>
      <c r="R131" s="553">
        <f>'Foglio deposito bis'!$F$49*IF(ABS(L131)&lt;'Progetto del paramento slu'!$G$58,ABS(L131)*'Progetto del paramento slu'!$G$54,'Progetto del paramento slu'!$G$53)*IF(L131&lt;0,-1,1)</f>
        <v>204886.47740803001</v>
      </c>
      <c r="S131" s="553">
        <f>'Foglio deposito bis'!$F$50*IF(ABS(M131)&lt;'Progetto del paramento slu'!$G$58,ABS(M131)*'Progetto del paramento slu'!$G$54,'Progetto del paramento slu'!$G$53)*IF(M131&lt;0,-1,1)</f>
        <v>0</v>
      </c>
      <c r="T131" s="553">
        <f>'Foglio deposito bis'!$F$51*IF(ABS(N131)&lt;'Progetto del paramento slu'!$G$58,ABS(N131)*'Progetto del paramento slu'!$G$54,'Progetto del paramento slu'!$G$53)*IF(N131&lt;0,-1,1)</f>
        <v>240946.49743184328</v>
      </c>
      <c r="U131" s="553">
        <f>'Foglio deposito bis'!$F$52*IF(ABS(O131)&lt;'Progetto del paramento slu'!$G$58,ABS(O131)*'Progetto del paramento slu'!$G$54,'Progetto del paramento slu'!$G$53)*IF(O131&lt;0,-1,1)</f>
        <v>240946.49743184328</v>
      </c>
      <c r="V131" s="479">
        <f t="shared" si="10"/>
        <v>120273.47362489696</v>
      </c>
      <c r="W131" s="559"/>
      <c r="X131" s="559"/>
    </row>
    <row r="132" spans="1:24" x14ac:dyDescent="0.25">
      <c r="A132" s="553">
        <f t="shared" si="9"/>
        <v>108828.90799566824</v>
      </c>
      <c r="B132" s="3">
        <f t="shared" si="12"/>
        <v>10.099999999999985</v>
      </c>
      <c r="C132" s="553">
        <f>'Foglio deposito bis'!$E$153/$B$247*B132</f>
        <v>41.001353179972909</v>
      </c>
      <c r="D132" s="611">
        <f>-'Progetto del paramento slu'!$G$47*'Progetto del paramento slu'!$G$41*IF(DATI!$G$218="dx",DATI!$E$61,DATI!$E$64*DATI!$E$63)*1000*C132^2*sezione!$AD$5*(1-sezione!$AD$6)</f>
        <v>-13838905.040564986</v>
      </c>
      <c r="E132" s="553">
        <f>-'Foglio deposito bis'!$F$48*(C132-sezione!$AL$27)*IF(ABS(K132)&lt;'Progetto del paramento slu'!$G$58,ABS(K132)*'Progetto del paramento slu'!$G$54,'Progetto del paramento slu'!$G$53)</f>
        <v>0</v>
      </c>
      <c r="F132" s="553">
        <f>-'Foglio deposito bis'!$F$49*(C132-sezione!$AM$27)*IF(ABS(L132)&lt;'Progetto del paramento slu'!$G$58,ABS(L132)*'Progetto del paramento slu'!$G$54,'Progetto del paramento slu'!$G$53)</f>
        <v>22332348.789197322</v>
      </c>
      <c r="G132" s="553">
        <f>-'Foglio deposito bis'!$F$50*(C132-sezione!$AN$27)*IF(ABS(M132)&lt;'Progetto del paramento slu'!$G$58,ABS(M132)*'Progetto del paramento slu'!$G$54,'Progetto del paramento slu'!$G$53)</f>
        <v>0</v>
      </c>
      <c r="H132" s="553">
        <f>-'Foglio deposito bis'!$F$51*(C132-sezione!$AO$27)*IF(ABS(N132)&lt;'Progetto del paramento slu'!$G$58,ABS(N132)*'Progetto del paramento slu'!$G$54,'Progetto del paramento slu'!$G$53)</f>
        <v>72042676.688146263</v>
      </c>
      <c r="I132" s="479">
        <f>-'Foglio deposito bis'!$F$52*(C132-sezione!$AP$27)*IF(ABS(O132)&lt;'Progetto del paramento slu'!$G$58,ABS(O132)*'Progetto del paramento slu'!$G$54,'Progetto del paramento slu'!$G$53)</f>
        <v>52766956.893598817</v>
      </c>
      <c r="J132" s="479">
        <f t="shared" si="8"/>
        <v>133303077.33037743</v>
      </c>
      <c r="K132" s="558">
        <f>'Progetto del paramento slu'!$G$60*(sezione!$AL$27-C132)/C132</f>
        <v>-8.5478547854783238E-5</v>
      </c>
      <c r="L132" s="558">
        <f>'Progetto del paramento slu'!$G$60*(sezione!$AM$27-C132)/C132</f>
        <v>9.3044554455445627E-3</v>
      </c>
      <c r="M132" s="559">
        <f>'Progetto del paramento slu'!$G$60*(sezione!$AN$27-C132)/C132</f>
        <v>1.8694389438943908E-2</v>
      </c>
      <c r="N132" s="559">
        <f>'Progetto del paramento slu'!$G$60*(sezione!$AO$27-C132)/C132</f>
        <v>2.5523432343234342E-2</v>
      </c>
      <c r="O132" s="559">
        <f>'Progetto del paramento slu'!$G$60*(sezione!$AP$27-C132)/C132</f>
        <v>1.8694389438943908E-2</v>
      </c>
      <c r="P132" s="553">
        <f>-'Progetto del paramento slu'!$G$47*'Progetto del paramento slu'!$G$41*IF(DATI!$G$218="dx",DATI!$E$61,DATI!$E$64*DATI!$E$63)*1000*C132*sezione!$AD$5</f>
        <v>-577950.56427604833</v>
      </c>
      <c r="Q132" s="553">
        <f>'Foglio deposito bis'!$F$48*IF(ABS(K132)&lt;'Progetto del paramento slu'!$G$58,ABS(K132)*'Progetto del paramento slu'!$G$54,'Progetto del paramento slu'!$G$53)*IF(K132&lt;0,-1,1)</f>
        <v>0</v>
      </c>
      <c r="R132" s="553">
        <f>'Foglio deposito bis'!$F$49*IF(ABS(L132)&lt;'Progetto del paramento slu'!$G$58,ABS(L132)*'Progetto del paramento slu'!$G$54,'Progetto del paramento slu'!$G$53)*IF(L132&lt;0,-1,1)</f>
        <v>204886.47740803001</v>
      </c>
      <c r="S132" s="553">
        <f>'Foglio deposito bis'!$F$50*IF(ABS(M132)&lt;'Progetto del paramento slu'!$G$58,ABS(M132)*'Progetto del paramento slu'!$G$54,'Progetto del paramento slu'!$G$53)*IF(M132&lt;0,-1,1)</f>
        <v>0</v>
      </c>
      <c r="T132" s="553">
        <f>'Foglio deposito bis'!$F$51*IF(ABS(N132)&lt;'Progetto del paramento slu'!$G$58,ABS(N132)*'Progetto del paramento slu'!$G$54,'Progetto del paramento slu'!$G$53)*IF(N132&lt;0,-1,1)</f>
        <v>240946.49743184328</v>
      </c>
      <c r="U132" s="553">
        <f>'Foglio deposito bis'!$F$52*IF(ABS(O132)&lt;'Progetto del paramento slu'!$G$58,ABS(O132)*'Progetto del paramento slu'!$G$54,'Progetto del paramento slu'!$G$53)*IF(O132&lt;0,-1,1)</f>
        <v>240946.49743184328</v>
      </c>
      <c r="V132" s="479">
        <f t="shared" si="10"/>
        <v>108828.90799566824</v>
      </c>
      <c r="W132" s="559"/>
      <c r="X132" s="559"/>
    </row>
    <row r="133" spans="1:24" x14ac:dyDescent="0.25">
      <c r="A133" s="553">
        <f t="shared" si="9"/>
        <v>97384.34236643964</v>
      </c>
      <c r="B133" s="3">
        <f t="shared" si="12"/>
        <v>10.299999999999985</v>
      </c>
      <c r="C133" s="553">
        <f>'Foglio deposito bis'!$E$153/$B$247*B133</f>
        <v>41.813261163734744</v>
      </c>
      <c r="D133" s="611">
        <f>-'Progetto del paramento slu'!$G$47*'Progetto del paramento slu'!$G$41*IF(DATI!$G$218="dx",DATI!$E$61,DATI!$E$64*DATI!$E$63)*1000*C133^2*sezione!$AD$5*(1-sezione!$AD$6)</f>
        <v>-14392406.977291824</v>
      </c>
      <c r="E133" s="553">
        <f>-'Foglio deposito bis'!$F$48*(C133-sezione!$AL$27)*IF(ABS(K133)&lt;'Progetto del paramento slu'!$G$58,ABS(K133)*'Progetto del paramento slu'!$G$54,'Progetto del paramento slu'!$G$53)</f>
        <v>0</v>
      </c>
      <c r="F133" s="553">
        <f>-'Foglio deposito bis'!$F$49*(C133-sezione!$AM$27)*IF(ABS(L133)&lt;'Progetto del paramento slu'!$G$58,ABS(L133)*'Progetto del paramento slu'!$G$54,'Progetto del paramento slu'!$G$53)</f>
        <v>22165999.822424904</v>
      </c>
      <c r="G133" s="553">
        <f>-'Foglio deposito bis'!$F$50*(C133-sezione!$AN$27)*IF(ABS(M133)&lt;'Progetto del paramento slu'!$G$58,ABS(M133)*'Progetto del paramento slu'!$G$54,'Progetto del paramento slu'!$G$53)</f>
        <v>0</v>
      </c>
      <c r="H133" s="553">
        <f>-'Foglio deposito bis'!$F$51*(C133-sezione!$AO$27)*IF(ABS(N133)&lt;'Progetto del paramento slu'!$G$58,ABS(N133)*'Progetto del paramento slu'!$G$54,'Progetto del paramento slu'!$G$53)</f>
        <v>71847050.303221911</v>
      </c>
      <c r="I133" s="479">
        <f>-'Foglio deposito bis'!$F$52*(C133-sezione!$AP$27)*IF(ABS(O133)&lt;'Progetto del paramento slu'!$G$58,ABS(O133)*'Progetto del paramento slu'!$G$54,'Progetto del paramento slu'!$G$53)</f>
        <v>52571330.508674443</v>
      </c>
      <c r="J133" s="479">
        <f t="shared" ref="J133:J196" si="13">D133+E133+F133+G133+H133+I133</f>
        <v>132191973.65702944</v>
      </c>
      <c r="K133" s="558">
        <f>'Progetto del paramento slu'!$G$60*(sezione!$AL$27-C133)/C133</f>
        <v>-1.5177993527507828E-4</v>
      </c>
      <c r="L133" s="558">
        <f>'Progetto del paramento slu'!$G$60*(sezione!$AM$27-C133)/C133</f>
        <v>9.0558252427184564E-3</v>
      </c>
      <c r="M133" s="559">
        <f>'Progetto del paramento slu'!$G$60*(sezione!$AN$27-C133)/C133</f>
        <v>1.826343042071199E-2</v>
      </c>
      <c r="N133" s="559">
        <f>'Progetto del paramento slu'!$G$60*(sezione!$AO$27-C133)/C133</f>
        <v>2.4959870550161838E-2</v>
      </c>
      <c r="O133" s="559">
        <f>'Progetto del paramento slu'!$G$60*(sezione!$AP$27-C133)/C133</f>
        <v>1.826343042071199E-2</v>
      </c>
      <c r="P133" s="553">
        <f>-'Progetto del paramento slu'!$G$47*'Progetto del paramento slu'!$G$41*IF(DATI!$G$218="dx",DATI!$E$61,DATI!$E$64*DATI!$E$63)*1000*C133*sezione!$AD$5</f>
        <v>-589395.12990527693</v>
      </c>
      <c r="Q133" s="553">
        <f>'Foglio deposito bis'!$F$48*IF(ABS(K133)&lt;'Progetto del paramento slu'!$G$58,ABS(K133)*'Progetto del paramento slu'!$G$54,'Progetto del paramento slu'!$G$53)*IF(K133&lt;0,-1,1)</f>
        <v>0</v>
      </c>
      <c r="R133" s="553">
        <f>'Foglio deposito bis'!$F$49*IF(ABS(L133)&lt;'Progetto del paramento slu'!$G$58,ABS(L133)*'Progetto del paramento slu'!$G$54,'Progetto del paramento slu'!$G$53)*IF(L133&lt;0,-1,1)</f>
        <v>204886.47740803001</v>
      </c>
      <c r="S133" s="553">
        <f>'Foglio deposito bis'!$F$50*IF(ABS(M133)&lt;'Progetto del paramento slu'!$G$58,ABS(M133)*'Progetto del paramento slu'!$G$54,'Progetto del paramento slu'!$G$53)*IF(M133&lt;0,-1,1)</f>
        <v>0</v>
      </c>
      <c r="T133" s="553">
        <f>'Foglio deposito bis'!$F$51*IF(ABS(N133)&lt;'Progetto del paramento slu'!$G$58,ABS(N133)*'Progetto del paramento slu'!$G$54,'Progetto del paramento slu'!$G$53)*IF(N133&lt;0,-1,1)</f>
        <v>240946.49743184328</v>
      </c>
      <c r="U133" s="553">
        <f>'Foglio deposito bis'!$F$52*IF(ABS(O133)&lt;'Progetto del paramento slu'!$G$58,ABS(O133)*'Progetto del paramento slu'!$G$54,'Progetto del paramento slu'!$G$53)*IF(O133&lt;0,-1,1)</f>
        <v>240946.49743184328</v>
      </c>
      <c r="V133" s="479">
        <f t="shared" si="10"/>
        <v>97384.34236643964</v>
      </c>
      <c r="W133" s="559"/>
      <c r="X133" s="559"/>
    </row>
    <row r="134" spans="1:24" x14ac:dyDescent="0.25">
      <c r="A134" s="553">
        <f t="shared" ref="A134:A197" si="14">ABS(V134)</f>
        <v>85939.776737210923</v>
      </c>
      <c r="B134" s="3">
        <f t="shared" si="12"/>
        <v>10.499999999999984</v>
      </c>
      <c r="C134" s="553">
        <f>'Foglio deposito bis'!$E$153/$B$247*B134</f>
        <v>42.625169147496585</v>
      </c>
      <c r="D134" s="611">
        <f>-'Progetto del paramento slu'!$G$47*'Progetto del paramento slu'!$G$41*IF(DATI!$G$218="dx",DATI!$E$61,DATI!$E$64*DATI!$E$63)*1000*C134^2*sezione!$AD$5*(1-sezione!$AD$6)</f>
        <v>-14956761.893170174</v>
      </c>
      <c r="E134" s="553">
        <f>-'Foglio deposito bis'!$F$48*(C134-sezione!$AL$27)*IF(ABS(K134)&lt;'Progetto del paramento slu'!$G$58,ABS(K134)*'Progetto del paramento slu'!$G$54,'Progetto del paramento slu'!$G$53)</f>
        <v>0</v>
      </c>
      <c r="F134" s="553">
        <f>-'Foglio deposito bis'!$F$49*(C134-sezione!$AM$27)*IF(ABS(L134)&lt;'Progetto del paramento slu'!$G$58,ABS(L134)*'Progetto del paramento slu'!$G$54,'Progetto del paramento slu'!$G$53)</f>
        <v>21999650.855652481</v>
      </c>
      <c r="G134" s="553">
        <f>-'Foglio deposito bis'!$F$50*(C134-sezione!$AN$27)*IF(ABS(M134)&lt;'Progetto del paramento slu'!$G$58,ABS(M134)*'Progetto del paramento slu'!$G$54,'Progetto del paramento slu'!$G$53)</f>
        <v>0</v>
      </c>
      <c r="H134" s="553">
        <f>-'Foglio deposito bis'!$F$51*(C134-sezione!$AO$27)*IF(ABS(N134)&lt;'Progetto del paramento slu'!$G$58,ABS(N134)*'Progetto del paramento slu'!$G$54,'Progetto del paramento slu'!$G$53)</f>
        <v>71651423.918297529</v>
      </c>
      <c r="I134" s="479">
        <f>-'Foglio deposito bis'!$F$52*(C134-sezione!$AP$27)*IF(ABS(O134)&lt;'Progetto del paramento slu'!$G$58,ABS(O134)*'Progetto del paramento slu'!$G$54,'Progetto del paramento slu'!$G$53)</f>
        <v>52375704.123750076</v>
      </c>
      <c r="J134" s="479">
        <f t="shared" si="13"/>
        <v>131070017.00452991</v>
      </c>
      <c r="K134" s="558">
        <f>'Progetto del paramento slu'!$G$60*(sezione!$AL$27-C134)/C134</f>
        <v>-2.1555555555555312E-4</v>
      </c>
      <c r="L134" s="558">
        <f>'Progetto del paramento slu'!$G$60*(sezione!$AM$27-C134)/C134</f>
        <v>8.8166666666666758E-3</v>
      </c>
      <c r="M134" s="559">
        <f>'Progetto del paramento slu'!$G$60*(sezione!$AN$27-C134)/C134</f>
        <v>1.7848888888888904E-2</v>
      </c>
      <c r="N134" s="559">
        <f>'Progetto del paramento slu'!$G$60*(sezione!$AO$27-C134)/C134</f>
        <v>2.4417777777777799E-2</v>
      </c>
      <c r="O134" s="559">
        <f>'Progetto del paramento slu'!$G$60*(sezione!$AP$27-C134)/C134</f>
        <v>1.7848888888888904E-2</v>
      </c>
      <c r="P134" s="553">
        <f>-'Progetto del paramento slu'!$G$47*'Progetto del paramento slu'!$G$41*IF(DATI!$G$218="dx",DATI!$E$61,DATI!$E$64*DATI!$E$63)*1000*C134*sezione!$AD$5</f>
        <v>-600839.69553450565</v>
      </c>
      <c r="Q134" s="553">
        <f>'Foglio deposito bis'!$F$48*IF(ABS(K134)&lt;'Progetto del paramento slu'!$G$58,ABS(K134)*'Progetto del paramento slu'!$G$54,'Progetto del paramento slu'!$G$53)*IF(K134&lt;0,-1,1)</f>
        <v>0</v>
      </c>
      <c r="R134" s="553">
        <f>'Foglio deposito bis'!$F$49*IF(ABS(L134)&lt;'Progetto del paramento slu'!$G$58,ABS(L134)*'Progetto del paramento slu'!$G$54,'Progetto del paramento slu'!$G$53)*IF(L134&lt;0,-1,1)</f>
        <v>204886.47740803001</v>
      </c>
      <c r="S134" s="553">
        <f>'Foglio deposito bis'!$F$50*IF(ABS(M134)&lt;'Progetto del paramento slu'!$G$58,ABS(M134)*'Progetto del paramento slu'!$G$54,'Progetto del paramento slu'!$G$53)*IF(M134&lt;0,-1,1)</f>
        <v>0</v>
      </c>
      <c r="T134" s="553">
        <f>'Foglio deposito bis'!$F$51*IF(ABS(N134)&lt;'Progetto del paramento slu'!$G$58,ABS(N134)*'Progetto del paramento slu'!$G$54,'Progetto del paramento slu'!$G$53)*IF(N134&lt;0,-1,1)</f>
        <v>240946.49743184328</v>
      </c>
      <c r="U134" s="553">
        <f>'Foglio deposito bis'!$F$52*IF(ABS(O134)&lt;'Progetto del paramento slu'!$G$58,ABS(O134)*'Progetto del paramento slu'!$G$54,'Progetto del paramento slu'!$G$53)*IF(O134&lt;0,-1,1)</f>
        <v>240946.49743184328</v>
      </c>
      <c r="V134" s="479">
        <f t="shared" ref="V134:V197" si="15">P134+Q134+R134+S134+T134+U134</f>
        <v>85939.776737210923</v>
      </c>
      <c r="W134" s="559"/>
      <c r="X134" s="559"/>
    </row>
    <row r="135" spans="1:24" x14ac:dyDescent="0.25">
      <c r="A135" s="553">
        <f t="shared" si="14"/>
        <v>74495.211107982323</v>
      </c>
      <c r="B135" s="3">
        <f t="shared" si="12"/>
        <v>10.699999999999983</v>
      </c>
      <c r="C135" s="553">
        <f>'Foglio deposito bis'!$E$153/$B$247*B135</f>
        <v>43.43707713125842</v>
      </c>
      <c r="D135" s="611">
        <f>-'Progetto del paramento slu'!$G$47*'Progetto del paramento slu'!$G$41*IF(DATI!$G$218="dx",DATI!$E$61,DATI!$E$64*DATI!$E$63)*1000*C135^2*sezione!$AD$5*(1-sezione!$AD$6)</f>
        <v>-15531969.788200025</v>
      </c>
      <c r="E135" s="553">
        <f>-'Foglio deposito bis'!$F$48*(C135-sezione!$AL$27)*IF(ABS(K135)&lt;'Progetto del paramento slu'!$G$58,ABS(K135)*'Progetto del paramento slu'!$G$54,'Progetto del paramento slu'!$G$53)</f>
        <v>0</v>
      </c>
      <c r="F135" s="553">
        <f>-'Foglio deposito bis'!$F$49*(C135-sezione!$AM$27)*IF(ABS(L135)&lt;'Progetto del paramento slu'!$G$58,ABS(L135)*'Progetto del paramento slu'!$G$54,'Progetto del paramento slu'!$G$53)</f>
        <v>21833301.888880067</v>
      </c>
      <c r="G135" s="553">
        <f>-'Foglio deposito bis'!$F$50*(C135-sezione!$AN$27)*IF(ABS(M135)&lt;'Progetto del paramento slu'!$G$58,ABS(M135)*'Progetto del paramento slu'!$G$54,'Progetto del paramento slu'!$G$53)</f>
        <v>0</v>
      </c>
      <c r="H135" s="553">
        <f>-'Foglio deposito bis'!$F$51*(C135-sezione!$AO$27)*IF(ABS(N135)&lt;'Progetto del paramento slu'!$G$58,ABS(N135)*'Progetto del paramento slu'!$G$54,'Progetto del paramento slu'!$G$53)</f>
        <v>71455797.533373177</v>
      </c>
      <c r="I135" s="479">
        <f>-'Foglio deposito bis'!$F$52*(C135-sezione!$AP$27)*IF(ABS(O135)&lt;'Progetto del paramento slu'!$G$58,ABS(O135)*'Progetto del paramento slu'!$G$54,'Progetto del paramento slu'!$G$53)</f>
        <v>52180077.738825716</v>
      </c>
      <c r="J135" s="479">
        <f t="shared" si="13"/>
        <v>129937207.37287894</v>
      </c>
      <c r="K135" s="558">
        <f>'Progetto del paramento slu'!$G$60*(sezione!$AL$27-C135)/C135</f>
        <v>-2.7694704049843955E-4</v>
      </c>
      <c r="L135" s="558">
        <f>'Progetto del paramento slu'!$G$60*(sezione!$AM$27-C135)/C135</f>
        <v>8.5864485981308521E-3</v>
      </c>
      <c r="M135" s="559">
        <f>'Progetto del paramento slu'!$G$60*(sezione!$AN$27-C135)/C135</f>
        <v>1.7449844236760142E-2</v>
      </c>
      <c r="N135" s="559">
        <f>'Progetto del paramento slu'!$G$60*(sezione!$AO$27-C135)/C135</f>
        <v>2.3895950155763263E-2</v>
      </c>
      <c r="O135" s="559">
        <f>'Progetto del paramento slu'!$G$60*(sezione!$AP$27-C135)/C135</f>
        <v>1.7449844236760142E-2</v>
      </c>
      <c r="P135" s="553">
        <f>-'Progetto del paramento slu'!$G$47*'Progetto del paramento slu'!$G$41*IF(DATI!$G$218="dx",DATI!$E$61,DATI!$E$64*DATI!$E$63)*1000*C135*sezione!$AD$5</f>
        <v>-612284.26116373425</v>
      </c>
      <c r="Q135" s="553">
        <f>'Foglio deposito bis'!$F$48*IF(ABS(K135)&lt;'Progetto del paramento slu'!$G$58,ABS(K135)*'Progetto del paramento slu'!$G$54,'Progetto del paramento slu'!$G$53)*IF(K135&lt;0,-1,1)</f>
        <v>0</v>
      </c>
      <c r="R135" s="553">
        <f>'Foglio deposito bis'!$F$49*IF(ABS(L135)&lt;'Progetto del paramento slu'!$G$58,ABS(L135)*'Progetto del paramento slu'!$G$54,'Progetto del paramento slu'!$G$53)*IF(L135&lt;0,-1,1)</f>
        <v>204886.47740803001</v>
      </c>
      <c r="S135" s="553">
        <f>'Foglio deposito bis'!$F$50*IF(ABS(M135)&lt;'Progetto del paramento slu'!$G$58,ABS(M135)*'Progetto del paramento slu'!$G$54,'Progetto del paramento slu'!$G$53)*IF(M135&lt;0,-1,1)</f>
        <v>0</v>
      </c>
      <c r="T135" s="553">
        <f>'Foglio deposito bis'!$F$51*IF(ABS(N135)&lt;'Progetto del paramento slu'!$G$58,ABS(N135)*'Progetto del paramento slu'!$G$54,'Progetto del paramento slu'!$G$53)*IF(N135&lt;0,-1,1)</f>
        <v>240946.49743184328</v>
      </c>
      <c r="U135" s="553">
        <f>'Foglio deposito bis'!$F$52*IF(ABS(O135)&lt;'Progetto del paramento slu'!$G$58,ABS(O135)*'Progetto del paramento slu'!$G$54,'Progetto del paramento slu'!$G$53)*IF(O135&lt;0,-1,1)</f>
        <v>240946.49743184328</v>
      </c>
      <c r="V135" s="479">
        <f t="shared" si="15"/>
        <v>74495.211107982323</v>
      </c>
      <c r="W135" s="559"/>
      <c r="X135" s="559"/>
    </row>
    <row r="136" spans="1:24" x14ac:dyDescent="0.25">
      <c r="A136" s="553">
        <f t="shared" si="14"/>
        <v>63050.645478753606</v>
      </c>
      <c r="B136" s="3">
        <f t="shared" si="12"/>
        <v>10.899999999999983</v>
      </c>
      <c r="C136" s="553">
        <f>'Foglio deposito bis'!$E$153/$B$247*B136</f>
        <v>44.248985115020261</v>
      </c>
      <c r="D136" s="611">
        <f>-'Progetto del paramento slu'!$G$47*'Progetto del paramento slu'!$G$41*IF(DATI!$G$218="dx",DATI!$E$61,DATI!$E$64*DATI!$E$63)*1000*C136^2*sezione!$AD$5*(1-sezione!$AD$6)</f>
        <v>-16118030.662381392</v>
      </c>
      <c r="E136" s="553">
        <f>-'Foglio deposito bis'!$F$48*(C136-sezione!$AL$27)*IF(ABS(K136)&lt;'Progetto del paramento slu'!$G$58,ABS(K136)*'Progetto del paramento slu'!$G$54,'Progetto del paramento slu'!$G$53)</f>
        <v>0</v>
      </c>
      <c r="F136" s="553">
        <f>-'Foglio deposito bis'!$F$49*(C136-sezione!$AM$27)*IF(ABS(L136)&lt;'Progetto del paramento slu'!$G$58,ABS(L136)*'Progetto del paramento slu'!$G$54,'Progetto del paramento slu'!$G$53)</f>
        <v>21666952.922107644</v>
      </c>
      <c r="G136" s="553">
        <f>-'Foglio deposito bis'!$F$50*(C136-sezione!$AN$27)*IF(ABS(M136)&lt;'Progetto del paramento slu'!$G$58,ABS(M136)*'Progetto del paramento slu'!$G$54,'Progetto del paramento slu'!$G$53)</f>
        <v>0</v>
      </c>
      <c r="H136" s="553">
        <f>-'Foglio deposito bis'!$F$51*(C136-sezione!$AO$27)*IF(ABS(N136)&lt;'Progetto del paramento slu'!$G$58,ABS(N136)*'Progetto del paramento slu'!$G$54,'Progetto del paramento slu'!$G$53)</f>
        <v>71260171.14844881</v>
      </c>
      <c r="I136" s="479">
        <f>-'Foglio deposito bis'!$F$52*(C136-sezione!$AP$27)*IF(ABS(O136)&lt;'Progetto del paramento slu'!$G$58,ABS(O136)*'Progetto del paramento slu'!$G$54,'Progetto del paramento slu'!$G$53)</f>
        <v>51984451.353901342</v>
      </c>
      <c r="J136" s="479">
        <f t="shared" si="13"/>
        <v>128793544.76207641</v>
      </c>
      <c r="K136" s="558">
        <f>'Progetto del paramento slu'!$G$60*(sezione!$AL$27-C136)/C136</f>
        <v>-3.3608562691131238E-4</v>
      </c>
      <c r="L136" s="558">
        <f>'Progetto del paramento slu'!$G$60*(sezione!$AM$27-C136)/C136</f>
        <v>8.3646788990825796E-3</v>
      </c>
      <c r="M136" s="559">
        <f>'Progetto del paramento slu'!$G$60*(sezione!$AN$27-C136)/C136</f>
        <v>1.7065443425076467E-2</v>
      </c>
      <c r="N136" s="559">
        <f>'Progetto del paramento slu'!$G$60*(sezione!$AO$27-C136)/C136</f>
        <v>2.3393272171253848E-2</v>
      </c>
      <c r="O136" s="559">
        <f>'Progetto del paramento slu'!$G$60*(sezione!$AP$27-C136)/C136</f>
        <v>1.7065443425076467E-2</v>
      </c>
      <c r="P136" s="553">
        <f>-'Progetto del paramento slu'!$G$47*'Progetto del paramento slu'!$G$41*IF(DATI!$G$218="dx",DATI!$E$61,DATI!$E$64*DATI!$E$63)*1000*C136*sezione!$AD$5</f>
        <v>-623728.82679296297</v>
      </c>
      <c r="Q136" s="553">
        <f>'Foglio deposito bis'!$F$48*IF(ABS(K136)&lt;'Progetto del paramento slu'!$G$58,ABS(K136)*'Progetto del paramento slu'!$G$54,'Progetto del paramento slu'!$G$53)*IF(K136&lt;0,-1,1)</f>
        <v>0</v>
      </c>
      <c r="R136" s="553">
        <f>'Foglio deposito bis'!$F$49*IF(ABS(L136)&lt;'Progetto del paramento slu'!$G$58,ABS(L136)*'Progetto del paramento slu'!$G$54,'Progetto del paramento slu'!$G$53)*IF(L136&lt;0,-1,1)</f>
        <v>204886.47740803001</v>
      </c>
      <c r="S136" s="553">
        <f>'Foglio deposito bis'!$F$50*IF(ABS(M136)&lt;'Progetto del paramento slu'!$G$58,ABS(M136)*'Progetto del paramento slu'!$G$54,'Progetto del paramento slu'!$G$53)*IF(M136&lt;0,-1,1)</f>
        <v>0</v>
      </c>
      <c r="T136" s="553">
        <f>'Foglio deposito bis'!$F$51*IF(ABS(N136)&lt;'Progetto del paramento slu'!$G$58,ABS(N136)*'Progetto del paramento slu'!$G$54,'Progetto del paramento slu'!$G$53)*IF(N136&lt;0,-1,1)</f>
        <v>240946.49743184328</v>
      </c>
      <c r="U136" s="553">
        <f>'Foglio deposito bis'!$F$52*IF(ABS(O136)&lt;'Progetto del paramento slu'!$G$58,ABS(O136)*'Progetto del paramento slu'!$G$54,'Progetto del paramento slu'!$G$53)*IF(O136&lt;0,-1,1)</f>
        <v>240946.49743184328</v>
      </c>
      <c r="V136" s="479">
        <f t="shared" si="15"/>
        <v>63050.645478753606</v>
      </c>
      <c r="W136" s="559"/>
      <c r="X136" s="559"/>
    </row>
    <row r="137" spans="1:24" x14ac:dyDescent="0.25">
      <c r="A137" s="553">
        <f t="shared" si="14"/>
        <v>51606.079849525006</v>
      </c>
      <c r="B137" s="3">
        <f t="shared" si="12"/>
        <v>11.099999999999982</v>
      </c>
      <c r="C137" s="553">
        <f>'Foglio deposito bis'!$E$153/$B$247*B137</f>
        <v>45.060893098782095</v>
      </c>
      <c r="D137" s="611">
        <f>-'Progetto del paramento slu'!$G$47*'Progetto del paramento slu'!$G$41*IF(DATI!$G$218="dx",DATI!$E$61,DATI!$E$64*DATI!$E$63)*1000*C137^2*sezione!$AD$5*(1-sezione!$AD$6)</f>
        <v>-16714944.515714252</v>
      </c>
      <c r="E137" s="553">
        <f>-'Foglio deposito bis'!$F$48*(C137-sezione!$AL$27)*IF(ABS(K137)&lt;'Progetto del paramento slu'!$G$58,ABS(K137)*'Progetto del paramento slu'!$G$54,'Progetto del paramento slu'!$G$53)</f>
        <v>0</v>
      </c>
      <c r="F137" s="553">
        <f>-'Foglio deposito bis'!$F$49*(C137-sezione!$AM$27)*IF(ABS(L137)&lt;'Progetto del paramento slu'!$G$58,ABS(L137)*'Progetto del paramento slu'!$G$54,'Progetto del paramento slu'!$G$53)</f>
        <v>21500603.95533523</v>
      </c>
      <c r="G137" s="553">
        <f>-'Foglio deposito bis'!$F$50*(C137-sezione!$AN$27)*IF(ABS(M137)&lt;'Progetto del paramento slu'!$G$58,ABS(M137)*'Progetto del paramento slu'!$G$54,'Progetto del paramento slu'!$G$53)</f>
        <v>0</v>
      </c>
      <c r="H137" s="553">
        <f>-'Foglio deposito bis'!$F$51*(C137-sezione!$AO$27)*IF(ABS(N137)&lt;'Progetto del paramento slu'!$G$58,ABS(N137)*'Progetto del paramento slu'!$G$54,'Progetto del paramento slu'!$G$53)</f>
        <v>71064544.763524443</v>
      </c>
      <c r="I137" s="479">
        <f>-'Foglio deposito bis'!$F$52*(C137-sezione!$AP$27)*IF(ABS(O137)&lt;'Progetto del paramento slu'!$G$58,ABS(O137)*'Progetto del paramento slu'!$G$54,'Progetto del paramento slu'!$G$53)</f>
        <v>51788824.968976982</v>
      </c>
      <c r="J137" s="479">
        <f t="shared" si="13"/>
        <v>127639029.17212239</v>
      </c>
      <c r="K137" s="558">
        <f>'Progetto del paramento slu'!$G$60*(sezione!$AL$27-C137)/C137</f>
        <v>-3.9309309309309016E-4</v>
      </c>
      <c r="L137" s="558">
        <f>'Progetto del paramento slu'!$G$60*(sezione!$AM$27-C137)/C137</f>
        <v>8.150900900900912E-3</v>
      </c>
      <c r="M137" s="559">
        <f>'Progetto del paramento slu'!$G$60*(sezione!$AN$27-C137)/C137</f>
        <v>1.6694894894894913E-2</v>
      </c>
      <c r="N137" s="559">
        <f>'Progetto del paramento slu'!$G$60*(sezione!$AO$27-C137)/C137</f>
        <v>2.290870870870873E-2</v>
      </c>
      <c r="O137" s="559">
        <f>'Progetto del paramento slu'!$G$60*(sezione!$AP$27-C137)/C137</f>
        <v>1.6694894894894913E-2</v>
      </c>
      <c r="P137" s="553">
        <f>-'Progetto del paramento slu'!$G$47*'Progetto del paramento slu'!$G$41*IF(DATI!$G$218="dx",DATI!$E$61,DATI!$E$64*DATI!$E$63)*1000*C137*sezione!$AD$5</f>
        <v>-635173.39242219157</v>
      </c>
      <c r="Q137" s="553">
        <f>'Foglio deposito bis'!$F$48*IF(ABS(K137)&lt;'Progetto del paramento slu'!$G$58,ABS(K137)*'Progetto del paramento slu'!$G$54,'Progetto del paramento slu'!$G$53)*IF(K137&lt;0,-1,1)</f>
        <v>0</v>
      </c>
      <c r="R137" s="553">
        <f>'Foglio deposito bis'!$F$49*IF(ABS(L137)&lt;'Progetto del paramento slu'!$G$58,ABS(L137)*'Progetto del paramento slu'!$G$54,'Progetto del paramento slu'!$G$53)*IF(L137&lt;0,-1,1)</f>
        <v>204886.47740803001</v>
      </c>
      <c r="S137" s="553">
        <f>'Foglio deposito bis'!$F$50*IF(ABS(M137)&lt;'Progetto del paramento slu'!$G$58,ABS(M137)*'Progetto del paramento slu'!$G$54,'Progetto del paramento slu'!$G$53)*IF(M137&lt;0,-1,1)</f>
        <v>0</v>
      </c>
      <c r="T137" s="553">
        <f>'Foglio deposito bis'!$F$51*IF(ABS(N137)&lt;'Progetto del paramento slu'!$G$58,ABS(N137)*'Progetto del paramento slu'!$G$54,'Progetto del paramento slu'!$G$53)*IF(N137&lt;0,-1,1)</f>
        <v>240946.49743184328</v>
      </c>
      <c r="U137" s="553">
        <f>'Foglio deposito bis'!$F$52*IF(ABS(O137)&lt;'Progetto del paramento slu'!$G$58,ABS(O137)*'Progetto del paramento slu'!$G$54,'Progetto del paramento slu'!$G$53)*IF(O137&lt;0,-1,1)</f>
        <v>240946.49743184328</v>
      </c>
      <c r="V137" s="479">
        <f t="shared" si="15"/>
        <v>51606.079849525006</v>
      </c>
      <c r="W137" s="559"/>
      <c r="X137" s="559"/>
    </row>
    <row r="138" spans="1:24" x14ac:dyDescent="0.25">
      <c r="A138" s="553">
        <f t="shared" si="14"/>
        <v>40161.514220296289</v>
      </c>
      <c r="B138" s="3">
        <f t="shared" si="12"/>
        <v>11.299999999999981</v>
      </c>
      <c r="C138" s="553">
        <f>'Foglio deposito bis'!$E$153/$B$247*B138</f>
        <v>45.872801082543937</v>
      </c>
      <c r="D138" s="611">
        <f>-'Progetto del paramento slu'!$G$47*'Progetto del paramento slu'!$G$41*IF(DATI!$G$218="dx",DATI!$E$61,DATI!$E$64*DATI!$E$63)*1000*C138^2*sezione!$AD$5*(1-sezione!$AD$6)</f>
        <v>-17322711.348198634</v>
      </c>
      <c r="E138" s="553">
        <f>-'Foglio deposito bis'!$F$48*(C138-sezione!$AL$27)*IF(ABS(K138)&lt;'Progetto del paramento slu'!$G$58,ABS(K138)*'Progetto del paramento slu'!$G$54,'Progetto del paramento slu'!$G$53)</f>
        <v>0</v>
      </c>
      <c r="F138" s="553">
        <f>-'Foglio deposito bis'!$F$49*(C138-sezione!$AM$27)*IF(ABS(L138)&lt;'Progetto del paramento slu'!$G$58,ABS(L138)*'Progetto del paramento slu'!$G$54,'Progetto del paramento slu'!$G$53)</f>
        <v>21334254.988562811</v>
      </c>
      <c r="G138" s="553">
        <f>-'Foglio deposito bis'!$F$50*(C138-sezione!$AN$27)*IF(ABS(M138)&lt;'Progetto del paramento slu'!$G$58,ABS(M138)*'Progetto del paramento slu'!$G$54,'Progetto del paramento slu'!$G$53)</f>
        <v>0</v>
      </c>
      <c r="H138" s="553">
        <f>-'Foglio deposito bis'!$F$51*(C138-sezione!$AO$27)*IF(ABS(N138)&lt;'Progetto del paramento slu'!$G$58,ABS(N138)*'Progetto del paramento slu'!$G$54,'Progetto del paramento slu'!$G$53)</f>
        <v>70868918.378600076</v>
      </c>
      <c r="I138" s="479">
        <f>-'Foglio deposito bis'!$F$52*(C138-sezione!$AP$27)*IF(ABS(O138)&lt;'Progetto del paramento slu'!$G$58,ABS(O138)*'Progetto del paramento slu'!$G$54,'Progetto del paramento slu'!$G$53)</f>
        <v>51593198.584052622</v>
      </c>
      <c r="J138" s="479">
        <f t="shared" si="13"/>
        <v>126473660.60301688</v>
      </c>
      <c r="K138" s="558">
        <f>'Progetto del paramento slu'!$G$60*(sezione!$AL$27-C138)/C138</f>
        <v>-4.4808259587020375E-4</v>
      </c>
      <c r="L138" s="558">
        <f>'Progetto del paramento slu'!$G$60*(sezione!$AM$27-C138)/C138</f>
        <v>7.9446902654867375E-3</v>
      </c>
      <c r="M138" s="559">
        <f>'Progetto del paramento slu'!$G$60*(sezione!$AN$27-C138)/C138</f>
        <v>1.6337463126843678E-2</v>
      </c>
      <c r="N138" s="559">
        <f>'Progetto del paramento slu'!$G$60*(sezione!$AO$27-C138)/C138</f>
        <v>2.2441297935103268E-2</v>
      </c>
      <c r="O138" s="559">
        <f>'Progetto del paramento slu'!$G$60*(sezione!$AP$27-C138)/C138</f>
        <v>1.6337463126843678E-2</v>
      </c>
      <c r="P138" s="553">
        <f>-'Progetto del paramento slu'!$G$47*'Progetto del paramento slu'!$G$41*IF(DATI!$G$218="dx",DATI!$E$61,DATI!$E$64*DATI!$E$63)*1000*C138*sezione!$AD$5</f>
        <v>-646617.95805142028</v>
      </c>
      <c r="Q138" s="553">
        <f>'Foglio deposito bis'!$F$48*IF(ABS(K138)&lt;'Progetto del paramento slu'!$G$58,ABS(K138)*'Progetto del paramento slu'!$G$54,'Progetto del paramento slu'!$G$53)*IF(K138&lt;0,-1,1)</f>
        <v>0</v>
      </c>
      <c r="R138" s="553">
        <f>'Foglio deposito bis'!$F$49*IF(ABS(L138)&lt;'Progetto del paramento slu'!$G$58,ABS(L138)*'Progetto del paramento slu'!$G$54,'Progetto del paramento slu'!$G$53)*IF(L138&lt;0,-1,1)</f>
        <v>204886.47740803001</v>
      </c>
      <c r="S138" s="553">
        <f>'Foglio deposito bis'!$F$50*IF(ABS(M138)&lt;'Progetto del paramento slu'!$G$58,ABS(M138)*'Progetto del paramento slu'!$G$54,'Progetto del paramento slu'!$G$53)*IF(M138&lt;0,-1,1)</f>
        <v>0</v>
      </c>
      <c r="T138" s="553">
        <f>'Foglio deposito bis'!$F$51*IF(ABS(N138)&lt;'Progetto del paramento slu'!$G$58,ABS(N138)*'Progetto del paramento slu'!$G$54,'Progetto del paramento slu'!$G$53)*IF(N138&lt;0,-1,1)</f>
        <v>240946.49743184328</v>
      </c>
      <c r="U138" s="553">
        <f>'Foglio deposito bis'!$F$52*IF(ABS(O138)&lt;'Progetto del paramento slu'!$G$58,ABS(O138)*'Progetto del paramento slu'!$G$54,'Progetto del paramento slu'!$G$53)*IF(O138&lt;0,-1,1)</f>
        <v>240946.49743184328</v>
      </c>
      <c r="V138" s="479">
        <f t="shared" si="15"/>
        <v>40161.514220296289</v>
      </c>
      <c r="W138" s="559"/>
      <c r="X138" s="559"/>
    </row>
    <row r="139" spans="1:24" x14ac:dyDescent="0.25">
      <c r="A139" s="553">
        <f t="shared" si="14"/>
        <v>28716.948591067572</v>
      </c>
      <c r="B139" s="3">
        <f t="shared" si="12"/>
        <v>11.49999999999998</v>
      </c>
      <c r="C139" s="553">
        <f>'Foglio deposito bis'!$E$153/$B$247*B139</f>
        <v>46.684709066305778</v>
      </c>
      <c r="D139" s="611">
        <f>-'Progetto del paramento slu'!$G$47*'Progetto del paramento slu'!$G$41*IF(DATI!$G$218="dx",DATI!$E$61,DATI!$E$64*DATI!$E$63)*1000*C139^2*sezione!$AD$5*(1-sezione!$AD$6)</f>
        <v>-17941331.159834512</v>
      </c>
      <c r="E139" s="553">
        <f>-'Foglio deposito bis'!$F$48*(C139-sezione!$AL$27)*IF(ABS(K139)&lt;'Progetto del paramento slu'!$G$58,ABS(K139)*'Progetto del paramento slu'!$G$54,'Progetto del paramento slu'!$G$53)</f>
        <v>0</v>
      </c>
      <c r="F139" s="553">
        <f>-'Foglio deposito bis'!$F$49*(C139-sezione!$AM$27)*IF(ABS(L139)&lt;'Progetto del paramento slu'!$G$58,ABS(L139)*'Progetto del paramento slu'!$G$54,'Progetto del paramento slu'!$G$53)</f>
        <v>21167906.021790389</v>
      </c>
      <c r="G139" s="553">
        <f>-'Foglio deposito bis'!$F$50*(C139-sezione!$AN$27)*IF(ABS(M139)&lt;'Progetto del paramento slu'!$G$58,ABS(M139)*'Progetto del paramento slu'!$G$54,'Progetto del paramento slu'!$G$53)</f>
        <v>0</v>
      </c>
      <c r="H139" s="553">
        <f>-'Foglio deposito bis'!$F$51*(C139-sezione!$AO$27)*IF(ABS(N139)&lt;'Progetto del paramento slu'!$G$58,ABS(N139)*'Progetto del paramento slu'!$G$54,'Progetto del paramento slu'!$G$53)</f>
        <v>70673291.993675709</v>
      </c>
      <c r="I139" s="479">
        <f>-'Foglio deposito bis'!$F$52*(C139-sezione!$AP$27)*IF(ABS(O139)&lt;'Progetto del paramento slu'!$G$58,ABS(O139)*'Progetto del paramento slu'!$G$54,'Progetto del paramento slu'!$G$53)</f>
        <v>51397572.199128255</v>
      </c>
      <c r="J139" s="479">
        <f t="shared" si="13"/>
        <v>125297439.05475985</v>
      </c>
      <c r="K139" s="558">
        <f>'Progetto del paramento slu'!$G$60*(sezione!$AL$27-C139)/C139</f>
        <v>-5.0115942028985244E-4</v>
      </c>
      <c r="L139" s="558">
        <f>'Progetto del paramento slu'!$G$60*(sezione!$AM$27-C139)/C139</f>
        <v>7.7456521739130537E-3</v>
      </c>
      <c r="M139" s="559">
        <f>'Progetto del paramento slu'!$G$60*(sezione!$AN$27-C139)/C139</f>
        <v>1.5992463768115958E-2</v>
      </c>
      <c r="N139" s="559">
        <f>'Progetto del paramento slu'!$G$60*(sezione!$AO$27-C139)/C139</f>
        <v>2.1990144927536249E-2</v>
      </c>
      <c r="O139" s="559">
        <f>'Progetto del paramento slu'!$G$60*(sezione!$AP$27-C139)/C139</f>
        <v>1.5992463768115958E-2</v>
      </c>
      <c r="P139" s="553">
        <f>-'Progetto del paramento slu'!$G$47*'Progetto del paramento slu'!$G$41*IF(DATI!$G$218="dx",DATI!$E$61,DATI!$E$64*DATI!$E$63)*1000*C139*sezione!$AD$5</f>
        <v>-658062.523680649</v>
      </c>
      <c r="Q139" s="553">
        <f>'Foglio deposito bis'!$F$48*IF(ABS(K139)&lt;'Progetto del paramento slu'!$G$58,ABS(K139)*'Progetto del paramento slu'!$G$54,'Progetto del paramento slu'!$G$53)*IF(K139&lt;0,-1,1)</f>
        <v>0</v>
      </c>
      <c r="R139" s="553">
        <f>'Foglio deposito bis'!$F$49*IF(ABS(L139)&lt;'Progetto del paramento slu'!$G$58,ABS(L139)*'Progetto del paramento slu'!$G$54,'Progetto del paramento slu'!$G$53)*IF(L139&lt;0,-1,1)</f>
        <v>204886.47740803001</v>
      </c>
      <c r="S139" s="553">
        <f>'Foglio deposito bis'!$F$50*IF(ABS(M139)&lt;'Progetto del paramento slu'!$G$58,ABS(M139)*'Progetto del paramento slu'!$G$54,'Progetto del paramento slu'!$G$53)*IF(M139&lt;0,-1,1)</f>
        <v>0</v>
      </c>
      <c r="T139" s="553">
        <f>'Foglio deposito bis'!$F$51*IF(ABS(N139)&lt;'Progetto del paramento slu'!$G$58,ABS(N139)*'Progetto del paramento slu'!$G$54,'Progetto del paramento slu'!$G$53)*IF(N139&lt;0,-1,1)</f>
        <v>240946.49743184328</v>
      </c>
      <c r="U139" s="553">
        <f>'Foglio deposito bis'!$F$52*IF(ABS(O139)&lt;'Progetto del paramento slu'!$G$58,ABS(O139)*'Progetto del paramento slu'!$G$54,'Progetto del paramento slu'!$G$53)*IF(O139&lt;0,-1,1)</f>
        <v>240946.49743184328</v>
      </c>
      <c r="V139" s="479">
        <f t="shared" si="15"/>
        <v>28716.948591067572</v>
      </c>
      <c r="W139" s="559"/>
      <c r="X139" s="559"/>
    </row>
    <row r="140" spans="1:24" x14ac:dyDescent="0.25">
      <c r="A140" s="553">
        <f t="shared" si="14"/>
        <v>17272.382961838972</v>
      </c>
      <c r="B140" s="3">
        <f t="shared" si="12"/>
        <v>11.69999999999998</v>
      </c>
      <c r="C140" s="553">
        <f>'Foglio deposito bis'!$E$153/$B$247*B140</f>
        <v>47.496617050067613</v>
      </c>
      <c r="D140" s="611">
        <f>-'Progetto del paramento slu'!$G$47*'Progetto del paramento slu'!$G$41*IF(DATI!$G$218="dx",DATI!$E$61,DATI!$E$64*DATI!$E$63)*1000*C140^2*sezione!$AD$5*(1-sezione!$AD$6)</f>
        <v>-18570803.950621899</v>
      </c>
      <c r="E140" s="553">
        <f>-'Foglio deposito bis'!$F$48*(C140-sezione!$AL$27)*IF(ABS(K140)&lt;'Progetto del paramento slu'!$G$58,ABS(K140)*'Progetto del paramento slu'!$G$54,'Progetto del paramento slu'!$G$53)</f>
        <v>0</v>
      </c>
      <c r="F140" s="553">
        <f>-'Foglio deposito bis'!$F$49*(C140-sezione!$AM$27)*IF(ABS(L140)&lt;'Progetto del paramento slu'!$G$58,ABS(L140)*'Progetto del paramento slu'!$G$54,'Progetto del paramento slu'!$G$53)</f>
        <v>21001557.055017971</v>
      </c>
      <c r="G140" s="553">
        <f>-'Foglio deposito bis'!$F$50*(C140-sezione!$AN$27)*IF(ABS(M140)&lt;'Progetto del paramento slu'!$G$58,ABS(M140)*'Progetto del paramento slu'!$G$54,'Progetto del paramento slu'!$G$53)</f>
        <v>0</v>
      </c>
      <c r="H140" s="553">
        <f>-'Foglio deposito bis'!$F$51*(C140-sezione!$AO$27)*IF(ABS(N140)&lt;'Progetto del paramento slu'!$G$58,ABS(N140)*'Progetto del paramento slu'!$G$54,'Progetto del paramento slu'!$G$53)</f>
        <v>70477665.608751357</v>
      </c>
      <c r="I140" s="479">
        <f>-'Foglio deposito bis'!$F$52*(C140-sezione!$AP$27)*IF(ABS(O140)&lt;'Progetto del paramento slu'!$G$58,ABS(O140)*'Progetto del paramento slu'!$G$54,'Progetto del paramento slu'!$G$53)</f>
        <v>51201945.814203896</v>
      </c>
      <c r="J140" s="479">
        <f t="shared" si="13"/>
        <v>124110364.52735132</v>
      </c>
      <c r="K140" s="558">
        <f>'Progetto del paramento slu'!$G$60*(sezione!$AL$27-C140)/C140</f>
        <v>-5.5242165242164957E-4</v>
      </c>
      <c r="L140" s="558">
        <f>'Progetto del paramento slu'!$G$60*(sezione!$AM$27-C140)/C140</f>
        <v>7.5534188034188151E-3</v>
      </c>
      <c r="M140" s="559">
        <f>'Progetto del paramento slu'!$G$60*(sezione!$AN$27-C140)/C140</f>
        <v>1.5659259259259279E-2</v>
      </c>
      <c r="N140" s="559">
        <f>'Progetto del paramento slu'!$G$60*(sezione!$AO$27-C140)/C140</f>
        <v>2.1554415954415981E-2</v>
      </c>
      <c r="O140" s="559">
        <f>'Progetto del paramento slu'!$G$60*(sezione!$AP$27-C140)/C140</f>
        <v>1.5659259259259279E-2</v>
      </c>
      <c r="P140" s="553">
        <f>-'Progetto del paramento slu'!$G$47*'Progetto del paramento slu'!$G$41*IF(DATI!$G$218="dx",DATI!$E$61,DATI!$E$64*DATI!$E$63)*1000*C140*sezione!$AD$5</f>
        <v>-669507.0893098776</v>
      </c>
      <c r="Q140" s="553">
        <f>'Foglio deposito bis'!$F$48*IF(ABS(K140)&lt;'Progetto del paramento slu'!$G$58,ABS(K140)*'Progetto del paramento slu'!$G$54,'Progetto del paramento slu'!$G$53)*IF(K140&lt;0,-1,1)</f>
        <v>0</v>
      </c>
      <c r="R140" s="553">
        <f>'Foglio deposito bis'!$F$49*IF(ABS(L140)&lt;'Progetto del paramento slu'!$G$58,ABS(L140)*'Progetto del paramento slu'!$G$54,'Progetto del paramento slu'!$G$53)*IF(L140&lt;0,-1,1)</f>
        <v>204886.47740803001</v>
      </c>
      <c r="S140" s="553">
        <f>'Foglio deposito bis'!$F$50*IF(ABS(M140)&lt;'Progetto del paramento slu'!$G$58,ABS(M140)*'Progetto del paramento slu'!$G$54,'Progetto del paramento slu'!$G$53)*IF(M140&lt;0,-1,1)</f>
        <v>0</v>
      </c>
      <c r="T140" s="553">
        <f>'Foglio deposito bis'!$F$51*IF(ABS(N140)&lt;'Progetto del paramento slu'!$G$58,ABS(N140)*'Progetto del paramento slu'!$G$54,'Progetto del paramento slu'!$G$53)*IF(N140&lt;0,-1,1)</f>
        <v>240946.49743184328</v>
      </c>
      <c r="U140" s="553">
        <f>'Foglio deposito bis'!$F$52*IF(ABS(O140)&lt;'Progetto del paramento slu'!$G$58,ABS(O140)*'Progetto del paramento slu'!$G$54,'Progetto del paramento slu'!$G$53)*IF(O140&lt;0,-1,1)</f>
        <v>240946.49743184328</v>
      </c>
      <c r="V140" s="479">
        <f t="shared" si="15"/>
        <v>17272.382961838972</v>
      </c>
      <c r="W140" s="559"/>
      <c r="X140" s="559"/>
    </row>
    <row r="141" spans="1:24" x14ac:dyDescent="0.25">
      <c r="A141" s="553">
        <f t="shared" si="14"/>
        <v>5827.8173326102551</v>
      </c>
      <c r="B141" s="3">
        <f t="shared" si="12"/>
        <v>11.899999999999979</v>
      </c>
      <c r="C141" s="553">
        <f>'Foglio deposito bis'!$E$153/$B$247*B141</f>
        <v>48.308525033829454</v>
      </c>
      <c r="D141" s="611">
        <f>-'Progetto del paramento slu'!$G$47*'Progetto del paramento slu'!$G$41*IF(DATI!$G$218="dx",DATI!$E$61,DATI!$E$64*DATI!$E$63)*1000*C141^2*sezione!$AD$5*(1-sezione!$AD$6)</f>
        <v>-19211129.720560797</v>
      </c>
      <c r="E141" s="553">
        <f>-'Foglio deposito bis'!$F$48*(C141-sezione!$AL$27)*IF(ABS(K141)&lt;'Progetto del paramento slu'!$G$58,ABS(K141)*'Progetto del paramento slu'!$G$54,'Progetto del paramento slu'!$G$53)</f>
        <v>0</v>
      </c>
      <c r="F141" s="553">
        <f>-'Foglio deposito bis'!$F$49*(C141-sezione!$AM$27)*IF(ABS(L141)&lt;'Progetto del paramento slu'!$G$58,ABS(L141)*'Progetto del paramento slu'!$G$54,'Progetto del paramento slu'!$G$53)</f>
        <v>20835208.088245552</v>
      </c>
      <c r="G141" s="553">
        <f>-'Foglio deposito bis'!$F$50*(C141-sezione!$AN$27)*IF(ABS(M141)&lt;'Progetto del paramento slu'!$G$58,ABS(M141)*'Progetto del paramento slu'!$G$54,'Progetto del paramento slu'!$G$53)</f>
        <v>0</v>
      </c>
      <c r="H141" s="553">
        <f>-'Foglio deposito bis'!$F$51*(C141-sezione!$AO$27)*IF(ABS(N141)&lt;'Progetto del paramento slu'!$G$58,ABS(N141)*'Progetto del paramento slu'!$G$54,'Progetto del paramento slu'!$G$53)</f>
        <v>70282039.22382699</v>
      </c>
      <c r="I141" s="479">
        <f>-'Foglio deposito bis'!$F$52*(C141-sezione!$AP$27)*IF(ABS(O141)&lt;'Progetto del paramento slu'!$G$58,ABS(O141)*'Progetto del paramento slu'!$G$54,'Progetto del paramento slu'!$G$53)</f>
        <v>51006319.429279529</v>
      </c>
      <c r="J141" s="479">
        <f t="shared" si="13"/>
        <v>122912437.02079126</v>
      </c>
      <c r="K141" s="558">
        <f>'Progetto del paramento slu'!$G$60*(sezione!$AL$27-C141)/C141</f>
        <v>-6.0196078431372282E-4</v>
      </c>
      <c r="L141" s="558">
        <f>'Progetto del paramento slu'!$G$60*(sezione!$AM$27-C141)/C141</f>
        <v>7.3676470588235395E-3</v>
      </c>
      <c r="M141" s="559">
        <f>'Progetto del paramento slu'!$G$60*(sezione!$AN$27-C141)/C141</f>
        <v>1.5337254901960803E-2</v>
      </c>
      <c r="N141" s="559">
        <f>'Progetto del paramento slu'!$G$60*(sezione!$AO$27-C141)/C141</f>
        <v>2.1133333333333355E-2</v>
      </c>
      <c r="O141" s="559">
        <f>'Progetto del paramento slu'!$G$60*(sezione!$AP$27-C141)/C141</f>
        <v>1.5337254901960803E-2</v>
      </c>
      <c r="P141" s="553">
        <f>-'Progetto del paramento slu'!$G$47*'Progetto del paramento slu'!$G$41*IF(DATI!$G$218="dx",DATI!$E$61,DATI!$E$64*DATI!$E$63)*1000*C141*sezione!$AD$5</f>
        <v>-680951.65493910632</v>
      </c>
      <c r="Q141" s="553">
        <f>'Foglio deposito bis'!$F$48*IF(ABS(K141)&lt;'Progetto del paramento slu'!$G$58,ABS(K141)*'Progetto del paramento slu'!$G$54,'Progetto del paramento slu'!$G$53)*IF(K141&lt;0,-1,1)</f>
        <v>0</v>
      </c>
      <c r="R141" s="553">
        <f>'Foglio deposito bis'!$F$49*IF(ABS(L141)&lt;'Progetto del paramento slu'!$G$58,ABS(L141)*'Progetto del paramento slu'!$G$54,'Progetto del paramento slu'!$G$53)*IF(L141&lt;0,-1,1)</f>
        <v>204886.47740803001</v>
      </c>
      <c r="S141" s="553">
        <f>'Foglio deposito bis'!$F$50*IF(ABS(M141)&lt;'Progetto del paramento slu'!$G$58,ABS(M141)*'Progetto del paramento slu'!$G$54,'Progetto del paramento slu'!$G$53)*IF(M141&lt;0,-1,1)</f>
        <v>0</v>
      </c>
      <c r="T141" s="553">
        <f>'Foglio deposito bis'!$F$51*IF(ABS(N141)&lt;'Progetto del paramento slu'!$G$58,ABS(N141)*'Progetto del paramento slu'!$G$54,'Progetto del paramento slu'!$G$53)*IF(N141&lt;0,-1,1)</f>
        <v>240946.49743184328</v>
      </c>
      <c r="U141" s="553">
        <f>'Foglio deposito bis'!$F$52*IF(ABS(O141)&lt;'Progetto del paramento slu'!$G$58,ABS(O141)*'Progetto del paramento slu'!$G$54,'Progetto del paramento slu'!$G$53)*IF(O141&lt;0,-1,1)</f>
        <v>240946.49743184328</v>
      </c>
      <c r="V141" s="479">
        <f t="shared" si="15"/>
        <v>5827.8173326102551</v>
      </c>
      <c r="W141" s="559"/>
      <c r="X141" s="559"/>
    </row>
    <row r="142" spans="1:24" x14ac:dyDescent="0.25">
      <c r="A142" s="553">
        <f t="shared" si="14"/>
        <v>5616.7482966182288</v>
      </c>
      <c r="B142" s="3">
        <f t="shared" si="12"/>
        <v>12.099999999999978</v>
      </c>
      <c r="C142" s="553">
        <f>'Foglio deposito bis'!$E$153/$B$247*B142</f>
        <v>49.120433017591289</v>
      </c>
      <c r="D142" s="611">
        <f>-'Progetto del paramento slu'!$G$47*'Progetto del paramento slu'!$G$41*IF(DATI!$G$218="dx",DATI!$E$61,DATI!$E$64*DATI!$E$63)*1000*C142^2*sezione!$AD$5*(1-sezione!$AD$6)</f>
        <v>-19862308.469651196</v>
      </c>
      <c r="E142" s="553">
        <f>-'Foglio deposito bis'!$F$48*(C142-sezione!$AL$27)*IF(ABS(K142)&lt;'Progetto del paramento slu'!$G$58,ABS(K142)*'Progetto del paramento slu'!$G$54,'Progetto del paramento slu'!$G$53)</f>
        <v>0</v>
      </c>
      <c r="F142" s="553">
        <f>-'Foglio deposito bis'!$F$49*(C142-sezione!$AM$27)*IF(ABS(L142)&lt;'Progetto del paramento slu'!$G$58,ABS(L142)*'Progetto del paramento slu'!$G$54,'Progetto del paramento slu'!$G$53)</f>
        <v>20668859.12147313</v>
      </c>
      <c r="G142" s="553">
        <f>-'Foglio deposito bis'!$F$50*(C142-sezione!$AN$27)*IF(ABS(M142)&lt;'Progetto del paramento slu'!$G$58,ABS(M142)*'Progetto del paramento slu'!$G$54,'Progetto del paramento slu'!$G$53)</f>
        <v>0</v>
      </c>
      <c r="H142" s="553">
        <f>-'Foglio deposito bis'!$F$51*(C142-sezione!$AO$27)*IF(ABS(N142)&lt;'Progetto del paramento slu'!$G$58,ABS(N142)*'Progetto del paramento slu'!$G$54,'Progetto del paramento slu'!$G$53)</f>
        <v>70086412.838902622</v>
      </c>
      <c r="I142" s="479">
        <f>-'Foglio deposito bis'!$F$52*(C142-sezione!$AP$27)*IF(ABS(O142)&lt;'Progetto del paramento slu'!$G$58,ABS(O142)*'Progetto del paramento slu'!$G$54,'Progetto del paramento slu'!$G$53)</f>
        <v>50810693.044355161</v>
      </c>
      <c r="J142" s="479">
        <f t="shared" si="13"/>
        <v>121703656.53507972</v>
      </c>
      <c r="K142" s="558">
        <f>'Progetto del paramento slu'!$G$60*(sezione!$AL$27-C142)/C142</f>
        <v>-6.4986225895316508E-4</v>
      </c>
      <c r="L142" s="558">
        <f>'Progetto del paramento slu'!$G$60*(sezione!$AM$27-C142)/C142</f>
        <v>7.1880165289256309E-3</v>
      </c>
      <c r="M142" s="559">
        <f>'Progetto del paramento slu'!$G$60*(sezione!$AN$27-C142)/C142</f>
        <v>1.5025895316804427E-2</v>
      </c>
      <c r="N142" s="559">
        <f>'Progetto del paramento slu'!$G$60*(sezione!$AO$27-C142)/C142</f>
        <v>2.0726170798898099E-2</v>
      </c>
      <c r="O142" s="559">
        <f>'Progetto del paramento slu'!$G$60*(sezione!$AP$27-C142)/C142</f>
        <v>1.5025895316804427E-2</v>
      </c>
      <c r="P142" s="553">
        <f>-'Progetto del paramento slu'!$G$47*'Progetto del paramento slu'!$G$41*IF(DATI!$G$218="dx",DATI!$E$61,DATI!$E$64*DATI!$E$63)*1000*C142*sezione!$AD$5</f>
        <v>-692396.2205683348</v>
      </c>
      <c r="Q142" s="553">
        <f>'Foglio deposito bis'!$F$48*IF(ABS(K142)&lt;'Progetto del paramento slu'!$G$58,ABS(K142)*'Progetto del paramento slu'!$G$54,'Progetto del paramento slu'!$G$53)*IF(K142&lt;0,-1,1)</f>
        <v>0</v>
      </c>
      <c r="R142" s="553">
        <f>'Foglio deposito bis'!$F$49*IF(ABS(L142)&lt;'Progetto del paramento slu'!$G$58,ABS(L142)*'Progetto del paramento slu'!$G$54,'Progetto del paramento slu'!$G$53)*IF(L142&lt;0,-1,1)</f>
        <v>204886.47740803001</v>
      </c>
      <c r="S142" s="553">
        <f>'Foglio deposito bis'!$F$50*IF(ABS(M142)&lt;'Progetto del paramento slu'!$G$58,ABS(M142)*'Progetto del paramento slu'!$G$54,'Progetto del paramento slu'!$G$53)*IF(M142&lt;0,-1,1)</f>
        <v>0</v>
      </c>
      <c r="T142" s="553">
        <f>'Foglio deposito bis'!$F$51*IF(ABS(N142)&lt;'Progetto del paramento slu'!$G$58,ABS(N142)*'Progetto del paramento slu'!$G$54,'Progetto del paramento slu'!$G$53)*IF(N142&lt;0,-1,1)</f>
        <v>240946.49743184328</v>
      </c>
      <c r="U142" s="553">
        <f>'Foglio deposito bis'!$F$52*IF(ABS(O142)&lt;'Progetto del paramento slu'!$G$58,ABS(O142)*'Progetto del paramento slu'!$G$54,'Progetto del paramento slu'!$G$53)*IF(O142&lt;0,-1,1)</f>
        <v>240946.49743184328</v>
      </c>
      <c r="V142" s="479">
        <f t="shared" si="15"/>
        <v>-5616.7482966182288</v>
      </c>
      <c r="W142" s="559"/>
      <c r="X142" s="559"/>
    </row>
    <row r="143" spans="1:24" x14ac:dyDescent="0.25">
      <c r="A143" s="553">
        <f t="shared" si="14"/>
        <v>17061.313925846945</v>
      </c>
      <c r="B143" s="3">
        <f t="shared" si="12"/>
        <v>12.299999999999978</v>
      </c>
      <c r="C143" s="553">
        <f>'Foglio deposito bis'!$E$153/$B$247*B143</f>
        <v>49.93234100135313</v>
      </c>
      <c r="D143" s="611">
        <f>-'Progetto del paramento slu'!$G$47*'Progetto del paramento slu'!$G$41*IF(DATI!$G$218="dx",DATI!$E$61,DATI!$E$64*DATI!$E$63)*1000*C143^2*sezione!$AD$5*(1-sezione!$AD$6)</f>
        <v>-20524340.197893098</v>
      </c>
      <c r="E143" s="553">
        <f>-'Foglio deposito bis'!$F$48*(C143-sezione!$AL$27)*IF(ABS(K143)&lt;'Progetto del paramento slu'!$G$58,ABS(K143)*'Progetto del paramento slu'!$G$54,'Progetto del paramento slu'!$G$53)</f>
        <v>0</v>
      </c>
      <c r="F143" s="553">
        <f>-'Foglio deposito bis'!$F$49*(C143-sezione!$AM$27)*IF(ABS(L143)&lt;'Progetto del paramento slu'!$G$58,ABS(L143)*'Progetto del paramento slu'!$G$54,'Progetto del paramento slu'!$G$53)</f>
        <v>20502510.154700711</v>
      </c>
      <c r="G143" s="553">
        <f>-'Foglio deposito bis'!$F$50*(C143-sezione!$AN$27)*IF(ABS(M143)&lt;'Progetto del paramento slu'!$G$58,ABS(M143)*'Progetto del paramento slu'!$G$54,'Progetto del paramento slu'!$G$53)</f>
        <v>0</v>
      </c>
      <c r="H143" s="553">
        <f>-'Foglio deposito bis'!$F$51*(C143-sezione!$AO$27)*IF(ABS(N143)&lt;'Progetto del paramento slu'!$G$58,ABS(N143)*'Progetto del paramento slu'!$G$54,'Progetto del paramento slu'!$G$53)</f>
        <v>69890786.45397827</v>
      </c>
      <c r="I143" s="479">
        <f>-'Foglio deposito bis'!$F$52*(C143-sezione!$AP$27)*IF(ABS(O143)&lt;'Progetto del paramento slu'!$G$58,ABS(O143)*'Progetto del paramento slu'!$G$54,'Progetto del paramento slu'!$G$53)</f>
        <v>50615066.659430794</v>
      </c>
      <c r="J143" s="479">
        <f t="shared" si="13"/>
        <v>120484023.07021669</v>
      </c>
      <c r="K143" s="558">
        <f>'Progetto del paramento slu'!$G$60*(sezione!$AL$27-C143)/C143</f>
        <v>-6.9620596205961782E-4</v>
      </c>
      <c r="L143" s="558">
        <f>'Progetto del paramento slu'!$G$60*(sezione!$AM$27-C143)/C143</f>
        <v>7.0142276422764322E-3</v>
      </c>
      <c r="M143" s="559">
        <f>'Progetto del paramento slu'!$G$60*(sezione!$AN$27-C143)/C143</f>
        <v>1.4724661246612484E-2</v>
      </c>
      <c r="N143" s="559">
        <f>'Progetto del paramento slu'!$G$60*(sezione!$AO$27-C143)/C143</f>
        <v>2.0332249322493251E-2</v>
      </c>
      <c r="O143" s="559">
        <f>'Progetto del paramento slu'!$G$60*(sezione!$AP$27-C143)/C143</f>
        <v>1.4724661246612484E-2</v>
      </c>
      <c r="P143" s="553">
        <f>-'Progetto del paramento slu'!$G$47*'Progetto del paramento slu'!$G$41*IF(DATI!$G$218="dx",DATI!$E$61,DATI!$E$64*DATI!$E$63)*1000*C143*sezione!$AD$5</f>
        <v>-703840.78619756352</v>
      </c>
      <c r="Q143" s="553">
        <f>'Foglio deposito bis'!$F$48*IF(ABS(K143)&lt;'Progetto del paramento slu'!$G$58,ABS(K143)*'Progetto del paramento slu'!$G$54,'Progetto del paramento slu'!$G$53)*IF(K143&lt;0,-1,1)</f>
        <v>0</v>
      </c>
      <c r="R143" s="553">
        <f>'Foglio deposito bis'!$F$49*IF(ABS(L143)&lt;'Progetto del paramento slu'!$G$58,ABS(L143)*'Progetto del paramento slu'!$G$54,'Progetto del paramento slu'!$G$53)*IF(L143&lt;0,-1,1)</f>
        <v>204886.47740803001</v>
      </c>
      <c r="S143" s="553">
        <f>'Foglio deposito bis'!$F$50*IF(ABS(M143)&lt;'Progetto del paramento slu'!$G$58,ABS(M143)*'Progetto del paramento slu'!$G$54,'Progetto del paramento slu'!$G$53)*IF(M143&lt;0,-1,1)</f>
        <v>0</v>
      </c>
      <c r="T143" s="553">
        <f>'Foglio deposito bis'!$F$51*IF(ABS(N143)&lt;'Progetto del paramento slu'!$G$58,ABS(N143)*'Progetto del paramento slu'!$G$54,'Progetto del paramento slu'!$G$53)*IF(N143&lt;0,-1,1)</f>
        <v>240946.49743184328</v>
      </c>
      <c r="U143" s="553">
        <f>'Foglio deposito bis'!$F$52*IF(ABS(O143)&lt;'Progetto del paramento slu'!$G$58,ABS(O143)*'Progetto del paramento slu'!$G$54,'Progetto del paramento slu'!$G$53)*IF(O143&lt;0,-1,1)</f>
        <v>240946.49743184328</v>
      </c>
      <c r="V143" s="479">
        <f t="shared" si="15"/>
        <v>-17061.313925846945</v>
      </c>
      <c r="W143" s="559"/>
      <c r="X143" s="559"/>
    </row>
    <row r="144" spans="1:24" x14ac:dyDescent="0.25">
      <c r="A144" s="553">
        <f t="shared" si="14"/>
        <v>28505.879555075691</v>
      </c>
      <c r="B144" s="3">
        <f t="shared" si="12"/>
        <v>12.499999999999977</v>
      </c>
      <c r="C144" s="553">
        <f>'Foglio deposito bis'!$E$153/$B$247*B144</f>
        <v>50.744248985114965</v>
      </c>
      <c r="D144" s="611">
        <f>-'Progetto del paramento slu'!$G$47*'Progetto del paramento slu'!$G$41*IF(DATI!$G$218="dx",DATI!$E$61,DATI!$E$64*DATI!$E$63)*1000*C144^2*sezione!$AD$5*(1-sezione!$AD$6)</f>
        <v>-21197224.905286513</v>
      </c>
      <c r="E144" s="553">
        <f>-'Foglio deposito bis'!$F$48*(C144-sezione!$AL$27)*IF(ABS(K144)&lt;'Progetto del paramento slu'!$G$58,ABS(K144)*'Progetto del paramento slu'!$G$54,'Progetto del paramento slu'!$G$53)</f>
        <v>0</v>
      </c>
      <c r="F144" s="553">
        <f>-'Foglio deposito bis'!$F$49*(C144-sezione!$AM$27)*IF(ABS(L144)&lt;'Progetto del paramento slu'!$G$58,ABS(L144)*'Progetto del paramento slu'!$G$54,'Progetto del paramento slu'!$G$53)</f>
        <v>20336161.187928293</v>
      </c>
      <c r="G144" s="553">
        <f>-'Foglio deposito bis'!$F$50*(C144-sezione!$AN$27)*IF(ABS(M144)&lt;'Progetto del paramento slu'!$G$58,ABS(M144)*'Progetto del paramento slu'!$G$54,'Progetto del paramento slu'!$G$53)</f>
        <v>0</v>
      </c>
      <c r="H144" s="553">
        <f>-'Foglio deposito bis'!$F$51*(C144-sezione!$AO$27)*IF(ABS(N144)&lt;'Progetto del paramento slu'!$G$58,ABS(N144)*'Progetto del paramento slu'!$G$54,'Progetto del paramento slu'!$G$53)</f>
        <v>69695160.069053888</v>
      </c>
      <c r="I144" s="479">
        <f>-'Foglio deposito bis'!$F$52*(C144-sezione!$AP$27)*IF(ABS(O144)&lt;'Progetto del paramento slu'!$G$58,ABS(O144)*'Progetto del paramento slu'!$G$54,'Progetto del paramento slu'!$G$53)</f>
        <v>50419440.274506435</v>
      </c>
      <c r="J144" s="479">
        <f t="shared" si="13"/>
        <v>119253536.62620211</v>
      </c>
      <c r="K144" s="558">
        <f>'Progetto del paramento slu'!$G$60*(sezione!$AL$27-C144)/C144</f>
        <v>-7.4106666666666368E-4</v>
      </c>
      <c r="L144" s="558">
        <f>'Progetto del paramento slu'!$G$60*(sezione!$AM$27-C144)/C144</f>
        <v>6.8460000000000118E-3</v>
      </c>
      <c r="M144" s="559">
        <f>'Progetto del paramento slu'!$G$60*(sezione!$AN$27-C144)/C144</f>
        <v>1.4433066666666687E-2</v>
      </c>
      <c r="N144" s="559">
        <f>'Progetto del paramento slu'!$G$60*(sezione!$AO$27-C144)/C144</f>
        <v>1.9950933333333361E-2</v>
      </c>
      <c r="O144" s="559">
        <f>'Progetto del paramento slu'!$G$60*(sezione!$AP$27-C144)/C144</f>
        <v>1.4433066666666687E-2</v>
      </c>
      <c r="P144" s="553">
        <f>-'Progetto del paramento slu'!$G$47*'Progetto del paramento slu'!$G$41*IF(DATI!$G$218="dx",DATI!$E$61,DATI!$E$64*DATI!$E$63)*1000*C144*sezione!$AD$5</f>
        <v>-715285.35182679223</v>
      </c>
      <c r="Q144" s="553">
        <f>'Foglio deposito bis'!$F$48*IF(ABS(K144)&lt;'Progetto del paramento slu'!$G$58,ABS(K144)*'Progetto del paramento slu'!$G$54,'Progetto del paramento slu'!$G$53)*IF(K144&lt;0,-1,1)</f>
        <v>0</v>
      </c>
      <c r="R144" s="553">
        <f>'Foglio deposito bis'!$F$49*IF(ABS(L144)&lt;'Progetto del paramento slu'!$G$58,ABS(L144)*'Progetto del paramento slu'!$G$54,'Progetto del paramento slu'!$G$53)*IF(L144&lt;0,-1,1)</f>
        <v>204886.47740803001</v>
      </c>
      <c r="S144" s="553">
        <f>'Foglio deposito bis'!$F$50*IF(ABS(M144)&lt;'Progetto del paramento slu'!$G$58,ABS(M144)*'Progetto del paramento slu'!$G$54,'Progetto del paramento slu'!$G$53)*IF(M144&lt;0,-1,1)</f>
        <v>0</v>
      </c>
      <c r="T144" s="553">
        <f>'Foglio deposito bis'!$F$51*IF(ABS(N144)&lt;'Progetto del paramento slu'!$G$58,ABS(N144)*'Progetto del paramento slu'!$G$54,'Progetto del paramento slu'!$G$53)*IF(N144&lt;0,-1,1)</f>
        <v>240946.49743184328</v>
      </c>
      <c r="U144" s="553">
        <f>'Foglio deposito bis'!$F$52*IF(ABS(O144)&lt;'Progetto del paramento slu'!$G$58,ABS(O144)*'Progetto del paramento slu'!$G$54,'Progetto del paramento slu'!$G$53)*IF(O144&lt;0,-1,1)</f>
        <v>240946.49743184328</v>
      </c>
      <c r="V144" s="479">
        <f t="shared" si="15"/>
        <v>-28505.879555075691</v>
      </c>
      <c r="W144" s="559"/>
      <c r="X144" s="559"/>
    </row>
    <row r="145" spans="1:24" x14ac:dyDescent="0.25">
      <c r="A145" s="553">
        <f t="shared" si="14"/>
        <v>39950.445184304408</v>
      </c>
      <c r="B145" s="3">
        <f t="shared" si="12"/>
        <v>12.699999999999976</v>
      </c>
      <c r="C145" s="553">
        <f>'Foglio deposito bis'!$E$153/$B$247*B145</f>
        <v>51.556156968876806</v>
      </c>
      <c r="D145" s="611">
        <f>-'Progetto del paramento slu'!$G$47*'Progetto del paramento slu'!$G$41*IF(DATI!$G$218="dx",DATI!$E$61,DATI!$E$64*DATI!$E$63)*1000*C145^2*sezione!$AD$5*(1-sezione!$AD$6)</f>
        <v>-21880962.591831438</v>
      </c>
      <c r="E145" s="553">
        <f>-'Foglio deposito bis'!$F$48*(C145-sezione!$AL$27)*IF(ABS(K145)&lt;'Progetto del paramento slu'!$G$58,ABS(K145)*'Progetto del paramento slu'!$G$54,'Progetto del paramento slu'!$G$53)</f>
        <v>0</v>
      </c>
      <c r="F145" s="553">
        <f>-'Foglio deposito bis'!$F$49*(C145-sezione!$AM$27)*IF(ABS(L145)&lt;'Progetto del paramento slu'!$G$58,ABS(L145)*'Progetto del paramento slu'!$G$54,'Progetto del paramento slu'!$G$53)</f>
        <v>20169812.221155874</v>
      </c>
      <c r="G145" s="553">
        <f>-'Foglio deposito bis'!$F$50*(C145-sezione!$AN$27)*IF(ABS(M145)&lt;'Progetto del paramento slu'!$G$58,ABS(M145)*'Progetto del paramento slu'!$G$54,'Progetto del paramento slu'!$G$53)</f>
        <v>0</v>
      </c>
      <c r="H145" s="553">
        <f>-'Foglio deposito bis'!$F$51*(C145-sezione!$AO$27)*IF(ABS(N145)&lt;'Progetto del paramento slu'!$G$58,ABS(N145)*'Progetto del paramento slu'!$G$54,'Progetto del paramento slu'!$G$53)</f>
        <v>69499533.684129536</v>
      </c>
      <c r="I145" s="479">
        <f>-'Foglio deposito bis'!$F$52*(C145-sezione!$AP$27)*IF(ABS(O145)&lt;'Progetto del paramento slu'!$G$58,ABS(O145)*'Progetto del paramento slu'!$G$54,'Progetto del paramento slu'!$G$53)</f>
        <v>50223813.889582075</v>
      </c>
      <c r="J145" s="479">
        <f t="shared" si="13"/>
        <v>118012197.20303604</v>
      </c>
      <c r="K145" s="558">
        <f>'Progetto del paramento slu'!$G$60*(sezione!$AL$27-C145)/C145</f>
        <v>-7.8451443569553514E-4</v>
      </c>
      <c r="L145" s="558">
        <f>'Progetto del paramento slu'!$G$60*(sezione!$AM$27-C145)/C145</f>
        <v>6.6830708661417427E-3</v>
      </c>
      <c r="M145" s="559">
        <f>'Progetto del paramento slu'!$G$60*(sezione!$AN$27-C145)/C145</f>
        <v>1.4150656167979024E-2</v>
      </c>
      <c r="N145" s="559">
        <f>'Progetto del paramento slu'!$G$60*(sezione!$AO$27-C145)/C145</f>
        <v>1.9581627296587953E-2</v>
      </c>
      <c r="O145" s="559">
        <f>'Progetto del paramento slu'!$G$60*(sezione!$AP$27-C145)/C145</f>
        <v>1.4150656167979024E-2</v>
      </c>
      <c r="P145" s="553">
        <f>-'Progetto del paramento slu'!$G$47*'Progetto del paramento slu'!$G$41*IF(DATI!$G$218="dx",DATI!$E$61,DATI!$E$64*DATI!$E$63)*1000*C145*sezione!$AD$5</f>
        <v>-726729.91745602095</v>
      </c>
      <c r="Q145" s="553">
        <f>'Foglio deposito bis'!$F$48*IF(ABS(K145)&lt;'Progetto del paramento slu'!$G$58,ABS(K145)*'Progetto del paramento slu'!$G$54,'Progetto del paramento slu'!$G$53)*IF(K145&lt;0,-1,1)</f>
        <v>0</v>
      </c>
      <c r="R145" s="553">
        <f>'Foglio deposito bis'!$F$49*IF(ABS(L145)&lt;'Progetto del paramento slu'!$G$58,ABS(L145)*'Progetto del paramento slu'!$G$54,'Progetto del paramento slu'!$G$53)*IF(L145&lt;0,-1,1)</f>
        <v>204886.47740803001</v>
      </c>
      <c r="S145" s="553">
        <f>'Foglio deposito bis'!$F$50*IF(ABS(M145)&lt;'Progetto del paramento slu'!$G$58,ABS(M145)*'Progetto del paramento slu'!$G$54,'Progetto del paramento slu'!$G$53)*IF(M145&lt;0,-1,1)</f>
        <v>0</v>
      </c>
      <c r="T145" s="553">
        <f>'Foglio deposito bis'!$F$51*IF(ABS(N145)&lt;'Progetto del paramento slu'!$G$58,ABS(N145)*'Progetto del paramento slu'!$G$54,'Progetto del paramento slu'!$G$53)*IF(N145&lt;0,-1,1)</f>
        <v>240946.49743184328</v>
      </c>
      <c r="U145" s="553">
        <f>'Foglio deposito bis'!$F$52*IF(ABS(O145)&lt;'Progetto del paramento slu'!$G$58,ABS(O145)*'Progetto del paramento slu'!$G$54,'Progetto del paramento slu'!$G$53)*IF(O145&lt;0,-1,1)</f>
        <v>240946.49743184328</v>
      </c>
      <c r="V145" s="479">
        <f t="shared" si="15"/>
        <v>-39950.445184304408</v>
      </c>
      <c r="W145" s="559"/>
      <c r="X145" s="559"/>
    </row>
    <row r="146" spans="1:24" x14ac:dyDescent="0.25">
      <c r="A146" s="553">
        <f t="shared" si="14"/>
        <v>51395.010813532892</v>
      </c>
      <c r="B146" s="3">
        <f t="shared" si="12"/>
        <v>12.899999999999975</v>
      </c>
      <c r="C146" s="553">
        <f>'Foglio deposito bis'!$E$153/$B$247*B146</f>
        <v>52.36806495263864</v>
      </c>
      <c r="D146" s="611">
        <f>-'Progetto del paramento slu'!$G$47*'Progetto del paramento slu'!$G$41*IF(DATI!$G$218="dx",DATI!$E$61,DATI!$E$64*DATI!$E$63)*1000*C146^2*sezione!$AD$5*(1-sezione!$AD$6)</f>
        <v>-22575553.257527862</v>
      </c>
      <c r="E146" s="553">
        <f>-'Foglio deposito bis'!$F$48*(C146-sezione!$AL$27)*IF(ABS(K146)&lt;'Progetto del paramento slu'!$G$58,ABS(K146)*'Progetto del paramento slu'!$G$54,'Progetto del paramento slu'!$G$53)</f>
        <v>0</v>
      </c>
      <c r="F146" s="553">
        <f>-'Foglio deposito bis'!$F$49*(C146-sezione!$AM$27)*IF(ABS(L146)&lt;'Progetto del paramento slu'!$G$58,ABS(L146)*'Progetto del paramento slu'!$G$54,'Progetto del paramento slu'!$G$53)</f>
        <v>20003463.25438346</v>
      </c>
      <c r="G146" s="553">
        <f>-'Foglio deposito bis'!$F$50*(C146-sezione!$AN$27)*IF(ABS(M146)&lt;'Progetto del paramento slu'!$G$58,ABS(M146)*'Progetto del paramento slu'!$G$54,'Progetto del paramento slu'!$G$53)</f>
        <v>0</v>
      </c>
      <c r="H146" s="553">
        <f>-'Foglio deposito bis'!$F$51*(C146-sezione!$AO$27)*IF(ABS(N146)&lt;'Progetto del paramento slu'!$G$58,ABS(N146)*'Progetto del paramento slu'!$G$54,'Progetto del paramento slu'!$G$53)</f>
        <v>69303907.299205169</v>
      </c>
      <c r="I146" s="479">
        <f>-'Foglio deposito bis'!$F$52*(C146-sezione!$AP$27)*IF(ABS(O146)&lt;'Progetto del paramento slu'!$G$58,ABS(O146)*'Progetto del paramento slu'!$G$54,'Progetto del paramento slu'!$G$53)</f>
        <v>50028187.504657708</v>
      </c>
      <c r="J146" s="479">
        <f t="shared" si="13"/>
        <v>116760004.80071849</v>
      </c>
      <c r="K146" s="558">
        <f>'Progetto del paramento slu'!$G$60*(sezione!$AL$27-C146)/C146</f>
        <v>-8.2661498708010031E-4</v>
      </c>
      <c r="L146" s="558">
        <f>'Progetto del paramento slu'!$G$60*(sezione!$AM$27-C146)/C146</f>
        <v>6.5251937984496244E-3</v>
      </c>
      <c r="M146" s="559">
        <f>'Progetto del paramento slu'!$G$60*(sezione!$AN$27-C146)/C146</f>
        <v>1.3877002583979349E-2</v>
      </c>
      <c r="N146" s="559">
        <f>'Progetto del paramento slu'!$G$60*(sezione!$AO$27-C146)/C146</f>
        <v>1.922377260981915E-2</v>
      </c>
      <c r="O146" s="559">
        <f>'Progetto del paramento slu'!$G$60*(sezione!$AP$27-C146)/C146</f>
        <v>1.3877002583979349E-2</v>
      </c>
      <c r="P146" s="553">
        <f>-'Progetto del paramento slu'!$G$47*'Progetto del paramento slu'!$G$41*IF(DATI!$G$218="dx",DATI!$E$61,DATI!$E$64*DATI!$E$63)*1000*C146*sezione!$AD$5</f>
        <v>-738174.48308524943</v>
      </c>
      <c r="Q146" s="553">
        <f>'Foglio deposito bis'!$F$48*IF(ABS(K146)&lt;'Progetto del paramento slu'!$G$58,ABS(K146)*'Progetto del paramento slu'!$G$54,'Progetto del paramento slu'!$G$53)*IF(K146&lt;0,-1,1)</f>
        <v>0</v>
      </c>
      <c r="R146" s="553">
        <f>'Foglio deposito bis'!$F$49*IF(ABS(L146)&lt;'Progetto del paramento slu'!$G$58,ABS(L146)*'Progetto del paramento slu'!$G$54,'Progetto del paramento slu'!$G$53)*IF(L146&lt;0,-1,1)</f>
        <v>204886.47740803001</v>
      </c>
      <c r="S146" s="553">
        <f>'Foglio deposito bis'!$F$50*IF(ABS(M146)&lt;'Progetto del paramento slu'!$G$58,ABS(M146)*'Progetto del paramento slu'!$G$54,'Progetto del paramento slu'!$G$53)*IF(M146&lt;0,-1,1)</f>
        <v>0</v>
      </c>
      <c r="T146" s="553">
        <f>'Foglio deposito bis'!$F$51*IF(ABS(N146)&lt;'Progetto del paramento slu'!$G$58,ABS(N146)*'Progetto del paramento slu'!$G$54,'Progetto del paramento slu'!$G$53)*IF(N146&lt;0,-1,1)</f>
        <v>240946.49743184328</v>
      </c>
      <c r="U146" s="553">
        <f>'Foglio deposito bis'!$F$52*IF(ABS(O146)&lt;'Progetto del paramento slu'!$G$58,ABS(O146)*'Progetto del paramento slu'!$G$54,'Progetto del paramento slu'!$G$53)*IF(O146&lt;0,-1,1)</f>
        <v>240946.49743184328</v>
      </c>
      <c r="V146" s="479">
        <f t="shared" si="15"/>
        <v>-51395.010813532892</v>
      </c>
      <c r="W146" s="559"/>
      <c r="X146" s="559"/>
    </row>
    <row r="147" spans="1:24" x14ac:dyDescent="0.25">
      <c r="A147" s="553">
        <f t="shared" si="14"/>
        <v>62839.576442761609</v>
      </c>
      <c r="B147" s="3">
        <f t="shared" si="12"/>
        <v>13.099999999999975</v>
      </c>
      <c r="C147" s="553">
        <f>'Foglio deposito bis'!$E$153/$B$247*B147</f>
        <v>53.179972936400482</v>
      </c>
      <c r="D147" s="611">
        <f>-'Progetto del paramento slu'!$G$47*'Progetto del paramento slu'!$G$41*IF(DATI!$G$218="dx",DATI!$E$61,DATI!$E$64*DATI!$E$63)*1000*C147^2*sezione!$AD$5*(1-sezione!$AD$6)</f>
        <v>-23280996.902375799</v>
      </c>
      <c r="E147" s="553">
        <f>-'Foglio deposito bis'!$F$48*(C147-sezione!$AL$27)*IF(ABS(K147)&lt;'Progetto del paramento slu'!$G$58,ABS(K147)*'Progetto del paramento slu'!$G$54,'Progetto del paramento slu'!$G$53)</f>
        <v>0</v>
      </c>
      <c r="F147" s="553">
        <f>-'Foglio deposito bis'!$F$49*(C147-sezione!$AM$27)*IF(ABS(L147)&lt;'Progetto del paramento slu'!$G$58,ABS(L147)*'Progetto del paramento slu'!$G$54,'Progetto del paramento slu'!$G$53)</f>
        <v>19837114.287611037</v>
      </c>
      <c r="G147" s="553">
        <f>-'Foglio deposito bis'!$F$50*(C147-sezione!$AN$27)*IF(ABS(M147)&lt;'Progetto del paramento slu'!$G$58,ABS(M147)*'Progetto del paramento slu'!$G$54,'Progetto del paramento slu'!$G$53)</f>
        <v>0</v>
      </c>
      <c r="H147" s="553">
        <f>-'Foglio deposito bis'!$F$51*(C147-sezione!$AO$27)*IF(ABS(N147)&lt;'Progetto del paramento slu'!$G$58,ABS(N147)*'Progetto del paramento slu'!$G$54,'Progetto del paramento slu'!$G$53)</f>
        <v>69108280.914280802</v>
      </c>
      <c r="I147" s="479">
        <f>-'Foglio deposito bis'!$F$52*(C147-sezione!$AP$27)*IF(ABS(O147)&lt;'Progetto del paramento slu'!$G$58,ABS(O147)*'Progetto del paramento slu'!$G$54,'Progetto del paramento slu'!$G$53)</f>
        <v>49832561.119733341</v>
      </c>
      <c r="J147" s="479">
        <f t="shared" si="13"/>
        <v>115496959.41924939</v>
      </c>
      <c r="K147" s="558">
        <f>'Progetto del paramento slu'!$G$60*(sezione!$AL$27-C147)/C147</f>
        <v>-8.6743002544528974E-4</v>
      </c>
      <c r="L147" s="558">
        <f>'Progetto del paramento slu'!$G$60*(sezione!$AM$27-C147)/C147</f>
        <v>6.3721374045801636E-3</v>
      </c>
      <c r="M147" s="559">
        <f>'Progetto del paramento slu'!$G$60*(sezione!$AN$27-C147)/C147</f>
        <v>1.3611704834605618E-2</v>
      </c>
      <c r="N147" s="559">
        <f>'Progetto del paramento slu'!$G$60*(sezione!$AO$27-C147)/C147</f>
        <v>1.8876844783715038E-2</v>
      </c>
      <c r="O147" s="559">
        <f>'Progetto del paramento slu'!$G$60*(sezione!$AP$27-C147)/C147</f>
        <v>1.3611704834605618E-2</v>
      </c>
      <c r="P147" s="553">
        <f>-'Progetto del paramento slu'!$G$47*'Progetto del paramento slu'!$G$41*IF(DATI!$G$218="dx",DATI!$E$61,DATI!$E$64*DATI!$E$63)*1000*C147*sezione!$AD$5</f>
        <v>-749619.04871447815</v>
      </c>
      <c r="Q147" s="553">
        <f>'Foglio deposito bis'!$F$48*IF(ABS(K147)&lt;'Progetto del paramento slu'!$G$58,ABS(K147)*'Progetto del paramento slu'!$G$54,'Progetto del paramento slu'!$G$53)*IF(K147&lt;0,-1,1)</f>
        <v>0</v>
      </c>
      <c r="R147" s="553">
        <f>'Foglio deposito bis'!$F$49*IF(ABS(L147)&lt;'Progetto del paramento slu'!$G$58,ABS(L147)*'Progetto del paramento slu'!$G$54,'Progetto del paramento slu'!$G$53)*IF(L147&lt;0,-1,1)</f>
        <v>204886.47740803001</v>
      </c>
      <c r="S147" s="553">
        <f>'Foglio deposito bis'!$F$50*IF(ABS(M147)&lt;'Progetto del paramento slu'!$G$58,ABS(M147)*'Progetto del paramento slu'!$G$54,'Progetto del paramento slu'!$G$53)*IF(M147&lt;0,-1,1)</f>
        <v>0</v>
      </c>
      <c r="T147" s="553">
        <f>'Foglio deposito bis'!$F$51*IF(ABS(N147)&lt;'Progetto del paramento slu'!$G$58,ABS(N147)*'Progetto del paramento slu'!$G$54,'Progetto del paramento slu'!$G$53)*IF(N147&lt;0,-1,1)</f>
        <v>240946.49743184328</v>
      </c>
      <c r="U147" s="553">
        <f>'Foglio deposito bis'!$F$52*IF(ABS(O147)&lt;'Progetto del paramento slu'!$G$58,ABS(O147)*'Progetto del paramento slu'!$G$54,'Progetto del paramento slu'!$G$53)*IF(O147&lt;0,-1,1)</f>
        <v>240946.49743184328</v>
      </c>
      <c r="V147" s="479">
        <f t="shared" si="15"/>
        <v>-62839.576442761609</v>
      </c>
      <c r="W147" s="559"/>
      <c r="X147" s="559"/>
    </row>
    <row r="148" spans="1:24" x14ac:dyDescent="0.25">
      <c r="A148" s="553">
        <f t="shared" si="14"/>
        <v>74284.142071990093</v>
      </c>
      <c r="B148" s="3">
        <f t="shared" si="12"/>
        <v>13.299999999999974</v>
      </c>
      <c r="C148" s="553">
        <f>'Foglio deposito bis'!$E$153/$B$247*B148</f>
        <v>53.991880920162316</v>
      </c>
      <c r="D148" s="611">
        <f>-'Progetto del paramento slu'!$G$47*'Progetto del paramento slu'!$G$41*IF(DATI!$G$218="dx",DATI!$E$61,DATI!$E$64*DATI!$E$63)*1000*C148^2*sezione!$AD$5*(1-sezione!$AD$6)</f>
        <v>-23997293.526375234</v>
      </c>
      <c r="E148" s="553">
        <f>-'Foglio deposito bis'!$F$48*(C148-sezione!$AL$27)*IF(ABS(K148)&lt;'Progetto del paramento slu'!$G$58,ABS(K148)*'Progetto del paramento slu'!$G$54,'Progetto del paramento slu'!$G$53)</f>
        <v>0</v>
      </c>
      <c r="F148" s="553">
        <f>-'Foglio deposito bis'!$F$49*(C148-sezione!$AM$27)*IF(ABS(L148)&lt;'Progetto del paramento slu'!$G$58,ABS(L148)*'Progetto del paramento slu'!$G$54,'Progetto del paramento slu'!$G$53)</f>
        <v>19670765.320838619</v>
      </c>
      <c r="G148" s="553">
        <f>-'Foglio deposito bis'!$F$50*(C148-sezione!$AN$27)*IF(ABS(M148)&lt;'Progetto del paramento slu'!$G$58,ABS(M148)*'Progetto del paramento slu'!$G$54,'Progetto del paramento slu'!$G$53)</f>
        <v>0</v>
      </c>
      <c r="H148" s="553">
        <f>-'Foglio deposito bis'!$F$51*(C148-sezione!$AO$27)*IF(ABS(N148)&lt;'Progetto del paramento slu'!$G$58,ABS(N148)*'Progetto del paramento slu'!$G$54,'Progetto del paramento slu'!$G$53)</f>
        <v>68912654.529356435</v>
      </c>
      <c r="I148" s="479">
        <f>-'Foglio deposito bis'!$F$52*(C148-sezione!$AP$27)*IF(ABS(O148)&lt;'Progetto del paramento slu'!$G$58,ABS(O148)*'Progetto del paramento slu'!$G$54,'Progetto del paramento slu'!$G$53)</f>
        <v>49636934.734808974</v>
      </c>
      <c r="J148" s="479">
        <f t="shared" si="13"/>
        <v>114223061.0586288</v>
      </c>
      <c r="K148" s="558">
        <f>'Progetto del paramento slu'!$G$60*(sezione!$AL$27-C148)/C148</f>
        <v>-9.0701754385964599E-4</v>
      </c>
      <c r="L148" s="558">
        <f>'Progetto del paramento slu'!$G$60*(sezione!$AM$27-C148)/C148</f>
        <v>6.2236842105263274E-3</v>
      </c>
      <c r="M148" s="559">
        <f>'Progetto del paramento slu'!$G$60*(sezione!$AN$27-C148)/C148</f>
        <v>1.3354385964912301E-2</v>
      </c>
      <c r="N148" s="559">
        <f>'Progetto del paramento slu'!$G$60*(sezione!$AO$27-C148)/C148</f>
        <v>1.854035087719301E-2</v>
      </c>
      <c r="O148" s="559">
        <f>'Progetto del paramento slu'!$G$60*(sezione!$AP$27-C148)/C148</f>
        <v>1.3354385964912301E-2</v>
      </c>
      <c r="P148" s="553">
        <f>-'Progetto del paramento slu'!$G$47*'Progetto del paramento slu'!$G$41*IF(DATI!$G$218="dx",DATI!$E$61,DATI!$E$64*DATI!$E$63)*1000*C148*sezione!$AD$5</f>
        <v>-761063.61434370675</v>
      </c>
      <c r="Q148" s="553">
        <f>'Foglio deposito bis'!$F$48*IF(ABS(K148)&lt;'Progetto del paramento slu'!$G$58,ABS(K148)*'Progetto del paramento slu'!$G$54,'Progetto del paramento slu'!$G$53)*IF(K148&lt;0,-1,1)</f>
        <v>0</v>
      </c>
      <c r="R148" s="553">
        <f>'Foglio deposito bis'!$F$49*IF(ABS(L148)&lt;'Progetto del paramento slu'!$G$58,ABS(L148)*'Progetto del paramento slu'!$G$54,'Progetto del paramento slu'!$G$53)*IF(L148&lt;0,-1,1)</f>
        <v>204886.47740803001</v>
      </c>
      <c r="S148" s="553">
        <f>'Foglio deposito bis'!$F$50*IF(ABS(M148)&lt;'Progetto del paramento slu'!$G$58,ABS(M148)*'Progetto del paramento slu'!$G$54,'Progetto del paramento slu'!$G$53)*IF(M148&lt;0,-1,1)</f>
        <v>0</v>
      </c>
      <c r="T148" s="553">
        <f>'Foglio deposito bis'!$F$51*IF(ABS(N148)&lt;'Progetto del paramento slu'!$G$58,ABS(N148)*'Progetto del paramento slu'!$G$54,'Progetto del paramento slu'!$G$53)*IF(N148&lt;0,-1,1)</f>
        <v>240946.49743184328</v>
      </c>
      <c r="U148" s="553">
        <f>'Foglio deposito bis'!$F$52*IF(ABS(O148)&lt;'Progetto del paramento slu'!$G$58,ABS(O148)*'Progetto del paramento slu'!$G$54,'Progetto del paramento slu'!$G$53)*IF(O148&lt;0,-1,1)</f>
        <v>240946.49743184328</v>
      </c>
      <c r="V148" s="479">
        <f t="shared" si="15"/>
        <v>-74284.142071990093</v>
      </c>
      <c r="W148" s="559"/>
      <c r="X148" s="559"/>
    </row>
    <row r="149" spans="1:24" x14ac:dyDescent="0.25">
      <c r="A149" s="553">
        <f t="shared" si="14"/>
        <v>85728.707701218809</v>
      </c>
      <c r="B149" s="3">
        <f t="shared" si="12"/>
        <v>13.499999999999973</v>
      </c>
      <c r="C149" s="553">
        <f>'Foglio deposito bis'!$E$153/$B$247*B149</f>
        <v>54.803788903924158</v>
      </c>
      <c r="D149" s="611">
        <f>-'Progetto del paramento slu'!$G$47*'Progetto del paramento slu'!$G$41*IF(DATI!$G$218="dx",DATI!$E$61,DATI!$E$64*DATI!$E$63)*1000*C149^2*sezione!$AD$5*(1-sezione!$AD$6)</f>
        <v>-24724443.129526187</v>
      </c>
      <c r="E149" s="553">
        <f>-'Foglio deposito bis'!$F$48*(C149-sezione!$AL$27)*IF(ABS(K149)&lt;'Progetto del paramento slu'!$G$58,ABS(K149)*'Progetto del paramento slu'!$G$54,'Progetto del paramento slu'!$G$53)</f>
        <v>0</v>
      </c>
      <c r="F149" s="553">
        <f>-'Foglio deposito bis'!$F$49*(C149-sezione!$AM$27)*IF(ABS(L149)&lt;'Progetto del paramento slu'!$G$58,ABS(L149)*'Progetto del paramento slu'!$G$54,'Progetto del paramento slu'!$G$53)</f>
        <v>19504416.354066197</v>
      </c>
      <c r="G149" s="553">
        <f>-'Foglio deposito bis'!$F$50*(C149-sezione!$AN$27)*IF(ABS(M149)&lt;'Progetto del paramento slu'!$G$58,ABS(M149)*'Progetto del paramento slu'!$G$54,'Progetto del paramento slu'!$G$53)</f>
        <v>0</v>
      </c>
      <c r="H149" s="553">
        <f>-'Foglio deposito bis'!$F$51*(C149-sezione!$AO$27)*IF(ABS(N149)&lt;'Progetto del paramento slu'!$G$58,ABS(N149)*'Progetto del paramento slu'!$G$54,'Progetto del paramento slu'!$G$53)</f>
        <v>68717028.144432068</v>
      </c>
      <c r="I149" s="479">
        <f>-'Foglio deposito bis'!$F$52*(C149-sezione!$AP$27)*IF(ABS(O149)&lt;'Progetto del paramento slu'!$G$58,ABS(O149)*'Progetto del paramento slu'!$G$54,'Progetto del paramento slu'!$G$53)</f>
        <v>49441308.349884607</v>
      </c>
      <c r="J149" s="479">
        <f t="shared" si="13"/>
        <v>112938309.71885669</v>
      </c>
      <c r="K149" s="558">
        <f>'Progetto del paramento slu'!$G$60*(sezione!$AL$27-C149)/C149</f>
        <v>-9.4543209876542917E-4</v>
      </c>
      <c r="L149" s="558">
        <f>'Progetto del paramento slu'!$G$60*(sezione!$AM$27-C149)/C149</f>
        <v>6.0796296296296405E-3</v>
      </c>
      <c r="M149" s="559">
        <f>'Progetto del paramento slu'!$G$60*(sezione!$AN$27-C149)/C149</f>
        <v>1.3104691358024712E-2</v>
      </c>
      <c r="N149" s="559">
        <f>'Progetto del paramento slu'!$G$60*(sezione!$AO$27-C149)/C149</f>
        <v>1.8213827160493853E-2</v>
      </c>
      <c r="O149" s="559">
        <f>'Progetto del paramento slu'!$G$60*(sezione!$AP$27-C149)/C149</f>
        <v>1.3104691358024712E-2</v>
      </c>
      <c r="P149" s="553">
        <f>-'Progetto del paramento slu'!$G$47*'Progetto del paramento slu'!$G$41*IF(DATI!$G$218="dx",DATI!$E$61,DATI!$E$64*DATI!$E$63)*1000*C149*sezione!$AD$5</f>
        <v>-772508.17997293547</v>
      </c>
      <c r="Q149" s="553">
        <f>'Foglio deposito bis'!$F$48*IF(ABS(K149)&lt;'Progetto del paramento slu'!$G$58,ABS(K149)*'Progetto del paramento slu'!$G$54,'Progetto del paramento slu'!$G$53)*IF(K149&lt;0,-1,1)</f>
        <v>0</v>
      </c>
      <c r="R149" s="553">
        <f>'Foglio deposito bis'!$F$49*IF(ABS(L149)&lt;'Progetto del paramento slu'!$G$58,ABS(L149)*'Progetto del paramento slu'!$G$54,'Progetto del paramento slu'!$G$53)*IF(L149&lt;0,-1,1)</f>
        <v>204886.47740803001</v>
      </c>
      <c r="S149" s="553">
        <f>'Foglio deposito bis'!$F$50*IF(ABS(M149)&lt;'Progetto del paramento slu'!$G$58,ABS(M149)*'Progetto del paramento slu'!$G$54,'Progetto del paramento slu'!$G$53)*IF(M149&lt;0,-1,1)</f>
        <v>0</v>
      </c>
      <c r="T149" s="553">
        <f>'Foglio deposito bis'!$F$51*IF(ABS(N149)&lt;'Progetto del paramento slu'!$G$58,ABS(N149)*'Progetto del paramento slu'!$G$54,'Progetto del paramento slu'!$G$53)*IF(N149&lt;0,-1,1)</f>
        <v>240946.49743184328</v>
      </c>
      <c r="U149" s="553">
        <f>'Foglio deposito bis'!$F$52*IF(ABS(O149)&lt;'Progetto del paramento slu'!$G$58,ABS(O149)*'Progetto del paramento slu'!$G$54,'Progetto del paramento slu'!$G$53)*IF(O149&lt;0,-1,1)</f>
        <v>240946.49743184328</v>
      </c>
      <c r="V149" s="479">
        <f t="shared" si="15"/>
        <v>-85728.707701218809</v>
      </c>
      <c r="W149" s="559"/>
      <c r="X149" s="559"/>
    </row>
    <row r="150" spans="1:24" x14ac:dyDescent="0.25">
      <c r="A150" s="553">
        <f t="shared" si="14"/>
        <v>97173.273330447526</v>
      </c>
      <c r="B150" s="3">
        <f t="shared" si="12"/>
        <v>13.699999999999973</v>
      </c>
      <c r="C150" s="553">
        <f>'Foglio deposito bis'!$E$153/$B$247*B150</f>
        <v>55.615696887685992</v>
      </c>
      <c r="D150" s="611">
        <f>-'Progetto del paramento slu'!$G$47*'Progetto del paramento slu'!$G$41*IF(DATI!$G$218="dx",DATI!$E$61,DATI!$E$64*DATI!$E$63)*1000*C150^2*sezione!$AD$5*(1-sezione!$AD$6)</f>
        <v>-25462445.711828638</v>
      </c>
      <c r="E150" s="553">
        <f>-'Foglio deposito bis'!$F$48*(C150-sezione!$AL$27)*IF(ABS(K150)&lt;'Progetto del paramento slu'!$G$58,ABS(K150)*'Progetto del paramento slu'!$G$54,'Progetto del paramento slu'!$G$53)</f>
        <v>0</v>
      </c>
      <c r="F150" s="553">
        <f>-'Foglio deposito bis'!$F$49*(C150-sezione!$AM$27)*IF(ABS(L150)&lt;'Progetto del paramento slu'!$G$58,ABS(L150)*'Progetto del paramento slu'!$G$54,'Progetto del paramento slu'!$G$53)</f>
        <v>19338067.387293778</v>
      </c>
      <c r="G150" s="553">
        <f>-'Foglio deposito bis'!$F$50*(C150-sezione!$AN$27)*IF(ABS(M150)&lt;'Progetto del paramento slu'!$G$58,ABS(M150)*'Progetto del paramento slu'!$G$54,'Progetto del paramento slu'!$G$53)</f>
        <v>0</v>
      </c>
      <c r="H150" s="553">
        <f>-'Foglio deposito bis'!$F$51*(C150-sezione!$AO$27)*IF(ABS(N150)&lt;'Progetto del paramento slu'!$G$58,ABS(N150)*'Progetto del paramento slu'!$G$54,'Progetto del paramento slu'!$G$53)</f>
        <v>68521401.759507701</v>
      </c>
      <c r="I150" s="479">
        <f>-'Foglio deposito bis'!$F$52*(C150-sezione!$AP$27)*IF(ABS(O150)&lt;'Progetto del paramento slu'!$G$58,ABS(O150)*'Progetto del paramento slu'!$G$54,'Progetto del paramento slu'!$G$53)</f>
        <v>49245681.96496024</v>
      </c>
      <c r="J150" s="479">
        <f t="shared" si="13"/>
        <v>111642705.39993307</v>
      </c>
      <c r="K150" s="558">
        <f>'Progetto del paramento slu'!$G$60*(sezione!$AL$27-C150)/C150</f>
        <v>-9.8272506082724737E-4</v>
      </c>
      <c r="L150" s="558">
        <f>'Progetto del paramento slu'!$G$60*(sezione!$AM$27-C150)/C150</f>
        <v>5.939781021897822E-3</v>
      </c>
      <c r="M150" s="559">
        <f>'Progetto del paramento slu'!$G$60*(sezione!$AN$27-C150)/C150</f>
        <v>1.2862287104622892E-2</v>
      </c>
      <c r="N150" s="559">
        <f>'Progetto del paramento slu'!$G$60*(sezione!$AO$27-C150)/C150</f>
        <v>1.7896836982968397E-2</v>
      </c>
      <c r="O150" s="559">
        <f>'Progetto del paramento slu'!$G$60*(sezione!$AP$27-C150)/C150</f>
        <v>1.2862287104622892E-2</v>
      </c>
      <c r="P150" s="553">
        <f>-'Progetto del paramento slu'!$G$47*'Progetto del paramento slu'!$G$41*IF(DATI!$G$218="dx",DATI!$E$61,DATI!$E$64*DATI!$E$63)*1000*C150*sezione!$AD$5</f>
        <v>-783952.74560216418</v>
      </c>
      <c r="Q150" s="553">
        <f>'Foglio deposito bis'!$F$48*IF(ABS(K150)&lt;'Progetto del paramento slu'!$G$58,ABS(K150)*'Progetto del paramento slu'!$G$54,'Progetto del paramento slu'!$G$53)*IF(K150&lt;0,-1,1)</f>
        <v>0</v>
      </c>
      <c r="R150" s="553">
        <f>'Foglio deposito bis'!$F$49*IF(ABS(L150)&lt;'Progetto del paramento slu'!$G$58,ABS(L150)*'Progetto del paramento slu'!$G$54,'Progetto del paramento slu'!$G$53)*IF(L150&lt;0,-1,1)</f>
        <v>204886.47740803001</v>
      </c>
      <c r="S150" s="553">
        <f>'Foglio deposito bis'!$F$50*IF(ABS(M150)&lt;'Progetto del paramento slu'!$G$58,ABS(M150)*'Progetto del paramento slu'!$G$54,'Progetto del paramento slu'!$G$53)*IF(M150&lt;0,-1,1)</f>
        <v>0</v>
      </c>
      <c r="T150" s="553">
        <f>'Foglio deposito bis'!$F$51*IF(ABS(N150)&lt;'Progetto del paramento slu'!$G$58,ABS(N150)*'Progetto del paramento slu'!$G$54,'Progetto del paramento slu'!$G$53)*IF(N150&lt;0,-1,1)</f>
        <v>240946.49743184328</v>
      </c>
      <c r="U150" s="553">
        <f>'Foglio deposito bis'!$F$52*IF(ABS(O150)&lt;'Progetto del paramento slu'!$G$58,ABS(O150)*'Progetto del paramento slu'!$G$54,'Progetto del paramento slu'!$G$53)*IF(O150&lt;0,-1,1)</f>
        <v>240946.49743184328</v>
      </c>
      <c r="V150" s="479">
        <f t="shared" si="15"/>
        <v>-97173.273330447526</v>
      </c>
      <c r="W150" s="559"/>
      <c r="X150" s="559"/>
    </row>
    <row r="151" spans="1:24" x14ac:dyDescent="0.25">
      <c r="A151" s="553">
        <f t="shared" si="14"/>
        <v>108617.83895967624</v>
      </c>
      <c r="B151" s="3">
        <f t="shared" si="12"/>
        <v>13.899999999999972</v>
      </c>
      <c r="C151" s="553">
        <f>'Foglio deposito bis'!$E$153/$B$247*B151</f>
        <v>56.427604871447834</v>
      </c>
      <c r="D151" s="611">
        <f>-'Progetto del paramento slu'!$G$47*'Progetto del paramento slu'!$G$41*IF(DATI!$G$218="dx",DATI!$E$61,DATI!$E$64*DATI!$E$63)*1000*C151^2*sezione!$AD$5*(1-sezione!$AD$6)</f>
        <v>-26211301.273282602</v>
      </c>
      <c r="E151" s="553">
        <f>-'Foglio deposito bis'!$F$48*(C151-sezione!$AL$27)*IF(ABS(K151)&lt;'Progetto del paramento slu'!$G$58,ABS(K151)*'Progetto del paramento slu'!$G$54,'Progetto del paramento slu'!$G$53)</f>
        <v>0</v>
      </c>
      <c r="F151" s="553">
        <f>-'Foglio deposito bis'!$F$49*(C151-sezione!$AM$27)*IF(ABS(L151)&lt;'Progetto del paramento slu'!$G$58,ABS(L151)*'Progetto del paramento slu'!$G$54,'Progetto del paramento slu'!$G$53)</f>
        <v>19171718.42052136</v>
      </c>
      <c r="G151" s="553">
        <f>-'Foglio deposito bis'!$F$50*(C151-sezione!$AN$27)*IF(ABS(M151)&lt;'Progetto del paramento slu'!$G$58,ABS(M151)*'Progetto del paramento slu'!$G$54,'Progetto del paramento slu'!$G$53)</f>
        <v>0</v>
      </c>
      <c r="H151" s="553">
        <f>-'Foglio deposito bis'!$F$51*(C151-sezione!$AO$27)*IF(ABS(N151)&lt;'Progetto del paramento slu'!$G$58,ABS(N151)*'Progetto del paramento slu'!$G$54,'Progetto del paramento slu'!$G$53)</f>
        <v>68325775.374583349</v>
      </c>
      <c r="I151" s="479">
        <f>-'Foglio deposito bis'!$F$52*(C151-sezione!$AP$27)*IF(ABS(O151)&lt;'Progetto del paramento slu'!$G$58,ABS(O151)*'Progetto del paramento slu'!$G$54,'Progetto del paramento slu'!$G$53)</f>
        <v>49050055.580035873</v>
      </c>
      <c r="J151" s="479">
        <f t="shared" si="13"/>
        <v>110336248.10185799</v>
      </c>
      <c r="K151" s="558">
        <f>'Progetto del paramento slu'!$G$60*(sezione!$AL$27-C151)/C151</f>
        <v>-1.0189448441246972E-3</v>
      </c>
      <c r="L151" s="558">
        <f>'Progetto del paramento slu'!$G$60*(sezione!$AM$27-C151)/C151</f>
        <v>5.8039568345323858E-3</v>
      </c>
      <c r="M151" s="559">
        <f>'Progetto del paramento slu'!$G$60*(sezione!$AN$27-C151)/C151</f>
        <v>1.2626858513189468E-2</v>
      </c>
      <c r="N151" s="559">
        <f>'Progetto del paramento slu'!$G$60*(sezione!$AO$27-C151)/C151</f>
        <v>1.7588968824940075E-2</v>
      </c>
      <c r="O151" s="559">
        <f>'Progetto del paramento slu'!$G$60*(sezione!$AP$27-C151)/C151</f>
        <v>1.2626858513189468E-2</v>
      </c>
      <c r="P151" s="553">
        <f>-'Progetto del paramento slu'!$G$47*'Progetto del paramento slu'!$G$41*IF(DATI!$G$218="dx",DATI!$E$61,DATI!$E$64*DATI!$E$63)*1000*C151*sezione!$AD$5</f>
        <v>-795397.31123139278</v>
      </c>
      <c r="Q151" s="553">
        <f>'Foglio deposito bis'!$F$48*IF(ABS(K151)&lt;'Progetto del paramento slu'!$G$58,ABS(K151)*'Progetto del paramento slu'!$G$54,'Progetto del paramento slu'!$G$53)*IF(K151&lt;0,-1,1)</f>
        <v>0</v>
      </c>
      <c r="R151" s="553">
        <f>'Foglio deposito bis'!$F$49*IF(ABS(L151)&lt;'Progetto del paramento slu'!$G$58,ABS(L151)*'Progetto del paramento slu'!$G$54,'Progetto del paramento slu'!$G$53)*IF(L151&lt;0,-1,1)</f>
        <v>204886.47740803001</v>
      </c>
      <c r="S151" s="553">
        <f>'Foglio deposito bis'!$F$50*IF(ABS(M151)&lt;'Progetto del paramento slu'!$G$58,ABS(M151)*'Progetto del paramento slu'!$G$54,'Progetto del paramento slu'!$G$53)*IF(M151&lt;0,-1,1)</f>
        <v>0</v>
      </c>
      <c r="T151" s="553">
        <f>'Foglio deposito bis'!$F$51*IF(ABS(N151)&lt;'Progetto del paramento slu'!$G$58,ABS(N151)*'Progetto del paramento slu'!$G$54,'Progetto del paramento slu'!$G$53)*IF(N151&lt;0,-1,1)</f>
        <v>240946.49743184328</v>
      </c>
      <c r="U151" s="553">
        <f>'Foglio deposito bis'!$F$52*IF(ABS(O151)&lt;'Progetto del paramento slu'!$G$58,ABS(O151)*'Progetto del paramento slu'!$G$54,'Progetto del paramento slu'!$G$53)*IF(O151&lt;0,-1,1)</f>
        <v>240946.49743184328</v>
      </c>
      <c r="V151" s="479">
        <f t="shared" si="15"/>
        <v>-108617.83895967624</v>
      </c>
      <c r="W151" s="559"/>
      <c r="X151" s="559"/>
    </row>
    <row r="152" spans="1:24" x14ac:dyDescent="0.25">
      <c r="A152" s="553">
        <f t="shared" si="14"/>
        <v>120062.40458890473</v>
      </c>
      <c r="B152" s="3">
        <f t="shared" si="12"/>
        <v>14.099999999999971</v>
      </c>
      <c r="C152" s="553">
        <f>'Foglio deposito bis'!$E$153/$B$247*B152</f>
        <v>57.239512855209668</v>
      </c>
      <c r="D152" s="611">
        <f>-'Progetto del paramento slu'!$G$47*'Progetto del paramento slu'!$G$41*IF(DATI!$G$218="dx",DATI!$E$61,DATI!$E$64*DATI!$E$63)*1000*C152^2*sezione!$AD$5*(1-sezione!$AD$6)</f>
        <v>-26971009.813888062</v>
      </c>
      <c r="E152" s="553">
        <f>-'Foglio deposito bis'!$F$48*(C152-sezione!$AL$27)*IF(ABS(K152)&lt;'Progetto del paramento slu'!$G$58,ABS(K152)*'Progetto del paramento slu'!$G$54,'Progetto del paramento slu'!$G$53)</f>
        <v>0</v>
      </c>
      <c r="F152" s="553">
        <f>-'Foglio deposito bis'!$F$49*(C152-sezione!$AM$27)*IF(ABS(L152)&lt;'Progetto del paramento slu'!$G$58,ABS(L152)*'Progetto del paramento slu'!$G$54,'Progetto del paramento slu'!$G$53)</f>
        <v>19005369.453748941</v>
      </c>
      <c r="G152" s="553">
        <f>-'Foglio deposito bis'!$F$50*(C152-sezione!$AN$27)*IF(ABS(M152)&lt;'Progetto del paramento slu'!$G$58,ABS(M152)*'Progetto del paramento slu'!$G$54,'Progetto del paramento slu'!$G$53)</f>
        <v>0</v>
      </c>
      <c r="H152" s="553">
        <f>-'Foglio deposito bis'!$F$51*(C152-sezione!$AO$27)*IF(ABS(N152)&lt;'Progetto del paramento slu'!$G$58,ABS(N152)*'Progetto del paramento slu'!$G$54,'Progetto del paramento slu'!$G$53)</f>
        <v>68130148.989658967</v>
      </c>
      <c r="I152" s="479">
        <f>-'Foglio deposito bis'!$F$52*(C152-sezione!$AP$27)*IF(ABS(O152)&lt;'Progetto del paramento slu'!$G$58,ABS(O152)*'Progetto del paramento slu'!$G$54,'Progetto del paramento slu'!$G$53)</f>
        <v>48854429.195111513</v>
      </c>
      <c r="J152" s="479">
        <f t="shared" si="13"/>
        <v>109018937.82463136</v>
      </c>
      <c r="K152" s="558">
        <f>'Progetto del paramento slu'!$G$60*(sezione!$AL$27-C152)/C152</f>
        <v>-1.0541371158392402E-3</v>
      </c>
      <c r="L152" s="558">
        <f>'Progetto del paramento slu'!$G$60*(sezione!$AM$27-C152)/C152</f>
        <v>5.6719858156028492E-3</v>
      </c>
      <c r="M152" s="559">
        <f>'Progetto del paramento slu'!$G$60*(sezione!$AN$27-C152)/C152</f>
        <v>1.2398108747044938E-2</v>
      </c>
      <c r="N152" s="559">
        <f>'Progetto del paramento slu'!$G$60*(sezione!$AO$27-C152)/C152</f>
        <v>1.7289834515366455E-2</v>
      </c>
      <c r="O152" s="559">
        <f>'Progetto del paramento slu'!$G$60*(sezione!$AP$27-C152)/C152</f>
        <v>1.2398108747044938E-2</v>
      </c>
      <c r="P152" s="553">
        <f>-'Progetto del paramento slu'!$G$47*'Progetto del paramento slu'!$G$41*IF(DATI!$G$218="dx",DATI!$E$61,DATI!$E$64*DATI!$E$63)*1000*C152*sezione!$AD$5</f>
        <v>-806841.87686062139</v>
      </c>
      <c r="Q152" s="553">
        <f>'Foglio deposito bis'!$F$48*IF(ABS(K152)&lt;'Progetto del paramento slu'!$G$58,ABS(K152)*'Progetto del paramento slu'!$G$54,'Progetto del paramento slu'!$G$53)*IF(K152&lt;0,-1,1)</f>
        <v>0</v>
      </c>
      <c r="R152" s="553">
        <f>'Foglio deposito bis'!$F$49*IF(ABS(L152)&lt;'Progetto del paramento slu'!$G$58,ABS(L152)*'Progetto del paramento slu'!$G$54,'Progetto del paramento slu'!$G$53)*IF(L152&lt;0,-1,1)</f>
        <v>204886.47740803001</v>
      </c>
      <c r="S152" s="553">
        <f>'Foglio deposito bis'!$F$50*IF(ABS(M152)&lt;'Progetto del paramento slu'!$G$58,ABS(M152)*'Progetto del paramento slu'!$G$54,'Progetto del paramento slu'!$G$53)*IF(M152&lt;0,-1,1)</f>
        <v>0</v>
      </c>
      <c r="T152" s="553">
        <f>'Foglio deposito bis'!$F$51*IF(ABS(N152)&lt;'Progetto del paramento slu'!$G$58,ABS(N152)*'Progetto del paramento slu'!$G$54,'Progetto del paramento slu'!$G$53)*IF(N152&lt;0,-1,1)</f>
        <v>240946.49743184328</v>
      </c>
      <c r="U152" s="553">
        <f>'Foglio deposito bis'!$F$52*IF(ABS(O152)&lt;'Progetto del paramento slu'!$G$58,ABS(O152)*'Progetto del paramento slu'!$G$54,'Progetto del paramento slu'!$G$53)*IF(O152&lt;0,-1,1)</f>
        <v>240946.49743184328</v>
      </c>
      <c r="V152" s="479">
        <f t="shared" si="15"/>
        <v>-120062.40458890473</v>
      </c>
      <c r="W152" s="559"/>
      <c r="X152" s="559"/>
    </row>
    <row r="153" spans="1:24" x14ac:dyDescent="0.25">
      <c r="A153" s="553">
        <f t="shared" si="14"/>
        <v>131506.97021813344</v>
      </c>
      <c r="B153" s="3">
        <f t="shared" si="12"/>
        <v>14.299999999999971</v>
      </c>
      <c r="C153" s="553">
        <f>'Foglio deposito bis'!$E$153/$B$247*B153</f>
        <v>58.051420838971509</v>
      </c>
      <c r="D153" s="611">
        <f>-'Progetto del paramento slu'!$G$47*'Progetto del paramento slu'!$G$41*IF(DATI!$G$218="dx",DATI!$E$61,DATI!$E$64*DATI!$E$63)*1000*C153^2*sezione!$AD$5*(1-sezione!$AD$6)</f>
        <v>-27741571.333645038</v>
      </c>
      <c r="E153" s="553">
        <f>-'Foglio deposito bis'!$F$48*(C153-sezione!$AL$27)*IF(ABS(K153)&lt;'Progetto del paramento slu'!$G$58,ABS(K153)*'Progetto del paramento slu'!$G$54,'Progetto del paramento slu'!$G$53)</f>
        <v>0</v>
      </c>
      <c r="F153" s="553">
        <f>-'Foglio deposito bis'!$F$49*(C153-sezione!$AM$27)*IF(ABS(L153)&lt;'Progetto del paramento slu'!$G$58,ABS(L153)*'Progetto del paramento slu'!$G$54,'Progetto del paramento slu'!$G$53)</f>
        <v>18839020.486976523</v>
      </c>
      <c r="G153" s="553">
        <f>-'Foglio deposito bis'!$F$50*(C153-sezione!$AN$27)*IF(ABS(M153)&lt;'Progetto del paramento slu'!$G$58,ABS(M153)*'Progetto del paramento slu'!$G$54,'Progetto del paramento slu'!$G$53)</f>
        <v>0</v>
      </c>
      <c r="H153" s="553">
        <f>-'Foglio deposito bis'!$F$51*(C153-sezione!$AO$27)*IF(ABS(N153)&lt;'Progetto del paramento slu'!$G$58,ABS(N153)*'Progetto del paramento slu'!$G$54,'Progetto del paramento slu'!$G$53)</f>
        <v>67934522.6047346</v>
      </c>
      <c r="I153" s="479">
        <f>-'Foglio deposito bis'!$F$52*(C153-sezione!$AP$27)*IF(ABS(O153)&lt;'Progetto del paramento slu'!$G$58,ABS(O153)*'Progetto del paramento slu'!$G$54,'Progetto del paramento slu'!$G$53)</f>
        <v>48658802.810187146</v>
      </c>
      <c r="J153" s="479">
        <f t="shared" si="13"/>
        <v>107690774.56825323</v>
      </c>
      <c r="K153" s="558">
        <f>'Progetto del paramento slu'!$G$60*(sezione!$AL$27-C153)/C153</f>
        <v>-1.0883449883449853E-3</v>
      </c>
      <c r="L153" s="558">
        <f>'Progetto del paramento slu'!$G$60*(sezione!$AM$27-C153)/C153</f>
        <v>5.5437062937063056E-3</v>
      </c>
      <c r="M153" s="559">
        <f>'Progetto del paramento slu'!$G$60*(sezione!$AN$27-C153)/C153</f>
        <v>1.2175757575757595E-2</v>
      </c>
      <c r="N153" s="559">
        <f>'Progetto del paramento slu'!$G$60*(sezione!$AO$27-C153)/C153</f>
        <v>1.6999067599067625E-2</v>
      </c>
      <c r="O153" s="559">
        <f>'Progetto del paramento slu'!$G$60*(sezione!$AP$27-C153)/C153</f>
        <v>1.2175757575757595E-2</v>
      </c>
      <c r="P153" s="553">
        <f>-'Progetto del paramento slu'!$G$47*'Progetto del paramento slu'!$G$41*IF(DATI!$G$218="dx",DATI!$E$61,DATI!$E$64*DATI!$E$63)*1000*C153*sezione!$AD$5</f>
        <v>-818286.4424898501</v>
      </c>
      <c r="Q153" s="553">
        <f>'Foglio deposito bis'!$F$48*IF(ABS(K153)&lt;'Progetto del paramento slu'!$G$58,ABS(K153)*'Progetto del paramento slu'!$G$54,'Progetto del paramento slu'!$G$53)*IF(K153&lt;0,-1,1)</f>
        <v>0</v>
      </c>
      <c r="R153" s="553">
        <f>'Foglio deposito bis'!$F$49*IF(ABS(L153)&lt;'Progetto del paramento slu'!$G$58,ABS(L153)*'Progetto del paramento slu'!$G$54,'Progetto del paramento slu'!$G$53)*IF(L153&lt;0,-1,1)</f>
        <v>204886.47740803001</v>
      </c>
      <c r="S153" s="553">
        <f>'Foglio deposito bis'!$F$50*IF(ABS(M153)&lt;'Progetto del paramento slu'!$G$58,ABS(M153)*'Progetto del paramento slu'!$G$54,'Progetto del paramento slu'!$G$53)*IF(M153&lt;0,-1,1)</f>
        <v>0</v>
      </c>
      <c r="T153" s="553">
        <f>'Foglio deposito bis'!$F$51*IF(ABS(N153)&lt;'Progetto del paramento slu'!$G$58,ABS(N153)*'Progetto del paramento slu'!$G$54,'Progetto del paramento slu'!$G$53)*IF(N153&lt;0,-1,1)</f>
        <v>240946.49743184328</v>
      </c>
      <c r="U153" s="553">
        <f>'Foglio deposito bis'!$F$52*IF(ABS(O153)&lt;'Progetto del paramento slu'!$G$58,ABS(O153)*'Progetto del paramento slu'!$G$54,'Progetto del paramento slu'!$G$53)*IF(O153&lt;0,-1,1)</f>
        <v>240946.49743184328</v>
      </c>
      <c r="V153" s="479">
        <f t="shared" si="15"/>
        <v>-131506.97021813344</v>
      </c>
      <c r="W153" s="559"/>
      <c r="X153" s="559"/>
    </row>
    <row r="154" spans="1:24" x14ac:dyDescent="0.25">
      <c r="A154" s="553">
        <f t="shared" si="14"/>
        <v>142951.53584736216</v>
      </c>
      <c r="B154" s="3">
        <f t="shared" si="12"/>
        <v>14.49999999999997</v>
      </c>
      <c r="C154" s="553">
        <f>'Foglio deposito bis'!$E$153/$B$247*B154</f>
        <v>58.863328822733344</v>
      </c>
      <c r="D154" s="611">
        <f>-'Progetto del paramento slu'!$G$47*'Progetto del paramento slu'!$G$41*IF(DATI!$G$218="dx",DATI!$E$61,DATI!$E$64*DATI!$E$63)*1000*C154^2*sezione!$AD$5*(1-sezione!$AD$6)</f>
        <v>-28522985.832553517</v>
      </c>
      <c r="E154" s="553">
        <f>-'Foglio deposito bis'!$F$48*(C154-sezione!$AL$27)*IF(ABS(K154)&lt;'Progetto del paramento slu'!$G$58,ABS(K154)*'Progetto del paramento slu'!$G$54,'Progetto del paramento slu'!$G$53)</f>
        <v>0</v>
      </c>
      <c r="F154" s="553">
        <f>-'Foglio deposito bis'!$F$49*(C154-sezione!$AM$27)*IF(ABS(L154)&lt;'Progetto del paramento slu'!$G$58,ABS(L154)*'Progetto del paramento slu'!$G$54,'Progetto del paramento slu'!$G$53)</f>
        <v>18672671.520204108</v>
      </c>
      <c r="G154" s="553">
        <f>-'Foglio deposito bis'!$F$50*(C154-sezione!$AN$27)*IF(ABS(M154)&lt;'Progetto del paramento slu'!$G$58,ABS(M154)*'Progetto del paramento slu'!$G$54,'Progetto del paramento slu'!$G$53)</f>
        <v>0</v>
      </c>
      <c r="H154" s="553">
        <f>-'Foglio deposito bis'!$F$51*(C154-sezione!$AO$27)*IF(ABS(N154)&lt;'Progetto del paramento slu'!$G$58,ABS(N154)*'Progetto del paramento slu'!$G$54,'Progetto del paramento slu'!$G$53)</f>
        <v>67738896.219810247</v>
      </c>
      <c r="I154" s="479">
        <f>-'Foglio deposito bis'!$F$52*(C154-sezione!$AP$27)*IF(ABS(O154)&lt;'Progetto del paramento slu'!$G$58,ABS(O154)*'Progetto del paramento slu'!$G$54,'Progetto del paramento slu'!$G$53)</f>
        <v>48463176.425262786</v>
      </c>
      <c r="J154" s="479">
        <f t="shared" si="13"/>
        <v>106351758.33272362</v>
      </c>
      <c r="K154" s="558">
        <f>'Progetto del paramento slu'!$G$60*(sezione!$AL$27-C154)/C154</f>
        <v>-1.1216091954022954E-3</v>
      </c>
      <c r="L154" s="558">
        <f>'Progetto del paramento slu'!$G$60*(sezione!$AM$27-C154)/C154</f>
        <v>5.4189655172413916E-3</v>
      </c>
      <c r="M154" s="559">
        <f>'Progetto del paramento slu'!$G$60*(sezione!$AN$27-C154)/C154</f>
        <v>1.1959540229885079E-2</v>
      </c>
      <c r="N154" s="559">
        <f>'Progetto del paramento slu'!$G$60*(sezione!$AO$27-C154)/C154</f>
        <v>1.6716321839080485E-2</v>
      </c>
      <c r="O154" s="559">
        <f>'Progetto del paramento slu'!$G$60*(sezione!$AP$27-C154)/C154</f>
        <v>1.1959540229885079E-2</v>
      </c>
      <c r="P154" s="553">
        <f>-'Progetto del paramento slu'!$G$47*'Progetto del paramento slu'!$G$41*IF(DATI!$G$218="dx",DATI!$E$61,DATI!$E$64*DATI!$E$63)*1000*C154*sezione!$AD$5</f>
        <v>-829731.0081190787</v>
      </c>
      <c r="Q154" s="553">
        <f>'Foglio deposito bis'!$F$48*IF(ABS(K154)&lt;'Progetto del paramento slu'!$G$58,ABS(K154)*'Progetto del paramento slu'!$G$54,'Progetto del paramento slu'!$G$53)*IF(K154&lt;0,-1,1)</f>
        <v>0</v>
      </c>
      <c r="R154" s="553">
        <f>'Foglio deposito bis'!$F$49*IF(ABS(L154)&lt;'Progetto del paramento slu'!$G$58,ABS(L154)*'Progetto del paramento slu'!$G$54,'Progetto del paramento slu'!$G$53)*IF(L154&lt;0,-1,1)</f>
        <v>204886.47740803001</v>
      </c>
      <c r="S154" s="553">
        <f>'Foglio deposito bis'!$F$50*IF(ABS(M154)&lt;'Progetto del paramento slu'!$G$58,ABS(M154)*'Progetto del paramento slu'!$G$54,'Progetto del paramento slu'!$G$53)*IF(M154&lt;0,-1,1)</f>
        <v>0</v>
      </c>
      <c r="T154" s="553">
        <f>'Foglio deposito bis'!$F$51*IF(ABS(N154)&lt;'Progetto del paramento slu'!$G$58,ABS(N154)*'Progetto del paramento slu'!$G$54,'Progetto del paramento slu'!$G$53)*IF(N154&lt;0,-1,1)</f>
        <v>240946.49743184328</v>
      </c>
      <c r="U154" s="553">
        <f>'Foglio deposito bis'!$F$52*IF(ABS(O154)&lt;'Progetto del paramento slu'!$G$58,ABS(O154)*'Progetto del paramento slu'!$G$54,'Progetto del paramento slu'!$G$53)*IF(O154&lt;0,-1,1)</f>
        <v>240946.49743184328</v>
      </c>
      <c r="V154" s="479">
        <f t="shared" si="15"/>
        <v>-142951.53584736216</v>
      </c>
      <c r="W154" s="559"/>
      <c r="X154" s="559"/>
    </row>
    <row r="155" spans="1:24" x14ac:dyDescent="0.25">
      <c r="A155" s="553">
        <f t="shared" si="14"/>
        <v>154396.10147659088</v>
      </c>
      <c r="B155" s="3">
        <f t="shared" si="12"/>
        <v>14.699999999999969</v>
      </c>
      <c r="C155" s="553">
        <f>'Foglio deposito bis'!$E$153/$B$247*B155</f>
        <v>59.675236806495185</v>
      </c>
      <c r="D155" s="611">
        <f>-'Progetto del paramento slu'!$G$47*'Progetto del paramento slu'!$G$41*IF(DATI!$G$218="dx",DATI!$E$61,DATI!$E$64*DATI!$E$63)*1000*C155^2*sezione!$AD$5*(1-sezione!$AD$6)</f>
        <v>-29315253.310613506</v>
      </c>
      <c r="E155" s="553">
        <f>-'Foglio deposito bis'!$F$48*(C155-sezione!$AL$27)*IF(ABS(K155)&lt;'Progetto del paramento slu'!$G$58,ABS(K155)*'Progetto del paramento slu'!$G$54,'Progetto del paramento slu'!$G$53)</f>
        <v>0</v>
      </c>
      <c r="F155" s="553">
        <f>-'Foglio deposito bis'!$F$49*(C155-sezione!$AM$27)*IF(ABS(L155)&lt;'Progetto del paramento slu'!$G$58,ABS(L155)*'Progetto del paramento slu'!$G$54,'Progetto del paramento slu'!$G$53)</f>
        <v>18506322.553431686</v>
      </c>
      <c r="G155" s="553">
        <f>-'Foglio deposito bis'!$F$50*(C155-sezione!$AN$27)*IF(ABS(M155)&lt;'Progetto del paramento slu'!$G$58,ABS(M155)*'Progetto del paramento slu'!$G$54,'Progetto del paramento slu'!$G$53)</f>
        <v>0</v>
      </c>
      <c r="H155" s="553">
        <f>-'Foglio deposito bis'!$F$51*(C155-sezione!$AO$27)*IF(ABS(N155)&lt;'Progetto del paramento slu'!$G$58,ABS(N155)*'Progetto del paramento slu'!$G$54,'Progetto del paramento slu'!$G$53)</f>
        <v>67543269.834885865</v>
      </c>
      <c r="I155" s="479">
        <f>-'Foglio deposito bis'!$F$52*(C155-sezione!$AP$27)*IF(ABS(O155)&lt;'Progetto del paramento slu'!$G$58,ABS(O155)*'Progetto del paramento slu'!$G$54,'Progetto del paramento slu'!$G$53)</f>
        <v>48267550.040338419</v>
      </c>
      <c r="J155" s="479">
        <f t="shared" si="13"/>
        <v>105001889.11804247</v>
      </c>
      <c r="K155" s="558">
        <f>'Progetto del paramento slu'!$G$60*(sezione!$AL$27-C155)/C155</f>
        <v>-1.153968253968251E-3</v>
      </c>
      <c r="L155" s="558">
        <f>'Progetto del paramento slu'!$G$60*(sezione!$AM$27-C155)/C155</f>
        <v>5.2976190476190597E-3</v>
      </c>
      <c r="M155" s="559">
        <f>'Progetto del paramento slu'!$G$60*(sezione!$AN$27-C155)/C155</f>
        <v>1.1749206349206369E-2</v>
      </c>
      <c r="N155" s="559">
        <f>'Progetto del paramento slu'!$G$60*(sezione!$AO$27-C155)/C155</f>
        <v>1.6441269841269868E-2</v>
      </c>
      <c r="O155" s="559">
        <f>'Progetto del paramento slu'!$G$60*(sezione!$AP$27-C155)/C155</f>
        <v>1.1749206349206369E-2</v>
      </c>
      <c r="P155" s="553">
        <f>-'Progetto del paramento slu'!$G$47*'Progetto del paramento slu'!$G$41*IF(DATI!$G$218="dx",DATI!$E$61,DATI!$E$64*DATI!$E$63)*1000*C155*sezione!$AD$5</f>
        <v>-841175.57374830742</v>
      </c>
      <c r="Q155" s="553">
        <f>'Foglio deposito bis'!$F$48*IF(ABS(K155)&lt;'Progetto del paramento slu'!$G$58,ABS(K155)*'Progetto del paramento slu'!$G$54,'Progetto del paramento slu'!$G$53)*IF(K155&lt;0,-1,1)</f>
        <v>0</v>
      </c>
      <c r="R155" s="553">
        <f>'Foglio deposito bis'!$F$49*IF(ABS(L155)&lt;'Progetto del paramento slu'!$G$58,ABS(L155)*'Progetto del paramento slu'!$G$54,'Progetto del paramento slu'!$G$53)*IF(L155&lt;0,-1,1)</f>
        <v>204886.47740803001</v>
      </c>
      <c r="S155" s="553">
        <f>'Foglio deposito bis'!$F$50*IF(ABS(M155)&lt;'Progetto del paramento slu'!$G$58,ABS(M155)*'Progetto del paramento slu'!$G$54,'Progetto del paramento slu'!$G$53)*IF(M155&lt;0,-1,1)</f>
        <v>0</v>
      </c>
      <c r="T155" s="553">
        <f>'Foglio deposito bis'!$F$51*IF(ABS(N155)&lt;'Progetto del paramento slu'!$G$58,ABS(N155)*'Progetto del paramento slu'!$G$54,'Progetto del paramento slu'!$G$53)*IF(N155&lt;0,-1,1)</f>
        <v>240946.49743184328</v>
      </c>
      <c r="U155" s="553">
        <f>'Foglio deposito bis'!$F$52*IF(ABS(O155)&lt;'Progetto del paramento slu'!$G$58,ABS(O155)*'Progetto del paramento slu'!$G$54,'Progetto del paramento slu'!$G$53)*IF(O155&lt;0,-1,1)</f>
        <v>240946.49743184328</v>
      </c>
      <c r="V155" s="479">
        <f t="shared" si="15"/>
        <v>-154396.10147659088</v>
      </c>
      <c r="W155" s="559"/>
      <c r="X155" s="559"/>
    </row>
    <row r="156" spans="1:24" x14ac:dyDescent="0.25">
      <c r="A156" s="553">
        <f t="shared" si="14"/>
        <v>165840.66710581936</v>
      </c>
      <c r="B156" s="3">
        <f t="shared" si="12"/>
        <v>14.899999999999968</v>
      </c>
      <c r="C156" s="553">
        <f>'Foglio deposito bis'!$E$153/$B$247*B156</f>
        <v>60.48714479025702</v>
      </c>
      <c r="D156" s="611">
        <f>-'Progetto del paramento slu'!$G$47*'Progetto del paramento slu'!$G$41*IF(DATI!$G$218="dx",DATI!$E$61,DATI!$E$64*DATI!$E$63)*1000*C156^2*sezione!$AD$5*(1-sezione!$AD$6)</f>
        <v>-30118373.767825</v>
      </c>
      <c r="E156" s="553">
        <f>-'Foglio deposito bis'!$F$48*(C156-sezione!$AL$27)*IF(ABS(K156)&lt;'Progetto del paramento slu'!$G$58,ABS(K156)*'Progetto del paramento slu'!$G$54,'Progetto del paramento slu'!$G$53)</f>
        <v>0</v>
      </c>
      <c r="F156" s="553">
        <f>-'Foglio deposito bis'!$F$49*(C156-sezione!$AM$27)*IF(ABS(L156)&lt;'Progetto del paramento slu'!$G$58,ABS(L156)*'Progetto del paramento slu'!$G$54,'Progetto del paramento slu'!$G$53)</f>
        <v>18339973.586659268</v>
      </c>
      <c r="G156" s="553">
        <f>-'Foglio deposito bis'!$F$50*(C156-sezione!$AN$27)*IF(ABS(M156)&lt;'Progetto del paramento slu'!$G$58,ABS(M156)*'Progetto del paramento slu'!$G$54,'Progetto del paramento slu'!$G$53)</f>
        <v>0</v>
      </c>
      <c r="H156" s="553">
        <f>-'Foglio deposito bis'!$F$51*(C156-sezione!$AO$27)*IF(ABS(N156)&lt;'Progetto del paramento slu'!$G$58,ABS(N156)*'Progetto del paramento slu'!$G$54,'Progetto del paramento slu'!$G$53)</f>
        <v>67347643.449961513</v>
      </c>
      <c r="I156" s="479">
        <f>-'Foglio deposito bis'!$F$52*(C156-sezione!$AP$27)*IF(ABS(O156)&lt;'Progetto del paramento slu'!$G$58,ABS(O156)*'Progetto del paramento slu'!$G$54,'Progetto del paramento slu'!$G$53)</f>
        <v>48071923.655414052</v>
      </c>
      <c r="J156" s="479">
        <f t="shared" si="13"/>
        <v>103641166.92420983</v>
      </c>
      <c r="K156" s="558">
        <f>'Progetto del paramento slu'!$G$60*(sezione!$AL$27-C156)/C156</f>
        <v>-1.1854586129753882E-3</v>
      </c>
      <c r="L156" s="558">
        <f>'Progetto del paramento slu'!$G$60*(sezione!$AM$27-C156)/C156</f>
        <v>5.1795302013422943E-3</v>
      </c>
      <c r="M156" s="559">
        <f>'Progetto del paramento slu'!$G$60*(sezione!$AN$27-C156)/C156</f>
        <v>1.1544519015659978E-2</v>
      </c>
      <c r="N156" s="559">
        <f>'Progetto del paramento slu'!$G$60*(sezione!$AO$27-C156)/C156</f>
        <v>1.61736017897092E-2</v>
      </c>
      <c r="O156" s="559">
        <f>'Progetto del paramento slu'!$G$60*(sezione!$AP$27-C156)/C156</f>
        <v>1.1544519015659978E-2</v>
      </c>
      <c r="P156" s="553">
        <f>-'Progetto del paramento slu'!$G$47*'Progetto del paramento slu'!$G$41*IF(DATI!$G$218="dx",DATI!$E$61,DATI!$E$64*DATI!$E$63)*1000*C156*sezione!$AD$5</f>
        <v>-852620.13937753602</v>
      </c>
      <c r="Q156" s="553">
        <f>'Foglio deposito bis'!$F$48*IF(ABS(K156)&lt;'Progetto del paramento slu'!$G$58,ABS(K156)*'Progetto del paramento slu'!$G$54,'Progetto del paramento slu'!$G$53)*IF(K156&lt;0,-1,1)</f>
        <v>0</v>
      </c>
      <c r="R156" s="553">
        <f>'Foglio deposito bis'!$F$49*IF(ABS(L156)&lt;'Progetto del paramento slu'!$G$58,ABS(L156)*'Progetto del paramento slu'!$G$54,'Progetto del paramento slu'!$G$53)*IF(L156&lt;0,-1,1)</f>
        <v>204886.47740803001</v>
      </c>
      <c r="S156" s="553">
        <f>'Foglio deposito bis'!$F$50*IF(ABS(M156)&lt;'Progetto del paramento slu'!$G$58,ABS(M156)*'Progetto del paramento slu'!$G$54,'Progetto del paramento slu'!$G$53)*IF(M156&lt;0,-1,1)</f>
        <v>0</v>
      </c>
      <c r="T156" s="553">
        <f>'Foglio deposito bis'!$F$51*IF(ABS(N156)&lt;'Progetto del paramento slu'!$G$58,ABS(N156)*'Progetto del paramento slu'!$G$54,'Progetto del paramento slu'!$G$53)*IF(N156&lt;0,-1,1)</f>
        <v>240946.49743184328</v>
      </c>
      <c r="U156" s="553">
        <f>'Foglio deposito bis'!$F$52*IF(ABS(O156)&lt;'Progetto del paramento slu'!$G$58,ABS(O156)*'Progetto del paramento slu'!$G$54,'Progetto del paramento slu'!$G$53)*IF(O156&lt;0,-1,1)</f>
        <v>240946.49743184328</v>
      </c>
      <c r="V156" s="479">
        <f t="shared" si="15"/>
        <v>-165840.66710581936</v>
      </c>
      <c r="W156" s="559"/>
      <c r="X156" s="559"/>
    </row>
    <row r="157" spans="1:24" x14ac:dyDescent="0.25">
      <c r="A157" s="553">
        <f t="shared" si="14"/>
        <v>177285.23273504831</v>
      </c>
      <c r="B157" s="3">
        <f t="shared" si="12"/>
        <v>15.099999999999968</v>
      </c>
      <c r="C157" s="553">
        <f>'Foglio deposito bis'!$E$153/$B$247*B157</f>
        <v>61.299052774018861</v>
      </c>
      <c r="D157" s="611">
        <f>-'Progetto del paramento slu'!$G$47*'Progetto del paramento slu'!$G$41*IF(DATI!$G$218="dx",DATI!$E$61,DATI!$E$64*DATI!$E$63)*1000*C157^2*sezione!$AD$5*(1-sezione!$AD$6)</f>
        <v>-30932347.204188</v>
      </c>
      <c r="E157" s="553">
        <f>-'Foglio deposito bis'!$F$48*(C157-sezione!$AL$27)*IF(ABS(K157)&lt;'Progetto del paramento slu'!$G$58,ABS(K157)*'Progetto del paramento slu'!$G$54,'Progetto del paramento slu'!$G$53)</f>
        <v>0</v>
      </c>
      <c r="F157" s="553">
        <f>-'Foglio deposito bis'!$F$49*(C157-sezione!$AM$27)*IF(ABS(L157)&lt;'Progetto del paramento slu'!$G$58,ABS(L157)*'Progetto del paramento slu'!$G$54,'Progetto del paramento slu'!$G$53)</f>
        <v>18173624.619886845</v>
      </c>
      <c r="G157" s="553">
        <f>-'Foglio deposito bis'!$F$50*(C157-sezione!$AN$27)*IF(ABS(M157)&lt;'Progetto del paramento slu'!$G$58,ABS(M157)*'Progetto del paramento slu'!$G$54,'Progetto del paramento slu'!$G$53)</f>
        <v>0</v>
      </c>
      <c r="H157" s="553">
        <f>-'Foglio deposito bis'!$F$51*(C157-sezione!$AO$27)*IF(ABS(N157)&lt;'Progetto del paramento slu'!$G$58,ABS(N157)*'Progetto del paramento slu'!$G$54,'Progetto del paramento slu'!$G$53)</f>
        <v>67152017.065037161</v>
      </c>
      <c r="I157" s="479">
        <f>-'Foglio deposito bis'!$F$52*(C157-sezione!$AP$27)*IF(ABS(O157)&lt;'Progetto del paramento slu'!$G$58,ABS(O157)*'Progetto del paramento slu'!$G$54,'Progetto del paramento slu'!$G$53)</f>
        <v>47876297.270489693</v>
      </c>
      <c r="J157" s="479">
        <f t="shared" si="13"/>
        <v>102269591.7512257</v>
      </c>
      <c r="K157" s="558">
        <f>'Progetto del paramento slu'!$G$60*(sezione!$AL$27-C157)/C157</f>
        <v>-1.2161147902869727E-3</v>
      </c>
      <c r="L157" s="558">
        <f>'Progetto del paramento slu'!$G$60*(sezione!$AM$27-C157)/C157</f>
        <v>5.0645695364238529E-3</v>
      </c>
      <c r="M157" s="559">
        <f>'Progetto del paramento slu'!$G$60*(sezione!$AN$27-C157)/C157</f>
        <v>1.1345253863134678E-2</v>
      </c>
      <c r="N157" s="559">
        <f>'Progetto del paramento slu'!$G$60*(sezione!$AO$27-C157)/C157</f>
        <v>1.5913024282560737E-2</v>
      </c>
      <c r="O157" s="559">
        <f>'Progetto del paramento slu'!$G$60*(sezione!$AP$27-C157)/C157</f>
        <v>1.1345253863134678E-2</v>
      </c>
      <c r="P157" s="553">
        <f>-'Progetto del paramento slu'!$G$47*'Progetto del paramento slu'!$G$41*IF(DATI!$G$218="dx",DATI!$E$61,DATI!$E$64*DATI!$E$63)*1000*C157*sezione!$AD$5</f>
        <v>-864064.70500676485</v>
      </c>
      <c r="Q157" s="553">
        <f>'Foglio deposito bis'!$F$48*IF(ABS(K157)&lt;'Progetto del paramento slu'!$G$58,ABS(K157)*'Progetto del paramento slu'!$G$54,'Progetto del paramento slu'!$G$53)*IF(K157&lt;0,-1,1)</f>
        <v>0</v>
      </c>
      <c r="R157" s="553">
        <f>'Foglio deposito bis'!$F$49*IF(ABS(L157)&lt;'Progetto del paramento slu'!$G$58,ABS(L157)*'Progetto del paramento slu'!$G$54,'Progetto del paramento slu'!$G$53)*IF(L157&lt;0,-1,1)</f>
        <v>204886.47740803001</v>
      </c>
      <c r="S157" s="553">
        <f>'Foglio deposito bis'!$F$50*IF(ABS(M157)&lt;'Progetto del paramento slu'!$G$58,ABS(M157)*'Progetto del paramento slu'!$G$54,'Progetto del paramento slu'!$G$53)*IF(M157&lt;0,-1,1)</f>
        <v>0</v>
      </c>
      <c r="T157" s="553">
        <f>'Foglio deposito bis'!$F$51*IF(ABS(N157)&lt;'Progetto del paramento slu'!$G$58,ABS(N157)*'Progetto del paramento slu'!$G$54,'Progetto del paramento slu'!$G$53)*IF(N157&lt;0,-1,1)</f>
        <v>240946.49743184328</v>
      </c>
      <c r="U157" s="553">
        <f>'Foglio deposito bis'!$F$52*IF(ABS(O157)&lt;'Progetto del paramento slu'!$G$58,ABS(O157)*'Progetto del paramento slu'!$G$54,'Progetto del paramento slu'!$G$53)*IF(O157&lt;0,-1,1)</f>
        <v>240946.49743184328</v>
      </c>
      <c r="V157" s="479">
        <f t="shared" si="15"/>
        <v>-177285.23273504831</v>
      </c>
      <c r="W157" s="559"/>
      <c r="X157" s="559"/>
    </row>
    <row r="158" spans="1:24" x14ac:dyDescent="0.25">
      <c r="A158" s="553">
        <f t="shared" si="14"/>
        <v>188729.79836427656</v>
      </c>
      <c r="B158" s="3">
        <f t="shared" si="12"/>
        <v>15.299999999999967</v>
      </c>
      <c r="C158" s="553">
        <f>'Foglio deposito bis'!$E$153/$B$247*B158</f>
        <v>62.110960757780695</v>
      </c>
      <c r="D158" s="611">
        <f>-'Progetto del paramento slu'!$G$47*'Progetto del paramento slu'!$G$41*IF(DATI!$G$218="dx",DATI!$E$61,DATI!$E$64*DATI!$E$63)*1000*C158^2*sezione!$AD$5*(1-sezione!$AD$6)</f>
        <v>-31757173.619702511</v>
      </c>
      <c r="E158" s="553">
        <f>-'Foglio deposito bis'!$F$48*(C158-sezione!$AL$27)*IF(ABS(K158)&lt;'Progetto del paramento slu'!$G$58,ABS(K158)*'Progetto del paramento slu'!$G$54,'Progetto del paramento slu'!$G$53)</f>
        <v>0</v>
      </c>
      <c r="F158" s="553">
        <f>-'Foglio deposito bis'!$F$49*(C158-sezione!$AM$27)*IF(ABS(L158)&lt;'Progetto del paramento slu'!$G$58,ABS(L158)*'Progetto del paramento slu'!$G$54,'Progetto del paramento slu'!$G$53)</f>
        <v>18007275.653114427</v>
      </c>
      <c r="G158" s="553">
        <f>-'Foglio deposito bis'!$F$50*(C158-sezione!$AN$27)*IF(ABS(M158)&lt;'Progetto del paramento slu'!$G$58,ABS(M158)*'Progetto del paramento slu'!$G$54,'Progetto del paramento slu'!$G$53)</f>
        <v>0</v>
      </c>
      <c r="H158" s="553">
        <f>-'Foglio deposito bis'!$F$51*(C158-sezione!$AO$27)*IF(ABS(N158)&lt;'Progetto del paramento slu'!$G$58,ABS(N158)*'Progetto del paramento slu'!$G$54,'Progetto del paramento slu'!$G$53)</f>
        <v>66956390.680112794</v>
      </c>
      <c r="I158" s="479">
        <f>-'Foglio deposito bis'!$F$52*(C158-sezione!$AP$27)*IF(ABS(O158)&lt;'Progetto del paramento slu'!$G$58,ABS(O158)*'Progetto del paramento slu'!$G$54,'Progetto del paramento slu'!$G$53)</f>
        <v>47680670.885565326</v>
      </c>
      <c r="J158" s="479">
        <f t="shared" si="13"/>
        <v>100887163.59909004</v>
      </c>
      <c r="K158" s="558">
        <f>'Progetto del paramento slu'!$G$60*(sezione!$AL$27-C158)/C158</f>
        <v>-1.2459694989106721E-3</v>
      </c>
      <c r="L158" s="558">
        <f>'Progetto del paramento slu'!$G$60*(sezione!$AM$27-C158)/C158</f>
        <v>4.9526143790849788E-3</v>
      </c>
      <c r="M158" s="559">
        <f>'Progetto del paramento slu'!$G$60*(sezione!$AN$27-C158)/C158</f>
        <v>1.115119825708063E-2</v>
      </c>
      <c r="N158" s="559">
        <f>'Progetto del paramento slu'!$G$60*(sezione!$AO$27-C158)/C158</f>
        <v>1.5659259259259289E-2</v>
      </c>
      <c r="O158" s="559">
        <f>'Progetto del paramento slu'!$G$60*(sezione!$AP$27-C158)/C158</f>
        <v>1.115119825708063E-2</v>
      </c>
      <c r="P158" s="553">
        <f>-'Progetto del paramento slu'!$G$47*'Progetto del paramento slu'!$G$41*IF(DATI!$G$218="dx",DATI!$E$61,DATI!$E$64*DATI!$E$63)*1000*C158*sezione!$AD$5</f>
        <v>-875509.27063599322</v>
      </c>
      <c r="Q158" s="553">
        <f>'Foglio deposito bis'!$F$48*IF(ABS(K158)&lt;'Progetto del paramento slu'!$G$58,ABS(K158)*'Progetto del paramento slu'!$G$54,'Progetto del paramento slu'!$G$53)*IF(K158&lt;0,-1,1)</f>
        <v>0</v>
      </c>
      <c r="R158" s="553">
        <f>'Foglio deposito bis'!$F$49*IF(ABS(L158)&lt;'Progetto del paramento slu'!$G$58,ABS(L158)*'Progetto del paramento slu'!$G$54,'Progetto del paramento slu'!$G$53)*IF(L158&lt;0,-1,1)</f>
        <v>204886.47740803001</v>
      </c>
      <c r="S158" s="553">
        <f>'Foglio deposito bis'!$F$50*IF(ABS(M158)&lt;'Progetto del paramento slu'!$G$58,ABS(M158)*'Progetto del paramento slu'!$G$54,'Progetto del paramento slu'!$G$53)*IF(M158&lt;0,-1,1)</f>
        <v>0</v>
      </c>
      <c r="T158" s="553">
        <f>'Foglio deposito bis'!$F$51*IF(ABS(N158)&lt;'Progetto del paramento slu'!$G$58,ABS(N158)*'Progetto del paramento slu'!$G$54,'Progetto del paramento slu'!$G$53)*IF(N158&lt;0,-1,1)</f>
        <v>240946.49743184328</v>
      </c>
      <c r="U158" s="553">
        <f>'Foglio deposito bis'!$F$52*IF(ABS(O158)&lt;'Progetto del paramento slu'!$G$58,ABS(O158)*'Progetto del paramento slu'!$G$54,'Progetto del paramento slu'!$G$53)*IF(O158&lt;0,-1,1)</f>
        <v>240946.49743184328</v>
      </c>
      <c r="V158" s="479">
        <f t="shared" si="15"/>
        <v>-188729.79836427656</v>
      </c>
      <c r="W158" s="559"/>
      <c r="X158" s="559"/>
    </row>
    <row r="159" spans="1:24" x14ac:dyDescent="0.25">
      <c r="A159" s="553">
        <f t="shared" si="14"/>
        <v>200174.36399350551</v>
      </c>
      <c r="B159" s="3">
        <f t="shared" si="12"/>
        <v>15.499999999999966</v>
      </c>
      <c r="C159" s="553">
        <f>'Foglio deposito bis'!$E$153/$B$247*B159</f>
        <v>62.922868741542537</v>
      </c>
      <c r="D159" s="611">
        <f>-'Progetto del paramento slu'!$G$47*'Progetto del paramento slu'!$G$41*IF(DATI!$G$218="dx",DATI!$E$61,DATI!$E$64*DATI!$E$63)*1000*C159^2*sezione!$AD$5*(1-sezione!$AD$6)</f>
        <v>-32592853.014368523</v>
      </c>
      <c r="E159" s="553">
        <f>-'Foglio deposito bis'!$F$48*(C159-sezione!$AL$27)*IF(ABS(K159)&lt;'Progetto del paramento slu'!$G$58,ABS(K159)*'Progetto del paramento slu'!$G$54,'Progetto del paramento slu'!$G$53)</f>
        <v>0</v>
      </c>
      <c r="F159" s="553">
        <f>-'Foglio deposito bis'!$F$49*(C159-sezione!$AM$27)*IF(ABS(L159)&lt;'Progetto del paramento slu'!$G$58,ABS(L159)*'Progetto del paramento slu'!$G$54,'Progetto del paramento slu'!$G$53)</f>
        <v>17840926.686342005</v>
      </c>
      <c r="G159" s="553">
        <f>-'Foglio deposito bis'!$F$50*(C159-sezione!$AN$27)*IF(ABS(M159)&lt;'Progetto del paramento slu'!$G$58,ABS(M159)*'Progetto del paramento slu'!$G$54,'Progetto del paramento slu'!$G$53)</f>
        <v>0</v>
      </c>
      <c r="H159" s="553">
        <f>-'Foglio deposito bis'!$F$51*(C159-sezione!$AO$27)*IF(ABS(N159)&lt;'Progetto del paramento slu'!$G$58,ABS(N159)*'Progetto del paramento slu'!$G$54,'Progetto del paramento slu'!$G$53)</f>
        <v>66760764.29518842</v>
      </c>
      <c r="I159" s="479">
        <f>-'Foglio deposito bis'!$F$52*(C159-sezione!$AP$27)*IF(ABS(O159)&lt;'Progetto del paramento slu'!$G$58,ABS(O159)*'Progetto del paramento slu'!$G$54,'Progetto del paramento slu'!$G$53)</f>
        <v>47485044.500640959</v>
      </c>
      <c r="J159" s="479">
        <f t="shared" si="13"/>
        <v>99493882.467802852</v>
      </c>
      <c r="K159" s="558">
        <f>'Progetto del paramento slu'!$G$60*(sezione!$AL$27-C159)/C159</f>
        <v>-1.2750537634408571E-3</v>
      </c>
      <c r="L159" s="558">
        <f>'Progetto del paramento slu'!$G$60*(sezione!$AM$27-C159)/C159</f>
        <v>4.8435483870967857E-3</v>
      </c>
      <c r="M159" s="559">
        <f>'Progetto del paramento slu'!$G$60*(sezione!$AN$27-C159)/C159</f>
        <v>1.0962150537634429E-2</v>
      </c>
      <c r="N159" s="559">
        <f>'Progetto del paramento slu'!$G$60*(sezione!$AO$27-C159)/C159</f>
        <v>1.5412043010752717E-2</v>
      </c>
      <c r="O159" s="559">
        <f>'Progetto del paramento slu'!$G$60*(sezione!$AP$27-C159)/C159</f>
        <v>1.0962150537634429E-2</v>
      </c>
      <c r="P159" s="553">
        <f>-'Progetto del paramento slu'!$G$47*'Progetto del paramento slu'!$G$41*IF(DATI!$G$218="dx",DATI!$E$61,DATI!$E$64*DATI!$E$63)*1000*C159*sezione!$AD$5</f>
        <v>-886953.83626522205</v>
      </c>
      <c r="Q159" s="553">
        <f>'Foglio deposito bis'!$F$48*IF(ABS(K159)&lt;'Progetto del paramento slu'!$G$58,ABS(K159)*'Progetto del paramento slu'!$G$54,'Progetto del paramento slu'!$G$53)*IF(K159&lt;0,-1,1)</f>
        <v>0</v>
      </c>
      <c r="R159" s="553">
        <f>'Foglio deposito bis'!$F$49*IF(ABS(L159)&lt;'Progetto del paramento slu'!$G$58,ABS(L159)*'Progetto del paramento slu'!$G$54,'Progetto del paramento slu'!$G$53)*IF(L159&lt;0,-1,1)</f>
        <v>204886.47740803001</v>
      </c>
      <c r="S159" s="553">
        <f>'Foglio deposito bis'!$F$50*IF(ABS(M159)&lt;'Progetto del paramento slu'!$G$58,ABS(M159)*'Progetto del paramento slu'!$G$54,'Progetto del paramento slu'!$G$53)*IF(M159&lt;0,-1,1)</f>
        <v>0</v>
      </c>
      <c r="T159" s="553">
        <f>'Foglio deposito bis'!$F$51*IF(ABS(N159)&lt;'Progetto del paramento slu'!$G$58,ABS(N159)*'Progetto del paramento slu'!$G$54,'Progetto del paramento slu'!$G$53)*IF(N159&lt;0,-1,1)</f>
        <v>240946.49743184328</v>
      </c>
      <c r="U159" s="553">
        <f>'Foglio deposito bis'!$F$52*IF(ABS(O159)&lt;'Progetto del paramento slu'!$G$58,ABS(O159)*'Progetto del paramento slu'!$G$54,'Progetto del paramento slu'!$G$53)*IF(O159&lt;0,-1,1)</f>
        <v>240946.49743184328</v>
      </c>
      <c r="V159" s="479">
        <f t="shared" si="15"/>
        <v>-200174.36399350551</v>
      </c>
      <c r="W159" s="559"/>
      <c r="X159" s="559"/>
    </row>
    <row r="160" spans="1:24" x14ac:dyDescent="0.25">
      <c r="A160" s="553">
        <f t="shared" si="14"/>
        <v>211618.92962273399</v>
      </c>
      <c r="B160" s="3">
        <f t="shared" si="12"/>
        <v>15.699999999999966</v>
      </c>
      <c r="C160" s="553">
        <f>'Foglio deposito bis'!$E$153/$B$247*B160</f>
        <v>63.734776725304371</v>
      </c>
      <c r="D160" s="611">
        <f>-'Progetto del paramento slu'!$G$47*'Progetto del paramento slu'!$G$41*IF(DATI!$G$218="dx",DATI!$E$61,DATI!$E$64*DATI!$E$63)*1000*C160^2*sezione!$AD$5*(1-sezione!$AD$6)</f>
        <v>-33439385.388186038</v>
      </c>
      <c r="E160" s="553">
        <f>-'Foglio deposito bis'!$F$48*(C160-sezione!$AL$27)*IF(ABS(K160)&lt;'Progetto del paramento slu'!$G$58,ABS(K160)*'Progetto del paramento slu'!$G$54,'Progetto del paramento slu'!$G$53)</f>
        <v>0</v>
      </c>
      <c r="F160" s="553">
        <f>-'Foglio deposito bis'!$F$49*(C160-sezione!$AM$27)*IF(ABS(L160)&lt;'Progetto del paramento slu'!$G$58,ABS(L160)*'Progetto del paramento slu'!$G$54,'Progetto del paramento slu'!$G$53)</f>
        <v>17674577.71956959</v>
      </c>
      <c r="G160" s="553">
        <f>-'Foglio deposito bis'!$F$50*(C160-sezione!$AN$27)*IF(ABS(M160)&lt;'Progetto del paramento slu'!$G$58,ABS(M160)*'Progetto del paramento slu'!$G$54,'Progetto del paramento slu'!$G$53)</f>
        <v>0</v>
      </c>
      <c r="H160" s="553">
        <f>-'Foglio deposito bis'!$F$51*(C160-sezione!$AO$27)*IF(ABS(N160)&lt;'Progetto del paramento slu'!$G$58,ABS(N160)*'Progetto del paramento slu'!$G$54,'Progetto del paramento slu'!$G$53)</f>
        <v>66565137.91026406</v>
      </c>
      <c r="I160" s="479">
        <f>-'Foglio deposito bis'!$F$52*(C160-sezione!$AP$27)*IF(ABS(O160)&lt;'Progetto del paramento slu'!$G$58,ABS(O160)*'Progetto del paramento slu'!$G$54,'Progetto del paramento slu'!$G$53)</f>
        <v>47289418.115716599</v>
      </c>
      <c r="J160" s="479">
        <f t="shared" si="13"/>
        <v>98089748.357364208</v>
      </c>
      <c r="K160" s="558">
        <f>'Progetto del paramento slu'!$G$60*(sezione!$AL$27-C160)/C160</f>
        <v>-1.3033970276008461E-3</v>
      </c>
      <c r="L160" s="558">
        <f>'Progetto del paramento slu'!$G$60*(sezione!$AM$27-C160)/C160</f>
        <v>4.7372611464968272E-3</v>
      </c>
      <c r="M160" s="559">
        <f>'Progetto del paramento slu'!$G$60*(sezione!$AN$27-C160)/C160</f>
        <v>1.0777919320594503E-2</v>
      </c>
      <c r="N160" s="559">
        <f>'Progetto del paramento slu'!$G$60*(sezione!$AO$27-C160)/C160</f>
        <v>1.5171125265392809E-2</v>
      </c>
      <c r="O160" s="559">
        <f>'Progetto del paramento slu'!$G$60*(sezione!$AP$27-C160)/C160</f>
        <v>1.0777919320594503E-2</v>
      </c>
      <c r="P160" s="553">
        <f>-'Progetto del paramento slu'!$G$47*'Progetto del paramento slu'!$G$41*IF(DATI!$G$218="dx",DATI!$E$61,DATI!$E$64*DATI!$E$63)*1000*C160*sezione!$AD$5</f>
        <v>-898398.40189445065</v>
      </c>
      <c r="Q160" s="553">
        <f>'Foglio deposito bis'!$F$48*IF(ABS(K160)&lt;'Progetto del paramento slu'!$G$58,ABS(K160)*'Progetto del paramento slu'!$G$54,'Progetto del paramento slu'!$G$53)*IF(K160&lt;0,-1,1)</f>
        <v>0</v>
      </c>
      <c r="R160" s="553">
        <f>'Foglio deposito bis'!$F$49*IF(ABS(L160)&lt;'Progetto del paramento slu'!$G$58,ABS(L160)*'Progetto del paramento slu'!$G$54,'Progetto del paramento slu'!$G$53)*IF(L160&lt;0,-1,1)</f>
        <v>204886.47740803001</v>
      </c>
      <c r="S160" s="553">
        <f>'Foglio deposito bis'!$F$50*IF(ABS(M160)&lt;'Progetto del paramento slu'!$G$58,ABS(M160)*'Progetto del paramento slu'!$G$54,'Progetto del paramento slu'!$G$53)*IF(M160&lt;0,-1,1)</f>
        <v>0</v>
      </c>
      <c r="T160" s="553">
        <f>'Foglio deposito bis'!$F$51*IF(ABS(N160)&lt;'Progetto del paramento slu'!$G$58,ABS(N160)*'Progetto del paramento slu'!$G$54,'Progetto del paramento slu'!$G$53)*IF(N160&lt;0,-1,1)</f>
        <v>240946.49743184328</v>
      </c>
      <c r="U160" s="553">
        <f>'Foglio deposito bis'!$F$52*IF(ABS(O160)&lt;'Progetto del paramento slu'!$G$58,ABS(O160)*'Progetto del paramento slu'!$G$54,'Progetto del paramento slu'!$G$53)*IF(O160&lt;0,-1,1)</f>
        <v>240946.49743184328</v>
      </c>
      <c r="V160" s="479">
        <f t="shared" si="15"/>
        <v>-211618.92962273399</v>
      </c>
      <c r="W160" s="559"/>
      <c r="X160" s="559"/>
    </row>
    <row r="161" spans="1:24" x14ac:dyDescent="0.25">
      <c r="A161" s="553">
        <f t="shared" si="14"/>
        <v>223063.49525196271</v>
      </c>
      <c r="B161" s="3">
        <f t="shared" si="12"/>
        <v>15.899999999999965</v>
      </c>
      <c r="C161" s="553">
        <f>'Foglio deposito bis'!$E$153/$B$247*B161</f>
        <v>64.546684709066213</v>
      </c>
      <c r="D161" s="611">
        <f>-'Progetto del paramento slu'!$G$47*'Progetto del paramento slu'!$G$41*IF(DATI!$G$218="dx",DATI!$E$61,DATI!$E$64*DATI!$E$63)*1000*C161^2*sezione!$AD$5*(1-sezione!$AD$6)</f>
        <v>-34296770.741155073</v>
      </c>
      <c r="E161" s="553">
        <f>-'Foglio deposito bis'!$F$48*(C161-sezione!$AL$27)*IF(ABS(K161)&lt;'Progetto del paramento slu'!$G$58,ABS(K161)*'Progetto del paramento slu'!$G$54,'Progetto del paramento slu'!$G$53)</f>
        <v>0</v>
      </c>
      <c r="F161" s="553">
        <f>-'Foglio deposito bis'!$F$49*(C161-sezione!$AM$27)*IF(ABS(L161)&lt;'Progetto del paramento slu'!$G$58,ABS(L161)*'Progetto del paramento slu'!$G$54,'Progetto del paramento slu'!$G$53)</f>
        <v>17508228.752797171</v>
      </c>
      <c r="G161" s="553">
        <f>-'Foglio deposito bis'!$F$50*(C161-sezione!$AN$27)*IF(ABS(M161)&lt;'Progetto del paramento slu'!$G$58,ABS(M161)*'Progetto del paramento slu'!$G$54,'Progetto del paramento slu'!$G$53)</f>
        <v>0</v>
      </c>
      <c r="H161" s="553">
        <f>-'Foglio deposito bis'!$F$51*(C161-sezione!$AO$27)*IF(ABS(N161)&lt;'Progetto del paramento slu'!$G$58,ABS(N161)*'Progetto del paramento slu'!$G$54,'Progetto del paramento slu'!$G$53)</f>
        <v>66369511.525339693</v>
      </c>
      <c r="I161" s="479">
        <f>-'Foglio deposito bis'!$F$52*(C161-sezione!$AP$27)*IF(ABS(O161)&lt;'Progetto del paramento slu'!$G$58,ABS(O161)*'Progetto del paramento slu'!$G$54,'Progetto del paramento slu'!$G$53)</f>
        <v>47093791.730792232</v>
      </c>
      <c r="J161" s="479">
        <f t="shared" si="13"/>
        <v>96674761.267774016</v>
      </c>
      <c r="K161" s="558">
        <f>'Progetto del paramento slu'!$G$60*(sezione!$AL$27-C161)/C161</f>
        <v>-1.3310272536687599E-3</v>
      </c>
      <c r="L161" s="558">
        <f>'Progetto del paramento slu'!$G$60*(sezione!$AM$27-C161)/C161</f>
        <v>4.63364779874215E-3</v>
      </c>
      <c r="M161" s="559">
        <f>'Progetto del paramento slu'!$G$60*(sezione!$AN$27-C161)/C161</f>
        <v>1.0598322851153062E-2</v>
      </c>
      <c r="N161" s="559">
        <f>'Progetto del paramento slu'!$G$60*(sezione!$AO$27-C161)/C161</f>
        <v>1.4936268343815541E-2</v>
      </c>
      <c r="O161" s="559">
        <f>'Progetto del paramento slu'!$G$60*(sezione!$AP$27-C161)/C161</f>
        <v>1.0598322851153062E-2</v>
      </c>
      <c r="P161" s="553">
        <f>-'Progetto del paramento slu'!$G$47*'Progetto del paramento slu'!$G$41*IF(DATI!$G$218="dx",DATI!$E$61,DATI!$E$64*DATI!$E$63)*1000*C161*sezione!$AD$5</f>
        <v>-909842.96752367925</v>
      </c>
      <c r="Q161" s="553">
        <f>'Foglio deposito bis'!$F$48*IF(ABS(K161)&lt;'Progetto del paramento slu'!$G$58,ABS(K161)*'Progetto del paramento slu'!$G$54,'Progetto del paramento slu'!$G$53)*IF(K161&lt;0,-1,1)</f>
        <v>0</v>
      </c>
      <c r="R161" s="553">
        <f>'Foglio deposito bis'!$F$49*IF(ABS(L161)&lt;'Progetto del paramento slu'!$G$58,ABS(L161)*'Progetto del paramento slu'!$G$54,'Progetto del paramento slu'!$G$53)*IF(L161&lt;0,-1,1)</f>
        <v>204886.47740803001</v>
      </c>
      <c r="S161" s="553">
        <f>'Foglio deposito bis'!$F$50*IF(ABS(M161)&lt;'Progetto del paramento slu'!$G$58,ABS(M161)*'Progetto del paramento slu'!$G$54,'Progetto del paramento slu'!$G$53)*IF(M161&lt;0,-1,1)</f>
        <v>0</v>
      </c>
      <c r="T161" s="553">
        <f>'Foglio deposito bis'!$F$51*IF(ABS(N161)&lt;'Progetto del paramento slu'!$G$58,ABS(N161)*'Progetto del paramento slu'!$G$54,'Progetto del paramento slu'!$G$53)*IF(N161&lt;0,-1,1)</f>
        <v>240946.49743184328</v>
      </c>
      <c r="U161" s="553">
        <f>'Foglio deposito bis'!$F$52*IF(ABS(O161)&lt;'Progetto del paramento slu'!$G$58,ABS(O161)*'Progetto del paramento slu'!$G$54,'Progetto del paramento slu'!$G$53)*IF(O161&lt;0,-1,1)</f>
        <v>240946.49743184328</v>
      </c>
      <c r="V161" s="479">
        <f t="shared" si="15"/>
        <v>-223063.49525196271</v>
      </c>
      <c r="W161" s="559"/>
      <c r="X161" s="559"/>
    </row>
    <row r="162" spans="1:24" x14ac:dyDescent="0.25">
      <c r="A162" s="553">
        <f t="shared" si="14"/>
        <v>234508.06088119143</v>
      </c>
      <c r="B162" s="3">
        <f t="shared" si="12"/>
        <v>16.099999999999966</v>
      </c>
      <c r="C162" s="553">
        <f>'Foglio deposito bis'!$E$153/$B$247*B162</f>
        <v>65.358592692828054</v>
      </c>
      <c r="D162" s="611">
        <f>-'Progetto del paramento slu'!$G$47*'Progetto del paramento slu'!$G$41*IF(DATI!$G$218="dx",DATI!$E$61,DATI!$E$64*DATI!$E$63)*1000*C162^2*sezione!$AD$5*(1-sezione!$AD$6)</f>
        <v>-35165009.073275611</v>
      </c>
      <c r="E162" s="553">
        <f>-'Foglio deposito bis'!$F$48*(C162-sezione!$AL$27)*IF(ABS(K162)&lt;'Progetto del paramento slu'!$G$58,ABS(K162)*'Progetto del paramento slu'!$G$54,'Progetto del paramento slu'!$G$53)</f>
        <v>0</v>
      </c>
      <c r="F162" s="553">
        <f>-'Foglio deposito bis'!$F$49*(C162-sezione!$AM$27)*IF(ABS(L162)&lt;'Progetto del paramento slu'!$G$58,ABS(L162)*'Progetto del paramento slu'!$G$54,'Progetto del paramento slu'!$G$53)</f>
        <v>17341879.786024753</v>
      </c>
      <c r="G162" s="553">
        <f>-'Foglio deposito bis'!$F$50*(C162-sezione!$AN$27)*IF(ABS(M162)&lt;'Progetto del paramento slu'!$G$58,ABS(M162)*'Progetto del paramento slu'!$G$54,'Progetto del paramento slu'!$G$53)</f>
        <v>0</v>
      </c>
      <c r="H162" s="553">
        <f>-'Foglio deposito bis'!$F$51*(C162-sezione!$AO$27)*IF(ABS(N162)&lt;'Progetto del paramento slu'!$G$58,ABS(N162)*'Progetto del paramento slu'!$G$54,'Progetto del paramento slu'!$G$53)</f>
        <v>66173885.140415333</v>
      </c>
      <c r="I162" s="479">
        <f>-'Foglio deposito bis'!$F$52*(C162-sezione!$AP$27)*IF(ABS(O162)&lt;'Progetto del paramento slu'!$G$58,ABS(O162)*'Progetto del paramento slu'!$G$54,'Progetto del paramento slu'!$G$53)</f>
        <v>46898165.345867872</v>
      </c>
      <c r="J162" s="479">
        <f t="shared" si="13"/>
        <v>95248921.199032351</v>
      </c>
      <c r="K162" s="558">
        <f>'Progetto del paramento slu'!$G$60*(sezione!$AL$27-C162)/C162</f>
        <v>-1.3579710144927507E-3</v>
      </c>
      <c r="L162" s="558">
        <f>'Progetto del paramento slu'!$G$60*(sezione!$AM$27-C162)/C162</f>
        <v>4.5326086956521848E-3</v>
      </c>
      <c r="M162" s="559">
        <f>'Progetto del paramento slu'!$G$60*(sezione!$AN$27-C162)/C162</f>
        <v>1.0423188405797121E-2</v>
      </c>
      <c r="N162" s="559">
        <f>'Progetto del paramento slu'!$G$60*(sezione!$AO$27-C162)/C162</f>
        <v>1.470724637681162E-2</v>
      </c>
      <c r="O162" s="559">
        <f>'Progetto del paramento slu'!$G$60*(sezione!$AP$27-C162)/C162</f>
        <v>1.0423188405797121E-2</v>
      </c>
      <c r="P162" s="553">
        <f>-'Progetto del paramento slu'!$G$47*'Progetto del paramento slu'!$G$41*IF(DATI!$G$218="dx",DATI!$E$61,DATI!$E$64*DATI!$E$63)*1000*C162*sezione!$AD$5</f>
        <v>-921287.53315290809</v>
      </c>
      <c r="Q162" s="553">
        <f>'Foglio deposito bis'!$F$48*IF(ABS(K162)&lt;'Progetto del paramento slu'!$G$58,ABS(K162)*'Progetto del paramento slu'!$G$54,'Progetto del paramento slu'!$G$53)*IF(K162&lt;0,-1,1)</f>
        <v>0</v>
      </c>
      <c r="R162" s="553">
        <f>'Foglio deposito bis'!$F$49*IF(ABS(L162)&lt;'Progetto del paramento slu'!$G$58,ABS(L162)*'Progetto del paramento slu'!$G$54,'Progetto del paramento slu'!$G$53)*IF(L162&lt;0,-1,1)</f>
        <v>204886.47740803001</v>
      </c>
      <c r="S162" s="553">
        <f>'Foglio deposito bis'!$F$50*IF(ABS(M162)&lt;'Progetto del paramento slu'!$G$58,ABS(M162)*'Progetto del paramento slu'!$G$54,'Progetto del paramento slu'!$G$53)*IF(M162&lt;0,-1,1)</f>
        <v>0</v>
      </c>
      <c r="T162" s="553">
        <f>'Foglio deposito bis'!$F$51*IF(ABS(N162)&lt;'Progetto del paramento slu'!$G$58,ABS(N162)*'Progetto del paramento slu'!$G$54,'Progetto del paramento slu'!$G$53)*IF(N162&lt;0,-1,1)</f>
        <v>240946.49743184328</v>
      </c>
      <c r="U162" s="553">
        <f>'Foglio deposito bis'!$F$52*IF(ABS(O162)&lt;'Progetto del paramento slu'!$G$58,ABS(O162)*'Progetto del paramento slu'!$G$54,'Progetto del paramento slu'!$G$53)*IF(O162&lt;0,-1,1)</f>
        <v>240946.49743184328</v>
      </c>
      <c r="V162" s="479">
        <f t="shared" si="15"/>
        <v>-234508.06088119143</v>
      </c>
      <c r="W162" s="559"/>
      <c r="X162" s="559"/>
    </row>
    <row r="163" spans="1:24" x14ac:dyDescent="0.25">
      <c r="A163" s="553">
        <f t="shared" si="14"/>
        <v>245952.62651042014</v>
      </c>
      <c r="B163" s="3">
        <f t="shared" si="12"/>
        <v>16.299999999999965</v>
      </c>
      <c r="C163" s="553">
        <f>'Foglio deposito bis'!$E$153/$B$247*B163</f>
        <v>66.170500676589896</v>
      </c>
      <c r="D163" s="611">
        <f>-'Progetto del paramento slu'!$G$47*'Progetto del paramento slu'!$G$41*IF(DATI!$G$218="dx",DATI!$E$61,DATI!$E$64*DATI!$E$63)*1000*C163^2*sezione!$AD$5*(1-sezione!$AD$6)</f>
        <v>-36044100.384547651</v>
      </c>
      <c r="E163" s="553">
        <f>-'Foglio deposito bis'!$F$48*(C163-sezione!$AL$27)*IF(ABS(K163)&lt;'Progetto del paramento slu'!$G$58,ABS(K163)*'Progetto del paramento slu'!$G$54,'Progetto del paramento slu'!$G$53)</f>
        <v>0</v>
      </c>
      <c r="F163" s="553">
        <f>-'Foglio deposito bis'!$F$49*(C163-sezione!$AM$27)*IF(ABS(L163)&lt;'Progetto del paramento slu'!$G$58,ABS(L163)*'Progetto del paramento slu'!$G$54,'Progetto del paramento slu'!$G$53)</f>
        <v>17175530.819252331</v>
      </c>
      <c r="G163" s="553">
        <f>-'Foglio deposito bis'!$F$50*(C163-sezione!$AN$27)*IF(ABS(M163)&lt;'Progetto del paramento slu'!$G$58,ABS(M163)*'Progetto del paramento slu'!$G$54,'Progetto del paramento slu'!$G$53)</f>
        <v>0</v>
      </c>
      <c r="H163" s="553">
        <f>-'Foglio deposito bis'!$F$51*(C163-sezione!$AO$27)*IF(ABS(N163)&lt;'Progetto del paramento slu'!$G$58,ABS(N163)*'Progetto del paramento slu'!$G$54,'Progetto del paramento slu'!$G$53)</f>
        <v>65978258.755490959</v>
      </c>
      <c r="I163" s="479">
        <f>-'Foglio deposito bis'!$F$52*(C163-sezione!$AP$27)*IF(ABS(O163)&lt;'Progetto del paramento slu'!$G$58,ABS(O163)*'Progetto del paramento slu'!$G$54,'Progetto del paramento slu'!$G$53)</f>
        <v>46702538.960943505</v>
      </c>
      <c r="J163" s="479">
        <f t="shared" si="13"/>
        <v>93812228.15113914</v>
      </c>
      <c r="K163" s="558">
        <f>'Progetto del paramento slu'!$G$60*(sezione!$AL$27-C163)/C163</f>
        <v>-1.3842535787321035E-3</v>
      </c>
      <c r="L163" s="558">
        <f>'Progetto del paramento slu'!$G$60*(sezione!$AM$27-C163)/C163</f>
        <v>4.4340490797546124E-3</v>
      </c>
      <c r="M163" s="559">
        <f>'Progetto del paramento slu'!$G$60*(sezione!$AN$27-C163)/C163</f>
        <v>1.0252351738241327E-2</v>
      </c>
      <c r="N163" s="559">
        <f>'Progetto del paramento slu'!$G$60*(sezione!$AO$27-C163)/C163</f>
        <v>1.4483844580777122E-2</v>
      </c>
      <c r="O163" s="559">
        <f>'Progetto del paramento slu'!$G$60*(sezione!$AP$27-C163)/C163</f>
        <v>1.0252351738241327E-2</v>
      </c>
      <c r="P163" s="553">
        <f>-'Progetto del paramento slu'!$G$47*'Progetto del paramento slu'!$G$41*IF(DATI!$G$218="dx",DATI!$E$61,DATI!$E$64*DATI!$E$63)*1000*C163*sezione!$AD$5</f>
        <v>-932732.0987821368</v>
      </c>
      <c r="Q163" s="553">
        <f>'Foglio deposito bis'!$F$48*IF(ABS(K163)&lt;'Progetto del paramento slu'!$G$58,ABS(K163)*'Progetto del paramento slu'!$G$54,'Progetto del paramento slu'!$G$53)*IF(K163&lt;0,-1,1)</f>
        <v>0</v>
      </c>
      <c r="R163" s="553">
        <f>'Foglio deposito bis'!$F$49*IF(ABS(L163)&lt;'Progetto del paramento slu'!$G$58,ABS(L163)*'Progetto del paramento slu'!$G$54,'Progetto del paramento slu'!$G$53)*IF(L163&lt;0,-1,1)</f>
        <v>204886.47740803001</v>
      </c>
      <c r="S163" s="553">
        <f>'Foglio deposito bis'!$F$50*IF(ABS(M163)&lt;'Progetto del paramento slu'!$G$58,ABS(M163)*'Progetto del paramento slu'!$G$54,'Progetto del paramento slu'!$G$53)*IF(M163&lt;0,-1,1)</f>
        <v>0</v>
      </c>
      <c r="T163" s="553">
        <f>'Foglio deposito bis'!$F$51*IF(ABS(N163)&lt;'Progetto del paramento slu'!$G$58,ABS(N163)*'Progetto del paramento slu'!$G$54,'Progetto del paramento slu'!$G$53)*IF(N163&lt;0,-1,1)</f>
        <v>240946.49743184328</v>
      </c>
      <c r="U163" s="553">
        <f>'Foglio deposito bis'!$F$52*IF(ABS(O163)&lt;'Progetto del paramento slu'!$G$58,ABS(O163)*'Progetto del paramento slu'!$G$54,'Progetto del paramento slu'!$G$53)*IF(O163&lt;0,-1,1)</f>
        <v>240946.49743184328</v>
      </c>
      <c r="V163" s="479">
        <f t="shared" si="15"/>
        <v>-245952.62651042014</v>
      </c>
      <c r="W163" s="559"/>
      <c r="X163" s="559"/>
    </row>
    <row r="164" spans="1:24" x14ac:dyDescent="0.25">
      <c r="A164" s="553">
        <f t="shared" si="14"/>
        <v>257397.19213964886</v>
      </c>
      <c r="B164" s="3">
        <f t="shared" si="12"/>
        <v>16.499999999999964</v>
      </c>
      <c r="C164" s="553">
        <f>'Foglio deposito bis'!$E$153/$B$247*B164</f>
        <v>66.982408660351737</v>
      </c>
      <c r="D164" s="611">
        <f>-'Progetto del paramento slu'!$G$47*'Progetto del paramento slu'!$G$41*IF(DATI!$G$218="dx",DATI!$E$61,DATI!$E$64*DATI!$E$63)*1000*C164^2*sezione!$AD$5*(1-sezione!$AD$6)</f>
        <v>-36934044.674971208</v>
      </c>
      <c r="E164" s="553">
        <f>-'Foglio deposito bis'!$F$48*(C164-sezione!$AL$27)*IF(ABS(K164)&lt;'Progetto del paramento slu'!$G$58,ABS(K164)*'Progetto del paramento slu'!$G$54,'Progetto del paramento slu'!$G$53)</f>
        <v>0</v>
      </c>
      <c r="F164" s="553">
        <f>-'Foglio deposito bis'!$F$49*(C164-sezione!$AM$27)*IF(ABS(L164)&lt;'Progetto del paramento slu'!$G$58,ABS(L164)*'Progetto del paramento slu'!$G$54,'Progetto del paramento slu'!$G$53)</f>
        <v>17009181.852479912</v>
      </c>
      <c r="G164" s="553">
        <f>-'Foglio deposito bis'!$F$50*(C164-sezione!$AN$27)*IF(ABS(M164)&lt;'Progetto del paramento slu'!$G$58,ABS(M164)*'Progetto del paramento slu'!$G$54,'Progetto del paramento slu'!$G$53)</f>
        <v>0</v>
      </c>
      <c r="H164" s="553">
        <f>-'Foglio deposito bis'!$F$51*(C164-sezione!$AO$27)*IF(ABS(N164)&lt;'Progetto del paramento slu'!$G$58,ABS(N164)*'Progetto del paramento slu'!$G$54,'Progetto del paramento slu'!$G$53)</f>
        <v>65782632.370566599</v>
      </c>
      <c r="I164" s="479">
        <f>-'Foglio deposito bis'!$F$52*(C164-sezione!$AP$27)*IF(ABS(O164)&lt;'Progetto del paramento slu'!$G$58,ABS(O164)*'Progetto del paramento slu'!$G$54,'Progetto del paramento slu'!$G$53)</f>
        <v>46506912.576019138</v>
      </c>
      <c r="J164" s="479">
        <f t="shared" si="13"/>
        <v>92364682.124094442</v>
      </c>
      <c r="K164" s="558">
        <f>'Progetto del paramento slu'!$G$60*(sezione!$AL$27-C164)/C164</f>
        <v>-1.4098989898989871E-3</v>
      </c>
      <c r="L164" s="558">
        <f>'Progetto del paramento slu'!$G$60*(sezione!$AM$27-C164)/C164</f>
        <v>4.3378787878787985E-3</v>
      </c>
      <c r="M164" s="559">
        <f>'Progetto del paramento slu'!$G$60*(sezione!$AN$27-C164)/C164</f>
        <v>1.0085656565656586E-2</v>
      </c>
      <c r="N164" s="559">
        <f>'Progetto del paramento slu'!$G$60*(sezione!$AO$27-C164)/C164</f>
        <v>1.4265858585858611E-2</v>
      </c>
      <c r="O164" s="559">
        <f>'Progetto del paramento slu'!$G$60*(sezione!$AP$27-C164)/C164</f>
        <v>1.0085656565656586E-2</v>
      </c>
      <c r="P164" s="553">
        <f>-'Progetto del paramento slu'!$G$47*'Progetto del paramento slu'!$G$41*IF(DATI!$G$218="dx",DATI!$E$61,DATI!$E$64*DATI!$E$63)*1000*C164*sezione!$AD$5</f>
        <v>-944176.6644113654</v>
      </c>
      <c r="Q164" s="553">
        <f>'Foglio deposito bis'!$F$48*IF(ABS(K164)&lt;'Progetto del paramento slu'!$G$58,ABS(K164)*'Progetto del paramento slu'!$G$54,'Progetto del paramento slu'!$G$53)*IF(K164&lt;0,-1,1)</f>
        <v>0</v>
      </c>
      <c r="R164" s="553">
        <f>'Foglio deposito bis'!$F$49*IF(ABS(L164)&lt;'Progetto del paramento slu'!$G$58,ABS(L164)*'Progetto del paramento slu'!$G$54,'Progetto del paramento slu'!$G$53)*IF(L164&lt;0,-1,1)</f>
        <v>204886.47740803001</v>
      </c>
      <c r="S164" s="553">
        <f>'Foglio deposito bis'!$F$50*IF(ABS(M164)&lt;'Progetto del paramento slu'!$G$58,ABS(M164)*'Progetto del paramento slu'!$G$54,'Progetto del paramento slu'!$G$53)*IF(M164&lt;0,-1,1)</f>
        <v>0</v>
      </c>
      <c r="T164" s="553">
        <f>'Foglio deposito bis'!$F$51*IF(ABS(N164)&lt;'Progetto del paramento slu'!$G$58,ABS(N164)*'Progetto del paramento slu'!$G$54,'Progetto del paramento slu'!$G$53)*IF(N164&lt;0,-1,1)</f>
        <v>240946.49743184328</v>
      </c>
      <c r="U164" s="553">
        <f>'Foglio deposito bis'!$F$52*IF(ABS(O164)&lt;'Progetto del paramento slu'!$G$58,ABS(O164)*'Progetto del paramento slu'!$G$54,'Progetto del paramento slu'!$G$53)*IF(O164&lt;0,-1,1)</f>
        <v>240946.49743184328</v>
      </c>
      <c r="V164" s="479">
        <f t="shared" si="15"/>
        <v>-257397.19213964886</v>
      </c>
      <c r="W164" s="559"/>
      <c r="X164" s="559"/>
    </row>
    <row r="165" spans="1:24" x14ac:dyDescent="0.25">
      <c r="A165" s="553">
        <f t="shared" si="14"/>
        <v>268841.75776887755</v>
      </c>
      <c r="B165" s="3">
        <f t="shared" si="12"/>
        <v>16.699999999999964</v>
      </c>
      <c r="C165" s="553">
        <f>'Foglio deposito bis'!$E$153/$B$247*B165</f>
        <v>67.794316644113579</v>
      </c>
      <c r="D165" s="611">
        <f>-'Progetto del paramento slu'!$G$47*'Progetto del paramento slu'!$G$41*IF(DATI!$G$218="dx",DATI!$E$61,DATI!$E$64*DATI!$E$63)*1000*C165^2*sezione!$AD$5*(1-sezione!$AD$6)</f>
        <v>-37834841.94454626</v>
      </c>
      <c r="E165" s="553">
        <f>-'Foglio deposito bis'!$F$48*(C165-sezione!$AL$27)*IF(ABS(K165)&lt;'Progetto del paramento slu'!$G$58,ABS(K165)*'Progetto del paramento slu'!$G$54,'Progetto del paramento slu'!$G$53)</f>
        <v>0</v>
      </c>
      <c r="F165" s="553">
        <f>-'Foglio deposito bis'!$F$49*(C165-sezione!$AM$27)*IF(ABS(L165)&lt;'Progetto del paramento slu'!$G$58,ABS(L165)*'Progetto del paramento slu'!$G$54,'Progetto del paramento slu'!$G$53)</f>
        <v>16842832.88570749</v>
      </c>
      <c r="G165" s="553">
        <f>-'Foglio deposito bis'!$F$50*(C165-sezione!$AN$27)*IF(ABS(M165)&lt;'Progetto del paramento slu'!$G$58,ABS(M165)*'Progetto del paramento slu'!$G$54,'Progetto del paramento slu'!$G$53)</f>
        <v>0</v>
      </c>
      <c r="H165" s="553">
        <f>-'Foglio deposito bis'!$F$51*(C165-sezione!$AO$27)*IF(ABS(N165)&lt;'Progetto del paramento slu'!$G$58,ABS(N165)*'Progetto del paramento slu'!$G$54,'Progetto del paramento slu'!$G$53)</f>
        <v>65587005.985642232</v>
      </c>
      <c r="I165" s="479">
        <f>-'Foglio deposito bis'!$F$52*(C165-sezione!$AP$27)*IF(ABS(O165)&lt;'Progetto del paramento slu'!$G$58,ABS(O165)*'Progetto del paramento slu'!$G$54,'Progetto del paramento slu'!$G$53)</f>
        <v>46311286.191094771</v>
      </c>
      <c r="J165" s="479">
        <f t="shared" si="13"/>
        <v>90906283.117898226</v>
      </c>
      <c r="K165" s="558">
        <f>'Progetto del paramento slu'!$G$60*(sezione!$AL$27-C165)/C165</f>
        <v>-1.4349301397205561E-3</v>
      </c>
      <c r="L165" s="558">
        <f>'Progetto del paramento slu'!$G$60*(sezione!$AM$27-C165)/C165</f>
        <v>4.2440119760479142E-3</v>
      </c>
      <c r="M165" s="559">
        <f>'Progetto del paramento slu'!$G$60*(sezione!$AN$27-C165)/C165</f>
        <v>9.9229540918163855E-3</v>
      </c>
      <c r="N165" s="559">
        <f>'Progetto del paramento slu'!$G$60*(sezione!$AO$27-C165)/C165</f>
        <v>1.4053093812375274E-2</v>
      </c>
      <c r="O165" s="559">
        <f>'Progetto del paramento slu'!$G$60*(sezione!$AP$27-C165)/C165</f>
        <v>9.9229540918163855E-3</v>
      </c>
      <c r="P165" s="553">
        <f>-'Progetto del paramento slu'!$G$47*'Progetto del paramento slu'!$G$41*IF(DATI!$G$218="dx",DATI!$E$61,DATI!$E$64*DATI!$E$63)*1000*C165*sezione!$AD$5</f>
        <v>-955621.23004059424</v>
      </c>
      <c r="Q165" s="553">
        <f>'Foglio deposito bis'!$F$48*IF(ABS(K165)&lt;'Progetto del paramento slu'!$G$58,ABS(K165)*'Progetto del paramento slu'!$G$54,'Progetto del paramento slu'!$G$53)*IF(K165&lt;0,-1,1)</f>
        <v>0</v>
      </c>
      <c r="R165" s="553">
        <f>'Foglio deposito bis'!$F$49*IF(ABS(L165)&lt;'Progetto del paramento slu'!$G$58,ABS(L165)*'Progetto del paramento slu'!$G$54,'Progetto del paramento slu'!$G$53)*IF(L165&lt;0,-1,1)</f>
        <v>204886.47740803001</v>
      </c>
      <c r="S165" s="553">
        <f>'Foglio deposito bis'!$F$50*IF(ABS(M165)&lt;'Progetto del paramento slu'!$G$58,ABS(M165)*'Progetto del paramento slu'!$G$54,'Progetto del paramento slu'!$G$53)*IF(M165&lt;0,-1,1)</f>
        <v>0</v>
      </c>
      <c r="T165" s="553">
        <f>'Foglio deposito bis'!$F$51*IF(ABS(N165)&lt;'Progetto del paramento slu'!$G$58,ABS(N165)*'Progetto del paramento slu'!$G$54,'Progetto del paramento slu'!$G$53)*IF(N165&lt;0,-1,1)</f>
        <v>240946.49743184328</v>
      </c>
      <c r="U165" s="553">
        <f>'Foglio deposito bis'!$F$52*IF(ABS(O165)&lt;'Progetto del paramento slu'!$G$58,ABS(O165)*'Progetto del paramento slu'!$G$54,'Progetto del paramento slu'!$G$53)*IF(O165&lt;0,-1,1)</f>
        <v>240946.49743184328</v>
      </c>
      <c r="V165" s="479">
        <f t="shared" si="15"/>
        <v>-268841.75776887755</v>
      </c>
      <c r="W165" s="559"/>
      <c r="X165" s="559"/>
    </row>
    <row r="166" spans="1:24" x14ac:dyDescent="0.25">
      <c r="A166" s="553">
        <f t="shared" si="14"/>
        <v>280286.32339810603</v>
      </c>
      <c r="B166" s="3">
        <f t="shared" si="12"/>
        <v>16.899999999999963</v>
      </c>
      <c r="C166" s="553">
        <f>'Foglio deposito bis'!$E$153/$B$247*B166</f>
        <v>68.606224627875406</v>
      </c>
      <c r="D166" s="611">
        <f>-'Progetto del paramento slu'!$G$47*'Progetto del paramento slu'!$G$41*IF(DATI!$G$218="dx",DATI!$E$61,DATI!$E$64*DATI!$E$63)*1000*C166^2*sezione!$AD$5*(1-sezione!$AD$6)</f>
        <v>-38746492.193272807</v>
      </c>
      <c r="E166" s="553">
        <f>-'Foglio deposito bis'!$F$48*(C166-sezione!$AL$27)*IF(ABS(K166)&lt;'Progetto del paramento slu'!$G$58,ABS(K166)*'Progetto del paramento slu'!$G$54,'Progetto del paramento slu'!$G$53)</f>
        <v>0</v>
      </c>
      <c r="F166" s="553">
        <f>-'Foglio deposito bis'!$F$49*(C166-sezione!$AM$27)*IF(ABS(L166)&lt;'Progetto del paramento slu'!$G$58,ABS(L166)*'Progetto del paramento slu'!$G$54,'Progetto del paramento slu'!$G$53)</f>
        <v>16676483.918935075</v>
      </c>
      <c r="G166" s="553">
        <f>-'Foglio deposito bis'!$F$50*(C166-sezione!$AN$27)*IF(ABS(M166)&lt;'Progetto del paramento slu'!$G$58,ABS(M166)*'Progetto del paramento slu'!$G$54,'Progetto del paramento slu'!$G$53)</f>
        <v>0</v>
      </c>
      <c r="H166" s="553">
        <f>-'Foglio deposito bis'!$F$51*(C166-sezione!$AO$27)*IF(ABS(N166)&lt;'Progetto del paramento slu'!$G$58,ABS(N166)*'Progetto del paramento slu'!$G$54,'Progetto del paramento slu'!$G$53)</f>
        <v>65391379.600717872</v>
      </c>
      <c r="I166" s="479">
        <f>-'Foglio deposito bis'!$F$52*(C166-sezione!$AP$27)*IF(ABS(O166)&lt;'Progetto del paramento slu'!$G$58,ABS(O166)*'Progetto del paramento slu'!$G$54,'Progetto del paramento slu'!$G$53)</f>
        <v>46115659.806170411</v>
      </c>
      <c r="J166" s="479">
        <f t="shared" si="13"/>
        <v>89437031.132550552</v>
      </c>
      <c r="K166" s="558">
        <f>'Progetto del paramento slu'!$G$60*(sezione!$AL$27-C166)/C166</f>
        <v>-1.4593688362919102E-3</v>
      </c>
      <c r="L166" s="558">
        <f>'Progetto del paramento slu'!$G$60*(sezione!$AM$27-C166)/C166</f>
        <v>4.1523668639053372E-3</v>
      </c>
      <c r="M166" s="559">
        <f>'Progetto del paramento slu'!$G$60*(sezione!$AN$27-C166)/C166</f>
        <v>9.7641025641025843E-3</v>
      </c>
      <c r="N166" s="559">
        <f>'Progetto del paramento slu'!$G$60*(sezione!$AO$27-C166)/C166</f>
        <v>1.3845364891518764E-2</v>
      </c>
      <c r="O166" s="559">
        <f>'Progetto del paramento slu'!$G$60*(sezione!$AP$27-C166)/C166</f>
        <v>9.7641025641025843E-3</v>
      </c>
      <c r="P166" s="553">
        <f>-'Progetto del paramento slu'!$G$47*'Progetto del paramento slu'!$G$41*IF(DATI!$G$218="dx",DATI!$E$61,DATI!$E$64*DATI!$E$63)*1000*C166*sezione!$AD$5</f>
        <v>-967065.7956698226</v>
      </c>
      <c r="Q166" s="553">
        <f>'Foglio deposito bis'!$F$48*IF(ABS(K166)&lt;'Progetto del paramento slu'!$G$58,ABS(K166)*'Progetto del paramento slu'!$G$54,'Progetto del paramento slu'!$G$53)*IF(K166&lt;0,-1,1)</f>
        <v>0</v>
      </c>
      <c r="R166" s="553">
        <f>'Foglio deposito bis'!$F$49*IF(ABS(L166)&lt;'Progetto del paramento slu'!$G$58,ABS(L166)*'Progetto del paramento slu'!$G$54,'Progetto del paramento slu'!$G$53)*IF(L166&lt;0,-1,1)</f>
        <v>204886.47740803001</v>
      </c>
      <c r="S166" s="553">
        <f>'Foglio deposito bis'!$F$50*IF(ABS(M166)&lt;'Progetto del paramento slu'!$G$58,ABS(M166)*'Progetto del paramento slu'!$G$54,'Progetto del paramento slu'!$G$53)*IF(M166&lt;0,-1,1)</f>
        <v>0</v>
      </c>
      <c r="T166" s="553">
        <f>'Foglio deposito bis'!$F$51*IF(ABS(N166)&lt;'Progetto del paramento slu'!$G$58,ABS(N166)*'Progetto del paramento slu'!$G$54,'Progetto del paramento slu'!$G$53)*IF(N166&lt;0,-1,1)</f>
        <v>240946.49743184328</v>
      </c>
      <c r="U166" s="553">
        <f>'Foglio deposito bis'!$F$52*IF(ABS(O166)&lt;'Progetto del paramento slu'!$G$58,ABS(O166)*'Progetto del paramento slu'!$G$54,'Progetto del paramento slu'!$G$53)*IF(O166&lt;0,-1,1)</f>
        <v>240946.49743184328</v>
      </c>
      <c r="V166" s="479">
        <f t="shared" si="15"/>
        <v>-280286.32339810603</v>
      </c>
      <c r="W166" s="559"/>
      <c r="X166" s="559"/>
    </row>
    <row r="167" spans="1:24" x14ac:dyDescent="0.25">
      <c r="A167" s="553">
        <f t="shared" si="14"/>
        <v>291730.88902733475</v>
      </c>
      <c r="B167" s="3">
        <f t="shared" si="12"/>
        <v>17.099999999999962</v>
      </c>
      <c r="C167" s="553">
        <f>'Foglio deposito bis'!$E$153/$B$247*B167</f>
        <v>69.418132611637247</v>
      </c>
      <c r="D167" s="611">
        <f>-'Progetto del paramento slu'!$G$47*'Progetto del paramento slu'!$G$41*IF(DATI!$G$218="dx",DATI!$E$61,DATI!$E$64*DATI!$E$63)*1000*C167^2*sezione!$AD$5*(1-sezione!$AD$6)</f>
        <v>-39668995.421150878</v>
      </c>
      <c r="E167" s="553">
        <f>-'Foglio deposito bis'!$F$48*(C167-sezione!$AL$27)*IF(ABS(K167)&lt;'Progetto del paramento slu'!$G$58,ABS(K167)*'Progetto del paramento slu'!$G$54,'Progetto del paramento slu'!$G$53)</f>
        <v>0</v>
      </c>
      <c r="F167" s="553">
        <f>-'Foglio deposito bis'!$F$49*(C167-sezione!$AM$27)*IF(ABS(L167)&lt;'Progetto del paramento slu'!$G$58,ABS(L167)*'Progetto del paramento slu'!$G$54,'Progetto del paramento slu'!$G$53)</f>
        <v>16510134.952162655</v>
      </c>
      <c r="G167" s="553">
        <f>-'Foglio deposito bis'!$F$50*(C167-sezione!$AN$27)*IF(ABS(M167)&lt;'Progetto del paramento slu'!$G$58,ABS(M167)*'Progetto del paramento slu'!$G$54,'Progetto del paramento slu'!$G$53)</f>
        <v>0</v>
      </c>
      <c r="H167" s="553">
        <f>-'Foglio deposito bis'!$F$51*(C167-sezione!$AO$27)*IF(ABS(N167)&lt;'Progetto del paramento slu'!$G$58,ABS(N167)*'Progetto del paramento slu'!$G$54,'Progetto del paramento slu'!$G$53)</f>
        <v>65195753.215793498</v>
      </c>
      <c r="I167" s="479">
        <f>-'Foglio deposito bis'!$F$52*(C167-sezione!$AP$27)*IF(ABS(O167)&lt;'Progetto del paramento slu'!$G$58,ABS(O167)*'Progetto del paramento slu'!$G$54,'Progetto del paramento slu'!$G$53)</f>
        <v>45920033.421246044</v>
      </c>
      <c r="J167" s="479">
        <f t="shared" si="13"/>
        <v>87956926.168051317</v>
      </c>
      <c r="K167" s="558">
        <f>'Progetto del paramento slu'!$G$60*(sezione!$AL$27-C167)/C167</f>
        <v>-1.4832358674463908E-3</v>
      </c>
      <c r="L167" s="558">
        <f>'Progetto del paramento slu'!$G$60*(sezione!$AM$27-C167)/C167</f>
        <v>4.0628654970760346E-3</v>
      </c>
      <c r="M167" s="559">
        <f>'Progetto del paramento slu'!$G$60*(sezione!$AN$27-C167)/C167</f>
        <v>9.608966861598461E-3</v>
      </c>
      <c r="N167" s="559">
        <f>'Progetto del paramento slu'!$G$60*(sezione!$AO$27-C167)/C167</f>
        <v>1.3642495126705678E-2</v>
      </c>
      <c r="O167" s="559">
        <f>'Progetto del paramento slu'!$G$60*(sezione!$AP$27-C167)/C167</f>
        <v>9.608966861598461E-3</v>
      </c>
      <c r="P167" s="553">
        <f>-'Progetto del paramento slu'!$G$47*'Progetto del paramento slu'!$G$41*IF(DATI!$G$218="dx",DATI!$E$61,DATI!$E$64*DATI!$E$63)*1000*C167*sezione!$AD$5</f>
        <v>-978510.36129905144</v>
      </c>
      <c r="Q167" s="553">
        <f>'Foglio deposito bis'!$F$48*IF(ABS(K167)&lt;'Progetto del paramento slu'!$G$58,ABS(K167)*'Progetto del paramento slu'!$G$54,'Progetto del paramento slu'!$G$53)*IF(K167&lt;0,-1,1)</f>
        <v>0</v>
      </c>
      <c r="R167" s="553">
        <f>'Foglio deposito bis'!$F$49*IF(ABS(L167)&lt;'Progetto del paramento slu'!$G$58,ABS(L167)*'Progetto del paramento slu'!$G$54,'Progetto del paramento slu'!$G$53)*IF(L167&lt;0,-1,1)</f>
        <v>204886.47740803001</v>
      </c>
      <c r="S167" s="553">
        <f>'Foglio deposito bis'!$F$50*IF(ABS(M167)&lt;'Progetto del paramento slu'!$G$58,ABS(M167)*'Progetto del paramento slu'!$G$54,'Progetto del paramento slu'!$G$53)*IF(M167&lt;0,-1,1)</f>
        <v>0</v>
      </c>
      <c r="T167" s="553">
        <f>'Foglio deposito bis'!$F$51*IF(ABS(N167)&lt;'Progetto del paramento slu'!$G$58,ABS(N167)*'Progetto del paramento slu'!$G$54,'Progetto del paramento slu'!$G$53)*IF(N167&lt;0,-1,1)</f>
        <v>240946.49743184328</v>
      </c>
      <c r="U167" s="553">
        <f>'Foglio deposito bis'!$F$52*IF(ABS(O167)&lt;'Progetto del paramento slu'!$G$58,ABS(O167)*'Progetto del paramento slu'!$G$54,'Progetto del paramento slu'!$G$53)*IF(O167&lt;0,-1,1)</f>
        <v>240946.49743184328</v>
      </c>
      <c r="V167" s="479">
        <f t="shared" si="15"/>
        <v>-291730.88902733475</v>
      </c>
      <c r="W167" s="559"/>
      <c r="X167" s="559"/>
    </row>
    <row r="168" spans="1:24" x14ac:dyDescent="0.25">
      <c r="A168" s="553">
        <f t="shared" si="14"/>
        <v>303175.45465656347</v>
      </c>
      <c r="B168" s="3">
        <f t="shared" si="12"/>
        <v>17.299999999999962</v>
      </c>
      <c r="C168" s="553">
        <f>'Foglio deposito bis'!$E$153/$B$247*B168</f>
        <v>70.230040595399089</v>
      </c>
      <c r="D168" s="611">
        <f>-'Progetto del paramento slu'!$G$47*'Progetto del paramento slu'!$G$41*IF(DATI!$G$218="dx",DATI!$E$61,DATI!$E$64*DATI!$E$63)*1000*C168^2*sezione!$AD$5*(1-sezione!$AD$6)</f>
        <v>-40602351.628180459</v>
      </c>
      <c r="E168" s="553">
        <f>-'Foglio deposito bis'!$F$48*(C168-sezione!$AL$27)*IF(ABS(K168)&lt;'Progetto del paramento slu'!$G$58,ABS(K168)*'Progetto del paramento slu'!$G$54,'Progetto del paramento slu'!$G$53)</f>
        <v>0</v>
      </c>
      <c r="F168" s="553">
        <f>-'Foglio deposito bis'!$F$49*(C168-sezione!$AM$27)*IF(ABS(L168)&lt;'Progetto del paramento slu'!$G$58,ABS(L168)*'Progetto del paramento slu'!$G$54,'Progetto del paramento slu'!$G$53)</f>
        <v>16343785.985390235</v>
      </c>
      <c r="G168" s="553">
        <f>-'Foglio deposito bis'!$F$50*(C168-sezione!$AN$27)*IF(ABS(M168)&lt;'Progetto del paramento slu'!$G$58,ABS(M168)*'Progetto del paramento slu'!$G$54,'Progetto del paramento slu'!$G$53)</f>
        <v>0</v>
      </c>
      <c r="H168" s="553">
        <f>-'Foglio deposito bis'!$F$51*(C168-sezione!$AO$27)*IF(ABS(N168)&lt;'Progetto del paramento slu'!$G$58,ABS(N168)*'Progetto del paramento slu'!$G$54,'Progetto del paramento slu'!$G$53)</f>
        <v>65000126.830869138</v>
      </c>
      <c r="I168" s="479">
        <f>-'Foglio deposito bis'!$F$52*(C168-sezione!$AP$27)*IF(ABS(O168)&lt;'Progetto del paramento slu'!$G$58,ABS(O168)*'Progetto del paramento slu'!$G$54,'Progetto del paramento slu'!$G$53)</f>
        <v>45724407.036321677</v>
      </c>
      <c r="J168" s="479">
        <f t="shared" si="13"/>
        <v>86465968.22440058</v>
      </c>
      <c r="K168" s="558">
        <f>'Progetto del paramento slu'!$G$60*(sezione!$AL$27-C168)/C168</f>
        <v>-1.5065510597302477E-3</v>
      </c>
      <c r="L168" s="558">
        <f>'Progetto del paramento slu'!$G$60*(sezione!$AM$27-C168)/C168</f>
        <v>3.9754335260115715E-3</v>
      </c>
      <c r="M168" s="559">
        <f>'Progetto del paramento slu'!$G$60*(sezione!$AN$27-C168)/C168</f>
        <v>9.4574181117533899E-3</v>
      </c>
      <c r="N168" s="559">
        <f>'Progetto del paramento slu'!$G$60*(sezione!$AO$27-C168)/C168</f>
        <v>1.3444315992292896E-2</v>
      </c>
      <c r="O168" s="559">
        <f>'Progetto del paramento slu'!$G$60*(sezione!$AP$27-C168)/C168</f>
        <v>9.4574181117533899E-3</v>
      </c>
      <c r="P168" s="553">
        <f>-'Progetto del paramento slu'!$G$47*'Progetto del paramento slu'!$G$41*IF(DATI!$G$218="dx",DATI!$E$61,DATI!$E$64*DATI!$E$63)*1000*C168*sezione!$AD$5</f>
        <v>-989954.92692828004</v>
      </c>
      <c r="Q168" s="553">
        <f>'Foglio deposito bis'!$F$48*IF(ABS(K168)&lt;'Progetto del paramento slu'!$G$58,ABS(K168)*'Progetto del paramento slu'!$G$54,'Progetto del paramento slu'!$G$53)*IF(K168&lt;0,-1,1)</f>
        <v>0</v>
      </c>
      <c r="R168" s="553">
        <f>'Foglio deposito bis'!$F$49*IF(ABS(L168)&lt;'Progetto del paramento slu'!$G$58,ABS(L168)*'Progetto del paramento slu'!$G$54,'Progetto del paramento slu'!$G$53)*IF(L168&lt;0,-1,1)</f>
        <v>204886.47740803001</v>
      </c>
      <c r="S168" s="553">
        <f>'Foglio deposito bis'!$F$50*IF(ABS(M168)&lt;'Progetto del paramento slu'!$G$58,ABS(M168)*'Progetto del paramento slu'!$G$54,'Progetto del paramento slu'!$G$53)*IF(M168&lt;0,-1,1)</f>
        <v>0</v>
      </c>
      <c r="T168" s="553">
        <f>'Foglio deposito bis'!$F$51*IF(ABS(N168)&lt;'Progetto del paramento slu'!$G$58,ABS(N168)*'Progetto del paramento slu'!$G$54,'Progetto del paramento slu'!$G$53)*IF(N168&lt;0,-1,1)</f>
        <v>240946.49743184328</v>
      </c>
      <c r="U168" s="553">
        <f>'Foglio deposito bis'!$F$52*IF(ABS(O168)&lt;'Progetto del paramento slu'!$G$58,ABS(O168)*'Progetto del paramento slu'!$G$54,'Progetto del paramento slu'!$G$53)*IF(O168&lt;0,-1,1)</f>
        <v>240946.49743184328</v>
      </c>
      <c r="V168" s="479">
        <f t="shared" si="15"/>
        <v>-303175.45465656347</v>
      </c>
      <c r="W168" s="559"/>
      <c r="X168" s="559"/>
    </row>
    <row r="169" spans="1:24" x14ac:dyDescent="0.25">
      <c r="A169" s="553">
        <f t="shared" si="14"/>
        <v>314620.02028579218</v>
      </c>
      <c r="B169" s="3">
        <f t="shared" si="12"/>
        <v>17.499999999999961</v>
      </c>
      <c r="C169" s="553">
        <f>'Foglio deposito bis'!$E$153/$B$247*B169</f>
        <v>71.04194857916093</v>
      </c>
      <c r="D169" s="611">
        <f>-'Progetto del paramento slu'!$G$47*'Progetto del paramento slu'!$G$41*IF(DATI!$G$218="dx",DATI!$E$61,DATI!$E$64*DATI!$E$63)*1000*C169^2*sezione!$AD$5*(1-sezione!$AD$6)</f>
        <v>-41546560.814361535</v>
      </c>
      <c r="E169" s="553">
        <f>-'Foglio deposito bis'!$F$48*(C169-sezione!$AL$27)*IF(ABS(K169)&lt;'Progetto del paramento slu'!$G$58,ABS(K169)*'Progetto del paramento slu'!$G$54,'Progetto del paramento slu'!$G$53)</f>
        <v>0</v>
      </c>
      <c r="F169" s="553">
        <f>-'Foglio deposito bis'!$F$49*(C169-sezione!$AM$27)*IF(ABS(L169)&lt;'Progetto del paramento slu'!$G$58,ABS(L169)*'Progetto del paramento slu'!$G$54,'Progetto del paramento slu'!$G$53)</f>
        <v>16177437.018617814</v>
      </c>
      <c r="G169" s="553">
        <f>-'Foglio deposito bis'!$F$50*(C169-sezione!$AN$27)*IF(ABS(M169)&lt;'Progetto del paramento slu'!$G$58,ABS(M169)*'Progetto del paramento slu'!$G$54,'Progetto del paramento slu'!$G$53)</f>
        <v>0</v>
      </c>
      <c r="H169" s="553">
        <f>-'Foglio deposito bis'!$F$51*(C169-sezione!$AO$27)*IF(ABS(N169)&lt;'Progetto del paramento slu'!$G$58,ABS(N169)*'Progetto del paramento slu'!$G$54,'Progetto del paramento slu'!$G$53)</f>
        <v>64804500.445944771</v>
      </c>
      <c r="I169" s="479">
        <f>-'Foglio deposito bis'!$F$52*(C169-sezione!$AP$27)*IF(ABS(O169)&lt;'Progetto del paramento slu'!$G$58,ABS(O169)*'Progetto del paramento slu'!$G$54,'Progetto del paramento slu'!$G$53)</f>
        <v>45528780.65139731</v>
      </c>
      <c r="J169" s="479">
        <f t="shared" si="13"/>
        <v>84964157.30159837</v>
      </c>
      <c r="K169" s="558">
        <f>'Progetto del paramento slu'!$G$60*(sezione!$AL$27-C169)/C169</f>
        <v>-1.5293333333333307E-3</v>
      </c>
      <c r="L169" s="558">
        <f>'Progetto del paramento slu'!$G$60*(sezione!$AM$27-C169)/C169</f>
        <v>3.8900000000000102E-3</v>
      </c>
      <c r="M169" s="559">
        <f>'Progetto del paramento slu'!$G$60*(sezione!$AN$27-C169)/C169</f>
        <v>9.3093333333333517E-3</v>
      </c>
      <c r="N169" s="559">
        <f>'Progetto del paramento slu'!$G$60*(sezione!$AO$27-C169)/C169</f>
        <v>1.325066666666669E-2</v>
      </c>
      <c r="O169" s="559">
        <f>'Progetto del paramento slu'!$G$60*(sezione!$AP$27-C169)/C169</f>
        <v>9.3093333333333517E-3</v>
      </c>
      <c r="P169" s="553">
        <f>-'Progetto del paramento slu'!$G$47*'Progetto del paramento slu'!$G$41*IF(DATI!$G$218="dx",DATI!$E$61,DATI!$E$64*DATI!$E$63)*1000*C169*sezione!$AD$5</f>
        <v>-1001399.4925575088</v>
      </c>
      <c r="Q169" s="553">
        <f>'Foglio deposito bis'!$F$48*IF(ABS(K169)&lt;'Progetto del paramento slu'!$G$58,ABS(K169)*'Progetto del paramento slu'!$G$54,'Progetto del paramento slu'!$G$53)*IF(K169&lt;0,-1,1)</f>
        <v>0</v>
      </c>
      <c r="R169" s="553">
        <f>'Foglio deposito bis'!$F$49*IF(ABS(L169)&lt;'Progetto del paramento slu'!$G$58,ABS(L169)*'Progetto del paramento slu'!$G$54,'Progetto del paramento slu'!$G$53)*IF(L169&lt;0,-1,1)</f>
        <v>204886.47740803001</v>
      </c>
      <c r="S169" s="553">
        <f>'Foglio deposito bis'!$F$50*IF(ABS(M169)&lt;'Progetto del paramento slu'!$G$58,ABS(M169)*'Progetto del paramento slu'!$G$54,'Progetto del paramento slu'!$G$53)*IF(M169&lt;0,-1,1)</f>
        <v>0</v>
      </c>
      <c r="T169" s="553">
        <f>'Foglio deposito bis'!$F$51*IF(ABS(N169)&lt;'Progetto del paramento slu'!$G$58,ABS(N169)*'Progetto del paramento slu'!$G$54,'Progetto del paramento slu'!$G$53)*IF(N169&lt;0,-1,1)</f>
        <v>240946.49743184328</v>
      </c>
      <c r="U169" s="553">
        <f>'Foglio deposito bis'!$F$52*IF(ABS(O169)&lt;'Progetto del paramento slu'!$G$58,ABS(O169)*'Progetto del paramento slu'!$G$54,'Progetto del paramento slu'!$G$53)*IF(O169&lt;0,-1,1)</f>
        <v>240946.49743184328</v>
      </c>
      <c r="V169" s="479">
        <f t="shared" si="15"/>
        <v>-314620.02028579218</v>
      </c>
      <c r="W169" s="559"/>
      <c r="X169" s="559"/>
    </row>
    <row r="170" spans="1:24" x14ac:dyDescent="0.25">
      <c r="A170" s="553">
        <f t="shared" si="14"/>
        <v>326064.58591502067</v>
      </c>
      <c r="B170" s="3">
        <f t="shared" si="12"/>
        <v>17.69999999999996</v>
      </c>
      <c r="C170" s="553">
        <f>'Foglio deposito bis'!$E$153/$B$247*B170</f>
        <v>71.853856562922758</v>
      </c>
      <c r="D170" s="611">
        <f>-'Progetto del paramento slu'!$G$47*'Progetto del paramento slu'!$G$41*IF(DATI!$G$218="dx",DATI!$E$61,DATI!$E$64*DATI!$E$63)*1000*C170^2*sezione!$AD$5*(1-sezione!$AD$6)</f>
        <v>-42501622.979694113</v>
      </c>
      <c r="E170" s="553">
        <f>-'Foglio deposito bis'!$F$48*(C170-sezione!$AL$27)*IF(ABS(K170)&lt;'Progetto del paramento slu'!$G$58,ABS(K170)*'Progetto del paramento slu'!$G$54,'Progetto del paramento slu'!$G$53)</f>
        <v>0</v>
      </c>
      <c r="F170" s="553">
        <f>-'Foglio deposito bis'!$F$49*(C170-sezione!$AM$27)*IF(ABS(L170)&lt;'Progetto del paramento slu'!$G$58,ABS(L170)*'Progetto del paramento slu'!$G$54,'Progetto del paramento slu'!$G$53)</f>
        <v>16011088.0518454</v>
      </c>
      <c r="G170" s="553">
        <f>-'Foglio deposito bis'!$F$50*(C170-sezione!$AN$27)*IF(ABS(M170)&lt;'Progetto del paramento slu'!$G$58,ABS(M170)*'Progetto del paramento slu'!$G$54,'Progetto del paramento slu'!$G$53)</f>
        <v>0</v>
      </c>
      <c r="H170" s="553">
        <f>-'Foglio deposito bis'!$F$51*(C170-sezione!$AO$27)*IF(ABS(N170)&lt;'Progetto del paramento slu'!$G$58,ABS(N170)*'Progetto del paramento slu'!$G$54,'Progetto del paramento slu'!$G$53)</f>
        <v>64608874.061020412</v>
      </c>
      <c r="I170" s="479">
        <f>-'Foglio deposito bis'!$F$52*(C170-sezione!$AP$27)*IF(ABS(O170)&lt;'Progetto del paramento slu'!$G$58,ABS(O170)*'Progetto del paramento slu'!$G$54,'Progetto del paramento slu'!$G$53)</f>
        <v>45333154.266472943</v>
      </c>
      <c r="J170" s="479">
        <f t="shared" si="13"/>
        <v>83451493.399644643</v>
      </c>
      <c r="K170" s="558">
        <f>'Progetto del paramento slu'!$G$60*(sezione!$AL$27-C170)/C170</f>
        <v>-1.5516007532956656E-3</v>
      </c>
      <c r="L170" s="558">
        <f>'Progetto del paramento slu'!$G$60*(sezione!$AM$27-C170)/C170</f>
        <v>3.8064971751412546E-3</v>
      </c>
      <c r="M170" s="559">
        <f>'Progetto del paramento slu'!$G$60*(sezione!$AN$27-C170)/C170</f>
        <v>9.1645951035781732E-3</v>
      </c>
      <c r="N170" s="559">
        <f>'Progetto del paramento slu'!$G$60*(sezione!$AO$27-C170)/C170</f>
        <v>1.3061393596986843E-2</v>
      </c>
      <c r="O170" s="559">
        <f>'Progetto del paramento slu'!$G$60*(sezione!$AP$27-C170)/C170</f>
        <v>9.1645951035781732E-3</v>
      </c>
      <c r="P170" s="553">
        <f>-'Progetto del paramento slu'!$G$47*'Progetto del paramento slu'!$G$41*IF(DATI!$G$218="dx",DATI!$E$61,DATI!$E$64*DATI!$E$63)*1000*C170*sezione!$AD$5</f>
        <v>-1012844.0581867374</v>
      </c>
      <c r="Q170" s="553">
        <f>'Foglio deposito bis'!$F$48*IF(ABS(K170)&lt;'Progetto del paramento slu'!$G$58,ABS(K170)*'Progetto del paramento slu'!$G$54,'Progetto del paramento slu'!$G$53)*IF(K170&lt;0,-1,1)</f>
        <v>0</v>
      </c>
      <c r="R170" s="553">
        <f>'Foglio deposito bis'!$F$49*IF(ABS(L170)&lt;'Progetto del paramento slu'!$G$58,ABS(L170)*'Progetto del paramento slu'!$G$54,'Progetto del paramento slu'!$G$53)*IF(L170&lt;0,-1,1)</f>
        <v>204886.47740803001</v>
      </c>
      <c r="S170" s="553">
        <f>'Foglio deposito bis'!$F$50*IF(ABS(M170)&lt;'Progetto del paramento slu'!$G$58,ABS(M170)*'Progetto del paramento slu'!$G$54,'Progetto del paramento slu'!$G$53)*IF(M170&lt;0,-1,1)</f>
        <v>0</v>
      </c>
      <c r="T170" s="553">
        <f>'Foglio deposito bis'!$F$51*IF(ABS(N170)&lt;'Progetto del paramento slu'!$G$58,ABS(N170)*'Progetto del paramento slu'!$G$54,'Progetto del paramento slu'!$G$53)*IF(N170&lt;0,-1,1)</f>
        <v>240946.49743184328</v>
      </c>
      <c r="U170" s="553">
        <f>'Foglio deposito bis'!$F$52*IF(ABS(O170)&lt;'Progetto del paramento slu'!$G$58,ABS(O170)*'Progetto del paramento slu'!$G$54,'Progetto del paramento slu'!$G$53)*IF(O170&lt;0,-1,1)</f>
        <v>240946.49743184328</v>
      </c>
      <c r="V170" s="479">
        <f t="shared" si="15"/>
        <v>-326064.58591502067</v>
      </c>
      <c r="W170" s="559"/>
      <c r="X170" s="559"/>
    </row>
    <row r="171" spans="1:24" x14ac:dyDescent="0.25">
      <c r="A171" s="553">
        <f t="shared" si="14"/>
        <v>337509.15154424938</v>
      </c>
      <c r="B171" s="3">
        <f t="shared" si="12"/>
        <v>17.899999999999959</v>
      </c>
      <c r="C171" s="553">
        <f>'Foglio deposito bis'!$E$153/$B$247*B171</f>
        <v>72.665764546684599</v>
      </c>
      <c r="D171" s="611">
        <f>-'Progetto del paramento slu'!$G$47*'Progetto del paramento slu'!$G$41*IF(DATI!$G$218="dx",DATI!$E$61,DATI!$E$64*DATI!$E$63)*1000*C171^2*sezione!$AD$5*(1-sezione!$AD$6)</f>
        <v>-43467538.124178216</v>
      </c>
      <c r="E171" s="553">
        <f>-'Foglio deposito bis'!$F$48*(C171-sezione!$AL$27)*IF(ABS(K171)&lt;'Progetto del paramento slu'!$G$58,ABS(K171)*'Progetto del paramento slu'!$G$54,'Progetto del paramento slu'!$G$53)</f>
        <v>0</v>
      </c>
      <c r="F171" s="553">
        <f>-'Foglio deposito bis'!$F$49*(C171-sezione!$AM$27)*IF(ABS(L171)&lt;'Progetto del paramento slu'!$G$58,ABS(L171)*'Progetto del paramento slu'!$G$54,'Progetto del paramento slu'!$G$53)</f>
        <v>15844739.085072979</v>
      </c>
      <c r="G171" s="553">
        <f>-'Foglio deposito bis'!$F$50*(C171-sezione!$AN$27)*IF(ABS(M171)&lt;'Progetto del paramento slu'!$G$58,ABS(M171)*'Progetto del paramento slu'!$G$54,'Progetto del paramento slu'!$G$53)</f>
        <v>0</v>
      </c>
      <c r="H171" s="553">
        <f>-'Foglio deposito bis'!$F$51*(C171-sezione!$AO$27)*IF(ABS(N171)&lt;'Progetto del paramento slu'!$G$58,ABS(N171)*'Progetto del paramento slu'!$G$54,'Progetto del paramento slu'!$G$53)</f>
        <v>64413247.676096037</v>
      </c>
      <c r="I171" s="479">
        <f>-'Foglio deposito bis'!$F$52*(C171-sezione!$AP$27)*IF(ABS(O171)&lt;'Progetto del paramento slu'!$G$58,ABS(O171)*'Progetto del paramento slu'!$G$54,'Progetto del paramento slu'!$G$53)</f>
        <v>45137527.881548576</v>
      </c>
      <c r="J171" s="479">
        <f t="shared" si="13"/>
        <v>81927976.518539369</v>
      </c>
      <c r="K171" s="558">
        <f>'Progetto del paramento slu'!$G$60*(sezione!$AL$27-C171)/C171</f>
        <v>-1.5733705772811889E-3</v>
      </c>
      <c r="L171" s="558">
        <f>'Progetto del paramento slu'!$G$60*(sezione!$AM$27-C171)/C171</f>
        <v>3.7248603351955414E-3</v>
      </c>
      <c r="M171" s="559">
        <f>'Progetto del paramento slu'!$G$60*(sezione!$AN$27-C171)/C171</f>
        <v>9.023091247672272E-3</v>
      </c>
      <c r="N171" s="559">
        <f>'Progetto del paramento slu'!$G$60*(sezione!$AO$27-C171)/C171</f>
        <v>1.2876350093109893E-2</v>
      </c>
      <c r="O171" s="559">
        <f>'Progetto del paramento slu'!$G$60*(sezione!$AP$27-C171)/C171</f>
        <v>9.023091247672272E-3</v>
      </c>
      <c r="P171" s="553">
        <f>-'Progetto del paramento slu'!$G$47*'Progetto del paramento slu'!$G$41*IF(DATI!$G$218="dx",DATI!$E$61,DATI!$E$64*DATI!$E$63)*1000*C171*sezione!$AD$5</f>
        <v>-1024288.623815966</v>
      </c>
      <c r="Q171" s="553">
        <f>'Foglio deposito bis'!$F$48*IF(ABS(K171)&lt;'Progetto del paramento slu'!$G$58,ABS(K171)*'Progetto del paramento slu'!$G$54,'Progetto del paramento slu'!$G$53)*IF(K171&lt;0,-1,1)</f>
        <v>0</v>
      </c>
      <c r="R171" s="553">
        <f>'Foglio deposito bis'!$F$49*IF(ABS(L171)&lt;'Progetto del paramento slu'!$G$58,ABS(L171)*'Progetto del paramento slu'!$G$54,'Progetto del paramento slu'!$G$53)*IF(L171&lt;0,-1,1)</f>
        <v>204886.47740803001</v>
      </c>
      <c r="S171" s="553">
        <f>'Foglio deposito bis'!$F$50*IF(ABS(M171)&lt;'Progetto del paramento slu'!$G$58,ABS(M171)*'Progetto del paramento slu'!$G$54,'Progetto del paramento slu'!$G$53)*IF(M171&lt;0,-1,1)</f>
        <v>0</v>
      </c>
      <c r="T171" s="553">
        <f>'Foglio deposito bis'!$F$51*IF(ABS(N171)&lt;'Progetto del paramento slu'!$G$58,ABS(N171)*'Progetto del paramento slu'!$G$54,'Progetto del paramento slu'!$G$53)*IF(N171&lt;0,-1,1)</f>
        <v>240946.49743184328</v>
      </c>
      <c r="U171" s="553">
        <f>'Foglio deposito bis'!$F$52*IF(ABS(O171)&lt;'Progetto del paramento slu'!$G$58,ABS(O171)*'Progetto del paramento slu'!$G$54,'Progetto del paramento slu'!$G$53)*IF(O171&lt;0,-1,1)</f>
        <v>240946.49743184328</v>
      </c>
      <c r="V171" s="479">
        <f t="shared" si="15"/>
        <v>-337509.15154424938</v>
      </c>
      <c r="W171" s="559"/>
      <c r="X171" s="559"/>
    </row>
    <row r="172" spans="1:24" x14ac:dyDescent="0.25">
      <c r="A172" s="553">
        <f t="shared" si="14"/>
        <v>348953.7171734781</v>
      </c>
      <c r="B172" s="3">
        <f t="shared" si="12"/>
        <v>18.099999999999959</v>
      </c>
      <c r="C172" s="553">
        <f>'Foglio deposito bis'!$E$153/$B$247*B172</f>
        <v>73.477672530446441</v>
      </c>
      <c r="D172" s="611">
        <f>-'Progetto del paramento slu'!$G$47*'Progetto del paramento slu'!$G$41*IF(DATI!$G$218="dx",DATI!$E$61,DATI!$E$64*DATI!$E$63)*1000*C172^2*sezione!$AD$5*(1-sezione!$AD$6)</f>
        <v>-44444306.247813821</v>
      </c>
      <c r="E172" s="553">
        <f>-'Foglio deposito bis'!$F$48*(C172-sezione!$AL$27)*IF(ABS(K172)&lt;'Progetto del paramento slu'!$G$58,ABS(K172)*'Progetto del paramento slu'!$G$54,'Progetto del paramento slu'!$G$53)</f>
        <v>0</v>
      </c>
      <c r="F172" s="553">
        <f>-'Foglio deposito bis'!$F$49*(C172-sezione!$AM$27)*IF(ABS(L172)&lt;'Progetto del paramento slu'!$G$58,ABS(L172)*'Progetto del paramento slu'!$G$54,'Progetto del paramento slu'!$G$53)</f>
        <v>15678390.118300559</v>
      </c>
      <c r="G172" s="553">
        <f>-'Foglio deposito bis'!$F$50*(C172-sezione!$AN$27)*IF(ABS(M172)&lt;'Progetto del paramento slu'!$G$58,ABS(M172)*'Progetto del paramento slu'!$G$54,'Progetto del paramento slu'!$G$53)</f>
        <v>0</v>
      </c>
      <c r="H172" s="553">
        <f>-'Foglio deposito bis'!$F$51*(C172-sezione!$AO$27)*IF(ABS(N172)&lt;'Progetto del paramento slu'!$G$58,ABS(N172)*'Progetto del paramento slu'!$G$54,'Progetto del paramento slu'!$G$53)</f>
        <v>64217621.291171677</v>
      </c>
      <c r="I172" s="479">
        <f>-'Foglio deposito bis'!$F$52*(C172-sezione!$AP$27)*IF(ABS(O172)&lt;'Progetto del paramento slu'!$G$58,ABS(O172)*'Progetto del paramento slu'!$G$54,'Progetto del paramento slu'!$G$53)</f>
        <v>44941901.496624209</v>
      </c>
      <c r="J172" s="479">
        <f t="shared" si="13"/>
        <v>80393606.658282623</v>
      </c>
      <c r="K172" s="558">
        <f>'Progetto del paramento slu'!$G$60*(sezione!$AL$27-C172)/C172</f>
        <v>-1.5946593001841594E-3</v>
      </c>
      <c r="L172" s="558">
        <f>'Progetto del paramento slu'!$G$60*(sezione!$AM$27-C172)/C172</f>
        <v>3.6450276243094031E-3</v>
      </c>
      <c r="M172" s="559">
        <f>'Progetto del paramento slu'!$G$60*(sezione!$AN$27-C172)/C172</f>
        <v>8.884714548802965E-3</v>
      </c>
      <c r="N172" s="559">
        <f>'Progetto del paramento slu'!$G$60*(sezione!$AO$27-C172)/C172</f>
        <v>1.2695395948434647E-2</v>
      </c>
      <c r="O172" s="559">
        <f>'Progetto del paramento slu'!$G$60*(sezione!$AP$27-C172)/C172</f>
        <v>8.884714548802965E-3</v>
      </c>
      <c r="P172" s="553">
        <f>-'Progetto del paramento slu'!$G$47*'Progetto del paramento slu'!$G$41*IF(DATI!$G$218="dx",DATI!$E$61,DATI!$E$64*DATI!$E$63)*1000*C172*sezione!$AD$5</f>
        <v>-1035733.1894451948</v>
      </c>
      <c r="Q172" s="553">
        <f>'Foglio deposito bis'!$F$48*IF(ABS(K172)&lt;'Progetto del paramento slu'!$G$58,ABS(K172)*'Progetto del paramento slu'!$G$54,'Progetto del paramento slu'!$G$53)*IF(K172&lt;0,-1,1)</f>
        <v>0</v>
      </c>
      <c r="R172" s="553">
        <f>'Foglio deposito bis'!$F$49*IF(ABS(L172)&lt;'Progetto del paramento slu'!$G$58,ABS(L172)*'Progetto del paramento slu'!$G$54,'Progetto del paramento slu'!$G$53)*IF(L172&lt;0,-1,1)</f>
        <v>204886.47740803001</v>
      </c>
      <c r="S172" s="553">
        <f>'Foglio deposito bis'!$F$50*IF(ABS(M172)&lt;'Progetto del paramento slu'!$G$58,ABS(M172)*'Progetto del paramento slu'!$G$54,'Progetto del paramento slu'!$G$53)*IF(M172&lt;0,-1,1)</f>
        <v>0</v>
      </c>
      <c r="T172" s="553">
        <f>'Foglio deposito bis'!$F$51*IF(ABS(N172)&lt;'Progetto del paramento slu'!$G$58,ABS(N172)*'Progetto del paramento slu'!$G$54,'Progetto del paramento slu'!$G$53)*IF(N172&lt;0,-1,1)</f>
        <v>240946.49743184328</v>
      </c>
      <c r="U172" s="553">
        <f>'Foglio deposito bis'!$F$52*IF(ABS(O172)&lt;'Progetto del paramento slu'!$G$58,ABS(O172)*'Progetto del paramento slu'!$G$54,'Progetto del paramento slu'!$G$53)*IF(O172&lt;0,-1,1)</f>
        <v>240946.49743184328</v>
      </c>
      <c r="V172" s="479">
        <f t="shared" si="15"/>
        <v>-348953.7171734781</v>
      </c>
      <c r="W172" s="559"/>
      <c r="X172" s="559"/>
    </row>
    <row r="173" spans="1:24" x14ac:dyDescent="0.25">
      <c r="A173" s="553">
        <f t="shared" si="14"/>
        <v>360398.28280270682</v>
      </c>
      <c r="B173" s="3">
        <f t="shared" ref="B173:B196" si="16">B172+0.2</f>
        <v>18.299999999999958</v>
      </c>
      <c r="C173" s="553">
        <f>'Foglio deposito bis'!$E$153/$B$247*B173</f>
        <v>74.289580514208282</v>
      </c>
      <c r="D173" s="611">
        <f>-'Progetto del paramento slu'!$G$47*'Progetto del paramento slu'!$G$41*IF(DATI!$G$218="dx",DATI!$E$61,DATI!$E$64*DATI!$E$63)*1000*C173^2*sezione!$AD$5*(1-sezione!$AD$6)</f>
        <v>-45431927.350600936</v>
      </c>
      <c r="E173" s="553">
        <f>-'Foglio deposito bis'!$F$48*(C173-sezione!$AL$27)*IF(ABS(K173)&lt;'Progetto del paramento slu'!$G$58,ABS(K173)*'Progetto del paramento slu'!$G$54,'Progetto del paramento slu'!$G$53)</f>
        <v>0</v>
      </c>
      <c r="F173" s="553">
        <f>-'Foglio deposito bis'!$F$49*(C173-sezione!$AM$27)*IF(ABS(L173)&lt;'Progetto del paramento slu'!$G$58,ABS(L173)*'Progetto del paramento slu'!$G$54,'Progetto del paramento slu'!$G$53)</f>
        <v>15512041.151528141</v>
      </c>
      <c r="G173" s="553">
        <f>-'Foglio deposito bis'!$F$50*(C173-sezione!$AN$27)*IF(ABS(M173)&lt;'Progetto del paramento slu'!$G$58,ABS(M173)*'Progetto del paramento slu'!$G$54,'Progetto del paramento slu'!$G$53)</f>
        <v>0</v>
      </c>
      <c r="H173" s="553">
        <f>-'Foglio deposito bis'!$F$51*(C173-sezione!$AO$27)*IF(ABS(N173)&lt;'Progetto del paramento slu'!$G$58,ABS(N173)*'Progetto del paramento slu'!$G$54,'Progetto del paramento slu'!$G$53)</f>
        <v>64021994.90624731</v>
      </c>
      <c r="I173" s="479">
        <f>-'Foglio deposito bis'!$F$52*(C173-sezione!$AP$27)*IF(ABS(O173)&lt;'Progetto del paramento slu'!$G$58,ABS(O173)*'Progetto del paramento slu'!$G$54,'Progetto del paramento slu'!$G$53)</f>
        <v>44746275.111699849</v>
      </c>
      <c r="J173" s="479">
        <f t="shared" si="13"/>
        <v>78848383.818874359</v>
      </c>
      <c r="K173" s="558">
        <f>'Progetto del paramento slu'!$G$60*(sezione!$AL$27-C173)/C173</f>
        <v>-1.6154826958105618E-3</v>
      </c>
      <c r="L173" s="558">
        <f>'Progetto del paramento slu'!$G$60*(sezione!$AM$27-C173)/C173</f>
        <v>3.5669398907103925E-3</v>
      </c>
      <c r="M173" s="559">
        <f>'Progetto del paramento slu'!$G$60*(sezione!$AN$27-C173)/C173</f>
        <v>8.7493624772313466E-3</v>
      </c>
      <c r="N173" s="559">
        <f>'Progetto del paramento slu'!$G$60*(sezione!$AO$27-C173)/C173</f>
        <v>1.2518397085610223E-2</v>
      </c>
      <c r="O173" s="559">
        <f>'Progetto del paramento slu'!$G$60*(sezione!$AP$27-C173)/C173</f>
        <v>8.7493624772313466E-3</v>
      </c>
      <c r="P173" s="553">
        <f>-'Progetto del paramento slu'!$G$47*'Progetto del paramento slu'!$G$41*IF(DATI!$G$218="dx",DATI!$E$61,DATI!$E$64*DATI!$E$63)*1000*C173*sezione!$AD$5</f>
        <v>-1047177.7550744234</v>
      </c>
      <c r="Q173" s="553">
        <f>'Foglio deposito bis'!$F$48*IF(ABS(K173)&lt;'Progetto del paramento slu'!$G$58,ABS(K173)*'Progetto del paramento slu'!$G$54,'Progetto del paramento slu'!$G$53)*IF(K173&lt;0,-1,1)</f>
        <v>0</v>
      </c>
      <c r="R173" s="553">
        <f>'Foglio deposito bis'!$F$49*IF(ABS(L173)&lt;'Progetto del paramento slu'!$G$58,ABS(L173)*'Progetto del paramento slu'!$G$54,'Progetto del paramento slu'!$G$53)*IF(L173&lt;0,-1,1)</f>
        <v>204886.47740803001</v>
      </c>
      <c r="S173" s="553">
        <f>'Foglio deposito bis'!$F$50*IF(ABS(M173)&lt;'Progetto del paramento slu'!$G$58,ABS(M173)*'Progetto del paramento slu'!$G$54,'Progetto del paramento slu'!$G$53)*IF(M173&lt;0,-1,1)</f>
        <v>0</v>
      </c>
      <c r="T173" s="553">
        <f>'Foglio deposito bis'!$F$51*IF(ABS(N173)&lt;'Progetto del paramento slu'!$G$58,ABS(N173)*'Progetto del paramento slu'!$G$54,'Progetto del paramento slu'!$G$53)*IF(N173&lt;0,-1,1)</f>
        <v>240946.49743184328</v>
      </c>
      <c r="U173" s="553">
        <f>'Foglio deposito bis'!$F$52*IF(ABS(O173)&lt;'Progetto del paramento slu'!$G$58,ABS(O173)*'Progetto del paramento slu'!$G$54,'Progetto del paramento slu'!$G$53)*IF(O173&lt;0,-1,1)</f>
        <v>240946.49743184328</v>
      </c>
      <c r="V173" s="479">
        <f t="shared" si="15"/>
        <v>-360398.28280270682</v>
      </c>
      <c r="W173" s="559"/>
      <c r="X173" s="559"/>
    </row>
    <row r="174" spans="1:24" x14ac:dyDescent="0.25">
      <c r="A174" s="553">
        <f t="shared" si="14"/>
        <v>371842.84843193507</v>
      </c>
      <c r="B174" s="3">
        <f t="shared" si="16"/>
        <v>18.499999999999957</v>
      </c>
      <c r="C174" s="553">
        <f>'Foglio deposito bis'!$E$153/$B$247*B174</f>
        <v>75.101488497970109</v>
      </c>
      <c r="D174" s="611">
        <f>-'Progetto del paramento slu'!$G$47*'Progetto del paramento slu'!$G$41*IF(DATI!$G$218="dx",DATI!$E$61,DATI!$E$64*DATI!$E$63)*1000*C174^2*sezione!$AD$5*(1-sezione!$AD$6)</f>
        <v>-46430401.432539538</v>
      </c>
      <c r="E174" s="553">
        <f>-'Foglio deposito bis'!$F$48*(C174-sezione!$AL$27)*IF(ABS(K174)&lt;'Progetto del paramento slu'!$G$58,ABS(K174)*'Progetto del paramento slu'!$G$54,'Progetto del paramento slu'!$G$53)</f>
        <v>0</v>
      </c>
      <c r="F174" s="553">
        <f>-'Foglio deposito bis'!$F$49*(C174-sezione!$AM$27)*IF(ABS(L174)&lt;'Progetto del paramento slu'!$G$58,ABS(L174)*'Progetto del paramento slu'!$G$54,'Progetto del paramento slu'!$G$53)</f>
        <v>15345692.184755722</v>
      </c>
      <c r="G174" s="553">
        <f>-'Foglio deposito bis'!$F$50*(C174-sezione!$AN$27)*IF(ABS(M174)&lt;'Progetto del paramento slu'!$G$58,ABS(M174)*'Progetto del paramento slu'!$G$54,'Progetto del paramento slu'!$G$53)</f>
        <v>0</v>
      </c>
      <c r="H174" s="553">
        <f>-'Foglio deposito bis'!$F$51*(C174-sezione!$AO$27)*IF(ABS(N174)&lt;'Progetto del paramento slu'!$G$58,ABS(N174)*'Progetto del paramento slu'!$G$54,'Progetto del paramento slu'!$G$53)</f>
        <v>63826368.521322958</v>
      </c>
      <c r="I174" s="479">
        <f>-'Foglio deposito bis'!$F$52*(C174-sezione!$AP$27)*IF(ABS(O174)&lt;'Progetto del paramento slu'!$G$58,ABS(O174)*'Progetto del paramento slu'!$G$54,'Progetto del paramento slu'!$G$53)</f>
        <v>44550648.72677549</v>
      </c>
      <c r="J174" s="479">
        <f t="shared" si="13"/>
        <v>77292308.000314623</v>
      </c>
      <c r="K174" s="558">
        <f>'Progetto del paramento slu'!$G$60*(sezione!$AL$27-C174)/C174</f>
        <v>-1.6358558558558531E-3</v>
      </c>
      <c r="L174" s="558">
        <f>'Progetto del paramento slu'!$G$60*(sezione!$AM$27-C174)/C174</f>
        <v>3.4905405405405519E-3</v>
      </c>
      <c r="M174" s="559">
        <f>'Progetto del paramento slu'!$G$60*(sezione!$AN$27-C174)/C174</f>
        <v>8.6169369369369555E-3</v>
      </c>
      <c r="N174" s="559">
        <f>'Progetto del paramento slu'!$G$60*(sezione!$AO$27-C174)/C174</f>
        <v>1.2345225225225251E-2</v>
      </c>
      <c r="O174" s="559">
        <f>'Progetto del paramento slu'!$G$60*(sezione!$AP$27-C174)/C174</f>
        <v>8.6169369369369555E-3</v>
      </c>
      <c r="P174" s="553">
        <f>-'Progetto del paramento slu'!$G$47*'Progetto del paramento slu'!$G$41*IF(DATI!$G$218="dx",DATI!$E$61,DATI!$E$64*DATI!$E$63)*1000*C174*sezione!$AD$5</f>
        <v>-1058622.3207036518</v>
      </c>
      <c r="Q174" s="553">
        <f>'Foglio deposito bis'!$F$48*IF(ABS(K174)&lt;'Progetto del paramento slu'!$G$58,ABS(K174)*'Progetto del paramento slu'!$G$54,'Progetto del paramento slu'!$G$53)*IF(K174&lt;0,-1,1)</f>
        <v>0</v>
      </c>
      <c r="R174" s="553">
        <f>'Foglio deposito bis'!$F$49*IF(ABS(L174)&lt;'Progetto del paramento slu'!$G$58,ABS(L174)*'Progetto del paramento slu'!$G$54,'Progetto del paramento slu'!$G$53)*IF(L174&lt;0,-1,1)</f>
        <v>204886.47740803001</v>
      </c>
      <c r="S174" s="553">
        <f>'Foglio deposito bis'!$F$50*IF(ABS(M174)&lt;'Progetto del paramento slu'!$G$58,ABS(M174)*'Progetto del paramento slu'!$G$54,'Progetto del paramento slu'!$G$53)*IF(M174&lt;0,-1,1)</f>
        <v>0</v>
      </c>
      <c r="T174" s="553">
        <f>'Foglio deposito bis'!$F$51*IF(ABS(N174)&lt;'Progetto del paramento slu'!$G$58,ABS(N174)*'Progetto del paramento slu'!$G$54,'Progetto del paramento slu'!$G$53)*IF(N174&lt;0,-1,1)</f>
        <v>240946.49743184328</v>
      </c>
      <c r="U174" s="553">
        <f>'Foglio deposito bis'!$F$52*IF(ABS(O174)&lt;'Progetto del paramento slu'!$G$58,ABS(O174)*'Progetto del paramento slu'!$G$54,'Progetto del paramento slu'!$G$53)*IF(O174&lt;0,-1,1)</f>
        <v>240946.49743184328</v>
      </c>
      <c r="V174" s="479">
        <f t="shared" si="15"/>
        <v>-371842.84843193507</v>
      </c>
      <c r="W174" s="559"/>
      <c r="X174" s="559"/>
    </row>
    <row r="175" spans="1:24" x14ac:dyDescent="0.25">
      <c r="A175" s="553">
        <f t="shared" si="14"/>
        <v>383287.41406116402</v>
      </c>
      <c r="B175" s="3">
        <f t="shared" si="16"/>
        <v>18.699999999999957</v>
      </c>
      <c r="C175" s="553">
        <f>'Foglio deposito bis'!$E$153/$B$247*B175</f>
        <v>75.913396481731951</v>
      </c>
      <c r="D175" s="611">
        <f>-'Progetto del paramento slu'!$G$47*'Progetto del paramento slu'!$G$41*IF(DATI!$G$218="dx",DATI!$E$61,DATI!$E$64*DATI!$E$63)*1000*C175^2*sezione!$AD$5*(1-sezione!$AD$6)</f>
        <v>-47439728.493629657</v>
      </c>
      <c r="E175" s="553">
        <f>-'Foglio deposito bis'!$F$48*(C175-sezione!$AL$27)*IF(ABS(K175)&lt;'Progetto del paramento slu'!$G$58,ABS(K175)*'Progetto del paramento slu'!$G$54,'Progetto del paramento slu'!$G$53)</f>
        <v>0</v>
      </c>
      <c r="F175" s="553">
        <f>-'Foglio deposito bis'!$F$49*(C175-sezione!$AM$27)*IF(ABS(L175)&lt;'Progetto del paramento slu'!$G$58,ABS(L175)*'Progetto del paramento slu'!$G$54,'Progetto del paramento slu'!$G$53)</f>
        <v>15179343.217983302</v>
      </c>
      <c r="G175" s="553">
        <f>-'Foglio deposito bis'!$F$50*(C175-sezione!$AN$27)*IF(ABS(M175)&lt;'Progetto del paramento slu'!$G$58,ABS(M175)*'Progetto del paramento slu'!$G$54,'Progetto del paramento slu'!$G$53)</f>
        <v>0</v>
      </c>
      <c r="H175" s="553">
        <f>-'Foglio deposito bis'!$F$51*(C175-sezione!$AO$27)*IF(ABS(N175)&lt;'Progetto del paramento slu'!$G$58,ABS(N175)*'Progetto del paramento slu'!$G$54,'Progetto del paramento slu'!$G$53)</f>
        <v>63630742.136398576</v>
      </c>
      <c r="I175" s="479">
        <f>-'Foglio deposito bis'!$F$52*(C175-sezione!$AP$27)*IF(ABS(O175)&lt;'Progetto del paramento slu'!$G$58,ABS(O175)*'Progetto del paramento slu'!$G$54,'Progetto del paramento slu'!$G$53)</f>
        <v>44355022.341851123</v>
      </c>
      <c r="J175" s="479">
        <f t="shared" si="13"/>
        <v>75725379.20260334</v>
      </c>
      <c r="K175" s="558">
        <f>'Progetto del paramento slu'!$G$60*(sezione!$AL$27-C175)/C175</f>
        <v>-1.6557932263814587E-3</v>
      </c>
      <c r="L175" s="558">
        <f>'Progetto del paramento slu'!$G$60*(sezione!$AM$27-C175)/C175</f>
        <v>3.4157754010695294E-3</v>
      </c>
      <c r="M175" s="559">
        <f>'Progetto del paramento slu'!$G$60*(sezione!$AN$27-C175)/C175</f>
        <v>8.4873440285205184E-3</v>
      </c>
      <c r="N175" s="559">
        <f>'Progetto del paramento slu'!$G$60*(sezione!$AO$27-C175)/C175</f>
        <v>1.21757575757576E-2</v>
      </c>
      <c r="O175" s="559">
        <f>'Progetto del paramento slu'!$G$60*(sezione!$AP$27-C175)/C175</f>
        <v>8.4873440285205184E-3</v>
      </c>
      <c r="P175" s="553">
        <f>-'Progetto del paramento slu'!$G$47*'Progetto del paramento slu'!$G$41*IF(DATI!$G$218="dx",DATI!$E$61,DATI!$E$64*DATI!$E$63)*1000*C175*sezione!$AD$5</f>
        <v>-1070066.8863328807</v>
      </c>
      <c r="Q175" s="553">
        <f>'Foglio deposito bis'!$F$48*IF(ABS(K175)&lt;'Progetto del paramento slu'!$G$58,ABS(K175)*'Progetto del paramento slu'!$G$54,'Progetto del paramento slu'!$G$53)*IF(K175&lt;0,-1,1)</f>
        <v>0</v>
      </c>
      <c r="R175" s="553">
        <f>'Foglio deposito bis'!$F$49*IF(ABS(L175)&lt;'Progetto del paramento slu'!$G$58,ABS(L175)*'Progetto del paramento slu'!$G$54,'Progetto del paramento slu'!$G$53)*IF(L175&lt;0,-1,1)</f>
        <v>204886.47740803001</v>
      </c>
      <c r="S175" s="553">
        <f>'Foglio deposito bis'!$F$50*IF(ABS(M175)&lt;'Progetto del paramento slu'!$G$58,ABS(M175)*'Progetto del paramento slu'!$G$54,'Progetto del paramento slu'!$G$53)*IF(M175&lt;0,-1,1)</f>
        <v>0</v>
      </c>
      <c r="T175" s="553">
        <f>'Foglio deposito bis'!$F$51*IF(ABS(N175)&lt;'Progetto del paramento slu'!$G$58,ABS(N175)*'Progetto del paramento slu'!$G$54,'Progetto del paramento slu'!$G$53)*IF(N175&lt;0,-1,1)</f>
        <v>240946.49743184328</v>
      </c>
      <c r="U175" s="553">
        <f>'Foglio deposito bis'!$F$52*IF(ABS(O175)&lt;'Progetto del paramento slu'!$G$58,ABS(O175)*'Progetto del paramento slu'!$G$54,'Progetto del paramento slu'!$G$53)*IF(O175&lt;0,-1,1)</f>
        <v>240946.49743184328</v>
      </c>
      <c r="V175" s="479">
        <f t="shared" si="15"/>
        <v>-383287.41406116402</v>
      </c>
      <c r="W175" s="559"/>
      <c r="X175" s="559"/>
    </row>
    <row r="176" spans="1:24" x14ac:dyDescent="0.25">
      <c r="A176" s="553">
        <f t="shared" si="14"/>
        <v>394731.9796903925</v>
      </c>
      <c r="B176" s="3">
        <f t="shared" si="16"/>
        <v>18.899999999999956</v>
      </c>
      <c r="C176" s="553">
        <f>'Foglio deposito bis'!$E$153/$B$247*B176</f>
        <v>76.725304465493792</v>
      </c>
      <c r="D176" s="611">
        <f>-'Progetto del paramento slu'!$G$47*'Progetto del paramento slu'!$G$41*IF(DATI!$G$218="dx",DATI!$E$61,DATI!$E$64*DATI!$E$63)*1000*C176^2*sezione!$AD$5*(1-sezione!$AD$6)</f>
        <v>-48459908.533871286</v>
      </c>
      <c r="E176" s="553">
        <f>-'Foglio deposito bis'!$F$48*(C176-sezione!$AL$27)*IF(ABS(K176)&lt;'Progetto del paramento slu'!$G$58,ABS(K176)*'Progetto del paramento slu'!$G$54,'Progetto del paramento slu'!$G$53)</f>
        <v>0</v>
      </c>
      <c r="F176" s="553">
        <f>-'Foglio deposito bis'!$F$49*(C176-sezione!$AM$27)*IF(ABS(L176)&lt;'Progetto del paramento slu'!$G$58,ABS(L176)*'Progetto del paramento slu'!$G$54,'Progetto del paramento slu'!$G$53)</f>
        <v>15012994.251210883</v>
      </c>
      <c r="G176" s="553">
        <f>-'Foglio deposito bis'!$F$50*(C176-sezione!$AN$27)*IF(ABS(M176)&lt;'Progetto del paramento slu'!$G$58,ABS(M176)*'Progetto del paramento slu'!$G$54,'Progetto del paramento slu'!$G$53)</f>
        <v>0</v>
      </c>
      <c r="H176" s="553">
        <f>-'Foglio deposito bis'!$F$51*(C176-sezione!$AO$27)*IF(ABS(N176)&lt;'Progetto del paramento slu'!$G$58,ABS(N176)*'Progetto del paramento slu'!$G$54,'Progetto del paramento slu'!$G$53)</f>
        <v>63435115.751474231</v>
      </c>
      <c r="I176" s="479">
        <f>-'Foglio deposito bis'!$F$52*(C176-sezione!$AP$27)*IF(ABS(O176)&lt;'Progetto del paramento slu'!$G$58,ABS(O176)*'Progetto del paramento slu'!$G$54,'Progetto del paramento slu'!$G$53)</f>
        <v>44159395.956926756</v>
      </c>
      <c r="J176" s="479">
        <f t="shared" si="13"/>
        <v>74147597.425740585</v>
      </c>
      <c r="K176" s="558">
        <f>'Progetto del paramento slu'!$G$60*(sezione!$AL$27-C176)/C176</f>
        <v>-1.6753086419753057E-3</v>
      </c>
      <c r="L176" s="558">
        <f>'Progetto del paramento slu'!$G$60*(sezione!$AM$27-C176)/C176</f>
        <v>3.3425925925926032E-3</v>
      </c>
      <c r="M176" s="559">
        <f>'Progetto del paramento slu'!$G$60*(sezione!$AN$27-C176)/C176</f>
        <v>8.3604938271605121E-3</v>
      </c>
      <c r="N176" s="559">
        <f>'Progetto del paramento slu'!$G$60*(sezione!$AO$27-C176)/C176</f>
        <v>1.2009876543209903E-2</v>
      </c>
      <c r="O176" s="559">
        <f>'Progetto del paramento slu'!$G$60*(sezione!$AP$27-C176)/C176</f>
        <v>8.3604938271605121E-3</v>
      </c>
      <c r="P176" s="553">
        <f>-'Progetto del paramento slu'!$G$47*'Progetto del paramento slu'!$G$41*IF(DATI!$G$218="dx",DATI!$E$61,DATI!$E$64*DATI!$E$63)*1000*C176*sezione!$AD$5</f>
        <v>-1081511.4519621092</v>
      </c>
      <c r="Q176" s="553">
        <f>'Foglio deposito bis'!$F$48*IF(ABS(K176)&lt;'Progetto del paramento slu'!$G$58,ABS(K176)*'Progetto del paramento slu'!$G$54,'Progetto del paramento slu'!$G$53)*IF(K176&lt;0,-1,1)</f>
        <v>0</v>
      </c>
      <c r="R176" s="553">
        <f>'Foglio deposito bis'!$F$49*IF(ABS(L176)&lt;'Progetto del paramento slu'!$G$58,ABS(L176)*'Progetto del paramento slu'!$G$54,'Progetto del paramento slu'!$G$53)*IF(L176&lt;0,-1,1)</f>
        <v>204886.47740803001</v>
      </c>
      <c r="S176" s="553">
        <f>'Foglio deposito bis'!$F$50*IF(ABS(M176)&lt;'Progetto del paramento slu'!$G$58,ABS(M176)*'Progetto del paramento slu'!$G$54,'Progetto del paramento slu'!$G$53)*IF(M176&lt;0,-1,1)</f>
        <v>0</v>
      </c>
      <c r="T176" s="553">
        <f>'Foglio deposito bis'!$F$51*IF(ABS(N176)&lt;'Progetto del paramento slu'!$G$58,ABS(N176)*'Progetto del paramento slu'!$G$54,'Progetto del paramento slu'!$G$53)*IF(N176&lt;0,-1,1)</f>
        <v>240946.49743184328</v>
      </c>
      <c r="U176" s="553">
        <f>'Foglio deposito bis'!$F$52*IF(ABS(O176)&lt;'Progetto del paramento slu'!$G$58,ABS(O176)*'Progetto del paramento slu'!$G$54,'Progetto del paramento slu'!$G$53)*IF(O176&lt;0,-1,1)</f>
        <v>240946.49743184328</v>
      </c>
      <c r="V176" s="479">
        <f t="shared" si="15"/>
        <v>-394731.9796903925</v>
      </c>
      <c r="W176" s="559"/>
      <c r="X176" s="559"/>
    </row>
    <row r="177" spans="1:24" x14ac:dyDescent="0.25">
      <c r="A177" s="553">
        <f t="shared" si="14"/>
        <v>406176.54531962122</v>
      </c>
      <c r="B177" s="3">
        <f t="shared" si="16"/>
        <v>19.099999999999955</v>
      </c>
      <c r="C177" s="553">
        <f>'Foglio deposito bis'!$E$153/$B$247*B177</f>
        <v>77.537212449255634</v>
      </c>
      <c r="D177" s="611">
        <f>-'Progetto del paramento slu'!$G$47*'Progetto del paramento slu'!$G$41*IF(DATI!$G$218="dx",DATI!$E$61,DATI!$E$64*DATI!$E$63)*1000*C177^2*sezione!$AD$5*(1-sezione!$AD$6)</f>
        <v>-49490941.553264424</v>
      </c>
      <c r="E177" s="553">
        <f>-'Foglio deposito bis'!$F$48*(C177-sezione!$AL$27)*IF(ABS(K177)&lt;'Progetto del paramento slu'!$G$58,ABS(K177)*'Progetto del paramento slu'!$G$54,'Progetto del paramento slu'!$G$53)</f>
        <v>0</v>
      </c>
      <c r="F177" s="553">
        <f>-'Foglio deposito bis'!$F$49*(C177-sezione!$AM$27)*IF(ABS(L177)&lt;'Progetto del paramento slu'!$G$58,ABS(L177)*'Progetto del paramento slu'!$G$54,'Progetto del paramento slu'!$G$53)</f>
        <v>14846645.284438463</v>
      </c>
      <c r="G177" s="553">
        <f>-'Foglio deposito bis'!$F$50*(C177-sezione!$AN$27)*IF(ABS(M177)&lt;'Progetto del paramento slu'!$G$58,ABS(M177)*'Progetto del paramento slu'!$G$54,'Progetto del paramento slu'!$G$53)</f>
        <v>0</v>
      </c>
      <c r="H177" s="553">
        <f>-'Foglio deposito bis'!$F$51*(C177-sezione!$AO$27)*IF(ABS(N177)&lt;'Progetto del paramento slu'!$G$58,ABS(N177)*'Progetto del paramento slu'!$G$54,'Progetto del paramento slu'!$G$53)</f>
        <v>63239489.36654985</v>
      </c>
      <c r="I177" s="479">
        <f>-'Foglio deposito bis'!$F$52*(C177-sezione!$AP$27)*IF(ABS(O177)&lt;'Progetto del paramento slu'!$G$58,ABS(O177)*'Progetto del paramento slu'!$G$54,'Progetto del paramento slu'!$G$53)</f>
        <v>43963769.572002389</v>
      </c>
      <c r="J177" s="479">
        <f t="shared" si="13"/>
        <v>72558962.669726282</v>
      </c>
      <c r="K177" s="558">
        <f>'Progetto del paramento slu'!$G$60*(sezione!$AL$27-C177)/C177</f>
        <v>-1.6944153577661404E-3</v>
      </c>
      <c r="L177" s="558">
        <f>'Progetto del paramento slu'!$G$60*(sezione!$AM$27-C177)/C177</f>
        <v>3.2709424083769739E-3</v>
      </c>
      <c r="M177" s="559">
        <f>'Progetto del paramento slu'!$G$60*(sezione!$AN$27-C177)/C177</f>
        <v>8.2363001745200878E-3</v>
      </c>
      <c r="N177" s="559">
        <f>'Progetto del paramento slu'!$G$60*(sezione!$AO$27-C177)/C177</f>
        <v>1.1847469458987805E-2</v>
      </c>
      <c r="O177" s="559">
        <f>'Progetto del paramento slu'!$G$60*(sezione!$AP$27-C177)/C177</f>
        <v>8.2363001745200878E-3</v>
      </c>
      <c r="P177" s="553">
        <f>-'Progetto del paramento slu'!$G$47*'Progetto del paramento slu'!$G$41*IF(DATI!$G$218="dx",DATI!$E$61,DATI!$E$64*DATI!$E$63)*1000*C177*sezione!$AD$5</f>
        <v>-1092956.0175913379</v>
      </c>
      <c r="Q177" s="553">
        <f>'Foglio deposito bis'!$F$48*IF(ABS(K177)&lt;'Progetto del paramento slu'!$G$58,ABS(K177)*'Progetto del paramento slu'!$G$54,'Progetto del paramento slu'!$G$53)*IF(K177&lt;0,-1,1)</f>
        <v>0</v>
      </c>
      <c r="R177" s="553">
        <f>'Foglio deposito bis'!$F$49*IF(ABS(L177)&lt;'Progetto del paramento slu'!$G$58,ABS(L177)*'Progetto del paramento slu'!$G$54,'Progetto del paramento slu'!$G$53)*IF(L177&lt;0,-1,1)</f>
        <v>204886.47740803001</v>
      </c>
      <c r="S177" s="553">
        <f>'Foglio deposito bis'!$F$50*IF(ABS(M177)&lt;'Progetto del paramento slu'!$G$58,ABS(M177)*'Progetto del paramento slu'!$G$54,'Progetto del paramento slu'!$G$53)*IF(M177&lt;0,-1,1)</f>
        <v>0</v>
      </c>
      <c r="T177" s="553">
        <f>'Foglio deposito bis'!$F$51*IF(ABS(N177)&lt;'Progetto del paramento slu'!$G$58,ABS(N177)*'Progetto del paramento slu'!$G$54,'Progetto del paramento slu'!$G$53)*IF(N177&lt;0,-1,1)</f>
        <v>240946.49743184328</v>
      </c>
      <c r="U177" s="553">
        <f>'Foglio deposito bis'!$F$52*IF(ABS(O177)&lt;'Progetto del paramento slu'!$G$58,ABS(O177)*'Progetto del paramento slu'!$G$54,'Progetto del paramento slu'!$G$53)*IF(O177&lt;0,-1,1)</f>
        <v>240946.49743184328</v>
      </c>
      <c r="V177" s="479">
        <f t="shared" si="15"/>
        <v>-406176.54531962122</v>
      </c>
      <c r="W177" s="559"/>
      <c r="X177" s="559"/>
    </row>
    <row r="178" spans="1:24" x14ac:dyDescent="0.25">
      <c r="A178" s="553">
        <f t="shared" si="14"/>
        <v>417621.11094884994</v>
      </c>
      <c r="B178" s="3">
        <f t="shared" si="16"/>
        <v>19.299999999999955</v>
      </c>
      <c r="C178" s="553">
        <f>'Foglio deposito bis'!$E$153/$B$247*B178</f>
        <v>78.349120433017461</v>
      </c>
      <c r="D178" s="611">
        <f>-'Progetto del paramento slu'!$G$47*'Progetto del paramento slu'!$G$41*IF(DATI!$G$218="dx",DATI!$E$61,DATI!$E$64*DATI!$E$63)*1000*C178^2*sezione!$AD$5*(1-sezione!$AD$6)</f>
        <v>-50532827.55180905</v>
      </c>
      <c r="E178" s="553">
        <f>-'Foglio deposito bis'!$F$48*(C178-sezione!$AL$27)*IF(ABS(K178)&lt;'Progetto del paramento slu'!$G$58,ABS(K178)*'Progetto del paramento slu'!$G$54,'Progetto del paramento slu'!$G$53)</f>
        <v>0</v>
      </c>
      <c r="F178" s="553">
        <f>-'Foglio deposito bis'!$F$49*(C178-sezione!$AM$27)*IF(ABS(L178)&lt;'Progetto del paramento slu'!$G$58,ABS(L178)*'Progetto del paramento slu'!$G$54,'Progetto del paramento slu'!$G$53)</f>
        <v>14680296.317666048</v>
      </c>
      <c r="G178" s="553">
        <f>-'Foglio deposito bis'!$F$50*(C178-sezione!$AN$27)*IF(ABS(M178)&lt;'Progetto del paramento slu'!$G$58,ABS(M178)*'Progetto del paramento slu'!$G$54,'Progetto del paramento slu'!$G$53)</f>
        <v>0</v>
      </c>
      <c r="H178" s="553">
        <f>-'Foglio deposito bis'!$F$51*(C178-sezione!$AO$27)*IF(ABS(N178)&lt;'Progetto del paramento slu'!$G$58,ABS(N178)*'Progetto del paramento slu'!$G$54,'Progetto del paramento slu'!$G$53)</f>
        <v>63043862.981625497</v>
      </c>
      <c r="I178" s="479">
        <f>-'Foglio deposito bis'!$F$52*(C178-sezione!$AP$27)*IF(ABS(O178)&lt;'Progetto del paramento slu'!$G$58,ABS(O178)*'Progetto del paramento slu'!$G$54,'Progetto del paramento slu'!$G$53)</f>
        <v>43768143.187078029</v>
      </c>
      <c r="J178" s="479">
        <f t="shared" si="13"/>
        <v>70959474.934560522</v>
      </c>
      <c r="K178" s="558">
        <f>'Progetto del paramento slu'!$G$60*(sezione!$AL$27-C178)/C178</f>
        <v>-1.71312607944732E-3</v>
      </c>
      <c r="L178" s="558">
        <f>'Progetto del paramento slu'!$G$60*(sezione!$AM$27-C178)/C178</f>
        <v>3.2007772020725502E-3</v>
      </c>
      <c r="M178" s="559">
        <f>'Progetto del paramento slu'!$G$60*(sezione!$AN$27-C178)/C178</f>
        <v>8.1146804835924204E-3</v>
      </c>
      <c r="N178" s="559">
        <f>'Progetto del paramento slu'!$G$60*(sezione!$AO$27-C178)/C178</f>
        <v>1.168842832469778E-2</v>
      </c>
      <c r="O178" s="559">
        <f>'Progetto del paramento slu'!$G$60*(sezione!$AP$27-C178)/C178</f>
        <v>8.1146804835924204E-3</v>
      </c>
      <c r="P178" s="553">
        <f>-'Progetto del paramento slu'!$G$47*'Progetto del paramento slu'!$G$41*IF(DATI!$G$218="dx",DATI!$E$61,DATI!$E$64*DATI!$E$63)*1000*C178*sezione!$AD$5</f>
        <v>-1104400.5832205666</v>
      </c>
      <c r="Q178" s="553">
        <f>'Foglio deposito bis'!$F$48*IF(ABS(K178)&lt;'Progetto del paramento slu'!$G$58,ABS(K178)*'Progetto del paramento slu'!$G$54,'Progetto del paramento slu'!$G$53)*IF(K178&lt;0,-1,1)</f>
        <v>0</v>
      </c>
      <c r="R178" s="553">
        <f>'Foglio deposito bis'!$F$49*IF(ABS(L178)&lt;'Progetto del paramento slu'!$G$58,ABS(L178)*'Progetto del paramento slu'!$G$54,'Progetto del paramento slu'!$G$53)*IF(L178&lt;0,-1,1)</f>
        <v>204886.47740803001</v>
      </c>
      <c r="S178" s="553">
        <f>'Foglio deposito bis'!$F$50*IF(ABS(M178)&lt;'Progetto del paramento slu'!$G$58,ABS(M178)*'Progetto del paramento slu'!$G$54,'Progetto del paramento slu'!$G$53)*IF(M178&lt;0,-1,1)</f>
        <v>0</v>
      </c>
      <c r="T178" s="553">
        <f>'Foglio deposito bis'!$F$51*IF(ABS(N178)&lt;'Progetto del paramento slu'!$G$58,ABS(N178)*'Progetto del paramento slu'!$G$54,'Progetto del paramento slu'!$G$53)*IF(N178&lt;0,-1,1)</f>
        <v>240946.49743184328</v>
      </c>
      <c r="U178" s="553">
        <f>'Foglio deposito bis'!$F$52*IF(ABS(O178)&lt;'Progetto del paramento slu'!$G$58,ABS(O178)*'Progetto del paramento slu'!$G$54,'Progetto del paramento slu'!$G$53)*IF(O178&lt;0,-1,1)</f>
        <v>240946.49743184328</v>
      </c>
      <c r="V178" s="479">
        <f t="shared" si="15"/>
        <v>-417621.11094884994</v>
      </c>
      <c r="W178" s="559"/>
      <c r="X178" s="559"/>
    </row>
    <row r="179" spans="1:24" x14ac:dyDescent="0.25">
      <c r="A179" s="553">
        <f t="shared" si="14"/>
        <v>429065.67657807842</v>
      </c>
      <c r="B179" s="3">
        <f t="shared" si="16"/>
        <v>19.499999999999954</v>
      </c>
      <c r="C179" s="553">
        <f>'Foglio deposito bis'!$E$153/$B$247*B179</f>
        <v>79.161028416779303</v>
      </c>
      <c r="D179" s="611">
        <f>-'Progetto del paramento slu'!$G$47*'Progetto del paramento slu'!$G$41*IF(DATI!$G$218="dx",DATI!$E$61,DATI!$E$64*DATI!$E$63)*1000*C179^2*sezione!$AD$5*(1-sezione!$AD$6)</f>
        <v>-51585566.529505208</v>
      </c>
      <c r="E179" s="553">
        <f>-'Foglio deposito bis'!$F$48*(C179-sezione!$AL$27)*IF(ABS(K179)&lt;'Progetto del paramento slu'!$G$58,ABS(K179)*'Progetto del paramento slu'!$G$54,'Progetto del paramento slu'!$G$53)</f>
        <v>0</v>
      </c>
      <c r="F179" s="553">
        <f>-'Foglio deposito bis'!$F$49*(C179-sezione!$AM$27)*IF(ABS(L179)&lt;'Progetto del paramento slu'!$G$58,ABS(L179)*'Progetto del paramento slu'!$G$54,'Progetto del paramento slu'!$G$53)</f>
        <v>14513947.350893628</v>
      </c>
      <c r="G179" s="553">
        <f>-'Foglio deposito bis'!$F$50*(C179-sezione!$AN$27)*IF(ABS(M179)&lt;'Progetto del paramento slu'!$G$58,ABS(M179)*'Progetto del paramento slu'!$G$54,'Progetto del paramento slu'!$G$53)</f>
        <v>0</v>
      </c>
      <c r="H179" s="553">
        <f>-'Foglio deposito bis'!$F$51*(C179-sezione!$AO$27)*IF(ABS(N179)&lt;'Progetto del paramento slu'!$G$58,ABS(N179)*'Progetto del paramento slu'!$G$54,'Progetto del paramento slu'!$G$53)</f>
        <v>62848236.59670113</v>
      </c>
      <c r="I179" s="479">
        <f>-'Foglio deposito bis'!$F$52*(C179-sezione!$AP$27)*IF(ABS(O179)&lt;'Progetto del paramento slu'!$G$58,ABS(O179)*'Progetto del paramento slu'!$G$54,'Progetto del paramento slu'!$G$53)</f>
        <v>43572516.802153669</v>
      </c>
      <c r="J179" s="479">
        <f t="shared" si="13"/>
        <v>69349134.220243216</v>
      </c>
      <c r="K179" s="558">
        <f>'Progetto del paramento slu'!$G$60*(sezione!$AL$27-C179)/C179</f>
        <v>-1.7314529914529886E-3</v>
      </c>
      <c r="L179" s="558">
        <f>'Progetto del paramento slu'!$G$60*(sezione!$AM$27-C179)/C179</f>
        <v>3.1320512820512928E-3</v>
      </c>
      <c r="M179" s="559">
        <f>'Progetto del paramento slu'!$G$60*(sezione!$AN$27-C179)/C179</f>
        <v>7.9955555555555752E-3</v>
      </c>
      <c r="N179" s="559">
        <f>'Progetto del paramento slu'!$G$60*(sezione!$AO$27-C179)/C179</f>
        <v>1.1532649572649599E-2</v>
      </c>
      <c r="O179" s="559">
        <f>'Progetto del paramento slu'!$G$60*(sezione!$AP$27-C179)/C179</f>
        <v>7.9955555555555752E-3</v>
      </c>
      <c r="P179" s="553">
        <f>-'Progetto del paramento slu'!$G$47*'Progetto del paramento slu'!$G$41*IF(DATI!$G$218="dx",DATI!$E$61,DATI!$E$64*DATI!$E$63)*1000*C179*sezione!$AD$5</f>
        <v>-1115845.1488497951</v>
      </c>
      <c r="Q179" s="553">
        <f>'Foglio deposito bis'!$F$48*IF(ABS(K179)&lt;'Progetto del paramento slu'!$G$58,ABS(K179)*'Progetto del paramento slu'!$G$54,'Progetto del paramento slu'!$G$53)*IF(K179&lt;0,-1,1)</f>
        <v>0</v>
      </c>
      <c r="R179" s="553">
        <f>'Foglio deposito bis'!$F$49*IF(ABS(L179)&lt;'Progetto del paramento slu'!$G$58,ABS(L179)*'Progetto del paramento slu'!$G$54,'Progetto del paramento slu'!$G$53)*IF(L179&lt;0,-1,1)</f>
        <v>204886.47740803001</v>
      </c>
      <c r="S179" s="553">
        <f>'Foglio deposito bis'!$F$50*IF(ABS(M179)&lt;'Progetto del paramento slu'!$G$58,ABS(M179)*'Progetto del paramento slu'!$G$54,'Progetto del paramento slu'!$G$53)*IF(M179&lt;0,-1,1)</f>
        <v>0</v>
      </c>
      <c r="T179" s="553">
        <f>'Foglio deposito bis'!$F$51*IF(ABS(N179)&lt;'Progetto del paramento slu'!$G$58,ABS(N179)*'Progetto del paramento slu'!$G$54,'Progetto del paramento slu'!$G$53)*IF(N179&lt;0,-1,1)</f>
        <v>240946.49743184328</v>
      </c>
      <c r="U179" s="553">
        <f>'Foglio deposito bis'!$F$52*IF(ABS(O179)&lt;'Progetto del paramento slu'!$G$58,ABS(O179)*'Progetto del paramento slu'!$G$54,'Progetto del paramento slu'!$G$53)*IF(O179&lt;0,-1,1)</f>
        <v>240946.49743184328</v>
      </c>
      <c r="V179" s="479">
        <f t="shared" si="15"/>
        <v>-429065.67657807842</v>
      </c>
      <c r="W179" s="559"/>
      <c r="X179" s="559"/>
    </row>
    <row r="180" spans="1:24" x14ac:dyDescent="0.25">
      <c r="A180" s="553">
        <f t="shared" si="14"/>
        <v>440510.24220730737</v>
      </c>
      <c r="B180" s="3">
        <f t="shared" si="16"/>
        <v>19.699999999999953</v>
      </c>
      <c r="C180" s="553">
        <f>'Foglio deposito bis'!$E$153/$B$247*B180</f>
        <v>79.972936400541144</v>
      </c>
      <c r="D180" s="611">
        <f>-'Progetto del paramento slu'!$G$47*'Progetto del paramento slu'!$G$41*IF(DATI!$G$218="dx",DATI!$E$61,DATI!$E$64*DATI!$E$63)*1000*C180^2*sezione!$AD$5*(1-sezione!$AD$6)</f>
        <v>-52649158.486352868</v>
      </c>
      <c r="E180" s="553">
        <f>-'Foglio deposito bis'!$F$48*(C180-sezione!$AL$27)*IF(ABS(K180)&lt;'Progetto del paramento slu'!$G$58,ABS(K180)*'Progetto del paramento slu'!$G$54,'Progetto del paramento slu'!$G$53)</f>
        <v>0</v>
      </c>
      <c r="F180" s="553">
        <f>-'Foglio deposito bis'!$F$49*(C180-sezione!$AM$27)*IF(ABS(L180)&lt;'Progetto del paramento slu'!$G$58,ABS(L180)*'Progetto del paramento slu'!$G$54,'Progetto del paramento slu'!$G$53)</f>
        <v>14347598.384121208</v>
      </c>
      <c r="G180" s="553">
        <f>-'Foglio deposito bis'!$F$50*(C180-sezione!$AN$27)*IF(ABS(M180)&lt;'Progetto del paramento slu'!$G$58,ABS(M180)*'Progetto del paramento slu'!$G$54,'Progetto del paramento slu'!$G$53)</f>
        <v>0</v>
      </c>
      <c r="H180" s="553">
        <f>-'Foglio deposito bis'!$F$51*(C180-sezione!$AO$27)*IF(ABS(N180)&lt;'Progetto del paramento slu'!$G$58,ABS(N180)*'Progetto del paramento slu'!$G$54,'Progetto del paramento slu'!$G$53)</f>
        <v>62652610.211776756</v>
      </c>
      <c r="I180" s="479">
        <f>-'Foglio deposito bis'!$F$52*(C180-sezione!$AP$27)*IF(ABS(O180)&lt;'Progetto del paramento slu'!$G$58,ABS(O180)*'Progetto del paramento slu'!$G$54,'Progetto del paramento slu'!$G$53)</f>
        <v>43376890.417229302</v>
      </c>
      <c r="J180" s="479">
        <f t="shared" si="13"/>
        <v>67727940.526774406</v>
      </c>
      <c r="K180" s="558">
        <f>'Progetto del paramento slu'!$G$60*(sezione!$AL$27-C180)/C180</f>
        <v>-1.7494077834179331E-3</v>
      </c>
      <c r="L180" s="558">
        <f>'Progetto del paramento slu'!$G$60*(sezione!$AM$27-C180)/C180</f>
        <v>3.0647208121827516E-3</v>
      </c>
      <c r="M180" s="559">
        <f>'Progetto del paramento slu'!$G$60*(sezione!$AN$27-C180)/C180</f>
        <v>7.8788494077834375E-3</v>
      </c>
      <c r="N180" s="559">
        <f>'Progetto del paramento slu'!$G$60*(sezione!$AO$27-C180)/C180</f>
        <v>1.1380033840947571E-2</v>
      </c>
      <c r="O180" s="559">
        <f>'Progetto del paramento slu'!$G$60*(sezione!$AP$27-C180)/C180</f>
        <v>7.8788494077834375E-3</v>
      </c>
      <c r="P180" s="553">
        <f>-'Progetto del paramento slu'!$G$47*'Progetto del paramento slu'!$G$41*IF(DATI!$G$218="dx",DATI!$E$61,DATI!$E$64*DATI!$E$63)*1000*C180*sezione!$AD$5</f>
        <v>-1127289.7144790241</v>
      </c>
      <c r="Q180" s="553">
        <f>'Foglio deposito bis'!$F$48*IF(ABS(K180)&lt;'Progetto del paramento slu'!$G$58,ABS(K180)*'Progetto del paramento slu'!$G$54,'Progetto del paramento slu'!$G$53)*IF(K180&lt;0,-1,1)</f>
        <v>0</v>
      </c>
      <c r="R180" s="553">
        <f>'Foglio deposito bis'!$F$49*IF(ABS(L180)&lt;'Progetto del paramento slu'!$G$58,ABS(L180)*'Progetto del paramento slu'!$G$54,'Progetto del paramento slu'!$G$53)*IF(L180&lt;0,-1,1)</f>
        <v>204886.47740803001</v>
      </c>
      <c r="S180" s="553">
        <f>'Foglio deposito bis'!$F$50*IF(ABS(M180)&lt;'Progetto del paramento slu'!$G$58,ABS(M180)*'Progetto del paramento slu'!$G$54,'Progetto del paramento slu'!$G$53)*IF(M180&lt;0,-1,1)</f>
        <v>0</v>
      </c>
      <c r="T180" s="553">
        <f>'Foglio deposito bis'!$F$51*IF(ABS(N180)&lt;'Progetto del paramento slu'!$G$58,ABS(N180)*'Progetto del paramento slu'!$G$54,'Progetto del paramento slu'!$G$53)*IF(N180&lt;0,-1,1)</f>
        <v>240946.49743184328</v>
      </c>
      <c r="U180" s="553">
        <f>'Foglio deposito bis'!$F$52*IF(ABS(O180)&lt;'Progetto del paramento slu'!$G$58,ABS(O180)*'Progetto del paramento slu'!$G$54,'Progetto del paramento slu'!$G$53)*IF(O180&lt;0,-1,1)</f>
        <v>240946.49743184328</v>
      </c>
      <c r="V180" s="479">
        <f t="shared" si="15"/>
        <v>-440510.24220730737</v>
      </c>
      <c r="W180" s="559"/>
      <c r="X180" s="559"/>
    </row>
    <row r="181" spans="1:24" x14ac:dyDescent="0.25">
      <c r="A181" s="553">
        <f t="shared" si="14"/>
        <v>451954.80783653585</v>
      </c>
      <c r="B181" s="3">
        <f t="shared" si="16"/>
        <v>19.899999999999952</v>
      </c>
      <c r="C181" s="553">
        <f>'Foglio deposito bis'!$E$153/$B$247*B181</f>
        <v>80.784844384302986</v>
      </c>
      <c r="D181" s="611">
        <f>-'Progetto del paramento slu'!$G$47*'Progetto del paramento slu'!$G$41*IF(DATI!$G$218="dx",DATI!$E$61,DATI!$E$64*DATI!$E$63)*1000*C181^2*sezione!$AD$5*(1-sezione!$AD$6)</f>
        <v>-53723603.422352031</v>
      </c>
      <c r="E181" s="553">
        <f>-'Foglio deposito bis'!$F$48*(C181-sezione!$AL$27)*IF(ABS(K181)&lt;'Progetto del paramento slu'!$G$58,ABS(K181)*'Progetto del paramento slu'!$G$54,'Progetto del paramento slu'!$G$53)</f>
        <v>0</v>
      </c>
      <c r="F181" s="553">
        <f>-'Foglio deposito bis'!$F$49*(C181-sezione!$AM$27)*IF(ABS(L181)&lt;'Progetto del paramento slu'!$G$58,ABS(L181)*'Progetto del paramento slu'!$G$54,'Progetto del paramento slu'!$G$53)</f>
        <v>14181249.417348787</v>
      </c>
      <c r="G181" s="553">
        <f>-'Foglio deposito bis'!$F$50*(C181-sezione!$AN$27)*IF(ABS(M181)&lt;'Progetto del paramento slu'!$G$58,ABS(M181)*'Progetto del paramento slu'!$G$54,'Progetto del paramento slu'!$G$53)</f>
        <v>0</v>
      </c>
      <c r="H181" s="553">
        <f>-'Foglio deposito bis'!$F$51*(C181-sezione!$AO$27)*IF(ABS(N181)&lt;'Progetto del paramento slu'!$G$58,ABS(N181)*'Progetto del paramento slu'!$G$54,'Progetto del paramento slu'!$G$53)</f>
        <v>62456983.826852396</v>
      </c>
      <c r="I181" s="479">
        <f>-'Foglio deposito bis'!$F$52*(C181-sezione!$AP$27)*IF(ABS(O181)&lt;'Progetto del paramento slu'!$G$58,ABS(O181)*'Progetto del paramento slu'!$G$54,'Progetto del paramento slu'!$G$53)</f>
        <v>43181264.032304935</v>
      </c>
      <c r="J181" s="479">
        <f t="shared" si="13"/>
        <v>66095893.854154088</v>
      </c>
      <c r="K181" s="558">
        <f>'Progetto del paramento slu'!$G$60*(sezione!$AL$27-C181)/C181</f>
        <v>-1.7670016750418736E-3</v>
      </c>
      <c r="L181" s="558">
        <f>'Progetto del paramento slu'!$G$60*(sezione!$AM$27-C181)/C181</f>
        <v>2.9987437185929749E-3</v>
      </c>
      <c r="M181" s="559">
        <f>'Progetto del paramento slu'!$G$60*(sezione!$AN$27-C181)/C181</f>
        <v>7.7644891122278237E-3</v>
      </c>
      <c r="N181" s="559">
        <f>'Progetto del paramento slu'!$G$60*(sezione!$AO$27-C181)/C181</f>
        <v>1.1230485762144077E-2</v>
      </c>
      <c r="O181" s="559">
        <f>'Progetto del paramento slu'!$G$60*(sezione!$AP$27-C181)/C181</f>
        <v>7.7644891122278237E-3</v>
      </c>
      <c r="P181" s="553">
        <f>-'Progetto del paramento slu'!$G$47*'Progetto del paramento slu'!$G$41*IF(DATI!$G$218="dx",DATI!$E$61,DATI!$E$64*DATI!$E$63)*1000*C181*sezione!$AD$5</f>
        <v>-1138734.2801082525</v>
      </c>
      <c r="Q181" s="553">
        <f>'Foglio deposito bis'!$F$48*IF(ABS(K181)&lt;'Progetto del paramento slu'!$G$58,ABS(K181)*'Progetto del paramento slu'!$G$54,'Progetto del paramento slu'!$G$53)*IF(K181&lt;0,-1,1)</f>
        <v>0</v>
      </c>
      <c r="R181" s="553">
        <f>'Foglio deposito bis'!$F$49*IF(ABS(L181)&lt;'Progetto del paramento slu'!$G$58,ABS(L181)*'Progetto del paramento slu'!$G$54,'Progetto del paramento slu'!$G$53)*IF(L181&lt;0,-1,1)</f>
        <v>204886.47740803001</v>
      </c>
      <c r="S181" s="553">
        <f>'Foglio deposito bis'!$F$50*IF(ABS(M181)&lt;'Progetto del paramento slu'!$G$58,ABS(M181)*'Progetto del paramento slu'!$G$54,'Progetto del paramento slu'!$G$53)*IF(M181&lt;0,-1,1)</f>
        <v>0</v>
      </c>
      <c r="T181" s="553">
        <f>'Foglio deposito bis'!$F$51*IF(ABS(N181)&lt;'Progetto del paramento slu'!$G$58,ABS(N181)*'Progetto del paramento slu'!$G$54,'Progetto del paramento slu'!$G$53)*IF(N181&lt;0,-1,1)</f>
        <v>240946.49743184328</v>
      </c>
      <c r="U181" s="553">
        <f>'Foglio deposito bis'!$F$52*IF(ABS(O181)&lt;'Progetto del paramento slu'!$G$58,ABS(O181)*'Progetto del paramento slu'!$G$54,'Progetto del paramento slu'!$G$53)*IF(O181&lt;0,-1,1)</f>
        <v>240946.49743184328</v>
      </c>
      <c r="V181" s="479">
        <f t="shared" si="15"/>
        <v>-451954.80783653585</v>
      </c>
      <c r="W181" s="559"/>
      <c r="X181" s="559"/>
    </row>
    <row r="182" spans="1:24" x14ac:dyDescent="0.25">
      <c r="A182" s="553">
        <f t="shared" si="14"/>
        <v>463399.37346576434</v>
      </c>
      <c r="B182" s="3">
        <f t="shared" si="16"/>
        <v>20.099999999999952</v>
      </c>
      <c r="C182" s="553">
        <f>'Foglio deposito bis'!$E$153/$B$247*B182</f>
        <v>81.596752368064813</v>
      </c>
      <c r="D182" s="611">
        <f>-'Progetto del paramento slu'!$G$47*'Progetto del paramento slu'!$G$41*IF(DATI!$G$218="dx",DATI!$E$61,DATI!$E$64*DATI!$E$63)*1000*C182^2*sezione!$AD$5*(1-sezione!$AD$6)</f>
        <v>-54808901.337502681</v>
      </c>
      <c r="E182" s="553">
        <f>-'Foglio deposito bis'!$F$48*(C182-sezione!$AL$27)*IF(ABS(K182)&lt;'Progetto del paramento slu'!$G$58,ABS(K182)*'Progetto del paramento slu'!$G$54,'Progetto del paramento slu'!$G$53)</f>
        <v>0</v>
      </c>
      <c r="F182" s="553">
        <f>-'Foglio deposito bis'!$F$49*(C182-sezione!$AM$27)*IF(ABS(L182)&lt;'Progetto del paramento slu'!$G$58,ABS(L182)*'Progetto del paramento slu'!$G$54,'Progetto del paramento slu'!$G$53)</f>
        <v>14014900.450576371</v>
      </c>
      <c r="G182" s="553">
        <f>-'Foglio deposito bis'!$F$50*(C182-sezione!$AN$27)*IF(ABS(M182)&lt;'Progetto del paramento slu'!$G$58,ABS(M182)*'Progetto del paramento slu'!$G$54,'Progetto del paramento slu'!$G$53)</f>
        <v>0</v>
      </c>
      <c r="H182" s="553">
        <f>-'Foglio deposito bis'!$F$51*(C182-sezione!$AO$27)*IF(ABS(N182)&lt;'Progetto del paramento slu'!$G$58,ABS(N182)*'Progetto del paramento slu'!$G$54,'Progetto del paramento slu'!$G$53)</f>
        <v>62261357.441928029</v>
      </c>
      <c r="I182" s="479">
        <f>-'Foglio deposito bis'!$F$52*(C182-sezione!$AP$27)*IF(ABS(O182)&lt;'Progetto del paramento slu'!$G$58,ABS(O182)*'Progetto del paramento slu'!$G$54,'Progetto del paramento slu'!$G$53)</f>
        <v>42985637.647380568</v>
      </c>
      <c r="J182" s="479">
        <f t="shared" si="13"/>
        <v>64452994.202382289</v>
      </c>
      <c r="K182" s="558">
        <f>'Progetto del paramento slu'!$G$60*(sezione!$AL$27-C182)/C182</f>
        <v>-1.7842454394693173E-3</v>
      </c>
      <c r="L182" s="558">
        <f>'Progetto del paramento slu'!$G$60*(sezione!$AM$27-C182)/C182</f>
        <v>2.9340796019900607E-3</v>
      </c>
      <c r="M182" s="559">
        <f>'Progetto del paramento slu'!$G$60*(sezione!$AN$27-C182)/C182</f>
        <v>7.6524046434494394E-3</v>
      </c>
      <c r="N182" s="559">
        <f>'Progetto del paramento slu'!$G$60*(sezione!$AO$27-C182)/C182</f>
        <v>1.1083913764510804E-2</v>
      </c>
      <c r="O182" s="559">
        <f>'Progetto del paramento slu'!$G$60*(sezione!$AP$27-C182)/C182</f>
        <v>7.6524046434494394E-3</v>
      </c>
      <c r="P182" s="553">
        <f>-'Progetto del paramento slu'!$G$47*'Progetto del paramento slu'!$G$41*IF(DATI!$G$218="dx",DATI!$E$61,DATI!$E$64*DATI!$E$63)*1000*C182*sezione!$AD$5</f>
        <v>-1150178.845737481</v>
      </c>
      <c r="Q182" s="553">
        <f>'Foglio deposito bis'!$F$48*IF(ABS(K182)&lt;'Progetto del paramento slu'!$G$58,ABS(K182)*'Progetto del paramento slu'!$G$54,'Progetto del paramento slu'!$G$53)*IF(K182&lt;0,-1,1)</f>
        <v>0</v>
      </c>
      <c r="R182" s="553">
        <f>'Foglio deposito bis'!$F$49*IF(ABS(L182)&lt;'Progetto del paramento slu'!$G$58,ABS(L182)*'Progetto del paramento slu'!$G$54,'Progetto del paramento slu'!$G$53)*IF(L182&lt;0,-1,1)</f>
        <v>204886.47740803001</v>
      </c>
      <c r="S182" s="553">
        <f>'Foglio deposito bis'!$F$50*IF(ABS(M182)&lt;'Progetto del paramento slu'!$G$58,ABS(M182)*'Progetto del paramento slu'!$G$54,'Progetto del paramento slu'!$G$53)*IF(M182&lt;0,-1,1)</f>
        <v>0</v>
      </c>
      <c r="T182" s="553">
        <f>'Foglio deposito bis'!$F$51*IF(ABS(N182)&lt;'Progetto del paramento slu'!$G$58,ABS(N182)*'Progetto del paramento slu'!$G$54,'Progetto del paramento slu'!$G$53)*IF(N182&lt;0,-1,1)</f>
        <v>240946.49743184328</v>
      </c>
      <c r="U182" s="553">
        <f>'Foglio deposito bis'!$F$52*IF(ABS(O182)&lt;'Progetto del paramento slu'!$G$58,ABS(O182)*'Progetto del paramento slu'!$G$54,'Progetto del paramento slu'!$G$53)*IF(O182&lt;0,-1,1)</f>
        <v>240946.49743184328</v>
      </c>
      <c r="V182" s="479">
        <f t="shared" si="15"/>
        <v>-463399.37346576434</v>
      </c>
      <c r="W182" s="559"/>
      <c r="X182" s="559"/>
    </row>
    <row r="183" spans="1:24" x14ac:dyDescent="0.25">
      <c r="A183" s="553">
        <f t="shared" si="14"/>
        <v>474843.93909499305</v>
      </c>
      <c r="B183" s="3">
        <f t="shared" si="16"/>
        <v>20.299999999999951</v>
      </c>
      <c r="C183" s="553">
        <f>'Foglio deposito bis'!$E$153/$B$247*B183</f>
        <v>82.408660351826654</v>
      </c>
      <c r="D183" s="611">
        <f>-'Progetto del paramento slu'!$G$47*'Progetto del paramento slu'!$G$41*IF(DATI!$G$218="dx",DATI!$E$61,DATI!$E$64*DATI!$E$63)*1000*C183^2*sezione!$AD$5*(1-sezione!$AD$6)</f>
        <v>-55905052.231804855</v>
      </c>
      <c r="E183" s="553">
        <f>-'Foglio deposito bis'!$F$48*(C183-sezione!$AL$27)*IF(ABS(K183)&lt;'Progetto del paramento slu'!$G$58,ABS(K183)*'Progetto del paramento slu'!$G$54,'Progetto del paramento slu'!$G$53)</f>
        <v>0</v>
      </c>
      <c r="F183" s="553">
        <f>-'Foglio deposito bis'!$F$49*(C183-sezione!$AM$27)*IF(ABS(L183)&lt;'Progetto del paramento slu'!$G$58,ABS(L183)*'Progetto del paramento slu'!$G$54,'Progetto del paramento slu'!$G$53)</f>
        <v>13848551.48380395</v>
      </c>
      <c r="G183" s="553">
        <f>-'Foglio deposito bis'!$F$50*(C183-sezione!$AN$27)*IF(ABS(M183)&lt;'Progetto del paramento slu'!$G$58,ABS(M183)*'Progetto del paramento slu'!$G$54,'Progetto del paramento slu'!$G$53)</f>
        <v>0</v>
      </c>
      <c r="H183" s="553">
        <f>-'Foglio deposito bis'!$F$51*(C183-sezione!$AO$27)*IF(ABS(N183)&lt;'Progetto del paramento slu'!$G$58,ABS(N183)*'Progetto del paramento slu'!$G$54,'Progetto del paramento slu'!$G$53)</f>
        <v>62065731.057003669</v>
      </c>
      <c r="I183" s="479">
        <f>-'Foglio deposito bis'!$F$52*(C183-sezione!$AP$27)*IF(ABS(O183)&lt;'Progetto del paramento slu'!$G$58,ABS(O183)*'Progetto del paramento slu'!$G$54,'Progetto del paramento slu'!$G$53)</f>
        <v>42790011.262456208</v>
      </c>
      <c r="J183" s="479">
        <f t="shared" si="13"/>
        <v>62799241.571458973</v>
      </c>
      <c r="K183" s="558">
        <f>'Progetto del paramento slu'!$G$60*(sezione!$AL$27-C183)/C183</f>
        <v>-1.8011494252873537E-3</v>
      </c>
      <c r="L183" s="558">
        <f>'Progetto del paramento slu'!$G$60*(sezione!$AM$27-C183)/C183</f>
        <v>2.8706896551724246E-3</v>
      </c>
      <c r="M183" s="559">
        <f>'Progetto del paramento slu'!$G$60*(sezione!$AN$27-C183)/C183</f>
        <v>7.5425287356322033E-3</v>
      </c>
      <c r="N183" s="559">
        <f>'Progetto del paramento slu'!$G$60*(sezione!$AO$27-C183)/C183</f>
        <v>1.0940229885057497E-2</v>
      </c>
      <c r="O183" s="559">
        <f>'Progetto del paramento slu'!$G$60*(sezione!$AP$27-C183)/C183</f>
        <v>7.5425287356322033E-3</v>
      </c>
      <c r="P183" s="553">
        <f>-'Progetto del paramento slu'!$G$47*'Progetto del paramento slu'!$G$41*IF(DATI!$G$218="dx",DATI!$E$61,DATI!$E$64*DATI!$E$63)*1000*C183*sezione!$AD$5</f>
        <v>-1161623.4113667097</v>
      </c>
      <c r="Q183" s="553">
        <f>'Foglio deposito bis'!$F$48*IF(ABS(K183)&lt;'Progetto del paramento slu'!$G$58,ABS(K183)*'Progetto del paramento slu'!$G$54,'Progetto del paramento slu'!$G$53)*IF(K183&lt;0,-1,1)</f>
        <v>0</v>
      </c>
      <c r="R183" s="553">
        <f>'Foglio deposito bis'!$F$49*IF(ABS(L183)&lt;'Progetto del paramento slu'!$G$58,ABS(L183)*'Progetto del paramento slu'!$G$54,'Progetto del paramento slu'!$G$53)*IF(L183&lt;0,-1,1)</f>
        <v>204886.47740803001</v>
      </c>
      <c r="S183" s="553">
        <f>'Foglio deposito bis'!$F$50*IF(ABS(M183)&lt;'Progetto del paramento slu'!$G$58,ABS(M183)*'Progetto del paramento slu'!$G$54,'Progetto del paramento slu'!$G$53)*IF(M183&lt;0,-1,1)</f>
        <v>0</v>
      </c>
      <c r="T183" s="553">
        <f>'Foglio deposito bis'!$F$51*IF(ABS(N183)&lt;'Progetto del paramento slu'!$G$58,ABS(N183)*'Progetto del paramento slu'!$G$54,'Progetto del paramento slu'!$G$53)*IF(N183&lt;0,-1,1)</f>
        <v>240946.49743184328</v>
      </c>
      <c r="U183" s="553">
        <f>'Foglio deposito bis'!$F$52*IF(ABS(O183)&lt;'Progetto del paramento slu'!$G$58,ABS(O183)*'Progetto del paramento slu'!$G$54,'Progetto del paramento slu'!$G$53)*IF(O183&lt;0,-1,1)</f>
        <v>240946.49743184328</v>
      </c>
      <c r="V183" s="479">
        <f t="shared" si="15"/>
        <v>-474843.93909499305</v>
      </c>
      <c r="W183" s="559"/>
      <c r="X183" s="559"/>
    </row>
    <row r="184" spans="1:24" x14ac:dyDescent="0.25">
      <c r="A184" s="553">
        <f t="shared" si="14"/>
        <v>486288.50472422177</v>
      </c>
      <c r="B184" s="3">
        <f t="shared" si="16"/>
        <v>20.49999999999995</v>
      </c>
      <c r="C184" s="553">
        <f>'Foglio deposito bis'!$E$153/$B$247*B184</f>
        <v>83.220568335588496</v>
      </c>
      <c r="D184" s="611">
        <f>-'Progetto del paramento slu'!$G$47*'Progetto del paramento slu'!$G$41*IF(DATI!$G$218="dx",DATI!$E$61,DATI!$E$64*DATI!$E$63)*1000*C184^2*sezione!$AD$5*(1-sezione!$AD$6)</f>
        <v>-57012056.105258547</v>
      </c>
      <c r="E184" s="553">
        <f>-'Foglio deposito bis'!$F$48*(C184-sezione!$AL$27)*IF(ABS(K184)&lt;'Progetto del paramento slu'!$G$58,ABS(K184)*'Progetto del paramento slu'!$G$54,'Progetto del paramento slu'!$G$53)</f>
        <v>0</v>
      </c>
      <c r="F184" s="553">
        <f>-'Foglio deposito bis'!$F$49*(C184-sezione!$AM$27)*IF(ABS(L184)&lt;'Progetto del paramento slu'!$G$58,ABS(L184)*'Progetto del paramento slu'!$G$54,'Progetto del paramento slu'!$G$53)</f>
        <v>13682202.51703153</v>
      </c>
      <c r="G184" s="553">
        <f>-'Foglio deposito bis'!$F$50*(C184-sezione!$AN$27)*IF(ABS(M184)&lt;'Progetto del paramento slu'!$G$58,ABS(M184)*'Progetto del paramento slu'!$G$54,'Progetto del paramento slu'!$G$53)</f>
        <v>0</v>
      </c>
      <c r="H184" s="553">
        <f>-'Foglio deposito bis'!$F$51*(C184-sezione!$AO$27)*IF(ABS(N184)&lt;'Progetto del paramento slu'!$G$58,ABS(N184)*'Progetto del paramento slu'!$G$54,'Progetto del paramento slu'!$G$53)</f>
        <v>61870104.672079295</v>
      </c>
      <c r="I184" s="479">
        <f>-'Foglio deposito bis'!$F$52*(C184-sezione!$AP$27)*IF(ABS(O184)&lt;'Progetto del paramento slu'!$G$58,ABS(O184)*'Progetto del paramento slu'!$G$54,'Progetto del paramento slu'!$G$53)</f>
        <v>42594384.877531841</v>
      </c>
      <c r="J184" s="479">
        <f t="shared" si="13"/>
        <v>61134635.961384118</v>
      </c>
      <c r="K184" s="558">
        <f>'Progetto del paramento slu'!$G$60*(sezione!$AL$27-C184)/C184</f>
        <v>-1.8177235772357699E-3</v>
      </c>
      <c r="L184" s="558">
        <f>'Progetto del paramento slu'!$G$60*(sezione!$AM$27-C184)/C184</f>
        <v>2.8085365853658638E-3</v>
      </c>
      <c r="M184" s="559">
        <f>'Progetto del paramento slu'!$G$60*(sezione!$AN$27-C184)/C184</f>
        <v>7.4347967479674974E-3</v>
      </c>
      <c r="N184" s="559">
        <f>'Progetto del paramento slu'!$G$60*(sezione!$AO$27-C184)/C184</f>
        <v>1.0799349593495959E-2</v>
      </c>
      <c r="O184" s="559">
        <f>'Progetto del paramento slu'!$G$60*(sezione!$AP$27-C184)/C184</f>
        <v>7.4347967479674974E-3</v>
      </c>
      <c r="P184" s="553">
        <f>-'Progetto del paramento slu'!$G$47*'Progetto del paramento slu'!$G$41*IF(DATI!$G$218="dx",DATI!$E$61,DATI!$E$64*DATI!$E$63)*1000*C184*sezione!$AD$5</f>
        <v>-1173067.9769959385</v>
      </c>
      <c r="Q184" s="553">
        <f>'Foglio deposito bis'!$F$48*IF(ABS(K184)&lt;'Progetto del paramento slu'!$G$58,ABS(K184)*'Progetto del paramento slu'!$G$54,'Progetto del paramento slu'!$G$53)*IF(K184&lt;0,-1,1)</f>
        <v>0</v>
      </c>
      <c r="R184" s="553">
        <f>'Foglio deposito bis'!$F$49*IF(ABS(L184)&lt;'Progetto del paramento slu'!$G$58,ABS(L184)*'Progetto del paramento slu'!$G$54,'Progetto del paramento slu'!$G$53)*IF(L184&lt;0,-1,1)</f>
        <v>204886.47740803001</v>
      </c>
      <c r="S184" s="553">
        <f>'Foglio deposito bis'!$F$50*IF(ABS(M184)&lt;'Progetto del paramento slu'!$G$58,ABS(M184)*'Progetto del paramento slu'!$G$54,'Progetto del paramento slu'!$G$53)*IF(M184&lt;0,-1,1)</f>
        <v>0</v>
      </c>
      <c r="T184" s="553">
        <f>'Foglio deposito bis'!$F$51*IF(ABS(N184)&lt;'Progetto del paramento slu'!$G$58,ABS(N184)*'Progetto del paramento slu'!$G$54,'Progetto del paramento slu'!$G$53)*IF(N184&lt;0,-1,1)</f>
        <v>240946.49743184328</v>
      </c>
      <c r="U184" s="553">
        <f>'Foglio deposito bis'!$F$52*IF(ABS(O184)&lt;'Progetto del paramento slu'!$G$58,ABS(O184)*'Progetto del paramento slu'!$G$54,'Progetto del paramento slu'!$G$53)*IF(O184&lt;0,-1,1)</f>
        <v>240946.49743184328</v>
      </c>
      <c r="V184" s="479">
        <f t="shared" si="15"/>
        <v>-486288.50472422177</v>
      </c>
      <c r="W184" s="559"/>
      <c r="X184" s="559"/>
    </row>
    <row r="185" spans="1:24" x14ac:dyDescent="0.25">
      <c r="A185" s="553">
        <f t="shared" si="14"/>
        <v>497733.07035345072</v>
      </c>
      <c r="B185" s="3">
        <f t="shared" si="16"/>
        <v>20.69999999999995</v>
      </c>
      <c r="C185" s="553">
        <f>'Foglio deposito bis'!$E$153/$B$247*B185</f>
        <v>84.032476319350337</v>
      </c>
      <c r="D185" s="611">
        <f>-'Progetto del paramento slu'!$G$47*'Progetto del paramento slu'!$G$41*IF(DATI!$G$218="dx",DATI!$E$61,DATI!$E$64*DATI!$E$63)*1000*C185^2*sezione!$AD$5*(1-sezione!$AD$6)</f>
        <v>-58129912.957863733</v>
      </c>
      <c r="E185" s="553">
        <f>-'Foglio deposito bis'!$F$48*(C185-sezione!$AL$27)*IF(ABS(K185)&lt;'Progetto del paramento slu'!$G$58,ABS(K185)*'Progetto del paramento slu'!$G$54,'Progetto del paramento slu'!$G$53)</f>
        <v>0</v>
      </c>
      <c r="F185" s="553">
        <f>-'Foglio deposito bis'!$F$49*(C185-sezione!$AM$27)*IF(ABS(L185)&lt;'Progetto del paramento slu'!$G$58,ABS(L185)*'Progetto del paramento slu'!$G$54,'Progetto del paramento slu'!$G$53)</f>
        <v>13515853.55025911</v>
      </c>
      <c r="G185" s="553">
        <f>-'Foglio deposito bis'!$F$50*(C185-sezione!$AN$27)*IF(ABS(M185)&lt;'Progetto del paramento slu'!$G$58,ABS(M185)*'Progetto del paramento slu'!$G$54,'Progetto del paramento slu'!$G$53)</f>
        <v>0</v>
      </c>
      <c r="H185" s="553">
        <f>-'Foglio deposito bis'!$F$51*(C185-sezione!$AO$27)*IF(ABS(N185)&lt;'Progetto del paramento slu'!$G$58,ABS(N185)*'Progetto del paramento slu'!$G$54,'Progetto del paramento slu'!$G$53)</f>
        <v>61674478.287154935</v>
      </c>
      <c r="I185" s="479">
        <f>-'Foglio deposito bis'!$F$52*(C185-sezione!$AP$27)*IF(ABS(O185)&lt;'Progetto del paramento slu'!$G$58,ABS(O185)*'Progetto del paramento slu'!$G$54,'Progetto del paramento slu'!$G$53)</f>
        <v>42398758.492607474</v>
      </c>
      <c r="J185" s="479">
        <f t="shared" si="13"/>
        <v>59459177.37215779</v>
      </c>
      <c r="K185" s="558">
        <f>'Progetto del paramento slu'!$G$60*(sezione!$AL$27-C185)/C185</f>
        <v>-1.8339774557165833E-3</v>
      </c>
      <c r="L185" s="558">
        <f>'Progetto del paramento slu'!$G$60*(sezione!$AM$27-C185)/C185</f>
        <v>2.7475845410628121E-3</v>
      </c>
      <c r="M185" s="559">
        <f>'Progetto del paramento slu'!$G$60*(sezione!$AN$27-C185)/C185</f>
        <v>7.3291465378422073E-3</v>
      </c>
      <c r="N185" s="559">
        <f>'Progetto del paramento slu'!$G$60*(sezione!$AO$27-C185)/C185</f>
        <v>1.0661191626409041E-2</v>
      </c>
      <c r="O185" s="559">
        <f>'Progetto del paramento slu'!$G$60*(sezione!$AP$27-C185)/C185</f>
        <v>7.3291465378422073E-3</v>
      </c>
      <c r="P185" s="553">
        <f>-'Progetto del paramento slu'!$G$47*'Progetto del paramento slu'!$G$41*IF(DATI!$G$218="dx",DATI!$E$61,DATI!$E$64*DATI!$E$63)*1000*C185*sezione!$AD$5</f>
        <v>-1184512.5426251674</v>
      </c>
      <c r="Q185" s="553">
        <f>'Foglio deposito bis'!$F$48*IF(ABS(K185)&lt;'Progetto del paramento slu'!$G$58,ABS(K185)*'Progetto del paramento slu'!$G$54,'Progetto del paramento slu'!$G$53)*IF(K185&lt;0,-1,1)</f>
        <v>0</v>
      </c>
      <c r="R185" s="553">
        <f>'Foglio deposito bis'!$F$49*IF(ABS(L185)&lt;'Progetto del paramento slu'!$G$58,ABS(L185)*'Progetto del paramento slu'!$G$54,'Progetto del paramento slu'!$G$53)*IF(L185&lt;0,-1,1)</f>
        <v>204886.47740803001</v>
      </c>
      <c r="S185" s="553">
        <f>'Foglio deposito bis'!$F$50*IF(ABS(M185)&lt;'Progetto del paramento slu'!$G$58,ABS(M185)*'Progetto del paramento slu'!$G$54,'Progetto del paramento slu'!$G$53)*IF(M185&lt;0,-1,1)</f>
        <v>0</v>
      </c>
      <c r="T185" s="553">
        <f>'Foglio deposito bis'!$F$51*IF(ABS(N185)&lt;'Progetto del paramento slu'!$G$58,ABS(N185)*'Progetto del paramento slu'!$G$54,'Progetto del paramento slu'!$G$53)*IF(N185&lt;0,-1,1)</f>
        <v>240946.49743184328</v>
      </c>
      <c r="U185" s="553">
        <f>'Foglio deposito bis'!$F$52*IF(ABS(O185)&lt;'Progetto del paramento slu'!$G$58,ABS(O185)*'Progetto del paramento slu'!$G$54,'Progetto del paramento slu'!$G$53)*IF(O185&lt;0,-1,1)</f>
        <v>240946.49743184328</v>
      </c>
      <c r="V185" s="479">
        <f t="shared" si="15"/>
        <v>-497733.07035345072</v>
      </c>
      <c r="W185" s="559"/>
      <c r="X185" s="559"/>
    </row>
    <row r="186" spans="1:24" x14ac:dyDescent="0.25">
      <c r="A186" s="553">
        <f t="shared" si="14"/>
        <v>509177.63598267897</v>
      </c>
      <c r="B186" s="3">
        <f t="shared" si="16"/>
        <v>20.899999999999949</v>
      </c>
      <c r="C186" s="553">
        <f>'Foglio deposito bis'!$E$153/$B$247*B186</f>
        <v>84.844384303112165</v>
      </c>
      <c r="D186" s="611">
        <f>-'Progetto del paramento slu'!$G$47*'Progetto del paramento slu'!$G$41*IF(DATI!$G$218="dx",DATI!$E$61,DATI!$E$64*DATI!$E$63)*1000*C186^2*sezione!$AD$5*(1-sezione!$AD$6)</f>
        <v>-59258622.789620407</v>
      </c>
      <c r="E186" s="553">
        <f>-'Foglio deposito bis'!$F$48*(C186-sezione!$AL$27)*IF(ABS(K186)&lt;'Progetto del paramento slu'!$G$58,ABS(K186)*'Progetto del paramento slu'!$G$54,'Progetto del paramento slu'!$G$53)</f>
        <v>0</v>
      </c>
      <c r="F186" s="553">
        <f>-'Foglio deposito bis'!$F$49*(C186-sezione!$AM$27)*IF(ABS(L186)&lt;'Progetto del paramento slu'!$G$58,ABS(L186)*'Progetto del paramento slu'!$G$54,'Progetto del paramento slu'!$G$53)</f>
        <v>13349504.583486697</v>
      </c>
      <c r="G186" s="553">
        <f>-'Foglio deposito bis'!$F$50*(C186-sezione!$AN$27)*IF(ABS(M186)&lt;'Progetto del paramento slu'!$G$58,ABS(M186)*'Progetto del paramento slu'!$G$54,'Progetto del paramento slu'!$G$53)</f>
        <v>0</v>
      </c>
      <c r="H186" s="553">
        <f>-'Foglio deposito bis'!$F$51*(C186-sezione!$AO$27)*IF(ABS(N186)&lt;'Progetto del paramento slu'!$G$58,ABS(N186)*'Progetto del paramento slu'!$G$54,'Progetto del paramento slu'!$G$53)</f>
        <v>61478851.902230568</v>
      </c>
      <c r="I186" s="479">
        <f>-'Foglio deposito bis'!$F$52*(C186-sezione!$AP$27)*IF(ABS(O186)&lt;'Progetto del paramento slu'!$G$58,ABS(O186)*'Progetto del paramento slu'!$G$54,'Progetto del paramento slu'!$G$53)</f>
        <v>42203132.107683107</v>
      </c>
      <c r="J186" s="479">
        <f t="shared" si="13"/>
        <v>57772865.803779967</v>
      </c>
      <c r="K186" s="558">
        <f>'Progetto del paramento slu'!$G$60*(sezione!$AL$27-C186)/C186</f>
        <v>-1.8499202551834103E-3</v>
      </c>
      <c r="L186" s="558">
        <f>'Progetto del paramento slu'!$G$60*(sezione!$AM$27-C186)/C186</f>
        <v>2.6877990430622116E-3</v>
      </c>
      <c r="M186" s="559">
        <f>'Progetto del paramento slu'!$G$60*(sezione!$AN$27-C186)/C186</f>
        <v>7.2255183413078338E-3</v>
      </c>
      <c r="N186" s="559">
        <f>'Progetto del paramento slu'!$G$60*(sezione!$AO$27-C186)/C186</f>
        <v>1.0525677830941013E-2</v>
      </c>
      <c r="O186" s="559">
        <f>'Progetto del paramento slu'!$G$60*(sezione!$AP$27-C186)/C186</f>
        <v>7.2255183413078338E-3</v>
      </c>
      <c r="P186" s="553">
        <f>-'Progetto del paramento slu'!$G$47*'Progetto del paramento slu'!$G$41*IF(DATI!$G$218="dx",DATI!$E$61,DATI!$E$64*DATI!$E$63)*1000*C186*sezione!$AD$5</f>
        <v>-1195957.1082543957</v>
      </c>
      <c r="Q186" s="553">
        <f>'Foglio deposito bis'!$F$48*IF(ABS(K186)&lt;'Progetto del paramento slu'!$G$58,ABS(K186)*'Progetto del paramento slu'!$G$54,'Progetto del paramento slu'!$G$53)*IF(K186&lt;0,-1,1)</f>
        <v>0</v>
      </c>
      <c r="R186" s="553">
        <f>'Foglio deposito bis'!$F$49*IF(ABS(L186)&lt;'Progetto del paramento slu'!$G$58,ABS(L186)*'Progetto del paramento slu'!$G$54,'Progetto del paramento slu'!$G$53)*IF(L186&lt;0,-1,1)</f>
        <v>204886.47740803001</v>
      </c>
      <c r="S186" s="553">
        <f>'Foglio deposito bis'!$F$50*IF(ABS(M186)&lt;'Progetto del paramento slu'!$G$58,ABS(M186)*'Progetto del paramento slu'!$G$54,'Progetto del paramento slu'!$G$53)*IF(M186&lt;0,-1,1)</f>
        <v>0</v>
      </c>
      <c r="T186" s="553">
        <f>'Foglio deposito bis'!$F$51*IF(ABS(N186)&lt;'Progetto del paramento slu'!$G$58,ABS(N186)*'Progetto del paramento slu'!$G$54,'Progetto del paramento slu'!$G$53)*IF(N186&lt;0,-1,1)</f>
        <v>240946.49743184328</v>
      </c>
      <c r="U186" s="553">
        <f>'Foglio deposito bis'!$F$52*IF(ABS(O186)&lt;'Progetto del paramento slu'!$G$58,ABS(O186)*'Progetto del paramento slu'!$G$54,'Progetto del paramento slu'!$G$53)*IF(O186&lt;0,-1,1)</f>
        <v>240946.49743184328</v>
      </c>
      <c r="V186" s="479">
        <f t="shared" si="15"/>
        <v>-509177.63598267897</v>
      </c>
      <c r="W186" s="559"/>
      <c r="X186" s="559"/>
    </row>
    <row r="187" spans="1:24" x14ac:dyDescent="0.25">
      <c r="A187" s="553">
        <f t="shared" si="14"/>
        <v>520622.20161190769</v>
      </c>
      <c r="B187" s="3">
        <f t="shared" si="16"/>
        <v>21.099999999999948</v>
      </c>
      <c r="C187" s="553">
        <f>'Foglio deposito bis'!$E$153/$B$247*B187</f>
        <v>85.656292286874006</v>
      </c>
      <c r="D187" s="611">
        <f>-'Progetto del paramento slu'!$G$47*'Progetto del paramento slu'!$G$41*IF(DATI!$G$218="dx",DATI!$E$61,DATI!$E$64*DATI!$E$63)*1000*C187^2*sezione!$AD$5*(1-sezione!$AD$6)</f>
        <v>-60398185.600528613</v>
      </c>
      <c r="E187" s="553">
        <f>-'Foglio deposito bis'!$F$48*(C187-sezione!$AL$27)*IF(ABS(K187)&lt;'Progetto del paramento slu'!$G$58,ABS(K187)*'Progetto del paramento slu'!$G$54,'Progetto del paramento slu'!$G$53)</f>
        <v>0</v>
      </c>
      <c r="F187" s="553">
        <f>-'Foglio deposito bis'!$F$49*(C187-sezione!$AM$27)*IF(ABS(L187)&lt;'Progetto del paramento slu'!$G$58,ABS(L187)*'Progetto del paramento slu'!$G$54,'Progetto del paramento slu'!$G$53)</f>
        <v>13183155.616714276</v>
      </c>
      <c r="G187" s="553">
        <f>-'Foglio deposito bis'!$F$50*(C187-sezione!$AN$27)*IF(ABS(M187)&lt;'Progetto del paramento slu'!$G$58,ABS(M187)*'Progetto del paramento slu'!$G$54,'Progetto del paramento slu'!$G$53)</f>
        <v>0</v>
      </c>
      <c r="H187" s="553">
        <f>-'Foglio deposito bis'!$F$51*(C187-sezione!$AO$27)*IF(ABS(N187)&lt;'Progetto del paramento slu'!$G$58,ABS(N187)*'Progetto del paramento slu'!$G$54,'Progetto del paramento slu'!$G$53)</f>
        <v>61283225.517306209</v>
      </c>
      <c r="I187" s="479">
        <f>-'Foglio deposito bis'!$F$52*(C187-sezione!$AP$27)*IF(ABS(O187)&lt;'Progetto del paramento slu'!$G$58,ABS(O187)*'Progetto del paramento slu'!$G$54,'Progetto del paramento slu'!$G$53)</f>
        <v>42007505.722758748</v>
      </c>
      <c r="J187" s="479">
        <f t="shared" si="13"/>
        <v>56075701.25625062</v>
      </c>
      <c r="K187" s="558">
        <f>'Progetto del paramento slu'!$G$60*(sezione!$AL$27-C187)/C187</f>
        <v>-1.8655608214849892E-3</v>
      </c>
      <c r="L187" s="558">
        <f>'Progetto del paramento slu'!$G$60*(sezione!$AM$27-C187)/C187</f>
        <v>2.6291469194312904E-3</v>
      </c>
      <c r="M187" s="559">
        <f>'Progetto del paramento slu'!$G$60*(sezione!$AN$27-C187)/C187</f>
        <v>7.1238546603475698E-3</v>
      </c>
      <c r="N187" s="559">
        <f>'Progetto del paramento slu'!$G$60*(sezione!$AO$27-C187)/C187</f>
        <v>1.0392733017377592E-2</v>
      </c>
      <c r="O187" s="559">
        <f>'Progetto del paramento slu'!$G$60*(sezione!$AP$27-C187)/C187</f>
        <v>7.1238546603475698E-3</v>
      </c>
      <c r="P187" s="553">
        <f>-'Progetto del paramento slu'!$G$47*'Progetto del paramento slu'!$G$41*IF(DATI!$G$218="dx",DATI!$E$61,DATI!$E$64*DATI!$E$63)*1000*C187*sezione!$AD$5</f>
        <v>-1207401.6738836244</v>
      </c>
      <c r="Q187" s="553">
        <f>'Foglio deposito bis'!$F$48*IF(ABS(K187)&lt;'Progetto del paramento slu'!$G$58,ABS(K187)*'Progetto del paramento slu'!$G$54,'Progetto del paramento slu'!$G$53)*IF(K187&lt;0,-1,1)</f>
        <v>0</v>
      </c>
      <c r="R187" s="553">
        <f>'Foglio deposito bis'!$F$49*IF(ABS(L187)&lt;'Progetto del paramento slu'!$G$58,ABS(L187)*'Progetto del paramento slu'!$G$54,'Progetto del paramento slu'!$G$53)*IF(L187&lt;0,-1,1)</f>
        <v>204886.47740803001</v>
      </c>
      <c r="S187" s="553">
        <f>'Foglio deposito bis'!$F$50*IF(ABS(M187)&lt;'Progetto del paramento slu'!$G$58,ABS(M187)*'Progetto del paramento slu'!$G$54,'Progetto del paramento slu'!$G$53)*IF(M187&lt;0,-1,1)</f>
        <v>0</v>
      </c>
      <c r="T187" s="553">
        <f>'Foglio deposito bis'!$F$51*IF(ABS(N187)&lt;'Progetto del paramento slu'!$G$58,ABS(N187)*'Progetto del paramento slu'!$G$54,'Progetto del paramento slu'!$G$53)*IF(N187&lt;0,-1,1)</f>
        <v>240946.49743184328</v>
      </c>
      <c r="U187" s="553">
        <f>'Foglio deposito bis'!$F$52*IF(ABS(O187)&lt;'Progetto del paramento slu'!$G$58,ABS(O187)*'Progetto del paramento slu'!$G$54,'Progetto del paramento slu'!$G$53)*IF(O187&lt;0,-1,1)</f>
        <v>240946.49743184328</v>
      </c>
      <c r="V187" s="479">
        <f t="shared" si="15"/>
        <v>-520622.20161190769</v>
      </c>
      <c r="W187" s="559"/>
      <c r="X187" s="559"/>
    </row>
    <row r="188" spans="1:24" x14ac:dyDescent="0.25">
      <c r="A188" s="553">
        <f t="shared" si="14"/>
        <v>532066.7672411364</v>
      </c>
      <c r="B188" s="3">
        <f t="shared" si="16"/>
        <v>21.299999999999947</v>
      </c>
      <c r="C188" s="553">
        <f>'Foglio deposito bis'!$E$153/$B$247*B188</f>
        <v>86.468200270635847</v>
      </c>
      <c r="D188" s="611">
        <f>-'Progetto del paramento slu'!$G$47*'Progetto del paramento slu'!$G$41*IF(DATI!$G$218="dx",DATI!$E$61,DATI!$E$64*DATI!$E$63)*1000*C188^2*sezione!$AD$5*(1-sezione!$AD$6)</f>
        <v>-61548601.390588336</v>
      </c>
      <c r="E188" s="553">
        <f>-'Foglio deposito bis'!$F$48*(C188-sezione!$AL$27)*IF(ABS(K188)&lt;'Progetto del paramento slu'!$G$58,ABS(K188)*'Progetto del paramento slu'!$G$54,'Progetto del paramento slu'!$G$53)</f>
        <v>0</v>
      </c>
      <c r="F188" s="553">
        <f>-'Foglio deposito bis'!$F$49*(C188-sezione!$AM$27)*IF(ABS(L188)&lt;'Progetto del paramento slu'!$G$58,ABS(L188)*'Progetto del paramento slu'!$G$54,'Progetto del paramento slu'!$G$53)</f>
        <v>13016806.649941856</v>
      </c>
      <c r="G188" s="553">
        <f>-'Foglio deposito bis'!$F$50*(C188-sezione!$AN$27)*IF(ABS(M188)&lt;'Progetto del paramento slu'!$G$58,ABS(M188)*'Progetto del paramento slu'!$G$54,'Progetto del paramento slu'!$G$53)</f>
        <v>0</v>
      </c>
      <c r="H188" s="553">
        <f>-'Foglio deposito bis'!$F$51*(C188-sezione!$AO$27)*IF(ABS(N188)&lt;'Progetto del paramento slu'!$G$58,ABS(N188)*'Progetto del paramento slu'!$G$54,'Progetto del paramento slu'!$G$53)</f>
        <v>61087599.132381834</v>
      </c>
      <c r="I188" s="479">
        <f>-'Foglio deposito bis'!$F$52*(C188-sezione!$AP$27)*IF(ABS(O188)&lt;'Progetto del paramento slu'!$G$58,ABS(O188)*'Progetto del paramento slu'!$G$54,'Progetto del paramento slu'!$G$53)</f>
        <v>41811879.337834381</v>
      </c>
      <c r="J188" s="479">
        <f t="shared" si="13"/>
        <v>54367683.729569733</v>
      </c>
      <c r="K188" s="558">
        <f>'Progetto del paramento slu'!$G$60*(sezione!$AL$27-C188)/C188</f>
        <v>-1.8809076682316092E-3</v>
      </c>
      <c r="L188" s="558">
        <f>'Progetto del paramento slu'!$G$60*(sezione!$AM$27-C188)/C188</f>
        <v>2.5715962441314657E-3</v>
      </c>
      <c r="M188" s="559">
        <f>'Progetto del paramento slu'!$G$60*(sezione!$AN$27-C188)/C188</f>
        <v>7.0241001564945397E-3</v>
      </c>
      <c r="N188" s="559">
        <f>'Progetto del paramento slu'!$G$60*(sezione!$AO$27-C188)/C188</f>
        <v>1.0262284820031322E-2</v>
      </c>
      <c r="O188" s="559">
        <f>'Progetto del paramento slu'!$G$60*(sezione!$AP$27-C188)/C188</f>
        <v>7.0241001564945397E-3</v>
      </c>
      <c r="P188" s="553">
        <f>-'Progetto del paramento slu'!$G$47*'Progetto del paramento slu'!$G$41*IF(DATI!$G$218="dx",DATI!$E$61,DATI!$E$64*DATI!$E$63)*1000*C188*sezione!$AD$5</f>
        <v>-1218846.2395128531</v>
      </c>
      <c r="Q188" s="553">
        <f>'Foglio deposito bis'!$F$48*IF(ABS(K188)&lt;'Progetto del paramento slu'!$G$58,ABS(K188)*'Progetto del paramento slu'!$G$54,'Progetto del paramento slu'!$G$53)*IF(K188&lt;0,-1,1)</f>
        <v>0</v>
      </c>
      <c r="R188" s="553">
        <f>'Foglio deposito bis'!$F$49*IF(ABS(L188)&lt;'Progetto del paramento slu'!$G$58,ABS(L188)*'Progetto del paramento slu'!$G$54,'Progetto del paramento slu'!$G$53)*IF(L188&lt;0,-1,1)</f>
        <v>204886.47740803001</v>
      </c>
      <c r="S188" s="553">
        <f>'Foglio deposito bis'!$F$50*IF(ABS(M188)&lt;'Progetto del paramento slu'!$G$58,ABS(M188)*'Progetto del paramento slu'!$G$54,'Progetto del paramento slu'!$G$53)*IF(M188&lt;0,-1,1)</f>
        <v>0</v>
      </c>
      <c r="T188" s="553">
        <f>'Foglio deposito bis'!$F$51*IF(ABS(N188)&lt;'Progetto del paramento slu'!$G$58,ABS(N188)*'Progetto del paramento slu'!$G$54,'Progetto del paramento slu'!$G$53)*IF(N188&lt;0,-1,1)</f>
        <v>240946.49743184328</v>
      </c>
      <c r="U188" s="553">
        <f>'Foglio deposito bis'!$F$52*IF(ABS(O188)&lt;'Progetto del paramento slu'!$G$58,ABS(O188)*'Progetto del paramento slu'!$G$54,'Progetto del paramento slu'!$G$53)*IF(O188&lt;0,-1,1)</f>
        <v>240946.49743184328</v>
      </c>
      <c r="V188" s="479">
        <f t="shared" si="15"/>
        <v>-532066.7672411364</v>
      </c>
      <c r="W188" s="559"/>
      <c r="X188" s="559"/>
    </row>
    <row r="189" spans="1:24" x14ac:dyDescent="0.25">
      <c r="A189" s="553">
        <f t="shared" si="14"/>
        <v>543511.33287036512</v>
      </c>
      <c r="B189" s="3">
        <f t="shared" si="16"/>
        <v>21.499999999999947</v>
      </c>
      <c r="C189" s="553">
        <f>'Foglio deposito bis'!$E$153/$B$247*B189</f>
        <v>87.280108254397689</v>
      </c>
      <c r="D189" s="611">
        <f>-'Progetto del paramento slu'!$G$47*'Progetto del paramento slu'!$G$41*IF(DATI!$G$218="dx",DATI!$E$61,DATI!$E$64*DATI!$E$63)*1000*C189^2*sezione!$AD$5*(1-sezione!$AD$6)</f>
        <v>-62709870.159799546</v>
      </c>
      <c r="E189" s="553">
        <f>-'Foglio deposito bis'!$F$48*(C189-sezione!$AL$27)*IF(ABS(K189)&lt;'Progetto del paramento slu'!$G$58,ABS(K189)*'Progetto del paramento slu'!$G$54,'Progetto del paramento slu'!$G$53)</f>
        <v>0</v>
      </c>
      <c r="F189" s="553">
        <f>-'Foglio deposito bis'!$F$49*(C189-sezione!$AM$27)*IF(ABS(L189)&lt;'Progetto del paramento slu'!$G$58,ABS(L189)*'Progetto del paramento slu'!$G$54,'Progetto del paramento slu'!$G$53)</f>
        <v>12850457.683169436</v>
      </c>
      <c r="G189" s="553">
        <f>-'Foglio deposito bis'!$F$50*(C189-sezione!$AN$27)*IF(ABS(M189)&lt;'Progetto del paramento slu'!$G$58,ABS(M189)*'Progetto del paramento slu'!$G$54,'Progetto del paramento slu'!$G$53)</f>
        <v>0</v>
      </c>
      <c r="H189" s="553">
        <f>-'Foglio deposito bis'!$F$51*(C189-sezione!$AO$27)*IF(ABS(N189)&lt;'Progetto del paramento slu'!$G$58,ABS(N189)*'Progetto del paramento slu'!$G$54,'Progetto del paramento slu'!$G$53)</f>
        <v>60891972.747457474</v>
      </c>
      <c r="I189" s="479">
        <f>-'Foglio deposito bis'!$F$52*(C189-sezione!$AP$27)*IF(ABS(O189)&lt;'Progetto del paramento slu'!$G$58,ABS(O189)*'Progetto del paramento slu'!$G$54,'Progetto del paramento slu'!$G$53)</f>
        <v>41616252.952910013</v>
      </c>
      <c r="J189" s="479">
        <f t="shared" si="13"/>
        <v>52648813.223737381</v>
      </c>
      <c r="K189" s="558">
        <f>'Progetto del paramento slu'!$G$60*(sezione!$AL$27-C189)/C189</f>
        <v>-1.8959689922480594E-3</v>
      </c>
      <c r="L189" s="558">
        <f>'Progetto del paramento slu'!$G$60*(sezione!$AM$27-C189)/C189</f>
        <v>2.5151162790697777E-3</v>
      </c>
      <c r="M189" s="559">
        <f>'Progetto del paramento slu'!$G$60*(sezione!$AN$27-C189)/C189</f>
        <v>6.926201550387613E-3</v>
      </c>
      <c r="N189" s="559">
        <f>'Progetto del paramento slu'!$G$60*(sezione!$AO$27-C189)/C189</f>
        <v>1.0134263565891494E-2</v>
      </c>
      <c r="O189" s="559">
        <f>'Progetto del paramento slu'!$G$60*(sezione!$AP$27-C189)/C189</f>
        <v>6.926201550387613E-3</v>
      </c>
      <c r="P189" s="553">
        <f>-'Progetto del paramento slu'!$G$47*'Progetto del paramento slu'!$G$41*IF(DATI!$G$218="dx",DATI!$E$61,DATI!$E$64*DATI!$E$63)*1000*C189*sezione!$AD$5</f>
        <v>-1230290.8051420818</v>
      </c>
      <c r="Q189" s="553">
        <f>'Foglio deposito bis'!$F$48*IF(ABS(K189)&lt;'Progetto del paramento slu'!$G$58,ABS(K189)*'Progetto del paramento slu'!$G$54,'Progetto del paramento slu'!$G$53)*IF(K189&lt;0,-1,1)</f>
        <v>0</v>
      </c>
      <c r="R189" s="553">
        <f>'Foglio deposito bis'!$F$49*IF(ABS(L189)&lt;'Progetto del paramento slu'!$G$58,ABS(L189)*'Progetto del paramento slu'!$G$54,'Progetto del paramento slu'!$G$53)*IF(L189&lt;0,-1,1)</f>
        <v>204886.47740803001</v>
      </c>
      <c r="S189" s="553">
        <f>'Foglio deposito bis'!$F$50*IF(ABS(M189)&lt;'Progetto del paramento slu'!$G$58,ABS(M189)*'Progetto del paramento slu'!$G$54,'Progetto del paramento slu'!$G$53)*IF(M189&lt;0,-1,1)</f>
        <v>0</v>
      </c>
      <c r="T189" s="553">
        <f>'Foglio deposito bis'!$F$51*IF(ABS(N189)&lt;'Progetto del paramento slu'!$G$58,ABS(N189)*'Progetto del paramento slu'!$G$54,'Progetto del paramento slu'!$G$53)*IF(N189&lt;0,-1,1)</f>
        <v>240946.49743184328</v>
      </c>
      <c r="U189" s="553">
        <f>'Foglio deposito bis'!$F$52*IF(ABS(O189)&lt;'Progetto del paramento slu'!$G$58,ABS(O189)*'Progetto del paramento slu'!$G$54,'Progetto del paramento slu'!$G$53)*IF(O189&lt;0,-1,1)</f>
        <v>240946.49743184328</v>
      </c>
      <c r="V189" s="479">
        <f t="shared" si="15"/>
        <v>-543511.33287036512</v>
      </c>
      <c r="W189" s="559"/>
      <c r="X189" s="559"/>
    </row>
    <row r="190" spans="1:24" x14ac:dyDescent="0.25">
      <c r="A190" s="553">
        <f t="shared" si="14"/>
        <v>554955.89849959384</v>
      </c>
      <c r="B190" s="3">
        <f t="shared" si="16"/>
        <v>21.699999999999946</v>
      </c>
      <c r="C190" s="553">
        <f>'Foglio deposito bis'!$E$153/$B$247*B190</f>
        <v>88.09201623815953</v>
      </c>
      <c r="D190" s="611">
        <f>-'Progetto del paramento slu'!$G$47*'Progetto del paramento slu'!$G$41*IF(DATI!$G$218="dx",DATI!$E$61,DATI!$E$64*DATI!$E$63)*1000*C190^2*sezione!$AD$5*(1-sezione!$AD$6)</f>
        <v>-63881991.908162281</v>
      </c>
      <c r="E190" s="553">
        <f>-'Foglio deposito bis'!$F$48*(C190-sezione!$AL$27)*IF(ABS(K190)&lt;'Progetto del paramento slu'!$G$58,ABS(K190)*'Progetto del paramento slu'!$G$54,'Progetto del paramento slu'!$G$53)</f>
        <v>0</v>
      </c>
      <c r="F190" s="553">
        <f>-'Foglio deposito bis'!$F$49*(C190-sezione!$AM$27)*IF(ABS(L190)&lt;'Progetto del paramento slu'!$G$58,ABS(L190)*'Progetto del paramento slu'!$G$54,'Progetto del paramento slu'!$G$53)</f>
        <v>12684108.716397015</v>
      </c>
      <c r="G190" s="553">
        <f>-'Foglio deposito bis'!$F$50*(C190-sezione!$AN$27)*IF(ABS(M190)&lt;'Progetto del paramento slu'!$G$58,ABS(M190)*'Progetto del paramento slu'!$G$54,'Progetto del paramento slu'!$G$53)</f>
        <v>0</v>
      </c>
      <c r="H190" s="553">
        <f>-'Foglio deposito bis'!$F$51*(C190-sezione!$AO$27)*IF(ABS(N190)&lt;'Progetto del paramento slu'!$G$58,ABS(N190)*'Progetto del paramento slu'!$G$54,'Progetto del paramento slu'!$G$53)</f>
        <v>60696346.362533107</v>
      </c>
      <c r="I190" s="479">
        <f>-'Foglio deposito bis'!$F$52*(C190-sezione!$AP$27)*IF(ABS(O190)&lt;'Progetto del paramento slu'!$G$58,ABS(O190)*'Progetto del paramento slu'!$G$54,'Progetto del paramento slu'!$G$53)</f>
        <v>41420626.567985646</v>
      </c>
      <c r="J190" s="479">
        <f t="shared" si="13"/>
        <v>50919089.73875349</v>
      </c>
      <c r="K190" s="558">
        <f>'Progetto del paramento slu'!$G$60*(sezione!$AL$27-C190)/C190</f>
        <v>-1.9107526881720403E-3</v>
      </c>
      <c r="L190" s="558">
        <f>'Progetto del paramento slu'!$G$60*(sezione!$AM$27-C190)/C190</f>
        <v>2.4596774193548485E-3</v>
      </c>
      <c r="M190" s="559">
        <f>'Progetto del paramento slu'!$G$60*(sezione!$AN$27-C190)/C190</f>
        <v>6.8301075268817372E-3</v>
      </c>
      <c r="N190" s="559">
        <f>'Progetto del paramento slu'!$G$60*(sezione!$AO$27-C190)/C190</f>
        <v>1.0008602150537657E-2</v>
      </c>
      <c r="O190" s="559">
        <f>'Progetto del paramento slu'!$G$60*(sezione!$AP$27-C190)/C190</f>
        <v>6.8301075268817372E-3</v>
      </c>
      <c r="P190" s="553">
        <f>-'Progetto del paramento slu'!$G$47*'Progetto del paramento slu'!$G$41*IF(DATI!$G$218="dx",DATI!$E$61,DATI!$E$64*DATI!$E$63)*1000*C190*sezione!$AD$5</f>
        <v>-1241735.3707713105</v>
      </c>
      <c r="Q190" s="553">
        <f>'Foglio deposito bis'!$F$48*IF(ABS(K190)&lt;'Progetto del paramento slu'!$G$58,ABS(K190)*'Progetto del paramento slu'!$G$54,'Progetto del paramento slu'!$G$53)*IF(K190&lt;0,-1,1)</f>
        <v>0</v>
      </c>
      <c r="R190" s="553">
        <f>'Foglio deposito bis'!$F$49*IF(ABS(L190)&lt;'Progetto del paramento slu'!$G$58,ABS(L190)*'Progetto del paramento slu'!$G$54,'Progetto del paramento slu'!$G$53)*IF(L190&lt;0,-1,1)</f>
        <v>204886.47740803001</v>
      </c>
      <c r="S190" s="553">
        <f>'Foglio deposito bis'!$F$50*IF(ABS(M190)&lt;'Progetto del paramento slu'!$G$58,ABS(M190)*'Progetto del paramento slu'!$G$54,'Progetto del paramento slu'!$G$53)*IF(M190&lt;0,-1,1)</f>
        <v>0</v>
      </c>
      <c r="T190" s="553">
        <f>'Foglio deposito bis'!$F$51*IF(ABS(N190)&lt;'Progetto del paramento slu'!$G$58,ABS(N190)*'Progetto del paramento slu'!$G$54,'Progetto del paramento slu'!$G$53)*IF(N190&lt;0,-1,1)</f>
        <v>240946.49743184328</v>
      </c>
      <c r="U190" s="553">
        <f>'Foglio deposito bis'!$F$52*IF(ABS(O190)&lt;'Progetto del paramento slu'!$G$58,ABS(O190)*'Progetto del paramento slu'!$G$54,'Progetto del paramento slu'!$G$53)*IF(O190&lt;0,-1,1)</f>
        <v>240946.49743184328</v>
      </c>
      <c r="V190" s="479">
        <f t="shared" si="15"/>
        <v>-554955.89849959384</v>
      </c>
      <c r="W190" s="559"/>
      <c r="X190" s="559"/>
    </row>
    <row r="191" spans="1:24" x14ac:dyDescent="0.25">
      <c r="A191" s="553">
        <f t="shared" si="14"/>
        <v>566400.46412882232</v>
      </c>
      <c r="B191" s="3">
        <f t="shared" si="16"/>
        <v>21.899999999999945</v>
      </c>
      <c r="C191" s="553">
        <f>'Foglio deposito bis'!$E$153/$B$247*B191</f>
        <v>88.903924221921358</v>
      </c>
      <c r="D191" s="611">
        <f>-'Progetto del paramento slu'!$G$47*'Progetto del paramento slu'!$G$41*IF(DATI!$G$218="dx",DATI!$E$61,DATI!$E$64*DATI!$E$63)*1000*C191^2*sezione!$AD$5*(1-sezione!$AD$6)</f>
        <v>-65064966.635676481</v>
      </c>
      <c r="E191" s="553">
        <f>-'Foglio deposito bis'!$F$48*(C191-sezione!$AL$27)*IF(ABS(K191)&lt;'Progetto del paramento slu'!$G$58,ABS(K191)*'Progetto del paramento slu'!$G$54,'Progetto del paramento slu'!$G$53)</f>
        <v>0</v>
      </c>
      <c r="F191" s="553">
        <f>-'Foglio deposito bis'!$F$49*(C191-sezione!$AM$27)*IF(ABS(L191)&lt;'Progetto del paramento slu'!$G$58,ABS(L191)*'Progetto del paramento slu'!$G$54,'Progetto del paramento slu'!$G$53)</f>
        <v>12517759.749624599</v>
      </c>
      <c r="G191" s="553">
        <f>-'Foglio deposito bis'!$F$50*(C191-sezione!$AN$27)*IF(ABS(M191)&lt;'Progetto del paramento slu'!$G$58,ABS(M191)*'Progetto del paramento slu'!$G$54,'Progetto del paramento slu'!$G$53)</f>
        <v>0</v>
      </c>
      <c r="H191" s="553">
        <f>-'Foglio deposito bis'!$F$51*(C191-sezione!$AO$27)*IF(ABS(N191)&lt;'Progetto del paramento slu'!$G$58,ABS(N191)*'Progetto del paramento slu'!$G$54,'Progetto del paramento slu'!$G$53)</f>
        <v>60500719.977608748</v>
      </c>
      <c r="I191" s="479">
        <f>-'Foglio deposito bis'!$F$52*(C191-sezione!$AP$27)*IF(ABS(O191)&lt;'Progetto del paramento slu'!$G$58,ABS(O191)*'Progetto del paramento slu'!$G$54,'Progetto del paramento slu'!$G$53)</f>
        <v>41225000.183061287</v>
      </c>
      <c r="J191" s="479">
        <f t="shared" si="13"/>
        <v>49178513.274618156</v>
      </c>
      <c r="K191" s="558">
        <f>'Progetto del paramento slu'!$G$60*(sezione!$AL$27-C191)/C191</f>
        <v>-1.9252663622526607E-3</v>
      </c>
      <c r="L191" s="558">
        <f>'Progetto del paramento slu'!$G$60*(sezione!$AM$27-C191)/C191</f>
        <v>2.4052511415525221E-3</v>
      </c>
      <c r="M191" s="559">
        <f>'Progetto del paramento slu'!$G$60*(sezione!$AN$27-C191)/C191</f>
        <v>6.7357686453577053E-3</v>
      </c>
      <c r="N191" s="559">
        <f>'Progetto del paramento slu'!$G$60*(sezione!$AO$27-C191)/C191</f>
        <v>9.8852359208523831E-3</v>
      </c>
      <c r="O191" s="559">
        <f>'Progetto del paramento slu'!$G$60*(sezione!$AP$27-C191)/C191</f>
        <v>6.7357686453577053E-3</v>
      </c>
      <c r="P191" s="553">
        <f>-'Progetto del paramento slu'!$G$47*'Progetto del paramento slu'!$G$41*IF(DATI!$G$218="dx",DATI!$E$61,DATI!$E$64*DATI!$E$63)*1000*C191*sezione!$AD$5</f>
        <v>-1253179.936400539</v>
      </c>
      <c r="Q191" s="553">
        <f>'Foglio deposito bis'!$F$48*IF(ABS(K191)&lt;'Progetto del paramento slu'!$G$58,ABS(K191)*'Progetto del paramento slu'!$G$54,'Progetto del paramento slu'!$G$53)*IF(K191&lt;0,-1,1)</f>
        <v>0</v>
      </c>
      <c r="R191" s="553">
        <f>'Foglio deposito bis'!$F$49*IF(ABS(L191)&lt;'Progetto del paramento slu'!$G$58,ABS(L191)*'Progetto del paramento slu'!$G$54,'Progetto del paramento slu'!$G$53)*IF(L191&lt;0,-1,1)</f>
        <v>204886.47740803001</v>
      </c>
      <c r="S191" s="553">
        <f>'Foglio deposito bis'!$F$50*IF(ABS(M191)&lt;'Progetto del paramento slu'!$G$58,ABS(M191)*'Progetto del paramento slu'!$G$54,'Progetto del paramento slu'!$G$53)*IF(M191&lt;0,-1,1)</f>
        <v>0</v>
      </c>
      <c r="T191" s="553">
        <f>'Foglio deposito bis'!$F$51*IF(ABS(N191)&lt;'Progetto del paramento slu'!$G$58,ABS(N191)*'Progetto del paramento slu'!$G$54,'Progetto del paramento slu'!$G$53)*IF(N191&lt;0,-1,1)</f>
        <v>240946.49743184328</v>
      </c>
      <c r="U191" s="553">
        <f>'Foglio deposito bis'!$F$52*IF(ABS(O191)&lt;'Progetto del paramento slu'!$G$58,ABS(O191)*'Progetto del paramento slu'!$G$54,'Progetto del paramento slu'!$G$53)*IF(O191&lt;0,-1,1)</f>
        <v>240946.49743184328</v>
      </c>
      <c r="V191" s="479">
        <f t="shared" si="15"/>
        <v>-566400.46412882232</v>
      </c>
      <c r="W191" s="559"/>
      <c r="X191" s="559"/>
    </row>
    <row r="192" spans="1:24" x14ac:dyDescent="0.25">
      <c r="A192" s="553">
        <f t="shared" si="14"/>
        <v>577845.02975805104</v>
      </c>
      <c r="B192" s="3">
        <f t="shared" si="16"/>
        <v>22.099999999999945</v>
      </c>
      <c r="C192" s="553">
        <f>'Foglio deposito bis'!$E$153/$B$247*B192</f>
        <v>89.715832205683199</v>
      </c>
      <c r="D192" s="611">
        <f>-'Progetto del paramento slu'!$G$47*'Progetto del paramento slu'!$G$41*IF(DATI!$G$218="dx",DATI!$E$61,DATI!$E$64*DATI!$E$63)*1000*C192^2*sezione!$AD$5*(1-sezione!$AD$6)</f>
        <v>-66258794.342342228</v>
      </c>
      <c r="E192" s="553">
        <f>-'Foglio deposito bis'!$F$48*(C192-sezione!$AL$27)*IF(ABS(K192)&lt;'Progetto del paramento slu'!$G$58,ABS(K192)*'Progetto del paramento slu'!$G$54,'Progetto del paramento slu'!$G$53)</f>
        <v>0</v>
      </c>
      <c r="F192" s="553">
        <f>-'Foglio deposito bis'!$F$49*(C192-sezione!$AM$27)*IF(ABS(L192)&lt;'Progetto del paramento slu'!$G$58,ABS(L192)*'Progetto del paramento slu'!$G$54,'Progetto del paramento slu'!$G$53)</f>
        <v>12351410.78285218</v>
      </c>
      <c r="G192" s="553">
        <f>-'Foglio deposito bis'!$F$50*(C192-sezione!$AN$27)*IF(ABS(M192)&lt;'Progetto del paramento slu'!$G$58,ABS(M192)*'Progetto del paramento slu'!$G$54,'Progetto del paramento slu'!$G$53)</f>
        <v>0</v>
      </c>
      <c r="H192" s="553">
        <f>-'Foglio deposito bis'!$F$51*(C192-sezione!$AO$27)*IF(ABS(N192)&lt;'Progetto del paramento slu'!$G$58,ABS(N192)*'Progetto del paramento slu'!$G$54,'Progetto del paramento slu'!$G$53)</f>
        <v>60305093.592684388</v>
      </c>
      <c r="I192" s="479">
        <f>-'Foglio deposito bis'!$F$52*(C192-sezione!$AP$27)*IF(ABS(O192)&lt;'Progetto del paramento slu'!$G$58,ABS(O192)*'Progetto del paramento slu'!$G$54,'Progetto del paramento slu'!$G$53)</f>
        <v>41029373.798136927</v>
      </c>
      <c r="J192" s="479">
        <f t="shared" si="13"/>
        <v>47427083.831331268</v>
      </c>
      <c r="K192" s="558">
        <f>'Progetto del paramento slu'!$G$60*(sezione!$AL$27-C192)/C192</f>
        <v>-1.9395173453996956E-3</v>
      </c>
      <c r="L192" s="558">
        <f>'Progetto del paramento slu'!$G$60*(sezione!$AM$27-C192)/C192</f>
        <v>2.3518099547511417E-3</v>
      </c>
      <c r="M192" s="559">
        <f>'Progetto del paramento slu'!$G$60*(sezione!$AN$27-C192)/C192</f>
        <v>6.6431372549019783E-3</v>
      </c>
      <c r="N192" s="559">
        <f>'Progetto del paramento slu'!$G$60*(sezione!$AO$27-C192)/C192</f>
        <v>9.7641025641025878E-3</v>
      </c>
      <c r="O192" s="559">
        <f>'Progetto del paramento slu'!$G$60*(sezione!$AP$27-C192)/C192</f>
        <v>6.6431372549019783E-3</v>
      </c>
      <c r="P192" s="553">
        <f>-'Progetto del paramento slu'!$G$47*'Progetto del paramento slu'!$G$41*IF(DATI!$G$218="dx",DATI!$E$61,DATI!$E$64*DATI!$E$63)*1000*C192*sezione!$AD$5</f>
        <v>-1264624.5020297677</v>
      </c>
      <c r="Q192" s="553">
        <f>'Foglio deposito bis'!$F$48*IF(ABS(K192)&lt;'Progetto del paramento slu'!$G$58,ABS(K192)*'Progetto del paramento slu'!$G$54,'Progetto del paramento slu'!$G$53)*IF(K192&lt;0,-1,1)</f>
        <v>0</v>
      </c>
      <c r="R192" s="553">
        <f>'Foglio deposito bis'!$F$49*IF(ABS(L192)&lt;'Progetto del paramento slu'!$G$58,ABS(L192)*'Progetto del paramento slu'!$G$54,'Progetto del paramento slu'!$G$53)*IF(L192&lt;0,-1,1)</f>
        <v>204886.47740803001</v>
      </c>
      <c r="S192" s="553">
        <f>'Foglio deposito bis'!$F$50*IF(ABS(M192)&lt;'Progetto del paramento slu'!$G$58,ABS(M192)*'Progetto del paramento slu'!$G$54,'Progetto del paramento slu'!$G$53)*IF(M192&lt;0,-1,1)</f>
        <v>0</v>
      </c>
      <c r="T192" s="553">
        <f>'Foglio deposito bis'!$F$51*IF(ABS(N192)&lt;'Progetto del paramento slu'!$G$58,ABS(N192)*'Progetto del paramento slu'!$G$54,'Progetto del paramento slu'!$G$53)*IF(N192&lt;0,-1,1)</f>
        <v>240946.49743184328</v>
      </c>
      <c r="U192" s="553">
        <f>'Foglio deposito bis'!$F$52*IF(ABS(O192)&lt;'Progetto del paramento slu'!$G$58,ABS(O192)*'Progetto del paramento slu'!$G$54,'Progetto del paramento slu'!$G$53)*IF(O192&lt;0,-1,1)</f>
        <v>240946.49743184328</v>
      </c>
      <c r="V192" s="479">
        <f t="shared" si="15"/>
        <v>-577845.02975805104</v>
      </c>
      <c r="W192" s="559"/>
      <c r="X192" s="559"/>
    </row>
    <row r="193" spans="1:24" x14ac:dyDescent="0.25">
      <c r="A193" s="553">
        <f t="shared" si="14"/>
        <v>589289.59538727975</v>
      </c>
      <c r="B193" s="3">
        <f t="shared" si="16"/>
        <v>22.299999999999944</v>
      </c>
      <c r="C193" s="553">
        <f>'Foglio deposito bis'!$E$153/$B$247*B193</f>
        <v>90.527740189445041</v>
      </c>
      <c r="D193" s="611">
        <f>-'Progetto del paramento slu'!$G$47*'Progetto del paramento slu'!$G$41*IF(DATI!$G$218="dx",DATI!$E$61,DATI!$E$64*DATI!$E$63)*1000*C193^2*sezione!$AD$5*(1-sezione!$AD$6)</f>
        <v>-67463475.028159469</v>
      </c>
      <c r="E193" s="553">
        <f>-'Foglio deposito bis'!$F$48*(C193-sezione!$AL$27)*IF(ABS(K193)&lt;'Progetto del paramento slu'!$G$58,ABS(K193)*'Progetto del paramento slu'!$G$54,'Progetto del paramento slu'!$G$53)</f>
        <v>0</v>
      </c>
      <c r="F193" s="553">
        <f>-'Foglio deposito bis'!$F$49*(C193-sezione!$AM$27)*IF(ABS(L193)&lt;'Progetto del paramento slu'!$G$58,ABS(L193)*'Progetto del paramento slu'!$G$54,'Progetto del paramento slu'!$G$53)</f>
        <v>12185061.81607976</v>
      </c>
      <c r="G193" s="553">
        <f>-'Foglio deposito bis'!$F$50*(C193-sezione!$AN$27)*IF(ABS(M193)&lt;'Progetto del paramento slu'!$G$58,ABS(M193)*'Progetto del paramento slu'!$G$54,'Progetto del paramento slu'!$G$53)</f>
        <v>0</v>
      </c>
      <c r="H193" s="553">
        <f>-'Foglio deposito bis'!$F$51*(C193-sezione!$AO$27)*IF(ABS(N193)&lt;'Progetto del paramento slu'!$G$58,ABS(N193)*'Progetto del paramento slu'!$G$54,'Progetto del paramento slu'!$G$53)</f>
        <v>60109467.207760014</v>
      </c>
      <c r="I193" s="479">
        <f>-'Foglio deposito bis'!$F$52*(C193-sezione!$AP$27)*IF(ABS(O193)&lt;'Progetto del paramento slu'!$G$58,ABS(O193)*'Progetto del paramento slu'!$G$54,'Progetto del paramento slu'!$G$53)</f>
        <v>40833747.41321256</v>
      </c>
      <c r="J193" s="479">
        <f t="shared" si="13"/>
        <v>45664801.408892862</v>
      </c>
      <c r="K193" s="558">
        <f>'Progetto del paramento slu'!$G$60*(sezione!$AL$27-C193)/C193</f>
        <v>-1.9535127055306401E-3</v>
      </c>
      <c r="L193" s="558">
        <f>'Progetto del paramento slu'!$G$60*(sezione!$AM$27-C193)/C193</f>
        <v>2.2993273542600999E-3</v>
      </c>
      <c r="M193" s="559">
        <f>'Progetto del paramento slu'!$G$60*(sezione!$AN$27-C193)/C193</f>
        <v>6.5521674140508399E-3</v>
      </c>
      <c r="N193" s="559">
        <f>'Progetto del paramento slu'!$G$60*(sezione!$AO$27-C193)/C193</f>
        <v>9.6451420029895589E-3</v>
      </c>
      <c r="O193" s="559">
        <f>'Progetto del paramento slu'!$G$60*(sezione!$AP$27-C193)/C193</f>
        <v>6.5521674140508399E-3</v>
      </c>
      <c r="P193" s="553">
        <f>-'Progetto del paramento slu'!$G$47*'Progetto del paramento slu'!$G$41*IF(DATI!$G$218="dx",DATI!$E$61,DATI!$E$64*DATI!$E$63)*1000*C193*sezione!$AD$5</f>
        <v>-1276069.0676589964</v>
      </c>
      <c r="Q193" s="553">
        <f>'Foglio deposito bis'!$F$48*IF(ABS(K193)&lt;'Progetto del paramento slu'!$G$58,ABS(K193)*'Progetto del paramento slu'!$G$54,'Progetto del paramento slu'!$G$53)*IF(K193&lt;0,-1,1)</f>
        <v>0</v>
      </c>
      <c r="R193" s="553">
        <f>'Foglio deposito bis'!$F$49*IF(ABS(L193)&lt;'Progetto del paramento slu'!$G$58,ABS(L193)*'Progetto del paramento slu'!$G$54,'Progetto del paramento slu'!$G$53)*IF(L193&lt;0,-1,1)</f>
        <v>204886.47740803001</v>
      </c>
      <c r="S193" s="553">
        <f>'Foglio deposito bis'!$F$50*IF(ABS(M193)&lt;'Progetto del paramento slu'!$G$58,ABS(M193)*'Progetto del paramento slu'!$G$54,'Progetto del paramento slu'!$G$53)*IF(M193&lt;0,-1,1)</f>
        <v>0</v>
      </c>
      <c r="T193" s="553">
        <f>'Foglio deposito bis'!$F$51*IF(ABS(N193)&lt;'Progetto del paramento slu'!$G$58,ABS(N193)*'Progetto del paramento slu'!$G$54,'Progetto del paramento slu'!$G$53)*IF(N193&lt;0,-1,1)</f>
        <v>240946.49743184328</v>
      </c>
      <c r="U193" s="553">
        <f>'Foglio deposito bis'!$F$52*IF(ABS(O193)&lt;'Progetto del paramento slu'!$G$58,ABS(O193)*'Progetto del paramento slu'!$G$54,'Progetto del paramento slu'!$G$53)*IF(O193&lt;0,-1,1)</f>
        <v>240946.49743184328</v>
      </c>
      <c r="V193" s="479">
        <f t="shared" si="15"/>
        <v>-589289.59538727975</v>
      </c>
      <c r="W193" s="559"/>
      <c r="X193" s="559"/>
    </row>
    <row r="194" spans="1:24" x14ac:dyDescent="0.25">
      <c r="A194" s="553">
        <f t="shared" si="14"/>
        <v>600734.16101650847</v>
      </c>
      <c r="B194" s="3">
        <f t="shared" si="16"/>
        <v>22.499999999999943</v>
      </c>
      <c r="C194" s="553">
        <f>'Foglio deposito bis'!$E$153/$B$247*B194</f>
        <v>91.339648173206882</v>
      </c>
      <c r="D194" s="611">
        <f>-'Progetto del paramento slu'!$G$47*'Progetto del paramento slu'!$G$41*IF(DATI!$G$218="dx",DATI!$E$61,DATI!$E$64*DATI!$E$63)*1000*C194^2*sezione!$AD$5*(1-sezione!$AD$6)</f>
        <v>-68679008.693128228</v>
      </c>
      <c r="E194" s="553">
        <f>-'Foglio deposito bis'!$F$48*(C194-sezione!$AL$27)*IF(ABS(K194)&lt;'Progetto del paramento slu'!$G$58,ABS(K194)*'Progetto del paramento slu'!$G$54,'Progetto del paramento slu'!$G$53)</f>
        <v>0</v>
      </c>
      <c r="F194" s="553">
        <f>-'Foglio deposito bis'!$F$49*(C194-sezione!$AM$27)*IF(ABS(L194)&lt;'Progetto del paramento slu'!$G$58,ABS(L194)*'Progetto del paramento slu'!$G$54,'Progetto del paramento slu'!$G$53)</f>
        <v>12018712.84930734</v>
      </c>
      <c r="G194" s="553">
        <f>-'Foglio deposito bis'!$F$50*(C194-sezione!$AN$27)*IF(ABS(M194)&lt;'Progetto del paramento slu'!$G$58,ABS(M194)*'Progetto del paramento slu'!$G$54,'Progetto del paramento slu'!$G$53)</f>
        <v>0</v>
      </c>
      <c r="H194" s="553">
        <f>-'Foglio deposito bis'!$F$51*(C194-sezione!$AO$27)*IF(ABS(N194)&lt;'Progetto del paramento slu'!$G$58,ABS(N194)*'Progetto del paramento slu'!$G$54,'Progetto del paramento slu'!$G$53)</f>
        <v>59913840.822835654</v>
      </c>
      <c r="I194" s="479">
        <f>-'Foglio deposito bis'!$F$52*(C194-sezione!$AP$27)*IF(ABS(O194)&lt;'Progetto del paramento slu'!$G$58,ABS(O194)*'Progetto del paramento slu'!$G$54,'Progetto del paramento slu'!$G$53)</f>
        <v>40638121.028288193</v>
      </c>
      <c r="J194" s="479">
        <f t="shared" si="13"/>
        <v>43891666.007302962</v>
      </c>
      <c r="K194" s="558">
        <f>'Progetto del paramento slu'!$G$60*(sezione!$AL$27-C194)/C194</f>
        <v>-1.9672592592592567E-3</v>
      </c>
      <c r="L194" s="558">
        <f>'Progetto del paramento slu'!$G$60*(sezione!$AM$27-C194)/C194</f>
        <v>2.2477777777777873E-3</v>
      </c>
      <c r="M194" s="559">
        <f>'Progetto del paramento slu'!$G$60*(sezione!$AN$27-C194)/C194</f>
        <v>6.4628148148148318E-3</v>
      </c>
      <c r="N194" s="559">
        <f>'Progetto del paramento slu'!$G$60*(sezione!$AO$27-C194)/C194</f>
        <v>9.5282962962963194E-3</v>
      </c>
      <c r="O194" s="559">
        <f>'Progetto del paramento slu'!$G$60*(sezione!$AP$27-C194)/C194</f>
        <v>6.4628148148148318E-3</v>
      </c>
      <c r="P194" s="553">
        <f>-'Progetto del paramento slu'!$G$47*'Progetto del paramento slu'!$G$41*IF(DATI!$G$218="dx",DATI!$E$61,DATI!$E$64*DATI!$E$63)*1000*C194*sezione!$AD$5</f>
        <v>-1287513.6332882252</v>
      </c>
      <c r="Q194" s="553">
        <f>'Foglio deposito bis'!$F$48*IF(ABS(K194)&lt;'Progetto del paramento slu'!$G$58,ABS(K194)*'Progetto del paramento slu'!$G$54,'Progetto del paramento slu'!$G$53)*IF(K194&lt;0,-1,1)</f>
        <v>0</v>
      </c>
      <c r="R194" s="553">
        <f>'Foglio deposito bis'!$F$49*IF(ABS(L194)&lt;'Progetto del paramento slu'!$G$58,ABS(L194)*'Progetto del paramento slu'!$G$54,'Progetto del paramento slu'!$G$53)*IF(L194&lt;0,-1,1)</f>
        <v>204886.47740803001</v>
      </c>
      <c r="S194" s="553">
        <f>'Foglio deposito bis'!$F$50*IF(ABS(M194)&lt;'Progetto del paramento slu'!$G$58,ABS(M194)*'Progetto del paramento slu'!$G$54,'Progetto del paramento slu'!$G$53)*IF(M194&lt;0,-1,1)</f>
        <v>0</v>
      </c>
      <c r="T194" s="553">
        <f>'Foglio deposito bis'!$F$51*IF(ABS(N194)&lt;'Progetto del paramento slu'!$G$58,ABS(N194)*'Progetto del paramento slu'!$G$54,'Progetto del paramento slu'!$G$53)*IF(N194&lt;0,-1,1)</f>
        <v>240946.49743184328</v>
      </c>
      <c r="U194" s="553">
        <f>'Foglio deposito bis'!$F$52*IF(ABS(O194)&lt;'Progetto del paramento slu'!$G$58,ABS(O194)*'Progetto del paramento slu'!$G$54,'Progetto del paramento slu'!$G$53)*IF(O194&lt;0,-1,1)</f>
        <v>240946.49743184328</v>
      </c>
      <c r="V194" s="479">
        <f t="shared" si="15"/>
        <v>-600734.16101650847</v>
      </c>
      <c r="W194" s="559"/>
      <c r="X194" s="559"/>
    </row>
    <row r="195" spans="1:24" x14ac:dyDescent="0.25">
      <c r="A195" s="553">
        <f t="shared" si="14"/>
        <v>612178.72664573696</v>
      </c>
      <c r="B195" s="3">
        <f t="shared" si="16"/>
        <v>22.699999999999942</v>
      </c>
      <c r="C195" s="553">
        <f>'Foglio deposito bis'!$E$153/$B$247*B195</f>
        <v>92.151556156968709</v>
      </c>
      <c r="D195" s="611">
        <f>-'Progetto del paramento slu'!$G$47*'Progetto del paramento slu'!$G$41*IF(DATI!$G$218="dx",DATI!$E$61,DATI!$E$64*DATI!$E$63)*1000*C195^2*sezione!$AD$5*(1-sezione!$AD$6)</f>
        <v>-69905395.337248459</v>
      </c>
      <c r="E195" s="553">
        <f>-'Foglio deposito bis'!$F$48*(C195-sezione!$AL$27)*IF(ABS(K195)&lt;'Progetto del paramento slu'!$G$58,ABS(K195)*'Progetto del paramento slu'!$G$54,'Progetto del paramento slu'!$G$53)</f>
        <v>0</v>
      </c>
      <c r="F195" s="553">
        <f>-'Foglio deposito bis'!$F$49*(C195-sezione!$AM$27)*IF(ABS(L195)&lt;'Progetto del paramento slu'!$G$58,ABS(L195)*'Progetto del paramento slu'!$G$54,'Progetto del paramento slu'!$G$53)</f>
        <v>11852363.882534923</v>
      </c>
      <c r="G195" s="553">
        <f>-'Foglio deposito bis'!$F$50*(C195-sezione!$AN$27)*IF(ABS(M195)&lt;'Progetto del paramento slu'!$G$58,ABS(M195)*'Progetto del paramento slu'!$G$54,'Progetto del paramento slu'!$G$53)</f>
        <v>0</v>
      </c>
      <c r="H195" s="553">
        <f>-'Foglio deposito bis'!$F$51*(C195-sezione!$AO$27)*IF(ABS(N195)&lt;'Progetto del paramento slu'!$G$58,ABS(N195)*'Progetto del paramento slu'!$G$54,'Progetto del paramento slu'!$G$53)</f>
        <v>59718214.437911294</v>
      </c>
      <c r="I195" s="479">
        <f>-'Foglio deposito bis'!$F$52*(C195-sezione!$AP$27)*IF(ABS(O195)&lt;'Progetto del paramento slu'!$G$58,ABS(O195)*'Progetto del paramento slu'!$G$54,'Progetto del paramento slu'!$G$53)</f>
        <v>40442494.643363833</v>
      </c>
      <c r="J195" s="479">
        <f t="shared" si="13"/>
        <v>42107677.62656159</v>
      </c>
      <c r="K195" s="558">
        <f>'Progetto del paramento slu'!$G$60*(sezione!$AL$27-C195)/C195</f>
        <v>-1.9807635829662234E-3</v>
      </c>
      <c r="L195" s="558">
        <f>'Progetto del paramento slu'!$G$60*(sezione!$AM$27-C195)/C195</f>
        <v>2.1971365638766625E-3</v>
      </c>
      <c r="M195" s="559">
        <f>'Progetto del paramento slu'!$G$60*(sezione!$AN$27-C195)/C195</f>
        <v>6.3750367107195489E-3</v>
      </c>
      <c r="N195" s="559">
        <f>'Progetto del paramento slu'!$G$60*(sezione!$AO$27-C195)/C195</f>
        <v>9.413509544787103E-3</v>
      </c>
      <c r="O195" s="559">
        <f>'Progetto del paramento slu'!$G$60*(sezione!$AP$27-C195)/C195</f>
        <v>6.3750367107195489E-3</v>
      </c>
      <c r="P195" s="553">
        <f>-'Progetto del paramento slu'!$G$47*'Progetto del paramento slu'!$G$41*IF(DATI!$G$218="dx",DATI!$E$61,DATI!$E$64*DATI!$E$63)*1000*C195*sezione!$AD$5</f>
        <v>-1298958.1989174536</v>
      </c>
      <c r="Q195" s="553">
        <f>'Foglio deposito bis'!$F$48*IF(ABS(K195)&lt;'Progetto del paramento slu'!$G$58,ABS(K195)*'Progetto del paramento slu'!$G$54,'Progetto del paramento slu'!$G$53)*IF(K195&lt;0,-1,1)</f>
        <v>0</v>
      </c>
      <c r="R195" s="553">
        <f>'Foglio deposito bis'!$F$49*IF(ABS(L195)&lt;'Progetto del paramento slu'!$G$58,ABS(L195)*'Progetto del paramento slu'!$G$54,'Progetto del paramento slu'!$G$53)*IF(L195&lt;0,-1,1)</f>
        <v>204886.47740803001</v>
      </c>
      <c r="S195" s="553">
        <f>'Foglio deposito bis'!$F$50*IF(ABS(M195)&lt;'Progetto del paramento slu'!$G$58,ABS(M195)*'Progetto del paramento slu'!$G$54,'Progetto del paramento slu'!$G$53)*IF(M195&lt;0,-1,1)</f>
        <v>0</v>
      </c>
      <c r="T195" s="553">
        <f>'Foglio deposito bis'!$F$51*IF(ABS(N195)&lt;'Progetto del paramento slu'!$G$58,ABS(N195)*'Progetto del paramento slu'!$G$54,'Progetto del paramento slu'!$G$53)*IF(N195&lt;0,-1,1)</f>
        <v>240946.49743184328</v>
      </c>
      <c r="U195" s="553">
        <f>'Foglio deposito bis'!$F$52*IF(ABS(O195)&lt;'Progetto del paramento slu'!$G$58,ABS(O195)*'Progetto del paramento slu'!$G$54,'Progetto del paramento slu'!$G$53)*IF(O195&lt;0,-1,1)</f>
        <v>240946.49743184328</v>
      </c>
      <c r="V195" s="479">
        <f t="shared" si="15"/>
        <v>-612178.72664573696</v>
      </c>
      <c r="W195" s="559"/>
      <c r="X195" s="559"/>
    </row>
    <row r="196" spans="1:24" x14ac:dyDescent="0.25">
      <c r="A196" s="553">
        <f t="shared" si="14"/>
        <v>623623.29227496567</v>
      </c>
      <c r="B196" s="3">
        <f t="shared" si="16"/>
        <v>22.899999999999942</v>
      </c>
      <c r="C196" s="553">
        <f>'Foglio deposito bis'!$E$153/$B$247*B196</f>
        <v>92.963464140730551</v>
      </c>
      <c r="D196" s="611">
        <f>-'Progetto del paramento slu'!$G$47*'Progetto del paramento slu'!$G$41*IF(DATI!$G$218="dx",DATI!$E$61,DATI!$E$64*DATI!$E$63)*1000*C196^2*sezione!$AD$5*(1-sezione!$AD$6)</f>
        <v>-71142634.960520223</v>
      </c>
      <c r="E196" s="553">
        <f>-'Foglio deposito bis'!$F$48*(C196-sezione!$AL$27)*IF(ABS(K196)&lt;'Progetto del paramento slu'!$G$58,ABS(K196)*'Progetto del paramento slu'!$G$54,'Progetto del paramento slu'!$G$53)</f>
        <v>0</v>
      </c>
      <c r="F196" s="553">
        <f>-'Foglio deposito bis'!$F$49*(C196-sezione!$AM$27)*IF(ABS(L196)&lt;'Progetto del paramento slu'!$G$58,ABS(L196)*'Progetto del paramento slu'!$G$54,'Progetto del paramento slu'!$G$53)</f>
        <v>11686014.915762505</v>
      </c>
      <c r="G196" s="553">
        <f>-'Foglio deposito bis'!$F$50*(C196-sezione!$AN$27)*IF(ABS(M196)&lt;'Progetto del paramento slu'!$G$58,ABS(M196)*'Progetto del paramento slu'!$G$54,'Progetto del paramento slu'!$G$53)</f>
        <v>0</v>
      </c>
      <c r="H196" s="553">
        <f>-'Foglio deposito bis'!$F$51*(C196-sezione!$AO$27)*IF(ABS(N196)&lt;'Progetto del paramento slu'!$G$58,ABS(N196)*'Progetto del paramento slu'!$G$54,'Progetto del paramento slu'!$G$53)</f>
        <v>59522588.052986927</v>
      </c>
      <c r="I196" s="479">
        <f>-'Foglio deposito bis'!$F$52*(C196-sezione!$AP$27)*IF(ABS(O196)&lt;'Progetto del paramento slu'!$G$58,ABS(O196)*'Progetto del paramento slu'!$G$54,'Progetto del paramento slu'!$G$53)</f>
        <v>40246868.258439466</v>
      </c>
      <c r="J196" s="479">
        <f t="shared" si="13"/>
        <v>40312836.266668677</v>
      </c>
      <c r="K196" s="558">
        <f>'Progetto del paramento slu'!$G$60*(sezione!$AL$27-C196)/C196</f>
        <v>-1.9940320232896625E-3</v>
      </c>
      <c r="L196" s="558">
        <f>'Progetto del paramento slu'!$G$60*(sezione!$AM$27-C196)/C196</f>
        <v>2.1473799126637654E-3</v>
      </c>
      <c r="M196" s="559">
        <f>'Progetto del paramento slu'!$G$60*(sezione!$AN$27-C196)/C196</f>
        <v>6.288791848617194E-3</v>
      </c>
      <c r="N196" s="559">
        <f>'Progetto del paramento slu'!$G$60*(sezione!$AO$27-C196)/C196</f>
        <v>9.3007278020378701E-3</v>
      </c>
      <c r="O196" s="559">
        <f>'Progetto del paramento slu'!$G$60*(sezione!$AP$27-C196)/C196</f>
        <v>6.288791848617194E-3</v>
      </c>
      <c r="P196" s="553">
        <f>-'Progetto del paramento slu'!$G$47*'Progetto del paramento slu'!$G$41*IF(DATI!$G$218="dx",DATI!$E$61,DATI!$E$64*DATI!$E$63)*1000*C196*sezione!$AD$5</f>
        <v>-1310402.7645466824</v>
      </c>
      <c r="Q196" s="553">
        <f>'Foglio deposito bis'!$F$48*IF(ABS(K196)&lt;'Progetto del paramento slu'!$G$58,ABS(K196)*'Progetto del paramento slu'!$G$54,'Progetto del paramento slu'!$G$53)*IF(K196&lt;0,-1,1)</f>
        <v>0</v>
      </c>
      <c r="R196" s="553">
        <f>'Foglio deposito bis'!$F$49*IF(ABS(L196)&lt;'Progetto del paramento slu'!$G$58,ABS(L196)*'Progetto del paramento slu'!$G$54,'Progetto del paramento slu'!$G$53)*IF(L196&lt;0,-1,1)</f>
        <v>204886.47740803001</v>
      </c>
      <c r="S196" s="553">
        <f>'Foglio deposito bis'!$F$50*IF(ABS(M196)&lt;'Progetto del paramento slu'!$G$58,ABS(M196)*'Progetto del paramento slu'!$G$54,'Progetto del paramento slu'!$G$53)*IF(M196&lt;0,-1,1)</f>
        <v>0</v>
      </c>
      <c r="T196" s="553">
        <f>'Foglio deposito bis'!$F$51*IF(ABS(N196)&lt;'Progetto del paramento slu'!$G$58,ABS(N196)*'Progetto del paramento slu'!$G$54,'Progetto del paramento slu'!$G$53)*IF(N196&lt;0,-1,1)</f>
        <v>240946.49743184328</v>
      </c>
      <c r="U196" s="553">
        <f>'Foglio deposito bis'!$F$52*IF(ABS(O196)&lt;'Progetto del paramento slu'!$G$58,ABS(O196)*'Progetto del paramento slu'!$G$54,'Progetto del paramento slu'!$G$53)*IF(O196&lt;0,-1,1)</f>
        <v>240946.49743184328</v>
      </c>
      <c r="V196" s="479">
        <f t="shared" si="15"/>
        <v>-623623.29227496567</v>
      </c>
      <c r="W196" s="559"/>
      <c r="X196" s="559"/>
    </row>
    <row r="197" spans="1:24" x14ac:dyDescent="0.25">
      <c r="A197" s="553">
        <f t="shared" si="14"/>
        <v>680846.12042110926</v>
      </c>
      <c r="B197" s="3">
        <f t="shared" ref="B197" si="17">B196+1</f>
        <v>23.899999999999942</v>
      </c>
      <c r="C197" s="553">
        <f>'Foglio deposito bis'!$E$153/$B$247*B197</f>
        <v>97.023004059539758</v>
      </c>
      <c r="D197" s="611">
        <f>-'Progetto del paramento slu'!$G$47*'Progetto del paramento slu'!$G$41*IF(DATI!$G$218="dx",DATI!$E$61,DATI!$E$64*DATI!$E$63)*1000*C197^2*sezione!$AD$5*(1-sezione!$AD$6)</f>
        <v>-77491627.764151648</v>
      </c>
      <c r="E197" s="553">
        <f>-'Foglio deposito bis'!$F$48*(C197-sezione!$AL$27)*IF(ABS(K197)&lt;'Progetto del paramento slu'!$G$58,ABS(K197)*'Progetto del paramento slu'!$G$54,'Progetto del paramento slu'!$G$53)</f>
        <v>0</v>
      </c>
      <c r="F197" s="553">
        <f>-'Foglio deposito bis'!$F$49*(C197-sezione!$AM$27)*IF(ABS(L197)&lt;'Progetto del paramento slu'!$G$58,ABS(L197)*'Progetto del paramento slu'!$G$54,'Progetto del paramento slu'!$G$53)</f>
        <v>10854270.081900405</v>
      </c>
      <c r="G197" s="553">
        <f>-'Foglio deposito bis'!$F$50*(C197-sezione!$AN$27)*IF(ABS(M197)&lt;'Progetto del paramento slu'!$G$58,ABS(M197)*'Progetto del paramento slu'!$G$54,'Progetto del paramento slu'!$G$53)</f>
        <v>0</v>
      </c>
      <c r="H197" s="553">
        <f>-'Foglio deposito bis'!$F$51*(C197-sezione!$AO$27)*IF(ABS(N197)&lt;'Progetto del paramento slu'!$G$58,ABS(N197)*'Progetto del paramento slu'!$G$54,'Progetto del paramento slu'!$G$53)</f>
        <v>58544456.128365107</v>
      </c>
      <c r="I197" s="479">
        <f>-'Foglio deposito bis'!$F$52*(C197-sezione!$AP$27)*IF(ABS(O197)&lt;'Progetto del paramento slu'!$G$58,ABS(O197)*'Progetto del paramento slu'!$G$54,'Progetto del paramento slu'!$G$53)</f>
        <v>39268736.333817638</v>
      </c>
      <c r="J197" s="479">
        <f t="shared" ref="J197:J247" si="18">D197+E197+F197+G197+H197+I197</f>
        <v>31175834.779931501</v>
      </c>
      <c r="K197" s="558">
        <f>'Progetto del paramento slu'!$G$60*(sezione!$AL$27-C197)/C197</f>
        <v>-2.0570432357043212E-3</v>
      </c>
      <c r="L197" s="558">
        <f>'Progetto del paramento slu'!$G$60*(sezione!$AM$27-C197)/C197</f>
        <v>1.9110878661087957E-3</v>
      </c>
      <c r="M197" s="559">
        <f>'Progetto del paramento slu'!$G$60*(sezione!$AN$27-C197)/C197</f>
        <v>5.879218967921913E-3</v>
      </c>
      <c r="N197" s="559">
        <f>'Progetto del paramento slu'!$G$60*(sezione!$AO$27-C197)/C197</f>
        <v>8.7651324965132699E-3</v>
      </c>
      <c r="O197" s="559">
        <f>'Progetto del paramento slu'!$G$60*(sezione!$AP$27-C197)/C197</f>
        <v>5.879218967921913E-3</v>
      </c>
      <c r="P197" s="553">
        <f>-'Progetto del paramento slu'!$G$47*'Progetto del paramento slu'!$G$41*IF(DATI!$G$218="dx",DATI!$E$61,DATI!$E$64*DATI!$E$63)*1000*C197*sezione!$AD$5</f>
        <v>-1367625.5926928259</v>
      </c>
      <c r="Q197" s="553">
        <f>'Foglio deposito bis'!$F$48*IF(ABS(K197)&lt;'Progetto del paramento slu'!$G$58,ABS(K197)*'Progetto del paramento slu'!$G$54,'Progetto del paramento slu'!$G$53)*IF(K197&lt;0,-1,1)</f>
        <v>0</v>
      </c>
      <c r="R197" s="553">
        <f>'Foglio deposito bis'!$F$49*IF(ABS(L197)&lt;'Progetto del paramento slu'!$G$58,ABS(L197)*'Progetto del paramento slu'!$G$54,'Progetto del paramento slu'!$G$53)*IF(L197&lt;0,-1,1)</f>
        <v>204886.47740803001</v>
      </c>
      <c r="S197" s="553">
        <f>'Foglio deposito bis'!$F$50*IF(ABS(M197)&lt;'Progetto del paramento slu'!$G$58,ABS(M197)*'Progetto del paramento slu'!$G$54,'Progetto del paramento slu'!$G$53)*IF(M197&lt;0,-1,1)</f>
        <v>0</v>
      </c>
      <c r="T197" s="553">
        <f>'Foglio deposito bis'!$F$51*IF(ABS(N197)&lt;'Progetto del paramento slu'!$G$58,ABS(N197)*'Progetto del paramento slu'!$G$54,'Progetto del paramento slu'!$G$53)*IF(N197&lt;0,-1,1)</f>
        <v>240946.49743184328</v>
      </c>
      <c r="U197" s="553">
        <f>'Foglio deposito bis'!$F$52*IF(ABS(O197)&lt;'Progetto del paramento slu'!$G$58,ABS(O197)*'Progetto del paramento slu'!$G$54,'Progetto del paramento slu'!$G$53)*IF(O197&lt;0,-1,1)</f>
        <v>240946.49743184328</v>
      </c>
      <c r="V197" s="479">
        <f t="shared" si="15"/>
        <v>-680846.12042110926</v>
      </c>
      <c r="W197" s="559"/>
      <c r="X197" s="559"/>
    </row>
    <row r="198" spans="1:24" x14ac:dyDescent="0.25">
      <c r="A198" s="553">
        <f t="shared" ref="A198:A247" si="19">ABS(V198)</f>
        <v>760262.5608211935</v>
      </c>
      <c r="B198" s="3">
        <f t="shared" ref="B198:B247" si="20">B197+1</f>
        <v>24.899999999999942</v>
      </c>
      <c r="C198" s="553">
        <f>'Foglio deposito bis'!$E$153/$B$247*B198</f>
        <v>101.08254397834897</v>
      </c>
      <c r="D198" s="611">
        <f>-'Progetto del paramento slu'!$G$47*'Progetto del paramento slu'!$G$41*IF(DATI!$G$218="dx",DATI!$E$61,DATI!$E$64*DATI!$E$63)*1000*C198^2*sezione!$AD$5*(1-sezione!$AD$6)</f>
        <v>-84111945.046570748</v>
      </c>
      <c r="E198" s="553">
        <f>-'Foglio deposito bis'!$F$48*(C198-sezione!$AL$27)*IF(ABS(K198)&lt;'Progetto del paramento slu'!$G$58,ABS(K198)*'Progetto del paramento slu'!$G$54,'Progetto del paramento slu'!$G$53)</f>
        <v>0</v>
      </c>
      <c r="F198" s="553">
        <f>-'Foglio deposito bis'!$F$49*(C198-sezione!$AM$27)*IF(ABS(L198)&lt;'Progetto del paramento slu'!$G$58,ABS(L198)*'Progetto del paramento slu'!$G$54,'Progetto del paramento slu'!$G$53)</f>
        <v>8936870.1966445819</v>
      </c>
      <c r="G198" s="553">
        <f>-'Foglio deposito bis'!$F$50*(C198-sezione!$AN$27)*IF(ABS(M198)&lt;'Progetto del paramento slu'!$G$58,ABS(M198)*'Progetto del paramento slu'!$G$54,'Progetto del paramento slu'!$G$53)</f>
        <v>0</v>
      </c>
      <c r="H198" s="553">
        <f>-'Foglio deposito bis'!$F$51*(C198-sezione!$AO$27)*IF(ABS(N198)&lt;'Progetto del paramento slu'!$G$58,ABS(N198)*'Progetto del paramento slu'!$G$54,'Progetto del paramento slu'!$G$53)</f>
        <v>57566324.203743272</v>
      </c>
      <c r="I198" s="479">
        <f>-'Foglio deposito bis'!$F$52*(C198-sezione!$AP$27)*IF(ABS(O198)&lt;'Progetto del paramento slu'!$G$58,ABS(O198)*'Progetto del paramento slu'!$G$54,'Progetto del paramento slu'!$G$53)</f>
        <v>38290604.409195811</v>
      </c>
      <c r="J198" s="479">
        <f t="shared" si="18"/>
        <v>20681853.763012908</v>
      </c>
      <c r="K198" s="558">
        <f>'Progetto del paramento slu'!$G$60*(sezione!$AL$27-C198)/C198</f>
        <v>-2.1149933065595697E-3</v>
      </c>
      <c r="L198" s="558">
        <f>'Progetto del paramento slu'!$G$60*(sezione!$AM$27-C198)/C198</f>
        <v>1.6937751004016143E-3</v>
      </c>
      <c r="M198" s="559">
        <f>'Progetto del paramento slu'!$G$60*(sezione!$AN$27-C198)/C198</f>
        <v>5.5025435073627988E-3</v>
      </c>
      <c r="N198" s="559">
        <f>'Progetto del paramento slu'!$G$60*(sezione!$AO$27-C198)/C198</f>
        <v>8.2725568942436604E-3</v>
      </c>
      <c r="O198" s="559">
        <f>'Progetto del paramento slu'!$G$60*(sezione!$AP$27-C198)/C198</f>
        <v>5.5025435073627988E-3</v>
      </c>
      <c r="P198" s="553">
        <f>-'Progetto del paramento slu'!$G$47*'Progetto del paramento slu'!$G$41*IF(DATI!$G$218="dx",DATI!$E$61,DATI!$E$64*DATI!$E$63)*1000*C198*sezione!$AD$5</f>
        <v>-1424848.4208389693</v>
      </c>
      <c r="Q198" s="553">
        <f>'Foglio deposito bis'!$F$48*IF(ABS(K198)&lt;'Progetto del paramento slu'!$G$58,ABS(K198)*'Progetto del paramento slu'!$G$54,'Progetto del paramento slu'!$G$53)*IF(K198&lt;0,-1,1)</f>
        <v>0</v>
      </c>
      <c r="R198" s="553">
        <f>'Foglio deposito bis'!$F$49*IF(ABS(L198)&lt;'Progetto del paramento slu'!$G$58,ABS(L198)*'Progetto del paramento slu'!$G$54,'Progetto del paramento slu'!$G$53)*IF(L198&lt;0,-1,1)</f>
        <v>182692.8651540892</v>
      </c>
      <c r="S198" s="553">
        <f>'Foglio deposito bis'!$F$50*IF(ABS(M198)&lt;'Progetto del paramento slu'!$G$58,ABS(M198)*'Progetto del paramento slu'!$G$54,'Progetto del paramento slu'!$G$53)*IF(M198&lt;0,-1,1)</f>
        <v>0</v>
      </c>
      <c r="T198" s="553">
        <f>'Foglio deposito bis'!$F$51*IF(ABS(N198)&lt;'Progetto del paramento slu'!$G$58,ABS(N198)*'Progetto del paramento slu'!$G$54,'Progetto del paramento slu'!$G$53)*IF(N198&lt;0,-1,1)</f>
        <v>240946.49743184328</v>
      </c>
      <c r="U198" s="553">
        <f>'Foglio deposito bis'!$F$52*IF(ABS(O198)&lt;'Progetto del paramento slu'!$G$58,ABS(O198)*'Progetto del paramento slu'!$G$54,'Progetto del paramento slu'!$G$53)*IF(O198&lt;0,-1,1)</f>
        <v>240946.49743184328</v>
      </c>
      <c r="V198" s="479">
        <f t="shared" ref="V198:V247" si="21">P198+Q198+R198+S198+T198+U198</f>
        <v>-760262.5608211935</v>
      </c>
      <c r="W198" s="559"/>
      <c r="X198" s="559"/>
    </row>
    <row r="199" spans="1:24" x14ac:dyDescent="0.25">
      <c r="A199" s="553">
        <f t="shared" si="19"/>
        <v>839115.02535191062</v>
      </c>
      <c r="B199" s="3">
        <f t="shared" si="20"/>
        <v>25.899999999999942</v>
      </c>
      <c r="C199" s="553">
        <f>'Foglio deposito bis'!$E$153/$B$247*B199</f>
        <v>105.14208389715816</v>
      </c>
      <c r="D199" s="611">
        <f>-'Progetto del paramento slu'!$G$47*'Progetto del paramento slu'!$G$41*IF(DATI!$G$218="dx",DATI!$E$61,DATI!$E$64*DATI!$E$63)*1000*C199^2*sezione!$AD$5*(1-sezione!$AD$6)</f>
        <v>-91003586.807777494</v>
      </c>
      <c r="E199" s="553">
        <f>-'Foglio deposito bis'!$F$48*(C199-sezione!$AL$27)*IF(ABS(K199)&lt;'Progetto del paramento slu'!$G$58,ABS(K199)*'Progetto del paramento slu'!$G$54,'Progetto del paramento slu'!$G$53)</f>
        <v>0</v>
      </c>
      <c r="F199" s="553">
        <f>-'Foglio deposito bis'!$F$49*(C199-sezione!$AM$27)*IF(ABS(L199)&lt;'Progetto del paramento slu'!$G$58,ABS(L199)*'Progetto del paramento slu'!$G$54,'Progetto del paramento slu'!$G$53)</f>
        <v>7224960.8033957435</v>
      </c>
      <c r="G199" s="553">
        <f>-'Foglio deposito bis'!$F$50*(C199-sezione!$AN$27)*IF(ABS(M199)&lt;'Progetto del paramento slu'!$G$58,ABS(M199)*'Progetto del paramento slu'!$G$54,'Progetto del paramento slu'!$G$53)</f>
        <v>0</v>
      </c>
      <c r="H199" s="553">
        <f>-'Foglio deposito bis'!$F$51*(C199-sezione!$AO$27)*IF(ABS(N199)&lt;'Progetto del paramento slu'!$G$58,ABS(N199)*'Progetto del paramento slu'!$G$54,'Progetto del paramento slu'!$G$53)</f>
        <v>56588192.279121444</v>
      </c>
      <c r="I199" s="479">
        <f>-'Foglio deposito bis'!$F$52*(C199-sezione!$AP$27)*IF(ABS(O199)&lt;'Progetto del paramento slu'!$G$58,ABS(O199)*'Progetto del paramento slu'!$G$54,'Progetto del paramento slu'!$G$53)</f>
        <v>37312472.484573983</v>
      </c>
      <c r="J199" s="479">
        <f t="shared" si="18"/>
        <v>10122038.75931368</v>
      </c>
      <c r="K199" s="558">
        <f>'Progetto del paramento slu'!$G$60*(sezione!$AL$27-C199)/C199</f>
        <v>-2.1684684684684665E-3</v>
      </c>
      <c r="L199" s="558">
        <f>'Progetto del paramento slu'!$G$60*(sezione!$AM$27-C199)/C199</f>
        <v>1.4932432432432511E-3</v>
      </c>
      <c r="M199" s="559">
        <f>'Progetto del paramento slu'!$G$60*(sezione!$AN$27-C199)/C199</f>
        <v>5.1549549549549682E-3</v>
      </c>
      <c r="N199" s="559">
        <f>'Progetto del paramento slu'!$G$60*(sezione!$AO$27-C199)/C199</f>
        <v>7.8180180180180362E-3</v>
      </c>
      <c r="O199" s="559">
        <f>'Progetto del paramento slu'!$G$60*(sezione!$AP$27-C199)/C199</f>
        <v>5.1549549549549682E-3</v>
      </c>
      <c r="P199" s="553">
        <f>-'Progetto del paramento slu'!$G$47*'Progetto del paramento slu'!$G$41*IF(DATI!$G$218="dx",DATI!$E$61,DATI!$E$64*DATI!$E$63)*1000*C199*sezione!$AD$5</f>
        <v>-1482071.2489851126</v>
      </c>
      <c r="Q199" s="553">
        <f>'Foglio deposito bis'!$F$48*IF(ABS(K199)&lt;'Progetto del paramento slu'!$G$58,ABS(K199)*'Progetto del paramento slu'!$G$54,'Progetto del paramento slu'!$G$53)*IF(K199&lt;0,-1,1)</f>
        <v>0</v>
      </c>
      <c r="R199" s="553">
        <f>'Foglio deposito bis'!$F$49*IF(ABS(L199)&lt;'Progetto del paramento slu'!$G$58,ABS(L199)*'Progetto del paramento slu'!$G$54,'Progetto del paramento slu'!$G$53)*IF(L199&lt;0,-1,1)</f>
        <v>161063.22876951541</v>
      </c>
      <c r="S199" s="553">
        <f>'Foglio deposito bis'!$F$50*IF(ABS(M199)&lt;'Progetto del paramento slu'!$G$58,ABS(M199)*'Progetto del paramento slu'!$G$54,'Progetto del paramento slu'!$G$53)*IF(M199&lt;0,-1,1)</f>
        <v>0</v>
      </c>
      <c r="T199" s="553">
        <f>'Foglio deposito bis'!$F$51*IF(ABS(N199)&lt;'Progetto del paramento slu'!$G$58,ABS(N199)*'Progetto del paramento slu'!$G$54,'Progetto del paramento slu'!$G$53)*IF(N199&lt;0,-1,1)</f>
        <v>240946.49743184328</v>
      </c>
      <c r="U199" s="553">
        <f>'Foglio deposito bis'!$F$52*IF(ABS(O199)&lt;'Progetto del paramento slu'!$G$58,ABS(O199)*'Progetto del paramento slu'!$G$54,'Progetto del paramento slu'!$G$53)*IF(O199&lt;0,-1,1)</f>
        <v>240946.49743184328</v>
      </c>
      <c r="V199" s="479">
        <f t="shared" si="21"/>
        <v>-839115.02535191062</v>
      </c>
      <c r="W199" s="559"/>
      <c r="X199" s="559"/>
    </row>
    <row r="200" spans="1:24" x14ac:dyDescent="0.25">
      <c r="A200" s="553">
        <f t="shared" si="19"/>
        <v>916359.33847857057</v>
      </c>
      <c r="B200" s="3">
        <f t="shared" si="20"/>
        <v>26.899999999999942</v>
      </c>
      <c r="C200" s="553">
        <f>'Foglio deposito bis'!$E$153/$B$247*B200</f>
        <v>109.20162381596737</v>
      </c>
      <c r="D200" s="611">
        <f>-'Progetto del paramento slu'!$G$47*'Progetto del paramento slu'!$G$41*IF(DATI!$G$218="dx",DATI!$E$61,DATI!$E$64*DATI!$E$63)*1000*C200^2*sezione!$AD$5*(1-sezione!$AD$6)</f>
        <v>-98166553.047771916</v>
      </c>
      <c r="E200" s="553">
        <f>-'Foglio deposito bis'!$F$48*(C200-sezione!$AL$27)*IF(ABS(K200)&lt;'Progetto del paramento slu'!$G$58,ABS(K200)*'Progetto del paramento slu'!$G$54,'Progetto del paramento slu'!$G$53)</f>
        <v>0</v>
      </c>
      <c r="F200" s="553">
        <f>-'Foglio deposito bis'!$F$49*(C200-sezione!$AM$27)*IF(ABS(L200)&lt;'Progetto del paramento slu'!$G$58,ABS(L200)*'Progetto del paramento slu'!$G$54,'Progetto del paramento slu'!$G$53)</f>
        <v>5754274.12075553</v>
      </c>
      <c r="G200" s="553">
        <f>-'Foglio deposito bis'!$F$50*(C200-sezione!$AN$27)*IF(ABS(M200)&lt;'Progetto del paramento slu'!$G$58,ABS(M200)*'Progetto del paramento slu'!$G$54,'Progetto del paramento slu'!$G$53)</f>
        <v>0</v>
      </c>
      <c r="H200" s="553">
        <f>-'Foglio deposito bis'!$F$51*(C200-sezione!$AO$27)*IF(ABS(N200)&lt;'Progetto del paramento slu'!$G$58,ABS(N200)*'Progetto del paramento slu'!$G$54,'Progetto del paramento slu'!$G$53)</f>
        <v>55610060.354499623</v>
      </c>
      <c r="I200" s="479">
        <f>-'Foglio deposito bis'!$F$52*(C200-sezione!$AP$27)*IF(ABS(O200)&lt;'Progetto del paramento slu'!$G$58,ABS(O200)*'Progetto del paramento slu'!$G$54,'Progetto del paramento slu'!$G$53)</f>
        <v>36334340.559952155</v>
      </c>
      <c r="J200" s="479">
        <f t="shared" si="18"/>
        <v>-467878.01256461442</v>
      </c>
      <c r="K200" s="558">
        <f>'Progetto del paramento slu'!$G$60*(sezione!$AL$27-C200)/C200</f>
        <v>-2.2179677819083006E-3</v>
      </c>
      <c r="L200" s="558">
        <f>'Progetto del paramento slu'!$G$60*(sezione!$AM$27-C200)/C200</f>
        <v>1.3076208178438731E-3</v>
      </c>
      <c r="M200" s="559">
        <f>'Progetto del paramento slu'!$G$60*(sezione!$AN$27-C200)/C200</f>
        <v>4.8332094175960469E-3</v>
      </c>
      <c r="N200" s="559">
        <f>'Progetto del paramento slu'!$G$60*(sezione!$AO$27-C200)/C200</f>
        <v>7.3972738537794458E-3</v>
      </c>
      <c r="O200" s="559">
        <f>'Progetto del paramento slu'!$G$60*(sezione!$AP$27-C200)/C200</f>
        <v>4.8332094175960469E-3</v>
      </c>
      <c r="P200" s="553">
        <f>-'Progetto del paramento slu'!$G$47*'Progetto del paramento slu'!$G$41*IF(DATI!$G$218="dx",DATI!$E$61,DATI!$E$64*DATI!$E$63)*1000*C200*sezione!$AD$5</f>
        <v>-1539294.0771312562</v>
      </c>
      <c r="Q200" s="553">
        <f>'Foglio deposito bis'!$F$48*IF(ABS(K200)&lt;'Progetto del paramento slu'!$G$58,ABS(K200)*'Progetto del paramento slu'!$G$54,'Progetto del paramento slu'!$G$53)*IF(K200&lt;0,-1,1)</f>
        <v>0</v>
      </c>
      <c r="R200" s="553">
        <f>'Foglio deposito bis'!$F$49*IF(ABS(L200)&lt;'Progetto del paramento slu'!$G$58,ABS(L200)*'Progetto del paramento slu'!$G$54,'Progetto del paramento slu'!$G$53)*IF(L200&lt;0,-1,1)</f>
        <v>141041.74378899901</v>
      </c>
      <c r="S200" s="553">
        <f>'Foglio deposito bis'!$F$50*IF(ABS(M200)&lt;'Progetto del paramento slu'!$G$58,ABS(M200)*'Progetto del paramento slu'!$G$54,'Progetto del paramento slu'!$G$53)*IF(M200&lt;0,-1,1)</f>
        <v>0</v>
      </c>
      <c r="T200" s="553">
        <f>'Foglio deposito bis'!$F$51*IF(ABS(N200)&lt;'Progetto del paramento slu'!$G$58,ABS(N200)*'Progetto del paramento slu'!$G$54,'Progetto del paramento slu'!$G$53)*IF(N200&lt;0,-1,1)</f>
        <v>240946.49743184328</v>
      </c>
      <c r="U200" s="553">
        <f>'Foglio deposito bis'!$F$52*IF(ABS(O200)&lt;'Progetto del paramento slu'!$G$58,ABS(O200)*'Progetto del paramento slu'!$G$54,'Progetto del paramento slu'!$G$53)*IF(O200&lt;0,-1,1)</f>
        <v>240946.49743184328</v>
      </c>
      <c r="V200" s="479">
        <f t="shared" si="21"/>
        <v>-916359.33847857057</v>
      </c>
      <c r="W200" s="559"/>
      <c r="X200" s="559"/>
    </row>
    <row r="201" spans="1:24" x14ac:dyDescent="0.25">
      <c r="A201" s="553">
        <f t="shared" si="19"/>
        <v>992168.41970698559</v>
      </c>
      <c r="B201" s="3">
        <f t="shared" si="20"/>
        <v>27.899999999999942</v>
      </c>
      <c r="C201" s="553">
        <f>'Foglio deposito bis'!$E$153/$B$247*B201</f>
        <v>113.26116373477657</v>
      </c>
      <c r="D201" s="611">
        <f>-'Progetto del paramento slu'!$G$47*'Progetto del paramento slu'!$G$41*IF(DATI!$G$218="dx",DATI!$E$61,DATI!$E$64*DATI!$E$63)*1000*C201^2*sezione!$AD$5*(1-sezione!$AD$6)</f>
        <v>-105600843.76655403</v>
      </c>
      <c r="E201" s="553">
        <f>-'Foglio deposito bis'!$F$48*(C201-sezione!$AL$27)*IF(ABS(K201)&lt;'Progetto del paramento slu'!$G$58,ABS(K201)*'Progetto del paramento slu'!$G$54,'Progetto del paramento slu'!$G$53)</f>
        <v>0</v>
      </c>
      <c r="F201" s="553">
        <f>-'Foglio deposito bis'!$F$49*(C201-sezione!$AM$27)*IF(ABS(L201)&lt;'Progetto del paramento slu'!$G$58,ABS(L201)*'Progetto del paramento slu'!$G$54,'Progetto del paramento slu'!$G$53)</f>
        <v>4498872.2228520522</v>
      </c>
      <c r="G201" s="553">
        <f>-'Foglio deposito bis'!$F$50*(C201-sezione!$AN$27)*IF(ABS(M201)&lt;'Progetto del paramento slu'!$G$58,ABS(M201)*'Progetto del paramento slu'!$G$54,'Progetto del paramento slu'!$G$53)</f>
        <v>0</v>
      </c>
      <c r="H201" s="553">
        <f>-'Foglio deposito bis'!$F$51*(C201-sezione!$AO$27)*IF(ABS(N201)&lt;'Progetto del paramento slu'!$G$58,ABS(N201)*'Progetto del paramento slu'!$G$54,'Progetto del paramento slu'!$G$53)</f>
        <v>54631928.429877788</v>
      </c>
      <c r="I201" s="479">
        <f>-'Foglio deposito bis'!$F$52*(C201-sezione!$AP$27)*IF(ABS(O201)&lt;'Progetto del paramento slu'!$G$58,ABS(O201)*'Progetto del paramento slu'!$G$54,'Progetto del paramento slu'!$G$53)</f>
        <v>35356208.635330327</v>
      </c>
      <c r="J201" s="479">
        <f t="shared" si="18"/>
        <v>-11113834.478493862</v>
      </c>
      <c r="K201" s="558">
        <f>'Progetto del paramento slu'!$G$60*(sezione!$AL$27-C201)/C201</f>
        <v>-2.263918757467143E-3</v>
      </c>
      <c r="L201" s="558">
        <f>'Progetto del paramento slu'!$G$60*(sezione!$AM$27-C201)/C201</f>
        <v>1.135304659498214E-3</v>
      </c>
      <c r="M201" s="559">
        <f>'Progetto del paramento slu'!$G$60*(sezione!$AN$27-C201)/C201</f>
        <v>4.5345280764635711E-3</v>
      </c>
      <c r="N201" s="559">
        <f>'Progetto del paramento slu'!$G$60*(sezione!$AO$27-C201)/C201</f>
        <v>7.0066905615292852E-3</v>
      </c>
      <c r="O201" s="559">
        <f>'Progetto del paramento slu'!$G$60*(sezione!$AP$27-C201)/C201</f>
        <v>4.5345280764635711E-3</v>
      </c>
      <c r="P201" s="553">
        <f>-'Progetto del paramento slu'!$G$47*'Progetto del paramento slu'!$G$41*IF(DATI!$G$218="dx",DATI!$E$61,DATI!$E$64*DATI!$E$63)*1000*C201*sezione!$AD$5</f>
        <v>-1596516.9052773998</v>
      </c>
      <c r="Q201" s="553">
        <f>'Foglio deposito bis'!$F$48*IF(ABS(K201)&lt;'Progetto del paramento slu'!$G$58,ABS(K201)*'Progetto del paramento slu'!$G$54,'Progetto del paramento slu'!$G$53)*IF(K201&lt;0,-1,1)</f>
        <v>0</v>
      </c>
      <c r="R201" s="553">
        <f>'Foglio deposito bis'!$F$49*IF(ABS(L201)&lt;'Progetto del paramento slu'!$G$58,ABS(L201)*'Progetto del paramento slu'!$G$54,'Progetto del paramento slu'!$G$53)*IF(L201&lt;0,-1,1)</f>
        <v>122455.49070672753</v>
      </c>
      <c r="S201" s="553">
        <f>'Foglio deposito bis'!$F$50*IF(ABS(M201)&lt;'Progetto del paramento slu'!$G$58,ABS(M201)*'Progetto del paramento slu'!$G$54,'Progetto del paramento slu'!$G$53)*IF(M201&lt;0,-1,1)</f>
        <v>0</v>
      </c>
      <c r="T201" s="553">
        <f>'Foglio deposito bis'!$F$51*IF(ABS(N201)&lt;'Progetto del paramento slu'!$G$58,ABS(N201)*'Progetto del paramento slu'!$G$54,'Progetto del paramento slu'!$G$53)*IF(N201&lt;0,-1,1)</f>
        <v>240946.49743184328</v>
      </c>
      <c r="U201" s="553">
        <f>'Foglio deposito bis'!$F$52*IF(ABS(O201)&lt;'Progetto del paramento slu'!$G$58,ABS(O201)*'Progetto del paramento slu'!$G$54,'Progetto del paramento slu'!$G$53)*IF(O201&lt;0,-1,1)</f>
        <v>240946.49743184328</v>
      </c>
      <c r="V201" s="479">
        <f t="shared" si="21"/>
        <v>-992168.41970698559</v>
      </c>
      <c r="W201" s="559"/>
      <c r="X201" s="559"/>
    </row>
    <row r="202" spans="1:24" x14ac:dyDescent="0.25">
      <c r="A202" s="553">
        <f t="shared" si="19"/>
        <v>1066691.2550473539</v>
      </c>
      <c r="B202" s="3">
        <f t="shared" si="20"/>
        <v>28.899999999999942</v>
      </c>
      <c r="C202" s="553">
        <f>'Foglio deposito bis'!$E$153/$B$247*B202</f>
        <v>117.32070365358578</v>
      </c>
      <c r="D202" s="611">
        <f>-'Progetto del paramento slu'!$G$47*'Progetto del paramento slu'!$G$41*IF(DATI!$G$218="dx",DATI!$E$61,DATI!$E$64*DATI!$E$63)*1000*C202^2*sezione!$AD$5*(1-sezione!$AD$6)</f>
        <v>-113306458.9641238</v>
      </c>
      <c r="E202" s="553">
        <f>-'Foglio deposito bis'!$F$48*(C202-sezione!$AL$27)*IF(ABS(K202)&lt;'Progetto del paramento slu'!$G$58,ABS(K202)*'Progetto del paramento slu'!$G$54,'Progetto del paramento slu'!$G$53)</f>
        <v>0</v>
      </c>
      <c r="F202" s="553">
        <f>-'Foglio deposito bis'!$F$49*(C202-sezione!$AM$27)*IF(ABS(L202)&lt;'Progetto del paramento slu'!$G$58,ABS(L202)*'Progetto del paramento slu'!$G$54,'Progetto del paramento slu'!$G$53)</f>
        <v>3436407.2081555454</v>
      </c>
      <c r="G202" s="553">
        <f>-'Foglio deposito bis'!$F$50*(C202-sezione!$AN$27)*IF(ABS(M202)&lt;'Progetto del paramento slu'!$G$58,ABS(M202)*'Progetto del paramento slu'!$G$54,'Progetto del paramento slu'!$G$53)</f>
        <v>0</v>
      </c>
      <c r="H202" s="553">
        <f>-'Foglio deposito bis'!$F$51*(C202-sezione!$AO$27)*IF(ABS(N202)&lt;'Progetto del paramento slu'!$G$58,ABS(N202)*'Progetto del paramento slu'!$G$54,'Progetto del paramento slu'!$G$53)</f>
        <v>53653796.50525596</v>
      </c>
      <c r="I202" s="479">
        <f>-'Foglio deposito bis'!$F$52*(C202-sezione!$AP$27)*IF(ABS(O202)&lt;'Progetto del paramento slu'!$G$58,ABS(O202)*'Progetto del paramento slu'!$G$54,'Progetto del paramento slu'!$G$53)</f>
        <v>34378076.710708499</v>
      </c>
      <c r="J202" s="479">
        <f t="shared" si="18"/>
        <v>-21838178.540003799</v>
      </c>
      <c r="K202" s="558">
        <f>'Progetto del paramento slu'!$G$60*(sezione!$AL$27-C202)/C202</f>
        <v>-2.3066897347174152E-3</v>
      </c>
      <c r="L202" s="558">
        <f>'Progetto del paramento slu'!$G$60*(sezione!$AM$27-C202)/C202</f>
        <v>9.7491349480969419E-4</v>
      </c>
      <c r="M202" s="559">
        <f>'Progetto del paramento slu'!$G$60*(sezione!$AN$27-C202)/C202</f>
        <v>4.2565167243368033E-3</v>
      </c>
      <c r="N202" s="559">
        <f>'Progetto del paramento slu'!$G$60*(sezione!$AO$27-C202)/C202</f>
        <v>6.6431372549019731E-3</v>
      </c>
      <c r="O202" s="559">
        <f>'Progetto del paramento slu'!$G$60*(sezione!$AP$27-C202)/C202</f>
        <v>4.2565167243368033E-3</v>
      </c>
      <c r="P202" s="553">
        <f>-'Progetto del paramento slu'!$G$47*'Progetto del paramento slu'!$G$41*IF(DATI!$G$218="dx",DATI!$E$61,DATI!$E$64*DATI!$E$63)*1000*C202*sezione!$AD$5</f>
        <v>-1653739.7334235432</v>
      </c>
      <c r="Q202" s="553">
        <f>'Foglio deposito bis'!$F$48*IF(ABS(K202)&lt;'Progetto del paramento slu'!$G$58,ABS(K202)*'Progetto del paramento slu'!$G$54,'Progetto del paramento slu'!$G$53)*IF(K202&lt;0,-1,1)</f>
        <v>0</v>
      </c>
      <c r="R202" s="553">
        <f>'Foglio deposito bis'!$F$49*IF(ABS(L202)&lt;'Progetto del paramento slu'!$G$58,ABS(L202)*'Progetto del paramento slu'!$G$54,'Progetto del paramento slu'!$G$53)*IF(L202&lt;0,-1,1)</f>
        <v>105155.48351250256</v>
      </c>
      <c r="S202" s="553">
        <f>'Foglio deposito bis'!$F$50*IF(ABS(M202)&lt;'Progetto del paramento slu'!$G$58,ABS(M202)*'Progetto del paramento slu'!$G$54,'Progetto del paramento slu'!$G$53)*IF(M202&lt;0,-1,1)</f>
        <v>0</v>
      </c>
      <c r="T202" s="553">
        <f>'Foglio deposito bis'!$F$51*IF(ABS(N202)&lt;'Progetto del paramento slu'!$G$58,ABS(N202)*'Progetto del paramento slu'!$G$54,'Progetto del paramento slu'!$G$53)*IF(N202&lt;0,-1,1)</f>
        <v>240946.49743184328</v>
      </c>
      <c r="U202" s="553">
        <f>'Foglio deposito bis'!$F$52*IF(ABS(O202)&lt;'Progetto del paramento slu'!$G$58,ABS(O202)*'Progetto del paramento slu'!$G$54,'Progetto del paramento slu'!$G$53)*IF(O202&lt;0,-1,1)</f>
        <v>240946.49743184328</v>
      </c>
      <c r="V202" s="479">
        <f t="shared" si="21"/>
        <v>-1066691.2550473539</v>
      </c>
      <c r="W202" s="559"/>
      <c r="X202" s="559"/>
    </row>
    <row r="203" spans="1:24" x14ac:dyDescent="0.25">
      <c r="A203" s="553">
        <f t="shared" si="19"/>
        <v>1140056.8992710523</v>
      </c>
      <c r="B203" s="3">
        <f t="shared" si="20"/>
        <v>29.899999999999942</v>
      </c>
      <c r="C203" s="553">
        <f>'Foglio deposito bis'!$E$153/$B$247*B203</f>
        <v>121.38024357239499</v>
      </c>
      <c r="D203" s="611">
        <f>-'Progetto del paramento slu'!$G$47*'Progetto del paramento slu'!$G$41*IF(DATI!$G$218="dx",DATI!$E$61,DATI!$E$64*DATI!$E$63)*1000*C203^2*sezione!$AD$5*(1-sezione!$AD$6)</f>
        <v>-121283398.64048123</v>
      </c>
      <c r="E203" s="553">
        <f>-'Foglio deposito bis'!$F$48*(C203-sezione!$AL$27)*IF(ABS(K203)&lt;'Progetto del paramento slu'!$G$58,ABS(K203)*'Progetto del paramento slu'!$G$54,'Progetto del paramento slu'!$G$53)</f>
        <v>0</v>
      </c>
      <c r="F203" s="553">
        <f>-'Foglio deposito bis'!$F$49*(C203-sezione!$AM$27)*IF(ABS(L203)&lt;'Progetto del paramento slu'!$G$58,ABS(L203)*'Progetto del paramento slu'!$G$54,'Progetto del paramento slu'!$G$53)</f>
        <v>2547520.8609596244</v>
      </c>
      <c r="G203" s="553">
        <f>-'Foglio deposito bis'!$F$50*(C203-sezione!$AN$27)*IF(ABS(M203)&lt;'Progetto del paramento slu'!$G$58,ABS(M203)*'Progetto del paramento slu'!$G$54,'Progetto del paramento slu'!$G$53)</f>
        <v>0</v>
      </c>
      <c r="H203" s="553">
        <f>-'Foglio deposito bis'!$F$51*(C203-sezione!$AO$27)*IF(ABS(N203)&lt;'Progetto del paramento slu'!$G$58,ABS(N203)*'Progetto del paramento slu'!$G$54,'Progetto del paramento slu'!$G$53)</f>
        <v>52675664.580634139</v>
      </c>
      <c r="I203" s="479">
        <f>-'Foglio deposito bis'!$F$52*(C203-sezione!$AP$27)*IF(ABS(O203)&lt;'Progetto del paramento slu'!$G$58,ABS(O203)*'Progetto del paramento slu'!$G$54,'Progetto del paramento slu'!$G$53)</f>
        <v>33399944.786086667</v>
      </c>
      <c r="J203" s="479">
        <f t="shared" si="18"/>
        <v>-32660268.412800808</v>
      </c>
      <c r="K203" s="558">
        <f>'Progetto del paramento slu'!$G$60*(sezione!$AL$27-C203)/C203</f>
        <v>-2.3465997770345582E-3</v>
      </c>
      <c r="L203" s="558">
        <f>'Progetto del paramento slu'!$G$60*(sezione!$AM$27-C203)/C203</f>
        <v>8.2525083612040634E-4</v>
      </c>
      <c r="M203" s="559">
        <f>'Progetto del paramento slu'!$G$60*(sezione!$AN$27-C203)/C203</f>
        <v>3.9971014492753707E-3</v>
      </c>
      <c r="N203" s="559">
        <f>'Progetto del paramento slu'!$G$60*(sezione!$AO$27-C203)/C203</f>
        <v>6.3039018952062544E-3</v>
      </c>
      <c r="O203" s="559">
        <f>'Progetto del paramento slu'!$G$60*(sezione!$AP$27-C203)/C203</f>
        <v>3.9971014492753707E-3</v>
      </c>
      <c r="P203" s="553">
        <f>-'Progetto del paramento slu'!$G$47*'Progetto del paramento slu'!$G$41*IF(DATI!$G$218="dx",DATI!$E$61,DATI!$E$64*DATI!$E$63)*1000*C203*sezione!$AD$5</f>
        <v>-1710962.561569687</v>
      </c>
      <c r="Q203" s="553">
        <f>'Foglio deposito bis'!$F$48*IF(ABS(K203)&lt;'Progetto del paramento slu'!$G$58,ABS(K203)*'Progetto del paramento slu'!$G$54,'Progetto del paramento slu'!$G$53)*IF(K203&lt;0,-1,1)</f>
        <v>0</v>
      </c>
      <c r="R203" s="553">
        <f>'Foglio deposito bis'!$F$49*IF(ABS(L203)&lt;'Progetto del paramento slu'!$G$58,ABS(L203)*'Progetto del paramento slu'!$G$54,'Progetto del paramento slu'!$G$53)*IF(L203&lt;0,-1,1)</f>
        <v>89012.667434948133</v>
      </c>
      <c r="S203" s="553">
        <f>'Foglio deposito bis'!$F$50*IF(ABS(M203)&lt;'Progetto del paramento slu'!$G$58,ABS(M203)*'Progetto del paramento slu'!$G$54,'Progetto del paramento slu'!$G$53)*IF(M203&lt;0,-1,1)</f>
        <v>0</v>
      </c>
      <c r="T203" s="553">
        <f>'Foglio deposito bis'!$F$51*IF(ABS(N203)&lt;'Progetto del paramento slu'!$G$58,ABS(N203)*'Progetto del paramento slu'!$G$54,'Progetto del paramento slu'!$G$53)*IF(N203&lt;0,-1,1)</f>
        <v>240946.49743184328</v>
      </c>
      <c r="U203" s="553">
        <f>'Foglio deposito bis'!$F$52*IF(ABS(O203)&lt;'Progetto del paramento slu'!$G$58,ABS(O203)*'Progetto del paramento slu'!$G$54,'Progetto del paramento slu'!$G$53)*IF(O203&lt;0,-1,1)</f>
        <v>240946.49743184328</v>
      </c>
      <c r="V203" s="479">
        <f t="shared" si="21"/>
        <v>-1140056.8992710523</v>
      </c>
      <c r="W203" s="559"/>
      <c r="X203" s="559"/>
    </row>
    <row r="204" spans="1:24" x14ac:dyDescent="0.25">
      <c r="A204" s="553">
        <f t="shared" si="19"/>
        <v>1212377.7010301834</v>
      </c>
      <c r="B204" s="3">
        <f t="shared" si="20"/>
        <v>30.899999999999942</v>
      </c>
      <c r="C204" s="553">
        <f>'Foglio deposito bis'!$E$153/$B$247*B204</f>
        <v>125.4397834912042</v>
      </c>
      <c r="D204" s="611">
        <f>-'Progetto del paramento slu'!$G$47*'Progetto del paramento slu'!$G$41*IF(DATI!$G$218="dx",DATI!$E$61,DATI!$E$64*DATI!$E$63)*1000*C204^2*sezione!$AD$5*(1-sezione!$AD$6)</f>
        <v>-129531662.79562633</v>
      </c>
      <c r="E204" s="553">
        <f>-'Foglio deposito bis'!$F$48*(C204-sezione!$AL$27)*IF(ABS(K204)&lt;'Progetto del paramento slu'!$G$58,ABS(K204)*'Progetto del paramento slu'!$G$54,'Progetto del paramento slu'!$G$53)</f>
        <v>0</v>
      </c>
      <c r="F204" s="553">
        <f>-'Foglio deposito bis'!$F$49*(C204-sezione!$AM$27)*IF(ABS(L204)&lt;'Progetto del paramento slu'!$G$58,ABS(L204)*'Progetto del paramento slu'!$G$54,'Progetto del paramento slu'!$G$53)</f>
        <v>1815360.8834486976</v>
      </c>
      <c r="G204" s="553">
        <f>-'Foglio deposito bis'!$F$50*(C204-sezione!$AN$27)*IF(ABS(M204)&lt;'Progetto del paramento slu'!$G$58,ABS(M204)*'Progetto del paramento slu'!$G$54,'Progetto del paramento slu'!$G$53)</f>
        <v>0</v>
      </c>
      <c r="H204" s="553">
        <f>-'Foglio deposito bis'!$F$51*(C204-sezione!$AO$27)*IF(ABS(N204)&lt;'Progetto del paramento slu'!$G$58,ABS(N204)*'Progetto del paramento slu'!$G$54,'Progetto del paramento slu'!$G$53)</f>
        <v>51697532.656012304</v>
      </c>
      <c r="I204" s="479">
        <f>-'Foglio deposito bis'!$F$52*(C204-sezione!$AP$27)*IF(ABS(O204)&lt;'Progetto del paramento slu'!$G$58,ABS(O204)*'Progetto del paramento slu'!$G$54,'Progetto del paramento slu'!$G$53)</f>
        <v>32421812.861464843</v>
      </c>
      <c r="J204" s="479">
        <f t="shared" si="18"/>
        <v>-43596956.394700482</v>
      </c>
      <c r="K204" s="558">
        <f>'Progetto del paramento slu'!$G$60*(sezione!$AL$27-C204)/C204</f>
        <v>-2.3839266450916925E-3</v>
      </c>
      <c r="L204" s="558">
        <f>'Progetto del paramento slu'!$G$60*(sezione!$AM$27-C204)/C204</f>
        <v>6.8527508090615336E-4</v>
      </c>
      <c r="M204" s="559">
        <f>'Progetto del paramento slu'!$G$60*(sezione!$AN$27-C204)/C204</f>
        <v>3.7544768069039994E-3</v>
      </c>
      <c r="N204" s="559">
        <f>'Progetto del paramento slu'!$G$60*(sezione!$AO$27-C204)/C204</f>
        <v>5.9866235167206142E-3</v>
      </c>
      <c r="O204" s="559">
        <f>'Progetto del paramento slu'!$G$60*(sezione!$AP$27-C204)/C204</f>
        <v>3.7544768069039994E-3</v>
      </c>
      <c r="P204" s="553">
        <f>-'Progetto del paramento slu'!$G$47*'Progetto del paramento slu'!$G$41*IF(DATI!$G$218="dx",DATI!$E$61,DATI!$E$64*DATI!$E$63)*1000*C204*sezione!$AD$5</f>
        <v>-1768185.3897158303</v>
      </c>
      <c r="Q204" s="553">
        <f>'Foglio deposito bis'!$F$48*IF(ABS(K204)&lt;'Progetto del paramento slu'!$G$58,ABS(K204)*'Progetto del paramento slu'!$G$54,'Progetto del paramento slu'!$G$53)*IF(K204&lt;0,-1,1)</f>
        <v>0</v>
      </c>
      <c r="R204" s="553">
        <f>'Foglio deposito bis'!$F$49*IF(ABS(L204)&lt;'Progetto del paramento slu'!$G$58,ABS(L204)*'Progetto del paramento slu'!$G$54,'Progetto del paramento slu'!$G$53)*IF(L204&lt;0,-1,1)</f>
        <v>73914.693821960347</v>
      </c>
      <c r="S204" s="553">
        <f>'Foglio deposito bis'!$F$50*IF(ABS(M204)&lt;'Progetto del paramento slu'!$G$58,ABS(M204)*'Progetto del paramento slu'!$G$54,'Progetto del paramento slu'!$G$53)*IF(M204&lt;0,-1,1)</f>
        <v>0</v>
      </c>
      <c r="T204" s="553">
        <f>'Foglio deposito bis'!$F$51*IF(ABS(N204)&lt;'Progetto del paramento slu'!$G$58,ABS(N204)*'Progetto del paramento slu'!$G$54,'Progetto del paramento slu'!$G$53)*IF(N204&lt;0,-1,1)</f>
        <v>240946.49743184328</v>
      </c>
      <c r="U204" s="553">
        <f>'Foglio deposito bis'!$F$52*IF(ABS(O204)&lt;'Progetto del paramento slu'!$G$58,ABS(O204)*'Progetto del paramento slu'!$G$54,'Progetto del paramento slu'!$G$53)*IF(O204&lt;0,-1,1)</f>
        <v>240946.49743184328</v>
      </c>
      <c r="V204" s="479">
        <f t="shared" si="21"/>
        <v>-1212377.7010301834</v>
      </c>
      <c r="W204" s="559"/>
      <c r="X204" s="559"/>
    </row>
    <row r="205" spans="1:24" x14ac:dyDescent="0.25">
      <c r="A205" s="553">
        <f t="shared" si="19"/>
        <v>1283751.9213715727</v>
      </c>
      <c r="B205" s="3">
        <f t="shared" si="20"/>
        <v>31.899999999999942</v>
      </c>
      <c r="C205" s="553">
        <f>'Foglio deposito bis'!$E$153/$B$247*B205</f>
        <v>129.4993234100134</v>
      </c>
      <c r="D205" s="611">
        <f>-'Progetto del paramento slu'!$G$47*'Progetto del paramento slu'!$G$41*IF(DATI!$G$218="dx",DATI!$E$61,DATI!$E$64*DATI!$E$63)*1000*C205^2*sezione!$AD$5*(1-sezione!$AD$6)</f>
        <v>-138051251.42955914</v>
      </c>
      <c r="E205" s="553">
        <f>-'Foglio deposito bis'!$F$48*(C205-sezione!$AL$27)*IF(ABS(K205)&lt;'Progetto del paramento slu'!$G$58,ABS(K205)*'Progetto del paramento slu'!$G$54,'Progetto del paramento slu'!$G$53)</f>
        <v>0</v>
      </c>
      <c r="F205" s="553">
        <f>-'Foglio deposito bis'!$F$49*(C205-sezione!$AM$27)*IF(ABS(L205)&lt;'Progetto del paramento slu'!$G$58,ABS(L205)*'Progetto del paramento slu'!$G$54,'Progetto del paramento slu'!$G$53)</f>
        <v>1225188.1185990986</v>
      </c>
      <c r="G205" s="553">
        <f>-'Foglio deposito bis'!$F$50*(C205-sezione!$AN$27)*IF(ABS(M205)&lt;'Progetto del paramento slu'!$G$58,ABS(M205)*'Progetto del paramento slu'!$G$54,'Progetto del paramento slu'!$G$53)</f>
        <v>0</v>
      </c>
      <c r="H205" s="553">
        <f>-'Foglio deposito bis'!$F$51*(C205-sezione!$AO$27)*IF(ABS(N205)&lt;'Progetto del paramento slu'!$G$58,ABS(N205)*'Progetto del paramento slu'!$G$54,'Progetto del paramento slu'!$G$53)</f>
        <v>50719400.731390476</v>
      </c>
      <c r="I205" s="479">
        <f>-'Foglio deposito bis'!$F$52*(C205-sezione!$AP$27)*IF(ABS(O205)&lt;'Progetto del paramento slu'!$G$58,ABS(O205)*'Progetto del paramento slu'!$G$54,'Progetto del paramento slu'!$G$53)</f>
        <v>31443680.936843015</v>
      </c>
      <c r="J205" s="479">
        <f t="shared" si="18"/>
        <v>-54662981.642726563</v>
      </c>
      <c r="K205" s="558">
        <f>'Progetto del paramento slu'!$G$60*(sezione!$AL$27-C205)/C205</f>
        <v>-2.4189132706374074E-3</v>
      </c>
      <c r="L205" s="558">
        <f>'Progetto del paramento slu'!$G$60*(sezione!$AM$27-C205)/C205</f>
        <v>5.5407523510972196E-4</v>
      </c>
      <c r="M205" s="559">
        <f>'Progetto del paramento slu'!$G$60*(sezione!$AN$27-C205)/C205</f>
        <v>3.5270637408568515E-3</v>
      </c>
      <c r="N205" s="559">
        <f>'Progetto del paramento slu'!$G$60*(sezione!$AO$27-C205)/C205</f>
        <v>5.6892371995820364E-3</v>
      </c>
      <c r="O205" s="559">
        <f>'Progetto del paramento slu'!$G$60*(sezione!$AP$27-C205)/C205</f>
        <v>3.5270637408568515E-3</v>
      </c>
      <c r="P205" s="553">
        <f>-'Progetto del paramento slu'!$G$47*'Progetto del paramento slu'!$G$41*IF(DATI!$G$218="dx",DATI!$E$61,DATI!$E$64*DATI!$E$63)*1000*C205*sezione!$AD$5</f>
        <v>-1825408.2178619739</v>
      </c>
      <c r="Q205" s="553">
        <f>'Foglio deposito bis'!$F$48*IF(ABS(K205)&lt;'Progetto del paramento slu'!$G$58,ABS(K205)*'Progetto del paramento slu'!$G$54,'Progetto del paramento slu'!$G$53)*IF(K205&lt;0,-1,1)</f>
        <v>0</v>
      </c>
      <c r="R205" s="553">
        <f>'Foglio deposito bis'!$F$49*IF(ABS(L205)&lt;'Progetto del paramento slu'!$G$58,ABS(L205)*'Progetto del paramento slu'!$G$54,'Progetto del paramento slu'!$G$53)*IF(L205&lt;0,-1,1)</f>
        <v>59763.30162671474</v>
      </c>
      <c r="S205" s="553">
        <f>'Foglio deposito bis'!$F$50*IF(ABS(M205)&lt;'Progetto del paramento slu'!$G$58,ABS(M205)*'Progetto del paramento slu'!$G$54,'Progetto del paramento slu'!$G$53)*IF(M205&lt;0,-1,1)</f>
        <v>0</v>
      </c>
      <c r="T205" s="553">
        <f>'Foglio deposito bis'!$F$51*IF(ABS(N205)&lt;'Progetto del paramento slu'!$G$58,ABS(N205)*'Progetto del paramento slu'!$G$54,'Progetto del paramento slu'!$G$53)*IF(N205&lt;0,-1,1)</f>
        <v>240946.49743184328</v>
      </c>
      <c r="U205" s="553">
        <f>'Foglio deposito bis'!$F$52*IF(ABS(O205)&lt;'Progetto del paramento slu'!$G$58,ABS(O205)*'Progetto del paramento slu'!$G$54,'Progetto del paramento slu'!$G$53)*IF(O205&lt;0,-1,1)</f>
        <v>240946.49743184328</v>
      </c>
      <c r="V205" s="479">
        <f t="shared" si="21"/>
        <v>-1283751.9213715727</v>
      </c>
      <c r="W205" s="559"/>
      <c r="X205" s="559"/>
    </row>
    <row r="206" spans="1:24" x14ac:dyDescent="0.25">
      <c r="A206" s="553">
        <f t="shared" si="19"/>
        <v>1354265.8747102111</v>
      </c>
      <c r="B206" s="3">
        <f t="shared" si="20"/>
        <v>32.899999999999942</v>
      </c>
      <c r="C206" s="553">
        <f>'Foglio deposito bis'!$E$153/$B$247*B206</f>
        <v>133.55886332882261</v>
      </c>
      <c r="D206" s="611">
        <f>-'Progetto del paramento slu'!$G$47*'Progetto del paramento slu'!$G$41*IF(DATI!$G$218="dx",DATI!$E$61,DATI!$E$64*DATI!$E$63)*1000*C206^2*sezione!$AD$5*(1-sezione!$AD$6)</f>
        <v>-146842164.5422796</v>
      </c>
      <c r="E206" s="553">
        <f>-'Foglio deposito bis'!$F$48*(C206-sezione!$AL$27)*IF(ABS(K206)&lt;'Progetto del paramento slu'!$G$58,ABS(K206)*'Progetto del paramento slu'!$G$54,'Progetto del paramento slu'!$G$53)</f>
        <v>0</v>
      </c>
      <c r="F206" s="553">
        <f>-'Foglio deposito bis'!$F$49*(C206-sezione!$AM$27)*IF(ABS(L206)&lt;'Progetto del paramento slu'!$G$58,ABS(L206)*'Progetto del paramento slu'!$G$54,'Progetto del paramento slu'!$G$53)</f>
        <v>764055.40416207386</v>
      </c>
      <c r="G206" s="553">
        <f>-'Foglio deposito bis'!$F$50*(C206-sezione!$AN$27)*IF(ABS(M206)&lt;'Progetto del paramento slu'!$G$58,ABS(M206)*'Progetto del paramento slu'!$G$54,'Progetto del paramento slu'!$G$53)</f>
        <v>0</v>
      </c>
      <c r="H206" s="553">
        <f>-'Foglio deposito bis'!$F$51*(C206-sezione!$AO$27)*IF(ABS(N206)&lt;'Progetto del paramento slu'!$G$58,ABS(N206)*'Progetto del paramento slu'!$G$54,'Progetto del paramento slu'!$G$53)</f>
        <v>49741268.806768648</v>
      </c>
      <c r="I206" s="479">
        <f>-'Foglio deposito bis'!$F$52*(C206-sezione!$AP$27)*IF(ABS(O206)&lt;'Progetto del paramento slu'!$G$58,ABS(O206)*'Progetto del paramento slu'!$G$54,'Progetto del paramento slu'!$G$53)</f>
        <v>30465549.012221184</v>
      </c>
      <c r="J206" s="479">
        <f t="shared" si="18"/>
        <v>-65871291.319127679</v>
      </c>
      <c r="K206" s="558">
        <f>'Progetto del paramento slu'!$G$60*(sezione!$AL$27-C206)/C206</f>
        <v>-2.4517730496453893E-3</v>
      </c>
      <c r="L206" s="558">
        <f>'Progetto del paramento slu'!$G$60*(sezione!$AM$27-C206)/C206</f>
        <v>4.308510638297909E-4</v>
      </c>
      <c r="M206" s="559">
        <f>'Progetto del paramento slu'!$G$60*(sezione!$AN$27-C206)/C206</f>
        <v>3.3134751773049708E-3</v>
      </c>
      <c r="N206" s="559">
        <f>'Progetto del paramento slu'!$G$60*(sezione!$AO$27-C206)/C206</f>
        <v>5.4099290780141923E-3</v>
      </c>
      <c r="O206" s="559">
        <f>'Progetto del paramento slu'!$G$60*(sezione!$AP$27-C206)/C206</f>
        <v>3.3134751773049708E-3</v>
      </c>
      <c r="P206" s="553">
        <f>-'Progetto del paramento slu'!$G$47*'Progetto del paramento slu'!$G$41*IF(DATI!$G$218="dx",DATI!$E$61,DATI!$E$64*DATI!$E$63)*1000*C206*sezione!$AD$5</f>
        <v>-1882631.0460081173</v>
      </c>
      <c r="Q206" s="553">
        <f>'Foglio deposito bis'!$F$48*IF(ABS(K206)&lt;'Progetto del paramento slu'!$G$58,ABS(K206)*'Progetto del paramento slu'!$G$54,'Progetto del paramento slu'!$G$53)*IF(K206&lt;0,-1,1)</f>
        <v>0</v>
      </c>
      <c r="R206" s="553">
        <f>'Foglio deposito bis'!$F$49*IF(ABS(L206)&lt;'Progetto del paramento slu'!$G$58,ABS(L206)*'Progetto del paramento slu'!$G$54,'Progetto del paramento slu'!$G$53)*IF(L206&lt;0,-1,1)</f>
        <v>46472.176434219618</v>
      </c>
      <c r="S206" s="553">
        <f>'Foglio deposito bis'!$F$50*IF(ABS(M206)&lt;'Progetto del paramento slu'!$G$58,ABS(M206)*'Progetto del paramento slu'!$G$54,'Progetto del paramento slu'!$G$53)*IF(M206&lt;0,-1,1)</f>
        <v>0</v>
      </c>
      <c r="T206" s="553">
        <f>'Foglio deposito bis'!$F$51*IF(ABS(N206)&lt;'Progetto del paramento slu'!$G$58,ABS(N206)*'Progetto del paramento slu'!$G$54,'Progetto del paramento slu'!$G$53)*IF(N206&lt;0,-1,1)</f>
        <v>240946.49743184328</v>
      </c>
      <c r="U206" s="553">
        <f>'Foglio deposito bis'!$F$52*IF(ABS(O206)&lt;'Progetto del paramento slu'!$G$58,ABS(O206)*'Progetto del paramento slu'!$G$54,'Progetto del paramento slu'!$G$53)*IF(O206&lt;0,-1,1)</f>
        <v>240946.49743184328</v>
      </c>
      <c r="V206" s="479">
        <f t="shared" si="21"/>
        <v>-1354265.8747102111</v>
      </c>
      <c r="W206" s="559"/>
      <c r="X206" s="559"/>
    </row>
    <row r="207" spans="1:24" x14ac:dyDescent="0.25">
      <c r="A207" s="553">
        <f t="shared" si="19"/>
        <v>1423995.6908693516</v>
      </c>
      <c r="B207" s="3">
        <f t="shared" si="20"/>
        <v>33.899999999999942</v>
      </c>
      <c r="C207" s="553">
        <f>'Foglio deposito bis'!$E$153/$B$247*B207</f>
        <v>137.61840324763182</v>
      </c>
      <c r="D207" s="611">
        <f>-'Progetto del paramento slu'!$G$47*'Progetto del paramento slu'!$G$41*IF(DATI!$G$218="dx",DATI!$E$61,DATI!$E$64*DATI!$E$63)*1000*C207^2*sezione!$AD$5*(1-sezione!$AD$6)</f>
        <v>-155904402.13378769</v>
      </c>
      <c r="E207" s="553">
        <f>-'Foglio deposito bis'!$F$48*(C207-sezione!$AL$27)*IF(ABS(K207)&lt;'Progetto del paramento slu'!$G$58,ABS(K207)*'Progetto del paramento slu'!$G$54,'Progetto del paramento slu'!$G$53)</f>
        <v>0</v>
      </c>
      <c r="F207" s="553">
        <f>-'Foglio deposito bis'!$F$49*(C207-sezione!$AM$27)*IF(ABS(L207)&lt;'Progetto del paramento slu'!$G$58,ABS(L207)*'Progetto del paramento slu'!$G$54,'Progetto del paramento slu'!$G$53)</f>
        <v>420543.26664978493</v>
      </c>
      <c r="G207" s="553">
        <f>-'Foglio deposito bis'!$F$50*(C207-sezione!$AN$27)*IF(ABS(M207)&lt;'Progetto del paramento slu'!$G$58,ABS(M207)*'Progetto del paramento slu'!$G$54,'Progetto del paramento slu'!$G$53)</f>
        <v>0</v>
      </c>
      <c r="H207" s="553">
        <f>-'Foglio deposito bis'!$F$51*(C207-sezione!$AO$27)*IF(ABS(N207)&lt;'Progetto del paramento slu'!$G$58,ABS(N207)*'Progetto del paramento slu'!$G$54,'Progetto del paramento slu'!$G$53)</f>
        <v>48763136.88214682</v>
      </c>
      <c r="I207" s="479">
        <f>-'Foglio deposito bis'!$F$52*(C207-sezione!$AP$27)*IF(ABS(O207)&lt;'Progetto del paramento slu'!$G$58,ABS(O207)*'Progetto del paramento slu'!$G$54,'Progetto del paramento slu'!$G$53)</f>
        <v>29487417.087599359</v>
      </c>
      <c r="J207" s="479">
        <f t="shared" si="18"/>
        <v>-77233304.897391737</v>
      </c>
      <c r="K207" s="558">
        <f>'Progetto del paramento slu'!$G$60*(sezione!$AL$27-C207)/C207</f>
        <v>-2.4826941986234013E-3</v>
      </c>
      <c r="L207" s="558">
        <f>'Progetto del paramento slu'!$G$60*(sezione!$AM$27-C207)/C207</f>
        <v>3.1489675516224513E-4</v>
      </c>
      <c r="M207" s="559">
        <f>'Progetto del paramento slu'!$G$60*(sezione!$AN$27-C207)/C207</f>
        <v>3.1124877089478914E-3</v>
      </c>
      <c r="N207" s="559">
        <f>'Progetto del paramento slu'!$G$60*(sezione!$AO$27-C207)/C207</f>
        <v>5.147099311701089E-3</v>
      </c>
      <c r="O207" s="559">
        <f>'Progetto del paramento slu'!$G$60*(sezione!$AP$27-C207)/C207</f>
        <v>3.1124877089478914E-3</v>
      </c>
      <c r="P207" s="553">
        <f>-'Progetto del paramento slu'!$G$47*'Progetto del paramento slu'!$G$41*IF(DATI!$G$218="dx",DATI!$E$61,DATI!$E$64*DATI!$E$63)*1000*C207*sezione!$AD$5</f>
        <v>-1939853.8741542611</v>
      </c>
      <c r="Q207" s="553">
        <f>'Foglio deposito bis'!$F$48*IF(ABS(K207)&lt;'Progetto del paramento slu'!$G$58,ABS(K207)*'Progetto del paramento slu'!$G$54,'Progetto del paramento slu'!$G$53)*IF(K207&lt;0,-1,1)</f>
        <v>0</v>
      </c>
      <c r="R207" s="553">
        <f>'Foglio deposito bis'!$F$49*IF(ABS(L207)&lt;'Progetto del paramento slu'!$G$58,ABS(L207)*'Progetto del paramento slu'!$G$54,'Progetto del paramento slu'!$G$53)*IF(L207&lt;0,-1,1)</f>
        <v>33965.188421222745</v>
      </c>
      <c r="S207" s="553">
        <f>'Foglio deposito bis'!$F$50*IF(ABS(M207)&lt;'Progetto del paramento slu'!$G$58,ABS(M207)*'Progetto del paramento slu'!$G$54,'Progetto del paramento slu'!$G$53)*IF(M207&lt;0,-1,1)</f>
        <v>0</v>
      </c>
      <c r="T207" s="553">
        <f>'Foglio deposito bis'!$F$51*IF(ABS(N207)&lt;'Progetto del paramento slu'!$G$58,ABS(N207)*'Progetto del paramento slu'!$G$54,'Progetto del paramento slu'!$G$53)*IF(N207&lt;0,-1,1)</f>
        <v>240946.49743184328</v>
      </c>
      <c r="U207" s="553">
        <f>'Foglio deposito bis'!$F$52*IF(ABS(O207)&lt;'Progetto del paramento slu'!$G$58,ABS(O207)*'Progetto del paramento slu'!$G$54,'Progetto del paramento slu'!$G$53)*IF(O207&lt;0,-1,1)</f>
        <v>240946.49743184328</v>
      </c>
      <c r="V207" s="479">
        <f t="shared" si="21"/>
        <v>-1423995.6908693516</v>
      </c>
      <c r="W207" s="559"/>
      <c r="X207" s="559"/>
    </row>
    <row r="208" spans="1:24" x14ac:dyDescent="0.25">
      <c r="A208" s="553">
        <f t="shared" si="19"/>
        <v>1493008.7741910703</v>
      </c>
      <c r="B208" s="3">
        <f t="shared" si="20"/>
        <v>34.899999999999942</v>
      </c>
      <c r="C208" s="553">
        <f>'Foglio deposito bis'!$E$153/$B$247*B208</f>
        <v>141.677943166441</v>
      </c>
      <c r="D208" s="611">
        <f>-'Progetto del paramento slu'!$G$47*'Progetto del paramento slu'!$G$41*IF(DATI!$G$218="dx",DATI!$E$61,DATI!$E$64*DATI!$E$63)*1000*C208^2*sezione!$AD$5*(1-sezione!$AD$6)</f>
        <v>-165237964.20408338</v>
      </c>
      <c r="E208" s="553">
        <f>-'Foglio deposito bis'!$F$48*(C208-sezione!$AL$27)*IF(ABS(K208)&lt;'Progetto del paramento slu'!$G$58,ABS(K208)*'Progetto del paramento slu'!$G$54,'Progetto del paramento slu'!$G$53)</f>
        <v>0</v>
      </c>
      <c r="F208" s="553">
        <f>-'Foglio deposito bis'!$F$49*(C208-sezione!$AM$27)*IF(ABS(L208)&lt;'Progetto del paramento slu'!$G$58,ABS(L208)*'Progetto del paramento slu'!$G$54,'Progetto del paramento slu'!$G$53)</f>
        <v>184541.05475065112</v>
      </c>
      <c r="G208" s="553">
        <f>-'Foglio deposito bis'!$F$50*(C208-sezione!$AN$27)*IF(ABS(M208)&lt;'Progetto del paramento slu'!$G$58,ABS(M208)*'Progetto del paramento slu'!$G$54,'Progetto del paramento slu'!$G$53)</f>
        <v>0</v>
      </c>
      <c r="H208" s="553">
        <f>-'Foglio deposito bis'!$F$51*(C208-sezione!$AO$27)*IF(ABS(N208)&lt;'Progetto del paramento slu'!$G$58,ABS(N208)*'Progetto del paramento slu'!$G$54,'Progetto del paramento slu'!$G$53)</f>
        <v>47785004.957525</v>
      </c>
      <c r="I208" s="479">
        <f>-'Foglio deposito bis'!$F$52*(C208-sezione!$AP$27)*IF(ABS(O208)&lt;'Progetto del paramento slu'!$G$58,ABS(O208)*'Progetto del paramento slu'!$G$54,'Progetto del paramento slu'!$G$53)</f>
        <v>28509285.162977539</v>
      </c>
      <c r="J208" s="479">
        <f t="shared" si="18"/>
        <v>-88759133.0288302</v>
      </c>
      <c r="K208" s="558">
        <f>'Progetto del paramento slu'!$G$60*(sezione!$AL$27-C208)/C208</f>
        <v>-2.5118433619866275E-3</v>
      </c>
      <c r="L208" s="558">
        <f>'Progetto del paramento slu'!$G$60*(sezione!$AM$27-C208)/C208</f>
        <v>2.0558739255014692E-4</v>
      </c>
      <c r="M208" s="559">
        <f>'Progetto del paramento slu'!$G$60*(sezione!$AN$27-C208)/C208</f>
        <v>2.9230181470869215E-3</v>
      </c>
      <c r="N208" s="559">
        <f>'Progetto del paramento slu'!$G$60*(sezione!$AO$27-C208)/C208</f>
        <v>4.8993314231136663E-3</v>
      </c>
      <c r="O208" s="559">
        <f>'Progetto del paramento slu'!$G$60*(sezione!$AP$27-C208)/C208</f>
        <v>2.9230181470869215E-3</v>
      </c>
      <c r="P208" s="553">
        <f>-'Progetto del paramento slu'!$G$47*'Progetto del paramento slu'!$G$41*IF(DATI!$G$218="dx",DATI!$E$61,DATI!$E$64*DATI!$E$63)*1000*C208*sezione!$AD$5</f>
        <v>-1997076.702300404</v>
      </c>
      <c r="Q208" s="553">
        <f>'Foglio deposito bis'!$F$48*IF(ABS(K208)&lt;'Progetto del paramento slu'!$G$58,ABS(K208)*'Progetto del paramento slu'!$G$54,'Progetto del paramento slu'!$G$53)*IF(K208&lt;0,-1,1)</f>
        <v>0</v>
      </c>
      <c r="R208" s="553">
        <f>'Foglio deposito bis'!$F$49*IF(ABS(L208)&lt;'Progetto del paramento slu'!$G$58,ABS(L208)*'Progetto del paramento slu'!$G$54,'Progetto del paramento slu'!$G$53)*IF(L208&lt;0,-1,1)</f>
        <v>22174.933245646975</v>
      </c>
      <c r="S208" s="553">
        <f>'Foglio deposito bis'!$F$50*IF(ABS(M208)&lt;'Progetto del paramento slu'!$G$58,ABS(M208)*'Progetto del paramento slu'!$G$54,'Progetto del paramento slu'!$G$53)*IF(M208&lt;0,-1,1)</f>
        <v>0</v>
      </c>
      <c r="T208" s="553">
        <f>'Foglio deposito bis'!$F$51*IF(ABS(N208)&lt;'Progetto del paramento slu'!$G$58,ABS(N208)*'Progetto del paramento slu'!$G$54,'Progetto del paramento slu'!$G$53)*IF(N208&lt;0,-1,1)</f>
        <v>240946.49743184328</v>
      </c>
      <c r="U208" s="553">
        <f>'Foglio deposito bis'!$F$52*IF(ABS(O208)&lt;'Progetto del paramento slu'!$G$58,ABS(O208)*'Progetto del paramento slu'!$G$54,'Progetto del paramento slu'!$G$53)*IF(O208&lt;0,-1,1)</f>
        <v>240946.49743184328</v>
      </c>
      <c r="V208" s="479">
        <f t="shared" si="21"/>
        <v>-1493008.7741910703</v>
      </c>
      <c r="W208" s="559"/>
      <c r="X208" s="559"/>
    </row>
    <row r="209" spans="1:24" x14ac:dyDescent="0.25">
      <c r="A209" s="553">
        <f t="shared" si="19"/>
        <v>1561365.0187843454</v>
      </c>
      <c r="B209" s="3">
        <f t="shared" si="20"/>
        <v>35.899999999999942</v>
      </c>
      <c r="C209" s="553">
        <f>'Foglio deposito bis'!$E$153/$B$247*B209</f>
        <v>145.7374830852502</v>
      </c>
      <c r="D209" s="611">
        <f>-'Progetto del paramento slu'!$G$47*'Progetto del paramento slu'!$G$41*IF(DATI!$G$218="dx",DATI!$E$61,DATI!$E$64*DATI!$E$63)*1000*C209^2*sezione!$AD$5*(1-sezione!$AD$6)</f>
        <v>-174842850.75316685</v>
      </c>
      <c r="E209" s="553">
        <f>-'Foglio deposito bis'!$F$48*(C209-sezione!$AL$27)*IF(ABS(K209)&lt;'Progetto del paramento slu'!$G$58,ABS(K209)*'Progetto del paramento slu'!$G$54,'Progetto del paramento slu'!$G$53)</f>
        <v>0</v>
      </c>
      <c r="F209" s="553">
        <f>-'Foglio deposito bis'!$F$49*(C209-sezione!$AM$27)*IF(ABS(L209)&lt;'Progetto del paramento slu'!$G$58,ABS(L209)*'Progetto del paramento slu'!$G$54,'Progetto del paramento slu'!$G$53)</f>
        <v>47064.652118166152</v>
      </c>
      <c r="G209" s="553">
        <f>-'Foglio deposito bis'!$F$50*(C209-sezione!$AN$27)*IF(ABS(M209)&lt;'Progetto del paramento slu'!$G$58,ABS(M209)*'Progetto del paramento slu'!$G$54,'Progetto del paramento slu'!$G$53)</f>
        <v>0</v>
      </c>
      <c r="H209" s="553">
        <f>-'Foglio deposito bis'!$F$51*(C209-sezione!$AO$27)*IF(ABS(N209)&lt;'Progetto del paramento slu'!$G$58,ABS(N209)*'Progetto del paramento slu'!$G$54,'Progetto del paramento slu'!$G$53)</f>
        <v>46806873.032903172</v>
      </c>
      <c r="I209" s="479">
        <f>-'Foglio deposito bis'!$F$52*(C209-sezione!$AP$27)*IF(ABS(O209)&lt;'Progetto del paramento slu'!$G$58,ABS(O209)*'Progetto del paramento slu'!$G$54,'Progetto del paramento slu'!$G$53)</f>
        <v>27531153.238355711</v>
      </c>
      <c r="J209" s="479">
        <f t="shared" si="18"/>
        <v>-100457759.8297898</v>
      </c>
      <c r="K209" s="558">
        <f>'Progetto del paramento slu'!$G$60*(sezione!$AL$27-C209)/C209</f>
        <v>-2.5393686165273901E-3</v>
      </c>
      <c r="L209" s="558">
        <f>'Progetto del paramento slu'!$G$60*(sezione!$AM$27-C209)/C209</f>
        <v>1.0236768802228744E-4</v>
      </c>
      <c r="M209" s="559">
        <f>'Progetto del paramento slu'!$G$60*(sezione!$AN$27-C209)/C209</f>
        <v>2.7441039925719651E-3</v>
      </c>
      <c r="N209" s="559">
        <f>'Progetto del paramento slu'!$G$60*(sezione!$AO$27-C209)/C209</f>
        <v>4.665366759517185E-3</v>
      </c>
      <c r="O209" s="559">
        <f>'Progetto del paramento slu'!$G$60*(sezione!$AP$27-C209)/C209</f>
        <v>2.7441039925719651E-3</v>
      </c>
      <c r="P209" s="553">
        <f>-'Progetto del paramento slu'!$G$47*'Progetto del paramento slu'!$G$41*IF(DATI!$G$218="dx",DATI!$E$61,DATI!$E$64*DATI!$E$63)*1000*C209*sezione!$AD$5</f>
        <v>-2054299.5304465475</v>
      </c>
      <c r="Q209" s="553">
        <f>'Foglio deposito bis'!$F$48*IF(ABS(K209)&lt;'Progetto del paramento slu'!$G$58,ABS(K209)*'Progetto del paramento slu'!$G$54,'Progetto del paramento slu'!$G$53)*IF(K209&lt;0,-1,1)</f>
        <v>0</v>
      </c>
      <c r="R209" s="553">
        <f>'Foglio deposito bis'!$F$49*IF(ABS(L209)&lt;'Progetto del paramento slu'!$G$58,ABS(L209)*'Progetto del paramento slu'!$G$54,'Progetto del paramento slu'!$G$53)*IF(L209&lt;0,-1,1)</f>
        <v>11041.516798515459</v>
      </c>
      <c r="S209" s="553">
        <f>'Foglio deposito bis'!$F$50*IF(ABS(M209)&lt;'Progetto del paramento slu'!$G$58,ABS(M209)*'Progetto del paramento slu'!$G$54,'Progetto del paramento slu'!$G$53)*IF(M209&lt;0,-1,1)</f>
        <v>0</v>
      </c>
      <c r="T209" s="553">
        <f>'Foglio deposito bis'!$F$51*IF(ABS(N209)&lt;'Progetto del paramento slu'!$G$58,ABS(N209)*'Progetto del paramento slu'!$G$54,'Progetto del paramento slu'!$G$53)*IF(N209&lt;0,-1,1)</f>
        <v>240946.49743184328</v>
      </c>
      <c r="U209" s="553">
        <f>'Foglio deposito bis'!$F$52*IF(ABS(O209)&lt;'Progetto del paramento slu'!$G$58,ABS(O209)*'Progetto del paramento slu'!$G$54,'Progetto del paramento slu'!$G$53)*IF(O209&lt;0,-1,1)</f>
        <v>240946.49743184328</v>
      </c>
      <c r="V209" s="479">
        <f t="shared" si="21"/>
        <v>-1561365.0187843454</v>
      </c>
      <c r="W209" s="559"/>
      <c r="X209" s="559"/>
    </row>
    <row r="210" spans="1:24" x14ac:dyDescent="0.25">
      <c r="A210" s="553">
        <f t="shared" si="19"/>
        <v>1629117.8261718135</v>
      </c>
      <c r="B210" s="3">
        <f t="shared" si="20"/>
        <v>36.899999999999942</v>
      </c>
      <c r="C210" s="553">
        <f>'Foglio deposito bis'!$E$153/$B$247*B210</f>
        <v>149.79702300405941</v>
      </c>
      <c r="D210" s="611">
        <f>-'Progetto del paramento slu'!$G$47*'Progetto del paramento slu'!$G$41*IF(DATI!$G$218="dx",DATI!$E$61,DATI!$E$64*DATI!$E$63)*1000*C210^2*sezione!$AD$5*(1-sezione!$AD$6)</f>
        <v>-184719061.78103799</v>
      </c>
      <c r="E210" s="553">
        <f>-'Foglio deposito bis'!$F$48*(C210-sezione!$AL$27)*IF(ABS(K210)&lt;'Progetto del paramento slu'!$G$58,ABS(K210)*'Progetto del paramento slu'!$G$54,'Progetto del paramento slu'!$G$53)</f>
        <v>0</v>
      </c>
      <c r="F210" s="553">
        <f>-'Foglio deposito bis'!$F$49*(C210-sezione!$AM$27)*IF(ABS(L210)&lt;'Progetto del paramento slu'!$G$58,ABS(L210)*'Progetto del paramento slu'!$G$54,'Progetto del paramento slu'!$G$53)</f>
        <v>103.83035666932093</v>
      </c>
      <c r="G210" s="553">
        <f>-'Foglio deposito bis'!$F$50*(C210-sezione!$AN$27)*IF(ABS(M210)&lt;'Progetto del paramento slu'!$G$58,ABS(M210)*'Progetto del paramento slu'!$G$54,'Progetto del paramento slu'!$G$53)</f>
        <v>0</v>
      </c>
      <c r="H210" s="553">
        <f>-'Foglio deposito bis'!$F$51*(C210-sezione!$AO$27)*IF(ABS(N210)&lt;'Progetto del paramento slu'!$G$58,ABS(N210)*'Progetto del paramento slu'!$G$54,'Progetto del paramento slu'!$G$53)</f>
        <v>45828741.108281344</v>
      </c>
      <c r="I210" s="479">
        <f>-'Foglio deposito bis'!$F$52*(C210-sezione!$AP$27)*IF(ABS(O210)&lt;'Progetto del paramento slu'!$G$58,ABS(O210)*'Progetto del paramento slu'!$G$54,'Progetto del paramento slu'!$G$53)</f>
        <v>26553021.313733879</v>
      </c>
      <c r="J210" s="479">
        <f t="shared" si="18"/>
        <v>-112337195.52866611</v>
      </c>
      <c r="K210" s="558">
        <f>'Progetto del paramento slu'!$G$60*(sezione!$AL$27-C210)/C210</f>
        <v>-2.5654019873532063E-3</v>
      </c>
      <c r="L210" s="558">
        <f>'Progetto del paramento slu'!$G$60*(sezione!$AM$27-C210)/C210</f>
        <v>4.7425474254772534E-6</v>
      </c>
      <c r="M210" s="559">
        <f>'Progetto del paramento slu'!$G$60*(sezione!$AN$27-C210)/C210</f>
        <v>2.5748870822041607E-3</v>
      </c>
      <c r="N210" s="559">
        <f>'Progetto del paramento slu'!$G$60*(sezione!$AO$27-C210)/C210</f>
        <v>4.4440831074977491E-3</v>
      </c>
      <c r="O210" s="559">
        <f>'Progetto del paramento slu'!$G$60*(sezione!$AP$27-C210)/C210</f>
        <v>2.5748870822041607E-3</v>
      </c>
      <c r="P210" s="553">
        <f>-'Progetto del paramento slu'!$G$47*'Progetto del paramento slu'!$G$41*IF(DATI!$G$218="dx",DATI!$E$61,DATI!$E$64*DATI!$E$63)*1000*C210*sezione!$AD$5</f>
        <v>-2111522.3585926909</v>
      </c>
      <c r="Q210" s="553">
        <f>'Foglio deposito bis'!$F$48*IF(ABS(K210)&lt;'Progetto del paramento slu'!$G$58,ABS(K210)*'Progetto del paramento slu'!$G$54,'Progetto del paramento slu'!$G$53)*IF(K210&lt;0,-1,1)</f>
        <v>0</v>
      </c>
      <c r="R210" s="553">
        <f>'Foglio deposito bis'!$F$49*IF(ABS(L210)&lt;'Progetto del paramento slu'!$G$58,ABS(L210)*'Progetto del paramento slu'!$G$54,'Progetto del paramento slu'!$G$53)*IF(L210&lt;0,-1,1)</f>
        <v>511.5375571905314</v>
      </c>
      <c r="S210" s="553">
        <f>'Foglio deposito bis'!$F$50*IF(ABS(M210)&lt;'Progetto del paramento slu'!$G$58,ABS(M210)*'Progetto del paramento slu'!$G$54,'Progetto del paramento slu'!$G$53)*IF(M210&lt;0,-1,1)</f>
        <v>0</v>
      </c>
      <c r="T210" s="553">
        <f>'Foglio deposito bis'!$F$51*IF(ABS(N210)&lt;'Progetto del paramento slu'!$G$58,ABS(N210)*'Progetto del paramento slu'!$G$54,'Progetto del paramento slu'!$G$53)*IF(N210&lt;0,-1,1)</f>
        <v>240946.49743184328</v>
      </c>
      <c r="U210" s="553">
        <f>'Foglio deposito bis'!$F$52*IF(ABS(O210)&lt;'Progetto del paramento slu'!$G$58,ABS(O210)*'Progetto del paramento slu'!$G$54,'Progetto del paramento slu'!$G$53)*IF(O210&lt;0,-1,1)</f>
        <v>240946.49743184328</v>
      </c>
      <c r="V210" s="479">
        <f t="shared" si="21"/>
        <v>-1629117.8261718135</v>
      </c>
      <c r="W210" s="559"/>
      <c r="X210" s="559"/>
    </row>
    <row r="211" spans="1:24" x14ac:dyDescent="0.25">
      <c r="A211" s="553">
        <f t="shared" si="19"/>
        <v>1696314.9618315082</v>
      </c>
      <c r="B211" s="3">
        <f t="shared" si="20"/>
        <v>37.899999999999942</v>
      </c>
      <c r="C211" s="553">
        <f>'Foglio deposito bis'!$E$153/$B$247*B211</f>
        <v>153.85656292286862</v>
      </c>
      <c r="D211" s="611">
        <f>-'Progetto del paramento slu'!$G$47*'Progetto del paramento slu'!$G$41*IF(DATI!$G$218="dx",DATI!$E$61,DATI!$E$64*DATI!$E$63)*1000*C211^2*sezione!$AD$5*(1-sezione!$AD$6)</f>
        <v>-194866597.28769675</v>
      </c>
      <c r="E211" s="553">
        <f>-'Foglio deposito bis'!$F$48*(C211-sezione!$AL$27)*IF(ABS(K211)&lt;'Progetto del paramento slu'!$G$58,ABS(K211)*'Progetto del paramento slu'!$G$54,'Progetto del paramento slu'!$G$53)</f>
        <v>0</v>
      </c>
      <c r="F211" s="553">
        <f>-'Foglio deposito bis'!$F$49*(C211-sezione!$AM$27)*IF(ABS(L211)&lt;'Progetto del paramento slu'!$G$58,ABS(L211)*'Progetto del paramento slu'!$G$54,'Progetto del paramento slu'!$G$53)</f>
        <v>-36493.767761333052</v>
      </c>
      <c r="G211" s="553">
        <f>-'Foglio deposito bis'!$F$50*(C211-sezione!$AN$27)*IF(ABS(M211)&lt;'Progetto del paramento slu'!$G$58,ABS(M211)*'Progetto del paramento slu'!$G$54,'Progetto del paramento slu'!$G$53)</f>
        <v>0</v>
      </c>
      <c r="H211" s="553">
        <f>-'Foglio deposito bis'!$F$51*(C211-sezione!$AO$27)*IF(ABS(N211)&lt;'Progetto del paramento slu'!$G$58,ABS(N211)*'Progetto del paramento slu'!$G$54,'Progetto del paramento slu'!$G$53)</f>
        <v>44850609.183659516</v>
      </c>
      <c r="I211" s="479">
        <f>-'Foglio deposito bis'!$F$52*(C211-sezione!$AP$27)*IF(ABS(O211)&lt;'Progetto del paramento slu'!$G$58,ABS(O211)*'Progetto del paramento slu'!$G$54,'Progetto del paramento slu'!$G$53)</f>
        <v>25574889.389112055</v>
      </c>
      <c r="J211" s="479">
        <f t="shared" si="18"/>
        <v>-124477592.48268649</v>
      </c>
      <c r="K211" s="558">
        <f>'Progetto del paramento slu'!$G$60*(sezione!$AL$27-C211)/C211</f>
        <v>-2.5900615655233064E-3</v>
      </c>
      <c r="L211" s="558">
        <f>'Progetto del paramento slu'!$G$60*(sezione!$AM$27-C211)/C211</f>
        <v>-8.7730870712398343E-5</v>
      </c>
      <c r="M211" s="559">
        <f>'Progetto del paramento slu'!$G$60*(sezione!$AN$27-C211)/C211</f>
        <v>2.4145998240985094E-3</v>
      </c>
      <c r="N211" s="559">
        <f>'Progetto del paramento slu'!$G$60*(sezione!$AO$27-C211)/C211</f>
        <v>4.2344766930518972E-3</v>
      </c>
      <c r="O211" s="559">
        <f>'Progetto del paramento slu'!$G$60*(sezione!$AP$27-C211)/C211</f>
        <v>2.4145998240985094E-3</v>
      </c>
      <c r="P211" s="553">
        <f>-'Progetto del paramento slu'!$G$47*'Progetto del paramento slu'!$G$41*IF(DATI!$G$218="dx",DATI!$E$61,DATI!$E$64*DATI!$E$63)*1000*C211*sezione!$AD$5</f>
        <v>-2168745.1867388347</v>
      </c>
      <c r="Q211" s="553">
        <f>'Foglio deposito bis'!$F$48*IF(ABS(K211)&lt;'Progetto del paramento slu'!$G$58,ABS(K211)*'Progetto del paramento slu'!$G$54,'Progetto del paramento slu'!$G$53)*IF(K211&lt;0,-1,1)</f>
        <v>0</v>
      </c>
      <c r="R211" s="553">
        <f>'Foglio deposito bis'!$F$49*IF(ABS(L211)&lt;'Progetto del paramento slu'!$G$58,ABS(L211)*'Progetto del paramento slu'!$G$54,'Progetto del paramento slu'!$G$53)*IF(L211&lt;0,-1,1)</f>
        <v>-9462.7699563599926</v>
      </c>
      <c r="S211" s="553">
        <f>'Foglio deposito bis'!$F$50*IF(ABS(M211)&lt;'Progetto del paramento slu'!$G$58,ABS(M211)*'Progetto del paramento slu'!$G$54,'Progetto del paramento slu'!$G$53)*IF(M211&lt;0,-1,1)</f>
        <v>0</v>
      </c>
      <c r="T211" s="553">
        <f>'Foglio deposito bis'!$F$51*IF(ABS(N211)&lt;'Progetto del paramento slu'!$G$58,ABS(N211)*'Progetto del paramento slu'!$G$54,'Progetto del paramento slu'!$G$53)*IF(N211&lt;0,-1,1)</f>
        <v>240946.49743184328</v>
      </c>
      <c r="U211" s="553">
        <f>'Foglio deposito bis'!$F$52*IF(ABS(O211)&lt;'Progetto del paramento slu'!$G$58,ABS(O211)*'Progetto del paramento slu'!$G$54,'Progetto del paramento slu'!$G$53)*IF(O211&lt;0,-1,1)</f>
        <v>240946.49743184328</v>
      </c>
      <c r="V211" s="479">
        <f t="shared" si="21"/>
        <v>-1696314.9618315082</v>
      </c>
      <c r="W211" s="559"/>
      <c r="X211" s="559"/>
    </row>
    <row r="212" spans="1:24" x14ac:dyDescent="0.25">
      <c r="A212" s="553">
        <f t="shared" si="19"/>
        <v>1762999.2796241813</v>
      </c>
      <c r="B212" s="3">
        <f t="shared" si="20"/>
        <v>38.899999999999942</v>
      </c>
      <c r="C212" s="553">
        <f>'Foglio deposito bis'!$E$153/$B$247*B212</f>
        <v>157.91610284167783</v>
      </c>
      <c r="D212" s="611">
        <f>-'Progetto del paramento slu'!$G$47*'Progetto del paramento slu'!$G$41*IF(DATI!$G$218="dx",DATI!$E$61,DATI!$E$64*DATI!$E$63)*1000*C212^2*sezione!$AD$5*(1-sezione!$AD$6)</f>
        <v>-205285457.27314326</v>
      </c>
      <c r="E212" s="553">
        <f>-'Foglio deposito bis'!$F$48*(C212-sezione!$AL$27)*IF(ABS(K212)&lt;'Progetto del paramento slu'!$G$58,ABS(K212)*'Progetto del paramento slu'!$G$54,'Progetto del paramento slu'!$G$53)</f>
        <v>0</v>
      </c>
      <c r="F212" s="553">
        <f>-'Foglio deposito bis'!$F$49*(C212-sezione!$AM$27)*IF(ABS(L212)&lt;'Progetto del paramento slu'!$G$58,ABS(L212)*'Progetto del paramento slu'!$G$54,'Progetto del paramento slu'!$G$53)</f>
        <v>-149806.38521908582</v>
      </c>
      <c r="G212" s="553">
        <f>-'Foglio deposito bis'!$F$50*(C212-sezione!$AN$27)*IF(ABS(M212)&lt;'Progetto del paramento slu'!$G$58,ABS(M212)*'Progetto del paramento slu'!$G$54,'Progetto del paramento slu'!$G$53)</f>
        <v>0</v>
      </c>
      <c r="H212" s="553">
        <f>-'Foglio deposito bis'!$F$51*(C212-sezione!$AO$27)*IF(ABS(N212)&lt;'Progetto del paramento slu'!$G$58,ABS(N212)*'Progetto del paramento slu'!$G$54,'Progetto del paramento slu'!$G$53)</f>
        <v>43872477.259037688</v>
      </c>
      <c r="I212" s="479">
        <f>-'Foglio deposito bis'!$F$52*(C212-sezione!$AP$27)*IF(ABS(O212)&lt;'Progetto del paramento slu'!$G$58,ABS(O212)*'Progetto del paramento slu'!$G$54,'Progetto del paramento slu'!$G$53)</f>
        <v>24596757.464490224</v>
      </c>
      <c r="J212" s="479">
        <f t="shared" si="18"/>
        <v>-136966028.93483442</v>
      </c>
      <c r="K212" s="558">
        <f>'Progetto del paramento slu'!$G$60*(sezione!$AL$27-C212)/C212</f>
        <v>-2.6134532990574116E-3</v>
      </c>
      <c r="L212" s="558">
        <f>'Progetto del paramento slu'!$G$60*(sezione!$AM$27-C212)/C212</f>
        <v>-1.7544987146529318E-4</v>
      </c>
      <c r="M212" s="559">
        <f>'Progetto del paramento slu'!$G$60*(sezione!$AN$27-C212)/C212</f>
        <v>2.2625535561268252E-3</v>
      </c>
      <c r="N212" s="559">
        <f>'Progetto del paramento slu'!$G$60*(sezione!$AO$27-C212)/C212</f>
        <v>4.0356469580120017E-3</v>
      </c>
      <c r="O212" s="559">
        <f>'Progetto del paramento slu'!$G$60*(sezione!$AP$27-C212)/C212</f>
        <v>2.2625535561268252E-3</v>
      </c>
      <c r="P212" s="553">
        <f>-'Progetto del paramento slu'!$G$47*'Progetto del paramento slu'!$G$41*IF(DATI!$G$218="dx",DATI!$E$61,DATI!$E$64*DATI!$E$63)*1000*C212*sezione!$AD$5</f>
        <v>-2225968.0148849781</v>
      </c>
      <c r="Q212" s="553">
        <f>'Foglio deposito bis'!$F$48*IF(ABS(K212)&lt;'Progetto del paramento slu'!$G$58,ABS(K212)*'Progetto del paramento slu'!$G$54,'Progetto del paramento slu'!$G$53)*IF(K212&lt;0,-1,1)</f>
        <v>0</v>
      </c>
      <c r="R212" s="553">
        <f>'Foglio deposito bis'!$F$49*IF(ABS(L212)&lt;'Progetto del paramento slu'!$G$58,ABS(L212)*'Progetto del paramento slu'!$G$54,'Progetto del paramento slu'!$G$53)*IF(L212&lt;0,-1,1)</f>
        <v>-18924.259602889924</v>
      </c>
      <c r="S212" s="553">
        <f>'Foglio deposito bis'!$F$50*IF(ABS(M212)&lt;'Progetto del paramento slu'!$G$58,ABS(M212)*'Progetto del paramento slu'!$G$54,'Progetto del paramento slu'!$G$53)*IF(M212&lt;0,-1,1)</f>
        <v>0</v>
      </c>
      <c r="T212" s="553">
        <f>'Foglio deposito bis'!$F$51*IF(ABS(N212)&lt;'Progetto del paramento slu'!$G$58,ABS(N212)*'Progetto del paramento slu'!$G$54,'Progetto del paramento slu'!$G$53)*IF(N212&lt;0,-1,1)</f>
        <v>240946.49743184328</v>
      </c>
      <c r="U212" s="553">
        <f>'Foglio deposito bis'!$F$52*IF(ABS(O212)&lt;'Progetto del paramento slu'!$G$58,ABS(O212)*'Progetto del paramento slu'!$G$54,'Progetto del paramento slu'!$G$53)*IF(O212&lt;0,-1,1)</f>
        <v>240946.49743184328</v>
      </c>
      <c r="V212" s="479">
        <f t="shared" si="21"/>
        <v>-1762999.2796241813</v>
      </c>
      <c r="W212" s="559"/>
      <c r="X212" s="559"/>
    </row>
    <row r="213" spans="1:24" x14ac:dyDescent="0.25">
      <c r="A213" s="553">
        <f t="shared" si="19"/>
        <v>1829209.3372841971</v>
      </c>
      <c r="B213" s="3">
        <f t="shared" si="20"/>
        <v>39.899999999999942</v>
      </c>
      <c r="C213" s="553">
        <f>'Foglio deposito bis'!$E$153/$B$247*B213</f>
        <v>161.97564276048703</v>
      </c>
      <c r="D213" s="611">
        <f>-'Progetto del paramento slu'!$G$47*'Progetto del paramento slu'!$G$41*IF(DATI!$G$218="dx",DATI!$E$61,DATI!$E$64*DATI!$E$63)*1000*C213^2*sezione!$AD$5*(1-sezione!$AD$6)</f>
        <v>-215975641.73737735</v>
      </c>
      <c r="E213" s="553">
        <f>-'Foglio deposito bis'!$F$48*(C213-sezione!$AL$27)*IF(ABS(K213)&lt;'Progetto del paramento slu'!$G$58,ABS(K213)*'Progetto del paramento slu'!$G$54,'Progetto del paramento slu'!$G$53)</f>
        <v>0</v>
      </c>
      <c r="F213" s="553">
        <f>-'Foglio deposito bis'!$F$49*(C213-sezione!$AM$27)*IF(ABS(L213)&lt;'Progetto del paramento slu'!$G$58,ABS(L213)*'Progetto del paramento slu'!$G$54,'Progetto del paramento slu'!$G$53)</f>
        <v>-334258.02257556003</v>
      </c>
      <c r="G213" s="553">
        <f>-'Foglio deposito bis'!$F$50*(C213-sezione!$AN$27)*IF(ABS(M213)&lt;'Progetto del paramento slu'!$G$58,ABS(M213)*'Progetto del paramento slu'!$G$54,'Progetto del paramento slu'!$G$53)</f>
        <v>0</v>
      </c>
      <c r="H213" s="553">
        <f>-'Foglio deposito bis'!$F$51*(C213-sezione!$AO$27)*IF(ABS(N213)&lt;'Progetto del paramento slu'!$G$58,ABS(N213)*'Progetto del paramento slu'!$G$54,'Progetto del paramento slu'!$G$53)</f>
        <v>42894345.33441586</v>
      </c>
      <c r="I213" s="479">
        <f>-'Foglio deposito bis'!$F$52*(C213-sezione!$AP$27)*IF(ABS(O213)&lt;'Progetto del paramento slu'!$G$58,ABS(O213)*'Progetto del paramento slu'!$G$54,'Progetto del paramento slu'!$G$53)</f>
        <v>23618625.5398684</v>
      </c>
      <c r="J213" s="479">
        <f t="shared" si="18"/>
        <v>-149796928.88566864</v>
      </c>
      <c r="K213" s="558">
        <f>'Progetto del paramento slu'!$G$60*(sezione!$AL$27-C213)/C213</f>
        <v>-2.6356725146198827E-3</v>
      </c>
      <c r="L213" s="558">
        <f>'Progetto del paramento slu'!$G$60*(sezione!$AM$27-C213)/C213</f>
        <v>-2.5877192982455923E-4</v>
      </c>
      <c r="M213" s="559">
        <f>'Progetto del paramento slu'!$G$60*(sezione!$AN$27-C213)/C213</f>
        <v>2.1181286549707642E-3</v>
      </c>
      <c r="N213" s="559">
        <f>'Progetto del paramento slu'!$G$60*(sezione!$AO$27-C213)/C213</f>
        <v>3.8467836257309995E-3</v>
      </c>
      <c r="O213" s="559">
        <f>'Progetto del paramento slu'!$G$60*(sezione!$AP$27-C213)/C213</f>
        <v>2.1181286549707642E-3</v>
      </c>
      <c r="P213" s="553">
        <f>-'Progetto del paramento slu'!$G$47*'Progetto del paramento slu'!$G$41*IF(DATI!$G$218="dx",DATI!$E$61,DATI!$E$64*DATI!$E$63)*1000*C213*sezione!$AD$5</f>
        <v>-2283190.8430311219</v>
      </c>
      <c r="Q213" s="553">
        <f>'Foglio deposito bis'!$F$48*IF(ABS(K213)&lt;'Progetto del paramento slu'!$G$58,ABS(K213)*'Progetto del paramento slu'!$G$54,'Progetto del paramento slu'!$G$53)*IF(K213&lt;0,-1,1)</f>
        <v>0</v>
      </c>
      <c r="R213" s="553">
        <f>'Foglio deposito bis'!$F$49*IF(ABS(L213)&lt;'Progetto del paramento slu'!$G$58,ABS(L213)*'Progetto del paramento slu'!$G$54,'Progetto del paramento slu'!$G$53)*IF(L213&lt;0,-1,1)</f>
        <v>-27911.489116761717</v>
      </c>
      <c r="S213" s="553">
        <f>'Foglio deposito bis'!$F$50*IF(ABS(M213)&lt;'Progetto del paramento slu'!$G$58,ABS(M213)*'Progetto del paramento slu'!$G$54,'Progetto del paramento slu'!$G$53)*IF(M213&lt;0,-1,1)</f>
        <v>0</v>
      </c>
      <c r="T213" s="553">
        <f>'Foglio deposito bis'!$F$51*IF(ABS(N213)&lt;'Progetto del paramento slu'!$G$58,ABS(N213)*'Progetto del paramento slu'!$G$54,'Progetto del paramento slu'!$G$53)*IF(N213&lt;0,-1,1)</f>
        <v>240946.49743184328</v>
      </c>
      <c r="U213" s="553">
        <f>'Foglio deposito bis'!$F$52*IF(ABS(O213)&lt;'Progetto del paramento slu'!$G$58,ABS(O213)*'Progetto del paramento slu'!$G$54,'Progetto del paramento slu'!$G$53)*IF(O213&lt;0,-1,1)</f>
        <v>240946.49743184328</v>
      </c>
      <c r="V213" s="479">
        <f t="shared" si="21"/>
        <v>-1829209.3372841971</v>
      </c>
      <c r="W213" s="559"/>
      <c r="X213" s="559"/>
    </row>
    <row r="214" spans="1:24" x14ac:dyDescent="0.25">
      <c r="A214" s="553">
        <f t="shared" si="19"/>
        <v>1894979.9216183501</v>
      </c>
      <c r="B214" s="3">
        <f t="shared" si="20"/>
        <v>40.899999999999942</v>
      </c>
      <c r="C214" s="553">
        <f>'Foglio deposito bis'!$E$153/$B$247*B214</f>
        <v>166.03518267929624</v>
      </c>
      <c r="D214" s="611">
        <f>-'Progetto del paramento slu'!$G$47*'Progetto del paramento slu'!$G$41*IF(DATI!$G$218="dx",DATI!$E$61,DATI!$E$64*DATI!$E$63)*1000*C214^2*sezione!$AD$5*(1-sezione!$AD$6)</f>
        <v>-226937150.68039912</v>
      </c>
      <c r="E214" s="553">
        <f>-'Foglio deposito bis'!$F$48*(C214-sezione!$AL$27)*IF(ABS(K214)&lt;'Progetto del paramento slu'!$G$58,ABS(K214)*'Progetto del paramento slu'!$G$54,'Progetto del paramento slu'!$G$53)</f>
        <v>0</v>
      </c>
      <c r="F214" s="553">
        <f>-'Foglio deposito bis'!$F$49*(C214-sezione!$AM$27)*IF(ABS(L214)&lt;'Progetto del paramento slu'!$G$58,ABS(L214)*'Progetto del paramento slu'!$G$54,'Progetto del paramento slu'!$G$53)</f>
        <v>-584630.65881128958</v>
      </c>
      <c r="G214" s="553">
        <f>-'Foglio deposito bis'!$F$50*(C214-sezione!$AN$27)*IF(ABS(M214)&lt;'Progetto del paramento slu'!$G$58,ABS(M214)*'Progetto del paramento slu'!$G$54,'Progetto del paramento slu'!$G$53)</f>
        <v>0</v>
      </c>
      <c r="H214" s="553">
        <f>-'Foglio deposito bis'!$F$51*(C214-sezione!$AO$27)*IF(ABS(N214)&lt;'Progetto del paramento slu'!$G$58,ABS(N214)*'Progetto del paramento slu'!$G$54,'Progetto del paramento slu'!$G$53)</f>
        <v>41916213.409794033</v>
      </c>
      <c r="I214" s="479">
        <f>-'Foglio deposito bis'!$F$52*(C214-sezione!$AP$27)*IF(ABS(O214)&lt;'Progetto del paramento slu'!$G$58,ABS(O214)*'Progetto del paramento slu'!$G$54,'Progetto del paramento slu'!$G$53)</f>
        <v>22640493.615246572</v>
      </c>
      <c r="J214" s="479">
        <f t="shared" si="18"/>
        <v>-162965074.31416982</v>
      </c>
      <c r="K214" s="558">
        <f>'Progetto del paramento slu'!$G$60*(sezione!$AL$27-C214)/C214</f>
        <v>-2.6568052159739197E-3</v>
      </c>
      <c r="L214" s="558">
        <f>'Progetto del paramento slu'!$G$60*(sezione!$AM$27-C214)/C214</f>
        <v>-3.380195599021985E-4</v>
      </c>
      <c r="M214" s="559">
        <f>'Progetto del paramento slu'!$G$60*(sezione!$AN$27-C214)/C214</f>
        <v>1.980766096169523E-3</v>
      </c>
      <c r="N214" s="559">
        <f>'Progetto del paramento slu'!$G$60*(sezione!$AO$27-C214)/C214</f>
        <v>3.6671556642216834E-3</v>
      </c>
      <c r="O214" s="559">
        <f>'Progetto del paramento slu'!$G$60*(sezione!$AP$27-C214)/C214</f>
        <v>1.980766096169523E-3</v>
      </c>
      <c r="P214" s="553">
        <f>-'Progetto del paramento slu'!$G$47*'Progetto del paramento slu'!$G$41*IF(DATI!$G$218="dx",DATI!$E$61,DATI!$E$64*DATI!$E$63)*1000*C214*sezione!$AD$5</f>
        <v>-2340413.6711772648</v>
      </c>
      <c r="Q214" s="553">
        <f>'Foglio deposito bis'!$F$48*IF(ABS(K214)&lt;'Progetto del paramento slu'!$G$58,ABS(K214)*'Progetto del paramento slu'!$G$54,'Progetto del paramento slu'!$G$53)*IF(K214&lt;0,-1,1)</f>
        <v>0</v>
      </c>
      <c r="R214" s="553">
        <f>'Foglio deposito bis'!$F$49*IF(ABS(L214)&lt;'Progetto del paramento slu'!$G$58,ABS(L214)*'Progetto del paramento slu'!$G$54,'Progetto del paramento slu'!$G$53)*IF(L214&lt;0,-1,1)</f>
        <v>-36459.245304771794</v>
      </c>
      <c r="S214" s="553">
        <f>'Foglio deposito bis'!$F$50*IF(ABS(M214)&lt;'Progetto del paramento slu'!$G$58,ABS(M214)*'Progetto del paramento slu'!$G$54,'Progetto del paramento slu'!$G$53)*IF(M214&lt;0,-1,1)</f>
        <v>0</v>
      </c>
      <c r="T214" s="553">
        <f>'Foglio deposito bis'!$F$51*IF(ABS(N214)&lt;'Progetto del paramento slu'!$G$58,ABS(N214)*'Progetto del paramento slu'!$G$54,'Progetto del paramento slu'!$G$53)*IF(N214&lt;0,-1,1)</f>
        <v>240946.49743184328</v>
      </c>
      <c r="U214" s="553">
        <f>'Foglio deposito bis'!$F$52*IF(ABS(O214)&lt;'Progetto del paramento slu'!$G$58,ABS(O214)*'Progetto del paramento slu'!$G$54,'Progetto del paramento slu'!$G$53)*IF(O214&lt;0,-1,1)</f>
        <v>240946.49743184328</v>
      </c>
      <c r="V214" s="479">
        <f t="shared" si="21"/>
        <v>-1894979.9216183501</v>
      </c>
      <c r="W214" s="559"/>
      <c r="X214" s="559"/>
    </row>
    <row r="215" spans="1:24" x14ac:dyDescent="0.25">
      <c r="A215" s="553">
        <f t="shared" si="19"/>
        <v>1966630.8932563502</v>
      </c>
      <c r="B215" s="3">
        <f t="shared" si="20"/>
        <v>41.899999999999942</v>
      </c>
      <c r="C215" s="553">
        <f>'Foglio deposito bis'!$E$153/$B$247*B215</f>
        <v>170.09472259810545</v>
      </c>
      <c r="D215" s="611">
        <f>-'Progetto del paramento slu'!$G$47*'Progetto del paramento slu'!$G$41*IF(DATI!$G$218="dx",DATI!$E$61,DATI!$E$64*DATI!$E$63)*1000*C215^2*sezione!$AD$5*(1-sezione!$AD$6)</f>
        <v>-238169984.10220861</v>
      </c>
      <c r="E215" s="553">
        <f>-'Foglio deposito bis'!$F$48*(C215-sezione!$AL$27)*IF(ABS(K215)&lt;'Progetto del paramento slu'!$G$58,ABS(K215)*'Progetto del paramento slu'!$G$54,'Progetto del paramento slu'!$G$53)</f>
        <v>0</v>
      </c>
      <c r="F215" s="553">
        <f>-'Foglio deposito bis'!$F$49*(C215-sezione!$AM$27)*IF(ABS(L215)&lt;'Progetto del paramento slu'!$G$58,ABS(L215)*'Progetto del paramento slu'!$G$54,'Progetto del paramento slu'!$G$53)</f>
        <v>-896204.41333826061</v>
      </c>
      <c r="G215" s="553">
        <f>-'Foglio deposito bis'!$F$50*(C215-sezione!$AN$27)*IF(ABS(M215)&lt;'Progetto del paramento slu'!$G$58,ABS(M215)*'Progetto del paramento slu'!$G$54,'Progetto del paramento slu'!$G$53)</f>
        <v>0</v>
      </c>
      <c r="H215" s="553">
        <f>-'Foglio deposito bis'!$F$51*(C215-sezione!$AO$27)*IF(ABS(N215)&lt;'Progetto del paramento slu'!$G$58,ABS(N215)*'Progetto del paramento slu'!$G$54,'Progetto del paramento slu'!$G$53)</f>
        <v>40938081.485172205</v>
      </c>
      <c r="I215" s="479">
        <f>-'Foglio deposito bis'!$F$52*(C215-sezione!$AP$27)*IF(ABS(O215)&lt;'Progetto del paramento slu'!$G$58,ABS(O215)*'Progetto del paramento slu'!$G$54,'Progetto del paramento slu'!$G$53)</f>
        <v>21097001.815393355</v>
      </c>
      <c r="J215" s="479">
        <f t="shared" si="18"/>
        <v>-177031105.21498132</v>
      </c>
      <c r="K215" s="558">
        <f>'Progetto del paramento slu'!$G$60*(sezione!$AL$27-C215)/C215</f>
        <v>-2.6769291964996019E-3</v>
      </c>
      <c r="L215" s="558">
        <f>'Progetto del paramento slu'!$G$60*(sezione!$AM$27-C215)/C215</f>
        <v>-4.134844868735065E-4</v>
      </c>
      <c r="M215" s="559">
        <f>'Progetto del paramento slu'!$G$60*(sezione!$AN$27-C215)/C215</f>
        <v>1.8499602227525886E-3</v>
      </c>
      <c r="N215" s="559">
        <f>'Progetto del paramento slu'!$G$60*(sezione!$AO$27-C215)/C215</f>
        <v>3.4961018297533855E-3</v>
      </c>
      <c r="O215" s="559">
        <f>'Progetto del paramento slu'!$G$60*(sezione!$AP$27-C215)/C215</f>
        <v>1.8499602227525886E-3</v>
      </c>
      <c r="P215" s="553">
        <f>-'Progetto del paramento slu'!$G$47*'Progetto del paramento slu'!$G$41*IF(DATI!$G$218="dx",DATI!$E$61,DATI!$E$64*DATI!$E$63)*1000*C215*sezione!$AD$5</f>
        <v>-2397636.4993234086</v>
      </c>
      <c r="Q215" s="553">
        <f>'Foglio deposito bis'!$F$48*IF(ABS(K215)&lt;'Progetto del paramento slu'!$G$58,ABS(K215)*'Progetto del paramento slu'!$G$54,'Progetto del paramento slu'!$G$53)*IF(K215&lt;0,-1,1)</f>
        <v>0</v>
      </c>
      <c r="R215" s="553">
        <f>'Foglio deposito bis'!$F$49*IF(ABS(L215)&lt;'Progetto del paramento slu'!$G$58,ABS(L215)*'Progetto del paramento slu'!$G$54,'Progetto del paramento slu'!$G$53)*IF(L215&lt;0,-1,1)</f>
        <v>-44598.994037506927</v>
      </c>
      <c r="S215" s="553">
        <f>'Foglio deposito bis'!$F$50*IF(ABS(M215)&lt;'Progetto del paramento slu'!$G$58,ABS(M215)*'Progetto del paramento slu'!$G$54,'Progetto del paramento slu'!$G$53)*IF(M215&lt;0,-1,1)</f>
        <v>0</v>
      </c>
      <c r="T215" s="553">
        <f>'Foglio deposito bis'!$F$51*IF(ABS(N215)&lt;'Progetto del paramento slu'!$G$58,ABS(N215)*'Progetto del paramento slu'!$G$54,'Progetto del paramento slu'!$G$53)*IF(N215&lt;0,-1,1)</f>
        <v>240946.49743184328</v>
      </c>
      <c r="U215" s="553">
        <f>'Foglio deposito bis'!$F$52*IF(ABS(O215)&lt;'Progetto del paramento slu'!$G$58,ABS(O215)*'Progetto del paramento slu'!$G$54,'Progetto del paramento slu'!$G$53)*IF(O215&lt;0,-1,1)</f>
        <v>234658.10267272234</v>
      </c>
      <c r="V215" s="479">
        <f t="shared" si="21"/>
        <v>-1966630.8932563502</v>
      </c>
      <c r="W215" s="559"/>
      <c r="X215" s="559"/>
    </row>
    <row r="216" spans="1:24" x14ac:dyDescent="0.25">
      <c r="A216" s="553">
        <f t="shared" si="19"/>
        <v>2047432.535697978</v>
      </c>
      <c r="B216" s="3">
        <f t="shared" si="20"/>
        <v>42.899999999999942</v>
      </c>
      <c r="C216" s="553">
        <f>'Foglio deposito bis'!$E$153/$B$247*B216</f>
        <v>174.15426251691466</v>
      </c>
      <c r="D216" s="611">
        <f>-'Progetto del paramento slu'!$G$47*'Progetto del paramento slu'!$G$41*IF(DATI!$G$218="dx",DATI!$E$61,DATI!$E$64*DATI!$E$63)*1000*C216^2*sezione!$AD$5*(1-sezione!$AD$6)</f>
        <v>-249674142.00280574</v>
      </c>
      <c r="E216" s="553">
        <f>-'Foglio deposito bis'!$F$48*(C216-sezione!$AL$27)*IF(ABS(K216)&lt;'Progetto del paramento slu'!$G$58,ABS(K216)*'Progetto del paramento slu'!$G$54,'Progetto del paramento slu'!$G$53)</f>
        <v>0</v>
      </c>
      <c r="F216" s="553">
        <f>-'Foglio deposito bis'!$F$49*(C216-sezione!$AM$27)*IF(ABS(L216)&lt;'Progetto del paramento slu'!$G$58,ABS(L216)*'Progetto del paramento slu'!$G$54,'Progetto del paramento slu'!$G$53)</f>
        <v>-1264699.4876745685</v>
      </c>
      <c r="G216" s="553">
        <f>-'Foglio deposito bis'!$F$50*(C216-sezione!$AN$27)*IF(ABS(M216)&lt;'Progetto del paramento slu'!$G$58,ABS(M216)*'Progetto del paramento slu'!$G$54,'Progetto del paramento slu'!$G$53)</f>
        <v>0</v>
      </c>
      <c r="H216" s="553">
        <f>-'Foglio deposito bis'!$F$51*(C216-sezione!$AO$27)*IF(ABS(N216)&lt;'Progetto del paramento slu'!$G$58,ABS(N216)*'Progetto del paramento slu'!$G$54,'Progetto del paramento slu'!$G$53)</f>
        <v>39959949.560550377</v>
      </c>
      <c r="I216" s="479">
        <f>-'Foglio deposito bis'!$F$52*(C216-sezione!$AP$27)*IF(ABS(O216)&lt;'Progetto del paramento slu'!$G$58,ABS(O216)*'Progetto del paramento slu'!$G$54,'Progetto del paramento slu'!$G$53)</f>
        <v>18786443.559853863</v>
      </c>
      <c r="J216" s="479">
        <f t="shared" si="18"/>
        <v>-192192448.37007606</v>
      </c>
      <c r="K216" s="558">
        <f>'Progetto del paramento slu'!$G$60*(sezione!$AL$27-C216)/C216</f>
        <v>-2.6961149961149959E-3</v>
      </c>
      <c r="L216" s="558">
        <f>'Progetto del paramento slu'!$G$60*(sezione!$AM$27-C216)/C216</f>
        <v>-4.8543123543123379E-4</v>
      </c>
      <c r="M216" s="559">
        <f>'Progetto del paramento slu'!$G$60*(sezione!$AN$27-C216)/C216</f>
        <v>1.7252525252525281E-3</v>
      </c>
      <c r="N216" s="559">
        <f>'Progetto del paramento slu'!$G$60*(sezione!$AO$27-C216)/C216</f>
        <v>3.3330225330225369E-3</v>
      </c>
      <c r="O216" s="559">
        <f>'Progetto del paramento slu'!$G$60*(sezione!$AP$27-C216)/C216</f>
        <v>1.7252525252525281E-3</v>
      </c>
      <c r="P216" s="553">
        <f>-'Progetto del paramento slu'!$G$47*'Progetto del paramento slu'!$G$41*IF(DATI!$G$218="dx",DATI!$E$61,DATI!$E$64*DATI!$E$63)*1000*C216*sezione!$AD$5</f>
        <v>-2454859.3274695519</v>
      </c>
      <c r="Q216" s="553">
        <f>'Foglio deposito bis'!$F$48*IF(ABS(K216)&lt;'Progetto del paramento slu'!$G$58,ABS(K216)*'Progetto del paramento slu'!$G$54,'Progetto del paramento slu'!$G$53)*IF(K216&lt;0,-1,1)</f>
        <v>0</v>
      </c>
      <c r="R216" s="553">
        <f>'Foglio deposito bis'!$F$49*IF(ABS(L216)&lt;'Progetto del paramento slu'!$G$58,ABS(L216)*'Progetto del paramento slu'!$G$54,'Progetto del paramento slu'!$G$53)*IF(L216&lt;0,-1,1)</f>
        <v>-52359.267304846493</v>
      </c>
      <c r="S216" s="553">
        <f>'Foglio deposito bis'!$F$50*IF(ABS(M216)&lt;'Progetto del paramento slu'!$G$58,ABS(M216)*'Progetto del paramento slu'!$G$54,'Progetto del paramento slu'!$G$53)*IF(M216&lt;0,-1,1)</f>
        <v>0</v>
      </c>
      <c r="T216" s="553">
        <f>'Foglio deposito bis'!$F$51*IF(ABS(N216)&lt;'Progetto del paramento slu'!$G$58,ABS(N216)*'Progetto del paramento slu'!$G$54,'Progetto del paramento slu'!$G$53)*IF(N216&lt;0,-1,1)</f>
        <v>240946.49743184328</v>
      </c>
      <c r="U216" s="553">
        <f>'Foglio deposito bis'!$F$52*IF(ABS(O216)&lt;'Progetto del paramento slu'!$G$58,ABS(O216)*'Progetto del paramento slu'!$G$54,'Progetto del paramento slu'!$G$53)*IF(O216&lt;0,-1,1)</f>
        <v>218839.56164457739</v>
      </c>
      <c r="V216" s="479">
        <f t="shared" si="21"/>
        <v>-2047432.535697978</v>
      </c>
      <c r="W216" s="559"/>
      <c r="X216" s="559"/>
    </row>
    <row r="217" spans="1:24" x14ac:dyDescent="0.25">
      <c r="A217" s="553">
        <f t="shared" si="19"/>
        <v>2127159.972476942</v>
      </c>
      <c r="B217" s="3">
        <f t="shared" si="20"/>
        <v>43.899999999999942</v>
      </c>
      <c r="C217" s="553">
        <f>'Foglio deposito bis'!$E$153/$B$247*B217</f>
        <v>178.21380243572386</v>
      </c>
      <c r="D217" s="611">
        <f>-'Progetto del paramento slu'!$G$47*'Progetto del paramento slu'!$G$41*IF(DATI!$G$218="dx",DATI!$E$61,DATI!$E$64*DATI!$E$63)*1000*C217^2*sezione!$AD$5*(1-sezione!$AD$6)</f>
        <v>-261449624.38219053</v>
      </c>
      <c r="E217" s="553">
        <f>-'Foglio deposito bis'!$F$48*(C217-sezione!$AL$27)*IF(ABS(K217)&lt;'Progetto del paramento slu'!$G$58,ABS(K217)*'Progetto del paramento slu'!$G$54,'Progetto del paramento slu'!$G$53)</f>
        <v>0</v>
      </c>
      <c r="F217" s="553">
        <f>-'Foglio deposito bis'!$F$49*(C217-sezione!$AM$27)*IF(ABS(L217)&lt;'Progetto del paramento slu'!$G$58,ABS(L217)*'Progetto del paramento slu'!$G$54,'Progetto del paramento slu'!$G$53)</f>
        <v>-1686226.0421977078</v>
      </c>
      <c r="G217" s="553">
        <f>-'Foglio deposito bis'!$F$50*(C217-sezione!$AN$27)*IF(ABS(M217)&lt;'Progetto del paramento slu'!$G$58,ABS(M217)*'Progetto del paramento slu'!$G$54,'Progetto del paramento slu'!$G$53)</f>
        <v>0</v>
      </c>
      <c r="H217" s="553">
        <f>-'Foglio deposito bis'!$F$51*(C217-sezione!$AO$27)*IF(ABS(N217)&lt;'Progetto del paramento slu'!$G$58,ABS(N217)*'Progetto del paramento slu'!$G$54,'Progetto del paramento slu'!$G$53)</f>
        <v>38981817.635928549</v>
      </c>
      <c r="I217" s="479">
        <f>-'Foglio deposito bis'!$F$52*(C217-sezione!$AP$27)*IF(ABS(O217)&lt;'Progetto del paramento slu'!$G$58,ABS(O217)*'Progetto del paramento slu'!$G$54,'Progetto del paramento slu'!$G$53)</f>
        <v>16663257.544283286</v>
      </c>
      <c r="J217" s="479">
        <f t="shared" si="18"/>
        <v>-207490775.24417639</v>
      </c>
      <c r="K217" s="558">
        <f>'Progetto del paramento slu'!$G$60*(sezione!$AL$27-C217)/C217</f>
        <v>-2.7144267274107816E-3</v>
      </c>
      <c r="L217" s="558">
        <f>'Progetto del paramento slu'!$G$60*(sezione!$AM$27-C217)/C217</f>
        <v>-5.5410022779043134E-4</v>
      </c>
      <c r="M217" s="559">
        <f>'Progetto del paramento slu'!$G$60*(sezione!$AN$27-C217)/C217</f>
        <v>1.6062262718299191E-3</v>
      </c>
      <c r="N217" s="559">
        <f>'Progetto del paramento slu'!$G$60*(sezione!$AO$27-C217)/C217</f>
        <v>3.1773728170083554E-3</v>
      </c>
      <c r="O217" s="559">
        <f>'Progetto del paramento slu'!$G$60*(sezione!$AP$27-C217)/C217</f>
        <v>1.6062262718299191E-3</v>
      </c>
      <c r="P217" s="553">
        <f>-'Progetto del paramento slu'!$G$47*'Progetto del paramento slu'!$G$41*IF(DATI!$G$218="dx",DATI!$E$61,DATI!$E$64*DATI!$E$63)*1000*C217*sezione!$AD$5</f>
        <v>-2512082.1556156958</v>
      </c>
      <c r="Q217" s="553">
        <f>'Foglio deposito bis'!$F$48*IF(ABS(K217)&lt;'Progetto del paramento slu'!$G$58,ABS(K217)*'Progetto del paramento slu'!$G$54,'Progetto del paramento slu'!$G$53)*IF(K217&lt;0,-1,1)</f>
        <v>0</v>
      </c>
      <c r="R217" s="553">
        <f>'Foglio deposito bis'!$F$49*IF(ABS(L217)&lt;'Progetto del paramento slu'!$G$58,ABS(L217)*'Progetto del paramento slu'!$G$54,'Progetto del paramento slu'!$G$53)*IF(L217&lt;0,-1,1)</f>
        <v>-59765.997370940524</v>
      </c>
      <c r="S217" s="553">
        <f>'Foglio deposito bis'!$F$50*IF(ABS(M217)&lt;'Progetto del paramento slu'!$G$58,ABS(M217)*'Progetto del paramento slu'!$G$54,'Progetto del paramento slu'!$G$53)*IF(M217&lt;0,-1,1)</f>
        <v>0</v>
      </c>
      <c r="T217" s="553">
        <f>'Foglio deposito bis'!$F$51*IF(ABS(N217)&lt;'Progetto del paramento slu'!$G$58,ABS(N217)*'Progetto del paramento slu'!$G$54,'Progetto del paramento slu'!$G$53)*IF(N217&lt;0,-1,1)</f>
        <v>240946.49743184328</v>
      </c>
      <c r="U217" s="553">
        <f>'Foglio deposito bis'!$F$52*IF(ABS(O217)&lt;'Progetto del paramento slu'!$G$58,ABS(O217)*'Progetto del paramento slu'!$G$54,'Progetto del paramento slu'!$G$53)*IF(O217&lt;0,-1,1)</f>
        <v>203741.68307785134</v>
      </c>
      <c r="V217" s="479">
        <f t="shared" si="21"/>
        <v>-2127159.972476942</v>
      </c>
      <c r="W217" s="559"/>
      <c r="X217" s="559"/>
    </row>
    <row r="218" spans="1:24" x14ac:dyDescent="0.25">
      <c r="A218" s="553">
        <f t="shared" si="19"/>
        <v>2205884.9768000999</v>
      </c>
      <c r="B218" s="3">
        <f t="shared" si="20"/>
        <v>44.899999999999942</v>
      </c>
      <c r="C218" s="553">
        <f>'Foglio deposito bis'!$E$153/$B$247*B218</f>
        <v>182.27334235453304</v>
      </c>
      <c r="D218" s="611">
        <f>-'Progetto del paramento slu'!$G$47*'Progetto del paramento slu'!$G$41*IF(DATI!$G$218="dx",DATI!$E$61,DATI!$E$64*DATI!$E$63)*1000*C218^2*sezione!$AD$5*(1-sezione!$AD$6)</f>
        <v>-273496431.24036294</v>
      </c>
      <c r="E218" s="553">
        <f>-'Foglio deposito bis'!$F$48*(C218-sezione!$AL$27)*IF(ABS(K218)&lt;'Progetto del paramento slu'!$G$58,ABS(K218)*'Progetto del paramento slu'!$G$54,'Progetto del paramento slu'!$G$53)</f>
        <v>0</v>
      </c>
      <c r="F218" s="553">
        <f>-'Foglio deposito bis'!$F$49*(C218-sezione!$AM$27)*IF(ABS(L218)&lt;'Progetto del paramento slu'!$G$58,ABS(L218)*'Progetto del paramento slu'!$G$54,'Progetto del paramento slu'!$G$53)</f>
        <v>-2157240.7708818275</v>
      </c>
      <c r="G218" s="553">
        <f>-'Foglio deposito bis'!$F$50*(C218-sezione!$AN$27)*IF(ABS(M218)&lt;'Progetto del paramento slu'!$G$58,ABS(M218)*'Progetto del paramento slu'!$G$54,'Progetto del paramento slu'!$G$53)</f>
        <v>0</v>
      </c>
      <c r="H218" s="553">
        <f>-'Foglio deposito bis'!$F$51*(C218-sezione!$AO$27)*IF(ABS(N218)&lt;'Progetto del paramento slu'!$G$58,ABS(N218)*'Progetto del paramento slu'!$G$54,'Progetto del paramento slu'!$G$53)</f>
        <v>38003685.711306728</v>
      </c>
      <c r="I218" s="479">
        <f>-'Foglio deposito bis'!$F$52*(C218-sezione!$AP$27)*IF(ABS(O218)&lt;'Progetto del paramento slu'!$G$58,ABS(O218)*'Progetto del paramento slu'!$G$54,'Progetto del paramento slu'!$G$53)</f>
        <v>14714924.465342956</v>
      </c>
      <c r="J218" s="479">
        <f t="shared" si="18"/>
        <v>-222935061.83459508</v>
      </c>
      <c r="K218" s="558">
        <f>'Progetto del paramento slu'!$G$60*(sezione!$AL$27-C218)/C218</f>
        <v>-2.7319227913882695E-3</v>
      </c>
      <c r="L218" s="558">
        <f>'Progetto del paramento slu'!$G$60*(sezione!$AM$27-C218)/C218</f>
        <v>-6.197104677060116E-4</v>
      </c>
      <c r="M218" s="559">
        <f>'Progetto del paramento slu'!$G$60*(sezione!$AN$27-C218)/C218</f>
        <v>1.4925018559762467E-3</v>
      </c>
      <c r="N218" s="559">
        <f>'Progetto del paramento slu'!$G$60*(sezione!$AO$27-C218)/C218</f>
        <v>3.0286562731997074E-3</v>
      </c>
      <c r="O218" s="559">
        <f>'Progetto del paramento slu'!$G$60*(sezione!$AP$27-C218)/C218</f>
        <v>1.4925018559762467E-3</v>
      </c>
      <c r="P218" s="553">
        <f>-'Progetto del paramento slu'!$G$47*'Progetto del paramento slu'!$G$41*IF(DATI!$G$218="dx",DATI!$E$61,DATI!$E$64*DATI!$E$63)*1000*C218*sezione!$AD$5</f>
        <v>-2569304.9837618386</v>
      </c>
      <c r="Q218" s="553">
        <f>'Foglio deposito bis'!$F$48*IF(ABS(K218)&lt;'Progetto del paramento slu'!$G$58,ABS(K218)*'Progetto del paramento slu'!$G$54,'Progetto del paramento slu'!$G$53)*IF(K218&lt;0,-1,1)</f>
        <v>0</v>
      </c>
      <c r="R218" s="553">
        <f>'Foglio deposito bis'!$F$49*IF(ABS(L218)&lt;'Progetto del paramento slu'!$G$58,ABS(L218)*'Progetto del paramento slu'!$G$54,'Progetto del paramento slu'!$G$53)*IF(L218&lt;0,-1,1)</f>
        <v>-66842.806275961266</v>
      </c>
      <c r="S218" s="553">
        <f>'Foglio deposito bis'!$F$50*IF(ABS(M218)&lt;'Progetto del paramento slu'!$G$58,ABS(M218)*'Progetto del paramento slu'!$G$54,'Progetto del paramento slu'!$G$53)*IF(M218&lt;0,-1,1)</f>
        <v>0</v>
      </c>
      <c r="T218" s="553">
        <f>'Foglio deposito bis'!$F$51*IF(ABS(N218)&lt;'Progetto del paramento slu'!$G$58,ABS(N218)*'Progetto del paramento slu'!$G$54,'Progetto del paramento slu'!$G$53)*IF(N218&lt;0,-1,1)</f>
        <v>240946.49743184328</v>
      </c>
      <c r="U218" s="553">
        <f>'Foglio deposito bis'!$F$52*IF(ABS(O218)&lt;'Progetto del paramento slu'!$G$58,ABS(O218)*'Progetto del paramento slu'!$G$54,'Progetto del paramento slu'!$G$53)*IF(O218&lt;0,-1,1)</f>
        <v>189316.31580585704</v>
      </c>
      <c r="V218" s="479">
        <f t="shared" si="21"/>
        <v>-2205884.9768000999</v>
      </c>
      <c r="W218" s="559"/>
      <c r="X218" s="559"/>
    </row>
    <row r="219" spans="1:24" x14ac:dyDescent="0.25">
      <c r="A219" s="553">
        <f t="shared" si="19"/>
        <v>2283673.0671286173</v>
      </c>
      <c r="B219" s="3">
        <f t="shared" si="20"/>
        <v>45.899999999999942</v>
      </c>
      <c r="C219" s="553">
        <f>'Foglio deposito bis'!$E$153/$B$247*B219</f>
        <v>186.33288227334225</v>
      </c>
      <c r="D219" s="611">
        <f>-'Progetto del paramento slu'!$G$47*'Progetto del paramento slu'!$G$41*IF(DATI!$G$218="dx",DATI!$E$61,DATI!$E$64*DATI!$E$63)*1000*C219^2*sezione!$AD$5*(1-sezione!$AD$6)</f>
        <v>-285814562.57732308</v>
      </c>
      <c r="E219" s="553">
        <f>-'Foglio deposito bis'!$F$48*(C219-sezione!$AL$27)*IF(ABS(K219)&lt;'Progetto del paramento slu'!$G$58,ABS(K219)*'Progetto del paramento slu'!$G$54,'Progetto del paramento slu'!$G$53)</f>
        <v>0</v>
      </c>
      <c r="F219" s="553">
        <f>-'Foglio deposito bis'!$F$49*(C219-sezione!$AM$27)*IF(ABS(L219)&lt;'Progetto del paramento slu'!$G$58,ABS(L219)*'Progetto del paramento slu'!$G$54,'Progetto del paramento slu'!$G$53)</f>
        <v>-2674509.1525399429</v>
      </c>
      <c r="G219" s="553">
        <f>-'Foglio deposito bis'!$F$50*(C219-sezione!$AN$27)*IF(ABS(M219)&lt;'Progetto del paramento slu'!$G$58,ABS(M219)*'Progetto del paramento slu'!$G$54,'Progetto del paramento slu'!$G$53)</f>
        <v>0</v>
      </c>
      <c r="H219" s="553">
        <f>-'Foglio deposito bis'!$F$51*(C219-sezione!$AO$27)*IF(ABS(N219)&lt;'Progetto del paramento slu'!$G$58,ABS(N219)*'Progetto del paramento slu'!$G$54,'Progetto del paramento slu'!$G$53)</f>
        <v>37025553.786684901</v>
      </c>
      <c r="I219" s="479">
        <f>-'Foglio deposito bis'!$F$52*(C219-sezione!$AP$27)*IF(ABS(O219)&lt;'Progetto del paramento slu'!$G$58,ABS(O219)*'Progetto del paramento slu'!$G$54,'Progetto del paramento slu'!$G$53)</f>
        <v>12930016.026521066</v>
      </c>
      <c r="J219" s="479">
        <f t="shared" si="18"/>
        <v>-238533501.91665709</v>
      </c>
      <c r="K219" s="558">
        <f>'Progetto del paramento slu'!$G$60*(sezione!$AL$27-C219)/C219</f>
        <v>-2.7486564996368917E-3</v>
      </c>
      <c r="L219" s="558">
        <f>'Progetto del paramento slu'!$G$60*(sezione!$AM$27-C219)/C219</f>
        <v>-6.8246187363834264E-4</v>
      </c>
      <c r="M219" s="559">
        <f>'Progetto del paramento slu'!$G$60*(sezione!$AN$27-C219)/C219</f>
        <v>1.383732752360206E-3</v>
      </c>
      <c r="N219" s="559">
        <f>'Progetto del paramento slu'!$G$60*(sezione!$AO$27-C219)/C219</f>
        <v>2.8864197530864234E-3</v>
      </c>
      <c r="O219" s="559">
        <f>'Progetto del paramento slu'!$G$60*(sezione!$AP$27-C219)/C219</f>
        <v>1.383732752360206E-3</v>
      </c>
      <c r="P219" s="553">
        <f>-'Progetto del paramento slu'!$G$47*'Progetto del paramento slu'!$G$41*IF(DATI!$G$218="dx",DATI!$E$61,DATI!$E$64*DATI!$E$63)*1000*C219*sezione!$AD$5</f>
        <v>-2626527.8119079825</v>
      </c>
      <c r="Q219" s="553">
        <f>'Foglio deposito bis'!$F$48*IF(ABS(K219)&lt;'Progetto del paramento slu'!$G$58,ABS(K219)*'Progetto del paramento slu'!$G$54,'Progetto del paramento slu'!$G$53)*IF(K219&lt;0,-1,1)</f>
        <v>0</v>
      </c>
      <c r="R219" s="553">
        <f>'Foglio deposito bis'!$F$49*IF(ABS(L219)&lt;'Progetto del paramento slu'!$G$58,ABS(L219)*'Progetto del paramento slu'!$G$54,'Progetto del paramento slu'!$G$53)*IF(L219&lt;0,-1,1)</f>
        <v>-73611.257494488775</v>
      </c>
      <c r="S219" s="553">
        <f>'Foglio deposito bis'!$F$50*IF(ABS(M219)&lt;'Progetto del paramento slu'!$G$58,ABS(M219)*'Progetto del paramento slu'!$G$54,'Progetto del paramento slu'!$G$53)*IF(M219&lt;0,-1,1)</f>
        <v>0</v>
      </c>
      <c r="T219" s="553">
        <f>'Foglio deposito bis'!$F$51*IF(ABS(N219)&lt;'Progetto del paramento slu'!$G$58,ABS(N219)*'Progetto del paramento slu'!$G$54,'Progetto del paramento slu'!$G$53)*IF(N219&lt;0,-1,1)</f>
        <v>240946.49743184328</v>
      </c>
      <c r="U219" s="553">
        <f>'Foglio deposito bis'!$F$52*IF(ABS(O219)&lt;'Progetto del paramento slu'!$G$58,ABS(O219)*'Progetto del paramento slu'!$G$54,'Progetto del paramento slu'!$G$53)*IF(O219&lt;0,-1,1)</f>
        <v>175519.50484201056</v>
      </c>
      <c r="V219" s="479">
        <f t="shared" si="21"/>
        <v>-2283673.0671286173</v>
      </c>
      <c r="W219" s="559"/>
      <c r="X219" s="559"/>
    </row>
    <row r="220" spans="1:24" x14ac:dyDescent="0.25">
      <c r="A220" s="553">
        <f t="shared" si="19"/>
        <v>2360584.1739952001</v>
      </c>
      <c r="B220" s="3">
        <f t="shared" si="20"/>
        <v>46.899999999999942</v>
      </c>
      <c r="C220" s="553">
        <f>'Foglio deposito bis'!$E$153/$B$247*B220</f>
        <v>190.39242219215146</v>
      </c>
      <c r="D220" s="611">
        <f>-'Progetto del paramento slu'!$G$47*'Progetto del paramento slu'!$G$41*IF(DATI!$G$218="dx",DATI!$E$61,DATI!$E$64*DATI!$E$63)*1000*C220^2*sezione!$AD$5*(1-sezione!$AD$6)</f>
        <v>-298404018.39307088</v>
      </c>
      <c r="E220" s="553">
        <f>-'Foglio deposito bis'!$F$48*(C220-sezione!$AL$27)*IF(ABS(K220)&lt;'Progetto del paramento slu'!$G$58,ABS(K220)*'Progetto del paramento slu'!$G$54,'Progetto del paramento slu'!$G$53)</f>
        <v>0</v>
      </c>
      <c r="F220" s="553">
        <f>-'Foglio deposito bis'!$F$49*(C220-sezione!$AM$27)*IF(ABS(L220)&lt;'Progetto del paramento slu'!$G$58,ABS(L220)*'Progetto del paramento slu'!$G$54,'Progetto del paramento slu'!$G$53)</f>
        <v>-3235072.5313314972</v>
      </c>
      <c r="G220" s="553">
        <f>-'Foglio deposito bis'!$F$50*(C220-sezione!$AN$27)*IF(ABS(M220)&lt;'Progetto del paramento slu'!$G$58,ABS(M220)*'Progetto del paramento slu'!$G$54,'Progetto del paramento slu'!$G$53)</f>
        <v>0</v>
      </c>
      <c r="H220" s="553">
        <f>-'Foglio deposito bis'!$F$51*(C220-sezione!$AO$27)*IF(ABS(N220)&lt;'Progetto del paramento slu'!$G$58,ABS(N220)*'Progetto del paramento slu'!$G$54,'Progetto del paramento slu'!$G$53)</f>
        <v>36047421.862063073</v>
      </c>
      <c r="I220" s="479">
        <f>-'Foglio deposito bis'!$F$52*(C220-sezione!$AP$27)*IF(ABS(O220)&lt;'Progetto del paramento slu'!$G$58,ABS(O220)*'Progetto del paramento slu'!$G$54,'Progetto del paramento slu'!$G$53)</f>
        <v>11298078.626104299</v>
      </c>
      <c r="J220" s="479">
        <f t="shared" si="18"/>
        <v>-254293590.43623498</v>
      </c>
      <c r="K220" s="558">
        <f>'Progetto del paramento slu'!$G$60*(sezione!$AL$27-C220)/C220</f>
        <v>-2.7646766169154222E-3</v>
      </c>
      <c r="L220" s="558">
        <f>'Progetto del paramento slu'!$G$60*(sezione!$AM$27-C220)/C220</f>
        <v>-7.4253731343283441E-4</v>
      </c>
      <c r="M220" s="559">
        <f>'Progetto del paramento slu'!$G$60*(sezione!$AN$27-C220)/C220</f>
        <v>1.2796019900497538E-3</v>
      </c>
      <c r="N220" s="559">
        <f>'Progetto del paramento slu'!$G$60*(sezione!$AO$27-C220)/C220</f>
        <v>2.7502487562189085E-3</v>
      </c>
      <c r="O220" s="559">
        <f>'Progetto del paramento slu'!$G$60*(sezione!$AP$27-C220)/C220</f>
        <v>1.2796019900497538E-3</v>
      </c>
      <c r="P220" s="553">
        <f>-'Progetto del paramento slu'!$G$47*'Progetto del paramento slu'!$G$41*IF(DATI!$G$218="dx",DATI!$E$61,DATI!$E$64*DATI!$E$63)*1000*C220*sezione!$AD$5</f>
        <v>-2683750.6400541258</v>
      </c>
      <c r="Q220" s="553">
        <f>'Foglio deposito bis'!$F$48*IF(ABS(K220)&lt;'Progetto del paramento slu'!$G$58,ABS(K220)*'Progetto del paramento slu'!$G$54,'Progetto del paramento slu'!$G$53)*IF(K220&lt;0,-1,1)</f>
        <v>0</v>
      </c>
      <c r="R220" s="553">
        <f>'Foglio deposito bis'!$F$49*IF(ABS(L220)&lt;'Progetto del paramento slu'!$G$58,ABS(L220)*'Progetto del paramento slu'!$G$54,'Progetto del paramento slu'!$G$53)*IF(L220&lt;0,-1,1)</f>
        <v>-80091.075398793371</v>
      </c>
      <c r="S220" s="553">
        <f>'Foglio deposito bis'!$F$50*IF(ABS(M220)&lt;'Progetto del paramento slu'!$G$58,ABS(M220)*'Progetto del paramento slu'!$G$54,'Progetto del paramento slu'!$G$53)*IF(M220&lt;0,-1,1)</f>
        <v>0</v>
      </c>
      <c r="T220" s="553">
        <f>'Foglio deposito bis'!$F$51*IF(ABS(N220)&lt;'Progetto del paramento slu'!$G$58,ABS(N220)*'Progetto del paramento slu'!$G$54,'Progetto del paramento slu'!$G$53)*IF(N220&lt;0,-1,1)</f>
        <v>240946.49743184328</v>
      </c>
      <c r="U220" s="553">
        <f>'Foglio deposito bis'!$F$52*IF(ABS(O220)&lt;'Progetto del paramento slu'!$G$58,ABS(O220)*'Progetto del paramento slu'!$G$54,'Progetto del paramento slu'!$G$53)*IF(O220&lt;0,-1,1)</f>
        <v>162311.04402587606</v>
      </c>
      <c r="V220" s="479">
        <f t="shared" si="21"/>
        <v>-2360584.1739952001</v>
      </c>
      <c r="W220" s="559"/>
      <c r="X220" s="559"/>
    </row>
    <row r="221" spans="1:24" x14ac:dyDescent="0.25">
      <c r="A221" s="553">
        <f t="shared" si="19"/>
        <v>2436673.2232951671</v>
      </c>
      <c r="B221" s="3">
        <f t="shared" si="20"/>
        <v>47.899999999999942</v>
      </c>
      <c r="C221" s="553">
        <f>'Foglio deposito bis'!$E$153/$B$247*B221</f>
        <v>194.45196211096066</v>
      </c>
      <c r="D221" s="611">
        <f>-'Progetto del paramento slu'!$G$47*'Progetto del paramento slu'!$G$41*IF(DATI!$G$218="dx",DATI!$E$61,DATI!$E$64*DATI!$E$63)*1000*C221^2*sezione!$AD$5*(1-sezione!$AD$6)</f>
        <v>-311264798.68760639</v>
      </c>
      <c r="E221" s="553">
        <f>-'Foglio deposito bis'!$F$48*(C221-sezione!$AL$27)*IF(ABS(K221)&lt;'Progetto del paramento slu'!$G$58,ABS(K221)*'Progetto del paramento slu'!$G$54,'Progetto del paramento slu'!$G$53)</f>
        <v>0</v>
      </c>
      <c r="F221" s="553">
        <f>-'Foglio deposito bis'!$F$49*(C221-sezione!$AM$27)*IF(ABS(L221)&lt;'Progetto del paramento slu'!$G$58,ABS(L221)*'Progetto del paramento slu'!$G$54,'Progetto del paramento slu'!$G$53)</f>
        <v>-3836219.3207971924</v>
      </c>
      <c r="G221" s="553">
        <f>-'Foglio deposito bis'!$F$50*(C221-sezione!$AN$27)*IF(ABS(M221)&lt;'Progetto del paramento slu'!$G$58,ABS(M221)*'Progetto del paramento slu'!$G$54,'Progetto del paramento slu'!$G$53)</f>
        <v>0</v>
      </c>
      <c r="H221" s="553">
        <f>-'Foglio deposito bis'!$F$51*(C221-sezione!$AO$27)*IF(ABS(N221)&lt;'Progetto del paramento slu'!$G$58,ABS(N221)*'Progetto del paramento slu'!$G$54,'Progetto del paramento slu'!$G$53)</f>
        <v>35069289.937441245</v>
      </c>
      <c r="I221" s="479">
        <f>-'Foglio deposito bis'!$F$52*(C221-sezione!$AP$27)*IF(ABS(O221)&lt;'Progetto del paramento slu'!$G$58,ABS(O221)*'Progetto del paramento slu'!$G$54,'Progetto del paramento slu'!$G$53)</f>
        <v>9809531.6145056933</v>
      </c>
      <c r="J221" s="479">
        <f t="shared" si="18"/>
        <v>-270222196.45645666</v>
      </c>
      <c r="K221" s="558">
        <f>'Progetto del paramento slu'!$G$60*(sezione!$AL$27-C221)/C221</f>
        <v>-2.7800278357689627E-3</v>
      </c>
      <c r="L221" s="558">
        <f>'Progetto del paramento slu'!$G$60*(sezione!$AM$27-C221)/C221</f>
        <v>-8.0010438413361039E-4</v>
      </c>
      <c r="M221" s="559">
        <f>'Progetto del paramento slu'!$G$60*(sezione!$AN$27-C221)/C221</f>
        <v>1.179819067501742E-3</v>
      </c>
      <c r="N221" s="559">
        <f>'Progetto del paramento slu'!$G$60*(sezione!$AO$27-C221)/C221</f>
        <v>2.6197633959638166E-3</v>
      </c>
      <c r="O221" s="559">
        <f>'Progetto del paramento slu'!$G$60*(sezione!$AP$27-C221)/C221</f>
        <v>1.179819067501742E-3</v>
      </c>
      <c r="P221" s="553">
        <f>-'Progetto del paramento slu'!$G$47*'Progetto del paramento slu'!$G$41*IF(DATI!$G$218="dx",DATI!$E$61,DATI!$E$64*DATI!$E$63)*1000*C221*sezione!$AD$5</f>
        <v>-2740973.4682002692</v>
      </c>
      <c r="Q221" s="553">
        <f>'Foglio deposito bis'!$F$48*IF(ABS(K221)&lt;'Progetto del paramento slu'!$G$58,ABS(K221)*'Progetto del paramento slu'!$G$54,'Progetto del paramento slu'!$G$53)*IF(K221&lt;0,-1,1)</f>
        <v>0</v>
      </c>
      <c r="R221" s="553">
        <f>'Foglio deposito bis'!$F$49*IF(ABS(L221)&lt;'Progetto del paramento slu'!$G$58,ABS(L221)*'Progetto del paramento slu'!$G$54,'Progetto del paramento slu'!$G$53)*IF(L221&lt;0,-1,1)</f>
        <v>-86300.33723193701</v>
      </c>
      <c r="S221" s="553">
        <f>'Foglio deposito bis'!$F$50*IF(ABS(M221)&lt;'Progetto del paramento slu'!$G$58,ABS(M221)*'Progetto del paramento slu'!$G$54,'Progetto del paramento slu'!$G$53)*IF(M221&lt;0,-1,1)</f>
        <v>0</v>
      </c>
      <c r="T221" s="553">
        <f>'Foglio deposito bis'!$F$51*IF(ABS(N221)&lt;'Progetto del paramento slu'!$G$58,ABS(N221)*'Progetto del paramento slu'!$G$54,'Progetto del paramento slu'!$G$53)*IF(N221&lt;0,-1,1)</f>
        <v>240946.49743184328</v>
      </c>
      <c r="U221" s="553">
        <f>'Foglio deposito bis'!$F$52*IF(ABS(O221)&lt;'Progetto del paramento slu'!$G$58,ABS(O221)*'Progetto del paramento slu'!$G$54,'Progetto del paramento slu'!$G$53)*IF(O221&lt;0,-1,1)</f>
        <v>149654.08470519606</v>
      </c>
      <c r="V221" s="479">
        <f t="shared" si="21"/>
        <v>-2436673.2232951671</v>
      </c>
      <c r="W221" s="559"/>
      <c r="X221" s="559"/>
    </row>
    <row r="222" spans="1:24" x14ac:dyDescent="0.25">
      <c r="A222" s="553">
        <f t="shared" si="19"/>
        <v>2511990.6480080658</v>
      </c>
      <c r="B222" s="3">
        <f t="shared" si="20"/>
        <v>48.899999999999942</v>
      </c>
      <c r="C222" s="553">
        <f>'Foglio deposito bis'!$E$153/$B$247*B222</f>
        <v>198.51150202976987</v>
      </c>
      <c r="D222" s="611">
        <f>-'Progetto del paramento slu'!$G$47*'Progetto del paramento slu'!$G$41*IF(DATI!$G$218="dx",DATI!$E$61,DATI!$E$64*DATI!$E$63)*1000*C222^2*sezione!$AD$5*(1-sezione!$AD$6)</f>
        <v>-324396903.46092951</v>
      </c>
      <c r="E222" s="553">
        <f>-'Foglio deposito bis'!$F$48*(C222-sezione!$AL$27)*IF(ABS(K222)&lt;'Progetto del paramento slu'!$G$58,ABS(K222)*'Progetto del paramento slu'!$G$54,'Progetto del paramento slu'!$G$53)</f>
        <v>0</v>
      </c>
      <c r="F222" s="553">
        <f>-'Foglio deposito bis'!$F$49*(C222-sezione!$AM$27)*IF(ABS(L222)&lt;'Progetto del paramento slu'!$G$58,ABS(L222)*'Progetto del paramento slu'!$G$54,'Progetto del paramento slu'!$G$53)</f>
        <v>-4475459.7411410687</v>
      </c>
      <c r="G222" s="553">
        <f>-'Foglio deposito bis'!$F$50*(C222-sezione!$AN$27)*IF(ABS(M222)&lt;'Progetto del paramento slu'!$G$58,ABS(M222)*'Progetto del paramento slu'!$G$54,'Progetto del paramento slu'!$G$53)</f>
        <v>0</v>
      </c>
      <c r="H222" s="553">
        <f>-'Foglio deposito bis'!$F$51*(C222-sezione!$AO$27)*IF(ABS(N222)&lt;'Progetto del paramento slu'!$G$58,ABS(N222)*'Progetto del paramento slu'!$G$54,'Progetto del paramento slu'!$G$53)</f>
        <v>34091158.012819409</v>
      </c>
      <c r="I222" s="479">
        <f>-'Foglio deposito bis'!$F$52*(C222-sezione!$AP$27)*IF(ABS(O222)&lt;'Progetto del paramento slu'!$G$58,ABS(O222)*'Progetto del paramento slu'!$G$54,'Progetto del paramento slu'!$G$53)</f>
        <v>8455578.0353560373</v>
      </c>
      <c r="J222" s="479">
        <f t="shared" si="18"/>
        <v>-286325627.15389514</v>
      </c>
      <c r="K222" s="558">
        <f>'Progetto del paramento slu'!$G$60*(sezione!$AL$27-C222)/C222</f>
        <v>-2.794751192910702E-3</v>
      </c>
      <c r="L222" s="558">
        <f>'Progetto del paramento slu'!$G$60*(sezione!$AM$27-C222)/C222</f>
        <v>-8.5531697341513166E-4</v>
      </c>
      <c r="M222" s="559">
        <f>'Progetto del paramento slu'!$G$60*(sezione!$AN$27-C222)/C222</f>
        <v>1.0841172460804383E-3</v>
      </c>
      <c r="N222" s="559">
        <f>'Progetto del paramento slu'!$G$60*(sezione!$AO$27-C222)/C222</f>
        <v>2.4946148602590346E-3</v>
      </c>
      <c r="O222" s="559">
        <f>'Progetto del paramento slu'!$G$60*(sezione!$AP$27-C222)/C222</f>
        <v>1.0841172460804383E-3</v>
      </c>
      <c r="P222" s="553">
        <f>-'Progetto del paramento slu'!$G$47*'Progetto del paramento slu'!$G$41*IF(DATI!$G$218="dx",DATI!$E$61,DATI!$E$64*DATI!$E$63)*1000*C222*sezione!$AD$5</f>
        <v>-2798196.2963464125</v>
      </c>
      <c r="Q222" s="553">
        <f>'Foglio deposito bis'!$F$48*IF(ABS(K222)&lt;'Progetto del paramento slu'!$G$58,ABS(K222)*'Progetto del paramento slu'!$G$54,'Progetto del paramento slu'!$G$53)*IF(K222&lt;0,-1,1)</f>
        <v>0</v>
      </c>
      <c r="R222" s="553">
        <f>'Foglio deposito bis'!$F$49*IF(ABS(L222)&lt;'Progetto del paramento slu'!$G$58,ABS(L222)*'Progetto del paramento slu'!$G$54,'Progetto del paramento slu'!$G$53)*IF(L222&lt;0,-1,1)</f>
        <v>-92255.641525892774</v>
      </c>
      <c r="S222" s="553">
        <f>'Foglio deposito bis'!$F$50*IF(ABS(M222)&lt;'Progetto del paramento slu'!$G$58,ABS(M222)*'Progetto del paramento slu'!$G$54,'Progetto del paramento slu'!$G$53)*IF(M222&lt;0,-1,1)</f>
        <v>0</v>
      </c>
      <c r="T222" s="553">
        <f>'Foglio deposito bis'!$F$51*IF(ABS(N222)&lt;'Progetto del paramento slu'!$G$58,ABS(N222)*'Progetto del paramento slu'!$G$54,'Progetto del paramento slu'!$G$53)*IF(N222&lt;0,-1,1)</f>
        <v>240946.49743184328</v>
      </c>
      <c r="U222" s="553">
        <f>'Foglio deposito bis'!$F$52*IF(ABS(O222)&lt;'Progetto del paramento slu'!$G$58,ABS(O222)*'Progetto del paramento slu'!$G$54,'Progetto del paramento slu'!$G$53)*IF(O222&lt;0,-1,1)</f>
        <v>137514.79243239664</v>
      </c>
      <c r="V222" s="479">
        <f t="shared" si="21"/>
        <v>-2511990.6480080658</v>
      </c>
      <c r="W222" s="559"/>
      <c r="X222" s="559"/>
    </row>
    <row r="223" spans="1:24" x14ac:dyDescent="0.25">
      <c r="A223" s="553">
        <f t="shared" si="19"/>
        <v>2586582.8383896318</v>
      </c>
      <c r="B223" s="3">
        <f t="shared" si="20"/>
        <v>49.899999999999942</v>
      </c>
      <c r="C223" s="553">
        <f>'Foglio deposito bis'!$E$153/$B$247*B223</f>
        <v>202.57104194857908</v>
      </c>
      <c r="D223" s="611">
        <f>-'Progetto del paramento slu'!$G$47*'Progetto del paramento slu'!$G$41*IF(DATI!$G$218="dx",DATI!$E$61,DATI!$E$64*DATI!$E$63)*1000*C223^2*sezione!$AD$5*(1-sezione!$AD$6)</f>
        <v>-337800332.71304029</v>
      </c>
      <c r="E223" s="553">
        <f>-'Foglio deposito bis'!$F$48*(C223-sezione!$AL$27)*IF(ABS(K223)&lt;'Progetto del paramento slu'!$G$58,ABS(K223)*'Progetto del paramento slu'!$G$54,'Progetto del paramento slu'!$G$53)</f>
        <v>0</v>
      </c>
      <c r="F223" s="553">
        <f>-'Foglio deposito bis'!$F$49*(C223-sezione!$AM$27)*IF(ABS(L223)&lt;'Progetto del paramento slu'!$G$58,ABS(L223)*'Progetto del paramento slu'!$G$54,'Progetto del paramento slu'!$G$53)</f>
        <v>-5150503.5941139385</v>
      </c>
      <c r="G223" s="553">
        <f>-'Foglio deposito bis'!$F$50*(C223-sezione!$AN$27)*IF(ABS(M223)&lt;'Progetto del paramento slu'!$G$58,ABS(M223)*'Progetto del paramento slu'!$G$54,'Progetto del paramento slu'!$G$53)</f>
        <v>0</v>
      </c>
      <c r="H223" s="553">
        <f>-'Foglio deposito bis'!$F$51*(C223-sezione!$AO$27)*IF(ABS(N223)&lt;'Progetto del paramento slu'!$G$58,ABS(N223)*'Progetto del paramento slu'!$G$54,'Progetto del paramento slu'!$G$53)</f>
        <v>33113026.088197585</v>
      </c>
      <c r="I223" s="479">
        <f>-'Foglio deposito bis'!$F$52*(C223-sezione!$AP$27)*IF(ABS(O223)&lt;'Progetto del paramento slu'!$G$58,ABS(O223)*'Progetto del paramento slu'!$G$54,'Progetto del paramento slu'!$G$53)</f>
        <v>7228126.0991293425</v>
      </c>
      <c r="J223" s="479">
        <f t="shared" si="18"/>
        <v>-302609684.11982733</v>
      </c>
      <c r="K223" s="558">
        <f>'Progetto del paramento slu'!$G$60*(sezione!$AL$27-C223)/C223</f>
        <v>-2.8088844355377419E-3</v>
      </c>
      <c r="L223" s="558">
        <f>'Progetto del paramento slu'!$G$60*(sezione!$AM$27-C223)/C223</f>
        <v>-9.0831663326653204E-4</v>
      </c>
      <c r="M223" s="559">
        <f>'Progetto del paramento slu'!$G$60*(sezione!$AN$27-C223)/C223</f>
        <v>9.9225116900467786E-4</v>
      </c>
      <c r="N223" s="559">
        <f>'Progetto del paramento slu'!$G$60*(sezione!$AO$27-C223)/C223</f>
        <v>2.3744822979291941E-3</v>
      </c>
      <c r="O223" s="559">
        <f>'Progetto del paramento slu'!$G$60*(sezione!$AP$27-C223)/C223</f>
        <v>9.9225116900467786E-4</v>
      </c>
      <c r="P223" s="553">
        <f>-'Progetto del paramento slu'!$G$47*'Progetto del paramento slu'!$G$41*IF(DATI!$G$218="dx",DATI!$E$61,DATI!$E$64*DATI!$E$63)*1000*C223*sezione!$AD$5</f>
        <v>-2855419.1244925563</v>
      </c>
      <c r="Q223" s="553">
        <f>'Foglio deposito bis'!$F$48*IF(ABS(K223)&lt;'Progetto del paramento slu'!$G$58,ABS(K223)*'Progetto del paramento slu'!$G$54,'Progetto del paramento slu'!$G$53)*IF(K223&lt;0,-1,1)</f>
        <v>0</v>
      </c>
      <c r="R223" s="553">
        <f>'Foglio deposito bis'!$F$49*IF(ABS(L223)&lt;'Progetto del paramento slu'!$G$58,ABS(L223)*'Progetto del paramento slu'!$G$54,'Progetto del paramento slu'!$G$53)*IF(L223&lt;0,-1,1)</f>
        <v>-97972.256268988596</v>
      </c>
      <c r="S223" s="553">
        <f>'Foglio deposito bis'!$F$50*IF(ABS(M223)&lt;'Progetto del paramento slu'!$G$58,ABS(M223)*'Progetto del paramento slu'!$G$54,'Progetto del paramento slu'!$G$53)*IF(M223&lt;0,-1,1)</f>
        <v>0</v>
      </c>
      <c r="T223" s="553">
        <f>'Foglio deposito bis'!$F$51*IF(ABS(N223)&lt;'Progetto del paramento slu'!$G$58,ABS(N223)*'Progetto del paramento slu'!$G$54,'Progetto del paramento slu'!$G$53)*IF(N223&lt;0,-1,1)</f>
        <v>240946.49743184328</v>
      </c>
      <c r="U223" s="553">
        <f>'Foglio deposito bis'!$F$52*IF(ABS(O223)&lt;'Progetto del paramento slu'!$G$58,ABS(O223)*'Progetto del paramento slu'!$G$54,'Progetto del paramento slu'!$G$53)*IF(O223&lt;0,-1,1)</f>
        <v>125862.04494007013</v>
      </c>
      <c r="V223" s="479">
        <f t="shared" si="21"/>
        <v>-2586582.8383896318</v>
      </c>
      <c r="W223" s="559"/>
      <c r="X223" s="559"/>
    </row>
    <row r="224" spans="1:24" x14ac:dyDescent="0.25">
      <c r="A224" s="553">
        <f t="shared" si="19"/>
        <v>2660492.5390959354</v>
      </c>
      <c r="B224" s="3">
        <f t="shared" si="20"/>
        <v>50.899999999999942</v>
      </c>
      <c r="C224" s="553">
        <f>'Foglio deposito bis'!$E$153/$B$247*B224</f>
        <v>206.63058186738829</v>
      </c>
      <c r="D224" s="611">
        <f>-'Progetto del paramento slu'!$G$47*'Progetto del paramento slu'!$G$41*IF(DATI!$G$218="dx",DATI!$E$61,DATI!$E$64*DATI!$E$63)*1000*C224^2*sezione!$AD$5*(1-sezione!$AD$6)</f>
        <v>-351475086.44393885</v>
      </c>
      <c r="E224" s="553">
        <f>-'Foglio deposito bis'!$F$48*(C224-sezione!$AL$27)*IF(ABS(K224)&lt;'Progetto del paramento slu'!$G$58,ABS(K224)*'Progetto del paramento slu'!$G$54,'Progetto del paramento slu'!$G$53)</f>
        <v>0</v>
      </c>
      <c r="F224" s="553">
        <f>-'Foglio deposito bis'!$F$49*(C224-sezione!$AM$27)*IF(ABS(L224)&lt;'Progetto del paramento slu'!$G$58,ABS(L224)*'Progetto del paramento slu'!$G$54,'Progetto del paramento slu'!$G$53)</f>
        <v>-5859240.6577533856</v>
      </c>
      <c r="G224" s="553">
        <f>-'Foglio deposito bis'!$F$50*(C224-sezione!$AN$27)*IF(ABS(M224)&lt;'Progetto del paramento slu'!$G$58,ABS(M224)*'Progetto del paramento slu'!$G$54,'Progetto del paramento slu'!$G$53)</f>
        <v>0</v>
      </c>
      <c r="H224" s="553">
        <f>-'Foglio deposito bis'!$F$51*(C224-sezione!$AO$27)*IF(ABS(N224)&lt;'Progetto del paramento slu'!$G$58,ABS(N224)*'Progetto del paramento slu'!$G$54,'Progetto del paramento slu'!$G$53)</f>
        <v>32134894.163575761</v>
      </c>
      <c r="I224" s="479">
        <f>-'Foglio deposito bis'!$F$52*(C224-sezione!$AP$27)*IF(ABS(O224)&lt;'Progetto del paramento slu'!$G$58,ABS(O224)*'Progetto del paramento slu'!$G$54,'Progetto del paramento slu'!$G$53)</f>
        <v>6119719.9133154126</v>
      </c>
      <c r="J224" s="479">
        <f t="shared" si="18"/>
        <v>-319079713.02480108</v>
      </c>
      <c r="K224" s="558">
        <f>'Progetto del paramento slu'!$G$60*(sezione!$AL$27-C224)/C224</f>
        <v>-2.8224623444662736E-3</v>
      </c>
      <c r="L224" s="558">
        <f>'Progetto del paramento slu'!$G$60*(sezione!$AM$27-C224)/C224</f>
        <v>-9.5923379174852556E-4</v>
      </c>
      <c r="M224" s="559">
        <f>'Progetto del paramento slu'!$G$60*(sezione!$AN$27-C224)/C224</f>
        <v>9.039947609692224E-4</v>
      </c>
      <c r="N224" s="559">
        <f>'Progetto del paramento slu'!$G$60*(sezione!$AO$27-C224)/C224</f>
        <v>2.2590700720366754E-3</v>
      </c>
      <c r="O224" s="559">
        <f>'Progetto del paramento slu'!$G$60*(sezione!$AP$27-C224)/C224</f>
        <v>9.039947609692224E-4</v>
      </c>
      <c r="P224" s="553">
        <f>-'Progetto del paramento slu'!$G$47*'Progetto del paramento slu'!$G$41*IF(DATI!$G$218="dx",DATI!$E$61,DATI!$E$64*DATI!$E$63)*1000*C224*sezione!$AD$5</f>
        <v>-2912641.9526386997</v>
      </c>
      <c r="Q224" s="553">
        <f>'Foglio deposito bis'!$F$48*IF(ABS(K224)&lt;'Progetto del paramento slu'!$G$58,ABS(K224)*'Progetto del paramento slu'!$G$54,'Progetto del paramento slu'!$G$53)*IF(K224&lt;0,-1,1)</f>
        <v>0</v>
      </c>
      <c r="R224" s="553">
        <f>'Foglio deposito bis'!$F$49*IF(ABS(L224)&lt;'Progetto del paramento slu'!$G$58,ABS(L224)*'Progetto del paramento slu'!$G$54,'Progetto del paramento slu'!$G$53)*IF(L224&lt;0,-1,1)</f>
        <v>-103464.24960764057</v>
      </c>
      <c r="S224" s="553">
        <f>'Foglio deposito bis'!$F$50*IF(ABS(M224)&lt;'Progetto del paramento slu'!$G$58,ABS(M224)*'Progetto del paramento slu'!$G$54,'Progetto del paramento slu'!$G$53)*IF(M224&lt;0,-1,1)</f>
        <v>0</v>
      </c>
      <c r="T224" s="553">
        <f>'Foglio deposito bis'!$F$51*IF(ABS(N224)&lt;'Progetto del paramento slu'!$G$58,ABS(N224)*'Progetto del paramento slu'!$G$54,'Progetto del paramento slu'!$G$53)*IF(N224&lt;0,-1,1)</f>
        <v>240946.49743184328</v>
      </c>
      <c r="U224" s="553">
        <f>'Foglio deposito bis'!$F$52*IF(ABS(O224)&lt;'Progetto del paramento slu'!$G$58,ABS(O224)*'Progetto del paramento slu'!$G$54,'Progetto del paramento slu'!$G$53)*IF(O224&lt;0,-1,1)</f>
        <v>114667.16571856196</v>
      </c>
      <c r="V224" s="479">
        <f t="shared" si="21"/>
        <v>-2660492.5390959354</v>
      </c>
      <c r="W224" s="559"/>
      <c r="X224" s="559"/>
    </row>
    <row r="225" spans="1:24" x14ac:dyDescent="0.25">
      <c r="A225" s="553">
        <f t="shared" si="19"/>
        <v>2733759.2003972232</v>
      </c>
      <c r="B225" s="3">
        <f t="shared" si="20"/>
        <v>51.899999999999942</v>
      </c>
      <c r="C225" s="553">
        <f>'Foglio deposito bis'!$E$153/$B$247*B225</f>
        <v>210.69012178619749</v>
      </c>
      <c r="D225" s="611">
        <f>-'Progetto del paramento slu'!$G$47*'Progetto del paramento slu'!$G$41*IF(DATI!$G$218="dx",DATI!$E$61,DATI!$E$64*DATI!$E$63)*1000*C225^2*sezione!$AD$5*(1-sezione!$AD$6)</f>
        <v>-365421164.65362495</v>
      </c>
      <c r="E225" s="553">
        <f>-'Foglio deposito bis'!$F$48*(C225-sezione!$AL$27)*IF(ABS(K225)&lt;'Progetto del paramento slu'!$G$58,ABS(K225)*'Progetto del paramento slu'!$G$54,'Progetto del paramento slu'!$G$53)</f>
        <v>0</v>
      </c>
      <c r="F225" s="553">
        <f>-'Foglio deposito bis'!$F$49*(C225-sezione!$AM$27)*IF(ABS(L225)&lt;'Progetto del paramento slu'!$G$58,ABS(L225)*'Progetto del paramento slu'!$G$54,'Progetto del paramento slu'!$G$53)</f>
        <v>-6599723.3476278149</v>
      </c>
      <c r="G225" s="553">
        <f>-'Foglio deposito bis'!$F$50*(C225-sezione!$AN$27)*IF(ABS(M225)&lt;'Progetto del paramento slu'!$G$58,ABS(M225)*'Progetto del paramento slu'!$G$54,'Progetto del paramento slu'!$G$53)</f>
        <v>0</v>
      </c>
      <c r="H225" s="553">
        <f>-'Foglio deposito bis'!$F$51*(C225-sezione!$AO$27)*IF(ABS(N225)&lt;'Progetto del paramento slu'!$G$58,ABS(N225)*'Progetto del paramento slu'!$G$54,'Progetto del paramento slu'!$G$53)</f>
        <v>31156762.238953929</v>
      </c>
      <c r="I225" s="479">
        <f>-'Foglio deposito bis'!$F$52*(C225-sezione!$AP$27)*IF(ABS(O225)&lt;'Progetto del paramento slu'!$G$58,ABS(O225)*'Progetto del paramento slu'!$G$54,'Progetto del paramento slu'!$G$53)</f>
        <v>5123478.2206649557</v>
      </c>
      <c r="J225" s="479">
        <f t="shared" si="18"/>
        <v>-335740647.54163384</v>
      </c>
      <c r="K225" s="558">
        <f>'Progetto del paramento slu'!$G$60*(sezione!$AL$27-C225)/C225</f>
        <v>-2.8355170199100832E-3</v>
      </c>
      <c r="L225" s="558">
        <f>'Progetto del paramento slu'!$G$60*(sezione!$AM$27-C225)/C225</f>
        <v>-1.0081888246628124E-3</v>
      </c>
      <c r="M225" s="559">
        <f>'Progetto del paramento slu'!$G$60*(sezione!$AN$27-C225)/C225</f>
        <v>8.1913937058445871E-4</v>
      </c>
      <c r="N225" s="559">
        <f>'Progetto del paramento slu'!$G$60*(sezione!$AO$27-C225)/C225</f>
        <v>2.1481053307642922E-3</v>
      </c>
      <c r="O225" s="559">
        <f>'Progetto del paramento slu'!$G$60*(sezione!$AP$27-C225)/C225</f>
        <v>8.1913937058445871E-4</v>
      </c>
      <c r="P225" s="553">
        <f>-'Progetto del paramento slu'!$G$47*'Progetto del paramento slu'!$G$41*IF(DATI!$G$218="dx",DATI!$E$61,DATI!$E$64*DATI!$E$63)*1000*C225*sezione!$AD$5</f>
        <v>-2969864.7807848435</v>
      </c>
      <c r="Q225" s="553">
        <f>'Foglio deposito bis'!$F$48*IF(ABS(K225)&lt;'Progetto del paramento slu'!$G$58,ABS(K225)*'Progetto del paramento slu'!$G$54,'Progetto del paramento slu'!$G$53)*IF(K225&lt;0,-1,1)</f>
        <v>0</v>
      </c>
      <c r="R225" s="553">
        <f>'Foglio deposito bis'!$F$49*IF(ABS(L225)&lt;'Progetto del paramento slu'!$G$58,ABS(L225)*'Progetto del paramento slu'!$G$54,'Progetto del paramento slu'!$G$53)*IF(L225&lt;0,-1,1)</f>
        <v>-108744.60543805933</v>
      </c>
      <c r="S225" s="553">
        <f>'Foglio deposito bis'!$F$50*IF(ABS(M225)&lt;'Progetto del paramento slu'!$G$58,ABS(M225)*'Progetto del paramento slu'!$G$54,'Progetto del paramento slu'!$G$53)*IF(M225&lt;0,-1,1)</f>
        <v>0</v>
      </c>
      <c r="T225" s="553">
        <f>'Foglio deposito bis'!$F$51*IF(ABS(N225)&lt;'Progetto del paramento slu'!$G$58,ABS(N225)*'Progetto del paramento slu'!$G$54,'Progetto del paramento slu'!$G$53)*IF(N225&lt;0,-1,1)</f>
        <v>240946.49743184328</v>
      </c>
      <c r="U225" s="553">
        <f>'Foglio deposito bis'!$F$52*IF(ABS(O225)&lt;'Progetto del paramento slu'!$G$58,ABS(O225)*'Progetto del paramento slu'!$G$54,'Progetto del paramento slu'!$G$53)*IF(O225&lt;0,-1,1)</f>
        <v>103903.68839383636</v>
      </c>
      <c r="V225" s="479">
        <f t="shared" si="21"/>
        <v>-2733759.2003972232</v>
      </c>
      <c r="W225" s="559"/>
      <c r="X225" s="559"/>
    </row>
    <row r="226" spans="1:24" x14ac:dyDescent="0.25">
      <c r="A226" s="553">
        <f t="shared" si="19"/>
        <v>2806419.2895565396</v>
      </c>
      <c r="B226" s="3">
        <f t="shared" si="20"/>
        <v>52.899999999999942</v>
      </c>
      <c r="C226" s="553">
        <f>'Foglio deposito bis'!$E$153/$B$247*B226</f>
        <v>214.7496617050067</v>
      </c>
      <c r="D226" s="611">
        <f>-'Progetto del paramento slu'!$G$47*'Progetto del paramento slu'!$G$41*IF(DATI!$G$218="dx",DATI!$E$61,DATI!$E$64*DATI!$E$63)*1000*C226^2*sezione!$AD$5*(1-sezione!$AD$6)</f>
        <v>-379638567.34209877</v>
      </c>
      <c r="E226" s="553">
        <f>-'Foglio deposito bis'!$F$48*(C226-sezione!$AL$27)*IF(ABS(K226)&lt;'Progetto del paramento slu'!$G$58,ABS(K226)*'Progetto del paramento slu'!$G$54,'Progetto del paramento slu'!$G$53)</f>
        <v>0</v>
      </c>
      <c r="F226" s="553">
        <f>-'Foglio deposito bis'!$F$49*(C226-sezione!$AM$27)*IF(ABS(L226)&lt;'Progetto del paramento slu'!$G$58,ABS(L226)*'Progetto del paramento slu'!$G$54,'Progetto del paramento slu'!$G$53)</f>
        <v>-7370151.3446690794</v>
      </c>
      <c r="G226" s="553">
        <f>-'Foglio deposito bis'!$F$50*(C226-sezione!$AN$27)*IF(ABS(M226)&lt;'Progetto del paramento slu'!$G$58,ABS(M226)*'Progetto del paramento slu'!$G$54,'Progetto del paramento slu'!$G$53)</f>
        <v>0</v>
      </c>
      <c r="H226" s="553">
        <f>-'Foglio deposito bis'!$F$51*(C226-sezione!$AO$27)*IF(ABS(N226)&lt;'Progetto del paramento slu'!$G$58,ABS(N226)*'Progetto del paramento slu'!$G$54,'Progetto del paramento slu'!$G$53)</f>
        <v>30178630.314332101</v>
      </c>
      <c r="I226" s="479">
        <f>-'Foglio deposito bis'!$F$52*(C226-sezione!$AP$27)*IF(ABS(O226)&lt;'Progetto del paramento slu'!$G$58,ABS(O226)*'Progetto del paramento slu'!$G$54,'Progetto del paramento slu'!$G$53)</f>
        <v>4233040.0858378895</v>
      </c>
      <c r="J226" s="479">
        <f t="shared" si="18"/>
        <v>-352597048.28659785</v>
      </c>
      <c r="K226" s="558">
        <f>'Progetto del paramento slu'!$G$60*(sezione!$AL$27-C226)/C226</f>
        <v>-2.8480781348456203E-3</v>
      </c>
      <c r="L226" s="558">
        <f>'Progetto del paramento slu'!$G$60*(sezione!$AM$27-C226)/C226</f>
        <v>-1.0552930056710768E-3</v>
      </c>
      <c r="M226" s="559">
        <f>'Progetto del paramento slu'!$G$60*(sezione!$AN$27-C226)/C226</f>
        <v>7.3749212350346697E-4</v>
      </c>
      <c r="N226" s="559">
        <f>'Progetto del paramento slu'!$G$60*(sezione!$AO$27-C226)/C226</f>
        <v>2.0413358538122262E-3</v>
      </c>
      <c r="O226" s="559">
        <f>'Progetto del paramento slu'!$G$60*(sezione!$AP$27-C226)/C226</f>
        <v>7.3749212350346697E-4</v>
      </c>
      <c r="P226" s="553">
        <f>-'Progetto del paramento slu'!$G$47*'Progetto del paramento slu'!$G$41*IF(DATI!$G$218="dx",DATI!$E$61,DATI!$E$64*DATI!$E$63)*1000*C226*sezione!$AD$5</f>
        <v>-3027087.6089309868</v>
      </c>
      <c r="Q226" s="553">
        <f>'Foglio deposito bis'!$F$48*IF(ABS(K226)&lt;'Progetto del paramento slu'!$G$58,ABS(K226)*'Progetto del paramento slu'!$G$54,'Progetto del paramento slu'!$G$53)*IF(K226&lt;0,-1,1)</f>
        <v>0</v>
      </c>
      <c r="R226" s="553">
        <f>'Foglio deposito bis'!$F$49*IF(ABS(L226)&lt;'Progetto del paramento slu'!$G$58,ABS(L226)*'Progetto del paramento slu'!$G$54,'Progetto del paramento slu'!$G$53)*IF(L226&lt;0,-1,1)</f>
        <v>-113825.32588736583</v>
      </c>
      <c r="S226" s="553">
        <f>'Foglio deposito bis'!$F$50*IF(ABS(M226)&lt;'Progetto del paramento slu'!$G$58,ABS(M226)*'Progetto del paramento slu'!$G$54,'Progetto del paramento slu'!$G$53)*IF(M226&lt;0,-1,1)</f>
        <v>0</v>
      </c>
      <c r="T226" s="553">
        <f>'Foglio deposito bis'!$F$51*IF(ABS(N226)&lt;'Progetto del paramento slu'!$G$58,ABS(N226)*'Progetto del paramento slu'!$G$54,'Progetto del paramento slu'!$G$53)*IF(N226&lt;0,-1,1)</f>
        <v>240946.49743184328</v>
      </c>
      <c r="U226" s="553">
        <f>'Foglio deposito bis'!$F$52*IF(ABS(O226)&lt;'Progetto del paramento slu'!$G$58,ABS(O226)*'Progetto del paramento slu'!$G$54,'Progetto del paramento slu'!$G$53)*IF(O226&lt;0,-1,1)</f>
        <v>93547.147829969967</v>
      </c>
      <c r="V226" s="479">
        <f t="shared" si="21"/>
        <v>-2806419.2895565396</v>
      </c>
      <c r="W226" s="559"/>
      <c r="X226" s="559"/>
    </row>
    <row r="227" spans="1:24" x14ac:dyDescent="0.25">
      <c r="A227" s="553">
        <f t="shared" si="19"/>
        <v>2878506.5675465362</v>
      </c>
      <c r="B227" s="3">
        <f t="shared" si="20"/>
        <v>53.899999999999942</v>
      </c>
      <c r="C227" s="553">
        <f>'Foglio deposito bis'!$E$153/$B$247*B227</f>
        <v>218.80920162381591</v>
      </c>
      <c r="D227" s="611">
        <f>-'Progetto del paramento slu'!$G$47*'Progetto del paramento slu'!$G$41*IF(DATI!$G$218="dx",DATI!$E$61,DATI!$E$64*DATI!$E$63)*1000*C227^2*sezione!$AD$5*(1-sezione!$AD$6)</f>
        <v>-394127294.50936019</v>
      </c>
      <c r="E227" s="553">
        <f>-'Foglio deposito bis'!$F$48*(C227-sezione!$AL$27)*IF(ABS(K227)&lt;'Progetto del paramento slu'!$G$58,ABS(K227)*'Progetto del paramento slu'!$G$54,'Progetto del paramento slu'!$G$53)</f>
        <v>0</v>
      </c>
      <c r="F227" s="553">
        <f>-'Foglio deposito bis'!$F$49*(C227-sezione!$AM$27)*IF(ABS(L227)&lt;'Progetto del paramento slu'!$G$58,ABS(L227)*'Progetto del paramento slu'!$G$54,'Progetto del paramento slu'!$G$53)</f>
        <v>-8168857.9341925718</v>
      </c>
      <c r="G227" s="553">
        <f>-'Foglio deposito bis'!$F$50*(C227-sezione!$AN$27)*IF(ABS(M227)&lt;'Progetto del paramento slu'!$G$58,ABS(M227)*'Progetto del paramento slu'!$G$54,'Progetto del paramento slu'!$G$53)</f>
        <v>0</v>
      </c>
      <c r="H227" s="553">
        <f>-'Foglio deposito bis'!$F$51*(C227-sezione!$AO$27)*IF(ABS(N227)&lt;'Progetto del paramento slu'!$G$58,ABS(N227)*'Progetto del paramento slu'!$G$54,'Progetto del paramento slu'!$G$53)</f>
        <v>29200498.389710277</v>
      </c>
      <c r="I227" s="479">
        <f>-'Foglio deposito bis'!$F$52*(C227-sezione!$AP$27)*IF(ABS(O227)&lt;'Progetto del paramento slu'!$G$58,ABS(O227)*'Progetto del paramento slu'!$G$54,'Progetto del paramento slu'!$G$53)</f>
        <v>3442516.6280648201</v>
      </c>
      <c r="J227" s="479">
        <f t="shared" si="18"/>
        <v>-369653137.42577773</v>
      </c>
      <c r="K227" s="558">
        <f>'Progetto del paramento slu'!$G$60*(sezione!$AL$27-C227)/C227</f>
        <v>-2.86017316017316E-3</v>
      </c>
      <c r="L227" s="558">
        <f>'Progetto del paramento slu'!$G$60*(sezione!$AM$27-C227)/C227</f>
        <v>-1.10064935064935E-3</v>
      </c>
      <c r="M227" s="559">
        <f>'Progetto del paramento slu'!$G$60*(sezione!$AN$27-C227)/C227</f>
        <v>6.5887445887445996E-4</v>
      </c>
      <c r="N227" s="559">
        <f>'Progetto del paramento slu'!$G$60*(sezione!$AO$27-C227)/C227</f>
        <v>1.93852813852814E-3</v>
      </c>
      <c r="O227" s="559">
        <f>'Progetto del paramento slu'!$G$60*(sezione!$AP$27-C227)/C227</f>
        <v>6.5887445887445996E-4</v>
      </c>
      <c r="P227" s="553">
        <f>-'Progetto del paramento slu'!$G$47*'Progetto del paramento slu'!$G$41*IF(DATI!$G$218="dx",DATI!$E$61,DATI!$E$64*DATI!$E$63)*1000*C227*sezione!$AD$5</f>
        <v>-3084310.4370771307</v>
      </c>
      <c r="Q227" s="553">
        <f>'Foglio deposito bis'!$F$48*IF(ABS(K227)&lt;'Progetto del paramento slu'!$G$58,ABS(K227)*'Progetto del paramento slu'!$G$54,'Progetto del paramento slu'!$G$53)*IF(K227&lt;0,-1,1)</f>
        <v>0</v>
      </c>
      <c r="R227" s="553">
        <f>'Foglio deposito bis'!$F$49*IF(ABS(L227)&lt;'Progetto del paramento slu'!$G$58,ABS(L227)*'Progetto del paramento slu'!$G$54,'Progetto del paramento slu'!$G$53)*IF(L227&lt;0,-1,1)</f>
        <v>-118717.52238679085</v>
      </c>
      <c r="S227" s="553">
        <f>'Foglio deposito bis'!$F$50*IF(ABS(M227)&lt;'Progetto del paramento slu'!$G$58,ABS(M227)*'Progetto del paramento slu'!$G$54,'Progetto del paramento slu'!$G$53)*IF(M227&lt;0,-1,1)</f>
        <v>0</v>
      </c>
      <c r="T227" s="553">
        <f>'Foglio deposito bis'!$F$51*IF(ABS(N227)&lt;'Progetto del paramento slu'!$G$58,ABS(N227)*'Progetto del paramento slu'!$G$54,'Progetto del paramento slu'!$G$53)*IF(N227&lt;0,-1,1)</f>
        <v>240946.49743184328</v>
      </c>
      <c r="U227" s="553">
        <f>'Foglio deposito bis'!$F$52*IF(ABS(O227)&lt;'Progetto del paramento slu'!$G$58,ABS(O227)*'Progetto del paramento slu'!$G$54,'Progetto del paramento slu'!$G$53)*IF(O227&lt;0,-1,1)</f>
        <v>83574.894485542012</v>
      </c>
      <c r="V227" s="479">
        <f t="shared" si="21"/>
        <v>-2878506.5675465362</v>
      </c>
      <c r="W227" s="559"/>
      <c r="X227" s="559"/>
    </row>
    <row r="228" spans="1:24" x14ac:dyDescent="0.25">
      <c r="A228" s="553">
        <f t="shared" si="19"/>
        <v>2957671.9080527085</v>
      </c>
      <c r="B228" s="3">
        <f t="shared" si="20"/>
        <v>54.899999999999942</v>
      </c>
      <c r="C228" s="553">
        <f>'Foglio deposito bis'!$E$153/$B$247*B228</f>
        <v>222.86874154262512</v>
      </c>
      <c r="D228" s="611">
        <f>-'Progetto del paramento slu'!$G$47*'Progetto del paramento slu'!$G$41*IF(DATI!$G$218="dx",DATI!$E$61,DATI!$E$64*DATI!$E$63)*1000*C228^2*sezione!$AD$5*(1-sezione!$AD$6)</f>
        <v>-408887346.15540946</v>
      </c>
      <c r="E228" s="553">
        <f>-'Foglio deposito bis'!$F$48*(C228-sezione!$AL$27)*IF(ABS(K228)&lt;'Progetto del paramento slu'!$G$58,ABS(K228)*'Progetto del paramento slu'!$G$54,'Progetto del paramento slu'!$G$53)</f>
        <v>0</v>
      </c>
      <c r="F228" s="553">
        <f>-'Foglio deposito bis'!$F$49*(C228-sezione!$AM$27)*IF(ABS(L228)&lt;'Progetto del paramento slu'!$G$58,ABS(L228)*'Progetto del paramento slu'!$G$54,'Progetto del paramento slu'!$G$53)</f>
        <v>-8994297.837920567</v>
      </c>
      <c r="G228" s="553">
        <f>-'Foglio deposito bis'!$F$50*(C228-sezione!$AN$27)*IF(ABS(M228)&lt;'Progetto del paramento slu'!$G$58,ABS(M228)*'Progetto del paramento slu'!$G$54,'Progetto del paramento slu'!$G$53)</f>
        <v>0</v>
      </c>
      <c r="H228" s="553">
        <f>-'Foglio deposito bis'!$F$51*(C228-sezione!$AO$27)*IF(ABS(N228)&lt;'Progetto del paramento slu'!$G$58,ABS(N228)*'Progetto del paramento slu'!$G$54,'Progetto del paramento slu'!$G$53)</f>
        <v>27329876.345894251</v>
      </c>
      <c r="I228" s="479">
        <f>-'Foglio deposito bis'!$F$52*(C228-sezione!$AP$27)*IF(ABS(O228)&lt;'Progetto del paramento slu'!$G$58,ABS(O228)*'Progetto del paramento slu'!$G$54,'Progetto del paramento slu'!$G$53)</f>
        <v>2746448.0289275004</v>
      </c>
      <c r="J228" s="479">
        <f t="shared" si="18"/>
        <v>-387805319.61850822</v>
      </c>
      <c r="K228" s="558">
        <f>'Progetto del paramento slu'!$G$60*(sezione!$AL$27-C228)/C228</f>
        <v>-2.8718275652701878E-3</v>
      </c>
      <c r="L228" s="558">
        <f>'Progetto del paramento slu'!$G$60*(sezione!$AM$27-C228)/C228</f>
        <v>-1.1443533697632052E-3</v>
      </c>
      <c r="M228" s="559">
        <f>'Progetto del paramento slu'!$G$60*(sezione!$AN$27-C228)/C228</f>
        <v>5.8312082574377751E-4</v>
      </c>
      <c r="N228" s="559">
        <f>'Progetto del paramento slu'!$G$60*(sezione!$AO$27-C228)/C228</f>
        <v>1.8394656952034013E-3</v>
      </c>
      <c r="O228" s="559">
        <f>'Progetto del paramento slu'!$G$60*(sezione!$AP$27-C228)/C228</f>
        <v>5.8312082574377751E-4</v>
      </c>
      <c r="P228" s="553">
        <f>-'Progetto del paramento slu'!$G$47*'Progetto del paramento slu'!$G$41*IF(DATI!$G$218="dx",DATI!$E$61,DATI!$E$64*DATI!$E$63)*1000*C228*sezione!$AD$5</f>
        <v>-3141533.2652232735</v>
      </c>
      <c r="Q228" s="553">
        <f>'Foglio deposito bis'!$F$48*IF(ABS(K228)&lt;'Progetto del paramento slu'!$G$58,ABS(K228)*'Progetto del paramento slu'!$G$54,'Progetto del paramento slu'!$G$53)*IF(K228&lt;0,-1,1)</f>
        <v>0</v>
      </c>
      <c r="R228" s="553">
        <f>'Foglio deposito bis'!$F$49*IF(ABS(L228)&lt;'Progetto del paramento slu'!$G$58,ABS(L228)*'Progetto del paramento slu'!$G$54,'Progetto del paramento slu'!$G$53)*IF(L228&lt;0,-1,1)</f>
        <v>-123431.49679151912</v>
      </c>
      <c r="S228" s="553">
        <f>'Foglio deposito bis'!$F$50*IF(ABS(M228)&lt;'Progetto del paramento slu'!$G$58,ABS(M228)*'Progetto del paramento slu'!$G$54,'Progetto del paramento slu'!$G$53)*IF(M228&lt;0,-1,1)</f>
        <v>0</v>
      </c>
      <c r="T228" s="553">
        <f>'Foglio deposito bis'!$F$51*IF(ABS(N228)&lt;'Progetto del paramento slu'!$G$58,ABS(N228)*'Progetto del paramento slu'!$G$54,'Progetto del paramento slu'!$G$53)*IF(N228&lt;0,-1,1)</f>
        <v>233326.92490314049</v>
      </c>
      <c r="U228" s="553">
        <f>'Foglio deposito bis'!$F$52*IF(ABS(O228)&lt;'Progetto del paramento slu'!$G$58,ABS(O228)*'Progetto del paramento slu'!$G$54,'Progetto del paramento slu'!$G$53)*IF(O228&lt;0,-1,1)</f>
        <v>73965.929058943875</v>
      </c>
      <c r="V228" s="479">
        <f t="shared" si="21"/>
        <v>-2957671.9080527085</v>
      </c>
      <c r="W228" s="559"/>
      <c r="X228" s="559"/>
    </row>
    <row r="229" spans="1:24" x14ac:dyDescent="0.25">
      <c r="A229" s="553">
        <f t="shared" si="19"/>
        <v>3040821.2243785709</v>
      </c>
      <c r="B229" s="3">
        <f t="shared" si="20"/>
        <v>55.899999999999942</v>
      </c>
      <c r="C229" s="553">
        <f>'Foglio deposito bis'!$E$153/$B$247*B229</f>
        <v>226.9282814614343</v>
      </c>
      <c r="D229" s="611">
        <f>-'Progetto del paramento slu'!$G$47*'Progetto del paramento slu'!$G$41*IF(DATI!$G$218="dx",DATI!$E$61,DATI!$E$64*DATI!$E$63)*1000*C229^2*sezione!$AD$5*(1-sezione!$AD$6)</f>
        <v>-423918722.28024602</v>
      </c>
      <c r="E229" s="553">
        <f>-'Foglio deposito bis'!$F$48*(C229-sezione!$AL$27)*IF(ABS(K229)&lt;'Progetto del paramento slu'!$G$58,ABS(K229)*'Progetto del paramento slu'!$G$54,'Progetto del paramento slu'!$G$53)</f>
        <v>0</v>
      </c>
      <c r="F229" s="553">
        <f>-'Foglio deposito bis'!$F$49*(C229-sezione!$AM$27)*IF(ABS(L229)&lt;'Progetto del paramento slu'!$G$58,ABS(L229)*'Progetto del paramento slu'!$G$54,'Progetto del paramento slu'!$G$53)</f>
        <v>-9845036.3520496096</v>
      </c>
      <c r="G229" s="553">
        <f>-'Foglio deposito bis'!$F$50*(C229-sezione!$AN$27)*IF(ABS(M229)&lt;'Progetto del paramento slu'!$G$58,ABS(M229)*'Progetto del paramento slu'!$G$54,'Progetto del paramento slu'!$G$53)</f>
        <v>0</v>
      </c>
      <c r="H229" s="553">
        <f>-'Foglio deposito bis'!$F$51*(C229-sezione!$AO$27)*IF(ABS(N229)&lt;'Progetto del paramento slu'!$G$58,ABS(N229)*'Progetto del paramento slu'!$G$54,'Progetto del paramento slu'!$G$53)</f>
        <v>25012699.777442329</v>
      </c>
      <c r="I229" s="479">
        <f>-'Foglio deposito bis'!$F$52*(C229-sezione!$AP$27)*IF(ABS(O229)&lt;'Progetto del paramento slu'!$G$58,ABS(O229)*'Progetto del paramento slu'!$G$54,'Progetto del paramento slu'!$G$53)</f>
        <v>2139765.1546887713</v>
      </c>
      <c r="J229" s="479">
        <f t="shared" si="18"/>
        <v>-406611293.7001645</v>
      </c>
      <c r="K229" s="558">
        <f>'Progetto del paramento slu'!$G$60*(sezione!$AL$27-C229)/C229</f>
        <v>-2.8830649970184854E-3</v>
      </c>
      <c r="L229" s="558">
        <f>'Progetto del paramento slu'!$G$60*(sezione!$AM$27-C229)/C229</f>
        <v>-1.1864937388193196E-3</v>
      </c>
      <c r="M229" s="559">
        <f>'Progetto del paramento slu'!$G$60*(sezione!$AN$27-C229)/C229</f>
        <v>5.1007751937984626E-4</v>
      </c>
      <c r="N229" s="559">
        <f>'Progetto del paramento slu'!$G$60*(sezione!$AO$27-C229)/C229</f>
        <v>1.743947525342876E-3</v>
      </c>
      <c r="O229" s="559">
        <f>'Progetto del paramento slu'!$G$60*(sezione!$AP$27-C229)/C229</f>
        <v>5.1007751937984626E-4</v>
      </c>
      <c r="P229" s="553">
        <f>-'Progetto del paramento slu'!$G$47*'Progetto del paramento slu'!$G$41*IF(DATI!$G$218="dx",DATI!$E$61,DATI!$E$64*DATI!$E$63)*1000*C229*sezione!$AD$5</f>
        <v>-3198756.0933694169</v>
      </c>
      <c r="Q229" s="553">
        <f>'Foglio deposito bis'!$F$48*IF(ABS(K229)&lt;'Progetto del paramento slu'!$G$58,ABS(K229)*'Progetto del paramento slu'!$G$54,'Progetto del paramento slu'!$G$53)*IF(K229&lt;0,-1,1)</f>
        <v>0</v>
      </c>
      <c r="R229" s="553">
        <f>'Foglio deposito bis'!$F$49*IF(ABS(L229)&lt;'Progetto del paramento slu'!$G$58,ABS(L229)*'Progetto del paramento slu'!$G$54,'Progetto del paramento slu'!$G$53)*IF(L229&lt;0,-1,1)</f>
        <v>-127976.81379357376</v>
      </c>
      <c r="S229" s="553">
        <f>'Foglio deposito bis'!$F$50*IF(ABS(M229)&lt;'Progetto del paramento slu'!$G$58,ABS(M229)*'Progetto del paramento slu'!$G$54,'Progetto del paramento slu'!$G$53)*IF(M229&lt;0,-1,1)</f>
        <v>0</v>
      </c>
      <c r="T229" s="553">
        <f>'Foglio deposito bis'!$F$51*IF(ABS(N229)&lt;'Progetto del paramento slu'!$G$58,ABS(N229)*'Progetto del paramento slu'!$G$54,'Progetto del paramento slu'!$G$53)*IF(N229&lt;0,-1,1)</f>
        <v>221210.92790246374</v>
      </c>
      <c r="U229" s="553">
        <f>'Foglio deposito bis'!$F$52*IF(ABS(O229)&lt;'Progetto del paramento slu'!$G$58,ABS(O229)*'Progetto del paramento slu'!$G$54,'Progetto del paramento slu'!$G$53)*IF(O229&lt;0,-1,1)</f>
        <v>64700.754881955741</v>
      </c>
      <c r="V229" s="479">
        <f t="shared" si="21"/>
        <v>-3040821.2243785709</v>
      </c>
      <c r="W229" s="559"/>
      <c r="X229" s="559"/>
    </row>
    <row r="230" spans="1:24" x14ac:dyDescent="0.25">
      <c r="A230" s="553">
        <f t="shared" si="19"/>
        <v>3123059.2405926688</v>
      </c>
      <c r="B230" s="3">
        <f t="shared" si="20"/>
        <v>56.899999999999942</v>
      </c>
      <c r="C230" s="553">
        <f>'Foglio deposito bis'!$E$153/$B$247*B230</f>
        <v>230.9878213802435</v>
      </c>
      <c r="D230" s="611">
        <f>-'Progetto del paramento slu'!$G$47*'Progetto del paramento slu'!$G$41*IF(DATI!$G$218="dx",DATI!$E$61,DATI!$E$64*DATI!$E$63)*1000*C230^2*sezione!$AD$5*(1-sezione!$AD$6)</f>
        <v>-439221422.8838706</v>
      </c>
      <c r="E230" s="553">
        <f>-'Foglio deposito bis'!$F$48*(C230-sezione!$AL$27)*IF(ABS(K230)&lt;'Progetto del paramento slu'!$G$58,ABS(K230)*'Progetto del paramento slu'!$G$54,'Progetto del paramento slu'!$G$53)</f>
        <v>0</v>
      </c>
      <c r="F230" s="553">
        <f>-'Foglio deposito bis'!$F$49*(C230-sezione!$AM$27)*IF(ABS(L230)&lt;'Progetto del paramento slu'!$G$58,ABS(L230)*'Progetto del paramento slu'!$G$54,'Progetto del paramento slu'!$G$53)</f>
        <v>-10719739.630688608</v>
      </c>
      <c r="G230" s="553">
        <f>-'Foglio deposito bis'!$F$50*(C230-sezione!$AN$27)*IF(ABS(M230)&lt;'Progetto del paramento slu'!$G$58,ABS(M230)*'Progetto del paramento slu'!$G$54,'Progetto del paramento slu'!$G$53)</f>
        <v>0</v>
      </c>
      <c r="H230" s="553">
        <f>-'Foglio deposito bis'!$F$51*(C230-sezione!$AO$27)*IF(ABS(N230)&lt;'Progetto del paramento slu'!$G$58,ABS(N230)*'Progetto del paramento slu'!$G$54,'Progetto del paramento slu'!$G$53)</f>
        <v>22840318.955219924</v>
      </c>
      <c r="I230" s="479">
        <f>-'Foglio deposito bis'!$F$52*(C230-sezione!$AP$27)*IF(ABS(O230)&lt;'Progetto del paramento slu'!$G$58,ABS(O230)*'Progetto del paramento slu'!$G$54,'Progetto del paramento slu'!$G$53)</f>
        <v>1617755.2254769951</v>
      </c>
      <c r="J230" s="479">
        <f t="shared" si="18"/>
        <v>-425483088.3338623</v>
      </c>
      <c r="K230" s="558">
        <f>'Progetto del paramento slu'!$G$60*(sezione!$AL$27-C230)/C230</f>
        <v>-2.8939074399531341E-3</v>
      </c>
      <c r="L230" s="558">
        <f>'Progetto del paramento slu'!$G$60*(sezione!$AM$27-C230)/C230</f>
        <v>-1.2271528998242525E-3</v>
      </c>
      <c r="M230" s="559">
        <f>'Progetto del paramento slu'!$G$60*(sezione!$AN$27-C230)/C230</f>
        <v>4.3960164030462922E-4</v>
      </c>
      <c r="N230" s="559">
        <f>'Progetto del paramento slu'!$G$60*(sezione!$AO$27-C230)/C230</f>
        <v>1.6517867603983614E-3</v>
      </c>
      <c r="O230" s="559">
        <f>'Progetto del paramento slu'!$G$60*(sezione!$AP$27-C230)/C230</f>
        <v>4.3960164030462922E-4</v>
      </c>
      <c r="P230" s="553">
        <f>-'Progetto del paramento slu'!$G$47*'Progetto del paramento slu'!$G$41*IF(DATI!$G$218="dx",DATI!$E$61,DATI!$E$64*DATI!$E$63)*1000*C230*sezione!$AD$5</f>
        <v>-3255978.9215155602</v>
      </c>
      <c r="Q230" s="553">
        <f>'Foglio deposito bis'!$F$48*IF(ABS(K230)&lt;'Progetto del paramento slu'!$G$58,ABS(K230)*'Progetto del paramento slu'!$G$54,'Progetto del paramento slu'!$G$53)*IF(K230&lt;0,-1,1)</f>
        <v>0</v>
      </c>
      <c r="R230" s="553">
        <f>'Foglio deposito bis'!$F$49*IF(ABS(L230)&lt;'Progetto del paramento slu'!$G$58,ABS(L230)*'Progetto del paramento slu'!$G$54,'Progetto del paramento slu'!$G$53)*IF(L230&lt;0,-1,1)</f>
        <v>-132362.36569889539</v>
      </c>
      <c r="S230" s="553">
        <f>'Foglio deposito bis'!$F$50*IF(ABS(M230)&lt;'Progetto del paramento slu'!$G$58,ABS(M230)*'Progetto del paramento slu'!$G$54,'Progetto del paramento slu'!$G$53)*IF(M230&lt;0,-1,1)</f>
        <v>0</v>
      </c>
      <c r="T230" s="553">
        <f>'Foglio deposito bis'!$F$51*IF(ABS(N230)&lt;'Progetto del paramento slu'!$G$58,ABS(N230)*'Progetto del paramento slu'!$G$54,'Progetto del paramento slu'!$G$53)*IF(N230&lt;0,-1,1)</f>
        <v>209520.80074363845</v>
      </c>
      <c r="U230" s="553">
        <f>'Foglio deposito bis'!$F$52*IF(ABS(O230)&lt;'Progetto del paramento slu'!$G$58,ABS(O230)*'Progetto del paramento slu'!$G$54,'Progetto del paramento slu'!$G$53)*IF(O230&lt;0,-1,1)</f>
        <v>55761.245878148162</v>
      </c>
      <c r="V230" s="479">
        <f t="shared" si="21"/>
        <v>-3123059.2405926688</v>
      </c>
      <c r="W230" s="559"/>
      <c r="X230" s="559"/>
    </row>
    <row r="231" spans="1:24" x14ac:dyDescent="0.25">
      <c r="A231" s="553">
        <f t="shared" si="19"/>
        <v>3204433.1743173734</v>
      </c>
      <c r="B231" s="3">
        <f t="shared" si="20"/>
        <v>57.899999999999942</v>
      </c>
      <c r="C231" s="553">
        <f>'Foglio deposito bis'!$E$153/$B$247*B231</f>
        <v>235.04736129905271</v>
      </c>
      <c r="D231" s="611">
        <f>-'Progetto del paramento slu'!$G$47*'Progetto del paramento slu'!$G$41*IF(DATI!$G$218="dx",DATI!$E$61,DATI!$E$64*DATI!$E$63)*1000*C231^2*sezione!$AD$5*(1-sezione!$AD$6)</f>
        <v>-454795447.96628273</v>
      </c>
      <c r="E231" s="553">
        <f>-'Foglio deposito bis'!$F$48*(C231-sezione!$AL$27)*IF(ABS(K231)&lt;'Progetto del paramento slu'!$G$58,ABS(K231)*'Progetto del paramento slu'!$G$54,'Progetto del paramento slu'!$G$53)</f>
        <v>0</v>
      </c>
      <c r="F231" s="553">
        <f>-'Foglio deposito bis'!$F$49*(C231-sezione!$AM$27)*IF(ABS(L231)&lt;'Progetto del paramento slu'!$G$58,ABS(L231)*'Progetto del paramento slu'!$G$54,'Progetto del paramento slu'!$G$53)</f>
        <v>-11617165.976194559</v>
      </c>
      <c r="G231" s="553">
        <f>-'Foglio deposito bis'!$F$50*(C231-sezione!$AN$27)*IF(ABS(M231)&lt;'Progetto del paramento slu'!$G$58,ABS(M231)*'Progetto del paramento slu'!$G$54,'Progetto del paramento slu'!$G$53)</f>
        <v>0</v>
      </c>
      <c r="H231" s="553">
        <f>-'Foglio deposito bis'!$F$51*(C231-sezione!$AO$27)*IF(ABS(N231)&lt;'Progetto del paramento slu'!$G$58,ABS(N231)*'Progetto del paramento slu'!$G$54,'Progetto del paramento slu'!$G$53)</f>
        <v>20805231.508956086</v>
      </c>
      <c r="I231" s="479">
        <f>-'Foglio deposito bis'!$F$52*(C231-sezione!$AP$27)*IF(ABS(O231)&lt;'Progetto del paramento slu'!$G$58,ABS(O231)*'Progetto del paramento slu'!$G$54,'Progetto del paramento slu'!$G$53)</f>
        <v>1176031.0420679816</v>
      </c>
      <c r="J231" s="479">
        <f t="shared" si="18"/>
        <v>-444431351.39145321</v>
      </c>
      <c r="K231" s="558">
        <f>'Progetto del paramento slu'!$G$60*(sezione!$AL$27-C231)/C231</f>
        <v>-2.9043753598157742E-3</v>
      </c>
      <c r="L231" s="558">
        <f>'Progetto del paramento slu'!$G$60*(sezione!$AM$27-C231)/C231</f>
        <v>-1.2664075993091531E-3</v>
      </c>
      <c r="M231" s="559">
        <f>'Progetto del paramento slu'!$G$60*(sezione!$AN$27-C231)/C231</f>
        <v>3.7156016119746797E-4</v>
      </c>
      <c r="N231" s="559">
        <f>'Progetto del paramento slu'!$G$60*(sezione!$AO$27-C231)/C231</f>
        <v>1.5628094415659195E-3</v>
      </c>
      <c r="O231" s="559">
        <f>'Progetto del paramento slu'!$G$60*(sezione!$AP$27-C231)/C231</f>
        <v>3.7156016119746797E-4</v>
      </c>
      <c r="P231" s="553">
        <f>-'Progetto del paramento slu'!$G$47*'Progetto del paramento slu'!$G$41*IF(DATI!$G$218="dx",DATI!$E$61,DATI!$E$64*DATI!$E$63)*1000*C231*sezione!$AD$5</f>
        <v>-3313201.7496617041</v>
      </c>
      <c r="Q231" s="553">
        <f>'Foglio deposito bis'!$F$48*IF(ABS(K231)&lt;'Progetto del paramento slu'!$G$58,ABS(K231)*'Progetto del paramento slu'!$G$54,'Progetto del paramento slu'!$G$53)*IF(K231&lt;0,-1,1)</f>
        <v>0</v>
      </c>
      <c r="R231" s="553">
        <f>'Foglio deposito bis'!$F$49*IF(ABS(L231)&lt;'Progetto del paramento slu'!$G$58,ABS(L231)*'Progetto del paramento slu'!$G$54,'Progetto del paramento slu'!$G$53)*IF(L231&lt;0,-1,1)</f>
        <v>-136596.43049177065</v>
      </c>
      <c r="S231" s="553">
        <f>'Foglio deposito bis'!$F$50*IF(ABS(M231)&lt;'Progetto del paramento slu'!$G$58,ABS(M231)*'Progetto del paramento slu'!$G$54,'Progetto del paramento slu'!$G$53)*IF(M231&lt;0,-1,1)</f>
        <v>0</v>
      </c>
      <c r="T231" s="553">
        <f>'Foglio deposito bis'!$F$51*IF(ABS(N231)&lt;'Progetto del paramento slu'!$G$58,ABS(N231)*'Progetto del paramento slu'!$G$54,'Progetto del paramento slu'!$G$53)*IF(N231&lt;0,-1,1)</f>
        <v>198234.47763175008</v>
      </c>
      <c r="U231" s="553">
        <f>'Foglio deposito bis'!$F$52*IF(ABS(O231)&lt;'Progetto del paramento slu'!$G$58,ABS(O231)*'Progetto del paramento slu'!$G$54,'Progetto del paramento slu'!$G$53)*IF(O231&lt;0,-1,1)</f>
        <v>47130.528204351198</v>
      </c>
      <c r="V231" s="479">
        <f t="shared" si="21"/>
        <v>-3204433.1743173734</v>
      </c>
      <c r="W231" s="559"/>
      <c r="X231" s="559"/>
    </row>
    <row r="232" spans="1:24" x14ac:dyDescent="0.25">
      <c r="A232" s="553">
        <f t="shared" si="19"/>
        <v>3284987.0365453521</v>
      </c>
      <c r="B232" s="3">
        <f t="shared" si="20"/>
        <v>58.899999999999942</v>
      </c>
      <c r="C232" s="553">
        <f>'Foglio deposito bis'!$E$153/$B$247*B232</f>
        <v>239.10690121786192</v>
      </c>
      <c r="D232" s="611">
        <f>-'Progetto del paramento slu'!$G$47*'Progetto del paramento slu'!$G$41*IF(DATI!$G$218="dx",DATI!$E$61,DATI!$E$64*DATI!$E$63)*1000*C232^2*sezione!$AD$5*(1-sezione!$AD$6)</f>
        <v>-470640797.52748251</v>
      </c>
      <c r="E232" s="553">
        <f>-'Foglio deposito bis'!$F$48*(C232-sezione!$AL$27)*IF(ABS(K232)&lt;'Progetto del paramento slu'!$G$58,ABS(K232)*'Progetto del paramento slu'!$G$54,'Progetto del paramento slu'!$G$53)</f>
        <v>0</v>
      </c>
      <c r="F232" s="553">
        <f>-'Foglio deposito bis'!$F$49*(C232-sezione!$AM$27)*IF(ABS(L232)&lt;'Progetto del paramento slu'!$G$58,ABS(L232)*'Progetto del paramento slu'!$G$54,'Progetto del paramento slu'!$G$53)</f>
        <v>-12536158.016740622</v>
      </c>
      <c r="G232" s="553">
        <f>-'Foglio deposito bis'!$F$50*(C232-sezione!$AN$27)*IF(ABS(M232)&lt;'Progetto del paramento slu'!$G$58,ABS(M232)*'Progetto del paramento slu'!$G$54,'Progetto del paramento slu'!$G$53)</f>
        <v>0</v>
      </c>
      <c r="H232" s="553">
        <f>-'Foglio deposito bis'!$F$51*(C232-sezione!$AO$27)*IF(ABS(N232)&lt;'Progetto del paramento slu'!$G$58,ABS(N232)*'Progetto del paramento slu'!$G$54,'Progetto del paramento slu'!$G$53)</f>
        <v>18900444.567209803</v>
      </c>
      <c r="I232" s="479">
        <f>-'Foglio deposito bis'!$F$52*(C232-sezione!$AP$27)*IF(ABS(O232)&lt;'Progetto del paramento slu'!$G$58,ABS(O232)*'Progetto del paramento slu'!$G$54,'Progetto del paramento slu'!$G$53)</f>
        <v>810503.34745989181</v>
      </c>
      <c r="J232" s="479">
        <f t="shared" si="18"/>
        <v>-463466007.62955344</v>
      </c>
      <c r="K232" s="558">
        <f>'Progetto del paramento slu'!$G$60*(sezione!$AL$27-C232)/C232</f>
        <v>-2.9144878324844367E-3</v>
      </c>
      <c r="L232" s="558">
        <f>'Progetto del paramento slu'!$G$60*(sezione!$AM$27-C232)/C232</f>
        <v>-1.3043293718166379E-3</v>
      </c>
      <c r="M232" s="559">
        <f>'Progetto del paramento slu'!$G$60*(sezione!$AN$27-C232)/C232</f>
        <v>3.058290888511611E-4</v>
      </c>
      <c r="N232" s="559">
        <f>'Progetto del paramento slu'!$G$60*(sezione!$AO$27-C232)/C232</f>
        <v>1.4768534238822875E-3</v>
      </c>
      <c r="O232" s="559">
        <f>'Progetto del paramento slu'!$G$60*(sezione!$AP$27-C232)/C232</f>
        <v>3.058290888511611E-4</v>
      </c>
      <c r="P232" s="553">
        <f>-'Progetto del paramento slu'!$G$47*'Progetto del paramento slu'!$G$41*IF(DATI!$G$218="dx",DATI!$E$61,DATI!$E$64*DATI!$E$63)*1000*C232*sezione!$AD$5</f>
        <v>-3370424.5778078474</v>
      </c>
      <c r="Q232" s="553">
        <f>'Foglio deposito bis'!$F$48*IF(ABS(K232)&lt;'Progetto del paramento slu'!$G$58,ABS(K232)*'Progetto del paramento slu'!$G$54,'Progetto del paramento slu'!$G$53)*IF(K232&lt;0,-1,1)</f>
        <v>0</v>
      </c>
      <c r="R232" s="553">
        <f>'Foglio deposito bis'!$F$49*IF(ABS(L232)&lt;'Progetto del paramento slu'!$G$58,ABS(L232)*'Progetto del paramento slu'!$G$54,'Progetto del paramento slu'!$G$53)*IF(L232&lt;0,-1,1)</f>
        <v>-140686.72398437851</v>
      </c>
      <c r="S232" s="553">
        <f>'Foglio deposito bis'!$F$50*IF(ABS(M232)&lt;'Progetto del paramento slu'!$G$58,ABS(M232)*'Progetto del paramento slu'!$G$54,'Progetto del paramento slu'!$G$53)*IF(M232&lt;0,-1,1)</f>
        <v>0</v>
      </c>
      <c r="T232" s="553">
        <f>'Foglio deposito bis'!$F$51*IF(ABS(N232)&lt;'Progetto del paramento slu'!$G$58,ABS(N232)*'Progetto del paramento slu'!$G$54,'Progetto del paramento slu'!$G$53)*IF(N232&lt;0,-1,1)</f>
        <v>187331.39129785454</v>
      </c>
      <c r="U232" s="553">
        <f>'Foglio deposito bis'!$F$52*IF(ABS(O232)&lt;'Progetto del paramento slu'!$G$58,ABS(O232)*'Progetto del paramento slu'!$G$54,'Progetto del paramento slu'!$G$53)*IF(O232&lt;0,-1,1)</f>
        <v>38792.873949019326</v>
      </c>
      <c r="V232" s="479">
        <f t="shared" si="21"/>
        <v>-3284987.0365453521</v>
      </c>
      <c r="W232" s="559"/>
      <c r="X232" s="559"/>
    </row>
    <row r="233" spans="1:24" x14ac:dyDescent="0.25">
      <c r="A233" s="553">
        <f t="shared" si="19"/>
        <v>3364761.8993048221</v>
      </c>
      <c r="B233" s="3">
        <f t="shared" si="20"/>
        <v>59.899999999999942</v>
      </c>
      <c r="C233" s="553">
        <f>'Foglio deposito bis'!$E$153/$B$247*B233</f>
        <v>243.16644113667112</v>
      </c>
      <c r="D233" s="611">
        <f>-'Progetto del paramento slu'!$G$47*'Progetto del paramento slu'!$G$41*IF(DATI!$G$218="dx",DATI!$E$61,DATI!$E$64*DATI!$E$63)*1000*C233^2*sezione!$AD$5*(1-sezione!$AD$6)</f>
        <v>-486757471.56747007</v>
      </c>
      <c r="E233" s="553">
        <f>-'Foglio deposito bis'!$F$48*(C233-sezione!$AL$27)*IF(ABS(K233)&lt;'Progetto del paramento slu'!$G$58,ABS(K233)*'Progetto del paramento slu'!$G$54,'Progetto del paramento slu'!$G$53)</f>
        <v>0</v>
      </c>
      <c r="F233" s="553">
        <f>-'Foglio deposito bis'!$F$49*(C233-sezione!$AM$27)*IF(ABS(L233)&lt;'Progetto del paramento slu'!$G$58,ABS(L233)*'Progetto del paramento slu'!$G$54,'Progetto del paramento slu'!$G$53)</f>
        <v>-13475635.667433301</v>
      </c>
      <c r="G233" s="553">
        <f>-'Foglio deposito bis'!$F$50*(C233-sezione!$AN$27)*IF(ABS(M233)&lt;'Progetto del paramento slu'!$G$58,ABS(M233)*'Progetto del paramento slu'!$G$54,'Progetto del paramento slu'!$G$53)</f>
        <v>0</v>
      </c>
      <c r="H233" s="553">
        <f>-'Foglio deposito bis'!$F$51*(C233-sezione!$AO$27)*IF(ABS(N233)&lt;'Progetto del paramento slu'!$G$58,ABS(N233)*'Progetto del paramento slu'!$G$54,'Progetto del paramento slu'!$G$53)</f>
        <v>17119432.228252321</v>
      </c>
      <c r="I233" s="479">
        <f>-'Foglio deposito bis'!$F$52*(C233-sezione!$AP$27)*IF(ABS(O233)&lt;'Progetto del paramento slu'!$G$58,ABS(O233)*'Progetto del paramento slu'!$G$54,'Progetto del paramento slu'!$G$53)</f>
        <v>517355.95690476673</v>
      </c>
      <c r="J233" s="479">
        <f t="shared" si="18"/>
        <v>-482596319.04974627</v>
      </c>
      <c r="K233" s="558">
        <f>'Progetto del paramento slu'!$G$60*(sezione!$AL$27-C233)/C233</f>
        <v>-2.9242626599888699E-3</v>
      </c>
      <c r="L233" s="558">
        <f>'Progetto del paramento slu'!$G$60*(sezione!$AM$27-C233)/C233</f>
        <v>-1.3409849749582634E-3</v>
      </c>
      <c r="M233" s="559">
        <f>'Progetto del paramento slu'!$G$60*(sezione!$AN$27-C233)/C233</f>
        <v>2.4229271007234361E-4</v>
      </c>
      <c r="N233" s="559">
        <f>'Progetto del paramento slu'!$G$60*(sezione!$AO$27-C233)/C233</f>
        <v>1.3937673900946033E-3</v>
      </c>
      <c r="O233" s="559">
        <f>'Progetto del paramento slu'!$G$60*(sezione!$AP$27-C233)/C233</f>
        <v>2.4229271007234361E-4</v>
      </c>
      <c r="P233" s="553">
        <f>-'Progetto del paramento slu'!$G$47*'Progetto del paramento slu'!$G$41*IF(DATI!$G$218="dx",DATI!$E$61,DATI!$E$64*DATI!$E$63)*1000*C233*sezione!$AD$5</f>
        <v>-3427647.4059539908</v>
      </c>
      <c r="Q233" s="553">
        <f>'Foglio deposito bis'!$F$48*IF(ABS(K233)&lt;'Progetto del paramento slu'!$G$58,ABS(K233)*'Progetto del paramento slu'!$G$54,'Progetto del paramento slu'!$G$53)*IF(K233&lt;0,-1,1)</f>
        <v>0</v>
      </c>
      <c r="R233" s="553">
        <f>'Foglio deposito bis'!$F$49*IF(ABS(L233)&lt;'Progetto del paramento slu'!$G$58,ABS(L233)*'Progetto del paramento slu'!$G$54,'Progetto del paramento slu'!$G$53)*IF(L233&lt;0,-1,1)</f>
        <v>-144640.44674267562</v>
      </c>
      <c r="S233" s="553">
        <f>'Foglio deposito bis'!$F$50*IF(ABS(M233)&lt;'Progetto del paramento slu'!$G$58,ABS(M233)*'Progetto del paramento slu'!$G$54,'Progetto del paramento slu'!$G$53)*IF(M233&lt;0,-1,1)</f>
        <v>0</v>
      </c>
      <c r="T233" s="553">
        <f>'Foglio deposito bis'!$F$51*IF(ABS(N233)&lt;'Progetto del paramento slu'!$G$58,ABS(N233)*'Progetto del paramento slu'!$G$54,'Progetto del paramento slu'!$G$53)*IF(N233&lt;0,-1,1)</f>
        <v>176792.34791333787</v>
      </c>
      <c r="U233" s="553">
        <f>'Foglio deposito bis'!$F$52*IF(ABS(O233)&lt;'Progetto del paramento slu'!$G$58,ABS(O233)*'Progetto del paramento slu'!$G$54,'Progetto del paramento slu'!$G$53)*IF(O233&lt;0,-1,1)</f>
        <v>30733.605478506546</v>
      </c>
      <c r="V233" s="479">
        <f t="shared" si="21"/>
        <v>-3364761.8993048221</v>
      </c>
      <c r="W233" s="559"/>
      <c r="X233" s="559"/>
    </row>
    <row r="234" spans="1:24" x14ac:dyDescent="0.25">
      <c r="A234" s="553">
        <f t="shared" si="19"/>
        <v>3443796.1369538382</v>
      </c>
      <c r="B234" s="3">
        <f t="shared" si="20"/>
        <v>60.899999999999942</v>
      </c>
      <c r="C234" s="553">
        <f>'Foglio deposito bis'!$E$153/$B$247*B234</f>
        <v>247.22598105548033</v>
      </c>
      <c r="D234" s="611">
        <f>-'Progetto del paramento slu'!$G$47*'Progetto del paramento slu'!$G$41*IF(DATI!$G$218="dx",DATI!$E$61,DATI!$E$64*DATI!$E$63)*1000*C234^2*sezione!$AD$5*(1-sezione!$AD$6)</f>
        <v>-503145470.08624524</v>
      </c>
      <c r="E234" s="553">
        <f>-'Foglio deposito bis'!$F$48*(C234-sezione!$AL$27)*IF(ABS(K234)&lt;'Progetto del paramento slu'!$G$58,ABS(K234)*'Progetto del paramento slu'!$G$54,'Progetto del paramento slu'!$G$53)</f>
        <v>0</v>
      </c>
      <c r="F234" s="553">
        <f>-'Foglio deposito bis'!$F$49*(C234-sezione!$AM$27)*IF(ABS(L234)&lt;'Progetto del paramento slu'!$G$58,ABS(L234)*'Progetto del paramento slu'!$G$54,'Progetto del paramento slu'!$G$53)</f>
        <v>-14434589.784915622</v>
      </c>
      <c r="G234" s="553">
        <f>-'Foglio deposito bis'!$F$50*(C234-sezione!$AN$27)*IF(ABS(M234)&lt;'Progetto del paramento slu'!$G$58,ABS(M234)*'Progetto del paramento slu'!$G$54,'Progetto del paramento slu'!$G$53)</f>
        <v>0</v>
      </c>
      <c r="H234" s="553">
        <f>-'Foglio deposito bis'!$F$51*(C234-sezione!$AO$27)*IF(ABS(N234)&lt;'Progetto del paramento slu'!$G$58,ABS(N234)*'Progetto del paramento slu'!$G$54,'Progetto del paramento slu'!$G$53)</f>
        <v>15456097.221010294</v>
      </c>
      <c r="I234" s="479">
        <f>-'Foglio deposito bis'!$F$52*(C234-sezione!$AP$27)*IF(ABS(O234)&lt;'Progetto del paramento slu'!$G$58,ABS(O234)*'Progetto del paramento slu'!$G$54,'Progetto del paramento slu'!$G$53)</f>
        <v>293023.33818324853</v>
      </c>
      <c r="J234" s="479">
        <f t="shared" si="18"/>
        <v>-501830939.31196737</v>
      </c>
      <c r="K234" s="558">
        <f>'Progetto del paramento slu'!$G$60*(sezione!$AL$27-C234)/C234</f>
        <v>-2.9337164750957855E-3</v>
      </c>
      <c r="L234" s="558">
        <f>'Progetto del paramento slu'!$G$60*(sezione!$AM$27-C234)/C234</f>
        <v>-1.3764367816091951E-3</v>
      </c>
      <c r="M234" s="559">
        <f>'Progetto del paramento slu'!$G$60*(sezione!$AN$27-C234)/C234</f>
        <v>1.8084291187739536E-4</v>
      </c>
      <c r="N234" s="559">
        <f>'Progetto del paramento slu'!$G$60*(sezione!$AO$27-C234)/C234</f>
        <v>1.3134099616858247E-3</v>
      </c>
      <c r="O234" s="559">
        <f>'Progetto del paramento slu'!$G$60*(sezione!$AP$27-C234)/C234</f>
        <v>1.8084291187739536E-4</v>
      </c>
      <c r="P234" s="553">
        <f>-'Progetto del paramento slu'!$G$47*'Progetto del paramento slu'!$G$41*IF(DATI!$G$218="dx",DATI!$E$61,DATI!$E$64*DATI!$E$63)*1000*C234*sezione!$AD$5</f>
        <v>-3484870.2341001346</v>
      </c>
      <c r="Q234" s="553">
        <f>'Foglio deposito bis'!$F$48*IF(ABS(K234)&lt;'Progetto del paramento slu'!$G$58,ABS(K234)*'Progetto del paramento slu'!$G$54,'Progetto del paramento slu'!$G$53)*IF(K234&lt;0,-1,1)</f>
        <v>0</v>
      </c>
      <c r="R234" s="553">
        <f>'Foglio deposito bis'!$F$49*IF(ABS(L234)&lt;'Progetto del paramento slu'!$G$58,ABS(L234)*'Progetto del paramento slu'!$G$54,'Progetto del paramento slu'!$G$53)*IF(L234&lt;0,-1,1)</f>
        <v>-148464.32638904176</v>
      </c>
      <c r="S234" s="553">
        <f>'Foglio deposito bis'!$F$50*IF(ABS(M234)&lt;'Progetto del paramento slu'!$G$58,ABS(M234)*'Progetto del paramento slu'!$G$54,'Progetto del paramento slu'!$G$53)*IF(M234&lt;0,-1,1)</f>
        <v>0</v>
      </c>
      <c r="T234" s="553">
        <f>'Foglio deposito bis'!$F$51*IF(ABS(N234)&lt;'Progetto del paramento slu'!$G$58,ABS(N234)*'Progetto del paramento slu'!$G$54,'Progetto del paramento slu'!$G$53)*IF(N234&lt;0,-1,1)</f>
        <v>166599.41432798427</v>
      </c>
      <c r="U234" s="553">
        <f>'Foglio deposito bis'!$F$52*IF(ABS(O234)&lt;'Progetto del paramento slu'!$G$58,ABS(O234)*'Progetto del paramento slu'!$G$54,'Progetto del paramento slu'!$G$53)*IF(O234&lt;0,-1,1)</f>
        <v>22939.0092073538</v>
      </c>
      <c r="V234" s="479">
        <f t="shared" si="21"/>
        <v>-3443796.1369538382</v>
      </c>
      <c r="W234" s="559"/>
      <c r="X234" s="559"/>
    </row>
    <row r="235" spans="1:24" x14ac:dyDescent="0.25">
      <c r="A235" s="553">
        <f t="shared" si="19"/>
        <v>3522125.6440857984</v>
      </c>
      <c r="B235" s="3">
        <f t="shared" si="20"/>
        <v>61.899999999999942</v>
      </c>
      <c r="C235" s="553">
        <f>'Foglio deposito bis'!$E$153/$B$247*B235</f>
        <v>251.28552097428954</v>
      </c>
      <c r="D235" s="611">
        <f>-'Progetto del paramento slu'!$G$47*'Progetto del paramento slu'!$G$41*IF(DATI!$G$218="dx",DATI!$E$61,DATI!$E$64*DATI!$E$63)*1000*C235^2*sezione!$AD$5*(1-sezione!$AD$6)</f>
        <v>-519804793.08380806</v>
      </c>
      <c r="E235" s="553">
        <f>-'Foglio deposito bis'!$F$48*(C235-sezione!$AL$27)*IF(ABS(K235)&lt;'Progetto del paramento slu'!$G$58,ABS(K235)*'Progetto del paramento slu'!$G$54,'Progetto del paramento slu'!$G$53)</f>
        <v>0</v>
      </c>
      <c r="F235" s="553">
        <f>-'Foglio deposito bis'!$F$49*(C235-sezione!$AM$27)*IF(ABS(L235)&lt;'Progetto del paramento slu'!$G$58,ABS(L235)*'Progetto del paramento slu'!$G$54,'Progetto del paramento slu'!$G$53)</f>
        <v>-15412076.437032994</v>
      </c>
      <c r="G235" s="553">
        <f>-'Foglio deposito bis'!$F$50*(C235-sezione!$AN$27)*IF(ABS(M235)&lt;'Progetto del paramento slu'!$G$58,ABS(M235)*'Progetto del paramento slu'!$G$54,'Progetto del paramento slu'!$G$53)</f>
        <v>0</v>
      </c>
      <c r="H235" s="553">
        <f>-'Foglio deposito bis'!$F$51*(C235-sezione!$AO$27)*IF(ABS(N235)&lt;'Progetto del paramento slu'!$G$58,ABS(N235)*'Progetto del paramento slu'!$G$54,'Progetto del paramento slu'!$G$53)</f>
        <v>13904736.282234186</v>
      </c>
      <c r="I235" s="479">
        <f>-'Foglio deposito bis'!$F$52*(C235-sezione!$AP$27)*IF(ABS(O235)&lt;'Progetto del paramento slu'!$G$58,ABS(O235)*'Progetto del paramento slu'!$G$54,'Progetto del paramento slu'!$G$53)</f>
        <v>134170.36503522677</v>
      </c>
      <c r="J235" s="479">
        <f t="shared" si="18"/>
        <v>-521177962.87357163</v>
      </c>
      <c r="K235" s="558">
        <f>'Progetto del paramento slu'!$G$60*(sezione!$AL$27-C235)/C235</f>
        <v>-2.9428648357565966E-3</v>
      </c>
      <c r="L235" s="558">
        <f>'Progetto del paramento slu'!$G$60*(sezione!$AM$27-C235)/C235</f>
        <v>-1.4107431340872371E-3</v>
      </c>
      <c r="M235" s="559">
        <f>'Progetto del paramento slu'!$G$60*(sezione!$AN$27-C235)/C235</f>
        <v>1.213785675821223E-4</v>
      </c>
      <c r="N235" s="559">
        <f>'Progetto del paramento slu'!$G$60*(sezione!$AO$27-C235)/C235</f>
        <v>1.2356488960689291E-3</v>
      </c>
      <c r="O235" s="559">
        <f>'Progetto del paramento slu'!$G$60*(sezione!$AP$27-C235)/C235</f>
        <v>1.213785675821223E-4</v>
      </c>
      <c r="P235" s="553">
        <f>-'Progetto del paramento slu'!$G$47*'Progetto del paramento slu'!$G$41*IF(DATI!$G$218="dx",DATI!$E$61,DATI!$E$64*DATI!$E$63)*1000*C235*sezione!$AD$5</f>
        <v>-3542093.0622462779</v>
      </c>
      <c r="Q235" s="553">
        <f>'Foglio deposito bis'!$F$48*IF(ABS(K235)&lt;'Progetto del paramento slu'!$G$58,ABS(K235)*'Progetto del paramento slu'!$G$54,'Progetto del paramento slu'!$G$53)*IF(K235&lt;0,-1,1)</f>
        <v>0</v>
      </c>
      <c r="R235" s="553">
        <f>'Foglio deposito bis'!$F$49*IF(ABS(L235)&lt;'Progetto del paramento slu'!$G$58,ABS(L235)*'Progetto del paramento slu'!$G$54,'Progetto del paramento slu'!$G$53)*IF(L235&lt;0,-1,1)</f>
        <v>-152164.65580450749</v>
      </c>
      <c r="S235" s="553">
        <f>'Foglio deposito bis'!$F$50*IF(ABS(M235)&lt;'Progetto del paramento slu'!$G$58,ABS(M235)*'Progetto del paramento slu'!$G$54,'Progetto del paramento slu'!$G$53)*IF(M235&lt;0,-1,1)</f>
        <v>0</v>
      </c>
      <c r="T235" s="553">
        <f>'Foglio deposito bis'!$F$51*IF(ABS(N235)&lt;'Progetto del paramento slu'!$G$58,ABS(N235)*'Progetto del paramento slu'!$G$54,'Progetto del paramento slu'!$G$53)*IF(N235&lt;0,-1,1)</f>
        <v>156735.81623811866</v>
      </c>
      <c r="U235" s="553">
        <f>'Foglio deposito bis'!$F$52*IF(ABS(O235)&lt;'Progetto del paramento slu'!$G$58,ABS(O235)*'Progetto del paramento slu'!$G$54,'Progetto del paramento slu'!$G$53)*IF(O235&lt;0,-1,1)</f>
        <v>15396.257726868342</v>
      </c>
      <c r="V235" s="479">
        <f t="shared" si="21"/>
        <v>-3522125.6440857984</v>
      </c>
      <c r="W235" s="559"/>
      <c r="X235" s="559"/>
    </row>
    <row r="236" spans="1:24" x14ac:dyDescent="0.25">
      <c r="A236" s="553">
        <f t="shared" si="19"/>
        <v>3599784.0326490528</v>
      </c>
      <c r="B236" s="3">
        <f t="shared" si="20"/>
        <v>62.899999999999942</v>
      </c>
      <c r="C236" s="553">
        <f>'Foglio deposito bis'!$E$153/$B$247*B236</f>
        <v>255.34506089309875</v>
      </c>
      <c r="D236" s="611">
        <f>-'Progetto del paramento slu'!$G$47*'Progetto del paramento slu'!$G$41*IF(DATI!$G$218="dx",DATI!$E$61,DATI!$E$64*DATI!$E$63)*1000*C236^2*sezione!$AD$5*(1-sezione!$AD$6)</f>
        <v>-536735440.56015849</v>
      </c>
      <c r="E236" s="553">
        <f>-'Foglio deposito bis'!$F$48*(C236-sezione!$AL$27)*IF(ABS(K236)&lt;'Progetto del paramento slu'!$G$58,ABS(K236)*'Progetto del paramento slu'!$G$54,'Progetto del paramento slu'!$G$53)</f>
        <v>0</v>
      </c>
      <c r="F236" s="553">
        <f>-'Foglio deposito bis'!$F$49*(C236-sezione!$AM$27)*IF(ABS(L236)&lt;'Progetto del paramento slu'!$G$58,ABS(L236)*'Progetto del paramento slu'!$G$54,'Progetto del paramento slu'!$G$53)</f>
        <v>-16407211.719112845</v>
      </c>
      <c r="G236" s="553">
        <f>-'Foglio deposito bis'!$F$50*(C236-sezione!$AN$27)*IF(ABS(M236)&lt;'Progetto del paramento slu'!$G$58,ABS(M236)*'Progetto del paramento slu'!$G$54,'Progetto del paramento slu'!$G$53)</f>
        <v>0</v>
      </c>
      <c r="H236" s="553">
        <f>-'Foglio deposito bis'!$F$51*(C236-sezione!$AO$27)*IF(ABS(N236)&lt;'Progetto del paramento slu'!$G$58,ABS(N236)*'Progetto del paramento slu'!$G$54,'Progetto del paramento slu'!$G$53)</f>
        <v>12460008.836321492</v>
      </c>
      <c r="I236" s="479">
        <f>-'Foglio deposito bis'!$F$52*(C236-sezione!$AP$27)*IF(ABS(O236)&lt;'Progetto del paramento slu'!$G$58,ABS(O236)*'Progetto del paramento slu'!$G$54,'Progetto del paramento slu'!$G$53)</f>
        <v>37674.001900757401</v>
      </c>
      <c r="J236" s="479">
        <f t="shared" si="18"/>
        <v>-540644969.4410491</v>
      </c>
      <c r="K236" s="558">
        <f>'Progetto del paramento slu'!$G$60*(sezione!$AL$27-C236)/C236</f>
        <v>-2.9517223105458399E-3</v>
      </c>
      <c r="L236" s="558">
        <f>'Progetto del paramento slu'!$G$60*(sezione!$AM$27-C236)/C236</f>
        <v>-1.4439586645468995E-3</v>
      </c>
      <c r="M236" s="559">
        <f>'Progetto del paramento slu'!$G$60*(sezione!$AN$27-C236)/C236</f>
        <v>6.380498145204076E-5</v>
      </c>
      <c r="N236" s="559">
        <f>'Progetto del paramento slu'!$G$60*(sezione!$AO$27-C236)/C236</f>
        <v>1.1603603603603609E-3</v>
      </c>
      <c r="O236" s="559">
        <f>'Progetto del paramento slu'!$G$60*(sezione!$AP$27-C236)/C236</f>
        <v>6.380498145204076E-5</v>
      </c>
      <c r="P236" s="553">
        <f>-'Progetto del paramento slu'!$G$47*'Progetto del paramento slu'!$G$41*IF(DATI!$G$218="dx",DATI!$E$61,DATI!$E$64*DATI!$E$63)*1000*C236*sezione!$AD$5</f>
        <v>-3599315.8903924217</v>
      </c>
      <c r="Q236" s="553">
        <f>'Foglio deposito bis'!$F$48*IF(ABS(K236)&lt;'Progetto del paramento slu'!$G$58,ABS(K236)*'Progetto del paramento slu'!$G$54,'Progetto del paramento slu'!$G$53)*IF(K236&lt;0,-1,1)</f>
        <v>0</v>
      </c>
      <c r="R236" s="553">
        <f>'Foglio deposito bis'!$F$49*IF(ABS(L236)&lt;'Progetto del paramento slu'!$G$58,ABS(L236)*'Progetto del paramento slu'!$G$54,'Progetto del paramento slu'!$G$53)*IF(L236&lt;0,-1,1)</f>
        <v>-155747.32768689012</v>
      </c>
      <c r="S236" s="553">
        <f>'Foglio deposito bis'!$F$50*IF(ABS(M236)&lt;'Progetto del paramento slu'!$G$58,ABS(M236)*'Progetto del paramento slu'!$G$54,'Progetto del paramento slu'!$G$53)*IF(M236&lt;0,-1,1)</f>
        <v>0</v>
      </c>
      <c r="T236" s="553">
        <f>'Foglio deposito bis'!$F$51*IF(ABS(N236)&lt;'Progetto del paramento slu'!$G$58,ABS(N236)*'Progetto del paramento slu'!$G$54,'Progetto del paramento slu'!$G$53)*IF(N236&lt;0,-1,1)</f>
        <v>147185.84606843957</v>
      </c>
      <c r="U236" s="553">
        <f>'Foglio deposito bis'!$F$52*IF(ABS(O236)&lt;'Progetto del paramento slu'!$G$58,ABS(O236)*'Progetto del paramento slu'!$G$54,'Progetto del paramento slu'!$G$53)*IF(O236&lt;0,-1,1)</f>
        <v>8093.3393618196242</v>
      </c>
      <c r="V236" s="479">
        <f t="shared" si="21"/>
        <v>-3599784.0326490528</v>
      </c>
      <c r="W236" s="559"/>
      <c r="X236" s="559"/>
    </row>
    <row r="237" spans="1:24" x14ac:dyDescent="0.25">
      <c r="A237" s="553">
        <f t="shared" si="19"/>
        <v>3676802.8105576234</v>
      </c>
      <c r="B237" s="3">
        <f t="shared" si="20"/>
        <v>63.899999999999942</v>
      </c>
      <c r="C237" s="553">
        <f>'Foglio deposito bis'!$E$153/$B$247*B237</f>
        <v>259.40460081190793</v>
      </c>
      <c r="D237" s="611">
        <f>-'Progetto del paramento slu'!$G$47*'Progetto del paramento slu'!$G$41*IF(DATI!$G$218="dx",DATI!$E$61,DATI!$E$64*DATI!$E$63)*1000*C237^2*sezione!$AD$5*(1-sezione!$AD$6)</f>
        <v>-553937412.51529658</v>
      </c>
      <c r="E237" s="553">
        <f>-'Foglio deposito bis'!$F$48*(C237-sezione!$AL$27)*IF(ABS(K237)&lt;'Progetto del paramento slu'!$G$58,ABS(K237)*'Progetto del paramento slu'!$G$54,'Progetto del paramento slu'!$G$53)</f>
        <v>0</v>
      </c>
      <c r="F237" s="553">
        <f>-'Foglio deposito bis'!$F$49*(C237-sezione!$AM$27)*IF(ABS(L237)&lt;'Progetto del paramento slu'!$G$58,ABS(L237)*'Progetto del paramento slu'!$G$54,'Progetto del paramento slu'!$G$53)</f>
        <v>-17419167.056978527</v>
      </c>
      <c r="G237" s="553">
        <f>-'Foglio deposito bis'!$F$50*(C237-sezione!$AN$27)*IF(ABS(M237)&lt;'Progetto del paramento slu'!$G$58,ABS(M237)*'Progetto del paramento slu'!$G$54,'Progetto del paramento slu'!$G$53)</f>
        <v>0</v>
      </c>
      <c r="H237" s="553">
        <f>-'Foglio deposito bis'!$F$51*(C237-sezione!$AO$27)*IF(ABS(N237)&lt;'Progetto del paramento slu'!$G$58,ABS(N237)*'Progetto del paramento slu'!$G$54,'Progetto del paramento slu'!$G$53)</f>
        <v>11116908.616001638</v>
      </c>
      <c r="I237" s="479">
        <f>-'Foglio deposito bis'!$F$52*(C237-sezione!$AP$27)*IF(ABS(O237)&lt;'Progetto del paramento slu'!$G$58,ABS(O237)*'Progetto del paramento slu'!$G$54,'Progetto del paramento slu'!$G$53)</f>
        <v>606.7084036173294</v>
      </c>
      <c r="J237" s="479">
        <f t="shared" si="18"/>
        <v>-560239064.24786997</v>
      </c>
      <c r="K237" s="558">
        <f>'Progetto del paramento slu'!$G$60*(sezione!$AL$27-C237)/C237</f>
        <v>-2.960302556077204E-3</v>
      </c>
      <c r="L237" s="558">
        <f>'Progetto del paramento slu'!$G$60*(sezione!$AM$27-C237)/C237</f>
        <v>-1.4761345852895146E-3</v>
      </c>
      <c r="M237" s="559">
        <f>'Progetto del paramento slu'!$G$60*(sezione!$AN$27-C237)/C237</f>
        <v>8.033385498175012E-6</v>
      </c>
      <c r="N237" s="559">
        <f>'Progetto del paramento slu'!$G$60*(sezione!$AO$27-C237)/C237</f>
        <v>1.0874282733437674E-3</v>
      </c>
      <c r="O237" s="559">
        <f>'Progetto del paramento slu'!$G$60*(sezione!$AP$27-C237)/C237</f>
        <v>8.033385498175012E-6</v>
      </c>
      <c r="P237" s="553">
        <f>-'Progetto del paramento slu'!$G$47*'Progetto del paramento slu'!$G$41*IF(DATI!$G$218="dx",DATI!$E$61,DATI!$E$64*DATI!$E$63)*1000*C237*sezione!$AD$5</f>
        <v>-3656538.7185385646</v>
      </c>
      <c r="Q237" s="553">
        <f>'Foglio deposito bis'!$F$48*IF(ABS(K237)&lt;'Progetto del paramento slu'!$G$58,ABS(K237)*'Progetto del paramento slu'!$G$54,'Progetto del paramento slu'!$G$53)*IF(K237&lt;0,-1,1)</f>
        <v>0</v>
      </c>
      <c r="R237" s="553">
        <f>'Foglio deposito bis'!$F$49*IF(ABS(L237)&lt;'Progetto del paramento slu'!$G$58,ABS(L237)*'Progetto del paramento slu'!$G$54,'Progetto del paramento slu'!$G$53)*IF(L237&lt;0,-1,1)</f>
        <v>-159217.86586403387</v>
      </c>
      <c r="S237" s="553">
        <f>'Foglio deposito bis'!$F$50*IF(ABS(M237)&lt;'Progetto del paramento slu'!$G$58,ABS(M237)*'Progetto del paramento slu'!$G$54,'Progetto del paramento slu'!$G$53)*IF(M237&lt;0,-1,1)</f>
        <v>0</v>
      </c>
      <c r="T237" s="553">
        <f>'Foglio deposito bis'!$F$51*IF(ABS(N237)&lt;'Progetto del paramento slu'!$G$58,ABS(N237)*'Progetto del paramento slu'!$G$54,'Progetto del paramento slu'!$G$53)*IF(N237&lt;0,-1,1)</f>
        <v>137934.77950344534</v>
      </c>
      <c r="U237" s="553">
        <f>'Foglio deposito bis'!$F$52*IF(ABS(O237)&lt;'Progetto del paramento slu'!$G$58,ABS(O237)*'Progetto del paramento slu'!$G$54,'Progetto del paramento slu'!$G$53)*IF(O237&lt;0,-1,1)</f>
        <v>1018.9943415299159</v>
      </c>
      <c r="V237" s="479">
        <f t="shared" si="21"/>
        <v>-3676802.8105576234</v>
      </c>
      <c r="W237" s="559"/>
      <c r="X237" s="559"/>
    </row>
    <row r="238" spans="1:24" x14ac:dyDescent="0.25">
      <c r="A238" s="553">
        <f t="shared" si="19"/>
        <v>3753211.5437893877</v>
      </c>
      <c r="B238" s="3">
        <f t="shared" si="20"/>
        <v>64.899999999999949</v>
      </c>
      <c r="C238" s="553">
        <f>'Foglio deposito bis'!$E$153/$B$247*B238</f>
        <v>263.46414073071719</v>
      </c>
      <c r="D238" s="611">
        <f>-'Progetto del paramento slu'!$G$47*'Progetto del paramento slu'!$G$41*IF(DATI!$G$218="dx",DATI!$E$61,DATI!$E$64*DATI!$E$63)*1000*C238^2*sezione!$AD$5*(1-sezione!$AD$6)</f>
        <v>-571410708.94922268</v>
      </c>
      <c r="E238" s="553">
        <f>-'Foglio deposito bis'!$F$48*(C238-sezione!$AL$27)*IF(ABS(K238)&lt;'Progetto del paramento slu'!$G$58,ABS(K238)*'Progetto del paramento slu'!$G$54,'Progetto del paramento slu'!$G$53)</f>
        <v>0</v>
      </c>
      <c r="F238" s="553">
        <f>-'Foglio deposito bis'!$F$49*(C238-sezione!$AM$27)*IF(ABS(L238)&lt;'Progetto del paramento slu'!$G$58,ABS(L238)*'Progetto del paramento slu'!$G$54,'Progetto del paramento slu'!$G$53)</f>
        <v>-18447164.944199279</v>
      </c>
      <c r="G238" s="553">
        <f>-'Foglio deposito bis'!$F$50*(C238-sezione!$AN$27)*IF(ABS(M238)&lt;'Progetto del paramento slu'!$G$58,ABS(M238)*'Progetto del paramento slu'!$G$54,'Progetto del paramento slu'!$G$53)</f>
        <v>0</v>
      </c>
      <c r="H238" s="553">
        <f>-'Foglio deposito bis'!$F$51*(C238-sezione!$AO$27)*IF(ABS(N238)&lt;'Progetto del paramento slu'!$G$58,ABS(N238)*'Progetto del paramento slu'!$G$54,'Progetto del paramento slu'!$G$53)</f>
        <v>9870737.906686319</v>
      </c>
      <c r="I238" s="479">
        <f>-'Foglio deposito bis'!$F$52*(C238-sezione!$AP$27)*IF(ABS(O238)&lt;'Progetto del paramento slu'!$G$58,ABS(O238)*'Progetto del paramento slu'!$G$54,'Progetto del paramento slu'!$G$53)</f>
        <v>-20221.378089076541</v>
      </c>
      <c r="J238" s="479">
        <f t="shared" si="18"/>
        <v>-580007357.36482477</v>
      </c>
      <c r="K238" s="558">
        <f>'Progetto del paramento slu'!$G$60*(sezione!$AL$27-C238)/C238</f>
        <v>-2.9686183872624549E-3</v>
      </c>
      <c r="L238" s="558">
        <f>'Progetto del paramento slu'!$G$60*(sezione!$AM$27-C238)/C238</f>
        <v>-1.5073189522342067E-3</v>
      </c>
      <c r="M238" s="559">
        <f>'Progetto del paramento slu'!$G$60*(sezione!$AN$27-C238)/C238</f>
        <v>-4.6019517205957954E-5</v>
      </c>
      <c r="N238" s="559">
        <f>'Progetto del paramento slu'!$G$60*(sezione!$AO$27-C238)/C238</f>
        <v>1.016743708269132E-3</v>
      </c>
      <c r="O238" s="559">
        <f>'Progetto del paramento slu'!$G$60*(sezione!$AP$27-C238)/C238</f>
        <v>-4.6019517205957954E-5</v>
      </c>
      <c r="P238" s="553">
        <f>-'Progetto del paramento slu'!$G$47*'Progetto del paramento slu'!$G$41*IF(DATI!$G$218="dx",DATI!$E$61,DATI!$E$64*DATI!$E$63)*1000*C238*sezione!$AD$5</f>
        <v>-3713761.5466847094</v>
      </c>
      <c r="Q238" s="553">
        <f>'Foglio deposito bis'!$F$48*IF(ABS(K238)&lt;'Progetto del paramento slu'!$G$58,ABS(K238)*'Progetto del paramento slu'!$G$54,'Progetto del paramento slu'!$G$53)*IF(K238&lt;0,-1,1)</f>
        <v>0</v>
      </c>
      <c r="R238" s="553">
        <f>'Foglio deposito bis'!$F$49*IF(ABS(L238)&lt;'Progetto del paramento slu'!$G$58,ABS(L238)*'Progetto del paramento slu'!$G$54,'Progetto del paramento slu'!$G$53)*IF(L238&lt;0,-1,1)</f>
        <v>-162581.45371214394</v>
      </c>
      <c r="S238" s="553">
        <f>'Foglio deposito bis'!$F$50*IF(ABS(M238)&lt;'Progetto del paramento slu'!$G$58,ABS(M238)*'Progetto del paramento slu'!$G$54,'Progetto del paramento slu'!$G$53)*IF(M238&lt;0,-1,1)</f>
        <v>0</v>
      </c>
      <c r="T238" s="553">
        <f>'Foglio deposito bis'!$F$51*IF(ABS(N238)&lt;'Progetto del paramento slu'!$G$58,ABS(N238)*'Progetto del paramento slu'!$G$54,'Progetto del paramento slu'!$G$53)*IF(N238&lt;0,-1,1)</f>
        <v>128968.79973552316</v>
      </c>
      <c r="U238" s="553">
        <f>'Foglio deposito bis'!$F$52*IF(ABS(O238)&lt;'Progetto del paramento slu'!$G$58,ABS(O238)*'Progetto del paramento slu'!$G$54,'Progetto del paramento slu'!$G$53)*IF(O238&lt;0,-1,1)</f>
        <v>-5837.3431280576342</v>
      </c>
      <c r="V238" s="479">
        <f t="shared" si="21"/>
        <v>-3753211.5437893877</v>
      </c>
      <c r="W238" s="559"/>
      <c r="X238" s="559"/>
    </row>
    <row r="239" spans="1:24" x14ac:dyDescent="0.25">
      <c r="A239" s="553">
        <f t="shared" si="19"/>
        <v>3829038.0037256842</v>
      </c>
      <c r="B239" s="3">
        <f t="shared" si="20"/>
        <v>65.899999999999949</v>
      </c>
      <c r="C239" s="553">
        <f>'Foglio deposito bis'!$E$153/$B$247*B239</f>
        <v>267.5236806495264</v>
      </c>
      <c r="D239" s="611">
        <f>-'Progetto del paramento slu'!$G$47*'Progetto del paramento slu'!$G$41*IF(DATI!$G$218="dx",DATI!$E$61,DATI!$E$64*DATI!$E$63)*1000*C239^2*sezione!$AD$5*(1-sezione!$AD$6)</f>
        <v>-589155329.86193621</v>
      </c>
      <c r="E239" s="553">
        <f>-'Foglio deposito bis'!$F$48*(C239-sezione!$AL$27)*IF(ABS(K239)&lt;'Progetto del paramento slu'!$G$58,ABS(K239)*'Progetto del paramento slu'!$G$54,'Progetto del paramento slu'!$G$53)</f>
        <v>0</v>
      </c>
      <c r="F239" s="553">
        <f>-'Foglio deposito bis'!$F$49*(C239-sezione!$AM$27)*IF(ABS(L239)&lt;'Progetto del paramento slu'!$G$58,ABS(L239)*'Progetto del paramento slu'!$G$54,'Progetto del paramento slu'!$G$53)</f>
        <v>-19490475.06745087</v>
      </c>
      <c r="G239" s="553">
        <f>-'Foglio deposito bis'!$F$50*(C239-sezione!$AN$27)*IF(ABS(M239)&lt;'Progetto del paramento slu'!$G$58,ABS(M239)*'Progetto del paramento slu'!$G$54,'Progetto del paramento slu'!$G$53)</f>
        <v>0</v>
      </c>
      <c r="H239" s="553">
        <f>-'Foglio deposito bis'!$F$51*(C239-sezione!$AO$27)*IF(ABS(N239)&lt;'Progetto del paramento slu'!$G$58,ABS(N239)*'Progetto del paramento slu'!$G$54,'Progetto del paramento slu'!$G$53)</f>
        <v>8717084.1357957069</v>
      </c>
      <c r="I239" s="479">
        <f>-'Foglio deposito bis'!$F$52*(C239-sezione!$AP$27)*IF(ABS(O239)&lt;'Progetto del paramento slu'!$G$58,ABS(O239)*'Progetto del paramento slu'!$G$54,'Progetto del paramento slu'!$G$53)</f>
        <v>-93937.648445028739</v>
      </c>
      <c r="J239" s="479">
        <f t="shared" si="18"/>
        <v>-600022658.44203639</v>
      </c>
      <c r="K239" s="558">
        <f>'Progetto del paramento slu'!$G$60*(sezione!$AL$27-C239)/C239</f>
        <v>-2.9766818411734951E-3</v>
      </c>
      <c r="L239" s="558">
        <f>'Progetto del paramento slu'!$G$60*(sezione!$AM$27-C239)/C239</f>
        <v>-1.5375569044006072E-3</v>
      </c>
      <c r="M239" s="559">
        <f>'Progetto del paramento slu'!$G$60*(sezione!$AN$27-C239)/C239</f>
        <v>-9.8431967627718897E-5</v>
      </c>
      <c r="N239" s="559">
        <f>'Progetto del paramento slu'!$G$60*(sezione!$AO$27-C239)/C239</f>
        <v>9.4820435002529067E-4</v>
      </c>
      <c r="O239" s="559">
        <f>'Progetto del paramento slu'!$G$60*(sezione!$AP$27-C239)/C239</f>
        <v>-9.8431967627718897E-5</v>
      </c>
      <c r="P239" s="553">
        <f>-'Progetto del paramento slu'!$G$47*'Progetto del paramento slu'!$G$41*IF(DATI!$G$218="dx",DATI!$E$61,DATI!$E$64*DATI!$E$63)*1000*C239*sezione!$AD$5</f>
        <v>-3770984.3748308527</v>
      </c>
      <c r="Q239" s="553">
        <f>'Foglio deposito bis'!$F$48*IF(ABS(K239)&lt;'Progetto del paramento slu'!$G$58,ABS(K239)*'Progetto del paramento slu'!$G$54,'Progetto del paramento slu'!$G$53)*IF(K239&lt;0,-1,1)</f>
        <v>0</v>
      </c>
      <c r="R239" s="553">
        <f>'Foglio deposito bis'!$F$49*IF(ABS(L239)&lt;'Progetto del paramento slu'!$G$58,ABS(L239)*'Progetto del paramento slu'!$G$54,'Progetto del paramento slu'!$G$53)*IF(L239&lt;0,-1,1)</f>
        <v>-165842.95998671491</v>
      </c>
      <c r="S239" s="553">
        <f>'Foglio deposito bis'!$F$50*IF(ABS(M239)&lt;'Progetto del paramento slu'!$G$58,ABS(M239)*'Progetto del paramento slu'!$G$54,'Progetto del paramento slu'!$G$53)*IF(M239&lt;0,-1,1)</f>
        <v>0</v>
      </c>
      <c r="T239" s="553">
        <f>'Foglio deposito bis'!$F$51*IF(ABS(N239)&lt;'Progetto del paramento slu'!$G$58,ABS(N239)*'Progetto del paramento slu'!$G$54,'Progetto del paramento slu'!$G$53)*IF(N239&lt;0,-1,1)</f>
        <v>120274.92861002666</v>
      </c>
      <c r="U239" s="553">
        <f>'Foglio deposito bis'!$F$52*IF(ABS(O239)&lt;'Progetto del paramento slu'!$G$58,ABS(O239)*'Progetto del paramento slu'!$G$54,'Progetto del paramento slu'!$G$53)*IF(O239&lt;0,-1,1)</f>
        <v>-12485.59751814319</v>
      </c>
      <c r="V239" s="479">
        <f t="shared" si="21"/>
        <v>-3829038.0037256842</v>
      </c>
      <c r="W239" s="559"/>
      <c r="X239" s="559"/>
    </row>
    <row r="240" spans="1:24" x14ac:dyDescent="0.25">
      <c r="A240" s="553">
        <f t="shared" si="19"/>
        <v>3904308.3012766247</v>
      </c>
      <c r="B240" s="3">
        <f t="shared" si="20"/>
        <v>66.899999999999949</v>
      </c>
      <c r="C240" s="553">
        <f>'Foglio deposito bis'!$E$153/$B$247*B240</f>
        <v>271.58322056833561</v>
      </c>
      <c r="D240" s="611">
        <f>-'Progetto del paramento slu'!$G$47*'Progetto del paramento slu'!$G$41*IF(DATI!$G$218="dx",DATI!$E$61,DATI!$E$64*DATI!$E$63)*1000*C240^2*sezione!$AD$5*(1-sezione!$AD$6)</f>
        <v>-607171275.25343752</v>
      </c>
      <c r="E240" s="553">
        <f>-'Foglio deposito bis'!$F$48*(C240-sezione!$AL$27)*IF(ABS(K240)&lt;'Progetto del paramento slu'!$G$58,ABS(K240)*'Progetto del paramento slu'!$G$54,'Progetto del paramento slu'!$G$53)</f>
        <v>0</v>
      </c>
      <c r="F240" s="553">
        <f>-'Foglio deposito bis'!$F$49*(C240-sezione!$AM$27)*IF(ABS(L240)&lt;'Progetto del paramento slu'!$G$58,ABS(L240)*'Progetto del paramento slu'!$G$54,'Progetto del paramento slu'!$G$53)</f>
        <v>-20548410.779377665</v>
      </c>
      <c r="G240" s="553">
        <f>-'Foglio deposito bis'!$F$50*(C240-sezione!$AN$27)*IF(ABS(M240)&lt;'Progetto del paramento slu'!$G$58,ABS(M240)*'Progetto del paramento slu'!$G$54,'Progetto del paramento slu'!$G$53)</f>
        <v>0</v>
      </c>
      <c r="H240" s="553">
        <f>-'Foglio deposito bis'!$F$51*(C240-sezione!$AO$27)*IF(ABS(N240)&lt;'Progetto del paramento slu'!$G$58,ABS(N240)*'Progetto del paramento slu'!$G$54,'Progetto del paramento slu'!$G$53)</f>
        <v>7651798.5616963878</v>
      </c>
      <c r="I240" s="479">
        <f>-'Foglio deposito bis'!$F$52*(C240-sezione!$AP$27)*IF(ABS(O240)&lt;'Progetto del paramento slu'!$G$58,ABS(O240)*'Progetto del paramento slu'!$G$54,'Progetto del paramento slu'!$G$53)</f>
        <v>-219329.43872391805</v>
      </c>
      <c r="J240" s="479">
        <f t="shared" si="18"/>
        <v>-620287216.90984273</v>
      </c>
      <c r="K240" s="558">
        <f>'Progetto del paramento slu'!$G$60*(sezione!$AL$27-C240)/C240</f>
        <v>-2.9845042351768808E-3</v>
      </c>
      <c r="L240" s="558">
        <f>'Progetto del paramento slu'!$G$60*(sezione!$AM$27-C240)/C240</f>
        <v>-1.5668908819133037E-3</v>
      </c>
      <c r="M240" s="559">
        <f>'Progetto del paramento slu'!$G$60*(sezione!$AN$27-C240)/C240</f>
        <v>-1.4927752864972617E-4</v>
      </c>
      <c r="N240" s="559">
        <f>'Progetto del paramento slu'!$G$60*(sezione!$AO$27-C240)/C240</f>
        <v>8.8171400099651192E-4</v>
      </c>
      <c r="O240" s="559">
        <f>'Progetto del paramento slu'!$G$60*(sezione!$AP$27-C240)/C240</f>
        <v>-1.4927752864972617E-4</v>
      </c>
      <c r="P240" s="553">
        <f>-'Progetto del paramento slu'!$G$47*'Progetto del paramento slu'!$G$41*IF(DATI!$G$218="dx",DATI!$E$61,DATI!$E$64*DATI!$E$63)*1000*C240*sezione!$AD$5</f>
        <v>-3828207.2029769961</v>
      </c>
      <c r="Q240" s="553">
        <f>'Foglio deposito bis'!$F$48*IF(ABS(K240)&lt;'Progetto del paramento slu'!$G$58,ABS(K240)*'Progetto del paramento slu'!$G$54,'Progetto del paramento slu'!$G$53)*IF(K240&lt;0,-1,1)</f>
        <v>0</v>
      </c>
      <c r="R240" s="553">
        <f>'Foglio deposito bis'!$F$49*IF(ABS(L240)&lt;'Progetto del paramento slu'!$G$58,ABS(L240)*'Progetto del paramento slu'!$G$54,'Progetto del paramento slu'!$G$53)*IF(L240&lt;0,-1,1)</f>
        <v>-169006.96233678455</v>
      </c>
      <c r="S240" s="553">
        <f>'Foglio deposito bis'!$F$50*IF(ABS(M240)&lt;'Progetto del paramento slu'!$G$58,ABS(M240)*'Progetto del paramento slu'!$G$54,'Progetto del paramento slu'!$G$53)*IF(M240&lt;0,-1,1)</f>
        <v>0</v>
      </c>
      <c r="T240" s="553">
        <f>'Foglio deposito bis'!$F$51*IF(ABS(N240)&lt;'Progetto del paramento slu'!$G$58,ABS(N240)*'Progetto del paramento slu'!$G$54,'Progetto del paramento slu'!$G$53)*IF(N240&lt;0,-1,1)</f>
        <v>111840.96394568101</v>
      </c>
      <c r="U240" s="553">
        <f>'Foglio deposito bis'!$F$52*IF(ABS(O240)&lt;'Progetto del paramento slu'!$G$58,ABS(O240)*'Progetto del paramento slu'!$G$54,'Progetto del paramento slu'!$G$53)*IF(O240&lt;0,-1,1)</f>
        <v>-18935.099908525142</v>
      </c>
      <c r="V240" s="479">
        <f t="shared" si="21"/>
        <v>-3904308.3012766247</v>
      </c>
      <c r="W240" s="559"/>
      <c r="X240" s="559"/>
    </row>
    <row r="241" spans="1:24" x14ac:dyDescent="0.25">
      <c r="A241" s="553">
        <f t="shared" si="19"/>
        <v>3979047.0091543756</v>
      </c>
      <c r="B241" s="3">
        <f t="shared" si="20"/>
        <v>67.899999999999949</v>
      </c>
      <c r="C241" s="553">
        <f>'Foglio deposito bis'!$E$153/$B$247*B241</f>
        <v>275.64276048714481</v>
      </c>
      <c r="D241" s="611">
        <f>-'Progetto del paramento slu'!$G$47*'Progetto del paramento slu'!$G$41*IF(DATI!$G$218="dx",DATI!$E$61,DATI!$E$64*DATI!$E$63)*1000*C241^2*sezione!$AD$5*(1-sezione!$AD$6)</f>
        <v>-625458545.12372625</v>
      </c>
      <c r="E241" s="553">
        <f>-'Foglio deposito bis'!$F$48*(C241-sezione!$AL$27)*IF(ABS(K241)&lt;'Progetto del paramento slu'!$G$58,ABS(K241)*'Progetto del paramento slu'!$G$54,'Progetto del paramento slu'!$G$53)</f>
        <v>0</v>
      </c>
      <c r="F241" s="553">
        <f>-'Foglio deposito bis'!$F$49*(C241-sezione!$AM$27)*IF(ABS(L241)&lt;'Progetto del paramento slu'!$G$58,ABS(L241)*'Progetto del paramento slu'!$G$54,'Progetto del paramento slu'!$G$53)</f>
        <v>-21620325.883130983</v>
      </c>
      <c r="G241" s="553">
        <f>-'Foglio deposito bis'!$F$50*(C241-sezione!$AN$27)*IF(ABS(M241)&lt;'Progetto del paramento slu'!$G$58,ABS(M241)*'Progetto del paramento slu'!$G$54,'Progetto del paramento slu'!$G$53)</f>
        <v>0</v>
      </c>
      <c r="H241" s="553">
        <f>-'Foglio deposito bis'!$F$51*(C241-sezione!$AO$27)*IF(ABS(N241)&lt;'Progetto del paramento slu'!$G$58,ABS(N241)*'Progetto del paramento slu'!$G$54,'Progetto del paramento slu'!$G$53)</f>
        <v>6670976.8457967034</v>
      </c>
      <c r="I241" s="479">
        <f>-'Foglio deposito bis'!$F$52*(C241-sezione!$AP$27)*IF(ABS(O241)&lt;'Progetto del paramento slu'!$G$58,ABS(O241)*'Progetto del paramento slu'!$G$54,'Progetto del paramento slu'!$G$53)</f>
        <v>-394113.58898805949</v>
      </c>
      <c r="J241" s="479">
        <f t="shared" si="18"/>
        <v>-640802007.75004864</v>
      </c>
      <c r="K241" s="558">
        <f>'Progetto del paramento slu'!$G$60*(sezione!$AL$27-C241)/C241</f>
        <v>-2.9920962199312716E-3</v>
      </c>
      <c r="L241" s="558">
        <f>'Progetto del paramento slu'!$G$60*(sezione!$AM$27-C241)/C241</f>
        <v>-1.5953608247422683E-3</v>
      </c>
      <c r="M241" s="559">
        <f>'Progetto del paramento slu'!$G$60*(sezione!$AN$27-C241)/C241</f>
        <v>-1.9862542955326486E-4</v>
      </c>
      <c r="N241" s="559">
        <f>'Progetto del paramento slu'!$G$60*(sezione!$AO$27-C241)/C241</f>
        <v>8.1718213058419207E-4</v>
      </c>
      <c r="O241" s="559">
        <f>'Progetto del paramento slu'!$G$60*(sezione!$AP$27-C241)/C241</f>
        <v>-1.9862542955326486E-4</v>
      </c>
      <c r="P241" s="553">
        <f>-'Progetto del paramento slu'!$G$47*'Progetto del paramento slu'!$G$41*IF(DATI!$G$218="dx",DATI!$E$61,DATI!$E$64*DATI!$E$63)*1000*C241*sezione!$AD$5</f>
        <v>-3885430.0311231394</v>
      </c>
      <c r="Q241" s="553">
        <f>'Foglio deposito bis'!$F$48*IF(ABS(K241)&lt;'Progetto del paramento slu'!$G$58,ABS(K241)*'Progetto del paramento slu'!$G$54,'Progetto del paramento slu'!$G$53)*IF(K241&lt;0,-1,1)</f>
        <v>0</v>
      </c>
      <c r="R241" s="553">
        <f>'Foglio deposito bis'!$F$49*IF(ABS(L241)&lt;'Progetto del paramento slu'!$G$58,ABS(L241)*'Progetto del paramento slu'!$G$54,'Progetto del paramento slu'!$G$53)*IF(L241&lt;0,-1,1)</f>
        <v>-172077.76874134404</v>
      </c>
      <c r="S241" s="553">
        <f>'Foglio deposito bis'!$F$50*IF(ABS(M241)&lt;'Progetto del paramento slu'!$G$58,ABS(M241)*'Progetto del paramento slu'!$G$54,'Progetto del paramento slu'!$G$53)*IF(M241&lt;0,-1,1)</f>
        <v>0</v>
      </c>
      <c r="T241" s="553">
        <f>'Foglio deposito bis'!$F$51*IF(ABS(N241)&lt;'Progetto del paramento slu'!$G$58,ABS(N241)*'Progetto del paramento slu'!$G$54,'Progetto del paramento slu'!$G$53)*IF(N241&lt;0,-1,1)</f>
        <v>103655.42239368724</v>
      </c>
      <c r="U241" s="553">
        <f>'Foglio deposito bis'!$F$52*IF(ABS(O241)&lt;'Progetto del paramento slu'!$G$58,ABS(O241)*'Progetto del paramento slu'!$G$54,'Progetto del paramento slu'!$G$53)*IF(O241&lt;0,-1,1)</f>
        <v>-25194.631683579199</v>
      </c>
      <c r="V241" s="479">
        <f t="shared" si="21"/>
        <v>-3979047.0091543756</v>
      </c>
      <c r="W241" s="559"/>
      <c r="X241" s="559"/>
    </row>
    <row r="242" spans="1:24" x14ac:dyDescent="0.25">
      <c r="A242" s="553">
        <f t="shared" si="19"/>
        <v>4053277.2734985533</v>
      </c>
      <c r="B242" s="3">
        <f t="shared" si="20"/>
        <v>68.899999999999949</v>
      </c>
      <c r="C242" s="553">
        <f>'Foglio deposito bis'!$E$153/$B$247*B242</f>
        <v>279.70230040595402</v>
      </c>
      <c r="D242" s="611">
        <f>-'Progetto del paramento slu'!$G$47*'Progetto del paramento slu'!$G$41*IF(DATI!$G$218="dx",DATI!$E$61,DATI!$E$64*DATI!$E$63)*1000*C242^2*sezione!$AD$5*(1-sezione!$AD$6)</f>
        <v>-644017139.47280276</v>
      </c>
      <c r="E242" s="553">
        <f>-'Foglio deposito bis'!$F$48*(C242-sezione!$AL$27)*IF(ABS(K242)&lt;'Progetto del paramento slu'!$G$58,ABS(K242)*'Progetto del paramento slu'!$G$54,'Progetto del paramento slu'!$G$53)</f>
        <v>0</v>
      </c>
      <c r="F242" s="553">
        <f>-'Foglio deposito bis'!$F$49*(C242-sezione!$AM$27)*IF(ABS(L242)&lt;'Progetto del paramento slu'!$G$58,ABS(L242)*'Progetto del paramento slu'!$G$54,'Progetto del paramento slu'!$G$53)</f>
        <v>-22705611.696918666</v>
      </c>
      <c r="G242" s="553">
        <f>-'Foglio deposito bis'!$F$50*(C242-sezione!$AN$27)*IF(ABS(M242)&lt;'Progetto del paramento slu'!$G$58,ABS(M242)*'Progetto del paramento slu'!$G$54,'Progetto del paramento slu'!$G$53)</f>
        <v>0</v>
      </c>
      <c r="H242" s="553">
        <f>-'Foglio deposito bis'!$F$51*(C242-sezione!$AO$27)*IF(ABS(N242)&lt;'Progetto del paramento slu'!$G$58,ABS(N242)*'Progetto del paramento slu'!$G$54,'Progetto del paramento slu'!$G$53)</f>
        <v>5770941.3164769281</v>
      </c>
      <c r="I242" s="479">
        <f>-'Foglio deposito bis'!$F$52*(C242-sezione!$AP$27)*IF(ABS(O242)&lt;'Progetto del paramento slu'!$G$58,ABS(O242)*'Progetto del paramento slu'!$G$54,'Progetto del paramento slu'!$G$53)</f>
        <v>-616139.48849789193</v>
      </c>
      <c r="J242" s="479">
        <f t="shared" si="18"/>
        <v>-661567949.34174228</v>
      </c>
      <c r="K242" s="558">
        <f>'Progetto del paramento slu'!$G$60*(sezione!$AL$27-C242)/C242</f>
        <v>-2.9994678277697148E-3</v>
      </c>
      <c r="L242" s="558">
        <f>'Progetto del paramento slu'!$G$60*(sezione!$AM$27-C242)/C242</f>
        <v>-1.6230043541364298E-3</v>
      </c>
      <c r="M242" s="559">
        <f>'Progetto del paramento slu'!$G$60*(sezione!$AN$27-C242)/C242</f>
        <v>-2.4654088050314496E-4</v>
      </c>
      <c r="N242" s="559">
        <f>'Progetto del paramento slu'!$G$60*(sezione!$AO$27-C242)/C242</f>
        <v>7.5452346395742586E-4</v>
      </c>
      <c r="O242" s="559">
        <f>'Progetto del paramento slu'!$G$60*(sezione!$AP$27-C242)/C242</f>
        <v>-2.4654088050314496E-4</v>
      </c>
      <c r="P242" s="553">
        <f>-'Progetto del paramento slu'!$G$47*'Progetto del paramento slu'!$G$41*IF(DATI!$G$218="dx",DATI!$E$61,DATI!$E$64*DATI!$E$63)*1000*C242*sezione!$AD$5</f>
        <v>-3942652.8592692832</v>
      </c>
      <c r="Q242" s="553">
        <f>'Foglio deposito bis'!$F$48*IF(ABS(K242)&lt;'Progetto del paramento slu'!$G$58,ABS(K242)*'Progetto del paramento slu'!$G$54,'Progetto del paramento slu'!$G$53)*IF(K242&lt;0,-1,1)</f>
        <v>0</v>
      </c>
      <c r="R242" s="553">
        <f>'Foglio deposito bis'!$F$49*IF(ABS(L242)&lt;'Progetto del paramento slu'!$G$58,ABS(L242)*'Progetto del paramento slu'!$G$54,'Progetto del paramento slu'!$G$53)*IF(L242&lt;0,-1,1)</f>
        <v>-175059.43707900774</v>
      </c>
      <c r="S242" s="553">
        <f>'Foglio deposito bis'!$F$50*IF(ABS(M242)&lt;'Progetto del paramento slu'!$G$58,ABS(M242)*'Progetto del paramento slu'!$G$54,'Progetto del paramento slu'!$G$53)*IF(M242&lt;0,-1,1)</f>
        <v>0</v>
      </c>
      <c r="T242" s="553">
        <f>'Foglio deposito bis'!$F$51*IF(ABS(N242)&lt;'Progetto del paramento slu'!$G$58,ABS(N242)*'Progetto del paramento slu'!$G$54,'Progetto del paramento slu'!$G$53)*IF(N242&lt;0,-1,1)</f>
        <v>95707.48727281086</v>
      </c>
      <c r="U242" s="553">
        <f>'Foglio deposito bis'!$F$52*IF(ABS(O242)&lt;'Progetto del paramento slu'!$G$58,ABS(O242)*'Progetto del paramento slu'!$G$54,'Progetto del paramento slu'!$G$53)*IF(O242&lt;0,-1,1)</f>
        <v>-31272.464423072906</v>
      </c>
      <c r="V242" s="479">
        <f t="shared" si="21"/>
        <v>-4053277.2734985533</v>
      </c>
      <c r="W242" s="559"/>
      <c r="X242" s="559"/>
    </row>
    <row r="243" spans="1:24" x14ac:dyDescent="0.25">
      <c r="A243" s="553">
        <f t="shared" si="19"/>
        <v>4127020.9159200401</v>
      </c>
      <c r="B243" s="3">
        <f t="shared" si="20"/>
        <v>69.899999999999949</v>
      </c>
      <c r="C243" s="553">
        <f>'Foglio deposito bis'!$E$153/$B$247*B243</f>
        <v>283.76184032476323</v>
      </c>
      <c r="D243" s="611">
        <f>-'Progetto del paramento slu'!$G$47*'Progetto del paramento slu'!$G$41*IF(DATI!$G$218="dx",DATI!$E$61,DATI!$E$64*DATI!$E$63)*1000*C243^2*sezione!$AD$5*(1-sezione!$AD$6)</f>
        <v>-662847058.30066705</v>
      </c>
      <c r="E243" s="553">
        <f>-'Foglio deposito bis'!$F$48*(C243-sezione!$AL$27)*IF(ABS(K243)&lt;'Progetto del paramento slu'!$G$58,ABS(K243)*'Progetto del paramento slu'!$G$54,'Progetto del paramento slu'!$G$53)</f>
        <v>0</v>
      </c>
      <c r="F243" s="553">
        <f>-'Foglio deposito bis'!$F$49*(C243-sezione!$AM$27)*IF(ABS(L243)&lt;'Progetto del paramento slu'!$G$58,ABS(L243)*'Progetto del paramento slu'!$G$54,'Progetto del paramento slu'!$G$53)</f>
        <v>-23803694.370524656</v>
      </c>
      <c r="G243" s="553">
        <f>-'Foglio deposito bis'!$F$50*(C243-sezione!$AN$27)*IF(ABS(M243)&lt;'Progetto del paramento slu'!$G$58,ABS(M243)*'Progetto del paramento slu'!$G$54,'Progetto del paramento slu'!$G$53)</f>
        <v>0</v>
      </c>
      <c r="H243" s="553">
        <f>-'Foglio deposito bis'!$F$51*(C243-sezione!$AO$27)*IF(ABS(N243)&lt;'Progetto del paramento slu'!$G$58,ABS(N243)*'Progetto del paramento slu'!$G$54,'Progetto del paramento slu'!$G$53)</f>
        <v>4948224.7554289121</v>
      </c>
      <c r="I243" s="479">
        <f>-'Foglio deposito bis'!$F$52*(C243-sezione!$AP$27)*IF(ABS(O243)&lt;'Progetto del paramento slu'!$G$58,ABS(O243)*'Progetto del paramento slu'!$G$54,'Progetto del paramento slu'!$G$53)</f>
        <v>-883379.5943673345</v>
      </c>
      <c r="J243" s="479">
        <f t="shared" si="18"/>
        <v>-682585907.51013017</v>
      </c>
      <c r="K243" s="558">
        <f>'Progetto del paramento slu'!$G$60*(sezione!$AL$27-C243)/C243</f>
        <v>-3.0066285169289462E-3</v>
      </c>
      <c r="L243" s="558">
        <f>'Progetto del paramento slu'!$G$60*(sezione!$AM$27-C243)/C243</f>
        <v>-1.6498569384835484E-3</v>
      </c>
      <c r="M243" s="559">
        <f>'Progetto del paramento slu'!$G$60*(sezione!$AN$27-C243)/C243</f>
        <v>-2.9308536003815012E-4</v>
      </c>
      <c r="N243" s="559">
        <f>'Progetto del paramento slu'!$G$60*(sezione!$AO$27-C243)/C243</f>
        <v>6.9365760610395758E-4</v>
      </c>
      <c r="O243" s="559">
        <f>'Progetto del paramento slu'!$G$60*(sezione!$AP$27-C243)/C243</f>
        <v>-2.9308536003815012E-4</v>
      </c>
      <c r="P243" s="553">
        <f>-'Progetto del paramento slu'!$G$47*'Progetto del paramento slu'!$G$41*IF(DATI!$G$218="dx",DATI!$E$61,DATI!$E$64*DATI!$E$63)*1000*C243*sezione!$AD$5</f>
        <v>-3999875.6874154271</v>
      </c>
      <c r="Q243" s="553">
        <f>'Foglio deposito bis'!$F$48*IF(ABS(K243)&lt;'Progetto del paramento slu'!$G$58,ABS(K243)*'Progetto del paramento slu'!$G$54,'Progetto del paramento slu'!$G$53)*IF(K243&lt;0,-1,1)</f>
        <v>0</v>
      </c>
      <c r="R243" s="553">
        <f>'Foglio deposito bis'!$F$49*IF(ABS(L243)&lt;'Progetto del paramento slu'!$G$58,ABS(L243)*'Progetto del paramento slu'!$G$54,'Progetto del paramento slu'!$G$53)*IF(L243&lt;0,-1,1)</f>
        <v>-177955.79301788282</v>
      </c>
      <c r="S243" s="553">
        <f>'Foglio deposito bis'!$F$50*IF(ABS(M243)&lt;'Progetto del paramento slu'!$G$58,ABS(M243)*'Progetto del paramento slu'!$G$54,'Progetto del paramento slu'!$G$53)*IF(M243&lt;0,-1,1)</f>
        <v>0</v>
      </c>
      <c r="T243" s="553">
        <f>'Foglio deposito bis'!$F$51*IF(ABS(N243)&lt;'Progetto del paramento slu'!$G$58,ABS(N243)*'Progetto del paramento slu'!$G$54,'Progetto del paramento slu'!$G$53)*IF(N243&lt;0,-1,1)</f>
        <v>87986.960882145533</v>
      </c>
      <c r="U243" s="553">
        <f>'Foglio deposito bis'!$F$52*IF(ABS(O243)&lt;'Progetto del paramento slu'!$G$58,ABS(O243)*'Progetto del paramento slu'!$G$54,'Progetto del paramento slu'!$G$53)*IF(O243&lt;0,-1,1)</f>
        <v>-37176.396368875809</v>
      </c>
      <c r="V243" s="479">
        <f t="shared" si="21"/>
        <v>-4127020.9159200401</v>
      </c>
      <c r="W243" s="559"/>
      <c r="X243" s="559"/>
    </row>
    <row r="244" spans="1:24" x14ac:dyDescent="0.25">
      <c r="A244" s="553">
        <f t="shared" si="19"/>
        <v>4200298.5269092172</v>
      </c>
      <c r="B244" s="3">
        <f t="shared" si="20"/>
        <v>70.899999999999949</v>
      </c>
      <c r="C244" s="553">
        <f>'Foglio deposito bis'!$E$153/$B$247*B244</f>
        <v>287.82138024357243</v>
      </c>
      <c r="D244" s="611">
        <f>-'Progetto del paramento slu'!$G$47*'Progetto del paramento slu'!$G$41*IF(DATI!$G$218="dx",DATI!$E$61,DATI!$E$64*DATI!$E$63)*1000*C244^2*sezione!$AD$5*(1-sezione!$AD$6)</f>
        <v>-681948301.60731888</v>
      </c>
      <c r="E244" s="553">
        <f>-'Foglio deposito bis'!$F$48*(C244-sezione!$AL$27)*IF(ABS(K244)&lt;'Progetto del paramento slu'!$G$58,ABS(K244)*'Progetto del paramento slu'!$G$54,'Progetto del paramento slu'!$G$53)</f>
        <v>0</v>
      </c>
      <c r="F244" s="553">
        <f>-'Foglio deposito bis'!$F$49*(C244-sezione!$AM$27)*IF(ABS(L244)&lt;'Progetto del paramento slu'!$G$58,ABS(L244)*'Progetto del paramento slu'!$G$54,'Progetto del paramento slu'!$G$53)</f>
        <v>-24914032.428921364</v>
      </c>
      <c r="G244" s="553">
        <f>-'Foglio deposito bis'!$F$50*(C244-sezione!$AN$27)*IF(ABS(M244)&lt;'Progetto del paramento slu'!$G$58,ABS(M244)*'Progetto del paramento slu'!$G$54,'Progetto del paramento slu'!$G$53)</f>
        <v>0</v>
      </c>
      <c r="H244" s="553">
        <f>-'Foglio deposito bis'!$F$51*(C244-sezione!$AO$27)*IF(ABS(N244)&lt;'Progetto del paramento slu'!$G$58,ABS(N244)*'Progetto del paramento slu'!$G$54,'Progetto del paramento slu'!$G$53)</f>
        <v>4199555.556096727</v>
      </c>
      <c r="I244" s="479">
        <f>-'Foglio deposito bis'!$F$52*(C244-sezione!$AP$27)*IF(ABS(O244)&lt;'Progetto del paramento slu'!$G$58,ABS(O244)*'Progetto del paramento slu'!$G$54,'Progetto del paramento slu'!$G$53)</f>
        <v>-1193920.7525896332</v>
      </c>
      <c r="J244" s="479">
        <f t="shared" si="18"/>
        <v>-703856699.23273313</v>
      </c>
      <c r="K244" s="558">
        <f>'Progetto del paramento slu'!$G$60*(sezione!$AL$27-C244)/C244</f>
        <v>-3.0135872120357313E-3</v>
      </c>
      <c r="L244" s="558">
        <f>'Progetto del paramento slu'!$G$60*(sezione!$AM$27-C244)/C244</f>
        <v>-1.6759520451339919E-3</v>
      </c>
      <c r="M244" s="559">
        <f>'Progetto del paramento slu'!$G$60*(sezione!$AN$27-C244)/C244</f>
        <v>-3.3831687823225246E-4</v>
      </c>
      <c r="N244" s="559">
        <f>'Progetto del paramento slu'!$G$60*(sezione!$AO$27-C244)/C244</f>
        <v>6.3450869769628528E-4</v>
      </c>
      <c r="O244" s="559">
        <f>'Progetto del paramento slu'!$G$60*(sezione!$AP$27-C244)/C244</f>
        <v>-3.3831687823225246E-4</v>
      </c>
      <c r="P244" s="553">
        <f>-'Progetto del paramento slu'!$G$47*'Progetto del paramento slu'!$G$41*IF(DATI!$G$218="dx",DATI!$E$61,DATI!$E$64*DATI!$E$63)*1000*C244*sezione!$AD$5</f>
        <v>-4057098.5155615699</v>
      </c>
      <c r="Q244" s="553">
        <f>'Foglio deposito bis'!$F$48*IF(ABS(K244)&lt;'Progetto del paramento slu'!$G$58,ABS(K244)*'Progetto del paramento slu'!$G$54,'Progetto del paramento slu'!$G$53)*IF(K244&lt;0,-1,1)</f>
        <v>0</v>
      </c>
      <c r="R244" s="553">
        <f>'Foglio deposito bis'!$F$49*IF(ABS(L244)&lt;'Progetto del paramento slu'!$G$58,ABS(L244)*'Progetto del paramento slu'!$G$54,'Progetto del paramento slu'!$G$53)*IF(L244&lt;0,-1,1)</f>
        <v>-180770.44639148633</v>
      </c>
      <c r="S244" s="553">
        <f>'Foglio deposito bis'!$F$50*IF(ABS(M244)&lt;'Progetto del paramento slu'!$G$58,ABS(M244)*'Progetto del paramento slu'!$G$54,'Progetto del paramento slu'!$G$53)*IF(M244&lt;0,-1,1)</f>
        <v>0</v>
      </c>
      <c r="T244" s="553">
        <f>'Foglio deposito bis'!$F$51*IF(ABS(N244)&lt;'Progetto del paramento slu'!$G$58,ABS(N244)*'Progetto del paramento slu'!$G$54,'Progetto del paramento slu'!$G$53)*IF(N244&lt;0,-1,1)</f>
        <v>80484.220849467936</v>
      </c>
      <c r="U244" s="553">
        <f>'Foglio deposito bis'!$F$52*IF(ABS(O244)&lt;'Progetto del paramento slu'!$G$58,ABS(O244)*'Progetto del paramento slu'!$G$54,'Progetto del paramento slu'!$G$53)*IF(O244&lt;0,-1,1)</f>
        <v>-42913.785805629268</v>
      </c>
      <c r="V244" s="479">
        <f t="shared" si="21"/>
        <v>-4200298.5269092172</v>
      </c>
      <c r="W244" s="559"/>
      <c r="X244" s="559"/>
    </row>
    <row r="245" spans="1:24" x14ac:dyDescent="0.25">
      <c r="A245" s="553">
        <f t="shared" si="19"/>
        <v>4273129.5514493538</v>
      </c>
      <c r="B245" s="3">
        <f t="shared" si="20"/>
        <v>71.899999999999949</v>
      </c>
      <c r="C245" s="553">
        <f>'Foglio deposito bis'!$E$153/$B$247*B245</f>
        <v>291.88092016238159</v>
      </c>
      <c r="D245" s="611">
        <f>-'Progetto del paramento slu'!$G$47*'Progetto del paramento slu'!$G$41*IF(DATI!$G$218="dx",DATI!$E$61,DATI!$E$64*DATI!$E$63)*1000*C245^2*sezione!$AD$5*(1-sezione!$AD$6)</f>
        <v>-701320869.39275801</v>
      </c>
      <c r="E245" s="553">
        <f>-'Foglio deposito bis'!$F$48*(C245-sezione!$AL$27)*IF(ABS(K245)&lt;'Progetto del paramento slu'!$G$58,ABS(K245)*'Progetto del paramento slu'!$G$54,'Progetto del paramento slu'!$G$53)</f>
        <v>0</v>
      </c>
      <c r="F245" s="553">
        <f>-'Foglio deposito bis'!$F$49*(C245-sezione!$AM$27)*IF(ABS(L245)&lt;'Progetto del paramento slu'!$G$58,ABS(L245)*'Progetto del paramento slu'!$G$54,'Progetto del paramento slu'!$G$53)</f>
        <v>-26036114.520865779</v>
      </c>
      <c r="G245" s="553">
        <f>-'Foglio deposito bis'!$F$50*(C245-sezione!$AN$27)*IF(ABS(M245)&lt;'Progetto del paramento slu'!$G$58,ABS(M245)*'Progetto del paramento slu'!$G$54,'Progetto del paramento slu'!$G$53)</f>
        <v>0</v>
      </c>
      <c r="H245" s="553">
        <f>-'Foglio deposito bis'!$F$51*(C245-sezione!$AO$27)*IF(ABS(N245)&lt;'Progetto del paramento slu'!$G$58,ABS(N245)*'Progetto del paramento slu'!$G$54,'Progetto del paramento slu'!$G$53)</f>
        <v>3521844.1206341027</v>
      </c>
      <c r="I245" s="479">
        <f>-'Foglio deposito bis'!$F$52*(C245-sezione!$AP$27)*IF(ABS(O245)&lt;'Progetto del paramento slu'!$G$58,ABS(O245)*'Progetto del paramento slu'!$G$54,'Progetto del paramento slu'!$G$53)</f>
        <v>-1545956.2433169587</v>
      </c>
      <c r="J245" s="479">
        <f t="shared" si="18"/>
        <v>-725381096.03630674</v>
      </c>
      <c r="K245" s="558">
        <f>'Progetto del paramento slu'!$G$60*(sezione!$AL$27-C245)/C245</f>
        <v>-3.0203523412146503E-3</v>
      </c>
      <c r="L245" s="558">
        <f>'Progetto del paramento slu'!$G$60*(sezione!$AM$27-C245)/C245</f>
        <v>-1.7013212795549374E-3</v>
      </c>
      <c r="M245" s="559">
        <f>'Progetto del paramento slu'!$G$60*(sezione!$AN$27-C245)/C245</f>
        <v>-3.8229021789522473E-4</v>
      </c>
      <c r="N245" s="559">
        <f>'Progetto del paramento slu'!$G$60*(sezione!$AO$27-C245)/C245</f>
        <v>5.7700509967547535E-4</v>
      </c>
      <c r="O245" s="559">
        <f>'Progetto del paramento slu'!$G$60*(sezione!$AP$27-C245)/C245</f>
        <v>-3.8229021789522473E-4</v>
      </c>
      <c r="P245" s="553">
        <f>-'Progetto del paramento slu'!$G$47*'Progetto del paramento slu'!$G$41*IF(DATI!$G$218="dx",DATI!$E$61,DATI!$E$64*DATI!$E$63)*1000*C245*sezione!$AD$5</f>
        <v>-4114321.3437077128</v>
      </c>
      <c r="Q245" s="553">
        <f>'Foglio deposito bis'!$F$48*IF(ABS(K245)&lt;'Progetto del paramento slu'!$G$58,ABS(K245)*'Progetto del paramento slu'!$G$54,'Progetto del paramento slu'!$G$53)*IF(K245&lt;0,-1,1)</f>
        <v>0</v>
      </c>
      <c r="R245" s="553">
        <f>'Foglio deposito bis'!$F$49*IF(ABS(L245)&lt;'Progetto del paramento slu'!$G$58,ABS(L245)*'Progetto del paramento slu'!$G$54,'Progetto del paramento slu'!$G$53)*IF(L245&lt;0,-1,1)</f>
        <v>-183506.80620810503</v>
      </c>
      <c r="S245" s="553">
        <f>'Foglio deposito bis'!$F$50*IF(ABS(M245)&lt;'Progetto del paramento slu'!$G$58,ABS(M245)*'Progetto del paramento slu'!$G$54,'Progetto del paramento slu'!$G$53)*IF(M245&lt;0,-1,1)</f>
        <v>0</v>
      </c>
      <c r="T245" s="553">
        <f>'Foglio deposito bis'!$F$51*IF(ABS(N245)&lt;'Progetto del paramento slu'!$G$58,ABS(N245)*'Progetto del paramento slu'!$G$54,'Progetto del paramento slu'!$G$53)*IF(N245&lt;0,-1,1)</f>
        <v>73190.180122289123</v>
      </c>
      <c r="U245" s="553">
        <f>'Foglio deposito bis'!$F$52*IF(ABS(O245)&lt;'Progetto del paramento slu'!$G$58,ABS(O245)*'Progetto del paramento slu'!$G$54,'Progetto del paramento slu'!$G$53)*IF(O245&lt;0,-1,1)</f>
        <v>-48491.581655824826</v>
      </c>
      <c r="V245" s="479">
        <f t="shared" si="21"/>
        <v>-4273129.5514493538</v>
      </c>
      <c r="W245" s="559"/>
      <c r="X245" s="559"/>
    </row>
    <row r="246" spans="1:24" x14ac:dyDescent="0.25">
      <c r="A246" s="553">
        <f t="shared" si="19"/>
        <v>4345532.3675836194</v>
      </c>
      <c r="B246" s="3">
        <f t="shared" si="20"/>
        <v>72.899999999999949</v>
      </c>
      <c r="C246" s="553">
        <f>'Foglio deposito bis'!$E$153/$B$247*B246</f>
        <v>295.94046008119079</v>
      </c>
      <c r="D246" s="611">
        <f>-'Progetto del paramento slu'!$G$47*'Progetto del paramento slu'!$G$41*IF(DATI!$G$218="dx",DATI!$E$61,DATI!$E$64*DATI!$E$63)*1000*C246^2*sezione!$AD$5*(1-sezione!$AD$6)</f>
        <v>-720964761.65698528</v>
      </c>
      <c r="E246" s="553">
        <f>-'Foglio deposito bis'!$F$48*(C246-sezione!$AL$27)*IF(ABS(K246)&lt;'Progetto del paramento slu'!$G$58,ABS(K246)*'Progetto del paramento slu'!$G$54,'Progetto del paramento slu'!$G$53)</f>
        <v>0</v>
      </c>
      <c r="F246" s="553">
        <f>-'Foglio deposito bis'!$F$49*(C246-sezione!$AM$27)*IF(ABS(L246)&lt;'Progetto del paramento slu'!$G$58,ABS(L246)*'Progetto del paramento slu'!$G$54,'Progetto del paramento slu'!$G$53)</f>
        <v>-27169457.352796298</v>
      </c>
      <c r="G246" s="553">
        <f>-'Foglio deposito bis'!$F$50*(C246-sezione!$AN$27)*IF(ABS(M246)&lt;'Progetto del paramento slu'!$G$58,ABS(M246)*'Progetto del paramento slu'!$G$54,'Progetto del paramento slu'!$G$53)</f>
        <v>0</v>
      </c>
      <c r="H246" s="553">
        <f>-'Foglio deposito bis'!$F$51*(C246-sezione!$AO$27)*IF(ABS(N246)&lt;'Progetto del paramento slu'!$G$58,ABS(N246)*'Progetto del paramento slu'!$G$54,'Progetto del paramento slu'!$G$53)</f>
        <v>2912170.3764537964</v>
      </c>
      <c r="I246" s="479">
        <f>-'Foglio deposito bis'!$F$52*(C246-sezione!$AP$27)*IF(ABS(O246)&lt;'Progetto del paramento slu'!$G$58,ABS(O246)*'Progetto del paramento slu'!$G$54,'Progetto del paramento slu'!$G$53)</f>
        <v>-1937778.4808495252</v>
      </c>
      <c r="J246" s="479">
        <f t="shared" si="18"/>
        <v>-747159827.11417735</v>
      </c>
      <c r="K246" s="558">
        <f>'Progetto del paramento slu'!$G$60*(sezione!$AL$27-C246)/C246</f>
        <v>-3.0269318701417465E-3</v>
      </c>
      <c r="L246" s="558">
        <f>'Progetto del paramento slu'!$G$60*(sezione!$AM$27-C246)/C246</f>
        <v>-1.72599451303155E-3</v>
      </c>
      <c r="M246" s="559">
        <f>'Progetto del paramento slu'!$G$60*(sezione!$AN$27-C246)/C246</f>
        <v>-4.2505715592135336E-4</v>
      </c>
      <c r="N246" s="559">
        <f>'Progetto del paramento slu'!$G$60*(sezione!$AO$27-C246)/C246</f>
        <v>5.2107910379515327E-4</v>
      </c>
      <c r="O246" s="559">
        <f>'Progetto del paramento slu'!$G$60*(sezione!$AP$27-C246)/C246</f>
        <v>-4.2505715592135336E-4</v>
      </c>
      <c r="P246" s="553">
        <f>-'Progetto del paramento slu'!$G$47*'Progetto del paramento slu'!$G$41*IF(DATI!$G$218="dx",DATI!$E$61,DATI!$E$64*DATI!$E$63)*1000*C246*sezione!$AD$5</f>
        <v>-4171544.1718538566</v>
      </c>
      <c r="Q246" s="553">
        <f>'Foglio deposito bis'!$F$48*IF(ABS(K246)&lt;'Progetto del paramento slu'!$G$58,ABS(K246)*'Progetto del paramento slu'!$G$54,'Progetto del paramento slu'!$G$53)*IF(K246&lt;0,-1,1)</f>
        <v>0</v>
      </c>
      <c r="R246" s="553">
        <f>'Foglio deposito bis'!$F$49*IF(ABS(L246)&lt;'Progetto del paramento slu'!$G$58,ABS(L246)*'Progetto del paramento slu'!$G$54,'Progetto del paramento slu'!$G$53)*IF(L246&lt;0,-1,1)</f>
        <v>-186168.09442481655</v>
      </c>
      <c r="S246" s="553">
        <f>'Foglio deposito bis'!$F$50*IF(ABS(M246)&lt;'Progetto del paramento slu'!$G$58,ABS(M246)*'Progetto del paramento slu'!$G$54,'Progetto del paramento slu'!$G$53)*IF(M246&lt;0,-1,1)</f>
        <v>0</v>
      </c>
      <c r="T246" s="553">
        <f>'Foglio deposito bis'!$F$51*IF(ABS(N246)&lt;'Progetto del paramento slu'!$G$58,ABS(N246)*'Progetto del paramento slu'!$G$54,'Progetto del paramento slu'!$G$53)*IF(N246&lt;0,-1,1)</f>
        <v>66096.250251822945</v>
      </c>
      <c r="U246" s="553">
        <f>'Foglio deposito bis'!$F$52*IF(ABS(O246)&lt;'Progetto del paramento slu'!$G$58,ABS(O246)*'Progetto del paramento slu'!$G$54,'Progetto del paramento slu'!$G$53)*IF(O246&lt;0,-1,1)</f>
        <v>-53916.351556769558</v>
      </c>
      <c r="V246" s="479">
        <f t="shared" si="21"/>
        <v>-4345532.3675836194</v>
      </c>
      <c r="W246" s="559"/>
      <c r="X246" s="559"/>
    </row>
    <row r="247" spans="1:24" x14ac:dyDescent="0.25">
      <c r="A247" s="553">
        <f t="shared" si="19"/>
        <v>4417524.3586031869</v>
      </c>
      <c r="B247" s="3">
        <f t="shared" si="20"/>
        <v>73.899999999999949</v>
      </c>
      <c r="C247" s="553">
        <f>'Foglio deposito bis'!$E$153/$B$247*B247</f>
        <v>300</v>
      </c>
      <c r="D247" s="32">
        <f>-'Progetto del paramento slu'!$G$47*'Progetto del paramento slu'!$G$41*IF(DATI!$G$218="dx",DATI!$E$61,DATI!$E$64*DATI!$E$63)*1000*C247^2*sezione!$AD$5*(1-sezione!$AD$6)</f>
        <v>-740879978.4000001</v>
      </c>
      <c r="E247" s="553">
        <f>-'Foglio deposito bis'!$F$48*(C247-sezione!$AL$27)*IF(ABS(K247)&lt;'Progetto del paramento slu'!$G$58,ABS(K247)*'Progetto del paramento slu'!$G$54,'Progetto del paramento slu'!$G$53)</f>
        <v>0</v>
      </c>
      <c r="F247" s="553">
        <f>-'Foglio deposito bis'!$F$49*(C247-sezione!$AM$27)*IF(ABS(L247)&lt;'Progetto del paramento slu'!$G$58,ABS(L247)*'Progetto del paramento slu'!$G$54,'Progetto del paramento slu'!$G$53)</f>
        <v>-28313603.79047801</v>
      </c>
      <c r="G247" s="553">
        <f>-'Foglio deposito bis'!$F$50*(C247-sezione!$AN$27)*IF(ABS(M247)&lt;'Progetto del paramento slu'!$G$58,ABS(M247)*'Progetto del paramento slu'!$G$54,'Progetto del paramento slu'!$G$53)</f>
        <v>0</v>
      </c>
      <c r="H247" s="553">
        <f>-'Foglio deposito bis'!$F$51*(C247-sezione!$AO$27)*IF(ABS(N247)&lt;'Progetto del paramento slu'!$G$58,ABS(N247)*'Progetto del paramento slu'!$G$54,'Progetto del paramento slu'!$G$53)</f>
        <v>2367772.3063183748</v>
      </c>
      <c r="I247" s="479">
        <f>-'Foglio deposito bis'!$F$52*(C247-sezione!$AP$27)*IF(ABS(O247)&lt;'Progetto del paramento slu'!$G$58,ABS(O247)*'Progetto del paramento slu'!$G$54,'Progetto del paramento slu'!$G$53)</f>
        <v>-2367772.3063183748</v>
      </c>
      <c r="J247" s="479">
        <f t="shared" si="18"/>
        <v>-769193582.19047809</v>
      </c>
      <c r="K247" s="558">
        <f>'Progetto del paramento slu'!$G$60*(sezione!$AL$27-C247)/C247</f>
        <v>-3.0333333333333336E-3</v>
      </c>
      <c r="L247" s="558">
        <f>'Progetto del paramento slu'!$G$60*(sezione!$AM$27-C247)/C247</f>
        <v>-1.75E-3</v>
      </c>
      <c r="M247" s="559">
        <f>'Progetto del paramento slu'!$G$60*(sezione!$AN$27-C247)/C247</f>
        <v>-4.6666666666666672E-4</v>
      </c>
      <c r="N247" s="559">
        <f>'Progetto del paramento slu'!$G$60*(sezione!$AO$27-C247)/C247</f>
        <v>4.6666666666666672E-4</v>
      </c>
      <c r="O247" s="559">
        <f>'Progetto del paramento slu'!$G$60*(sezione!$AP$27-C247)/C247</f>
        <v>-4.6666666666666672E-4</v>
      </c>
      <c r="P247" s="553">
        <f>-'Progetto del paramento slu'!$G$47*'Progetto del paramento slu'!$G$41*IF(DATI!$G$218="dx",DATI!$E$61,DATI!$E$64*DATI!$E$63)*1000*C247*sezione!$AD$5</f>
        <v>-4228767</v>
      </c>
      <c r="Q247" s="553">
        <f>'Foglio deposito bis'!$F$48*IF(ABS(K247)&lt;'Progetto del paramento slu'!$G$58,ABS(K247)*'Progetto del paramento slu'!$G$54,'Progetto del paramento slu'!$G$53)*IF(K247&lt;0,-1,1)</f>
        <v>0</v>
      </c>
      <c r="R247" s="553">
        <f>'Foglio deposito bis'!$F$49*IF(ABS(L247)&lt;'Progetto del paramento slu'!$G$58,ABS(L247)*'Progetto del paramento slu'!$G$54,'Progetto del paramento slu'!$G$53)*IF(L247&lt;0,-1,1)</f>
        <v>-188757.35860318673</v>
      </c>
      <c r="S247" s="553">
        <f>'Foglio deposito bis'!$F$50*IF(ABS(M247)&lt;'Progetto del paramento slu'!$G$58,ABS(M247)*'Progetto del paramento slu'!$G$54,'Progetto del paramento slu'!$G$53)*IF(M247&lt;0,-1,1)</f>
        <v>0</v>
      </c>
      <c r="T247" s="553">
        <f>'Foglio deposito bis'!$F$51*IF(ABS(N247)&lt;'Progetto del paramento slu'!$G$58,ABS(N247)*'Progetto del paramento slu'!$G$54,'Progetto del paramento slu'!$G$53)*IF(N247&lt;0,-1,1)</f>
        <v>59194.307657959362</v>
      </c>
      <c r="U247" s="553">
        <f>'Foglio deposito bis'!$F$52*IF(ABS(O247)&lt;'Progetto del paramento slu'!$G$58,ABS(O247)*'Progetto del paramento slu'!$G$54,'Progetto del paramento slu'!$G$53)*IF(O247&lt;0,-1,1)</f>
        <v>-59194.307657959362</v>
      </c>
      <c r="V247" s="479">
        <f t="shared" si="21"/>
        <v>-4417524.3586031869</v>
      </c>
      <c r="W247" s="559"/>
      <c r="X247" s="559"/>
    </row>
    <row r="250" spans="1:24" ht="15.75" x14ac:dyDescent="0.25">
      <c r="A250" s="1035" t="s">
        <v>945</v>
      </c>
      <c r="B250" s="1036"/>
      <c r="C250" s="1036"/>
      <c r="D250" s="1036"/>
      <c r="E250" s="1036"/>
      <c r="F250" s="1036"/>
      <c r="G250" s="1036"/>
      <c r="H250" s="1036"/>
      <c r="I250" s="1036"/>
      <c r="J250" s="1036"/>
      <c r="K250" s="1036"/>
      <c r="L250" s="1036"/>
      <c r="M250" s="1036"/>
      <c r="N250" s="1036"/>
      <c r="O250" s="1037"/>
      <c r="P250" s="613"/>
      <c r="Q250" s="613"/>
      <c r="R250" s="613"/>
      <c r="S250" s="613"/>
      <c r="T250" s="613"/>
      <c r="U250" s="613"/>
      <c r="V250" s="613"/>
      <c r="W250" s="613"/>
      <c r="X250" s="613"/>
    </row>
    <row r="251" spans="1:24" x14ac:dyDescent="0.25">
      <c r="A251" s="529">
        <v>1</v>
      </c>
      <c r="B251" s="529">
        <v>2</v>
      </c>
      <c r="C251" s="529">
        <v>3</v>
      </c>
      <c r="D251" s="529">
        <v>4</v>
      </c>
      <c r="E251" s="529">
        <v>5</v>
      </c>
      <c r="F251" s="529">
        <v>6</v>
      </c>
      <c r="G251" s="529">
        <v>7</v>
      </c>
      <c r="H251" s="529">
        <v>8</v>
      </c>
      <c r="I251" s="529">
        <v>9</v>
      </c>
      <c r="J251" s="529">
        <v>10</v>
      </c>
      <c r="K251" s="529">
        <v>11</v>
      </c>
      <c r="L251" s="529">
        <v>12</v>
      </c>
      <c r="M251" s="529">
        <v>13</v>
      </c>
      <c r="N251" s="529">
        <v>14</v>
      </c>
      <c r="O251" s="529">
        <v>15</v>
      </c>
      <c r="P251" s="606">
        <v>4</v>
      </c>
      <c r="Q251" s="606">
        <v>5</v>
      </c>
      <c r="R251" s="606">
        <v>6</v>
      </c>
      <c r="S251" s="606">
        <v>7</v>
      </c>
      <c r="T251" s="606">
        <v>8</v>
      </c>
      <c r="U251" s="606">
        <v>9</v>
      </c>
      <c r="V251" s="606">
        <v>10</v>
      </c>
      <c r="W251" s="47"/>
      <c r="X251" s="47"/>
    </row>
    <row r="252" spans="1:24" x14ac:dyDescent="0.25">
      <c r="A252" s="438" t="s">
        <v>929</v>
      </c>
      <c r="B252" s="83" t="s">
        <v>917</v>
      </c>
      <c r="C252" s="529" t="s">
        <v>134</v>
      </c>
      <c r="D252" s="529" t="s">
        <v>911</v>
      </c>
      <c r="E252" s="529" t="s">
        <v>912</v>
      </c>
      <c r="F252" s="529" t="s">
        <v>913</v>
      </c>
      <c r="G252" s="529" t="s">
        <v>914</v>
      </c>
      <c r="H252" s="529" t="s">
        <v>915</v>
      </c>
      <c r="I252" s="529" t="s">
        <v>916</v>
      </c>
      <c r="J252" s="560" t="s">
        <v>910</v>
      </c>
      <c r="K252" s="438" t="s">
        <v>923</v>
      </c>
      <c r="L252" s="438" t="s">
        <v>924</v>
      </c>
      <c r="M252" s="438" t="s">
        <v>925</v>
      </c>
      <c r="N252" s="438" t="s">
        <v>926</v>
      </c>
      <c r="O252" s="438" t="s">
        <v>927</v>
      </c>
      <c r="P252" s="606" t="s">
        <v>293</v>
      </c>
      <c r="Q252" s="606" t="s">
        <v>968</v>
      </c>
      <c r="R252" s="606" t="s">
        <v>969</v>
      </c>
      <c r="S252" s="606" t="s">
        <v>970</v>
      </c>
      <c r="T252" s="606" t="s">
        <v>971</v>
      </c>
      <c r="U252" s="606" t="s">
        <v>972</v>
      </c>
      <c r="V252" s="607" t="s">
        <v>1021</v>
      </c>
      <c r="W252" s="58"/>
      <c r="X252" s="58"/>
    </row>
    <row r="253" spans="1:24" x14ac:dyDescent="0.25">
      <c r="A253" s="553">
        <f>ABS(V253)</f>
        <v>686638.5133717166</v>
      </c>
      <c r="B253" s="3">
        <v>0</v>
      </c>
      <c r="C253" s="42">
        <v>0.01</v>
      </c>
      <c r="D253" s="611">
        <f>-'Progetto del paramento slu'!$G$47*'Progetto del paramento slu'!$G$41*IF(DATI!$G$218="dx",DATI!$E$61,DATI!$E$64*DATI!$E$63)*1000*C253^2*sezione!$AD$5*(1-sezione!$AD$6)</f>
        <v>-0.82319997600000006</v>
      </c>
      <c r="E253" s="553">
        <f>-'Foglio deposito bis'!$F$48*(C253-sezione!$AL$28)*IF(ABS(K253)&lt;'Progetto del paramento slu'!$G$58,ABS(K253)*'Progetto del paramento slu'!$G$54,'Progetto del paramento slu'!$G$53)</f>
        <v>0</v>
      </c>
      <c r="F253" s="553">
        <f>-'Foglio deposito bis'!$F$49*(C253-sezione!$AM$28)*IF(ABS(L253)&lt;'Progetto del paramento slu'!$G$58,ABS(L253)*'Progetto del paramento slu'!$G$54,'Progetto del paramento slu'!$G$53)</f>
        <v>30730922.746430419</v>
      </c>
      <c r="G253" s="553">
        <f>-'Foglio deposito bis'!$F$50*(C253-sezione!$AN$28)*IF(ABS(M253)&lt;'Progetto del paramento slu'!$G$58,ABS(M253)*'Progetto del paramento slu'!$G$54,'Progetto del paramento slu'!$G$53)</f>
        <v>0</v>
      </c>
      <c r="H253" s="553">
        <f>-'Foglio deposito bis'!$F$51*(C253-sezione!$AO$28)*IF(ABS(N253)&lt;'Progetto del paramento slu'!$G$58,ABS(N253)*'Progetto del paramento slu'!$G$54,'Progetto del paramento slu'!$G$53)</f>
        <v>81919399.66185239</v>
      </c>
      <c r="I253" s="479">
        <f>-'Foglio deposito bis'!$F$52*(C253-sezione!$AP$28)*IF(ABS(O253)&lt;'Progetto del paramento slu'!$G$58,ABS(O253)*'Progetto del paramento slu'!$G$54,'Progetto del paramento slu'!$G$53)</f>
        <v>62643917.338612504</v>
      </c>
      <c r="J253" s="479">
        <f t="shared" ref="J253:J316" si="22">D253+E253+F253+G253+H253+I253</f>
        <v>175294238.92369533</v>
      </c>
      <c r="K253" s="558">
        <f>'Progetto del paramento slu'!$G$60*(sezione!$AL$28-C253)/C253</f>
        <v>13.996500000000001</v>
      </c>
      <c r="L253" s="558">
        <f>'Progetto del paramento slu'!$G$60*(sezione!$AM$28-C253)/C253</f>
        <v>52.496499999999997</v>
      </c>
      <c r="M253" s="559">
        <f>'Progetto del paramento slu'!$G$60*(sezione!$AN$28-C253)/C253</f>
        <v>90.996499999999997</v>
      </c>
      <c r="N253" s="559">
        <f>'Progetto del paramento slu'!$G$60*(sezione!$AO$28-C253)/C253</f>
        <v>118.99650000000001</v>
      </c>
      <c r="O253" s="559">
        <f>'Progetto del paramento slu'!$G$60*(sezione!$AP$28-C253)/C253</f>
        <v>90.99684495192308</v>
      </c>
      <c r="P253" s="553">
        <f>-'Progetto del paramento slu'!$G$47*'Progetto del paramento slu'!$G$41*IF(DATI!$G$218="dx",DATI!$E$61,DATI!$E$64*DATI!$E$63)*1000*C253*sezione!$AD$5</f>
        <v>-140.9589</v>
      </c>
      <c r="Q253" s="553">
        <f>'Foglio deposito bis'!$F$48*IF(ABS(K253)&lt;'Progetto del paramento slu'!$G$58,ABS(K253)*'Progetto del paramento slu'!$G$54,'Progetto del paramento slu'!$G$53)*IF(K253&lt;0,-1,1)</f>
        <v>0</v>
      </c>
      <c r="R253" s="553">
        <f>'Foglio deposito bis'!$F$49*IF(ABS(L253)&lt;'Progetto del paramento slu'!$G$58,ABS(L253)*'Progetto del paramento slu'!$G$54,'Progetto del paramento slu'!$G$53)*IF(L253&lt;0,-1,1)</f>
        <v>204886.47740803001</v>
      </c>
      <c r="S253" s="553">
        <f>'Foglio deposito bis'!$F$50*IF(ABS(M253)&lt;'Progetto del paramento slu'!$G$58,ABS(M253)*'Progetto del paramento slu'!$G$54,'Progetto del paramento slu'!$G$53)*IF(M253&lt;0,-1,1)</f>
        <v>0</v>
      </c>
      <c r="T253" s="553">
        <f>'Foglio deposito bis'!$F$51*IF(ABS(N253)&lt;'Progetto del paramento slu'!$G$58,ABS(N253)*'Progetto del paramento slu'!$G$54,'Progetto del paramento slu'!$G$53)*IF(N253&lt;0,-1,1)</f>
        <v>240946.49743184328</v>
      </c>
      <c r="U253" s="553">
        <f>'Foglio deposito bis'!$F$52*IF(ABS(O253)&lt;'Progetto del paramento slu'!$G$58,ABS(O253)*'Progetto del paramento slu'!$G$54,'Progetto del paramento slu'!$G$53)*IF(O253&lt;0,-1,1)</f>
        <v>240946.49743184328</v>
      </c>
      <c r="V253" s="479">
        <f t="shared" ref="V253" si="23">P253+Q253+R253+S253+T253+U253</f>
        <v>686638.5133717166</v>
      </c>
      <c r="W253" s="559"/>
      <c r="X253" s="559"/>
    </row>
    <row r="254" spans="1:24" x14ac:dyDescent="0.25">
      <c r="A254" s="553">
        <f t="shared" ref="A254:A317" si="24">ABS(V254)</f>
        <v>683918.32146482624</v>
      </c>
      <c r="B254" s="3">
        <f>B253+0.05</f>
        <v>0.05</v>
      </c>
      <c r="C254" s="553">
        <f>'Foglio deposito bis'!$E$154/sezione!$B$247*B254</f>
        <v>0.2029776627719373</v>
      </c>
      <c r="D254" s="611">
        <f>-'Progetto del paramento slu'!$G$47*'Progetto del paramento slu'!$G$41*IF(DATI!$G$218="dx",DATI!$E$61,DATI!$E$64*DATI!$E$63)*1000*C254^2*sezione!$AD$5*(1-sezione!$AD$6)</f>
        <v>-339.15782691445395</v>
      </c>
      <c r="E254" s="553">
        <f>-'Foglio deposito bis'!$F$48*(C254-sezione!$AL$28)*IF(ABS(K254)&lt;'Progetto del paramento slu'!$G$58,ABS(K254)*'Progetto del paramento slu'!$G$54,'Progetto del paramento slu'!$G$53)</f>
        <v>0</v>
      </c>
      <c r="F254" s="553">
        <f>-'Foglio deposito bis'!$F$49*(C254-sezione!$AM$28)*IF(ABS(L254)&lt;'Progetto del paramento slu'!$G$58,ABS(L254)*'Progetto del paramento slu'!$G$54,'Progetto del paramento slu'!$G$53)</f>
        <v>30691384.232886646</v>
      </c>
      <c r="G254" s="553">
        <f>-'Foglio deposito bis'!$F$50*(C254-sezione!$AN$28)*IF(ABS(M254)&lt;'Progetto del paramento slu'!$G$58,ABS(M254)*'Progetto del paramento slu'!$G$54,'Progetto del paramento slu'!$G$53)</f>
        <v>0</v>
      </c>
      <c r="H254" s="553">
        <f>-'Foglio deposito bis'!$F$51*(C254-sezione!$AO$28)*IF(ABS(N254)&lt;'Progetto del paramento slu'!$G$58,ABS(N254)*'Progetto del paramento slu'!$G$54,'Progetto del paramento slu'!$G$53)</f>
        <v>81872902.369924903</v>
      </c>
      <c r="I254" s="479">
        <f>-'Foglio deposito bis'!$F$52*(C254-sezione!$AP$28)*IF(ABS(O254)&lt;'Progetto del paramento slu'!$G$58,ABS(O254)*'Progetto del paramento slu'!$G$54,'Progetto del paramento slu'!$G$53)</f>
        <v>62597420.046685018</v>
      </c>
      <c r="J254" s="479">
        <f t="shared" si="22"/>
        <v>175161367.49166965</v>
      </c>
      <c r="K254" s="558">
        <f>'Progetto del paramento slu'!$G$60*(sezione!$AL$28-C254)/C254</f>
        <v>0.68623106738992223</v>
      </c>
      <c r="L254" s="558">
        <f>'Progetto del paramento slu'!$G$60*(sezione!$AM$28-C254)/C254</f>
        <v>2.582991502712209</v>
      </c>
      <c r="M254" s="559">
        <f>'Progetto del paramento slu'!$G$60*(sezione!$AN$28-C254)/C254</f>
        <v>4.4797519380344948</v>
      </c>
      <c r="N254" s="559">
        <f>'Progetto del paramento slu'!$G$60*(sezione!$AO$28-C254)/C254</f>
        <v>5.8592140728143391</v>
      </c>
      <c r="O254" s="559">
        <f>'Progetto del paramento slu'!$G$60*(sezione!$AP$28-C254)/C254</f>
        <v>4.4797689326100736</v>
      </c>
      <c r="P254" s="553">
        <f>-'Progetto del paramento slu'!$G$47*'Progetto del paramento slu'!$G$41*IF(DATI!$G$218="dx",DATI!$E$61,DATI!$E$64*DATI!$E$63)*1000*C254*sezione!$AD$5</f>
        <v>-2861.1508068903231</v>
      </c>
      <c r="Q254" s="553">
        <f>'Foglio deposito bis'!$F$48*IF(ABS(K254)&lt;'Progetto del paramento slu'!$G$58,ABS(K254)*'Progetto del paramento slu'!$G$54,'Progetto del paramento slu'!$G$53)*IF(K254&lt;0,-1,1)</f>
        <v>0</v>
      </c>
      <c r="R254" s="553">
        <f>'Foglio deposito bis'!$F$49*IF(ABS(L254)&lt;'Progetto del paramento slu'!$G$58,ABS(L254)*'Progetto del paramento slu'!$G$54,'Progetto del paramento slu'!$G$53)*IF(L254&lt;0,-1,1)</f>
        <v>204886.47740803001</v>
      </c>
      <c r="S254" s="553">
        <f>'Foglio deposito bis'!$F$50*IF(ABS(M254)&lt;'Progetto del paramento slu'!$G$58,ABS(M254)*'Progetto del paramento slu'!$G$54,'Progetto del paramento slu'!$G$53)*IF(M254&lt;0,-1,1)</f>
        <v>0</v>
      </c>
      <c r="T254" s="553">
        <f>'Foglio deposito bis'!$F$51*IF(ABS(N254)&lt;'Progetto del paramento slu'!$G$58,ABS(N254)*'Progetto del paramento slu'!$G$54,'Progetto del paramento slu'!$G$53)*IF(N254&lt;0,-1,1)</f>
        <v>240946.49743184328</v>
      </c>
      <c r="U254" s="553">
        <f>'Foglio deposito bis'!$F$52*IF(ABS(O254)&lt;'Progetto del paramento slu'!$G$58,ABS(O254)*'Progetto del paramento slu'!$G$54,'Progetto del paramento slu'!$G$53)*IF(O254&lt;0,-1,1)</f>
        <v>240946.49743184328</v>
      </c>
      <c r="V254" s="479">
        <f t="shared" ref="V254:V317" si="25">P254+Q254+R254+S254+T254+U254</f>
        <v>683918.32146482624</v>
      </c>
      <c r="W254" s="559"/>
      <c r="X254" s="559"/>
    </row>
    <row r="255" spans="1:24" x14ac:dyDescent="0.25">
      <c r="A255" s="553">
        <f t="shared" si="24"/>
        <v>681057.1706579359</v>
      </c>
      <c r="B255" s="3">
        <f t="shared" ref="B255:B318" si="26">B254+0.05</f>
        <v>0.1</v>
      </c>
      <c r="C255" s="553">
        <f>'Foglio deposito bis'!$E$154/sezione!$B$247*B255</f>
        <v>0.40595532554387459</v>
      </c>
      <c r="D255" s="611">
        <f>-'Progetto del paramento slu'!$G$47*'Progetto del paramento slu'!$G$41*IF(DATI!$G$218="dx",DATI!$E$61,DATI!$E$64*DATI!$E$63)*1000*C255^2*sezione!$AD$5*(1-sezione!$AD$6)</f>
        <v>-1356.6313076578158</v>
      </c>
      <c r="E255" s="553">
        <f>-'Foglio deposito bis'!$F$48*(C255-sezione!$AL$28)*IF(ABS(K255)&lt;'Progetto del paramento slu'!$G$58,ABS(K255)*'Progetto del paramento slu'!$G$54,'Progetto del paramento slu'!$G$53)</f>
        <v>0</v>
      </c>
      <c r="F255" s="553">
        <f>-'Foglio deposito bis'!$F$49*(C255-sezione!$AM$28)*IF(ABS(L255)&lt;'Progetto del paramento slu'!$G$58,ABS(L255)*'Progetto del paramento slu'!$G$54,'Progetto del paramento slu'!$G$53)</f>
        <v>30649796.854568787</v>
      </c>
      <c r="G255" s="553">
        <f>-'Foglio deposito bis'!$F$50*(C255-sezione!$AN$28)*IF(ABS(M255)&lt;'Progetto del paramento slu'!$G$58,ABS(M255)*'Progetto del paramento slu'!$G$54,'Progetto del paramento slu'!$G$53)</f>
        <v>0</v>
      </c>
      <c r="H255" s="553">
        <f>-'Foglio deposito bis'!$F$51*(C255-sezione!$AO$28)*IF(ABS(N255)&lt;'Progetto del paramento slu'!$G$58,ABS(N255)*'Progetto del paramento slu'!$G$54,'Progetto del paramento slu'!$G$53)</f>
        <v>81823995.613023117</v>
      </c>
      <c r="I255" s="479">
        <f>-'Foglio deposito bis'!$F$52*(C255-sezione!$AP$28)*IF(ABS(O255)&lt;'Progetto del paramento slu'!$G$58,ABS(O255)*'Progetto del paramento slu'!$G$54,'Progetto del paramento slu'!$G$53)</f>
        <v>62548513.289783217</v>
      </c>
      <c r="J255" s="479">
        <f t="shared" si="22"/>
        <v>175020949.12606746</v>
      </c>
      <c r="K255" s="558">
        <f>'Progetto del paramento slu'!$G$60*(sezione!$AL$28-C255)/C255</f>
        <v>0.34136553369496114</v>
      </c>
      <c r="L255" s="558">
        <f>'Progetto del paramento slu'!$G$60*(sezione!$AM$28-C255)/C255</f>
        <v>1.2897457513561041</v>
      </c>
      <c r="M255" s="559">
        <f>'Progetto del paramento slu'!$G$60*(sezione!$AN$28-C255)/C255</f>
        <v>2.2381259690172475</v>
      </c>
      <c r="N255" s="559">
        <f>'Progetto del paramento slu'!$G$60*(sezione!$AO$28-C255)/C255</f>
        <v>2.9278570364071697</v>
      </c>
      <c r="O255" s="559">
        <f>'Progetto del paramento slu'!$G$60*(sezione!$AP$28-C255)/C255</f>
        <v>2.2381344663050369</v>
      </c>
      <c r="P255" s="553">
        <f>-'Progetto del paramento slu'!$G$47*'Progetto del paramento slu'!$G$41*IF(DATI!$G$218="dx",DATI!$E$61,DATI!$E$64*DATI!$E$63)*1000*C255*sezione!$AD$5</f>
        <v>-5722.3016137806462</v>
      </c>
      <c r="Q255" s="553">
        <f>'Foglio deposito bis'!$F$48*IF(ABS(K255)&lt;'Progetto del paramento slu'!$G$58,ABS(K255)*'Progetto del paramento slu'!$G$54,'Progetto del paramento slu'!$G$53)*IF(K255&lt;0,-1,1)</f>
        <v>0</v>
      </c>
      <c r="R255" s="553">
        <f>'Foglio deposito bis'!$F$49*IF(ABS(L255)&lt;'Progetto del paramento slu'!$G$58,ABS(L255)*'Progetto del paramento slu'!$G$54,'Progetto del paramento slu'!$G$53)*IF(L255&lt;0,-1,1)</f>
        <v>204886.47740803001</v>
      </c>
      <c r="S255" s="553">
        <f>'Foglio deposito bis'!$F$50*IF(ABS(M255)&lt;'Progetto del paramento slu'!$G$58,ABS(M255)*'Progetto del paramento slu'!$G$54,'Progetto del paramento slu'!$G$53)*IF(M255&lt;0,-1,1)</f>
        <v>0</v>
      </c>
      <c r="T255" s="553">
        <f>'Foglio deposito bis'!$F$51*IF(ABS(N255)&lt;'Progetto del paramento slu'!$G$58,ABS(N255)*'Progetto del paramento slu'!$G$54,'Progetto del paramento slu'!$G$53)*IF(N255&lt;0,-1,1)</f>
        <v>240946.49743184328</v>
      </c>
      <c r="U255" s="553">
        <f>'Foglio deposito bis'!$F$52*IF(ABS(O255)&lt;'Progetto del paramento slu'!$G$58,ABS(O255)*'Progetto del paramento slu'!$G$54,'Progetto del paramento slu'!$G$53)*IF(O255&lt;0,-1,1)</f>
        <v>240946.49743184328</v>
      </c>
      <c r="V255" s="479">
        <f t="shared" si="25"/>
        <v>681057.1706579359</v>
      </c>
      <c r="W255" s="559"/>
      <c r="X255" s="559"/>
    </row>
    <row r="256" spans="1:24" x14ac:dyDescent="0.25">
      <c r="A256" s="553">
        <f t="shared" si="24"/>
        <v>678196.01985104557</v>
      </c>
      <c r="B256" s="3">
        <f t="shared" si="26"/>
        <v>0.15000000000000002</v>
      </c>
      <c r="C256" s="553">
        <f>'Foglio deposito bis'!$E$154/sezione!$B$247*B256</f>
        <v>0.608932988315812</v>
      </c>
      <c r="D256" s="611">
        <f>-'Progetto del paramento slu'!$G$47*'Progetto del paramento slu'!$G$41*IF(DATI!$G$218="dx",DATI!$E$61,DATI!$E$64*DATI!$E$63)*1000*C256^2*sezione!$AD$5*(1-sezione!$AD$6)</f>
        <v>-3052.4204422300868</v>
      </c>
      <c r="E256" s="553">
        <f>-'Foglio deposito bis'!$F$48*(C256-sezione!$AL$28)*IF(ABS(K256)&lt;'Progetto del paramento slu'!$G$58,ABS(K256)*'Progetto del paramento slu'!$G$54,'Progetto del paramento slu'!$G$53)</f>
        <v>0</v>
      </c>
      <c r="F256" s="553">
        <f>-'Foglio deposito bis'!$F$49*(C256-sezione!$AM$28)*IF(ABS(L256)&lt;'Progetto del paramento slu'!$G$58,ABS(L256)*'Progetto del paramento slu'!$G$54,'Progetto del paramento slu'!$G$53)</f>
        <v>30608209.476250928</v>
      </c>
      <c r="G256" s="553">
        <f>-'Foglio deposito bis'!$F$50*(C256-sezione!$AN$28)*IF(ABS(M256)&lt;'Progetto del paramento slu'!$G$58,ABS(M256)*'Progetto del paramento slu'!$G$54,'Progetto del paramento slu'!$G$53)</f>
        <v>0</v>
      </c>
      <c r="H256" s="553">
        <f>-'Foglio deposito bis'!$F$51*(C256-sezione!$AO$28)*IF(ABS(N256)&lt;'Progetto del paramento slu'!$G$58,ABS(N256)*'Progetto del paramento slu'!$G$54,'Progetto del paramento slu'!$G$53)</f>
        <v>81775088.856121317</v>
      </c>
      <c r="I256" s="479">
        <f>-'Foglio deposito bis'!$F$52*(C256-sezione!$AP$28)*IF(ABS(O256)&lt;'Progetto del paramento slu'!$G$58,ABS(O256)*'Progetto del paramento slu'!$G$54,'Progetto del paramento slu'!$G$53)</f>
        <v>62499606.532881409</v>
      </c>
      <c r="J256" s="479">
        <f t="shared" si="22"/>
        <v>174879852.4448114</v>
      </c>
      <c r="K256" s="558">
        <f>'Progetto del paramento slu'!$G$60*(sezione!$AL$28-C256)/C256</f>
        <v>0.22641035579664071</v>
      </c>
      <c r="L256" s="558">
        <f>'Progetto del paramento slu'!$G$60*(sezione!$AM$28-C256)/C256</f>
        <v>0.85866383423740267</v>
      </c>
      <c r="M256" s="559">
        <f>'Progetto del paramento slu'!$G$60*(sezione!$AN$28-C256)/C256</f>
        <v>1.4909173126781647</v>
      </c>
      <c r="N256" s="559">
        <f>'Progetto del paramento slu'!$G$60*(sezione!$AO$28-C256)/C256</f>
        <v>1.950738024271446</v>
      </c>
      <c r="O256" s="559">
        <f>'Progetto del paramento slu'!$G$60*(sezione!$AP$28-C256)/C256</f>
        <v>1.490922977536691</v>
      </c>
      <c r="P256" s="553">
        <f>-'Progetto del paramento slu'!$G$47*'Progetto del paramento slu'!$G$41*IF(DATI!$G$218="dx",DATI!$E$61,DATI!$E$64*DATI!$E$63)*1000*C256*sezione!$AD$5</f>
        <v>-8583.4524206709721</v>
      </c>
      <c r="Q256" s="553">
        <f>'Foglio deposito bis'!$F$48*IF(ABS(K256)&lt;'Progetto del paramento slu'!$G$58,ABS(K256)*'Progetto del paramento slu'!$G$54,'Progetto del paramento slu'!$G$53)*IF(K256&lt;0,-1,1)</f>
        <v>0</v>
      </c>
      <c r="R256" s="553">
        <f>'Foglio deposito bis'!$F$49*IF(ABS(L256)&lt;'Progetto del paramento slu'!$G$58,ABS(L256)*'Progetto del paramento slu'!$G$54,'Progetto del paramento slu'!$G$53)*IF(L256&lt;0,-1,1)</f>
        <v>204886.47740803001</v>
      </c>
      <c r="S256" s="553">
        <f>'Foglio deposito bis'!$F$50*IF(ABS(M256)&lt;'Progetto del paramento slu'!$G$58,ABS(M256)*'Progetto del paramento slu'!$G$54,'Progetto del paramento slu'!$G$53)*IF(M256&lt;0,-1,1)</f>
        <v>0</v>
      </c>
      <c r="T256" s="553">
        <f>'Foglio deposito bis'!$F$51*IF(ABS(N256)&lt;'Progetto del paramento slu'!$G$58,ABS(N256)*'Progetto del paramento slu'!$G$54,'Progetto del paramento slu'!$G$53)*IF(N256&lt;0,-1,1)</f>
        <v>240946.49743184328</v>
      </c>
      <c r="U256" s="553">
        <f>'Foglio deposito bis'!$F$52*IF(ABS(O256)&lt;'Progetto del paramento slu'!$G$58,ABS(O256)*'Progetto del paramento slu'!$G$54,'Progetto del paramento slu'!$G$53)*IF(O256&lt;0,-1,1)</f>
        <v>240946.49743184328</v>
      </c>
      <c r="V256" s="479">
        <f t="shared" si="25"/>
        <v>678196.01985104557</v>
      </c>
      <c r="W256" s="559"/>
      <c r="X256" s="559"/>
    </row>
    <row r="257" spans="1:24" x14ac:dyDescent="0.25">
      <c r="A257" s="553">
        <f t="shared" si="24"/>
        <v>675334.86904415535</v>
      </c>
      <c r="B257" s="3">
        <f t="shared" si="26"/>
        <v>0.2</v>
      </c>
      <c r="C257" s="553">
        <f>'Foglio deposito bis'!$E$154/sezione!$B$247*B257</f>
        <v>0.81191065108774918</v>
      </c>
      <c r="D257" s="611">
        <f>-'Progetto del paramento slu'!$G$47*'Progetto del paramento slu'!$G$41*IF(DATI!$G$218="dx",DATI!$E$61,DATI!$E$64*DATI!$E$63)*1000*C257^2*sezione!$AD$5*(1-sezione!$AD$6)</f>
        <v>-5426.5252306312632</v>
      </c>
      <c r="E257" s="553">
        <f>-'Foglio deposito bis'!$F$48*(C257-sezione!$AL$28)*IF(ABS(K257)&lt;'Progetto del paramento slu'!$G$58,ABS(K257)*'Progetto del paramento slu'!$G$54,'Progetto del paramento slu'!$G$53)</f>
        <v>0</v>
      </c>
      <c r="F257" s="553">
        <f>-'Foglio deposito bis'!$F$49*(C257-sezione!$AM$28)*IF(ABS(L257)&lt;'Progetto del paramento slu'!$G$58,ABS(L257)*'Progetto del paramento slu'!$G$54,'Progetto del paramento slu'!$G$53)</f>
        <v>30566622.097933073</v>
      </c>
      <c r="G257" s="553">
        <f>-'Foglio deposito bis'!$F$50*(C257-sezione!$AN$28)*IF(ABS(M257)&lt;'Progetto del paramento slu'!$G$58,ABS(M257)*'Progetto del paramento slu'!$G$54,'Progetto del paramento slu'!$G$53)</f>
        <v>0</v>
      </c>
      <c r="H257" s="553">
        <f>-'Foglio deposito bis'!$F$51*(C257-sezione!$AO$28)*IF(ABS(N257)&lt;'Progetto del paramento slu'!$G$58,ABS(N257)*'Progetto del paramento slu'!$G$54,'Progetto del paramento slu'!$G$53)</f>
        <v>81726182.099219501</v>
      </c>
      <c r="I257" s="479">
        <f>-'Foglio deposito bis'!$F$52*(C257-sezione!$AP$28)*IF(ABS(O257)&lt;'Progetto del paramento slu'!$G$58,ABS(O257)*'Progetto del paramento slu'!$G$54,'Progetto del paramento slu'!$G$53)</f>
        <v>62450699.775979616</v>
      </c>
      <c r="J257" s="479">
        <f t="shared" si="22"/>
        <v>174738077.44790155</v>
      </c>
      <c r="K257" s="558">
        <f>'Progetto del paramento slu'!$G$60*(sezione!$AL$28-C257)/C257</f>
        <v>0.16893276684748057</v>
      </c>
      <c r="L257" s="558">
        <f>'Progetto del paramento slu'!$G$60*(sezione!$AM$28-C257)/C257</f>
        <v>0.64312287567805226</v>
      </c>
      <c r="M257" s="559">
        <f>'Progetto del paramento slu'!$G$60*(sezione!$AN$28-C257)/C257</f>
        <v>1.1173129845086236</v>
      </c>
      <c r="N257" s="559">
        <f>'Progetto del paramento slu'!$G$60*(sezione!$AO$28-C257)/C257</f>
        <v>1.4621785182035849</v>
      </c>
      <c r="O257" s="559">
        <f>'Progetto del paramento slu'!$G$60*(sezione!$AP$28-C257)/C257</f>
        <v>1.1173172331525183</v>
      </c>
      <c r="P257" s="553">
        <f>-'Progetto del paramento slu'!$G$47*'Progetto del paramento slu'!$G$41*IF(DATI!$G$218="dx",DATI!$E$61,DATI!$E$64*DATI!$E$63)*1000*C257*sezione!$AD$5</f>
        <v>-11444.603227561292</v>
      </c>
      <c r="Q257" s="553">
        <f>'Foglio deposito bis'!$F$48*IF(ABS(K257)&lt;'Progetto del paramento slu'!$G$58,ABS(K257)*'Progetto del paramento slu'!$G$54,'Progetto del paramento slu'!$G$53)*IF(K257&lt;0,-1,1)</f>
        <v>0</v>
      </c>
      <c r="R257" s="553">
        <f>'Foglio deposito bis'!$F$49*IF(ABS(L257)&lt;'Progetto del paramento slu'!$G$58,ABS(L257)*'Progetto del paramento slu'!$G$54,'Progetto del paramento slu'!$G$53)*IF(L257&lt;0,-1,1)</f>
        <v>204886.47740803001</v>
      </c>
      <c r="S257" s="553">
        <f>'Foglio deposito bis'!$F$50*IF(ABS(M257)&lt;'Progetto del paramento slu'!$G$58,ABS(M257)*'Progetto del paramento slu'!$G$54,'Progetto del paramento slu'!$G$53)*IF(M257&lt;0,-1,1)</f>
        <v>0</v>
      </c>
      <c r="T257" s="553">
        <f>'Foglio deposito bis'!$F$51*IF(ABS(N257)&lt;'Progetto del paramento slu'!$G$58,ABS(N257)*'Progetto del paramento slu'!$G$54,'Progetto del paramento slu'!$G$53)*IF(N257&lt;0,-1,1)</f>
        <v>240946.49743184328</v>
      </c>
      <c r="U257" s="553">
        <f>'Foglio deposito bis'!$F$52*IF(ABS(O257)&lt;'Progetto del paramento slu'!$G$58,ABS(O257)*'Progetto del paramento slu'!$G$54,'Progetto del paramento slu'!$G$53)*IF(O257&lt;0,-1,1)</f>
        <v>240946.49743184328</v>
      </c>
      <c r="V257" s="479">
        <f t="shared" si="25"/>
        <v>675334.86904415535</v>
      </c>
      <c r="W257" s="559"/>
      <c r="X257" s="559"/>
    </row>
    <row r="258" spans="1:24" x14ac:dyDescent="0.25">
      <c r="A258" s="553">
        <f t="shared" si="24"/>
        <v>672473.71823726501</v>
      </c>
      <c r="B258" s="3">
        <f t="shared" si="26"/>
        <v>0.25</v>
      </c>
      <c r="C258" s="553">
        <f>'Foglio deposito bis'!$E$154/sezione!$B$247*B258</f>
        <v>1.0148883138596865</v>
      </c>
      <c r="D258" s="611">
        <f>-'Progetto del paramento slu'!$G$47*'Progetto del paramento slu'!$G$41*IF(DATI!$G$218="dx",DATI!$E$61,DATI!$E$64*DATI!$E$63)*1000*C258^2*sezione!$AD$5*(1-sezione!$AD$6)</f>
        <v>-8478.9456728613477</v>
      </c>
      <c r="E258" s="553">
        <f>-'Foglio deposito bis'!$F$48*(C258-sezione!$AL$28)*IF(ABS(K258)&lt;'Progetto del paramento slu'!$G$58,ABS(K258)*'Progetto del paramento slu'!$G$54,'Progetto del paramento slu'!$G$53)</f>
        <v>0</v>
      </c>
      <c r="F258" s="553">
        <f>-'Foglio deposito bis'!$F$49*(C258-sezione!$AM$28)*IF(ABS(L258)&lt;'Progetto del paramento slu'!$G$58,ABS(L258)*'Progetto del paramento slu'!$G$54,'Progetto del paramento slu'!$G$53)</f>
        <v>30525034.719615214</v>
      </c>
      <c r="G258" s="553">
        <f>-'Foglio deposito bis'!$F$50*(C258-sezione!$AN$28)*IF(ABS(M258)&lt;'Progetto del paramento slu'!$G$58,ABS(M258)*'Progetto del paramento slu'!$G$54,'Progetto del paramento slu'!$G$53)</f>
        <v>0</v>
      </c>
      <c r="H258" s="553">
        <f>-'Foglio deposito bis'!$F$51*(C258-sezione!$AO$28)*IF(ABS(N258)&lt;'Progetto del paramento slu'!$G$58,ABS(N258)*'Progetto del paramento slu'!$G$54,'Progetto del paramento slu'!$G$53)</f>
        <v>81677275.342317715</v>
      </c>
      <c r="I258" s="479">
        <f>-'Foglio deposito bis'!$F$52*(C258-sezione!$AP$28)*IF(ABS(O258)&lt;'Progetto del paramento slu'!$G$58,ABS(O258)*'Progetto del paramento slu'!$G$54,'Progetto del paramento slu'!$G$53)</f>
        <v>62401793.019077823</v>
      </c>
      <c r="J258" s="479">
        <f t="shared" si="22"/>
        <v>174595624.13533789</v>
      </c>
      <c r="K258" s="558">
        <f>'Progetto del paramento slu'!$G$60*(sezione!$AL$28-C258)/C258</f>
        <v>0.13444621347798444</v>
      </c>
      <c r="L258" s="558">
        <f>'Progetto del paramento slu'!$G$60*(sezione!$AM$28-C258)/C258</f>
        <v>0.51379830054244158</v>
      </c>
      <c r="M258" s="559">
        <f>'Progetto del paramento slu'!$G$60*(sezione!$AN$28-C258)/C258</f>
        <v>0.89315038760689902</v>
      </c>
      <c r="N258" s="559">
        <f>'Progetto del paramento slu'!$G$60*(sezione!$AO$28-C258)/C258</f>
        <v>1.169042814562868</v>
      </c>
      <c r="O258" s="559">
        <f>'Progetto del paramento slu'!$G$60*(sezione!$AP$28-C258)/C258</f>
        <v>0.89315378652201483</v>
      </c>
      <c r="P258" s="553">
        <f>-'Progetto del paramento slu'!$G$47*'Progetto del paramento slu'!$G$41*IF(DATI!$G$218="dx",DATI!$E$61,DATI!$E$64*DATI!$E$63)*1000*C258*sezione!$AD$5</f>
        <v>-14305.754034451616</v>
      </c>
      <c r="Q258" s="553">
        <f>'Foglio deposito bis'!$F$48*IF(ABS(K258)&lt;'Progetto del paramento slu'!$G$58,ABS(K258)*'Progetto del paramento slu'!$G$54,'Progetto del paramento slu'!$G$53)*IF(K258&lt;0,-1,1)</f>
        <v>0</v>
      </c>
      <c r="R258" s="553">
        <f>'Foglio deposito bis'!$F$49*IF(ABS(L258)&lt;'Progetto del paramento slu'!$G$58,ABS(L258)*'Progetto del paramento slu'!$G$54,'Progetto del paramento slu'!$G$53)*IF(L258&lt;0,-1,1)</f>
        <v>204886.47740803001</v>
      </c>
      <c r="S258" s="553">
        <f>'Foglio deposito bis'!$F$50*IF(ABS(M258)&lt;'Progetto del paramento slu'!$G$58,ABS(M258)*'Progetto del paramento slu'!$G$54,'Progetto del paramento slu'!$G$53)*IF(M258&lt;0,-1,1)</f>
        <v>0</v>
      </c>
      <c r="T258" s="553">
        <f>'Foglio deposito bis'!$F$51*IF(ABS(N258)&lt;'Progetto del paramento slu'!$G$58,ABS(N258)*'Progetto del paramento slu'!$G$54,'Progetto del paramento slu'!$G$53)*IF(N258&lt;0,-1,1)</f>
        <v>240946.49743184328</v>
      </c>
      <c r="U258" s="553">
        <f>'Foglio deposito bis'!$F$52*IF(ABS(O258)&lt;'Progetto del paramento slu'!$G$58,ABS(O258)*'Progetto del paramento slu'!$G$54,'Progetto del paramento slu'!$G$53)*IF(O258&lt;0,-1,1)</f>
        <v>240946.49743184328</v>
      </c>
      <c r="V258" s="479">
        <f t="shared" si="25"/>
        <v>672473.71823726501</v>
      </c>
      <c r="W258" s="559"/>
      <c r="X258" s="559"/>
    </row>
    <row r="259" spans="1:24" x14ac:dyDescent="0.25">
      <c r="A259" s="553">
        <f t="shared" si="24"/>
        <v>669612.56743037468</v>
      </c>
      <c r="B259" s="3">
        <f t="shared" si="26"/>
        <v>0.3</v>
      </c>
      <c r="C259" s="553">
        <f>'Foglio deposito bis'!$E$154/sezione!$B$247*B259</f>
        <v>1.2178659766316238</v>
      </c>
      <c r="D259" s="611">
        <f>-'Progetto del paramento slu'!$G$47*'Progetto del paramento slu'!$G$41*IF(DATI!$G$218="dx",DATI!$E$61,DATI!$E$64*DATI!$E$63)*1000*C259^2*sezione!$AD$5*(1-sezione!$AD$6)</f>
        <v>-12209.681768920344</v>
      </c>
      <c r="E259" s="553">
        <f>-'Foglio deposito bis'!$F$48*(C259-sezione!$AL$28)*IF(ABS(K259)&lt;'Progetto del paramento slu'!$G$58,ABS(K259)*'Progetto del paramento slu'!$G$54,'Progetto del paramento slu'!$G$53)</f>
        <v>0</v>
      </c>
      <c r="F259" s="553">
        <f>-'Foglio deposito bis'!$F$49*(C259-sezione!$AM$28)*IF(ABS(L259)&lt;'Progetto del paramento slu'!$G$58,ABS(L259)*'Progetto del paramento slu'!$G$54,'Progetto del paramento slu'!$G$53)</f>
        <v>30483447.341297355</v>
      </c>
      <c r="G259" s="553">
        <f>-'Foglio deposito bis'!$F$50*(C259-sezione!$AN$28)*IF(ABS(M259)&lt;'Progetto del paramento slu'!$G$58,ABS(M259)*'Progetto del paramento slu'!$G$54,'Progetto del paramento slu'!$G$53)</f>
        <v>0</v>
      </c>
      <c r="H259" s="553">
        <f>-'Foglio deposito bis'!$F$51*(C259-sezione!$AO$28)*IF(ABS(N259)&lt;'Progetto del paramento slu'!$G$58,ABS(N259)*'Progetto del paramento slu'!$G$54,'Progetto del paramento slu'!$G$53)</f>
        <v>81628368.585415915</v>
      </c>
      <c r="I259" s="479">
        <f>-'Foglio deposito bis'!$F$52*(C259-sezione!$AP$28)*IF(ABS(O259)&lt;'Progetto del paramento slu'!$G$58,ABS(O259)*'Progetto del paramento slu'!$G$54,'Progetto del paramento slu'!$G$53)</f>
        <v>62352886.262176014</v>
      </c>
      <c r="J259" s="479">
        <f t="shared" si="22"/>
        <v>174452492.50712037</v>
      </c>
      <c r="K259" s="558">
        <f>'Progetto del paramento slu'!$G$60*(sezione!$AL$28-C259)/C259</f>
        <v>0.11145517789832038</v>
      </c>
      <c r="L259" s="558">
        <f>'Progetto del paramento slu'!$G$60*(sezione!$AM$28-C259)/C259</f>
        <v>0.42758191711870142</v>
      </c>
      <c r="M259" s="559">
        <f>'Progetto del paramento slu'!$G$60*(sezione!$AN$28-C259)/C259</f>
        <v>0.74370865633908245</v>
      </c>
      <c r="N259" s="559">
        <f>'Progetto del paramento slu'!$G$60*(sezione!$AO$28-C259)/C259</f>
        <v>0.97361901213572311</v>
      </c>
      <c r="O259" s="559">
        <f>'Progetto del paramento slu'!$G$60*(sezione!$AP$28-C259)/C259</f>
        <v>0.74371148876834559</v>
      </c>
      <c r="P259" s="553">
        <f>-'Progetto del paramento slu'!$G$47*'Progetto del paramento slu'!$G$41*IF(DATI!$G$218="dx",DATI!$E$61,DATI!$E$64*DATI!$E$63)*1000*C259*sezione!$AD$5</f>
        <v>-17166.90484134194</v>
      </c>
      <c r="Q259" s="553">
        <f>'Foglio deposito bis'!$F$48*IF(ABS(K259)&lt;'Progetto del paramento slu'!$G$58,ABS(K259)*'Progetto del paramento slu'!$G$54,'Progetto del paramento slu'!$G$53)*IF(K259&lt;0,-1,1)</f>
        <v>0</v>
      </c>
      <c r="R259" s="553">
        <f>'Foglio deposito bis'!$F$49*IF(ABS(L259)&lt;'Progetto del paramento slu'!$G$58,ABS(L259)*'Progetto del paramento slu'!$G$54,'Progetto del paramento slu'!$G$53)*IF(L259&lt;0,-1,1)</f>
        <v>204886.47740803001</v>
      </c>
      <c r="S259" s="553">
        <f>'Foglio deposito bis'!$F$50*IF(ABS(M259)&lt;'Progetto del paramento slu'!$G$58,ABS(M259)*'Progetto del paramento slu'!$G$54,'Progetto del paramento slu'!$G$53)*IF(M259&lt;0,-1,1)</f>
        <v>0</v>
      </c>
      <c r="T259" s="553">
        <f>'Foglio deposito bis'!$F$51*IF(ABS(N259)&lt;'Progetto del paramento slu'!$G$58,ABS(N259)*'Progetto del paramento slu'!$G$54,'Progetto del paramento slu'!$G$53)*IF(N259&lt;0,-1,1)</f>
        <v>240946.49743184328</v>
      </c>
      <c r="U259" s="553">
        <f>'Foglio deposito bis'!$F$52*IF(ABS(O259)&lt;'Progetto del paramento slu'!$G$58,ABS(O259)*'Progetto del paramento slu'!$G$54,'Progetto del paramento slu'!$G$53)*IF(O259&lt;0,-1,1)</f>
        <v>240946.49743184328</v>
      </c>
      <c r="V259" s="479">
        <f t="shared" si="25"/>
        <v>669612.56743037468</v>
      </c>
      <c r="W259" s="559"/>
      <c r="X259" s="559"/>
    </row>
    <row r="260" spans="1:24" x14ac:dyDescent="0.25">
      <c r="A260" s="553">
        <f t="shared" si="24"/>
        <v>666751.41662348434</v>
      </c>
      <c r="B260" s="3">
        <f t="shared" si="26"/>
        <v>0.35</v>
      </c>
      <c r="C260" s="553">
        <f>'Foglio deposito bis'!$E$154/sezione!$B$247*B260</f>
        <v>1.4208436394035611</v>
      </c>
      <c r="D260" s="611">
        <f>-'Progetto del paramento slu'!$G$47*'Progetto del paramento slu'!$G$41*IF(DATI!$G$218="dx",DATI!$E$61,DATI!$E$64*DATI!$E$63)*1000*C260^2*sezione!$AD$5*(1-sezione!$AD$6)</f>
        <v>-16618.733518808243</v>
      </c>
      <c r="E260" s="553">
        <f>-'Foglio deposito bis'!$F$48*(C260-sezione!$AL$28)*IF(ABS(K260)&lt;'Progetto del paramento slu'!$G$58,ABS(K260)*'Progetto del paramento slu'!$G$54,'Progetto del paramento slu'!$G$53)</f>
        <v>0</v>
      </c>
      <c r="F260" s="553">
        <f>-'Foglio deposito bis'!$F$49*(C260-sezione!$AM$28)*IF(ABS(L260)&lt;'Progetto del paramento slu'!$G$58,ABS(L260)*'Progetto del paramento slu'!$G$54,'Progetto del paramento slu'!$G$53)</f>
        <v>30441859.962979503</v>
      </c>
      <c r="G260" s="553">
        <f>-'Foglio deposito bis'!$F$50*(C260-sezione!$AN$28)*IF(ABS(M260)&lt;'Progetto del paramento slu'!$G$58,ABS(M260)*'Progetto del paramento slu'!$G$54,'Progetto del paramento slu'!$G$53)</f>
        <v>0</v>
      </c>
      <c r="H260" s="553">
        <f>-'Foglio deposito bis'!$F$51*(C260-sezione!$AO$28)*IF(ABS(N260)&lt;'Progetto del paramento slu'!$G$58,ABS(N260)*'Progetto del paramento slu'!$G$54,'Progetto del paramento slu'!$G$53)</f>
        <v>81579461.828514114</v>
      </c>
      <c r="I260" s="479">
        <f>-'Foglio deposito bis'!$F$52*(C260-sezione!$AP$28)*IF(ABS(O260)&lt;'Progetto del paramento slu'!$G$58,ABS(O260)*'Progetto del paramento slu'!$G$54,'Progetto del paramento slu'!$G$53)</f>
        <v>62303979.505274214</v>
      </c>
      <c r="J260" s="479">
        <f t="shared" si="22"/>
        <v>174308682.56324902</v>
      </c>
      <c r="K260" s="558">
        <f>'Progetto del paramento slu'!$G$60*(sezione!$AL$28-C260)/C260</f>
        <v>9.5033009627131751E-2</v>
      </c>
      <c r="L260" s="558">
        <f>'Progetto del paramento slu'!$G$60*(sezione!$AM$28-C260)/C260</f>
        <v>0.36599878610174413</v>
      </c>
      <c r="M260" s="559">
        <f>'Progetto del paramento slu'!$G$60*(sezione!$AN$28-C260)/C260</f>
        <v>0.63696456257635636</v>
      </c>
      <c r="N260" s="559">
        <f>'Progetto del paramento slu'!$G$60*(sezione!$AO$28-C260)/C260</f>
        <v>0.83403058183061984</v>
      </c>
      <c r="O260" s="559">
        <f>'Progetto del paramento slu'!$G$60*(sezione!$AP$28-C260)/C260</f>
        <v>0.63696699037286764</v>
      </c>
      <c r="P260" s="553">
        <f>-'Progetto del paramento slu'!$G$47*'Progetto del paramento slu'!$G$41*IF(DATI!$G$218="dx",DATI!$E$61,DATI!$E$64*DATI!$E$63)*1000*C260*sezione!$AD$5</f>
        <v>-20028.055648232261</v>
      </c>
      <c r="Q260" s="553">
        <f>'Foglio deposito bis'!$F$48*IF(ABS(K260)&lt;'Progetto del paramento slu'!$G$58,ABS(K260)*'Progetto del paramento slu'!$G$54,'Progetto del paramento slu'!$G$53)*IF(K260&lt;0,-1,1)</f>
        <v>0</v>
      </c>
      <c r="R260" s="553">
        <f>'Foglio deposito bis'!$F$49*IF(ABS(L260)&lt;'Progetto del paramento slu'!$G$58,ABS(L260)*'Progetto del paramento slu'!$G$54,'Progetto del paramento slu'!$G$53)*IF(L260&lt;0,-1,1)</f>
        <v>204886.47740803001</v>
      </c>
      <c r="S260" s="553">
        <f>'Foglio deposito bis'!$F$50*IF(ABS(M260)&lt;'Progetto del paramento slu'!$G$58,ABS(M260)*'Progetto del paramento slu'!$G$54,'Progetto del paramento slu'!$G$53)*IF(M260&lt;0,-1,1)</f>
        <v>0</v>
      </c>
      <c r="T260" s="553">
        <f>'Foglio deposito bis'!$F$51*IF(ABS(N260)&lt;'Progetto del paramento slu'!$G$58,ABS(N260)*'Progetto del paramento slu'!$G$54,'Progetto del paramento slu'!$G$53)*IF(N260&lt;0,-1,1)</f>
        <v>240946.49743184328</v>
      </c>
      <c r="U260" s="553">
        <f>'Foglio deposito bis'!$F$52*IF(ABS(O260)&lt;'Progetto del paramento slu'!$G$58,ABS(O260)*'Progetto del paramento slu'!$G$54,'Progetto del paramento slu'!$G$53)*IF(O260&lt;0,-1,1)</f>
        <v>240946.49743184328</v>
      </c>
      <c r="V260" s="479">
        <f t="shared" si="25"/>
        <v>666751.41662348434</v>
      </c>
      <c r="W260" s="559"/>
      <c r="X260" s="559"/>
    </row>
    <row r="261" spans="1:24" x14ac:dyDescent="0.25">
      <c r="A261" s="553">
        <f t="shared" si="24"/>
        <v>663890.26581659401</v>
      </c>
      <c r="B261" s="3">
        <f t="shared" si="26"/>
        <v>0.39999999999999997</v>
      </c>
      <c r="C261" s="553">
        <f>'Foglio deposito bis'!$E$154/sezione!$B$247*B261</f>
        <v>1.6238213021754981</v>
      </c>
      <c r="D261" s="611">
        <f>-'Progetto del paramento slu'!$G$47*'Progetto del paramento slu'!$G$41*IF(DATI!$G$218="dx",DATI!$E$61,DATI!$E$64*DATI!$E$63)*1000*C261^2*sezione!$AD$5*(1-sezione!$AD$6)</f>
        <v>-21706.100922525049</v>
      </c>
      <c r="E261" s="553">
        <f>-'Foglio deposito bis'!$F$48*(C261-sezione!$AL$28)*IF(ABS(K261)&lt;'Progetto del paramento slu'!$G$58,ABS(K261)*'Progetto del paramento slu'!$G$54,'Progetto del paramento slu'!$G$53)</f>
        <v>0</v>
      </c>
      <c r="F261" s="553">
        <f>-'Foglio deposito bis'!$F$49*(C261-sezione!$AM$28)*IF(ABS(L261)&lt;'Progetto del paramento slu'!$G$58,ABS(L261)*'Progetto del paramento slu'!$G$54,'Progetto del paramento slu'!$G$53)</f>
        <v>30400272.584661644</v>
      </c>
      <c r="G261" s="553">
        <f>-'Foglio deposito bis'!$F$50*(C261-sezione!$AN$28)*IF(ABS(M261)&lt;'Progetto del paramento slu'!$G$58,ABS(M261)*'Progetto del paramento slu'!$G$54,'Progetto del paramento slu'!$G$53)</f>
        <v>0</v>
      </c>
      <c r="H261" s="553">
        <f>-'Foglio deposito bis'!$F$51*(C261-sezione!$AO$28)*IF(ABS(N261)&lt;'Progetto del paramento slu'!$G$58,ABS(N261)*'Progetto del paramento slu'!$G$54,'Progetto del paramento slu'!$G$53)</f>
        <v>81530555.071612313</v>
      </c>
      <c r="I261" s="479">
        <f>-'Foglio deposito bis'!$F$52*(C261-sezione!$AP$28)*IF(ABS(O261)&lt;'Progetto del paramento slu'!$G$58,ABS(O261)*'Progetto del paramento slu'!$G$54,'Progetto del paramento slu'!$G$53)</f>
        <v>62255072.748372421</v>
      </c>
      <c r="J261" s="479">
        <f t="shared" si="22"/>
        <v>174164194.30372387</v>
      </c>
      <c r="K261" s="558">
        <f>'Progetto del paramento slu'!$G$60*(sezione!$AL$28-C261)/C261</f>
        <v>8.2716383423740297E-2</v>
      </c>
      <c r="L261" s="558">
        <f>'Progetto del paramento slu'!$G$60*(sezione!$AM$28-C261)/C261</f>
        <v>0.3198114378390261</v>
      </c>
      <c r="M261" s="559">
        <f>'Progetto del paramento slu'!$G$60*(sezione!$AN$28-C261)/C261</f>
        <v>0.55690649225431199</v>
      </c>
      <c r="N261" s="559">
        <f>'Progetto del paramento slu'!$G$60*(sezione!$AO$28-C261)/C261</f>
        <v>0.72933925910179254</v>
      </c>
      <c r="O261" s="559">
        <f>'Progetto del paramento slu'!$G$60*(sezione!$AP$28-C261)/C261</f>
        <v>0.55690861657625934</v>
      </c>
      <c r="P261" s="553">
        <f>-'Progetto del paramento slu'!$G$47*'Progetto del paramento slu'!$G$41*IF(DATI!$G$218="dx",DATI!$E$61,DATI!$E$64*DATI!$E$63)*1000*C261*sezione!$AD$5</f>
        <v>-22889.206455122581</v>
      </c>
      <c r="Q261" s="553">
        <f>'Foglio deposito bis'!$F$48*IF(ABS(K261)&lt;'Progetto del paramento slu'!$G$58,ABS(K261)*'Progetto del paramento slu'!$G$54,'Progetto del paramento slu'!$G$53)*IF(K261&lt;0,-1,1)</f>
        <v>0</v>
      </c>
      <c r="R261" s="553">
        <f>'Foglio deposito bis'!$F$49*IF(ABS(L261)&lt;'Progetto del paramento slu'!$G$58,ABS(L261)*'Progetto del paramento slu'!$G$54,'Progetto del paramento slu'!$G$53)*IF(L261&lt;0,-1,1)</f>
        <v>204886.47740803001</v>
      </c>
      <c r="S261" s="553">
        <f>'Foglio deposito bis'!$F$50*IF(ABS(M261)&lt;'Progetto del paramento slu'!$G$58,ABS(M261)*'Progetto del paramento slu'!$G$54,'Progetto del paramento slu'!$G$53)*IF(M261&lt;0,-1,1)</f>
        <v>0</v>
      </c>
      <c r="T261" s="553">
        <f>'Foglio deposito bis'!$F$51*IF(ABS(N261)&lt;'Progetto del paramento slu'!$G$58,ABS(N261)*'Progetto del paramento slu'!$G$54,'Progetto del paramento slu'!$G$53)*IF(N261&lt;0,-1,1)</f>
        <v>240946.49743184328</v>
      </c>
      <c r="U261" s="553">
        <f>'Foglio deposito bis'!$F$52*IF(ABS(O261)&lt;'Progetto del paramento slu'!$G$58,ABS(O261)*'Progetto del paramento slu'!$G$54,'Progetto del paramento slu'!$G$53)*IF(O261&lt;0,-1,1)</f>
        <v>240946.49743184328</v>
      </c>
      <c r="V261" s="479">
        <f t="shared" si="25"/>
        <v>663890.26581659401</v>
      </c>
      <c r="W261" s="559"/>
      <c r="X261" s="559"/>
    </row>
    <row r="262" spans="1:24" x14ac:dyDescent="0.25">
      <c r="A262" s="553">
        <f t="shared" si="24"/>
        <v>661029.11500970367</v>
      </c>
      <c r="B262" s="3">
        <f t="shared" si="26"/>
        <v>0.44999999999999996</v>
      </c>
      <c r="C262" s="553">
        <f>'Foglio deposito bis'!$E$154/sezione!$B$247*B262</f>
        <v>1.8267989649474354</v>
      </c>
      <c r="D262" s="611">
        <f>-'Progetto del paramento slu'!$G$47*'Progetto del paramento slu'!$G$41*IF(DATI!$G$218="dx",DATI!$E$61,DATI!$E$64*DATI!$E$63)*1000*C262^2*sezione!$AD$5*(1-sezione!$AD$6)</f>
        <v>-27471.783980070766</v>
      </c>
      <c r="E262" s="553">
        <f>-'Foglio deposito bis'!$F$48*(C262-sezione!$AL$28)*IF(ABS(K262)&lt;'Progetto del paramento slu'!$G$58,ABS(K262)*'Progetto del paramento slu'!$G$54,'Progetto del paramento slu'!$G$53)</f>
        <v>0</v>
      </c>
      <c r="F262" s="553">
        <f>-'Foglio deposito bis'!$F$49*(C262-sezione!$AM$28)*IF(ABS(L262)&lt;'Progetto del paramento slu'!$G$58,ABS(L262)*'Progetto del paramento slu'!$G$54,'Progetto del paramento slu'!$G$53)</f>
        <v>30358685.206343785</v>
      </c>
      <c r="G262" s="553">
        <f>-'Foglio deposito bis'!$F$50*(C262-sezione!$AN$28)*IF(ABS(M262)&lt;'Progetto del paramento slu'!$G$58,ABS(M262)*'Progetto del paramento slu'!$G$54,'Progetto del paramento slu'!$G$53)</f>
        <v>0</v>
      </c>
      <c r="H262" s="553">
        <f>-'Foglio deposito bis'!$F$51*(C262-sezione!$AO$28)*IF(ABS(N262)&lt;'Progetto del paramento slu'!$G$58,ABS(N262)*'Progetto del paramento slu'!$G$54,'Progetto del paramento slu'!$G$53)</f>
        <v>81481648.314710513</v>
      </c>
      <c r="I262" s="479">
        <f>-'Foglio deposito bis'!$F$52*(C262-sezione!$AP$28)*IF(ABS(O262)&lt;'Progetto del paramento slu'!$G$58,ABS(O262)*'Progetto del paramento slu'!$G$54,'Progetto del paramento slu'!$G$53)</f>
        <v>62206165.991470613</v>
      </c>
      <c r="J262" s="479">
        <f t="shared" si="22"/>
        <v>174019027.72854483</v>
      </c>
      <c r="K262" s="558">
        <f>'Progetto del paramento slu'!$G$60*(sezione!$AL$28-C262)/C262</f>
        <v>7.3136785265546927E-2</v>
      </c>
      <c r="L262" s="558">
        <f>'Progetto del paramento slu'!$G$60*(sezione!$AM$28-C262)/C262</f>
        <v>0.28388794474580098</v>
      </c>
      <c r="M262" s="559">
        <f>'Progetto del paramento slu'!$G$60*(sezione!$AN$28-C262)/C262</f>
        <v>0.494639104226055</v>
      </c>
      <c r="N262" s="559">
        <f>'Progetto del paramento slu'!$G$60*(sezione!$AO$28-C262)/C262</f>
        <v>0.64791267475714887</v>
      </c>
      <c r="O262" s="559">
        <f>'Progetto del paramento slu'!$G$60*(sezione!$AP$28-C262)/C262</f>
        <v>0.49464099251223048</v>
      </c>
      <c r="P262" s="553">
        <f>-'Progetto del paramento slu'!$G$47*'Progetto del paramento slu'!$G$41*IF(DATI!$G$218="dx",DATI!$E$61,DATI!$E$64*DATI!$E$63)*1000*C262*sezione!$AD$5</f>
        <v>-25750.357262012905</v>
      </c>
      <c r="Q262" s="553">
        <f>'Foglio deposito bis'!$F$48*IF(ABS(K262)&lt;'Progetto del paramento slu'!$G$58,ABS(K262)*'Progetto del paramento slu'!$G$54,'Progetto del paramento slu'!$G$53)*IF(K262&lt;0,-1,1)</f>
        <v>0</v>
      </c>
      <c r="R262" s="553">
        <f>'Foglio deposito bis'!$F$49*IF(ABS(L262)&lt;'Progetto del paramento slu'!$G$58,ABS(L262)*'Progetto del paramento slu'!$G$54,'Progetto del paramento slu'!$G$53)*IF(L262&lt;0,-1,1)</f>
        <v>204886.47740803001</v>
      </c>
      <c r="S262" s="553">
        <f>'Foglio deposito bis'!$F$50*IF(ABS(M262)&lt;'Progetto del paramento slu'!$G$58,ABS(M262)*'Progetto del paramento slu'!$G$54,'Progetto del paramento slu'!$G$53)*IF(M262&lt;0,-1,1)</f>
        <v>0</v>
      </c>
      <c r="T262" s="553">
        <f>'Foglio deposito bis'!$F$51*IF(ABS(N262)&lt;'Progetto del paramento slu'!$G$58,ABS(N262)*'Progetto del paramento slu'!$G$54,'Progetto del paramento slu'!$G$53)*IF(N262&lt;0,-1,1)</f>
        <v>240946.49743184328</v>
      </c>
      <c r="U262" s="553">
        <f>'Foglio deposito bis'!$F$52*IF(ABS(O262)&lt;'Progetto del paramento slu'!$G$58,ABS(O262)*'Progetto del paramento slu'!$G$54,'Progetto del paramento slu'!$G$53)*IF(O262&lt;0,-1,1)</f>
        <v>240946.49743184328</v>
      </c>
      <c r="V262" s="479">
        <f t="shared" si="25"/>
        <v>661029.11500970367</v>
      </c>
      <c r="W262" s="559"/>
      <c r="X262" s="559"/>
    </row>
    <row r="263" spans="1:24" x14ac:dyDescent="0.25">
      <c r="A263" s="553">
        <f t="shared" si="24"/>
        <v>658167.96420281334</v>
      </c>
      <c r="B263" s="3">
        <f t="shared" si="26"/>
        <v>0.49999999999999994</v>
      </c>
      <c r="C263" s="553">
        <f>'Foglio deposito bis'!$E$154/sezione!$B$247*B263</f>
        <v>2.0297766277193725</v>
      </c>
      <c r="D263" s="611">
        <f>-'Progetto del paramento slu'!$G$47*'Progetto del paramento slu'!$G$41*IF(DATI!$G$218="dx",DATI!$E$61,DATI!$E$64*DATI!$E$63)*1000*C263^2*sezione!$AD$5*(1-sezione!$AD$6)</f>
        <v>-33915.782691445384</v>
      </c>
      <c r="E263" s="553">
        <f>-'Foglio deposito bis'!$F$48*(C263-sezione!$AL$28)*IF(ABS(K263)&lt;'Progetto del paramento slu'!$G$58,ABS(K263)*'Progetto del paramento slu'!$G$54,'Progetto del paramento slu'!$G$53)</f>
        <v>0</v>
      </c>
      <c r="F263" s="553">
        <f>-'Foglio deposito bis'!$F$49*(C263-sezione!$AM$28)*IF(ABS(L263)&lt;'Progetto del paramento slu'!$G$58,ABS(L263)*'Progetto del paramento slu'!$G$54,'Progetto del paramento slu'!$G$53)</f>
        <v>30317097.82802593</v>
      </c>
      <c r="G263" s="553">
        <f>-'Foglio deposito bis'!$F$50*(C263-sezione!$AN$28)*IF(ABS(M263)&lt;'Progetto del paramento slu'!$G$58,ABS(M263)*'Progetto del paramento slu'!$G$54,'Progetto del paramento slu'!$G$53)</f>
        <v>0</v>
      </c>
      <c r="H263" s="553">
        <f>-'Foglio deposito bis'!$F$51*(C263-sezione!$AO$28)*IF(ABS(N263)&lt;'Progetto del paramento slu'!$G$58,ABS(N263)*'Progetto del paramento slu'!$G$54,'Progetto del paramento slu'!$G$53)</f>
        <v>81432741.557808712</v>
      </c>
      <c r="I263" s="479">
        <f>-'Foglio deposito bis'!$F$52*(C263-sezione!$AP$28)*IF(ABS(O263)&lt;'Progetto del paramento slu'!$G$58,ABS(O263)*'Progetto del paramento slu'!$G$54,'Progetto del paramento slu'!$G$53)</f>
        <v>62157259.234568805</v>
      </c>
      <c r="J263" s="479">
        <f t="shared" si="22"/>
        <v>173873182.83771199</v>
      </c>
      <c r="K263" s="558">
        <f>'Progetto del paramento slu'!$G$60*(sezione!$AL$28-C263)/C263</f>
        <v>6.5473106738992246E-2</v>
      </c>
      <c r="L263" s="558">
        <f>'Progetto del paramento slu'!$G$60*(sezione!$AM$28-C263)/C263</f>
        <v>0.25514915027122093</v>
      </c>
      <c r="M263" s="559">
        <f>'Progetto del paramento slu'!$G$60*(sezione!$AN$28-C263)/C263</f>
        <v>0.44482519380344954</v>
      </c>
      <c r="N263" s="559">
        <f>'Progetto del paramento slu'!$G$60*(sezione!$AO$28-C263)/C263</f>
        <v>0.58277140728143406</v>
      </c>
      <c r="O263" s="559">
        <f>'Progetto del paramento slu'!$G$60*(sezione!$AP$28-C263)/C263</f>
        <v>0.44482689326100744</v>
      </c>
      <c r="P263" s="553">
        <f>-'Progetto del paramento slu'!$G$47*'Progetto del paramento slu'!$G$41*IF(DATI!$G$218="dx",DATI!$E$61,DATI!$E$64*DATI!$E$63)*1000*C263*sezione!$AD$5</f>
        <v>-28611.508068903226</v>
      </c>
      <c r="Q263" s="553">
        <f>'Foglio deposito bis'!$F$48*IF(ABS(K263)&lt;'Progetto del paramento slu'!$G$58,ABS(K263)*'Progetto del paramento slu'!$G$54,'Progetto del paramento slu'!$G$53)*IF(K263&lt;0,-1,1)</f>
        <v>0</v>
      </c>
      <c r="R263" s="553">
        <f>'Foglio deposito bis'!$F$49*IF(ABS(L263)&lt;'Progetto del paramento slu'!$G$58,ABS(L263)*'Progetto del paramento slu'!$G$54,'Progetto del paramento slu'!$G$53)*IF(L263&lt;0,-1,1)</f>
        <v>204886.47740803001</v>
      </c>
      <c r="S263" s="553">
        <f>'Foglio deposito bis'!$F$50*IF(ABS(M263)&lt;'Progetto del paramento slu'!$G$58,ABS(M263)*'Progetto del paramento slu'!$G$54,'Progetto del paramento slu'!$G$53)*IF(M263&lt;0,-1,1)</f>
        <v>0</v>
      </c>
      <c r="T263" s="553">
        <f>'Foglio deposito bis'!$F$51*IF(ABS(N263)&lt;'Progetto del paramento slu'!$G$58,ABS(N263)*'Progetto del paramento slu'!$G$54,'Progetto del paramento slu'!$G$53)*IF(N263&lt;0,-1,1)</f>
        <v>240946.49743184328</v>
      </c>
      <c r="U263" s="553">
        <f>'Foglio deposito bis'!$F$52*IF(ABS(O263)&lt;'Progetto del paramento slu'!$G$58,ABS(O263)*'Progetto del paramento slu'!$G$54,'Progetto del paramento slu'!$G$53)*IF(O263&lt;0,-1,1)</f>
        <v>240946.49743184328</v>
      </c>
      <c r="V263" s="479">
        <f t="shared" si="25"/>
        <v>658167.96420281334</v>
      </c>
      <c r="W263" s="559"/>
      <c r="X263" s="559"/>
    </row>
    <row r="264" spans="1:24" x14ac:dyDescent="0.25">
      <c r="A264" s="553">
        <f t="shared" si="24"/>
        <v>655306.813395923</v>
      </c>
      <c r="B264" s="3">
        <f t="shared" si="26"/>
        <v>0.54999999999999993</v>
      </c>
      <c r="C264" s="553">
        <f>'Foglio deposito bis'!$E$154/sezione!$B$247*B264</f>
        <v>2.23275429049131</v>
      </c>
      <c r="D264" s="611">
        <f>-'Progetto del paramento slu'!$G$47*'Progetto del paramento slu'!$G$41*IF(DATI!$G$218="dx",DATI!$E$61,DATI!$E$64*DATI!$E$63)*1000*C264^2*sezione!$AD$5*(1-sezione!$AD$6)</f>
        <v>-41038.09705664892</v>
      </c>
      <c r="E264" s="553">
        <f>-'Foglio deposito bis'!$F$48*(C264-sezione!$AL$28)*IF(ABS(K264)&lt;'Progetto del paramento slu'!$G$58,ABS(K264)*'Progetto del paramento slu'!$G$54,'Progetto del paramento slu'!$G$53)</f>
        <v>0</v>
      </c>
      <c r="F264" s="553">
        <f>-'Foglio deposito bis'!$F$49*(C264-sezione!$AM$28)*IF(ABS(L264)&lt;'Progetto del paramento slu'!$G$58,ABS(L264)*'Progetto del paramento slu'!$G$54,'Progetto del paramento slu'!$G$53)</f>
        <v>30275510.449708071</v>
      </c>
      <c r="G264" s="553">
        <f>-'Foglio deposito bis'!$F$50*(C264-sezione!$AN$28)*IF(ABS(M264)&lt;'Progetto del paramento slu'!$G$58,ABS(M264)*'Progetto del paramento slu'!$G$54,'Progetto del paramento slu'!$G$53)</f>
        <v>0</v>
      </c>
      <c r="H264" s="553">
        <f>-'Foglio deposito bis'!$F$51*(C264-sezione!$AO$28)*IF(ABS(N264)&lt;'Progetto del paramento slu'!$G$58,ABS(N264)*'Progetto del paramento slu'!$G$54,'Progetto del paramento slu'!$G$53)</f>
        <v>81383834.800906911</v>
      </c>
      <c r="I264" s="479">
        <f>-'Foglio deposito bis'!$F$52*(C264-sezione!$AP$28)*IF(ABS(O264)&lt;'Progetto del paramento slu'!$G$58,ABS(O264)*'Progetto del paramento slu'!$G$54,'Progetto del paramento slu'!$G$53)</f>
        <v>62108352.477667019</v>
      </c>
      <c r="J264" s="479">
        <f t="shared" si="22"/>
        <v>173726659.63122535</v>
      </c>
      <c r="K264" s="558">
        <f>'Progetto del paramento slu'!$G$60*(sezione!$AL$28-C264)/C264</f>
        <v>5.9202824308174765E-2</v>
      </c>
      <c r="L264" s="558">
        <f>'Progetto del paramento slu'!$G$60*(sezione!$AM$28-C264)/C264</f>
        <v>0.23163559115565535</v>
      </c>
      <c r="M264" s="559">
        <f>'Progetto del paramento slu'!$G$60*(sezione!$AN$28-C264)/C264</f>
        <v>0.40406835800313595</v>
      </c>
      <c r="N264" s="559">
        <f>'Progetto del paramento slu'!$G$60*(sezione!$AO$28-C264)/C264</f>
        <v>0.52947400661948552</v>
      </c>
      <c r="O264" s="559">
        <f>'Progetto del paramento slu'!$G$60*(sezione!$AP$28-C264)/C264</f>
        <v>0.4040699029645522</v>
      </c>
      <c r="P264" s="553">
        <f>-'Progetto del paramento slu'!$G$47*'Progetto del paramento slu'!$G$41*IF(DATI!$G$218="dx",DATI!$E$61,DATI!$E$64*DATI!$E$63)*1000*C264*sezione!$AD$5</f>
        <v>-31472.65887579355</v>
      </c>
      <c r="Q264" s="553">
        <f>'Foglio deposito bis'!$F$48*IF(ABS(K264)&lt;'Progetto del paramento slu'!$G$58,ABS(K264)*'Progetto del paramento slu'!$G$54,'Progetto del paramento slu'!$G$53)*IF(K264&lt;0,-1,1)</f>
        <v>0</v>
      </c>
      <c r="R264" s="553">
        <f>'Foglio deposito bis'!$F$49*IF(ABS(L264)&lt;'Progetto del paramento slu'!$G$58,ABS(L264)*'Progetto del paramento slu'!$G$54,'Progetto del paramento slu'!$G$53)*IF(L264&lt;0,-1,1)</f>
        <v>204886.47740803001</v>
      </c>
      <c r="S264" s="553">
        <f>'Foglio deposito bis'!$F$50*IF(ABS(M264)&lt;'Progetto del paramento slu'!$G$58,ABS(M264)*'Progetto del paramento slu'!$G$54,'Progetto del paramento slu'!$G$53)*IF(M264&lt;0,-1,1)</f>
        <v>0</v>
      </c>
      <c r="T264" s="553">
        <f>'Foglio deposito bis'!$F$51*IF(ABS(N264)&lt;'Progetto del paramento slu'!$G$58,ABS(N264)*'Progetto del paramento slu'!$G$54,'Progetto del paramento slu'!$G$53)*IF(N264&lt;0,-1,1)</f>
        <v>240946.49743184328</v>
      </c>
      <c r="U264" s="553">
        <f>'Foglio deposito bis'!$F$52*IF(ABS(O264)&lt;'Progetto del paramento slu'!$G$58,ABS(O264)*'Progetto del paramento slu'!$G$54,'Progetto del paramento slu'!$G$53)*IF(O264&lt;0,-1,1)</f>
        <v>240946.49743184328</v>
      </c>
      <c r="V264" s="479">
        <f t="shared" si="25"/>
        <v>655306.813395923</v>
      </c>
      <c r="W264" s="559"/>
      <c r="X264" s="559"/>
    </row>
    <row r="265" spans="1:24" x14ac:dyDescent="0.25">
      <c r="A265" s="553">
        <f t="shared" si="24"/>
        <v>652445.66258903267</v>
      </c>
      <c r="B265" s="3">
        <f t="shared" si="26"/>
        <v>0.6</v>
      </c>
      <c r="C265" s="553">
        <f>'Foglio deposito bis'!$E$154/sezione!$B$247*B265</f>
        <v>2.4357319532632475</v>
      </c>
      <c r="D265" s="611">
        <f>-'Progetto del paramento slu'!$G$47*'Progetto del paramento slu'!$G$41*IF(DATI!$G$218="dx",DATI!$E$61,DATI!$E$64*DATI!$E$63)*1000*C265^2*sezione!$AD$5*(1-sezione!$AD$6)</f>
        <v>-48838.727075681374</v>
      </c>
      <c r="E265" s="553">
        <f>-'Foglio deposito bis'!$F$48*(C265-sezione!$AL$28)*IF(ABS(K265)&lt;'Progetto del paramento slu'!$G$58,ABS(K265)*'Progetto del paramento slu'!$G$54,'Progetto del paramento slu'!$G$53)</f>
        <v>0</v>
      </c>
      <c r="F265" s="553">
        <f>-'Foglio deposito bis'!$F$49*(C265-sezione!$AM$28)*IF(ABS(L265)&lt;'Progetto del paramento slu'!$G$58,ABS(L265)*'Progetto del paramento slu'!$G$54,'Progetto del paramento slu'!$G$53)</f>
        <v>30233923.071390212</v>
      </c>
      <c r="G265" s="553">
        <f>-'Foglio deposito bis'!$F$50*(C265-sezione!$AN$28)*IF(ABS(M265)&lt;'Progetto del paramento slu'!$G$58,ABS(M265)*'Progetto del paramento slu'!$G$54,'Progetto del paramento slu'!$G$53)</f>
        <v>0</v>
      </c>
      <c r="H265" s="553">
        <f>-'Foglio deposito bis'!$F$51*(C265-sezione!$AO$28)*IF(ABS(N265)&lt;'Progetto del paramento slu'!$G$58,ABS(N265)*'Progetto del paramento slu'!$G$54,'Progetto del paramento slu'!$G$53)</f>
        <v>81334928.044005111</v>
      </c>
      <c r="I265" s="479">
        <f>-'Foglio deposito bis'!$F$52*(C265-sezione!$AP$28)*IF(ABS(O265)&lt;'Progetto del paramento slu'!$G$58,ABS(O265)*'Progetto del paramento slu'!$G$54,'Progetto del paramento slu'!$G$53)</f>
        <v>62059445.720765211</v>
      </c>
      <c r="J265" s="479">
        <f t="shared" si="22"/>
        <v>173579458.10908484</v>
      </c>
      <c r="K265" s="558">
        <f>'Progetto del paramento slu'!$G$60*(sezione!$AL$28-C265)/C265</f>
        <v>5.3977588949160188E-2</v>
      </c>
      <c r="L265" s="558">
        <f>'Progetto del paramento slu'!$G$60*(sezione!$AM$28-C265)/C265</f>
        <v>0.21204095855935071</v>
      </c>
      <c r="M265" s="559">
        <f>'Progetto del paramento slu'!$G$60*(sezione!$AN$28-C265)/C265</f>
        <v>0.3701043281695412</v>
      </c>
      <c r="N265" s="559">
        <f>'Progetto del paramento slu'!$G$60*(sezione!$AO$28-C265)/C265</f>
        <v>0.48505950606786158</v>
      </c>
      <c r="O265" s="559">
        <f>'Progetto del paramento slu'!$G$60*(sezione!$AP$28-C265)/C265</f>
        <v>0.37010574438417282</v>
      </c>
      <c r="P265" s="553">
        <f>-'Progetto del paramento slu'!$G$47*'Progetto del paramento slu'!$G$41*IF(DATI!$G$218="dx",DATI!$E$61,DATI!$E$64*DATI!$E$63)*1000*C265*sezione!$AD$5</f>
        <v>-34333.809682683881</v>
      </c>
      <c r="Q265" s="553">
        <f>'Foglio deposito bis'!$F$48*IF(ABS(K265)&lt;'Progetto del paramento slu'!$G$58,ABS(K265)*'Progetto del paramento slu'!$G$54,'Progetto del paramento slu'!$G$53)*IF(K265&lt;0,-1,1)</f>
        <v>0</v>
      </c>
      <c r="R265" s="553">
        <f>'Foglio deposito bis'!$F$49*IF(ABS(L265)&lt;'Progetto del paramento slu'!$G$58,ABS(L265)*'Progetto del paramento slu'!$G$54,'Progetto del paramento slu'!$G$53)*IF(L265&lt;0,-1,1)</f>
        <v>204886.47740803001</v>
      </c>
      <c r="S265" s="553">
        <f>'Foglio deposito bis'!$F$50*IF(ABS(M265)&lt;'Progetto del paramento slu'!$G$58,ABS(M265)*'Progetto del paramento slu'!$G$54,'Progetto del paramento slu'!$G$53)*IF(M265&lt;0,-1,1)</f>
        <v>0</v>
      </c>
      <c r="T265" s="553">
        <f>'Foglio deposito bis'!$F$51*IF(ABS(N265)&lt;'Progetto del paramento slu'!$G$58,ABS(N265)*'Progetto del paramento slu'!$G$54,'Progetto del paramento slu'!$G$53)*IF(N265&lt;0,-1,1)</f>
        <v>240946.49743184328</v>
      </c>
      <c r="U265" s="553">
        <f>'Foglio deposito bis'!$F$52*IF(ABS(O265)&lt;'Progetto del paramento slu'!$G$58,ABS(O265)*'Progetto del paramento slu'!$G$54,'Progetto del paramento slu'!$G$53)*IF(O265&lt;0,-1,1)</f>
        <v>240946.49743184328</v>
      </c>
      <c r="V265" s="479">
        <f t="shared" si="25"/>
        <v>652445.66258903267</v>
      </c>
      <c r="W265" s="559"/>
      <c r="X265" s="559"/>
    </row>
    <row r="266" spans="1:24" x14ac:dyDescent="0.25">
      <c r="A266" s="553">
        <f t="shared" si="24"/>
        <v>649584.51178214233</v>
      </c>
      <c r="B266" s="3">
        <f t="shared" si="26"/>
        <v>0.65</v>
      </c>
      <c r="C266" s="553">
        <f>'Foglio deposito bis'!$E$154/sezione!$B$247*B266</f>
        <v>2.6387096160351851</v>
      </c>
      <c r="D266" s="611">
        <f>-'Progetto del paramento slu'!$G$47*'Progetto del paramento slu'!$G$41*IF(DATI!$G$218="dx",DATI!$E$61,DATI!$E$64*DATI!$E$63)*1000*C266^2*sezione!$AD$5*(1-sezione!$AD$6)</f>
        <v>-57317.672748542733</v>
      </c>
      <c r="E266" s="553">
        <f>-'Foglio deposito bis'!$F$48*(C266-sezione!$AL$28)*IF(ABS(K266)&lt;'Progetto del paramento slu'!$G$58,ABS(K266)*'Progetto del paramento slu'!$G$54,'Progetto del paramento slu'!$G$53)</f>
        <v>0</v>
      </c>
      <c r="F266" s="553">
        <f>-'Foglio deposito bis'!$F$49*(C266-sezione!$AM$28)*IF(ABS(L266)&lt;'Progetto del paramento slu'!$G$58,ABS(L266)*'Progetto del paramento slu'!$G$54,'Progetto del paramento slu'!$G$53)</f>
        <v>30192335.69307236</v>
      </c>
      <c r="G266" s="553">
        <f>-'Foglio deposito bis'!$F$50*(C266-sezione!$AN$28)*IF(ABS(M266)&lt;'Progetto del paramento slu'!$G$58,ABS(M266)*'Progetto del paramento slu'!$G$54,'Progetto del paramento slu'!$G$53)</f>
        <v>0</v>
      </c>
      <c r="H266" s="553">
        <f>-'Foglio deposito bis'!$F$51*(C266-sezione!$AO$28)*IF(ABS(N266)&lt;'Progetto del paramento slu'!$G$58,ABS(N266)*'Progetto del paramento slu'!$G$54,'Progetto del paramento slu'!$G$53)</f>
        <v>81286021.287103325</v>
      </c>
      <c r="I266" s="479">
        <f>-'Foglio deposito bis'!$F$52*(C266-sezione!$AP$28)*IF(ABS(O266)&lt;'Progetto del paramento slu'!$G$58,ABS(O266)*'Progetto del paramento slu'!$G$54,'Progetto del paramento slu'!$G$53)</f>
        <v>62010538.963863418</v>
      </c>
      <c r="J266" s="479">
        <f t="shared" si="22"/>
        <v>173431578.27129054</v>
      </c>
      <c r="K266" s="558">
        <f>'Progetto del paramento slu'!$G$60*(sezione!$AL$28-C266)/C266</f>
        <v>4.9556235953070939E-2</v>
      </c>
      <c r="L266" s="558">
        <f>'Progetto del paramento slu'!$G$60*(sezione!$AM$28-C266)/C266</f>
        <v>0.19546088482401602</v>
      </c>
      <c r="M266" s="559">
        <f>'Progetto del paramento slu'!$G$60*(sezione!$AN$28-C266)/C266</f>
        <v>0.34136553369496114</v>
      </c>
      <c r="N266" s="559">
        <f>'Progetto del paramento slu'!$G$60*(sezione!$AO$28-C266)/C266</f>
        <v>0.44747800560110301</v>
      </c>
      <c r="O266" s="559">
        <f>'Progetto del paramento slu'!$G$60*(sezione!$AP$28-C266)/C266</f>
        <v>0.34136684097000569</v>
      </c>
      <c r="P266" s="553">
        <f>-'Progetto del paramento slu'!$G$47*'Progetto del paramento slu'!$G$41*IF(DATI!$G$218="dx",DATI!$E$61,DATI!$E$64*DATI!$E$63)*1000*C266*sezione!$AD$5</f>
        <v>-37194.960489574201</v>
      </c>
      <c r="Q266" s="553">
        <f>'Foglio deposito bis'!$F$48*IF(ABS(K266)&lt;'Progetto del paramento slu'!$G$58,ABS(K266)*'Progetto del paramento slu'!$G$54,'Progetto del paramento slu'!$G$53)*IF(K266&lt;0,-1,1)</f>
        <v>0</v>
      </c>
      <c r="R266" s="553">
        <f>'Foglio deposito bis'!$F$49*IF(ABS(L266)&lt;'Progetto del paramento slu'!$G$58,ABS(L266)*'Progetto del paramento slu'!$G$54,'Progetto del paramento slu'!$G$53)*IF(L266&lt;0,-1,1)</f>
        <v>204886.47740803001</v>
      </c>
      <c r="S266" s="553">
        <f>'Foglio deposito bis'!$F$50*IF(ABS(M266)&lt;'Progetto del paramento slu'!$G$58,ABS(M266)*'Progetto del paramento slu'!$G$54,'Progetto del paramento slu'!$G$53)*IF(M266&lt;0,-1,1)</f>
        <v>0</v>
      </c>
      <c r="T266" s="553">
        <f>'Foglio deposito bis'!$F$51*IF(ABS(N266)&lt;'Progetto del paramento slu'!$G$58,ABS(N266)*'Progetto del paramento slu'!$G$54,'Progetto del paramento slu'!$G$53)*IF(N266&lt;0,-1,1)</f>
        <v>240946.49743184328</v>
      </c>
      <c r="U266" s="553">
        <f>'Foglio deposito bis'!$F$52*IF(ABS(O266)&lt;'Progetto del paramento slu'!$G$58,ABS(O266)*'Progetto del paramento slu'!$G$54,'Progetto del paramento slu'!$G$53)*IF(O266&lt;0,-1,1)</f>
        <v>240946.49743184328</v>
      </c>
      <c r="V266" s="479">
        <f t="shared" si="25"/>
        <v>649584.51178214233</v>
      </c>
      <c r="W266" s="559"/>
      <c r="X266" s="559"/>
    </row>
    <row r="267" spans="1:24" x14ac:dyDescent="0.25">
      <c r="A267" s="553">
        <f t="shared" si="24"/>
        <v>646723.36097525212</v>
      </c>
      <c r="B267" s="3">
        <f t="shared" si="26"/>
        <v>0.70000000000000007</v>
      </c>
      <c r="C267" s="553">
        <f>'Foglio deposito bis'!$E$154/sezione!$B$247*B267</f>
        <v>2.8416872788071226</v>
      </c>
      <c r="D267" s="611">
        <f>-'Progetto del paramento slu'!$G$47*'Progetto del paramento slu'!$G$41*IF(DATI!$G$218="dx",DATI!$E$61,DATI!$E$64*DATI!$E$63)*1000*C267^2*sezione!$AD$5*(1-sezione!$AD$6)</f>
        <v>-66474.934075233003</v>
      </c>
      <c r="E267" s="553">
        <f>-'Foglio deposito bis'!$F$48*(C267-sezione!$AL$28)*IF(ABS(K267)&lt;'Progetto del paramento slu'!$G$58,ABS(K267)*'Progetto del paramento slu'!$G$54,'Progetto del paramento slu'!$G$53)</f>
        <v>0</v>
      </c>
      <c r="F267" s="553">
        <f>-'Foglio deposito bis'!$F$49*(C267-sezione!$AM$28)*IF(ABS(L267)&lt;'Progetto del paramento slu'!$G$58,ABS(L267)*'Progetto del paramento slu'!$G$54,'Progetto del paramento slu'!$G$53)</f>
        <v>30150748.314754501</v>
      </c>
      <c r="G267" s="553">
        <f>-'Foglio deposito bis'!$F$50*(C267-sezione!$AN$28)*IF(ABS(M267)&lt;'Progetto del paramento slu'!$G$58,ABS(M267)*'Progetto del paramento slu'!$G$54,'Progetto del paramento slu'!$G$53)</f>
        <v>0</v>
      </c>
      <c r="H267" s="553">
        <f>-'Foglio deposito bis'!$F$51*(C267-sezione!$AO$28)*IF(ABS(N267)&lt;'Progetto del paramento slu'!$G$58,ABS(N267)*'Progetto del paramento slu'!$G$54,'Progetto del paramento slu'!$G$53)</f>
        <v>81237114.53020151</v>
      </c>
      <c r="I267" s="479">
        <f>-'Foglio deposito bis'!$F$52*(C267-sezione!$AP$28)*IF(ABS(O267)&lt;'Progetto del paramento slu'!$G$58,ABS(O267)*'Progetto del paramento slu'!$G$54,'Progetto del paramento slu'!$G$53)</f>
        <v>61961632.206961624</v>
      </c>
      <c r="J267" s="479">
        <f t="shared" si="22"/>
        <v>173283020.11784241</v>
      </c>
      <c r="K267" s="558">
        <f>'Progetto del paramento slu'!$G$60*(sezione!$AL$28-C267)/C267</f>
        <v>4.5766504813565867E-2</v>
      </c>
      <c r="L267" s="558">
        <f>'Progetto del paramento slu'!$G$60*(sezione!$AM$28-C267)/C267</f>
        <v>0.18124939305087201</v>
      </c>
      <c r="M267" s="559">
        <f>'Progetto del paramento slu'!$G$60*(sezione!$AN$28-C267)/C267</f>
        <v>0.31673228128817815</v>
      </c>
      <c r="N267" s="559">
        <f>'Progetto del paramento slu'!$G$60*(sezione!$AO$28-C267)/C267</f>
        <v>0.41526529091530989</v>
      </c>
      <c r="O267" s="559">
        <f>'Progetto del paramento slu'!$G$60*(sezione!$AP$28-C267)/C267</f>
        <v>0.31673349518643379</v>
      </c>
      <c r="P267" s="553">
        <f>-'Progetto del paramento slu'!$G$47*'Progetto del paramento slu'!$G$41*IF(DATI!$G$218="dx",DATI!$E$61,DATI!$E$64*DATI!$E$63)*1000*C267*sezione!$AD$5</f>
        <v>-40056.111296464529</v>
      </c>
      <c r="Q267" s="553">
        <f>'Foglio deposito bis'!$F$48*IF(ABS(K267)&lt;'Progetto del paramento slu'!$G$58,ABS(K267)*'Progetto del paramento slu'!$G$54,'Progetto del paramento slu'!$G$53)*IF(K267&lt;0,-1,1)</f>
        <v>0</v>
      </c>
      <c r="R267" s="553">
        <f>'Foglio deposito bis'!$F$49*IF(ABS(L267)&lt;'Progetto del paramento slu'!$G$58,ABS(L267)*'Progetto del paramento slu'!$G$54,'Progetto del paramento slu'!$G$53)*IF(L267&lt;0,-1,1)</f>
        <v>204886.47740803001</v>
      </c>
      <c r="S267" s="553">
        <f>'Foglio deposito bis'!$F$50*IF(ABS(M267)&lt;'Progetto del paramento slu'!$G$58,ABS(M267)*'Progetto del paramento slu'!$G$54,'Progetto del paramento slu'!$G$53)*IF(M267&lt;0,-1,1)</f>
        <v>0</v>
      </c>
      <c r="T267" s="553">
        <f>'Foglio deposito bis'!$F$51*IF(ABS(N267)&lt;'Progetto del paramento slu'!$G$58,ABS(N267)*'Progetto del paramento slu'!$G$54,'Progetto del paramento slu'!$G$53)*IF(N267&lt;0,-1,1)</f>
        <v>240946.49743184328</v>
      </c>
      <c r="U267" s="553">
        <f>'Foglio deposito bis'!$F$52*IF(ABS(O267)&lt;'Progetto del paramento slu'!$G$58,ABS(O267)*'Progetto del paramento slu'!$G$54,'Progetto del paramento slu'!$G$53)*IF(O267&lt;0,-1,1)</f>
        <v>240946.49743184328</v>
      </c>
      <c r="V267" s="479">
        <f t="shared" si="25"/>
        <v>646723.36097525212</v>
      </c>
      <c r="W267" s="559"/>
      <c r="X267" s="559"/>
    </row>
    <row r="268" spans="1:24" x14ac:dyDescent="0.25">
      <c r="A268" s="553">
        <f t="shared" si="24"/>
        <v>643862.21016836178</v>
      </c>
      <c r="B268" s="3">
        <f t="shared" si="26"/>
        <v>0.75000000000000011</v>
      </c>
      <c r="C268" s="553">
        <f>'Foglio deposito bis'!$E$154/sezione!$B$247*B268</f>
        <v>3.0446649415790601</v>
      </c>
      <c r="D268" s="611">
        <f>-'Progetto del paramento slu'!$G$47*'Progetto del paramento slu'!$G$41*IF(DATI!$G$218="dx",DATI!$E$61,DATI!$E$64*DATI!$E$63)*1000*C268^2*sezione!$AD$5*(1-sezione!$AD$6)</f>
        <v>-76310.511055752184</v>
      </c>
      <c r="E268" s="553">
        <f>-'Foglio deposito bis'!$F$48*(C268-sezione!$AL$28)*IF(ABS(K268)&lt;'Progetto del paramento slu'!$G$58,ABS(K268)*'Progetto del paramento slu'!$G$54,'Progetto del paramento slu'!$G$53)</f>
        <v>0</v>
      </c>
      <c r="F268" s="553">
        <f>-'Foglio deposito bis'!$F$49*(C268-sezione!$AM$28)*IF(ABS(L268)&lt;'Progetto del paramento slu'!$G$58,ABS(L268)*'Progetto del paramento slu'!$G$54,'Progetto del paramento slu'!$G$53)</f>
        <v>30109160.936436642</v>
      </c>
      <c r="G268" s="553">
        <f>-'Foglio deposito bis'!$F$50*(C268-sezione!$AN$28)*IF(ABS(M268)&lt;'Progetto del paramento slu'!$G$58,ABS(M268)*'Progetto del paramento slu'!$G$54,'Progetto del paramento slu'!$G$53)</f>
        <v>0</v>
      </c>
      <c r="H268" s="553">
        <f>-'Foglio deposito bis'!$F$51*(C268-sezione!$AO$28)*IF(ABS(N268)&lt;'Progetto del paramento slu'!$G$58,ABS(N268)*'Progetto del paramento slu'!$G$54,'Progetto del paramento slu'!$G$53)</f>
        <v>81188207.773299709</v>
      </c>
      <c r="I268" s="479">
        <f>-'Foglio deposito bis'!$F$52*(C268-sezione!$AP$28)*IF(ABS(O268)&lt;'Progetto del paramento slu'!$G$58,ABS(O268)*'Progetto del paramento slu'!$G$54,'Progetto del paramento slu'!$G$53)</f>
        <v>61912725.450059816</v>
      </c>
      <c r="J268" s="479">
        <f t="shared" si="22"/>
        <v>173133783.64874041</v>
      </c>
      <c r="K268" s="558">
        <f>'Progetto del paramento slu'!$G$60*(sezione!$AL$28-C268)/C268</f>
        <v>4.2482071159328144E-2</v>
      </c>
      <c r="L268" s="558">
        <f>'Progetto del paramento slu'!$G$60*(sezione!$AM$28-C268)/C268</f>
        <v>0.16893276684748051</v>
      </c>
      <c r="M268" s="559">
        <f>'Progetto del paramento slu'!$G$60*(sezione!$AN$28-C268)/C268</f>
        <v>0.29538346253563291</v>
      </c>
      <c r="N268" s="559">
        <f>'Progetto del paramento slu'!$G$60*(sezione!$AO$28-C268)/C268</f>
        <v>0.38734760485428921</v>
      </c>
      <c r="O268" s="559">
        <f>'Progetto del paramento slu'!$G$60*(sezione!$AP$28-C268)/C268</f>
        <v>0.29538459550733814</v>
      </c>
      <c r="P268" s="553">
        <f>-'Progetto del paramento slu'!$G$47*'Progetto del paramento slu'!$G$41*IF(DATI!$G$218="dx",DATI!$E$61,DATI!$E$64*DATI!$E$63)*1000*C268*sezione!$AD$5</f>
        <v>-42917.262103354857</v>
      </c>
      <c r="Q268" s="553">
        <f>'Foglio deposito bis'!$F$48*IF(ABS(K268)&lt;'Progetto del paramento slu'!$G$58,ABS(K268)*'Progetto del paramento slu'!$G$54,'Progetto del paramento slu'!$G$53)*IF(K268&lt;0,-1,1)</f>
        <v>0</v>
      </c>
      <c r="R268" s="553">
        <f>'Foglio deposito bis'!$F$49*IF(ABS(L268)&lt;'Progetto del paramento slu'!$G$58,ABS(L268)*'Progetto del paramento slu'!$G$54,'Progetto del paramento slu'!$G$53)*IF(L268&lt;0,-1,1)</f>
        <v>204886.47740803001</v>
      </c>
      <c r="S268" s="553">
        <f>'Foglio deposito bis'!$F$50*IF(ABS(M268)&lt;'Progetto del paramento slu'!$G$58,ABS(M268)*'Progetto del paramento slu'!$G$54,'Progetto del paramento slu'!$G$53)*IF(M268&lt;0,-1,1)</f>
        <v>0</v>
      </c>
      <c r="T268" s="553">
        <f>'Foglio deposito bis'!$F$51*IF(ABS(N268)&lt;'Progetto del paramento slu'!$G$58,ABS(N268)*'Progetto del paramento slu'!$G$54,'Progetto del paramento slu'!$G$53)*IF(N268&lt;0,-1,1)</f>
        <v>240946.49743184328</v>
      </c>
      <c r="U268" s="553">
        <f>'Foglio deposito bis'!$F$52*IF(ABS(O268)&lt;'Progetto del paramento slu'!$G$58,ABS(O268)*'Progetto del paramento slu'!$G$54,'Progetto del paramento slu'!$G$53)*IF(O268&lt;0,-1,1)</f>
        <v>240946.49743184328</v>
      </c>
      <c r="V268" s="479">
        <f t="shared" si="25"/>
        <v>643862.21016836178</v>
      </c>
      <c r="W268" s="559"/>
      <c r="X268" s="559"/>
    </row>
    <row r="269" spans="1:24" x14ac:dyDescent="0.25">
      <c r="A269" s="553">
        <f t="shared" si="24"/>
        <v>641001.05936147145</v>
      </c>
      <c r="B269" s="3">
        <f t="shared" si="26"/>
        <v>0.80000000000000016</v>
      </c>
      <c r="C269" s="553">
        <f>'Foglio deposito bis'!$E$154/sezione!$B$247*B269</f>
        <v>3.2476426043509972</v>
      </c>
      <c r="D269" s="611">
        <f>-'Progetto del paramento slu'!$G$47*'Progetto del paramento slu'!$G$41*IF(DATI!$G$218="dx",DATI!$E$61,DATI!$E$64*DATI!$E$63)*1000*C269^2*sezione!$AD$5*(1-sezione!$AD$6)</f>
        <v>-86824.403690100255</v>
      </c>
      <c r="E269" s="553">
        <f>-'Foglio deposito bis'!$F$48*(C269-sezione!$AL$28)*IF(ABS(K269)&lt;'Progetto del paramento slu'!$G$58,ABS(K269)*'Progetto del paramento slu'!$G$54,'Progetto del paramento slu'!$G$53)</f>
        <v>0</v>
      </c>
      <c r="F269" s="553">
        <f>-'Foglio deposito bis'!$F$49*(C269-sezione!$AM$28)*IF(ABS(L269)&lt;'Progetto del paramento slu'!$G$58,ABS(L269)*'Progetto del paramento slu'!$G$54,'Progetto del paramento slu'!$G$53)</f>
        <v>30067573.558118783</v>
      </c>
      <c r="G269" s="553">
        <f>-'Foglio deposito bis'!$F$50*(C269-sezione!$AN$28)*IF(ABS(M269)&lt;'Progetto del paramento slu'!$G$58,ABS(M269)*'Progetto del paramento slu'!$G$54,'Progetto del paramento slu'!$G$53)</f>
        <v>0</v>
      </c>
      <c r="H269" s="553">
        <f>-'Foglio deposito bis'!$F$51*(C269-sezione!$AO$28)*IF(ABS(N269)&lt;'Progetto del paramento slu'!$G$58,ABS(N269)*'Progetto del paramento slu'!$G$54,'Progetto del paramento slu'!$G$53)</f>
        <v>81139301.016397923</v>
      </c>
      <c r="I269" s="479">
        <f>-'Foglio deposito bis'!$F$52*(C269-sezione!$AP$28)*IF(ABS(O269)&lt;'Progetto del paramento slu'!$G$58,ABS(O269)*'Progetto del paramento slu'!$G$54,'Progetto del paramento slu'!$G$53)</f>
        <v>61863818.693158016</v>
      </c>
      <c r="J269" s="479">
        <f t="shared" si="22"/>
        <v>172983868.86398464</v>
      </c>
      <c r="K269" s="558">
        <f>'Progetto del paramento slu'!$G$60*(sezione!$AL$28-C269)/C269</f>
        <v>3.9608191711870133E-2</v>
      </c>
      <c r="L269" s="558">
        <f>'Progetto del paramento slu'!$G$60*(sezione!$AM$28-C269)/C269</f>
        <v>0.15815571891951302</v>
      </c>
      <c r="M269" s="559">
        <f>'Progetto del paramento slu'!$G$60*(sezione!$AN$28-C269)/C269</f>
        <v>0.27670324612715591</v>
      </c>
      <c r="N269" s="559">
        <f>'Progetto del paramento slu'!$G$60*(sezione!$AO$28-C269)/C269</f>
        <v>0.36291962955089618</v>
      </c>
      <c r="O269" s="559">
        <f>'Progetto del paramento slu'!$G$60*(sezione!$AP$28-C269)/C269</f>
        <v>0.27670430828812959</v>
      </c>
      <c r="P269" s="553">
        <f>-'Progetto del paramento slu'!$G$47*'Progetto del paramento slu'!$G$41*IF(DATI!$G$218="dx",DATI!$E$61,DATI!$E$64*DATI!$E$63)*1000*C269*sezione!$AD$5</f>
        <v>-45778.412910245177</v>
      </c>
      <c r="Q269" s="553">
        <f>'Foglio deposito bis'!$F$48*IF(ABS(K269)&lt;'Progetto del paramento slu'!$G$58,ABS(K269)*'Progetto del paramento slu'!$G$54,'Progetto del paramento slu'!$G$53)*IF(K269&lt;0,-1,1)</f>
        <v>0</v>
      </c>
      <c r="R269" s="553">
        <f>'Foglio deposito bis'!$F$49*IF(ABS(L269)&lt;'Progetto del paramento slu'!$G$58,ABS(L269)*'Progetto del paramento slu'!$G$54,'Progetto del paramento slu'!$G$53)*IF(L269&lt;0,-1,1)</f>
        <v>204886.47740803001</v>
      </c>
      <c r="S269" s="553">
        <f>'Foglio deposito bis'!$F$50*IF(ABS(M269)&lt;'Progetto del paramento slu'!$G$58,ABS(M269)*'Progetto del paramento slu'!$G$54,'Progetto del paramento slu'!$G$53)*IF(M269&lt;0,-1,1)</f>
        <v>0</v>
      </c>
      <c r="T269" s="553">
        <f>'Foglio deposito bis'!$F$51*IF(ABS(N269)&lt;'Progetto del paramento slu'!$G$58,ABS(N269)*'Progetto del paramento slu'!$G$54,'Progetto del paramento slu'!$G$53)*IF(N269&lt;0,-1,1)</f>
        <v>240946.49743184328</v>
      </c>
      <c r="U269" s="553">
        <f>'Foglio deposito bis'!$F$52*IF(ABS(O269)&lt;'Progetto del paramento slu'!$G$58,ABS(O269)*'Progetto del paramento slu'!$G$54,'Progetto del paramento slu'!$G$53)*IF(O269&lt;0,-1,1)</f>
        <v>240946.49743184328</v>
      </c>
      <c r="V269" s="479">
        <f t="shared" si="25"/>
        <v>641001.05936147145</v>
      </c>
      <c r="W269" s="559"/>
      <c r="X269" s="559"/>
    </row>
    <row r="270" spans="1:24" x14ac:dyDescent="0.25">
      <c r="A270" s="553">
        <f t="shared" si="24"/>
        <v>638139.90855458111</v>
      </c>
      <c r="B270" s="3">
        <f t="shared" si="26"/>
        <v>0.8500000000000002</v>
      </c>
      <c r="C270" s="553">
        <f>'Foglio deposito bis'!$E$154/sezione!$B$247*B270</f>
        <v>3.4506202671229347</v>
      </c>
      <c r="D270" s="611">
        <f>-'Progetto del paramento slu'!$G$47*'Progetto del paramento slu'!$G$41*IF(DATI!$G$218="dx",DATI!$E$61,DATI!$E$64*DATI!$E$63)*1000*C270^2*sezione!$AD$5*(1-sezione!$AD$6)</f>
        <v>-98016.611978277244</v>
      </c>
      <c r="E270" s="553">
        <f>-'Foglio deposito bis'!$F$48*(C270-sezione!$AL$28)*IF(ABS(K270)&lt;'Progetto del paramento slu'!$G$58,ABS(K270)*'Progetto del paramento slu'!$G$54,'Progetto del paramento slu'!$G$53)</f>
        <v>0</v>
      </c>
      <c r="F270" s="553">
        <f>-'Foglio deposito bis'!$F$49*(C270-sezione!$AM$28)*IF(ABS(L270)&lt;'Progetto del paramento slu'!$G$58,ABS(L270)*'Progetto del paramento slu'!$G$54,'Progetto del paramento slu'!$G$53)</f>
        <v>30025986.179800928</v>
      </c>
      <c r="G270" s="553">
        <f>-'Foglio deposito bis'!$F$50*(C270-sezione!$AN$28)*IF(ABS(M270)&lt;'Progetto del paramento slu'!$G$58,ABS(M270)*'Progetto del paramento slu'!$G$54,'Progetto del paramento slu'!$G$53)</f>
        <v>0</v>
      </c>
      <c r="H270" s="553">
        <f>-'Foglio deposito bis'!$F$51*(C270-sezione!$AO$28)*IF(ABS(N270)&lt;'Progetto del paramento slu'!$G$58,ABS(N270)*'Progetto del paramento slu'!$G$54,'Progetto del paramento slu'!$G$53)</f>
        <v>81090394.259496108</v>
      </c>
      <c r="I270" s="479">
        <f>-'Foglio deposito bis'!$F$52*(C270-sezione!$AP$28)*IF(ABS(O270)&lt;'Progetto del paramento slu'!$G$58,ABS(O270)*'Progetto del paramento slu'!$G$54,'Progetto del paramento slu'!$G$53)</f>
        <v>61814911.936256208</v>
      </c>
      <c r="J270" s="479">
        <f t="shared" si="22"/>
        <v>172833275.76357496</v>
      </c>
      <c r="K270" s="558">
        <f>'Progetto del paramento slu'!$G$60*(sezione!$AL$28-C270)/C270</f>
        <v>3.7072415728818947E-2</v>
      </c>
      <c r="L270" s="558">
        <f>'Progetto del paramento slu'!$G$60*(sezione!$AM$28-C270)/C270</f>
        <v>0.14864655898307108</v>
      </c>
      <c r="M270" s="559">
        <f>'Progetto del paramento slu'!$G$60*(sezione!$AN$28-C270)/C270</f>
        <v>0.26022070223732319</v>
      </c>
      <c r="N270" s="559">
        <f>'Progetto del paramento slu'!$G$60*(sezione!$AO$28-C270)/C270</f>
        <v>0.34136553369496109</v>
      </c>
      <c r="O270" s="559">
        <f>'Progetto del paramento slu'!$G$60*(sezione!$AP$28-C270)/C270</f>
        <v>0.26022170191823957</v>
      </c>
      <c r="P270" s="553">
        <f>-'Progetto del paramento slu'!$G$47*'Progetto del paramento slu'!$G$41*IF(DATI!$G$218="dx",DATI!$E$61,DATI!$E$64*DATI!$E$63)*1000*C270*sezione!$AD$5</f>
        <v>-48639.563717135505</v>
      </c>
      <c r="Q270" s="553">
        <f>'Foglio deposito bis'!$F$48*IF(ABS(K270)&lt;'Progetto del paramento slu'!$G$58,ABS(K270)*'Progetto del paramento slu'!$G$54,'Progetto del paramento slu'!$G$53)*IF(K270&lt;0,-1,1)</f>
        <v>0</v>
      </c>
      <c r="R270" s="553">
        <f>'Foglio deposito bis'!$F$49*IF(ABS(L270)&lt;'Progetto del paramento slu'!$G$58,ABS(L270)*'Progetto del paramento slu'!$G$54,'Progetto del paramento slu'!$G$53)*IF(L270&lt;0,-1,1)</f>
        <v>204886.47740803001</v>
      </c>
      <c r="S270" s="553">
        <f>'Foglio deposito bis'!$F$50*IF(ABS(M270)&lt;'Progetto del paramento slu'!$G$58,ABS(M270)*'Progetto del paramento slu'!$G$54,'Progetto del paramento slu'!$G$53)*IF(M270&lt;0,-1,1)</f>
        <v>0</v>
      </c>
      <c r="T270" s="553">
        <f>'Foglio deposito bis'!$F$51*IF(ABS(N270)&lt;'Progetto del paramento slu'!$G$58,ABS(N270)*'Progetto del paramento slu'!$G$54,'Progetto del paramento slu'!$G$53)*IF(N270&lt;0,-1,1)</f>
        <v>240946.49743184328</v>
      </c>
      <c r="U270" s="553">
        <f>'Foglio deposito bis'!$F$52*IF(ABS(O270)&lt;'Progetto del paramento slu'!$G$58,ABS(O270)*'Progetto del paramento slu'!$G$54,'Progetto del paramento slu'!$G$53)*IF(O270&lt;0,-1,1)</f>
        <v>240946.49743184328</v>
      </c>
      <c r="V270" s="479">
        <f t="shared" si="25"/>
        <v>638139.90855458111</v>
      </c>
      <c r="W270" s="559"/>
      <c r="X270" s="559"/>
    </row>
    <row r="271" spans="1:24" x14ac:dyDescent="0.25">
      <c r="A271" s="553">
        <f t="shared" si="24"/>
        <v>635278.75774769078</v>
      </c>
      <c r="B271" s="3">
        <f t="shared" si="26"/>
        <v>0.90000000000000024</v>
      </c>
      <c r="C271" s="553">
        <f>'Foglio deposito bis'!$E$154/sezione!$B$247*B271</f>
        <v>3.6535979298948722</v>
      </c>
      <c r="D271" s="611">
        <f>-'Progetto del paramento slu'!$G$47*'Progetto del paramento slu'!$G$41*IF(DATI!$G$218="dx",DATI!$E$61,DATI!$E$64*DATI!$E$63)*1000*C271^2*sezione!$AD$5*(1-sezione!$AD$6)</f>
        <v>-109887.13592028312</v>
      </c>
      <c r="E271" s="553">
        <f>-'Foglio deposito bis'!$F$48*(C271-sezione!$AL$28)*IF(ABS(K271)&lt;'Progetto del paramento slu'!$G$58,ABS(K271)*'Progetto del paramento slu'!$G$54,'Progetto del paramento slu'!$G$53)</f>
        <v>0</v>
      </c>
      <c r="F271" s="553">
        <f>-'Foglio deposito bis'!$F$49*(C271-sezione!$AM$28)*IF(ABS(L271)&lt;'Progetto del paramento slu'!$G$58,ABS(L271)*'Progetto del paramento slu'!$G$54,'Progetto del paramento slu'!$G$53)</f>
        <v>29984398.801483069</v>
      </c>
      <c r="G271" s="553">
        <f>-'Foglio deposito bis'!$F$50*(C271-sezione!$AN$28)*IF(ABS(M271)&lt;'Progetto del paramento slu'!$G$58,ABS(M271)*'Progetto del paramento slu'!$G$54,'Progetto del paramento slu'!$G$53)</f>
        <v>0</v>
      </c>
      <c r="H271" s="553">
        <f>-'Foglio deposito bis'!$F$51*(C271-sezione!$AO$28)*IF(ABS(N271)&lt;'Progetto del paramento slu'!$G$58,ABS(N271)*'Progetto del paramento slu'!$G$54,'Progetto del paramento slu'!$G$53)</f>
        <v>81041487.502594307</v>
      </c>
      <c r="I271" s="479">
        <f>-'Foglio deposito bis'!$F$52*(C271-sezione!$AP$28)*IF(ABS(O271)&lt;'Progetto del paramento slu'!$G$58,ABS(O271)*'Progetto del paramento slu'!$G$54,'Progetto del paramento slu'!$G$53)</f>
        <v>61766005.179354414</v>
      </c>
      <c r="J271" s="479">
        <f t="shared" si="22"/>
        <v>172682004.34751153</v>
      </c>
      <c r="K271" s="558">
        <f>'Progetto del paramento slu'!$G$60*(sezione!$AL$28-C271)/C271</f>
        <v>3.4818392632773448E-2</v>
      </c>
      <c r="L271" s="558">
        <f>'Progetto del paramento slu'!$G$60*(sezione!$AM$28-C271)/C271</f>
        <v>0.14019397237290041</v>
      </c>
      <c r="M271" s="559">
        <f>'Progetto del paramento slu'!$G$60*(sezione!$AN$28-C271)/C271</f>
        <v>0.24556955211302742</v>
      </c>
      <c r="N271" s="559">
        <f>'Progetto del paramento slu'!$G$60*(sezione!$AO$28-C271)/C271</f>
        <v>0.32220633737857435</v>
      </c>
      <c r="O271" s="559">
        <f>'Progetto del paramento slu'!$G$60*(sezione!$AP$28-C271)/C271</f>
        <v>0.24557049625611513</v>
      </c>
      <c r="P271" s="553">
        <f>-'Progetto del paramento slu'!$G$47*'Progetto del paramento slu'!$G$41*IF(DATI!$G$218="dx",DATI!$E$61,DATI!$E$64*DATI!$E$63)*1000*C271*sezione!$AD$5</f>
        <v>-51500.714524025832</v>
      </c>
      <c r="Q271" s="553">
        <f>'Foglio deposito bis'!$F$48*IF(ABS(K271)&lt;'Progetto del paramento slu'!$G$58,ABS(K271)*'Progetto del paramento slu'!$G$54,'Progetto del paramento slu'!$G$53)*IF(K271&lt;0,-1,1)</f>
        <v>0</v>
      </c>
      <c r="R271" s="553">
        <f>'Foglio deposito bis'!$F$49*IF(ABS(L271)&lt;'Progetto del paramento slu'!$G$58,ABS(L271)*'Progetto del paramento slu'!$G$54,'Progetto del paramento slu'!$G$53)*IF(L271&lt;0,-1,1)</f>
        <v>204886.47740803001</v>
      </c>
      <c r="S271" s="553">
        <f>'Foglio deposito bis'!$F$50*IF(ABS(M271)&lt;'Progetto del paramento slu'!$G$58,ABS(M271)*'Progetto del paramento slu'!$G$54,'Progetto del paramento slu'!$G$53)*IF(M271&lt;0,-1,1)</f>
        <v>0</v>
      </c>
      <c r="T271" s="553">
        <f>'Foglio deposito bis'!$F$51*IF(ABS(N271)&lt;'Progetto del paramento slu'!$G$58,ABS(N271)*'Progetto del paramento slu'!$G$54,'Progetto del paramento slu'!$G$53)*IF(N271&lt;0,-1,1)</f>
        <v>240946.49743184328</v>
      </c>
      <c r="U271" s="553">
        <f>'Foglio deposito bis'!$F$52*IF(ABS(O271)&lt;'Progetto del paramento slu'!$G$58,ABS(O271)*'Progetto del paramento slu'!$G$54,'Progetto del paramento slu'!$G$53)*IF(O271&lt;0,-1,1)</f>
        <v>240946.49743184328</v>
      </c>
      <c r="V271" s="479">
        <f t="shared" si="25"/>
        <v>635278.75774769078</v>
      </c>
      <c r="W271" s="559"/>
      <c r="X271" s="559"/>
    </row>
    <row r="272" spans="1:24" x14ac:dyDescent="0.25">
      <c r="A272" s="553">
        <f t="shared" si="24"/>
        <v>632417.60694080044</v>
      </c>
      <c r="B272" s="3">
        <f t="shared" si="26"/>
        <v>0.95000000000000029</v>
      </c>
      <c r="C272" s="553">
        <f>'Foglio deposito bis'!$E$154/sezione!$B$247*B272</f>
        <v>3.8565755926668097</v>
      </c>
      <c r="D272" s="611">
        <f>-'Progetto del paramento slu'!$G$47*'Progetto del paramento slu'!$G$41*IF(DATI!$G$218="dx",DATI!$E$61,DATI!$E$64*DATI!$E$63)*1000*C272^2*sezione!$AD$5*(1-sezione!$AD$6)</f>
        <v>-122435.97551611795</v>
      </c>
      <c r="E272" s="553">
        <f>-'Foglio deposito bis'!$F$48*(C272-sezione!$AL$28)*IF(ABS(K272)&lt;'Progetto del paramento slu'!$G$58,ABS(K272)*'Progetto del paramento slu'!$G$54,'Progetto del paramento slu'!$G$53)</f>
        <v>0</v>
      </c>
      <c r="F272" s="553">
        <f>-'Foglio deposito bis'!$F$49*(C272-sezione!$AM$28)*IF(ABS(L272)&lt;'Progetto del paramento slu'!$G$58,ABS(L272)*'Progetto del paramento slu'!$G$54,'Progetto del paramento slu'!$G$53)</f>
        <v>29942811.42316521</v>
      </c>
      <c r="G272" s="553">
        <f>-'Foglio deposito bis'!$F$50*(C272-sezione!$AN$28)*IF(ABS(M272)&lt;'Progetto del paramento slu'!$G$58,ABS(M272)*'Progetto del paramento slu'!$G$54,'Progetto del paramento slu'!$G$53)</f>
        <v>0</v>
      </c>
      <c r="H272" s="553">
        <f>-'Foglio deposito bis'!$F$51*(C272-sezione!$AO$28)*IF(ABS(N272)&lt;'Progetto del paramento slu'!$G$58,ABS(N272)*'Progetto del paramento slu'!$G$54,'Progetto del paramento slu'!$G$53)</f>
        <v>80992580.745692506</v>
      </c>
      <c r="I272" s="479">
        <f>-'Foglio deposito bis'!$F$52*(C272-sezione!$AP$28)*IF(ABS(O272)&lt;'Progetto del paramento slu'!$G$58,ABS(O272)*'Progetto del paramento slu'!$G$54,'Progetto del paramento slu'!$G$53)</f>
        <v>61717098.422452621</v>
      </c>
      <c r="J272" s="479">
        <f t="shared" si="22"/>
        <v>172530054.61579421</v>
      </c>
      <c r="K272" s="558">
        <f>'Progetto del paramento slu'!$G$60*(sezione!$AL$28-C272)/C272</f>
        <v>3.2801635125785378E-2</v>
      </c>
      <c r="L272" s="558">
        <f>'Progetto del paramento slu'!$G$60*(sezione!$AM$28-C272)/C272</f>
        <v>0.13263113172169513</v>
      </c>
      <c r="M272" s="559">
        <f>'Progetto del paramento slu'!$G$60*(sezione!$AN$28-C272)/C272</f>
        <v>0.23246062831760494</v>
      </c>
      <c r="N272" s="559">
        <f>'Progetto del paramento slu'!$G$60*(sezione!$AO$28-C272)/C272</f>
        <v>0.30506389856917565</v>
      </c>
      <c r="O272" s="559">
        <f>'Progetto del paramento slu'!$G$60*(sezione!$AP$28-C272)/C272</f>
        <v>0.23246152276895121</v>
      </c>
      <c r="P272" s="553">
        <f>-'Progetto del paramento slu'!$G$47*'Progetto del paramento slu'!$G$41*IF(DATI!$G$218="dx",DATI!$E$61,DATI!$E$64*DATI!$E$63)*1000*C272*sezione!$AD$5</f>
        <v>-54361.865330916153</v>
      </c>
      <c r="Q272" s="553">
        <f>'Foglio deposito bis'!$F$48*IF(ABS(K272)&lt;'Progetto del paramento slu'!$G$58,ABS(K272)*'Progetto del paramento slu'!$G$54,'Progetto del paramento slu'!$G$53)*IF(K272&lt;0,-1,1)</f>
        <v>0</v>
      </c>
      <c r="R272" s="553">
        <f>'Foglio deposito bis'!$F$49*IF(ABS(L272)&lt;'Progetto del paramento slu'!$G$58,ABS(L272)*'Progetto del paramento slu'!$G$54,'Progetto del paramento slu'!$G$53)*IF(L272&lt;0,-1,1)</f>
        <v>204886.47740803001</v>
      </c>
      <c r="S272" s="553">
        <f>'Foglio deposito bis'!$F$50*IF(ABS(M272)&lt;'Progetto del paramento slu'!$G$58,ABS(M272)*'Progetto del paramento slu'!$G$54,'Progetto del paramento slu'!$G$53)*IF(M272&lt;0,-1,1)</f>
        <v>0</v>
      </c>
      <c r="T272" s="553">
        <f>'Foglio deposito bis'!$F$51*IF(ABS(N272)&lt;'Progetto del paramento slu'!$G$58,ABS(N272)*'Progetto del paramento slu'!$G$54,'Progetto del paramento slu'!$G$53)*IF(N272&lt;0,-1,1)</f>
        <v>240946.49743184328</v>
      </c>
      <c r="U272" s="553">
        <f>'Foglio deposito bis'!$F$52*IF(ABS(O272)&lt;'Progetto del paramento slu'!$G$58,ABS(O272)*'Progetto del paramento slu'!$G$54,'Progetto del paramento slu'!$G$53)*IF(O272&lt;0,-1,1)</f>
        <v>240946.49743184328</v>
      </c>
      <c r="V272" s="479">
        <f t="shared" si="25"/>
        <v>632417.60694080044</v>
      </c>
      <c r="W272" s="559"/>
      <c r="X272" s="559"/>
    </row>
    <row r="273" spans="1:24" x14ac:dyDescent="0.25">
      <c r="A273" s="553">
        <f t="shared" si="24"/>
        <v>629556.45613391011</v>
      </c>
      <c r="B273" s="3">
        <f t="shared" si="26"/>
        <v>1.0000000000000002</v>
      </c>
      <c r="C273" s="553">
        <f>'Foglio deposito bis'!$E$154/sezione!$B$247*B273</f>
        <v>4.0595532554387468</v>
      </c>
      <c r="D273" s="611">
        <f>-'Progetto del paramento slu'!$G$47*'Progetto del paramento slu'!$G$41*IF(DATI!$G$218="dx",DATI!$E$61,DATI!$E$64*DATI!$E$63)*1000*C273^2*sezione!$AD$5*(1-sezione!$AD$6)</f>
        <v>-135663.13076578165</v>
      </c>
      <c r="E273" s="553">
        <f>-'Foglio deposito bis'!$F$48*(C273-sezione!$AL$28)*IF(ABS(K273)&lt;'Progetto del paramento slu'!$G$58,ABS(K273)*'Progetto del paramento slu'!$G$54,'Progetto del paramento slu'!$G$53)</f>
        <v>0</v>
      </c>
      <c r="F273" s="553">
        <f>-'Foglio deposito bis'!$F$49*(C273-sezione!$AM$28)*IF(ABS(L273)&lt;'Progetto del paramento slu'!$G$58,ABS(L273)*'Progetto del paramento slu'!$G$54,'Progetto del paramento slu'!$G$53)</f>
        <v>29901224.044847358</v>
      </c>
      <c r="G273" s="553">
        <f>-'Foglio deposito bis'!$F$50*(C273-sezione!$AN$28)*IF(ABS(M273)&lt;'Progetto del paramento slu'!$G$58,ABS(M273)*'Progetto del paramento slu'!$G$54,'Progetto del paramento slu'!$G$53)</f>
        <v>0</v>
      </c>
      <c r="H273" s="553">
        <f>-'Foglio deposito bis'!$F$51*(C273-sezione!$AO$28)*IF(ABS(N273)&lt;'Progetto del paramento slu'!$G$58,ABS(N273)*'Progetto del paramento slu'!$G$54,'Progetto del paramento slu'!$G$53)</f>
        <v>80943673.988790721</v>
      </c>
      <c r="I273" s="479">
        <f>-'Foglio deposito bis'!$F$52*(C273-sezione!$AP$28)*IF(ABS(O273)&lt;'Progetto del paramento slu'!$G$58,ABS(O273)*'Progetto del paramento slu'!$G$54,'Progetto del paramento slu'!$G$53)</f>
        <v>61668191.665550813</v>
      </c>
      <c r="J273" s="479">
        <f t="shared" si="22"/>
        <v>172377426.56842309</v>
      </c>
      <c r="K273" s="558">
        <f>'Progetto del paramento slu'!$G$60*(sezione!$AL$28-C273)/C273</f>
        <v>3.0986553369496114E-2</v>
      </c>
      <c r="L273" s="558">
        <f>'Progetto del paramento slu'!$G$60*(sezione!$AM$28-C273)/C273</f>
        <v>0.12582457513561041</v>
      </c>
      <c r="M273" s="559">
        <f>'Progetto del paramento slu'!$G$60*(sezione!$AN$28-C273)/C273</f>
        <v>0.22066259690172471</v>
      </c>
      <c r="N273" s="559">
        <f>'Progetto del paramento slu'!$G$60*(sezione!$AO$28-C273)/C273</f>
        <v>0.28963570364071689</v>
      </c>
      <c r="O273" s="559">
        <f>'Progetto del paramento slu'!$G$60*(sezione!$AP$28-C273)/C273</f>
        <v>0.22066344663050363</v>
      </c>
      <c r="P273" s="553">
        <f>-'Progetto del paramento slu'!$G$47*'Progetto del paramento slu'!$G$41*IF(DATI!$G$218="dx",DATI!$E$61,DATI!$E$64*DATI!$E$63)*1000*C273*sezione!$AD$5</f>
        <v>-57223.016137806473</v>
      </c>
      <c r="Q273" s="553">
        <f>'Foglio deposito bis'!$F$48*IF(ABS(K273)&lt;'Progetto del paramento slu'!$G$58,ABS(K273)*'Progetto del paramento slu'!$G$54,'Progetto del paramento slu'!$G$53)*IF(K273&lt;0,-1,1)</f>
        <v>0</v>
      </c>
      <c r="R273" s="553">
        <f>'Foglio deposito bis'!$F$49*IF(ABS(L273)&lt;'Progetto del paramento slu'!$G$58,ABS(L273)*'Progetto del paramento slu'!$G$54,'Progetto del paramento slu'!$G$53)*IF(L273&lt;0,-1,1)</f>
        <v>204886.47740803001</v>
      </c>
      <c r="S273" s="553">
        <f>'Foglio deposito bis'!$F$50*IF(ABS(M273)&lt;'Progetto del paramento slu'!$G$58,ABS(M273)*'Progetto del paramento slu'!$G$54,'Progetto del paramento slu'!$G$53)*IF(M273&lt;0,-1,1)</f>
        <v>0</v>
      </c>
      <c r="T273" s="553">
        <f>'Foglio deposito bis'!$F$51*IF(ABS(N273)&lt;'Progetto del paramento slu'!$G$58,ABS(N273)*'Progetto del paramento slu'!$G$54,'Progetto del paramento slu'!$G$53)*IF(N273&lt;0,-1,1)</f>
        <v>240946.49743184328</v>
      </c>
      <c r="U273" s="553">
        <f>'Foglio deposito bis'!$F$52*IF(ABS(O273)&lt;'Progetto del paramento slu'!$G$58,ABS(O273)*'Progetto del paramento slu'!$G$54,'Progetto del paramento slu'!$G$53)*IF(O273&lt;0,-1,1)</f>
        <v>240946.49743184328</v>
      </c>
      <c r="V273" s="479">
        <f t="shared" si="25"/>
        <v>629556.45613391011</v>
      </c>
      <c r="W273" s="559"/>
      <c r="X273" s="559"/>
    </row>
    <row r="274" spans="1:24" x14ac:dyDescent="0.25">
      <c r="A274" s="553">
        <f t="shared" si="24"/>
        <v>626695.30532701977</v>
      </c>
      <c r="B274" s="3">
        <f t="shared" si="26"/>
        <v>1.0500000000000003</v>
      </c>
      <c r="C274" s="553">
        <f>'Foglio deposito bis'!$E$154/sezione!$B$247*B274</f>
        <v>4.2625309182106843</v>
      </c>
      <c r="D274" s="611">
        <f>-'Progetto del paramento slu'!$G$47*'Progetto del paramento slu'!$G$41*IF(DATI!$G$218="dx",DATI!$E$61,DATI!$E$64*DATI!$E$63)*1000*C274^2*sezione!$AD$5*(1-sezione!$AD$6)</f>
        <v>-149568.6016692743</v>
      </c>
      <c r="E274" s="553">
        <f>-'Foglio deposito bis'!$F$48*(C274-sezione!$AL$28)*IF(ABS(K274)&lt;'Progetto del paramento slu'!$G$58,ABS(K274)*'Progetto del paramento slu'!$G$54,'Progetto del paramento slu'!$G$53)</f>
        <v>0</v>
      </c>
      <c r="F274" s="553">
        <f>-'Foglio deposito bis'!$F$49*(C274-sezione!$AM$28)*IF(ABS(L274)&lt;'Progetto del paramento slu'!$G$58,ABS(L274)*'Progetto del paramento slu'!$G$54,'Progetto del paramento slu'!$G$53)</f>
        <v>29859636.666529503</v>
      </c>
      <c r="G274" s="553">
        <f>-'Foglio deposito bis'!$F$50*(C274-sezione!$AN$28)*IF(ABS(M274)&lt;'Progetto del paramento slu'!$G$58,ABS(M274)*'Progetto del paramento slu'!$G$54,'Progetto del paramento slu'!$G$53)</f>
        <v>0</v>
      </c>
      <c r="H274" s="553">
        <f>-'Foglio deposito bis'!$F$51*(C274-sezione!$AO$28)*IF(ABS(N274)&lt;'Progetto del paramento slu'!$G$58,ABS(N274)*'Progetto del paramento slu'!$G$54,'Progetto del paramento slu'!$G$53)</f>
        <v>80894767.231888905</v>
      </c>
      <c r="I274" s="479">
        <f>-'Foglio deposito bis'!$F$52*(C274-sezione!$AP$28)*IF(ABS(O274)&lt;'Progetto del paramento slu'!$G$58,ABS(O274)*'Progetto del paramento slu'!$G$54,'Progetto del paramento slu'!$G$53)</f>
        <v>61619284.908649012</v>
      </c>
      <c r="J274" s="479">
        <f t="shared" si="22"/>
        <v>172224120.20539814</v>
      </c>
      <c r="K274" s="558">
        <f>'Progetto del paramento slu'!$G$60*(sezione!$AL$28-C274)/C274</f>
        <v>2.9344336542377239E-2</v>
      </c>
      <c r="L274" s="558">
        <f>'Progetto del paramento slu'!$G$60*(sezione!$AM$28-C274)/C274</f>
        <v>0.11966626203391466</v>
      </c>
      <c r="M274" s="559">
        <f>'Progetto del paramento slu'!$G$60*(sezione!$AN$28-C274)/C274</f>
        <v>0.20998818752545209</v>
      </c>
      <c r="N274" s="559">
        <f>'Progetto del paramento slu'!$G$60*(sezione!$AO$28-C274)/C274</f>
        <v>0.27567686061020658</v>
      </c>
      <c r="O274" s="559">
        <f>'Progetto del paramento slu'!$G$60*(sezione!$AP$28-C274)/C274</f>
        <v>0.20998899679095584</v>
      </c>
      <c r="P274" s="553">
        <f>-'Progetto del paramento slu'!$G$47*'Progetto del paramento slu'!$G$41*IF(DATI!$G$218="dx",DATI!$E$61,DATI!$E$64*DATI!$E$63)*1000*C274*sezione!$AD$5</f>
        <v>-60084.166944696801</v>
      </c>
      <c r="Q274" s="553">
        <f>'Foglio deposito bis'!$F$48*IF(ABS(K274)&lt;'Progetto del paramento slu'!$G$58,ABS(K274)*'Progetto del paramento slu'!$G$54,'Progetto del paramento slu'!$G$53)*IF(K274&lt;0,-1,1)</f>
        <v>0</v>
      </c>
      <c r="R274" s="553">
        <f>'Foglio deposito bis'!$F$49*IF(ABS(L274)&lt;'Progetto del paramento slu'!$G$58,ABS(L274)*'Progetto del paramento slu'!$G$54,'Progetto del paramento slu'!$G$53)*IF(L274&lt;0,-1,1)</f>
        <v>204886.47740803001</v>
      </c>
      <c r="S274" s="553">
        <f>'Foglio deposito bis'!$F$50*IF(ABS(M274)&lt;'Progetto del paramento slu'!$G$58,ABS(M274)*'Progetto del paramento slu'!$G$54,'Progetto del paramento slu'!$G$53)*IF(M274&lt;0,-1,1)</f>
        <v>0</v>
      </c>
      <c r="T274" s="553">
        <f>'Foglio deposito bis'!$F$51*IF(ABS(N274)&lt;'Progetto del paramento slu'!$G$58,ABS(N274)*'Progetto del paramento slu'!$G$54,'Progetto del paramento slu'!$G$53)*IF(N274&lt;0,-1,1)</f>
        <v>240946.49743184328</v>
      </c>
      <c r="U274" s="553">
        <f>'Foglio deposito bis'!$F$52*IF(ABS(O274)&lt;'Progetto del paramento slu'!$G$58,ABS(O274)*'Progetto del paramento slu'!$G$54,'Progetto del paramento slu'!$G$53)*IF(O274&lt;0,-1,1)</f>
        <v>240946.49743184328</v>
      </c>
      <c r="V274" s="479">
        <f t="shared" si="25"/>
        <v>626695.30532701977</v>
      </c>
      <c r="W274" s="559"/>
      <c r="X274" s="559"/>
    </row>
    <row r="275" spans="1:24" x14ac:dyDescent="0.25">
      <c r="A275" s="553">
        <f t="shared" si="24"/>
        <v>623834.15452012944</v>
      </c>
      <c r="B275" s="3">
        <f t="shared" si="26"/>
        <v>1.1000000000000003</v>
      </c>
      <c r="C275" s="553">
        <f>'Foglio deposito bis'!$E$154/sezione!$B$247*B275</f>
        <v>4.4655085809826218</v>
      </c>
      <c r="D275" s="611">
        <f>-'Progetto del paramento slu'!$G$47*'Progetto del paramento slu'!$G$41*IF(DATI!$G$218="dx",DATI!$E$61,DATI!$E$64*DATI!$E$63)*1000*C275^2*sezione!$AD$5*(1-sezione!$AD$6)</f>
        <v>-164152.38822659582</v>
      </c>
      <c r="E275" s="553">
        <f>-'Foglio deposito bis'!$F$48*(C275-sezione!$AL$28)*IF(ABS(K275)&lt;'Progetto del paramento slu'!$G$58,ABS(K275)*'Progetto del paramento slu'!$G$54,'Progetto del paramento slu'!$G$53)</f>
        <v>0</v>
      </c>
      <c r="F275" s="553">
        <f>-'Foglio deposito bis'!$F$49*(C275-sezione!$AM$28)*IF(ABS(L275)&lt;'Progetto del paramento slu'!$G$58,ABS(L275)*'Progetto del paramento slu'!$G$54,'Progetto del paramento slu'!$G$53)</f>
        <v>29818049.28821164</v>
      </c>
      <c r="G275" s="553">
        <f>-'Foglio deposito bis'!$F$50*(C275-sezione!$AN$28)*IF(ABS(M275)&lt;'Progetto del paramento slu'!$G$58,ABS(M275)*'Progetto del paramento slu'!$G$54,'Progetto del paramento slu'!$G$53)</f>
        <v>0</v>
      </c>
      <c r="H275" s="553">
        <f>-'Foglio deposito bis'!$F$51*(C275-sezione!$AO$28)*IF(ABS(N275)&lt;'Progetto del paramento slu'!$G$58,ABS(N275)*'Progetto del paramento slu'!$G$54,'Progetto del paramento slu'!$G$53)</f>
        <v>80845860.474987105</v>
      </c>
      <c r="I275" s="479">
        <f>-'Foglio deposito bis'!$F$52*(C275-sezione!$AP$28)*IF(ABS(O275)&lt;'Progetto del paramento slu'!$G$58,ABS(O275)*'Progetto del paramento slu'!$G$54,'Progetto del paramento slu'!$G$53)</f>
        <v>61570378.151747212</v>
      </c>
      <c r="J275" s="479">
        <f t="shared" si="22"/>
        <v>172070135.52671936</v>
      </c>
      <c r="K275" s="558">
        <f>'Progetto del paramento slu'!$G$60*(sezione!$AL$28-C275)/C275</f>
        <v>2.7851412154087367E-2</v>
      </c>
      <c r="L275" s="558">
        <f>'Progetto del paramento slu'!$G$60*(sezione!$AM$28-C275)/C275</f>
        <v>0.11406779557782762</v>
      </c>
      <c r="M275" s="559">
        <f>'Progetto del paramento slu'!$G$60*(sezione!$AN$28-C275)/C275</f>
        <v>0.20028417900156789</v>
      </c>
      <c r="N275" s="559">
        <f>'Progetto del paramento slu'!$G$60*(sezione!$AO$28-C275)/C275</f>
        <v>0.26298700330974267</v>
      </c>
      <c r="O275" s="559">
        <f>'Progetto del paramento slu'!$G$60*(sezione!$AP$28-C275)/C275</f>
        <v>0.20028495148227601</v>
      </c>
      <c r="P275" s="553">
        <f>-'Progetto del paramento slu'!$G$47*'Progetto del paramento slu'!$G$41*IF(DATI!$G$218="dx",DATI!$E$61,DATI!$E$64*DATI!$E$63)*1000*C275*sezione!$AD$5</f>
        <v>-62945.317751587121</v>
      </c>
      <c r="Q275" s="553">
        <f>'Foglio deposito bis'!$F$48*IF(ABS(K275)&lt;'Progetto del paramento slu'!$G$58,ABS(K275)*'Progetto del paramento slu'!$G$54,'Progetto del paramento slu'!$G$53)*IF(K275&lt;0,-1,1)</f>
        <v>0</v>
      </c>
      <c r="R275" s="553">
        <f>'Foglio deposito bis'!$F$49*IF(ABS(L275)&lt;'Progetto del paramento slu'!$G$58,ABS(L275)*'Progetto del paramento slu'!$G$54,'Progetto del paramento slu'!$G$53)*IF(L275&lt;0,-1,1)</f>
        <v>204886.47740803001</v>
      </c>
      <c r="S275" s="553">
        <f>'Foglio deposito bis'!$F$50*IF(ABS(M275)&lt;'Progetto del paramento slu'!$G$58,ABS(M275)*'Progetto del paramento slu'!$G$54,'Progetto del paramento slu'!$G$53)*IF(M275&lt;0,-1,1)</f>
        <v>0</v>
      </c>
      <c r="T275" s="553">
        <f>'Foglio deposito bis'!$F$51*IF(ABS(N275)&lt;'Progetto del paramento slu'!$G$58,ABS(N275)*'Progetto del paramento slu'!$G$54,'Progetto del paramento slu'!$G$53)*IF(N275&lt;0,-1,1)</f>
        <v>240946.49743184328</v>
      </c>
      <c r="U275" s="553">
        <f>'Foglio deposito bis'!$F$52*IF(ABS(O275)&lt;'Progetto del paramento slu'!$G$58,ABS(O275)*'Progetto del paramento slu'!$G$54,'Progetto del paramento slu'!$G$53)*IF(O275&lt;0,-1,1)</f>
        <v>240946.49743184328</v>
      </c>
      <c r="V275" s="479">
        <f t="shared" si="25"/>
        <v>623834.15452012944</v>
      </c>
      <c r="W275" s="559"/>
      <c r="X275" s="559"/>
    </row>
    <row r="276" spans="1:24" x14ac:dyDescent="0.25">
      <c r="A276" s="553">
        <f t="shared" si="24"/>
        <v>620973.0037132391</v>
      </c>
      <c r="B276" s="3">
        <f t="shared" si="26"/>
        <v>1.1500000000000004</v>
      </c>
      <c r="C276" s="553">
        <f>'Foglio deposito bis'!$E$154/sezione!$B$247*B276</f>
        <v>4.6684862437545593</v>
      </c>
      <c r="D276" s="611">
        <f>-'Progetto del paramento slu'!$G$47*'Progetto del paramento slu'!$G$41*IF(DATI!$G$218="dx",DATI!$E$61,DATI!$E$64*DATI!$E$63)*1000*C276^2*sezione!$AD$5*(1-sezione!$AD$6)</f>
        <v>-179414.49043774628</v>
      </c>
      <c r="E276" s="553">
        <f>-'Foglio deposito bis'!$F$48*(C276-sezione!$AL$28)*IF(ABS(K276)&lt;'Progetto del paramento slu'!$G$58,ABS(K276)*'Progetto del paramento slu'!$G$54,'Progetto del paramento slu'!$G$53)</f>
        <v>0</v>
      </c>
      <c r="F276" s="553">
        <f>-'Foglio deposito bis'!$F$49*(C276-sezione!$AM$28)*IF(ABS(L276)&lt;'Progetto del paramento slu'!$G$58,ABS(L276)*'Progetto del paramento slu'!$G$54,'Progetto del paramento slu'!$G$53)</f>
        <v>29776461.909893785</v>
      </c>
      <c r="G276" s="553">
        <f>-'Foglio deposito bis'!$F$50*(C276-sezione!$AN$28)*IF(ABS(M276)&lt;'Progetto del paramento slu'!$G$58,ABS(M276)*'Progetto del paramento slu'!$G$54,'Progetto del paramento slu'!$G$53)</f>
        <v>0</v>
      </c>
      <c r="H276" s="553">
        <f>-'Foglio deposito bis'!$F$51*(C276-sezione!$AO$28)*IF(ABS(N276)&lt;'Progetto del paramento slu'!$G$58,ABS(N276)*'Progetto del paramento slu'!$G$54,'Progetto del paramento slu'!$G$53)</f>
        <v>80796953.718085319</v>
      </c>
      <c r="I276" s="479">
        <f>-'Foglio deposito bis'!$F$52*(C276-sezione!$AP$28)*IF(ABS(O276)&lt;'Progetto del paramento slu'!$G$58,ABS(O276)*'Progetto del paramento slu'!$G$54,'Progetto del paramento slu'!$G$53)</f>
        <v>61521471.394845411</v>
      </c>
      <c r="J276" s="479">
        <f t="shared" si="22"/>
        <v>171915472.53238678</v>
      </c>
      <c r="K276" s="558">
        <f>'Progetto del paramento slu'!$G$60*(sezione!$AL$28-C276)/C276</f>
        <v>2.6488307277822701E-2</v>
      </c>
      <c r="L276" s="558">
        <f>'Progetto del paramento slu'!$G$60*(sezione!$AM$28-C276)/C276</f>
        <v>0.10895615229183513</v>
      </c>
      <c r="M276" s="559">
        <f>'Progetto del paramento slu'!$G$60*(sezione!$AN$28-C276)/C276</f>
        <v>0.19142399730584755</v>
      </c>
      <c r="N276" s="559">
        <f>'Progetto del paramento slu'!$G$60*(sezione!$AO$28-C276)/C276</f>
        <v>0.25140061186149293</v>
      </c>
      <c r="O276" s="559">
        <f>'Progetto del paramento slu'!$G$60*(sezione!$AP$28-C276)/C276</f>
        <v>0.19142473620043793</v>
      </c>
      <c r="P276" s="553">
        <f>-'Progetto del paramento slu'!$G$47*'Progetto del paramento slu'!$G$41*IF(DATI!$G$218="dx",DATI!$E$61,DATI!$E$64*DATI!$E$63)*1000*C276*sezione!$AD$5</f>
        <v>-65806.468558477456</v>
      </c>
      <c r="Q276" s="553">
        <f>'Foglio deposito bis'!$F$48*IF(ABS(K276)&lt;'Progetto del paramento slu'!$G$58,ABS(K276)*'Progetto del paramento slu'!$G$54,'Progetto del paramento slu'!$G$53)*IF(K276&lt;0,-1,1)</f>
        <v>0</v>
      </c>
      <c r="R276" s="553">
        <f>'Foglio deposito bis'!$F$49*IF(ABS(L276)&lt;'Progetto del paramento slu'!$G$58,ABS(L276)*'Progetto del paramento slu'!$G$54,'Progetto del paramento slu'!$G$53)*IF(L276&lt;0,-1,1)</f>
        <v>204886.47740803001</v>
      </c>
      <c r="S276" s="553">
        <f>'Foglio deposito bis'!$F$50*IF(ABS(M276)&lt;'Progetto del paramento slu'!$G$58,ABS(M276)*'Progetto del paramento slu'!$G$54,'Progetto del paramento slu'!$G$53)*IF(M276&lt;0,-1,1)</f>
        <v>0</v>
      </c>
      <c r="T276" s="553">
        <f>'Foglio deposito bis'!$F$51*IF(ABS(N276)&lt;'Progetto del paramento slu'!$G$58,ABS(N276)*'Progetto del paramento slu'!$G$54,'Progetto del paramento slu'!$G$53)*IF(N276&lt;0,-1,1)</f>
        <v>240946.49743184328</v>
      </c>
      <c r="U276" s="553">
        <f>'Foglio deposito bis'!$F$52*IF(ABS(O276)&lt;'Progetto del paramento slu'!$G$58,ABS(O276)*'Progetto del paramento slu'!$G$54,'Progetto del paramento slu'!$G$53)*IF(O276&lt;0,-1,1)</f>
        <v>240946.49743184328</v>
      </c>
      <c r="V276" s="479">
        <f t="shared" si="25"/>
        <v>620973.0037132391</v>
      </c>
      <c r="W276" s="559"/>
      <c r="X276" s="559"/>
    </row>
    <row r="277" spans="1:24" x14ac:dyDescent="0.25">
      <c r="A277" s="553">
        <f t="shared" si="24"/>
        <v>618111.85290634877</v>
      </c>
      <c r="B277" s="3">
        <f t="shared" si="26"/>
        <v>1.2000000000000004</v>
      </c>
      <c r="C277" s="553">
        <f>'Foglio deposito bis'!$E$154/sezione!$B$247*B277</f>
        <v>4.8714639065264969</v>
      </c>
      <c r="D277" s="611">
        <f>-'Progetto del paramento slu'!$G$47*'Progetto del paramento slu'!$G$41*IF(DATI!$G$218="dx",DATI!$E$61,DATI!$E$64*DATI!$E$63)*1000*C277^2*sezione!$AD$5*(1-sezione!$AD$6)</f>
        <v>-195354.90830272567</v>
      </c>
      <c r="E277" s="553">
        <f>-'Foglio deposito bis'!$F$48*(C277-sezione!$AL$28)*IF(ABS(K277)&lt;'Progetto del paramento slu'!$G$58,ABS(K277)*'Progetto del paramento slu'!$G$54,'Progetto del paramento slu'!$G$53)</f>
        <v>0</v>
      </c>
      <c r="F277" s="553">
        <f>-'Foglio deposito bis'!$F$49*(C277-sezione!$AM$28)*IF(ABS(L277)&lt;'Progetto del paramento slu'!$G$58,ABS(L277)*'Progetto del paramento slu'!$G$54,'Progetto del paramento slu'!$G$53)</f>
        <v>29734874.531575926</v>
      </c>
      <c r="G277" s="553">
        <f>-'Foglio deposito bis'!$F$50*(C277-sezione!$AN$28)*IF(ABS(M277)&lt;'Progetto del paramento slu'!$G$58,ABS(M277)*'Progetto del paramento slu'!$G$54,'Progetto del paramento slu'!$G$53)</f>
        <v>0</v>
      </c>
      <c r="H277" s="553">
        <f>-'Foglio deposito bis'!$F$51*(C277-sezione!$AO$28)*IF(ABS(N277)&lt;'Progetto del paramento slu'!$G$58,ABS(N277)*'Progetto del paramento slu'!$G$54,'Progetto del paramento slu'!$G$53)</f>
        <v>80748046.961183503</v>
      </c>
      <c r="I277" s="479">
        <f>-'Foglio deposito bis'!$F$52*(C277-sezione!$AP$28)*IF(ABS(O277)&lt;'Progetto del paramento slu'!$G$58,ABS(O277)*'Progetto del paramento slu'!$G$54,'Progetto del paramento slu'!$G$53)</f>
        <v>61472564.637943618</v>
      </c>
      <c r="J277" s="479">
        <f t="shared" si="22"/>
        <v>171760131.22240034</v>
      </c>
      <c r="K277" s="558">
        <f>'Progetto del paramento slu'!$G$60*(sezione!$AL$28-C277)/C277</f>
        <v>2.5238794474580082E-2</v>
      </c>
      <c r="L277" s="558">
        <f>'Progetto del paramento slu'!$G$60*(sezione!$AM$28-C277)/C277</f>
        <v>0.10427047927967532</v>
      </c>
      <c r="M277" s="559">
        <f>'Progetto del paramento slu'!$G$60*(sezione!$AN$28-C277)/C277</f>
        <v>0.18330216408477054</v>
      </c>
      <c r="N277" s="559">
        <f>'Progetto del paramento slu'!$G$60*(sezione!$AO$28-C277)/C277</f>
        <v>0.24077975303393073</v>
      </c>
      <c r="O277" s="559">
        <f>'Progetto del paramento slu'!$G$60*(sezione!$AP$28-C277)/C277</f>
        <v>0.18330287219208635</v>
      </c>
      <c r="P277" s="553">
        <f>-'Progetto del paramento slu'!$G$47*'Progetto del paramento slu'!$G$41*IF(DATI!$G$218="dx",DATI!$E$61,DATI!$E$64*DATI!$E$63)*1000*C277*sezione!$AD$5</f>
        <v>-68667.619365367791</v>
      </c>
      <c r="Q277" s="553">
        <f>'Foglio deposito bis'!$F$48*IF(ABS(K277)&lt;'Progetto del paramento slu'!$G$58,ABS(K277)*'Progetto del paramento slu'!$G$54,'Progetto del paramento slu'!$G$53)*IF(K277&lt;0,-1,1)</f>
        <v>0</v>
      </c>
      <c r="R277" s="553">
        <f>'Foglio deposito bis'!$F$49*IF(ABS(L277)&lt;'Progetto del paramento slu'!$G$58,ABS(L277)*'Progetto del paramento slu'!$G$54,'Progetto del paramento slu'!$G$53)*IF(L277&lt;0,-1,1)</f>
        <v>204886.47740803001</v>
      </c>
      <c r="S277" s="553">
        <f>'Foglio deposito bis'!$F$50*IF(ABS(M277)&lt;'Progetto del paramento slu'!$G$58,ABS(M277)*'Progetto del paramento slu'!$G$54,'Progetto del paramento slu'!$G$53)*IF(M277&lt;0,-1,1)</f>
        <v>0</v>
      </c>
      <c r="T277" s="553">
        <f>'Foglio deposito bis'!$F$51*IF(ABS(N277)&lt;'Progetto del paramento slu'!$G$58,ABS(N277)*'Progetto del paramento slu'!$G$54,'Progetto del paramento slu'!$G$53)*IF(N277&lt;0,-1,1)</f>
        <v>240946.49743184328</v>
      </c>
      <c r="U277" s="553">
        <f>'Foglio deposito bis'!$F$52*IF(ABS(O277)&lt;'Progetto del paramento slu'!$G$58,ABS(O277)*'Progetto del paramento slu'!$G$54,'Progetto del paramento slu'!$G$53)*IF(O277&lt;0,-1,1)</f>
        <v>240946.49743184328</v>
      </c>
      <c r="V277" s="479">
        <f t="shared" si="25"/>
        <v>618111.85290634877</v>
      </c>
      <c r="W277" s="559"/>
      <c r="X277" s="559"/>
    </row>
    <row r="278" spans="1:24" x14ac:dyDescent="0.25">
      <c r="A278" s="553">
        <f t="shared" si="24"/>
        <v>615250.70209945843</v>
      </c>
      <c r="B278" s="3">
        <f t="shared" si="26"/>
        <v>1.2500000000000004</v>
      </c>
      <c r="C278" s="553">
        <f>'Foglio deposito bis'!$E$154/sezione!$B$247*B278</f>
        <v>5.0744415692984344</v>
      </c>
      <c r="D278" s="611">
        <f>-'Progetto del paramento slu'!$G$47*'Progetto del paramento slu'!$G$41*IF(DATI!$G$218="dx",DATI!$E$61,DATI!$E$64*DATI!$E$63)*1000*C278^2*sezione!$AD$5*(1-sezione!$AD$6)</f>
        <v>-211973.64182153391</v>
      </c>
      <c r="E278" s="553">
        <f>-'Foglio deposito bis'!$F$48*(C278-sezione!$AL$28)*IF(ABS(K278)&lt;'Progetto del paramento slu'!$G$58,ABS(K278)*'Progetto del paramento slu'!$G$54,'Progetto del paramento slu'!$G$53)</f>
        <v>0</v>
      </c>
      <c r="F278" s="553">
        <f>-'Foglio deposito bis'!$F$49*(C278-sezione!$AM$28)*IF(ABS(L278)&lt;'Progetto del paramento slu'!$G$58,ABS(L278)*'Progetto del paramento slu'!$G$54,'Progetto del paramento slu'!$G$53)</f>
        <v>29693287.153258067</v>
      </c>
      <c r="G278" s="553">
        <f>-'Foglio deposito bis'!$F$50*(C278-sezione!$AN$28)*IF(ABS(M278)&lt;'Progetto del paramento slu'!$G$58,ABS(M278)*'Progetto del paramento slu'!$G$54,'Progetto del paramento slu'!$G$53)</f>
        <v>0</v>
      </c>
      <c r="H278" s="553">
        <f>-'Foglio deposito bis'!$F$51*(C278-sezione!$AO$28)*IF(ABS(N278)&lt;'Progetto del paramento slu'!$G$58,ABS(N278)*'Progetto del paramento slu'!$G$54,'Progetto del paramento slu'!$G$53)</f>
        <v>80699140.204281718</v>
      </c>
      <c r="I278" s="479">
        <f>-'Foglio deposito bis'!$F$52*(C278-sezione!$AP$28)*IF(ABS(O278)&lt;'Progetto del paramento slu'!$G$58,ABS(O278)*'Progetto del paramento slu'!$G$54,'Progetto del paramento slu'!$G$53)</f>
        <v>61423657.88104181</v>
      </c>
      <c r="J278" s="479">
        <f t="shared" si="22"/>
        <v>171604111.59676006</v>
      </c>
      <c r="K278" s="558">
        <f>'Progetto del paramento slu'!$G$60*(sezione!$AL$28-C278)/C278</f>
        <v>2.4089242695596879E-2</v>
      </c>
      <c r="L278" s="558">
        <f>'Progetto del paramento slu'!$G$60*(sezione!$AM$28-C278)/C278</f>
        <v>9.9959660108488294E-2</v>
      </c>
      <c r="M278" s="559">
        <f>'Progetto del paramento slu'!$G$60*(sezione!$AN$28-C278)/C278</f>
        <v>0.17583007752137972</v>
      </c>
      <c r="N278" s="559">
        <f>'Progetto del paramento slu'!$G$60*(sezione!$AO$28-C278)/C278</f>
        <v>0.23100856291257349</v>
      </c>
      <c r="O278" s="559">
        <f>'Progetto del paramento slu'!$G$60*(sezione!$AP$28-C278)/C278</f>
        <v>0.17583075730440287</v>
      </c>
      <c r="P278" s="553">
        <f>-'Progetto del paramento slu'!$G$47*'Progetto del paramento slu'!$G$41*IF(DATI!$G$218="dx",DATI!$E$61,DATI!$E$64*DATI!$E$63)*1000*C278*sezione!$AD$5</f>
        <v>-71528.770172258111</v>
      </c>
      <c r="Q278" s="553">
        <f>'Foglio deposito bis'!$F$48*IF(ABS(K278)&lt;'Progetto del paramento slu'!$G$58,ABS(K278)*'Progetto del paramento slu'!$G$54,'Progetto del paramento slu'!$G$53)*IF(K278&lt;0,-1,1)</f>
        <v>0</v>
      </c>
      <c r="R278" s="553">
        <f>'Foglio deposito bis'!$F$49*IF(ABS(L278)&lt;'Progetto del paramento slu'!$G$58,ABS(L278)*'Progetto del paramento slu'!$G$54,'Progetto del paramento slu'!$G$53)*IF(L278&lt;0,-1,1)</f>
        <v>204886.47740803001</v>
      </c>
      <c r="S278" s="553">
        <f>'Foglio deposito bis'!$F$50*IF(ABS(M278)&lt;'Progetto del paramento slu'!$G$58,ABS(M278)*'Progetto del paramento slu'!$G$54,'Progetto del paramento slu'!$G$53)*IF(M278&lt;0,-1,1)</f>
        <v>0</v>
      </c>
      <c r="T278" s="553">
        <f>'Foglio deposito bis'!$F$51*IF(ABS(N278)&lt;'Progetto del paramento slu'!$G$58,ABS(N278)*'Progetto del paramento slu'!$G$54,'Progetto del paramento slu'!$G$53)*IF(N278&lt;0,-1,1)</f>
        <v>240946.49743184328</v>
      </c>
      <c r="U278" s="553">
        <f>'Foglio deposito bis'!$F$52*IF(ABS(O278)&lt;'Progetto del paramento slu'!$G$58,ABS(O278)*'Progetto del paramento slu'!$G$54,'Progetto del paramento slu'!$G$53)*IF(O278&lt;0,-1,1)</f>
        <v>240946.49743184328</v>
      </c>
      <c r="V278" s="479">
        <f t="shared" si="25"/>
        <v>615250.70209945843</v>
      </c>
      <c r="W278" s="559"/>
      <c r="X278" s="559"/>
    </row>
    <row r="279" spans="1:24" x14ac:dyDescent="0.25">
      <c r="A279" s="553">
        <f t="shared" si="24"/>
        <v>612389.5512925681</v>
      </c>
      <c r="B279" s="3">
        <f t="shared" si="26"/>
        <v>1.3000000000000005</v>
      </c>
      <c r="C279" s="553">
        <f>'Foglio deposito bis'!$E$154/sezione!$B$247*B279</f>
        <v>5.2774192320703719</v>
      </c>
      <c r="D279" s="611">
        <f>-'Progetto del paramento slu'!$G$47*'Progetto del paramento slu'!$G$41*IF(DATI!$G$218="dx",DATI!$E$61,DATI!$E$64*DATI!$E$63)*1000*C279^2*sezione!$AD$5*(1-sezione!$AD$6)</f>
        <v>-229270.69099417108</v>
      </c>
      <c r="E279" s="553">
        <f>-'Foglio deposito bis'!$F$48*(C279-sezione!$AL$28)*IF(ABS(K279)&lt;'Progetto del paramento slu'!$G$58,ABS(K279)*'Progetto del paramento slu'!$G$54,'Progetto del paramento slu'!$G$53)</f>
        <v>0</v>
      </c>
      <c r="F279" s="553">
        <f>-'Foglio deposito bis'!$F$49*(C279-sezione!$AM$28)*IF(ABS(L279)&lt;'Progetto del paramento slu'!$G$58,ABS(L279)*'Progetto del paramento slu'!$G$54,'Progetto del paramento slu'!$G$53)</f>
        <v>29651699.774940215</v>
      </c>
      <c r="G279" s="553">
        <f>-'Foglio deposito bis'!$F$50*(C279-sezione!$AN$28)*IF(ABS(M279)&lt;'Progetto del paramento slu'!$G$58,ABS(M279)*'Progetto del paramento slu'!$G$54,'Progetto del paramento slu'!$G$53)</f>
        <v>0</v>
      </c>
      <c r="H279" s="553">
        <f>-'Foglio deposito bis'!$F$51*(C279-sezione!$AO$28)*IF(ABS(N279)&lt;'Progetto del paramento slu'!$G$58,ABS(N279)*'Progetto del paramento slu'!$G$54,'Progetto del paramento slu'!$G$53)</f>
        <v>80650233.447379902</v>
      </c>
      <c r="I279" s="479">
        <f>-'Foglio deposito bis'!$F$52*(C279-sezione!$AP$28)*IF(ABS(O279)&lt;'Progetto del paramento slu'!$G$58,ABS(O279)*'Progetto del paramento slu'!$G$54,'Progetto del paramento slu'!$G$53)</f>
        <v>61374751.124140009</v>
      </c>
      <c r="J279" s="479">
        <f t="shared" si="22"/>
        <v>171447413.65546596</v>
      </c>
      <c r="K279" s="558">
        <f>'Progetto del paramento slu'!$G$60*(sezione!$AL$28-C279)/C279</f>
        <v>2.3028117976535461E-2</v>
      </c>
      <c r="L279" s="558">
        <f>'Progetto del paramento slu'!$G$60*(sezione!$AM$28-C279)/C279</f>
        <v>9.5980442412007982E-2</v>
      </c>
      <c r="M279" s="559">
        <f>'Progetto del paramento slu'!$G$60*(sezione!$AN$28-C279)/C279</f>
        <v>0.16893276684748051</v>
      </c>
      <c r="N279" s="559">
        <f>'Progetto del paramento slu'!$G$60*(sezione!$AO$28-C279)/C279</f>
        <v>0.22198900280055142</v>
      </c>
      <c r="O279" s="559">
        <f>'Progetto del paramento slu'!$G$60*(sezione!$AP$28-C279)/C279</f>
        <v>0.16893342048500276</v>
      </c>
      <c r="P279" s="553">
        <f>-'Progetto del paramento slu'!$G$47*'Progetto del paramento slu'!$G$41*IF(DATI!$G$218="dx",DATI!$E$61,DATI!$E$64*DATI!$E$63)*1000*C279*sezione!$AD$5</f>
        <v>-74389.920979148432</v>
      </c>
      <c r="Q279" s="553">
        <f>'Foglio deposito bis'!$F$48*IF(ABS(K279)&lt;'Progetto del paramento slu'!$G$58,ABS(K279)*'Progetto del paramento slu'!$G$54,'Progetto del paramento slu'!$G$53)*IF(K279&lt;0,-1,1)</f>
        <v>0</v>
      </c>
      <c r="R279" s="553">
        <f>'Foglio deposito bis'!$F$49*IF(ABS(L279)&lt;'Progetto del paramento slu'!$G$58,ABS(L279)*'Progetto del paramento slu'!$G$54,'Progetto del paramento slu'!$G$53)*IF(L279&lt;0,-1,1)</f>
        <v>204886.47740803001</v>
      </c>
      <c r="S279" s="553">
        <f>'Foglio deposito bis'!$F$50*IF(ABS(M279)&lt;'Progetto del paramento slu'!$G$58,ABS(M279)*'Progetto del paramento slu'!$G$54,'Progetto del paramento slu'!$G$53)*IF(M279&lt;0,-1,1)</f>
        <v>0</v>
      </c>
      <c r="T279" s="553">
        <f>'Foglio deposito bis'!$F$51*IF(ABS(N279)&lt;'Progetto del paramento slu'!$G$58,ABS(N279)*'Progetto del paramento slu'!$G$54,'Progetto del paramento slu'!$G$53)*IF(N279&lt;0,-1,1)</f>
        <v>240946.49743184328</v>
      </c>
      <c r="U279" s="553">
        <f>'Foglio deposito bis'!$F$52*IF(ABS(O279)&lt;'Progetto del paramento slu'!$G$58,ABS(O279)*'Progetto del paramento slu'!$G$54,'Progetto del paramento slu'!$G$53)*IF(O279&lt;0,-1,1)</f>
        <v>240946.49743184328</v>
      </c>
      <c r="V279" s="479">
        <f t="shared" si="25"/>
        <v>612389.5512925681</v>
      </c>
      <c r="W279" s="559"/>
      <c r="X279" s="559"/>
    </row>
    <row r="280" spans="1:24" x14ac:dyDescent="0.25">
      <c r="A280" s="553">
        <f t="shared" si="24"/>
        <v>609528.40048567788</v>
      </c>
      <c r="B280" s="3">
        <f t="shared" si="26"/>
        <v>1.3500000000000005</v>
      </c>
      <c r="C280" s="553">
        <f>'Foglio deposito bis'!$E$154/sezione!$B$247*B280</f>
        <v>5.4803968948423094</v>
      </c>
      <c r="D280" s="611">
        <f>-'Progetto del paramento slu'!$G$47*'Progetto del paramento slu'!$G$41*IF(DATI!$G$218="dx",DATI!$E$61,DATI!$E$64*DATI!$E$63)*1000*C280^2*sezione!$AD$5*(1-sezione!$AD$6)</f>
        <v>-247246.05582063715</v>
      </c>
      <c r="E280" s="553">
        <f>-'Foglio deposito bis'!$F$48*(C280-sezione!$AL$28)*IF(ABS(K280)&lt;'Progetto del paramento slu'!$G$58,ABS(K280)*'Progetto del paramento slu'!$G$54,'Progetto del paramento slu'!$G$53)</f>
        <v>0</v>
      </c>
      <c r="F280" s="553">
        <f>-'Foglio deposito bis'!$F$49*(C280-sezione!$AM$28)*IF(ABS(L280)&lt;'Progetto del paramento slu'!$G$58,ABS(L280)*'Progetto del paramento slu'!$G$54,'Progetto del paramento slu'!$G$53)</f>
        <v>29610112.396622356</v>
      </c>
      <c r="G280" s="553">
        <f>-'Foglio deposito bis'!$F$50*(C280-sezione!$AN$28)*IF(ABS(M280)&lt;'Progetto del paramento slu'!$G$58,ABS(M280)*'Progetto del paramento slu'!$G$54,'Progetto del paramento slu'!$G$53)</f>
        <v>0</v>
      </c>
      <c r="H280" s="553">
        <f>-'Foglio deposito bis'!$F$51*(C280-sezione!$AO$28)*IF(ABS(N280)&lt;'Progetto del paramento slu'!$G$58,ABS(N280)*'Progetto del paramento slu'!$G$54,'Progetto del paramento slu'!$G$53)</f>
        <v>80601326.690478101</v>
      </c>
      <c r="I280" s="479">
        <f>-'Foglio deposito bis'!$F$52*(C280-sezione!$AP$28)*IF(ABS(O280)&lt;'Progetto del paramento slu'!$G$58,ABS(O280)*'Progetto del paramento slu'!$G$54,'Progetto del paramento slu'!$G$53)</f>
        <v>61325844.367238216</v>
      </c>
      <c r="J280" s="479">
        <f t="shared" si="22"/>
        <v>171290037.39851803</v>
      </c>
      <c r="K280" s="558">
        <f>'Progetto del paramento slu'!$G$60*(sezione!$AL$28-C280)/C280</f>
        <v>2.204559508851563E-2</v>
      </c>
      <c r="L280" s="558">
        <f>'Progetto del paramento slu'!$G$60*(sezione!$AM$28-C280)/C280</f>
        <v>9.2295981581933612E-2</v>
      </c>
      <c r="M280" s="559">
        <f>'Progetto del paramento slu'!$G$60*(sezione!$AN$28-C280)/C280</f>
        <v>0.16254636807535158</v>
      </c>
      <c r="N280" s="559">
        <f>'Progetto del paramento slu'!$G$60*(sezione!$AO$28-C280)/C280</f>
        <v>0.21363755825238281</v>
      </c>
      <c r="O280" s="559">
        <f>'Progetto del paramento slu'!$G$60*(sezione!$AP$28-C280)/C280</f>
        <v>0.16254699750407672</v>
      </c>
      <c r="P280" s="553">
        <f>-'Progetto del paramento slu'!$G$47*'Progetto del paramento slu'!$G$41*IF(DATI!$G$218="dx",DATI!$E$61,DATI!$E$64*DATI!$E$63)*1000*C280*sezione!$AD$5</f>
        <v>-77251.071786038752</v>
      </c>
      <c r="Q280" s="553">
        <f>'Foglio deposito bis'!$F$48*IF(ABS(K280)&lt;'Progetto del paramento slu'!$G$58,ABS(K280)*'Progetto del paramento slu'!$G$54,'Progetto del paramento slu'!$G$53)*IF(K280&lt;0,-1,1)</f>
        <v>0</v>
      </c>
      <c r="R280" s="553">
        <f>'Foglio deposito bis'!$F$49*IF(ABS(L280)&lt;'Progetto del paramento slu'!$G$58,ABS(L280)*'Progetto del paramento slu'!$G$54,'Progetto del paramento slu'!$G$53)*IF(L280&lt;0,-1,1)</f>
        <v>204886.47740803001</v>
      </c>
      <c r="S280" s="553">
        <f>'Foglio deposito bis'!$F$50*IF(ABS(M280)&lt;'Progetto del paramento slu'!$G$58,ABS(M280)*'Progetto del paramento slu'!$G$54,'Progetto del paramento slu'!$G$53)*IF(M280&lt;0,-1,1)</f>
        <v>0</v>
      </c>
      <c r="T280" s="553">
        <f>'Foglio deposito bis'!$F$51*IF(ABS(N280)&lt;'Progetto del paramento slu'!$G$58,ABS(N280)*'Progetto del paramento slu'!$G$54,'Progetto del paramento slu'!$G$53)*IF(N280&lt;0,-1,1)</f>
        <v>240946.49743184328</v>
      </c>
      <c r="U280" s="553">
        <f>'Foglio deposito bis'!$F$52*IF(ABS(O280)&lt;'Progetto del paramento slu'!$G$58,ABS(O280)*'Progetto del paramento slu'!$G$54,'Progetto del paramento slu'!$G$53)*IF(O280&lt;0,-1,1)</f>
        <v>240946.49743184328</v>
      </c>
      <c r="V280" s="479">
        <f t="shared" si="25"/>
        <v>609528.40048567788</v>
      </c>
      <c r="W280" s="559"/>
      <c r="X280" s="559"/>
    </row>
    <row r="281" spans="1:24" x14ac:dyDescent="0.25">
      <c r="A281" s="553">
        <f t="shared" si="24"/>
        <v>606667.24967878754</v>
      </c>
      <c r="B281" s="3">
        <f t="shared" si="26"/>
        <v>1.4000000000000006</v>
      </c>
      <c r="C281" s="553">
        <f>'Foglio deposito bis'!$E$154/sezione!$B$247*B281</f>
        <v>5.6833745576142469</v>
      </c>
      <c r="D281" s="611">
        <f>-'Progetto del paramento slu'!$G$47*'Progetto del paramento slu'!$G$41*IF(DATI!$G$218="dx",DATI!$E$61,DATI!$E$64*DATI!$E$63)*1000*C281^2*sezione!$AD$5*(1-sezione!$AD$6)</f>
        <v>-265899.73630093213</v>
      </c>
      <c r="E281" s="553">
        <f>-'Foglio deposito bis'!$F$48*(C281-sezione!$AL$28)*IF(ABS(K281)&lt;'Progetto del paramento slu'!$G$58,ABS(K281)*'Progetto del paramento slu'!$G$54,'Progetto del paramento slu'!$G$53)</f>
        <v>0</v>
      </c>
      <c r="F281" s="553">
        <f>-'Foglio deposito bis'!$F$49*(C281-sezione!$AM$28)*IF(ABS(L281)&lt;'Progetto del paramento slu'!$G$58,ABS(L281)*'Progetto del paramento slu'!$G$54,'Progetto del paramento slu'!$G$53)</f>
        <v>29568525.018304497</v>
      </c>
      <c r="G281" s="553">
        <f>-'Foglio deposito bis'!$F$50*(C281-sezione!$AN$28)*IF(ABS(M281)&lt;'Progetto del paramento slu'!$G$58,ABS(M281)*'Progetto del paramento slu'!$G$54,'Progetto del paramento slu'!$G$53)</f>
        <v>0</v>
      </c>
      <c r="H281" s="553">
        <f>-'Foglio deposito bis'!$F$51*(C281-sezione!$AO$28)*IF(ABS(N281)&lt;'Progetto del paramento slu'!$G$58,ABS(N281)*'Progetto del paramento slu'!$G$54,'Progetto del paramento slu'!$G$53)</f>
        <v>80552419.933576316</v>
      </c>
      <c r="I281" s="479">
        <f>-'Foglio deposito bis'!$F$52*(C281-sezione!$AP$28)*IF(ABS(O281)&lt;'Progetto del paramento slu'!$G$58,ABS(O281)*'Progetto del paramento slu'!$G$54,'Progetto del paramento slu'!$G$53)</f>
        <v>61276937.610336408</v>
      </c>
      <c r="J281" s="479">
        <f t="shared" si="22"/>
        <v>171131982.82591629</v>
      </c>
      <c r="K281" s="558">
        <f>'Progetto del paramento slu'!$G$60*(sezione!$AL$28-C281)/C281</f>
        <v>2.1133252406782928E-2</v>
      </c>
      <c r="L281" s="558">
        <f>'Progetto del paramento slu'!$G$60*(sezione!$AM$28-C281)/C281</f>
        <v>8.8874696525435962E-2</v>
      </c>
      <c r="M281" s="559">
        <f>'Progetto del paramento slu'!$G$60*(sezione!$AN$28-C281)/C281</f>
        <v>0.15661614064408902</v>
      </c>
      <c r="N281" s="559">
        <f>'Progetto del paramento slu'!$G$60*(sezione!$AO$28-C281)/C281</f>
        <v>0.20588264545765489</v>
      </c>
      <c r="O281" s="559">
        <f>'Progetto del paramento slu'!$G$60*(sezione!$AP$28-C281)/C281</f>
        <v>0.15661674759321684</v>
      </c>
      <c r="P281" s="553">
        <f>-'Progetto del paramento slu'!$G$47*'Progetto del paramento slu'!$G$41*IF(DATI!$G$218="dx",DATI!$E$61,DATI!$E$64*DATI!$E$63)*1000*C281*sezione!$AD$5</f>
        <v>-80112.222592929087</v>
      </c>
      <c r="Q281" s="553">
        <f>'Foglio deposito bis'!$F$48*IF(ABS(K281)&lt;'Progetto del paramento slu'!$G$58,ABS(K281)*'Progetto del paramento slu'!$G$54,'Progetto del paramento slu'!$G$53)*IF(K281&lt;0,-1,1)</f>
        <v>0</v>
      </c>
      <c r="R281" s="553">
        <f>'Foglio deposito bis'!$F$49*IF(ABS(L281)&lt;'Progetto del paramento slu'!$G$58,ABS(L281)*'Progetto del paramento slu'!$G$54,'Progetto del paramento slu'!$G$53)*IF(L281&lt;0,-1,1)</f>
        <v>204886.47740803001</v>
      </c>
      <c r="S281" s="553">
        <f>'Foglio deposito bis'!$F$50*IF(ABS(M281)&lt;'Progetto del paramento slu'!$G$58,ABS(M281)*'Progetto del paramento slu'!$G$54,'Progetto del paramento slu'!$G$53)*IF(M281&lt;0,-1,1)</f>
        <v>0</v>
      </c>
      <c r="T281" s="553">
        <f>'Foglio deposito bis'!$F$51*IF(ABS(N281)&lt;'Progetto del paramento slu'!$G$58,ABS(N281)*'Progetto del paramento slu'!$G$54,'Progetto del paramento slu'!$G$53)*IF(N281&lt;0,-1,1)</f>
        <v>240946.49743184328</v>
      </c>
      <c r="U281" s="553">
        <f>'Foglio deposito bis'!$F$52*IF(ABS(O281)&lt;'Progetto del paramento slu'!$G$58,ABS(O281)*'Progetto del paramento slu'!$G$54,'Progetto del paramento slu'!$G$53)*IF(O281&lt;0,-1,1)</f>
        <v>240946.49743184328</v>
      </c>
      <c r="V281" s="479">
        <f t="shared" si="25"/>
        <v>606667.24967878754</v>
      </c>
      <c r="W281" s="559"/>
      <c r="X281" s="559"/>
    </row>
    <row r="282" spans="1:24" x14ac:dyDescent="0.25">
      <c r="A282" s="553">
        <f t="shared" si="24"/>
        <v>603806.09887189721</v>
      </c>
      <c r="B282" s="3">
        <f t="shared" si="26"/>
        <v>1.4500000000000006</v>
      </c>
      <c r="C282" s="553">
        <f>'Foglio deposito bis'!$E$154/sezione!$B$247*B282</f>
        <v>5.8863522203861844</v>
      </c>
      <c r="D282" s="611">
        <f>-'Progetto del paramento slu'!$G$47*'Progetto del paramento slu'!$G$41*IF(DATI!$G$218="dx",DATI!$E$61,DATI!$E$64*DATI!$E$63)*1000*C282^2*sezione!$AD$5*(1-sezione!$AD$6)</f>
        <v>-285231.73243505607</v>
      </c>
      <c r="E282" s="553">
        <f>-'Foglio deposito bis'!$F$48*(C282-sezione!$AL$28)*IF(ABS(K282)&lt;'Progetto del paramento slu'!$G$58,ABS(K282)*'Progetto del paramento slu'!$G$54,'Progetto del paramento slu'!$G$53)</f>
        <v>0</v>
      </c>
      <c r="F282" s="553">
        <f>-'Foglio deposito bis'!$F$49*(C282-sezione!$AM$28)*IF(ABS(L282)&lt;'Progetto del paramento slu'!$G$58,ABS(L282)*'Progetto del paramento slu'!$G$54,'Progetto del paramento slu'!$G$53)</f>
        <v>29526937.639986642</v>
      </c>
      <c r="G282" s="553">
        <f>-'Foglio deposito bis'!$F$50*(C282-sezione!$AN$28)*IF(ABS(M282)&lt;'Progetto del paramento slu'!$G$58,ABS(M282)*'Progetto del paramento slu'!$G$54,'Progetto del paramento slu'!$G$53)</f>
        <v>0</v>
      </c>
      <c r="H282" s="553">
        <f>-'Foglio deposito bis'!$F$51*(C282-sezione!$AO$28)*IF(ABS(N282)&lt;'Progetto del paramento slu'!$G$58,ABS(N282)*'Progetto del paramento slu'!$G$54,'Progetto del paramento slu'!$G$53)</f>
        <v>80503513.1766745</v>
      </c>
      <c r="I282" s="479">
        <f>-'Foglio deposito bis'!$F$52*(C282-sezione!$AP$28)*IF(ABS(O282)&lt;'Progetto del paramento slu'!$G$58,ABS(O282)*'Progetto del paramento slu'!$G$54,'Progetto del paramento slu'!$G$53)</f>
        <v>61228030.853434615</v>
      </c>
      <c r="J282" s="479">
        <f t="shared" si="22"/>
        <v>170973249.93766069</v>
      </c>
      <c r="K282" s="558">
        <f>'Progetto del paramento slu'!$G$60*(sezione!$AL$28-C282)/C282</f>
        <v>2.0283829909997306E-2</v>
      </c>
      <c r="L282" s="558">
        <f>'Progetto del paramento slu'!$G$60*(sezione!$AM$28-C282)/C282</f>
        <v>8.5689362162489915E-2</v>
      </c>
      <c r="M282" s="559">
        <f>'Progetto del paramento slu'!$G$60*(sezione!$AN$28-C282)/C282</f>
        <v>0.1510948944149825</v>
      </c>
      <c r="N282" s="559">
        <f>'Progetto del paramento slu'!$G$60*(sezione!$AO$28-C282)/C282</f>
        <v>0.19866255423497714</v>
      </c>
      <c r="O282" s="559">
        <f>'Progetto del paramento slu'!$G$60*(sezione!$AP$28-C282)/C282</f>
        <v>0.15109548043483007</v>
      </c>
      <c r="P282" s="553">
        <f>-'Progetto del paramento slu'!$G$47*'Progetto del paramento slu'!$G$41*IF(DATI!$G$218="dx",DATI!$E$61,DATI!$E$64*DATI!$E$63)*1000*C282*sezione!$AD$5</f>
        <v>-82973.373399819422</v>
      </c>
      <c r="Q282" s="553">
        <f>'Foglio deposito bis'!$F$48*IF(ABS(K282)&lt;'Progetto del paramento slu'!$G$58,ABS(K282)*'Progetto del paramento slu'!$G$54,'Progetto del paramento slu'!$G$53)*IF(K282&lt;0,-1,1)</f>
        <v>0</v>
      </c>
      <c r="R282" s="553">
        <f>'Foglio deposito bis'!$F$49*IF(ABS(L282)&lt;'Progetto del paramento slu'!$G$58,ABS(L282)*'Progetto del paramento slu'!$G$54,'Progetto del paramento slu'!$G$53)*IF(L282&lt;0,-1,1)</f>
        <v>204886.47740803001</v>
      </c>
      <c r="S282" s="553">
        <f>'Foglio deposito bis'!$F$50*IF(ABS(M282)&lt;'Progetto del paramento slu'!$G$58,ABS(M282)*'Progetto del paramento slu'!$G$54,'Progetto del paramento slu'!$G$53)*IF(M282&lt;0,-1,1)</f>
        <v>0</v>
      </c>
      <c r="T282" s="553">
        <f>'Foglio deposito bis'!$F$51*IF(ABS(N282)&lt;'Progetto del paramento slu'!$G$58,ABS(N282)*'Progetto del paramento slu'!$G$54,'Progetto del paramento slu'!$G$53)*IF(N282&lt;0,-1,1)</f>
        <v>240946.49743184328</v>
      </c>
      <c r="U282" s="553">
        <f>'Foglio deposito bis'!$F$52*IF(ABS(O282)&lt;'Progetto del paramento slu'!$G$58,ABS(O282)*'Progetto del paramento slu'!$G$54,'Progetto del paramento slu'!$G$53)*IF(O282&lt;0,-1,1)</f>
        <v>240946.49743184328</v>
      </c>
      <c r="V282" s="479">
        <f t="shared" si="25"/>
        <v>603806.09887189721</v>
      </c>
      <c r="W282" s="559"/>
      <c r="X282" s="559"/>
    </row>
    <row r="283" spans="1:24" x14ac:dyDescent="0.25">
      <c r="A283" s="553">
        <f t="shared" si="24"/>
        <v>600944.94806500687</v>
      </c>
      <c r="B283" s="3">
        <f t="shared" si="26"/>
        <v>1.5000000000000007</v>
      </c>
      <c r="C283" s="553">
        <f>'Foglio deposito bis'!$E$154/sezione!$B$247*B283</f>
        <v>6.089329883158122</v>
      </c>
      <c r="D283" s="611">
        <f>-'Progetto del paramento slu'!$G$47*'Progetto del paramento slu'!$G$41*IF(DATI!$G$218="dx",DATI!$E$61,DATI!$E$64*DATI!$E$63)*1000*C283^2*sezione!$AD$5*(1-sezione!$AD$6)</f>
        <v>-305242.04422300891</v>
      </c>
      <c r="E283" s="553">
        <f>-'Foglio deposito bis'!$F$48*(C283-sezione!$AL$28)*IF(ABS(K283)&lt;'Progetto del paramento slu'!$G$58,ABS(K283)*'Progetto del paramento slu'!$G$54,'Progetto del paramento slu'!$G$53)</f>
        <v>0</v>
      </c>
      <c r="F283" s="553">
        <f>-'Foglio deposito bis'!$F$49*(C283-sezione!$AM$28)*IF(ABS(L283)&lt;'Progetto del paramento slu'!$G$58,ABS(L283)*'Progetto del paramento slu'!$G$54,'Progetto del paramento slu'!$G$53)</f>
        <v>29485350.261668783</v>
      </c>
      <c r="G283" s="553">
        <f>-'Foglio deposito bis'!$F$50*(C283-sezione!$AN$28)*IF(ABS(M283)&lt;'Progetto del paramento slu'!$G$58,ABS(M283)*'Progetto del paramento slu'!$G$54,'Progetto del paramento slu'!$G$53)</f>
        <v>0</v>
      </c>
      <c r="H283" s="553">
        <f>-'Foglio deposito bis'!$F$51*(C283-sezione!$AO$28)*IF(ABS(N283)&lt;'Progetto del paramento slu'!$G$58,ABS(N283)*'Progetto del paramento slu'!$G$54,'Progetto del paramento slu'!$G$53)</f>
        <v>80454606.419772699</v>
      </c>
      <c r="I283" s="479">
        <f>-'Foglio deposito bis'!$F$52*(C283-sezione!$AP$28)*IF(ABS(O283)&lt;'Progetto del paramento slu'!$G$58,ABS(O283)*'Progetto del paramento slu'!$G$54,'Progetto del paramento slu'!$G$53)</f>
        <v>61179124.096532814</v>
      </c>
      <c r="J283" s="479">
        <f t="shared" si="22"/>
        <v>170813838.7337513</v>
      </c>
      <c r="K283" s="558">
        <f>'Progetto del paramento slu'!$G$60*(sezione!$AL$28-C283)/C283</f>
        <v>1.9491035579664064E-2</v>
      </c>
      <c r="L283" s="558">
        <f>'Progetto del paramento slu'!$G$60*(sezione!$AM$28-C283)/C283</f>
        <v>8.2716383423740256E-2</v>
      </c>
      <c r="M283" s="559">
        <f>'Progetto del paramento slu'!$G$60*(sezione!$AN$28-C283)/C283</f>
        <v>0.14594173126781643</v>
      </c>
      <c r="N283" s="559">
        <f>'Progetto del paramento slu'!$G$60*(sezione!$AO$28-C283)/C283</f>
        <v>0.19192380242714455</v>
      </c>
      <c r="O283" s="559">
        <f>'Progetto del paramento slu'!$G$60*(sezione!$AP$28-C283)/C283</f>
        <v>0.14594229775366904</v>
      </c>
      <c r="P283" s="553">
        <f>-'Progetto del paramento slu'!$G$47*'Progetto del paramento slu'!$G$41*IF(DATI!$G$218="dx",DATI!$E$61,DATI!$E$64*DATI!$E$63)*1000*C283*sezione!$AD$5</f>
        <v>-85834.524206709742</v>
      </c>
      <c r="Q283" s="553">
        <f>'Foglio deposito bis'!$F$48*IF(ABS(K283)&lt;'Progetto del paramento slu'!$G$58,ABS(K283)*'Progetto del paramento slu'!$G$54,'Progetto del paramento slu'!$G$53)*IF(K283&lt;0,-1,1)</f>
        <v>0</v>
      </c>
      <c r="R283" s="553">
        <f>'Foglio deposito bis'!$F$49*IF(ABS(L283)&lt;'Progetto del paramento slu'!$G$58,ABS(L283)*'Progetto del paramento slu'!$G$54,'Progetto del paramento slu'!$G$53)*IF(L283&lt;0,-1,1)</f>
        <v>204886.47740803001</v>
      </c>
      <c r="S283" s="553">
        <f>'Foglio deposito bis'!$F$50*IF(ABS(M283)&lt;'Progetto del paramento slu'!$G$58,ABS(M283)*'Progetto del paramento slu'!$G$54,'Progetto del paramento slu'!$G$53)*IF(M283&lt;0,-1,1)</f>
        <v>0</v>
      </c>
      <c r="T283" s="553">
        <f>'Foglio deposito bis'!$F$51*IF(ABS(N283)&lt;'Progetto del paramento slu'!$G$58,ABS(N283)*'Progetto del paramento slu'!$G$54,'Progetto del paramento slu'!$G$53)*IF(N283&lt;0,-1,1)</f>
        <v>240946.49743184328</v>
      </c>
      <c r="U283" s="553">
        <f>'Foglio deposito bis'!$F$52*IF(ABS(O283)&lt;'Progetto del paramento slu'!$G$58,ABS(O283)*'Progetto del paramento slu'!$G$54,'Progetto del paramento slu'!$G$53)*IF(O283&lt;0,-1,1)</f>
        <v>240946.49743184328</v>
      </c>
      <c r="V283" s="479">
        <f t="shared" si="25"/>
        <v>600944.94806500687</v>
      </c>
      <c r="W283" s="559"/>
      <c r="X283" s="559"/>
    </row>
    <row r="284" spans="1:24" x14ac:dyDescent="0.25">
      <c r="A284" s="553">
        <f t="shared" si="24"/>
        <v>598083.79725811654</v>
      </c>
      <c r="B284" s="3">
        <f t="shared" si="26"/>
        <v>1.5500000000000007</v>
      </c>
      <c r="C284" s="553">
        <f>'Foglio deposito bis'!$E$154/sezione!$B$247*B284</f>
        <v>6.2923075459300586</v>
      </c>
      <c r="D284" s="611">
        <f>-'Progetto del paramento slu'!$G$47*'Progetto del paramento slu'!$G$41*IF(DATI!$G$218="dx",DATI!$E$61,DATI!$E$64*DATI!$E$63)*1000*C284^2*sezione!$AD$5*(1-sezione!$AD$6)</f>
        <v>-325930.67166479048</v>
      </c>
      <c r="E284" s="553">
        <f>-'Foglio deposito bis'!$F$48*(C284-sezione!$AL$28)*IF(ABS(K284)&lt;'Progetto del paramento slu'!$G$58,ABS(K284)*'Progetto del paramento slu'!$G$54,'Progetto del paramento slu'!$G$53)</f>
        <v>0</v>
      </c>
      <c r="F284" s="553">
        <f>-'Foglio deposito bis'!$F$49*(C284-sezione!$AM$28)*IF(ABS(L284)&lt;'Progetto del paramento slu'!$G$58,ABS(L284)*'Progetto del paramento slu'!$G$54,'Progetto del paramento slu'!$G$53)</f>
        <v>29443762.883350924</v>
      </c>
      <c r="G284" s="553">
        <f>-'Foglio deposito bis'!$F$50*(C284-sezione!$AN$28)*IF(ABS(M284)&lt;'Progetto del paramento slu'!$G$58,ABS(M284)*'Progetto del paramento slu'!$G$54,'Progetto del paramento slu'!$G$53)</f>
        <v>0</v>
      </c>
      <c r="H284" s="553">
        <f>-'Foglio deposito bis'!$F$51*(C284-sezione!$AO$28)*IF(ABS(N284)&lt;'Progetto del paramento slu'!$G$58,ABS(N284)*'Progetto del paramento slu'!$G$54,'Progetto del paramento slu'!$G$53)</f>
        <v>80405699.662870914</v>
      </c>
      <c r="I284" s="479">
        <f>-'Foglio deposito bis'!$F$52*(C284-sezione!$AP$28)*IF(ABS(O284)&lt;'Progetto del paramento slu'!$G$58,ABS(O284)*'Progetto del paramento slu'!$G$54,'Progetto del paramento slu'!$G$53)</f>
        <v>61130217.339631014</v>
      </c>
      <c r="J284" s="479">
        <f t="shared" si="22"/>
        <v>170653749.21418807</v>
      </c>
      <c r="K284" s="558">
        <f>'Progetto del paramento slu'!$G$60*(sezione!$AL$28-C284)/C284</f>
        <v>1.8749389270642645E-2</v>
      </c>
      <c r="L284" s="558">
        <f>'Progetto del paramento slu'!$G$60*(sezione!$AM$28-C284)/C284</f>
        <v>7.9935209764909906E-2</v>
      </c>
      <c r="M284" s="559">
        <f>'Progetto del paramento slu'!$G$60*(sezione!$AN$28-C284)/C284</f>
        <v>0.14112103025917719</v>
      </c>
      <c r="N284" s="559">
        <f>'Progetto del paramento slu'!$G$60*(sezione!$AO$28-C284)/C284</f>
        <v>0.18561980880046247</v>
      </c>
      <c r="O284" s="559">
        <f>'Progetto del paramento slu'!$G$60*(sezione!$AP$28-C284)/C284</f>
        <v>0.14112157847129264</v>
      </c>
      <c r="P284" s="553">
        <f>-'Progetto del paramento slu'!$G$47*'Progetto del paramento slu'!$G$41*IF(DATI!$G$218="dx",DATI!$E$61,DATI!$E$64*DATI!$E$63)*1000*C284*sezione!$AD$5</f>
        <v>-88695.675013600048</v>
      </c>
      <c r="Q284" s="553">
        <f>'Foglio deposito bis'!$F$48*IF(ABS(K284)&lt;'Progetto del paramento slu'!$G$58,ABS(K284)*'Progetto del paramento slu'!$G$54,'Progetto del paramento slu'!$G$53)*IF(K284&lt;0,-1,1)</f>
        <v>0</v>
      </c>
      <c r="R284" s="553">
        <f>'Foglio deposito bis'!$F$49*IF(ABS(L284)&lt;'Progetto del paramento slu'!$G$58,ABS(L284)*'Progetto del paramento slu'!$G$54,'Progetto del paramento slu'!$G$53)*IF(L284&lt;0,-1,1)</f>
        <v>204886.47740803001</v>
      </c>
      <c r="S284" s="553">
        <f>'Foglio deposito bis'!$F$50*IF(ABS(M284)&lt;'Progetto del paramento slu'!$G$58,ABS(M284)*'Progetto del paramento slu'!$G$54,'Progetto del paramento slu'!$G$53)*IF(M284&lt;0,-1,1)</f>
        <v>0</v>
      </c>
      <c r="T284" s="553">
        <f>'Foglio deposito bis'!$F$51*IF(ABS(N284)&lt;'Progetto del paramento slu'!$G$58,ABS(N284)*'Progetto del paramento slu'!$G$54,'Progetto del paramento slu'!$G$53)*IF(N284&lt;0,-1,1)</f>
        <v>240946.49743184328</v>
      </c>
      <c r="U284" s="553">
        <f>'Foglio deposito bis'!$F$52*IF(ABS(O284)&lt;'Progetto del paramento slu'!$G$58,ABS(O284)*'Progetto del paramento slu'!$G$54,'Progetto del paramento slu'!$G$53)*IF(O284&lt;0,-1,1)</f>
        <v>240946.49743184328</v>
      </c>
      <c r="V284" s="479">
        <f t="shared" si="25"/>
        <v>598083.79725811654</v>
      </c>
      <c r="W284" s="559"/>
      <c r="X284" s="559"/>
    </row>
    <row r="285" spans="1:24" x14ac:dyDescent="0.25">
      <c r="A285" s="553">
        <f t="shared" si="24"/>
        <v>595222.6464512262</v>
      </c>
      <c r="B285" s="3">
        <f t="shared" si="26"/>
        <v>1.6000000000000008</v>
      </c>
      <c r="C285" s="553">
        <f>'Foglio deposito bis'!$E$154/sezione!$B$247*B285</f>
        <v>6.4952852087019961</v>
      </c>
      <c r="D285" s="611">
        <f>-'Progetto del paramento slu'!$G$47*'Progetto del paramento slu'!$G$41*IF(DATI!$G$218="dx",DATI!$E$61,DATI!$E$64*DATI!$E$63)*1000*C285^2*sezione!$AD$5*(1-sezione!$AD$6)</f>
        <v>-347297.61476040113</v>
      </c>
      <c r="E285" s="553">
        <f>-'Foglio deposito bis'!$F$48*(C285-sezione!$AL$28)*IF(ABS(K285)&lt;'Progetto del paramento slu'!$G$58,ABS(K285)*'Progetto del paramento slu'!$G$54,'Progetto del paramento slu'!$G$53)</f>
        <v>0</v>
      </c>
      <c r="F285" s="553">
        <f>-'Foglio deposito bis'!$F$49*(C285-sezione!$AM$28)*IF(ABS(L285)&lt;'Progetto del paramento slu'!$G$58,ABS(L285)*'Progetto del paramento slu'!$G$54,'Progetto del paramento slu'!$G$53)</f>
        <v>29402175.505033065</v>
      </c>
      <c r="G285" s="553">
        <f>-'Foglio deposito bis'!$F$50*(C285-sezione!$AN$28)*IF(ABS(M285)&lt;'Progetto del paramento slu'!$G$58,ABS(M285)*'Progetto del paramento slu'!$G$54,'Progetto del paramento slu'!$G$53)</f>
        <v>0</v>
      </c>
      <c r="H285" s="553">
        <f>-'Foglio deposito bis'!$F$51*(C285-sezione!$AO$28)*IF(ABS(N285)&lt;'Progetto del paramento slu'!$G$58,ABS(N285)*'Progetto del paramento slu'!$G$54,'Progetto del paramento slu'!$G$53)</f>
        <v>80356792.905969098</v>
      </c>
      <c r="I285" s="479">
        <f>-'Foglio deposito bis'!$F$52*(C285-sezione!$AP$28)*IF(ABS(O285)&lt;'Progetto del paramento slu'!$G$58,ABS(O285)*'Progetto del paramento slu'!$G$54,'Progetto del paramento slu'!$G$53)</f>
        <v>61081310.582729213</v>
      </c>
      <c r="J285" s="479">
        <f t="shared" si="22"/>
        <v>170492981.37897098</v>
      </c>
      <c r="K285" s="558">
        <f>'Progetto del paramento slu'!$G$60*(sezione!$AL$28-C285)/C285</f>
        <v>1.8054095855935065E-2</v>
      </c>
      <c r="L285" s="558">
        <f>'Progetto del paramento slu'!$G$60*(sezione!$AM$28-C285)/C285</f>
        <v>7.7327859459756482E-2</v>
      </c>
      <c r="M285" s="559">
        <f>'Progetto del paramento slu'!$G$60*(sezione!$AN$28-C285)/C285</f>
        <v>0.1366016230635779</v>
      </c>
      <c r="N285" s="559">
        <f>'Progetto del paramento slu'!$G$60*(sezione!$AO$28-C285)/C285</f>
        <v>0.17970981477544801</v>
      </c>
      <c r="O285" s="559">
        <f>'Progetto del paramento slu'!$G$60*(sezione!$AP$28-C285)/C285</f>
        <v>0.13660215414406474</v>
      </c>
      <c r="P285" s="553">
        <f>-'Progetto del paramento slu'!$G$47*'Progetto del paramento slu'!$G$41*IF(DATI!$G$218="dx",DATI!$E$61,DATI!$E$64*DATI!$E$63)*1000*C285*sezione!$AD$5</f>
        <v>-91556.825820490383</v>
      </c>
      <c r="Q285" s="553">
        <f>'Foglio deposito bis'!$F$48*IF(ABS(K285)&lt;'Progetto del paramento slu'!$G$58,ABS(K285)*'Progetto del paramento slu'!$G$54,'Progetto del paramento slu'!$G$53)*IF(K285&lt;0,-1,1)</f>
        <v>0</v>
      </c>
      <c r="R285" s="553">
        <f>'Foglio deposito bis'!$F$49*IF(ABS(L285)&lt;'Progetto del paramento slu'!$G$58,ABS(L285)*'Progetto del paramento slu'!$G$54,'Progetto del paramento slu'!$G$53)*IF(L285&lt;0,-1,1)</f>
        <v>204886.47740803001</v>
      </c>
      <c r="S285" s="553">
        <f>'Foglio deposito bis'!$F$50*IF(ABS(M285)&lt;'Progetto del paramento slu'!$G$58,ABS(M285)*'Progetto del paramento slu'!$G$54,'Progetto del paramento slu'!$G$53)*IF(M285&lt;0,-1,1)</f>
        <v>0</v>
      </c>
      <c r="T285" s="553">
        <f>'Foglio deposito bis'!$F$51*IF(ABS(N285)&lt;'Progetto del paramento slu'!$G$58,ABS(N285)*'Progetto del paramento slu'!$G$54,'Progetto del paramento slu'!$G$53)*IF(N285&lt;0,-1,1)</f>
        <v>240946.49743184328</v>
      </c>
      <c r="U285" s="553">
        <f>'Foglio deposito bis'!$F$52*IF(ABS(O285)&lt;'Progetto del paramento slu'!$G$58,ABS(O285)*'Progetto del paramento slu'!$G$54,'Progetto del paramento slu'!$G$53)*IF(O285&lt;0,-1,1)</f>
        <v>240946.49743184328</v>
      </c>
      <c r="V285" s="479">
        <f t="shared" si="25"/>
        <v>595222.6464512262</v>
      </c>
      <c r="W285" s="559"/>
      <c r="X285" s="559"/>
    </row>
    <row r="286" spans="1:24" x14ac:dyDescent="0.25">
      <c r="A286" s="553">
        <f t="shared" si="24"/>
        <v>592361.49564433587</v>
      </c>
      <c r="B286" s="3">
        <f t="shared" si="26"/>
        <v>1.6500000000000008</v>
      </c>
      <c r="C286" s="553">
        <f>'Foglio deposito bis'!$E$154/sezione!$B$247*B286</f>
        <v>6.6982628714739336</v>
      </c>
      <c r="D286" s="611">
        <f>-'Progetto del paramento slu'!$G$47*'Progetto del paramento slu'!$G$41*IF(DATI!$G$218="dx",DATI!$E$61,DATI!$E$64*DATI!$E$63)*1000*C286^2*sezione!$AD$5*(1-sezione!$AD$6)</f>
        <v>-369342.87350984069</v>
      </c>
      <c r="E286" s="553">
        <f>-'Foglio deposito bis'!$F$48*(C286-sezione!$AL$28)*IF(ABS(K286)&lt;'Progetto del paramento slu'!$G$58,ABS(K286)*'Progetto del paramento slu'!$G$54,'Progetto del paramento slu'!$G$53)</f>
        <v>0</v>
      </c>
      <c r="F286" s="553">
        <f>-'Foglio deposito bis'!$F$49*(C286-sezione!$AM$28)*IF(ABS(L286)&lt;'Progetto del paramento slu'!$G$58,ABS(L286)*'Progetto del paramento slu'!$G$54,'Progetto del paramento slu'!$G$53)</f>
        <v>29360588.126715213</v>
      </c>
      <c r="G286" s="553">
        <f>-'Foglio deposito bis'!$F$50*(C286-sezione!$AN$28)*IF(ABS(M286)&lt;'Progetto del paramento slu'!$G$58,ABS(M286)*'Progetto del paramento slu'!$G$54,'Progetto del paramento slu'!$G$53)</f>
        <v>0</v>
      </c>
      <c r="H286" s="553">
        <f>-'Foglio deposito bis'!$F$51*(C286-sezione!$AO$28)*IF(ABS(N286)&lt;'Progetto del paramento slu'!$G$58,ABS(N286)*'Progetto del paramento slu'!$G$54,'Progetto del paramento slu'!$G$53)</f>
        <v>80307886.149067298</v>
      </c>
      <c r="I286" s="479">
        <f>-'Foglio deposito bis'!$F$52*(C286-sezione!$AP$28)*IF(ABS(O286)&lt;'Progetto del paramento slu'!$G$58,ABS(O286)*'Progetto del paramento slu'!$G$54,'Progetto del paramento slu'!$G$53)</f>
        <v>61032403.82582742</v>
      </c>
      <c r="J286" s="479">
        <f t="shared" si="22"/>
        <v>170331535.22810009</v>
      </c>
      <c r="K286" s="558">
        <f>'Progetto del paramento slu'!$G$60*(sezione!$AL$28-C286)/C286</f>
        <v>1.7400941436058241E-2</v>
      </c>
      <c r="L286" s="558">
        <f>'Progetto del paramento slu'!$G$60*(sezione!$AM$28-C286)/C286</f>
        <v>7.4878530385218411E-2</v>
      </c>
      <c r="M286" s="559">
        <f>'Progetto del paramento slu'!$G$60*(sezione!$AN$28-C286)/C286</f>
        <v>0.13235611933437857</v>
      </c>
      <c r="N286" s="559">
        <f>'Progetto del paramento slu'!$G$60*(sezione!$AO$28-C286)/C286</f>
        <v>0.17415800220649505</v>
      </c>
      <c r="O286" s="559">
        <f>'Progetto del paramento slu'!$G$60*(sezione!$AP$28-C286)/C286</f>
        <v>0.13235663432151731</v>
      </c>
      <c r="P286" s="553">
        <f>-'Progetto del paramento slu'!$G$47*'Progetto del paramento slu'!$G$41*IF(DATI!$G$218="dx",DATI!$E$61,DATI!$E$64*DATI!$E$63)*1000*C286*sezione!$AD$5</f>
        <v>-94417.976627380704</v>
      </c>
      <c r="Q286" s="553">
        <f>'Foglio deposito bis'!$F$48*IF(ABS(K286)&lt;'Progetto del paramento slu'!$G$58,ABS(K286)*'Progetto del paramento slu'!$G$54,'Progetto del paramento slu'!$G$53)*IF(K286&lt;0,-1,1)</f>
        <v>0</v>
      </c>
      <c r="R286" s="553">
        <f>'Foglio deposito bis'!$F$49*IF(ABS(L286)&lt;'Progetto del paramento slu'!$G$58,ABS(L286)*'Progetto del paramento slu'!$G$54,'Progetto del paramento slu'!$G$53)*IF(L286&lt;0,-1,1)</f>
        <v>204886.47740803001</v>
      </c>
      <c r="S286" s="553">
        <f>'Foglio deposito bis'!$F$50*IF(ABS(M286)&lt;'Progetto del paramento slu'!$G$58,ABS(M286)*'Progetto del paramento slu'!$G$54,'Progetto del paramento slu'!$G$53)*IF(M286&lt;0,-1,1)</f>
        <v>0</v>
      </c>
      <c r="T286" s="553">
        <f>'Foglio deposito bis'!$F$51*IF(ABS(N286)&lt;'Progetto del paramento slu'!$G$58,ABS(N286)*'Progetto del paramento slu'!$G$54,'Progetto del paramento slu'!$G$53)*IF(N286&lt;0,-1,1)</f>
        <v>240946.49743184328</v>
      </c>
      <c r="U286" s="553">
        <f>'Foglio deposito bis'!$F$52*IF(ABS(O286)&lt;'Progetto del paramento slu'!$G$58,ABS(O286)*'Progetto del paramento slu'!$G$54,'Progetto del paramento slu'!$G$53)*IF(O286&lt;0,-1,1)</f>
        <v>240946.49743184328</v>
      </c>
      <c r="V286" s="479">
        <f t="shared" si="25"/>
        <v>592361.49564433587</v>
      </c>
      <c r="W286" s="559"/>
      <c r="X286" s="559"/>
    </row>
    <row r="287" spans="1:24" x14ac:dyDescent="0.25">
      <c r="A287" s="553">
        <f t="shared" si="24"/>
        <v>589500.34483744553</v>
      </c>
      <c r="B287" s="3">
        <f t="shared" si="26"/>
        <v>1.7000000000000008</v>
      </c>
      <c r="C287" s="553">
        <f>'Foglio deposito bis'!$E$154/sezione!$B$247*B287</f>
        <v>6.9012405342458711</v>
      </c>
      <c r="D287" s="611">
        <f>-'Progetto del paramento slu'!$G$47*'Progetto del paramento slu'!$G$41*IF(DATI!$G$218="dx",DATI!$E$61,DATI!$E$64*DATI!$E$63)*1000*C287^2*sezione!$AD$5*(1-sezione!$AD$6)</f>
        <v>-392066.44791310915</v>
      </c>
      <c r="E287" s="553">
        <f>-'Foglio deposito bis'!$F$48*(C287-sezione!$AL$28)*IF(ABS(K287)&lt;'Progetto del paramento slu'!$G$58,ABS(K287)*'Progetto del paramento slu'!$G$54,'Progetto del paramento slu'!$G$53)</f>
        <v>0</v>
      </c>
      <c r="F287" s="553">
        <f>-'Foglio deposito bis'!$F$49*(C287-sezione!$AM$28)*IF(ABS(L287)&lt;'Progetto del paramento slu'!$G$58,ABS(L287)*'Progetto del paramento slu'!$G$54,'Progetto del paramento slu'!$G$53)</f>
        <v>29319000.748397358</v>
      </c>
      <c r="G287" s="553">
        <f>-'Foglio deposito bis'!$F$50*(C287-sezione!$AN$28)*IF(ABS(M287)&lt;'Progetto del paramento slu'!$G$58,ABS(M287)*'Progetto del paramento slu'!$G$54,'Progetto del paramento slu'!$G$53)</f>
        <v>0</v>
      </c>
      <c r="H287" s="553">
        <f>-'Foglio deposito bis'!$F$51*(C287-sezione!$AO$28)*IF(ABS(N287)&lt;'Progetto del paramento slu'!$G$58,ABS(N287)*'Progetto del paramento slu'!$G$54,'Progetto del paramento slu'!$G$53)</f>
        <v>80258979.392165512</v>
      </c>
      <c r="I287" s="479">
        <f>-'Foglio deposito bis'!$F$52*(C287-sezione!$AP$28)*IF(ABS(O287)&lt;'Progetto del paramento slu'!$G$58,ABS(O287)*'Progetto del paramento slu'!$G$54,'Progetto del paramento slu'!$G$53)</f>
        <v>60983497.068925612</v>
      </c>
      <c r="J287" s="479">
        <f t="shared" si="22"/>
        <v>170169410.76157537</v>
      </c>
      <c r="K287" s="558">
        <f>'Progetto del paramento slu'!$G$60*(sezione!$AL$28-C287)/C287</f>
        <v>1.6786207864409469E-2</v>
      </c>
      <c r="L287" s="558">
        <f>'Progetto del paramento slu'!$G$60*(sezione!$AM$28-C287)/C287</f>
        <v>7.2573279491535511E-2</v>
      </c>
      <c r="M287" s="559">
        <f>'Progetto del paramento slu'!$G$60*(sezione!$AN$28-C287)/C287</f>
        <v>0.12836035111866156</v>
      </c>
      <c r="N287" s="559">
        <f>'Progetto del paramento slu'!$G$60*(sezione!$AO$28-C287)/C287</f>
        <v>0.16893276684748049</v>
      </c>
      <c r="O287" s="559">
        <f>'Progetto del paramento slu'!$G$60*(sezione!$AP$28-C287)/C287</f>
        <v>0.12836085095911975</v>
      </c>
      <c r="P287" s="553">
        <f>-'Progetto del paramento slu'!$G$47*'Progetto del paramento slu'!$G$41*IF(DATI!$G$218="dx",DATI!$E$61,DATI!$E$64*DATI!$E$63)*1000*C287*sezione!$AD$5</f>
        <v>-97279.127434271024</v>
      </c>
      <c r="Q287" s="553">
        <f>'Foglio deposito bis'!$F$48*IF(ABS(K287)&lt;'Progetto del paramento slu'!$G$58,ABS(K287)*'Progetto del paramento slu'!$G$54,'Progetto del paramento slu'!$G$53)*IF(K287&lt;0,-1,1)</f>
        <v>0</v>
      </c>
      <c r="R287" s="553">
        <f>'Foglio deposito bis'!$F$49*IF(ABS(L287)&lt;'Progetto del paramento slu'!$G$58,ABS(L287)*'Progetto del paramento slu'!$G$54,'Progetto del paramento slu'!$G$53)*IF(L287&lt;0,-1,1)</f>
        <v>204886.47740803001</v>
      </c>
      <c r="S287" s="553">
        <f>'Foglio deposito bis'!$F$50*IF(ABS(M287)&lt;'Progetto del paramento slu'!$G$58,ABS(M287)*'Progetto del paramento slu'!$G$54,'Progetto del paramento slu'!$G$53)*IF(M287&lt;0,-1,1)</f>
        <v>0</v>
      </c>
      <c r="T287" s="553">
        <f>'Foglio deposito bis'!$F$51*IF(ABS(N287)&lt;'Progetto del paramento slu'!$G$58,ABS(N287)*'Progetto del paramento slu'!$G$54,'Progetto del paramento slu'!$G$53)*IF(N287&lt;0,-1,1)</f>
        <v>240946.49743184328</v>
      </c>
      <c r="U287" s="553">
        <f>'Foglio deposito bis'!$F$52*IF(ABS(O287)&lt;'Progetto del paramento slu'!$G$58,ABS(O287)*'Progetto del paramento slu'!$G$54,'Progetto del paramento slu'!$G$53)*IF(O287&lt;0,-1,1)</f>
        <v>240946.49743184328</v>
      </c>
      <c r="V287" s="479">
        <f t="shared" si="25"/>
        <v>589500.34483744553</v>
      </c>
      <c r="W287" s="559"/>
      <c r="X287" s="559"/>
    </row>
    <row r="288" spans="1:24" x14ac:dyDescent="0.25">
      <c r="A288" s="553">
        <f t="shared" si="24"/>
        <v>586639.1940305552</v>
      </c>
      <c r="B288" s="3">
        <f t="shared" si="26"/>
        <v>1.7500000000000009</v>
      </c>
      <c r="C288" s="553">
        <f>'Foglio deposito bis'!$E$154/sezione!$B$247*B288</f>
        <v>7.1042181970178087</v>
      </c>
      <c r="D288" s="611">
        <f>-'Progetto del paramento slu'!$G$47*'Progetto del paramento slu'!$G$41*IF(DATI!$G$218="dx",DATI!$E$61,DATI!$E$64*DATI!$E$63)*1000*C288^2*sezione!$AD$5*(1-sezione!$AD$6)</f>
        <v>-415468.33797020651</v>
      </c>
      <c r="E288" s="553">
        <f>-'Foglio deposito bis'!$F$48*(C288-sezione!$AL$28)*IF(ABS(K288)&lt;'Progetto del paramento slu'!$G$58,ABS(K288)*'Progetto del paramento slu'!$G$54,'Progetto del paramento slu'!$G$53)</f>
        <v>0</v>
      </c>
      <c r="F288" s="553">
        <f>-'Foglio deposito bis'!$F$49*(C288-sezione!$AM$28)*IF(ABS(L288)&lt;'Progetto del paramento slu'!$G$58,ABS(L288)*'Progetto del paramento slu'!$G$54,'Progetto del paramento slu'!$G$53)</f>
        <v>29277413.370079495</v>
      </c>
      <c r="G288" s="553">
        <f>-'Foglio deposito bis'!$F$50*(C288-sezione!$AN$28)*IF(ABS(M288)&lt;'Progetto del paramento slu'!$G$58,ABS(M288)*'Progetto del paramento slu'!$G$54,'Progetto del paramento slu'!$G$53)</f>
        <v>0</v>
      </c>
      <c r="H288" s="553">
        <f>-'Foglio deposito bis'!$F$51*(C288-sezione!$AO$28)*IF(ABS(N288)&lt;'Progetto del paramento slu'!$G$58,ABS(N288)*'Progetto del paramento slu'!$G$54,'Progetto del paramento slu'!$G$53)</f>
        <v>80210072.635263711</v>
      </c>
      <c r="I288" s="479">
        <f>-'Foglio deposito bis'!$F$52*(C288-sezione!$AP$28)*IF(ABS(O288)&lt;'Progetto del paramento slu'!$G$58,ABS(O288)*'Progetto del paramento slu'!$G$54,'Progetto del paramento slu'!$G$53)</f>
        <v>60934590.312023818</v>
      </c>
      <c r="J288" s="479">
        <f t="shared" si="22"/>
        <v>170006607.97939682</v>
      </c>
      <c r="K288" s="558">
        <f>'Progetto del paramento slu'!$G$60*(sezione!$AL$28-C288)/C288</f>
        <v>1.6206601925426344E-2</v>
      </c>
      <c r="L288" s="558">
        <f>'Progetto del paramento slu'!$G$60*(sezione!$AM$28-C288)/C288</f>
        <v>7.0399757220348774E-2</v>
      </c>
      <c r="M288" s="559">
        <f>'Progetto del paramento slu'!$G$60*(sezione!$AN$28-C288)/C288</f>
        <v>0.12459291251527121</v>
      </c>
      <c r="N288" s="559">
        <f>'Progetto del paramento slu'!$G$60*(sezione!$AO$28-C288)/C288</f>
        <v>0.16400611636612392</v>
      </c>
      <c r="O288" s="559">
        <f>'Progetto del paramento slu'!$G$60*(sezione!$AP$28-C288)/C288</f>
        <v>0.12459339807457348</v>
      </c>
      <c r="P288" s="553">
        <f>-'Progetto del paramento slu'!$G$47*'Progetto del paramento slu'!$G$41*IF(DATI!$G$218="dx",DATI!$E$61,DATI!$E$64*DATI!$E$63)*1000*C288*sezione!$AD$5</f>
        <v>-100140.27824116136</v>
      </c>
      <c r="Q288" s="553">
        <f>'Foglio deposito bis'!$F$48*IF(ABS(K288)&lt;'Progetto del paramento slu'!$G$58,ABS(K288)*'Progetto del paramento slu'!$G$54,'Progetto del paramento slu'!$G$53)*IF(K288&lt;0,-1,1)</f>
        <v>0</v>
      </c>
      <c r="R288" s="553">
        <f>'Foglio deposito bis'!$F$49*IF(ABS(L288)&lt;'Progetto del paramento slu'!$G$58,ABS(L288)*'Progetto del paramento slu'!$G$54,'Progetto del paramento slu'!$G$53)*IF(L288&lt;0,-1,1)</f>
        <v>204886.47740803001</v>
      </c>
      <c r="S288" s="553">
        <f>'Foglio deposito bis'!$F$50*IF(ABS(M288)&lt;'Progetto del paramento slu'!$G$58,ABS(M288)*'Progetto del paramento slu'!$G$54,'Progetto del paramento slu'!$G$53)*IF(M288&lt;0,-1,1)</f>
        <v>0</v>
      </c>
      <c r="T288" s="553">
        <f>'Foglio deposito bis'!$F$51*IF(ABS(N288)&lt;'Progetto del paramento slu'!$G$58,ABS(N288)*'Progetto del paramento slu'!$G$54,'Progetto del paramento slu'!$G$53)*IF(N288&lt;0,-1,1)</f>
        <v>240946.49743184328</v>
      </c>
      <c r="U288" s="553">
        <f>'Foglio deposito bis'!$F$52*IF(ABS(O288)&lt;'Progetto del paramento slu'!$G$58,ABS(O288)*'Progetto del paramento slu'!$G$54,'Progetto del paramento slu'!$G$53)*IF(O288&lt;0,-1,1)</f>
        <v>240946.49743184328</v>
      </c>
      <c r="V288" s="479">
        <f t="shared" si="25"/>
        <v>586639.1940305552</v>
      </c>
      <c r="W288" s="559"/>
      <c r="X288" s="559"/>
    </row>
    <row r="289" spans="1:24" x14ac:dyDescent="0.25">
      <c r="A289" s="553">
        <f t="shared" si="24"/>
        <v>583778.04322366486</v>
      </c>
      <c r="B289" s="3">
        <f t="shared" si="26"/>
        <v>1.8000000000000009</v>
      </c>
      <c r="C289" s="553">
        <f>'Foglio deposito bis'!$E$154/sezione!$B$247*B289</f>
        <v>7.3071958597897462</v>
      </c>
      <c r="D289" s="611">
        <f>-'Progetto del paramento slu'!$G$47*'Progetto del paramento slu'!$G$41*IF(DATI!$G$218="dx",DATI!$E$61,DATI!$E$64*DATI!$E$63)*1000*C289^2*sezione!$AD$5*(1-sezione!$AD$6)</f>
        <v>-439548.54368113278</v>
      </c>
      <c r="E289" s="553">
        <f>-'Foglio deposito bis'!$F$48*(C289-sezione!$AL$28)*IF(ABS(K289)&lt;'Progetto del paramento slu'!$G$58,ABS(K289)*'Progetto del paramento slu'!$G$54,'Progetto del paramento slu'!$G$53)</f>
        <v>0</v>
      </c>
      <c r="F289" s="553">
        <f>-'Foglio deposito bis'!$F$49*(C289-sezione!$AM$28)*IF(ABS(L289)&lt;'Progetto del paramento slu'!$G$58,ABS(L289)*'Progetto del paramento slu'!$G$54,'Progetto del paramento slu'!$G$53)</f>
        <v>29235825.99176164</v>
      </c>
      <c r="G289" s="553">
        <f>-'Foglio deposito bis'!$F$50*(C289-sezione!$AN$28)*IF(ABS(M289)&lt;'Progetto del paramento slu'!$G$58,ABS(M289)*'Progetto del paramento slu'!$G$54,'Progetto del paramento slu'!$G$53)</f>
        <v>0</v>
      </c>
      <c r="H289" s="553">
        <f>-'Foglio deposito bis'!$F$51*(C289-sezione!$AO$28)*IF(ABS(N289)&lt;'Progetto del paramento slu'!$G$58,ABS(N289)*'Progetto del paramento slu'!$G$54,'Progetto del paramento slu'!$G$53)</f>
        <v>80161165.878361896</v>
      </c>
      <c r="I289" s="479">
        <f>-'Foglio deposito bis'!$F$52*(C289-sezione!$AP$28)*IF(ABS(O289)&lt;'Progetto del paramento slu'!$G$58,ABS(O289)*'Progetto del paramento slu'!$G$54,'Progetto del paramento slu'!$G$53)</f>
        <v>60885683.55512201</v>
      </c>
      <c r="J289" s="479">
        <f t="shared" si="22"/>
        <v>169843126.88156441</v>
      </c>
      <c r="K289" s="558">
        <f>'Progetto del paramento slu'!$G$60*(sezione!$AL$28-C289)/C289</f>
        <v>1.5659196316386723E-2</v>
      </c>
      <c r="L289" s="558">
        <f>'Progetto del paramento slu'!$G$60*(sezione!$AM$28-C289)/C289</f>
        <v>6.8346986186450201E-2</v>
      </c>
      <c r="M289" s="559">
        <f>'Progetto del paramento slu'!$G$60*(sezione!$AN$28-C289)/C289</f>
        <v>0.12103477605651369</v>
      </c>
      <c r="N289" s="559">
        <f>'Progetto del paramento slu'!$G$60*(sezione!$AO$28-C289)/C289</f>
        <v>0.15935316868928712</v>
      </c>
      <c r="O289" s="559">
        <f>'Progetto del paramento slu'!$G$60*(sezione!$AP$28-C289)/C289</f>
        <v>0.12103524812805755</v>
      </c>
      <c r="P289" s="553">
        <f>-'Progetto del paramento slu'!$G$47*'Progetto del paramento slu'!$G$41*IF(DATI!$G$218="dx",DATI!$E$61,DATI!$E$64*DATI!$E$63)*1000*C289*sezione!$AD$5</f>
        <v>-103001.42904805169</v>
      </c>
      <c r="Q289" s="553">
        <f>'Foglio deposito bis'!$F$48*IF(ABS(K289)&lt;'Progetto del paramento slu'!$G$58,ABS(K289)*'Progetto del paramento slu'!$G$54,'Progetto del paramento slu'!$G$53)*IF(K289&lt;0,-1,1)</f>
        <v>0</v>
      </c>
      <c r="R289" s="553">
        <f>'Foglio deposito bis'!$F$49*IF(ABS(L289)&lt;'Progetto del paramento slu'!$G$58,ABS(L289)*'Progetto del paramento slu'!$G$54,'Progetto del paramento slu'!$G$53)*IF(L289&lt;0,-1,1)</f>
        <v>204886.47740803001</v>
      </c>
      <c r="S289" s="553">
        <f>'Foglio deposito bis'!$F$50*IF(ABS(M289)&lt;'Progetto del paramento slu'!$G$58,ABS(M289)*'Progetto del paramento slu'!$G$54,'Progetto del paramento slu'!$G$53)*IF(M289&lt;0,-1,1)</f>
        <v>0</v>
      </c>
      <c r="T289" s="553">
        <f>'Foglio deposito bis'!$F$51*IF(ABS(N289)&lt;'Progetto del paramento slu'!$G$58,ABS(N289)*'Progetto del paramento slu'!$G$54,'Progetto del paramento slu'!$G$53)*IF(N289&lt;0,-1,1)</f>
        <v>240946.49743184328</v>
      </c>
      <c r="U289" s="553">
        <f>'Foglio deposito bis'!$F$52*IF(ABS(O289)&lt;'Progetto del paramento slu'!$G$58,ABS(O289)*'Progetto del paramento slu'!$G$54,'Progetto del paramento slu'!$G$53)*IF(O289&lt;0,-1,1)</f>
        <v>240946.49743184328</v>
      </c>
      <c r="V289" s="479">
        <f t="shared" si="25"/>
        <v>583778.04322366486</v>
      </c>
      <c r="W289" s="559"/>
      <c r="X289" s="559"/>
    </row>
    <row r="290" spans="1:24" x14ac:dyDescent="0.25">
      <c r="A290" s="553">
        <f t="shared" si="24"/>
        <v>580916.89241677453</v>
      </c>
      <c r="B290" s="3">
        <f t="shared" si="26"/>
        <v>1.850000000000001</v>
      </c>
      <c r="C290" s="553">
        <f>'Foglio deposito bis'!$E$154/sezione!$B$247*B290</f>
        <v>7.5101735225616837</v>
      </c>
      <c r="D290" s="611">
        <f>-'Progetto del paramento slu'!$G$47*'Progetto del paramento slu'!$G$41*IF(DATI!$G$218="dx",DATI!$E$61,DATI!$E$64*DATI!$E$63)*1000*C290^2*sezione!$AD$5*(1-sezione!$AD$6)</f>
        <v>-464307.06504588801</v>
      </c>
      <c r="E290" s="553">
        <f>-'Foglio deposito bis'!$F$48*(C290-sezione!$AL$28)*IF(ABS(K290)&lt;'Progetto del paramento slu'!$G$58,ABS(K290)*'Progetto del paramento slu'!$G$54,'Progetto del paramento slu'!$G$53)</f>
        <v>0</v>
      </c>
      <c r="F290" s="553">
        <f>-'Foglio deposito bis'!$F$49*(C290-sezione!$AM$28)*IF(ABS(L290)&lt;'Progetto del paramento slu'!$G$58,ABS(L290)*'Progetto del paramento slu'!$G$54,'Progetto del paramento slu'!$G$53)</f>
        <v>29194238.613443788</v>
      </c>
      <c r="G290" s="553">
        <f>-'Foglio deposito bis'!$F$50*(C290-sezione!$AN$28)*IF(ABS(M290)&lt;'Progetto del paramento slu'!$G$58,ABS(M290)*'Progetto del paramento slu'!$G$54,'Progetto del paramento slu'!$G$53)</f>
        <v>0</v>
      </c>
      <c r="H290" s="553">
        <f>-'Foglio deposito bis'!$F$51*(C290-sezione!$AO$28)*IF(ABS(N290)&lt;'Progetto del paramento slu'!$G$58,ABS(N290)*'Progetto del paramento slu'!$G$54,'Progetto del paramento slu'!$G$53)</f>
        <v>80112259.12146011</v>
      </c>
      <c r="I290" s="479">
        <f>-'Foglio deposito bis'!$F$52*(C290-sezione!$AP$28)*IF(ABS(O290)&lt;'Progetto del paramento slu'!$G$58,ABS(O290)*'Progetto del paramento slu'!$G$54,'Progetto del paramento slu'!$G$53)</f>
        <v>60836776.79822021</v>
      </c>
      <c r="J290" s="479">
        <f t="shared" si="22"/>
        <v>169678967.46807823</v>
      </c>
      <c r="K290" s="558">
        <f>'Progetto del paramento slu'!$G$60*(sezione!$AL$28-C290)/C290</f>
        <v>1.5141380199727619E-2</v>
      </c>
      <c r="L290" s="558">
        <f>'Progetto del paramento slu'!$G$60*(sezione!$AM$28-C290)/C290</f>
        <v>6.6405175748978584E-2</v>
      </c>
      <c r="M290" s="559">
        <f>'Progetto del paramento slu'!$G$60*(sezione!$AN$28-C290)/C290</f>
        <v>0.11766897129822954</v>
      </c>
      <c r="N290" s="559">
        <f>'Progetto del paramento slu'!$G$60*(sezione!$AO$28-C290)/C290</f>
        <v>0.15495173169768478</v>
      </c>
      <c r="O290" s="559">
        <f>'Progetto del paramento slu'!$G$60*(sezione!$AP$28-C290)/C290</f>
        <v>0.11766943061108301</v>
      </c>
      <c r="P290" s="553">
        <f>-'Progetto del paramento slu'!$G$47*'Progetto del paramento slu'!$G$41*IF(DATI!$G$218="dx",DATI!$E$61,DATI!$E$64*DATI!$E$63)*1000*C290*sezione!$AD$5</f>
        <v>-105862.57985494201</v>
      </c>
      <c r="Q290" s="553">
        <f>'Foglio deposito bis'!$F$48*IF(ABS(K290)&lt;'Progetto del paramento slu'!$G$58,ABS(K290)*'Progetto del paramento slu'!$G$54,'Progetto del paramento slu'!$G$53)*IF(K290&lt;0,-1,1)</f>
        <v>0</v>
      </c>
      <c r="R290" s="553">
        <f>'Foglio deposito bis'!$F$49*IF(ABS(L290)&lt;'Progetto del paramento slu'!$G$58,ABS(L290)*'Progetto del paramento slu'!$G$54,'Progetto del paramento slu'!$G$53)*IF(L290&lt;0,-1,1)</f>
        <v>204886.47740803001</v>
      </c>
      <c r="S290" s="553">
        <f>'Foglio deposito bis'!$F$50*IF(ABS(M290)&lt;'Progetto del paramento slu'!$G$58,ABS(M290)*'Progetto del paramento slu'!$G$54,'Progetto del paramento slu'!$G$53)*IF(M290&lt;0,-1,1)</f>
        <v>0</v>
      </c>
      <c r="T290" s="553">
        <f>'Foglio deposito bis'!$F$51*IF(ABS(N290)&lt;'Progetto del paramento slu'!$G$58,ABS(N290)*'Progetto del paramento slu'!$G$54,'Progetto del paramento slu'!$G$53)*IF(N290&lt;0,-1,1)</f>
        <v>240946.49743184328</v>
      </c>
      <c r="U290" s="553">
        <f>'Foglio deposito bis'!$F$52*IF(ABS(O290)&lt;'Progetto del paramento slu'!$G$58,ABS(O290)*'Progetto del paramento slu'!$G$54,'Progetto del paramento slu'!$G$53)*IF(O290&lt;0,-1,1)</f>
        <v>240946.49743184328</v>
      </c>
      <c r="V290" s="479">
        <f t="shared" si="25"/>
        <v>580916.89241677453</v>
      </c>
      <c r="W290" s="559"/>
      <c r="X290" s="559"/>
    </row>
    <row r="291" spans="1:24" x14ac:dyDescent="0.25">
      <c r="A291" s="553">
        <f t="shared" si="24"/>
        <v>578055.74160988419</v>
      </c>
      <c r="B291" s="3">
        <f t="shared" si="26"/>
        <v>1.900000000000001</v>
      </c>
      <c r="C291" s="553">
        <f>'Foglio deposito bis'!$E$154/sezione!$B$247*B291</f>
        <v>7.7131511853336212</v>
      </c>
      <c r="D291" s="611">
        <f>-'Progetto del paramento slu'!$G$47*'Progetto del paramento slu'!$G$41*IF(DATI!$G$218="dx",DATI!$E$61,DATI!$E$64*DATI!$E$63)*1000*C291^2*sezione!$AD$5*(1-sezione!$AD$6)</f>
        <v>-489743.90206447209</v>
      </c>
      <c r="E291" s="553">
        <f>-'Foglio deposito bis'!$F$48*(C291-sezione!$AL$28)*IF(ABS(K291)&lt;'Progetto del paramento slu'!$G$58,ABS(K291)*'Progetto del paramento slu'!$G$54,'Progetto del paramento slu'!$G$53)</f>
        <v>0</v>
      </c>
      <c r="F291" s="553">
        <f>-'Foglio deposito bis'!$F$49*(C291-sezione!$AM$28)*IF(ABS(L291)&lt;'Progetto del paramento slu'!$G$58,ABS(L291)*'Progetto del paramento slu'!$G$54,'Progetto del paramento slu'!$G$53)</f>
        <v>29152651.235125922</v>
      </c>
      <c r="G291" s="553">
        <f>-'Foglio deposito bis'!$F$50*(C291-sezione!$AN$28)*IF(ABS(M291)&lt;'Progetto del paramento slu'!$G$58,ABS(M291)*'Progetto del paramento slu'!$G$54,'Progetto del paramento slu'!$G$53)</f>
        <v>0</v>
      </c>
      <c r="H291" s="553">
        <f>-'Foglio deposito bis'!$F$51*(C291-sezione!$AO$28)*IF(ABS(N291)&lt;'Progetto del paramento slu'!$G$58,ABS(N291)*'Progetto del paramento slu'!$G$54,'Progetto del paramento slu'!$G$53)</f>
        <v>80063352.364558309</v>
      </c>
      <c r="I291" s="479">
        <f>-'Foglio deposito bis'!$F$52*(C291-sezione!$AP$28)*IF(ABS(O291)&lt;'Progetto del paramento slu'!$G$58,ABS(O291)*'Progetto del paramento slu'!$G$54,'Progetto del paramento slu'!$G$53)</f>
        <v>60787870.041318402</v>
      </c>
      <c r="J291" s="479">
        <f t="shared" si="22"/>
        <v>169514129.73893815</v>
      </c>
      <c r="K291" s="558">
        <f>'Progetto del paramento slu'!$G$60*(sezione!$AL$28-C291)/C291</f>
        <v>1.465081756289268E-2</v>
      </c>
      <c r="L291" s="558">
        <f>'Progetto del paramento slu'!$G$60*(sezione!$AM$28-C291)/C291</f>
        <v>6.4565565860847551E-2</v>
      </c>
      <c r="M291" s="559">
        <f>'Progetto del paramento slu'!$G$60*(sezione!$AN$28-C291)/C291</f>
        <v>0.11448031415880243</v>
      </c>
      <c r="N291" s="559">
        <f>'Progetto del paramento slu'!$G$60*(sezione!$AO$28-C291)/C291</f>
        <v>0.1507819492845878</v>
      </c>
      <c r="O291" s="559">
        <f>'Progetto del paramento slu'!$G$60*(sezione!$AP$28-C291)/C291</f>
        <v>0.11448076138447556</v>
      </c>
      <c r="P291" s="553">
        <f>-'Progetto del paramento slu'!$G$47*'Progetto del paramento slu'!$G$41*IF(DATI!$G$218="dx",DATI!$E$61,DATI!$E$64*DATI!$E$63)*1000*C291*sezione!$AD$5</f>
        <v>-108723.73066183235</v>
      </c>
      <c r="Q291" s="553">
        <f>'Foglio deposito bis'!$F$48*IF(ABS(K291)&lt;'Progetto del paramento slu'!$G$58,ABS(K291)*'Progetto del paramento slu'!$G$54,'Progetto del paramento slu'!$G$53)*IF(K291&lt;0,-1,1)</f>
        <v>0</v>
      </c>
      <c r="R291" s="553">
        <f>'Foglio deposito bis'!$F$49*IF(ABS(L291)&lt;'Progetto del paramento slu'!$G$58,ABS(L291)*'Progetto del paramento slu'!$G$54,'Progetto del paramento slu'!$G$53)*IF(L291&lt;0,-1,1)</f>
        <v>204886.47740803001</v>
      </c>
      <c r="S291" s="553">
        <f>'Foglio deposito bis'!$F$50*IF(ABS(M291)&lt;'Progetto del paramento slu'!$G$58,ABS(M291)*'Progetto del paramento slu'!$G$54,'Progetto del paramento slu'!$G$53)*IF(M291&lt;0,-1,1)</f>
        <v>0</v>
      </c>
      <c r="T291" s="553">
        <f>'Foglio deposito bis'!$F$51*IF(ABS(N291)&lt;'Progetto del paramento slu'!$G$58,ABS(N291)*'Progetto del paramento slu'!$G$54,'Progetto del paramento slu'!$G$53)*IF(N291&lt;0,-1,1)</f>
        <v>240946.49743184328</v>
      </c>
      <c r="U291" s="553">
        <f>'Foglio deposito bis'!$F$52*IF(ABS(O291)&lt;'Progetto del paramento slu'!$G$58,ABS(O291)*'Progetto del paramento slu'!$G$54,'Progetto del paramento slu'!$G$53)*IF(O291&lt;0,-1,1)</f>
        <v>240946.49743184328</v>
      </c>
      <c r="V291" s="479">
        <f t="shared" si="25"/>
        <v>578055.74160988419</v>
      </c>
      <c r="W291" s="559"/>
      <c r="X291" s="559"/>
    </row>
    <row r="292" spans="1:24" x14ac:dyDescent="0.25">
      <c r="A292" s="553">
        <f t="shared" si="24"/>
        <v>575194.59080299386</v>
      </c>
      <c r="B292" s="3">
        <f t="shared" si="26"/>
        <v>1.9500000000000011</v>
      </c>
      <c r="C292" s="553">
        <f>'Foglio deposito bis'!$E$154/sezione!$B$247*B292</f>
        <v>7.9161288481055587</v>
      </c>
      <c r="D292" s="611">
        <f>-'Progetto del paramento slu'!$G$47*'Progetto del paramento slu'!$G$41*IF(DATI!$G$218="dx",DATI!$E$61,DATI!$E$64*DATI!$E$63)*1000*C292^2*sezione!$AD$5*(1-sezione!$AD$6)</f>
        <v>-515859.05473688507</v>
      </c>
      <c r="E292" s="553">
        <f>-'Foglio deposito bis'!$F$48*(C292-sezione!$AL$28)*IF(ABS(K292)&lt;'Progetto del paramento slu'!$G$58,ABS(K292)*'Progetto del paramento slu'!$G$54,'Progetto del paramento slu'!$G$53)</f>
        <v>0</v>
      </c>
      <c r="F292" s="553">
        <f>-'Foglio deposito bis'!$F$49*(C292-sezione!$AM$28)*IF(ABS(L292)&lt;'Progetto del paramento slu'!$G$58,ABS(L292)*'Progetto del paramento slu'!$G$54,'Progetto del paramento slu'!$G$53)</f>
        <v>29111063.85680807</v>
      </c>
      <c r="G292" s="553">
        <f>-'Foglio deposito bis'!$F$50*(C292-sezione!$AN$28)*IF(ABS(M292)&lt;'Progetto del paramento slu'!$G$58,ABS(M292)*'Progetto del paramento slu'!$G$54,'Progetto del paramento slu'!$G$53)</f>
        <v>0</v>
      </c>
      <c r="H292" s="553">
        <f>-'Foglio deposito bis'!$F$51*(C292-sezione!$AO$28)*IF(ABS(N292)&lt;'Progetto del paramento slu'!$G$58,ABS(N292)*'Progetto del paramento slu'!$G$54,'Progetto del paramento slu'!$G$53)</f>
        <v>80014445.607656494</v>
      </c>
      <c r="I292" s="479">
        <f>-'Foglio deposito bis'!$F$52*(C292-sezione!$AP$28)*IF(ABS(O292)&lt;'Progetto del paramento slu'!$G$58,ABS(O292)*'Progetto del paramento slu'!$G$54,'Progetto del paramento slu'!$G$53)</f>
        <v>60738963.284416609</v>
      </c>
      <c r="J292" s="479">
        <f t="shared" si="22"/>
        <v>169348613.69414428</v>
      </c>
      <c r="K292" s="558">
        <f>'Progetto del paramento slu'!$G$60*(sezione!$AL$28-C292)/C292</f>
        <v>1.4185411984356973E-2</v>
      </c>
      <c r="L292" s="558">
        <f>'Progetto del paramento slu'!$G$60*(sezione!$AM$28-C292)/C292</f>
        <v>6.2820294941338645E-2</v>
      </c>
      <c r="M292" s="559">
        <f>'Progetto del paramento slu'!$G$60*(sezione!$AN$28-C292)/C292</f>
        <v>0.11145517789832032</v>
      </c>
      <c r="N292" s="559">
        <f>'Progetto del paramento slu'!$G$60*(sezione!$AO$28-C292)/C292</f>
        <v>0.14682600186703423</v>
      </c>
      <c r="O292" s="559">
        <f>'Progetto del paramento slu'!$G$60*(sezione!$AP$28-C292)/C292</f>
        <v>0.11145561365666851</v>
      </c>
      <c r="P292" s="553">
        <f>-'Progetto del paramento slu'!$G$47*'Progetto del paramento slu'!$G$41*IF(DATI!$G$218="dx",DATI!$E$61,DATI!$E$64*DATI!$E$63)*1000*C292*sezione!$AD$5</f>
        <v>-111584.88146872267</v>
      </c>
      <c r="Q292" s="553">
        <f>'Foglio deposito bis'!$F$48*IF(ABS(K292)&lt;'Progetto del paramento slu'!$G$58,ABS(K292)*'Progetto del paramento slu'!$G$54,'Progetto del paramento slu'!$G$53)*IF(K292&lt;0,-1,1)</f>
        <v>0</v>
      </c>
      <c r="R292" s="553">
        <f>'Foglio deposito bis'!$F$49*IF(ABS(L292)&lt;'Progetto del paramento slu'!$G$58,ABS(L292)*'Progetto del paramento slu'!$G$54,'Progetto del paramento slu'!$G$53)*IF(L292&lt;0,-1,1)</f>
        <v>204886.47740803001</v>
      </c>
      <c r="S292" s="553">
        <f>'Foglio deposito bis'!$F$50*IF(ABS(M292)&lt;'Progetto del paramento slu'!$G$58,ABS(M292)*'Progetto del paramento slu'!$G$54,'Progetto del paramento slu'!$G$53)*IF(M292&lt;0,-1,1)</f>
        <v>0</v>
      </c>
      <c r="T292" s="553">
        <f>'Foglio deposito bis'!$F$51*IF(ABS(N292)&lt;'Progetto del paramento slu'!$G$58,ABS(N292)*'Progetto del paramento slu'!$G$54,'Progetto del paramento slu'!$G$53)*IF(N292&lt;0,-1,1)</f>
        <v>240946.49743184328</v>
      </c>
      <c r="U292" s="553">
        <f>'Foglio deposito bis'!$F$52*IF(ABS(O292)&lt;'Progetto del paramento slu'!$G$58,ABS(O292)*'Progetto del paramento slu'!$G$54,'Progetto del paramento slu'!$G$53)*IF(O292&lt;0,-1,1)</f>
        <v>240946.49743184328</v>
      </c>
      <c r="V292" s="479">
        <f t="shared" si="25"/>
        <v>575194.59080299386</v>
      </c>
      <c r="W292" s="559"/>
      <c r="X292" s="559"/>
    </row>
    <row r="293" spans="1:24" x14ac:dyDescent="0.25">
      <c r="A293" s="553">
        <f t="shared" si="24"/>
        <v>572333.43999610364</v>
      </c>
      <c r="B293" s="3">
        <f t="shared" si="26"/>
        <v>2.0000000000000009</v>
      </c>
      <c r="C293" s="553">
        <f>'Foglio deposito bis'!$E$154/sezione!$B$247*B293</f>
        <v>8.1191065108774954</v>
      </c>
      <c r="D293" s="611">
        <f>-'Progetto del paramento slu'!$G$47*'Progetto del paramento slu'!$G$41*IF(DATI!$G$218="dx",DATI!$E$61,DATI!$E$64*DATI!$E$63)*1000*C293^2*sezione!$AD$5*(1-sezione!$AD$6)</f>
        <v>-542652.52306312695</v>
      </c>
      <c r="E293" s="553">
        <f>-'Foglio deposito bis'!$F$48*(C293-sezione!$AL$28)*IF(ABS(K293)&lt;'Progetto del paramento slu'!$G$58,ABS(K293)*'Progetto del paramento slu'!$G$54,'Progetto del paramento slu'!$G$53)</f>
        <v>0</v>
      </c>
      <c r="F293" s="553">
        <f>-'Foglio deposito bis'!$F$49*(C293-sezione!$AM$28)*IF(ABS(L293)&lt;'Progetto del paramento slu'!$G$58,ABS(L293)*'Progetto del paramento slu'!$G$54,'Progetto del paramento slu'!$G$53)</f>
        <v>29069476.478490211</v>
      </c>
      <c r="G293" s="553">
        <f>-'Foglio deposito bis'!$F$50*(C293-sezione!$AN$28)*IF(ABS(M293)&lt;'Progetto del paramento slu'!$G$58,ABS(M293)*'Progetto del paramento slu'!$G$54,'Progetto del paramento slu'!$G$53)</f>
        <v>0</v>
      </c>
      <c r="H293" s="553">
        <f>-'Foglio deposito bis'!$F$51*(C293-sezione!$AO$28)*IF(ABS(N293)&lt;'Progetto del paramento slu'!$G$58,ABS(N293)*'Progetto del paramento slu'!$G$54,'Progetto del paramento slu'!$G$53)</f>
        <v>79965538.850754708</v>
      </c>
      <c r="I293" s="479">
        <f>-'Foglio deposito bis'!$F$52*(C293-sezione!$AP$28)*IF(ABS(O293)&lt;'Progetto del paramento slu'!$G$58,ABS(O293)*'Progetto del paramento slu'!$G$54,'Progetto del paramento slu'!$G$53)</f>
        <v>60690056.527514815</v>
      </c>
      <c r="J293" s="479">
        <f t="shared" si="22"/>
        <v>169182419.3336966</v>
      </c>
      <c r="K293" s="558">
        <f>'Progetto del paramento slu'!$G$60*(sezione!$AL$28-C293)/C293</f>
        <v>1.374327668474805E-2</v>
      </c>
      <c r="L293" s="558">
        <f>'Progetto del paramento slu'!$G$60*(sezione!$AM$28-C293)/C293</f>
        <v>6.1162287567805194E-2</v>
      </c>
      <c r="M293" s="559">
        <f>'Progetto del paramento slu'!$G$60*(sezione!$AN$28-C293)/C293</f>
        <v>0.10858129845086233</v>
      </c>
      <c r="N293" s="559">
        <f>'Progetto del paramento slu'!$G$60*(sezione!$AO$28-C293)/C293</f>
        <v>0.14306785182035842</v>
      </c>
      <c r="O293" s="559">
        <f>'Progetto del paramento slu'!$G$60*(sezione!$AP$28-C293)/C293</f>
        <v>0.10858172331525179</v>
      </c>
      <c r="P293" s="553">
        <f>-'Progetto del paramento slu'!$G$47*'Progetto del paramento slu'!$G$41*IF(DATI!$G$218="dx",DATI!$E$61,DATI!$E$64*DATI!$E$63)*1000*C293*sezione!$AD$5</f>
        <v>-114446.03227561298</v>
      </c>
      <c r="Q293" s="553">
        <f>'Foglio deposito bis'!$F$48*IF(ABS(K293)&lt;'Progetto del paramento slu'!$G$58,ABS(K293)*'Progetto del paramento slu'!$G$54,'Progetto del paramento slu'!$G$53)*IF(K293&lt;0,-1,1)</f>
        <v>0</v>
      </c>
      <c r="R293" s="553">
        <f>'Foglio deposito bis'!$F$49*IF(ABS(L293)&lt;'Progetto del paramento slu'!$G$58,ABS(L293)*'Progetto del paramento slu'!$G$54,'Progetto del paramento slu'!$G$53)*IF(L293&lt;0,-1,1)</f>
        <v>204886.47740803001</v>
      </c>
      <c r="S293" s="553">
        <f>'Foglio deposito bis'!$F$50*IF(ABS(M293)&lt;'Progetto del paramento slu'!$G$58,ABS(M293)*'Progetto del paramento slu'!$G$54,'Progetto del paramento slu'!$G$53)*IF(M293&lt;0,-1,1)</f>
        <v>0</v>
      </c>
      <c r="T293" s="553">
        <f>'Foglio deposito bis'!$F$51*IF(ABS(N293)&lt;'Progetto del paramento slu'!$G$58,ABS(N293)*'Progetto del paramento slu'!$G$54,'Progetto del paramento slu'!$G$53)*IF(N293&lt;0,-1,1)</f>
        <v>240946.49743184328</v>
      </c>
      <c r="U293" s="553">
        <f>'Foglio deposito bis'!$F$52*IF(ABS(O293)&lt;'Progetto del paramento slu'!$G$58,ABS(O293)*'Progetto del paramento slu'!$G$54,'Progetto del paramento slu'!$G$53)*IF(O293&lt;0,-1,1)</f>
        <v>240946.49743184328</v>
      </c>
      <c r="V293" s="479">
        <f t="shared" si="25"/>
        <v>572333.43999610364</v>
      </c>
      <c r="W293" s="559"/>
      <c r="X293" s="559"/>
    </row>
    <row r="294" spans="1:24" x14ac:dyDescent="0.25">
      <c r="A294" s="553">
        <f t="shared" si="24"/>
        <v>569472.2891892133</v>
      </c>
      <c r="B294" s="3">
        <f t="shared" si="26"/>
        <v>2.0500000000000007</v>
      </c>
      <c r="C294" s="553">
        <f>'Foglio deposito bis'!$E$154/sezione!$B$247*B294</f>
        <v>8.3220841736494311</v>
      </c>
      <c r="D294" s="611">
        <f>-'Progetto del paramento slu'!$G$47*'Progetto del paramento slu'!$G$41*IF(DATI!$G$218="dx",DATI!$E$61,DATI!$E$64*DATI!$E$63)*1000*C294^2*sezione!$AD$5*(1-sezione!$AD$6)</f>
        <v>-570124.30704319733</v>
      </c>
      <c r="E294" s="553">
        <f>-'Foglio deposito bis'!$F$48*(C294-sezione!$AL$28)*IF(ABS(K294)&lt;'Progetto del paramento slu'!$G$58,ABS(K294)*'Progetto del paramento slu'!$G$54,'Progetto del paramento slu'!$G$53)</f>
        <v>0</v>
      </c>
      <c r="F294" s="553">
        <f>-'Foglio deposito bis'!$F$49*(C294-sezione!$AM$28)*IF(ABS(L294)&lt;'Progetto del paramento slu'!$G$58,ABS(L294)*'Progetto del paramento slu'!$G$54,'Progetto del paramento slu'!$G$53)</f>
        <v>29027889.100172352</v>
      </c>
      <c r="G294" s="553">
        <f>-'Foglio deposito bis'!$F$50*(C294-sezione!$AN$28)*IF(ABS(M294)&lt;'Progetto del paramento slu'!$G$58,ABS(M294)*'Progetto del paramento slu'!$G$54,'Progetto del paramento slu'!$G$53)</f>
        <v>0</v>
      </c>
      <c r="H294" s="553">
        <f>-'Foglio deposito bis'!$F$51*(C294-sezione!$AO$28)*IF(ABS(N294)&lt;'Progetto del paramento slu'!$G$58,ABS(N294)*'Progetto del paramento slu'!$G$54,'Progetto del paramento slu'!$G$53)</f>
        <v>79916632.093852907</v>
      </c>
      <c r="I294" s="479">
        <f>-'Foglio deposito bis'!$F$52*(C294-sezione!$AP$28)*IF(ABS(O294)&lt;'Progetto del paramento slu'!$G$58,ABS(O294)*'Progetto del paramento slu'!$G$54,'Progetto del paramento slu'!$G$53)</f>
        <v>60641149.770613007</v>
      </c>
      <c r="J294" s="479">
        <f t="shared" si="22"/>
        <v>169015546.65759507</v>
      </c>
      <c r="K294" s="558">
        <f>'Progetto del paramento slu'!$G$60*(sezione!$AL$28-C294)/C294</f>
        <v>1.3322708960729809E-2</v>
      </c>
      <c r="L294" s="558">
        <f>'Progetto del paramento slu'!$G$60*(sezione!$AM$28-C294)/C294</f>
        <v>5.9585158602736769E-2</v>
      </c>
      <c r="M294" s="559">
        <f>'Progetto del paramento slu'!$G$60*(sezione!$AN$28-C294)/C294</f>
        <v>0.10584760824474375</v>
      </c>
      <c r="N294" s="559">
        <f>'Progetto del paramento slu'!$G$60*(sezione!$AO$28-C294)/C294</f>
        <v>0.13949302616620335</v>
      </c>
      <c r="O294" s="559">
        <f>'Progetto del paramento slu'!$G$60*(sezione!$AP$28-C294)/C294</f>
        <v>0.10584802274658714</v>
      </c>
      <c r="P294" s="553">
        <f>-'Progetto del paramento slu'!$G$47*'Progetto del paramento slu'!$G$41*IF(DATI!$G$218="dx",DATI!$E$61,DATI!$E$64*DATI!$E$63)*1000*C294*sezione!$AD$5</f>
        <v>-117307.18308250328</v>
      </c>
      <c r="Q294" s="553">
        <f>'Foglio deposito bis'!$F$48*IF(ABS(K294)&lt;'Progetto del paramento slu'!$G$58,ABS(K294)*'Progetto del paramento slu'!$G$54,'Progetto del paramento slu'!$G$53)*IF(K294&lt;0,-1,1)</f>
        <v>0</v>
      </c>
      <c r="R294" s="553">
        <f>'Foglio deposito bis'!$F$49*IF(ABS(L294)&lt;'Progetto del paramento slu'!$G$58,ABS(L294)*'Progetto del paramento slu'!$G$54,'Progetto del paramento slu'!$G$53)*IF(L294&lt;0,-1,1)</f>
        <v>204886.47740803001</v>
      </c>
      <c r="S294" s="553">
        <f>'Foglio deposito bis'!$F$50*IF(ABS(M294)&lt;'Progetto del paramento slu'!$G$58,ABS(M294)*'Progetto del paramento slu'!$G$54,'Progetto del paramento slu'!$G$53)*IF(M294&lt;0,-1,1)</f>
        <v>0</v>
      </c>
      <c r="T294" s="553">
        <f>'Foglio deposito bis'!$F$51*IF(ABS(N294)&lt;'Progetto del paramento slu'!$G$58,ABS(N294)*'Progetto del paramento slu'!$G$54,'Progetto del paramento slu'!$G$53)*IF(N294&lt;0,-1,1)</f>
        <v>240946.49743184328</v>
      </c>
      <c r="U294" s="553">
        <f>'Foglio deposito bis'!$F$52*IF(ABS(O294)&lt;'Progetto del paramento slu'!$G$58,ABS(O294)*'Progetto del paramento slu'!$G$54,'Progetto del paramento slu'!$G$53)*IF(O294&lt;0,-1,1)</f>
        <v>240946.49743184328</v>
      </c>
      <c r="V294" s="479">
        <f t="shared" si="25"/>
        <v>569472.2891892133</v>
      </c>
      <c r="W294" s="559"/>
      <c r="X294" s="559"/>
    </row>
    <row r="295" spans="1:24" x14ac:dyDescent="0.25">
      <c r="A295" s="553">
        <f t="shared" si="24"/>
        <v>566611.13838232297</v>
      </c>
      <c r="B295" s="3">
        <f t="shared" si="26"/>
        <v>2.1000000000000005</v>
      </c>
      <c r="C295" s="553">
        <f>'Foglio deposito bis'!$E$154/sezione!$B$247*B295</f>
        <v>8.5250618364213686</v>
      </c>
      <c r="D295" s="611">
        <f>-'Progetto del paramento slu'!$G$47*'Progetto del paramento slu'!$G$41*IF(DATI!$G$218="dx",DATI!$E$61,DATI!$E$64*DATI!$E$63)*1000*C295^2*sezione!$AD$5*(1-sezione!$AD$6)</f>
        <v>-598274.4066770972</v>
      </c>
      <c r="E295" s="553">
        <f>-'Foglio deposito bis'!$F$48*(C295-sezione!$AL$28)*IF(ABS(K295)&lt;'Progetto del paramento slu'!$G$58,ABS(K295)*'Progetto del paramento slu'!$G$54,'Progetto del paramento slu'!$G$53)</f>
        <v>0</v>
      </c>
      <c r="F295" s="553">
        <f>-'Foglio deposito bis'!$F$49*(C295-sezione!$AM$28)*IF(ABS(L295)&lt;'Progetto del paramento slu'!$G$58,ABS(L295)*'Progetto del paramento slu'!$G$54,'Progetto del paramento slu'!$G$53)</f>
        <v>28986301.721854497</v>
      </c>
      <c r="G295" s="553">
        <f>-'Foglio deposito bis'!$F$50*(C295-sezione!$AN$28)*IF(ABS(M295)&lt;'Progetto del paramento slu'!$G$58,ABS(M295)*'Progetto del paramento slu'!$G$54,'Progetto del paramento slu'!$G$53)</f>
        <v>0</v>
      </c>
      <c r="H295" s="553">
        <f>-'Foglio deposito bis'!$F$51*(C295-sezione!$AO$28)*IF(ABS(N295)&lt;'Progetto del paramento slu'!$G$58,ABS(N295)*'Progetto del paramento slu'!$G$54,'Progetto del paramento slu'!$G$53)</f>
        <v>79867725.336951107</v>
      </c>
      <c r="I295" s="479">
        <f>-'Foglio deposito bis'!$F$52*(C295-sezione!$AP$28)*IF(ABS(O295)&lt;'Progetto del paramento slu'!$G$58,ABS(O295)*'Progetto del paramento slu'!$G$54,'Progetto del paramento slu'!$G$53)</f>
        <v>60592243.013711207</v>
      </c>
      <c r="J295" s="479">
        <f t="shared" si="22"/>
        <v>168847995.6658397</v>
      </c>
      <c r="K295" s="558">
        <f>'Progetto del paramento slu'!$G$60*(sezione!$AL$28-C295)/C295</f>
        <v>1.2922168271188621E-2</v>
      </c>
      <c r="L295" s="558">
        <f>'Progetto del paramento slu'!$G$60*(sezione!$AM$28-C295)/C295</f>
        <v>5.8083131016957334E-2</v>
      </c>
      <c r="M295" s="559">
        <f>'Progetto del paramento slu'!$G$60*(sezione!$AN$28-C295)/C295</f>
        <v>0.10324409376272604</v>
      </c>
      <c r="N295" s="559">
        <f>'Progetto del paramento slu'!$G$60*(sezione!$AO$28-C295)/C295</f>
        <v>0.13608843030510331</v>
      </c>
      <c r="O295" s="559">
        <f>'Progetto del paramento slu'!$G$60*(sezione!$AP$28-C295)/C295</f>
        <v>0.10324449839547792</v>
      </c>
      <c r="P295" s="553">
        <f>-'Progetto del paramento slu'!$G$47*'Progetto del paramento slu'!$G$41*IF(DATI!$G$218="dx",DATI!$E$61,DATI!$E$64*DATI!$E$63)*1000*C295*sezione!$AD$5</f>
        <v>-120168.3338893936</v>
      </c>
      <c r="Q295" s="553">
        <f>'Foglio deposito bis'!$F$48*IF(ABS(K295)&lt;'Progetto del paramento slu'!$G$58,ABS(K295)*'Progetto del paramento slu'!$G$54,'Progetto del paramento slu'!$G$53)*IF(K295&lt;0,-1,1)</f>
        <v>0</v>
      </c>
      <c r="R295" s="553">
        <f>'Foglio deposito bis'!$F$49*IF(ABS(L295)&lt;'Progetto del paramento slu'!$G$58,ABS(L295)*'Progetto del paramento slu'!$G$54,'Progetto del paramento slu'!$G$53)*IF(L295&lt;0,-1,1)</f>
        <v>204886.47740803001</v>
      </c>
      <c r="S295" s="553">
        <f>'Foglio deposito bis'!$F$50*IF(ABS(M295)&lt;'Progetto del paramento slu'!$G$58,ABS(M295)*'Progetto del paramento slu'!$G$54,'Progetto del paramento slu'!$G$53)*IF(M295&lt;0,-1,1)</f>
        <v>0</v>
      </c>
      <c r="T295" s="553">
        <f>'Foglio deposito bis'!$F$51*IF(ABS(N295)&lt;'Progetto del paramento slu'!$G$58,ABS(N295)*'Progetto del paramento slu'!$G$54,'Progetto del paramento slu'!$G$53)*IF(N295&lt;0,-1,1)</f>
        <v>240946.49743184328</v>
      </c>
      <c r="U295" s="553">
        <f>'Foglio deposito bis'!$F$52*IF(ABS(O295)&lt;'Progetto del paramento slu'!$G$58,ABS(O295)*'Progetto del paramento slu'!$G$54,'Progetto del paramento slu'!$G$53)*IF(O295&lt;0,-1,1)</f>
        <v>240946.49743184328</v>
      </c>
      <c r="V295" s="479">
        <f t="shared" si="25"/>
        <v>566611.13838232297</v>
      </c>
      <c r="W295" s="559"/>
      <c r="X295" s="559"/>
    </row>
    <row r="296" spans="1:24" x14ac:dyDescent="0.25">
      <c r="A296" s="553">
        <f t="shared" si="24"/>
        <v>563749.98757543263</v>
      </c>
      <c r="B296" s="3">
        <f t="shared" si="26"/>
        <v>2.1500000000000004</v>
      </c>
      <c r="C296" s="553">
        <f>'Foglio deposito bis'!$E$154/sezione!$B$247*B296</f>
        <v>8.7280394991933044</v>
      </c>
      <c r="D296" s="611">
        <f>-'Progetto del paramento slu'!$G$47*'Progetto del paramento slu'!$G$41*IF(DATI!$G$218="dx",DATI!$E$61,DATI!$E$64*DATI!$E$63)*1000*C296^2*sezione!$AD$5*(1-sezione!$AD$6)</f>
        <v>-627102.8219648255</v>
      </c>
      <c r="E296" s="553">
        <f>-'Foglio deposito bis'!$F$48*(C296-sezione!$AL$28)*IF(ABS(K296)&lt;'Progetto del paramento slu'!$G$58,ABS(K296)*'Progetto del paramento slu'!$G$54,'Progetto del paramento slu'!$G$53)</f>
        <v>0</v>
      </c>
      <c r="F296" s="553">
        <f>-'Foglio deposito bis'!$F$49*(C296-sezione!$AM$28)*IF(ABS(L296)&lt;'Progetto del paramento slu'!$G$58,ABS(L296)*'Progetto del paramento slu'!$G$54,'Progetto del paramento slu'!$G$53)</f>
        <v>28944714.343536638</v>
      </c>
      <c r="G296" s="553">
        <f>-'Foglio deposito bis'!$F$50*(C296-sezione!$AN$28)*IF(ABS(M296)&lt;'Progetto del paramento slu'!$G$58,ABS(M296)*'Progetto del paramento slu'!$G$54,'Progetto del paramento slu'!$G$53)</f>
        <v>0</v>
      </c>
      <c r="H296" s="553">
        <f>-'Foglio deposito bis'!$F$51*(C296-sezione!$AO$28)*IF(ABS(N296)&lt;'Progetto del paramento slu'!$G$58,ABS(N296)*'Progetto del paramento slu'!$G$54,'Progetto del paramento slu'!$G$53)</f>
        <v>79818818.580049306</v>
      </c>
      <c r="I296" s="479">
        <f>-'Foglio deposito bis'!$F$52*(C296-sezione!$AP$28)*IF(ABS(O296)&lt;'Progetto del paramento slu'!$G$58,ABS(O296)*'Progetto del paramento slu'!$G$54,'Progetto del paramento slu'!$G$53)</f>
        <v>60543336.256809413</v>
      </c>
      <c r="J296" s="479">
        <f t="shared" si="22"/>
        <v>168679766.35843053</v>
      </c>
      <c r="K296" s="558">
        <f>'Progetto del paramento slu'!$G$60*(sezione!$AL$28-C296)/C296</f>
        <v>1.2540257381160982E-2</v>
      </c>
      <c r="L296" s="558">
        <f>'Progetto del paramento slu'!$G$60*(sezione!$AM$28-C296)/C296</f>
        <v>5.6650965179353682E-2</v>
      </c>
      <c r="M296" s="559">
        <f>'Progetto del paramento slu'!$G$60*(sezione!$AN$28-C296)/C296</f>
        <v>0.10076167297754637</v>
      </c>
      <c r="N296" s="559">
        <f>'Progetto del paramento slu'!$G$60*(sezione!$AO$28-C296)/C296</f>
        <v>0.13284218773986836</v>
      </c>
      <c r="O296" s="559">
        <f>'Progetto del paramento slu'!$G$60*(sezione!$AP$28-C296)/C296</f>
        <v>0.10076206820023426</v>
      </c>
      <c r="P296" s="553">
        <f>-'Progetto del paramento slu'!$G$47*'Progetto del paramento slu'!$G$41*IF(DATI!$G$218="dx",DATI!$E$61,DATI!$E$64*DATI!$E$63)*1000*C296*sezione!$AD$5</f>
        <v>-123029.48469628389</v>
      </c>
      <c r="Q296" s="553">
        <f>'Foglio deposito bis'!$F$48*IF(ABS(K296)&lt;'Progetto del paramento slu'!$G$58,ABS(K296)*'Progetto del paramento slu'!$G$54,'Progetto del paramento slu'!$G$53)*IF(K296&lt;0,-1,1)</f>
        <v>0</v>
      </c>
      <c r="R296" s="553">
        <f>'Foglio deposito bis'!$F$49*IF(ABS(L296)&lt;'Progetto del paramento slu'!$G$58,ABS(L296)*'Progetto del paramento slu'!$G$54,'Progetto del paramento slu'!$G$53)*IF(L296&lt;0,-1,1)</f>
        <v>204886.47740803001</v>
      </c>
      <c r="S296" s="553">
        <f>'Foglio deposito bis'!$F$50*IF(ABS(M296)&lt;'Progetto del paramento slu'!$G$58,ABS(M296)*'Progetto del paramento slu'!$G$54,'Progetto del paramento slu'!$G$53)*IF(M296&lt;0,-1,1)</f>
        <v>0</v>
      </c>
      <c r="T296" s="553">
        <f>'Foglio deposito bis'!$F$51*IF(ABS(N296)&lt;'Progetto del paramento slu'!$G$58,ABS(N296)*'Progetto del paramento slu'!$G$54,'Progetto del paramento slu'!$G$53)*IF(N296&lt;0,-1,1)</f>
        <v>240946.49743184328</v>
      </c>
      <c r="U296" s="553">
        <f>'Foglio deposito bis'!$F$52*IF(ABS(O296)&lt;'Progetto del paramento slu'!$G$58,ABS(O296)*'Progetto del paramento slu'!$G$54,'Progetto del paramento slu'!$G$53)*IF(O296&lt;0,-1,1)</f>
        <v>240946.49743184328</v>
      </c>
      <c r="V296" s="479">
        <f t="shared" si="25"/>
        <v>563749.98757543263</v>
      </c>
      <c r="W296" s="559"/>
      <c r="X296" s="559"/>
    </row>
    <row r="297" spans="1:24" x14ac:dyDescent="0.25">
      <c r="A297" s="553">
        <f t="shared" si="24"/>
        <v>560888.8367685423</v>
      </c>
      <c r="B297" s="3">
        <f t="shared" si="26"/>
        <v>2.2000000000000002</v>
      </c>
      <c r="C297" s="553">
        <f>'Foglio deposito bis'!$E$154/sezione!$B$247*B297</f>
        <v>8.9310171619652419</v>
      </c>
      <c r="D297" s="611">
        <f>-'Progetto del paramento slu'!$G$47*'Progetto del paramento slu'!$G$41*IF(DATI!$G$218="dx",DATI!$E$61,DATI!$E$64*DATI!$E$63)*1000*C297^2*sezione!$AD$5*(1-sezione!$AD$6)</f>
        <v>-656609.55290638306</v>
      </c>
      <c r="E297" s="553">
        <f>-'Foglio deposito bis'!$F$48*(C297-sezione!$AL$28)*IF(ABS(K297)&lt;'Progetto del paramento slu'!$G$58,ABS(K297)*'Progetto del paramento slu'!$G$54,'Progetto del paramento slu'!$G$53)</f>
        <v>0</v>
      </c>
      <c r="F297" s="553">
        <f>-'Foglio deposito bis'!$F$49*(C297-sezione!$AM$28)*IF(ABS(L297)&lt;'Progetto del paramento slu'!$G$58,ABS(L297)*'Progetto del paramento slu'!$G$54,'Progetto del paramento slu'!$G$53)</f>
        <v>28903126.965218786</v>
      </c>
      <c r="G297" s="553">
        <f>-'Foglio deposito bis'!$F$50*(C297-sezione!$AN$28)*IF(ABS(M297)&lt;'Progetto del paramento slu'!$G$58,ABS(M297)*'Progetto del paramento slu'!$G$54,'Progetto del paramento slu'!$G$53)</f>
        <v>0</v>
      </c>
      <c r="H297" s="553">
        <f>-'Foglio deposito bis'!$F$51*(C297-sezione!$AO$28)*IF(ABS(N297)&lt;'Progetto del paramento slu'!$G$58,ABS(N297)*'Progetto del paramento slu'!$G$54,'Progetto del paramento slu'!$G$53)</f>
        <v>79769911.823147491</v>
      </c>
      <c r="I297" s="479">
        <f>-'Foglio deposito bis'!$F$52*(C297-sezione!$AP$28)*IF(ABS(O297)&lt;'Progetto del paramento slu'!$G$58,ABS(O297)*'Progetto del paramento slu'!$G$54,'Progetto del paramento slu'!$G$53)</f>
        <v>60494429.49990762</v>
      </c>
      <c r="J297" s="479">
        <f t="shared" si="22"/>
        <v>168510858.73536751</v>
      </c>
      <c r="K297" s="558">
        <f>'Progetto del paramento slu'!$G$60*(sezione!$AL$28-C297)/C297</f>
        <v>1.2175706077043685E-2</v>
      </c>
      <c r="L297" s="558">
        <f>'Progetto del paramento slu'!$G$60*(sezione!$AM$28-C297)/C297</f>
        <v>5.5283897788913829E-2</v>
      </c>
      <c r="M297" s="559">
        <f>'Progetto del paramento slu'!$G$60*(sezione!$AN$28-C297)/C297</f>
        <v>9.8392089500783972E-2</v>
      </c>
      <c r="N297" s="559">
        <f>'Progetto del paramento slu'!$G$60*(sezione!$AO$28-C297)/C297</f>
        <v>0.12974350165487133</v>
      </c>
      <c r="O297" s="559">
        <f>'Progetto del paramento slu'!$G$60*(sezione!$AP$28-C297)/C297</f>
        <v>9.8392475741138033E-2</v>
      </c>
      <c r="P297" s="553">
        <f>-'Progetto del paramento slu'!$G$47*'Progetto del paramento slu'!$G$41*IF(DATI!$G$218="dx",DATI!$E$61,DATI!$E$64*DATI!$E$63)*1000*C297*sezione!$AD$5</f>
        <v>-125890.63550317423</v>
      </c>
      <c r="Q297" s="553">
        <f>'Foglio deposito bis'!$F$48*IF(ABS(K297)&lt;'Progetto del paramento slu'!$G$58,ABS(K297)*'Progetto del paramento slu'!$G$54,'Progetto del paramento slu'!$G$53)*IF(K297&lt;0,-1,1)</f>
        <v>0</v>
      </c>
      <c r="R297" s="553">
        <f>'Foglio deposito bis'!$F$49*IF(ABS(L297)&lt;'Progetto del paramento slu'!$G$58,ABS(L297)*'Progetto del paramento slu'!$G$54,'Progetto del paramento slu'!$G$53)*IF(L297&lt;0,-1,1)</f>
        <v>204886.47740803001</v>
      </c>
      <c r="S297" s="553">
        <f>'Foglio deposito bis'!$F$50*IF(ABS(M297)&lt;'Progetto del paramento slu'!$G$58,ABS(M297)*'Progetto del paramento slu'!$G$54,'Progetto del paramento slu'!$G$53)*IF(M297&lt;0,-1,1)</f>
        <v>0</v>
      </c>
      <c r="T297" s="553">
        <f>'Foglio deposito bis'!$F$51*IF(ABS(N297)&lt;'Progetto del paramento slu'!$G$58,ABS(N297)*'Progetto del paramento slu'!$G$54,'Progetto del paramento slu'!$G$53)*IF(N297&lt;0,-1,1)</f>
        <v>240946.49743184328</v>
      </c>
      <c r="U297" s="553">
        <f>'Foglio deposito bis'!$F$52*IF(ABS(O297)&lt;'Progetto del paramento slu'!$G$58,ABS(O297)*'Progetto del paramento slu'!$G$54,'Progetto del paramento slu'!$G$53)*IF(O297&lt;0,-1,1)</f>
        <v>240946.49743184328</v>
      </c>
      <c r="V297" s="479">
        <f t="shared" si="25"/>
        <v>560888.8367685423</v>
      </c>
      <c r="W297" s="559"/>
      <c r="X297" s="559"/>
    </row>
    <row r="298" spans="1:24" x14ac:dyDescent="0.25">
      <c r="A298" s="553">
        <f t="shared" si="24"/>
        <v>558027.68596165208</v>
      </c>
      <c r="B298" s="3">
        <f t="shared" si="26"/>
        <v>2.25</v>
      </c>
      <c r="C298" s="553">
        <f>'Foglio deposito bis'!$E$154/sezione!$B$247*B298</f>
        <v>9.1339948247371776</v>
      </c>
      <c r="D298" s="611">
        <f>-'Progetto del paramento slu'!$G$47*'Progetto del paramento slu'!$G$41*IF(DATI!$G$218="dx",DATI!$E$61,DATI!$E$64*DATI!$E$63)*1000*C298^2*sezione!$AD$5*(1-sezione!$AD$6)</f>
        <v>-686794.59950176929</v>
      </c>
      <c r="E298" s="553">
        <f>-'Foglio deposito bis'!$F$48*(C298-sezione!$AL$28)*IF(ABS(K298)&lt;'Progetto del paramento slu'!$G$58,ABS(K298)*'Progetto del paramento slu'!$G$54,'Progetto del paramento slu'!$G$53)</f>
        <v>0</v>
      </c>
      <c r="F298" s="553">
        <f>-'Foglio deposito bis'!$F$49*(C298-sezione!$AM$28)*IF(ABS(L298)&lt;'Progetto del paramento slu'!$G$58,ABS(L298)*'Progetto del paramento slu'!$G$54,'Progetto del paramento slu'!$G$53)</f>
        <v>28861539.586900927</v>
      </c>
      <c r="G298" s="553">
        <f>-'Foglio deposito bis'!$F$50*(C298-sezione!$AN$28)*IF(ABS(M298)&lt;'Progetto del paramento slu'!$G$58,ABS(M298)*'Progetto del paramento slu'!$G$54,'Progetto del paramento slu'!$G$53)</f>
        <v>0</v>
      </c>
      <c r="H298" s="553">
        <f>-'Foglio deposito bis'!$F$51*(C298-sezione!$AO$28)*IF(ABS(N298)&lt;'Progetto del paramento slu'!$G$58,ABS(N298)*'Progetto del paramento slu'!$G$54,'Progetto del paramento slu'!$G$53)</f>
        <v>79721005.06624572</v>
      </c>
      <c r="I298" s="479">
        <f>-'Foglio deposito bis'!$F$52*(C298-sezione!$AP$28)*IF(ABS(O298)&lt;'Progetto del paramento slu'!$G$58,ABS(O298)*'Progetto del paramento slu'!$G$54,'Progetto del paramento slu'!$G$53)</f>
        <v>60445522.743005812</v>
      </c>
      <c r="J298" s="479">
        <f t="shared" si="22"/>
        <v>168341272.79665071</v>
      </c>
      <c r="K298" s="558">
        <f>'Progetto del paramento slu'!$G$60*(sezione!$AL$28-C298)/C298</f>
        <v>1.1827357053109385E-2</v>
      </c>
      <c r="L298" s="558">
        <f>'Progetto del paramento slu'!$G$60*(sezione!$AM$28-C298)/C298</f>
        <v>5.3977588949160195E-2</v>
      </c>
      <c r="M298" s="559">
        <f>'Progetto del paramento slu'!$G$60*(sezione!$AN$28-C298)/C298</f>
        <v>9.6127820845211001E-2</v>
      </c>
      <c r="N298" s="559">
        <f>'Progetto del paramento slu'!$G$60*(sezione!$AO$28-C298)/C298</f>
        <v>0.12678253495142977</v>
      </c>
      <c r="O298" s="559">
        <f>'Progetto del paramento slu'!$G$60*(sezione!$AP$28-C298)/C298</f>
        <v>9.6128198502446097E-2</v>
      </c>
      <c r="P298" s="553">
        <f>-'Progetto del paramento slu'!$G$47*'Progetto del paramento slu'!$G$41*IF(DATI!$G$218="dx",DATI!$E$61,DATI!$E$64*DATI!$E$63)*1000*C298*sezione!$AD$5</f>
        <v>-128751.78631006452</v>
      </c>
      <c r="Q298" s="553">
        <f>'Foglio deposito bis'!$F$48*IF(ABS(K298)&lt;'Progetto del paramento slu'!$G$58,ABS(K298)*'Progetto del paramento slu'!$G$54,'Progetto del paramento slu'!$G$53)*IF(K298&lt;0,-1,1)</f>
        <v>0</v>
      </c>
      <c r="R298" s="553">
        <f>'Foglio deposito bis'!$F$49*IF(ABS(L298)&lt;'Progetto del paramento slu'!$G$58,ABS(L298)*'Progetto del paramento slu'!$G$54,'Progetto del paramento slu'!$G$53)*IF(L298&lt;0,-1,1)</f>
        <v>204886.47740803001</v>
      </c>
      <c r="S298" s="553">
        <f>'Foglio deposito bis'!$F$50*IF(ABS(M298)&lt;'Progetto del paramento slu'!$G$58,ABS(M298)*'Progetto del paramento slu'!$G$54,'Progetto del paramento slu'!$G$53)*IF(M298&lt;0,-1,1)</f>
        <v>0</v>
      </c>
      <c r="T298" s="553">
        <f>'Foglio deposito bis'!$F$51*IF(ABS(N298)&lt;'Progetto del paramento slu'!$G$58,ABS(N298)*'Progetto del paramento slu'!$G$54,'Progetto del paramento slu'!$G$53)*IF(N298&lt;0,-1,1)</f>
        <v>240946.49743184328</v>
      </c>
      <c r="U298" s="553">
        <f>'Foglio deposito bis'!$F$52*IF(ABS(O298)&lt;'Progetto del paramento slu'!$G$58,ABS(O298)*'Progetto del paramento slu'!$G$54,'Progetto del paramento slu'!$G$53)*IF(O298&lt;0,-1,1)</f>
        <v>240946.49743184328</v>
      </c>
      <c r="V298" s="479">
        <f t="shared" si="25"/>
        <v>558027.68596165208</v>
      </c>
      <c r="W298" s="559"/>
      <c r="X298" s="559"/>
    </row>
    <row r="299" spans="1:24" x14ac:dyDescent="0.25">
      <c r="A299" s="553">
        <f t="shared" si="24"/>
        <v>555166.53515476175</v>
      </c>
      <c r="B299" s="3">
        <f t="shared" si="26"/>
        <v>2.2999999999999998</v>
      </c>
      <c r="C299" s="553">
        <f>'Foglio deposito bis'!$E$154/sezione!$B$247*B299</f>
        <v>9.3369724875091151</v>
      </c>
      <c r="D299" s="611">
        <f>-'Progetto del paramento slu'!$G$47*'Progetto del paramento slu'!$G$41*IF(DATI!$G$218="dx",DATI!$E$61,DATI!$E$64*DATI!$E$63)*1000*C299^2*sezione!$AD$5*(1-sezione!$AD$6)</f>
        <v>-717657.96175098454</v>
      </c>
      <c r="E299" s="553">
        <f>-'Foglio deposito bis'!$F$48*(C299-sezione!$AL$28)*IF(ABS(K299)&lt;'Progetto del paramento slu'!$G$58,ABS(K299)*'Progetto del paramento slu'!$G$54,'Progetto del paramento slu'!$G$53)</f>
        <v>0</v>
      </c>
      <c r="F299" s="553">
        <f>-'Foglio deposito bis'!$F$49*(C299-sezione!$AM$28)*IF(ABS(L299)&lt;'Progetto del paramento slu'!$G$58,ABS(L299)*'Progetto del paramento slu'!$G$54,'Progetto del paramento slu'!$G$53)</f>
        <v>28819952.208583068</v>
      </c>
      <c r="G299" s="553">
        <f>-'Foglio deposito bis'!$F$50*(C299-sezione!$AN$28)*IF(ABS(M299)&lt;'Progetto del paramento slu'!$G$58,ABS(M299)*'Progetto del paramento slu'!$G$54,'Progetto del paramento slu'!$G$53)</f>
        <v>0</v>
      </c>
      <c r="H299" s="553">
        <f>-'Foglio deposito bis'!$F$51*(C299-sezione!$AO$28)*IF(ABS(N299)&lt;'Progetto del paramento slu'!$G$58,ABS(N299)*'Progetto del paramento slu'!$G$54,'Progetto del paramento slu'!$G$53)</f>
        <v>79672098.309343904</v>
      </c>
      <c r="I299" s="479">
        <f>-'Foglio deposito bis'!$F$52*(C299-sezione!$AP$28)*IF(ABS(O299)&lt;'Progetto del paramento slu'!$G$58,ABS(O299)*'Progetto del paramento slu'!$G$54,'Progetto del paramento slu'!$G$53)</f>
        <v>60396615.986104012</v>
      </c>
      <c r="J299" s="479">
        <f t="shared" si="22"/>
        <v>168171008.54228002</v>
      </c>
      <c r="K299" s="558">
        <f>'Progetto del paramento slu'!$G$60*(sezione!$AL$28-C299)/C299</f>
        <v>1.1494153638911354E-2</v>
      </c>
      <c r="L299" s="558">
        <f>'Progetto del paramento slu'!$G$60*(sezione!$AM$28-C299)/C299</f>
        <v>5.2728076145917582E-2</v>
      </c>
      <c r="M299" s="559">
        <f>'Progetto del paramento slu'!$G$60*(sezione!$AN$28-C299)/C299</f>
        <v>9.3961998652923817E-2</v>
      </c>
      <c r="N299" s="559">
        <f>'Progetto del paramento slu'!$G$60*(sezione!$AO$28-C299)/C299</f>
        <v>0.12395030593074652</v>
      </c>
      <c r="O299" s="559">
        <f>'Progetto del paramento slu'!$G$60*(sezione!$AP$28-C299)/C299</f>
        <v>9.396236810021899E-2</v>
      </c>
      <c r="P299" s="553">
        <f>-'Progetto del paramento slu'!$G$47*'Progetto del paramento slu'!$G$41*IF(DATI!$G$218="dx",DATI!$E$61,DATI!$E$64*DATI!$E$63)*1000*C299*sezione!$AD$5</f>
        <v>-131612.93711695485</v>
      </c>
      <c r="Q299" s="553">
        <f>'Foglio deposito bis'!$F$48*IF(ABS(K299)&lt;'Progetto del paramento slu'!$G$58,ABS(K299)*'Progetto del paramento slu'!$G$54,'Progetto del paramento slu'!$G$53)*IF(K299&lt;0,-1,1)</f>
        <v>0</v>
      </c>
      <c r="R299" s="553">
        <f>'Foglio deposito bis'!$F$49*IF(ABS(L299)&lt;'Progetto del paramento slu'!$G$58,ABS(L299)*'Progetto del paramento slu'!$G$54,'Progetto del paramento slu'!$G$53)*IF(L299&lt;0,-1,1)</f>
        <v>204886.47740803001</v>
      </c>
      <c r="S299" s="553">
        <f>'Foglio deposito bis'!$F$50*IF(ABS(M299)&lt;'Progetto del paramento slu'!$G$58,ABS(M299)*'Progetto del paramento slu'!$G$54,'Progetto del paramento slu'!$G$53)*IF(M299&lt;0,-1,1)</f>
        <v>0</v>
      </c>
      <c r="T299" s="553">
        <f>'Foglio deposito bis'!$F$51*IF(ABS(N299)&lt;'Progetto del paramento slu'!$G$58,ABS(N299)*'Progetto del paramento slu'!$G$54,'Progetto del paramento slu'!$G$53)*IF(N299&lt;0,-1,1)</f>
        <v>240946.49743184328</v>
      </c>
      <c r="U299" s="553">
        <f>'Foglio deposito bis'!$F$52*IF(ABS(O299)&lt;'Progetto del paramento slu'!$G$58,ABS(O299)*'Progetto del paramento slu'!$G$54,'Progetto del paramento slu'!$G$53)*IF(O299&lt;0,-1,1)</f>
        <v>240946.49743184328</v>
      </c>
      <c r="V299" s="479">
        <f t="shared" si="25"/>
        <v>555166.53515476175</v>
      </c>
      <c r="W299" s="559"/>
      <c r="X299" s="559"/>
    </row>
    <row r="300" spans="1:24" x14ac:dyDescent="0.25">
      <c r="A300" s="553">
        <f t="shared" si="24"/>
        <v>552305.38434787141</v>
      </c>
      <c r="B300" s="3">
        <f t="shared" si="26"/>
        <v>2.3499999999999996</v>
      </c>
      <c r="C300" s="553">
        <f>'Foglio deposito bis'!$E$154/sezione!$B$247*B300</f>
        <v>9.5399501502810509</v>
      </c>
      <c r="D300" s="611">
        <f>-'Progetto del paramento slu'!$G$47*'Progetto del paramento slu'!$G$41*IF(DATI!$G$218="dx",DATI!$E$61,DATI!$E$64*DATI!$E$63)*1000*C300^2*sezione!$AD$5*(1-sezione!$AD$6)</f>
        <v>-749199.63965402846</v>
      </c>
      <c r="E300" s="553">
        <f>-'Foglio deposito bis'!$F$48*(C300-sezione!$AL$28)*IF(ABS(K300)&lt;'Progetto del paramento slu'!$G$58,ABS(K300)*'Progetto del paramento slu'!$G$54,'Progetto del paramento slu'!$G$53)</f>
        <v>0</v>
      </c>
      <c r="F300" s="553">
        <f>-'Foglio deposito bis'!$F$49*(C300-sezione!$AM$28)*IF(ABS(L300)&lt;'Progetto del paramento slu'!$G$58,ABS(L300)*'Progetto del paramento slu'!$G$54,'Progetto del paramento slu'!$G$53)</f>
        <v>28778364.830265213</v>
      </c>
      <c r="G300" s="553">
        <f>-'Foglio deposito bis'!$F$50*(C300-sezione!$AN$28)*IF(ABS(M300)&lt;'Progetto del paramento slu'!$G$58,ABS(M300)*'Progetto del paramento slu'!$G$54,'Progetto del paramento slu'!$G$53)</f>
        <v>0</v>
      </c>
      <c r="H300" s="553">
        <f>-'Foglio deposito bis'!$F$51*(C300-sezione!$AO$28)*IF(ABS(N300)&lt;'Progetto del paramento slu'!$G$58,ABS(N300)*'Progetto del paramento slu'!$G$54,'Progetto del paramento slu'!$G$53)</f>
        <v>79623191.552442104</v>
      </c>
      <c r="I300" s="479">
        <f>-'Foglio deposito bis'!$F$52*(C300-sezione!$AP$28)*IF(ABS(O300)&lt;'Progetto del paramento slu'!$G$58,ABS(O300)*'Progetto del paramento slu'!$G$54,'Progetto del paramento slu'!$G$53)</f>
        <v>60347709.229202218</v>
      </c>
      <c r="J300" s="479">
        <f t="shared" si="22"/>
        <v>168000065.9722555</v>
      </c>
      <c r="K300" s="558">
        <f>'Progetto del paramento slu'!$G$60*(sezione!$AL$28-C300)/C300</f>
        <v>1.1175129093402606E-2</v>
      </c>
      <c r="L300" s="558">
        <f>'Progetto del paramento slu'!$G$60*(sezione!$AM$28-C300)/C300</f>
        <v>5.1531734100259768E-2</v>
      </c>
      <c r="M300" s="559">
        <f>'Progetto del paramento slu'!$G$60*(sezione!$AN$28-C300)/C300</f>
        <v>9.1888339107116926E-2</v>
      </c>
      <c r="N300" s="559">
        <f>'Progetto del paramento slu'!$G$60*(sezione!$AO$28-C300)/C300</f>
        <v>0.12123859729392214</v>
      </c>
      <c r="O300" s="559">
        <f>'Progetto del paramento slu'!$G$60*(sezione!$AP$28-C300)/C300</f>
        <v>9.1888700693831385E-2</v>
      </c>
      <c r="P300" s="553">
        <f>-'Progetto del paramento slu'!$G$47*'Progetto del paramento slu'!$G$41*IF(DATI!$G$218="dx",DATI!$E$61,DATI!$E$64*DATI!$E$63)*1000*C300*sezione!$AD$5</f>
        <v>-134474.08792384516</v>
      </c>
      <c r="Q300" s="553">
        <f>'Foglio deposito bis'!$F$48*IF(ABS(K300)&lt;'Progetto del paramento slu'!$G$58,ABS(K300)*'Progetto del paramento slu'!$G$54,'Progetto del paramento slu'!$G$53)*IF(K300&lt;0,-1,1)</f>
        <v>0</v>
      </c>
      <c r="R300" s="553">
        <f>'Foglio deposito bis'!$F$49*IF(ABS(L300)&lt;'Progetto del paramento slu'!$G$58,ABS(L300)*'Progetto del paramento slu'!$G$54,'Progetto del paramento slu'!$G$53)*IF(L300&lt;0,-1,1)</f>
        <v>204886.47740803001</v>
      </c>
      <c r="S300" s="553">
        <f>'Foglio deposito bis'!$F$50*IF(ABS(M300)&lt;'Progetto del paramento slu'!$G$58,ABS(M300)*'Progetto del paramento slu'!$G$54,'Progetto del paramento slu'!$G$53)*IF(M300&lt;0,-1,1)</f>
        <v>0</v>
      </c>
      <c r="T300" s="553">
        <f>'Foglio deposito bis'!$F$51*IF(ABS(N300)&lt;'Progetto del paramento slu'!$G$58,ABS(N300)*'Progetto del paramento slu'!$G$54,'Progetto del paramento slu'!$G$53)*IF(N300&lt;0,-1,1)</f>
        <v>240946.49743184328</v>
      </c>
      <c r="U300" s="553">
        <f>'Foglio deposito bis'!$F$52*IF(ABS(O300)&lt;'Progetto del paramento slu'!$G$58,ABS(O300)*'Progetto del paramento slu'!$G$54,'Progetto del paramento slu'!$G$53)*IF(O300&lt;0,-1,1)</f>
        <v>240946.49743184328</v>
      </c>
      <c r="V300" s="479">
        <f t="shared" si="25"/>
        <v>552305.38434787141</v>
      </c>
      <c r="W300" s="559"/>
      <c r="X300" s="559"/>
    </row>
    <row r="301" spans="1:24" x14ac:dyDescent="0.25">
      <c r="A301" s="553">
        <f t="shared" si="24"/>
        <v>549444.23354098108</v>
      </c>
      <c r="B301" s="3">
        <f t="shared" si="26"/>
        <v>2.3999999999999995</v>
      </c>
      <c r="C301" s="553">
        <f>'Foglio deposito bis'!$E$154/sezione!$B$247*B301</f>
        <v>9.7429278130529884</v>
      </c>
      <c r="D301" s="611">
        <f>-'Progetto del paramento slu'!$G$47*'Progetto del paramento slu'!$G$41*IF(DATI!$G$218="dx",DATI!$E$61,DATI!$E$64*DATI!$E$63)*1000*C301^2*sezione!$AD$5*(1-sezione!$AD$6)</f>
        <v>-781419.63321090152</v>
      </c>
      <c r="E301" s="553">
        <f>-'Foglio deposito bis'!$F$48*(C301-sezione!$AL$28)*IF(ABS(K301)&lt;'Progetto del paramento slu'!$G$58,ABS(K301)*'Progetto del paramento slu'!$G$54,'Progetto del paramento slu'!$G$53)</f>
        <v>0</v>
      </c>
      <c r="F301" s="553">
        <f>-'Foglio deposito bis'!$F$49*(C301-sezione!$AM$28)*IF(ABS(L301)&lt;'Progetto del paramento slu'!$G$58,ABS(L301)*'Progetto del paramento slu'!$G$54,'Progetto del paramento slu'!$G$53)</f>
        <v>28736777.45194735</v>
      </c>
      <c r="G301" s="553">
        <f>-'Foglio deposito bis'!$F$50*(C301-sezione!$AN$28)*IF(ABS(M301)&lt;'Progetto del paramento slu'!$G$58,ABS(M301)*'Progetto del paramento slu'!$G$54,'Progetto del paramento slu'!$G$53)</f>
        <v>0</v>
      </c>
      <c r="H301" s="553">
        <f>-'Foglio deposito bis'!$F$51*(C301-sezione!$AO$28)*IF(ABS(N301)&lt;'Progetto del paramento slu'!$G$58,ABS(N301)*'Progetto del paramento slu'!$G$54,'Progetto del paramento slu'!$G$53)</f>
        <v>79574284.795540318</v>
      </c>
      <c r="I301" s="479">
        <f>-'Foglio deposito bis'!$F$52*(C301-sezione!$AP$28)*IF(ABS(O301)&lt;'Progetto del paramento slu'!$G$58,ABS(O301)*'Progetto del paramento slu'!$G$54,'Progetto del paramento slu'!$G$53)</f>
        <v>60298802.47230041</v>
      </c>
      <c r="J301" s="479">
        <f t="shared" si="22"/>
        <v>167828445.08657718</v>
      </c>
      <c r="K301" s="558">
        <f>'Progetto del paramento slu'!$G$60*(sezione!$AL$28-C301)/C301</f>
        <v>1.086939723729005E-2</v>
      </c>
      <c r="L301" s="558">
        <f>'Progetto del paramento slu'!$G$60*(sezione!$AM$28-C301)/C301</f>
        <v>5.0385239639837688E-2</v>
      </c>
      <c r="M301" s="559">
        <f>'Progetto del paramento slu'!$G$60*(sezione!$AN$28-C301)/C301</f>
        <v>8.9901082042385325E-2</v>
      </c>
      <c r="N301" s="559">
        <f>'Progetto del paramento slu'!$G$60*(sezione!$AO$28-C301)/C301</f>
        <v>0.11863987651696543</v>
      </c>
      <c r="O301" s="559">
        <f>'Progetto del paramento slu'!$G$60*(sezione!$AP$28-C301)/C301</f>
        <v>8.9901436096043216E-2</v>
      </c>
      <c r="P301" s="553">
        <f>-'Progetto del paramento slu'!$G$47*'Progetto del paramento slu'!$G$41*IF(DATI!$G$218="dx",DATI!$E$61,DATI!$E$64*DATI!$E$63)*1000*C301*sezione!$AD$5</f>
        <v>-137335.23873073549</v>
      </c>
      <c r="Q301" s="553">
        <f>'Foglio deposito bis'!$F$48*IF(ABS(K301)&lt;'Progetto del paramento slu'!$G$58,ABS(K301)*'Progetto del paramento slu'!$G$54,'Progetto del paramento slu'!$G$53)*IF(K301&lt;0,-1,1)</f>
        <v>0</v>
      </c>
      <c r="R301" s="553">
        <f>'Foglio deposito bis'!$F$49*IF(ABS(L301)&lt;'Progetto del paramento slu'!$G$58,ABS(L301)*'Progetto del paramento slu'!$G$54,'Progetto del paramento slu'!$G$53)*IF(L301&lt;0,-1,1)</f>
        <v>204886.47740803001</v>
      </c>
      <c r="S301" s="553">
        <f>'Foglio deposito bis'!$F$50*IF(ABS(M301)&lt;'Progetto del paramento slu'!$G$58,ABS(M301)*'Progetto del paramento slu'!$G$54,'Progetto del paramento slu'!$G$53)*IF(M301&lt;0,-1,1)</f>
        <v>0</v>
      </c>
      <c r="T301" s="553">
        <f>'Foglio deposito bis'!$F$51*IF(ABS(N301)&lt;'Progetto del paramento slu'!$G$58,ABS(N301)*'Progetto del paramento slu'!$G$54,'Progetto del paramento slu'!$G$53)*IF(N301&lt;0,-1,1)</f>
        <v>240946.49743184328</v>
      </c>
      <c r="U301" s="553">
        <f>'Foglio deposito bis'!$F$52*IF(ABS(O301)&lt;'Progetto del paramento slu'!$G$58,ABS(O301)*'Progetto del paramento slu'!$G$54,'Progetto del paramento slu'!$G$53)*IF(O301&lt;0,-1,1)</f>
        <v>240946.49743184328</v>
      </c>
      <c r="V301" s="479">
        <f t="shared" si="25"/>
        <v>549444.23354098108</v>
      </c>
      <c r="W301" s="559"/>
      <c r="X301" s="559"/>
    </row>
    <row r="302" spans="1:24" x14ac:dyDescent="0.25">
      <c r="A302" s="553">
        <f t="shared" si="24"/>
        <v>546583.08273409074</v>
      </c>
      <c r="B302" s="3">
        <f t="shared" si="26"/>
        <v>2.4499999999999993</v>
      </c>
      <c r="C302" s="553">
        <f>'Foglio deposito bis'!$E$154/sezione!$B$247*B302</f>
        <v>9.9459054758249241</v>
      </c>
      <c r="D302" s="611">
        <f>-'Progetto del paramento slu'!$G$47*'Progetto del paramento slu'!$G$41*IF(DATI!$G$218="dx",DATI!$E$61,DATI!$E$64*DATI!$E$63)*1000*C302^2*sezione!$AD$5*(1-sezione!$AD$6)</f>
        <v>-814317.94242160348</v>
      </c>
      <c r="E302" s="553">
        <f>-'Foglio deposito bis'!$F$48*(C302-sezione!$AL$28)*IF(ABS(K302)&lt;'Progetto del paramento slu'!$G$58,ABS(K302)*'Progetto del paramento slu'!$G$54,'Progetto del paramento slu'!$G$53)</f>
        <v>0</v>
      </c>
      <c r="F302" s="553">
        <f>-'Foglio deposito bis'!$F$49*(C302-sezione!$AM$28)*IF(ABS(L302)&lt;'Progetto del paramento slu'!$G$58,ABS(L302)*'Progetto del paramento slu'!$G$54,'Progetto del paramento slu'!$G$53)</f>
        <v>28695190.073629495</v>
      </c>
      <c r="G302" s="553">
        <f>-'Foglio deposito bis'!$F$50*(C302-sezione!$AN$28)*IF(ABS(M302)&lt;'Progetto del paramento slu'!$G$58,ABS(M302)*'Progetto del paramento slu'!$G$54,'Progetto del paramento slu'!$G$53)</f>
        <v>0</v>
      </c>
      <c r="H302" s="553">
        <f>-'Foglio deposito bis'!$F$51*(C302-sezione!$AO$28)*IF(ABS(N302)&lt;'Progetto del paramento slu'!$G$58,ABS(N302)*'Progetto del paramento slu'!$G$54,'Progetto del paramento slu'!$G$53)</f>
        <v>79525378.038638502</v>
      </c>
      <c r="I302" s="479">
        <f>-'Foglio deposito bis'!$F$52*(C302-sezione!$AP$28)*IF(ABS(O302)&lt;'Progetto del paramento slu'!$G$58,ABS(O302)*'Progetto del paramento slu'!$G$54,'Progetto del paramento slu'!$G$53)</f>
        <v>60249895.715398617</v>
      </c>
      <c r="J302" s="479">
        <f t="shared" si="22"/>
        <v>167656145.885245</v>
      </c>
      <c r="K302" s="558">
        <f>'Progetto del paramento slu'!$G$60*(sezione!$AL$28-C302)/C302</f>
        <v>1.0576144232447399E-2</v>
      </c>
      <c r="L302" s="558">
        <f>'Progetto del paramento slu'!$G$60*(sezione!$AM$28-C302)/C302</f>
        <v>4.928554087167774E-2</v>
      </c>
      <c r="M302" s="559">
        <f>'Progetto del paramento slu'!$G$60*(sezione!$AN$28-C302)/C302</f>
        <v>8.7994937510908089E-2</v>
      </c>
      <c r="N302" s="559">
        <f>'Progetto del paramento slu'!$G$60*(sezione!$AO$28-C302)/C302</f>
        <v>0.11614722597580289</v>
      </c>
      <c r="O302" s="559">
        <f>'Progetto del paramento slu'!$G$60*(sezione!$AP$28-C302)/C302</f>
        <v>8.7995284338981114E-2</v>
      </c>
      <c r="P302" s="553">
        <f>-'Progetto del paramento slu'!$G$47*'Progetto del paramento slu'!$G$41*IF(DATI!$G$218="dx",DATI!$E$61,DATI!$E$64*DATI!$E$63)*1000*C302*sezione!$AD$5</f>
        <v>-140196.3895376258</v>
      </c>
      <c r="Q302" s="553">
        <f>'Foglio deposito bis'!$F$48*IF(ABS(K302)&lt;'Progetto del paramento slu'!$G$58,ABS(K302)*'Progetto del paramento slu'!$G$54,'Progetto del paramento slu'!$G$53)*IF(K302&lt;0,-1,1)</f>
        <v>0</v>
      </c>
      <c r="R302" s="553">
        <f>'Foglio deposito bis'!$F$49*IF(ABS(L302)&lt;'Progetto del paramento slu'!$G$58,ABS(L302)*'Progetto del paramento slu'!$G$54,'Progetto del paramento slu'!$G$53)*IF(L302&lt;0,-1,1)</f>
        <v>204886.47740803001</v>
      </c>
      <c r="S302" s="553">
        <f>'Foglio deposito bis'!$F$50*IF(ABS(M302)&lt;'Progetto del paramento slu'!$G$58,ABS(M302)*'Progetto del paramento slu'!$G$54,'Progetto del paramento slu'!$G$53)*IF(M302&lt;0,-1,1)</f>
        <v>0</v>
      </c>
      <c r="T302" s="553">
        <f>'Foglio deposito bis'!$F$51*IF(ABS(N302)&lt;'Progetto del paramento slu'!$G$58,ABS(N302)*'Progetto del paramento slu'!$G$54,'Progetto del paramento slu'!$G$53)*IF(N302&lt;0,-1,1)</f>
        <v>240946.49743184328</v>
      </c>
      <c r="U302" s="553">
        <f>'Foglio deposito bis'!$F$52*IF(ABS(O302)&lt;'Progetto del paramento slu'!$G$58,ABS(O302)*'Progetto del paramento slu'!$G$54,'Progetto del paramento slu'!$G$53)*IF(O302&lt;0,-1,1)</f>
        <v>240946.49743184328</v>
      </c>
      <c r="V302" s="479">
        <f t="shared" si="25"/>
        <v>546583.08273409074</v>
      </c>
      <c r="W302" s="559"/>
      <c r="X302" s="559"/>
    </row>
    <row r="303" spans="1:24" x14ac:dyDescent="0.25">
      <c r="A303" s="553">
        <f t="shared" si="24"/>
        <v>543721.93192720041</v>
      </c>
      <c r="B303" s="3">
        <f t="shared" si="26"/>
        <v>2.4999999999999991</v>
      </c>
      <c r="C303" s="553">
        <f>'Foglio deposito bis'!$E$154/sezione!$B$247*B303</f>
        <v>10.148883138596862</v>
      </c>
      <c r="D303" s="611">
        <f>-'Progetto del paramento slu'!$G$47*'Progetto del paramento slu'!$G$41*IF(DATI!$G$218="dx",DATI!$E$61,DATI!$E$64*DATI!$E$63)*1000*C303^2*sezione!$AD$5*(1-sezione!$AD$6)</f>
        <v>-847894.56728613435</v>
      </c>
      <c r="E303" s="553">
        <f>-'Foglio deposito bis'!$F$48*(C303-sezione!$AL$28)*IF(ABS(K303)&lt;'Progetto del paramento slu'!$G$58,ABS(K303)*'Progetto del paramento slu'!$G$54,'Progetto del paramento slu'!$G$53)</f>
        <v>0</v>
      </c>
      <c r="F303" s="553">
        <f>-'Foglio deposito bis'!$F$49*(C303-sezione!$AM$28)*IF(ABS(L303)&lt;'Progetto del paramento slu'!$G$58,ABS(L303)*'Progetto del paramento slu'!$G$54,'Progetto del paramento slu'!$G$53)</f>
        <v>28653602.695311643</v>
      </c>
      <c r="G303" s="553">
        <f>-'Foglio deposito bis'!$F$50*(C303-sezione!$AN$28)*IF(ABS(M303)&lt;'Progetto del paramento slu'!$G$58,ABS(M303)*'Progetto del paramento slu'!$G$54,'Progetto del paramento slu'!$G$53)</f>
        <v>0</v>
      </c>
      <c r="H303" s="553">
        <f>-'Foglio deposito bis'!$F$51*(C303-sezione!$AO$28)*IF(ABS(N303)&lt;'Progetto del paramento slu'!$G$58,ABS(N303)*'Progetto del paramento slu'!$G$54,'Progetto del paramento slu'!$G$53)</f>
        <v>79476471.281736702</v>
      </c>
      <c r="I303" s="479">
        <f>-'Foglio deposito bis'!$F$52*(C303-sezione!$AP$28)*IF(ABS(O303)&lt;'Progetto del paramento slu'!$G$58,ABS(O303)*'Progetto del paramento slu'!$G$54,'Progetto del paramento slu'!$G$53)</f>
        <v>60200988.958496809</v>
      </c>
      <c r="J303" s="479">
        <f t="shared" si="22"/>
        <v>167483168.36825901</v>
      </c>
      <c r="K303" s="558">
        <f>'Progetto del paramento slu'!$G$60*(sezione!$AL$28-C303)/C303</f>
        <v>1.029462134779845E-2</v>
      </c>
      <c r="L303" s="558">
        <f>'Progetto del paramento slu'!$G$60*(sezione!$AM$28-C303)/C303</f>
        <v>4.8229830054244194E-2</v>
      </c>
      <c r="M303" s="559">
        <f>'Progetto del paramento slu'!$G$60*(sezione!$AN$28-C303)/C303</f>
        <v>8.6165038760689927E-2</v>
      </c>
      <c r="N303" s="559">
        <f>'Progetto del paramento slu'!$G$60*(sezione!$AO$28-C303)/C303</f>
        <v>0.11375428145628683</v>
      </c>
      <c r="O303" s="559">
        <f>'Progetto del paramento slu'!$G$60*(sezione!$AP$28-C303)/C303</f>
        <v>8.6165378652201502E-2</v>
      </c>
      <c r="P303" s="553">
        <f>-'Progetto del paramento slu'!$G$47*'Progetto del paramento slu'!$G$41*IF(DATI!$G$218="dx",DATI!$E$61,DATI!$E$64*DATI!$E$63)*1000*C303*sezione!$AD$5</f>
        <v>-143057.54034451614</v>
      </c>
      <c r="Q303" s="553">
        <f>'Foglio deposito bis'!$F$48*IF(ABS(K303)&lt;'Progetto del paramento slu'!$G$58,ABS(K303)*'Progetto del paramento slu'!$G$54,'Progetto del paramento slu'!$G$53)*IF(K303&lt;0,-1,1)</f>
        <v>0</v>
      </c>
      <c r="R303" s="553">
        <f>'Foglio deposito bis'!$F$49*IF(ABS(L303)&lt;'Progetto del paramento slu'!$G$58,ABS(L303)*'Progetto del paramento slu'!$G$54,'Progetto del paramento slu'!$G$53)*IF(L303&lt;0,-1,1)</f>
        <v>204886.47740803001</v>
      </c>
      <c r="S303" s="553">
        <f>'Foglio deposito bis'!$F$50*IF(ABS(M303)&lt;'Progetto del paramento slu'!$G$58,ABS(M303)*'Progetto del paramento slu'!$G$54,'Progetto del paramento slu'!$G$53)*IF(M303&lt;0,-1,1)</f>
        <v>0</v>
      </c>
      <c r="T303" s="553">
        <f>'Foglio deposito bis'!$F$51*IF(ABS(N303)&lt;'Progetto del paramento slu'!$G$58,ABS(N303)*'Progetto del paramento slu'!$G$54,'Progetto del paramento slu'!$G$53)*IF(N303&lt;0,-1,1)</f>
        <v>240946.49743184328</v>
      </c>
      <c r="U303" s="553">
        <f>'Foglio deposito bis'!$F$52*IF(ABS(O303)&lt;'Progetto del paramento slu'!$G$58,ABS(O303)*'Progetto del paramento slu'!$G$54,'Progetto del paramento slu'!$G$53)*IF(O303&lt;0,-1,1)</f>
        <v>240946.49743184328</v>
      </c>
      <c r="V303" s="479">
        <f t="shared" si="25"/>
        <v>543721.93192720041</v>
      </c>
      <c r="W303" s="559"/>
      <c r="X303" s="559"/>
    </row>
    <row r="304" spans="1:24" x14ac:dyDescent="0.25">
      <c r="A304" s="553">
        <f t="shared" si="24"/>
        <v>540860.78112031019</v>
      </c>
      <c r="B304" s="3">
        <f t="shared" si="26"/>
        <v>2.5499999999999989</v>
      </c>
      <c r="C304" s="553">
        <f>'Foglio deposito bis'!$E$154/sezione!$B$247*B304</f>
        <v>10.351860801368797</v>
      </c>
      <c r="D304" s="611">
        <f>-'Progetto del paramento slu'!$G$47*'Progetto del paramento slu'!$G$41*IF(DATI!$G$218="dx",DATI!$E$61,DATI!$E$64*DATI!$E$63)*1000*C304^2*sezione!$AD$5*(1-sezione!$AD$6)</f>
        <v>-882149.507804494</v>
      </c>
      <c r="E304" s="553">
        <f>-'Foglio deposito bis'!$F$48*(C304-sezione!$AL$28)*IF(ABS(K304)&lt;'Progetto del paramento slu'!$G$58,ABS(K304)*'Progetto del paramento slu'!$G$54,'Progetto del paramento slu'!$G$53)</f>
        <v>0</v>
      </c>
      <c r="F304" s="553">
        <f>-'Foglio deposito bis'!$F$49*(C304-sezione!$AM$28)*IF(ABS(L304)&lt;'Progetto del paramento slu'!$G$58,ABS(L304)*'Progetto del paramento slu'!$G$54,'Progetto del paramento slu'!$G$53)</f>
        <v>28612015.316993784</v>
      </c>
      <c r="G304" s="553">
        <f>-'Foglio deposito bis'!$F$50*(C304-sezione!$AN$28)*IF(ABS(M304)&lt;'Progetto del paramento slu'!$G$58,ABS(M304)*'Progetto del paramento slu'!$G$54,'Progetto del paramento slu'!$G$53)</f>
        <v>0</v>
      </c>
      <c r="H304" s="553">
        <f>-'Foglio deposito bis'!$F$51*(C304-sezione!$AO$28)*IF(ABS(N304)&lt;'Progetto del paramento slu'!$G$58,ABS(N304)*'Progetto del paramento slu'!$G$54,'Progetto del paramento slu'!$G$53)</f>
        <v>79427564.524834916</v>
      </c>
      <c r="I304" s="479">
        <f>-'Foglio deposito bis'!$F$52*(C304-sezione!$AP$28)*IF(ABS(O304)&lt;'Progetto del paramento slu'!$G$58,ABS(O304)*'Progetto del paramento slu'!$G$54,'Progetto del paramento slu'!$G$53)</f>
        <v>60152082.201595008</v>
      </c>
      <c r="J304" s="479">
        <f t="shared" si="22"/>
        <v>167309512.5356192</v>
      </c>
      <c r="K304" s="558">
        <f>'Progetto del paramento slu'!$G$60*(sezione!$AL$28-C304)/C304</f>
        <v>1.0024138576272993E-2</v>
      </c>
      <c r="L304" s="558">
        <f>'Progetto del paramento slu'!$G$60*(sezione!$AM$28-C304)/C304</f>
        <v>4.7215519661023726E-2</v>
      </c>
      <c r="M304" s="559">
        <f>'Progetto del paramento slu'!$G$60*(sezione!$AN$28-C304)/C304</f>
        <v>8.4406900745774449E-2</v>
      </c>
      <c r="N304" s="559">
        <f>'Progetto del paramento slu'!$G$60*(sezione!$AO$28-C304)/C304</f>
        <v>0.11145517789832043</v>
      </c>
      <c r="O304" s="559">
        <f>'Progetto del paramento slu'!$G$60*(sezione!$AP$28-C304)/C304</f>
        <v>8.440723397274659E-2</v>
      </c>
      <c r="P304" s="553">
        <f>-'Progetto del paramento slu'!$G$47*'Progetto del paramento slu'!$G$41*IF(DATI!$G$218="dx",DATI!$E$61,DATI!$E$64*DATI!$E$63)*1000*C304*sezione!$AD$5</f>
        <v>-145918.69115140641</v>
      </c>
      <c r="Q304" s="553">
        <f>'Foglio deposito bis'!$F$48*IF(ABS(K304)&lt;'Progetto del paramento slu'!$G$58,ABS(K304)*'Progetto del paramento slu'!$G$54,'Progetto del paramento slu'!$G$53)*IF(K304&lt;0,-1,1)</f>
        <v>0</v>
      </c>
      <c r="R304" s="553">
        <f>'Foglio deposito bis'!$F$49*IF(ABS(L304)&lt;'Progetto del paramento slu'!$G$58,ABS(L304)*'Progetto del paramento slu'!$G$54,'Progetto del paramento slu'!$G$53)*IF(L304&lt;0,-1,1)</f>
        <v>204886.47740803001</v>
      </c>
      <c r="S304" s="553">
        <f>'Foglio deposito bis'!$F$50*IF(ABS(M304)&lt;'Progetto del paramento slu'!$G$58,ABS(M304)*'Progetto del paramento slu'!$G$54,'Progetto del paramento slu'!$G$53)*IF(M304&lt;0,-1,1)</f>
        <v>0</v>
      </c>
      <c r="T304" s="553">
        <f>'Foglio deposito bis'!$F$51*IF(ABS(N304)&lt;'Progetto del paramento slu'!$G$58,ABS(N304)*'Progetto del paramento slu'!$G$54,'Progetto del paramento slu'!$G$53)*IF(N304&lt;0,-1,1)</f>
        <v>240946.49743184328</v>
      </c>
      <c r="U304" s="553">
        <f>'Foglio deposito bis'!$F$52*IF(ABS(O304)&lt;'Progetto del paramento slu'!$G$58,ABS(O304)*'Progetto del paramento slu'!$G$54,'Progetto del paramento slu'!$G$53)*IF(O304&lt;0,-1,1)</f>
        <v>240946.49743184328</v>
      </c>
      <c r="V304" s="479">
        <f t="shared" si="25"/>
        <v>540860.78112031019</v>
      </c>
      <c r="W304" s="559"/>
      <c r="X304" s="559"/>
    </row>
    <row r="305" spans="1:24" x14ac:dyDescent="0.25">
      <c r="A305" s="553">
        <f t="shared" si="24"/>
        <v>537999.63031341985</v>
      </c>
      <c r="B305" s="3">
        <f t="shared" si="26"/>
        <v>2.5999999999999988</v>
      </c>
      <c r="C305" s="553">
        <f>'Foglio deposito bis'!$E$154/sezione!$B$247*B305</f>
        <v>10.554838464140735</v>
      </c>
      <c r="D305" s="611">
        <f>-'Progetto del paramento slu'!$G$47*'Progetto del paramento slu'!$G$41*IF(DATI!$G$218="dx",DATI!$E$61,DATI!$E$64*DATI!$E$63)*1000*C305^2*sezione!$AD$5*(1-sezione!$AD$6)</f>
        <v>-917082.76397668268</v>
      </c>
      <c r="E305" s="553">
        <f>-'Foglio deposito bis'!$F$48*(C305-sezione!$AL$28)*IF(ABS(K305)&lt;'Progetto del paramento slu'!$G$58,ABS(K305)*'Progetto del paramento slu'!$G$54,'Progetto del paramento slu'!$G$53)</f>
        <v>0</v>
      </c>
      <c r="F305" s="553">
        <f>-'Foglio deposito bis'!$F$49*(C305-sezione!$AM$28)*IF(ABS(L305)&lt;'Progetto del paramento slu'!$G$58,ABS(L305)*'Progetto del paramento slu'!$G$54,'Progetto del paramento slu'!$G$53)</f>
        <v>28570427.938675925</v>
      </c>
      <c r="G305" s="553">
        <f>-'Foglio deposito bis'!$F$50*(C305-sezione!$AN$28)*IF(ABS(M305)&lt;'Progetto del paramento slu'!$G$58,ABS(M305)*'Progetto del paramento slu'!$G$54,'Progetto del paramento slu'!$G$53)</f>
        <v>0</v>
      </c>
      <c r="H305" s="553">
        <f>-'Foglio deposito bis'!$F$51*(C305-sezione!$AO$28)*IF(ABS(N305)&lt;'Progetto del paramento slu'!$G$58,ABS(N305)*'Progetto del paramento slu'!$G$54,'Progetto del paramento slu'!$G$53)</f>
        <v>79378657.7679331</v>
      </c>
      <c r="I305" s="479">
        <f>-'Foglio deposito bis'!$F$52*(C305-sezione!$AP$28)*IF(ABS(O305)&lt;'Progetto del paramento slu'!$G$58,ABS(O305)*'Progetto del paramento slu'!$G$54,'Progetto del paramento slu'!$G$53)</f>
        <v>60103175.444693208</v>
      </c>
      <c r="J305" s="479">
        <f t="shared" si="22"/>
        <v>167135178.38732556</v>
      </c>
      <c r="K305" s="558">
        <f>'Progetto del paramento slu'!$G$60*(sezione!$AL$28-C305)/C305</f>
        <v>9.764058988267741E-3</v>
      </c>
      <c r="L305" s="558">
        <f>'Progetto del paramento slu'!$G$60*(sezione!$AM$28-C305)/C305</f>
        <v>4.6240221206004024E-2</v>
      </c>
      <c r="M305" s="559">
        <f>'Progetto del paramento slu'!$G$60*(sezione!$AN$28-C305)/C305</f>
        <v>8.2716383423740325E-2</v>
      </c>
      <c r="N305" s="559">
        <f>'Progetto del paramento slu'!$G$60*(sezione!$AO$28-C305)/C305</f>
        <v>0.10924450140027579</v>
      </c>
      <c r="O305" s="559">
        <f>'Progetto del paramento slu'!$G$60*(sezione!$AP$28-C305)/C305</f>
        <v>8.2716710242501462E-2</v>
      </c>
      <c r="P305" s="553">
        <f>-'Progetto del paramento slu'!$G$47*'Progetto del paramento slu'!$G$41*IF(DATI!$G$218="dx",DATI!$E$61,DATI!$E$64*DATI!$E$63)*1000*C305*sezione!$AD$5</f>
        <v>-148779.84195829675</v>
      </c>
      <c r="Q305" s="553">
        <f>'Foglio deposito bis'!$F$48*IF(ABS(K305)&lt;'Progetto del paramento slu'!$G$58,ABS(K305)*'Progetto del paramento slu'!$G$54,'Progetto del paramento slu'!$G$53)*IF(K305&lt;0,-1,1)</f>
        <v>0</v>
      </c>
      <c r="R305" s="553">
        <f>'Foglio deposito bis'!$F$49*IF(ABS(L305)&lt;'Progetto del paramento slu'!$G$58,ABS(L305)*'Progetto del paramento slu'!$G$54,'Progetto del paramento slu'!$G$53)*IF(L305&lt;0,-1,1)</f>
        <v>204886.47740803001</v>
      </c>
      <c r="S305" s="553">
        <f>'Foglio deposito bis'!$F$50*IF(ABS(M305)&lt;'Progetto del paramento slu'!$G$58,ABS(M305)*'Progetto del paramento slu'!$G$54,'Progetto del paramento slu'!$G$53)*IF(M305&lt;0,-1,1)</f>
        <v>0</v>
      </c>
      <c r="T305" s="553">
        <f>'Foglio deposito bis'!$F$51*IF(ABS(N305)&lt;'Progetto del paramento slu'!$G$58,ABS(N305)*'Progetto del paramento slu'!$G$54,'Progetto del paramento slu'!$G$53)*IF(N305&lt;0,-1,1)</f>
        <v>240946.49743184328</v>
      </c>
      <c r="U305" s="553">
        <f>'Foglio deposito bis'!$F$52*IF(ABS(O305)&lt;'Progetto del paramento slu'!$G$58,ABS(O305)*'Progetto del paramento slu'!$G$54,'Progetto del paramento slu'!$G$53)*IF(O305&lt;0,-1,1)</f>
        <v>240946.49743184328</v>
      </c>
      <c r="V305" s="479">
        <f t="shared" si="25"/>
        <v>537999.63031341985</v>
      </c>
      <c r="W305" s="559"/>
      <c r="X305" s="559"/>
    </row>
    <row r="306" spans="1:24" x14ac:dyDescent="0.25">
      <c r="A306" s="553">
        <f t="shared" si="24"/>
        <v>535138.47950652952</v>
      </c>
      <c r="B306" s="3">
        <f t="shared" si="26"/>
        <v>2.6499999999999986</v>
      </c>
      <c r="C306" s="553">
        <f>'Foglio deposito bis'!$E$154/sezione!$B$247*B306</f>
        <v>10.757816126912671</v>
      </c>
      <c r="D306" s="611">
        <f>-'Progetto del paramento slu'!$G$47*'Progetto del paramento slu'!$G$41*IF(DATI!$G$218="dx",DATI!$E$61,DATI!$E$64*DATI!$E$63)*1000*C306^2*sezione!$AD$5*(1-sezione!$AD$6)</f>
        <v>-952694.33580270025</v>
      </c>
      <c r="E306" s="553">
        <f>-'Foglio deposito bis'!$F$48*(C306-sezione!$AL$28)*IF(ABS(K306)&lt;'Progetto del paramento slu'!$G$58,ABS(K306)*'Progetto del paramento slu'!$G$54,'Progetto del paramento slu'!$G$53)</f>
        <v>0</v>
      </c>
      <c r="F306" s="553">
        <f>-'Foglio deposito bis'!$F$49*(C306-sezione!$AM$28)*IF(ABS(L306)&lt;'Progetto del paramento slu'!$G$58,ABS(L306)*'Progetto del paramento slu'!$G$54,'Progetto del paramento slu'!$G$53)</f>
        <v>28528840.56035807</v>
      </c>
      <c r="G306" s="553">
        <f>-'Foglio deposito bis'!$F$50*(C306-sezione!$AN$28)*IF(ABS(M306)&lt;'Progetto del paramento slu'!$G$58,ABS(M306)*'Progetto del paramento slu'!$G$54,'Progetto del paramento slu'!$G$53)</f>
        <v>0</v>
      </c>
      <c r="H306" s="553">
        <f>-'Foglio deposito bis'!$F$51*(C306-sezione!$AO$28)*IF(ABS(N306)&lt;'Progetto del paramento slu'!$G$58,ABS(N306)*'Progetto del paramento slu'!$G$54,'Progetto del paramento slu'!$G$53)</f>
        <v>79329751.011031315</v>
      </c>
      <c r="I306" s="479">
        <f>-'Foglio deposito bis'!$F$52*(C306-sezione!$AP$28)*IF(ABS(O306)&lt;'Progetto del paramento slu'!$G$58,ABS(O306)*'Progetto del paramento slu'!$G$54,'Progetto del paramento slu'!$G$53)</f>
        <v>60054268.687791407</v>
      </c>
      <c r="J306" s="479">
        <f t="shared" si="22"/>
        <v>166960165.92337811</v>
      </c>
      <c r="K306" s="558">
        <f>'Progetto del paramento slu'!$G$60*(sezione!$AL$28-C306)/C306</f>
        <v>9.5137937243381637E-3</v>
      </c>
      <c r="L306" s="558">
        <f>'Progetto del paramento slu'!$G$60*(sezione!$AM$28-C306)/C306</f>
        <v>4.5301726466268115E-2</v>
      </c>
      <c r="M306" s="559">
        <f>'Progetto del paramento slu'!$G$60*(sezione!$AN$28-C306)/C306</f>
        <v>8.1089659208198064E-2</v>
      </c>
      <c r="N306" s="559">
        <f>'Progetto del paramento slu'!$G$60*(sezione!$AO$28-C306)/C306</f>
        <v>0.1071172466568744</v>
      </c>
      <c r="O306" s="559">
        <f>'Progetto del paramento slu'!$G$60*(sezione!$AP$28-C306)/C306</f>
        <v>8.1089979860567471E-2</v>
      </c>
      <c r="P306" s="553">
        <f>-'Progetto del paramento slu'!$G$47*'Progetto del paramento slu'!$G$41*IF(DATI!$G$218="dx",DATI!$E$61,DATI!$E$64*DATI!$E$63)*1000*C306*sezione!$AD$5</f>
        <v>-151640.99276518705</v>
      </c>
      <c r="Q306" s="553">
        <f>'Foglio deposito bis'!$F$48*IF(ABS(K306)&lt;'Progetto del paramento slu'!$G$58,ABS(K306)*'Progetto del paramento slu'!$G$54,'Progetto del paramento slu'!$G$53)*IF(K306&lt;0,-1,1)</f>
        <v>0</v>
      </c>
      <c r="R306" s="553">
        <f>'Foglio deposito bis'!$F$49*IF(ABS(L306)&lt;'Progetto del paramento slu'!$G$58,ABS(L306)*'Progetto del paramento slu'!$G$54,'Progetto del paramento slu'!$G$53)*IF(L306&lt;0,-1,1)</f>
        <v>204886.47740803001</v>
      </c>
      <c r="S306" s="553">
        <f>'Foglio deposito bis'!$F$50*IF(ABS(M306)&lt;'Progetto del paramento slu'!$G$58,ABS(M306)*'Progetto del paramento slu'!$G$54,'Progetto del paramento slu'!$G$53)*IF(M306&lt;0,-1,1)</f>
        <v>0</v>
      </c>
      <c r="T306" s="553">
        <f>'Foglio deposito bis'!$F$51*IF(ABS(N306)&lt;'Progetto del paramento slu'!$G$58,ABS(N306)*'Progetto del paramento slu'!$G$54,'Progetto del paramento slu'!$G$53)*IF(N306&lt;0,-1,1)</f>
        <v>240946.49743184328</v>
      </c>
      <c r="U306" s="553">
        <f>'Foglio deposito bis'!$F$52*IF(ABS(O306)&lt;'Progetto del paramento slu'!$G$58,ABS(O306)*'Progetto del paramento slu'!$G$54,'Progetto del paramento slu'!$G$53)*IF(O306&lt;0,-1,1)</f>
        <v>240946.49743184328</v>
      </c>
      <c r="V306" s="479">
        <f t="shared" si="25"/>
        <v>535138.47950652952</v>
      </c>
      <c r="W306" s="559"/>
      <c r="X306" s="559"/>
    </row>
    <row r="307" spans="1:24" x14ac:dyDescent="0.25">
      <c r="A307" s="553">
        <f t="shared" si="24"/>
        <v>532277.32869963918</v>
      </c>
      <c r="B307" s="3">
        <f t="shared" si="26"/>
        <v>2.6999999999999984</v>
      </c>
      <c r="C307" s="553">
        <f>'Foglio deposito bis'!$E$154/sezione!$B$247*B307</f>
        <v>10.960793789684608</v>
      </c>
      <c r="D307" s="611">
        <f>-'Progetto del paramento slu'!$G$47*'Progetto del paramento slu'!$G$41*IF(DATI!$G$218="dx",DATI!$E$61,DATI!$E$64*DATI!$E$63)*1000*C307^2*sezione!$AD$5*(1-sezione!$AD$6)</f>
        <v>-988984.22328254674</v>
      </c>
      <c r="E307" s="553">
        <f>-'Foglio deposito bis'!$F$48*(C307-sezione!$AL$28)*IF(ABS(K307)&lt;'Progetto del paramento slu'!$G$58,ABS(K307)*'Progetto del paramento slu'!$G$54,'Progetto del paramento slu'!$G$53)</f>
        <v>0</v>
      </c>
      <c r="F307" s="553">
        <f>-'Foglio deposito bis'!$F$49*(C307-sezione!$AM$28)*IF(ABS(L307)&lt;'Progetto del paramento slu'!$G$58,ABS(L307)*'Progetto del paramento slu'!$G$54,'Progetto del paramento slu'!$G$53)</f>
        <v>28487253.182040211</v>
      </c>
      <c r="G307" s="553">
        <f>-'Foglio deposito bis'!$F$50*(C307-sezione!$AN$28)*IF(ABS(M307)&lt;'Progetto del paramento slu'!$G$58,ABS(M307)*'Progetto del paramento slu'!$G$54,'Progetto del paramento slu'!$G$53)</f>
        <v>0</v>
      </c>
      <c r="H307" s="553">
        <f>-'Foglio deposito bis'!$F$51*(C307-sezione!$AO$28)*IF(ABS(N307)&lt;'Progetto del paramento slu'!$G$58,ABS(N307)*'Progetto del paramento slu'!$G$54,'Progetto del paramento slu'!$G$53)</f>
        <v>79280844.254129499</v>
      </c>
      <c r="I307" s="479">
        <f>-'Foglio deposito bis'!$F$52*(C307-sezione!$AP$28)*IF(ABS(O307)&lt;'Progetto del paramento slu'!$G$58,ABS(O307)*'Progetto del paramento slu'!$G$54,'Progetto del paramento slu'!$G$53)</f>
        <v>60005361.930889614</v>
      </c>
      <c r="J307" s="479">
        <f t="shared" si="22"/>
        <v>166784475.14377677</v>
      </c>
      <c r="K307" s="558">
        <f>'Progetto del paramento slu'!$G$60*(sezione!$AL$28-C307)/C307</f>
        <v>9.2727975442578273E-3</v>
      </c>
      <c r="L307" s="558">
        <f>'Progetto del paramento slu'!$G$60*(sezione!$AM$28-C307)/C307</f>
        <v>4.4397990790966853E-2</v>
      </c>
      <c r="M307" s="559">
        <f>'Progetto del paramento slu'!$G$60*(sezione!$AN$28-C307)/C307</f>
        <v>7.9523184037675873E-2</v>
      </c>
      <c r="N307" s="559">
        <f>'Progetto del paramento slu'!$G$60*(sezione!$AO$28-C307)/C307</f>
        <v>0.10506877912619153</v>
      </c>
      <c r="O307" s="559">
        <f>'Progetto del paramento slu'!$G$60*(sezione!$AP$28-C307)/C307</f>
        <v>7.9523498752038443E-2</v>
      </c>
      <c r="P307" s="553">
        <f>-'Progetto del paramento slu'!$G$47*'Progetto del paramento slu'!$G$41*IF(DATI!$G$218="dx",DATI!$E$61,DATI!$E$64*DATI!$E$63)*1000*C307*sezione!$AD$5</f>
        <v>-154502.14357207739</v>
      </c>
      <c r="Q307" s="553">
        <f>'Foglio deposito bis'!$F$48*IF(ABS(K307)&lt;'Progetto del paramento slu'!$G$58,ABS(K307)*'Progetto del paramento slu'!$G$54,'Progetto del paramento slu'!$G$53)*IF(K307&lt;0,-1,1)</f>
        <v>0</v>
      </c>
      <c r="R307" s="553">
        <f>'Foglio deposito bis'!$F$49*IF(ABS(L307)&lt;'Progetto del paramento slu'!$G$58,ABS(L307)*'Progetto del paramento slu'!$G$54,'Progetto del paramento slu'!$G$53)*IF(L307&lt;0,-1,1)</f>
        <v>204886.47740803001</v>
      </c>
      <c r="S307" s="553">
        <f>'Foglio deposito bis'!$F$50*IF(ABS(M307)&lt;'Progetto del paramento slu'!$G$58,ABS(M307)*'Progetto del paramento slu'!$G$54,'Progetto del paramento slu'!$G$53)*IF(M307&lt;0,-1,1)</f>
        <v>0</v>
      </c>
      <c r="T307" s="553">
        <f>'Foglio deposito bis'!$F$51*IF(ABS(N307)&lt;'Progetto del paramento slu'!$G$58,ABS(N307)*'Progetto del paramento slu'!$G$54,'Progetto del paramento slu'!$G$53)*IF(N307&lt;0,-1,1)</f>
        <v>240946.49743184328</v>
      </c>
      <c r="U307" s="553">
        <f>'Foglio deposito bis'!$F$52*IF(ABS(O307)&lt;'Progetto del paramento slu'!$G$58,ABS(O307)*'Progetto del paramento slu'!$G$54,'Progetto del paramento slu'!$G$53)*IF(O307&lt;0,-1,1)</f>
        <v>240946.49743184328</v>
      </c>
      <c r="V307" s="479">
        <f t="shared" si="25"/>
        <v>532277.32869963918</v>
      </c>
      <c r="W307" s="559"/>
      <c r="X307" s="559"/>
    </row>
    <row r="308" spans="1:24" x14ac:dyDescent="0.25">
      <c r="A308" s="553">
        <f t="shared" si="24"/>
        <v>529416.17789274896</v>
      </c>
      <c r="B308" s="3">
        <f t="shared" si="26"/>
        <v>2.7499999999999982</v>
      </c>
      <c r="C308" s="553">
        <f>'Foglio deposito bis'!$E$154/sezione!$B$247*B308</f>
        <v>11.163771452456544</v>
      </c>
      <c r="D308" s="611">
        <f>-'Progetto del paramento slu'!$G$47*'Progetto del paramento slu'!$G$41*IF(DATI!$G$218="dx",DATI!$E$61,DATI!$E$64*DATI!$E$63)*1000*C308^2*sezione!$AD$5*(1-sezione!$AD$6)</f>
        <v>-1025952.426416222</v>
      </c>
      <c r="E308" s="553">
        <f>-'Foglio deposito bis'!$F$48*(C308-sezione!$AL$28)*IF(ABS(K308)&lt;'Progetto del paramento slu'!$G$58,ABS(K308)*'Progetto del paramento slu'!$G$54,'Progetto del paramento slu'!$G$53)</f>
        <v>0</v>
      </c>
      <c r="F308" s="553">
        <f>-'Foglio deposito bis'!$F$49*(C308-sezione!$AM$28)*IF(ABS(L308)&lt;'Progetto del paramento slu'!$G$58,ABS(L308)*'Progetto del paramento slu'!$G$54,'Progetto del paramento slu'!$G$53)</f>
        <v>28445665.803722352</v>
      </c>
      <c r="G308" s="553">
        <f>-'Foglio deposito bis'!$F$50*(C308-sezione!$AN$28)*IF(ABS(M308)&lt;'Progetto del paramento slu'!$G$58,ABS(M308)*'Progetto del paramento slu'!$G$54,'Progetto del paramento slu'!$G$53)</f>
        <v>0</v>
      </c>
      <c r="H308" s="553">
        <f>-'Foglio deposito bis'!$F$51*(C308-sezione!$AO$28)*IF(ABS(N308)&lt;'Progetto del paramento slu'!$G$58,ABS(N308)*'Progetto del paramento slu'!$G$54,'Progetto del paramento slu'!$G$53)</f>
        <v>79231937.497227713</v>
      </c>
      <c r="I308" s="479">
        <f>-'Foglio deposito bis'!$F$52*(C308-sezione!$AP$28)*IF(ABS(O308)&lt;'Progetto del paramento slu'!$G$58,ABS(O308)*'Progetto del paramento slu'!$G$54,'Progetto del paramento slu'!$G$53)</f>
        <v>59956455.173987806</v>
      </c>
      <c r="J308" s="479">
        <f t="shared" si="22"/>
        <v>166608106.04852164</v>
      </c>
      <c r="K308" s="558">
        <f>'Progetto del paramento slu'!$G$60*(sezione!$AL$28-C308)/C308</f>
        <v>9.0405648616349588E-3</v>
      </c>
      <c r="L308" s="558">
        <f>'Progetto del paramento slu'!$G$60*(sezione!$AM$28-C308)/C308</f>
        <v>4.352711823113109E-2</v>
      </c>
      <c r="M308" s="559">
        <f>'Progetto del paramento slu'!$G$60*(sezione!$AN$28-C308)/C308</f>
        <v>7.8013671600627235E-2</v>
      </c>
      <c r="N308" s="559">
        <f>'Progetto del paramento slu'!$G$60*(sezione!$AO$28-C308)/C308</f>
        <v>0.10309480132389715</v>
      </c>
      <c r="O308" s="559">
        <f>'Progetto del paramento slu'!$G$60*(sezione!$AP$28-C308)/C308</f>
        <v>7.8013980592910481E-2</v>
      </c>
      <c r="P308" s="553">
        <f>-'Progetto del paramento slu'!$G$47*'Progetto del paramento slu'!$G$41*IF(DATI!$G$218="dx",DATI!$E$61,DATI!$E$64*DATI!$E$63)*1000*C308*sezione!$AD$5</f>
        <v>-157363.29437896766</v>
      </c>
      <c r="Q308" s="553">
        <f>'Foglio deposito bis'!$F$48*IF(ABS(K308)&lt;'Progetto del paramento slu'!$G$58,ABS(K308)*'Progetto del paramento slu'!$G$54,'Progetto del paramento slu'!$G$53)*IF(K308&lt;0,-1,1)</f>
        <v>0</v>
      </c>
      <c r="R308" s="553">
        <f>'Foglio deposito bis'!$F$49*IF(ABS(L308)&lt;'Progetto del paramento slu'!$G$58,ABS(L308)*'Progetto del paramento slu'!$G$54,'Progetto del paramento slu'!$G$53)*IF(L308&lt;0,-1,1)</f>
        <v>204886.47740803001</v>
      </c>
      <c r="S308" s="553">
        <f>'Foglio deposito bis'!$F$50*IF(ABS(M308)&lt;'Progetto del paramento slu'!$G$58,ABS(M308)*'Progetto del paramento slu'!$G$54,'Progetto del paramento slu'!$G$53)*IF(M308&lt;0,-1,1)</f>
        <v>0</v>
      </c>
      <c r="T308" s="553">
        <f>'Foglio deposito bis'!$F$51*IF(ABS(N308)&lt;'Progetto del paramento slu'!$G$58,ABS(N308)*'Progetto del paramento slu'!$G$54,'Progetto del paramento slu'!$G$53)*IF(N308&lt;0,-1,1)</f>
        <v>240946.49743184328</v>
      </c>
      <c r="U308" s="553">
        <f>'Foglio deposito bis'!$F$52*IF(ABS(O308)&lt;'Progetto del paramento slu'!$G$58,ABS(O308)*'Progetto del paramento slu'!$G$54,'Progetto del paramento slu'!$G$53)*IF(O308&lt;0,-1,1)</f>
        <v>240946.49743184328</v>
      </c>
      <c r="V308" s="479">
        <f t="shared" si="25"/>
        <v>529416.17789274896</v>
      </c>
      <c r="W308" s="559"/>
      <c r="X308" s="559"/>
    </row>
    <row r="309" spans="1:24" x14ac:dyDescent="0.25">
      <c r="A309" s="553">
        <f t="shared" si="24"/>
        <v>526555.02708585863</v>
      </c>
      <c r="B309" s="3">
        <f t="shared" si="26"/>
        <v>2.799999999999998</v>
      </c>
      <c r="C309" s="553">
        <f>'Foglio deposito bis'!$E$154/sezione!$B$247*B309</f>
        <v>11.366749115228481</v>
      </c>
      <c r="D309" s="611">
        <f>-'Progetto del paramento slu'!$G$47*'Progetto del paramento slu'!$G$41*IF(DATI!$G$218="dx",DATI!$E$61,DATI!$E$64*DATI!$E$63)*1000*C309^2*sezione!$AD$5*(1-sezione!$AD$6)</f>
        <v>-1063598.9452037262</v>
      </c>
      <c r="E309" s="553">
        <f>-'Foglio deposito bis'!$F$48*(C309-sezione!$AL$28)*IF(ABS(K309)&lt;'Progetto del paramento slu'!$G$58,ABS(K309)*'Progetto del paramento slu'!$G$54,'Progetto del paramento slu'!$G$53)</f>
        <v>0</v>
      </c>
      <c r="F309" s="553">
        <f>-'Foglio deposito bis'!$F$49*(C309-sezione!$AM$28)*IF(ABS(L309)&lt;'Progetto del paramento slu'!$G$58,ABS(L309)*'Progetto del paramento slu'!$G$54,'Progetto del paramento slu'!$G$53)</f>
        <v>28404078.425404493</v>
      </c>
      <c r="G309" s="553">
        <f>-'Foglio deposito bis'!$F$50*(C309-sezione!$AN$28)*IF(ABS(M309)&lt;'Progetto del paramento slu'!$G$58,ABS(M309)*'Progetto del paramento slu'!$G$54,'Progetto del paramento slu'!$G$53)</f>
        <v>0</v>
      </c>
      <c r="H309" s="553">
        <f>-'Foglio deposito bis'!$F$51*(C309-sezione!$AO$28)*IF(ABS(N309)&lt;'Progetto del paramento slu'!$G$58,ABS(N309)*'Progetto del paramento slu'!$G$54,'Progetto del paramento slu'!$G$53)</f>
        <v>79183030.740325913</v>
      </c>
      <c r="I309" s="479">
        <f>-'Foglio deposito bis'!$F$52*(C309-sezione!$AP$28)*IF(ABS(O309)&lt;'Progetto del paramento slu'!$G$58,ABS(O309)*'Progetto del paramento slu'!$G$54,'Progetto del paramento slu'!$G$53)</f>
        <v>59907548.417086013</v>
      </c>
      <c r="J309" s="479">
        <f t="shared" si="22"/>
        <v>166431058.6376127</v>
      </c>
      <c r="K309" s="558">
        <f>'Progetto del paramento slu'!$G$60*(sezione!$AL$28-C309)/C309</f>
        <v>8.8166262033914783E-3</v>
      </c>
      <c r="L309" s="558">
        <f>'Progetto del paramento slu'!$G$60*(sezione!$AM$28-C309)/C309</f>
        <v>4.2687348262718042E-2</v>
      </c>
      <c r="M309" s="559">
        <f>'Progetto del paramento slu'!$G$60*(sezione!$AN$28-C309)/C309</f>
        <v>7.6558070322044591E-2</v>
      </c>
      <c r="N309" s="559">
        <f>'Progetto del paramento slu'!$G$60*(sezione!$AO$28-C309)/C309</f>
        <v>0.10119132272882757</v>
      </c>
      <c r="O309" s="559">
        <f>'Progetto del paramento slu'!$G$60*(sezione!$AP$28-C309)/C309</f>
        <v>7.65583737966085E-2</v>
      </c>
      <c r="P309" s="553">
        <f>-'Progetto del paramento slu'!$G$47*'Progetto del paramento slu'!$G$41*IF(DATI!$G$218="dx",DATI!$E$61,DATI!$E$64*DATI!$E$63)*1000*C309*sezione!$AD$5</f>
        <v>-160224.445185858</v>
      </c>
      <c r="Q309" s="553">
        <f>'Foglio deposito bis'!$F$48*IF(ABS(K309)&lt;'Progetto del paramento slu'!$G$58,ABS(K309)*'Progetto del paramento slu'!$G$54,'Progetto del paramento slu'!$G$53)*IF(K309&lt;0,-1,1)</f>
        <v>0</v>
      </c>
      <c r="R309" s="553">
        <f>'Foglio deposito bis'!$F$49*IF(ABS(L309)&lt;'Progetto del paramento slu'!$G$58,ABS(L309)*'Progetto del paramento slu'!$G$54,'Progetto del paramento slu'!$G$53)*IF(L309&lt;0,-1,1)</f>
        <v>204886.47740803001</v>
      </c>
      <c r="S309" s="553">
        <f>'Foglio deposito bis'!$F$50*IF(ABS(M309)&lt;'Progetto del paramento slu'!$G$58,ABS(M309)*'Progetto del paramento slu'!$G$54,'Progetto del paramento slu'!$G$53)*IF(M309&lt;0,-1,1)</f>
        <v>0</v>
      </c>
      <c r="T309" s="553">
        <f>'Foglio deposito bis'!$F$51*IF(ABS(N309)&lt;'Progetto del paramento slu'!$G$58,ABS(N309)*'Progetto del paramento slu'!$G$54,'Progetto del paramento slu'!$G$53)*IF(N309&lt;0,-1,1)</f>
        <v>240946.49743184328</v>
      </c>
      <c r="U309" s="553">
        <f>'Foglio deposito bis'!$F$52*IF(ABS(O309)&lt;'Progetto del paramento slu'!$G$58,ABS(O309)*'Progetto del paramento slu'!$G$54,'Progetto del paramento slu'!$G$53)*IF(O309&lt;0,-1,1)</f>
        <v>240946.49743184328</v>
      </c>
      <c r="V309" s="479">
        <f t="shared" si="25"/>
        <v>526555.02708585863</v>
      </c>
      <c r="W309" s="559"/>
      <c r="X309" s="559"/>
    </row>
    <row r="310" spans="1:24" x14ac:dyDescent="0.25">
      <c r="A310" s="553">
        <f t="shared" si="24"/>
        <v>523693.8762789683</v>
      </c>
      <c r="B310" s="3">
        <f t="shared" si="26"/>
        <v>2.8499999999999979</v>
      </c>
      <c r="C310" s="553">
        <f>'Foglio deposito bis'!$E$154/sezione!$B$247*B310</f>
        <v>11.569726778000417</v>
      </c>
      <c r="D310" s="611">
        <f>-'Progetto del paramento slu'!$G$47*'Progetto del paramento slu'!$G$41*IF(DATI!$G$218="dx",DATI!$E$61,DATI!$E$64*DATI!$E$63)*1000*C310^2*sezione!$AD$5*(1-sezione!$AD$6)</f>
        <v>-1101923.7796450595</v>
      </c>
      <c r="E310" s="553">
        <f>-'Foglio deposito bis'!$F$48*(C310-sezione!$AL$28)*IF(ABS(K310)&lt;'Progetto del paramento slu'!$G$58,ABS(K310)*'Progetto del paramento slu'!$G$54,'Progetto del paramento slu'!$G$53)</f>
        <v>0</v>
      </c>
      <c r="F310" s="553">
        <f>-'Foglio deposito bis'!$F$49*(C310-sezione!$AM$28)*IF(ABS(L310)&lt;'Progetto del paramento slu'!$G$58,ABS(L310)*'Progetto del paramento slu'!$G$54,'Progetto del paramento slu'!$G$53)</f>
        <v>28362491.047086637</v>
      </c>
      <c r="G310" s="553">
        <f>-'Foglio deposito bis'!$F$50*(C310-sezione!$AN$28)*IF(ABS(M310)&lt;'Progetto del paramento slu'!$G$58,ABS(M310)*'Progetto del paramento slu'!$G$54,'Progetto del paramento slu'!$G$53)</f>
        <v>0</v>
      </c>
      <c r="H310" s="553">
        <f>-'Foglio deposito bis'!$F$51*(C310-sezione!$AO$28)*IF(ABS(N310)&lt;'Progetto del paramento slu'!$G$58,ABS(N310)*'Progetto del paramento slu'!$G$54,'Progetto del paramento slu'!$G$53)</f>
        <v>79134123.983424097</v>
      </c>
      <c r="I310" s="479">
        <f>-'Foglio deposito bis'!$F$52*(C310-sezione!$AP$28)*IF(ABS(O310)&lt;'Progetto del paramento slu'!$G$58,ABS(O310)*'Progetto del paramento slu'!$G$54,'Progetto del paramento slu'!$G$53)</f>
        <v>59858641.660184212</v>
      </c>
      <c r="J310" s="479">
        <f t="shared" si="22"/>
        <v>166253332.91104987</v>
      </c>
      <c r="K310" s="558">
        <f>'Progetto del paramento slu'!$G$60*(sezione!$AL$28-C310)/C310</f>
        <v>8.6005450419284705E-3</v>
      </c>
      <c r="L310" s="558">
        <f>'Progetto del paramento slu'!$G$60*(sezione!$AM$28-C310)/C310</f>
        <v>4.1877043907231765E-2</v>
      </c>
      <c r="M310" s="559">
        <f>'Progetto del paramento slu'!$G$60*(sezione!$AN$28-C310)/C310</f>
        <v>7.5153542772535054E-2</v>
      </c>
      <c r="N310" s="559">
        <f>'Progetto del paramento slu'!$G$60*(sezione!$AO$28-C310)/C310</f>
        <v>9.9354632856391983E-2</v>
      </c>
      <c r="O310" s="559">
        <f>'Progetto del paramento slu'!$G$60*(sezione!$AP$28-C310)/C310</f>
        <v>7.5153840922983814E-2</v>
      </c>
      <c r="P310" s="553">
        <f>-'Progetto del paramento slu'!$G$47*'Progetto del paramento slu'!$G$41*IF(DATI!$G$218="dx",DATI!$E$61,DATI!$E$64*DATI!$E$63)*1000*C310*sezione!$AD$5</f>
        <v>-163085.59599274831</v>
      </c>
      <c r="Q310" s="553">
        <f>'Foglio deposito bis'!$F$48*IF(ABS(K310)&lt;'Progetto del paramento slu'!$G$58,ABS(K310)*'Progetto del paramento slu'!$G$54,'Progetto del paramento slu'!$G$53)*IF(K310&lt;0,-1,1)</f>
        <v>0</v>
      </c>
      <c r="R310" s="553">
        <f>'Foglio deposito bis'!$F$49*IF(ABS(L310)&lt;'Progetto del paramento slu'!$G$58,ABS(L310)*'Progetto del paramento slu'!$G$54,'Progetto del paramento slu'!$G$53)*IF(L310&lt;0,-1,1)</f>
        <v>204886.47740803001</v>
      </c>
      <c r="S310" s="553">
        <f>'Foglio deposito bis'!$F$50*IF(ABS(M310)&lt;'Progetto del paramento slu'!$G$58,ABS(M310)*'Progetto del paramento slu'!$G$54,'Progetto del paramento slu'!$G$53)*IF(M310&lt;0,-1,1)</f>
        <v>0</v>
      </c>
      <c r="T310" s="553">
        <f>'Foglio deposito bis'!$F$51*IF(ABS(N310)&lt;'Progetto del paramento slu'!$G$58,ABS(N310)*'Progetto del paramento slu'!$G$54,'Progetto del paramento slu'!$G$53)*IF(N310&lt;0,-1,1)</f>
        <v>240946.49743184328</v>
      </c>
      <c r="U310" s="553">
        <f>'Foglio deposito bis'!$F$52*IF(ABS(O310)&lt;'Progetto del paramento slu'!$G$58,ABS(O310)*'Progetto del paramento slu'!$G$54,'Progetto del paramento slu'!$G$53)*IF(O310&lt;0,-1,1)</f>
        <v>240946.49743184328</v>
      </c>
      <c r="V310" s="479">
        <f t="shared" si="25"/>
        <v>523693.8762789683</v>
      </c>
      <c r="W310" s="559"/>
      <c r="X310" s="559"/>
    </row>
    <row r="311" spans="1:24" x14ac:dyDescent="0.25">
      <c r="A311" s="553">
        <f t="shared" si="24"/>
        <v>520832.72547207796</v>
      </c>
      <c r="B311" s="3">
        <f t="shared" si="26"/>
        <v>2.8999999999999977</v>
      </c>
      <c r="C311" s="553">
        <f>'Foglio deposito bis'!$E$154/sezione!$B$247*B311</f>
        <v>11.772704440772353</v>
      </c>
      <c r="D311" s="611">
        <f>-'Progetto del paramento slu'!$G$47*'Progetto del paramento slu'!$G$41*IF(DATI!$G$218="dx",DATI!$E$61,DATI!$E$64*DATI!$E$63)*1000*C311^2*sezione!$AD$5*(1-sezione!$AD$6)</f>
        <v>-1140926.9297402212</v>
      </c>
      <c r="E311" s="553">
        <f>-'Foglio deposito bis'!$F$48*(C311-sezione!$AL$28)*IF(ABS(K311)&lt;'Progetto del paramento slu'!$G$58,ABS(K311)*'Progetto del paramento slu'!$G$54,'Progetto del paramento slu'!$G$53)</f>
        <v>0</v>
      </c>
      <c r="F311" s="553">
        <f>-'Foglio deposito bis'!$F$49*(C311-sezione!$AM$28)*IF(ABS(L311)&lt;'Progetto del paramento slu'!$G$58,ABS(L311)*'Progetto del paramento slu'!$G$54,'Progetto del paramento slu'!$G$53)</f>
        <v>28320903.668768786</v>
      </c>
      <c r="G311" s="553">
        <f>-'Foglio deposito bis'!$F$50*(C311-sezione!$AN$28)*IF(ABS(M311)&lt;'Progetto del paramento slu'!$G$58,ABS(M311)*'Progetto del paramento slu'!$G$54,'Progetto del paramento slu'!$G$53)</f>
        <v>0</v>
      </c>
      <c r="H311" s="553">
        <f>-'Foglio deposito bis'!$F$51*(C311-sezione!$AO$28)*IF(ABS(N311)&lt;'Progetto del paramento slu'!$G$58,ABS(N311)*'Progetto del paramento slu'!$G$54,'Progetto del paramento slu'!$G$53)</f>
        <v>79085217.226522297</v>
      </c>
      <c r="I311" s="479">
        <f>-'Foglio deposito bis'!$F$52*(C311-sezione!$AP$28)*IF(ABS(O311)&lt;'Progetto del paramento slu'!$G$58,ABS(O311)*'Progetto del paramento slu'!$G$54,'Progetto del paramento slu'!$G$53)</f>
        <v>59809734.903282419</v>
      </c>
      <c r="J311" s="479">
        <f t="shared" si="22"/>
        <v>166074928.8688333</v>
      </c>
      <c r="K311" s="558">
        <f>'Progetto del paramento slu'!$G$60*(sezione!$AL$28-C311)/C311</f>
        <v>8.3919149549986707E-3</v>
      </c>
      <c r="L311" s="558">
        <f>'Progetto del paramento slu'!$G$60*(sezione!$AM$28-C311)/C311</f>
        <v>4.1094681081245012E-2</v>
      </c>
      <c r="M311" s="559">
        <f>'Progetto del paramento slu'!$G$60*(sezione!$AN$28-C311)/C311</f>
        <v>7.379744720749136E-2</v>
      </c>
      <c r="N311" s="559">
        <f>'Progetto del paramento slu'!$G$60*(sezione!$AO$28-C311)/C311</f>
        <v>9.7581277117488693E-2</v>
      </c>
      <c r="O311" s="559">
        <f>'Progetto del paramento slu'!$G$60*(sezione!$AP$28-C311)/C311</f>
        <v>7.3797740217415142E-2</v>
      </c>
      <c r="P311" s="553">
        <f>-'Progetto del paramento slu'!$G$47*'Progetto del paramento slu'!$G$41*IF(DATI!$G$218="dx",DATI!$E$61,DATI!$E$64*DATI!$E$63)*1000*C311*sezione!$AD$5</f>
        <v>-165946.74679963861</v>
      </c>
      <c r="Q311" s="553">
        <f>'Foglio deposito bis'!$F$48*IF(ABS(K311)&lt;'Progetto del paramento slu'!$G$58,ABS(K311)*'Progetto del paramento slu'!$G$54,'Progetto del paramento slu'!$G$53)*IF(K311&lt;0,-1,1)</f>
        <v>0</v>
      </c>
      <c r="R311" s="553">
        <f>'Foglio deposito bis'!$F$49*IF(ABS(L311)&lt;'Progetto del paramento slu'!$G$58,ABS(L311)*'Progetto del paramento slu'!$G$54,'Progetto del paramento slu'!$G$53)*IF(L311&lt;0,-1,1)</f>
        <v>204886.47740803001</v>
      </c>
      <c r="S311" s="553">
        <f>'Foglio deposito bis'!$F$50*IF(ABS(M311)&lt;'Progetto del paramento slu'!$G$58,ABS(M311)*'Progetto del paramento slu'!$G$54,'Progetto del paramento slu'!$G$53)*IF(M311&lt;0,-1,1)</f>
        <v>0</v>
      </c>
      <c r="T311" s="553">
        <f>'Foglio deposito bis'!$F$51*IF(ABS(N311)&lt;'Progetto del paramento slu'!$G$58,ABS(N311)*'Progetto del paramento slu'!$G$54,'Progetto del paramento slu'!$G$53)*IF(N311&lt;0,-1,1)</f>
        <v>240946.49743184328</v>
      </c>
      <c r="U311" s="553">
        <f>'Foglio deposito bis'!$F$52*IF(ABS(O311)&lt;'Progetto del paramento slu'!$G$58,ABS(O311)*'Progetto del paramento slu'!$G$54,'Progetto del paramento slu'!$G$53)*IF(O311&lt;0,-1,1)</f>
        <v>240946.49743184328</v>
      </c>
      <c r="V311" s="479">
        <f t="shared" si="25"/>
        <v>520832.72547207796</v>
      </c>
      <c r="W311" s="559"/>
      <c r="X311" s="559"/>
    </row>
    <row r="312" spans="1:24" x14ac:dyDescent="0.25">
      <c r="A312" s="553">
        <f t="shared" si="24"/>
        <v>517971.57466518763</v>
      </c>
      <c r="B312" s="3">
        <f t="shared" si="26"/>
        <v>2.9499999999999975</v>
      </c>
      <c r="C312" s="553">
        <f>'Foglio deposito bis'!$E$154/sezione!$B$247*B312</f>
        <v>11.97568210354429</v>
      </c>
      <c r="D312" s="611">
        <f>-'Progetto del paramento slu'!$G$47*'Progetto del paramento slu'!$G$41*IF(DATI!$G$218="dx",DATI!$E$61,DATI!$E$64*DATI!$E$63)*1000*C312^2*sezione!$AD$5*(1-sezione!$AD$6)</f>
        <v>-1180608.3954892124</v>
      </c>
      <c r="E312" s="553">
        <f>-'Foglio deposito bis'!$F$48*(C312-sezione!$AL$28)*IF(ABS(K312)&lt;'Progetto del paramento slu'!$G$58,ABS(K312)*'Progetto del paramento slu'!$G$54,'Progetto del paramento slu'!$G$53)</f>
        <v>0</v>
      </c>
      <c r="F312" s="553">
        <f>-'Foglio deposito bis'!$F$49*(C312-sezione!$AM$28)*IF(ABS(L312)&lt;'Progetto del paramento slu'!$G$58,ABS(L312)*'Progetto del paramento slu'!$G$54,'Progetto del paramento slu'!$G$53)</f>
        <v>28279316.290450919</v>
      </c>
      <c r="G312" s="553">
        <f>-'Foglio deposito bis'!$F$50*(C312-sezione!$AN$28)*IF(ABS(M312)&lt;'Progetto del paramento slu'!$G$58,ABS(M312)*'Progetto del paramento slu'!$G$54,'Progetto del paramento slu'!$G$53)</f>
        <v>0</v>
      </c>
      <c r="H312" s="553">
        <f>-'Foglio deposito bis'!$F$51*(C312-sezione!$AO$28)*IF(ABS(N312)&lt;'Progetto del paramento slu'!$G$58,ABS(N312)*'Progetto del paramento slu'!$G$54,'Progetto del paramento slu'!$G$53)</f>
        <v>79036310.469620511</v>
      </c>
      <c r="I312" s="479">
        <f>-'Foglio deposito bis'!$F$52*(C312-sezione!$AP$28)*IF(ABS(O312)&lt;'Progetto del paramento slu'!$G$58,ABS(O312)*'Progetto del paramento slu'!$G$54,'Progetto del paramento slu'!$G$53)</f>
        <v>59760828.146380611</v>
      </c>
      <c r="J312" s="479">
        <f t="shared" si="22"/>
        <v>165895846.51096281</v>
      </c>
      <c r="K312" s="558">
        <f>'Progetto del paramento slu'!$G$60*(sezione!$AL$28-C312)/C312</f>
        <v>8.1903570744054719E-3</v>
      </c>
      <c r="L312" s="558">
        <f>'Progetto del paramento slu'!$G$60*(sezione!$AM$28-C312)/C312</f>
        <v>4.0338839029020516E-2</v>
      </c>
      <c r="M312" s="559">
        <f>'Progetto del paramento slu'!$G$60*(sezione!$AN$28-C312)/C312</f>
        <v>7.2487320983635556E-2</v>
      </c>
      <c r="N312" s="559">
        <f>'Progetto del paramento slu'!$G$60*(sezione!$AO$28-C312)/C312</f>
        <v>9.5868035132446516E-2</v>
      </c>
      <c r="O312" s="559">
        <f>'Progetto del paramento slu'!$G$60*(sezione!$AP$28-C312)/C312</f>
        <v>7.2487609027289443E-2</v>
      </c>
      <c r="P312" s="553">
        <f>-'Progetto del paramento slu'!$G$47*'Progetto del paramento slu'!$G$41*IF(DATI!$G$218="dx",DATI!$E$61,DATI!$E$64*DATI!$E$63)*1000*C312*sezione!$AD$5</f>
        <v>-168807.89760652892</v>
      </c>
      <c r="Q312" s="553">
        <f>'Foglio deposito bis'!$F$48*IF(ABS(K312)&lt;'Progetto del paramento slu'!$G$58,ABS(K312)*'Progetto del paramento slu'!$G$54,'Progetto del paramento slu'!$G$53)*IF(K312&lt;0,-1,1)</f>
        <v>0</v>
      </c>
      <c r="R312" s="553">
        <f>'Foglio deposito bis'!$F$49*IF(ABS(L312)&lt;'Progetto del paramento slu'!$G$58,ABS(L312)*'Progetto del paramento slu'!$G$54,'Progetto del paramento slu'!$G$53)*IF(L312&lt;0,-1,1)</f>
        <v>204886.47740803001</v>
      </c>
      <c r="S312" s="553">
        <f>'Foglio deposito bis'!$F$50*IF(ABS(M312)&lt;'Progetto del paramento slu'!$G$58,ABS(M312)*'Progetto del paramento slu'!$G$54,'Progetto del paramento slu'!$G$53)*IF(M312&lt;0,-1,1)</f>
        <v>0</v>
      </c>
      <c r="T312" s="553">
        <f>'Foglio deposito bis'!$F$51*IF(ABS(N312)&lt;'Progetto del paramento slu'!$G$58,ABS(N312)*'Progetto del paramento slu'!$G$54,'Progetto del paramento slu'!$G$53)*IF(N312&lt;0,-1,1)</f>
        <v>240946.49743184328</v>
      </c>
      <c r="U312" s="553">
        <f>'Foglio deposito bis'!$F$52*IF(ABS(O312)&lt;'Progetto del paramento slu'!$G$58,ABS(O312)*'Progetto del paramento slu'!$G$54,'Progetto del paramento slu'!$G$53)*IF(O312&lt;0,-1,1)</f>
        <v>240946.49743184328</v>
      </c>
      <c r="V312" s="479">
        <f t="shared" si="25"/>
        <v>517971.57466518763</v>
      </c>
      <c r="W312" s="559"/>
      <c r="X312" s="559"/>
    </row>
    <row r="313" spans="1:24" x14ac:dyDescent="0.25">
      <c r="A313" s="553">
        <f t="shared" si="24"/>
        <v>515110.42385829741</v>
      </c>
      <c r="B313" s="3">
        <f t="shared" si="26"/>
        <v>2.9999999999999973</v>
      </c>
      <c r="C313" s="553">
        <f>'Foglio deposito bis'!$E$154/sezione!$B$247*B313</f>
        <v>12.178659766316226</v>
      </c>
      <c r="D313" s="611">
        <f>-'Progetto del paramento slu'!$G$47*'Progetto del paramento slu'!$G$41*IF(DATI!$G$218="dx",DATI!$E$61,DATI!$E$64*DATI!$E$63)*1000*C313^2*sezione!$AD$5*(1-sezione!$AD$6)</f>
        <v>-1220968.1768920321</v>
      </c>
      <c r="E313" s="553">
        <f>-'Foglio deposito bis'!$F$48*(C313-sezione!$AL$28)*IF(ABS(K313)&lt;'Progetto del paramento slu'!$G$58,ABS(K313)*'Progetto del paramento slu'!$G$54,'Progetto del paramento slu'!$G$53)</f>
        <v>0</v>
      </c>
      <c r="F313" s="553">
        <f>-'Foglio deposito bis'!$F$49*(C313-sezione!$AM$28)*IF(ABS(L313)&lt;'Progetto del paramento slu'!$G$58,ABS(L313)*'Progetto del paramento slu'!$G$54,'Progetto del paramento slu'!$G$53)</f>
        <v>28237728.912133068</v>
      </c>
      <c r="G313" s="553">
        <f>-'Foglio deposito bis'!$F$50*(C313-sezione!$AN$28)*IF(ABS(M313)&lt;'Progetto del paramento slu'!$G$58,ABS(M313)*'Progetto del paramento slu'!$G$54,'Progetto del paramento slu'!$G$53)</f>
        <v>0</v>
      </c>
      <c r="H313" s="553">
        <f>-'Foglio deposito bis'!$F$51*(C313-sezione!$AO$28)*IF(ABS(N313)&lt;'Progetto del paramento slu'!$G$58,ABS(N313)*'Progetto del paramento slu'!$G$54,'Progetto del paramento slu'!$G$53)</f>
        <v>78987403.71271871</v>
      </c>
      <c r="I313" s="479">
        <f>-'Foglio deposito bis'!$F$52*(C313-sezione!$AP$28)*IF(ABS(O313)&lt;'Progetto del paramento slu'!$G$58,ABS(O313)*'Progetto del paramento slu'!$G$54,'Progetto del paramento slu'!$G$53)</f>
        <v>59711921.389478818</v>
      </c>
      <c r="J313" s="479">
        <f t="shared" si="22"/>
        <v>165716085.83743858</v>
      </c>
      <c r="K313" s="558">
        <f>'Progetto del paramento slu'!$G$60*(sezione!$AL$28-C313)/C313</f>
        <v>7.9955177898320493E-3</v>
      </c>
      <c r="L313" s="558">
        <f>'Progetto del paramento slu'!$G$60*(sezione!$AM$28-C313)/C313</f>
        <v>3.9608191711870182E-2</v>
      </c>
      <c r="M313" s="559">
        <f>'Progetto del paramento slu'!$G$60*(sezione!$AN$28-C313)/C313</f>
        <v>7.1220865633908323E-2</v>
      </c>
      <c r="N313" s="559">
        <f>'Progetto del paramento slu'!$G$60*(sezione!$AO$28-C313)/C313</f>
        <v>9.421190121357241E-2</v>
      </c>
      <c r="O313" s="559">
        <f>'Progetto del paramento slu'!$G$60*(sezione!$AP$28-C313)/C313</f>
        <v>7.1221148876834631E-2</v>
      </c>
      <c r="P313" s="553">
        <f>-'Progetto del paramento slu'!$G$47*'Progetto del paramento slu'!$G$41*IF(DATI!$G$218="dx",DATI!$E$61,DATI!$E$64*DATI!$E$63)*1000*C313*sezione!$AD$5</f>
        <v>-171669.04841341922</v>
      </c>
      <c r="Q313" s="553">
        <f>'Foglio deposito bis'!$F$48*IF(ABS(K313)&lt;'Progetto del paramento slu'!$G$58,ABS(K313)*'Progetto del paramento slu'!$G$54,'Progetto del paramento slu'!$G$53)*IF(K313&lt;0,-1,1)</f>
        <v>0</v>
      </c>
      <c r="R313" s="553">
        <f>'Foglio deposito bis'!$F$49*IF(ABS(L313)&lt;'Progetto del paramento slu'!$G$58,ABS(L313)*'Progetto del paramento slu'!$G$54,'Progetto del paramento slu'!$G$53)*IF(L313&lt;0,-1,1)</f>
        <v>204886.47740803001</v>
      </c>
      <c r="S313" s="553">
        <f>'Foglio deposito bis'!$F$50*IF(ABS(M313)&lt;'Progetto del paramento slu'!$G$58,ABS(M313)*'Progetto del paramento slu'!$G$54,'Progetto del paramento slu'!$G$53)*IF(M313&lt;0,-1,1)</f>
        <v>0</v>
      </c>
      <c r="T313" s="553">
        <f>'Foglio deposito bis'!$F$51*IF(ABS(N313)&lt;'Progetto del paramento slu'!$G$58,ABS(N313)*'Progetto del paramento slu'!$G$54,'Progetto del paramento slu'!$G$53)*IF(N313&lt;0,-1,1)</f>
        <v>240946.49743184328</v>
      </c>
      <c r="U313" s="553">
        <f>'Foglio deposito bis'!$F$52*IF(ABS(O313)&lt;'Progetto del paramento slu'!$G$58,ABS(O313)*'Progetto del paramento slu'!$G$54,'Progetto del paramento slu'!$G$53)*IF(O313&lt;0,-1,1)</f>
        <v>240946.49743184328</v>
      </c>
      <c r="V313" s="479">
        <f t="shared" si="25"/>
        <v>515110.42385829741</v>
      </c>
      <c r="W313" s="559"/>
      <c r="X313" s="559"/>
    </row>
    <row r="314" spans="1:24" x14ac:dyDescent="0.25">
      <c r="A314" s="553">
        <f t="shared" si="24"/>
        <v>512249.27305140707</v>
      </c>
      <c r="B314" s="3">
        <f t="shared" si="26"/>
        <v>3.0499999999999972</v>
      </c>
      <c r="C314" s="553">
        <f>'Foglio deposito bis'!$E$154/sezione!$B$247*B314</f>
        <v>12.381637429088164</v>
      </c>
      <c r="D314" s="611">
        <f>-'Progetto del paramento slu'!$G$47*'Progetto del paramento slu'!$G$41*IF(DATI!$G$218="dx",DATI!$E$61,DATI!$E$64*DATI!$E$63)*1000*C314^2*sezione!$AD$5*(1-sezione!$AD$6)</f>
        <v>-1262006.2739486808</v>
      </c>
      <c r="E314" s="553">
        <f>-'Foglio deposito bis'!$F$48*(C314-sezione!$AL$28)*IF(ABS(K314)&lt;'Progetto del paramento slu'!$G$58,ABS(K314)*'Progetto del paramento slu'!$G$54,'Progetto del paramento slu'!$G$53)</f>
        <v>0</v>
      </c>
      <c r="F314" s="553">
        <f>-'Foglio deposito bis'!$F$49*(C314-sezione!$AM$28)*IF(ABS(L314)&lt;'Progetto del paramento slu'!$G$58,ABS(L314)*'Progetto del paramento slu'!$G$54,'Progetto del paramento slu'!$G$53)</f>
        <v>28196141.533815213</v>
      </c>
      <c r="G314" s="553">
        <f>-'Foglio deposito bis'!$F$50*(C314-sezione!$AN$28)*IF(ABS(M314)&lt;'Progetto del paramento slu'!$G$58,ABS(M314)*'Progetto del paramento slu'!$G$54,'Progetto del paramento slu'!$G$53)</f>
        <v>0</v>
      </c>
      <c r="H314" s="553">
        <f>-'Foglio deposito bis'!$F$51*(C314-sezione!$AO$28)*IF(ABS(N314)&lt;'Progetto del paramento slu'!$G$58,ABS(N314)*'Progetto del paramento slu'!$G$54,'Progetto del paramento slu'!$G$53)</f>
        <v>78938496.955816895</v>
      </c>
      <c r="I314" s="479">
        <f>-'Foglio deposito bis'!$F$52*(C314-sezione!$AP$28)*IF(ABS(O314)&lt;'Progetto del paramento slu'!$G$58,ABS(O314)*'Progetto del paramento slu'!$G$54,'Progetto del paramento slu'!$G$53)</f>
        <v>59663014.632577017</v>
      </c>
      <c r="J314" s="479">
        <f t="shared" si="22"/>
        <v>165535646.84826046</v>
      </c>
      <c r="K314" s="558">
        <f>'Progetto del paramento slu'!$G$60*(sezione!$AL$28-C314)/C314</f>
        <v>7.8070666785233257E-3</v>
      </c>
      <c r="L314" s="558">
        <f>'Progetto del paramento slu'!$G$60*(sezione!$AM$28-C314)/C314</f>
        <v>3.8901500044462481E-2</v>
      </c>
      <c r="M314" s="559">
        <f>'Progetto del paramento slu'!$G$60*(sezione!$AN$28-C314)/C314</f>
        <v>6.9995933410401626E-2</v>
      </c>
      <c r="N314" s="559">
        <f>'Progetto del paramento slu'!$G$60*(sezione!$AO$28-C314)/C314</f>
        <v>9.2610066767448276E-2</v>
      </c>
      <c r="O314" s="559">
        <f>'Progetto del paramento slu'!$G$60*(sezione!$AP$28-C314)/C314</f>
        <v>6.999621201000128E-2</v>
      </c>
      <c r="P314" s="553">
        <f>-'Progetto del paramento slu'!$G$47*'Progetto del paramento slu'!$G$41*IF(DATI!$G$218="dx",DATI!$E$61,DATI!$E$64*DATI!$E$63)*1000*C314*sezione!$AD$5</f>
        <v>-174530.19922030956</v>
      </c>
      <c r="Q314" s="553">
        <f>'Foglio deposito bis'!$F$48*IF(ABS(K314)&lt;'Progetto del paramento slu'!$G$58,ABS(K314)*'Progetto del paramento slu'!$G$54,'Progetto del paramento slu'!$G$53)*IF(K314&lt;0,-1,1)</f>
        <v>0</v>
      </c>
      <c r="R314" s="553">
        <f>'Foglio deposito bis'!$F$49*IF(ABS(L314)&lt;'Progetto del paramento slu'!$G$58,ABS(L314)*'Progetto del paramento slu'!$G$54,'Progetto del paramento slu'!$G$53)*IF(L314&lt;0,-1,1)</f>
        <v>204886.47740803001</v>
      </c>
      <c r="S314" s="553">
        <f>'Foglio deposito bis'!$F$50*IF(ABS(M314)&lt;'Progetto del paramento slu'!$G$58,ABS(M314)*'Progetto del paramento slu'!$G$54,'Progetto del paramento slu'!$G$53)*IF(M314&lt;0,-1,1)</f>
        <v>0</v>
      </c>
      <c r="T314" s="553">
        <f>'Foglio deposito bis'!$F$51*IF(ABS(N314)&lt;'Progetto del paramento slu'!$G$58,ABS(N314)*'Progetto del paramento slu'!$G$54,'Progetto del paramento slu'!$G$53)*IF(N314&lt;0,-1,1)</f>
        <v>240946.49743184328</v>
      </c>
      <c r="U314" s="553">
        <f>'Foglio deposito bis'!$F$52*IF(ABS(O314)&lt;'Progetto del paramento slu'!$G$58,ABS(O314)*'Progetto del paramento slu'!$G$54,'Progetto del paramento slu'!$G$53)*IF(O314&lt;0,-1,1)</f>
        <v>240946.49743184328</v>
      </c>
      <c r="V314" s="479">
        <f t="shared" si="25"/>
        <v>512249.27305140707</v>
      </c>
      <c r="W314" s="559"/>
      <c r="X314" s="559"/>
    </row>
    <row r="315" spans="1:24" x14ac:dyDescent="0.25">
      <c r="A315" s="553">
        <f t="shared" si="24"/>
        <v>509388.12224451674</v>
      </c>
      <c r="B315" s="3">
        <f t="shared" si="26"/>
        <v>3.099999999999997</v>
      </c>
      <c r="C315" s="553">
        <f>'Foglio deposito bis'!$E$154/sezione!$B$247*B315</f>
        <v>12.584615091860099</v>
      </c>
      <c r="D315" s="611">
        <f>-'Progetto del paramento slu'!$G$47*'Progetto del paramento slu'!$G$41*IF(DATI!$G$218="dx",DATI!$E$61,DATI!$E$64*DATI!$E$63)*1000*C315^2*sezione!$AD$5*(1-sezione!$AD$6)</f>
        <v>-1303722.6866591584</v>
      </c>
      <c r="E315" s="553">
        <f>-'Foglio deposito bis'!$F$48*(C315-sezione!$AL$28)*IF(ABS(K315)&lt;'Progetto del paramento slu'!$G$58,ABS(K315)*'Progetto del paramento slu'!$G$54,'Progetto del paramento slu'!$G$53)</f>
        <v>0</v>
      </c>
      <c r="F315" s="553">
        <f>-'Foglio deposito bis'!$F$49*(C315-sezione!$AM$28)*IF(ABS(L315)&lt;'Progetto del paramento slu'!$G$58,ABS(L315)*'Progetto del paramento slu'!$G$54,'Progetto del paramento slu'!$G$53)</f>
        <v>28154554.155497354</v>
      </c>
      <c r="G315" s="553">
        <f>-'Foglio deposito bis'!$F$50*(C315-sezione!$AN$28)*IF(ABS(M315)&lt;'Progetto del paramento slu'!$G$58,ABS(M315)*'Progetto del paramento slu'!$G$54,'Progetto del paramento slu'!$G$53)</f>
        <v>0</v>
      </c>
      <c r="H315" s="553">
        <f>-'Foglio deposito bis'!$F$51*(C315-sezione!$AO$28)*IF(ABS(N315)&lt;'Progetto del paramento slu'!$G$58,ABS(N315)*'Progetto del paramento slu'!$G$54,'Progetto del paramento slu'!$G$53)</f>
        <v>78889590.198915109</v>
      </c>
      <c r="I315" s="479">
        <f>-'Foglio deposito bis'!$F$52*(C315-sezione!$AP$28)*IF(ABS(O315)&lt;'Progetto del paramento slu'!$G$58,ABS(O315)*'Progetto del paramento slu'!$G$54,'Progetto del paramento slu'!$G$53)</f>
        <v>59614107.875675209</v>
      </c>
      <c r="J315" s="479">
        <f t="shared" si="22"/>
        <v>165354529.54342851</v>
      </c>
      <c r="K315" s="558">
        <f>'Progetto del paramento slu'!$G$60*(sezione!$AL$28-C315)/C315</f>
        <v>7.6246946353213385E-3</v>
      </c>
      <c r="L315" s="558">
        <f>'Progetto del paramento slu'!$G$60*(sezione!$AM$28-C315)/C315</f>
        <v>3.8217604882455021E-2</v>
      </c>
      <c r="M315" s="559">
        <f>'Progetto del paramento slu'!$G$60*(sezione!$AN$28-C315)/C315</f>
        <v>6.8810515129588704E-2</v>
      </c>
      <c r="N315" s="559">
        <f>'Progetto del paramento slu'!$G$60*(sezione!$AO$28-C315)/C315</f>
        <v>9.1059904400231387E-2</v>
      </c>
      <c r="O315" s="559">
        <f>'Progetto del paramento slu'!$G$60*(sezione!$AP$28-C315)/C315</f>
        <v>6.881078923564643E-2</v>
      </c>
      <c r="P315" s="553">
        <f>-'Progetto del paramento slu'!$G$47*'Progetto del paramento slu'!$G$41*IF(DATI!$G$218="dx",DATI!$E$61,DATI!$E$64*DATI!$E$63)*1000*C315*sezione!$AD$5</f>
        <v>-177391.35002719986</v>
      </c>
      <c r="Q315" s="553">
        <f>'Foglio deposito bis'!$F$48*IF(ABS(K315)&lt;'Progetto del paramento slu'!$G$58,ABS(K315)*'Progetto del paramento slu'!$G$54,'Progetto del paramento slu'!$G$53)*IF(K315&lt;0,-1,1)</f>
        <v>0</v>
      </c>
      <c r="R315" s="553">
        <f>'Foglio deposito bis'!$F$49*IF(ABS(L315)&lt;'Progetto del paramento slu'!$G$58,ABS(L315)*'Progetto del paramento slu'!$G$54,'Progetto del paramento slu'!$G$53)*IF(L315&lt;0,-1,1)</f>
        <v>204886.47740803001</v>
      </c>
      <c r="S315" s="553">
        <f>'Foglio deposito bis'!$F$50*IF(ABS(M315)&lt;'Progetto del paramento slu'!$G$58,ABS(M315)*'Progetto del paramento slu'!$G$54,'Progetto del paramento slu'!$G$53)*IF(M315&lt;0,-1,1)</f>
        <v>0</v>
      </c>
      <c r="T315" s="553">
        <f>'Foglio deposito bis'!$F$51*IF(ABS(N315)&lt;'Progetto del paramento slu'!$G$58,ABS(N315)*'Progetto del paramento slu'!$G$54,'Progetto del paramento slu'!$G$53)*IF(N315&lt;0,-1,1)</f>
        <v>240946.49743184328</v>
      </c>
      <c r="U315" s="553">
        <f>'Foglio deposito bis'!$F$52*IF(ABS(O315)&lt;'Progetto del paramento slu'!$G$58,ABS(O315)*'Progetto del paramento slu'!$G$54,'Progetto del paramento slu'!$G$53)*IF(O315&lt;0,-1,1)</f>
        <v>240946.49743184328</v>
      </c>
      <c r="V315" s="479">
        <f t="shared" si="25"/>
        <v>509388.12224451674</v>
      </c>
      <c r="W315" s="559"/>
      <c r="X315" s="559"/>
    </row>
    <row r="316" spans="1:24" x14ac:dyDescent="0.25">
      <c r="A316" s="553">
        <f t="shared" si="24"/>
        <v>506526.9714376264</v>
      </c>
      <c r="B316" s="3">
        <f t="shared" si="26"/>
        <v>3.1499999999999968</v>
      </c>
      <c r="C316" s="553">
        <f>'Foglio deposito bis'!$E$154/sezione!$B$247*B316</f>
        <v>12.787592754632037</v>
      </c>
      <c r="D316" s="611">
        <f>-'Progetto del paramento slu'!$G$47*'Progetto del paramento slu'!$G$41*IF(DATI!$G$218="dx",DATI!$E$61,DATI!$E$64*DATI!$E$63)*1000*C316^2*sezione!$AD$5*(1-sezione!$AD$6)</f>
        <v>-1346117.4150234652</v>
      </c>
      <c r="E316" s="553">
        <f>-'Foglio deposito bis'!$F$48*(C316-sezione!$AL$28)*IF(ABS(K316)&lt;'Progetto del paramento slu'!$G$58,ABS(K316)*'Progetto del paramento slu'!$G$54,'Progetto del paramento slu'!$G$53)</f>
        <v>0</v>
      </c>
      <c r="F316" s="553">
        <f>-'Foglio deposito bis'!$F$49*(C316-sezione!$AM$28)*IF(ABS(L316)&lt;'Progetto del paramento slu'!$G$58,ABS(L316)*'Progetto del paramento slu'!$G$54,'Progetto del paramento slu'!$G$53)</f>
        <v>28112966.777179495</v>
      </c>
      <c r="G316" s="553">
        <f>-'Foglio deposito bis'!$F$50*(C316-sezione!$AN$28)*IF(ABS(M316)&lt;'Progetto del paramento slu'!$G$58,ABS(M316)*'Progetto del paramento slu'!$G$54,'Progetto del paramento slu'!$G$53)</f>
        <v>0</v>
      </c>
      <c r="H316" s="553">
        <f>-'Foglio deposito bis'!$F$51*(C316-sezione!$AO$28)*IF(ABS(N316)&lt;'Progetto del paramento slu'!$G$58,ABS(N316)*'Progetto del paramento slu'!$G$54,'Progetto del paramento slu'!$G$53)</f>
        <v>78840683.442013308</v>
      </c>
      <c r="I316" s="479">
        <f>-'Foglio deposito bis'!$F$52*(C316-sezione!$AP$28)*IF(ABS(O316)&lt;'Progetto del paramento slu'!$G$58,ABS(O316)*'Progetto del paramento slu'!$G$54,'Progetto del paramento slu'!$G$53)</f>
        <v>59565201.118773416</v>
      </c>
      <c r="J316" s="479">
        <f t="shared" si="22"/>
        <v>165172733.92294276</v>
      </c>
      <c r="K316" s="558">
        <f>'Progetto del paramento slu'!$G$60*(sezione!$AL$28-C316)/C316</f>
        <v>7.4481121807924277E-3</v>
      </c>
      <c r="L316" s="558">
        <f>'Progetto del paramento slu'!$G$60*(sezione!$AM$28-C316)/C316</f>
        <v>3.7555420677971602E-2</v>
      </c>
      <c r="M316" s="559">
        <f>'Progetto del paramento slu'!$G$60*(sezione!$AN$28-C316)/C316</f>
        <v>6.7662729175150774E-2</v>
      </c>
      <c r="N316" s="559">
        <f>'Progetto del paramento slu'!$G$60*(sezione!$AO$28-C316)/C316</f>
        <v>8.9558953536735625E-2</v>
      </c>
      <c r="O316" s="559">
        <f>'Progetto del paramento slu'!$G$60*(sezione!$AP$28-C316)/C316</f>
        <v>6.7662998930318699E-2</v>
      </c>
      <c r="P316" s="553">
        <f>-'Progetto del paramento slu'!$G$47*'Progetto del paramento slu'!$G$41*IF(DATI!$G$218="dx",DATI!$E$61,DATI!$E$64*DATI!$E$63)*1000*C316*sezione!$AD$5</f>
        <v>-180252.50083409017</v>
      </c>
      <c r="Q316" s="553">
        <f>'Foglio deposito bis'!$F$48*IF(ABS(K316)&lt;'Progetto del paramento slu'!$G$58,ABS(K316)*'Progetto del paramento slu'!$G$54,'Progetto del paramento slu'!$G$53)*IF(K316&lt;0,-1,1)</f>
        <v>0</v>
      </c>
      <c r="R316" s="553">
        <f>'Foglio deposito bis'!$F$49*IF(ABS(L316)&lt;'Progetto del paramento slu'!$G$58,ABS(L316)*'Progetto del paramento slu'!$G$54,'Progetto del paramento slu'!$G$53)*IF(L316&lt;0,-1,1)</f>
        <v>204886.47740803001</v>
      </c>
      <c r="S316" s="553">
        <f>'Foglio deposito bis'!$F$50*IF(ABS(M316)&lt;'Progetto del paramento slu'!$G$58,ABS(M316)*'Progetto del paramento slu'!$G$54,'Progetto del paramento slu'!$G$53)*IF(M316&lt;0,-1,1)</f>
        <v>0</v>
      </c>
      <c r="T316" s="553">
        <f>'Foglio deposito bis'!$F$51*IF(ABS(N316)&lt;'Progetto del paramento slu'!$G$58,ABS(N316)*'Progetto del paramento slu'!$G$54,'Progetto del paramento slu'!$G$53)*IF(N316&lt;0,-1,1)</f>
        <v>240946.49743184328</v>
      </c>
      <c r="U316" s="553">
        <f>'Foglio deposito bis'!$F$52*IF(ABS(O316)&lt;'Progetto del paramento slu'!$G$58,ABS(O316)*'Progetto del paramento slu'!$G$54,'Progetto del paramento slu'!$G$53)*IF(O316&lt;0,-1,1)</f>
        <v>240946.49743184328</v>
      </c>
      <c r="V316" s="479">
        <f t="shared" si="25"/>
        <v>506526.9714376264</v>
      </c>
      <c r="W316" s="559"/>
      <c r="X316" s="559"/>
    </row>
    <row r="317" spans="1:24" x14ac:dyDescent="0.25">
      <c r="A317" s="553">
        <f t="shared" si="24"/>
        <v>503665.82063073607</v>
      </c>
      <c r="B317" s="3">
        <f t="shared" si="26"/>
        <v>3.1999999999999966</v>
      </c>
      <c r="C317" s="553">
        <f>'Foglio deposito bis'!$E$154/sezione!$B$247*B317</f>
        <v>12.990570417403973</v>
      </c>
      <c r="D317" s="611">
        <f>-'Progetto del paramento slu'!$G$47*'Progetto del paramento slu'!$G$41*IF(DATI!$G$218="dx",DATI!$E$61,DATI!$E$64*DATI!$E$63)*1000*C317^2*sezione!$AD$5*(1-sezione!$AD$6)</f>
        <v>-1389190.4590416003</v>
      </c>
      <c r="E317" s="553">
        <f>-'Foglio deposito bis'!$F$48*(C317-sezione!$AL$28)*IF(ABS(K317)&lt;'Progetto del paramento slu'!$G$58,ABS(K317)*'Progetto del paramento slu'!$G$54,'Progetto del paramento slu'!$G$53)</f>
        <v>0</v>
      </c>
      <c r="F317" s="553">
        <f>-'Foglio deposito bis'!$F$49*(C317-sezione!$AM$28)*IF(ABS(L317)&lt;'Progetto del paramento slu'!$G$58,ABS(L317)*'Progetto del paramento slu'!$G$54,'Progetto del paramento slu'!$G$53)</f>
        <v>28071379.398861635</v>
      </c>
      <c r="G317" s="553">
        <f>-'Foglio deposito bis'!$F$50*(C317-sezione!$AN$28)*IF(ABS(M317)&lt;'Progetto del paramento slu'!$G$58,ABS(M317)*'Progetto del paramento slu'!$G$54,'Progetto del paramento slu'!$G$53)</f>
        <v>0</v>
      </c>
      <c r="H317" s="553">
        <f>-'Foglio deposito bis'!$F$51*(C317-sezione!$AO$28)*IF(ABS(N317)&lt;'Progetto del paramento slu'!$G$58,ABS(N317)*'Progetto del paramento slu'!$G$54,'Progetto del paramento slu'!$G$53)</f>
        <v>78791776.685111493</v>
      </c>
      <c r="I317" s="479">
        <f>-'Foglio deposito bis'!$F$52*(C317-sezione!$AP$28)*IF(ABS(O317)&lt;'Progetto del paramento slu'!$G$58,ABS(O317)*'Progetto del paramento slu'!$G$54,'Progetto del paramento slu'!$G$53)</f>
        <v>59516294.361871608</v>
      </c>
      <c r="J317" s="479">
        <f t="shared" ref="J317:J380" si="27">D317+E317+F317+G317+H317+I317</f>
        <v>164990259.98680314</v>
      </c>
      <c r="K317" s="558">
        <f>'Progetto del paramento slu'!$G$60*(sezione!$AL$28-C317)/C317</f>
        <v>7.2770479279675475E-3</v>
      </c>
      <c r="L317" s="558">
        <f>'Progetto del paramento slu'!$G$60*(sezione!$AM$28-C317)/C317</f>
        <v>3.6913929729878302E-2</v>
      </c>
      <c r="M317" s="559">
        <f>'Progetto del paramento slu'!$G$60*(sezione!$AN$28-C317)/C317</f>
        <v>6.6550811531789059E-2</v>
      </c>
      <c r="N317" s="559">
        <f>'Progetto del paramento slu'!$G$60*(sezione!$AO$28-C317)/C317</f>
        <v>8.8104907387724141E-2</v>
      </c>
      <c r="O317" s="559">
        <f>'Progetto del paramento slu'!$G$60*(sezione!$AP$28-C317)/C317</f>
        <v>6.6551077072032477E-2</v>
      </c>
      <c r="P317" s="553">
        <f>-'Progetto del paramento slu'!$G$47*'Progetto del paramento slu'!$G$41*IF(DATI!$G$218="dx",DATI!$E$61,DATI!$E$64*DATI!$E$63)*1000*C317*sezione!$AD$5</f>
        <v>-183113.65164098048</v>
      </c>
      <c r="Q317" s="553">
        <f>'Foglio deposito bis'!$F$48*IF(ABS(K317)&lt;'Progetto del paramento slu'!$G$58,ABS(K317)*'Progetto del paramento slu'!$G$54,'Progetto del paramento slu'!$G$53)*IF(K317&lt;0,-1,1)</f>
        <v>0</v>
      </c>
      <c r="R317" s="553">
        <f>'Foglio deposito bis'!$F$49*IF(ABS(L317)&lt;'Progetto del paramento slu'!$G$58,ABS(L317)*'Progetto del paramento slu'!$G$54,'Progetto del paramento slu'!$G$53)*IF(L317&lt;0,-1,1)</f>
        <v>204886.47740803001</v>
      </c>
      <c r="S317" s="553">
        <f>'Foglio deposito bis'!$F$50*IF(ABS(M317)&lt;'Progetto del paramento slu'!$G$58,ABS(M317)*'Progetto del paramento slu'!$G$54,'Progetto del paramento slu'!$G$53)*IF(M317&lt;0,-1,1)</f>
        <v>0</v>
      </c>
      <c r="T317" s="553">
        <f>'Foglio deposito bis'!$F$51*IF(ABS(N317)&lt;'Progetto del paramento slu'!$G$58,ABS(N317)*'Progetto del paramento slu'!$G$54,'Progetto del paramento slu'!$G$53)*IF(N317&lt;0,-1,1)</f>
        <v>240946.49743184328</v>
      </c>
      <c r="U317" s="553">
        <f>'Foglio deposito bis'!$F$52*IF(ABS(O317)&lt;'Progetto del paramento slu'!$G$58,ABS(O317)*'Progetto del paramento slu'!$G$54,'Progetto del paramento slu'!$G$53)*IF(O317&lt;0,-1,1)</f>
        <v>240946.49743184328</v>
      </c>
      <c r="V317" s="479">
        <f t="shared" si="25"/>
        <v>503665.82063073607</v>
      </c>
      <c r="W317" s="559"/>
      <c r="X317" s="559"/>
    </row>
    <row r="318" spans="1:24" x14ac:dyDescent="0.25">
      <c r="A318" s="553">
        <f t="shared" ref="A318:A381" si="28">ABS(V318)</f>
        <v>500804.66982384573</v>
      </c>
      <c r="B318" s="3">
        <f t="shared" si="26"/>
        <v>3.2499999999999964</v>
      </c>
      <c r="C318" s="553">
        <f>'Foglio deposito bis'!$E$154/sezione!$B$247*B318</f>
        <v>13.19354808017591</v>
      </c>
      <c r="D318" s="611">
        <f>-'Progetto del paramento slu'!$G$47*'Progetto del paramento slu'!$G$41*IF(DATI!$G$218="dx",DATI!$E$61,DATI!$E$64*DATI!$E$63)*1000*C318^2*sezione!$AD$5*(1-sezione!$AD$6)</f>
        <v>-1432941.8187135649</v>
      </c>
      <c r="E318" s="553">
        <f>-'Foglio deposito bis'!$F$48*(C318-sezione!$AL$28)*IF(ABS(K318)&lt;'Progetto del paramento slu'!$G$58,ABS(K318)*'Progetto del paramento slu'!$G$54,'Progetto del paramento slu'!$G$53)</f>
        <v>0</v>
      </c>
      <c r="F318" s="553">
        <f>-'Foglio deposito bis'!$F$49*(C318-sezione!$AM$28)*IF(ABS(L318)&lt;'Progetto del paramento slu'!$G$58,ABS(L318)*'Progetto del paramento slu'!$G$54,'Progetto del paramento slu'!$G$53)</f>
        <v>28029792.020543784</v>
      </c>
      <c r="G318" s="553">
        <f>-'Foglio deposito bis'!$F$50*(C318-sezione!$AN$28)*IF(ABS(M318)&lt;'Progetto del paramento slu'!$G$58,ABS(M318)*'Progetto del paramento slu'!$G$54,'Progetto del paramento slu'!$G$53)</f>
        <v>0</v>
      </c>
      <c r="H318" s="553">
        <f>-'Foglio deposito bis'!$F$51*(C318-sezione!$AO$28)*IF(ABS(N318)&lt;'Progetto del paramento slu'!$G$58,ABS(N318)*'Progetto del paramento slu'!$G$54,'Progetto del paramento slu'!$G$53)</f>
        <v>78742869.928209707</v>
      </c>
      <c r="I318" s="479">
        <f>-'Foglio deposito bis'!$F$52*(C318-sezione!$AP$28)*IF(ABS(O318)&lt;'Progetto del paramento slu'!$G$58,ABS(O318)*'Progetto del paramento slu'!$G$54,'Progetto del paramento slu'!$G$53)</f>
        <v>59467387.604969814</v>
      </c>
      <c r="J318" s="479">
        <f t="shared" si="27"/>
        <v>164807107.73500973</v>
      </c>
      <c r="K318" s="558">
        <f>'Progetto del paramento slu'!$G$60*(sezione!$AL$28-C318)/C318</f>
        <v>7.1112471906142E-3</v>
      </c>
      <c r="L318" s="558">
        <f>'Progetto del paramento slu'!$G$60*(sezione!$AM$28-C318)/C318</f>
        <v>3.6292176964803254E-2</v>
      </c>
      <c r="M318" s="559">
        <f>'Progetto del paramento slu'!$G$60*(sezione!$AN$28-C318)/C318</f>
        <v>6.5473106738992301E-2</v>
      </c>
      <c r="N318" s="559">
        <f>'Progetto del paramento slu'!$G$60*(sezione!$AO$28-C318)/C318</f>
        <v>8.6695601120220706E-2</v>
      </c>
      <c r="O318" s="559">
        <f>'Progetto del paramento slu'!$G$60*(sezione!$AP$28-C318)/C318</f>
        <v>6.5473368194001208E-2</v>
      </c>
      <c r="P318" s="553">
        <f>-'Progetto del paramento slu'!$G$47*'Progetto del paramento slu'!$G$41*IF(DATI!$G$218="dx",DATI!$E$61,DATI!$E$64*DATI!$E$63)*1000*C318*sezione!$AD$5</f>
        <v>-185974.80244787081</v>
      </c>
      <c r="Q318" s="553">
        <f>'Foglio deposito bis'!$F$48*IF(ABS(K318)&lt;'Progetto del paramento slu'!$G$58,ABS(K318)*'Progetto del paramento slu'!$G$54,'Progetto del paramento slu'!$G$53)*IF(K318&lt;0,-1,1)</f>
        <v>0</v>
      </c>
      <c r="R318" s="553">
        <f>'Foglio deposito bis'!$F$49*IF(ABS(L318)&lt;'Progetto del paramento slu'!$G$58,ABS(L318)*'Progetto del paramento slu'!$G$54,'Progetto del paramento slu'!$G$53)*IF(L318&lt;0,-1,1)</f>
        <v>204886.47740803001</v>
      </c>
      <c r="S318" s="553">
        <f>'Foglio deposito bis'!$F$50*IF(ABS(M318)&lt;'Progetto del paramento slu'!$G$58,ABS(M318)*'Progetto del paramento slu'!$G$54,'Progetto del paramento slu'!$G$53)*IF(M318&lt;0,-1,1)</f>
        <v>0</v>
      </c>
      <c r="T318" s="553">
        <f>'Foglio deposito bis'!$F$51*IF(ABS(N318)&lt;'Progetto del paramento slu'!$G$58,ABS(N318)*'Progetto del paramento slu'!$G$54,'Progetto del paramento slu'!$G$53)*IF(N318&lt;0,-1,1)</f>
        <v>240946.49743184328</v>
      </c>
      <c r="U318" s="553">
        <f>'Foglio deposito bis'!$F$52*IF(ABS(O318)&lt;'Progetto del paramento slu'!$G$58,ABS(O318)*'Progetto del paramento slu'!$G$54,'Progetto del paramento slu'!$G$53)*IF(O318&lt;0,-1,1)</f>
        <v>240946.49743184328</v>
      </c>
      <c r="V318" s="479">
        <f t="shared" ref="V318:V381" si="29">P318+Q318+R318+S318+T318+U318</f>
        <v>500804.66982384573</v>
      </c>
      <c r="W318" s="559"/>
      <c r="X318" s="559"/>
    </row>
    <row r="319" spans="1:24" x14ac:dyDescent="0.25">
      <c r="A319" s="553">
        <f t="shared" si="28"/>
        <v>497943.51901695551</v>
      </c>
      <c r="B319" s="3">
        <f t="shared" ref="B319:B355" si="30">B318+0.05</f>
        <v>3.2999999999999963</v>
      </c>
      <c r="C319" s="553">
        <f>'Foglio deposito bis'!$E$154/sezione!$B$247*B319</f>
        <v>13.396525742947846</v>
      </c>
      <c r="D319" s="611">
        <f>-'Progetto del paramento slu'!$G$47*'Progetto del paramento slu'!$G$41*IF(DATI!$G$218="dx",DATI!$E$61,DATI!$E$64*DATI!$E$63)*1000*C319^2*sezione!$AD$5*(1-sezione!$AD$6)</f>
        <v>-1477371.4940393581</v>
      </c>
      <c r="E319" s="553">
        <f>-'Foglio deposito bis'!$F$48*(C319-sezione!$AL$28)*IF(ABS(K319)&lt;'Progetto del paramento slu'!$G$58,ABS(K319)*'Progetto del paramento slu'!$G$54,'Progetto del paramento slu'!$G$53)</f>
        <v>0</v>
      </c>
      <c r="F319" s="553">
        <f>-'Foglio deposito bis'!$F$49*(C319-sezione!$AM$28)*IF(ABS(L319)&lt;'Progetto del paramento slu'!$G$58,ABS(L319)*'Progetto del paramento slu'!$G$54,'Progetto del paramento slu'!$G$53)</f>
        <v>27988204.642225925</v>
      </c>
      <c r="G319" s="553">
        <f>-'Foglio deposito bis'!$F$50*(C319-sezione!$AN$28)*IF(ABS(M319)&lt;'Progetto del paramento slu'!$G$58,ABS(M319)*'Progetto del paramento slu'!$G$54,'Progetto del paramento slu'!$G$53)</f>
        <v>0</v>
      </c>
      <c r="H319" s="553">
        <f>-'Foglio deposito bis'!$F$51*(C319-sezione!$AO$28)*IF(ABS(N319)&lt;'Progetto del paramento slu'!$G$58,ABS(N319)*'Progetto del paramento slu'!$G$54,'Progetto del paramento slu'!$G$53)</f>
        <v>78693963.171307907</v>
      </c>
      <c r="I319" s="479">
        <f>-'Foglio deposito bis'!$F$52*(C319-sezione!$AP$28)*IF(ABS(O319)&lt;'Progetto del paramento slu'!$G$58,ABS(O319)*'Progetto del paramento slu'!$G$54,'Progetto del paramento slu'!$G$53)</f>
        <v>59418480.848068006</v>
      </c>
      <c r="J319" s="479">
        <f t="shared" si="27"/>
        <v>164623277.16756248</v>
      </c>
      <c r="K319" s="558">
        <f>'Progetto del paramento slu'!$G$60*(sezione!$AL$28-C319)/C319</f>
        <v>6.9504707180291381E-3</v>
      </c>
      <c r="L319" s="558">
        <f>'Progetto del paramento slu'!$G$60*(sezione!$AM$28-C319)/C319</f>
        <v>3.5689265192609267E-2</v>
      </c>
      <c r="M319" s="559">
        <f>'Progetto del paramento slu'!$G$60*(sezione!$AN$28-C319)/C319</f>
        <v>6.4428059667189383E-2</v>
      </c>
      <c r="N319" s="559">
        <f>'Progetto del paramento slu'!$G$60*(sezione!$AO$28-C319)/C319</f>
        <v>8.5329001103247662E-2</v>
      </c>
      <c r="O319" s="559">
        <f>'Progetto del paramento slu'!$G$60*(sezione!$AP$28-C319)/C319</f>
        <v>6.4428317160758766E-2</v>
      </c>
      <c r="P319" s="553">
        <f>-'Progetto del paramento slu'!$G$47*'Progetto del paramento slu'!$G$41*IF(DATI!$G$218="dx",DATI!$E$61,DATI!$E$64*DATI!$E$63)*1000*C319*sezione!$AD$5</f>
        <v>-188835.95325476109</v>
      </c>
      <c r="Q319" s="553">
        <f>'Foglio deposito bis'!$F$48*IF(ABS(K319)&lt;'Progetto del paramento slu'!$G$58,ABS(K319)*'Progetto del paramento slu'!$G$54,'Progetto del paramento slu'!$G$53)*IF(K319&lt;0,-1,1)</f>
        <v>0</v>
      </c>
      <c r="R319" s="553">
        <f>'Foglio deposito bis'!$F$49*IF(ABS(L319)&lt;'Progetto del paramento slu'!$G$58,ABS(L319)*'Progetto del paramento slu'!$G$54,'Progetto del paramento slu'!$G$53)*IF(L319&lt;0,-1,1)</f>
        <v>204886.47740803001</v>
      </c>
      <c r="S319" s="553">
        <f>'Foglio deposito bis'!$F$50*IF(ABS(M319)&lt;'Progetto del paramento slu'!$G$58,ABS(M319)*'Progetto del paramento slu'!$G$54,'Progetto del paramento slu'!$G$53)*IF(M319&lt;0,-1,1)</f>
        <v>0</v>
      </c>
      <c r="T319" s="553">
        <f>'Foglio deposito bis'!$F$51*IF(ABS(N319)&lt;'Progetto del paramento slu'!$G$58,ABS(N319)*'Progetto del paramento slu'!$G$54,'Progetto del paramento slu'!$G$53)*IF(N319&lt;0,-1,1)</f>
        <v>240946.49743184328</v>
      </c>
      <c r="U319" s="553">
        <f>'Foglio deposito bis'!$F$52*IF(ABS(O319)&lt;'Progetto del paramento slu'!$G$58,ABS(O319)*'Progetto del paramento slu'!$G$54,'Progetto del paramento slu'!$G$53)*IF(O319&lt;0,-1,1)</f>
        <v>240946.49743184328</v>
      </c>
      <c r="V319" s="479">
        <f t="shared" si="29"/>
        <v>497943.51901695551</v>
      </c>
      <c r="W319" s="559"/>
      <c r="X319" s="559"/>
    </row>
    <row r="320" spans="1:24" x14ac:dyDescent="0.25">
      <c r="A320" s="553">
        <f t="shared" si="28"/>
        <v>495082.36821006512</v>
      </c>
      <c r="B320" s="3">
        <f t="shared" si="30"/>
        <v>3.3499999999999961</v>
      </c>
      <c r="C320" s="553">
        <f>'Foglio deposito bis'!$E$154/sezione!$B$247*B320</f>
        <v>13.599503405719783</v>
      </c>
      <c r="D320" s="611">
        <f>-'Progetto del paramento slu'!$G$47*'Progetto del paramento slu'!$G$41*IF(DATI!$G$218="dx",DATI!$E$61,DATI!$E$64*DATI!$E$63)*1000*C320^2*sezione!$AD$5*(1-sezione!$AD$6)</f>
        <v>-1522479.4850189802</v>
      </c>
      <c r="E320" s="553">
        <f>-'Foglio deposito bis'!$F$48*(C320-sezione!$AL$28)*IF(ABS(K320)&lt;'Progetto del paramento slu'!$G$58,ABS(K320)*'Progetto del paramento slu'!$G$54,'Progetto del paramento slu'!$G$53)</f>
        <v>0</v>
      </c>
      <c r="F320" s="553">
        <f>-'Foglio deposito bis'!$F$49*(C320-sezione!$AM$28)*IF(ABS(L320)&lt;'Progetto del paramento slu'!$G$58,ABS(L320)*'Progetto del paramento slu'!$G$54,'Progetto del paramento slu'!$G$53)</f>
        <v>27946617.263908066</v>
      </c>
      <c r="G320" s="553">
        <f>-'Foglio deposito bis'!$F$50*(C320-sezione!$AN$28)*IF(ABS(M320)&lt;'Progetto del paramento slu'!$G$58,ABS(M320)*'Progetto del paramento slu'!$G$54,'Progetto del paramento slu'!$G$53)</f>
        <v>0</v>
      </c>
      <c r="H320" s="553">
        <f>-'Foglio deposito bis'!$F$51*(C320-sezione!$AO$28)*IF(ABS(N320)&lt;'Progetto del paramento slu'!$G$58,ABS(N320)*'Progetto del paramento slu'!$G$54,'Progetto del paramento slu'!$G$53)</f>
        <v>78645056.414406106</v>
      </c>
      <c r="I320" s="479">
        <f>-'Foglio deposito bis'!$F$52*(C320-sezione!$AP$28)*IF(ABS(O320)&lt;'Progetto del paramento slu'!$G$58,ABS(O320)*'Progetto del paramento slu'!$G$54,'Progetto del paramento slu'!$G$53)</f>
        <v>59369574.091166206</v>
      </c>
      <c r="J320" s="479">
        <f t="shared" si="27"/>
        <v>164438768.28446141</v>
      </c>
      <c r="K320" s="558">
        <f>'Progetto del paramento slu'!$G$60*(sezione!$AL$28-C320)/C320</f>
        <v>6.7944935431331795E-3</v>
      </c>
      <c r="L320" s="558">
        <f>'Progetto del paramento slu'!$G$60*(sezione!$AM$28-C320)/C320</f>
        <v>3.5104350786749422E-2</v>
      </c>
      <c r="M320" s="559">
        <f>'Progetto del paramento slu'!$G$60*(sezione!$AN$28-C320)/C320</f>
        <v>6.3414208030365668E-2</v>
      </c>
      <c r="N320" s="559">
        <f>'Progetto del paramento slu'!$G$60*(sezione!$AO$28-C320)/C320</f>
        <v>8.400319511663204E-2</v>
      </c>
      <c r="O320" s="559">
        <f>'Progetto del paramento slu'!$G$60*(sezione!$AP$28-C320)/C320</f>
        <v>6.341446168074745E-2</v>
      </c>
      <c r="P320" s="553">
        <f>-'Progetto del paramento slu'!$G$47*'Progetto del paramento slu'!$G$41*IF(DATI!$G$218="dx",DATI!$E$61,DATI!$E$64*DATI!$E$63)*1000*C320*sezione!$AD$5</f>
        <v>-191697.10406165145</v>
      </c>
      <c r="Q320" s="553">
        <f>'Foglio deposito bis'!$F$48*IF(ABS(K320)&lt;'Progetto del paramento slu'!$G$58,ABS(K320)*'Progetto del paramento slu'!$G$54,'Progetto del paramento slu'!$G$53)*IF(K320&lt;0,-1,1)</f>
        <v>0</v>
      </c>
      <c r="R320" s="553">
        <f>'Foglio deposito bis'!$F$49*IF(ABS(L320)&lt;'Progetto del paramento slu'!$G$58,ABS(L320)*'Progetto del paramento slu'!$G$54,'Progetto del paramento slu'!$G$53)*IF(L320&lt;0,-1,1)</f>
        <v>204886.47740803001</v>
      </c>
      <c r="S320" s="553">
        <f>'Foglio deposito bis'!$F$50*IF(ABS(M320)&lt;'Progetto del paramento slu'!$G$58,ABS(M320)*'Progetto del paramento slu'!$G$54,'Progetto del paramento slu'!$G$53)*IF(M320&lt;0,-1,1)</f>
        <v>0</v>
      </c>
      <c r="T320" s="553">
        <f>'Foglio deposito bis'!$F$51*IF(ABS(N320)&lt;'Progetto del paramento slu'!$G$58,ABS(N320)*'Progetto del paramento slu'!$G$54,'Progetto del paramento slu'!$G$53)*IF(N320&lt;0,-1,1)</f>
        <v>240946.49743184328</v>
      </c>
      <c r="U320" s="553">
        <f>'Foglio deposito bis'!$F$52*IF(ABS(O320)&lt;'Progetto del paramento slu'!$G$58,ABS(O320)*'Progetto del paramento slu'!$G$54,'Progetto del paramento slu'!$G$53)*IF(O320&lt;0,-1,1)</f>
        <v>240946.49743184328</v>
      </c>
      <c r="V320" s="479">
        <f t="shared" si="29"/>
        <v>495082.36821006512</v>
      </c>
      <c r="W320" s="559"/>
      <c r="X320" s="559"/>
    </row>
    <row r="321" spans="1:24" x14ac:dyDescent="0.25">
      <c r="A321" s="553">
        <f t="shared" si="28"/>
        <v>492221.21740317484</v>
      </c>
      <c r="B321" s="3">
        <f t="shared" si="30"/>
        <v>3.3999999999999959</v>
      </c>
      <c r="C321" s="553">
        <f>'Foglio deposito bis'!$E$154/sezione!$B$247*B321</f>
        <v>13.802481068491719</v>
      </c>
      <c r="D321" s="611">
        <f>-'Progetto del paramento slu'!$G$47*'Progetto del paramento slu'!$G$41*IF(DATI!$G$218="dx",DATI!$E$61,DATI!$E$64*DATI!$E$63)*1000*C321^2*sezione!$AD$5*(1-sezione!$AD$6)</f>
        <v>-1568265.7916524312</v>
      </c>
      <c r="E321" s="553">
        <f>-'Foglio deposito bis'!$F$48*(C321-sezione!$AL$28)*IF(ABS(K321)&lt;'Progetto del paramento slu'!$G$58,ABS(K321)*'Progetto del paramento slu'!$G$54,'Progetto del paramento slu'!$G$53)</f>
        <v>0</v>
      </c>
      <c r="F321" s="553">
        <f>-'Foglio deposito bis'!$F$49*(C321-sezione!$AM$28)*IF(ABS(L321)&lt;'Progetto del paramento slu'!$G$58,ABS(L321)*'Progetto del paramento slu'!$G$54,'Progetto del paramento slu'!$G$53)</f>
        <v>27905029.885590211</v>
      </c>
      <c r="G321" s="553">
        <f>-'Foglio deposito bis'!$F$50*(C321-sezione!$AN$28)*IF(ABS(M321)&lt;'Progetto del paramento slu'!$G$58,ABS(M321)*'Progetto del paramento slu'!$G$54,'Progetto del paramento slu'!$G$53)</f>
        <v>0</v>
      </c>
      <c r="H321" s="553">
        <f>-'Foglio deposito bis'!$F$51*(C321-sezione!$AO$28)*IF(ABS(N321)&lt;'Progetto del paramento slu'!$G$58,ABS(N321)*'Progetto del paramento slu'!$G$54,'Progetto del paramento slu'!$G$53)</f>
        <v>78596149.657504305</v>
      </c>
      <c r="I321" s="479">
        <f>-'Foglio deposito bis'!$F$52*(C321-sezione!$AP$28)*IF(ABS(O321)&lt;'Progetto del paramento slu'!$G$58,ABS(O321)*'Progetto del paramento slu'!$G$54,'Progetto del paramento slu'!$G$53)</f>
        <v>59320667.334264413</v>
      </c>
      <c r="J321" s="479">
        <f t="shared" si="27"/>
        <v>164253581.0857065</v>
      </c>
      <c r="K321" s="558">
        <f>'Progetto del paramento slu'!$G$60*(sezione!$AL$28-C321)/C321</f>
        <v>6.6431039322047518E-3</v>
      </c>
      <c r="L321" s="558">
        <f>'Progetto del paramento slu'!$G$60*(sezione!$AM$28-C321)/C321</f>
        <v>3.4536639745767823E-2</v>
      </c>
      <c r="M321" s="559">
        <f>'Progetto del paramento slu'!$G$60*(sezione!$AN$28-C321)/C321</f>
        <v>6.2430175559330892E-2</v>
      </c>
      <c r="N321" s="559">
        <f>'Progetto del paramento slu'!$G$60*(sezione!$AO$28-C321)/C321</f>
        <v>8.2716383423740394E-2</v>
      </c>
      <c r="O321" s="559">
        <f>'Progetto del paramento slu'!$G$60*(sezione!$AP$28-C321)/C321</f>
        <v>6.2430425479559987E-2</v>
      </c>
      <c r="P321" s="553">
        <f>-'Progetto del paramento slu'!$G$47*'Progetto del paramento slu'!$G$41*IF(DATI!$G$218="dx",DATI!$E$61,DATI!$E$64*DATI!$E$63)*1000*C321*sezione!$AD$5</f>
        <v>-194558.25486854176</v>
      </c>
      <c r="Q321" s="553">
        <f>'Foglio deposito bis'!$F$48*IF(ABS(K321)&lt;'Progetto del paramento slu'!$G$58,ABS(K321)*'Progetto del paramento slu'!$G$54,'Progetto del paramento slu'!$G$53)*IF(K321&lt;0,-1,1)</f>
        <v>0</v>
      </c>
      <c r="R321" s="553">
        <f>'Foglio deposito bis'!$F$49*IF(ABS(L321)&lt;'Progetto del paramento slu'!$G$58,ABS(L321)*'Progetto del paramento slu'!$G$54,'Progetto del paramento slu'!$G$53)*IF(L321&lt;0,-1,1)</f>
        <v>204886.47740803001</v>
      </c>
      <c r="S321" s="553">
        <f>'Foglio deposito bis'!$F$50*IF(ABS(M321)&lt;'Progetto del paramento slu'!$G$58,ABS(M321)*'Progetto del paramento slu'!$G$54,'Progetto del paramento slu'!$G$53)*IF(M321&lt;0,-1,1)</f>
        <v>0</v>
      </c>
      <c r="T321" s="553">
        <f>'Foglio deposito bis'!$F$51*IF(ABS(N321)&lt;'Progetto del paramento slu'!$G$58,ABS(N321)*'Progetto del paramento slu'!$G$54,'Progetto del paramento slu'!$G$53)*IF(N321&lt;0,-1,1)</f>
        <v>240946.49743184328</v>
      </c>
      <c r="U321" s="553">
        <f>'Foglio deposito bis'!$F$52*IF(ABS(O321)&lt;'Progetto del paramento slu'!$G$58,ABS(O321)*'Progetto del paramento slu'!$G$54,'Progetto del paramento slu'!$G$53)*IF(O321&lt;0,-1,1)</f>
        <v>240946.49743184328</v>
      </c>
      <c r="V321" s="479">
        <f t="shared" si="29"/>
        <v>492221.21740317484</v>
      </c>
      <c r="W321" s="559"/>
      <c r="X321" s="559"/>
    </row>
    <row r="322" spans="1:24" x14ac:dyDescent="0.25">
      <c r="A322" s="553">
        <f t="shared" si="28"/>
        <v>489360.06659628451</v>
      </c>
      <c r="B322" s="3">
        <f t="shared" si="30"/>
        <v>3.4499999999999957</v>
      </c>
      <c r="C322" s="553">
        <f>'Foglio deposito bis'!$E$154/sezione!$B$247*B322</f>
        <v>14.005458731263657</v>
      </c>
      <c r="D322" s="611">
        <f>-'Progetto del paramento slu'!$G$47*'Progetto del paramento slu'!$G$41*IF(DATI!$G$218="dx",DATI!$E$61,DATI!$E$64*DATI!$E$63)*1000*C322^2*sezione!$AD$5*(1-sezione!$AD$6)</f>
        <v>-1614730.4139397116</v>
      </c>
      <c r="E322" s="553">
        <f>-'Foglio deposito bis'!$F$48*(C322-sezione!$AL$28)*IF(ABS(K322)&lt;'Progetto del paramento slu'!$G$58,ABS(K322)*'Progetto del paramento slu'!$G$54,'Progetto del paramento slu'!$G$53)</f>
        <v>0</v>
      </c>
      <c r="F322" s="553">
        <f>-'Foglio deposito bis'!$F$49*(C322-sezione!$AM$28)*IF(ABS(L322)&lt;'Progetto del paramento slu'!$G$58,ABS(L322)*'Progetto del paramento slu'!$G$54,'Progetto del paramento slu'!$G$53)</f>
        <v>27863442.507272359</v>
      </c>
      <c r="G322" s="553">
        <f>-'Foglio deposito bis'!$F$50*(C322-sezione!$AN$28)*IF(ABS(M322)&lt;'Progetto del paramento slu'!$G$58,ABS(M322)*'Progetto del paramento slu'!$G$54,'Progetto del paramento slu'!$G$53)</f>
        <v>0</v>
      </c>
      <c r="H322" s="553">
        <f>-'Foglio deposito bis'!$F$51*(C322-sezione!$AO$28)*IF(ABS(N322)&lt;'Progetto del paramento slu'!$G$58,ABS(N322)*'Progetto del paramento slu'!$G$54,'Progetto del paramento slu'!$G$53)</f>
        <v>78547242.900602505</v>
      </c>
      <c r="I322" s="479">
        <f>-'Foglio deposito bis'!$F$52*(C322-sezione!$AP$28)*IF(ABS(O322)&lt;'Progetto del paramento slu'!$G$58,ABS(O322)*'Progetto del paramento slu'!$G$54,'Progetto del paramento slu'!$G$53)</f>
        <v>59271760.577362619</v>
      </c>
      <c r="J322" s="479">
        <f t="shared" si="27"/>
        <v>164067715.57129776</v>
      </c>
      <c r="K322" s="558">
        <f>'Progetto del paramento slu'!$G$60*(sezione!$AL$28-C322)/C322</f>
        <v>6.4961024259409137E-3</v>
      </c>
      <c r="L322" s="558">
        <f>'Progetto del paramento slu'!$G$60*(sezione!$AM$28-C322)/C322</f>
        <v>3.3985384097278429E-2</v>
      </c>
      <c r="M322" s="559">
        <f>'Progetto del paramento slu'!$G$60*(sezione!$AN$28-C322)/C322</f>
        <v>6.1474665768615946E-2</v>
      </c>
      <c r="N322" s="559">
        <f>'Progetto del paramento slu'!$G$60*(sezione!$AO$28-C322)/C322</f>
        <v>8.1466870620497775E-2</v>
      </c>
      <c r="O322" s="559">
        <f>'Progetto del paramento slu'!$G$60*(sezione!$AP$28-C322)/C322</f>
        <v>6.1474912066812742E-2</v>
      </c>
      <c r="P322" s="553">
        <f>-'Progetto del paramento slu'!$G$47*'Progetto del paramento slu'!$G$41*IF(DATI!$G$218="dx",DATI!$E$61,DATI!$E$64*DATI!$E$63)*1000*C322*sezione!$AD$5</f>
        <v>-197419.40567543206</v>
      </c>
      <c r="Q322" s="553">
        <f>'Foglio deposito bis'!$F$48*IF(ABS(K322)&lt;'Progetto del paramento slu'!$G$58,ABS(K322)*'Progetto del paramento slu'!$G$54,'Progetto del paramento slu'!$G$53)*IF(K322&lt;0,-1,1)</f>
        <v>0</v>
      </c>
      <c r="R322" s="553">
        <f>'Foglio deposito bis'!$F$49*IF(ABS(L322)&lt;'Progetto del paramento slu'!$G$58,ABS(L322)*'Progetto del paramento slu'!$G$54,'Progetto del paramento slu'!$G$53)*IF(L322&lt;0,-1,1)</f>
        <v>204886.47740803001</v>
      </c>
      <c r="S322" s="553">
        <f>'Foglio deposito bis'!$F$50*IF(ABS(M322)&lt;'Progetto del paramento slu'!$G$58,ABS(M322)*'Progetto del paramento slu'!$G$54,'Progetto del paramento slu'!$G$53)*IF(M322&lt;0,-1,1)</f>
        <v>0</v>
      </c>
      <c r="T322" s="553">
        <f>'Foglio deposito bis'!$F$51*IF(ABS(N322)&lt;'Progetto del paramento slu'!$G$58,ABS(N322)*'Progetto del paramento slu'!$G$54,'Progetto del paramento slu'!$G$53)*IF(N322&lt;0,-1,1)</f>
        <v>240946.49743184328</v>
      </c>
      <c r="U322" s="553">
        <f>'Foglio deposito bis'!$F$52*IF(ABS(O322)&lt;'Progetto del paramento slu'!$G$58,ABS(O322)*'Progetto del paramento slu'!$G$54,'Progetto del paramento slu'!$G$53)*IF(O322&lt;0,-1,1)</f>
        <v>240946.49743184328</v>
      </c>
      <c r="V322" s="479">
        <f t="shared" si="29"/>
        <v>489360.06659628451</v>
      </c>
      <c r="W322" s="559"/>
      <c r="X322" s="559"/>
    </row>
    <row r="323" spans="1:24" x14ac:dyDescent="0.25">
      <c r="A323" s="553">
        <f t="shared" si="28"/>
        <v>486498.91578939417</v>
      </c>
      <c r="B323" s="3">
        <f t="shared" si="30"/>
        <v>3.4999999999999956</v>
      </c>
      <c r="C323" s="553">
        <f>'Foglio deposito bis'!$E$154/sezione!$B$247*B323</f>
        <v>14.208436394035592</v>
      </c>
      <c r="D323" s="611">
        <f>-'Progetto del paramento slu'!$G$47*'Progetto del paramento slu'!$G$41*IF(DATI!$G$218="dx",DATI!$E$61,DATI!$E$64*DATI!$E$63)*1000*C323^2*sezione!$AD$5*(1-sezione!$AD$6)</f>
        <v>-1661873.3518808205</v>
      </c>
      <c r="E323" s="553">
        <f>-'Foglio deposito bis'!$F$48*(C323-sezione!$AL$28)*IF(ABS(K323)&lt;'Progetto del paramento slu'!$G$58,ABS(K323)*'Progetto del paramento slu'!$G$54,'Progetto del paramento slu'!$G$53)</f>
        <v>0</v>
      </c>
      <c r="F323" s="553">
        <f>-'Foglio deposito bis'!$F$49*(C323-sezione!$AM$28)*IF(ABS(L323)&lt;'Progetto del paramento slu'!$G$58,ABS(L323)*'Progetto del paramento slu'!$G$54,'Progetto del paramento slu'!$G$53)</f>
        <v>27821855.128954493</v>
      </c>
      <c r="G323" s="553">
        <f>-'Foglio deposito bis'!$F$50*(C323-sezione!$AN$28)*IF(ABS(M323)&lt;'Progetto del paramento slu'!$G$58,ABS(M323)*'Progetto del paramento slu'!$G$54,'Progetto del paramento slu'!$G$53)</f>
        <v>0</v>
      </c>
      <c r="H323" s="553">
        <f>-'Foglio deposito bis'!$F$51*(C323-sezione!$AO$28)*IF(ABS(N323)&lt;'Progetto del paramento slu'!$G$58,ABS(N323)*'Progetto del paramento slu'!$G$54,'Progetto del paramento slu'!$G$53)</f>
        <v>78498336.143700704</v>
      </c>
      <c r="I323" s="479">
        <f>-'Foglio deposito bis'!$F$52*(C323-sezione!$AP$28)*IF(ABS(O323)&lt;'Progetto del paramento slu'!$G$58,ABS(O323)*'Progetto del paramento slu'!$G$54,'Progetto del paramento slu'!$G$53)</f>
        <v>59222853.820460811</v>
      </c>
      <c r="J323" s="479">
        <f t="shared" si="27"/>
        <v>163881171.7412352</v>
      </c>
      <c r="K323" s="558">
        <f>'Progetto del paramento slu'!$G$60*(sezione!$AL$28-C323)/C323</f>
        <v>6.3533009627131879E-3</v>
      </c>
      <c r="L323" s="558">
        <f>'Progetto del paramento slu'!$G$60*(sezione!$AM$28-C323)/C323</f>
        <v>3.3449878610174455E-2</v>
      </c>
      <c r="M323" s="559">
        <f>'Progetto del paramento slu'!$G$60*(sezione!$AN$28-C323)/C323</f>
        <v>6.0546456257635724E-2</v>
      </c>
      <c r="N323" s="559">
        <f>'Progetto del paramento slu'!$G$60*(sezione!$AO$28-C323)/C323</f>
        <v>8.0253058183062095E-2</v>
      </c>
      <c r="O323" s="559">
        <f>'Progetto del paramento slu'!$G$60*(sezione!$AP$28-C323)/C323</f>
        <v>6.054669903728685E-2</v>
      </c>
      <c r="P323" s="553">
        <f>-'Progetto del paramento slu'!$G$47*'Progetto del paramento slu'!$G$41*IF(DATI!$G$218="dx",DATI!$E$61,DATI!$E$64*DATI!$E$63)*1000*C323*sezione!$AD$5</f>
        <v>-200280.55648232237</v>
      </c>
      <c r="Q323" s="553">
        <f>'Foglio deposito bis'!$F$48*IF(ABS(K323)&lt;'Progetto del paramento slu'!$G$58,ABS(K323)*'Progetto del paramento slu'!$G$54,'Progetto del paramento slu'!$G$53)*IF(K323&lt;0,-1,1)</f>
        <v>0</v>
      </c>
      <c r="R323" s="553">
        <f>'Foglio deposito bis'!$F$49*IF(ABS(L323)&lt;'Progetto del paramento slu'!$G$58,ABS(L323)*'Progetto del paramento slu'!$G$54,'Progetto del paramento slu'!$G$53)*IF(L323&lt;0,-1,1)</f>
        <v>204886.47740803001</v>
      </c>
      <c r="S323" s="553">
        <f>'Foglio deposito bis'!$F$50*IF(ABS(M323)&lt;'Progetto del paramento slu'!$G$58,ABS(M323)*'Progetto del paramento slu'!$G$54,'Progetto del paramento slu'!$G$53)*IF(M323&lt;0,-1,1)</f>
        <v>0</v>
      </c>
      <c r="T323" s="553">
        <f>'Foglio deposito bis'!$F$51*IF(ABS(N323)&lt;'Progetto del paramento slu'!$G$58,ABS(N323)*'Progetto del paramento slu'!$G$54,'Progetto del paramento slu'!$G$53)*IF(N323&lt;0,-1,1)</f>
        <v>240946.49743184328</v>
      </c>
      <c r="U323" s="553">
        <f>'Foglio deposito bis'!$F$52*IF(ABS(O323)&lt;'Progetto del paramento slu'!$G$58,ABS(O323)*'Progetto del paramento slu'!$G$54,'Progetto del paramento slu'!$G$53)*IF(O323&lt;0,-1,1)</f>
        <v>240946.49743184328</v>
      </c>
      <c r="V323" s="479">
        <f t="shared" si="29"/>
        <v>486498.91578939417</v>
      </c>
      <c r="W323" s="559"/>
      <c r="X323" s="559"/>
    </row>
    <row r="324" spans="1:24" x14ac:dyDescent="0.25">
      <c r="A324" s="553">
        <f t="shared" si="28"/>
        <v>483637.76498250384</v>
      </c>
      <c r="B324" s="3">
        <f t="shared" si="30"/>
        <v>3.5499999999999954</v>
      </c>
      <c r="C324" s="553">
        <f>'Foglio deposito bis'!$E$154/sezione!$B$247*B324</f>
        <v>14.41141405680753</v>
      </c>
      <c r="D324" s="611">
        <f>-'Progetto del paramento slu'!$G$47*'Progetto del paramento slu'!$G$41*IF(DATI!$G$218="dx",DATI!$E$61,DATI!$E$64*DATI!$E$63)*1000*C324^2*sezione!$AD$5*(1-sezione!$AD$6)</f>
        <v>-1709694.6054757582</v>
      </c>
      <c r="E324" s="553">
        <f>-'Foglio deposito bis'!$F$48*(C324-sezione!$AL$28)*IF(ABS(K324)&lt;'Progetto del paramento slu'!$G$58,ABS(K324)*'Progetto del paramento slu'!$G$54,'Progetto del paramento slu'!$G$53)</f>
        <v>0</v>
      </c>
      <c r="F324" s="553">
        <f>-'Foglio deposito bis'!$F$49*(C324-sezione!$AM$28)*IF(ABS(L324)&lt;'Progetto del paramento slu'!$G$58,ABS(L324)*'Progetto del paramento slu'!$G$54,'Progetto del paramento slu'!$G$53)</f>
        <v>27780267.750636641</v>
      </c>
      <c r="G324" s="553">
        <f>-'Foglio deposito bis'!$F$50*(C324-sezione!$AN$28)*IF(ABS(M324)&lt;'Progetto del paramento slu'!$G$58,ABS(M324)*'Progetto del paramento slu'!$G$54,'Progetto del paramento slu'!$G$53)</f>
        <v>0</v>
      </c>
      <c r="H324" s="553">
        <f>-'Foglio deposito bis'!$F$51*(C324-sezione!$AO$28)*IF(ABS(N324)&lt;'Progetto del paramento slu'!$G$58,ABS(N324)*'Progetto del paramento slu'!$G$54,'Progetto del paramento slu'!$G$53)</f>
        <v>78449429.386798903</v>
      </c>
      <c r="I324" s="479">
        <f>-'Foglio deposito bis'!$F$52*(C324-sezione!$AP$28)*IF(ABS(O324)&lt;'Progetto del paramento slu'!$G$58,ABS(O324)*'Progetto del paramento slu'!$G$54,'Progetto del paramento slu'!$G$53)</f>
        <v>59173947.063559011</v>
      </c>
      <c r="J324" s="479">
        <f t="shared" si="27"/>
        <v>163693949.5955188</v>
      </c>
      <c r="K324" s="558">
        <f>'Progetto del paramento slu'!$G$60*(sezione!$AL$28-C324)/C324</f>
        <v>6.2145220759144103E-3</v>
      </c>
      <c r="L324" s="558">
        <f>'Progetto del paramento slu'!$G$60*(sezione!$AM$28-C324)/C324</f>
        <v>3.2929457784679039E-2</v>
      </c>
      <c r="M324" s="559">
        <f>'Progetto del paramento slu'!$G$60*(sezione!$AN$28-C324)/C324</f>
        <v>5.9644393493443672E-2</v>
      </c>
      <c r="N324" s="559">
        <f>'Progetto del paramento slu'!$G$60*(sezione!$AO$28-C324)/C324</f>
        <v>7.9073437645272485E-2</v>
      </c>
      <c r="O324" s="559">
        <f>'Progetto del paramento slu'!$G$60*(sezione!$AP$28-C324)/C324</f>
        <v>5.9644632853663095E-2</v>
      </c>
      <c r="P324" s="553">
        <f>-'Progetto del paramento slu'!$G$47*'Progetto del paramento slu'!$G$41*IF(DATI!$G$218="dx",DATI!$E$61,DATI!$E$64*DATI!$E$63)*1000*C324*sezione!$AD$5</f>
        <v>-203141.7072892127</v>
      </c>
      <c r="Q324" s="553">
        <f>'Foglio deposito bis'!$F$48*IF(ABS(K324)&lt;'Progetto del paramento slu'!$G$58,ABS(K324)*'Progetto del paramento slu'!$G$54,'Progetto del paramento slu'!$G$53)*IF(K324&lt;0,-1,1)</f>
        <v>0</v>
      </c>
      <c r="R324" s="553">
        <f>'Foglio deposito bis'!$F$49*IF(ABS(L324)&lt;'Progetto del paramento slu'!$G$58,ABS(L324)*'Progetto del paramento slu'!$G$54,'Progetto del paramento slu'!$G$53)*IF(L324&lt;0,-1,1)</f>
        <v>204886.47740803001</v>
      </c>
      <c r="S324" s="553">
        <f>'Foglio deposito bis'!$F$50*IF(ABS(M324)&lt;'Progetto del paramento slu'!$G$58,ABS(M324)*'Progetto del paramento slu'!$G$54,'Progetto del paramento slu'!$G$53)*IF(M324&lt;0,-1,1)</f>
        <v>0</v>
      </c>
      <c r="T324" s="553">
        <f>'Foglio deposito bis'!$F$51*IF(ABS(N324)&lt;'Progetto del paramento slu'!$G$58,ABS(N324)*'Progetto del paramento slu'!$G$54,'Progetto del paramento slu'!$G$53)*IF(N324&lt;0,-1,1)</f>
        <v>240946.49743184328</v>
      </c>
      <c r="U324" s="553">
        <f>'Foglio deposito bis'!$F$52*IF(ABS(O324)&lt;'Progetto del paramento slu'!$G$58,ABS(O324)*'Progetto del paramento slu'!$G$54,'Progetto del paramento slu'!$G$53)*IF(O324&lt;0,-1,1)</f>
        <v>240946.49743184328</v>
      </c>
      <c r="V324" s="479">
        <f t="shared" si="29"/>
        <v>483637.76498250384</v>
      </c>
      <c r="W324" s="559"/>
      <c r="X324" s="559"/>
    </row>
    <row r="325" spans="1:24" x14ac:dyDescent="0.25">
      <c r="A325" s="553">
        <f t="shared" si="28"/>
        <v>480776.61417561356</v>
      </c>
      <c r="B325" s="3">
        <f t="shared" si="30"/>
        <v>3.5999999999999952</v>
      </c>
      <c r="C325" s="553">
        <f>'Foglio deposito bis'!$E$154/sezione!$B$247*B325</f>
        <v>14.614391719579466</v>
      </c>
      <c r="D325" s="611">
        <f>-'Progetto del paramento slu'!$G$47*'Progetto del paramento slu'!$G$41*IF(DATI!$G$218="dx",DATI!$E$61,DATI!$E$64*DATI!$E$63)*1000*C325^2*sezione!$AD$5*(1-sezione!$AD$6)</f>
        <v>-1758194.1747245248</v>
      </c>
      <c r="E325" s="553">
        <f>-'Foglio deposito bis'!$F$48*(C325-sezione!$AL$28)*IF(ABS(K325)&lt;'Progetto del paramento slu'!$G$58,ABS(K325)*'Progetto del paramento slu'!$G$54,'Progetto del paramento slu'!$G$53)</f>
        <v>0</v>
      </c>
      <c r="F325" s="553">
        <f>-'Foglio deposito bis'!$F$49*(C325-sezione!$AM$28)*IF(ABS(L325)&lt;'Progetto del paramento slu'!$G$58,ABS(L325)*'Progetto del paramento slu'!$G$54,'Progetto del paramento slu'!$G$53)</f>
        <v>27738680.372318782</v>
      </c>
      <c r="G325" s="553">
        <f>-'Foglio deposito bis'!$F$50*(C325-sezione!$AN$28)*IF(ABS(M325)&lt;'Progetto del paramento slu'!$G$58,ABS(M325)*'Progetto del paramento slu'!$G$54,'Progetto del paramento slu'!$G$53)</f>
        <v>0</v>
      </c>
      <c r="H325" s="553">
        <f>-'Foglio deposito bis'!$F$51*(C325-sezione!$AO$28)*IF(ABS(N325)&lt;'Progetto del paramento slu'!$G$58,ABS(N325)*'Progetto del paramento slu'!$G$54,'Progetto del paramento slu'!$G$53)</f>
        <v>78400522.629897103</v>
      </c>
      <c r="I325" s="479">
        <f>-'Foglio deposito bis'!$F$52*(C325-sezione!$AP$28)*IF(ABS(O325)&lt;'Progetto del paramento slu'!$G$58,ABS(O325)*'Progetto del paramento slu'!$G$54,'Progetto del paramento slu'!$G$53)</f>
        <v>59125040.306657217</v>
      </c>
      <c r="J325" s="479">
        <f t="shared" si="27"/>
        <v>163506049.13414857</v>
      </c>
      <c r="K325" s="558">
        <f>'Progetto del paramento slu'!$G$60*(sezione!$AL$28-C325)/C325</f>
        <v>6.079598158193378E-3</v>
      </c>
      <c r="L325" s="558">
        <f>'Progetto del paramento slu'!$G$60*(sezione!$AM$28-C325)/C325</f>
        <v>3.2423493093225168E-2</v>
      </c>
      <c r="M325" s="559">
        <f>'Progetto del paramento slu'!$G$60*(sezione!$AN$28-C325)/C325</f>
        <v>5.8767388028256956E-2</v>
      </c>
      <c r="N325" s="559">
        <f>'Progetto del paramento slu'!$G$60*(sezione!$AO$28-C325)/C325</f>
        <v>7.792658434464371E-2</v>
      </c>
      <c r="O325" s="559">
        <f>'Progetto del paramento slu'!$G$60*(sezione!$AP$28-C325)/C325</f>
        <v>5.8767624064028884E-2</v>
      </c>
      <c r="P325" s="553">
        <f>-'Progetto del paramento slu'!$G$47*'Progetto del paramento slu'!$G$41*IF(DATI!$G$218="dx",DATI!$E$61,DATI!$E$64*DATI!$E$63)*1000*C325*sezione!$AD$5</f>
        <v>-206002.85809610301</v>
      </c>
      <c r="Q325" s="553">
        <f>'Foglio deposito bis'!$F$48*IF(ABS(K325)&lt;'Progetto del paramento slu'!$G$58,ABS(K325)*'Progetto del paramento slu'!$G$54,'Progetto del paramento slu'!$G$53)*IF(K325&lt;0,-1,1)</f>
        <v>0</v>
      </c>
      <c r="R325" s="553">
        <f>'Foglio deposito bis'!$F$49*IF(ABS(L325)&lt;'Progetto del paramento slu'!$G$58,ABS(L325)*'Progetto del paramento slu'!$G$54,'Progetto del paramento slu'!$G$53)*IF(L325&lt;0,-1,1)</f>
        <v>204886.47740803001</v>
      </c>
      <c r="S325" s="553">
        <f>'Foglio deposito bis'!$F$50*IF(ABS(M325)&lt;'Progetto del paramento slu'!$G$58,ABS(M325)*'Progetto del paramento slu'!$G$54,'Progetto del paramento slu'!$G$53)*IF(M325&lt;0,-1,1)</f>
        <v>0</v>
      </c>
      <c r="T325" s="553">
        <f>'Foglio deposito bis'!$F$51*IF(ABS(N325)&lt;'Progetto del paramento slu'!$G$58,ABS(N325)*'Progetto del paramento slu'!$G$54,'Progetto del paramento slu'!$G$53)*IF(N325&lt;0,-1,1)</f>
        <v>240946.49743184328</v>
      </c>
      <c r="U325" s="553">
        <f>'Foglio deposito bis'!$F$52*IF(ABS(O325)&lt;'Progetto del paramento slu'!$G$58,ABS(O325)*'Progetto del paramento slu'!$G$54,'Progetto del paramento slu'!$G$53)*IF(O325&lt;0,-1,1)</f>
        <v>240946.49743184328</v>
      </c>
      <c r="V325" s="479">
        <f t="shared" si="29"/>
        <v>480776.61417561356</v>
      </c>
      <c r="W325" s="559"/>
      <c r="X325" s="559"/>
    </row>
    <row r="326" spans="1:24" x14ac:dyDescent="0.25">
      <c r="A326" s="553">
        <f t="shared" si="28"/>
        <v>477915.46336872329</v>
      </c>
      <c r="B326" s="3">
        <f t="shared" si="30"/>
        <v>3.649999999999995</v>
      </c>
      <c r="C326" s="553">
        <f>'Foglio deposito bis'!$E$154/sezione!$B$247*B326</f>
        <v>14.817369382351403</v>
      </c>
      <c r="D326" s="611">
        <f>-'Progetto del paramento slu'!$G$47*'Progetto del paramento slu'!$G$41*IF(DATI!$G$218="dx",DATI!$E$61,DATI!$E$64*DATI!$E$63)*1000*C326^2*sezione!$AD$5*(1-sezione!$AD$6)</f>
        <v>-1807372.0596271208</v>
      </c>
      <c r="E326" s="553">
        <f>-'Foglio deposito bis'!$F$48*(C326-sezione!$AL$28)*IF(ABS(K326)&lt;'Progetto del paramento slu'!$G$58,ABS(K326)*'Progetto del paramento slu'!$G$54,'Progetto del paramento slu'!$G$53)</f>
        <v>0</v>
      </c>
      <c r="F326" s="553">
        <f>-'Foglio deposito bis'!$F$49*(C326-sezione!$AM$28)*IF(ABS(L326)&lt;'Progetto del paramento slu'!$G$58,ABS(L326)*'Progetto del paramento slu'!$G$54,'Progetto del paramento slu'!$G$53)</f>
        <v>27697092.994000923</v>
      </c>
      <c r="G326" s="553">
        <f>-'Foglio deposito bis'!$F$50*(C326-sezione!$AN$28)*IF(ABS(M326)&lt;'Progetto del paramento slu'!$G$58,ABS(M326)*'Progetto del paramento slu'!$G$54,'Progetto del paramento slu'!$G$53)</f>
        <v>0</v>
      </c>
      <c r="H326" s="553">
        <f>-'Foglio deposito bis'!$F$51*(C326-sezione!$AO$28)*IF(ABS(N326)&lt;'Progetto del paramento slu'!$G$58,ABS(N326)*'Progetto del paramento slu'!$G$54,'Progetto del paramento slu'!$G$53)</f>
        <v>78351615.872995317</v>
      </c>
      <c r="I326" s="479">
        <f>-'Foglio deposito bis'!$F$52*(C326-sezione!$AP$28)*IF(ABS(O326)&lt;'Progetto del paramento slu'!$G$58,ABS(O326)*'Progetto del paramento slu'!$G$54,'Progetto del paramento slu'!$G$53)</f>
        <v>59076133.549755409</v>
      </c>
      <c r="J326" s="479">
        <f t="shared" si="27"/>
        <v>163317470.35712451</v>
      </c>
      <c r="K326" s="558">
        <f>'Progetto del paramento slu'!$G$60*(sezione!$AL$28-C326)/C326</f>
        <v>5.9483707861633312E-3</v>
      </c>
      <c r="L326" s="558">
        <f>'Progetto del paramento slu'!$G$60*(sezione!$AM$28-C326)/C326</f>
        <v>3.1931390448112489E-2</v>
      </c>
      <c r="M326" s="559">
        <f>'Progetto del paramento slu'!$G$60*(sezione!$AN$28-C326)/C326</f>
        <v>5.7914410110061647E-2</v>
      </c>
      <c r="N326" s="559">
        <f>'Progetto del paramento slu'!$G$60*(sezione!$AO$28-C326)/C326</f>
        <v>7.6811151682388321E-2</v>
      </c>
      <c r="O326" s="559">
        <f>'Progetto del paramento slu'!$G$60*(sezione!$AP$28-C326)/C326</f>
        <v>5.791464291246684E-2</v>
      </c>
      <c r="P326" s="553">
        <f>-'Progetto del paramento slu'!$G$47*'Progetto del paramento slu'!$G$41*IF(DATI!$G$218="dx",DATI!$E$61,DATI!$E$64*DATI!$E$63)*1000*C326*sezione!$AD$5</f>
        <v>-208864.00890299332</v>
      </c>
      <c r="Q326" s="553">
        <f>'Foglio deposito bis'!$F$48*IF(ABS(K326)&lt;'Progetto del paramento slu'!$G$58,ABS(K326)*'Progetto del paramento slu'!$G$54,'Progetto del paramento slu'!$G$53)*IF(K326&lt;0,-1,1)</f>
        <v>0</v>
      </c>
      <c r="R326" s="553">
        <f>'Foglio deposito bis'!$F$49*IF(ABS(L326)&lt;'Progetto del paramento slu'!$G$58,ABS(L326)*'Progetto del paramento slu'!$G$54,'Progetto del paramento slu'!$G$53)*IF(L326&lt;0,-1,1)</f>
        <v>204886.47740803001</v>
      </c>
      <c r="S326" s="553">
        <f>'Foglio deposito bis'!$F$50*IF(ABS(M326)&lt;'Progetto del paramento slu'!$G$58,ABS(M326)*'Progetto del paramento slu'!$G$54,'Progetto del paramento slu'!$G$53)*IF(M326&lt;0,-1,1)</f>
        <v>0</v>
      </c>
      <c r="T326" s="553">
        <f>'Foglio deposito bis'!$F$51*IF(ABS(N326)&lt;'Progetto del paramento slu'!$G$58,ABS(N326)*'Progetto del paramento slu'!$G$54,'Progetto del paramento slu'!$G$53)*IF(N326&lt;0,-1,1)</f>
        <v>240946.49743184328</v>
      </c>
      <c r="U326" s="553">
        <f>'Foglio deposito bis'!$F$52*IF(ABS(O326)&lt;'Progetto del paramento slu'!$G$58,ABS(O326)*'Progetto del paramento slu'!$G$54,'Progetto del paramento slu'!$G$53)*IF(O326&lt;0,-1,1)</f>
        <v>240946.49743184328</v>
      </c>
      <c r="V326" s="479">
        <f t="shared" si="29"/>
        <v>477915.46336872329</v>
      </c>
      <c r="W326" s="559"/>
      <c r="X326" s="559"/>
    </row>
    <row r="327" spans="1:24" x14ac:dyDescent="0.25">
      <c r="A327" s="553">
        <f t="shared" si="28"/>
        <v>475054.31256183295</v>
      </c>
      <c r="B327" s="3">
        <f t="shared" si="30"/>
        <v>3.6999999999999948</v>
      </c>
      <c r="C327" s="553">
        <f>'Foglio deposito bis'!$E$154/sezione!$B$247*B327</f>
        <v>15.020347045123339</v>
      </c>
      <c r="D327" s="611">
        <f>-'Progetto del paramento slu'!$G$47*'Progetto del paramento slu'!$G$41*IF(DATI!$G$218="dx",DATI!$E$61,DATI!$E$64*DATI!$E$63)*1000*C327^2*sezione!$AD$5*(1-sezione!$AD$6)</f>
        <v>-1857228.2601835448</v>
      </c>
      <c r="E327" s="553">
        <f>-'Foglio deposito bis'!$F$48*(C327-sezione!$AL$28)*IF(ABS(K327)&lt;'Progetto del paramento slu'!$G$58,ABS(K327)*'Progetto del paramento slu'!$G$54,'Progetto del paramento slu'!$G$53)</f>
        <v>0</v>
      </c>
      <c r="F327" s="553">
        <f>-'Foglio deposito bis'!$F$49*(C327-sezione!$AM$28)*IF(ABS(L327)&lt;'Progetto del paramento slu'!$G$58,ABS(L327)*'Progetto del paramento slu'!$G$54,'Progetto del paramento slu'!$G$53)</f>
        <v>27655505.615683068</v>
      </c>
      <c r="G327" s="553">
        <f>-'Foglio deposito bis'!$F$50*(C327-sezione!$AN$28)*IF(ABS(M327)&lt;'Progetto del paramento slu'!$G$58,ABS(M327)*'Progetto del paramento slu'!$G$54,'Progetto del paramento slu'!$G$53)</f>
        <v>0</v>
      </c>
      <c r="H327" s="553">
        <f>-'Foglio deposito bis'!$F$51*(C327-sezione!$AO$28)*IF(ABS(N327)&lt;'Progetto del paramento slu'!$G$58,ABS(N327)*'Progetto del paramento slu'!$G$54,'Progetto del paramento slu'!$G$53)</f>
        <v>78302709.116093501</v>
      </c>
      <c r="I327" s="479">
        <f>-'Foglio deposito bis'!$F$52*(C327-sezione!$AP$28)*IF(ABS(O327)&lt;'Progetto del paramento slu'!$G$58,ABS(O327)*'Progetto del paramento slu'!$G$54,'Progetto del paramento slu'!$G$53)</f>
        <v>59027226.792853616</v>
      </c>
      <c r="J327" s="479">
        <f t="shared" si="27"/>
        <v>163128213.26444665</v>
      </c>
      <c r="K327" s="558">
        <f>'Progetto del paramento slu'!$G$60*(sezione!$AL$28-C327)/C327</f>
        <v>5.820690099863828E-3</v>
      </c>
      <c r="L327" s="558">
        <f>'Progetto del paramento slu'!$G$60*(sezione!$AM$28-C327)/C327</f>
        <v>3.1452587874489353E-2</v>
      </c>
      <c r="M327" s="559">
        <f>'Progetto del paramento slu'!$G$60*(sezione!$AN$28-C327)/C327</f>
        <v>5.7084485649114877E-2</v>
      </c>
      <c r="N327" s="559">
        <f>'Progetto del paramento slu'!$G$60*(sezione!$AO$28-C327)/C327</f>
        <v>7.5725865848842541E-2</v>
      </c>
      <c r="O327" s="559">
        <f>'Progetto del paramento slu'!$G$60*(sezione!$AP$28-C327)/C327</f>
        <v>5.7084715305541621E-2</v>
      </c>
      <c r="P327" s="553">
        <f>-'Progetto del paramento slu'!$G$47*'Progetto del paramento slu'!$G$41*IF(DATI!$G$218="dx",DATI!$E$61,DATI!$E$64*DATI!$E$63)*1000*C327*sezione!$AD$5</f>
        <v>-211725.15970988362</v>
      </c>
      <c r="Q327" s="553">
        <f>'Foglio deposito bis'!$F$48*IF(ABS(K327)&lt;'Progetto del paramento slu'!$G$58,ABS(K327)*'Progetto del paramento slu'!$G$54,'Progetto del paramento slu'!$G$53)*IF(K327&lt;0,-1,1)</f>
        <v>0</v>
      </c>
      <c r="R327" s="553">
        <f>'Foglio deposito bis'!$F$49*IF(ABS(L327)&lt;'Progetto del paramento slu'!$G$58,ABS(L327)*'Progetto del paramento slu'!$G$54,'Progetto del paramento slu'!$G$53)*IF(L327&lt;0,-1,1)</f>
        <v>204886.47740803001</v>
      </c>
      <c r="S327" s="553">
        <f>'Foglio deposito bis'!$F$50*IF(ABS(M327)&lt;'Progetto del paramento slu'!$G$58,ABS(M327)*'Progetto del paramento slu'!$G$54,'Progetto del paramento slu'!$G$53)*IF(M327&lt;0,-1,1)</f>
        <v>0</v>
      </c>
      <c r="T327" s="553">
        <f>'Foglio deposito bis'!$F$51*IF(ABS(N327)&lt;'Progetto del paramento slu'!$G$58,ABS(N327)*'Progetto del paramento slu'!$G$54,'Progetto del paramento slu'!$G$53)*IF(N327&lt;0,-1,1)</f>
        <v>240946.49743184328</v>
      </c>
      <c r="U327" s="553">
        <f>'Foglio deposito bis'!$F$52*IF(ABS(O327)&lt;'Progetto del paramento slu'!$G$58,ABS(O327)*'Progetto del paramento slu'!$G$54,'Progetto del paramento slu'!$G$53)*IF(O327&lt;0,-1,1)</f>
        <v>240946.49743184328</v>
      </c>
      <c r="V327" s="479">
        <f t="shared" si="29"/>
        <v>475054.31256183295</v>
      </c>
      <c r="W327" s="559"/>
      <c r="X327" s="559"/>
    </row>
    <row r="328" spans="1:24" x14ac:dyDescent="0.25">
      <c r="A328" s="553">
        <f t="shared" si="28"/>
        <v>472193.16175494262</v>
      </c>
      <c r="B328" s="3">
        <f t="shared" si="30"/>
        <v>3.7499999999999947</v>
      </c>
      <c r="C328" s="553">
        <f>'Foglio deposito bis'!$E$154/sezione!$B$247*B328</f>
        <v>15.223324707895275</v>
      </c>
      <c r="D328" s="611">
        <f>-'Progetto del paramento slu'!$G$47*'Progetto del paramento slu'!$G$41*IF(DATI!$G$218="dx",DATI!$E$61,DATI!$E$64*DATI!$E$63)*1000*C328^2*sezione!$AD$5*(1-sezione!$AD$6)</f>
        <v>-1907762.7763937982</v>
      </c>
      <c r="E328" s="553">
        <f>-'Foglio deposito bis'!$F$48*(C328-sezione!$AL$28)*IF(ABS(K328)&lt;'Progetto del paramento slu'!$G$58,ABS(K328)*'Progetto del paramento slu'!$G$54,'Progetto del paramento slu'!$G$53)</f>
        <v>0</v>
      </c>
      <c r="F328" s="553">
        <f>-'Foglio deposito bis'!$F$49*(C328-sezione!$AM$28)*IF(ABS(L328)&lt;'Progetto del paramento slu'!$G$58,ABS(L328)*'Progetto del paramento slu'!$G$54,'Progetto del paramento slu'!$G$53)</f>
        <v>27613918.237365209</v>
      </c>
      <c r="G328" s="553">
        <f>-'Foglio deposito bis'!$F$50*(C328-sezione!$AN$28)*IF(ABS(M328)&lt;'Progetto del paramento slu'!$G$58,ABS(M328)*'Progetto del paramento slu'!$G$54,'Progetto del paramento slu'!$G$53)</f>
        <v>0</v>
      </c>
      <c r="H328" s="553">
        <f>-'Foglio deposito bis'!$F$51*(C328-sezione!$AO$28)*IF(ABS(N328)&lt;'Progetto del paramento slu'!$G$58,ABS(N328)*'Progetto del paramento slu'!$G$54,'Progetto del paramento slu'!$G$53)</f>
        <v>78253802.359191701</v>
      </c>
      <c r="I328" s="479">
        <f>-'Foglio deposito bis'!$F$52*(C328-sezione!$AP$28)*IF(ABS(O328)&lt;'Progetto del paramento slu'!$G$58,ABS(O328)*'Progetto del paramento slu'!$G$54,'Progetto del paramento slu'!$G$53)</f>
        <v>58978320.035951816</v>
      </c>
      <c r="J328" s="479">
        <f t="shared" si="27"/>
        <v>162938277.85611492</v>
      </c>
      <c r="K328" s="558">
        <f>'Progetto del paramento slu'!$G$60*(sezione!$AL$28-C328)/C328</f>
        <v>5.6964142318656442E-3</v>
      </c>
      <c r="L328" s="558">
        <f>'Progetto del paramento slu'!$G$60*(sezione!$AM$28-C328)/C328</f>
        <v>3.0986553369496166E-2</v>
      </c>
      <c r="M328" s="559">
        <f>'Progetto del paramento slu'!$G$60*(sezione!$AN$28-C328)/C328</f>
        <v>5.6276692507126684E-2</v>
      </c>
      <c r="N328" s="559">
        <f>'Progetto del paramento slu'!$G$60*(sezione!$AO$28-C328)/C328</f>
        <v>7.466952097085798E-2</v>
      </c>
      <c r="O328" s="559">
        <f>'Progetto del paramento slu'!$G$60*(sezione!$AP$28-C328)/C328</f>
        <v>5.6276919101467739E-2</v>
      </c>
      <c r="P328" s="553">
        <f>-'Progetto del paramento slu'!$G$47*'Progetto del paramento slu'!$G$41*IF(DATI!$G$218="dx",DATI!$E$61,DATI!$E$64*DATI!$E$63)*1000*C328*sezione!$AD$5</f>
        <v>-214586.31051677393</v>
      </c>
      <c r="Q328" s="553">
        <f>'Foglio deposito bis'!$F$48*IF(ABS(K328)&lt;'Progetto del paramento slu'!$G$58,ABS(K328)*'Progetto del paramento slu'!$G$54,'Progetto del paramento slu'!$G$53)*IF(K328&lt;0,-1,1)</f>
        <v>0</v>
      </c>
      <c r="R328" s="553">
        <f>'Foglio deposito bis'!$F$49*IF(ABS(L328)&lt;'Progetto del paramento slu'!$G$58,ABS(L328)*'Progetto del paramento slu'!$G$54,'Progetto del paramento slu'!$G$53)*IF(L328&lt;0,-1,1)</f>
        <v>204886.47740803001</v>
      </c>
      <c r="S328" s="553">
        <f>'Foglio deposito bis'!$F$50*IF(ABS(M328)&lt;'Progetto del paramento slu'!$G$58,ABS(M328)*'Progetto del paramento slu'!$G$54,'Progetto del paramento slu'!$G$53)*IF(M328&lt;0,-1,1)</f>
        <v>0</v>
      </c>
      <c r="T328" s="553">
        <f>'Foglio deposito bis'!$F$51*IF(ABS(N328)&lt;'Progetto del paramento slu'!$G$58,ABS(N328)*'Progetto del paramento slu'!$G$54,'Progetto del paramento slu'!$G$53)*IF(N328&lt;0,-1,1)</f>
        <v>240946.49743184328</v>
      </c>
      <c r="U328" s="553">
        <f>'Foglio deposito bis'!$F$52*IF(ABS(O328)&lt;'Progetto del paramento slu'!$G$58,ABS(O328)*'Progetto del paramento slu'!$G$54,'Progetto del paramento slu'!$G$53)*IF(O328&lt;0,-1,1)</f>
        <v>240946.49743184328</v>
      </c>
      <c r="V328" s="479">
        <f t="shared" si="29"/>
        <v>472193.16175494262</v>
      </c>
      <c r="W328" s="559"/>
      <c r="X328" s="559"/>
    </row>
    <row r="329" spans="1:24" x14ac:dyDescent="0.25">
      <c r="A329" s="553">
        <f t="shared" si="28"/>
        <v>469332.01094805234</v>
      </c>
      <c r="B329" s="3">
        <f t="shared" si="30"/>
        <v>3.7999999999999945</v>
      </c>
      <c r="C329" s="553">
        <f>'Foglio deposito bis'!$E$154/sezione!$B$247*B329</f>
        <v>15.426302370667212</v>
      </c>
      <c r="D329" s="611">
        <f>-'Progetto del paramento slu'!$G$47*'Progetto del paramento slu'!$G$41*IF(DATI!$G$218="dx",DATI!$E$61,DATI!$E$64*DATI!$E$63)*1000*C329^2*sezione!$AD$5*(1-sezione!$AD$6)</f>
        <v>-1958975.6082578804</v>
      </c>
      <c r="E329" s="553">
        <f>-'Foglio deposito bis'!$F$48*(C329-sezione!$AL$28)*IF(ABS(K329)&lt;'Progetto del paramento slu'!$G$58,ABS(K329)*'Progetto del paramento slu'!$G$54,'Progetto del paramento slu'!$G$53)</f>
        <v>0</v>
      </c>
      <c r="F329" s="553">
        <f>-'Foglio deposito bis'!$F$49*(C329-sezione!$AM$28)*IF(ABS(L329)&lt;'Progetto del paramento slu'!$G$58,ABS(L329)*'Progetto del paramento slu'!$G$54,'Progetto del paramento slu'!$G$53)</f>
        <v>27572330.859047357</v>
      </c>
      <c r="G329" s="553">
        <f>-'Foglio deposito bis'!$F$50*(C329-sezione!$AN$28)*IF(ABS(M329)&lt;'Progetto del paramento slu'!$G$58,ABS(M329)*'Progetto del paramento slu'!$G$54,'Progetto del paramento slu'!$G$53)</f>
        <v>0</v>
      </c>
      <c r="H329" s="553">
        <f>-'Foglio deposito bis'!$F$51*(C329-sezione!$AO$28)*IF(ABS(N329)&lt;'Progetto del paramento slu'!$G$58,ABS(N329)*'Progetto del paramento slu'!$G$54,'Progetto del paramento slu'!$G$53)</f>
        <v>78204895.602289915</v>
      </c>
      <c r="I329" s="479">
        <f>-'Foglio deposito bis'!$F$52*(C329-sezione!$AP$28)*IF(ABS(O329)&lt;'Progetto del paramento slu'!$G$58,ABS(O329)*'Progetto del paramento slu'!$G$54,'Progetto del paramento slu'!$G$53)</f>
        <v>58929413.279050007</v>
      </c>
      <c r="J329" s="479">
        <f t="shared" si="27"/>
        <v>162747664.1321294</v>
      </c>
      <c r="K329" s="558">
        <f>'Progetto del paramento slu'!$G$60*(sezione!$AL$28-C329)/C329</f>
        <v>5.5754087814463595E-3</v>
      </c>
      <c r="L329" s="558">
        <f>'Progetto del paramento slu'!$G$60*(sezione!$AM$28-C329)/C329</f>
        <v>3.0532782930423847E-2</v>
      </c>
      <c r="M329" s="559">
        <f>'Progetto del paramento slu'!$G$60*(sezione!$AN$28-C329)/C329</f>
        <v>5.5490157079401338E-2</v>
      </c>
      <c r="N329" s="559">
        <f>'Progetto del paramento slu'!$G$60*(sezione!$AO$28-C329)/C329</f>
        <v>7.3640974642294049E-2</v>
      </c>
      <c r="O329" s="559">
        <f>'Progetto del paramento slu'!$G$60*(sezione!$AP$28-C329)/C329</f>
        <v>5.5490380692237898E-2</v>
      </c>
      <c r="P329" s="553">
        <f>-'Progetto del paramento slu'!$G$47*'Progetto del paramento slu'!$G$41*IF(DATI!$G$218="dx",DATI!$E$61,DATI!$E$64*DATI!$E$63)*1000*C329*sezione!$AD$5</f>
        <v>-217447.46132366423</v>
      </c>
      <c r="Q329" s="553">
        <f>'Foglio deposito bis'!$F$48*IF(ABS(K329)&lt;'Progetto del paramento slu'!$G$58,ABS(K329)*'Progetto del paramento slu'!$G$54,'Progetto del paramento slu'!$G$53)*IF(K329&lt;0,-1,1)</f>
        <v>0</v>
      </c>
      <c r="R329" s="553">
        <f>'Foglio deposito bis'!$F$49*IF(ABS(L329)&lt;'Progetto del paramento slu'!$G$58,ABS(L329)*'Progetto del paramento slu'!$G$54,'Progetto del paramento slu'!$G$53)*IF(L329&lt;0,-1,1)</f>
        <v>204886.47740803001</v>
      </c>
      <c r="S329" s="553">
        <f>'Foglio deposito bis'!$F$50*IF(ABS(M329)&lt;'Progetto del paramento slu'!$G$58,ABS(M329)*'Progetto del paramento slu'!$G$54,'Progetto del paramento slu'!$G$53)*IF(M329&lt;0,-1,1)</f>
        <v>0</v>
      </c>
      <c r="T329" s="553">
        <f>'Foglio deposito bis'!$F$51*IF(ABS(N329)&lt;'Progetto del paramento slu'!$G$58,ABS(N329)*'Progetto del paramento slu'!$G$54,'Progetto del paramento slu'!$G$53)*IF(N329&lt;0,-1,1)</f>
        <v>240946.49743184328</v>
      </c>
      <c r="U329" s="553">
        <f>'Foglio deposito bis'!$F$52*IF(ABS(O329)&lt;'Progetto del paramento slu'!$G$58,ABS(O329)*'Progetto del paramento slu'!$G$54,'Progetto del paramento slu'!$G$53)*IF(O329&lt;0,-1,1)</f>
        <v>240946.49743184328</v>
      </c>
      <c r="V329" s="479">
        <f t="shared" si="29"/>
        <v>469332.01094805234</v>
      </c>
      <c r="W329" s="559"/>
      <c r="X329" s="559"/>
    </row>
    <row r="330" spans="1:24" x14ac:dyDescent="0.25">
      <c r="A330" s="553">
        <f t="shared" si="28"/>
        <v>466470.86014116206</v>
      </c>
      <c r="B330" s="3">
        <f t="shared" si="30"/>
        <v>3.8499999999999943</v>
      </c>
      <c r="C330" s="553">
        <f>'Foglio deposito bis'!$E$154/sezione!$B$247*B330</f>
        <v>15.629280033439148</v>
      </c>
      <c r="D330" s="611">
        <f>-'Progetto del paramento slu'!$G$47*'Progetto del paramento slu'!$G$41*IF(DATI!$G$218="dx",DATI!$E$61,DATI!$E$64*DATI!$E$63)*1000*C330^2*sezione!$AD$5*(1-sezione!$AD$6)</f>
        <v>-2010866.7557757916</v>
      </c>
      <c r="E330" s="553">
        <f>-'Foglio deposito bis'!$F$48*(C330-sezione!$AL$28)*IF(ABS(K330)&lt;'Progetto del paramento slu'!$G$58,ABS(K330)*'Progetto del paramento slu'!$G$54,'Progetto del paramento slu'!$G$53)</f>
        <v>0</v>
      </c>
      <c r="F330" s="553">
        <f>-'Foglio deposito bis'!$F$49*(C330-sezione!$AM$28)*IF(ABS(L330)&lt;'Progetto del paramento slu'!$G$58,ABS(L330)*'Progetto del paramento slu'!$G$54,'Progetto del paramento slu'!$G$53)</f>
        <v>27530743.480729491</v>
      </c>
      <c r="G330" s="553">
        <f>-'Foglio deposito bis'!$F$50*(C330-sezione!$AN$28)*IF(ABS(M330)&lt;'Progetto del paramento slu'!$G$58,ABS(M330)*'Progetto del paramento slu'!$G$54,'Progetto del paramento slu'!$G$53)</f>
        <v>0</v>
      </c>
      <c r="H330" s="553">
        <f>-'Foglio deposito bis'!$F$51*(C330-sezione!$AO$28)*IF(ABS(N330)&lt;'Progetto del paramento slu'!$G$58,ABS(N330)*'Progetto del paramento slu'!$G$54,'Progetto del paramento slu'!$G$53)</f>
        <v>78155988.8453881</v>
      </c>
      <c r="I330" s="479">
        <f>-'Foglio deposito bis'!$F$52*(C330-sezione!$AP$28)*IF(ABS(O330)&lt;'Progetto del paramento slu'!$G$58,ABS(O330)*'Progetto del paramento slu'!$G$54,'Progetto del paramento slu'!$G$53)</f>
        <v>58880506.522148214</v>
      </c>
      <c r="J330" s="479">
        <f t="shared" si="27"/>
        <v>162556372.09249002</v>
      </c>
      <c r="K330" s="558">
        <f>'Progetto del paramento slu'!$G$60*(sezione!$AL$28-C330)/C330</f>
        <v>5.4575463297392643E-3</v>
      </c>
      <c r="L330" s="558">
        <f>'Progetto del paramento slu'!$G$60*(sezione!$AM$28-C330)/C330</f>
        <v>3.0090798736522241E-2</v>
      </c>
      <c r="M330" s="559">
        <f>'Progetto del paramento slu'!$G$60*(sezione!$AN$28-C330)/C330</f>
        <v>5.4724051143305218E-2</v>
      </c>
      <c r="N330" s="559">
        <f>'Progetto del paramento slu'!$G$60*(sezione!$AO$28-C330)/C330</f>
        <v>7.2639143802783732E-2</v>
      </c>
      <c r="O330" s="559">
        <f>'Progetto del paramento slu'!$G$60*(sezione!$AP$28-C330)/C330</f>
        <v>5.4724271852078968E-2</v>
      </c>
      <c r="P330" s="553">
        <f>-'Progetto del paramento slu'!$G$47*'Progetto del paramento slu'!$G$41*IF(DATI!$G$218="dx",DATI!$E$61,DATI!$E$64*DATI!$E$63)*1000*C330*sezione!$AD$5</f>
        <v>-220308.61213055454</v>
      </c>
      <c r="Q330" s="553">
        <f>'Foglio deposito bis'!$F$48*IF(ABS(K330)&lt;'Progetto del paramento slu'!$G$58,ABS(K330)*'Progetto del paramento slu'!$G$54,'Progetto del paramento slu'!$G$53)*IF(K330&lt;0,-1,1)</f>
        <v>0</v>
      </c>
      <c r="R330" s="553">
        <f>'Foglio deposito bis'!$F$49*IF(ABS(L330)&lt;'Progetto del paramento slu'!$G$58,ABS(L330)*'Progetto del paramento slu'!$G$54,'Progetto del paramento slu'!$G$53)*IF(L330&lt;0,-1,1)</f>
        <v>204886.47740803001</v>
      </c>
      <c r="S330" s="553">
        <f>'Foglio deposito bis'!$F$50*IF(ABS(M330)&lt;'Progetto del paramento slu'!$G$58,ABS(M330)*'Progetto del paramento slu'!$G$54,'Progetto del paramento slu'!$G$53)*IF(M330&lt;0,-1,1)</f>
        <v>0</v>
      </c>
      <c r="T330" s="553">
        <f>'Foglio deposito bis'!$F$51*IF(ABS(N330)&lt;'Progetto del paramento slu'!$G$58,ABS(N330)*'Progetto del paramento slu'!$G$54,'Progetto del paramento slu'!$G$53)*IF(N330&lt;0,-1,1)</f>
        <v>240946.49743184328</v>
      </c>
      <c r="U330" s="553">
        <f>'Foglio deposito bis'!$F$52*IF(ABS(O330)&lt;'Progetto del paramento slu'!$G$58,ABS(O330)*'Progetto del paramento slu'!$G$54,'Progetto del paramento slu'!$G$53)*IF(O330&lt;0,-1,1)</f>
        <v>240946.49743184328</v>
      </c>
      <c r="V330" s="479">
        <f t="shared" si="29"/>
        <v>466470.86014116206</v>
      </c>
      <c r="W330" s="559"/>
      <c r="X330" s="559"/>
    </row>
    <row r="331" spans="1:24" x14ac:dyDescent="0.25">
      <c r="A331" s="553">
        <f t="shared" si="28"/>
        <v>463609.70933427173</v>
      </c>
      <c r="B331" s="3">
        <f t="shared" si="30"/>
        <v>3.8999999999999941</v>
      </c>
      <c r="C331" s="553">
        <f>'Foglio deposito bis'!$E$154/sezione!$B$247*B331</f>
        <v>15.832257696211085</v>
      </c>
      <c r="D331" s="611">
        <f>-'Progetto del paramento slu'!$G$47*'Progetto del paramento slu'!$G$41*IF(DATI!$G$218="dx",DATI!$E$61,DATI!$E$64*DATI!$E$63)*1000*C331^2*sezione!$AD$5*(1-sezione!$AD$6)</f>
        <v>-2063436.2189475321</v>
      </c>
      <c r="E331" s="553">
        <f>-'Foglio deposito bis'!$F$48*(C331-sezione!$AL$28)*IF(ABS(K331)&lt;'Progetto del paramento slu'!$G$58,ABS(K331)*'Progetto del paramento slu'!$G$54,'Progetto del paramento slu'!$G$53)</f>
        <v>0</v>
      </c>
      <c r="F331" s="553">
        <f>-'Foglio deposito bis'!$F$49*(C331-sezione!$AM$28)*IF(ABS(L331)&lt;'Progetto del paramento slu'!$G$58,ABS(L331)*'Progetto del paramento slu'!$G$54,'Progetto del paramento slu'!$G$53)</f>
        <v>27489156.102411639</v>
      </c>
      <c r="G331" s="553">
        <f>-'Foglio deposito bis'!$F$50*(C331-sezione!$AN$28)*IF(ABS(M331)&lt;'Progetto del paramento slu'!$G$58,ABS(M331)*'Progetto del paramento slu'!$G$54,'Progetto del paramento slu'!$G$53)</f>
        <v>0</v>
      </c>
      <c r="H331" s="553">
        <f>-'Foglio deposito bis'!$F$51*(C331-sezione!$AO$28)*IF(ABS(N331)&lt;'Progetto del paramento slu'!$G$58,ABS(N331)*'Progetto del paramento slu'!$G$54,'Progetto del paramento slu'!$G$53)</f>
        <v>78107082.088486314</v>
      </c>
      <c r="I331" s="479">
        <f>-'Foglio deposito bis'!$F$52*(C331-sezione!$AP$28)*IF(ABS(O331)&lt;'Progetto del paramento slu'!$G$58,ABS(O331)*'Progetto del paramento slu'!$G$54,'Progetto del paramento slu'!$G$53)</f>
        <v>58831599.765246406</v>
      </c>
      <c r="J331" s="479">
        <f t="shared" si="27"/>
        <v>162364401.7371968</v>
      </c>
      <c r="K331" s="558">
        <f>'Progetto del paramento slu'!$G$60*(sezione!$AL$28-C331)/C331</f>
        <v>5.342705992178504E-3</v>
      </c>
      <c r="L331" s="558">
        <f>'Progetto del paramento slu'!$G$60*(sezione!$AM$28-C331)/C331</f>
        <v>2.966014747066939E-2</v>
      </c>
      <c r="M331" s="559">
        <f>'Progetto del paramento slu'!$G$60*(sezione!$AN$28-C331)/C331</f>
        <v>5.3977588949160271E-2</v>
      </c>
      <c r="N331" s="559">
        <f>'Progetto del paramento slu'!$G$60*(sezione!$AO$28-C331)/C331</f>
        <v>7.1663000933517296E-2</v>
      </c>
      <c r="O331" s="559">
        <f>'Progetto del paramento slu'!$G$60*(sezione!$AP$28-C331)/C331</f>
        <v>5.3977806828334363E-2</v>
      </c>
      <c r="P331" s="553">
        <f>-'Progetto del paramento slu'!$G$47*'Progetto del paramento slu'!$G$41*IF(DATI!$G$218="dx",DATI!$E$61,DATI!$E$64*DATI!$E$63)*1000*C331*sezione!$AD$5</f>
        <v>-223169.76293744487</v>
      </c>
      <c r="Q331" s="553">
        <f>'Foglio deposito bis'!$F$48*IF(ABS(K331)&lt;'Progetto del paramento slu'!$G$58,ABS(K331)*'Progetto del paramento slu'!$G$54,'Progetto del paramento slu'!$G$53)*IF(K331&lt;0,-1,1)</f>
        <v>0</v>
      </c>
      <c r="R331" s="553">
        <f>'Foglio deposito bis'!$F$49*IF(ABS(L331)&lt;'Progetto del paramento slu'!$G$58,ABS(L331)*'Progetto del paramento slu'!$G$54,'Progetto del paramento slu'!$G$53)*IF(L331&lt;0,-1,1)</f>
        <v>204886.47740803001</v>
      </c>
      <c r="S331" s="553">
        <f>'Foglio deposito bis'!$F$50*IF(ABS(M331)&lt;'Progetto del paramento slu'!$G$58,ABS(M331)*'Progetto del paramento slu'!$G$54,'Progetto del paramento slu'!$G$53)*IF(M331&lt;0,-1,1)</f>
        <v>0</v>
      </c>
      <c r="T331" s="553">
        <f>'Foglio deposito bis'!$F$51*IF(ABS(N331)&lt;'Progetto del paramento slu'!$G$58,ABS(N331)*'Progetto del paramento slu'!$G$54,'Progetto del paramento slu'!$G$53)*IF(N331&lt;0,-1,1)</f>
        <v>240946.49743184328</v>
      </c>
      <c r="U331" s="553">
        <f>'Foglio deposito bis'!$F$52*IF(ABS(O331)&lt;'Progetto del paramento slu'!$G$58,ABS(O331)*'Progetto del paramento slu'!$G$54,'Progetto del paramento slu'!$G$53)*IF(O331&lt;0,-1,1)</f>
        <v>240946.49743184328</v>
      </c>
      <c r="V331" s="479">
        <f t="shared" si="29"/>
        <v>463609.70933427173</v>
      </c>
      <c r="W331" s="559"/>
      <c r="X331" s="559"/>
    </row>
    <row r="332" spans="1:24" x14ac:dyDescent="0.25">
      <c r="A332" s="553">
        <f t="shared" si="28"/>
        <v>460748.55852738133</v>
      </c>
      <c r="B332" s="3">
        <f t="shared" si="30"/>
        <v>3.949999999999994</v>
      </c>
      <c r="C332" s="553">
        <f>'Foglio deposito bis'!$E$154/sezione!$B$247*B332</f>
        <v>16.035235358983023</v>
      </c>
      <c r="D332" s="611">
        <f>-'Progetto del paramento slu'!$G$47*'Progetto del paramento slu'!$G$41*IF(DATI!$G$218="dx",DATI!$E$61,DATI!$E$64*DATI!$E$63)*1000*C332^2*sezione!$AD$5*(1-sezione!$AD$6)</f>
        <v>-2116683.9977731011</v>
      </c>
      <c r="E332" s="553">
        <f>-'Foglio deposito bis'!$F$48*(C332-sezione!$AL$28)*IF(ABS(K332)&lt;'Progetto del paramento slu'!$G$58,ABS(K332)*'Progetto del paramento slu'!$G$54,'Progetto del paramento slu'!$G$53)</f>
        <v>0</v>
      </c>
      <c r="F332" s="553">
        <f>-'Foglio deposito bis'!$F$49*(C332-sezione!$AM$28)*IF(ABS(L332)&lt;'Progetto del paramento slu'!$G$58,ABS(L332)*'Progetto del paramento slu'!$G$54,'Progetto del paramento slu'!$G$53)</f>
        <v>27447568.724093784</v>
      </c>
      <c r="G332" s="553">
        <f>-'Foglio deposito bis'!$F$50*(C332-sezione!$AN$28)*IF(ABS(M332)&lt;'Progetto del paramento slu'!$G$58,ABS(M332)*'Progetto del paramento slu'!$G$54,'Progetto del paramento slu'!$G$53)</f>
        <v>0</v>
      </c>
      <c r="H332" s="553">
        <f>-'Foglio deposito bis'!$F$51*(C332-sezione!$AO$28)*IF(ABS(N332)&lt;'Progetto del paramento slu'!$G$58,ABS(N332)*'Progetto del paramento slu'!$G$54,'Progetto del paramento slu'!$G$53)</f>
        <v>78058175.331584513</v>
      </c>
      <c r="I332" s="479">
        <f>-'Foglio deposito bis'!$F$52*(C332-sezione!$AP$28)*IF(ABS(O332)&lt;'Progetto del paramento slu'!$G$58,ABS(O332)*'Progetto del paramento slu'!$G$54,'Progetto del paramento slu'!$G$53)</f>
        <v>58782693.008344613</v>
      </c>
      <c r="J332" s="479">
        <f t="shared" si="27"/>
        <v>162171753.06624982</v>
      </c>
      <c r="K332" s="558">
        <f>'Progetto del paramento slu'!$G$60*(sezione!$AL$28-C332)/C332</f>
        <v>5.2307730049357378E-3</v>
      </c>
      <c r="L332" s="558">
        <f>'Progetto del paramento slu'!$G$60*(sezione!$AM$28-C332)/C332</f>
        <v>2.9240398768509018E-2</v>
      </c>
      <c r="M332" s="559">
        <f>'Progetto del paramento slu'!$G$60*(sezione!$AN$28-C332)/C332</f>
        <v>5.3250024532082295E-2</v>
      </c>
      <c r="N332" s="559">
        <f>'Progetto del paramento slu'!$G$60*(sezione!$AO$28-C332)/C332</f>
        <v>7.0711570541953775E-2</v>
      </c>
      <c r="O332" s="559">
        <f>'Progetto del paramento slu'!$G$60*(sezione!$AP$28-C332)/C332</f>
        <v>5.3250239653292154E-2</v>
      </c>
      <c r="P332" s="553">
        <f>-'Progetto del paramento slu'!$G$47*'Progetto del paramento slu'!$G$41*IF(DATI!$G$218="dx",DATI!$E$61,DATI!$E$64*DATI!$E$63)*1000*C332*sezione!$AD$5</f>
        <v>-226030.91374433524</v>
      </c>
      <c r="Q332" s="553">
        <f>'Foglio deposito bis'!$F$48*IF(ABS(K332)&lt;'Progetto del paramento slu'!$G$58,ABS(K332)*'Progetto del paramento slu'!$G$54,'Progetto del paramento slu'!$G$53)*IF(K332&lt;0,-1,1)</f>
        <v>0</v>
      </c>
      <c r="R332" s="553">
        <f>'Foglio deposito bis'!$F$49*IF(ABS(L332)&lt;'Progetto del paramento slu'!$G$58,ABS(L332)*'Progetto del paramento slu'!$G$54,'Progetto del paramento slu'!$G$53)*IF(L332&lt;0,-1,1)</f>
        <v>204886.47740803001</v>
      </c>
      <c r="S332" s="553">
        <f>'Foglio deposito bis'!$F$50*IF(ABS(M332)&lt;'Progetto del paramento slu'!$G$58,ABS(M332)*'Progetto del paramento slu'!$G$54,'Progetto del paramento slu'!$G$53)*IF(M332&lt;0,-1,1)</f>
        <v>0</v>
      </c>
      <c r="T332" s="553">
        <f>'Foglio deposito bis'!$F$51*IF(ABS(N332)&lt;'Progetto del paramento slu'!$G$58,ABS(N332)*'Progetto del paramento slu'!$G$54,'Progetto del paramento slu'!$G$53)*IF(N332&lt;0,-1,1)</f>
        <v>240946.49743184328</v>
      </c>
      <c r="U332" s="553">
        <f>'Foglio deposito bis'!$F$52*IF(ABS(O332)&lt;'Progetto del paramento slu'!$G$58,ABS(O332)*'Progetto del paramento slu'!$G$54,'Progetto del paramento slu'!$G$53)*IF(O332&lt;0,-1,1)</f>
        <v>240946.49743184328</v>
      </c>
      <c r="V332" s="479">
        <f t="shared" si="29"/>
        <v>460748.55852738133</v>
      </c>
      <c r="W332" s="559"/>
      <c r="X332" s="559"/>
    </row>
    <row r="333" spans="1:24" x14ac:dyDescent="0.25">
      <c r="A333" s="553">
        <f t="shared" si="28"/>
        <v>457887.40772049106</v>
      </c>
      <c r="B333" s="3">
        <f t="shared" si="30"/>
        <v>3.9999999999999938</v>
      </c>
      <c r="C333" s="553">
        <f>'Foglio deposito bis'!$E$154/sezione!$B$247*B333</f>
        <v>16.238213021754959</v>
      </c>
      <c r="D333" s="611">
        <f>-'Progetto del paramento slu'!$G$47*'Progetto del paramento slu'!$G$41*IF(DATI!$G$218="dx",DATI!$E$61,DATI!$E$64*DATI!$E$63)*1000*C333^2*sezione!$AD$5*(1-sezione!$AD$6)</f>
        <v>-2170610.0922524985</v>
      </c>
      <c r="E333" s="553">
        <f>-'Foglio deposito bis'!$F$48*(C333-sezione!$AL$28)*IF(ABS(K333)&lt;'Progetto del paramento slu'!$G$58,ABS(K333)*'Progetto del paramento slu'!$G$54,'Progetto del paramento slu'!$G$53)</f>
        <v>0</v>
      </c>
      <c r="F333" s="553">
        <f>-'Foglio deposito bis'!$F$49*(C333-sezione!$AM$28)*IF(ABS(L333)&lt;'Progetto del paramento slu'!$G$58,ABS(L333)*'Progetto del paramento slu'!$G$54,'Progetto del paramento slu'!$G$53)</f>
        <v>27405981.345775921</v>
      </c>
      <c r="G333" s="553">
        <f>-'Foglio deposito bis'!$F$50*(C333-sezione!$AN$28)*IF(ABS(M333)&lt;'Progetto del paramento slu'!$G$58,ABS(M333)*'Progetto del paramento slu'!$G$54,'Progetto del paramento slu'!$G$53)</f>
        <v>0</v>
      </c>
      <c r="H333" s="553">
        <f>-'Foglio deposito bis'!$F$51*(C333-sezione!$AO$28)*IF(ABS(N333)&lt;'Progetto del paramento slu'!$G$58,ABS(N333)*'Progetto del paramento slu'!$G$54,'Progetto del paramento slu'!$G$53)</f>
        <v>78009268.574682713</v>
      </c>
      <c r="I333" s="479">
        <f>-'Foglio deposito bis'!$F$52*(C333-sezione!$AP$28)*IF(ABS(O333)&lt;'Progetto del paramento slu'!$G$58,ABS(O333)*'Progetto del paramento slu'!$G$54,'Progetto del paramento slu'!$G$53)</f>
        <v>58733786.251442805</v>
      </c>
      <c r="J333" s="479">
        <f t="shared" si="27"/>
        <v>161978426.07964894</v>
      </c>
      <c r="K333" s="558">
        <f>'Progetto del paramento slu'!$G$60*(sezione!$AL$28-C333)/C333</f>
        <v>5.1216383423740418E-3</v>
      </c>
      <c r="L333" s="558">
        <f>'Progetto del paramento slu'!$G$60*(sezione!$AM$28-C333)/C333</f>
        <v>2.8831143783902655E-2</v>
      </c>
      <c r="M333" s="559">
        <f>'Progetto del paramento slu'!$G$60*(sezione!$AN$28-C333)/C333</f>
        <v>5.2540649225431273E-2</v>
      </c>
      <c r="N333" s="559">
        <f>'Progetto del paramento slu'!$G$60*(sezione!$AO$28-C333)/C333</f>
        <v>6.9783925910179359E-2</v>
      </c>
      <c r="O333" s="559">
        <f>'Progetto del paramento slu'!$G$60*(sezione!$AP$28-C333)/C333</f>
        <v>5.2540861657626003E-2</v>
      </c>
      <c r="P333" s="553">
        <f>-'Progetto del paramento slu'!$G$47*'Progetto del paramento slu'!$G$41*IF(DATI!$G$218="dx",DATI!$E$61,DATI!$E$64*DATI!$E$63)*1000*C333*sezione!$AD$5</f>
        <v>-228892.06455122551</v>
      </c>
      <c r="Q333" s="553">
        <f>'Foglio deposito bis'!$F$48*IF(ABS(K333)&lt;'Progetto del paramento slu'!$G$58,ABS(K333)*'Progetto del paramento slu'!$G$54,'Progetto del paramento slu'!$G$53)*IF(K333&lt;0,-1,1)</f>
        <v>0</v>
      </c>
      <c r="R333" s="553">
        <f>'Foglio deposito bis'!$F$49*IF(ABS(L333)&lt;'Progetto del paramento slu'!$G$58,ABS(L333)*'Progetto del paramento slu'!$G$54,'Progetto del paramento slu'!$G$53)*IF(L333&lt;0,-1,1)</f>
        <v>204886.47740803001</v>
      </c>
      <c r="S333" s="553">
        <f>'Foglio deposito bis'!$F$50*IF(ABS(M333)&lt;'Progetto del paramento slu'!$G$58,ABS(M333)*'Progetto del paramento slu'!$G$54,'Progetto del paramento slu'!$G$53)*IF(M333&lt;0,-1,1)</f>
        <v>0</v>
      </c>
      <c r="T333" s="553">
        <f>'Foglio deposito bis'!$F$51*IF(ABS(N333)&lt;'Progetto del paramento slu'!$G$58,ABS(N333)*'Progetto del paramento slu'!$G$54,'Progetto del paramento slu'!$G$53)*IF(N333&lt;0,-1,1)</f>
        <v>240946.49743184328</v>
      </c>
      <c r="U333" s="553">
        <f>'Foglio deposito bis'!$F$52*IF(ABS(O333)&lt;'Progetto del paramento slu'!$G$58,ABS(O333)*'Progetto del paramento slu'!$G$54,'Progetto del paramento slu'!$G$53)*IF(O333&lt;0,-1,1)</f>
        <v>240946.49743184328</v>
      </c>
      <c r="V333" s="479">
        <f t="shared" si="29"/>
        <v>457887.40772049106</v>
      </c>
      <c r="W333" s="559"/>
      <c r="X333" s="559"/>
    </row>
    <row r="334" spans="1:24" x14ac:dyDescent="0.25">
      <c r="A334" s="553">
        <f t="shared" si="28"/>
        <v>455026.25691360072</v>
      </c>
      <c r="B334" s="3">
        <f t="shared" si="30"/>
        <v>4.0499999999999936</v>
      </c>
      <c r="C334" s="553">
        <f>'Foglio deposito bis'!$E$154/sezione!$B$247*B334</f>
        <v>16.441190684526894</v>
      </c>
      <c r="D334" s="611">
        <f>-'Progetto del paramento slu'!$G$47*'Progetto del paramento slu'!$G$41*IF(DATI!$G$218="dx",DATI!$E$61,DATI!$E$64*DATI!$E$63)*1000*C334^2*sezione!$AD$5*(1-sezione!$AD$6)</f>
        <v>-2225214.5023857257</v>
      </c>
      <c r="E334" s="553">
        <f>-'Foglio deposito bis'!$F$48*(C334-sezione!$AL$28)*IF(ABS(K334)&lt;'Progetto del paramento slu'!$G$58,ABS(K334)*'Progetto del paramento slu'!$G$54,'Progetto del paramento slu'!$G$53)</f>
        <v>0</v>
      </c>
      <c r="F334" s="553">
        <f>-'Foglio deposito bis'!$F$49*(C334-sezione!$AM$28)*IF(ABS(L334)&lt;'Progetto del paramento slu'!$G$58,ABS(L334)*'Progetto del paramento slu'!$G$54,'Progetto del paramento slu'!$G$53)</f>
        <v>27364393.967458066</v>
      </c>
      <c r="G334" s="553">
        <f>-'Foglio deposito bis'!$F$50*(C334-sezione!$AN$28)*IF(ABS(M334)&lt;'Progetto del paramento slu'!$G$58,ABS(M334)*'Progetto del paramento slu'!$G$54,'Progetto del paramento slu'!$G$53)</f>
        <v>0</v>
      </c>
      <c r="H334" s="553">
        <f>-'Foglio deposito bis'!$F$51*(C334-sezione!$AO$28)*IF(ABS(N334)&lt;'Progetto del paramento slu'!$G$58,ABS(N334)*'Progetto del paramento slu'!$G$54,'Progetto del paramento slu'!$G$53)</f>
        <v>77960361.817780912</v>
      </c>
      <c r="I334" s="479">
        <f>-'Foglio deposito bis'!$F$52*(C334-sezione!$AP$28)*IF(ABS(O334)&lt;'Progetto del paramento slu'!$G$58,ABS(O334)*'Progetto del paramento slu'!$G$54,'Progetto del paramento slu'!$G$53)</f>
        <v>58684879.494541004</v>
      </c>
      <c r="J334" s="479">
        <f t="shared" si="27"/>
        <v>161784420.77739424</v>
      </c>
      <c r="K334" s="558">
        <f>'Progetto del paramento slu'!$G$60*(sezione!$AL$28-C334)/C334</f>
        <v>5.0151983628385606E-3</v>
      </c>
      <c r="L334" s="558">
        <f>'Progetto del paramento slu'!$G$60*(sezione!$AM$28-C334)/C334</f>
        <v>2.84319938606446E-2</v>
      </c>
      <c r="M334" s="559">
        <f>'Progetto del paramento slu'!$G$60*(sezione!$AN$28-C334)/C334</f>
        <v>5.1848789358450643E-2</v>
      </c>
      <c r="N334" s="559">
        <f>'Progetto del paramento slu'!$G$60*(sezione!$AO$28-C334)/C334</f>
        <v>6.8879186084127769E-2</v>
      </c>
      <c r="O334" s="559">
        <f>'Progetto del paramento slu'!$G$60*(sezione!$AP$28-C334)/C334</f>
        <v>5.1848999168025683E-2</v>
      </c>
      <c r="P334" s="553">
        <f>-'Progetto del paramento slu'!$G$47*'Progetto del paramento slu'!$G$41*IF(DATI!$G$218="dx",DATI!$E$61,DATI!$E$64*DATI!$E$63)*1000*C334*sezione!$AD$5</f>
        <v>-231753.21535811582</v>
      </c>
      <c r="Q334" s="553">
        <f>'Foglio deposito bis'!$F$48*IF(ABS(K334)&lt;'Progetto del paramento slu'!$G$58,ABS(K334)*'Progetto del paramento slu'!$G$54,'Progetto del paramento slu'!$G$53)*IF(K334&lt;0,-1,1)</f>
        <v>0</v>
      </c>
      <c r="R334" s="553">
        <f>'Foglio deposito bis'!$F$49*IF(ABS(L334)&lt;'Progetto del paramento slu'!$G$58,ABS(L334)*'Progetto del paramento slu'!$G$54,'Progetto del paramento slu'!$G$53)*IF(L334&lt;0,-1,1)</f>
        <v>204886.47740803001</v>
      </c>
      <c r="S334" s="553">
        <f>'Foglio deposito bis'!$F$50*IF(ABS(M334)&lt;'Progetto del paramento slu'!$G$58,ABS(M334)*'Progetto del paramento slu'!$G$54,'Progetto del paramento slu'!$G$53)*IF(M334&lt;0,-1,1)</f>
        <v>0</v>
      </c>
      <c r="T334" s="553">
        <f>'Foglio deposito bis'!$F$51*IF(ABS(N334)&lt;'Progetto del paramento slu'!$G$58,ABS(N334)*'Progetto del paramento slu'!$G$54,'Progetto del paramento slu'!$G$53)*IF(N334&lt;0,-1,1)</f>
        <v>240946.49743184328</v>
      </c>
      <c r="U334" s="553">
        <f>'Foglio deposito bis'!$F$52*IF(ABS(O334)&lt;'Progetto del paramento slu'!$G$58,ABS(O334)*'Progetto del paramento slu'!$G$54,'Progetto del paramento slu'!$G$53)*IF(O334&lt;0,-1,1)</f>
        <v>240946.49743184328</v>
      </c>
      <c r="V334" s="479">
        <f t="shared" si="29"/>
        <v>455026.25691360072</v>
      </c>
      <c r="W334" s="559"/>
      <c r="X334" s="559"/>
    </row>
    <row r="335" spans="1:24" x14ac:dyDescent="0.25">
      <c r="A335" s="553">
        <f t="shared" si="28"/>
        <v>452165.10610671045</v>
      </c>
      <c r="B335" s="3">
        <f t="shared" si="30"/>
        <v>4.0999999999999934</v>
      </c>
      <c r="C335" s="553">
        <f>'Foglio deposito bis'!$E$154/sezione!$B$247*B335</f>
        <v>16.64416834729883</v>
      </c>
      <c r="D335" s="611">
        <f>-'Progetto del paramento slu'!$G$47*'Progetto del paramento slu'!$G$41*IF(DATI!$G$218="dx",DATI!$E$61,DATI!$E$64*DATI!$E$63)*1000*C335^2*sezione!$AD$5*(1-sezione!$AD$6)</f>
        <v>-2280497.2281727809</v>
      </c>
      <c r="E335" s="553">
        <f>-'Foglio deposito bis'!$F$48*(C335-sezione!$AL$28)*IF(ABS(K335)&lt;'Progetto del paramento slu'!$G$58,ABS(K335)*'Progetto del paramento slu'!$G$54,'Progetto del paramento slu'!$G$53)</f>
        <v>0</v>
      </c>
      <c r="F335" s="553">
        <f>-'Foglio deposito bis'!$F$49*(C335-sezione!$AM$28)*IF(ABS(L335)&lt;'Progetto del paramento slu'!$G$58,ABS(L335)*'Progetto del paramento slu'!$G$54,'Progetto del paramento slu'!$G$53)</f>
        <v>27322806.589140214</v>
      </c>
      <c r="G335" s="553">
        <f>-'Foglio deposito bis'!$F$50*(C335-sezione!$AN$28)*IF(ABS(M335)&lt;'Progetto del paramento slu'!$G$58,ABS(M335)*'Progetto del paramento slu'!$G$54,'Progetto del paramento slu'!$G$53)</f>
        <v>0</v>
      </c>
      <c r="H335" s="553">
        <f>-'Foglio deposito bis'!$F$51*(C335-sezione!$AO$28)*IF(ABS(N335)&lt;'Progetto del paramento slu'!$G$58,ABS(N335)*'Progetto del paramento slu'!$G$54,'Progetto del paramento slu'!$G$53)</f>
        <v>77911455.060879096</v>
      </c>
      <c r="I335" s="479">
        <f>-'Foglio deposito bis'!$F$52*(C335-sezione!$AP$28)*IF(ABS(O335)&lt;'Progetto del paramento slu'!$G$58,ABS(O335)*'Progetto del paramento slu'!$G$54,'Progetto del paramento slu'!$G$53)</f>
        <v>58635972.737639211</v>
      </c>
      <c r="J335" s="479">
        <f t="shared" si="27"/>
        <v>161589737.15948576</v>
      </c>
      <c r="K335" s="558">
        <f>'Progetto del paramento slu'!$G$60*(sezione!$AL$28-C335)/C335</f>
        <v>4.9113544803649194E-3</v>
      </c>
      <c r="L335" s="558">
        <f>'Progetto del paramento slu'!$G$60*(sezione!$AM$28-C335)/C335</f>
        <v>2.8042579301368449E-2</v>
      </c>
      <c r="M335" s="559">
        <f>'Progetto del paramento slu'!$G$60*(sezione!$AN$28-C335)/C335</f>
        <v>5.1173804122371977E-2</v>
      </c>
      <c r="N335" s="559">
        <f>'Progetto del paramento slu'!$G$60*(sezione!$AO$28-C335)/C335</f>
        <v>6.7996513083101812E-2</v>
      </c>
      <c r="O335" s="559">
        <f>'Progetto del paramento slu'!$G$60*(sezione!$AP$28-C335)/C335</f>
        <v>5.1174011373293672E-2</v>
      </c>
      <c r="P335" s="553">
        <f>-'Progetto del paramento slu'!$G$47*'Progetto del paramento slu'!$G$41*IF(DATI!$G$218="dx",DATI!$E$61,DATI!$E$64*DATI!$E$63)*1000*C335*sezione!$AD$5</f>
        <v>-234614.36616500613</v>
      </c>
      <c r="Q335" s="553">
        <f>'Foglio deposito bis'!$F$48*IF(ABS(K335)&lt;'Progetto del paramento slu'!$G$58,ABS(K335)*'Progetto del paramento slu'!$G$54,'Progetto del paramento slu'!$G$53)*IF(K335&lt;0,-1,1)</f>
        <v>0</v>
      </c>
      <c r="R335" s="553">
        <f>'Foglio deposito bis'!$F$49*IF(ABS(L335)&lt;'Progetto del paramento slu'!$G$58,ABS(L335)*'Progetto del paramento slu'!$G$54,'Progetto del paramento slu'!$G$53)*IF(L335&lt;0,-1,1)</f>
        <v>204886.47740803001</v>
      </c>
      <c r="S335" s="553">
        <f>'Foglio deposito bis'!$F$50*IF(ABS(M335)&lt;'Progetto del paramento slu'!$G$58,ABS(M335)*'Progetto del paramento slu'!$G$54,'Progetto del paramento slu'!$G$53)*IF(M335&lt;0,-1,1)</f>
        <v>0</v>
      </c>
      <c r="T335" s="553">
        <f>'Foglio deposito bis'!$F$51*IF(ABS(N335)&lt;'Progetto del paramento slu'!$G$58,ABS(N335)*'Progetto del paramento slu'!$G$54,'Progetto del paramento slu'!$G$53)*IF(N335&lt;0,-1,1)</f>
        <v>240946.49743184328</v>
      </c>
      <c r="U335" s="553">
        <f>'Foglio deposito bis'!$F$52*IF(ABS(O335)&lt;'Progetto del paramento slu'!$G$58,ABS(O335)*'Progetto del paramento slu'!$G$54,'Progetto del paramento slu'!$G$53)*IF(O335&lt;0,-1,1)</f>
        <v>240946.49743184328</v>
      </c>
      <c r="V335" s="479">
        <f t="shared" si="29"/>
        <v>452165.10610671045</v>
      </c>
      <c r="W335" s="559"/>
      <c r="X335" s="559"/>
    </row>
    <row r="336" spans="1:24" x14ac:dyDescent="0.25">
      <c r="A336" s="553">
        <f t="shared" si="28"/>
        <v>449303.95529982011</v>
      </c>
      <c r="B336" s="3">
        <f t="shared" si="30"/>
        <v>4.1499999999999932</v>
      </c>
      <c r="C336" s="553">
        <f>'Foglio deposito bis'!$E$154/sezione!$B$247*B336</f>
        <v>16.84714601007077</v>
      </c>
      <c r="D336" s="611">
        <f>-'Progetto del paramento slu'!$G$47*'Progetto del paramento slu'!$G$41*IF(DATI!$G$218="dx",DATI!$E$61,DATI!$E$64*DATI!$E$63)*1000*C336^2*sezione!$AD$5*(1-sezione!$AD$6)</f>
        <v>-2336458.269613666</v>
      </c>
      <c r="E336" s="553">
        <f>-'Foglio deposito bis'!$F$48*(C336-sezione!$AL$28)*IF(ABS(K336)&lt;'Progetto del paramento slu'!$G$58,ABS(K336)*'Progetto del paramento slu'!$G$54,'Progetto del paramento slu'!$G$53)</f>
        <v>0</v>
      </c>
      <c r="F336" s="553">
        <f>-'Foglio deposito bis'!$F$49*(C336-sezione!$AM$28)*IF(ABS(L336)&lt;'Progetto del paramento slu'!$G$58,ABS(L336)*'Progetto del paramento slu'!$G$54,'Progetto del paramento slu'!$G$53)</f>
        <v>27281219.210822355</v>
      </c>
      <c r="G336" s="553">
        <f>-'Foglio deposito bis'!$F$50*(C336-sezione!$AN$28)*IF(ABS(M336)&lt;'Progetto del paramento slu'!$G$58,ABS(M336)*'Progetto del paramento slu'!$G$54,'Progetto del paramento slu'!$G$53)</f>
        <v>0</v>
      </c>
      <c r="H336" s="553">
        <f>-'Foglio deposito bis'!$F$51*(C336-sezione!$AO$28)*IF(ABS(N336)&lt;'Progetto del paramento slu'!$G$58,ABS(N336)*'Progetto del paramento slu'!$G$54,'Progetto del paramento slu'!$G$53)</f>
        <v>77862548.303977311</v>
      </c>
      <c r="I336" s="479">
        <f>-'Foglio deposito bis'!$F$52*(C336-sezione!$AP$28)*IF(ABS(O336)&lt;'Progetto del paramento slu'!$G$58,ABS(O336)*'Progetto del paramento slu'!$G$54,'Progetto del paramento slu'!$G$53)</f>
        <v>58587065.980737418</v>
      </c>
      <c r="J336" s="479">
        <f t="shared" si="27"/>
        <v>161394375.22592342</v>
      </c>
      <c r="K336" s="558">
        <f>'Progetto del paramento slu'!$G$60*(sezione!$AL$28-C336)/C336</f>
        <v>4.8100128601195587E-3</v>
      </c>
      <c r="L336" s="558">
        <f>'Progetto del paramento slu'!$G$60*(sezione!$AM$28-C336)/C336</f>
        <v>2.7662548225448346E-2</v>
      </c>
      <c r="M336" s="559">
        <f>'Progetto del paramento slu'!$G$60*(sezione!$AN$28-C336)/C336</f>
        <v>5.0515083590777131E-2</v>
      </c>
      <c r="N336" s="559">
        <f>'Progetto del paramento slu'!$G$60*(sezione!$AO$28-C336)/C336</f>
        <v>6.7135109311016239E-2</v>
      </c>
      <c r="O336" s="559">
        <f>'Progetto del paramento slu'!$G$60*(sezione!$AP$28-C336)/C336</f>
        <v>5.0515288344699774E-2</v>
      </c>
      <c r="P336" s="553">
        <f>-'Progetto del paramento slu'!$G$47*'Progetto del paramento slu'!$G$41*IF(DATI!$G$218="dx",DATI!$E$61,DATI!$E$64*DATI!$E$63)*1000*C336*sezione!$AD$5</f>
        <v>-237475.51697189646</v>
      </c>
      <c r="Q336" s="553">
        <f>'Foglio deposito bis'!$F$48*IF(ABS(K336)&lt;'Progetto del paramento slu'!$G$58,ABS(K336)*'Progetto del paramento slu'!$G$54,'Progetto del paramento slu'!$G$53)*IF(K336&lt;0,-1,1)</f>
        <v>0</v>
      </c>
      <c r="R336" s="553">
        <f>'Foglio deposito bis'!$F$49*IF(ABS(L336)&lt;'Progetto del paramento slu'!$G$58,ABS(L336)*'Progetto del paramento slu'!$G$54,'Progetto del paramento slu'!$G$53)*IF(L336&lt;0,-1,1)</f>
        <v>204886.47740803001</v>
      </c>
      <c r="S336" s="553">
        <f>'Foglio deposito bis'!$F$50*IF(ABS(M336)&lt;'Progetto del paramento slu'!$G$58,ABS(M336)*'Progetto del paramento slu'!$G$54,'Progetto del paramento slu'!$G$53)*IF(M336&lt;0,-1,1)</f>
        <v>0</v>
      </c>
      <c r="T336" s="553">
        <f>'Foglio deposito bis'!$F$51*IF(ABS(N336)&lt;'Progetto del paramento slu'!$G$58,ABS(N336)*'Progetto del paramento slu'!$G$54,'Progetto del paramento slu'!$G$53)*IF(N336&lt;0,-1,1)</f>
        <v>240946.49743184328</v>
      </c>
      <c r="U336" s="553">
        <f>'Foglio deposito bis'!$F$52*IF(ABS(O336)&lt;'Progetto del paramento slu'!$G$58,ABS(O336)*'Progetto del paramento slu'!$G$54,'Progetto del paramento slu'!$G$53)*IF(O336&lt;0,-1,1)</f>
        <v>240946.49743184328</v>
      </c>
      <c r="V336" s="479">
        <f t="shared" si="29"/>
        <v>449303.95529982011</v>
      </c>
      <c r="W336" s="559"/>
      <c r="X336" s="559"/>
    </row>
    <row r="337" spans="1:24" x14ac:dyDescent="0.25">
      <c r="A337" s="553">
        <f t="shared" si="28"/>
        <v>446442.80449292983</v>
      </c>
      <c r="B337" s="3">
        <f t="shared" si="30"/>
        <v>4.1999999999999931</v>
      </c>
      <c r="C337" s="553">
        <f>'Foglio deposito bis'!$E$154/sezione!$B$247*B337</f>
        <v>17.050123672842705</v>
      </c>
      <c r="D337" s="611">
        <f>-'Progetto del paramento slu'!$G$47*'Progetto del paramento slu'!$G$41*IF(DATI!$G$218="dx",DATI!$E$61,DATI!$E$64*DATI!$E$63)*1000*C337^2*sezione!$AD$5*(1-sezione!$AD$6)</f>
        <v>-2393097.6267083795</v>
      </c>
      <c r="E337" s="553">
        <f>-'Foglio deposito bis'!$F$48*(C337-sezione!$AL$28)*IF(ABS(K337)&lt;'Progetto del paramento slu'!$G$58,ABS(K337)*'Progetto del paramento slu'!$G$54,'Progetto del paramento slu'!$G$53)</f>
        <v>0</v>
      </c>
      <c r="F337" s="553">
        <f>-'Foglio deposito bis'!$F$49*(C337-sezione!$AM$28)*IF(ABS(L337)&lt;'Progetto del paramento slu'!$G$58,ABS(L337)*'Progetto del paramento slu'!$G$54,'Progetto del paramento slu'!$G$53)</f>
        <v>27239631.832504496</v>
      </c>
      <c r="G337" s="553">
        <f>-'Foglio deposito bis'!$F$50*(C337-sezione!$AN$28)*IF(ABS(M337)&lt;'Progetto del paramento slu'!$G$58,ABS(M337)*'Progetto del paramento slu'!$G$54,'Progetto del paramento slu'!$G$53)</f>
        <v>0</v>
      </c>
      <c r="H337" s="553">
        <f>-'Foglio deposito bis'!$F$51*(C337-sezione!$AO$28)*IF(ABS(N337)&lt;'Progetto del paramento slu'!$G$58,ABS(N337)*'Progetto del paramento slu'!$G$54,'Progetto del paramento slu'!$G$53)</f>
        <v>77813641.54707551</v>
      </c>
      <c r="I337" s="479">
        <f>-'Foglio deposito bis'!$F$52*(C337-sezione!$AP$28)*IF(ABS(O337)&lt;'Progetto del paramento slu'!$G$58,ABS(O337)*'Progetto del paramento slu'!$G$54,'Progetto del paramento slu'!$G$53)</f>
        <v>58538159.22383561</v>
      </c>
      <c r="J337" s="479">
        <f t="shared" si="27"/>
        <v>161198334.97670725</v>
      </c>
      <c r="K337" s="558">
        <f>'Progetto del paramento slu'!$G$60*(sezione!$AL$28-C337)/C337</f>
        <v>4.7110841355943256E-3</v>
      </c>
      <c r="L337" s="558">
        <f>'Progetto del paramento slu'!$G$60*(sezione!$AM$28-C337)/C337</f>
        <v>2.7291565508478721E-2</v>
      </c>
      <c r="M337" s="559">
        <f>'Progetto del paramento slu'!$G$60*(sezione!$AN$28-C337)/C337</f>
        <v>4.9872046881363118E-2</v>
      </c>
      <c r="N337" s="559">
        <f>'Progetto del paramento slu'!$G$60*(sezione!$AO$28-C337)/C337</f>
        <v>6.629421515255178E-2</v>
      </c>
      <c r="O337" s="559">
        <f>'Progetto del paramento slu'!$G$60*(sezione!$AP$28-C337)/C337</f>
        <v>4.9872249197739055E-2</v>
      </c>
      <c r="P337" s="553">
        <f>-'Progetto del paramento slu'!$G$47*'Progetto del paramento slu'!$G$41*IF(DATI!$G$218="dx",DATI!$E$61,DATI!$E$64*DATI!$E$63)*1000*C337*sezione!$AD$5</f>
        <v>-240336.66777878677</v>
      </c>
      <c r="Q337" s="553">
        <f>'Foglio deposito bis'!$F$48*IF(ABS(K337)&lt;'Progetto del paramento slu'!$G$58,ABS(K337)*'Progetto del paramento slu'!$G$54,'Progetto del paramento slu'!$G$53)*IF(K337&lt;0,-1,1)</f>
        <v>0</v>
      </c>
      <c r="R337" s="553">
        <f>'Foglio deposito bis'!$F$49*IF(ABS(L337)&lt;'Progetto del paramento slu'!$G$58,ABS(L337)*'Progetto del paramento slu'!$G$54,'Progetto del paramento slu'!$G$53)*IF(L337&lt;0,-1,1)</f>
        <v>204886.47740803001</v>
      </c>
      <c r="S337" s="553">
        <f>'Foglio deposito bis'!$F$50*IF(ABS(M337)&lt;'Progetto del paramento slu'!$G$58,ABS(M337)*'Progetto del paramento slu'!$G$54,'Progetto del paramento slu'!$G$53)*IF(M337&lt;0,-1,1)</f>
        <v>0</v>
      </c>
      <c r="T337" s="553">
        <f>'Foglio deposito bis'!$F$51*IF(ABS(N337)&lt;'Progetto del paramento slu'!$G$58,ABS(N337)*'Progetto del paramento slu'!$G$54,'Progetto del paramento slu'!$G$53)*IF(N337&lt;0,-1,1)</f>
        <v>240946.49743184328</v>
      </c>
      <c r="U337" s="553">
        <f>'Foglio deposito bis'!$F$52*IF(ABS(O337)&lt;'Progetto del paramento slu'!$G$58,ABS(O337)*'Progetto del paramento slu'!$G$54,'Progetto del paramento slu'!$G$53)*IF(O337&lt;0,-1,1)</f>
        <v>240946.49743184328</v>
      </c>
      <c r="V337" s="479">
        <f t="shared" si="29"/>
        <v>446442.80449292983</v>
      </c>
      <c r="W337" s="559"/>
      <c r="X337" s="559"/>
    </row>
    <row r="338" spans="1:24" x14ac:dyDescent="0.25">
      <c r="A338" s="553">
        <f t="shared" si="28"/>
        <v>443581.6536860395</v>
      </c>
      <c r="B338" s="3">
        <f t="shared" si="30"/>
        <v>4.2499999999999929</v>
      </c>
      <c r="C338" s="553">
        <f>'Foglio deposito bis'!$E$154/sezione!$B$247*B338</f>
        <v>17.253101335614641</v>
      </c>
      <c r="D338" s="611">
        <f>-'Progetto del paramento slu'!$G$47*'Progetto del paramento slu'!$G$41*IF(DATI!$G$218="dx",DATI!$E$61,DATI!$E$64*DATI!$E$63)*1000*C338^2*sezione!$AD$5*(1-sezione!$AD$6)</f>
        <v>-2450415.2994569219</v>
      </c>
      <c r="E338" s="553">
        <f>-'Foglio deposito bis'!$F$48*(C338-sezione!$AL$28)*IF(ABS(K338)&lt;'Progetto del paramento slu'!$G$58,ABS(K338)*'Progetto del paramento slu'!$G$54,'Progetto del paramento slu'!$G$53)</f>
        <v>0</v>
      </c>
      <c r="F338" s="553">
        <f>-'Foglio deposito bis'!$F$49*(C338-sezione!$AM$28)*IF(ABS(L338)&lt;'Progetto del paramento slu'!$G$58,ABS(L338)*'Progetto del paramento slu'!$G$54,'Progetto del paramento slu'!$G$53)</f>
        <v>27198044.454186637</v>
      </c>
      <c r="G338" s="553">
        <f>-'Foglio deposito bis'!$F$50*(C338-sezione!$AN$28)*IF(ABS(M338)&lt;'Progetto del paramento slu'!$G$58,ABS(M338)*'Progetto del paramento slu'!$G$54,'Progetto del paramento slu'!$G$53)</f>
        <v>0</v>
      </c>
      <c r="H338" s="553">
        <f>-'Foglio deposito bis'!$F$51*(C338-sezione!$AO$28)*IF(ABS(N338)&lt;'Progetto del paramento slu'!$G$58,ABS(N338)*'Progetto del paramento slu'!$G$54,'Progetto del paramento slu'!$G$53)</f>
        <v>77764734.790173709</v>
      </c>
      <c r="I338" s="479">
        <f>-'Foglio deposito bis'!$F$52*(C338-sezione!$AP$28)*IF(ABS(O338)&lt;'Progetto del paramento slu'!$G$58,ABS(O338)*'Progetto del paramento slu'!$G$54,'Progetto del paramento slu'!$G$53)</f>
        <v>58489252.466933809</v>
      </c>
      <c r="J338" s="479">
        <f t="shared" si="27"/>
        <v>161001616.41183725</v>
      </c>
      <c r="K338" s="558">
        <f>'Progetto del paramento slu'!$G$60*(sezione!$AL$28-C338)/C338</f>
        <v>4.6144831457638055E-3</v>
      </c>
      <c r="L338" s="558">
        <f>'Progetto del paramento slu'!$G$60*(sezione!$AM$28-C338)/C338</f>
        <v>2.6929311796614269E-2</v>
      </c>
      <c r="M338" s="559">
        <f>'Progetto del paramento slu'!$G$60*(sezione!$AN$28-C338)/C338</f>
        <v>4.9244140447464731E-2</v>
      </c>
      <c r="N338" s="559">
        <f>'Progetto del paramento slu'!$G$60*(sezione!$AO$28-C338)/C338</f>
        <v>6.5473106738992343E-2</v>
      </c>
      <c r="O338" s="559">
        <f>'Progetto del paramento slu'!$G$60*(sezione!$AP$28-C338)/C338</f>
        <v>4.9244340383648014E-2</v>
      </c>
      <c r="P338" s="553">
        <f>-'Progetto del paramento slu'!$G$47*'Progetto del paramento slu'!$G$41*IF(DATI!$G$218="dx",DATI!$E$61,DATI!$E$64*DATI!$E$63)*1000*C338*sezione!$AD$5</f>
        <v>-243197.81858567707</v>
      </c>
      <c r="Q338" s="553">
        <f>'Foglio deposito bis'!$F$48*IF(ABS(K338)&lt;'Progetto del paramento slu'!$G$58,ABS(K338)*'Progetto del paramento slu'!$G$54,'Progetto del paramento slu'!$G$53)*IF(K338&lt;0,-1,1)</f>
        <v>0</v>
      </c>
      <c r="R338" s="553">
        <f>'Foglio deposito bis'!$F$49*IF(ABS(L338)&lt;'Progetto del paramento slu'!$G$58,ABS(L338)*'Progetto del paramento slu'!$G$54,'Progetto del paramento slu'!$G$53)*IF(L338&lt;0,-1,1)</f>
        <v>204886.47740803001</v>
      </c>
      <c r="S338" s="553">
        <f>'Foglio deposito bis'!$F$50*IF(ABS(M338)&lt;'Progetto del paramento slu'!$G$58,ABS(M338)*'Progetto del paramento slu'!$G$54,'Progetto del paramento slu'!$G$53)*IF(M338&lt;0,-1,1)</f>
        <v>0</v>
      </c>
      <c r="T338" s="553">
        <f>'Foglio deposito bis'!$F$51*IF(ABS(N338)&lt;'Progetto del paramento slu'!$G$58,ABS(N338)*'Progetto del paramento slu'!$G$54,'Progetto del paramento slu'!$G$53)*IF(N338&lt;0,-1,1)</f>
        <v>240946.49743184328</v>
      </c>
      <c r="U338" s="553">
        <f>'Foglio deposito bis'!$F$52*IF(ABS(O338)&lt;'Progetto del paramento slu'!$G$58,ABS(O338)*'Progetto del paramento slu'!$G$54,'Progetto del paramento slu'!$G$53)*IF(O338&lt;0,-1,1)</f>
        <v>240946.49743184328</v>
      </c>
      <c r="V338" s="479">
        <f t="shared" si="29"/>
        <v>443581.6536860395</v>
      </c>
      <c r="W338" s="559"/>
      <c r="X338" s="559"/>
    </row>
    <row r="339" spans="1:24" x14ac:dyDescent="0.25">
      <c r="A339" s="553">
        <f t="shared" si="28"/>
        <v>440720.50287914916</v>
      </c>
      <c r="B339" s="3">
        <f t="shared" si="30"/>
        <v>4.2999999999999927</v>
      </c>
      <c r="C339" s="553">
        <f>'Foglio deposito bis'!$E$154/sezione!$B$247*B339</f>
        <v>17.456078998386577</v>
      </c>
      <c r="D339" s="611">
        <f>-'Progetto del paramento slu'!$G$47*'Progetto del paramento slu'!$G$41*IF(DATI!$G$218="dx",DATI!$E$61,DATI!$E$64*DATI!$E$63)*1000*C339^2*sezione!$AD$5*(1-sezione!$AD$6)</f>
        <v>-2508411.2878592922</v>
      </c>
      <c r="E339" s="553">
        <f>-'Foglio deposito bis'!$F$48*(C339-sezione!$AL$28)*IF(ABS(K339)&lt;'Progetto del paramento slu'!$G$58,ABS(K339)*'Progetto del paramento slu'!$G$54,'Progetto del paramento slu'!$G$53)</f>
        <v>0</v>
      </c>
      <c r="F339" s="553">
        <f>-'Foglio deposito bis'!$F$49*(C339-sezione!$AM$28)*IF(ABS(L339)&lt;'Progetto del paramento slu'!$G$58,ABS(L339)*'Progetto del paramento slu'!$G$54,'Progetto del paramento slu'!$G$53)</f>
        <v>27156457.075868782</v>
      </c>
      <c r="G339" s="553">
        <f>-'Foglio deposito bis'!$F$50*(C339-sezione!$AN$28)*IF(ABS(M339)&lt;'Progetto del paramento slu'!$G$58,ABS(M339)*'Progetto del paramento slu'!$G$54,'Progetto del paramento slu'!$G$53)</f>
        <v>0</v>
      </c>
      <c r="H339" s="553">
        <f>-'Foglio deposito bis'!$F$51*(C339-sezione!$AO$28)*IF(ABS(N339)&lt;'Progetto del paramento slu'!$G$58,ABS(N339)*'Progetto del paramento slu'!$G$54,'Progetto del paramento slu'!$G$53)</f>
        <v>77715828.033271894</v>
      </c>
      <c r="I339" s="479">
        <f>-'Foglio deposito bis'!$F$52*(C339-sezione!$AP$28)*IF(ABS(O339)&lt;'Progetto del paramento slu'!$G$58,ABS(O339)*'Progetto del paramento slu'!$G$54,'Progetto del paramento slu'!$G$53)</f>
        <v>58440345.710032016</v>
      </c>
      <c r="J339" s="479">
        <f t="shared" si="27"/>
        <v>160804219.53131342</v>
      </c>
      <c r="K339" s="558">
        <f>'Progetto del paramento slu'!$G$60*(sezione!$AL$28-C339)/C339</f>
        <v>4.5201286905805051E-3</v>
      </c>
      <c r="L339" s="558">
        <f>'Progetto del paramento slu'!$G$60*(sezione!$AM$28-C339)/C339</f>
        <v>2.6575482589676899E-2</v>
      </c>
      <c r="M339" s="559">
        <f>'Progetto del paramento slu'!$G$60*(sezione!$AN$28-C339)/C339</f>
        <v>4.8630836488773289E-2</v>
      </c>
      <c r="N339" s="559">
        <f>'Progetto del paramento slu'!$G$60*(sezione!$AO$28-C339)/C339</f>
        <v>6.467109386993429E-2</v>
      </c>
      <c r="O339" s="559">
        <f>'Progetto del paramento slu'!$G$60*(sezione!$AP$28-C339)/C339</f>
        <v>4.8631034100117231E-2</v>
      </c>
      <c r="P339" s="553">
        <f>-'Progetto del paramento slu'!$G$47*'Progetto del paramento slu'!$G$41*IF(DATI!$G$218="dx",DATI!$E$61,DATI!$E$64*DATI!$E$63)*1000*C339*sezione!$AD$5</f>
        <v>-246058.96939256738</v>
      </c>
      <c r="Q339" s="553">
        <f>'Foglio deposito bis'!$F$48*IF(ABS(K339)&lt;'Progetto del paramento slu'!$G$58,ABS(K339)*'Progetto del paramento slu'!$G$54,'Progetto del paramento slu'!$G$53)*IF(K339&lt;0,-1,1)</f>
        <v>0</v>
      </c>
      <c r="R339" s="553">
        <f>'Foglio deposito bis'!$F$49*IF(ABS(L339)&lt;'Progetto del paramento slu'!$G$58,ABS(L339)*'Progetto del paramento slu'!$G$54,'Progetto del paramento slu'!$G$53)*IF(L339&lt;0,-1,1)</f>
        <v>204886.47740803001</v>
      </c>
      <c r="S339" s="553">
        <f>'Foglio deposito bis'!$F$50*IF(ABS(M339)&lt;'Progetto del paramento slu'!$G$58,ABS(M339)*'Progetto del paramento slu'!$G$54,'Progetto del paramento slu'!$G$53)*IF(M339&lt;0,-1,1)</f>
        <v>0</v>
      </c>
      <c r="T339" s="553">
        <f>'Foglio deposito bis'!$F$51*IF(ABS(N339)&lt;'Progetto del paramento slu'!$G$58,ABS(N339)*'Progetto del paramento slu'!$G$54,'Progetto del paramento slu'!$G$53)*IF(N339&lt;0,-1,1)</f>
        <v>240946.49743184328</v>
      </c>
      <c r="U339" s="553">
        <f>'Foglio deposito bis'!$F$52*IF(ABS(O339)&lt;'Progetto del paramento slu'!$G$58,ABS(O339)*'Progetto del paramento slu'!$G$54,'Progetto del paramento slu'!$G$53)*IF(O339&lt;0,-1,1)</f>
        <v>240946.49743184328</v>
      </c>
      <c r="V339" s="479">
        <f t="shared" si="29"/>
        <v>440720.50287914916</v>
      </c>
      <c r="W339" s="559"/>
      <c r="X339" s="559"/>
    </row>
    <row r="340" spans="1:24" x14ac:dyDescent="0.25">
      <c r="A340" s="553">
        <f t="shared" si="28"/>
        <v>437859.35207225883</v>
      </c>
      <c r="B340" s="3">
        <f t="shared" si="30"/>
        <v>4.3499999999999925</v>
      </c>
      <c r="C340" s="553">
        <f>'Foglio deposito bis'!$E$154/sezione!$B$247*B340</f>
        <v>17.659056661158516</v>
      </c>
      <c r="D340" s="611">
        <f>-'Progetto del paramento slu'!$G$47*'Progetto del paramento slu'!$G$41*IF(DATI!$G$218="dx",DATI!$E$61,DATI!$E$64*DATI!$E$63)*1000*C340^2*sezione!$AD$5*(1-sezione!$AD$6)</f>
        <v>-2567085.5919154934</v>
      </c>
      <c r="E340" s="553">
        <f>-'Foglio deposito bis'!$F$48*(C340-sezione!$AL$28)*IF(ABS(K340)&lt;'Progetto del paramento slu'!$G$58,ABS(K340)*'Progetto del paramento slu'!$G$54,'Progetto del paramento slu'!$G$53)</f>
        <v>0</v>
      </c>
      <c r="F340" s="553">
        <f>-'Foglio deposito bis'!$F$49*(C340-sezione!$AM$28)*IF(ABS(L340)&lt;'Progetto del paramento slu'!$G$58,ABS(L340)*'Progetto del paramento slu'!$G$54,'Progetto del paramento slu'!$G$53)</f>
        <v>27114869.69755093</v>
      </c>
      <c r="G340" s="553">
        <f>-'Foglio deposito bis'!$F$50*(C340-sezione!$AN$28)*IF(ABS(M340)&lt;'Progetto del paramento slu'!$G$58,ABS(M340)*'Progetto del paramento slu'!$G$54,'Progetto del paramento slu'!$G$53)</f>
        <v>0</v>
      </c>
      <c r="H340" s="553">
        <f>-'Foglio deposito bis'!$F$51*(C340-sezione!$AO$28)*IF(ABS(N340)&lt;'Progetto del paramento slu'!$G$58,ABS(N340)*'Progetto del paramento slu'!$G$54,'Progetto del paramento slu'!$G$53)</f>
        <v>77666921.276370108</v>
      </c>
      <c r="I340" s="479">
        <f>-'Foglio deposito bis'!$F$52*(C340-sezione!$AP$28)*IF(ABS(O340)&lt;'Progetto del paramento slu'!$G$58,ABS(O340)*'Progetto del paramento slu'!$G$54,'Progetto del paramento slu'!$G$53)</f>
        <v>58391438.953130223</v>
      </c>
      <c r="J340" s="479">
        <f t="shared" si="27"/>
        <v>160606144.33513576</v>
      </c>
      <c r="K340" s="558">
        <f>'Progetto del paramento slu'!$G$60*(sezione!$AL$28-C340)/C340</f>
        <v>4.4279433033324531E-3</v>
      </c>
      <c r="L340" s="558">
        <f>'Progetto del paramento slu'!$G$60*(sezione!$AM$28-C340)/C340</f>
        <v>2.6229787387496702E-2</v>
      </c>
      <c r="M340" s="559">
        <f>'Progetto del paramento slu'!$G$60*(sezione!$AN$28-C340)/C340</f>
        <v>4.8031631471660952E-2</v>
      </c>
      <c r="N340" s="559">
        <f>'Progetto del paramento slu'!$G$60*(sezione!$AO$28-C340)/C340</f>
        <v>6.388751807832585E-2</v>
      </c>
      <c r="O340" s="559">
        <f>'Progetto del paramento slu'!$G$60*(sezione!$AP$28-C340)/C340</f>
        <v>4.8031826811610126E-2</v>
      </c>
      <c r="P340" s="553">
        <f>-'Progetto del paramento slu'!$G$47*'Progetto del paramento slu'!$G$41*IF(DATI!$G$218="dx",DATI!$E$61,DATI!$E$64*DATI!$E$63)*1000*C340*sezione!$AD$5</f>
        <v>-248920.12019945771</v>
      </c>
      <c r="Q340" s="553">
        <f>'Foglio deposito bis'!$F$48*IF(ABS(K340)&lt;'Progetto del paramento slu'!$G$58,ABS(K340)*'Progetto del paramento slu'!$G$54,'Progetto del paramento slu'!$G$53)*IF(K340&lt;0,-1,1)</f>
        <v>0</v>
      </c>
      <c r="R340" s="553">
        <f>'Foglio deposito bis'!$F$49*IF(ABS(L340)&lt;'Progetto del paramento slu'!$G$58,ABS(L340)*'Progetto del paramento slu'!$G$54,'Progetto del paramento slu'!$G$53)*IF(L340&lt;0,-1,1)</f>
        <v>204886.47740803001</v>
      </c>
      <c r="S340" s="553">
        <f>'Foglio deposito bis'!$F$50*IF(ABS(M340)&lt;'Progetto del paramento slu'!$G$58,ABS(M340)*'Progetto del paramento slu'!$G$54,'Progetto del paramento slu'!$G$53)*IF(M340&lt;0,-1,1)</f>
        <v>0</v>
      </c>
      <c r="T340" s="553">
        <f>'Foglio deposito bis'!$F$51*IF(ABS(N340)&lt;'Progetto del paramento slu'!$G$58,ABS(N340)*'Progetto del paramento slu'!$G$54,'Progetto del paramento slu'!$G$53)*IF(N340&lt;0,-1,1)</f>
        <v>240946.49743184328</v>
      </c>
      <c r="U340" s="553">
        <f>'Foglio deposito bis'!$F$52*IF(ABS(O340)&lt;'Progetto del paramento slu'!$G$58,ABS(O340)*'Progetto del paramento slu'!$G$54,'Progetto del paramento slu'!$G$53)*IF(O340&lt;0,-1,1)</f>
        <v>240946.49743184328</v>
      </c>
      <c r="V340" s="479">
        <f t="shared" si="29"/>
        <v>437859.35207225883</v>
      </c>
      <c r="W340" s="559"/>
      <c r="X340" s="559"/>
    </row>
    <row r="341" spans="1:24" x14ac:dyDescent="0.25">
      <c r="A341" s="553">
        <f t="shared" si="28"/>
        <v>434998.20126536855</v>
      </c>
      <c r="B341" s="3">
        <f t="shared" si="30"/>
        <v>4.3999999999999924</v>
      </c>
      <c r="C341" s="553">
        <f>'Foglio deposito bis'!$E$154/sezione!$B$247*B341</f>
        <v>17.862034323930452</v>
      </c>
      <c r="D341" s="611">
        <f>-'Progetto del paramento slu'!$G$47*'Progetto del paramento slu'!$G$41*IF(DATI!$G$218="dx",DATI!$E$61,DATI!$E$64*DATI!$E$63)*1000*C341^2*sezione!$AD$5*(1-sezione!$AD$6)</f>
        <v>-2626438.2116255225</v>
      </c>
      <c r="E341" s="553">
        <f>-'Foglio deposito bis'!$F$48*(C341-sezione!$AL$28)*IF(ABS(K341)&lt;'Progetto del paramento slu'!$G$58,ABS(K341)*'Progetto del paramento slu'!$G$54,'Progetto del paramento slu'!$G$53)</f>
        <v>0</v>
      </c>
      <c r="F341" s="553">
        <f>-'Foglio deposito bis'!$F$49*(C341-sezione!$AM$28)*IF(ABS(L341)&lt;'Progetto del paramento slu'!$G$58,ABS(L341)*'Progetto del paramento slu'!$G$54,'Progetto del paramento slu'!$G$53)</f>
        <v>27073282.319233064</v>
      </c>
      <c r="G341" s="553">
        <f>-'Foglio deposito bis'!$F$50*(C341-sezione!$AN$28)*IF(ABS(M341)&lt;'Progetto del paramento slu'!$G$58,ABS(M341)*'Progetto del paramento slu'!$G$54,'Progetto del paramento slu'!$G$53)</f>
        <v>0</v>
      </c>
      <c r="H341" s="553">
        <f>-'Foglio deposito bis'!$F$51*(C341-sezione!$AO$28)*IF(ABS(N341)&lt;'Progetto del paramento slu'!$G$58,ABS(N341)*'Progetto del paramento slu'!$G$54,'Progetto del paramento slu'!$G$53)</f>
        <v>77618014.519468307</v>
      </c>
      <c r="I341" s="479">
        <f>-'Foglio deposito bis'!$F$52*(C341-sezione!$AP$28)*IF(ABS(O341)&lt;'Progetto del paramento slu'!$G$58,ABS(O341)*'Progetto del paramento slu'!$G$54,'Progetto del paramento slu'!$G$53)</f>
        <v>58342532.196228415</v>
      </c>
      <c r="J341" s="479">
        <f t="shared" si="27"/>
        <v>160407390.82330427</v>
      </c>
      <c r="K341" s="558">
        <f>'Progetto del paramento slu'!$G$60*(sezione!$AL$28-C341)/C341</f>
        <v>4.3378530385218567E-3</v>
      </c>
      <c r="L341" s="558">
        <f>'Progetto del paramento slu'!$G$60*(sezione!$AM$28-C341)/C341</f>
        <v>2.5891948894456965E-2</v>
      </c>
      <c r="M341" s="559">
        <f>'Progetto del paramento slu'!$G$60*(sezione!$AN$28-C341)/C341</f>
        <v>4.7446044750392068E-2</v>
      </c>
      <c r="N341" s="559">
        <f>'Progetto del paramento slu'!$G$60*(sezione!$AO$28-C341)/C341</f>
        <v>6.3121750827435791E-2</v>
      </c>
      <c r="O341" s="559">
        <f>'Progetto del paramento slu'!$G$60*(sezione!$AP$28-C341)/C341</f>
        <v>4.7446237870569105E-2</v>
      </c>
      <c r="P341" s="553">
        <f>-'Progetto del paramento slu'!$G$47*'Progetto del paramento slu'!$G$41*IF(DATI!$G$218="dx",DATI!$E$61,DATI!$E$64*DATI!$E$63)*1000*C341*sezione!$AD$5</f>
        <v>-251781.27100634802</v>
      </c>
      <c r="Q341" s="553">
        <f>'Foglio deposito bis'!$F$48*IF(ABS(K341)&lt;'Progetto del paramento slu'!$G$58,ABS(K341)*'Progetto del paramento slu'!$G$54,'Progetto del paramento slu'!$G$53)*IF(K341&lt;0,-1,1)</f>
        <v>0</v>
      </c>
      <c r="R341" s="553">
        <f>'Foglio deposito bis'!$F$49*IF(ABS(L341)&lt;'Progetto del paramento slu'!$G$58,ABS(L341)*'Progetto del paramento slu'!$G$54,'Progetto del paramento slu'!$G$53)*IF(L341&lt;0,-1,1)</f>
        <v>204886.47740803001</v>
      </c>
      <c r="S341" s="553">
        <f>'Foglio deposito bis'!$F$50*IF(ABS(M341)&lt;'Progetto del paramento slu'!$G$58,ABS(M341)*'Progetto del paramento slu'!$G$54,'Progetto del paramento slu'!$G$53)*IF(M341&lt;0,-1,1)</f>
        <v>0</v>
      </c>
      <c r="T341" s="553">
        <f>'Foglio deposito bis'!$F$51*IF(ABS(N341)&lt;'Progetto del paramento slu'!$G$58,ABS(N341)*'Progetto del paramento slu'!$G$54,'Progetto del paramento slu'!$G$53)*IF(N341&lt;0,-1,1)</f>
        <v>240946.49743184328</v>
      </c>
      <c r="U341" s="553">
        <f>'Foglio deposito bis'!$F$52*IF(ABS(O341)&lt;'Progetto del paramento slu'!$G$58,ABS(O341)*'Progetto del paramento slu'!$G$54,'Progetto del paramento slu'!$G$53)*IF(O341&lt;0,-1,1)</f>
        <v>240946.49743184328</v>
      </c>
      <c r="V341" s="479">
        <f t="shared" si="29"/>
        <v>434998.20126536855</v>
      </c>
      <c r="W341" s="559"/>
      <c r="X341" s="559"/>
    </row>
    <row r="342" spans="1:24" x14ac:dyDescent="0.25">
      <c r="A342" s="553">
        <f t="shared" si="28"/>
        <v>432137.05045847828</v>
      </c>
      <c r="B342" s="3">
        <f t="shared" si="30"/>
        <v>4.4499999999999922</v>
      </c>
      <c r="C342" s="553">
        <f>'Foglio deposito bis'!$E$154/sezione!$B$247*B342</f>
        <v>18.065011986702388</v>
      </c>
      <c r="D342" s="611">
        <f>-'Progetto del paramento slu'!$G$47*'Progetto del paramento slu'!$G$41*IF(DATI!$G$218="dx",DATI!$E$61,DATI!$E$64*DATI!$E$63)*1000*C342^2*sezione!$AD$5*(1-sezione!$AD$6)</f>
        <v>-2686469.14698938</v>
      </c>
      <c r="E342" s="553">
        <f>-'Foglio deposito bis'!$F$48*(C342-sezione!$AL$28)*IF(ABS(K342)&lt;'Progetto del paramento slu'!$G$58,ABS(K342)*'Progetto del paramento slu'!$G$54,'Progetto del paramento slu'!$G$53)</f>
        <v>0</v>
      </c>
      <c r="F342" s="553">
        <f>-'Foglio deposito bis'!$F$49*(C342-sezione!$AM$28)*IF(ABS(L342)&lt;'Progetto del paramento slu'!$G$58,ABS(L342)*'Progetto del paramento slu'!$G$54,'Progetto del paramento slu'!$G$53)</f>
        <v>27031694.940915212</v>
      </c>
      <c r="G342" s="553">
        <f>-'Foglio deposito bis'!$F$50*(C342-sezione!$AN$28)*IF(ABS(M342)&lt;'Progetto del paramento slu'!$G$58,ABS(M342)*'Progetto del paramento slu'!$G$54,'Progetto del paramento slu'!$G$53)</f>
        <v>0</v>
      </c>
      <c r="H342" s="553">
        <f>-'Foglio deposito bis'!$F$51*(C342-sezione!$AO$28)*IF(ABS(N342)&lt;'Progetto del paramento slu'!$G$58,ABS(N342)*'Progetto del paramento slu'!$G$54,'Progetto del paramento slu'!$G$53)</f>
        <v>77569107.762566492</v>
      </c>
      <c r="I342" s="479">
        <f>-'Foglio deposito bis'!$F$52*(C342-sezione!$AP$28)*IF(ABS(O342)&lt;'Progetto del paramento slu'!$G$58,ABS(O342)*'Progetto del paramento slu'!$G$54,'Progetto del paramento slu'!$G$53)</f>
        <v>58293625.439326614</v>
      </c>
      <c r="J342" s="479">
        <f t="shared" si="27"/>
        <v>160207958.99581894</v>
      </c>
      <c r="K342" s="558">
        <f>'Progetto del paramento slu'!$G$60*(sezione!$AL$28-C342)/C342</f>
        <v>4.249787274044084E-3</v>
      </c>
      <c r="L342" s="558">
        <f>'Progetto del paramento slu'!$G$60*(sezione!$AM$28-C342)/C342</f>
        <v>2.5561702277665316E-2</v>
      </c>
      <c r="M342" s="559">
        <f>'Progetto del paramento slu'!$G$60*(sezione!$AN$28-C342)/C342</f>
        <v>4.6873617281286549E-2</v>
      </c>
      <c r="N342" s="559">
        <f>'Progetto del paramento slu'!$G$60*(sezione!$AO$28-C342)/C342</f>
        <v>6.2373191829374702E-2</v>
      </c>
      <c r="O342" s="559">
        <f>'Progetto del paramento slu'!$G$60*(sezione!$AP$28-C342)/C342</f>
        <v>4.687380823157395E-2</v>
      </c>
      <c r="P342" s="553">
        <f>-'Progetto del paramento slu'!$G$47*'Progetto del paramento slu'!$G$41*IF(DATI!$G$218="dx",DATI!$E$61,DATI!$E$64*DATI!$E$63)*1000*C342*sezione!$AD$5</f>
        <v>-254642.42181323832</v>
      </c>
      <c r="Q342" s="553">
        <f>'Foglio deposito bis'!$F$48*IF(ABS(K342)&lt;'Progetto del paramento slu'!$G$58,ABS(K342)*'Progetto del paramento slu'!$G$54,'Progetto del paramento slu'!$G$53)*IF(K342&lt;0,-1,1)</f>
        <v>0</v>
      </c>
      <c r="R342" s="553">
        <f>'Foglio deposito bis'!$F$49*IF(ABS(L342)&lt;'Progetto del paramento slu'!$G$58,ABS(L342)*'Progetto del paramento slu'!$G$54,'Progetto del paramento slu'!$G$53)*IF(L342&lt;0,-1,1)</f>
        <v>204886.47740803001</v>
      </c>
      <c r="S342" s="553">
        <f>'Foglio deposito bis'!$F$50*IF(ABS(M342)&lt;'Progetto del paramento slu'!$G$58,ABS(M342)*'Progetto del paramento slu'!$G$54,'Progetto del paramento slu'!$G$53)*IF(M342&lt;0,-1,1)</f>
        <v>0</v>
      </c>
      <c r="T342" s="553">
        <f>'Foglio deposito bis'!$F$51*IF(ABS(N342)&lt;'Progetto del paramento slu'!$G$58,ABS(N342)*'Progetto del paramento slu'!$G$54,'Progetto del paramento slu'!$G$53)*IF(N342&lt;0,-1,1)</f>
        <v>240946.49743184328</v>
      </c>
      <c r="U342" s="553">
        <f>'Foglio deposito bis'!$F$52*IF(ABS(O342)&lt;'Progetto del paramento slu'!$G$58,ABS(O342)*'Progetto del paramento slu'!$G$54,'Progetto del paramento slu'!$G$53)*IF(O342&lt;0,-1,1)</f>
        <v>240946.49743184328</v>
      </c>
      <c r="V342" s="479">
        <f t="shared" si="29"/>
        <v>432137.05045847828</v>
      </c>
      <c r="W342" s="559"/>
      <c r="X342" s="559"/>
    </row>
    <row r="343" spans="1:24" x14ac:dyDescent="0.25">
      <c r="A343" s="553">
        <f t="shared" si="28"/>
        <v>429275.89965158794</v>
      </c>
      <c r="B343" s="3">
        <f t="shared" si="30"/>
        <v>4.499999999999992</v>
      </c>
      <c r="C343" s="553">
        <f>'Foglio deposito bis'!$E$154/sezione!$B$247*B343</f>
        <v>18.267989649474323</v>
      </c>
      <c r="D343" s="611">
        <f>-'Progetto del paramento slu'!$G$47*'Progetto del paramento slu'!$G$41*IF(DATI!$G$218="dx",DATI!$E$61,DATI!$E$64*DATI!$E$63)*1000*C343^2*sezione!$AD$5*(1-sezione!$AD$6)</f>
        <v>-2747178.3980070674</v>
      </c>
      <c r="E343" s="553">
        <f>-'Foglio deposito bis'!$F$48*(C343-sezione!$AL$28)*IF(ABS(K343)&lt;'Progetto del paramento slu'!$G$58,ABS(K343)*'Progetto del paramento slu'!$G$54,'Progetto del paramento slu'!$G$53)</f>
        <v>0</v>
      </c>
      <c r="F343" s="553">
        <f>-'Foglio deposito bis'!$F$49*(C343-sezione!$AM$28)*IF(ABS(L343)&lt;'Progetto del paramento slu'!$G$58,ABS(L343)*'Progetto del paramento slu'!$G$54,'Progetto del paramento slu'!$G$53)</f>
        <v>26990107.562597357</v>
      </c>
      <c r="G343" s="553">
        <f>-'Foglio deposito bis'!$F$50*(C343-sezione!$AN$28)*IF(ABS(M343)&lt;'Progetto del paramento slu'!$G$58,ABS(M343)*'Progetto del paramento slu'!$G$54,'Progetto del paramento slu'!$G$53)</f>
        <v>0</v>
      </c>
      <c r="H343" s="553">
        <f>-'Foglio deposito bis'!$F$51*(C343-sezione!$AO$28)*IF(ABS(N343)&lt;'Progetto del paramento slu'!$G$58,ABS(N343)*'Progetto del paramento slu'!$G$54,'Progetto del paramento slu'!$G$53)</f>
        <v>77520201.005664706</v>
      </c>
      <c r="I343" s="479">
        <f>-'Foglio deposito bis'!$F$52*(C343-sezione!$AP$28)*IF(ABS(O343)&lt;'Progetto del paramento slu'!$G$58,ABS(O343)*'Progetto del paramento slu'!$G$54,'Progetto del paramento slu'!$G$53)</f>
        <v>58244718.682424814</v>
      </c>
      <c r="J343" s="479">
        <f t="shared" si="27"/>
        <v>160007848.85267979</v>
      </c>
      <c r="K343" s="558">
        <f>'Progetto del paramento slu'!$G$60*(sezione!$AL$28-C343)/C343</f>
        <v>4.1636785265547057E-3</v>
      </c>
      <c r="L343" s="558">
        <f>'Progetto del paramento slu'!$G$60*(sezione!$AM$28-C343)/C343</f>
        <v>2.5238794474580148E-2</v>
      </c>
      <c r="M343" s="559">
        <f>'Progetto del paramento slu'!$G$60*(sezione!$AN$28-C343)/C343</f>
        <v>4.6313910422605596E-2</v>
      </c>
      <c r="N343" s="559">
        <f>'Progetto del paramento slu'!$G$60*(sezione!$AO$28-C343)/C343</f>
        <v>6.1641267475715002E-2</v>
      </c>
      <c r="O343" s="559">
        <f>'Progetto del paramento slu'!$G$60*(sezione!$AP$28-C343)/C343</f>
        <v>4.631409925122313E-2</v>
      </c>
      <c r="P343" s="553">
        <f>-'Progetto del paramento slu'!$G$47*'Progetto del paramento slu'!$G$41*IF(DATI!$G$218="dx",DATI!$E$61,DATI!$E$64*DATI!$E$63)*1000*C343*sezione!$AD$5</f>
        <v>-257503.57262012863</v>
      </c>
      <c r="Q343" s="553">
        <f>'Foglio deposito bis'!$F$48*IF(ABS(K343)&lt;'Progetto del paramento slu'!$G$58,ABS(K343)*'Progetto del paramento slu'!$G$54,'Progetto del paramento slu'!$G$53)*IF(K343&lt;0,-1,1)</f>
        <v>0</v>
      </c>
      <c r="R343" s="553">
        <f>'Foglio deposito bis'!$F$49*IF(ABS(L343)&lt;'Progetto del paramento slu'!$G$58,ABS(L343)*'Progetto del paramento slu'!$G$54,'Progetto del paramento slu'!$G$53)*IF(L343&lt;0,-1,1)</f>
        <v>204886.47740803001</v>
      </c>
      <c r="S343" s="553">
        <f>'Foglio deposito bis'!$F$50*IF(ABS(M343)&lt;'Progetto del paramento slu'!$G$58,ABS(M343)*'Progetto del paramento slu'!$G$54,'Progetto del paramento slu'!$G$53)*IF(M343&lt;0,-1,1)</f>
        <v>0</v>
      </c>
      <c r="T343" s="553">
        <f>'Foglio deposito bis'!$F$51*IF(ABS(N343)&lt;'Progetto del paramento slu'!$G$58,ABS(N343)*'Progetto del paramento slu'!$G$54,'Progetto del paramento slu'!$G$53)*IF(N343&lt;0,-1,1)</f>
        <v>240946.49743184328</v>
      </c>
      <c r="U343" s="553">
        <f>'Foglio deposito bis'!$F$52*IF(ABS(O343)&lt;'Progetto del paramento slu'!$G$58,ABS(O343)*'Progetto del paramento slu'!$G$54,'Progetto del paramento slu'!$G$53)*IF(O343&lt;0,-1,1)</f>
        <v>240946.49743184328</v>
      </c>
      <c r="V343" s="479">
        <f t="shared" si="29"/>
        <v>429275.89965158794</v>
      </c>
      <c r="W343" s="559"/>
      <c r="X343" s="559"/>
    </row>
    <row r="344" spans="1:24" x14ac:dyDescent="0.25">
      <c r="A344" s="553">
        <f t="shared" si="28"/>
        <v>426414.74884469761</v>
      </c>
      <c r="B344" s="3">
        <f t="shared" si="30"/>
        <v>4.5499999999999918</v>
      </c>
      <c r="C344" s="553">
        <f>'Foglio deposito bis'!$E$154/sezione!$B$247*B344</f>
        <v>18.470967312246259</v>
      </c>
      <c r="D344" s="611">
        <f>-'Progetto del paramento slu'!$G$47*'Progetto del paramento slu'!$G$41*IF(DATI!$G$218="dx",DATI!$E$61,DATI!$E$64*DATI!$E$63)*1000*C344^2*sezione!$AD$5*(1-sezione!$AD$6)</f>
        <v>-2808565.9646785827</v>
      </c>
      <c r="E344" s="553">
        <f>-'Foglio deposito bis'!$F$48*(C344-sezione!$AL$28)*IF(ABS(K344)&lt;'Progetto del paramento slu'!$G$58,ABS(K344)*'Progetto del paramento slu'!$G$54,'Progetto del paramento slu'!$G$53)</f>
        <v>0</v>
      </c>
      <c r="F344" s="553">
        <f>-'Foglio deposito bis'!$F$49*(C344-sezione!$AM$28)*IF(ABS(L344)&lt;'Progetto del paramento slu'!$G$58,ABS(L344)*'Progetto del paramento slu'!$G$54,'Progetto del paramento slu'!$G$53)</f>
        <v>26948520.184279494</v>
      </c>
      <c r="G344" s="553">
        <f>-'Foglio deposito bis'!$F$50*(C344-sezione!$AN$28)*IF(ABS(M344)&lt;'Progetto del paramento slu'!$G$58,ABS(M344)*'Progetto del paramento slu'!$G$54,'Progetto del paramento slu'!$G$53)</f>
        <v>0</v>
      </c>
      <c r="H344" s="553">
        <f>-'Foglio deposito bis'!$F$51*(C344-sezione!$AO$28)*IF(ABS(N344)&lt;'Progetto del paramento slu'!$G$58,ABS(N344)*'Progetto del paramento slu'!$G$54,'Progetto del paramento slu'!$G$53)</f>
        <v>77471294.248762906</v>
      </c>
      <c r="I344" s="479">
        <f>-'Foglio deposito bis'!$F$52*(C344-sezione!$AP$28)*IF(ABS(O344)&lt;'Progetto del paramento slu'!$G$58,ABS(O344)*'Progetto del paramento slu'!$G$54,'Progetto del paramento slu'!$G$53)</f>
        <v>58195811.925523013</v>
      </c>
      <c r="J344" s="479">
        <f t="shared" si="27"/>
        <v>159807060.39388683</v>
      </c>
      <c r="K344" s="558">
        <f>'Progetto del paramento slu'!$G$60*(sezione!$AL$28-C344)/C344</f>
        <v>4.079462279010149E-3</v>
      </c>
      <c r="L344" s="558">
        <f>'Progetto del paramento slu'!$G$60*(sezione!$AM$28-C344)/C344</f>
        <v>2.4922983546288059E-2</v>
      </c>
      <c r="M344" s="559">
        <f>'Progetto del paramento slu'!$G$60*(sezione!$AN$28-C344)/C344</f>
        <v>4.5766504813565964E-2</v>
      </c>
      <c r="N344" s="559">
        <f>'Progetto del paramento slu'!$G$60*(sezione!$AO$28-C344)/C344</f>
        <v>6.0925429371586265E-2</v>
      </c>
      <c r="O344" s="559">
        <f>'Progetto del paramento slu'!$G$60*(sezione!$AP$28-C344)/C344</f>
        <v>4.5766691567143754E-2</v>
      </c>
      <c r="P344" s="553">
        <f>-'Progetto del paramento slu'!$G$47*'Progetto del paramento slu'!$G$41*IF(DATI!$G$218="dx",DATI!$E$61,DATI!$E$64*DATI!$E$63)*1000*C344*sezione!$AD$5</f>
        <v>-260364.72342701894</v>
      </c>
      <c r="Q344" s="553">
        <f>'Foglio deposito bis'!$F$48*IF(ABS(K344)&lt;'Progetto del paramento slu'!$G$58,ABS(K344)*'Progetto del paramento slu'!$G$54,'Progetto del paramento slu'!$G$53)*IF(K344&lt;0,-1,1)</f>
        <v>0</v>
      </c>
      <c r="R344" s="553">
        <f>'Foglio deposito bis'!$F$49*IF(ABS(L344)&lt;'Progetto del paramento slu'!$G$58,ABS(L344)*'Progetto del paramento slu'!$G$54,'Progetto del paramento slu'!$G$53)*IF(L344&lt;0,-1,1)</f>
        <v>204886.47740803001</v>
      </c>
      <c r="S344" s="553">
        <f>'Foglio deposito bis'!$F$50*IF(ABS(M344)&lt;'Progetto del paramento slu'!$G$58,ABS(M344)*'Progetto del paramento slu'!$G$54,'Progetto del paramento slu'!$G$53)*IF(M344&lt;0,-1,1)</f>
        <v>0</v>
      </c>
      <c r="T344" s="553">
        <f>'Foglio deposito bis'!$F$51*IF(ABS(N344)&lt;'Progetto del paramento slu'!$G$58,ABS(N344)*'Progetto del paramento slu'!$G$54,'Progetto del paramento slu'!$G$53)*IF(N344&lt;0,-1,1)</f>
        <v>240946.49743184328</v>
      </c>
      <c r="U344" s="553">
        <f>'Foglio deposito bis'!$F$52*IF(ABS(O344)&lt;'Progetto del paramento slu'!$G$58,ABS(O344)*'Progetto del paramento slu'!$G$54,'Progetto del paramento slu'!$G$53)*IF(O344&lt;0,-1,1)</f>
        <v>240946.49743184328</v>
      </c>
      <c r="V344" s="479">
        <f t="shared" si="29"/>
        <v>426414.74884469761</v>
      </c>
      <c r="W344" s="559"/>
      <c r="X344" s="559"/>
    </row>
    <row r="345" spans="1:24" x14ac:dyDescent="0.25">
      <c r="A345" s="553">
        <f t="shared" si="28"/>
        <v>423553.59803780727</v>
      </c>
      <c r="B345" s="3">
        <f t="shared" si="30"/>
        <v>4.5999999999999917</v>
      </c>
      <c r="C345" s="553">
        <f>'Foglio deposito bis'!$E$154/sezione!$B$247*B345</f>
        <v>18.673944975018198</v>
      </c>
      <c r="D345" s="611">
        <f>-'Progetto del paramento slu'!$G$47*'Progetto del paramento slu'!$G$41*IF(DATI!$G$218="dx",DATI!$E$61,DATI!$E$64*DATI!$E$63)*1000*C345^2*sezione!$AD$5*(1-sezione!$AD$6)</f>
        <v>-2870631.8470039284</v>
      </c>
      <c r="E345" s="553">
        <f>-'Foglio deposito bis'!$F$48*(C345-sezione!$AL$28)*IF(ABS(K345)&lt;'Progetto del paramento slu'!$G$58,ABS(K345)*'Progetto del paramento slu'!$G$54,'Progetto del paramento slu'!$G$53)</f>
        <v>0</v>
      </c>
      <c r="F345" s="553">
        <f>-'Foglio deposito bis'!$F$49*(C345-sezione!$AM$28)*IF(ABS(L345)&lt;'Progetto del paramento slu'!$G$58,ABS(L345)*'Progetto del paramento slu'!$G$54,'Progetto del paramento slu'!$G$53)</f>
        <v>26906932.805961639</v>
      </c>
      <c r="G345" s="553">
        <f>-'Foglio deposito bis'!$F$50*(C345-sezione!$AN$28)*IF(ABS(M345)&lt;'Progetto del paramento slu'!$G$58,ABS(M345)*'Progetto del paramento slu'!$G$54,'Progetto del paramento slu'!$G$53)</f>
        <v>0</v>
      </c>
      <c r="H345" s="553">
        <f>-'Foglio deposito bis'!$F$51*(C345-sezione!$AO$28)*IF(ABS(N345)&lt;'Progetto del paramento slu'!$G$58,ABS(N345)*'Progetto del paramento slu'!$G$54,'Progetto del paramento slu'!$G$53)</f>
        <v>77422387.491861105</v>
      </c>
      <c r="I345" s="479">
        <f>-'Foglio deposito bis'!$F$52*(C345-sezione!$AP$28)*IF(ABS(O345)&lt;'Progetto del paramento slu'!$G$58,ABS(O345)*'Progetto del paramento slu'!$G$54,'Progetto del paramento slu'!$G$53)</f>
        <v>58146905.168621205</v>
      </c>
      <c r="J345" s="479">
        <f t="shared" si="27"/>
        <v>159605593.61944002</v>
      </c>
      <c r="K345" s="558">
        <f>'Progetto del paramento slu'!$G$60*(sezione!$AL$28-C345)/C345</f>
        <v>3.9970768194556895E-3</v>
      </c>
      <c r="L345" s="558">
        <f>'Progetto del paramento slu'!$G$60*(sezione!$AM$28-C345)/C345</f>
        <v>2.4614038072958838E-2</v>
      </c>
      <c r="M345" s="559">
        <f>'Progetto del paramento slu'!$G$60*(sezione!$AN$28-C345)/C345</f>
        <v>4.5230999326461983E-2</v>
      </c>
      <c r="N345" s="559">
        <f>'Progetto del paramento slu'!$G$60*(sezione!$AO$28-C345)/C345</f>
        <v>6.0225152965373376E-2</v>
      </c>
      <c r="O345" s="559">
        <f>'Progetto del paramento slu'!$G$60*(sezione!$AP$28-C345)/C345</f>
        <v>4.5231184050109584E-2</v>
      </c>
      <c r="P345" s="553">
        <f>-'Progetto del paramento slu'!$G$47*'Progetto del paramento slu'!$G$41*IF(DATI!$G$218="dx",DATI!$E$61,DATI!$E$64*DATI!$E$63)*1000*C345*sezione!$AD$5</f>
        <v>-263225.8742339093</v>
      </c>
      <c r="Q345" s="553">
        <f>'Foglio deposito bis'!$F$48*IF(ABS(K345)&lt;'Progetto del paramento slu'!$G$58,ABS(K345)*'Progetto del paramento slu'!$G$54,'Progetto del paramento slu'!$G$53)*IF(K345&lt;0,-1,1)</f>
        <v>0</v>
      </c>
      <c r="R345" s="553">
        <f>'Foglio deposito bis'!$F$49*IF(ABS(L345)&lt;'Progetto del paramento slu'!$G$58,ABS(L345)*'Progetto del paramento slu'!$G$54,'Progetto del paramento slu'!$G$53)*IF(L345&lt;0,-1,1)</f>
        <v>204886.47740803001</v>
      </c>
      <c r="S345" s="553">
        <f>'Foglio deposito bis'!$F$50*IF(ABS(M345)&lt;'Progetto del paramento slu'!$G$58,ABS(M345)*'Progetto del paramento slu'!$G$54,'Progetto del paramento slu'!$G$53)*IF(M345&lt;0,-1,1)</f>
        <v>0</v>
      </c>
      <c r="T345" s="553">
        <f>'Foglio deposito bis'!$F$51*IF(ABS(N345)&lt;'Progetto del paramento slu'!$G$58,ABS(N345)*'Progetto del paramento slu'!$G$54,'Progetto del paramento slu'!$G$53)*IF(N345&lt;0,-1,1)</f>
        <v>240946.49743184328</v>
      </c>
      <c r="U345" s="553">
        <f>'Foglio deposito bis'!$F$52*IF(ABS(O345)&lt;'Progetto del paramento slu'!$G$58,ABS(O345)*'Progetto del paramento slu'!$G$54,'Progetto del paramento slu'!$G$53)*IF(O345&lt;0,-1,1)</f>
        <v>240946.49743184328</v>
      </c>
      <c r="V345" s="479">
        <f t="shared" si="29"/>
        <v>423553.59803780727</v>
      </c>
      <c r="W345" s="559"/>
      <c r="X345" s="559"/>
    </row>
    <row r="346" spans="1:24" x14ac:dyDescent="0.25">
      <c r="A346" s="553">
        <f t="shared" si="28"/>
        <v>420692.44723091699</v>
      </c>
      <c r="B346" s="3">
        <f t="shared" si="30"/>
        <v>4.6499999999999915</v>
      </c>
      <c r="C346" s="553">
        <f>'Foglio deposito bis'!$E$154/sezione!$B$247*B346</f>
        <v>18.876922637790134</v>
      </c>
      <c r="D346" s="611">
        <f>-'Progetto del paramento slu'!$G$47*'Progetto del paramento slu'!$G$41*IF(DATI!$G$218="dx",DATI!$E$61,DATI!$E$64*DATI!$E$63)*1000*C346^2*sezione!$AD$5*(1-sezione!$AD$6)</f>
        <v>-2933376.044983102</v>
      </c>
      <c r="E346" s="553">
        <f>-'Foglio deposito bis'!$F$48*(C346-sezione!$AL$28)*IF(ABS(K346)&lt;'Progetto del paramento slu'!$G$58,ABS(K346)*'Progetto del paramento slu'!$G$54,'Progetto del paramento slu'!$G$53)</f>
        <v>0</v>
      </c>
      <c r="F346" s="553">
        <f>-'Foglio deposito bis'!$F$49*(C346-sezione!$AM$28)*IF(ABS(L346)&lt;'Progetto del paramento slu'!$G$58,ABS(L346)*'Progetto del paramento slu'!$G$54,'Progetto del paramento slu'!$G$53)</f>
        <v>26865345.427643787</v>
      </c>
      <c r="G346" s="553">
        <f>-'Foglio deposito bis'!$F$50*(C346-sezione!$AN$28)*IF(ABS(M346)&lt;'Progetto del paramento slu'!$G$58,ABS(M346)*'Progetto del paramento slu'!$G$54,'Progetto del paramento slu'!$G$53)</f>
        <v>0</v>
      </c>
      <c r="H346" s="553">
        <f>-'Foglio deposito bis'!$F$51*(C346-sezione!$AO$28)*IF(ABS(N346)&lt;'Progetto del paramento slu'!$G$58,ABS(N346)*'Progetto del paramento slu'!$G$54,'Progetto del paramento slu'!$G$53)</f>
        <v>77373480.734959319</v>
      </c>
      <c r="I346" s="479">
        <f>-'Foglio deposito bis'!$F$52*(C346-sezione!$AP$28)*IF(ABS(O346)&lt;'Progetto del paramento slu'!$G$58,ABS(O346)*'Progetto del paramento slu'!$G$54,'Progetto del paramento slu'!$G$53)</f>
        <v>58097998.411719412</v>
      </c>
      <c r="J346" s="479">
        <f t="shared" si="27"/>
        <v>159403448.52933943</v>
      </c>
      <c r="K346" s="558">
        <f>'Progetto del paramento slu'!$G$60*(sezione!$AL$28-C346)/C346</f>
        <v>3.9164630902142322E-3</v>
      </c>
      <c r="L346" s="558">
        <f>'Progetto del paramento slu'!$G$60*(sezione!$AM$28-C346)/C346</f>
        <v>2.4311736588303368E-2</v>
      </c>
      <c r="M346" s="559">
        <f>'Progetto del paramento slu'!$G$60*(sezione!$AN$28-C346)/C346</f>
        <v>4.470701008639251E-2</v>
      </c>
      <c r="N346" s="559">
        <f>'Progetto del paramento slu'!$G$60*(sezione!$AO$28-C346)/C346</f>
        <v>5.953993626682097E-2</v>
      </c>
      <c r="O346" s="559">
        <f>'Progetto del paramento slu'!$G$60*(sezione!$AP$28-C346)/C346</f>
        <v>4.4707192823764327E-2</v>
      </c>
      <c r="P346" s="553">
        <f>-'Progetto del paramento slu'!$G$47*'Progetto del paramento slu'!$G$41*IF(DATI!$G$218="dx",DATI!$E$61,DATI!$E$64*DATI!$E$63)*1000*C346*sezione!$AD$5</f>
        <v>-266087.02504079958</v>
      </c>
      <c r="Q346" s="553">
        <f>'Foglio deposito bis'!$F$48*IF(ABS(K346)&lt;'Progetto del paramento slu'!$G$58,ABS(K346)*'Progetto del paramento slu'!$G$54,'Progetto del paramento slu'!$G$53)*IF(K346&lt;0,-1,1)</f>
        <v>0</v>
      </c>
      <c r="R346" s="553">
        <f>'Foglio deposito bis'!$F$49*IF(ABS(L346)&lt;'Progetto del paramento slu'!$G$58,ABS(L346)*'Progetto del paramento slu'!$G$54,'Progetto del paramento slu'!$G$53)*IF(L346&lt;0,-1,1)</f>
        <v>204886.47740803001</v>
      </c>
      <c r="S346" s="553">
        <f>'Foglio deposito bis'!$F$50*IF(ABS(M346)&lt;'Progetto del paramento slu'!$G$58,ABS(M346)*'Progetto del paramento slu'!$G$54,'Progetto del paramento slu'!$G$53)*IF(M346&lt;0,-1,1)</f>
        <v>0</v>
      </c>
      <c r="T346" s="553">
        <f>'Foglio deposito bis'!$F$51*IF(ABS(N346)&lt;'Progetto del paramento slu'!$G$58,ABS(N346)*'Progetto del paramento slu'!$G$54,'Progetto del paramento slu'!$G$53)*IF(N346&lt;0,-1,1)</f>
        <v>240946.49743184328</v>
      </c>
      <c r="U346" s="553">
        <f>'Foglio deposito bis'!$F$52*IF(ABS(O346)&lt;'Progetto del paramento slu'!$G$58,ABS(O346)*'Progetto del paramento slu'!$G$54,'Progetto del paramento slu'!$G$53)*IF(O346&lt;0,-1,1)</f>
        <v>240946.49743184328</v>
      </c>
      <c r="V346" s="479">
        <f t="shared" si="29"/>
        <v>420692.44723091699</v>
      </c>
      <c r="W346" s="559"/>
      <c r="X346" s="559"/>
    </row>
    <row r="347" spans="1:24" x14ac:dyDescent="0.25">
      <c r="A347" s="553">
        <f t="shared" si="28"/>
        <v>417831.29642402672</v>
      </c>
      <c r="B347" s="3">
        <f t="shared" si="30"/>
        <v>4.6999999999999913</v>
      </c>
      <c r="C347" s="553">
        <f>'Foglio deposito bis'!$E$154/sezione!$B$247*B347</f>
        <v>19.07990030056207</v>
      </c>
      <c r="D347" s="611">
        <f>-'Progetto del paramento slu'!$G$47*'Progetto del paramento slu'!$G$41*IF(DATI!$G$218="dx",DATI!$E$61,DATI!$E$64*DATI!$E$63)*1000*C347^2*sezione!$AD$5*(1-sezione!$AD$6)</f>
        <v>-2996798.5586161041</v>
      </c>
      <c r="E347" s="553">
        <f>-'Foglio deposito bis'!$F$48*(C347-sezione!$AL$28)*IF(ABS(K347)&lt;'Progetto del paramento slu'!$G$58,ABS(K347)*'Progetto del paramento slu'!$G$54,'Progetto del paramento slu'!$G$53)</f>
        <v>0</v>
      </c>
      <c r="F347" s="553">
        <f>-'Foglio deposito bis'!$F$49*(C347-sezione!$AM$28)*IF(ABS(L347)&lt;'Progetto del paramento slu'!$G$58,ABS(L347)*'Progetto del paramento slu'!$G$54,'Progetto del paramento slu'!$G$53)</f>
        <v>26823758.049325928</v>
      </c>
      <c r="G347" s="553">
        <f>-'Foglio deposito bis'!$F$50*(C347-sezione!$AN$28)*IF(ABS(M347)&lt;'Progetto del paramento slu'!$G$58,ABS(M347)*'Progetto del paramento slu'!$G$54,'Progetto del paramento slu'!$G$53)</f>
        <v>0</v>
      </c>
      <c r="H347" s="553">
        <f>-'Foglio deposito bis'!$F$51*(C347-sezione!$AO$28)*IF(ABS(N347)&lt;'Progetto del paramento slu'!$G$58,ABS(N347)*'Progetto del paramento slu'!$G$54,'Progetto del paramento slu'!$G$53)</f>
        <v>77324573.978057504</v>
      </c>
      <c r="I347" s="479">
        <f>-'Foglio deposito bis'!$F$52*(C347-sezione!$AP$28)*IF(ABS(O347)&lt;'Progetto del paramento slu'!$G$58,ABS(O347)*'Progetto del paramento slu'!$G$54,'Progetto del paramento slu'!$G$53)</f>
        <v>58049091.654817618</v>
      </c>
      <c r="J347" s="479">
        <f t="shared" si="27"/>
        <v>159200625.12358496</v>
      </c>
      <c r="K347" s="558">
        <f>'Progetto del paramento slu'!$G$60*(sezione!$AL$28-C347)/C347</f>
        <v>3.8375645467013143E-3</v>
      </c>
      <c r="L347" s="558">
        <f>'Progetto del paramento slu'!$G$60*(sezione!$AM$28-C347)/C347</f>
        <v>2.4015867050129935E-2</v>
      </c>
      <c r="M347" s="559">
        <f>'Progetto del paramento slu'!$G$60*(sezione!$AN$28-C347)/C347</f>
        <v>4.4194169553558545E-2</v>
      </c>
      <c r="N347" s="559">
        <f>'Progetto del paramento slu'!$G$60*(sezione!$AO$28-C347)/C347</f>
        <v>5.886929864696118E-2</v>
      </c>
      <c r="O347" s="559">
        <f>'Progetto del paramento slu'!$G$60*(sezione!$AP$28-C347)/C347</f>
        <v>4.4194350346915767E-2</v>
      </c>
      <c r="P347" s="553">
        <f>-'Progetto del paramento slu'!$G$47*'Progetto del paramento slu'!$G$41*IF(DATI!$G$218="dx",DATI!$E$61,DATI!$E$64*DATI!$E$63)*1000*C347*sezione!$AD$5</f>
        <v>-268948.17584768985</v>
      </c>
      <c r="Q347" s="553">
        <f>'Foglio deposito bis'!$F$48*IF(ABS(K347)&lt;'Progetto del paramento slu'!$G$58,ABS(K347)*'Progetto del paramento slu'!$G$54,'Progetto del paramento slu'!$G$53)*IF(K347&lt;0,-1,1)</f>
        <v>0</v>
      </c>
      <c r="R347" s="553">
        <f>'Foglio deposito bis'!$F$49*IF(ABS(L347)&lt;'Progetto del paramento slu'!$G$58,ABS(L347)*'Progetto del paramento slu'!$G$54,'Progetto del paramento slu'!$G$53)*IF(L347&lt;0,-1,1)</f>
        <v>204886.47740803001</v>
      </c>
      <c r="S347" s="553">
        <f>'Foglio deposito bis'!$F$50*IF(ABS(M347)&lt;'Progetto del paramento slu'!$G$58,ABS(M347)*'Progetto del paramento slu'!$G$54,'Progetto del paramento slu'!$G$53)*IF(M347&lt;0,-1,1)</f>
        <v>0</v>
      </c>
      <c r="T347" s="553">
        <f>'Foglio deposito bis'!$F$51*IF(ABS(N347)&lt;'Progetto del paramento slu'!$G$58,ABS(N347)*'Progetto del paramento slu'!$G$54,'Progetto del paramento slu'!$G$53)*IF(N347&lt;0,-1,1)</f>
        <v>240946.49743184328</v>
      </c>
      <c r="U347" s="553">
        <f>'Foglio deposito bis'!$F$52*IF(ABS(O347)&lt;'Progetto del paramento slu'!$G$58,ABS(O347)*'Progetto del paramento slu'!$G$54,'Progetto del paramento slu'!$G$53)*IF(O347&lt;0,-1,1)</f>
        <v>240946.49743184328</v>
      </c>
      <c r="V347" s="479">
        <f t="shared" si="29"/>
        <v>417831.29642402672</v>
      </c>
      <c r="W347" s="559"/>
      <c r="X347" s="559"/>
    </row>
    <row r="348" spans="1:24" x14ac:dyDescent="0.25">
      <c r="A348" s="553">
        <f t="shared" si="28"/>
        <v>414970.14561713638</v>
      </c>
      <c r="B348" s="3">
        <f t="shared" si="30"/>
        <v>4.7499999999999911</v>
      </c>
      <c r="C348" s="553">
        <f>'Foglio deposito bis'!$E$154/sezione!$B$247*B348</f>
        <v>19.282877963334005</v>
      </c>
      <c r="D348" s="611">
        <f>-'Progetto del paramento slu'!$G$47*'Progetto del paramento slu'!$G$41*IF(DATI!$G$218="dx",DATI!$E$61,DATI!$E$64*DATI!$E$63)*1000*C348^2*sezione!$AD$5*(1-sezione!$AD$6)</f>
        <v>-3060899.3879029355</v>
      </c>
      <c r="E348" s="553">
        <f>-'Foglio deposito bis'!$F$48*(C348-sezione!$AL$28)*IF(ABS(K348)&lt;'Progetto del paramento slu'!$G$58,ABS(K348)*'Progetto del paramento slu'!$G$54,'Progetto del paramento slu'!$G$53)</f>
        <v>0</v>
      </c>
      <c r="F348" s="553">
        <f>-'Foglio deposito bis'!$F$49*(C348-sezione!$AM$28)*IF(ABS(L348)&lt;'Progetto del paramento slu'!$G$58,ABS(L348)*'Progetto del paramento slu'!$G$54,'Progetto del paramento slu'!$G$53)</f>
        <v>26782170.671008069</v>
      </c>
      <c r="G348" s="553">
        <f>-'Foglio deposito bis'!$F$50*(C348-sezione!$AN$28)*IF(ABS(M348)&lt;'Progetto del paramento slu'!$G$58,ABS(M348)*'Progetto del paramento slu'!$G$54,'Progetto del paramento slu'!$G$53)</f>
        <v>0</v>
      </c>
      <c r="H348" s="553">
        <f>-'Foglio deposito bis'!$F$51*(C348-sezione!$AO$28)*IF(ABS(N348)&lt;'Progetto del paramento slu'!$G$58,ABS(N348)*'Progetto del paramento slu'!$G$54,'Progetto del paramento slu'!$G$53)</f>
        <v>77275667.221155703</v>
      </c>
      <c r="I348" s="479">
        <f>-'Foglio deposito bis'!$F$52*(C348-sezione!$AP$28)*IF(ABS(O348)&lt;'Progetto del paramento slu'!$G$58,ABS(O348)*'Progetto del paramento slu'!$G$54,'Progetto del paramento slu'!$G$53)</f>
        <v>58000184.89791581</v>
      </c>
      <c r="J348" s="479">
        <f t="shared" si="27"/>
        <v>158997123.40217665</v>
      </c>
      <c r="K348" s="558">
        <f>'Progetto del paramento slu'!$G$60*(sezione!$AL$28-C348)/C348</f>
        <v>3.7603270251570912E-3</v>
      </c>
      <c r="L348" s="558">
        <f>'Progetto del paramento slu'!$G$60*(sezione!$AM$28-C348)/C348</f>
        <v>2.3726226344339088E-2</v>
      </c>
      <c r="M348" s="559">
        <f>'Progetto del paramento slu'!$G$60*(sezione!$AN$28-C348)/C348</f>
        <v>4.3692125663521091E-2</v>
      </c>
      <c r="N348" s="559">
        <f>'Progetto del paramento slu'!$G$60*(sezione!$AO$28-C348)/C348</f>
        <v>5.8212779713835268E-2</v>
      </c>
      <c r="O348" s="559">
        <f>'Progetto del paramento slu'!$G$60*(sezione!$AP$28-C348)/C348</f>
        <v>4.3692304553790341E-2</v>
      </c>
      <c r="P348" s="553">
        <f>-'Progetto del paramento slu'!$G$47*'Progetto del paramento slu'!$G$41*IF(DATI!$G$218="dx",DATI!$E$61,DATI!$E$64*DATI!$E$63)*1000*C348*sezione!$AD$5</f>
        <v>-271809.32665458019</v>
      </c>
      <c r="Q348" s="553">
        <f>'Foglio deposito bis'!$F$48*IF(ABS(K348)&lt;'Progetto del paramento slu'!$G$58,ABS(K348)*'Progetto del paramento slu'!$G$54,'Progetto del paramento slu'!$G$53)*IF(K348&lt;0,-1,1)</f>
        <v>0</v>
      </c>
      <c r="R348" s="553">
        <f>'Foglio deposito bis'!$F$49*IF(ABS(L348)&lt;'Progetto del paramento slu'!$G$58,ABS(L348)*'Progetto del paramento slu'!$G$54,'Progetto del paramento slu'!$G$53)*IF(L348&lt;0,-1,1)</f>
        <v>204886.47740803001</v>
      </c>
      <c r="S348" s="553">
        <f>'Foglio deposito bis'!$F$50*IF(ABS(M348)&lt;'Progetto del paramento slu'!$G$58,ABS(M348)*'Progetto del paramento slu'!$G$54,'Progetto del paramento slu'!$G$53)*IF(M348&lt;0,-1,1)</f>
        <v>0</v>
      </c>
      <c r="T348" s="553">
        <f>'Foglio deposito bis'!$F$51*IF(ABS(N348)&lt;'Progetto del paramento slu'!$G$58,ABS(N348)*'Progetto del paramento slu'!$G$54,'Progetto del paramento slu'!$G$53)*IF(N348&lt;0,-1,1)</f>
        <v>240946.49743184328</v>
      </c>
      <c r="U348" s="553">
        <f>'Foglio deposito bis'!$F$52*IF(ABS(O348)&lt;'Progetto del paramento slu'!$G$58,ABS(O348)*'Progetto del paramento slu'!$G$54,'Progetto del paramento slu'!$G$53)*IF(O348&lt;0,-1,1)</f>
        <v>240946.49743184328</v>
      </c>
      <c r="V348" s="479">
        <f t="shared" si="29"/>
        <v>414970.14561713638</v>
      </c>
      <c r="W348" s="559"/>
      <c r="X348" s="559"/>
    </row>
    <row r="349" spans="1:24" x14ac:dyDescent="0.25">
      <c r="A349" s="553">
        <f t="shared" si="28"/>
        <v>412108.99481024605</v>
      </c>
      <c r="B349" s="3">
        <f t="shared" si="30"/>
        <v>4.7999999999999909</v>
      </c>
      <c r="C349" s="553">
        <f>'Foglio deposito bis'!$E$154/sezione!$B$247*B349</f>
        <v>19.485855626105945</v>
      </c>
      <c r="D349" s="611">
        <f>-'Progetto del paramento slu'!$G$47*'Progetto del paramento slu'!$G$41*IF(DATI!$G$218="dx",DATI!$E$61,DATI!$E$64*DATI!$E$63)*1000*C349^2*sezione!$AD$5*(1-sezione!$AD$6)</f>
        <v>-3125678.5328435963</v>
      </c>
      <c r="E349" s="553">
        <f>-'Foglio deposito bis'!$F$48*(C349-sezione!$AL$28)*IF(ABS(K349)&lt;'Progetto del paramento slu'!$G$58,ABS(K349)*'Progetto del paramento slu'!$G$54,'Progetto del paramento slu'!$G$53)</f>
        <v>0</v>
      </c>
      <c r="F349" s="553">
        <f>-'Foglio deposito bis'!$F$49*(C349-sezione!$AM$28)*IF(ABS(L349)&lt;'Progetto del paramento slu'!$G$58,ABS(L349)*'Progetto del paramento slu'!$G$54,'Progetto del paramento slu'!$G$53)</f>
        <v>26740583.29269021</v>
      </c>
      <c r="G349" s="553">
        <f>-'Foglio deposito bis'!$F$50*(C349-sezione!$AN$28)*IF(ABS(M349)&lt;'Progetto del paramento slu'!$G$58,ABS(M349)*'Progetto del paramento slu'!$G$54,'Progetto del paramento slu'!$G$53)</f>
        <v>0</v>
      </c>
      <c r="H349" s="553">
        <f>-'Foglio deposito bis'!$F$51*(C349-sezione!$AO$28)*IF(ABS(N349)&lt;'Progetto del paramento slu'!$G$58,ABS(N349)*'Progetto del paramento slu'!$G$54,'Progetto del paramento slu'!$G$53)</f>
        <v>77226760.464253902</v>
      </c>
      <c r="I349" s="479">
        <f>-'Foglio deposito bis'!$F$52*(C349-sezione!$AP$28)*IF(ABS(O349)&lt;'Progetto del paramento slu'!$G$58,ABS(O349)*'Progetto del paramento slu'!$G$54,'Progetto del paramento slu'!$G$53)</f>
        <v>57951278.14101401</v>
      </c>
      <c r="J349" s="479">
        <f t="shared" si="27"/>
        <v>158792943.36511451</v>
      </c>
      <c r="K349" s="558">
        <f>'Progetto del paramento slu'!$G$60*(sezione!$AL$28-C349)/C349</f>
        <v>3.6846986186450368E-3</v>
      </c>
      <c r="L349" s="558">
        <f>'Progetto del paramento slu'!$G$60*(sezione!$AM$28-C349)/C349</f>
        <v>2.3442619819918891E-2</v>
      </c>
      <c r="M349" s="559">
        <f>'Progetto del paramento slu'!$G$60*(sezione!$AN$28-C349)/C349</f>
        <v>4.3200541021192744E-2</v>
      </c>
      <c r="N349" s="559">
        <f>'Progetto del paramento slu'!$G$60*(sezione!$AO$28-C349)/C349</f>
        <v>5.7569938258482813E-2</v>
      </c>
      <c r="O349" s="559">
        <f>'Progetto del paramento slu'!$G$60*(sezione!$AP$28-C349)/C349</f>
        <v>4.320071804802169E-2</v>
      </c>
      <c r="P349" s="553">
        <f>-'Progetto del paramento slu'!$G$47*'Progetto del paramento slu'!$G$41*IF(DATI!$G$218="dx",DATI!$E$61,DATI!$E$64*DATI!$E$63)*1000*C349*sezione!$AD$5</f>
        <v>-274670.47746147052</v>
      </c>
      <c r="Q349" s="553">
        <f>'Foglio deposito bis'!$F$48*IF(ABS(K349)&lt;'Progetto del paramento slu'!$G$58,ABS(K349)*'Progetto del paramento slu'!$G$54,'Progetto del paramento slu'!$G$53)*IF(K349&lt;0,-1,1)</f>
        <v>0</v>
      </c>
      <c r="R349" s="553">
        <f>'Foglio deposito bis'!$F$49*IF(ABS(L349)&lt;'Progetto del paramento slu'!$G$58,ABS(L349)*'Progetto del paramento slu'!$G$54,'Progetto del paramento slu'!$G$53)*IF(L349&lt;0,-1,1)</f>
        <v>204886.47740803001</v>
      </c>
      <c r="S349" s="553">
        <f>'Foglio deposito bis'!$F$50*IF(ABS(M349)&lt;'Progetto del paramento slu'!$G$58,ABS(M349)*'Progetto del paramento slu'!$G$54,'Progetto del paramento slu'!$G$53)*IF(M349&lt;0,-1,1)</f>
        <v>0</v>
      </c>
      <c r="T349" s="553">
        <f>'Foglio deposito bis'!$F$51*IF(ABS(N349)&lt;'Progetto del paramento slu'!$G$58,ABS(N349)*'Progetto del paramento slu'!$G$54,'Progetto del paramento slu'!$G$53)*IF(N349&lt;0,-1,1)</f>
        <v>240946.49743184328</v>
      </c>
      <c r="U349" s="553">
        <f>'Foglio deposito bis'!$F$52*IF(ABS(O349)&lt;'Progetto del paramento slu'!$G$58,ABS(O349)*'Progetto del paramento slu'!$G$54,'Progetto del paramento slu'!$G$53)*IF(O349&lt;0,-1,1)</f>
        <v>240946.49743184328</v>
      </c>
      <c r="V349" s="479">
        <f t="shared" si="29"/>
        <v>412108.99481024605</v>
      </c>
      <c r="W349" s="559"/>
      <c r="X349" s="559"/>
    </row>
    <row r="350" spans="1:24" x14ac:dyDescent="0.25">
      <c r="A350" s="553">
        <f t="shared" si="28"/>
        <v>409247.84400335577</v>
      </c>
      <c r="B350" s="3">
        <f t="shared" si="30"/>
        <v>4.8499999999999908</v>
      </c>
      <c r="C350" s="553">
        <f>'Foglio deposito bis'!$E$154/sezione!$B$247*B350</f>
        <v>19.688833288877881</v>
      </c>
      <c r="D350" s="611">
        <f>-'Progetto del paramento slu'!$G$47*'Progetto del paramento slu'!$G$41*IF(DATI!$G$218="dx",DATI!$E$61,DATI!$E$64*DATI!$E$63)*1000*C350^2*sezione!$AD$5*(1-sezione!$AD$6)</f>
        <v>-3191135.9934380855</v>
      </c>
      <c r="E350" s="553">
        <f>-'Foglio deposito bis'!$F$48*(C350-sezione!$AL$28)*IF(ABS(K350)&lt;'Progetto del paramento slu'!$G$58,ABS(K350)*'Progetto del paramento slu'!$G$54,'Progetto del paramento slu'!$G$53)</f>
        <v>0</v>
      </c>
      <c r="F350" s="553">
        <f>-'Foglio deposito bis'!$F$49*(C350-sezione!$AM$28)*IF(ABS(L350)&lt;'Progetto del paramento slu'!$G$58,ABS(L350)*'Progetto del paramento slu'!$G$54,'Progetto del paramento slu'!$G$53)</f>
        <v>26698995.914372355</v>
      </c>
      <c r="G350" s="553">
        <f>-'Foglio deposito bis'!$F$50*(C350-sezione!$AN$28)*IF(ABS(M350)&lt;'Progetto del paramento slu'!$G$58,ABS(M350)*'Progetto del paramento slu'!$G$54,'Progetto del paramento slu'!$G$53)</f>
        <v>0</v>
      </c>
      <c r="H350" s="553">
        <f>-'Foglio deposito bis'!$F$51*(C350-sezione!$AO$28)*IF(ABS(N350)&lt;'Progetto del paramento slu'!$G$58,ABS(N350)*'Progetto del paramento slu'!$G$54,'Progetto del paramento slu'!$G$53)</f>
        <v>77177853.707352102</v>
      </c>
      <c r="I350" s="479">
        <f>-'Foglio deposito bis'!$F$52*(C350-sezione!$AP$28)*IF(ABS(O350)&lt;'Progetto del paramento slu'!$G$58,ABS(O350)*'Progetto del paramento slu'!$G$54,'Progetto del paramento slu'!$G$53)</f>
        <v>57902371.384112217</v>
      </c>
      <c r="J350" s="479">
        <f t="shared" si="27"/>
        <v>158588085.01239857</v>
      </c>
      <c r="K350" s="558">
        <f>'Progetto del paramento slu'!$G$60*(sezione!$AL$28-C350)/C350</f>
        <v>3.6106295607208619E-3</v>
      </c>
      <c r="L350" s="558">
        <f>'Progetto del paramento slu'!$G$60*(sezione!$AM$28-C350)/C350</f>
        <v>2.3164860852703233E-2</v>
      </c>
      <c r="M350" s="559">
        <f>'Progetto del paramento slu'!$G$60*(sezione!$AN$28-C350)/C350</f>
        <v>4.2719092144685597E-2</v>
      </c>
      <c r="N350" s="559">
        <f>'Progetto del paramento slu'!$G$60*(sezione!$AO$28-C350)/C350</f>
        <v>5.6940351266127322E-2</v>
      </c>
      <c r="O350" s="559">
        <f>'Progetto del paramento slu'!$G$60*(sezione!$AP$28-C350)/C350</f>
        <v>4.2719267346495692E-2</v>
      </c>
      <c r="P350" s="553">
        <f>-'Progetto del paramento slu'!$G$47*'Progetto del paramento slu'!$G$41*IF(DATI!$G$218="dx",DATI!$E$61,DATI!$E$64*DATI!$E$63)*1000*C350*sezione!$AD$5</f>
        <v>-277531.6282683608</v>
      </c>
      <c r="Q350" s="553">
        <f>'Foglio deposito bis'!$F$48*IF(ABS(K350)&lt;'Progetto del paramento slu'!$G$58,ABS(K350)*'Progetto del paramento slu'!$G$54,'Progetto del paramento slu'!$G$53)*IF(K350&lt;0,-1,1)</f>
        <v>0</v>
      </c>
      <c r="R350" s="553">
        <f>'Foglio deposito bis'!$F$49*IF(ABS(L350)&lt;'Progetto del paramento slu'!$G$58,ABS(L350)*'Progetto del paramento slu'!$G$54,'Progetto del paramento slu'!$G$53)*IF(L350&lt;0,-1,1)</f>
        <v>204886.47740803001</v>
      </c>
      <c r="S350" s="553">
        <f>'Foglio deposito bis'!$F$50*IF(ABS(M350)&lt;'Progetto del paramento slu'!$G$58,ABS(M350)*'Progetto del paramento slu'!$G$54,'Progetto del paramento slu'!$G$53)*IF(M350&lt;0,-1,1)</f>
        <v>0</v>
      </c>
      <c r="T350" s="553">
        <f>'Foglio deposito bis'!$F$51*IF(ABS(N350)&lt;'Progetto del paramento slu'!$G$58,ABS(N350)*'Progetto del paramento slu'!$G$54,'Progetto del paramento slu'!$G$53)*IF(N350&lt;0,-1,1)</f>
        <v>240946.49743184328</v>
      </c>
      <c r="U350" s="553">
        <f>'Foglio deposito bis'!$F$52*IF(ABS(O350)&lt;'Progetto del paramento slu'!$G$58,ABS(O350)*'Progetto del paramento slu'!$G$54,'Progetto del paramento slu'!$G$53)*IF(O350&lt;0,-1,1)</f>
        <v>240946.49743184328</v>
      </c>
      <c r="V350" s="479">
        <f t="shared" si="29"/>
        <v>409247.84400335577</v>
      </c>
      <c r="W350" s="559"/>
      <c r="X350" s="559"/>
    </row>
    <row r="351" spans="1:24" x14ac:dyDescent="0.25">
      <c r="A351" s="553">
        <f t="shared" si="28"/>
        <v>406386.69319646544</v>
      </c>
      <c r="B351" s="3">
        <f t="shared" si="30"/>
        <v>4.8999999999999906</v>
      </c>
      <c r="C351" s="553">
        <f>'Foglio deposito bis'!$E$154/sezione!$B$247*B351</f>
        <v>19.891810951649816</v>
      </c>
      <c r="D351" s="611">
        <f>-'Progetto del paramento slu'!$G$47*'Progetto del paramento slu'!$G$41*IF(DATI!$G$218="dx",DATI!$E$61,DATI!$E$64*DATI!$E$63)*1000*C351^2*sezione!$AD$5*(1-sezione!$AD$6)</f>
        <v>-3257271.7696864037</v>
      </c>
      <c r="E351" s="553">
        <f>-'Foglio deposito bis'!$F$48*(C351-sezione!$AL$28)*IF(ABS(K351)&lt;'Progetto del paramento slu'!$G$58,ABS(K351)*'Progetto del paramento slu'!$G$54,'Progetto del paramento slu'!$G$53)</f>
        <v>0</v>
      </c>
      <c r="F351" s="553">
        <f>-'Foglio deposito bis'!$F$49*(C351-sezione!$AM$28)*IF(ABS(L351)&lt;'Progetto del paramento slu'!$G$58,ABS(L351)*'Progetto del paramento slu'!$G$54,'Progetto del paramento slu'!$G$53)</f>
        <v>26657408.536054503</v>
      </c>
      <c r="G351" s="553">
        <f>-'Foglio deposito bis'!$F$50*(C351-sezione!$AN$28)*IF(ABS(M351)&lt;'Progetto del paramento slu'!$G$58,ABS(M351)*'Progetto del paramento slu'!$G$54,'Progetto del paramento slu'!$G$53)</f>
        <v>0</v>
      </c>
      <c r="H351" s="553">
        <f>-'Foglio deposito bis'!$F$51*(C351-sezione!$AO$28)*IF(ABS(N351)&lt;'Progetto del paramento slu'!$G$58,ABS(N351)*'Progetto del paramento slu'!$G$54,'Progetto del paramento slu'!$G$53)</f>
        <v>77128946.950450316</v>
      </c>
      <c r="I351" s="479">
        <f>-'Foglio deposito bis'!$F$52*(C351-sezione!$AP$28)*IF(ABS(O351)&lt;'Progetto del paramento slu'!$G$58,ABS(O351)*'Progetto del paramento slu'!$G$54,'Progetto del paramento slu'!$G$53)</f>
        <v>57853464.627210423</v>
      </c>
      <c r="J351" s="479">
        <f t="shared" si="27"/>
        <v>158382548.34402883</v>
      </c>
      <c r="K351" s="558">
        <f>'Progetto del paramento slu'!$G$60*(sezione!$AL$28-C351)/C351</f>
        <v>3.5380721162237105E-3</v>
      </c>
      <c r="L351" s="558">
        <f>'Progetto del paramento slu'!$G$60*(sezione!$AM$28-C351)/C351</f>
        <v>2.2892770435838917E-2</v>
      </c>
      <c r="M351" s="559">
        <f>'Progetto del paramento slu'!$G$60*(sezione!$AN$28-C351)/C351</f>
        <v>4.2247468755454119E-2</v>
      </c>
      <c r="N351" s="559">
        <f>'Progetto del paramento slu'!$G$60*(sezione!$AO$28-C351)/C351</f>
        <v>5.632361298790154E-2</v>
      </c>
      <c r="O351" s="559">
        <f>'Progetto del paramento slu'!$G$60*(sezione!$AP$28-C351)/C351</f>
        <v>4.2247642169490639E-2</v>
      </c>
      <c r="P351" s="553">
        <f>-'Progetto del paramento slu'!$G$47*'Progetto del paramento slu'!$G$41*IF(DATI!$G$218="dx",DATI!$E$61,DATI!$E$64*DATI!$E$63)*1000*C351*sezione!$AD$5</f>
        <v>-280392.77907525114</v>
      </c>
      <c r="Q351" s="553">
        <f>'Foglio deposito bis'!$F$48*IF(ABS(K351)&lt;'Progetto del paramento slu'!$G$58,ABS(K351)*'Progetto del paramento slu'!$G$54,'Progetto del paramento slu'!$G$53)*IF(K351&lt;0,-1,1)</f>
        <v>0</v>
      </c>
      <c r="R351" s="553">
        <f>'Foglio deposito bis'!$F$49*IF(ABS(L351)&lt;'Progetto del paramento slu'!$G$58,ABS(L351)*'Progetto del paramento slu'!$G$54,'Progetto del paramento slu'!$G$53)*IF(L351&lt;0,-1,1)</f>
        <v>204886.47740803001</v>
      </c>
      <c r="S351" s="553">
        <f>'Foglio deposito bis'!$F$50*IF(ABS(M351)&lt;'Progetto del paramento slu'!$G$58,ABS(M351)*'Progetto del paramento slu'!$G$54,'Progetto del paramento slu'!$G$53)*IF(M351&lt;0,-1,1)</f>
        <v>0</v>
      </c>
      <c r="T351" s="553">
        <f>'Foglio deposito bis'!$F$51*IF(ABS(N351)&lt;'Progetto del paramento slu'!$G$58,ABS(N351)*'Progetto del paramento slu'!$G$54,'Progetto del paramento slu'!$G$53)*IF(N351&lt;0,-1,1)</f>
        <v>240946.49743184328</v>
      </c>
      <c r="U351" s="553">
        <f>'Foglio deposito bis'!$F$52*IF(ABS(O351)&lt;'Progetto del paramento slu'!$G$58,ABS(O351)*'Progetto del paramento slu'!$G$54,'Progetto del paramento slu'!$G$53)*IF(O351&lt;0,-1,1)</f>
        <v>240946.49743184328</v>
      </c>
      <c r="V351" s="479">
        <f t="shared" si="29"/>
        <v>406386.69319646544</v>
      </c>
      <c r="W351" s="559"/>
      <c r="X351" s="559"/>
    </row>
    <row r="352" spans="1:24" x14ac:dyDescent="0.25">
      <c r="A352" s="553">
        <f t="shared" si="28"/>
        <v>403525.54238957516</v>
      </c>
      <c r="B352" s="3">
        <f t="shared" si="30"/>
        <v>4.9499999999999904</v>
      </c>
      <c r="C352" s="553">
        <f>'Foglio deposito bis'!$E$154/sezione!$B$247*B352</f>
        <v>20.094788614421752</v>
      </c>
      <c r="D352" s="611">
        <f>-'Progetto del paramento slu'!$G$47*'Progetto del paramento slu'!$G$41*IF(DATI!$G$218="dx",DATI!$E$61,DATI!$E$64*DATI!$E$63)*1000*C352^2*sezione!$AD$5*(1-sezione!$AD$6)</f>
        <v>-3324085.8615885503</v>
      </c>
      <c r="E352" s="553">
        <f>-'Foglio deposito bis'!$F$48*(C352-sezione!$AL$28)*IF(ABS(K352)&lt;'Progetto del paramento slu'!$G$58,ABS(K352)*'Progetto del paramento slu'!$G$54,'Progetto del paramento slu'!$G$53)</f>
        <v>0</v>
      </c>
      <c r="F352" s="553">
        <f>-'Foglio deposito bis'!$F$49*(C352-sezione!$AM$28)*IF(ABS(L352)&lt;'Progetto del paramento slu'!$G$58,ABS(L352)*'Progetto del paramento slu'!$G$54,'Progetto del paramento slu'!$G$53)</f>
        <v>26615821.157736637</v>
      </c>
      <c r="G352" s="553">
        <f>-'Foglio deposito bis'!$F$50*(C352-sezione!$AN$28)*IF(ABS(M352)&lt;'Progetto del paramento slu'!$G$58,ABS(M352)*'Progetto del paramento slu'!$G$54,'Progetto del paramento slu'!$G$53)</f>
        <v>0</v>
      </c>
      <c r="H352" s="553">
        <f>-'Foglio deposito bis'!$F$51*(C352-sezione!$AO$28)*IF(ABS(N352)&lt;'Progetto del paramento slu'!$G$58,ABS(N352)*'Progetto del paramento slu'!$G$54,'Progetto del paramento slu'!$G$53)</f>
        <v>77080040.193548501</v>
      </c>
      <c r="I352" s="479">
        <f>-'Foglio deposito bis'!$F$52*(C352-sezione!$AP$28)*IF(ABS(O352)&lt;'Progetto del paramento slu'!$G$58,ABS(O352)*'Progetto del paramento slu'!$G$54,'Progetto del paramento slu'!$G$53)</f>
        <v>57804557.870308615</v>
      </c>
      <c r="J352" s="479">
        <f t="shared" si="27"/>
        <v>158176333.3600052</v>
      </c>
      <c r="K352" s="558">
        <f>'Progetto del paramento slu'!$G$60*(sezione!$AL$28-C352)/C352</f>
        <v>3.4669804786860979E-3</v>
      </c>
      <c r="L352" s="558">
        <f>'Progetto del paramento slu'!$G$60*(sezione!$AM$28-C352)/C352</f>
        <v>2.2626176795072866E-2</v>
      </c>
      <c r="M352" s="559">
        <f>'Progetto del paramento slu'!$G$60*(sezione!$AN$28-C352)/C352</f>
        <v>4.1785373111459634E-2</v>
      </c>
      <c r="N352" s="559">
        <f>'Progetto del paramento slu'!$G$60*(sezione!$AO$28-C352)/C352</f>
        <v>5.5719334068831831E-2</v>
      </c>
      <c r="O352" s="559">
        <f>'Progetto del paramento slu'!$G$60*(sezione!$AP$28-C352)/C352</f>
        <v>4.1785544773839223E-2</v>
      </c>
      <c r="P352" s="553">
        <f>-'Progetto del paramento slu'!$G$47*'Progetto del paramento slu'!$G$41*IF(DATI!$G$218="dx",DATI!$E$61,DATI!$E$64*DATI!$E$63)*1000*C352*sezione!$AD$5</f>
        <v>-283253.92988214141</v>
      </c>
      <c r="Q352" s="553">
        <f>'Foglio deposito bis'!$F$48*IF(ABS(K352)&lt;'Progetto del paramento slu'!$G$58,ABS(K352)*'Progetto del paramento slu'!$G$54,'Progetto del paramento slu'!$G$53)*IF(K352&lt;0,-1,1)</f>
        <v>0</v>
      </c>
      <c r="R352" s="553">
        <f>'Foglio deposito bis'!$F$49*IF(ABS(L352)&lt;'Progetto del paramento slu'!$G$58,ABS(L352)*'Progetto del paramento slu'!$G$54,'Progetto del paramento slu'!$G$53)*IF(L352&lt;0,-1,1)</f>
        <v>204886.47740803001</v>
      </c>
      <c r="S352" s="553">
        <f>'Foglio deposito bis'!$F$50*IF(ABS(M352)&lt;'Progetto del paramento slu'!$G$58,ABS(M352)*'Progetto del paramento slu'!$G$54,'Progetto del paramento slu'!$G$53)*IF(M352&lt;0,-1,1)</f>
        <v>0</v>
      </c>
      <c r="T352" s="553">
        <f>'Foglio deposito bis'!$F$51*IF(ABS(N352)&lt;'Progetto del paramento slu'!$G$58,ABS(N352)*'Progetto del paramento slu'!$G$54,'Progetto del paramento slu'!$G$53)*IF(N352&lt;0,-1,1)</f>
        <v>240946.49743184328</v>
      </c>
      <c r="U352" s="553">
        <f>'Foglio deposito bis'!$F$52*IF(ABS(O352)&lt;'Progetto del paramento slu'!$G$58,ABS(O352)*'Progetto del paramento slu'!$G$54,'Progetto del paramento slu'!$G$53)*IF(O352&lt;0,-1,1)</f>
        <v>240946.49743184328</v>
      </c>
      <c r="V352" s="479">
        <f t="shared" si="29"/>
        <v>403525.54238957516</v>
      </c>
      <c r="W352" s="559"/>
      <c r="X352" s="559"/>
    </row>
    <row r="353" spans="1:24" x14ac:dyDescent="0.25">
      <c r="A353" s="553">
        <f t="shared" si="28"/>
        <v>400664.39158268482</v>
      </c>
      <c r="B353" s="3">
        <f t="shared" si="30"/>
        <v>4.9999999999999902</v>
      </c>
      <c r="C353" s="553">
        <f>'Foglio deposito bis'!$E$154/sezione!$B$247*B353</f>
        <v>20.297766277193691</v>
      </c>
      <c r="D353" s="611">
        <f>-'Progetto del paramento slu'!$G$47*'Progetto del paramento slu'!$G$41*IF(DATI!$G$218="dx",DATI!$E$61,DATI!$E$64*DATI!$E$63)*1000*C353^2*sezione!$AD$5*(1-sezione!$AD$6)</f>
        <v>-3391578.2691445267</v>
      </c>
      <c r="E353" s="553">
        <f>-'Foglio deposito bis'!$F$48*(C353-sezione!$AL$28)*IF(ABS(K353)&lt;'Progetto del paramento slu'!$G$58,ABS(K353)*'Progetto del paramento slu'!$G$54,'Progetto del paramento slu'!$G$53)</f>
        <v>0</v>
      </c>
      <c r="F353" s="553">
        <f>-'Foglio deposito bis'!$F$49*(C353-sezione!$AM$28)*IF(ABS(L353)&lt;'Progetto del paramento slu'!$G$58,ABS(L353)*'Progetto del paramento slu'!$G$54,'Progetto del paramento slu'!$G$53)</f>
        <v>26574233.779418785</v>
      </c>
      <c r="G353" s="553">
        <f>-'Foglio deposito bis'!$F$50*(C353-sezione!$AN$28)*IF(ABS(M353)&lt;'Progetto del paramento slu'!$G$58,ABS(M353)*'Progetto del paramento slu'!$G$54,'Progetto del paramento slu'!$G$53)</f>
        <v>0</v>
      </c>
      <c r="H353" s="553">
        <f>-'Foglio deposito bis'!$F$51*(C353-sezione!$AO$28)*IF(ABS(N353)&lt;'Progetto del paramento slu'!$G$58,ABS(N353)*'Progetto del paramento slu'!$G$54,'Progetto del paramento slu'!$G$53)</f>
        <v>77031133.4366467</v>
      </c>
      <c r="I353" s="479">
        <f>-'Foglio deposito bis'!$F$52*(C353-sezione!$AP$28)*IF(ABS(O353)&lt;'Progetto del paramento slu'!$G$58,ABS(O353)*'Progetto del paramento slu'!$G$54,'Progetto del paramento slu'!$G$53)</f>
        <v>57755651.113406815</v>
      </c>
      <c r="J353" s="479">
        <f t="shared" si="27"/>
        <v>157969440.06032777</v>
      </c>
      <c r="K353" s="558">
        <f>'Progetto del paramento slu'!$G$60*(sezione!$AL$28-C353)/C353</f>
        <v>3.3973106738992356E-3</v>
      </c>
      <c r="L353" s="558">
        <f>'Progetto del paramento slu'!$G$60*(sezione!$AM$28-C353)/C353</f>
        <v>2.2364915027122134E-2</v>
      </c>
      <c r="M353" s="559">
        <f>'Progetto del paramento slu'!$G$60*(sezione!$AN$28-C353)/C353</f>
        <v>4.1332519380345031E-2</v>
      </c>
      <c r="N353" s="559">
        <f>'Progetto del paramento slu'!$G$60*(sezione!$AO$28-C353)/C353</f>
        <v>5.5127140728143502E-2</v>
      </c>
      <c r="O353" s="559">
        <f>'Progetto del paramento slu'!$G$60*(sezione!$AP$28-C353)/C353</f>
        <v>4.1332689326100819E-2</v>
      </c>
      <c r="P353" s="553">
        <f>-'Progetto del paramento slu'!$G$47*'Progetto del paramento slu'!$G$41*IF(DATI!$G$218="dx",DATI!$E$61,DATI!$E$64*DATI!$E$63)*1000*C353*sezione!$AD$5</f>
        <v>-286115.08068903175</v>
      </c>
      <c r="Q353" s="553">
        <f>'Foglio deposito bis'!$F$48*IF(ABS(K353)&lt;'Progetto del paramento slu'!$G$58,ABS(K353)*'Progetto del paramento slu'!$G$54,'Progetto del paramento slu'!$G$53)*IF(K353&lt;0,-1,1)</f>
        <v>0</v>
      </c>
      <c r="R353" s="553">
        <f>'Foglio deposito bis'!$F$49*IF(ABS(L353)&lt;'Progetto del paramento slu'!$G$58,ABS(L353)*'Progetto del paramento slu'!$G$54,'Progetto del paramento slu'!$G$53)*IF(L353&lt;0,-1,1)</f>
        <v>204886.47740803001</v>
      </c>
      <c r="S353" s="553">
        <f>'Foglio deposito bis'!$F$50*IF(ABS(M353)&lt;'Progetto del paramento slu'!$G$58,ABS(M353)*'Progetto del paramento slu'!$G$54,'Progetto del paramento slu'!$G$53)*IF(M353&lt;0,-1,1)</f>
        <v>0</v>
      </c>
      <c r="T353" s="553">
        <f>'Foglio deposito bis'!$F$51*IF(ABS(N353)&lt;'Progetto del paramento slu'!$G$58,ABS(N353)*'Progetto del paramento slu'!$G$54,'Progetto del paramento slu'!$G$53)*IF(N353&lt;0,-1,1)</f>
        <v>240946.49743184328</v>
      </c>
      <c r="U353" s="553">
        <f>'Foglio deposito bis'!$F$52*IF(ABS(O353)&lt;'Progetto del paramento slu'!$G$58,ABS(O353)*'Progetto del paramento slu'!$G$54,'Progetto del paramento slu'!$G$53)*IF(O353&lt;0,-1,1)</f>
        <v>240946.49743184328</v>
      </c>
      <c r="V353" s="479">
        <f t="shared" si="29"/>
        <v>400664.39158268482</v>
      </c>
      <c r="W353" s="559"/>
      <c r="X353" s="559"/>
    </row>
    <row r="354" spans="1:24" x14ac:dyDescent="0.25">
      <c r="A354" s="553">
        <f t="shared" si="28"/>
        <v>397803.24077579449</v>
      </c>
      <c r="B354" s="3">
        <f t="shared" si="30"/>
        <v>5.0499999999999901</v>
      </c>
      <c r="C354" s="553">
        <f>'Foglio deposito bis'!$E$154/sezione!$B$247*B354</f>
        <v>20.500743939965627</v>
      </c>
      <c r="D354" s="611">
        <f>-'Progetto del paramento slu'!$G$47*'Progetto del paramento slu'!$G$41*IF(DATI!$G$218="dx",DATI!$E$61,DATI!$E$64*DATI!$E$63)*1000*C354^2*sezione!$AD$5*(1-sezione!$AD$6)</f>
        <v>-3459748.9923543315</v>
      </c>
      <c r="E354" s="553">
        <f>-'Foglio deposito bis'!$F$48*(C354-sezione!$AL$28)*IF(ABS(K354)&lt;'Progetto del paramento slu'!$G$58,ABS(K354)*'Progetto del paramento slu'!$G$54,'Progetto del paramento slu'!$G$53)</f>
        <v>0</v>
      </c>
      <c r="F354" s="553">
        <f>-'Foglio deposito bis'!$F$49*(C354-sezione!$AM$28)*IF(ABS(L354)&lt;'Progetto del paramento slu'!$G$58,ABS(L354)*'Progetto del paramento slu'!$G$54,'Progetto del paramento slu'!$G$53)</f>
        <v>26532646.40110093</v>
      </c>
      <c r="G354" s="553">
        <f>-'Foglio deposito bis'!$F$50*(C354-sezione!$AN$28)*IF(ABS(M354)&lt;'Progetto del paramento slu'!$G$58,ABS(M354)*'Progetto del paramento slu'!$G$54,'Progetto del paramento slu'!$G$53)</f>
        <v>0</v>
      </c>
      <c r="H354" s="553">
        <f>-'Foglio deposito bis'!$F$51*(C354-sezione!$AO$28)*IF(ABS(N354)&lt;'Progetto del paramento slu'!$G$58,ABS(N354)*'Progetto del paramento slu'!$G$54,'Progetto del paramento slu'!$G$53)</f>
        <v>76982226.679744914</v>
      </c>
      <c r="I354" s="479">
        <f>-'Foglio deposito bis'!$F$52*(C354-sezione!$AP$28)*IF(ABS(O354)&lt;'Progetto del paramento slu'!$G$58,ABS(O354)*'Progetto del paramento slu'!$G$54,'Progetto del paramento slu'!$G$53)</f>
        <v>57706744.356505021</v>
      </c>
      <c r="J354" s="479">
        <f t="shared" si="27"/>
        <v>157761868.44499654</v>
      </c>
      <c r="K354" s="558">
        <f>'Progetto del paramento slu'!$G$60*(sezione!$AL$28-C354)/C354</f>
        <v>3.3290204692071647E-3</v>
      </c>
      <c r="L354" s="558">
        <f>'Progetto del paramento slu'!$G$60*(sezione!$AM$28-C354)/C354</f>
        <v>2.2108826759526867E-2</v>
      </c>
      <c r="M354" s="559">
        <f>'Progetto del paramento slu'!$G$60*(sezione!$AN$28-C354)/C354</f>
        <v>4.0888633049846572E-2</v>
      </c>
      <c r="N354" s="559">
        <f>'Progetto del paramento slu'!$G$60*(sezione!$AO$28-C354)/C354</f>
        <v>5.4546673988260894E-2</v>
      </c>
      <c r="O354" s="559">
        <f>'Progetto del paramento slu'!$G$60*(sezione!$AP$28-C354)/C354</f>
        <v>4.0888801312971117E-2</v>
      </c>
      <c r="P354" s="553">
        <f>-'Progetto del paramento slu'!$G$47*'Progetto del paramento slu'!$G$41*IF(DATI!$G$218="dx",DATI!$E$61,DATI!$E$64*DATI!$E$63)*1000*C354*sezione!$AD$5</f>
        <v>-288976.23149592208</v>
      </c>
      <c r="Q354" s="553">
        <f>'Foglio deposito bis'!$F$48*IF(ABS(K354)&lt;'Progetto del paramento slu'!$G$58,ABS(K354)*'Progetto del paramento slu'!$G$54,'Progetto del paramento slu'!$G$53)*IF(K354&lt;0,-1,1)</f>
        <v>0</v>
      </c>
      <c r="R354" s="553">
        <f>'Foglio deposito bis'!$F$49*IF(ABS(L354)&lt;'Progetto del paramento slu'!$G$58,ABS(L354)*'Progetto del paramento slu'!$G$54,'Progetto del paramento slu'!$G$53)*IF(L354&lt;0,-1,1)</f>
        <v>204886.47740803001</v>
      </c>
      <c r="S354" s="553">
        <f>'Foglio deposito bis'!$F$50*IF(ABS(M354)&lt;'Progetto del paramento slu'!$G$58,ABS(M354)*'Progetto del paramento slu'!$G$54,'Progetto del paramento slu'!$G$53)*IF(M354&lt;0,-1,1)</f>
        <v>0</v>
      </c>
      <c r="T354" s="553">
        <f>'Foglio deposito bis'!$F$51*IF(ABS(N354)&lt;'Progetto del paramento slu'!$G$58,ABS(N354)*'Progetto del paramento slu'!$G$54,'Progetto del paramento slu'!$G$53)*IF(N354&lt;0,-1,1)</f>
        <v>240946.49743184328</v>
      </c>
      <c r="U354" s="553">
        <f>'Foglio deposito bis'!$F$52*IF(ABS(O354)&lt;'Progetto del paramento slu'!$G$58,ABS(O354)*'Progetto del paramento slu'!$G$54,'Progetto del paramento slu'!$G$53)*IF(O354&lt;0,-1,1)</f>
        <v>240946.49743184328</v>
      </c>
      <c r="V354" s="479">
        <f t="shared" si="29"/>
        <v>397803.24077579449</v>
      </c>
      <c r="W354" s="559"/>
      <c r="X354" s="559"/>
    </row>
    <row r="355" spans="1:24" x14ac:dyDescent="0.25">
      <c r="A355" s="553">
        <f t="shared" si="28"/>
        <v>394942.08996890421</v>
      </c>
      <c r="B355" s="3">
        <f t="shared" si="30"/>
        <v>5.0999999999999899</v>
      </c>
      <c r="C355" s="553">
        <f>'Foglio deposito bis'!$E$154/sezione!$B$247*B355</f>
        <v>20.703721602737563</v>
      </c>
      <c r="D355" s="611">
        <f>-'Progetto del paramento slu'!$G$47*'Progetto del paramento slu'!$G$41*IF(DATI!$G$218="dx",DATI!$E$61,DATI!$E$64*DATI!$E$63)*1000*C355^2*sezione!$AD$5*(1-sezione!$AD$6)</f>
        <v>-3528598.0312179653</v>
      </c>
      <c r="E355" s="553">
        <f>-'Foglio deposito bis'!$F$48*(C355-sezione!$AL$28)*IF(ABS(K355)&lt;'Progetto del paramento slu'!$G$58,ABS(K355)*'Progetto del paramento slu'!$G$54,'Progetto del paramento slu'!$G$53)</f>
        <v>0</v>
      </c>
      <c r="F355" s="553">
        <f>-'Foglio deposito bis'!$F$49*(C355-sezione!$AM$28)*IF(ABS(L355)&lt;'Progetto del paramento slu'!$G$58,ABS(L355)*'Progetto del paramento slu'!$G$54,'Progetto del paramento slu'!$G$53)</f>
        <v>26491059.022783067</v>
      </c>
      <c r="G355" s="553">
        <f>-'Foglio deposito bis'!$F$50*(C355-sezione!$AN$28)*IF(ABS(M355)&lt;'Progetto del paramento slu'!$G$58,ABS(M355)*'Progetto del paramento slu'!$G$54,'Progetto del paramento slu'!$G$53)</f>
        <v>0</v>
      </c>
      <c r="H355" s="553">
        <f>-'Foglio deposito bis'!$F$51*(C355-sezione!$AO$28)*IF(ABS(N355)&lt;'Progetto del paramento slu'!$G$58,ABS(N355)*'Progetto del paramento slu'!$G$54,'Progetto del paramento slu'!$G$53)</f>
        <v>76933319.922843099</v>
      </c>
      <c r="I355" s="479">
        <f>-'Foglio deposito bis'!$F$52*(C355-sezione!$AP$28)*IF(ABS(O355)&lt;'Progetto del paramento slu'!$G$58,ABS(O355)*'Progetto del paramento slu'!$G$54,'Progetto del paramento slu'!$G$53)</f>
        <v>57657837.599603213</v>
      </c>
      <c r="J355" s="479">
        <f t="shared" si="27"/>
        <v>157553618.51401141</v>
      </c>
      <c r="K355" s="558">
        <f>'Progetto del paramento slu'!$G$60*(sezione!$AL$28-C355)/C355</f>
        <v>3.2620692881365062E-3</v>
      </c>
      <c r="L355" s="558">
        <f>'Progetto del paramento slu'!$G$60*(sezione!$AM$28-C355)/C355</f>
        <v>2.1857759830511896E-2</v>
      </c>
      <c r="M355" s="559">
        <f>'Progetto del paramento slu'!$G$60*(sezione!$AN$28-C355)/C355</f>
        <v>4.0453450372887292E-2</v>
      </c>
      <c r="N355" s="559">
        <f>'Progetto del paramento slu'!$G$60*(sezione!$AO$28-C355)/C355</f>
        <v>5.3977588949160299E-2</v>
      </c>
      <c r="O355" s="559">
        <f>'Progetto del paramento slu'!$G$60*(sezione!$AP$28-C355)/C355</f>
        <v>4.0453616986373356E-2</v>
      </c>
      <c r="P355" s="553">
        <f>-'Progetto del paramento slu'!$G$47*'Progetto del paramento slu'!$G$41*IF(DATI!$G$218="dx",DATI!$E$61,DATI!$E$64*DATI!$E$63)*1000*C355*sezione!$AD$5</f>
        <v>-291837.38230281236</v>
      </c>
      <c r="Q355" s="553">
        <f>'Foglio deposito bis'!$F$48*IF(ABS(K355)&lt;'Progetto del paramento slu'!$G$58,ABS(K355)*'Progetto del paramento slu'!$G$54,'Progetto del paramento slu'!$G$53)*IF(K355&lt;0,-1,1)</f>
        <v>0</v>
      </c>
      <c r="R355" s="553">
        <f>'Foglio deposito bis'!$F$49*IF(ABS(L355)&lt;'Progetto del paramento slu'!$G$58,ABS(L355)*'Progetto del paramento slu'!$G$54,'Progetto del paramento slu'!$G$53)*IF(L355&lt;0,-1,1)</f>
        <v>204886.47740803001</v>
      </c>
      <c r="S355" s="553">
        <f>'Foglio deposito bis'!$F$50*IF(ABS(M355)&lt;'Progetto del paramento slu'!$G$58,ABS(M355)*'Progetto del paramento slu'!$G$54,'Progetto del paramento slu'!$G$53)*IF(M355&lt;0,-1,1)</f>
        <v>0</v>
      </c>
      <c r="T355" s="553">
        <f>'Foglio deposito bis'!$F$51*IF(ABS(N355)&lt;'Progetto del paramento slu'!$G$58,ABS(N355)*'Progetto del paramento slu'!$G$54,'Progetto del paramento slu'!$G$53)*IF(N355&lt;0,-1,1)</f>
        <v>240946.49743184328</v>
      </c>
      <c r="U355" s="553">
        <f>'Foglio deposito bis'!$F$52*IF(ABS(O355)&lt;'Progetto del paramento slu'!$G$58,ABS(O355)*'Progetto del paramento slu'!$G$54,'Progetto del paramento slu'!$G$53)*IF(O355&lt;0,-1,1)</f>
        <v>240946.49743184328</v>
      </c>
      <c r="V355" s="479">
        <f t="shared" si="29"/>
        <v>394942.08996890421</v>
      </c>
      <c r="W355" s="559"/>
      <c r="X355" s="559"/>
    </row>
    <row r="356" spans="1:24" x14ac:dyDescent="0.25">
      <c r="A356" s="553">
        <f t="shared" si="28"/>
        <v>383497.48674134287</v>
      </c>
      <c r="B356" s="3">
        <f>B355+0.2</f>
        <v>5.2999999999999901</v>
      </c>
      <c r="C356" s="553">
        <f>'Foglio deposito bis'!$E$154/sezione!$B$247*B356</f>
        <v>21.515632253825313</v>
      </c>
      <c r="D356" s="611">
        <f>-'Progetto del paramento slu'!$G$47*'Progetto del paramento slu'!$G$41*IF(DATI!$G$218="dx",DATI!$E$61,DATI!$E$64*DATI!$E$63)*1000*C356^2*sezione!$AD$5*(1-sezione!$AD$6)</f>
        <v>-3810777.3432107908</v>
      </c>
      <c r="E356" s="553">
        <f>-'Foglio deposito bis'!$F$48*(C356-sezione!$AL$28)*IF(ABS(K356)&lt;'Progetto del paramento slu'!$G$58,ABS(K356)*'Progetto del paramento slu'!$G$54,'Progetto del paramento slu'!$G$53)</f>
        <v>0</v>
      </c>
      <c r="F356" s="553">
        <f>-'Foglio deposito bis'!$F$49*(C356-sezione!$AM$28)*IF(ABS(L356)&lt;'Progetto del paramento slu'!$G$58,ABS(L356)*'Progetto del paramento slu'!$G$54,'Progetto del paramento slu'!$G$53)</f>
        <v>26324709.509511642</v>
      </c>
      <c r="G356" s="553">
        <f>-'Foglio deposito bis'!$F$50*(C356-sezione!$AN$28)*IF(ABS(M356)&lt;'Progetto del paramento slu'!$G$58,ABS(M356)*'Progetto del paramento slu'!$G$54,'Progetto del paramento slu'!$G$53)</f>
        <v>0</v>
      </c>
      <c r="H356" s="553">
        <f>-'Foglio deposito bis'!$F$51*(C356-sezione!$AO$28)*IF(ABS(N356)&lt;'Progetto del paramento slu'!$G$58,ABS(N356)*'Progetto del paramento slu'!$G$54,'Progetto del paramento slu'!$G$53)</f>
        <v>76737692.895235911</v>
      </c>
      <c r="I356" s="479">
        <f>-'Foglio deposito bis'!$F$52*(C356-sezione!$AP$28)*IF(ABS(O356)&lt;'Progetto del paramento slu'!$G$58,ABS(O356)*'Progetto del paramento slu'!$G$54,'Progetto del paramento slu'!$G$53)</f>
        <v>57462210.571996003</v>
      </c>
      <c r="J356" s="479">
        <f t="shared" si="27"/>
        <v>156713835.63353276</v>
      </c>
      <c r="K356" s="558">
        <f>'Progetto del paramento slu'!$G$60*(sezione!$AL$28-C356)/C356</f>
        <v>3.0068968621690902E-3</v>
      </c>
      <c r="L356" s="558">
        <f>'Progetto del paramento slu'!$G$60*(sezione!$AM$28-C356)/C356</f>
        <v>2.0900863233134087E-2</v>
      </c>
      <c r="M356" s="559">
        <f>'Progetto del paramento slu'!$G$60*(sezione!$AN$28-C356)/C356</f>
        <v>3.8794829604099086E-2</v>
      </c>
      <c r="N356" s="559">
        <f>'Progetto del paramento slu'!$G$60*(sezione!$AO$28-C356)/C356</f>
        <v>5.1808623328437275E-2</v>
      </c>
      <c r="O356" s="559">
        <f>'Progetto del paramento slu'!$G$60*(sezione!$AP$28-C356)/C356</f>
        <v>3.8794989930283796E-2</v>
      </c>
      <c r="P356" s="553">
        <f>-'Progetto del paramento slu'!$G$47*'Progetto del paramento slu'!$G$41*IF(DATI!$G$218="dx",DATI!$E$61,DATI!$E$64*DATI!$E$63)*1000*C356*sezione!$AD$5</f>
        <v>-303281.9855303737</v>
      </c>
      <c r="Q356" s="553">
        <f>'Foglio deposito bis'!$F$48*IF(ABS(K356)&lt;'Progetto del paramento slu'!$G$58,ABS(K356)*'Progetto del paramento slu'!$G$54,'Progetto del paramento slu'!$G$53)*IF(K356&lt;0,-1,1)</f>
        <v>0</v>
      </c>
      <c r="R356" s="553">
        <f>'Foglio deposito bis'!$F$49*IF(ABS(L356)&lt;'Progetto del paramento slu'!$G$58,ABS(L356)*'Progetto del paramento slu'!$G$54,'Progetto del paramento slu'!$G$53)*IF(L356&lt;0,-1,1)</f>
        <v>204886.47740803001</v>
      </c>
      <c r="S356" s="553">
        <f>'Foglio deposito bis'!$F$50*IF(ABS(M356)&lt;'Progetto del paramento slu'!$G$58,ABS(M356)*'Progetto del paramento slu'!$G$54,'Progetto del paramento slu'!$G$53)*IF(M356&lt;0,-1,1)</f>
        <v>0</v>
      </c>
      <c r="T356" s="553">
        <f>'Foglio deposito bis'!$F$51*IF(ABS(N356)&lt;'Progetto del paramento slu'!$G$58,ABS(N356)*'Progetto del paramento slu'!$G$54,'Progetto del paramento slu'!$G$53)*IF(N356&lt;0,-1,1)</f>
        <v>240946.49743184328</v>
      </c>
      <c r="U356" s="553">
        <f>'Foglio deposito bis'!$F$52*IF(ABS(O356)&lt;'Progetto del paramento slu'!$G$58,ABS(O356)*'Progetto del paramento slu'!$G$54,'Progetto del paramento slu'!$G$53)*IF(O356&lt;0,-1,1)</f>
        <v>240946.49743184328</v>
      </c>
      <c r="V356" s="479">
        <f t="shared" si="29"/>
        <v>383497.48674134287</v>
      </c>
      <c r="W356" s="559"/>
      <c r="X356" s="559"/>
    </row>
    <row r="357" spans="1:24" x14ac:dyDescent="0.25">
      <c r="A357" s="553">
        <f t="shared" si="28"/>
        <v>372052.88351378159</v>
      </c>
      <c r="B357" s="3">
        <f t="shared" ref="B357:B420" si="31">B356+0.2</f>
        <v>5.4999999999999902</v>
      </c>
      <c r="C357" s="553">
        <f>'Foglio deposito bis'!$E$154/sezione!$B$247*B357</f>
        <v>22.327542904913063</v>
      </c>
      <c r="D357" s="611">
        <f>-'Progetto del paramento slu'!$G$47*'Progetto del paramento slu'!$G$41*IF(DATI!$G$218="dx",DATI!$E$61,DATI!$E$64*DATI!$E$63)*1000*C357^2*sezione!$AD$5*(1-sezione!$AD$6)</f>
        <v>-4103809.7056648787</v>
      </c>
      <c r="E357" s="553">
        <f>-'Foglio deposito bis'!$F$48*(C357-sezione!$AL$28)*IF(ABS(K357)&lt;'Progetto del paramento slu'!$G$58,ABS(K357)*'Progetto del paramento slu'!$G$54,'Progetto del paramento slu'!$G$53)</f>
        <v>0</v>
      </c>
      <c r="F357" s="553">
        <f>-'Foglio deposito bis'!$F$49*(C357-sezione!$AM$28)*IF(ABS(L357)&lt;'Progetto del paramento slu'!$G$58,ABS(L357)*'Progetto del paramento slu'!$G$54,'Progetto del paramento slu'!$G$53)</f>
        <v>26158359.99624021</v>
      </c>
      <c r="G357" s="553">
        <f>-'Foglio deposito bis'!$F$50*(C357-sezione!$AN$28)*IF(ABS(M357)&lt;'Progetto del paramento slu'!$G$58,ABS(M357)*'Progetto del paramento slu'!$G$54,'Progetto del paramento slu'!$G$53)</f>
        <v>0</v>
      </c>
      <c r="H357" s="553">
        <f>-'Foglio deposito bis'!$F$51*(C357-sezione!$AO$28)*IF(ABS(N357)&lt;'Progetto del paramento slu'!$G$58,ABS(N357)*'Progetto del paramento slu'!$G$54,'Progetto del paramento slu'!$G$53)</f>
        <v>76542065.867628708</v>
      </c>
      <c r="I357" s="479">
        <f>-'Foglio deposito bis'!$F$52*(C357-sezione!$AP$28)*IF(ABS(O357)&lt;'Progetto del paramento slu'!$G$58,ABS(O357)*'Progetto del paramento slu'!$G$54,'Progetto del paramento slu'!$G$53)</f>
        <v>57266583.544388808</v>
      </c>
      <c r="J357" s="479">
        <f t="shared" si="27"/>
        <v>155863199.70259285</v>
      </c>
      <c r="K357" s="558">
        <f>'Progetto del paramento slu'!$G$60*(sezione!$AL$28-C357)/C357</f>
        <v>2.7702824308174865E-3</v>
      </c>
      <c r="L357" s="558">
        <f>'Progetto del paramento slu'!$G$60*(sezione!$AM$28-C357)/C357</f>
        <v>2.0013559115565575E-2</v>
      </c>
      <c r="M357" s="559">
        <f>'Progetto del paramento slu'!$G$60*(sezione!$AN$28-C357)/C357</f>
        <v>3.7256835800313658E-2</v>
      </c>
      <c r="N357" s="559">
        <f>'Progetto del paramento slu'!$G$60*(sezione!$AO$28-C357)/C357</f>
        <v>4.9797400661948633E-2</v>
      </c>
      <c r="O357" s="559">
        <f>'Progetto del paramento slu'!$G$60*(sezione!$AP$28-C357)/C357</f>
        <v>3.7256990296455288E-2</v>
      </c>
      <c r="P357" s="553">
        <f>-'Progetto del paramento slu'!$G$47*'Progetto del paramento slu'!$G$41*IF(DATI!$G$218="dx",DATI!$E$61,DATI!$E$64*DATI!$E$63)*1000*C357*sezione!$AD$5</f>
        <v>-314726.58875793498</v>
      </c>
      <c r="Q357" s="553">
        <f>'Foglio deposito bis'!$F$48*IF(ABS(K357)&lt;'Progetto del paramento slu'!$G$58,ABS(K357)*'Progetto del paramento slu'!$G$54,'Progetto del paramento slu'!$G$53)*IF(K357&lt;0,-1,1)</f>
        <v>0</v>
      </c>
      <c r="R357" s="553">
        <f>'Foglio deposito bis'!$F$49*IF(ABS(L357)&lt;'Progetto del paramento slu'!$G$58,ABS(L357)*'Progetto del paramento slu'!$G$54,'Progetto del paramento slu'!$G$53)*IF(L357&lt;0,-1,1)</f>
        <v>204886.47740803001</v>
      </c>
      <c r="S357" s="553">
        <f>'Foglio deposito bis'!$F$50*IF(ABS(M357)&lt;'Progetto del paramento slu'!$G$58,ABS(M357)*'Progetto del paramento slu'!$G$54,'Progetto del paramento slu'!$G$53)*IF(M357&lt;0,-1,1)</f>
        <v>0</v>
      </c>
      <c r="T357" s="553">
        <f>'Foglio deposito bis'!$F$51*IF(ABS(N357)&lt;'Progetto del paramento slu'!$G$58,ABS(N357)*'Progetto del paramento slu'!$G$54,'Progetto del paramento slu'!$G$53)*IF(N357&lt;0,-1,1)</f>
        <v>240946.49743184328</v>
      </c>
      <c r="U357" s="553">
        <f>'Foglio deposito bis'!$F$52*IF(ABS(O357)&lt;'Progetto del paramento slu'!$G$58,ABS(O357)*'Progetto del paramento slu'!$G$54,'Progetto del paramento slu'!$G$53)*IF(O357&lt;0,-1,1)</f>
        <v>240946.49743184328</v>
      </c>
      <c r="V357" s="479">
        <f t="shared" si="29"/>
        <v>372052.88351378159</v>
      </c>
      <c r="W357" s="559"/>
      <c r="X357" s="559"/>
    </row>
    <row r="358" spans="1:24" x14ac:dyDescent="0.25">
      <c r="A358" s="553">
        <f t="shared" si="28"/>
        <v>360608.28028622025</v>
      </c>
      <c r="B358" s="3">
        <f t="shared" si="31"/>
        <v>5.6999999999999904</v>
      </c>
      <c r="C358" s="553">
        <f>'Foglio deposito bis'!$E$154/sezione!$B$247*B358</f>
        <v>23.139453556000813</v>
      </c>
      <c r="D358" s="611">
        <f>-'Progetto del paramento slu'!$G$47*'Progetto del paramento slu'!$G$41*IF(DATI!$G$218="dx",DATI!$E$61,DATI!$E$64*DATI!$E$63)*1000*C358^2*sezione!$AD$5*(1-sezione!$AD$6)</f>
        <v>-4407695.1185802286</v>
      </c>
      <c r="E358" s="553">
        <f>-'Foglio deposito bis'!$F$48*(C358-sezione!$AL$28)*IF(ABS(K358)&lt;'Progetto del paramento slu'!$G$58,ABS(K358)*'Progetto del paramento slu'!$G$54,'Progetto del paramento slu'!$G$53)</f>
        <v>0</v>
      </c>
      <c r="F358" s="553">
        <f>-'Foglio deposito bis'!$F$49*(C358-sezione!$AM$28)*IF(ABS(L358)&lt;'Progetto del paramento slu'!$G$58,ABS(L358)*'Progetto del paramento slu'!$G$54,'Progetto del paramento slu'!$G$53)</f>
        <v>25992010.482968781</v>
      </c>
      <c r="G358" s="553">
        <f>-'Foglio deposito bis'!$F$50*(C358-sezione!$AN$28)*IF(ABS(M358)&lt;'Progetto del paramento slu'!$G$58,ABS(M358)*'Progetto del paramento slu'!$G$54,'Progetto del paramento slu'!$G$53)</f>
        <v>0</v>
      </c>
      <c r="H358" s="553">
        <f>-'Foglio deposito bis'!$F$51*(C358-sezione!$AO$28)*IF(ABS(N358)&lt;'Progetto del paramento slu'!$G$58,ABS(N358)*'Progetto del paramento slu'!$G$54,'Progetto del paramento slu'!$G$53)</f>
        <v>76346438.840021491</v>
      </c>
      <c r="I358" s="479">
        <f>-'Foglio deposito bis'!$F$52*(C358-sezione!$AP$28)*IF(ABS(O358)&lt;'Progetto del paramento slu'!$G$58,ABS(O358)*'Progetto del paramento slu'!$G$54,'Progetto del paramento slu'!$G$53)</f>
        <v>57070956.516781613</v>
      </c>
      <c r="J358" s="479">
        <f t="shared" si="27"/>
        <v>155001710.72119164</v>
      </c>
      <c r="K358" s="558">
        <f>'Progetto del paramento slu'!$G$60*(sezione!$AL$28-C358)/C358</f>
        <v>2.5502725209642406E-3</v>
      </c>
      <c r="L358" s="558">
        <f>'Progetto del paramento slu'!$G$60*(sezione!$AM$28-C358)/C358</f>
        <v>1.9188521953615902E-2</v>
      </c>
      <c r="M358" s="559">
        <f>'Progetto del paramento slu'!$G$60*(sezione!$AN$28-C358)/C358</f>
        <v>3.5826771386267567E-2</v>
      </c>
      <c r="N358" s="559">
        <f>'Progetto del paramento slu'!$G$60*(sezione!$AO$28-C358)/C358</f>
        <v>4.7927316428196046E-2</v>
      </c>
      <c r="O358" s="559">
        <f>'Progetto del paramento slu'!$G$60*(sezione!$AP$28-C358)/C358</f>
        <v>3.582692046149194E-2</v>
      </c>
      <c r="P358" s="553">
        <f>-'Progetto del paramento slu'!$G$47*'Progetto del paramento slu'!$G$41*IF(DATI!$G$218="dx",DATI!$E$61,DATI!$E$64*DATI!$E$63)*1000*C358*sezione!$AD$5</f>
        <v>-326171.19198549632</v>
      </c>
      <c r="Q358" s="553">
        <f>'Foglio deposito bis'!$F$48*IF(ABS(K358)&lt;'Progetto del paramento slu'!$G$58,ABS(K358)*'Progetto del paramento slu'!$G$54,'Progetto del paramento slu'!$G$53)*IF(K358&lt;0,-1,1)</f>
        <v>0</v>
      </c>
      <c r="R358" s="553">
        <f>'Foglio deposito bis'!$F$49*IF(ABS(L358)&lt;'Progetto del paramento slu'!$G$58,ABS(L358)*'Progetto del paramento slu'!$G$54,'Progetto del paramento slu'!$G$53)*IF(L358&lt;0,-1,1)</f>
        <v>204886.47740803001</v>
      </c>
      <c r="S358" s="553">
        <f>'Foglio deposito bis'!$F$50*IF(ABS(M358)&lt;'Progetto del paramento slu'!$G$58,ABS(M358)*'Progetto del paramento slu'!$G$54,'Progetto del paramento slu'!$G$53)*IF(M358&lt;0,-1,1)</f>
        <v>0</v>
      </c>
      <c r="T358" s="553">
        <f>'Foglio deposito bis'!$F$51*IF(ABS(N358)&lt;'Progetto del paramento slu'!$G$58,ABS(N358)*'Progetto del paramento slu'!$G$54,'Progetto del paramento slu'!$G$53)*IF(N358&lt;0,-1,1)</f>
        <v>240946.49743184328</v>
      </c>
      <c r="U358" s="553">
        <f>'Foglio deposito bis'!$F$52*IF(ABS(O358)&lt;'Progetto del paramento slu'!$G$58,ABS(O358)*'Progetto del paramento slu'!$G$54,'Progetto del paramento slu'!$G$53)*IF(O358&lt;0,-1,1)</f>
        <v>240946.49743184328</v>
      </c>
      <c r="V358" s="479">
        <f t="shared" si="29"/>
        <v>360608.28028622025</v>
      </c>
      <c r="W358" s="559"/>
      <c r="X358" s="559"/>
    </row>
    <row r="359" spans="1:24" x14ac:dyDescent="0.25">
      <c r="A359" s="553">
        <f t="shared" si="28"/>
        <v>349163.67705865897</v>
      </c>
      <c r="B359" s="3">
        <f t="shared" si="31"/>
        <v>5.8999999999999906</v>
      </c>
      <c r="C359" s="553">
        <f>'Foglio deposito bis'!$E$154/sezione!$B$247*B359</f>
        <v>23.951364207088563</v>
      </c>
      <c r="D359" s="611">
        <f>-'Progetto del paramento slu'!$G$47*'Progetto del paramento slu'!$G$41*IF(DATI!$G$218="dx",DATI!$E$61,DATI!$E$64*DATI!$E$63)*1000*C359^2*sezione!$AD$5*(1-sezione!$AD$6)</f>
        <v>-4722433.581956842</v>
      </c>
      <c r="E359" s="553">
        <f>-'Foglio deposito bis'!$F$48*(C359-sezione!$AL$28)*IF(ABS(K359)&lt;'Progetto del paramento slu'!$G$58,ABS(K359)*'Progetto del paramento slu'!$G$54,'Progetto del paramento slu'!$G$53)</f>
        <v>0</v>
      </c>
      <c r="F359" s="553">
        <f>-'Foglio deposito bis'!$F$49*(C359-sezione!$AM$28)*IF(ABS(L359)&lt;'Progetto del paramento slu'!$G$58,ABS(L359)*'Progetto del paramento slu'!$G$54,'Progetto del paramento slu'!$G$53)</f>
        <v>25825660.969697356</v>
      </c>
      <c r="G359" s="553">
        <f>-'Foglio deposito bis'!$F$50*(C359-sezione!$AN$28)*IF(ABS(M359)&lt;'Progetto del paramento slu'!$G$58,ABS(M359)*'Progetto del paramento slu'!$G$54,'Progetto del paramento slu'!$G$53)</f>
        <v>0</v>
      </c>
      <c r="H359" s="553">
        <f>-'Foglio deposito bis'!$F$51*(C359-sezione!$AO$28)*IF(ABS(N359)&lt;'Progetto del paramento slu'!$G$58,ABS(N359)*'Progetto del paramento slu'!$G$54,'Progetto del paramento slu'!$G$53)</f>
        <v>76150811.812414318</v>
      </c>
      <c r="I359" s="479">
        <f>-'Foglio deposito bis'!$F$52*(C359-sezione!$AP$28)*IF(ABS(O359)&lt;'Progetto del paramento slu'!$G$58,ABS(O359)*'Progetto del paramento slu'!$G$54,'Progetto del paramento slu'!$G$53)</f>
        <v>56875329.489174411</v>
      </c>
      <c r="J359" s="479">
        <f t="shared" si="27"/>
        <v>154129368.68932927</v>
      </c>
      <c r="K359" s="558">
        <f>'Progetto del paramento slu'!$G$60*(sezione!$AL$28-C359)/C359</f>
        <v>2.3451785372027405E-3</v>
      </c>
      <c r="L359" s="558">
        <f>'Progetto del paramento slu'!$G$60*(sezione!$AM$28-C359)/C359</f>
        <v>1.8419419514510278E-2</v>
      </c>
      <c r="M359" s="559">
        <f>'Progetto del paramento slu'!$G$60*(sezione!$AN$28-C359)/C359</f>
        <v>3.4493660491817811E-2</v>
      </c>
      <c r="N359" s="559">
        <f>'Progetto del paramento slu'!$G$60*(sezione!$AO$28-C359)/C359</f>
        <v>4.6184017566223298E-2</v>
      </c>
      <c r="O359" s="559">
        <f>'Progetto del paramento slu'!$G$60*(sezione!$AP$28-C359)/C359</f>
        <v>3.4493804513644755E-2</v>
      </c>
      <c r="P359" s="553">
        <f>-'Progetto del paramento slu'!$G$47*'Progetto del paramento slu'!$G$41*IF(DATI!$G$218="dx",DATI!$E$61,DATI!$E$64*DATI!$E$63)*1000*C359*sezione!$AD$5</f>
        <v>-337615.7952130576</v>
      </c>
      <c r="Q359" s="553">
        <f>'Foglio deposito bis'!$F$48*IF(ABS(K359)&lt;'Progetto del paramento slu'!$G$58,ABS(K359)*'Progetto del paramento slu'!$G$54,'Progetto del paramento slu'!$G$53)*IF(K359&lt;0,-1,1)</f>
        <v>0</v>
      </c>
      <c r="R359" s="553">
        <f>'Foglio deposito bis'!$F$49*IF(ABS(L359)&lt;'Progetto del paramento slu'!$G$58,ABS(L359)*'Progetto del paramento slu'!$G$54,'Progetto del paramento slu'!$G$53)*IF(L359&lt;0,-1,1)</f>
        <v>204886.47740803001</v>
      </c>
      <c r="S359" s="553">
        <f>'Foglio deposito bis'!$F$50*IF(ABS(M359)&lt;'Progetto del paramento slu'!$G$58,ABS(M359)*'Progetto del paramento slu'!$G$54,'Progetto del paramento slu'!$G$53)*IF(M359&lt;0,-1,1)</f>
        <v>0</v>
      </c>
      <c r="T359" s="553">
        <f>'Foglio deposito bis'!$F$51*IF(ABS(N359)&lt;'Progetto del paramento slu'!$G$58,ABS(N359)*'Progetto del paramento slu'!$G$54,'Progetto del paramento slu'!$G$53)*IF(N359&lt;0,-1,1)</f>
        <v>240946.49743184328</v>
      </c>
      <c r="U359" s="553">
        <f>'Foglio deposito bis'!$F$52*IF(ABS(O359)&lt;'Progetto del paramento slu'!$G$58,ABS(O359)*'Progetto del paramento slu'!$G$54,'Progetto del paramento slu'!$G$53)*IF(O359&lt;0,-1,1)</f>
        <v>240946.49743184328</v>
      </c>
      <c r="V359" s="479">
        <f t="shared" si="29"/>
        <v>349163.67705865897</v>
      </c>
      <c r="W359" s="559"/>
      <c r="X359" s="559"/>
    </row>
    <row r="360" spans="1:24" x14ac:dyDescent="0.25">
      <c r="A360" s="553">
        <f t="shared" si="28"/>
        <v>337719.07383109769</v>
      </c>
      <c r="B360" s="3">
        <f t="shared" si="31"/>
        <v>6.0999999999999908</v>
      </c>
      <c r="C360" s="553">
        <f>'Foglio deposito bis'!$E$154/sezione!$B$247*B360</f>
        <v>24.763274858176313</v>
      </c>
      <c r="D360" s="611">
        <f>-'Progetto del paramento slu'!$G$47*'Progetto del paramento slu'!$G$41*IF(DATI!$G$218="dx",DATI!$E$61,DATI!$E$64*DATI!$E$63)*1000*C360^2*sezione!$AD$5*(1-sezione!$AD$6)</f>
        <v>-5048025.0957947178</v>
      </c>
      <c r="E360" s="553">
        <f>-'Foglio deposito bis'!$F$48*(C360-sezione!$AL$28)*IF(ABS(K360)&lt;'Progetto del paramento slu'!$G$58,ABS(K360)*'Progetto del paramento slu'!$G$54,'Progetto del paramento slu'!$G$53)</f>
        <v>0</v>
      </c>
      <c r="F360" s="553">
        <f>-'Foglio deposito bis'!$F$49*(C360-sezione!$AM$28)*IF(ABS(L360)&lt;'Progetto del paramento slu'!$G$58,ABS(L360)*'Progetto del paramento slu'!$G$54,'Progetto del paramento slu'!$G$53)</f>
        <v>25659311.456425924</v>
      </c>
      <c r="G360" s="553">
        <f>-'Foglio deposito bis'!$F$50*(C360-sezione!$AN$28)*IF(ABS(M360)&lt;'Progetto del paramento slu'!$G$58,ABS(M360)*'Progetto del paramento slu'!$G$54,'Progetto del paramento slu'!$G$53)</f>
        <v>0</v>
      </c>
      <c r="H360" s="553">
        <f>-'Foglio deposito bis'!$F$51*(C360-sezione!$AO$28)*IF(ABS(N360)&lt;'Progetto del paramento slu'!$G$58,ABS(N360)*'Progetto del paramento slu'!$G$54,'Progetto del paramento slu'!$G$53)</f>
        <v>75955184.784807101</v>
      </c>
      <c r="I360" s="479">
        <f>-'Foglio deposito bis'!$F$52*(C360-sezione!$AP$28)*IF(ABS(O360)&lt;'Progetto del paramento slu'!$G$58,ABS(O360)*'Progetto del paramento slu'!$G$54,'Progetto del paramento slu'!$G$53)</f>
        <v>56679702.461567201</v>
      </c>
      <c r="J360" s="479">
        <f t="shared" si="27"/>
        <v>153246173.60700551</v>
      </c>
      <c r="K360" s="558">
        <f>'Progetto del paramento slu'!$G$60*(sezione!$AL$28-C360)/C360</f>
        <v>2.1535333392616665E-3</v>
      </c>
      <c r="L360" s="558">
        <f>'Progetto del paramento slu'!$G$60*(sezione!$AM$28-C360)/C360</f>
        <v>1.7700750022231249E-2</v>
      </c>
      <c r="M360" s="559">
        <f>'Progetto del paramento slu'!$G$60*(sezione!$AN$28-C360)/C360</f>
        <v>3.3247966705200832E-2</v>
      </c>
      <c r="N360" s="559">
        <f>'Progetto del paramento slu'!$G$60*(sezione!$AO$28-C360)/C360</f>
        <v>4.4555033383724164E-2</v>
      </c>
      <c r="O360" s="559">
        <f>'Progetto del paramento slu'!$G$60*(sezione!$AP$28-C360)/C360</f>
        <v>3.3248106005000659E-2</v>
      </c>
      <c r="P360" s="553">
        <f>-'Progetto del paramento slu'!$G$47*'Progetto del paramento slu'!$G$41*IF(DATI!$G$218="dx",DATI!$E$61,DATI!$E$64*DATI!$E$63)*1000*C360*sezione!$AD$5</f>
        <v>-349060.39844061888</v>
      </c>
      <c r="Q360" s="553">
        <f>'Foglio deposito bis'!$F$48*IF(ABS(K360)&lt;'Progetto del paramento slu'!$G$58,ABS(K360)*'Progetto del paramento slu'!$G$54,'Progetto del paramento slu'!$G$53)*IF(K360&lt;0,-1,1)</f>
        <v>0</v>
      </c>
      <c r="R360" s="553">
        <f>'Foglio deposito bis'!$F$49*IF(ABS(L360)&lt;'Progetto del paramento slu'!$G$58,ABS(L360)*'Progetto del paramento slu'!$G$54,'Progetto del paramento slu'!$G$53)*IF(L360&lt;0,-1,1)</f>
        <v>204886.47740803001</v>
      </c>
      <c r="S360" s="553">
        <f>'Foglio deposito bis'!$F$50*IF(ABS(M360)&lt;'Progetto del paramento slu'!$G$58,ABS(M360)*'Progetto del paramento slu'!$G$54,'Progetto del paramento slu'!$G$53)*IF(M360&lt;0,-1,1)</f>
        <v>0</v>
      </c>
      <c r="T360" s="553">
        <f>'Foglio deposito bis'!$F$51*IF(ABS(N360)&lt;'Progetto del paramento slu'!$G$58,ABS(N360)*'Progetto del paramento slu'!$G$54,'Progetto del paramento slu'!$G$53)*IF(N360&lt;0,-1,1)</f>
        <v>240946.49743184328</v>
      </c>
      <c r="U360" s="553">
        <f>'Foglio deposito bis'!$F$52*IF(ABS(O360)&lt;'Progetto del paramento slu'!$G$58,ABS(O360)*'Progetto del paramento slu'!$G$54,'Progetto del paramento slu'!$G$53)*IF(O360&lt;0,-1,1)</f>
        <v>240946.49743184328</v>
      </c>
      <c r="V360" s="479">
        <f t="shared" si="29"/>
        <v>337719.07383109769</v>
      </c>
      <c r="W360" s="559"/>
      <c r="X360" s="559"/>
    </row>
    <row r="361" spans="1:24" x14ac:dyDescent="0.25">
      <c r="A361" s="553">
        <f t="shared" si="28"/>
        <v>326274.47060353635</v>
      </c>
      <c r="B361" s="3">
        <f t="shared" si="31"/>
        <v>6.2999999999999909</v>
      </c>
      <c r="C361" s="553">
        <f>'Foglio deposito bis'!$E$154/sezione!$B$247*B361</f>
        <v>25.575185509264063</v>
      </c>
      <c r="D361" s="611">
        <f>-'Progetto del paramento slu'!$G$47*'Progetto del paramento slu'!$G$41*IF(DATI!$G$218="dx",DATI!$E$61,DATI!$E$64*DATI!$E$63)*1000*C361^2*sezione!$AD$5*(1-sezione!$AD$6)</f>
        <v>-5384469.660093856</v>
      </c>
      <c r="E361" s="553">
        <f>-'Foglio deposito bis'!$F$48*(C361-sezione!$AL$28)*IF(ABS(K361)&lt;'Progetto del paramento slu'!$G$58,ABS(K361)*'Progetto del paramento slu'!$G$54,'Progetto del paramento slu'!$G$53)</f>
        <v>0</v>
      </c>
      <c r="F361" s="553">
        <f>-'Foglio deposito bis'!$F$49*(C361-sezione!$AM$28)*IF(ABS(L361)&lt;'Progetto del paramento slu'!$G$58,ABS(L361)*'Progetto del paramento slu'!$G$54,'Progetto del paramento slu'!$G$53)</f>
        <v>25492961.943154495</v>
      </c>
      <c r="G361" s="553">
        <f>-'Foglio deposito bis'!$F$50*(C361-sezione!$AN$28)*IF(ABS(M361)&lt;'Progetto del paramento slu'!$G$58,ABS(M361)*'Progetto del paramento slu'!$G$54,'Progetto del paramento slu'!$G$53)</f>
        <v>0</v>
      </c>
      <c r="H361" s="553">
        <f>-'Foglio deposito bis'!$F$51*(C361-sezione!$AO$28)*IF(ABS(N361)&lt;'Progetto del paramento slu'!$G$58,ABS(N361)*'Progetto del paramento slu'!$G$54,'Progetto del paramento slu'!$G$53)</f>
        <v>75759557.757199898</v>
      </c>
      <c r="I361" s="479">
        <f>-'Foglio deposito bis'!$F$52*(C361-sezione!$AP$28)*IF(ABS(O361)&lt;'Progetto del paramento slu'!$G$58,ABS(O361)*'Progetto del paramento slu'!$G$54,'Progetto del paramento slu'!$G$53)</f>
        <v>56484075.433960006</v>
      </c>
      <c r="J361" s="479">
        <f t="shared" si="27"/>
        <v>152352125.47422054</v>
      </c>
      <c r="K361" s="558">
        <f>'Progetto del paramento slu'!$G$60*(sezione!$AL$28-C361)/C361</f>
        <v>1.9740560903962162E-3</v>
      </c>
      <c r="L361" s="558">
        <f>'Progetto del paramento slu'!$G$60*(sezione!$AM$28-C361)/C361</f>
        <v>1.7027710338985813E-2</v>
      </c>
      <c r="M361" s="559">
        <f>'Progetto del paramento slu'!$G$60*(sezione!$AN$28-C361)/C361</f>
        <v>3.2081364587575406E-2</v>
      </c>
      <c r="N361" s="559">
        <f>'Progetto del paramento slu'!$G$60*(sezione!$AO$28-C361)/C361</f>
        <v>4.3029476768367839E-2</v>
      </c>
      <c r="O361" s="559">
        <f>'Progetto del paramento slu'!$G$60*(sezione!$AP$28-C361)/C361</f>
        <v>3.2081499465159362E-2</v>
      </c>
      <c r="P361" s="553">
        <f>-'Progetto del paramento slu'!$G$47*'Progetto del paramento slu'!$G$41*IF(DATI!$G$218="dx",DATI!$E$61,DATI!$E$64*DATI!$E$63)*1000*C361*sezione!$AD$5</f>
        <v>-360505.00166818022</v>
      </c>
      <c r="Q361" s="553">
        <f>'Foglio deposito bis'!$F$48*IF(ABS(K361)&lt;'Progetto del paramento slu'!$G$58,ABS(K361)*'Progetto del paramento slu'!$G$54,'Progetto del paramento slu'!$G$53)*IF(K361&lt;0,-1,1)</f>
        <v>0</v>
      </c>
      <c r="R361" s="553">
        <f>'Foglio deposito bis'!$F$49*IF(ABS(L361)&lt;'Progetto del paramento slu'!$G$58,ABS(L361)*'Progetto del paramento slu'!$G$54,'Progetto del paramento slu'!$G$53)*IF(L361&lt;0,-1,1)</f>
        <v>204886.47740803001</v>
      </c>
      <c r="S361" s="553">
        <f>'Foglio deposito bis'!$F$50*IF(ABS(M361)&lt;'Progetto del paramento slu'!$G$58,ABS(M361)*'Progetto del paramento slu'!$G$54,'Progetto del paramento slu'!$G$53)*IF(M361&lt;0,-1,1)</f>
        <v>0</v>
      </c>
      <c r="T361" s="553">
        <f>'Foglio deposito bis'!$F$51*IF(ABS(N361)&lt;'Progetto del paramento slu'!$G$58,ABS(N361)*'Progetto del paramento slu'!$G$54,'Progetto del paramento slu'!$G$53)*IF(N361&lt;0,-1,1)</f>
        <v>240946.49743184328</v>
      </c>
      <c r="U361" s="553">
        <f>'Foglio deposito bis'!$F$52*IF(ABS(O361)&lt;'Progetto del paramento slu'!$G$58,ABS(O361)*'Progetto del paramento slu'!$G$54,'Progetto del paramento slu'!$G$53)*IF(O361&lt;0,-1,1)</f>
        <v>240946.49743184328</v>
      </c>
      <c r="V361" s="479">
        <f t="shared" si="29"/>
        <v>326274.47060353635</v>
      </c>
      <c r="W361" s="559"/>
      <c r="X361" s="559"/>
    </row>
    <row r="362" spans="1:24" x14ac:dyDescent="0.25">
      <c r="A362" s="553">
        <f t="shared" si="28"/>
        <v>314829.86737597507</v>
      </c>
      <c r="B362" s="3">
        <f t="shared" si="31"/>
        <v>6.4999999999999911</v>
      </c>
      <c r="C362" s="553">
        <f>'Foglio deposito bis'!$E$154/sezione!$B$247*B362</f>
        <v>26.387096160351813</v>
      </c>
      <c r="D362" s="611">
        <f>-'Progetto del paramento slu'!$G$47*'Progetto del paramento slu'!$G$41*IF(DATI!$G$218="dx",DATI!$E$61,DATI!$E$64*DATI!$E$63)*1000*C362^2*sezione!$AD$5*(1-sezione!$AD$6)</f>
        <v>-5731767.2748542568</v>
      </c>
      <c r="E362" s="553">
        <f>-'Foglio deposito bis'!$F$48*(C362-sezione!$AL$28)*IF(ABS(K362)&lt;'Progetto del paramento slu'!$G$58,ABS(K362)*'Progetto del paramento slu'!$G$54,'Progetto del paramento slu'!$G$53)</f>
        <v>0</v>
      </c>
      <c r="F362" s="553">
        <f>-'Foglio deposito bis'!$F$49*(C362-sezione!$AM$28)*IF(ABS(L362)&lt;'Progetto del paramento slu'!$G$58,ABS(L362)*'Progetto del paramento slu'!$G$54,'Progetto del paramento slu'!$G$53)</f>
        <v>25326612.429883063</v>
      </c>
      <c r="G362" s="553">
        <f>-'Foglio deposito bis'!$F$50*(C362-sezione!$AN$28)*IF(ABS(M362)&lt;'Progetto del paramento slu'!$G$58,ABS(M362)*'Progetto del paramento slu'!$G$54,'Progetto del paramento slu'!$G$53)</f>
        <v>0</v>
      </c>
      <c r="H362" s="553">
        <f>-'Foglio deposito bis'!$F$51*(C362-sezione!$AO$28)*IF(ABS(N362)&lt;'Progetto del paramento slu'!$G$58,ABS(N362)*'Progetto del paramento slu'!$G$54,'Progetto del paramento slu'!$G$53)</f>
        <v>75563930.729592711</v>
      </c>
      <c r="I362" s="479">
        <f>-'Foglio deposito bis'!$F$52*(C362-sezione!$AP$28)*IF(ABS(O362)&lt;'Progetto del paramento slu'!$G$58,ABS(O362)*'Progetto del paramento slu'!$G$54,'Progetto del paramento slu'!$G$53)</f>
        <v>56288448.406352811</v>
      </c>
      <c r="J362" s="479">
        <f t="shared" si="27"/>
        <v>151447224.29097432</v>
      </c>
      <c r="K362" s="558">
        <f>'Progetto del paramento slu'!$G$60*(sezione!$AL$28-C362)/C362</f>
        <v>1.8056235953071017E-3</v>
      </c>
      <c r="L362" s="558">
        <f>'Progetto del paramento slu'!$G$60*(sezione!$AM$28-C362)/C362</f>
        <v>1.6396088482401629E-2</v>
      </c>
      <c r="M362" s="559">
        <f>'Progetto del paramento slu'!$G$60*(sezione!$AN$28-C362)/C362</f>
        <v>3.0986553369496163E-2</v>
      </c>
      <c r="N362" s="559">
        <f>'Progetto del paramento slu'!$G$60*(sezione!$AO$28-C362)/C362</f>
        <v>4.1597800560110365E-2</v>
      </c>
      <c r="O362" s="559">
        <f>'Progetto del paramento slu'!$G$60*(sezione!$AP$28-C362)/C362</f>
        <v>3.0986684097000613E-2</v>
      </c>
      <c r="P362" s="553">
        <f>-'Progetto del paramento slu'!$G$47*'Progetto del paramento slu'!$G$41*IF(DATI!$G$218="dx",DATI!$E$61,DATI!$E$64*DATI!$E$63)*1000*C362*sezione!$AD$5</f>
        <v>-371949.6048957415</v>
      </c>
      <c r="Q362" s="553">
        <f>'Foglio deposito bis'!$F$48*IF(ABS(K362)&lt;'Progetto del paramento slu'!$G$58,ABS(K362)*'Progetto del paramento slu'!$G$54,'Progetto del paramento slu'!$G$53)*IF(K362&lt;0,-1,1)</f>
        <v>0</v>
      </c>
      <c r="R362" s="553">
        <f>'Foglio deposito bis'!$F$49*IF(ABS(L362)&lt;'Progetto del paramento slu'!$G$58,ABS(L362)*'Progetto del paramento slu'!$G$54,'Progetto del paramento slu'!$G$53)*IF(L362&lt;0,-1,1)</f>
        <v>204886.47740803001</v>
      </c>
      <c r="S362" s="553">
        <f>'Foglio deposito bis'!$F$50*IF(ABS(M362)&lt;'Progetto del paramento slu'!$G$58,ABS(M362)*'Progetto del paramento slu'!$G$54,'Progetto del paramento slu'!$G$53)*IF(M362&lt;0,-1,1)</f>
        <v>0</v>
      </c>
      <c r="T362" s="553">
        <f>'Foglio deposito bis'!$F$51*IF(ABS(N362)&lt;'Progetto del paramento slu'!$G$58,ABS(N362)*'Progetto del paramento slu'!$G$54,'Progetto del paramento slu'!$G$53)*IF(N362&lt;0,-1,1)</f>
        <v>240946.49743184328</v>
      </c>
      <c r="U362" s="553">
        <f>'Foglio deposito bis'!$F$52*IF(ABS(O362)&lt;'Progetto del paramento slu'!$G$58,ABS(O362)*'Progetto del paramento slu'!$G$54,'Progetto del paramento slu'!$G$53)*IF(O362&lt;0,-1,1)</f>
        <v>240946.49743184328</v>
      </c>
      <c r="V362" s="479">
        <f t="shared" si="29"/>
        <v>314829.86737597507</v>
      </c>
      <c r="W362" s="559"/>
      <c r="X362" s="559"/>
    </row>
    <row r="363" spans="1:24" x14ac:dyDescent="0.25">
      <c r="A363" s="553">
        <f t="shared" si="28"/>
        <v>303385.26414841379</v>
      </c>
      <c r="B363" s="3">
        <f t="shared" si="31"/>
        <v>6.6999999999999913</v>
      </c>
      <c r="C363" s="553">
        <f>'Foglio deposito bis'!$E$154/sezione!$B$247*B363</f>
        <v>27.199006811439563</v>
      </c>
      <c r="D363" s="611">
        <f>-'Progetto del paramento slu'!$G$47*'Progetto del paramento slu'!$G$41*IF(DATI!$G$218="dx",DATI!$E$61,DATI!$E$64*DATI!$E$63)*1000*C363^2*sezione!$AD$5*(1-sezione!$AD$6)</f>
        <v>-6089917.94007592</v>
      </c>
      <c r="E363" s="553">
        <f>-'Foglio deposito bis'!$F$48*(C363-sezione!$AL$28)*IF(ABS(K363)&lt;'Progetto del paramento slu'!$G$58,ABS(K363)*'Progetto del paramento slu'!$G$54,'Progetto del paramento slu'!$G$53)</f>
        <v>0</v>
      </c>
      <c r="F363" s="553">
        <f>-'Foglio deposito bis'!$F$49*(C363-sezione!$AM$28)*IF(ABS(L363)&lt;'Progetto del paramento slu'!$G$58,ABS(L363)*'Progetto del paramento slu'!$G$54,'Progetto del paramento slu'!$G$53)</f>
        <v>25160262.916611634</v>
      </c>
      <c r="G363" s="553">
        <f>-'Foglio deposito bis'!$F$50*(C363-sezione!$AN$28)*IF(ABS(M363)&lt;'Progetto del paramento slu'!$G$58,ABS(M363)*'Progetto del paramento slu'!$G$54,'Progetto del paramento slu'!$G$53)</f>
        <v>0</v>
      </c>
      <c r="H363" s="553">
        <f>-'Foglio deposito bis'!$F$51*(C363-sezione!$AO$28)*IF(ABS(N363)&lt;'Progetto del paramento slu'!$G$58,ABS(N363)*'Progetto del paramento slu'!$G$54,'Progetto del paramento slu'!$G$53)</f>
        <v>75368303.701985493</v>
      </c>
      <c r="I363" s="479">
        <f>-'Foglio deposito bis'!$F$52*(C363-sezione!$AP$28)*IF(ABS(O363)&lt;'Progetto del paramento slu'!$G$58,ABS(O363)*'Progetto del paramento slu'!$G$54,'Progetto del paramento slu'!$G$53)</f>
        <v>56092821.378745608</v>
      </c>
      <c r="J363" s="479">
        <f t="shared" si="27"/>
        <v>150531470.05726683</v>
      </c>
      <c r="K363" s="558">
        <f>'Progetto del paramento slu'!$G$60*(sezione!$AL$28-C363)/C363</f>
        <v>1.6472467715665908E-3</v>
      </c>
      <c r="L363" s="558">
        <f>'Progetto del paramento slu'!$G$60*(sezione!$AM$28-C363)/C363</f>
        <v>1.5802175393374716E-2</v>
      </c>
      <c r="M363" s="559">
        <f>'Progetto del paramento slu'!$G$60*(sezione!$AN$28-C363)/C363</f>
        <v>2.9957104015182839E-2</v>
      </c>
      <c r="N363" s="559">
        <f>'Progetto del paramento slu'!$G$60*(sezione!$AO$28-C363)/C363</f>
        <v>4.0251597558316018E-2</v>
      </c>
      <c r="O363" s="559">
        <f>'Progetto del paramento slu'!$G$60*(sezione!$AP$28-C363)/C363</f>
        <v>2.9957230840373727E-2</v>
      </c>
      <c r="P363" s="553">
        <f>-'Progetto del paramento slu'!$G$47*'Progetto del paramento slu'!$G$41*IF(DATI!$G$218="dx",DATI!$E$61,DATI!$E$64*DATI!$E$63)*1000*C363*sezione!$AD$5</f>
        <v>-383394.20812330279</v>
      </c>
      <c r="Q363" s="553">
        <f>'Foglio deposito bis'!$F$48*IF(ABS(K363)&lt;'Progetto del paramento slu'!$G$58,ABS(K363)*'Progetto del paramento slu'!$G$54,'Progetto del paramento slu'!$G$53)*IF(K363&lt;0,-1,1)</f>
        <v>0</v>
      </c>
      <c r="R363" s="553">
        <f>'Foglio deposito bis'!$F$49*IF(ABS(L363)&lt;'Progetto del paramento slu'!$G$58,ABS(L363)*'Progetto del paramento slu'!$G$54,'Progetto del paramento slu'!$G$53)*IF(L363&lt;0,-1,1)</f>
        <v>204886.47740803001</v>
      </c>
      <c r="S363" s="553">
        <f>'Foglio deposito bis'!$F$50*IF(ABS(M363)&lt;'Progetto del paramento slu'!$G$58,ABS(M363)*'Progetto del paramento slu'!$G$54,'Progetto del paramento slu'!$G$53)*IF(M363&lt;0,-1,1)</f>
        <v>0</v>
      </c>
      <c r="T363" s="553">
        <f>'Foglio deposito bis'!$F$51*IF(ABS(N363)&lt;'Progetto del paramento slu'!$G$58,ABS(N363)*'Progetto del paramento slu'!$G$54,'Progetto del paramento slu'!$G$53)*IF(N363&lt;0,-1,1)</f>
        <v>240946.49743184328</v>
      </c>
      <c r="U363" s="553">
        <f>'Foglio deposito bis'!$F$52*IF(ABS(O363)&lt;'Progetto del paramento slu'!$G$58,ABS(O363)*'Progetto del paramento slu'!$G$54,'Progetto del paramento slu'!$G$53)*IF(O363&lt;0,-1,1)</f>
        <v>240946.49743184328</v>
      </c>
      <c r="V363" s="479">
        <f t="shared" si="29"/>
        <v>303385.26414841379</v>
      </c>
      <c r="W363" s="559"/>
      <c r="X363" s="559"/>
    </row>
    <row r="364" spans="1:24" x14ac:dyDescent="0.25">
      <c r="A364" s="553">
        <f t="shared" si="28"/>
        <v>291940.66092085245</v>
      </c>
      <c r="B364" s="3">
        <f t="shared" si="31"/>
        <v>6.8999999999999915</v>
      </c>
      <c r="C364" s="553">
        <f>'Foglio deposito bis'!$E$154/sezione!$B$247*B364</f>
        <v>28.010917462527313</v>
      </c>
      <c r="D364" s="611">
        <f>-'Progetto del paramento slu'!$G$47*'Progetto del paramento slu'!$G$41*IF(DATI!$G$218="dx",DATI!$E$61,DATI!$E$64*DATI!$E$63)*1000*C364^2*sezione!$AD$5*(1-sezione!$AD$6)</f>
        <v>-6458921.6557588466</v>
      </c>
      <c r="E364" s="553">
        <f>-'Foglio deposito bis'!$F$48*(C364-sezione!$AL$28)*IF(ABS(K364)&lt;'Progetto del paramento slu'!$G$58,ABS(K364)*'Progetto del paramento slu'!$G$54,'Progetto del paramento slu'!$G$53)</f>
        <v>0</v>
      </c>
      <c r="F364" s="553">
        <f>-'Foglio deposito bis'!$F$49*(C364-sezione!$AM$28)*IF(ABS(L364)&lt;'Progetto del paramento slu'!$G$58,ABS(L364)*'Progetto del paramento slu'!$G$54,'Progetto del paramento slu'!$G$53)</f>
        <v>24993913.403340206</v>
      </c>
      <c r="G364" s="553">
        <f>-'Foglio deposito bis'!$F$50*(C364-sezione!$AN$28)*IF(ABS(M364)&lt;'Progetto del paramento slu'!$G$58,ABS(M364)*'Progetto del paramento slu'!$G$54,'Progetto del paramento slu'!$G$53)</f>
        <v>0</v>
      </c>
      <c r="H364" s="553">
        <f>-'Foglio deposito bis'!$F$51*(C364-sezione!$AO$28)*IF(ABS(N364)&lt;'Progetto del paramento slu'!$G$58,ABS(N364)*'Progetto del paramento slu'!$G$54,'Progetto del paramento slu'!$G$53)</f>
        <v>75172676.674378306</v>
      </c>
      <c r="I364" s="479">
        <f>-'Foglio deposito bis'!$F$52*(C364-sezione!$AP$28)*IF(ABS(O364)&lt;'Progetto del paramento slu'!$G$58,ABS(O364)*'Progetto del paramento slu'!$G$54,'Progetto del paramento slu'!$G$53)</f>
        <v>55897194.351138413</v>
      </c>
      <c r="J364" s="479">
        <f t="shared" si="27"/>
        <v>149604862.77309808</v>
      </c>
      <c r="K364" s="558">
        <f>'Progetto del paramento slu'!$G$60*(sezione!$AL$28-C364)/C364</f>
        <v>1.4980512129704573E-3</v>
      </c>
      <c r="L364" s="558">
        <f>'Progetto del paramento slu'!$G$60*(sezione!$AM$28-C364)/C364</f>
        <v>1.5242692048639213E-2</v>
      </c>
      <c r="M364" s="559">
        <f>'Progetto del paramento slu'!$G$60*(sezione!$AN$28-C364)/C364</f>
        <v>2.8987332884307972E-2</v>
      </c>
      <c r="N364" s="559">
        <f>'Progetto del paramento slu'!$G$60*(sezione!$AO$28-C364)/C364</f>
        <v>3.8983435310248893E-2</v>
      </c>
      <c r="O364" s="559">
        <f>'Progetto del paramento slu'!$G$60*(sezione!$AP$28-C364)/C364</f>
        <v>2.8987456033406373E-2</v>
      </c>
      <c r="P364" s="553">
        <f>-'Progetto del paramento slu'!$G$47*'Progetto del paramento slu'!$G$41*IF(DATI!$G$218="dx",DATI!$E$61,DATI!$E$64*DATI!$E$63)*1000*C364*sezione!$AD$5</f>
        <v>-394838.81135086413</v>
      </c>
      <c r="Q364" s="553">
        <f>'Foglio deposito bis'!$F$48*IF(ABS(K364)&lt;'Progetto del paramento slu'!$G$58,ABS(K364)*'Progetto del paramento slu'!$G$54,'Progetto del paramento slu'!$G$53)*IF(K364&lt;0,-1,1)</f>
        <v>0</v>
      </c>
      <c r="R364" s="553">
        <f>'Foglio deposito bis'!$F$49*IF(ABS(L364)&lt;'Progetto del paramento slu'!$G$58,ABS(L364)*'Progetto del paramento slu'!$G$54,'Progetto del paramento slu'!$G$53)*IF(L364&lt;0,-1,1)</f>
        <v>204886.47740803001</v>
      </c>
      <c r="S364" s="553">
        <f>'Foglio deposito bis'!$F$50*IF(ABS(M364)&lt;'Progetto del paramento slu'!$G$58,ABS(M364)*'Progetto del paramento slu'!$G$54,'Progetto del paramento slu'!$G$53)*IF(M364&lt;0,-1,1)</f>
        <v>0</v>
      </c>
      <c r="T364" s="553">
        <f>'Foglio deposito bis'!$F$51*IF(ABS(N364)&lt;'Progetto del paramento slu'!$G$58,ABS(N364)*'Progetto del paramento slu'!$G$54,'Progetto del paramento slu'!$G$53)*IF(N364&lt;0,-1,1)</f>
        <v>240946.49743184328</v>
      </c>
      <c r="U364" s="553">
        <f>'Foglio deposito bis'!$F$52*IF(ABS(O364)&lt;'Progetto del paramento slu'!$G$58,ABS(O364)*'Progetto del paramento slu'!$G$54,'Progetto del paramento slu'!$G$53)*IF(O364&lt;0,-1,1)</f>
        <v>240946.49743184328</v>
      </c>
      <c r="V364" s="479">
        <f t="shared" si="29"/>
        <v>291940.66092085245</v>
      </c>
      <c r="W364" s="559"/>
      <c r="X364" s="559"/>
    </row>
    <row r="365" spans="1:24" x14ac:dyDescent="0.25">
      <c r="A365" s="553">
        <f t="shared" si="28"/>
        <v>280496.05769329111</v>
      </c>
      <c r="B365" s="3">
        <f t="shared" si="31"/>
        <v>7.0999999999999917</v>
      </c>
      <c r="C365" s="553">
        <f>'Foglio deposito bis'!$E$154/sezione!$B$247*B365</f>
        <v>28.822828113615063</v>
      </c>
      <c r="D365" s="611">
        <f>-'Progetto del paramento slu'!$G$47*'Progetto del paramento slu'!$G$41*IF(DATI!$G$218="dx",DATI!$E$61,DATI!$E$64*DATI!$E$63)*1000*C365^2*sezione!$AD$5*(1-sezione!$AD$6)</f>
        <v>-6838778.4219030347</v>
      </c>
      <c r="E365" s="553">
        <f>-'Foglio deposito bis'!$F$48*(C365-sezione!$AL$28)*IF(ABS(K365)&lt;'Progetto del paramento slu'!$G$58,ABS(K365)*'Progetto del paramento slu'!$G$54,'Progetto del paramento slu'!$G$53)</f>
        <v>0</v>
      </c>
      <c r="F365" s="553">
        <f>-'Foglio deposito bis'!$F$49*(C365-sezione!$AM$28)*IF(ABS(L365)&lt;'Progetto del paramento slu'!$G$58,ABS(L365)*'Progetto del paramento slu'!$G$54,'Progetto del paramento slu'!$G$53)</f>
        <v>24827563.890068777</v>
      </c>
      <c r="G365" s="553">
        <f>-'Foglio deposito bis'!$F$50*(C365-sezione!$AN$28)*IF(ABS(M365)&lt;'Progetto del paramento slu'!$G$58,ABS(M365)*'Progetto del paramento slu'!$G$54,'Progetto del paramento slu'!$G$53)</f>
        <v>0</v>
      </c>
      <c r="H365" s="553">
        <f>-'Foglio deposito bis'!$F$51*(C365-sezione!$AO$28)*IF(ABS(N365)&lt;'Progetto del paramento slu'!$G$58,ABS(N365)*'Progetto del paramento slu'!$G$54,'Progetto del paramento slu'!$G$53)</f>
        <v>74977049.646771103</v>
      </c>
      <c r="I365" s="479">
        <f>-'Foglio deposito bis'!$F$52*(C365-sezione!$AP$28)*IF(ABS(O365)&lt;'Progetto del paramento slu'!$G$58,ABS(O365)*'Progetto del paramento slu'!$G$54,'Progetto del paramento slu'!$G$53)</f>
        <v>55701567.323531203</v>
      </c>
      <c r="J365" s="479">
        <f t="shared" si="27"/>
        <v>148667402.43846804</v>
      </c>
      <c r="K365" s="558">
        <f>'Progetto del paramento slu'!$G$60*(sezione!$AL$28-C365)/C365</f>
        <v>1.3572610379572047E-3</v>
      </c>
      <c r="L365" s="558">
        <f>'Progetto del paramento slu'!$G$60*(sezione!$AM$28-C365)/C365</f>
        <v>1.4714728892339518E-2</v>
      </c>
      <c r="M365" s="559">
        <f>'Progetto del paramento slu'!$G$60*(sezione!$AN$28-C365)/C365</f>
        <v>2.8072196746721831E-2</v>
      </c>
      <c r="N365" s="559">
        <f>'Progetto del paramento slu'!$G$60*(sezione!$AO$28-C365)/C365</f>
        <v>3.7786718822636241E-2</v>
      </c>
      <c r="O365" s="559">
        <f>'Progetto del paramento slu'!$G$60*(sezione!$AP$28-C365)/C365</f>
        <v>2.8072316426831539E-2</v>
      </c>
      <c r="P365" s="553">
        <f>-'Progetto del paramento slu'!$G$47*'Progetto del paramento slu'!$G$41*IF(DATI!$G$218="dx",DATI!$E$61,DATI!$E$64*DATI!$E$63)*1000*C365*sezione!$AD$5</f>
        <v>-406283.41457842547</v>
      </c>
      <c r="Q365" s="553">
        <f>'Foglio deposito bis'!$F$48*IF(ABS(K365)&lt;'Progetto del paramento slu'!$G$58,ABS(K365)*'Progetto del paramento slu'!$G$54,'Progetto del paramento slu'!$G$53)*IF(K365&lt;0,-1,1)</f>
        <v>0</v>
      </c>
      <c r="R365" s="553">
        <f>'Foglio deposito bis'!$F$49*IF(ABS(L365)&lt;'Progetto del paramento slu'!$G$58,ABS(L365)*'Progetto del paramento slu'!$G$54,'Progetto del paramento slu'!$G$53)*IF(L365&lt;0,-1,1)</f>
        <v>204886.47740803001</v>
      </c>
      <c r="S365" s="553">
        <f>'Foglio deposito bis'!$F$50*IF(ABS(M365)&lt;'Progetto del paramento slu'!$G$58,ABS(M365)*'Progetto del paramento slu'!$G$54,'Progetto del paramento slu'!$G$53)*IF(M365&lt;0,-1,1)</f>
        <v>0</v>
      </c>
      <c r="T365" s="553">
        <f>'Foglio deposito bis'!$F$51*IF(ABS(N365)&lt;'Progetto del paramento slu'!$G$58,ABS(N365)*'Progetto del paramento slu'!$G$54,'Progetto del paramento slu'!$G$53)*IF(N365&lt;0,-1,1)</f>
        <v>240946.49743184328</v>
      </c>
      <c r="U365" s="553">
        <f>'Foglio deposito bis'!$F$52*IF(ABS(O365)&lt;'Progetto del paramento slu'!$G$58,ABS(O365)*'Progetto del paramento slu'!$G$54,'Progetto del paramento slu'!$G$53)*IF(O365&lt;0,-1,1)</f>
        <v>240946.49743184328</v>
      </c>
      <c r="V365" s="479">
        <f t="shared" si="29"/>
        <v>280496.05769329111</v>
      </c>
      <c r="W365" s="559"/>
      <c r="X365" s="559"/>
    </row>
    <row r="366" spans="1:24" x14ac:dyDescent="0.25">
      <c r="A366" s="553">
        <f t="shared" si="28"/>
        <v>269051.45446572982</v>
      </c>
      <c r="B366" s="3">
        <f t="shared" si="31"/>
        <v>7.2999999999999918</v>
      </c>
      <c r="C366" s="553">
        <f>'Foglio deposito bis'!$E$154/sezione!$B$247*B366</f>
        <v>29.634738764702814</v>
      </c>
      <c r="D366" s="611">
        <f>-'Progetto del paramento slu'!$G$47*'Progetto del paramento slu'!$G$41*IF(DATI!$G$218="dx",DATI!$E$61,DATI!$E$64*DATI!$E$63)*1000*C366^2*sezione!$AD$5*(1-sezione!$AD$6)</f>
        <v>-7229488.2385084853</v>
      </c>
      <c r="E366" s="553">
        <f>-'Foglio deposito bis'!$F$48*(C366-sezione!$AL$28)*IF(ABS(K366)&lt;'Progetto del paramento slu'!$G$58,ABS(K366)*'Progetto del paramento slu'!$G$54,'Progetto del paramento slu'!$G$53)</f>
        <v>0</v>
      </c>
      <c r="F366" s="553">
        <f>-'Foglio deposito bis'!$F$49*(C366-sezione!$AM$28)*IF(ABS(L366)&lt;'Progetto del paramento slu'!$G$58,ABS(L366)*'Progetto del paramento slu'!$G$54,'Progetto del paramento slu'!$G$53)</f>
        <v>24661214.376797345</v>
      </c>
      <c r="G366" s="553">
        <f>-'Foglio deposito bis'!$F$50*(C366-sezione!$AN$28)*IF(ABS(M366)&lt;'Progetto del paramento slu'!$G$58,ABS(M366)*'Progetto del paramento slu'!$G$54,'Progetto del paramento slu'!$G$53)</f>
        <v>0</v>
      </c>
      <c r="H366" s="553">
        <f>-'Foglio deposito bis'!$F$51*(C366-sezione!$AO$28)*IF(ABS(N366)&lt;'Progetto del paramento slu'!$G$58,ABS(N366)*'Progetto del paramento slu'!$G$54,'Progetto del paramento slu'!$G$53)</f>
        <v>74781422.619163901</v>
      </c>
      <c r="I366" s="479">
        <f>-'Foglio deposito bis'!$F$52*(C366-sezione!$AP$28)*IF(ABS(O366)&lt;'Progetto del paramento slu'!$G$58,ABS(O366)*'Progetto del paramento slu'!$G$54,'Progetto del paramento slu'!$G$53)</f>
        <v>55505940.295924008</v>
      </c>
      <c r="J366" s="479">
        <f t="shared" si="27"/>
        <v>147719089.05337676</v>
      </c>
      <c r="K366" s="558">
        <f>'Progetto del paramento slu'!$G$60*(sezione!$AL$28-C366)/C366</f>
        <v>1.2241853930816645E-3</v>
      </c>
      <c r="L366" s="558">
        <f>'Progetto del paramento slu'!$G$60*(sezione!$AM$28-C366)/C366</f>
        <v>1.4215695224056241E-2</v>
      </c>
      <c r="M366" s="559">
        <f>'Progetto del paramento slu'!$G$60*(sezione!$AN$28-C366)/C366</f>
        <v>2.7207205055030822E-2</v>
      </c>
      <c r="N366" s="559">
        <f>'Progetto del paramento slu'!$G$60*(sezione!$AO$28-C366)/C366</f>
        <v>3.6655575841194152E-2</v>
      </c>
      <c r="O366" s="559">
        <f>'Progetto del paramento slu'!$G$60*(sezione!$AP$28-C366)/C366</f>
        <v>2.7207321456233415E-2</v>
      </c>
      <c r="P366" s="553">
        <f>-'Progetto del paramento slu'!$G$47*'Progetto del paramento slu'!$G$41*IF(DATI!$G$218="dx",DATI!$E$61,DATI!$E$64*DATI!$E$63)*1000*C366*sezione!$AD$5</f>
        <v>-417728.01780598675</v>
      </c>
      <c r="Q366" s="553">
        <f>'Foglio deposito bis'!$F$48*IF(ABS(K366)&lt;'Progetto del paramento slu'!$G$58,ABS(K366)*'Progetto del paramento slu'!$G$54,'Progetto del paramento slu'!$G$53)*IF(K366&lt;0,-1,1)</f>
        <v>0</v>
      </c>
      <c r="R366" s="553">
        <f>'Foglio deposito bis'!$F$49*IF(ABS(L366)&lt;'Progetto del paramento slu'!$G$58,ABS(L366)*'Progetto del paramento slu'!$G$54,'Progetto del paramento slu'!$G$53)*IF(L366&lt;0,-1,1)</f>
        <v>204886.47740803001</v>
      </c>
      <c r="S366" s="553">
        <f>'Foglio deposito bis'!$F$50*IF(ABS(M366)&lt;'Progetto del paramento slu'!$G$58,ABS(M366)*'Progetto del paramento slu'!$G$54,'Progetto del paramento slu'!$G$53)*IF(M366&lt;0,-1,1)</f>
        <v>0</v>
      </c>
      <c r="T366" s="553">
        <f>'Foglio deposito bis'!$F$51*IF(ABS(N366)&lt;'Progetto del paramento slu'!$G$58,ABS(N366)*'Progetto del paramento slu'!$G$54,'Progetto del paramento slu'!$G$53)*IF(N366&lt;0,-1,1)</f>
        <v>240946.49743184328</v>
      </c>
      <c r="U366" s="553">
        <f>'Foglio deposito bis'!$F$52*IF(ABS(O366)&lt;'Progetto del paramento slu'!$G$58,ABS(O366)*'Progetto del paramento slu'!$G$54,'Progetto del paramento slu'!$G$53)*IF(O366&lt;0,-1,1)</f>
        <v>240946.49743184328</v>
      </c>
      <c r="V366" s="479">
        <f t="shared" si="29"/>
        <v>269051.45446572982</v>
      </c>
      <c r="W366" s="559"/>
      <c r="X366" s="559"/>
    </row>
    <row r="367" spans="1:24" x14ac:dyDescent="0.25">
      <c r="A367" s="553">
        <f t="shared" si="28"/>
        <v>257606.85123816854</v>
      </c>
      <c r="B367" s="3">
        <f t="shared" si="31"/>
        <v>7.499999999999992</v>
      </c>
      <c r="C367" s="553">
        <f>'Foglio deposito bis'!$E$154/sezione!$B$247*B367</f>
        <v>30.44664941579056</v>
      </c>
      <c r="D367" s="611">
        <f>-'Progetto del paramento slu'!$G$47*'Progetto del paramento slu'!$G$41*IF(DATI!$G$218="dx",DATI!$E$61,DATI!$E$64*DATI!$E$63)*1000*C367^2*sezione!$AD$5*(1-sezione!$AD$6)</f>
        <v>-7631051.1055751974</v>
      </c>
      <c r="E367" s="553">
        <f>-'Foglio deposito bis'!$F$48*(C367-sezione!$AL$28)*IF(ABS(K367)&lt;'Progetto del paramento slu'!$G$58,ABS(K367)*'Progetto del paramento slu'!$G$54,'Progetto del paramento slu'!$G$53)</f>
        <v>0</v>
      </c>
      <c r="F367" s="553">
        <f>-'Foglio deposito bis'!$F$49*(C367-sezione!$AM$28)*IF(ABS(L367)&lt;'Progetto del paramento slu'!$G$58,ABS(L367)*'Progetto del paramento slu'!$G$54,'Progetto del paramento slu'!$G$53)</f>
        <v>24494864.86352592</v>
      </c>
      <c r="G367" s="553">
        <f>-'Foglio deposito bis'!$F$50*(C367-sezione!$AN$28)*IF(ABS(M367)&lt;'Progetto del paramento slu'!$G$58,ABS(M367)*'Progetto del paramento slu'!$G$54,'Progetto del paramento slu'!$G$53)</f>
        <v>0</v>
      </c>
      <c r="H367" s="553">
        <f>-'Foglio deposito bis'!$F$51*(C367-sezione!$AO$28)*IF(ABS(N367)&lt;'Progetto del paramento slu'!$G$58,ABS(N367)*'Progetto del paramento slu'!$G$54,'Progetto del paramento slu'!$G$53)</f>
        <v>74585795.591556698</v>
      </c>
      <c r="I367" s="479">
        <f>-'Foglio deposito bis'!$F$52*(C367-sezione!$AP$28)*IF(ABS(O367)&lt;'Progetto del paramento slu'!$G$58,ABS(O367)*'Progetto del paramento slu'!$G$54,'Progetto del paramento slu'!$G$53)</f>
        <v>55310313.268316813</v>
      </c>
      <c r="J367" s="479">
        <f t="shared" si="27"/>
        <v>146759922.61782423</v>
      </c>
      <c r="K367" s="558">
        <f>'Progetto del paramento slu'!$G$60*(sezione!$AL$28-C367)/C367</f>
        <v>1.0982071159328203E-3</v>
      </c>
      <c r="L367" s="558">
        <f>'Progetto del paramento slu'!$G$60*(sezione!$AM$28-C367)/C367</f>
        <v>1.3743276684748076E-2</v>
      </c>
      <c r="M367" s="559">
        <f>'Progetto del paramento slu'!$G$60*(sezione!$AN$28-C367)/C367</f>
        <v>2.6388346253563334E-2</v>
      </c>
      <c r="N367" s="559">
        <f>'Progetto del paramento slu'!$G$60*(sezione!$AO$28-C367)/C367</f>
        <v>3.5584760485428975E-2</v>
      </c>
      <c r="O367" s="559">
        <f>'Progetto del paramento slu'!$G$60*(sezione!$AP$28-C367)/C367</f>
        <v>2.6388459550733861E-2</v>
      </c>
      <c r="P367" s="553">
        <f>-'Progetto del paramento slu'!$G$47*'Progetto del paramento slu'!$G$41*IF(DATI!$G$218="dx",DATI!$E$61,DATI!$E$64*DATI!$E$63)*1000*C367*sezione!$AD$5</f>
        <v>-429172.62103354803</v>
      </c>
      <c r="Q367" s="553">
        <f>'Foglio deposito bis'!$F$48*IF(ABS(K367)&lt;'Progetto del paramento slu'!$G$58,ABS(K367)*'Progetto del paramento slu'!$G$54,'Progetto del paramento slu'!$G$53)*IF(K367&lt;0,-1,1)</f>
        <v>0</v>
      </c>
      <c r="R367" s="553">
        <f>'Foglio deposito bis'!$F$49*IF(ABS(L367)&lt;'Progetto del paramento slu'!$G$58,ABS(L367)*'Progetto del paramento slu'!$G$54,'Progetto del paramento slu'!$G$53)*IF(L367&lt;0,-1,1)</f>
        <v>204886.47740803001</v>
      </c>
      <c r="S367" s="553">
        <f>'Foglio deposito bis'!$F$50*IF(ABS(M367)&lt;'Progetto del paramento slu'!$G$58,ABS(M367)*'Progetto del paramento slu'!$G$54,'Progetto del paramento slu'!$G$53)*IF(M367&lt;0,-1,1)</f>
        <v>0</v>
      </c>
      <c r="T367" s="553">
        <f>'Foglio deposito bis'!$F$51*IF(ABS(N367)&lt;'Progetto del paramento slu'!$G$58,ABS(N367)*'Progetto del paramento slu'!$G$54,'Progetto del paramento slu'!$G$53)*IF(N367&lt;0,-1,1)</f>
        <v>240946.49743184328</v>
      </c>
      <c r="U367" s="553">
        <f>'Foglio deposito bis'!$F$52*IF(ABS(O367)&lt;'Progetto del paramento slu'!$G$58,ABS(O367)*'Progetto del paramento slu'!$G$54,'Progetto del paramento slu'!$G$53)*IF(O367&lt;0,-1,1)</f>
        <v>240946.49743184328</v>
      </c>
      <c r="V367" s="479">
        <f t="shared" si="29"/>
        <v>257606.85123816854</v>
      </c>
      <c r="W367" s="559"/>
      <c r="X367" s="559"/>
    </row>
    <row r="368" spans="1:24" x14ac:dyDescent="0.25">
      <c r="A368" s="553">
        <f t="shared" si="28"/>
        <v>246162.24801060726</v>
      </c>
      <c r="B368" s="3">
        <f t="shared" si="31"/>
        <v>7.6999999999999922</v>
      </c>
      <c r="C368" s="553">
        <f>'Foglio deposito bis'!$E$154/sezione!$B$247*B368</f>
        <v>31.25856006687831</v>
      </c>
      <c r="D368" s="611">
        <f>-'Progetto del paramento slu'!$G$47*'Progetto del paramento slu'!$G$41*IF(DATI!$G$218="dx",DATI!$E$61,DATI!$E$64*DATI!$E$63)*1000*C368^2*sezione!$AD$5*(1-sezione!$AD$6)</f>
        <v>-8043467.0231031738</v>
      </c>
      <c r="E368" s="553">
        <f>-'Foglio deposito bis'!$F$48*(C368-sezione!$AL$28)*IF(ABS(K368)&lt;'Progetto del paramento slu'!$G$58,ABS(K368)*'Progetto del paramento slu'!$G$54,'Progetto del paramento slu'!$G$53)</f>
        <v>0</v>
      </c>
      <c r="F368" s="553">
        <f>-'Foglio deposito bis'!$F$49*(C368-sezione!$AM$28)*IF(ABS(L368)&lt;'Progetto del paramento slu'!$G$58,ABS(L368)*'Progetto del paramento slu'!$G$54,'Progetto del paramento slu'!$G$53)</f>
        <v>24328515.350254487</v>
      </c>
      <c r="G368" s="553">
        <f>-'Foglio deposito bis'!$F$50*(C368-sezione!$AN$28)*IF(ABS(M368)&lt;'Progetto del paramento slu'!$G$58,ABS(M368)*'Progetto del paramento slu'!$G$54,'Progetto del paramento slu'!$G$53)</f>
        <v>0</v>
      </c>
      <c r="H368" s="553">
        <f>-'Foglio deposito bis'!$F$51*(C368-sezione!$AO$28)*IF(ABS(N368)&lt;'Progetto del paramento slu'!$G$58,ABS(N368)*'Progetto del paramento slu'!$G$54,'Progetto del paramento slu'!$G$53)</f>
        <v>74390168.563949496</v>
      </c>
      <c r="I368" s="479">
        <f>-'Foglio deposito bis'!$F$52*(C368-sezione!$AP$28)*IF(ABS(O368)&lt;'Progetto del paramento slu'!$G$58,ABS(O368)*'Progetto del paramento slu'!$G$54,'Progetto del paramento slu'!$G$53)</f>
        <v>55114686.24070961</v>
      </c>
      <c r="J368" s="479">
        <f t="shared" si="27"/>
        <v>145789903.13181043</v>
      </c>
      <c r="K368" s="558">
        <f>'Progetto del paramento slu'!$G$60*(sezione!$AL$28-C368)/C368</f>
        <v>9.7877316486962994E-4</v>
      </c>
      <c r="L368" s="558">
        <f>'Progetto del paramento slu'!$G$60*(sezione!$AM$28-C368)/C368</f>
        <v>1.329539936826111E-2</v>
      </c>
      <c r="M368" s="559">
        <f>'Progetto del paramento slu'!$G$60*(sezione!$AN$28-C368)/C368</f>
        <v>2.5612025571652597E-2</v>
      </c>
      <c r="N368" s="559">
        <f>'Progetto del paramento slu'!$G$60*(sezione!$AO$28-C368)/C368</f>
        <v>3.456957190139185E-2</v>
      </c>
      <c r="O368" s="559">
        <f>'Progetto del paramento slu'!$G$60*(sezione!$AP$28-C368)/C368</f>
        <v>2.5612135926039472E-2</v>
      </c>
      <c r="P368" s="553">
        <f>-'Progetto del paramento slu'!$G$47*'Progetto del paramento slu'!$G$41*IF(DATI!$G$218="dx",DATI!$E$61,DATI!$E$64*DATI!$E$63)*1000*C368*sezione!$AD$5</f>
        <v>-440617.22426110931</v>
      </c>
      <c r="Q368" s="553">
        <f>'Foglio deposito bis'!$F$48*IF(ABS(K368)&lt;'Progetto del paramento slu'!$G$58,ABS(K368)*'Progetto del paramento slu'!$G$54,'Progetto del paramento slu'!$G$53)*IF(K368&lt;0,-1,1)</f>
        <v>0</v>
      </c>
      <c r="R368" s="553">
        <f>'Foglio deposito bis'!$F$49*IF(ABS(L368)&lt;'Progetto del paramento slu'!$G$58,ABS(L368)*'Progetto del paramento slu'!$G$54,'Progetto del paramento slu'!$G$53)*IF(L368&lt;0,-1,1)</f>
        <v>204886.47740803001</v>
      </c>
      <c r="S368" s="553">
        <f>'Foglio deposito bis'!$F$50*IF(ABS(M368)&lt;'Progetto del paramento slu'!$G$58,ABS(M368)*'Progetto del paramento slu'!$G$54,'Progetto del paramento slu'!$G$53)*IF(M368&lt;0,-1,1)</f>
        <v>0</v>
      </c>
      <c r="T368" s="553">
        <f>'Foglio deposito bis'!$F$51*IF(ABS(N368)&lt;'Progetto del paramento slu'!$G$58,ABS(N368)*'Progetto del paramento slu'!$G$54,'Progetto del paramento slu'!$G$53)*IF(N368&lt;0,-1,1)</f>
        <v>240946.49743184328</v>
      </c>
      <c r="U368" s="553">
        <f>'Foglio deposito bis'!$F$52*IF(ABS(O368)&lt;'Progetto del paramento slu'!$G$58,ABS(O368)*'Progetto del paramento slu'!$G$54,'Progetto del paramento slu'!$G$53)*IF(O368&lt;0,-1,1)</f>
        <v>240946.49743184328</v>
      </c>
      <c r="V368" s="479">
        <f t="shared" si="29"/>
        <v>246162.24801060726</v>
      </c>
      <c r="W368" s="559"/>
      <c r="X368" s="559"/>
    </row>
    <row r="369" spans="1:24" x14ac:dyDescent="0.25">
      <c r="A369" s="553">
        <f t="shared" si="28"/>
        <v>234717.64478304592</v>
      </c>
      <c r="B369" s="3">
        <f t="shared" si="31"/>
        <v>7.8999999999999924</v>
      </c>
      <c r="C369" s="553">
        <f>'Foglio deposito bis'!$E$154/sezione!$B$247*B369</f>
        <v>32.07047071796606</v>
      </c>
      <c r="D369" s="611">
        <f>-'Progetto del paramento slu'!$G$47*'Progetto del paramento slu'!$G$41*IF(DATI!$G$218="dx",DATI!$E$61,DATI!$E$64*DATI!$E$63)*1000*C369^2*sezione!$AD$5*(1-sezione!$AD$6)</f>
        <v>-8466735.9910924137</v>
      </c>
      <c r="E369" s="553">
        <f>-'Foglio deposito bis'!$F$48*(C369-sezione!$AL$28)*IF(ABS(K369)&lt;'Progetto del paramento slu'!$G$58,ABS(K369)*'Progetto del paramento slu'!$G$54,'Progetto del paramento slu'!$G$53)</f>
        <v>0</v>
      </c>
      <c r="F369" s="553">
        <f>-'Foglio deposito bis'!$F$49*(C369-sezione!$AM$28)*IF(ABS(L369)&lt;'Progetto del paramento slu'!$G$58,ABS(L369)*'Progetto del paramento slu'!$G$54,'Progetto del paramento slu'!$G$53)</f>
        <v>24162165.836983059</v>
      </c>
      <c r="G369" s="553">
        <f>-'Foglio deposito bis'!$F$50*(C369-sezione!$AN$28)*IF(ABS(M369)&lt;'Progetto del paramento slu'!$G$58,ABS(M369)*'Progetto del paramento slu'!$G$54,'Progetto del paramento slu'!$G$53)</f>
        <v>0</v>
      </c>
      <c r="H369" s="553">
        <f>-'Foglio deposito bis'!$F$51*(C369-sezione!$AO$28)*IF(ABS(N369)&lt;'Progetto del paramento slu'!$G$58,ABS(N369)*'Progetto del paramento slu'!$G$54,'Progetto del paramento slu'!$G$53)</f>
        <v>74194541.536342308</v>
      </c>
      <c r="I369" s="479">
        <f>-'Foglio deposito bis'!$F$52*(C369-sezione!$AP$28)*IF(ABS(O369)&lt;'Progetto del paramento slu'!$G$58,ABS(O369)*'Progetto del paramento slu'!$G$54,'Progetto del paramento slu'!$G$53)</f>
        <v>54919059.2131024</v>
      </c>
      <c r="J369" s="479">
        <f t="shared" si="27"/>
        <v>144809030.59533536</v>
      </c>
      <c r="K369" s="558">
        <f>'Progetto del paramento slu'!$G$60*(sezione!$AL$28-C369)/C369</f>
        <v>8.653865024678669E-4</v>
      </c>
      <c r="L369" s="558">
        <f>'Progetto del paramento slu'!$G$60*(sezione!$AM$28-C369)/C369</f>
        <v>1.2870199384254502E-2</v>
      </c>
      <c r="M369" s="559">
        <f>'Progetto del paramento slu'!$G$60*(sezione!$AN$28-C369)/C369</f>
        <v>2.4875012266041135E-2</v>
      </c>
      <c r="N369" s="559">
        <f>'Progetto del paramento slu'!$G$60*(sezione!$AO$28-C369)/C369</f>
        <v>3.3605785270976879E-2</v>
      </c>
      <c r="O369" s="559">
        <f>'Progetto del paramento slu'!$G$60*(sezione!$AP$28-C369)/C369</f>
        <v>2.4875119826646065E-2</v>
      </c>
      <c r="P369" s="553">
        <f>-'Progetto del paramento slu'!$G$47*'Progetto del paramento slu'!$G$41*IF(DATI!$G$218="dx",DATI!$E$61,DATI!$E$64*DATI!$E$63)*1000*C369*sezione!$AD$5</f>
        <v>-452061.82748867065</v>
      </c>
      <c r="Q369" s="553">
        <f>'Foglio deposito bis'!$F$48*IF(ABS(K369)&lt;'Progetto del paramento slu'!$G$58,ABS(K369)*'Progetto del paramento slu'!$G$54,'Progetto del paramento slu'!$G$53)*IF(K369&lt;0,-1,1)</f>
        <v>0</v>
      </c>
      <c r="R369" s="553">
        <f>'Foglio deposito bis'!$F$49*IF(ABS(L369)&lt;'Progetto del paramento slu'!$G$58,ABS(L369)*'Progetto del paramento slu'!$G$54,'Progetto del paramento slu'!$G$53)*IF(L369&lt;0,-1,1)</f>
        <v>204886.47740803001</v>
      </c>
      <c r="S369" s="553">
        <f>'Foglio deposito bis'!$F$50*IF(ABS(M369)&lt;'Progetto del paramento slu'!$G$58,ABS(M369)*'Progetto del paramento slu'!$G$54,'Progetto del paramento slu'!$G$53)*IF(M369&lt;0,-1,1)</f>
        <v>0</v>
      </c>
      <c r="T369" s="553">
        <f>'Foglio deposito bis'!$F$51*IF(ABS(N369)&lt;'Progetto del paramento slu'!$G$58,ABS(N369)*'Progetto del paramento slu'!$G$54,'Progetto del paramento slu'!$G$53)*IF(N369&lt;0,-1,1)</f>
        <v>240946.49743184328</v>
      </c>
      <c r="U369" s="553">
        <f>'Foglio deposito bis'!$F$52*IF(ABS(O369)&lt;'Progetto del paramento slu'!$G$58,ABS(O369)*'Progetto del paramento slu'!$G$54,'Progetto del paramento slu'!$G$53)*IF(O369&lt;0,-1,1)</f>
        <v>240946.49743184328</v>
      </c>
      <c r="V369" s="479">
        <f t="shared" si="29"/>
        <v>234717.64478304592</v>
      </c>
      <c r="W369" s="559"/>
      <c r="X369" s="559"/>
    </row>
    <row r="370" spans="1:24" x14ac:dyDescent="0.25">
      <c r="A370" s="553">
        <f t="shared" si="28"/>
        <v>223273.04155548464</v>
      </c>
      <c r="B370" s="3">
        <f t="shared" si="31"/>
        <v>8.0999999999999925</v>
      </c>
      <c r="C370" s="553">
        <f>'Foglio deposito bis'!$E$154/sezione!$B$247*B370</f>
        <v>32.88238136905381</v>
      </c>
      <c r="D370" s="611">
        <f>-'Progetto del paramento slu'!$G$47*'Progetto del paramento slu'!$G$41*IF(DATI!$G$218="dx",DATI!$E$61,DATI!$E$64*DATI!$E$63)*1000*C370^2*sezione!$AD$5*(1-sezione!$AD$6)</f>
        <v>-8900858.0095429122</v>
      </c>
      <c r="E370" s="553">
        <f>-'Foglio deposito bis'!$F$48*(C370-sezione!$AL$28)*IF(ABS(K370)&lt;'Progetto del paramento slu'!$G$58,ABS(K370)*'Progetto del paramento slu'!$G$54,'Progetto del paramento slu'!$G$53)</f>
        <v>0</v>
      </c>
      <c r="F370" s="553">
        <f>-'Foglio deposito bis'!$F$49*(C370-sezione!$AM$28)*IF(ABS(L370)&lt;'Progetto del paramento slu'!$G$58,ABS(L370)*'Progetto del paramento slu'!$G$54,'Progetto del paramento slu'!$G$53)</f>
        <v>23995816.323711634</v>
      </c>
      <c r="G370" s="553">
        <f>-'Foglio deposito bis'!$F$50*(C370-sezione!$AN$28)*IF(ABS(M370)&lt;'Progetto del paramento slu'!$G$58,ABS(M370)*'Progetto del paramento slu'!$G$54,'Progetto del paramento slu'!$G$53)</f>
        <v>0</v>
      </c>
      <c r="H370" s="553">
        <f>-'Foglio deposito bis'!$F$51*(C370-sezione!$AO$28)*IF(ABS(N370)&lt;'Progetto del paramento slu'!$G$58,ABS(N370)*'Progetto del paramento slu'!$G$54,'Progetto del paramento slu'!$G$53)</f>
        <v>73998914.50873509</v>
      </c>
      <c r="I370" s="479">
        <f>-'Foglio deposito bis'!$F$52*(C370-sezione!$AP$28)*IF(ABS(O370)&lt;'Progetto del paramento slu'!$G$58,ABS(O370)*'Progetto del paramento slu'!$G$54,'Progetto del paramento slu'!$G$53)</f>
        <v>54723432.185495205</v>
      </c>
      <c r="J370" s="479">
        <f t="shared" si="27"/>
        <v>143817305.00839901</v>
      </c>
      <c r="K370" s="558">
        <f>'Progetto del paramento slu'!$G$60*(sezione!$AL$28-C370)/C370</f>
        <v>7.5759918141927746E-4</v>
      </c>
      <c r="L370" s="558">
        <f>'Progetto del paramento slu'!$G$60*(sezione!$AM$28-C370)/C370</f>
        <v>1.2465996930322291E-2</v>
      </c>
      <c r="M370" s="559">
        <f>'Progetto del paramento slu'!$G$60*(sezione!$AN$28-C370)/C370</f>
        <v>2.4174394679225303E-2</v>
      </c>
      <c r="N370" s="559">
        <f>'Progetto del paramento slu'!$G$60*(sezione!$AO$28-C370)/C370</f>
        <v>3.2689593042063862E-2</v>
      </c>
      <c r="O370" s="559">
        <f>'Progetto del paramento slu'!$G$60*(sezione!$AP$28-C370)/C370</f>
        <v>2.417449958401283E-2</v>
      </c>
      <c r="P370" s="553">
        <f>-'Progetto del paramento slu'!$G$47*'Progetto del paramento slu'!$G$41*IF(DATI!$G$218="dx",DATI!$E$61,DATI!$E$64*DATI!$E$63)*1000*C370*sezione!$AD$5</f>
        <v>-463506.43071623193</v>
      </c>
      <c r="Q370" s="553">
        <f>'Foglio deposito bis'!$F$48*IF(ABS(K370)&lt;'Progetto del paramento slu'!$G$58,ABS(K370)*'Progetto del paramento slu'!$G$54,'Progetto del paramento slu'!$G$53)*IF(K370&lt;0,-1,1)</f>
        <v>0</v>
      </c>
      <c r="R370" s="553">
        <f>'Foglio deposito bis'!$F$49*IF(ABS(L370)&lt;'Progetto del paramento slu'!$G$58,ABS(L370)*'Progetto del paramento slu'!$G$54,'Progetto del paramento slu'!$G$53)*IF(L370&lt;0,-1,1)</f>
        <v>204886.47740803001</v>
      </c>
      <c r="S370" s="553">
        <f>'Foglio deposito bis'!$F$50*IF(ABS(M370)&lt;'Progetto del paramento slu'!$G$58,ABS(M370)*'Progetto del paramento slu'!$G$54,'Progetto del paramento slu'!$G$53)*IF(M370&lt;0,-1,1)</f>
        <v>0</v>
      </c>
      <c r="T370" s="553">
        <f>'Foglio deposito bis'!$F$51*IF(ABS(N370)&lt;'Progetto del paramento slu'!$G$58,ABS(N370)*'Progetto del paramento slu'!$G$54,'Progetto del paramento slu'!$G$53)*IF(N370&lt;0,-1,1)</f>
        <v>240946.49743184328</v>
      </c>
      <c r="U370" s="553">
        <f>'Foglio deposito bis'!$F$52*IF(ABS(O370)&lt;'Progetto del paramento slu'!$G$58,ABS(O370)*'Progetto del paramento slu'!$G$54,'Progetto del paramento slu'!$G$53)*IF(O370&lt;0,-1,1)</f>
        <v>240946.49743184328</v>
      </c>
      <c r="V370" s="479">
        <f t="shared" si="29"/>
        <v>223273.04155548464</v>
      </c>
      <c r="W370" s="559"/>
      <c r="X370" s="559"/>
    </row>
    <row r="371" spans="1:24" x14ac:dyDescent="0.25">
      <c r="A371" s="553">
        <f t="shared" si="28"/>
        <v>211828.43832792336</v>
      </c>
      <c r="B371" s="3">
        <f t="shared" si="31"/>
        <v>8.2999999999999918</v>
      </c>
      <c r="C371" s="553">
        <f>'Foglio deposito bis'!$E$154/sezione!$B$247*B371</f>
        <v>33.69429202014156</v>
      </c>
      <c r="D371" s="611">
        <f>-'Progetto del paramento slu'!$G$47*'Progetto del paramento slu'!$G$41*IF(DATI!$G$218="dx",DATI!$E$61,DATI!$E$64*DATI!$E$63)*1000*C371^2*sezione!$AD$5*(1-sezione!$AD$6)</f>
        <v>-9345833.078454677</v>
      </c>
      <c r="E371" s="553">
        <f>-'Foglio deposito bis'!$F$48*(C371-sezione!$AL$28)*IF(ABS(K371)&lt;'Progetto del paramento slu'!$G$58,ABS(K371)*'Progetto del paramento slu'!$G$54,'Progetto del paramento slu'!$G$53)</f>
        <v>0</v>
      </c>
      <c r="F371" s="553">
        <f>-'Foglio deposito bis'!$F$49*(C371-sezione!$AM$28)*IF(ABS(L371)&lt;'Progetto del paramento slu'!$G$58,ABS(L371)*'Progetto del paramento slu'!$G$54,'Progetto del paramento slu'!$G$53)</f>
        <v>23829466.810440201</v>
      </c>
      <c r="G371" s="553">
        <f>-'Foglio deposito bis'!$F$50*(C371-sezione!$AN$28)*IF(ABS(M371)&lt;'Progetto del paramento slu'!$G$58,ABS(M371)*'Progetto del paramento slu'!$G$54,'Progetto del paramento slu'!$G$53)</f>
        <v>0</v>
      </c>
      <c r="H371" s="553">
        <f>-'Foglio deposito bis'!$F$51*(C371-sezione!$AO$28)*IF(ABS(N371)&lt;'Progetto del paramento slu'!$G$58,ABS(N371)*'Progetto del paramento slu'!$G$54,'Progetto del paramento slu'!$G$53)</f>
        <v>73803287.481127888</v>
      </c>
      <c r="I371" s="479">
        <f>-'Foglio deposito bis'!$F$52*(C371-sezione!$AP$28)*IF(ABS(O371)&lt;'Progetto del paramento slu'!$G$58,ABS(O371)*'Progetto del paramento slu'!$G$54,'Progetto del paramento slu'!$G$53)</f>
        <v>54527805.157888003</v>
      </c>
      <c r="J371" s="479">
        <f t="shared" si="27"/>
        <v>142814726.37100142</v>
      </c>
      <c r="K371" s="558">
        <f>'Progetto del paramento slu'!$G$60*(sezione!$AL$28-C371)/C371</f>
        <v>6.5500643005977661E-4</v>
      </c>
      <c r="L371" s="558">
        <f>'Progetto del paramento slu'!$G$60*(sezione!$AM$28-C371)/C371</f>
        <v>1.2081274112724163E-2</v>
      </c>
      <c r="M371" s="559">
        <f>'Progetto del paramento slu'!$G$60*(sezione!$AN$28-C371)/C371</f>
        <v>2.3507541795388547E-2</v>
      </c>
      <c r="N371" s="559">
        <f>'Progetto del paramento slu'!$G$60*(sezione!$AO$28-C371)/C371</f>
        <v>3.1817554655508097E-2</v>
      </c>
      <c r="O371" s="559">
        <f>'Progetto del paramento slu'!$G$60*(sezione!$AP$28-C371)/C371</f>
        <v>2.3507644172349865E-2</v>
      </c>
      <c r="P371" s="553">
        <f>-'Progetto del paramento slu'!$G$47*'Progetto del paramento slu'!$G$41*IF(DATI!$G$218="dx",DATI!$E$61,DATI!$E$64*DATI!$E$63)*1000*C371*sezione!$AD$5</f>
        <v>-474951.03394379321</v>
      </c>
      <c r="Q371" s="553">
        <f>'Foglio deposito bis'!$F$48*IF(ABS(K371)&lt;'Progetto del paramento slu'!$G$58,ABS(K371)*'Progetto del paramento slu'!$G$54,'Progetto del paramento slu'!$G$53)*IF(K371&lt;0,-1,1)</f>
        <v>0</v>
      </c>
      <c r="R371" s="553">
        <f>'Foglio deposito bis'!$F$49*IF(ABS(L371)&lt;'Progetto del paramento slu'!$G$58,ABS(L371)*'Progetto del paramento slu'!$G$54,'Progetto del paramento slu'!$G$53)*IF(L371&lt;0,-1,1)</f>
        <v>204886.47740803001</v>
      </c>
      <c r="S371" s="553">
        <f>'Foglio deposito bis'!$F$50*IF(ABS(M371)&lt;'Progetto del paramento slu'!$G$58,ABS(M371)*'Progetto del paramento slu'!$G$54,'Progetto del paramento slu'!$G$53)*IF(M371&lt;0,-1,1)</f>
        <v>0</v>
      </c>
      <c r="T371" s="553">
        <f>'Foglio deposito bis'!$F$51*IF(ABS(N371)&lt;'Progetto del paramento slu'!$G$58,ABS(N371)*'Progetto del paramento slu'!$G$54,'Progetto del paramento slu'!$G$53)*IF(N371&lt;0,-1,1)</f>
        <v>240946.49743184328</v>
      </c>
      <c r="U371" s="553">
        <f>'Foglio deposito bis'!$F$52*IF(ABS(O371)&lt;'Progetto del paramento slu'!$G$58,ABS(O371)*'Progetto del paramento slu'!$G$54,'Progetto del paramento slu'!$G$53)*IF(O371&lt;0,-1,1)</f>
        <v>240946.49743184328</v>
      </c>
      <c r="V371" s="479">
        <f t="shared" si="29"/>
        <v>211828.43832792336</v>
      </c>
      <c r="W371" s="559"/>
      <c r="X371" s="559"/>
    </row>
    <row r="372" spans="1:24" x14ac:dyDescent="0.25">
      <c r="A372" s="553">
        <f t="shared" si="28"/>
        <v>200383.83510036214</v>
      </c>
      <c r="B372" s="3">
        <f t="shared" si="31"/>
        <v>8.4999999999999911</v>
      </c>
      <c r="C372" s="553">
        <f>'Foglio deposito bis'!$E$154/sezione!$B$247*B372</f>
        <v>34.506202671229303</v>
      </c>
      <c r="D372" s="611">
        <f>-'Progetto del paramento slu'!$G$47*'Progetto del paramento slu'!$G$41*IF(DATI!$G$218="dx",DATI!$E$61,DATI!$E$64*DATI!$E$63)*1000*C372^2*sezione!$AD$5*(1-sezione!$AD$6)</f>
        <v>-9801661.1978277005</v>
      </c>
      <c r="E372" s="553">
        <f>-'Foglio deposito bis'!$F$48*(C372-sezione!$AL$28)*IF(ABS(K372)&lt;'Progetto del paramento slu'!$G$58,ABS(K372)*'Progetto del paramento slu'!$G$54,'Progetto del paramento slu'!$G$53)</f>
        <v>0</v>
      </c>
      <c r="F372" s="553">
        <f>-'Foglio deposito bis'!$F$49*(C372-sezione!$AM$28)*IF(ABS(L372)&lt;'Progetto del paramento slu'!$G$58,ABS(L372)*'Progetto del paramento slu'!$G$54,'Progetto del paramento slu'!$G$53)</f>
        <v>23663117.297168773</v>
      </c>
      <c r="G372" s="553">
        <f>-'Foglio deposito bis'!$F$50*(C372-sezione!$AN$28)*IF(ABS(M372)&lt;'Progetto del paramento slu'!$G$58,ABS(M372)*'Progetto del paramento slu'!$G$54,'Progetto del paramento slu'!$G$53)</f>
        <v>0</v>
      </c>
      <c r="H372" s="553">
        <f>-'Foglio deposito bis'!$F$51*(C372-sezione!$AO$28)*IF(ABS(N372)&lt;'Progetto del paramento slu'!$G$58,ABS(N372)*'Progetto del paramento slu'!$G$54,'Progetto del paramento slu'!$G$53)</f>
        <v>73607660.4535207</v>
      </c>
      <c r="I372" s="479">
        <f>-'Foglio deposito bis'!$F$52*(C372-sezione!$AP$28)*IF(ABS(O372)&lt;'Progetto del paramento slu'!$G$58,ABS(O372)*'Progetto del paramento slu'!$G$54,'Progetto del paramento slu'!$G$53)</f>
        <v>54332178.130280808</v>
      </c>
      <c r="J372" s="479">
        <f t="shared" si="27"/>
        <v>141801294.6831426</v>
      </c>
      <c r="K372" s="558">
        <f>'Progetto del paramento slu'!$G$60*(sezione!$AL$28-C372)/C372</f>
        <v>5.5724157288190011E-4</v>
      </c>
      <c r="L372" s="558">
        <f>'Progetto del paramento slu'!$G$60*(sezione!$AM$28-C372)/C372</f>
        <v>1.1714655898307126E-2</v>
      </c>
      <c r="M372" s="559">
        <f>'Progetto del paramento slu'!$G$60*(sezione!$AN$28-C372)/C372</f>
        <v>2.2872070223732353E-2</v>
      </c>
      <c r="N372" s="559">
        <f>'Progetto del paramento slu'!$G$60*(sezione!$AO$28-C372)/C372</f>
        <v>3.0986553369496156E-2</v>
      </c>
      <c r="O372" s="559">
        <f>'Progetto del paramento slu'!$G$60*(sezione!$AP$28-C372)/C372</f>
        <v>2.2872170191823991E-2</v>
      </c>
      <c r="P372" s="553">
        <f>-'Progetto del paramento slu'!$G$47*'Progetto del paramento slu'!$G$41*IF(DATI!$G$218="dx",DATI!$E$61,DATI!$E$64*DATI!$E$63)*1000*C372*sezione!$AD$5</f>
        <v>-486395.63717135444</v>
      </c>
      <c r="Q372" s="553">
        <f>'Foglio deposito bis'!$F$48*IF(ABS(K372)&lt;'Progetto del paramento slu'!$G$58,ABS(K372)*'Progetto del paramento slu'!$G$54,'Progetto del paramento slu'!$G$53)*IF(K372&lt;0,-1,1)</f>
        <v>0</v>
      </c>
      <c r="R372" s="553">
        <f>'Foglio deposito bis'!$F$49*IF(ABS(L372)&lt;'Progetto del paramento slu'!$G$58,ABS(L372)*'Progetto del paramento slu'!$G$54,'Progetto del paramento slu'!$G$53)*IF(L372&lt;0,-1,1)</f>
        <v>204886.47740803001</v>
      </c>
      <c r="S372" s="553">
        <f>'Foglio deposito bis'!$F$50*IF(ABS(M372)&lt;'Progetto del paramento slu'!$G$58,ABS(M372)*'Progetto del paramento slu'!$G$54,'Progetto del paramento slu'!$G$53)*IF(M372&lt;0,-1,1)</f>
        <v>0</v>
      </c>
      <c r="T372" s="553">
        <f>'Foglio deposito bis'!$F$51*IF(ABS(N372)&lt;'Progetto del paramento slu'!$G$58,ABS(N372)*'Progetto del paramento slu'!$G$54,'Progetto del paramento slu'!$G$53)*IF(N372&lt;0,-1,1)</f>
        <v>240946.49743184328</v>
      </c>
      <c r="U372" s="553">
        <f>'Foglio deposito bis'!$F$52*IF(ABS(O372)&lt;'Progetto del paramento slu'!$G$58,ABS(O372)*'Progetto del paramento slu'!$G$54,'Progetto del paramento slu'!$G$53)*IF(O372&lt;0,-1,1)</f>
        <v>240946.49743184328</v>
      </c>
      <c r="V372" s="479">
        <f t="shared" si="29"/>
        <v>200383.83510036214</v>
      </c>
      <c r="W372" s="559"/>
      <c r="X372" s="559"/>
    </row>
    <row r="373" spans="1:24" x14ac:dyDescent="0.25">
      <c r="A373" s="553">
        <f t="shared" si="28"/>
        <v>188939.23187280085</v>
      </c>
      <c r="B373" s="3">
        <f t="shared" si="31"/>
        <v>8.6999999999999904</v>
      </c>
      <c r="C373" s="553">
        <f>'Foglio deposito bis'!$E$154/sezione!$B$247*B373</f>
        <v>35.318113322317053</v>
      </c>
      <c r="D373" s="611">
        <f>-'Progetto del paramento slu'!$G$47*'Progetto del paramento slu'!$G$41*IF(DATI!$G$218="dx",DATI!$E$61,DATI!$E$64*DATI!$E$63)*1000*C373^2*sezione!$AD$5*(1-sezione!$AD$6)</f>
        <v>-10268342.367661987</v>
      </c>
      <c r="E373" s="553">
        <f>-'Foglio deposito bis'!$F$48*(C373-sezione!$AL$28)*IF(ABS(K373)&lt;'Progetto del paramento slu'!$G$58,ABS(K373)*'Progetto del paramento slu'!$G$54,'Progetto del paramento slu'!$G$53)</f>
        <v>0</v>
      </c>
      <c r="F373" s="553">
        <f>-'Foglio deposito bis'!$F$49*(C373-sezione!$AM$28)*IF(ABS(L373)&lt;'Progetto del paramento slu'!$G$58,ABS(L373)*'Progetto del paramento slu'!$G$54,'Progetto del paramento slu'!$G$53)</f>
        <v>23496767.783897344</v>
      </c>
      <c r="G373" s="553">
        <f>-'Foglio deposito bis'!$F$50*(C373-sezione!$AN$28)*IF(ABS(M373)&lt;'Progetto del paramento slu'!$G$58,ABS(M373)*'Progetto del paramento slu'!$G$54,'Progetto del paramento slu'!$G$53)</f>
        <v>0</v>
      </c>
      <c r="H373" s="553">
        <f>-'Foglio deposito bis'!$F$51*(C373-sezione!$AO$28)*IF(ABS(N373)&lt;'Progetto del paramento slu'!$G$58,ABS(N373)*'Progetto del paramento slu'!$G$54,'Progetto del paramento slu'!$G$53)</f>
        <v>73412033.425913498</v>
      </c>
      <c r="I373" s="479">
        <f>-'Foglio deposito bis'!$F$52*(C373-sezione!$AP$28)*IF(ABS(O373)&lt;'Progetto del paramento slu'!$G$58,ABS(O373)*'Progetto del paramento slu'!$G$54,'Progetto del paramento slu'!$G$53)</f>
        <v>54136551.102673598</v>
      </c>
      <c r="J373" s="479">
        <f t="shared" si="27"/>
        <v>140777009.94482246</v>
      </c>
      <c r="K373" s="558">
        <f>'Progetto del paramento slu'!$G$60*(sezione!$AL$28-C373)/C373</f>
        <v>4.63971651666224E-4</v>
      </c>
      <c r="L373" s="558">
        <f>'Progetto del paramento slu'!$G$60*(sezione!$AM$28-C373)/C373</f>
        <v>1.1364893693748339E-2</v>
      </c>
      <c r="M373" s="559">
        <f>'Progetto del paramento slu'!$G$60*(sezione!$AN$28-C373)/C373</f>
        <v>2.2265815735830453E-2</v>
      </c>
      <c r="N373" s="559">
        <f>'Progetto del paramento slu'!$G$60*(sezione!$AO$28-C373)/C373</f>
        <v>3.0193759039162903E-2</v>
      </c>
      <c r="O373" s="559">
        <f>'Progetto del paramento slu'!$G$60*(sezione!$AP$28-C373)/C373</f>
        <v>2.2265913405805048E-2</v>
      </c>
      <c r="P373" s="553">
        <f>-'Progetto del paramento slu'!$G$47*'Progetto del paramento slu'!$G$41*IF(DATI!$G$218="dx",DATI!$E$61,DATI!$E$64*DATI!$E$63)*1000*C373*sezione!$AD$5</f>
        <v>-497840.24039891572</v>
      </c>
      <c r="Q373" s="553">
        <f>'Foglio deposito bis'!$F$48*IF(ABS(K373)&lt;'Progetto del paramento slu'!$G$58,ABS(K373)*'Progetto del paramento slu'!$G$54,'Progetto del paramento slu'!$G$53)*IF(K373&lt;0,-1,1)</f>
        <v>0</v>
      </c>
      <c r="R373" s="553">
        <f>'Foglio deposito bis'!$F$49*IF(ABS(L373)&lt;'Progetto del paramento slu'!$G$58,ABS(L373)*'Progetto del paramento slu'!$G$54,'Progetto del paramento slu'!$G$53)*IF(L373&lt;0,-1,1)</f>
        <v>204886.47740803001</v>
      </c>
      <c r="S373" s="553">
        <f>'Foglio deposito bis'!$F$50*IF(ABS(M373)&lt;'Progetto del paramento slu'!$G$58,ABS(M373)*'Progetto del paramento slu'!$G$54,'Progetto del paramento slu'!$G$53)*IF(M373&lt;0,-1,1)</f>
        <v>0</v>
      </c>
      <c r="T373" s="553">
        <f>'Foglio deposito bis'!$F$51*IF(ABS(N373)&lt;'Progetto del paramento slu'!$G$58,ABS(N373)*'Progetto del paramento slu'!$G$54,'Progetto del paramento slu'!$G$53)*IF(N373&lt;0,-1,1)</f>
        <v>240946.49743184328</v>
      </c>
      <c r="U373" s="553">
        <f>'Foglio deposito bis'!$F$52*IF(ABS(O373)&lt;'Progetto del paramento slu'!$G$58,ABS(O373)*'Progetto del paramento slu'!$G$54,'Progetto del paramento slu'!$G$53)*IF(O373&lt;0,-1,1)</f>
        <v>240946.49743184328</v>
      </c>
      <c r="V373" s="479">
        <f t="shared" si="29"/>
        <v>188939.23187280085</v>
      </c>
      <c r="W373" s="559"/>
      <c r="X373" s="559"/>
    </row>
    <row r="374" spans="1:24" x14ac:dyDescent="0.25">
      <c r="A374" s="553">
        <f t="shared" si="28"/>
        <v>177494.62864523963</v>
      </c>
      <c r="B374" s="3">
        <f t="shared" si="31"/>
        <v>8.8999999999999897</v>
      </c>
      <c r="C374" s="553">
        <f>'Foglio deposito bis'!$E$154/sezione!$B$247*B374</f>
        <v>36.130023973404796</v>
      </c>
      <c r="D374" s="611">
        <f>-'Progetto del paramento slu'!$G$47*'Progetto del paramento slu'!$G$41*IF(DATI!$G$218="dx",DATI!$E$61,DATI!$E$64*DATI!$E$63)*1000*C374^2*sezione!$AD$5*(1-sezione!$AD$6)</f>
        <v>-10745876.587957537</v>
      </c>
      <c r="E374" s="553">
        <f>-'Foglio deposito bis'!$F$48*(C374-sezione!$AL$28)*IF(ABS(K374)&lt;'Progetto del paramento slu'!$G$58,ABS(K374)*'Progetto del paramento slu'!$G$54,'Progetto del paramento slu'!$G$53)</f>
        <v>0</v>
      </c>
      <c r="F374" s="553">
        <f>-'Foglio deposito bis'!$F$49*(C374-sezione!$AM$28)*IF(ABS(L374)&lt;'Progetto del paramento slu'!$G$58,ABS(L374)*'Progetto del paramento slu'!$G$54,'Progetto del paramento slu'!$G$53)</f>
        <v>23330418.270625915</v>
      </c>
      <c r="G374" s="553">
        <f>-'Foglio deposito bis'!$F$50*(C374-sezione!$AN$28)*IF(ABS(M374)&lt;'Progetto del paramento slu'!$G$58,ABS(M374)*'Progetto del paramento slu'!$G$54,'Progetto del paramento slu'!$G$53)</f>
        <v>0</v>
      </c>
      <c r="H374" s="553">
        <f>-'Foglio deposito bis'!$F$51*(C374-sezione!$AO$28)*IF(ABS(N374)&lt;'Progetto del paramento slu'!$G$58,ABS(N374)*'Progetto del paramento slu'!$G$54,'Progetto del paramento slu'!$G$53)</f>
        <v>73216406.39830631</v>
      </c>
      <c r="I374" s="479">
        <f>-'Foglio deposito bis'!$F$52*(C374-sezione!$AP$28)*IF(ABS(O374)&lt;'Progetto del paramento slu'!$G$58,ABS(O374)*'Progetto del paramento slu'!$G$54,'Progetto del paramento slu'!$G$53)</f>
        <v>53940924.075066403</v>
      </c>
      <c r="J374" s="479">
        <f t="shared" si="27"/>
        <v>139741872.15604109</v>
      </c>
      <c r="K374" s="558">
        <f>'Progetto del paramento slu'!$G$60*(sezione!$AL$28-C374)/C374</f>
        <v>3.7489363702203978E-4</v>
      </c>
      <c r="L374" s="558">
        <f>'Progetto del paramento slu'!$G$60*(sezione!$AM$28-C374)/C374</f>
        <v>1.1030851138832648E-2</v>
      </c>
      <c r="M374" s="559">
        <f>'Progetto del paramento slu'!$G$60*(sezione!$AN$28-C374)/C374</f>
        <v>2.1686808640643259E-2</v>
      </c>
      <c r="N374" s="559">
        <f>'Progetto del paramento slu'!$G$60*(sezione!$AO$28-C374)/C374</f>
        <v>2.9436595914687339E-2</v>
      </c>
      <c r="O374" s="559">
        <f>'Progetto del paramento slu'!$G$60*(sezione!$AP$28-C374)/C374</f>
        <v>2.168690411578696E-2</v>
      </c>
      <c r="P374" s="553">
        <f>-'Progetto del paramento slu'!$G$47*'Progetto del paramento slu'!$G$41*IF(DATI!$G$218="dx",DATI!$E$61,DATI!$E$64*DATI!$E$63)*1000*C374*sezione!$AD$5</f>
        <v>-509284.84362647694</v>
      </c>
      <c r="Q374" s="553">
        <f>'Foglio deposito bis'!$F$48*IF(ABS(K374)&lt;'Progetto del paramento slu'!$G$58,ABS(K374)*'Progetto del paramento slu'!$G$54,'Progetto del paramento slu'!$G$53)*IF(K374&lt;0,-1,1)</f>
        <v>0</v>
      </c>
      <c r="R374" s="553">
        <f>'Foglio deposito bis'!$F$49*IF(ABS(L374)&lt;'Progetto del paramento slu'!$G$58,ABS(L374)*'Progetto del paramento slu'!$G$54,'Progetto del paramento slu'!$G$53)*IF(L374&lt;0,-1,1)</f>
        <v>204886.47740803001</v>
      </c>
      <c r="S374" s="553">
        <f>'Foglio deposito bis'!$F$50*IF(ABS(M374)&lt;'Progetto del paramento slu'!$G$58,ABS(M374)*'Progetto del paramento slu'!$G$54,'Progetto del paramento slu'!$G$53)*IF(M374&lt;0,-1,1)</f>
        <v>0</v>
      </c>
      <c r="T374" s="553">
        <f>'Foglio deposito bis'!$F$51*IF(ABS(N374)&lt;'Progetto del paramento slu'!$G$58,ABS(N374)*'Progetto del paramento slu'!$G$54,'Progetto del paramento slu'!$G$53)*IF(N374&lt;0,-1,1)</f>
        <v>240946.49743184328</v>
      </c>
      <c r="U374" s="553">
        <f>'Foglio deposito bis'!$F$52*IF(ABS(O374)&lt;'Progetto del paramento slu'!$G$58,ABS(O374)*'Progetto del paramento slu'!$G$54,'Progetto del paramento slu'!$G$53)*IF(O374&lt;0,-1,1)</f>
        <v>240946.49743184328</v>
      </c>
      <c r="V374" s="479">
        <f t="shared" si="29"/>
        <v>177494.62864523963</v>
      </c>
      <c r="W374" s="559"/>
      <c r="X374" s="559"/>
    </row>
    <row r="375" spans="1:24" x14ac:dyDescent="0.25">
      <c r="A375" s="553">
        <f t="shared" si="28"/>
        <v>166050.02541767835</v>
      </c>
      <c r="B375" s="3">
        <f t="shared" si="31"/>
        <v>9.099999999999989</v>
      </c>
      <c r="C375" s="553">
        <f>'Foglio deposito bis'!$E$154/sezione!$B$247*B375</f>
        <v>36.941934624492546</v>
      </c>
      <c r="D375" s="611">
        <f>-'Progetto del paramento slu'!$G$47*'Progetto del paramento slu'!$G$41*IF(DATI!$G$218="dx",DATI!$E$61,DATI!$E$64*DATI!$E$63)*1000*C375^2*sezione!$AD$5*(1-sezione!$AD$6)</f>
        <v>-11234263.858714348</v>
      </c>
      <c r="E375" s="553">
        <f>-'Foglio deposito bis'!$F$48*(C375-sezione!$AL$28)*IF(ABS(K375)&lt;'Progetto del paramento slu'!$G$58,ABS(K375)*'Progetto del paramento slu'!$G$54,'Progetto del paramento slu'!$G$53)</f>
        <v>0</v>
      </c>
      <c r="F375" s="553">
        <f>-'Foglio deposito bis'!$F$49*(C375-sezione!$AM$28)*IF(ABS(L375)&lt;'Progetto del paramento slu'!$G$58,ABS(L375)*'Progetto del paramento slu'!$G$54,'Progetto del paramento slu'!$G$53)</f>
        <v>23164068.757354487</v>
      </c>
      <c r="G375" s="553">
        <f>-'Foglio deposito bis'!$F$50*(C375-sezione!$AN$28)*IF(ABS(M375)&lt;'Progetto del paramento slu'!$G$58,ABS(M375)*'Progetto del paramento slu'!$G$54,'Progetto del paramento slu'!$G$53)</f>
        <v>0</v>
      </c>
      <c r="H375" s="553">
        <f>-'Foglio deposito bis'!$F$51*(C375-sezione!$AO$28)*IF(ABS(N375)&lt;'Progetto del paramento slu'!$G$58,ABS(N375)*'Progetto del paramento slu'!$G$54,'Progetto del paramento slu'!$G$53)</f>
        <v>73020779.370699093</v>
      </c>
      <c r="I375" s="479">
        <f>-'Foglio deposito bis'!$F$52*(C375-sezione!$AP$28)*IF(ABS(O375)&lt;'Progetto del paramento slu'!$G$58,ABS(O375)*'Progetto del paramento slu'!$G$54,'Progetto del paramento slu'!$G$53)</f>
        <v>53745297.047459207</v>
      </c>
      <c r="J375" s="479">
        <f t="shared" si="27"/>
        <v>138695881.31679845</v>
      </c>
      <c r="K375" s="558">
        <f>'Progetto del paramento slu'!$G$60*(sezione!$AL$28-C375)/C375</f>
        <v>2.8973113950507166E-4</v>
      </c>
      <c r="L375" s="558">
        <f>'Progetto del paramento slu'!$G$60*(sezione!$AM$28-C375)/C375</f>
        <v>1.0711491773144019E-2</v>
      </c>
      <c r="M375" s="559">
        <f>'Progetto del paramento slu'!$G$60*(sezione!$AN$28-C375)/C375</f>
        <v>2.1133252406782967E-2</v>
      </c>
      <c r="N375" s="559">
        <f>'Progetto del paramento slu'!$G$60*(sezione!$AO$28-C375)/C375</f>
        <v>2.871271468579311E-2</v>
      </c>
      <c r="O375" s="559">
        <f>'Progetto del paramento slu'!$G$60*(sezione!$AP$28-C375)/C375</f>
        <v>2.1133345783571861E-2</v>
      </c>
      <c r="P375" s="553">
        <f>-'Progetto del paramento slu'!$G$47*'Progetto del paramento slu'!$G$41*IF(DATI!$G$218="dx",DATI!$E$61,DATI!$E$64*DATI!$E$63)*1000*C375*sezione!$AD$5</f>
        <v>-520729.44685403822</v>
      </c>
      <c r="Q375" s="553">
        <f>'Foglio deposito bis'!$F$48*IF(ABS(K375)&lt;'Progetto del paramento slu'!$G$58,ABS(K375)*'Progetto del paramento slu'!$G$54,'Progetto del paramento slu'!$G$53)*IF(K375&lt;0,-1,1)</f>
        <v>0</v>
      </c>
      <c r="R375" s="553">
        <f>'Foglio deposito bis'!$F$49*IF(ABS(L375)&lt;'Progetto del paramento slu'!$G$58,ABS(L375)*'Progetto del paramento slu'!$G$54,'Progetto del paramento slu'!$G$53)*IF(L375&lt;0,-1,1)</f>
        <v>204886.47740803001</v>
      </c>
      <c r="S375" s="553">
        <f>'Foglio deposito bis'!$F$50*IF(ABS(M375)&lt;'Progetto del paramento slu'!$G$58,ABS(M375)*'Progetto del paramento slu'!$G$54,'Progetto del paramento slu'!$G$53)*IF(M375&lt;0,-1,1)</f>
        <v>0</v>
      </c>
      <c r="T375" s="553">
        <f>'Foglio deposito bis'!$F$51*IF(ABS(N375)&lt;'Progetto del paramento slu'!$G$58,ABS(N375)*'Progetto del paramento slu'!$G$54,'Progetto del paramento slu'!$G$53)*IF(N375&lt;0,-1,1)</f>
        <v>240946.49743184328</v>
      </c>
      <c r="U375" s="553">
        <f>'Foglio deposito bis'!$F$52*IF(ABS(O375)&lt;'Progetto del paramento slu'!$G$58,ABS(O375)*'Progetto del paramento slu'!$G$54,'Progetto del paramento slu'!$G$53)*IF(O375&lt;0,-1,1)</f>
        <v>240946.49743184328</v>
      </c>
      <c r="V375" s="479">
        <f t="shared" si="29"/>
        <v>166050.02541767835</v>
      </c>
      <c r="W375" s="559"/>
      <c r="X375" s="559"/>
    </row>
    <row r="376" spans="1:24" x14ac:dyDescent="0.25">
      <c r="A376" s="553">
        <f t="shared" si="28"/>
        <v>154605.42219011718</v>
      </c>
      <c r="B376" s="3">
        <f t="shared" si="31"/>
        <v>9.2999999999999883</v>
      </c>
      <c r="C376" s="553">
        <f>'Foglio deposito bis'!$E$154/sezione!$B$247*B376</f>
        <v>37.753845275580289</v>
      </c>
      <c r="D376" s="611">
        <f>-'Progetto del paramento slu'!$G$47*'Progetto del paramento slu'!$G$41*IF(DATI!$G$218="dx",DATI!$E$61,DATI!$E$64*DATI!$E$63)*1000*C376^2*sezione!$AD$5*(1-sezione!$AD$6)</f>
        <v>-11733504.179932421</v>
      </c>
      <c r="E376" s="553">
        <f>-'Foglio deposito bis'!$F$48*(C376-sezione!$AL$28)*IF(ABS(K376)&lt;'Progetto del paramento slu'!$G$58,ABS(K376)*'Progetto del paramento slu'!$G$54,'Progetto del paramento slu'!$G$53)</f>
        <v>0</v>
      </c>
      <c r="F376" s="553">
        <f>-'Foglio deposito bis'!$F$49*(C376-sezione!$AM$28)*IF(ABS(L376)&lt;'Progetto del paramento slu'!$G$58,ABS(L376)*'Progetto del paramento slu'!$G$54,'Progetto del paramento slu'!$G$53)</f>
        <v>22997719.244083058</v>
      </c>
      <c r="G376" s="553">
        <f>-'Foglio deposito bis'!$F$50*(C376-sezione!$AN$28)*IF(ABS(M376)&lt;'Progetto del paramento slu'!$G$58,ABS(M376)*'Progetto del paramento slu'!$G$54,'Progetto del paramento slu'!$G$53)</f>
        <v>0</v>
      </c>
      <c r="H376" s="553">
        <f>-'Foglio deposito bis'!$F$51*(C376-sezione!$AO$28)*IF(ABS(N376)&lt;'Progetto del paramento slu'!$G$58,ABS(N376)*'Progetto del paramento slu'!$G$54,'Progetto del paramento slu'!$G$53)</f>
        <v>72825152.343091905</v>
      </c>
      <c r="I376" s="479">
        <f>-'Foglio deposito bis'!$F$52*(C376-sezione!$AP$28)*IF(ABS(O376)&lt;'Progetto del paramento slu'!$G$58,ABS(O376)*'Progetto del paramento slu'!$G$54,'Progetto del paramento slu'!$G$53)</f>
        <v>53549670.019851997</v>
      </c>
      <c r="J376" s="479">
        <f t="shared" si="27"/>
        <v>137639037.42709452</v>
      </c>
      <c r="K376" s="558">
        <f>'Progetto del paramento slu'!$G$60*(sezione!$AL$28-C376)/C376</f>
        <v>2.0823154510711368E-4</v>
      </c>
      <c r="L376" s="558">
        <f>'Progetto del paramento slu'!$G$60*(sezione!$AM$28-C376)/C376</f>
        <v>1.0405868294151676E-2</v>
      </c>
      <c r="M376" s="559">
        <f>'Progetto del paramento slu'!$G$60*(sezione!$AN$28-C376)/C376</f>
        <v>2.0603505043196239E-2</v>
      </c>
      <c r="N376" s="559">
        <f>'Progetto del paramento slu'!$G$60*(sezione!$AO$28-C376)/C376</f>
        <v>2.8019968133410469E-2</v>
      </c>
      <c r="O376" s="559">
        <f>'Progetto del paramento slu'!$G$60*(sezione!$AP$28-C376)/C376</f>
        <v>2.0603596411882145E-2</v>
      </c>
      <c r="P376" s="553">
        <f>-'Progetto del paramento slu'!$G$47*'Progetto del paramento slu'!$G$41*IF(DATI!$G$218="dx",DATI!$E$61,DATI!$E$64*DATI!$E$63)*1000*C376*sezione!$AD$5</f>
        <v>-532174.05008159939</v>
      </c>
      <c r="Q376" s="553">
        <f>'Foglio deposito bis'!$F$48*IF(ABS(K376)&lt;'Progetto del paramento slu'!$G$58,ABS(K376)*'Progetto del paramento slu'!$G$54,'Progetto del paramento slu'!$G$53)*IF(K376&lt;0,-1,1)</f>
        <v>0</v>
      </c>
      <c r="R376" s="553">
        <f>'Foglio deposito bis'!$F$49*IF(ABS(L376)&lt;'Progetto del paramento slu'!$G$58,ABS(L376)*'Progetto del paramento slu'!$G$54,'Progetto del paramento slu'!$G$53)*IF(L376&lt;0,-1,1)</f>
        <v>204886.47740803001</v>
      </c>
      <c r="S376" s="553">
        <f>'Foglio deposito bis'!$F$50*IF(ABS(M376)&lt;'Progetto del paramento slu'!$G$58,ABS(M376)*'Progetto del paramento slu'!$G$54,'Progetto del paramento slu'!$G$53)*IF(M376&lt;0,-1,1)</f>
        <v>0</v>
      </c>
      <c r="T376" s="553">
        <f>'Foglio deposito bis'!$F$51*IF(ABS(N376)&lt;'Progetto del paramento slu'!$G$58,ABS(N376)*'Progetto del paramento slu'!$G$54,'Progetto del paramento slu'!$G$53)*IF(N376&lt;0,-1,1)</f>
        <v>240946.49743184328</v>
      </c>
      <c r="U376" s="553">
        <f>'Foglio deposito bis'!$F$52*IF(ABS(O376)&lt;'Progetto del paramento slu'!$G$58,ABS(O376)*'Progetto del paramento slu'!$G$54,'Progetto del paramento slu'!$G$53)*IF(O376&lt;0,-1,1)</f>
        <v>240946.49743184328</v>
      </c>
      <c r="V376" s="479">
        <f t="shared" si="29"/>
        <v>154605.42219011718</v>
      </c>
      <c r="W376" s="559"/>
      <c r="X376" s="559"/>
    </row>
    <row r="377" spans="1:24" x14ac:dyDescent="0.25">
      <c r="A377" s="553">
        <f t="shared" si="28"/>
        <v>143160.81896255596</v>
      </c>
      <c r="B377" s="3">
        <f t="shared" si="31"/>
        <v>9.4999999999999876</v>
      </c>
      <c r="C377" s="553">
        <f>'Foglio deposito bis'!$E$154/sezione!$B$247*B377</f>
        <v>38.565755926668032</v>
      </c>
      <c r="D377" s="611">
        <f>-'Progetto del paramento slu'!$G$47*'Progetto del paramento slu'!$G$41*IF(DATI!$G$218="dx",DATI!$E$61,DATI!$E$64*DATI!$E$63)*1000*C377^2*sezione!$AD$5*(1-sezione!$AD$6)</f>
        <v>-12243597.551611753</v>
      </c>
      <c r="E377" s="553">
        <f>-'Foglio deposito bis'!$F$48*(C377-sezione!$AL$28)*IF(ABS(K377)&lt;'Progetto del paramento slu'!$G$58,ABS(K377)*'Progetto del paramento slu'!$G$54,'Progetto del paramento slu'!$G$53)</f>
        <v>0</v>
      </c>
      <c r="F377" s="553">
        <f>-'Foglio deposito bis'!$F$49*(C377-sezione!$AM$28)*IF(ABS(L377)&lt;'Progetto del paramento slu'!$G$58,ABS(L377)*'Progetto del paramento slu'!$G$54,'Progetto del paramento slu'!$G$53)</f>
        <v>22831369.730811633</v>
      </c>
      <c r="G377" s="553">
        <f>-'Foglio deposito bis'!$F$50*(C377-sezione!$AN$28)*IF(ABS(M377)&lt;'Progetto del paramento slu'!$G$58,ABS(M377)*'Progetto del paramento slu'!$G$54,'Progetto del paramento slu'!$G$53)</f>
        <v>0</v>
      </c>
      <c r="H377" s="553">
        <f>-'Foglio deposito bis'!$F$51*(C377-sezione!$AO$28)*IF(ABS(N377)&lt;'Progetto del paramento slu'!$G$58,ABS(N377)*'Progetto del paramento slu'!$G$54,'Progetto del paramento slu'!$G$53)</f>
        <v>72629525.315484703</v>
      </c>
      <c r="I377" s="479">
        <f>-'Foglio deposito bis'!$F$52*(C377-sezione!$AP$28)*IF(ABS(O377)&lt;'Progetto del paramento slu'!$G$58,ABS(O377)*'Progetto del paramento slu'!$G$54,'Progetto del paramento slu'!$G$53)</f>
        <v>53354042.992244802</v>
      </c>
      <c r="J377" s="479">
        <f t="shared" si="27"/>
        <v>136571340.48692939</v>
      </c>
      <c r="K377" s="558">
        <f>'Progetto del paramento slu'!$G$60*(sezione!$AL$28-C377)/C377</f>
        <v>1.3016351257854334E-4</v>
      </c>
      <c r="L377" s="558">
        <f>'Progetto del paramento slu'!$G$60*(sezione!$AM$28-C377)/C377</f>
        <v>1.0113113172169539E-2</v>
      </c>
      <c r="M377" s="559">
        <f>'Progetto del paramento slu'!$G$60*(sezione!$AN$28-C377)/C377</f>
        <v>2.009606283176053E-2</v>
      </c>
      <c r="N377" s="559">
        <f>'Progetto del paramento slu'!$G$60*(sezione!$AO$28-C377)/C377</f>
        <v>2.7356389856917622E-2</v>
      </c>
      <c r="O377" s="559">
        <f>'Progetto del paramento slu'!$G$60*(sezione!$AP$28-C377)/C377</f>
        <v>2.0096152276895159E-2</v>
      </c>
      <c r="P377" s="553">
        <f>-'Progetto del paramento slu'!$G$47*'Progetto del paramento slu'!$G$41*IF(DATI!$G$218="dx",DATI!$E$61,DATI!$E$64*DATI!$E$63)*1000*C377*sezione!$AD$5</f>
        <v>-543618.65330916061</v>
      </c>
      <c r="Q377" s="553">
        <f>'Foglio deposito bis'!$F$48*IF(ABS(K377)&lt;'Progetto del paramento slu'!$G$58,ABS(K377)*'Progetto del paramento slu'!$G$54,'Progetto del paramento slu'!$G$53)*IF(K377&lt;0,-1,1)</f>
        <v>0</v>
      </c>
      <c r="R377" s="553">
        <f>'Foglio deposito bis'!$F$49*IF(ABS(L377)&lt;'Progetto del paramento slu'!$G$58,ABS(L377)*'Progetto del paramento slu'!$G$54,'Progetto del paramento slu'!$G$53)*IF(L377&lt;0,-1,1)</f>
        <v>204886.47740803001</v>
      </c>
      <c r="S377" s="553">
        <f>'Foglio deposito bis'!$F$50*IF(ABS(M377)&lt;'Progetto del paramento slu'!$G$58,ABS(M377)*'Progetto del paramento slu'!$G$54,'Progetto del paramento slu'!$G$53)*IF(M377&lt;0,-1,1)</f>
        <v>0</v>
      </c>
      <c r="T377" s="553">
        <f>'Foglio deposito bis'!$F$51*IF(ABS(N377)&lt;'Progetto del paramento slu'!$G$58,ABS(N377)*'Progetto del paramento slu'!$G$54,'Progetto del paramento slu'!$G$53)*IF(N377&lt;0,-1,1)</f>
        <v>240946.49743184328</v>
      </c>
      <c r="U377" s="553">
        <f>'Foglio deposito bis'!$F$52*IF(ABS(O377)&lt;'Progetto del paramento slu'!$G$58,ABS(O377)*'Progetto del paramento slu'!$G$54,'Progetto del paramento slu'!$G$53)*IF(O377&lt;0,-1,1)</f>
        <v>240946.49743184328</v>
      </c>
      <c r="V377" s="479">
        <f t="shared" si="29"/>
        <v>143160.81896255596</v>
      </c>
      <c r="W377" s="559"/>
      <c r="X377" s="559"/>
    </row>
    <row r="378" spans="1:24" x14ac:dyDescent="0.25">
      <c r="A378" s="553">
        <f t="shared" si="28"/>
        <v>131716.21573499462</v>
      </c>
      <c r="B378" s="3">
        <f t="shared" si="31"/>
        <v>9.6999999999999869</v>
      </c>
      <c r="C378" s="553">
        <f>'Foglio deposito bis'!$E$154/sezione!$B$247*B378</f>
        <v>39.377666577755782</v>
      </c>
      <c r="D378" s="611">
        <f>-'Progetto del paramento slu'!$G$47*'Progetto del paramento slu'!$G$41*IF(DATI!$G$218="dx",DATI!$E$61,DATI!$E$64*DATI!$E$63)*1000*C378^2*sezione!$AD$5*(1-sezione!$AD$6)</f>
        <v>-12764543.973752355</v>
      </c>
      <c r="E378" s="553">
        <f>-'Foglio deposito bis'!$F$48*(C378-sezione!$AL$28)*IF(ABS(K378)&lt;'Progetto del paramento slu'!$G$58,ABS(K378)*'Progetto del paramento slu'!$G$54,'Progetto del paramento slu'!$G$53)</f>
        <v>0</v>
      </c>
      <c r="F378" s="553">
        <f>-'Foglio deposito bis'!$F$49*(C378-sezione!$AM$28)*IF(ABS(L378)&lt;'Progetto del paramento slu'!$G$58,ABS(L378)*'Progetto del paramento slu'!$G$54,'Progetto del paramento slu'!$G$53)</f>
        <v>22665020.217540205</v>
      </c>
      <c r="G378" s="553">
        <f>-'Foglio deposito bis'!$F$50*(C378-sezione!$AN$28)*IF(ABS(M378)&lt;'Progetto del paramento slu'!$G$58,ABS(M378)*'Progetto del paramento slu'!$G$54,'Progetto del paramento slu'!$G$53)</f>
        <v>0</v>
      </c>
      <c r="H378" s="553">
        <f>-'Foglio deposito bis'!$F$51*(C378-sezione!$AO$28)*IF(ABS(N378)&lt;'Progetto del paramento slu'!$G$58,ABS(N378)*'Progetto del paramento slu'!$G$54,'Progetto del paramento slu'!$G$53)</f>
        <v>72433898.287877485</v>
      </c>
      <c r="I378" s="479">
        <f>-'Foglio deposito bis'!$F$52*(C378-sezione!$AP$28)*IF(ABS(O378)&lt;'Progetto del paramento slu'!$G$58,ABS(O378)*'Progetto del paramento slu'!$G$54,'Progetto del paramento slu'!$G$53)</f>
        <v>53158415.964637607</v>
      </c>
      <c r="J378" s="479">
        <f t="shared" si="27"/>
        <v>135492790.49630296</v>
      </c>
      <c r="K378" s="558">
        <f>'Progetto del paramento slu'!$G$60*(sezione!$AL$28-C378)/C378</f>
        <v>5.5314780360428863E-5</v>
      </c>
      <c r="L378" s="558">
        <f>'Progetto del paramento slu'!$G$60*(sezione!$AM$28-C378)/C378</f>
        <v>9.8324304263516082E-3</v>
      </c>
      <c r="M378" s="559">
        <f>'Progetto del paramento slu'!$G$60*(sezione!$AN$28-C378)/C378</f>
        <v>1.960954607234279E-2</v>
      </c>
      <c r="N378" s="559">
        <f>'Progetto del paramento slu'!$G$60*(sezione!$AO$28-C378)/C378</f>
        <v>2.6720175633063645E-2</v>
      </c>
      <c r="O378" s="559">
        <f>'Progetto del paramento slu'!$G$60*(sezione!$AP$28-C378)/C378</f>
        <v>1.9609633673247834E-2</v>
      </c>
      <c r="P378" s="553">
        <f>-'Progetto del paramento slu'!$G$47*'Progetto del paramento slu'!$G$41*IF(DATI!$G$218="dx",DATI!$E$61,DATI!$E$64*DATI!$E$63)*1000*C378*sezione!$AD$5</f>
        <v>-555063.25653672195</v>
      </c>
      <c r="Q378" s="553">
        <f>'Foglio deposito bis'!$F$48*IF(ABS(K378)&lt;'Progetto del paramento slu'!$G$58,ABS(K378)*'Progetto del paramento slu'!$G$54,'Progetto del paramento slu'!$G$53)*IF(K378&lt;0,-1,1)</f>
        <v>0</v>
      </c>
      <c r="R378" s="553">
        <f>'Foglio deposito bis'!$F$49*IF(ABS(L378)&lt;'Progetto del paramento slu'!$G$58,ABS(L378)*'Progetto del paramento slu'!$G$54,'Progetto del paramento slu'!$G$53)*IF(L378&lt;0,-1,1)</f>
        <v>204886.47740803001</v>
      </c>
      <c r="S378" s="553">
        <f>'Foglio deposito bis'!$F$50*IF(ABS(M378)&lt;'Progetto del paramento slu'!$G$58,ABS(M378)*'Progetto del paramento slu'!$G$54,'Progetto del paramento slu'!$G$53)*IF(M378&lt;0,-1,1)</f>
        <v>0</v>
      </c>
      <c r="T378" s="553">
        <f>'Foglio deposito bis'!$F$51*IF(ABS(N378)&lt;'Progetto del paramento slu'!$G$58,ABS(N378)*'Progetto del paramento slu'!$G$54,'Progetto del paramento slu'!$G$53)*IF(N378&lt;0,-1,1)</f>
        <v>240946.49743184328</v>
      </c>
      <c r="U378" s="553">
        <f>'Foglio deposito bis'!$F$52*IF(ABS(O378)&lt;'Progetto del paramento slu'!$G$58,ABS(O378)*'Progetto del paramento slu'!$G$54,'Progetto del paramento slu'!$G$53)*IF(O378&lt;0,-1,1)</f>
        <v>240946.49743184328</v>
      </c>
      <c r="V378" s="479">
        <f t="shared" si="29"/>
        <v>131716.21573499462</v>
      </c>
      <c r="W378" s="559"/>
      <c r="X378" s="559"/>
    </row>
    <row r="379" spans="1:24" x14ac:dyDescent="0.25">
      <c r="A379" s="553">
        <f t="shared" si="28"/>
        <v>120271.6125074334</v>
      </c>
      <c r="B379" s="3">
        <f t="shared" si="31"/>
        <v>9.8999999999999861</v>
      </c>
      <c r="C379" s="553">
        <f>'Foglio deposito bis'!$E$154/sezione!$B$247*B379</f>
        <v>40.189577228843525</v>
      </c>
      <c r="D379" s="611">
        <f>-'Progetto del paramento slu'!$G$47*'Progetto del paramento slu'!$G$41*IF(DATI!$G$218="dx",DATI!$E$61,DATI!$E$64*DATI!$E$63)*1000*C379^2*sezione!$AD$5*(1-sezione!$AD$6)</f>
        <v>-13296343.446354214</v>
      </c>
      <c r="E379" s="553">
        <f>-'Foglio deposito bis'!$F$48*(C379-sezione!$AL$28)*IF(ABS(K379)&lt;'Progetto del paramento slu'!$G$58,ABS(K379)*'Progetto del paramento slu'!$G$54,'Progetto del paramento slu'!$G$53)</f>
        <v>0</v>
      </c>
      <c r="F379" s="553">
        <f>-'Foglio deposito bis'!$F$49*(C379-sezione!$AM$28)*IF(ABS(L379)&lt;'Progetto del paramento slu'!$G$58,ABS(L379)*'Progetto del paramento slu'!$G$54,'Progetto del paramento slu'!$G$53)</f>
        <v>22498670.704268776</v>
      </c>
      <c r="G379" s="553">
        <f>-'Foglio deposito bis'!$F$50*(C379-sezione!$AN$28)*IF(ABS(M379)&lt;'Progetto del paramento slu'!$G$58,ABS(M379)*'Progetto del paramento slu'!$G$54,'Progetto del paramento slu'!$G$53)</f>
        <v>0</v>
      </c>
      <c r="H379" s="553">
        <f>-'Foglio deposito bis'!$F$51*(C379-sezione!$AO$28)*IF(ABS(N379)&lt;'Progetto del paramento slu'!$G$58,ABS(N379)*'Progetto del paramento slu'!$G$54,'Progetto del paramento slu'!$G$53)</f>
        <v>72238271.260270312</v>
      </c>
      <c r="I379" s="479">
        <f>-'Foglio deposito bis'!$F$52*(C379-sezione!$AP$28)*IF(ABS(O379)&lt;'Progetto del paramento slu'!$G$58,ABS(O379)*'Progetto del paramento slu'!$G$54,'Progetto del paramento slu'!$G$53)</f>
        <v>52962788.937030405</v>
      </c>
      <c r="J379" s="479">
        <f t="shared" si="27"/>
        <v>134403387.45521528</v>
      </c>
      <c r="K379" s="558">
        <f>'Progetto del paramento slu'!$G$60*(sezione!$AL$28-C379)/C379</f>
        <v>-1.6509760656953092E-5</v>
      </c>
      <c r="L379" s="558">
        <f>'Progetto del paramento slu'!$G$60*(sezione!$AM$28-C379)/C379</f>
        <v>9.5630883975364265E-3</v>
      </c>
      <c r="M379" s="559">
        <f>'Progetto del paramento slu'!$G$60*(sezione!$AN$28-C379)/C379</f>
        <v>1.9142686555729805E-2</v>
      </c>
      <c r="N379" s="559">
        <f>'Progetto del paramento slu'!$G$60*(sezione!$AO$28-C379)/C379</f>
        <v>2.6109667034415897E-2</v>
      </c>
      <c r="O379" s="559">
        <f>'Progetto del paramento slu'!$G$60*(sezione!$AP$28-C379)/C379</f>
        <v>1.9142772386919599E-2</v>
      </c>
      <c r="P379" s="553">
        <f>-'Progetto del paramento slu'!$G$47*'Progetto del paramento slu'!$G$41*IF(DATI!$G$218="dx",DATI!$E$61,DATI!$E$64*DATI!$E$63)*1000*C379*sezione!$AD$5</f>
        <v>-566507.85976428317</v>
      </c>
      <c r="Q379" s="553">
        <f>'Foglio deposito bis'!$F$48*IF(ABS(K379)&lt;'Progetto del paramento slu'!$G$58,ABS(K379)*'Progetto del paramento slu'!$G$54,'Progetto del paramento slu'!$G$53)*IF(K379&lt;0,-1,1)</f>
        <v>0</v>
      </c>
      <c r="R379" s="553">
        <f>'Foglio deposito bis'!$F$49*IF(ABS(L379)&lt;'Progetto del paramento slu'!$G$58,ABS(L379)*'Progetto del paramento slu'!$G$54,'Progetto del paramento slu'!$G$53)*IF(L379&lt;0,-1,1)</f>
        <v>204886.47740803001</v>
      </c>
      <c r="S379" s="553">
        <f>'Foglio deposito bis'!$F$50*IF(ABS(M379)&lt;'Progetto del paramento slu'!$G$58,ABS(M379)*'Progetto del paramento slu'!$G$54,'Progetto del paramento slu'!$G$53)*IF(M379&lt;0,-1,1)</f>
        <v>0</v>
      </c>
      <c r="T379" s="553">
        <f>'Foglio deposito bis'!$F$51*IF(ABS(N379)&lt;'Progetto del paramento slu'!$G$58,ABS(N379)*'Progetto del paramento slu'!$G$54,'Progetto del paramento slu'!$G$53)*IF(N379&lt;0,-1,1)</f>
        <v>240946.49743184328</v>
      </c>
      <c r="U379" s="553">
        <f>'Foglio deposito bis'!$F$52*IF(ABS(O379)&lt;'Progetto del paramento slu'!$G$58,ABS(O379)*'Progetto del paramento slu'!$G$54,'Progetto del paramento slu'!$G$53)*IF(O379&lt;0,-1,1)</f>
        <v>240946.49743184328</v>
      </c>
      <c r="V379" s="479">
        <f t="shared" si="29"/>
        <v>120271.6125074334</v>
      </c>
      <c r="W379" s="559"/>
      <c r="X379" s="559"/>
    </row>
    <row r="380" spans="1:24" x14ac:dyDescent="0.25">
      <c r="A380" s="553">
        <f t="shared" si="28"/>
        <v>108827.00927987217</v>
      </c>
      <c r="B380" s="3">
        <f t="shared" si="31"/>
        <v>10.099999999999985</v>
      </c>
      <c r="C380" s="553">
        <f>'Foglio deposito bis'!$E$154/sezione!$B$247*B380</f>
        <v>41.001487879931275</v>
      </c>
      <c r="D380" s="611">
        <f>-'Progetto del paramento slu'!$G$47*'Progetto del paramento slu'!$G$41*IF(DATI!$G$218="dx",DATI!$E$61,DATI!$E$64*DATI!$E$63)*1000*C380^2*sezione!$AD$5*(1-sezione!$AD$6)</f>
        <v>-13838995.969417339</v>
      </c>
      <c r="E380" s="553">
        <f>-'Foglio deposito bis'!$F$48*(C380-sezione!$AL$28)*IF(ABS(K380)&lt;'Progetto del paramento slu'!$G$58,ABS(K380)*'Progetto del paramento slu'!$G$54,'Progetto del paramento slu'!$G$53)</f>
        <v>0</v>
      </c>
      <c r="F380" s="553">
        <f>-'Foglio deposito bis'!$F$49*(C380-sezione!$AM$28)*IF(ABS(L380)&lt;'Progetto del paramento slu'!$G$58,ABS(L380)*'Progetto del paramento slu'!$G$54,'Progetto del paramento slu'!$G$53)</f>
        <v>22332321.190997347</v>
      </c>
      <c r="G380" s="553">
        <f>-'Foglio deposito bis'!$F$50*(C380-sezione!$AN$28)*IF(ABS(M380)&lt;'Progetto del paramento slu'!$G$58,ABS(M380)*'Progetto del paramento slu'!$G$54,'Progetto del paramento slu'!$G$53)</f>
        <v>0</v>
      </c>
      <c r="H380" s="553">
        <f>-'Foglio deposito bis'!$F$51*(C380-sezione!$AO$28)*IF(ABS(N380)&lt;'Progetto del paramento slu'!$G$58,ABS(N380)*'Progetto del paramento slu'!$G$54,'Progetto del paramento slu'!$G$53)</f>
        <v>72042644.232663095</v>
      </c>
      <c r="I380" s="479">
        <f>-'Foglio deposito bis'!$F$52*(C380-sezione!$AP$28)*IF(ABS(O380)&lt;'Progetto del paramento slu'!$G$58,ABS(O380)*'Progetto del paramento slu'!$G$54,'Progetto del paramento slu'!$G$53)</f>
        <v>52767161.909423195</v>
      </c>
      <c r="J380" s="479">
        <f t="shared" si="27"/>
        <v>133303131.3636663</v>
      </c>
      <c r="K380" s="558">
        <f>'Progetto del paramento slu'!$G$60*(sezione!$AL$28-C380)/C380</f>
        <v>-8.5489765396419551E-5</v>
      </c>
      <c r="L380" s="558">
        <f>'Progetto del paramento slu'!$G$60*(sezione!$AM$28-C380)/C380</f>
        <v>9.3044133797634265E-3</v>
      </c>
      <c r="M380" s="559">
        <f>'Progetto del paramento slu'!$G$60*(sezione!$AN$28-C380)/C380</f>
        <v>1.8694316524923274E-2</v>
      </c>
      <c r="N380" s="559">
        <f>'Progetto del paramento slu'!$G$60*(sezione!$AO$28-C380)/C380</f>
        <v>2.5523336994130435E-2</v>
      </c>
      <c r="O380" s="559">
        <f>'Progetto del paramento slu'!$G$60*(sezione!$AP$28-C380)/C380</f>
        <v>1.8694400656485543E-2</v>
      </c>
      <c r="P380" s="553">
        <f>-'Progetto del paramento slu'!$G$47*'Progetto del paramento slu'!$G$41*IF(DATI!$G$218="dx",DATI!$E$61,DATI!$E$64*DATI!$E$63)*1000*C380*sezione!$AD$5</f>
        <v>-577952.4629918444</v>
      </c>
      <c r="Q380" s="553">
        <f>'Foglio deposito bis'!$F$48*IF(ABS(K380)&lt;'Progetto del paramento slu'!$G$58,ABS(K380)*'Progetto del paramento slu'!$G$54,'Progetto del paramento slu'!$G$53)*IF(K380&lt;0,-1,1)</f>
        <v>0</v>
      </c>
      <c r="R380" s="553">
        <f>'Foglio deposito bis'!$F$49*IF(ABS(L380)&lt;'Progetto del paramento slu'!$G$58,ABS(L380)*'Progetto del paramento slu'!$G$54,'Progetto del paramento slu'!$G$53)*IF(L380&lt;0,-1,1)</f>
        <v>204886.47740803001</v>
      </c>
      <c r="S380" s="553">
        <f>'Foglio deposito bis'!$F$50*IF(ABS(M380)&lt;'Progetto del paramento slu'!$G$58,ABS(M380)*'Progetto del paramento slu'!$G$54,'Progetto del paramento slu'!$G$53)*IF(M380&lt;0,-1,1)</f>
        <v>0</v>
      </c>
      <c r="T380" s="553">
        <f>'Foglio deposito bis'!$F$51*IF(ABS(N380)&lt;'Progetto del paramento slu'!$G$58,ABS(N380)*'Progetto del paramento slu'!$G$54,'Progetto del paramento slu'!$G$53)*IF(N380&lt;0,-1,1)</f>
        <v>240946.49743184328</v>
      </c>
      <c r="U380" s="553">
        <f>'Foglio deposito bis'!$F$52*IF(ABS(O380)&lt;'Progetto del paramento slu'!$G$58,ABS(O380)*'Progetto del paramento slu'!$G$54,'Progetto del paramento slu'!$G$53)*IF(O380&lt;0,-1,1)</f>
        <v>240946.49743184328</v>
      </c>
      <c r="V380" s="479">
        <f t="shared" si="29"/>
        <v>108827.00927987217</v>
      </c>
      <c r="W380" s="559"/>
      <c r="X380" s="559"/>
    </row>
    <row r="381" spans="1:24" x14ac:dyDescent="0.25">
      <c r="A381" s="553">
        <f t="shared" si="28"/>
        <v>97382.406052310951</v>
      </c>
      <c r="B381" s="3">
        <f t="shared" si="31"/>
        <v>10.299999999999985</v>
      </c>
      <c r="C381" s="553">
        <f>'Foglio deposito bis'!$E$154/sezione!$B$247*B381</f>
        <v>41.813398531019018</v>
      </c>
      <c r="D381" s="611">
        <f>-'Progetto del paramento slu'!$G$47*'Progetto del paramento slu'!$G$41*IF(DATI!$G$218="dx",DATI!$E$61,DATI!$E$64*DATI!$E$63)*1000*C381^2*sezione!$AD$5*(1-sezione!$AD$6)</f>
        <v>-14392501.542941725</v>
      </c>
      <c r="E381" s="553">
        <f>-'Foglio deposito bis'!$F$48*(C381-sezione!$AL$28)*IF(ABS(K381)&lt;'Progetto del paramento slu'!$G$58,ABS(K381)*'Progetto del paramento slu'!$G$54,'Progetto del paramento slu'!$G$53)</f>
        <v>0</v>
      </c>
      <c r="F381" s="553">
        <f>-'Foglio deposito bis'!$F$49*(C381-sezione!$AM$28)*IF(ABS(L381)&lt;'Progetto del paramento slu'!$G$58,ABS(L381)*'Progetto del paramento slu'!$G$54,'Progetto del paramento slu'!$G$53)</f>
        <v>22165971.677725919</v>
      </c>
      <c r="G381" s="553">
        <f>-'Foglio deposito bis'!$F$50*(C381-sezione!$AN$28)*IF(ABS(M381)&lt;'Progetto del paramento slu'!$G$58,ABS(M381)*'Progetto del paramento slu'!$G$54,'Progetto del paramento slu'!$G$53)</f>
        <v>0</v>
      </c>
      <c r="H381" s="553">
        <f>-'Foglio deposito bis'!$F$51*(C381-sezione!$AO$28)*IF(ABS(N381)&lt;'Progetto del paramento slu'!$G$58,ABS(N381)*'Progetto del paramento slu'!$G$54,'Progetto del paramento slu'!$G$53)</f>
        <v>71847017.205055907</v>
      </c>
      <c r="I381" s="479">
        <f>-'Foglio deposito bis'!$F$52*(C381-sezione!$AP$28)*IF(ABS(O381)&lt;'Progetto del paramento slu'!$G$58,ABS(O381)*'Progetto del paramento slu'!$G$54,'Progetto del paramento slu'!$G$53)</f>
        <v>52571534.881816015</v>
      </c>
      <c r="J381" s="479">
        <f t="shared" ref="J381:J444" si="32">D381+E381+F381+G381+H381+I381</f>
        <v>132192022.22165611</v>
      </c>
      <c r="K381" s="558">
        <f>'Progetto del paramento slu'!$G$60*(sezione!$AL$28-C381)/C381</f>
        <v>-1.5179093500037217E-4</v>
      </c>
      <c r="L381" s="558">
        <f>'Progetto del paramento slu'!$G$60*(sezione!$AM$28-C381)/C381</f>
        <v>9.0557839937486055E-3</v>
      </c>
      <c r="M381" s="559">
        <f>'Progetto del paramento slu'!$G$60*(sezione!$AN$28-C381)/C381</f>
        <v>1.8263358922497582E-2</v>
      </c>
      <c r="N381" s="559">
        <f>'Progetto del paramento slu'!$G$60*(sezione!$AO$28-C381)/C381</f>
        <v>2.4959777052496839E-2</v>
      </c>
      <c r="O381" s="559">
        <f>'Progetto del paramento slu'!$G$60*(sezione!$AP$28-C381)/C381</f>
        <v>1.8263441420437284E-2</v>
      </c>
      <c r="P381" s="553">
        <f>-'Progetto del paramento slu'!$G$47*'Progetto del paramento slu'!$G$41*IF(DATI!$G$218="dx",DATI!$E$61,DATI!$E$64*DATI!$E$63)*1000*C381*sezione!$AD$5</f>
        <v>-589397.06621940562</v>
      </c>
      <c r="Q381" s="553">
        <f>'Foglio deposito bis'!$F$48*IF(ABS(K381)&lt;'Progetto del paramento slu'!$G$58,ABS(K381)*'Progetto del paramento slu'!$G$54,'Progetto del paramento slu'!$G$53)*IF(K381&lt;0,-1,1)</f>
        <v>0</v>
      </c>
      <c r="R381" s="553">
        <f>'Foglio deposito bis'!$F$49*IF(ABS(L381)&lt;'Progetto del paramento slu'!$G$58,ABS(L381)*'Progetto del paramento slu'!$G$54,'Progetto del paramento slu'!$G$53)*IF(L381&lt;0,-1,1)</f>
        <v>204886.47740803001</v>
      </c>
      <c r="S381" s="553">
        <f>'Foglio deposito bis'!$F$50*IF(ABS(M381)&lt;'Progetto del paramento slu'!$G$58,ABS(M381)*'Progetto del paramento slu'!$G$54,'Progetto del paramento slu'!$G$53)*IF(M381&lt;0,-1,1)</f>
        <v>0</v>
      </c>
      <c r="T381" s="553">
        <f>'Foglio deposito bis'!$F$51*IF(ABS(N381)&lt;'Progetto del paramento slu'!$G$58,ABS(N381)*'Progetto del paramento slu'!$G$54,'Progetto del paramento slu'!$G$53)*IF(N381&lt;0,-1,1)</f>
        <v>240946.49743184328</v>
      </c>
      <c r="U381" s="553">
        <f>'Foglio deposito bis'!$F$52*IF(ABS(O381)&lt;'Progetto del paramento slu'!$G$58,ABS(O381)*'Progetto del paramento slu'!$G$54,'Progetto del paramento slu'!$G$53)*IF(O381&lt;0,-1,1)</f>
        <v>240946.49743184328</v>
      </c>
      <c r="V381" s="479">
        <f t="shared" si="29"/>
        <v>97382.406052310951</v>
      </c>
      <c r="W381" s="559"/>
      <c r="X381" s="559"/>
    </row>
    <row r="382" spans="1:24" x14ac:dyDescent="0.25">
      <c r="A382" s="553">
        <f t="shared" ref="A382:A445" si="33">ABS(V382)</f>
        <v>85937.802824749611</v>
      </c>
      <c r="B382" s="3">
        <f t="shared" si="31"/>
        <v>10.499999999999984</v>
      </c>
      <c r="C382" s="553">
        <f>'Foglio deposito bis'!$E$154/sezione!$B$247*B382</f>
        <v>42.625309182106768</v>
      </c>
      <c r="D382" s="611">
        <f>-'Progetto del paramento slu'!$G$47*'Progetto del paramento slu'!$G$41*IF(DATI!$G$218="dx",DATI!$E$61,DATI!$E$64*DATI!$E$63)*1000*C382^2*sezione!$AD$5*(1-sezione!$AD$6)</f>
        <v>-14956860.166927375</v>
      </c>
      <c r="E382" s="553">
        <f>-'Foglio deposito bis'!$F$48*(C382-sezione!$AL$28)*IF(ABS(K382)&lt;'Progetto del paramento slu'!$G$58,ABS(K382)*'Progetto del paramento slu'!$G$54,'Progetto del paramento slu'!$G$53)</f>
        <v>0</v>
      </c>
      <c r="F382" s="553">
        <f>-'Foglio deposito bis'!$F$49*(C382-sezione!$AM$28)*IF(ABS(L382)&lt;'Progetto del paramento slu'!$G$58,ABS(L382)*'Progetto del paramento slu'!$G$54,'Progetto del paramento slu'!$G$53)</f>
        <v>21999622.164454486</v>
      </c>
      <c r="G382" s="553">
        <f>-'Foglio deposito bis'!$F$50*(C382-sezione!$AN$28)*IF(ABS(M382)&lt;'Progetto del paramento slu'!$G$58,ABS(M382)*'Progetto del paramento slu'!$G$54,'Progetto del paramento slu'!$G$53)</f>
        <v>0</v>
      </c>
      <c r="H382" s="553">
        <f>-'Foglio deposito bis'!$F$51*(C382-sezione!$AO$28)*IF(ABS(N382)&lt;'Progetto del paramento slu'!$G$58,ABS(N382)*'Progetto del paramento slu'!$G$54,'Progetto del paramento slu'!$G$53)</f>
        <v>71651390.17744869</v>
      </c>
      <c r="I382" s="479">
        <f>-'Foglio deposito bis'!$F$52*(C382-sezione!$AP$28)*IF(ABS(O382)&lt;'Progetto del paramento slu'!$G$58,ABS(O382)*'Progetto del paramento slu'!$G$54,'Progetto del paramento slu'!$G$53)</f>
        <v>52375907.854208805</v>
      </c>
      <c r="J382" s="479">
        <f t="shared" si="32"/>
        <v>131070060.02918461</v>
      </c>
      <c r="K382" s="558">
        <f>'Progetto del paramento slu'!$G$60*(sezione!$AL$28-C382)/C382</f>
        <v>-2.1556634576226999E-4</v>
      </c>
      <c r="L382" s="558">
        <f>'Progetto del paramento slu'!$G$60*(sezione!$AM$28-C382)/C382</f>
        <v>8.816626203391487E-3</v>
      </c>
      <c r="M382" s="559">
        <f>'Progetto del paramento slu'!$G$60*(sezione!$AN$28-C382)/C382</f>
        <v>1.7848818752545244E-2</v>
      </c>
      <c r="N382" s="559">
        <f>'Progetto del paramento slu'!$G$60*(sezione!$AO$28-C382)/C382</f>
        <v>2.4417686061020703E-2</v>
      </c>
      <c r="O382" s="559">
        <f>'Progetto del paramento slu'!$G$60*(sezione!$AP$28-C382)/C382</f>
        <v>1.7848899679095621E-2</v>
      </c>
      <c r="P382" s="553">
        <f>-'Progetto del paramento slu'!$G$47*'Progetto del paramento slu'!$G$41*IF(DATI!$G$218="dx",DATI!$E$61,DATI!$E$64*DATI!$E$63)*1000*C382*sezione!$AD$5</f>
        <v>-600841.66944696696</v>
      </c>
      <c r="Q382" s="553">
        <f>'Foglio deposito bis'!$F$48*IF(ABS(K382)&lt;'Progetto del paramento slu'!$G$58,ABS(K382)*'Progetto del paramento slu'!$G$54,'Progetto del paramento slu'!$G$53)*IF(K382&lt;0,-1,1)</f>
        <v>0</v>
      </c>
      <c r="R382" s="553">
        <f>'Foglio deposito bis'!$F$49*IF(ABS(L382)&lt;'Progetto del paramento slu'!$G$58,ABS(L382)*'Progetto del paramento slu'!$G$54,'Progetto del paramento slu'!$G$53)*IF(L382&lt;0,-1,1)</f>
        <v>204886.47740803001</v>
      </c>
      <c r="S382" s="553">
        <f>'Foglio deposito bis'!$F$50*IF(ABS(M382)&lt;'Progetto del paramento slu'!$G$58,ABS(M382)*'Progetto del paramento slu'!$G$54,'Progetto del paramento slu'!$G$53)*IF(M382&lt;0,-1,1)</f>
        <v>0</v>
      </c>
      <c r="T382" s="553">
        <f>'Foglio deposito bis'!$F$51*IF(ABS(N382)&lt;'Progetto del paramento slu'!$G$58,ABS(N382)*'Progetto del paramento slu'!$G$54,'Progetto del paramento slu'!$G$53)*IF(N382&lt;0,-1,1)</f>
        <v>240946.49743184328</v>
      </c>
      <c r="U382" s="553">
        <f>'Foglio deposito bis'!$F$52*IF(ABS(O382)&lt;'Progetto del paramento slu'!$G$58,ABS(O382)*'Progetto del paramento slu'!$G$54,'Progetto del paramento slu'!$G$53)*IF(O382&lt;0,-1,1)</f>
        <v>240946.49743184328</v>
      </c>
      <c r="V382" s="479">
        <f t="shared" ref="V382:V445" si="34">P382+Q382+R382+S382+T382+U382</f>
        <v>85937.802824749611</v>
      </c>
      <c r="W382" s="559"/>
      <c r="X382" s="559"/>
    </row>
    <row r="383" spans="1:24" x14ac:dyDescent="0.25">
      <c r="A383" s="553">
        <f t="shared" si="33"/>
        <v>74493.199597188388</v>
      </c>
      <c r="B383" s="3">
        <f t="shared" si="31"/>
        <v>10.699999999999983</v>
      </c>
      <c r="C383" s="553">
        <f>'Foglio deposito bis'!$E$154/sezione!$B$247*B383</f>
        <v>43.437219833194511</v>
      </c>
      <c r="D383" s="611">
        <f>-'Progetto del paramento slu'!$G$47*'Progetto del paramento slu'!$G$41*IF(DATI!$G$218="dx",DATI!$E$61,DATI!$E$64*DATI!$E$63)*1000*C383^2*sezione!$AD$5*(1-sezione!$AD$6)</f>
        <v>-15532071.841374286</v>
      </c>
      <c r="E383" s="553">
        <f>-'Foglio deposito bis'!$F$48*(C383-sezione!$AL$28)*IF(ABS(K383)&lt;'Progetto del paramento slu'!$G$58,ABS(K383)*'Progetto del paramento slu'!$G$54,'Progetto del paramento slu'!$G$53)</f>
        <v>0</v>
      </c>
      <c r="F383" s="553">
        <f>-'Foglio deposito bis'!$F$49*(C383-sezione!$AM$28)*IF(ABS(L383)&lt;'Progetto del paramento slu'!$G$58,ABS(L383)*'Progetto del paramento slu'!$G$54,'Progetto del paramento slu'!$G$53)</f>
        <v>21833272.651183058</v>
      </c>
      <c r="G383" s="553">
        <f>-'Foglio deposito bis'!$F$50*(C383-sezione!$AN$28)*IF(ABS(M383)&lt;'Progetto del paramento slu'!$G$58,ABS(M383)*'Progetto del paramento slu'!$G$54,'Progetto del paramento slu'!$G$53)</f>
        <v>0</v>
      </c>
      <c r="H383" s="553">
        <f>-'Foglio deposito bis'!$F$51*(C383-sezione!$AO$28)*IF(ABS(N383)&lt;'Progetto del paramento slu'!$G$58,ABS(N383)*'Progetto del paramento slu'!$G$54,'Progetto del paramento slu'!$G$53)</f>
        <v>71455763.149841502</v>
      </c>
      <c r="I383" s="479">
        <f>-'Foglio deposito bis'!$F$52*(C383-sezione!$AP$28)*IF(ABS(O383)&lt;'Progetto del paramento slu'!$G$58,ABS(O383)*'Progetto del paramento slu'!$G$54,'Progetto del paramento slu'!$G$53)</f>
        <v>52180280.826601602</v>
      </c>
      <c r="J383" s="479">
        <f t="shared" si="32"/>
        <v>129937244.78625187</v>
      </c>
      <c r="K383" s="558">
        <f>'Progetto del paramento slu'!$G$60*(sezione!$AL$28-C383)/C383</f>
        <v>-2.7695762901904967E-4</v>
      </c>
      <c r="L383" s="558">
        <f>'Progetto del paramento slu'!$G$60*(sezione!$AM$28-C383)/C383</f>
        <v>8.5864088911785635E-3</v>
      </c>
      <c r="M383" s="559">
        <f>'Progetto del paramento slu'!$G$60*(sezione!$AN$28-C383)/C383</f>
        <v>1.7449775411376177E-2</v>
      </c>
      <c r="N383" s="559">
        <f>'Progetto del paramento slu'!$G$60*(sezione!$AO$28-C383)/C383</f>
        <v>2.3895860153338083E-2</v>
      </c>
      <c r="O383" s="559">
        <f>'Progetto del paramento slu'!$G$60*(sezione!$AP$28-C383)/C383</f>
        <v>1.7449854825280751E-2</v>
      </c>
      <c r="P383" s="553">
        <f>-'Progetto del paramento slu'!$G$47*'Progetto del paramento slu'!$G$41*IF(DATI!$G$218="dx",DATI!$E$61,DATI!$E$64*DATI!$E$63)*1000*C383*sezione!$AD$5</f>
        <v>-612286.27267452818</v>
      </c>
      <c r="Q383" s="553">
        <f>'Foglio deposito bis'!$F$48*IF(ABS(K383)&lt;'Progetto del paramento slu'!$G$58,ABS(K383)*'Progetto del paramento slu'!$G$54,'Progetto del paramento slu'!$G$53)*IF(K383&lt;0,-1,1)</f>
        <v>0</v>
      </c>
      <c r="R383" s="553">
        <f>'Foglio deposito bis'!$F$49*IF(ABS(L383)&lt;'Progetto del paramento slu'!$G$58,ABS(L383)*'Progetto del paramento slu'!$G$54,'Progetto del paramento slu'!$G$53)*IF(L383&lt;0,-1,1)</f>
        <v>204886.47740803001</v>
      </c>
      <c r="S383" s="553">
        <f>'Foglio deposito bis'!$F$50*IF(ABS(M383)&lt;'Progetto del paramento slu'!$G$58,ABS(M383)*'Progetto del paramento slu'!$G$54,'Progetto del paramento slu'!$G$53)*IF(M383&lt;0,-1,1)</f>
        <v>0</v>
      </c>
      <c r="T383" s="553">
        <f>'Foglio deposito bis'!$F$51*IF(ABS(N383)&lt;'Progetto del paramento slu'!$G$58,ABS(N383)*'Progetto del paramento slu'!$G$54,'Progetto del paramento slu'!$G$53)*IF(N383&lt;0,-1,1)</f>
        <v>240946.49743184328</v>
      </c>
      <c r="U383" s="553">
        <f>'Foglio deposito bis'!$F$52*IF(ABS(O383)&lt;'Progetto del paramento slu'!$G$58,ABS(O383)*'Progetto del paramento slu'!$G$54,'Progetto del paramento slu'!$G$53)*IF(O383&lt;0,-1,1)</f>
        <v>240946.49743184328</v>
      </c>
      <c r="V383" s="479">
        <f t="shared" si="34"/>
        <v>74493.199597188388</v>
      </c>
      <c r="W383" s="559"/>
      <c r="X383" s="559"/>
    </row>
    <row r="384" spans="1:24" x14ac:dyDescent="0.25">
      <c r="A384" s="553">
        <f t="shared" si="33"/>
        <v>63048.596369627048</v>
      </c>
      <c r="B384" s="3">
        <f t="shared" si="31"/>
        <v>10.899999999999983</v>
      </c>
      <c r="C384" s="553">
        <f>'Foglio deposito bis'!$E$154/sezione!$B$247*B384</f>
        <v>44.249130484282261</v>
      </c>
      <c r="D384" s="611">
        <f>-'Progetto del paramento slu'!$G$47*'Progetto del paramento slu'!$G$41*IF(DATI!$G$218="dx",DATI!$E$61,DATI!$E$64*DATI!$E$63)*1000*C384^2*sezione!$AD$5*(1-sezione!$AD$6)</f>
        <v>-16118136.566282462</v>
      </c>
      <c r="E384" s="553">
        <f>-'Foglio deposito bis'!$F$48*(C384-sezione!$AL$28)*IF(ABS(K384)&lt;'Progetto del paramento slu'!$G$58,ABS(K384)*'Progetto del paramento slu'!$G$54,'Progetto del paramento slu'!$G$53)</f>
        <v>0</v>
      </c>
      <c r="F384" s="553">
        <f>-'Foglio deposito bis'!$F$49*(C384-sezione!$AM$28)*IF(ABS(L384)&lt;'Progetto del paramento slu'!$G$58,ABS(L384)*'Progetto del paramento slu'!$G$54,'Progetto del paramento slu'!$G$53)</f>
        <v>21666923.137911633</v>
      </c>
      <c r="G384" s="553">
        <f>-'Foglio deposito bis'!$F$50*(C384-sezione!$AN$28)*IF(ABS(M384)&lt;'Progetto del paramento slu'!$G$58,ABS(M384)*'Progetto del paramento slu'!$G$54,'Progetto del paramento slu'!$G$53)</f>
        <v>0</v>
      </c>
      <c r="H384" s="553">
        <f>-'Foglio deposito bis'!$F$51*(C384-sezione!$AO$28)*IF(ABS(N384)&lt;'Progetto del paramento slu'!$G$58,ABS(N384)*'Progetto del paramento slu'!$G$54,'Progetto del paramento slu'!$G$53)</f>
        <v>71260136.1222343</v>
      </c>
      <c r="I384" s="479">
        <f>-'Foglio deposito bis'!$F$52*(C384-sezione!$AP$28)*IF(ABS(O384)&lt;'Progetto del paramento slu'!$G$58,ABS(O384)*'Progetto del paramento slu'!$G$54,'Progetto del paramento slu'!$G$53)</f>
        <v>51984653.798994407</v>
      </c>
      <c r="J384" s="479">
        <f t="shared" si="32"/>
        <v>128793576.49285787</v>
      </c>
      <c r="K384" s="558">
        <f>'Progetto del paramento slu'!$G$60*(sezione!$AL$28-C384)/C384</f>
        <v>-3.360960211471406E-4</v>
      </c>
      <c r="L384" s="558">
        <f>'Progetto del paramento slu'!$G$60*(sezione!$AM$28-C384)/C384</f>
        <v>8.3646399206982226E-3</v>
      </c>
      <c r="M384" s="559">
        <f>'Progetto del paramento slu'!$G$60*(sezione!$AN$28-C384)/C384</f>
        <v>1.7065375862543586E-2</v>
      </c>
      <c r="N384" s="559">
        <f>'Progetto del paramento slu'!$G$60*(sezione!$AO$28-C384)/C384</f>
        <v>2.3393183820249304E-2</v>
      </c>
      <c r="O384" s="559">
        <f>'Progetto del paramento slu'!$G$60*(sezione!$AP$28-C384)/C384</f>
        <v>1.7065453819312296E-2</v>
      </c>
      <c r="P384" s="553">
        <f>-'Progetto del paramento slu'!$G$47*'Progetto del paramento slu'!$G$41*IF(DATI!$G$218="dx",DATI!$E$61,DATI!$E$64*DATI!$E$63)*1000*C384*sezione!$AD$5</f>
        <v>-623730.87590208952</v>
      </c>
      <c r="Q384" s="553">
        <f>'Foglio deposito bis'!$F$48*IF(ABS(K384)&lt;'Progetto del paramento slu'!$G$58,ABS(K384)*'Progetto del paramento slu'!$G$54,'Progetto del paramento slu'!$G$53)*IF(K384&lt;0,-1,1)</f>
        <v>0</v>
      </c>
      <c r="R384" s="553">
        <f>'Foglio deposito bis'!$F$49*IF(ABS(L384)&lt;'Progetto del paramento slu'!$G$58,ABS(L384)*'Progetto del paramento slu'!$G$54,'Progetto del paramento slu'!$G$53)*IF(L384&lt;0,-1,1)</f>
        <v>204886.47740803001</v>
      </c>
      <c r="S384" s="553">
        <f>'Foglio deposito bis'!$F$50*IF(ABS(M384)&lt;'Progetto del paramento slu'!$G$58,ABS(M384)*'Progetto del paramento slu'!$G$54,'Progetto del paramento slu'!$G$53)*IF(M384&lt;0,-1,1)</f>
        <v>0</v>
      </c>
      <c r="T384" s="553">
        <f>'Foglio deposito bis'!$F$51*IF(ABS(N384)&lt;'Progetto del paramento slu'!$G$58,ABS(N384)*'Progetto del paramento slu'!$G$54,'Progetto del paramento slu'!$G$53)*IF(N384&lt;0,-1,1)</f>
        <v>240946.49743184328</v>
      </c>
      <c r="U384" s="553">
        <f>'Foglio deposito bis'!$F$52*IF(ABS(O384)&lt;'Progetto del paramento slu'!$G$58,ABS(O384)*'Progetto del paramento slu'!$G$54,'Progetto del paramento slu'!$G$53)*IF(O384&lt;0,-1,1)</f>
        <v>240946.49743184328</v>
      </c>
      <c r="V384" s="479">
        <f t="shared" si="34"/>
        <v>63048.596369627048</v>
      </c>
      <c r="W384" s="559"/>
      <c r="X384" s="559"/>
    </row>
    <row r="385" spans="1:24" x14ac:dyDescent="0.25">
      <c r="A385" s="553">
        <f t="shared" si="33"/>
        <v>51603.993142065825</v>
      </c>
      <c r="B385" s="3">
        <f t="shared" si="31"/>
        <v>11.099999999999982</v>
      </c>
      <c r="C385" s="553">
        <f>'Foglio deposito bis'!$E$154/sezione!$B$247*B385</f>
        <v>45.061041135370004</v>
      </c>
      <c r="D385" s="611">
        <f>-'Progetto del paramento slu'!$G$47*'Progetto del paramento slu'!$G$41*IF(DATI!$G$218="dx",DATI!$E$61,DATI!$E$64*DATI!$E$63)*1000*C385^2*sezione!$AD$5*(1-sezione!$AD$6)</f>
        <v>-16715054.341651896</v>
      </c>
      <c r="E385" s="553">
        <f>-'Foglio deposito bis'!$F$48*(C385-sezione!$AL$28)*IF(ABS(K385)&lt;'Progetto del paramento slu'!$G$58,ABS(K385)*'Progetto del paramento slu'!$G$54,'Progetto del paramento slu'!$G$53)</f>
        <v>0</v>
      </c>
      <c r="F385" s="553">
        <f>-'Foglio deposito bis'!$F$49*(C385-sezione!$AM$28)*IF(ABS(L385)&lt;'Progetto del paramento slu'!$G$58,ABS(L385)*'Progetto del paramento slu'!$G$54,'Progetto del paramento slu'!$G$53)</f>
        <v>21500573.624640204</v>
      </c>
      <c r="G385" s="553">
        <f>-'Foglio deposito bis'!$F$50*(C385-sezione!$AN$28)*IF(ABS(M385)&lt;'Progetto del paramento slu'!$G$58,ABS(M385)*'Progetto del paramento slu'!$G$54,'Progetto del paramento slu'!$G$53)</f>
        <v>0</v>
      </c>
      <c r="H385" s="553">
        <f>-'Foglio deposito bis'!$F$51*(C385-sezione!$AO$28)*IF(ABS(N385)&lt;'Progetto del paramento slu'!$G$58,ABS(N385)*'Progetto del paramento slu'!$G$54,'Progetto del paramento slu'!$G$53)</f>
        <v>71064509.094627082</v>
      </c>
      <c r="I385" s="479">
        <f>-'Foglio deposito bis'!$F$52*(C385-sezione!$AP$28)*IF(ABS(O385)&lt;'Progetto del paramento slu'!$G$58,ABS(O385)*'Progetto del paramento slu'!$G$54,'Progetto del paramento slu'!$G$53)</f>
        <v>51789026.771387212</v>
      </c>
      <c r="J385" s="479">
        <f t="shared" si="32"/>
        <v>127639055.14900261</v>
      </c>
      <c r="K385" s="558">
        <f>'Progetto del paramento slu'!$G$60*(sezione!$AL$28-C385)/C385</f>
        <v>-3.9310330004538996E-4</v>
      </c>
      <c r="L385" s="558">
        <f>'Progetto del paramento slu'!$G$60*(sezione!$AM$28-C385)/C385</f>
        <v>8.1508626248297886E-3</v>
      </c>
      <c r="M385" s="559">
        <f>'Progetto del paramento slu'!$G$60*(sezione!$AN$28-C385)/C385</f>
        <v>1.6694828549704964E-2</v>
      </c>
      <c r="N385" s="559">
        <f>'Progetto del paramento slu'!$G$60*(sezione!$AO$28-C385)/C385</f>
        <v>2.2908621949614186E-2</v>
      </c>
      <c r="O385" s="559">
        <f>'Progetto del paramento slu'!$G$60*(sezione!$AP$28-C385)/C385</f>
        <v>1.6694905101847211E-2</v>
      </c>
      <c r="P385" s="553">
        <f>-'Progetto del paramento slu'!$G$47*'Progetto del paramento slu'!$G$41*IF(DATI!$G$218="dx",DATI!$E$61,DATI!$E$64*DATI!$E$63)*1000*C385*sezione!$AD$5</f>
        <v>-635175.47912965075</v>
      </c>
      <c r="Q385" s="553">
        <f>'Foglio deposito bis'!$F$48*IF(ABS(K385)&lt;'Progetto del paramento slu'!$G$58,ABS(K385)*'Progetto del paramento slu'!$G$54,'Progetto del paramento slu'!$G$53)*IF(K385&lt;0,-1,1)</f>
        <v>0</v>
      </c>
      <c r="R385" s="553">
        <f>'Foglio deposito bis'!$F$49*IF(ABS(L385)&lt;'Progetto del paramento slu'!$G$58,ABS(L385)*'Progetto del paramento slu'!$G$54,'Progetto del paramento slu'!$G$53)*IF(L385&lt;0,-1,1)</f>
        <v>204886.47740803001</v>
      </c>
      <c r="S385" s="553">
        <f>'Foglio deposito bis'!$F$50*IF(ABS(M385)&lt;'Progetto del paramento slu'!$G$58,ABS(M385)*'Progetto del paramento slu'!$G$54,'Progetto del paramento slu'!$G$53)*IF(M385&lt;0,-1,1)</f>
        <v>0</v>
      </c>
      <c r="T385" s="553">
        <f>'Foglio deposito bis'!$F$51*IF(ABS(N385)&lt;'Progetto del paramento slu'!$G$58,ABS(N385)*'Progetto del paramento slu'!$G$54,'Progetto del paramento slu'!$G$53)*IF(N385&lt;0,-1,1)</f>
        <v>240946.49743184328</v>
      </c>
      <c r="U385" s="553">
        <f>'Foglio deposito bis'!$F$52*IF(ABS(O385)&lt;'Progetto del paramento slu'!$G$58,ABS(O385)*'Progetto del paramento slu'!$G$54,'Progetto del paramento slu'!$G$53)*IF(O385&lt;0,-1,1)</f>
        <v>240946.49743184328</v>
      </c>
      <c r="V385" s="479">
        <f t="shared" si="34"/>
        <v>51603.993142065825</v>
      </c>
      <c r="W385" s="559"/>
      <c r="X385" s="559"/>
    </row>
    <row r="386" spans="1:24" x14ac:dyDescent="0.25">
      <c r="A386" s="553">
        <f t="shared" si="33"/>
        <v>40159.389914504485</v>
      </c>
      <c r="B386" s="3">
        <f t="shared" si="31"/>
        <v>11.299999999999981</v>
      </c>
      <c r="C386" s="553">
        <f>'Foglio deposito bis'!$E$154/sezione!$B$247*B386</f>
        <v>45.872951786457755</v>
      </c>
      <c r="D386" s="611">
        <f>-'Progetto del paramento slu'!$G$47*'Progetto del paramento slu'!$G$41*IF(DATI!$G$218="dx",DATI!$E$61,DATI!$E$64*DATI!$E$63)*1000*C386^2*sezione!$AD$5*(1-sezione!$AD$6)</f>
        <v>-17322825.167482596</v>
      </c>
      <c r="E386" s="553">
        <f>-'Foglio deposito bis'!$F$48*(C386-sezione!$AL$28)*IF(ABS(K386)&lt;'Progetto del paramento slu'!$G$58,ABS(K386)*'Progetto del paramento slu'!$G$54,'Progetto del paramento slu'!$G$53)</f>
        <v>0</v>
      </c>
      <c r="F386" s="553">
        <f>-'Foglio deposito bis'!$F$49*(C386-sezione!$AM$28)*IF(ABS(L386)&lt;'Progetto del paramento slu'!$G$58,ABS(L386)*'Progetto del paramento slu'!$G$54,'Progetto del paramento slu'!$G$53)</f>
        <v>21334224.111368775</v>
      </c>
      <c r="G386" s="553">
        <f>-'Foglio deposito bis'!$F$50*(C386-sezione!$AN$28)*IF(ABS(M386)&lt;'Progetto del paramento slu'!$G$58,ABS(M386)*'Progetto del paramento slu'!$G$54,'Progetto del paramento slu'!$G$53)</f>
        <v>0</v>
      </c>
      <c r="H386" s="553">
        <f>-'Foglio deposito bis'!$F$51*(C386-sezione!$AO$28)*IF(ABS(N386)&lt;'Progetto del paramento slu'!$G$58,ABS(N386)*'Progetto del paramento slu'!$G$54,'Progetto del paramento slu'!$G$53)</f>
        <v>70868882.06701991</v>
      </c>
      <c r="I386" s="479">
        <f>-'Foglio deposito bis'!$F$52*(C386-sezione!$AP$28)*IF(ABS(O386)&lt;'Progetto del paramento slu'!$G$58,ABS(O386)*'Progetto del paramento slu'!$G$54,'Progetto del paramento slu'!$G$53)</f>
        <v>51593399.743780002</v>
      </c>
      <c r="J386" s="479">
        <f t="shared" si="32"/>
        <v>126473680.75468609</v>
      </c>
      <c r="K386" s="558">
        <f>'Progetto del paramento slu'!$G$60*(sezione!$AL$28-C386)/C386</f>
        <v>-4.4809262216848056E-4</v>
      </c>
      <c r="L386" s="558">
        <f>'Progetto del paramento slu'!$G$60*(sezione!$AM$28-C386)/C386</f>
        <v>7.9446526668681978E-3</v>
      </c>
      <c r="M386" s="559">
        <f>'Progetto del paramento slu'!$G$60*(sezione!$AN$28-C386)/C386</f>
        <v>1.6337397955904876E-2</v>
      </c>
      <c r="N386" s="559">
        <f>'Progetto del paramento slu'!$G$60*(sezione!$AO$28-C386)/C386</f>
        <v>2.2441212711567918E-2</v>
      </c>
      <c r="O386" s="559">
        <f>'Progetto del paramento slu'!$G$60*(sezione!$AP$28-C386)/C386</f>
        <v>1.6337473153141952E-2</v>
      </c>
      <c r="P386" s="553">
        <f>-'Progetto del paramento slu'!$G$47*'Progetto del paramento slu'!$G$41*IF(DATI!$G$218="dx",DATI!$E$61,DATI!$E$64*DATI!$E$63)*1000*C386*sezione!$AD$5</f>
        <v>-646620.08235721209</v>
      </c>
      <c r="Q386" s="553">
        <f>'Foglio deposito bis'!$F$48*IF(ABS(K386)&lt;'Progetto del paramento slu'!$G$58,ABS(K386)*'Progetto del paramento slu'!$G$54,'Progetto del paramento slu'!$G$53)*IF(K386&lt;0,-1,1)</f>
        <v>0</v>
      </c>
      <c r="R386" s="553">
        <f>'Foglio deposito bis'!$F$49*IF(ABS(L386)&lt;'Progetto del paramento slu'!$G$58,ABS(L386)*'Progetto del paramento slu'!$G$54,'Progetto del paramento slu'!$G$53)*IF(L386&lt;0,-1,1)</f>
        <v>204886.47740803001</v>
      </c>
      <c r="S386" s="553">
        <f>'Foglio deposito bis'!$F$50*IF(ABS(M386)&lt;'Progetto del paramento slu'!$G$58,ABS(M386)*'Progetto del paramento slu'!$G$54,'Progetto del paramento slu'!$G$53)*IF(M386&lt;0,-1,1)</f>
        <v>0</v>
      </c>
      <c r="T386" s="553">
        <f>'Foglio deposito bis'!$F$51*IF(ABS(N386)&lt;'Progetto del paramento slu'!$G$58,ABS(N386)*'Progetto del paramento slu'!$G$54,'Progetto del paramento slu'!$G$53)*IF(N386&lt;0,-1,1)</f>
        <v>240946.49743184328</v>
      </c>
      <c r="U386" s="553">
        <f>'Foglio deposito bis'!$F$52*IF(ABS(O386)&lt;'Progetto del paramento slu'!$G$58,ABS(O386)*'Progetto del paramento slu'!$G$54,'Progetto del paramento slu'!$G$53)*IF(O386&lt;0,-1,1)</f>
        <v>240946.49743184328</v>
      </c>
      <c r="V386" s="479">
        <f t="shared" si="34"/>
        <v>40159.389914504485</v>
      </c>
      <c r="W386" s="559"/>
      <c r="X386" s="559"/>
    </row>
    <row r="387" spans="1:24" x14ac:dyDescent="0.25">
      <c r="A387" s="553">
        <f t="shared" si="33"/>
        <v>28714.786686943378</v>
      </c>
      <c r="B387" s="3">
        <f t="shared" si="31"/>
        <v>11.49999999999998</v>
      </c>
      <c r="C387" s="553">
        <f>'Foglio deposito bis'!$E$154/sezione!$B$247*B387</f>
        <v>46.684862437545497</v>
      </c>
      <c r="D387" s="611">
        <f>-'Progetto del paramento slu'!$G$47*'Progetto del paramento slu'!$G$41*IF(DATI!$G$218="dx",DATI!$E$61,DATI!$E$64*DATI!$E$63)*1000*C387^2*sezione!$AD$5*(1-sezione!$AD$6)</f>
        <v>-17941449.043774556</v>
      </c>
      <c r="E387" s="553">
        <f>-'Foglio deposito bis'!$F$48*(C387-sezione!$AL$28)*IF(ABS(K387)&lt;'Progetto del paramento slu'!$G$58,ABS(K387)*'Progetto del paramento slu'!$G$54,'Progetto del paramento slu'!$G$53)</f>
        <v>0</v>
      </c>
      <c r="F387" s="553">
        <f>-'Foglio deposito bis'!$F$49*(C387-sezione!$AM$28)*IF(ABS(L387)&lt;'Progetto del paramento slu'!$G$58,ABS(L387)*'Progetto del paramento slu'!$G$54,'Progetto del paramento slu'!$G$53)</f>
        <v>21167874.598097347</v>
      </c>
      <c r="G387" s="553">
        <f>-'Foglio deposito bis'!$F$50*(C387-sezione!$AN$28)*IF(ABS(M387)&lt;'Progetto del paramento slu'!$G$58,ABS(M387)*'Progetto del paramento slu'!$G$54,'Progetto del paramento slu'!$G$53)</f>
        <v>0</v>
      </c>
      <c r="H387" s="553">
        <f>-'Foglio deposito bis'!$F$51*(C387-sezione!$AO$28)*IF(ABS(N387)&lt;'Progetto del paramento slu'!$G$58,ABS(N387)*'Progetto del paramento slu'!$G$54,'Progetto del paramento slu'!$G$53)</f>
        <v>70673255.039412692</v>
      </c>
      <c r="I387" s="479">
        <f>-'Foglio deposito bis'!$F$52*(C387-sezione!$AP$28)*IF(ABS(O387)&lt;'Progetto del paramento slu'!$G$58,ABS(O387)*'Progetto del paramento slu'!$G$54,'Progetto del paramento slu'!$G$53)</f>
        <v>51397772.716172807</v>
      </c>
      <c r="J387" s="479">
        <f t="shared" si="32"/>
        <v>125297453.3099083</v>
      </c>
      <c r="K387" s="558">
        <f>'Progetto del paramento slu'!$G$60*(sezione!$AL$28-C387)/C387</f>
        <v>-5.0116927221772404E-4</v>
      </c>
      <c r="L387" s="558">
        <f>'Progetto del paramento slu'!$G$60*(sezione!$AM$28-C387)/C387</f>
        <v>7.745615229183535E-3</v>
      </c>
      <c r="M387" s="559">
        <f>'Progetto del paramento slu'!$G$60*(sezione!$AN$28-C387)/C387</f>
        <v>1.5992399730584795E-2</v>
      </c>
      <c r="N387" s="559">
        <f>'Progetto del paramento slu'!$G$60*(sezione!$AO$28-C387)/C387</f>
        <v>2.1990061186149344E-2</v>
      </c>
      <c r="O387" s="559">
        <f>'Progetto del paramento slu'!$G$60*(sezione!$AP$28-C387)/C387</f>
        <v>1.5992473620043832E-2</v>
      </c>
      <c r="P387" s="553">
        <f>-'Progetto del paramento slu'!$G$47*'Progetto del paramento slu'!$G$41*IF(DATI!$G$218="dx",DATI!$E$61,DATI!$E$64*DATI!$E$63)*1000*C387*sezione!$AD$5</f>
        <v>-658064.68558477319</v>
      </c>
      <c r="Q387" s="553">
        <f>'Foglio deposito bis'!$F$48*IF(ABS(K387)&lt;'Progetto del paramento slu'!$G$58,ABS(K387)*'Progetto del paramento slu'!$G$54,'Progetto del paramento slu'!$G$53)*IF(K387&lt;0,-1,1)</f>
        <v>0</v>
      </c>
      <c r="R387" s="553">
        <f>'Foglio deposito bis'!$F$49*IF(ABS(L387)&lt;'Progetto del paramento slu'!$G$58,ABS(L387)*'Progetto del paramento slu'!$G$54,'Progetto del paramento slu'!$G$53)*IF(L387&lt;0,-1,1)</f>
        <v>204886.47740803001</v>
      </c>
      <c r="S387" s="553">
        <f>'Foglio deposito bis'!$F$50*IF(ABS(M387)&lt;'Progetto del paramento slu'!$G$58,ABS(M387)*'Progetto del paramento slu'!$G$54,'Progetto del paramento slu'!$G$53)*IF(M387&lt;0,-1,1)</f>
        <v>0</v>
      </c>
      <c r="T387" s="553">
        <f>'Foglio deposito bis'!$F$51*IF(ABS(N387)&lt;'Progetto del paramento slu'!$G$58,ABS(N387)*'Progetto del paramento slu'!$G$54,'Progetto del paramento slu'!$G$53)*IF(N387&lt;0,-1,1)</f>
        <v>240946.49743184328</v>
      </c>
      <c r="U387" s="553">
        <f>'Foglio deposito bis'!$F$52*IF(ABS(O387)&lt;'Progetto del paramento slu'!$G$58,ABS(O387)*'Progetto del paramento slu'!$G$54,'Progetto del paramento slu'!$G$53)*IF(O387&lt;0,-1,1)</f>
        <v>240946.49743184328</v>
      </c>
      <c r="V387" s="479">
        <f t="shared" si="34"/>
        <v>28714.786686943378</v>
      </c>
      <c r="W387" s="559"/>
      <c r="X387" s="559"/>
    </row>
    <row r="388" spans="1:24" x14ac:dyDescent="0.25">
      <c r="A388" s="553">
        <f t="shared" si="33"/>
        <v>17270.183459382039</v>
      </c>
      <c r="B388" s="3">
        <f t="shared" si="31"/>
        <v>11.69999999999998</v>
      </c>
      <c r="C388" s="553">
        <f>'Foglio deposito bis'!$E$154/sezione!$B$247*B388</f>
        <v>47.496773088633248</v>
      </c>
      <c r="D388" s="611">
        <f>-'Progetto del paramento slu'!$G$47*'Progetto del paramento slu'!$G$41*IF(DATI!$G$218="dx",DATI!$E$61,DATI!$E$64*DATI!$E$63)*1000*C388^2*sezione!$AD$5*(1-sezione!$AD$6)</f>
        <v>-18570925.970527783</v>
      </c>
      <c r="E388" s="553">
        <f>-'Foglio deposito bis'!$F$48*(C388-sezione!$AL$28)*IF(ABS(K388)&lt;'Progetto del paramento slu'!$G$58,ABS(K388)*'Progetto del paramento slu'!$G$54,'Progetto del paramento slu'!$G$53)</f>
        <v>0</v>
      </c>
      <c r="F388" s="553">
        <f>-'Foglio deposito bis'!$F$49*(C388-sezione!$AM$28)*IF(ABS(L388)&lt;'Progetto del paramento slu'!$G$58,ABS(L388)*'Progetto del paramento slu'!$G$54,'Progetto del paramento slu'!$G$53)</f>
        <v>21001525.084825918</v>
      </c>
      <c r="G388" s="553">
        <f>-'Foglio deposito bis'!$F$50*(C388-sezione!$AN$28)*IF(ABS(M388)&lt;'Progetto del paramento slu'!$G$58,ABS(M388)*'Progetto del paramento slu'!$G$54,'Progetto del paramento slu'!$G$53)</f>
        <v>0</v>
      </c>
      <c r="H388" s="553">
        <f>-'Foglio deposito bis'!$F$51*(C388-sezione!$AO$28)*IF(ABS(N388)&lt;'Progetto del paramento slu'!$G$58,ABS(N388)*'Progetto del paramento slu'!$G$54,'Progetto del paramento slu'!$G$53)</f>
        <v>70477628.011805505</v>
      </c>
      <c r="I388" s="479">
        <f>-'Foglio deposito bis'!$F$52*(C388-sezione!$AP$28)*IF(ABS(O388)&lt;'Progetto del paramento slu'!$G$58,ABS(O388)*'Progetto del paramento slu'!$G$54,'Progetto del paramento slu'!$G$53)</f>
        <v>51202145.688565604</v>
      </c>
      <c r="J388" s="479">
        <f t="shared" si="32"/>
        <v>124110372.81466925</v>
      </c>
      <c r="K388" s="558">
        <f>'Progetto del paramento slu'!$G$60*(sezione!$AL$28-C388)/C388</f>
        <v>-5.5243133594049822E-4</v>
      </c>
      <c r="L388" s="558">
        <f>'Progetto del paramento slu'!$G$60*(sezione!$AM$28-C388)/C388</f>
        <v>7.553382490223132E-3</v>
      </c>
      <c r="M388" s="559">
        <f>'Progetto del paramento slu'!$G$60*(sezione!$AN$28-C388)/C388</f>
        <v>1.5659196316386761E-2</v>
      </c>
      <c r="N388" s="559">
        <f>'Progetto del paramento slu'!$G$60*(sezione!$AO$28-C388)/C388</f>
        <v>2.155433364450577E-2</v>
      </c>
      <c r="O388" s="559">
        <f>'Progetto del paramento slu'!$G$60*(sezione!$AP$28-C388)/C388</f>
        <v>1.5659268942778127E-2</v>
      </c>
      <c r="P388" s="553">
        <f>-'Progetto del paramento slu'!$G$47*'Progetto del paramento slu'!$G$41*IF(DATI!$G$218="dx",DATI!$E$61,DATI!$E$64*DATI!$E$63)*1000*C388*sezione!$AD$5</f>
        <v>-669509.28881233453</v>
      </c>
      <c r="Q388" s="553">
        <f>'Foglio deposito bis'!$F$48*IF(ABS(K388)&lt;'Progetto del paramento slu'!$G$58,ABS(K388)*'Progetto del paramento slu'!$G$54,'Progetto del paramento slu'!$G$53)*IF(K388&lt;0,-1,1)</f>
        <v>0</v>
      </c>
      <c r="R388" s="553">
        <f>'Foglio deposito bis'!$F$49*IF(ABS(L388)&lt;'Progetto del paramento slu'!$G$58,ABS(L388)*'Progetto del paramento slu'!$G$54,'Progetto del paramento slu'!$G$53)*IF(L388&lt;0,-1,1)</f>
        <v>204886.47740803001</v>
      </c>
      <c r="S388" s="553">
        <f>'Foglio deposito bis'!$F$50*IF(ABS(M388)&lt;'Progetto del paramento slu'!$G$58,ABS(M388)*'Progetto del paramento slu'!$G$54,'Progetto del paramento slu'!$G$53)*IF(M388&lt;0,-1,1)</f>
        <v>0</v>
      </c>
      <c r="T388" s="553">
        <f>'Foglio deposito bis'!$F$51*IF(ABS(N388)&lt;'Progetto del paramento slu'!$G$58,ABS(N388)*'Progetto del paramento slu'!$G$54,'Progetto del paramento slu'!$G$53)*IF(N388&lt;0,-1,1)</f>
        <v>240946.49743184328</v>
      </c>
      <c r="U388" s="553">
        <f>'Foglio deposito bis'!$F$52*IF(ABS(O388)&lt;'Progetto del paramento slu'!$G$58,ABS(O388)*'Progetto del paramento slu'!$G$54,'Progetto del paramento slu'!$G$53)*IF(O388&lt;0,-1,1)</f>
        <v>240946.49743184328</v>
      </c>
      <c r="V388" s="479">
        <f t="shared" si="34"/>
        <v>17270.183459382039</v>
      </c>
      <c r="W388" s="559"/>
      <c r="X388" s="559"/>
    </row>
    <row r="389" spans="1:24" x14ac:dyDescent="0.25">
      <c r="A389" s="553">
        <f t="shared" si="33"/>
        <v>5825.5802318208152</v>
      </c>
      <c r="B389" s="3">
        <f t="shared" si="31"/>
        <v>11.899999999999979</v>
      </c>
      <c r="C389" s="553">
        <f>'Foglio deposito bis'!$E$154/sezione!$B$247*B389</f>
        <v>48.308683739720991</v>
      </c>
      <c r="D389" s="611">
        <f>-'Progetto del paramento slu'!$G$47*'Progetto del paramento slu'!$G$41*IF(DATI!$G$218="dx",DATI!$E$61,DATI!$E$64*DATI!$E$63)*1000*C389^2*sezione!$AD$5*(1-sezione!$AD$6)</f>
        <v>-19211255.947742261</v>
      </c>
      <c r="E389" s="553">
        <f>-'Foglio deposito bis'!$F$48*(C389-sezione!$AL$28)*IF(ABS(K389)&lt;'Progetto del paramento slu'!$G$58,ABS(K389)*'Progetto del paramento slu'!$G$54,'Progetto del paramento slu'!$G$53)</f>
        <v>0</v>
      </c>
      <c r="F389" s="553">
        <f>-'Foglio deposito bis'!$F$49*(C389-sezione!$AM$28)*IF(ABS(L389)&lt;'Progetto del paramento slu'!$G$58,ABS(L389)*'Progetto del paramento slu'!$G$54,'Progetto del paramento slu'!$G$53)</f>
        <v>20835175.571554489</v>
      </c>
      <c r="G389" s="553">
        <f>-'Foglio deposito bis'!$F$50*(C389-sezione!$AN$28)*IF(ABS(M389)&lt;'Progetto del paramento slu'!$G$58,ABS(M389)*'Progetto del paramento slu'!$G$54,'Progetto del paramento slu'!$G$53)</f>
        <v>0</v>
      </c>
      <c r="H389" s="553">
        <f>-'Foglio deposito bis'!$F$51*(C389-sezione!$AO$28)*IF(ABS(N389)&lt;'Progetto del paramento slu'!$G$58,ABS(N389)*'Progetto del paramento slu'!$G$54,'Progetto del paramento slu'!$G$53)</f>
        <v>70282000.984198302</v>
      </c>
      <c r="I389" s="479">
        <f>-'Foglio deposito bis'!$F$52*(C389-sezione!$AP$28)*IF(ABS(O389)&lt;'Progetto del paramento slu'!$G$58,ABS(O389)*'Progetto del paramento slu'!$G$54,'Progetto del paramento slu'!$G$53)</f>
        <v>51006518.660958402</v>
      </c>
      <c r="J389" s="479">
        <f t="shared" si="32"/>
        <v>122912439.26896894</v>
      </c>
      <c r="K389" s="558">
        <f>'Progetto del paramento slu'!$G$60*(sezione!$AL$28-C389)/C389</f>
        <v>-6.0197030508435509E-4</v>
      </c>
      <c r="L389" s="558">
        <f>'Progetto del paramento slu'!$G$60*(sezione!$AM$28-C389)/C389</f>
        <v>7.3676113559336684E-3</v>
      </c>
      <c r="M389" s="559">
        <f>'Progetto del paramento slu'!$G$60*(sezione!$AN$28-C389)/C389</f>
        <v>1.5337193016951691E-2</v>
      </c>
      <c r="N389" s="559">
        <f>'Progetto del paramento slu'!$G$60*(sezione!$AO$28-C389)/C389</f>
        <v>2.1133252406782981E-2</v>
      </c>
      <c r="O389" s="559">
        <f>'Progetto del paramento slu'!$G$60*(sezione!$AP$28-C389)/C389</f>
        <v>1.5337264422731435E-2</v>
      </c>
      <c r="P389" s="553">
        <f>-'Progetto del paramento slu'!$G$47*'Progetto del paramento slu'!$G$41*IF(DATI!$G$218="dx",DATI!$E$61,DATI!$E$64*DATI!$E$63)*1000*C389*sezione!$AD$5</f>
        <v>-680953.89203989576</v>
      </c>
      <c r="Q389" s="553">
        <f>'Foglio deposito bis'!$F$48*IF(ABS(K389)&lt;'Progetto del paramento slu'!$G$58,ABS(K389)*'Progetto del paramento slu'!$G$54,'Progetto del paramento slu'!$G$53)*IF(K389&lt;0,-1,1)</f>
        <v>0</v>
      </c>
      <c r="R389" s="553">
        <f>'Foglio deposito bis'!$F$49*IF(ABS(L389)&lt;'Progetto del paramento slu'!$G$58,ABS(L389)*'Progetto del paramento slu'!$G$54,'Progetto del paramento slu'!$G$53)*IF(L389&lt;0,-1,1)</f>
        <v>204886.47740803001</v>
      </c>
      <c r="S389" s="553">
        <f>'Foglio deposito bis'!$F$50*IF(ABS(M389)&lt;'Progetto del paramento slu'!$G$58,ABS(M389)*'Progetto del paramento slu'!$G$54,'Progetto del paramento slu'!$G$53)*IF(M389&lt;0,-1,1)</f>
        <v>0</v>
      </c>
      <c r="T389" s="553">
        <f>'Foglio deposito bis'!$F$51*IF(ABS(N389)&lt;'Progetto del paramento slu'!$G$58,ABS(N389)*'Progetto del paramento slu'!$G$54,'Progetto del paramento slu'!$G$53)*IF(N389&lt;0,-1,1)</f>
        <v>240946.49743184328</v>
      </c>
      <c r="U389" s="553">
        <f>'Foglio deposito bis'!$F$52*IF(ABS(O389)&lt;'Progetto del paramento slu'!$G$58,ABS(O389)*'Progetto del paramento slu'!$G$54,'Progetto del paramento slu'!$G$53)*IF(O389&lt;0,-1,1)</f>
        <v>240946.49743184328</v>
      </c>
      <c r="V389" s="479">
        <f t="shared" si="34"/>
        <v>5825.5802318208152</v>
      </c>
      <c r="W389" s="559"/>
      <c r="X389" s="559"/>
    </row>
    <row r="390" spans="1:24" x14ac:dyDescent="0.25">
      <c r="A390" s="553">
        <f t="shared" si="33"/>
        <v>5619.0229957404081</v>
      </c>
      <c r="B390" s="3">
        <f t="shared" si="31"/>
        <v>12.099999999999978</v>
      </c>
      <c r="C390" s="553">
        <f>'Foglio deposito bis'!$E$154/sezione!$B$247*B390</f>
        <v>49.120594390808741</v>
      </c>
      <c r="D390" s="611">
        <f>-'Progetto del paramento slu'!$G$47*'Progetto del paramento slu'!$G$41*IF(DATI!$G$218="dx",DATI!$E$61,DATI!$E$64*DATI!$E$63)*1000*C390^2*sezione!$AD$5*(1-sezione!$AD$6)</f>
        <v>-19862438.975418013</v>
      </c>
      <c r="E390" s="553">
        <f>-'Foglio deposito bis'!$F$48*(C390-sezione!$AL$28)*IF(ABS(K390)&lt;'Progetto del paramento slu'!$G$58,ABS(K390)*'Progetto del paramento slu'!$G$54,'Progetto del paramento slu'!$G$53)</f>
        <v>0</v>
      </c>
      <c r="F390" s="553">
        <f>-'Foglio deposito bis'!$F$49*(C390-sezione!$AM$28)*IF(ABS(L390)&lt;'Progetto del paramento slu'!$G$58,ABS(L390)*'Progetto del paramento slu'!$G$54,'Progetto del paramento slu'!$G$53)</f>
        <v>20668826.058283061</v>
      </c>
      <c r="G390" s="553">
        <f>-'Foglio deposito bis'!$F$50*(C390-sezione!$AN$28)*IF(ABS(M390)&lt;'Progetto del paramento slu'!$G$58,ABS(M390)*'Progetto del paramento slu'!$G$54,'Progetto del paramento slu'!$G$53)</f>
        <v>0</v>
      </c>
      <c r="H390" s="553">
        <f>-'Foglio deposito bis'!$F$51*(C390-sezione!$AO$28)*IF(ABS(N390)&lt;'Progetto del paramento slu'!$G$58,ABS(N390)*'Progetto del paramento slu'!$G$54,'Progetto del paramento slu'!$G$53)</f>
        <v>70086373.9565911</v>
      </c>
      <c r="I390" s="479">
        <f>-'Foglio deposito bis'!$F$52*(C390-sezione!$AP$28)*IF(ABS(O390)&lt;'Progetto del paramento slu'!$G$58,ABS(O390)*'Progetto del paramento slu'!$G$54,'Progetto del paramento slu'!$G$53)</f>
        <v>50810891.633351207</v>
      </c>
      <c r="J390" s="479">
        <f t="shared" si="32"/>
        <v>121703652.67280735</v>
      </c>
      <c r="K390" s="558">
        <f>'Progetto del paramento slu'!$G$60*(sezione!$AL$28-C390)/C390</f>
        <v>-6.4987162235568814E-4</v>
      </c>
      <c r="L390" s="558">
        <f>'Progetto del paramento slu'!$G$60*(sezione!$AM$28-C390)/C390</f>
        <v>7.1879814161661688E-3</v>
      </c>
      <c r="M390" s="559">
        <f>'Progetto del paramento slu'!$G$60*(sezione!$AN$28-C390)/C390</f>
        <v>1.5025834454688027E-2</v>
      </c>
      <c r="N390" s="559">
        <f>'Progetto del paramento slu'!$G$60*(sezione!$AO$28-C390)/C390</f>
        <v>2.0726091209976653E-2</v>
      </c>
      <c r="O390" s="559">
        <f>'Progetto del paramento slu'!$G$60*(sezione!$AP$28-C390)/C390</f>
        <v>1.5025904680206948E-2</v>
      </c>
      <c r="P390" s="553">
        <f>-'Progetto del paramento slu'!$G$47*'Progetto del paramento slu'!$G$41*IF(DATI!$G$218="dx",DATI!$E$61,DATI!$E$64*DATI!$E$63)*1000*C390*sezione!$AD$5</f>
        <v>-692398.49526745698</v>
      </c>
      <c r="Q390" s="553">
        <f>'Foglio deposito bis'!$F$48*IF(ABS(K390)&lt;'Progetto del paramento slu'!$G$58,ABS(K390)*'Progetto del paramento slu'!$G$54,'Progetto del paramento slu'!$G$53)*IF(K390&lt;0,-1,1)</f>
        <v>0</v>
      </c>
      <c r="R390" s="553">
        <f>'Foglio deposito bis'!$F$49*IF(ABS(L390)&lt;'Progetto del paramento slu'!$G$58,ABS(L390)*'Progetto del paramento slu'!$G$54,'Progetto del paramento slu'!$G$53)*IF(L390&lt;0,-1,1)</f>
        <v>204886.47740803001</v>
      </c>
      <c r="S390" s="553">
        <f>'Foglio deposito bis'!$F$50*IF(ABS(M390)&lt;'Progetto del paramento slu'!$G$58,ABS(M390)*'Progetto del paramento slu'!$G$54,'Progetto del paramento slu'!$G$53)*IF(M390&lt;0,-1,1)</f>
        <v>0</v>
      </c>
      <c r="T390" s="553">
        <f>'Foglio deposito bis'!$F$51*IF(ABS(N390)&lt;'Progetto del paramento slu'!$G$58,ABS(N390)*'Progetto del paramento slu'!$G$54,'Progetto del paramento slu'!$G$53)*IF(N390&lt;0,-1,1)</f>
        <v>240946.49743184328</v>
      </c>
      <c r="U390" s="553">
        <f>'Foglio deposito bis'!$F$52*IF(ABS(O390)&lt;'Progetto del paramento slu'!$G$58,ABS(O390)*'Progetto del paramento slu'!$G$54,'Progetto del paramento slu'!$G$53)*IF(O390&lt;0,-1,1)</f>
        <v>240946.49743184328</v>
      </c>
      <c r="V390" s="479">
        <f t="shared" si="34"/>
        <v>-5619.0229957404081</v>
      </c>
      <c r="W390" s="559"/>
      <c r="X390" s="559"/>
    </row>
    <row r="391" spans="1:24" x14ac:dyDescent="0.25">
      <c r="A391" s="553">
        <f t="shared" si="33"/>
        <v>17063.626223301631</v>
      </c>
      <c r="B391" s="3">
        <f t="shared" si="31"/>
        <v>12.299999999999978</v>
      </c>
      <c r="C391" s="553">
        <f>'Foglio deposito bis'!$E$154/sezione!$B$247*B391</f>
        <v>49.932505041896484</v>
      </c>
      <c r="D391" s="611">
        <f>-'Progetto del paramento slu'!$G$47*'Progetto del paramento slu'!$G$41*IF(DATI!$G$218="dx",DATI!$E$61,DATI!$E$64*DATI!$E$63)*1000*C391^2*sezione!$AD$5*(1-sezione!$AD$6)</f>
        <v>-20524475.053555023</v>
      </c>
      <c r="E391" s="553">
        <f>-'Foglio deposito bis'!$F$48*(C391-sezione!$AL$28)*IF(ABS(K391)&lt;'Progetto del paramento slu'!$G$58,ABS(K391)*'Progetto del paramento slu'!$G$54,'Progetto del paramento slu'!$G$53)</f>
        <v>0</v>
      </c>
      <c r="F391" s="553">
        <f>-'Foglio deposito bis'!$F$49*(C391-sezione!$AM$28)*IF(ABS(L391)&lt;'Progetto del paramento slu'!$G$58,ABS(L391)*'Progetto del paramento slu'!$G$54,'Progetto del paramento slu'!$G$53)</f>
        <v>20502476.545011632</v>
      </c>
      <c r="G391" s="553">
        <f>-'Foglio deposito bis'!$F$50*(C391-sezione!$AN$28)*IF(ABS(M391)&lt;'Progetto del paramento slu'!$G$58,ABS(M391)*'Progetto del paramento slu'!$G$54,'Progetto del paramento slu'!$G$53)</f>
        <v>0</v>
      </c>
      <c r="H391" s="553">
        <f>-'Foglio deposito bis'!$F$51*(C391-sezione!$AO$28)*IF(ABS(N391)&lt;'Progetto del paramento slu'!$G$58,ABS(N391)*'Progetto del paramento slu'!$G$54,'Progetto del paramento slu'!$G$53)</f>
        <v>69890746.928983897</v>
      </c>
      <c r="I391" s="479">
        <f>-'Foglio deposito bis'!$F$52*(C391-sezione!$AP$28)*IF(ABS(O391)&lt;'Progetto del paramento slu'!$G$58,ABS(O391)*'Progetto del paramento slu'!$G$54,'Progetto del paramento slu'!$G$53)</f>
        <v>50615264.605744004</v>
      </c>
      <c r="J391" s="479">
        <f t="shared" si="32"/>
        <v>120484013.02618451</v>
      </c>
      <c r="K391" s="558">
        <f>'Progetto del paramento slu'!$G$60*(sezione!$AL$28-C391)/C391</f>
        <v>-6.9621517321169306E-4</v>
      </c>
      <c r="L391" s="558">
        <f>'Progetto del paramento slu'!$G$60*(sezione!$AM$28-C391)/C391</f>
        <v>7.0141931004561505E-3</v>
      </c>
      <c r="M391" s="559">
        <f>'Progetto del paramento slu'!$G$60*(sezione!$AN$28-C391)/C391</f>
        <v>1.4724601374123996E-2</v>
      </c>
      <c r="N391" s="559">
        <f>'Progetto del paramento slu'!$G$60*(sezione!$AO$28-C391)/C391</f>
        <v>2.0332171027700612E-2</v>
      </c>
      <c r="O391" s="559">
        <f>'Progetto del paramento slu'!$G$60*(sezione!$AP$28-C391)/C391</f>
        <v>1.4724670457764561E-2</v>
      </c>
      <c r="P391" s="553">
        <f>-'Progetto del paramento slu'!$G$47*'Progetto del paramento slu'!$G$41*IF(DATI!$G$218="dx",DATI!$E$61,DATI!$E$64*DATI!$E$63)*1000*C391*sezione!$AD$5</f>
        <v>-703843.0984950182</v>
      </c>
      <c r="Q391" s="553">
        <f>'Foglio deposito bis'!$F$48*IF(ABS(K391)&lt;'Progetto del paramento slu'!$G$58,ABS(K391)*'Progetto del paramento slu'!$G$54,'Progetto del paramento slu'!$G$53)*IF(K391&lt;0,-1,1)</f>
        <v>0</v>
      </c>
      <c r="R391" s="553">
        <f>'Foglio deposito bis'!$F$49*IF(ABS(L391)&lt;'Progetto del paramento slu'!$G$58,ABS(L391)*'Progetto del paramento slu'!$G$54,'Progetto del paramento slu'!$G$53)*IF(L391&lt;0,-1,1)</f>
        <v>204886.47740803001</v>
      </c>
      <c r="S391" s="553">
        <f>'Foglio deposito bis'!$F$50*IF(ABS(M391)&lt;'Progetto del paramento slu'!$G$58,ABS(M391)*'Progetto del paramento slu'!$G$54,'Progetto del paramento slu'!$G$53)*IF(M391&lt;0,-1,1)</f>
        <v>0</v>
      </c>
      <c r="T391" s="553">
        <f>'Foglio deposito bis'!$F$51*IF(ABS(N391)&lt;'Progetto del paramento slu'!$G$58,ABS(N391)*'Progetto del paramento slu'!$G$54,'Progetto del paramento slu'!$G$53)*IF(N391&lt;0,-1,1)</f>
        <v>240946.49743184328</v>
      </c>
      <c r="U391" s="553">
        <f>'Foglio deposito bis'!$F$52*IF(ABS(O391)&lt;'Progetto del paramento slu'!$G$58,ABS(O391)*'Progetto del paramento slu'!$G$54,'Progetto del paramento slu'!$G$53)*IF(O391&lt;0,-1,1)</f>
        <v>240946.49743184328</v>
      </c>
      <c r="V391" s="479">
        <f t="shared" si="34"/>
        <v>-17063.626223301631</v>
      </c>
      <c r="W391" s="559"/>
      <c r="X391" s="559"/>
    </row>
    <row r="392" spans="1:24" x14ac:dyDescent="0.25">
      <c r="A392" s="553">
        <f t="shared" si="33"/>
        <v>28508.229450862884</v>
      </c>
      <c r="B392" s="3">
        <f t="shared" si="31"/>
        <v>12.499999999999977</v>
      </c>
      <c r="C392" s="553">
        <f>'Foglio deposito bis'!$E$154/sezione!$B$247*B392</f>
        <v>50.744415692984226</v>
      </c>
      <c r="D392" s="611">
        <f>-'Progetto del paramento slu'!$G$47*'Progetto del paramento slu'!$G$41*IF(DATI!$G$218="dx",DATI!$E$61,DATI!$E$64*DATI!$E$63)*1000*C392^2*sezione!$AD$5*(1-sezione!$AD$6)</f>
        <v>-21197364.182153296</v>
      </c>
      <c r="E392" s="553">
        <f>-'Foglio deposito bis'!$F$48*(C392-sezione!$AL$28)*IF(ABS(K392)&lt;'Progetto del paramento slu'!$G$58,ABS(K392)*'Progetto del paramento slu'!$G$54,'Progetto del paramento slu'!$G$53)</f>
        <v>0</v>
      </c>
      <c r="F392" s="553">
        <f>-'Foglio deposito bis'!$F$49*(C392-sezione!$AM$28)*IF(ABS(L392)&lt;'Progetto del paramento slu'!$G$58,ABS(L392)*'Progetto del paramento slu'!$G$54,'Progetto del paramento slu'!$G$53)</f>
        <v>20336127.031740203</v>
      </c>
      <c r="G392" s="553">
        <f>-'Foglio deposito bis'!$F$50*(C392-sezione!$AN$28)*IF(ABS(M392)&lt;'Progetto del paramento slu'!$G$58,ABS(M392)*'Progetto del paramento slu'!$G$54,'Progetto del paramento slu'!$G$53)</f>
        <v>0</v>
      </c>
      <c r="H392" s="553">
        <f>-'Foglio deposito bis'!$F$51*(C392-sezione!$AO$28)*IF(ABS(N392)&lt;'Progetto del paramento slu'!$G$58,ABS(N392)*'Progetto del paramento slu'!$G$54,'Progetto del paramento slu'!$G$53)</f>
        <v>69695119.901376709</v>
      </c>
      <c r="I392" s="479">
        <f>-'Foglio deposito bis'!$F$52*(C392-sezione!$AP$28)*IF(ABS(O392)&lt;'Progetto del paramento slu'!$G$58,ABS(O392)*'Progetto del paramento slu'!$G$54,'Progetto del paramento slu'!$G$53)</f>
        <v>50419637.578136802</v>
      </c>
      <c r="J392" s="479">
        <f t="shared" si="32"/>
        <v>119253520.32910042</v>
      </c>
      <c r="K392" s="558">
        <f>'Progetto del paramento slu'!$G$60*(sezione!$AL$28-C392)/C392</f>
        <v>-7.4107573044030568E-4</v>
      </c>
      <c r="L392" s="558">
        <f>'Progetto del paramento slu'!$G$60*(sezione!$AM$28-C392)/C392</f>
        <v>6.8459660108488533E-3</v>
      </c>
      <c r="M392" s="559">
        <f>'Progetto del paramento slu'!$G$60*(sezione!$AN$28-C392)/C392</f>
        <v>1.4433007752138013E-2</v>
      </c>
      <c r="N392" s="559">
        <f>'Progetto del paramento slu'!$G$60*(sezione!$AO$28-C392)/C392</f>
        <v>1.9950856291257403E-2</v>
      </c>
      <c r="O392" s="559">
        <f>'Progetto del paramento slu'!$G$60*(sezione!$AP$28-C392)/C392</f>
        <v>1.4433075730440328E-2</v>
      </c>
      <c r="P392" s="553">
        <f>-'Progetto del paramento slu'!$G$47*'Progetto del paramento slu'!$G$41*IF(DATI!$G$218="dx",DATI!$E$61,DATI!$E$64*DATI!$E$63)*1000*C392*sezione!$AD$5</f>
        <v>-715287.70172257943</v>
      </c>
      <c r="Q392" s="553">
        <f>'Foglio deposito bis'!$F$48*IF(ABS(K392)&lt;'Progetto del paramento slu'!$G$58,ABS(K392)*'Progetto del paramento slu'!$G$54,'Progetto del paramento slu'!$G$53)*IF(K392&lt;0,-1,1)</f>
        <v>0</v>
      </c>
      <c r="R392" s="553">
        <f>'Foglio deposito bis'!$F$49*IF(ABS(L392)&lt;'Progetto del paramento slu'!$G$58,ABS(L392)*'Progetto del paramento slu'!$G$54,'Progetto del paramento slu'!$G$53)*IF(L392&lt;0,-1,1)</f>
        <v>204886.47740803001</v>
      </c>
      <c r="S392" s="553">
        <f>'Foglio deposito bis'!$F$50*IF(ABS(M392)&lt;'Progetto del paramento slu'!$G$58,ABS(M392)*'Progetto del paramento slu'!$G$54,'Progetto del paramento slu'!$G$53)*IF(M392&lt;0,-1,1)</f>
        <v>0</v>
      </c>
      <c r="T392" s="553">
        <f>'Foglio deposito bis'!$F$51*IF(ABS(N392)&lt;'Progetto del paramento slu'!$G$58,ABS(N392)*'Progetto del paramento slu'!$G$54,'Progetto del paramento slu'!$G$53)*IF(N392&lt;0,-1,1)</f>
        <v>240946.49743184328</v>
      </c>
      <c r="U392" s="553">
        <f>'Foglio deposito bis'!$F$52*IF(ABS(O392)&lt;'Progetto del paramento slu'!$G$58,ABS(O392)*'Progetto del paramento slu'!$G$54,'Progetto del paramento slu'!$G$53)*IF(O392&lt;0,-1,1)</f>
        <v>240946.49743184328</v>
      </c>
      <c r="V392" s="479">
        <f t="shared" si="34"/>
        <v>-28508.229450862884</v>
      </c>
      <c r="W392" s="559"/>
      <c r="X392" s="559"/>
    </row>
    <row r="393" spans="1:24" x14ac:dyDescent="0.25">
      <c r="A393" s="553">
        <f t="shared" si="33"/>
        <v>39952.832678424224</v>
      </c>
      <c r="B393" s="3">
        <f t="shared" si="31"/>
        <v>12.699999999999976</v>
      </c>
      <c r="C393" s="553">
        <f>'Foglio deposito bis'!$E$154/sezione!$B$247*B393</f>
        <v>51.556326344071977</v>
      </c>
      <c r="D393" s="611">
        <f>-'Progetto del paramento slu'!$G$47*'Progetto del paramento slu'!$G$41*IF(DATI!$G$218="dx",DATI!$E$61,DATI!$E$64*DATI!$E$63)*1000*C393^2*sezione!$AD$5*(1-sezione!$AD$6)</f>
        <v>-21881106.361212835</v>
      </c>
      <c r="E393" s="553">
        <f>-'Foglio deposito bis'!$F$48*(C393-sezione!$AL$28)*IF(ABS(K393)&lt;'Progetto del paramento slu'!$G$58,ABS(K393)*'Progetto del paramento slu'!$G$54,'Progetto del paramento slu'!$G$53)</f>
        <v>0</v>
      </c>
      <c r="F393" s="553">
        <f>-'Foglio deposito bis'!$F$49*(C393-sezione!$AM$28)*IF(ABS(L393)&lt;'Progetto del paramento slu'!$G$58,ABS(L393)*'Progetto del paramento slu'!$G$54,'Progetto del paramento slu'!$G$53)</f>
        <v>20169777.518468775</v>
      </c>
      <c r="G393" s="553">
        <f>-'Foglio deposito bis'!$F$50*(C393-sezione!$AN$28)*IF(ABS(M393)&lt;'Progetto del paramento slu'!$G$58,ABS(M393)*'Progetto del paramento slu'!$G$54,'Progetto del paramento slu'!$G$53)</f>
        <v>0</v>
      </c>
      <c r="H393" s="553">
        <f>-'Foglio deposito bis'!$F$51*(C393-sezione!$AO$28)*IF(ABS(N393)&lt;'Progetto del paramento slu'!$G$58,ABS(N393)*'Progetto del paramento slu'!$G$54,'Progetto del paramento slu'!$G$53)</f>
        <v>69499492.873769507</v>
      </c>
      <c r="I393" s="479">
        <f>-'Foglio deposito bis'!$F$52*(C393-sezione!$AP$28)*IF(ABS(O393)&lt;'Progetto del paramento slu'!$G$58,ABS(O393)*'Progetto del paramento slu'!$G$54,'Progetto del paramento slu'!$G$53)</f>
        <v>50224010.550529607</v>
      </c>
      <c r="J393" s="479">
        <f t="shared" si="32"/>
        <v>118012174.58155504</v>
      </c>
      <c r="K393" s="558">
        <f>'Progetto del paramento slu'!$G$60*(sezione!$AL$28-C393)/C393</f>
        <v>-7.8452335673258441E-4</v>
      </c>
      <c r="L393" s="558">
        <f>'Progetto del paramento slu'!$G$60*(sezione!$AM$28-C393)/C393</f>
        <v>6.6830374122528085E-3</v>
      </c>
      <c r="M393" s="559">
        <f>'Progetto del paramento slu'!$G$60*(sezione!$AN$28-C393)/C393</f>
        <v>1.4150598181238202E-2</v>
      </c>
      <c r="N393" s="559">
        <f>'Progetto del paramento slu'!$G$60*(sezione!$AO$28-C393)/C393</f>
        <v>1.9581551467773031E-2</v>
      </c>
      <c r="O393" s="559">
        <f>'Progetto del paramento slu'!$G$60*(sezione!$AP$28-C393)/C393</f>
        <v>1.415066508901607E-2</v>
      </c>
      <c r="P393" s="553">
        <f>-'Progetto del paramento slu'!$G$47*'Progetto del paramento slu'!$G$41*IF(DATI!$G$218="dx",DATI!$E$61,DATI!$E$64*DATI!$E$63)*1000*C393*sezione!$AD$5</f>
        <v>-726732.30495014077</v>
      </c>
      <c r="Q393" s="553">
        <f>'Foglio deposito bis'!$F$48*IF(ABS(K393)&lt;'Progetto del paramento slu'!$G$58,ABS(K393)*'Progetto del paramento slu'!$G$54,'Progetto del paramento slu'!$G$53)*IF(K393&lt;0,-1,1)</f>
        <v>0</v>
      </c>
      <c r="R393" s="553">
        <f>'Foglio deposito bis'!$F$49*IF(ABS(L393)&lt;'Progetto del paramento slu'!$G$58,ABS(L393)*'Progetto del paramento slu'!$G$54,'Progetto del paramento slu'!$G$53)*IF(L393&lt;0,-1,1)</f>
        <v>204886.47740803001</v>
      </c>
      <c r="S393" s="553">
        <f>'Foglio deposito bis'!$F$50*IF(ABS(M393)&lt;'Progetto del paramento slu'!$G$58,ABS(M393)*'Progetto del paramento slu'!$G$54,'Progetto del paramento slu'!$G$53)*IF(M393&lt;0,-1,1)</f>
        <v>0</v>
      </c>
      <c r="T393" s="553">
        <f>'Foglio deposito bis'!$F$51*IF(ABS(N393)&lt;'Progetto del paramento slu'!$G$58,ABS(N393)*'Progetto del paramento slu'!$G$54,'Progetto del paramento slu'!$G$53)*IF(N393&lt;0,-1,1)</f>
        <v>240946.49743184328</v>
      </c>
      <c r="U393" s="553">
        <f>'Foglio deposito bis'!$F$52*IF(ABS(O393)&lt;'Progetto del paramento slu'!$G$58,ABS(O393)*'Progetto del paramento slu'!$G$54,'Progetto del paramento slu'!$G$53)*IF(O393&lt;0,-1,1)</f>
        <v>240946.49743184328</v>
      </c>
      <c r="V393" s="479">
        <f t="shared" si="34"/>
        <v>-39952.832678424224</v>
      </c>
      <c r="W393" s="559"/>
      <c r="X393" s="559"/>
    </row>
    <row r="394" spans="1:24" x14ac:dyDescent="0.25">
      <c r="A394" s="553">
        <f t="shared" si="33"/>
        <v>51397.43590598533</v>
      </c>
      <c r="B394" s="3">
        <f t="shared" si="31"/>
        <v>12.899999999999975</v>
      </c>
      <c r="C394" s="553">
        <f>'Foglio deposito bis'!$E$154/sezione!$B$247*B394</f>
        <v>52.36823699515972</v>
      </c>
      <c r="D394" s="611">
        <f>-'Progetto del paramento slu'!$G$47*'Progetto del paramento slu'!$G$41*IF(DATI!$G$218="dx",DATI!$E$61,DATI!$E$64*DATI!$E$63)*1000*C394^2*sezione!$AD$5*(1-sezione!$AD$6)</f>
        <v>-22575701.590733629</v>
      </c>
      <c r="E394" s="553">
        <f>-'Foglio deposito bis'!$F$48*(C394-sezione!$AL$28)*IF(ABS(K394)&lt;'Progetto del paramento slu'!$G$58,ABS(K394)*'Progetto del paramento slu'!$G$54,'Progetto del paramento slu'!$G$53)</f>
        <v>0</v>
      </c>
      <c r="F394" s="553">
        <f>-'Foglio deposito bis'!$F$49*(C394-sezione!$AM$28)*IF(ABS(L394)&lt;'Progetto del paramento slu'!$G$58,ABS(L394)*'Progetto del paramento slu'!$G$54,'Progetto del paramento slu'!$G$53)</f>
        <v>20003428.005197346</v>
      </c>
      <c r="G394" s="553">
        <f>-'Foglio deposito bis'!$F$50*(C394-sezione!$AN$28)*IF(ABS(M394)&lt;'Progetto del paramento slu'!$G$58,ABS(M394)*'Progetto del paramento slu'!$G$54,'Progetto del paramento slu'!$G$53)</f>
        <v>0</v>
      </c>
      <c r="H394" s="553">
        <f>-'Foglio deposito bis'!$F$51*(C394-sezione!$AO$28)*IF(ABS(N394)&lt;'Progetto del paramento slu'!$G$58,ABS(N394)*'Progetto del paramento slu'!$G$54,'Progetto del paramento slu'!$G$53)</f>
        <v>69303865.846162304</v>
      </c>
      <c r="I394" s="479">
        <f>-'Foglio deposito bis'!$F$52*(C394-sezione!$AP$28)*IF(ABS(O394)&lt;'Progetto del paramento slu'!$G$58,ABS(O394)*'Progetto del paramento slu'!$G$54,'Progetto del paramento slu'!$G$53)</f>
        <v>50028383.522922404</v>
      </c>
      <c r="J394" s="479">
        <f t="shared" si="32"/>
        <v>116759975.78354841</v>
      </c>
      <c r="K394" s="558">
        <f>'Progetto del paramento slu'!$G$60*(sezione!$AL$28-C394)/C394</f>
        <v>-8.2662376980649759E-4</v>
      </c>
      <c r="L394" s="558">
        <f>'Progetto del paramento slu'!$G$60*(sezione!$AM$28-C394)/C394</f>
        <v>6.5251608632256345E-3</v>
      </c>
      <c r="M394" s="559">
        <f>'Progetto del paramento slu'!$G$60*(sezione!$AN$28-C394)/C394</f>
        <v>1.3876945496257766E-2</v>
      </c>
      <c r="N394" s="559">
        <f>'Progetto del paramento slu'!$G$60*(sezione!$AO$28-C394)/C394</f>
        <v>1.9223697956644775E-2</v>
      </c>
      <c r="O394" s="559">
        <f>'Progetto del paramento slu'!$G$60*(sezione!$AP$28-C394)/C394</f>
        <v>1.3877011366705747E-2</v>
      </c>
      <c r="P394" s="553">
        <f>-'Progetto del paramento slu'!$G$47*'Progetto del paramento slu'!$G$41*IF(DATI!$G$218="dx",DATI!$E$61,DATI!$E$64*DATI!$E$63)*1000*C394*sezione!$AD$5</f>
        <v>-738176.90817770199</v>
      </c>
      <c r="Q394" s="553">
        <f>'Foglio deposito bis'!$F$48*IF(ABS(K394)&lt;'Progetto del paramento slu'!$G$58,ABS(K394)*'Progetto del paramento slu'!$G$54,'Progetto del paramento slu'!$G$53)*IF(K394&lt;0,-1,1)</f>
        <v>0</v>
      </c>
      <c r="R394" s="553">
        <f>'Foglio deposito bis'!$F$49*IF(ABS(L394)&lt;'Progetto del paramento slu'!$G$58,ABS(L394)*'Progetto del paramento slu'!$G$54,'Progetto del paramento slu'!$G$53)*IF(L394&lt;0,-1,1)</f>
        <v>204886.47740803001</v>
      </c>
      <c r="S394" s="553">
        <f>'Foglio deposito bis'!$F$50*IF(ABS(M394)&lt;'Progetto del paramento slu'!$G$58,ABS(M394)*'Progetto del paramento slu'!$G$54,'Progetto del paramento slu'!$G$53)*IF(M394&lt;0,-1,1)</f>
        <v>0</v>
      </c>
      <c r="T394" s="553">
        <f>'Foglio deposito bis'!$F$51*IF(ABS(N394)&lt;'Progetto del paramento slu'!$G$58,ABS(N394)*'Progetto del paramento slu'!$G$54,'Progetto del paramento slu'!$G$53)*IF(N394&lt;0,-1,1)</f>
        <v>240946.49743184328</v>
      </c>
      <c r="U394" s="553">
        <f>'Foglio deposito bis'!$F$52*IF(ABS(O394)&lt;'Progetto del paramento slu'!$G$58,ABS(O394)*'Progetto del paramento slu'!$G$54,'Progetto del paramento slu'!$G$53)*IF(O394&lt;0,-1,1)</f>
        <v>240946.49743184328</v>
      </c>
      <c r="V394" s="479">
        <f t="shared" si="34"/>
        <v>-51397.43590598533</v>
      </c>
      <c r="W394" s="559"/>
      <c r="X394" s="559"/>
    </row>
    <row r="395" spans="1:24" x14ac:dyDescent="0.25">
      <c r="A395" s="553">
        <f t="shared" si="33"/>
        <v>62842.03913354667</v>
      </c>
      <c r="B395" s="3">
        <f t="shared" si="31"/>
        <v>13.099999999999975</v>
      </c>
      <c r="C395" s="553">
        <f>'Foglio deposito bis'!$E$154/sezione!$B$247*B395</f>
        <v>53.18014764624747</v>
      </c>
      <c r="D395" s="611">
        <f>-'Progetto del paramento slu'!$G$47*'Progetto del paramento slu'!$G$41*IF(DATI!$G$218="dx",DATI!$E$61,DATI!$E$64*DATI!$E$63)*1000*C395^2*sezione!$AD$5*(1-sezione!$AD$6)</f>
        <v>-23281149.870715693</v>
      </c>
      <c r="E395" s="553">
        <f>-'Foglio deposito bis'!$F$48*(C395-sezione!$AL$28)*IF(ABS(K395)&lt;'Progetto del paramento slu'!$G$58,ABS(K395)*'Progetto del paramento slu'!$G$54,'Progetto del paramento slu'!$G$53)</f>
        <v>0</v>
      </c>
      <c r="F395" s="553">
        <f>-'Foglio deposito bis'!$F$49*(C395-sezione!$AM$28)*IF(ABS(L395)&lt;'Progetto del paramento slu'!$G$58,ABS(L395)*'Progetto del paramento slu'!$G$54,'Progetto del paramento slu'!$G$53)</f>
        <v>19837078.491925921</v>
      </c>
      <c r="G395" s="553">
        <f>-'Foglio deposito bis'!$F$50*(C395-sezione!$AN$28)*IF(ABS(M395)&lt;'Progetto del paramento slu'!$G$58,ABS(M395)*'Progetto del paramento slu'!$G$54,'Progetto del paramento slu'!$G$53)</f>
        <v>0</v>
      </c>
      <c r="H395" s="553">
        <f>-'Foglio deposito bis'!$F$51*(C395-sezione!$AO$28)*IF(ABS(N395)&lt;'Progetto del paramento slu'!$G$58,ABS(N395)*'Progetto del paramento slu'!$G$54,'Progetto del paramento slu'!$G$53)</f>
        <v>69108238.818555102</v>
      </c>
      <c r="I395" s="479">
        <f>-'Foglio deposito bis'!$F$52*(C395-sezione!$AP$28)*IF(ABS(O395)&lt;'Progetto del paramento slu'!$G$58,ABS(O395)*'Progetto del paramento slu'!$G$54,'Progetto del paramento slu'!$G$53)</f>
        <v>49832756.495315209</v>
      </c>
      <c r="J395" s="479">
        <f t="shared" si="32"/>
        <v>115496923.93508054</v>
      </c>
      <c r="K395" s="558">
        <f>'Progetto del paramento slu'!$G$60*(sezione!$AL$28-C395)/C395</f>
        <v>-8.6743867408426106E-4</v>
      </c>
      <c r="L395" s="558">
        <f>'Progetto del paramento slu'!$G$60*(sezione!$AM$28-C395)/C395</f>
        <v>6.3721049721840216E-3</v>
      </c>
      <c r="M395" s="559">
        <f>'Progetto del paramento slu'!$G$60*(sezione!$AN$28-C395)/C395</f>
        <v>1.3611648618452304E-2</v>
      </c>
      <c r="N395" s="559">
        <f>'Progetto del paramento slu'!$G$60*(sezione!$AO$28-C395)/C395</f>
        <v>1.8876771270283782E-2</v>
      </c>
      <c r="O395" s="559">
        <f>'Progetto del paramento slu'!$G$60*(sezione!$AP$28-C395)/C395</f>
        <v>1.3611713483244588E-2</v>
      </c>
      <c r="P395" s="553">
        <f>-'Progetto del paramento slu'!$G$47*'Progetto del paramento slu'!$G$41*IF(DATI!$G$218="dx",DATI!$E$61,DATI!$E$64*DATI!$E$63)*1000*C395*sezione!$AD$5</f>
        <v>-749621.51140526321</v>
      </c>
      <c r="Q395" s="553">
        <f>'Foglio deposito bis'!$F$48*IF(ABS(K395)&lt;'Progetto del paramento slu'!$G$58,ABS(K395)*'Progetto del paramento slu'!$G$54,'Progetto del paramento slu'!$G$53)*IF(K395&lt;0,-1,1)</f>
        <v>0</v>
      </c>
      <c r="R395" s="553">
        <f>'Foglio deposito bis'!$F$49*IF(ABS(L395)&lt;'Progetto del paramento slu'!$G$58,ABS(L395)*'Progetto del paramento slu'!$G$54,'Progetto del paramento slu'!$G$53)*IF(L395&lt;0,-1,1)</f>
        <v>204886.47740803001</v>
      </c>
      <c r="S395" s="553">
        <f>'Foglio deposito bis'!$F$50*IF(ABS(M395)&lt;'Progetto del paramento slu'!$G$58,ABS(M395)*'Progetto del paramento slu'!$G$54,'Progetto del paramento slu'!$G$53)*IF(M395&lt;0,-1,1)</f>
        <v>0</v>
      </c>
      <c r="T395" s="553">
        <f>'Foglio deposito bis'!$F$51*IF(ABS(N395)&lt;'Progetto del paramento slu'!$G$58,ABS(N395)*'Progetto del paramento slu'!$G$54,'Progetto del paramento slu'!$G$53)*IF(N395&lt;0,-1,1)</f>
        <v>240946.49743184328</v>
      </c>
      <c r="U395" s="553">
        <f>'Foglio deposito bis'!$F$52*IF(ABS(O395)&lt;'Progetto del paramento slu'!$G$58,ABS(O395)*'Progetto del paramento slu'!$G$54,'Progetto del paramento slu'!$G$53)*IF(O395&lt;0,-1,1)</f>
        <v>240946.49743184328</v>
      </c>
      <c r="V395" s="479">
        <f t="shared" si="34"/>
        <v>-62842.03913354667</v>
      </c>
      <c r="W395" s="559"/>
      <c r="X395" s="559"/>
    </row>
    <row r="396" spans="1:24" x14ac:dyDescent="0.25">
      <c r="A396" s="553">
        <f t="shared" si="33"/>
        <v>74286.642361107777</v>
      </c>
      <c r="B396" s="3">
        <f t="shared" si="31"/>
        <v>13.299999999999974</v>
      </c>
      <c r="C396" s="553">
        <f>'Foglio deposito bis'!$E$154/sezione!$B$247*B396</f>
        <v>53.992058297335213</v>
      </c>
      <c r="D396" s="611">
        <f>-'Progetto del paramento slu'!$G$47*'Progetto del paramento slu'!$G$41*IF(DATI!$G$218="dx",DATI!$E$61,DATI!$E$64*DATI!$E$63)*1000*C396^2*sezione!$AD$5*(1-sezione!$AD$6)</f>
        <v>-23997451.201159012</v>
      </c>
      <c r="E396" s="553">
        <f>-'Foglio deposito bis'!$F$48*(C396-sezione!$AL$28)*IF(ABS(K396)&lt;'Progetto del paramento slu'!$G$58,ABS(K396)*'Progetto del paramento slu'!$G$54,'Progetto del paramento slu'!$G$53)</f>
        <v>0</v>
      </c>
      <c r="F396" s="553">
        <f>-'Foglio deposito bis'!$F$49*(C396-sezione!$AM$28)*IF(ABS(L396)&lt;'Progetto del paramento slu'!$G$58,ABS(L396)*'Progetto del paramento slu'!$G$54,'Progetto del paramento slu'!$G$53)</f>
        <v>19670728.978654493</v>
      </c>
      <c r="G396" s="553">
        <f>-'Foglio deposito bis'!$F$50*(C396-sezione!$AN$28)*IF(ABS(M396)&lt;'Progetto del paramento slu'!$G$58,ABS(M396)*'Progetto del paramento slu'!$G$54,'Progetto del paramento slu'!$G$53)</f>
        <v>0</v>
      </c>
      <c r="H396" s="553">
        <f>-'Foglio deposito bis'!$F$51*(C396-sezione!$AO$28)*IF(ABS(N396)&lt;'Progetto del paramento slu'!$G$58,ABS(N396)*'Progetto del paramento slu'!$G$54,'Progetto del paramento slu'!$G$53)</f>
        <v>68912611.790947899</v>
      </c>
      <c r="I396" s="479">
        <f>-'Foglio deposito bis'!$F$52*(C396-sezione!$AP$28)*IF(ABS(O396)&lt;'Progetto del paramento slu'!$G$58,ABS(O396)*'Progetto del paramento slu'!$G$54,'Progetto del paramento slu'!$G$53)</f>
        <v>49637129.467708007</v>
      </c>
      <c r="J396" s="479">
        <f t="shared" si="32"/>
        <v>114223019.03615138</v>
      </c>
      <c r="K396" s="558">
        <f>'Progetto del paramento slu'!$G$60*(sezione!$AL$28-C396)/C396</f>
        <v>-9.070260624438961E-4</v>
      </c>
      <c r="L396" s="558">
        <f>'Progetto del paramento slu'!$G$60*(sezione!$AM$28-C396)/C396</f>
        <v>6.2236522658353907E-3</v>
      </c>
      <c r="M396" s="559">
        <f>'Progetto del paramento slu'!$G$60*(sezione!$AN$28-C396)/C396</f>
        <v>1.3354330594114675E-2</v>
      </c>
      <c r="N396" s="559">
        <f>'Progetto del paramento slu'!$G$60*(sezione!$AO$28-C396)/C396</f>
        <v>1.8540278469226883E-2</v>
      </c>
      <c r="O396" s="559">
        <f>'Progetto del paramento slu'!$G$60*(sezione!$AP$28-C396)/C396</f>
        <v>1.3354394483496552E-2</v>
      </c>
      <c r="P396" s="553">
        <f>-'Progetto del paramento slu'!$G$47*'Progetto del paramento slu'!$G$41*IF(DATI!$G$218="dx",DATI!$E$61,DATI!$E$64*DATI!$E$63)*1000*C396*sezione!$AD$5</f>
        <v>-761066.11463282444</v>
      </c>
      <c r="Q396" s="553">
        <f>'Foglio deposito bis'!$F$48*IF(ABS(K396)&lt;'Progetto del paramento slu'!$G$58,ABS(K396)*'Progetto del paramento slu'!$G$54,'Progetto del paramento slu'!$G$53)*IF(K396&lt;0,-1,1)</f>
        <v>0</v>
      </c>
      <c r="R396" s="553">
        <f>'Foglio deposito bis'!$F$49*IF(ABS(L396)&lt;'Progetto del paramento slu'!$G$58,ABS(L396)*'Progetto del paramento slu'!$G$54,'Progetto del paramento slu'!$G$53)*IF(L396&lt;0,-1,1)</f>
        <v>204886.47740803001</v>
      </c>
      <c r="S396" s="553">
        <f>'Foglio deposito bis'!$F$50*IF(ABS(M396)&lt;'Progetto del paramento slu'!$G$58,ABS(M396)*'Progetto del paramento slu'!$G$54,'Progetto del paramento slu'!$G$53)*IF(M396&lt;0,-1,1)</f>
        <v>0</v>
      </c>
      <c r="T396" s="553">
        <f>'Foglio deposito bis'!$F$51*IF(ABS(N396)&lt;'Progetto del paramento slu'!$G$58,ABS(N396)*'Progetto del paramento slu'!$G$54,'Progetto del paramento slu'!$G$53)*IF(N396&lt;0,-1,1)</f>
        <v>240946.49743184328</v>
      </c>
      <c r="U396" s="553">
        <f>'Foglio deposito bis'!$F$52*IF(ABS(O396)&lt;'Progetto del paramento slu'!$G$58,ABS(O396)*'Progetto del paramento slu'!$G$54,'Progetto del paramento slu'!$G$53)*IF(O396&lt;0,-1,1)</f>
        <v>240946.49743184328</v>
      </c>
      <c r="V396" s="479">
        <f t="shared" si="34"/>
        <v>-74286.642361107777</v>
      </c>
      <c r="W396" s="559"/>
      <c r="X396" s="559"/>
    </row>
    <row r="397" spans="1:24" x14ac:dyDescent="0.25">
      <c r="A397" s="553">
        <f t="shared" si="33"/>
        <v>85731.245588669117</v>
      </c>
      <c r="B397" s="3">
        <f t="shared" si="31"/>
        <v>13.499999999999973</v>
      </c>
      <c r="C397" s="553">
        <f>'Foglio deposito bis'!$E$154/sezione!$B$247*B397</f>
        <v>54.803968948422963</v>
      </c>
      <c r="D397" s="611">
        <f>-'Progetto del paramento slu'!$G$47*'Progetto del paramento slu'!$G$41*IF(DATI!$G$218="dx",DATI!$E$61,DATI!$E$64*DATI!$E$63)*1000*C397^2*sezione!$AD$5*(1-sezione!$AD$6)</f>
        <v>-24724605.582063597</v>
      </c>
      <c r="E397" s="553">
        <f>-'Foglio deposito bis'!$F$48*(C397-sezione!$AL$28)*IF(ABS(K397)&lt;'Progetto del paramento slu'!$G$58,ABS(K397)*'Progetto del paramento slu'!$G$54,'Progetto del paramento slu'!$G$53)</f>
        <v>0</v>
      </c>
      <c r="F397" s="553">
        <f>-'Foglio deposito bis'!$F$49*(C397-sezione!$AM$28)*IF(ABS(L397)&lt;'Progetto del paramento slu'!$G$58,ABS(L397)*'Progetto del paramento slu'!$G$54,'Progetto del paramento slu'!$G$53)</f>
        <v>19504379.46538306</v>
      </c>
      <c r="G397" s="553">
        <f>-'Foglio deposito bis'!$F$50*(C397-sezione!$AN$28)*IF(ABS(M397)&lt;'Progetto del paramento slu'!$G$58,ABS(M397)*'Progetto del paramento slu'!$G$54,'Progetto del paramento slu'!$G$53)</f>
        <v>0</v>
      </c>
      <c r="H397" s="553">
        <f>-'Foglio deposito bis'!$F$51*(C397-sezione!$AO$28)*IF(ABS(N397)&lt;'Progetto del paramento slu'!$G$58,ABS(N397)*'Progetto del paramento slu'!$G$54,'Progetto del paramento slu'!$G$53)</f>
        <v>68716984.763340697</v>
      </c>
      <c r="I397" s="479">
        <f>-'Foglio deposito bis'!$F$52*(C397-sezione!$AP$28)*IF(ABS(O397)&lt;'Progetto del paramento slu'!$G$58,ABS(O397)*'Progetto del paramento slu'!$G$54,'Progetto del paramento slu'!$G$53)</f>
        <v>49441502.440100811</v>
      </c>
      <c r="J397" s="479">
        <f t="shared" si="32"/>
        <v>112938261.08676097</v>
      </c>
      <c r="K397" s="558">
        <f>'Progetto del paramento slu'!$G$60*(sezione!$AL$28-C397)/C397</f>
        <v>-9.4544049114843114E-4</v>
      </c>
      <c r="L397" s="558">
        <f>'Progetto del paramento slu'!$G$60*(sezione!$AM$28-C397)/C397</f>
        <v>6.0795981581933832E-3</v>
      </c>
      <c r="M397" s="559">
        <f>'Progetto del paramento slu'!$G$60*(sezione!$AN$28-C397)/C397</f>
        <v>1.31046368075352E-2</v>
      </c>
      <c r="N397" s="559">
        <f>'Progetto del paramento slu'!$G$60*(sezione!$AO$28-C397)/C397</f>
        <v>1.8213755825238338E-2</v>
      </c>
      <c r="O397" s="559">
        <f>'Progetto del paramento slu'!$G$60*(sezione!$AP$28-C397)/C397</f>
        <v>1.3104699750407714E-2</v>
      </c>
      <c r="P397" s="553">
        <f>-'Progetto del paramento slu'!$G$47*'Progetto del paramento slu'!$G$41*IF(DATI!$G$218="dx",DATI!$E$61,DATI!$E$64*DATI!$E$63)*1000*C397*sezione!$AD$5</f>
        <v>-772510.71786038578</v>
      </c>
      <c r="Q397" s="553">
        <f>'Foglio deposito bis'!$F$48*IF(ABS(K397)&lt;'Progetto del paramento slu'!$G$58,ABS(K397)*'Progetto del paramento slu'!$G$54,'Progetto del paramento slu'!$G$53)*IF(K397&lt;0,-1,1)</f>
        <v>0</v>
      </c>
      <c r="R397" s="553">
        <f>'Foglio deposito bis'!$F$49*IF(ABS(L397)&lt;'Progetto del paramento slu'!$G$58,ABS(L397)*'Progetto del paramento slu'!$G$54,'Progetto del paramento slu'!$G$53)*IF(L397&lt;0,-1,1)</f>
        <v>204886.47740803001</v>
      </c>
      <c r="S397" s="553">
        <f>'Foglio deposito bis'!$F$50*IF(ABS(M397)&lt;'Progetto del paramento slu'!$G$58,ABS(M397)*'Progetto del paramento slu'!$G$54,'Progetto del paramento slu'!$G$53)*IF(M397&lt;0,-1,1)</f>
        <v>0</v>
      </c>
      <c r="T397" s="553">
        <f>'Foglio deposito bis'!$F$51*IF(ABS(N397)&lt;'Progetto del paramento slu'!$G$58,ABS(N397)*'Progetto del paramento slu'!$G$54,'Progetto del paramento slu'!$G$53)*IF(N397&lt;0,-1,1)</f>
        <v>240946.49743184328</v>
      </c>
      <c r="U397" s="553">
        <f>'Foglio deposito bis'!$F$52*IF(ABS(O397)&lt;'Progetto del paramento slu'!$G$58,ABS(O397)*'Progetto del paramento slu'!$G$54,'Progetto del paramento slu'!$G$53)*IF(O397&lt;0,-1,1)</f>
        <v>240946.49743184328</v>
      </c>
      <c r="V397" s="479">
        <f t="shared" si="34"/>
        <v>-85731.245588669117</v>
      </c>
      <c r="W397" s="559"/>
      <c r="X397" s="559"/>
    </row>
    <row r="398" spans="1:24" x14ac:dyDescent="0.25">
      <c r="A398" s="553">
        <f t="shared" si="33"/>
        <v>97175.848816230224</v>
      </c>
      <c r="B398" s="3">
        <f t="shared" si="31"/>
        <v>13.699999999999973</v>
      </c>
      <c r="C398" s="553">
        <f>'Foglio deposito bis'!$E$154/sezione!$B$247*B398</f>
        <v>55.615879599510706</v>
      </c>
      <c r="D398" s="611">
        <f>-'Progetto del paramento slu'!$G$47*'Progetto del paramento slu'!$G$41*IF(DATI!$G$218="dx",DATI!$E$61,DATI!$E$64*DATI!$E$63)*1000*C398^2*sezione!$AD$5*(1-sezione!$AD$6)</f>
        <v>-25462613.013429444</v>
      </c>
      <c r="E398" s="553">
        <f>-'Foglio deposito bis'!$F$48*(C398-sezione!$AL$28)*IF(ABS(K398)&lt;'Progetto del paramento slu'!$G$58,ABS(K398)*'Progetto del paramento slu'!$G$54,'Progetto del paramento slu'!$G$53)</f>
        <v>0</v>
      </c>
      <c r="F398" s="553">
        <f>-'Foglio deposito bis'!$F$49*(C398-sezione!$AM$28)*IF(ABS(L398)&lt;'Progetto del paramento slu'!$G$58,ABS(L398)*'Progetto del paramento slu'!$G$54,'Progetto del paramento slu'!$G$53)</f>
        <v>19338029.952111635</v>
      </c>
      <c r="G398" s="553">
        <f>-'Foglio deposito bis'!$F$50*(C398-sezione!$AN$28)*IF(ABS(M398)&lt;'Progetto del paramento slu'!$G$58,ABS(M398)*'Progetto del paramento slu'!$G$54,'Progetto del paramento slu'!$G$53)</f>
        <v>0</v>
      </c>
      <c r="H398" s="553">
        <f>-'Foglio deposito bis'!$F$51*(C398-sezione!$AO$28)*IF(ABS(N398)&lt;'Progetto del paramento slu'!$G$58,ABS(N398)*'Progetto del paramento slu'!$G$54,'Progetto del paramento slu'!$G$53)</f>
        <v>68521357.735733494</v>
      </c>
      <c r="I398" s="479">
        <f>-'Foglio deposito bis'!$F$52*(C398-sezione!$AP$28)*IF(ABS(O398)&lt;'Progetto del paramento slu'!$G$58,ABS(O398)*'Progetto del paramento slu'!$G$54,'Progetto del paramento slu'!$G$53)</f>
        <v>49245875.412493601</v>
      </c>
      <c r="J398" s="479">
        <f t="shared" si="32"/>
        <v>111642650.08690929</v>
      </c>
      <c r="K398" s="558">
        <f>'Progetto del paramento slu'!$G$60*(sezione!$AL$28-C398)/C398</f>
        <v>-9.8273333069370914E-4</v>
      </c>
      <c r="L398" s="558">
        <f>'Progetto del paramento slu'!$G$60*(sezione!$AM$28-C398)/C398</f>
        <v>5.9397500098985912E-3</v>
      </c>
      <c r="M398" s="559">
        <f>'Progetto del paramento slu'!$G$60*(sezione!$AN$28-C398)/C398</f>
        <v>1.286223335049089E-2</v>
      </c>
      <c r="N398" s="559">
        <f>'Progetto del paramento slu'!$G$60*(sezione!$AO$28-C398)/C398</f>
        <v>1.789676668910347E-2</v>
      </c>
      <c r="O398" s="559">
        <f>'Progetto del paramento slu'!$G$60*(sezione!$AP$28-C398)/C398</f>
        <v>1.2862295374489354E-2</v>
      </c>
      <c r="P398" s="553">
        <f>-'Progetto del paramento slu'!$G$47*'Progetto del paramento slu'!$G$41*IF(DATI!$G$218="dx",DATI!$E$61,DATI!$E$64*DATI!$E$63)*1000*C398*sezione!$AD$5</f>
        <v>-783955.32108794688</v>
      </c>
      <c r="Q398" s="553">
        <f>'Foglio deposito bis'!$F$48*IF(ABS(K398)&lt;'Progetto del paramento slu'!$G$58,ABS(K398)*'Progetto del paramento slu'!$G$54,'Progetto del paramento slu'!$G$53)*IF(K398&lt;0,-1,1)</f>
        <v>0</v>
      </c>
      <c r="R398" s="553">
        <f>'Foglio deposito bis'!$F$49*IF(ABS(L398)&lt;'Progetto del paramento slu'!$G$58,ABS(L398)*'Progetto del paramento slu'!$G$54,'Progetto del paramento slu'!$G$53)*IF(L398&lt;0,-1,1)</f>
        <v>204886.47740803001</v>
      </c>
      <c r="S398" s="553">
        <f>'Foglio deposito bis'!$F$50*IF(ABS(M398)&lt;'Progetto del paramento slu'!$G$58,ABS(M398)*'Progetto del paramento slu'!$G$54,'Progetto del paramento slu'!$G$53)*IF(M398&lt;0,-1,1)</f>
        <v>0</v>
      </c>
      <c r="T398" s="553">
        <f>'Foglio deposito bis'!$F$51*IF(ABS(N398)&lt;'Progetto del paramento slu'!$G$58,ABS(N398)*'Progetto del paramento slu'!$G$54,'Progetto del paramento slu'!$G$53)*IF(N398&lt;0,-1,1)</f>
        <v>240946.49743184328</v>
      </c>
      <c r="U398" s="553">
        <f>'Foglio deposito bis'!$F$52*IF(ABS(O398)&lt;'Progetto del paramento slu'!$G$58,ABS(O398)*'Progetto del paramento slu'!$G$54,'Progetto del paramento slu'!$G$53)*IF(O398&lt;0,-1,1)</f>
        <v>240946.49743184328</v>
      </c>
      <c r="V398" s="479">
        <f t="shared" si="34"/>
        <v>-97175.848816230224</v>
      </c>
      <c r="W398" s="559"/>
      <c r="X398" s="559"/>
    </row>
    <row r="399" spans="1:24" x14ac:dyDescent="0.25">
      <c r="A399" s="553">
        <f t="shared" si="33"/>
        <v>108620.45204379156</v>
      </c>
      <c r="B399" s="3">
        <f t="shared" si="31"/>
        <v>13.899999999999972</v>
      </c>
      <c r="C399" s="553">
        <f>'Foglio deposito bis'!$E$154/sezione!$B$247*B399</f>
        <v>56.427790250598456</v>
      </c>
      <c r="D399" s="611">
        <f>-'Progetto del paramento slu'!$G$47*'Progetto del paramento slu'!$G$41*IF(DATI!$G$218="dx",DATI!$E$61,DATI!$E$64*DATI!$E$63)*1000*C399^2*sezione!$AD$5*(1-sezione!$AD$6)</f>
        <v>-26211473.495256558</v>
      </c>
      <c r="E399" s="553">
        <f>-'Foglio deposito bis'!$F$48*(C399-sezione!$AL$28)*IF(ABS(K399)&lt;'Progetto del paramento slu'!$G$58,ABS(K399)*'Progetto del paramento slu'!$G$54,'Progetto del paramento slu'!$G$53)</f>
        <v>0</v>
      </c>
      <c r="F399" s="553">
        <f>-'Foglio deposito bis'!$F$49*(C399-sezione!$AM$28)*IF(ABS(L399)&lt;'Progetto del paramento slu'!$G$58,ABS(L399)*'Progetto del paramento slu'!$G$54,'Progetto del paramento slu'!$G$53)</f>
        <v>19171680.438840203</v>
      </c>
      <c r="G399" s="553">
        <f>-'Foglio deposito bis'!$F$50*(C399-sezione!$AN$28)*IF(ABS(M399)&lt;'Progetto del paramento slu'!$G$58,ABS(M399)*'Progetto del paramento slu'!$G$54,'Progetto del paramento slu'!$G$53)</f>
        <v>0</v>
      </c>
      <c r="H399" s="553">
        <f>-'Foglio deposito bis'!$F$51*(C399-sezione!$AO$28)*IF(ABS(N399)&lt;'Progetto del paramento slu'!$G$58,ABS(N399)*'Progetto del paramento slu'!$G$54,'Progetto del paramento slu'!$G$53)</f>
        <v>68325730.708126307</v>
      </c>
      <c r="I399" s="479">
        <f>-'Foglio deposito bis'!$F$52*(C399-sezione!$AP$28)*IF(ABS(O399)&lt;'Progetto del paramento slu'!$G$58,ABS(O399)*'Progetto del paramento slu'!$G$54,'Progetto del paramento slu'!$G$53)</f>
        <v>49050248.384886406</v>
      </c>
      <c r="J399" s="479">
        <f t="shared" si="32"/>
        <v>110336186.03659636</v>
      </c>
      <c r="K399" s="558">
        <f>'Progetto del paramento slu'!$G$60*(sezione!$AL$28-C399)/C399</f>
        <v>-1.0189529950002747E-3</v>
      </c>
      <c r="L399" s="558">
        <f>'Progetto del paramento slu'!$G$60*(sezione!$AM$28-C399)/C399</f>
        <v>5.8039262687489693E-3</v>
      </c>
      <c r="M399" s="559">
        <f>'Progetto del paramento slu'!$G$60*(sezione!$AN$28-C399)/C399</f>
        <v>1.2626805532498215E-2</v>
      </c>
      <c r="N399" s="559">
        <f>'Progetto del paramento slu'!$G$60*(sezione!$AO$28-C399)/C399</f>
        <v>1.7588899542497666E-2</v>
      </c>
      <c r="O399" s="559">
        <f>'Progetto del paramento slu'!$G$60*(sezione!$AP$28-C399)/C399</f>
        <v>1.2626866664065046E-2</v>
      </c>
      <c r="P399" s="553">
        <f>-'Progetto del paramento slu'!$G$47*'Progetto del paramento slu'!$G$41*IF(DATI!$G$218="dx",DATI!$E$61,DATI!$E$64*DATI!$E$63)*1000*C399*sezione!$AD$5</f>
        <v>-795399.92431550822</v>
      </c>
      <c r="Q399" s="553">
        <f>'Foglio deposito bis'!$F$48*IF(ABS(K399)&lt;'Progetto del paramento slu'!$G$58,ABS(K399)*'Progetto del paramento slu'!$G$54,'Progetto del paramento slu'!$G$53)*IF(K399&lt;0,-1,1)</f>
        <v>0</v>
      </c>
      <c r="R399" s="553">
        <f>'Foglio deposito bis'!$F$49*IF(ABS(L399)&lt;'Progetto del paramento slu'!$G$58,ABS(L399)*'Progetto del paramento slu'!$G$54,'Progetto del paramento slu'!$G$53)*IF(L399&lt;0,-1,1)</f>
        <v>204886.47740803001</v>
      </c>
      <c r="S399" s="553">
        <f>'Foglio deposito bis'!$F$50*IF(ABS(M399)&lt;'Progetto del paramento slu'!$G$58,ABS(M399)*'Progetto del paramento slu'!$G$54,'Progetto del paramento slu'!$G$53)*IF(M399&lt;0,-1,1)</f>
        <v>0</v>
      </c>
      <c r="T399" s="553">
        <f>'Foglio deposito bis'!$F$51*IF(ABS(N399)&lt;'Progetto del paramento slu'!$G$58,ABS(N399)*'Progetto del paramento slu'!$G$54,'Progetto del paramento slu'!$G$53)*IF(N399&lt;0,-1,1)</f>
        <v>240946.49743184328</v>
      </c>
      <c r="U399" s="553">
        <f>'Foglio deposito bis'!$F$52*IF(ABS(O399)&lt;'Progetto del paramento slu'!$G$58,ABS(O399)*'Progetto del paramento slu'!$G$54,'Progetto del paramento slu'!$G$53)*IF(O399&lt;0,-1,1)</f>
        <v>240946.49743184328</v>
      </c>
      <c r="V399" s="479">
        <f t="shared" si="34"/>
        <v>-108620.45204379156</v>
      </c>
      <c r="W399" s="559"/>
      <c r="X399" s="559"/>
    </row>
    <row r="400" spans="1:24" x14ac:dyDescent="0.25">
      <c r="A400" s="553">
        <f t="shared" si="33"/>
        <v>120065.0552713529</v>
      </c>
      <c r="B400" s="3">
        <f t="shared" si="31"/>
        <v>14.099999999999971</v>
      </c>
      <c r="C400" s="553">
        <f>'Foglio deposito bis'!$E$154/sezione!$B$247*B400</f>
        <v>57.239700901686199</v>
      </c>
      <c r="D400" s="611">
        <f>-'Progetto del paramento slu'!$G$47*'Progetto del paramento slu'!$G$41*IF(DATI!$G$218="dx",DATI!$E$61,DATI!$E$64*DATI!$E$63)*1000*C400^2*sezione!$AD$5*(1-sezione!$AD$6)</f>
        <v>-26971187.027544927</v>
      </c>
      <c r="E400" s="553">
        <f>-'Foglio deposito bis'!$F$48*(C400-sezione!$AL$28)*IF(ABS(K400)&lt;'Progetto del paramento slu'!$G$58,ABS(K400)*'Progetto del paramento slu'!$G$54,'Progetto del paramento slu'!$G$53)</f>
        <v>0</v>
      </c>
      <c r="F400" s="553">
        <f>-'Foglio deposito bis'!$F$49*(C400-sezione!$AM$28)*IF(ABS(L400)&lt;'Progetto del paramento slu'!$G$58,ABS(L400)*'Progetto del paramento slu'!$G$54,'Progetto del paramento slu'!$G$53)</f>
        <v>19005330.925568774</v>
      </c>
      <c r="G400" s="553">
        <f>-'Foglio deposito bis'!$F$50*(C400-sezione!$AN$28)*IF(ABS(M400)&lt;'Progetto del paramento slu'!$G$58,ABS(M400)*'Progetto del paramento slu'!$G$54,'Progetto del paramento slu'!$G$53)</f>
        <v>0</v>
      </c>
      <c r="H400" s="553">
        <f>-'Foglio deposito bis'!$F$51*(C400-sezione!$AO$28)*IF(ABS(N400)&lt;'Progetto del paramento slu'!$G$58,ABS(N400)*'Progetto del paramento slu'!$G$54,'Progetto del paramento slu'!$G$53)</f>
        <v>68130103.680519104</v>
      </c>
      <c r="I400" s="479">
        <f>-'Foglio deposito bis'!$F$52*(C400-sezione!$AP$28)*IF(ABS(O400)&lt;'Progetto del paramento slu'!$G$58,ABS(O400)*'Progetto del paramento slu'!$G$54,'Progetto del paramento slu'!$G$53)</f>
        <v>48854621.357279211</v>
      </c>
      <c r="J400" s="479">
        <f t="shared" si="32"/>
        <v>109018868.93582216</v>
      </c>
      <c r="K400" s="558">
        <f>'Progetto del paramento slu'!$G$60*(sezione!$AL$28-C400)/C400</f>
        <v>-1.0541451510995613E-3</v>
      </c>
      <c r="L400" s="558">
        <f>'Progetto del paramento slu'!$G$60*(sezione!$AM$28-C400)/C400</f>
        <v>5.6719556833766446E-3</v>
      </c>
      <c r="M400" s="559">
        <f>'Progetto del paramento slu'!$G$60*(sezione!$AN$28-C400)/C400</f>
        <v>1.239805651785285E-2</v>
      </c>
      <c r="N400" s="559">
        <f>'Progetto del paramento slu'!$G$60*(sezione!$AO$28-C400)/C400</f>
        <v>1.7289766215653729E-2</v>
      </c>
      <c r="O400" s="559">
        <f>'Progetto del paramento slu'!$G$60*(sezione!$AP$28-C400)/C400</f>
        <v>1.2398116782305258E-2</v>
      </c>
      <c r="P400" s="553">
        <f>-'Progetto del paramento slu'!$G$47*'Progetto del paramento slu'!$G$41*IF(DATI!$G$218="dx",DATI!$E$61,DATI!$E$64*DATI!$E$63)*1000*C400*sezione!$AD$5</f>
        <v>-806844.52754306945</v>
      </c>
      <c r="Q400" s="553">
        <f>'Foglio deposito bis'!$F$48*IF(ABS(K400)&lt;'Progetto del paramento slu'!$G$58,ABS(K400)*'Progetto del paramento slu'!$G$54,'Progetto del paramento slu'!$G$53)*IF(K400&lt;0,-1,1)</f>
        <v>0</v>
      </c>
      <c r="R400" s="553">
        <f>'Foglio deposito bis'!$F$49*IF(ABS(L400)&lt;'Progetto del paramento slu'!$G$58,ABS(L400)*'Progetto del paramento slu'!$G$54,'Progetto del paramento slu'!$G$53)*IF(L400&lt;0,-1,1)</f>
        <v>204886.47740803001</v>
      </c>
      <c r="S400" s="553">
        <f>'Foglio deposito bis'!$F$50*IF(ABS(M400)&lt;'Progetto del paramento slu'!$G$58,ABS(M400)*'Progetto del paramento slu'!$G$54,'Progetto del paramento slu'!$G$53)*IF(M400&lt;0,-1,1)</f>
        <v>0</v>
      </c>
      <c r="T400" s="553">
        <f>'Foglio deposito bis'!$F$51*IF(ABS(N400)&lt;'Progetto del paramento slu'!$G$58,ABS(N400)*'Progetto del paramento slu'!$G$54,'Progetto del paramento slu'!$G$53)*IF(N400&lt;0,-1,1)</f>
        <v>240946.49743184328</v>
      </c>
      <c r="U400" s="553">
        <f>'Foglio deposito bis'!$F$52*IF(ABS(O400)&lt;'Progetto del paramento slu'!$G$58,ABS(O400)*'Progetto del paramento slu'!$G$54,'Progetto del paramento slu'!$G$53)*IF(O400&lt;0,-1,1)</f>
        <v>240946.49743184328</v>
      </c>
      <c r="V400" s="479">
        <f t="shared" si="34"/>
        <v>-120065.0552713529</v>
      </c>
      <c r="W400" s="559"/>
      <c r="X400" s="559"/>
    </row>
    <row r="401" spans="1:24" x14ac:dyDescent="0.25">
      <c r="A401" s="553">
        <f t="shared" si="33"/>
        <v>131509.65849891424</v>
      </c>
      <c r="B401" s="3">
        <f t="shared" si="31"/>
        <v>14.299999999999971</v>
      </c>
      <c r="C401" s="553">
        <f>'Foglio deposito bis'!$E$154/sezione!$B$247*B401</f>
        <v>58.051611552773949</v>
      </c>
      <c r="D401" s="611">
        <f>-'Progetto del paramento slu'!$G$47*'Progetto del paramento slu'!$G$41*IF(DATI!$G$218="dx",DATI!$E$61,DATI!$E$64*DATI!$E$63)*1000*C401^2*sezione!$AD$5*(1-sezione!$AD$6)</f>
        <v>-27741753.610294566</v>
      </c>
      <c r="E401" s="553">
        <f>-'Foglio deposito bis'!$F$48*(C401-sezione!$AL$28)*IF(ABS(K401)&lt;'Progetto del paramento slu'!$G$58,ABS(K401)*'Progetto del paramento slu'!$G$54,'Progetto del paramento slu'!$G$53)</f>
        <v>0</v>
      </c>
      <c r="F401" s="553">
        <f>-'Foglio deposito bis'!$F$49*(C401-sezione!$AM$28)*IF(ABS(L401)&lt;'Progetto del paramento slu'!$G$58,ABS(L401)*'Progetto del paramento slu'!$G$54,'Progetto del paramento slu'!$G$53)</f>
        <v>18838981.412297349</v>
      </c>
      <c r="G401" s="553">
        <f>-'Foglio deposito bis'!$F$50*(C401-sezione!$AN$28)*IF(ABS(M401)&lt;'Progetto del paramento slu'!$G$58,ABS(M401)*'Progetto del paramento slu'!$G$54,'Progetto del paramento slu'!$G$53)</f>
        <v>0</v>
      </c>
      <c r="H401" s="553">
        <f>-'Foglio deposito bis'!$F$51*(C401-sezione!$AO$28)*IF(ABS(N401)&lt;'Progetto del paramento slu'!$G$58,ABS(N401)*'Progetto del paramento slu'!$G$54,'Progetto del paramento slu'!$G$53)</f>
        <v>67934476.652911916</v>
      </c>
      <c r="I401" s="479">
        <f>-'Foglio deposito bis'!$F$52*(C401-sezione!$AP$28)*IF(ABS(O401)&lt;'Progetto del paramento slu'!$G$58,ABS(O401)*'Progetto del paramento slu'!$G$54,'Progetto del paramento slu'!$G$53)</f>
        <v>48658994.329672009</v>
      </c>
      <c r="J401" s="479">
        <f t="shared" si="32"/>
        <v>107690698.78458671</v>
      </c>
      <c r="K401" s="558">
        <f>'Progetto del paramento slu'!$G$60*(sezione!$AL$28-C401)/C401</f>
        <v>-1.0883529112240432E-3</v>
      </c>
      <c r="L401" s="558">
        <f>'Progetto del paramento slu'!$G$60*(sezione!$AM$28-C401)/C401</f>
        <v>5.5436765829098384E-3</v>
      </c>
      <c r="M401" s="559">
        <f>'Progetto del paramento slu'!$G$60*(sezione!$AN$28-C401)/C401</f>
        <v>1.217570607704372E-2</v>
      </c>
      <c r="N401" s="559">
        <f>'Progetto del paramento slu'!$G$60*(sezione!$AO$28-C401)/C401</f>
        <v>1.6999000254595636E-2</v>
      </c>
      <c r="O401" s="559">
        <f>'Progetto del paramento slu'!$G$60*(sezione!$AP$28-C401)/C401</f>
        <v>1.2175765498636653E-2</v>
      </c>
      <c r="P401" s="553">
        <f>-'Progetto del paramento slu'!$G$47*'Progetto del paramento slu'!$G$41*IF(DATI!$G$218="dx",DATI!$E$61,DATI!$E$64*DATI!$E$63)*1000*C401*sezione!$AD$5</f>
        <v>-818289.13077063079</v>
      </c>
      <c r="Q401" s="553">
        <f>'Foglio deposito bis'!$F$48*IF(ABS(K401)&lt;'Progetto del paramento slu'!$G$58,ABS(K401)*'Progetto del paramento slu'!$G$54,'Progetto del paramento slu'!$G$53)*IF(K401&lt;0,-1,1)</f>
        <v>0</v>
      </c>
      <c r="R401" s="553">
        <f>'Foglio deposito bis'!$F$49*IF(ABS(L401)&lt;'Progetto del paramento slu'!$G$58,ABS(L401)*'Progetto del paramento slu'!$G$54,'Progetto del paramento slu'!$G$53)*IF(L401&lt;0,-1,1)</f>
        <v>204886.47740803001</v>
      </c>
      <c r="S401" s="553">
        <f>'Foglio deposito bis'!$F$50*IF(ABS(M401)&lt;'Progetto del paramento slu'!$G$58,ABS(M401)*'Progetto del paramento slu'!$G$54,'Progetto del paramento slu'!$G$53)*IF(M401&lt;0,-1,1)</f>
        <v>0</v>
      </c>
      <c r="T401" s="553">
        <f>'Foglio deposito bis'!$F$51*IF(ABS(N401)&lt;'Progetto del paramento slu'!$G$58,ABS(N401)*'Progetto del paramento slu'!$G$54,'Progetto del paramento slu'!$G$53)*IF(N401&lt;0,-1,1)</f>
        <v>240946.49743184328</v>
      </c>
      <c r="U401" s="553">
        <f>'Foglio deposito bis'!$F$52*IF(ABS(O401)&lt;'Progetto del paramento slu'!$G$58,ABS(O401)*'Progetto del paramento slu'!$G$54,'Progetto del paramento slu'!$G$53)*IF(O401&lt;0,-1,1)</f>
        <v>240946.49743184328</v>
      </c>
      <c r="V401" s="479">
        <f t="shared" si="34"/>
        <v>-131509.65849891424</v>
      </c>
      <c r="W401" s="559"/>
      <c r="X401" s="559"/>
    </row>
    <row r="402" spans="1:24" x14ac:dyDescent="0.25">
      <c r="A402" s="553">
        <f t="shared" si="33"/>
        <v>142954.26172647535</v>
      </c>
      <c r="B402" s="3">
        <f t="shared" si="31"/>
        <v>14.49999999999997</v>
      </c>
      <c r="C402" s="553">
        <f>'Foglio deposito bis'!$E$154/sezione!$B$247*B402</f>
        <v>58.863522203861692</v>
      </c>
      <c r="D402" s="611">
        <f>-'Progetto del paramento slu'!$G$47*'Progetto del paramento slu'!$G$41*IF(DATI!$G$218="dx",DATI!$E$61,DATI!$E$64*DATI!$E$63)*1000*C402^2*sezione!$AD$5*(1-sezione!$AD$6)</f>
        <v>-28523173.243505459</v>
      </c>
      <c r="E402" s="553">
        <f>-'Foglio deposito bis'!$F$48*(C402-sezione!$AL$28)*IF(ABS(K402)&lt;'Progetto del paramento slu'!$G$58,ABS(K402)*'Progetto del paramento slu'!$G$54,'Progetto del paramento slu'!$G$53)</f>
        <v>0</v>
      </c>
      <c r="F402" s="553">
        <f>-'Foglio deposito bis'!$F$49*(C402-sezione!$AM$28)*IF(ABS(L402)&lt;'Progetto del paramento slu'!$G$58,ABS(L402)*'Progetto del paramento slu'!$G$54,'Progetto del paramento slu'!$G$53)</f>
        <v>18672631.899025921</v>
      </c>
      <c r="G402" s="553">
        <f>-'Foglio deposito bis'!$F$50*(C402-sezione!$AN$28)*IF(ABS(M402)&lt;'Progetto del paramento slu'!$G$58,ABS(M402)*'Progetto del paramento slu'!$G$54,'Progetto del paramento slu'!$G$53)</f>
        <v>0</v>
      </c>
      <c r="H402" s="553">
        <f>-'Foglio deposito bis'!$F$51*(C402-sezione!$AO$28)*IF(ABS(N402)&lt;'Progetto del paramento slu'!$G$58,ABS(N402)*'Progetto del paramento slu'!$G$54,'Progetto del paramento slu'!$G$53)</f>
        <v>67738849.625304699</v>
      </c>
      <c r="I402" s="479">
        <f>-'Foglio deposito bis'!$F$52*(C402-sezione!$AP$28)*IF(ABS(O402)&lt;'Progetto del paramento slu'!$G$58,ABS(O402)*'Progetto del paramento slu'!$G$54,'Progetto del paramento slu'!$G$53)</f>
        <v>48463367.302064806</v>
      </c>
      <c r="J402" s="479">
        <f t="shared" si="32"/>
        <v>106351675.58288997</v>
      </c>
      <c r="K402" s="558">
        <f>'Progetto del paramento slu'!$G$60*(sezione!$AL$28-C402)/C402</f>
        <v>-1.1216170090002629E-3</v>
      </c>
      <c r="L402" s="558">
        <f>'Progetto del paramento slu'!$G$60*(sezione!$AM$28-C402)/C402</f>
        <v>5.4189362162490144E-3</v>
      </c>
      <c r="M402" s="559">
        <f>'Progetto del paramento slu'!$G$60*(sezione!$AN$28-C402)/C402</f>
        <v>1.1959489441498291E-2</v>
      </c>
      <c r="N402" s="559">
        <f>'Progetto del paramento slu'!$G$60*(sezione!$AO$28-C402)/C402</f>
        <v>1.6716255423497764E-2</v>
      </c>
      <c r="O402" s="559">
        <f>'Progetto del paramento slu'!$G$60*(sezione!$AP$28-C402)/C402</f>
        <v>1.1959548043483046E-2</v>
      </c>
      <c r="P402" s="553">
        <f>-'Progetto del paramento slu'!$G$47*'Progetto del paramento slu'!$G$41*IF(DATI!$G$218="dx",DATI!$E$61,DATI!$E$64*DATI!$E$63)*1000*C402*sezione!$AD$5</f>
        <v>-829733.73399819189</v>
      </c>
      <c r="Q402" s="553">
        <f>'Foglio deposito bis'!$F$48*IF(ABS(K402)&lt;'Progetto del paramento slu'!$G$58,ABS(K402)*'Progetto del paramento slu'!$G$54,'Progetto del paramento slu'!$G$53)*IF(K402&lt;0,-1,1)</f>
        <v>0</v>
      </c>
      <c r="R402" s="553">
        <f>'Foglio deposito bis'!$F$49*IF(ABS(L402)&lt;'Progetto del paramento slu'!$G$58,ABS(L402)*'Progetto del paramento slu'!$G$54,'Progetto del paramento slu'!$G$53)*IF(L402&lt;0,-1,1)</f>
        <v>204886.47740803001</v>
      </c>
      <c r="S402" s="553">
        <f>'Foglio deposito bis'!$F$50*IF(ABS(M402)&lt;'Progetto del paramento slu'!$G$58,ABS(M402)*'Progetto del paramento slu'!$G$54,'Progetto del paramento slu'!$G$53)*IF(M402&lt;0,-1,1)</f>
        <v>0</v>
      </c>
      <c r="T402" s="553">
        <f>'Foglio deposito bis'!$F$51*IF(ABS(N402)&lt;'Progetto del paramento slu'!$G$58,ABS(N402)*'Progetto del paramento slu'!$G$54,'Progetto del paramento slu'!$G$53)*IF(N402&lt;0,-1,1)</f>
        <v>240946.49743184328</v>
      </c>
      <c r="U402" s="553">
        <f>'Foglio deposito bis'!$F$52*IF(ABS(O402)&lt;'Progetto del paramento slu'!$G$58,ABS(O402)*'Progetto del paramento slu'!$G$54,'Progetto del paramento slu'!$G$53)*IF(O402&lt;0,-1,1)</f>
        <v>240946.49743184328</v>
      </c>
      <c r="V402" s="479">
        <f t="shared" si="34"/>
        <v>-142954.26172647535</v>
      </c>
      <c r="W402" s="559"/>
      <c r="X402" s="559"/>
    </row>
    <row r="403" spans="1:24" x14ac:dyDescent="0.25">
      <c r="A403" s="553">
        <f t="shared" si="33"/>
        <v>154398.86495403669</v>
      </c>
      <c r="B403" s="3">
        <f t="shared" si="31"/>
        <v>14.699999999999969</v>
      </c>
      <c r="C403" s="553">
        <f>'Foglio deposito bis'!$E$154/sezione!$B$247*B403</f>
        <v>59.675432854949442</v>
      </c>
      <c r="D403" s="611">
        <f>-'Progetto del paramento slu'!$G$47*'Progetto del paramento slu'!$G$41*IF(DATI!$G$218="dx",DATI!$E$61,DATI!$E$64*DATI!$E$63)*1000*C403^2*sezione!$AD$5*(1-sezione!$AD$6)</f>
        <v>-29315445.927177623</v>
      </c>
      <c r="E403" s="553">
        <f>-'Foglio deposito bis'!$F$48*(C403-sezione!$AL$28)*IF(ABS(K403)&lt;'Progetto del paramento slu'!$G$58,ABS(K403)*'Progetto del paramento slu'!$G$54,'Progetto del paramento slu'!$G$53)</f>
        <v>0</v>
      </c>
      <c r="F403" s="553">
        <f>-'Foglio deposito bis'!$F$49*(C403-sezione!$AM$28)*IF(ABS(L403)&lt;'Progetto del paramento slu'!$G$58,ABS(L403)*'Progetto del paramento slu'!$G$54,'Progetto del paramento slu'!$G$53)</f>
        <v>18506282.385754492</v>
      </c>
      <c r="G403" s="553">
        <f>-'Foglio deposito bis'!$F$50*(C403-sezione!$AN$28)*IF(ABS(M403)&lt;'Progetto del paramento slu'!$G$58,ABS(M403)*'Progetto del paramento slu'!$G$54,'Progetto del paramento slu'!$G$53)</f>
        <v>0</v>
      </c>
      <c r="H403" s="553">
        <f>-'Foglio deposito bis'!$F$51*(C403-sezione!$AO$28)*IF(ABS(N403)&lt;'Progetto del paramento slu'!$G$58,ABS(N403)*'Progetto del paramento slu'!$G$54,'Progetto del paramento slu'!$G$53)</f>
        <v>67543222.597697496</v>
      </c>
      <c r="I403" s="479">
        <f>-'Foglio deposito bis'!$F$52*(C403-sezione!$AP$28)*IF(ABS(O403)&lt;'Progetto del paramento slu'!$G$58,ABS(O403)*'Progetto del paramento slu'!$G$54,'Progetto del paramento slu'!$G$53)</f>
        <v>48267740.274457611</v>
      </c>
      <c r="J403" s="479">
        <f t="shared" si="32"/>
        <v>105001799.33073199</v>
      </c>
      <c r="K403" s="558">
        <f>'Progetto del paramento slu'!$G$60*(sezione!$AL$28-C403)/C403</f>
        <v>-1.1539759612587629E-3</v>
      </c>
      <c r="L403" s="558">
        <f>'Progetto del paramento slu'!$G$60*(sezione!$AM$28-C403)/C403</f>
        <v>5.2975901452796395E-3</v>
      </c>
      <c r="M403" s="559">
        <f>'Progetto del paramento slu'!$G$60*(sezione!$AN$28-C403)/C403</f>
        <v>1.1749156251818042E-2</v>
      </c>
      <c r="N403" s="559">
        <f>'Progetto del paramento slu'!$G$60*(sezione!$AO$28-C403)/C403</f>
        <v>1.6441204329300515E-2</v>
      </c>
      <c r="O403" s="559">
        <f>'Progetto del paramento slu'!$G$60*(sezione!$AP$28-C403)/C403</f>
        <v>1.1749214056496881E-2</v>
      </c>
      <c r="P403" s="553">
        <f>-'Progetto del paramento slu'!$G$47*'Progetto del paramento slu'!$G$41*IF(DATI!$G$218="dx",DATI!$E$61,DATI!$E$64*DATI!$E$63)*1000*C403*sezione!$AD$5</f>
        <v>-841178.33722575323</v>
      </c>
      <c r="Q403" s="553">
        <f>'Foglio deposito bis'!$F$48*IF(ABS(K403)&lt;'Progetto del paramento slu'!$G$58,ABS(K403)*'Progetto del paramento slu'!$G$54,'Progetto del paramento slu'!$G$53)*IF(K403&lt;0,-1,1)</f>
        <v>0</v>
      </c>
      <c r="R403" s="553">
        <f>'Foglio deposito bis'!$F$49*IF(ABS(L403)&lt;'Progetto del paramento slu'!$G$58,ABS(L403)*'Progetto del paramento slu'!$G$54,'Progetto del paramento slu'!$G$53)*IF(L403&lt;0,-1,1)</f>
        <v>204886.47740803001</v>
      </c>
      <c r="S403" s="553">
        <f>'Foglio deposito bis'!$F$50*IF(ABS(M403)&lt;'Progetto del paramento slu'!$G$58,ABS(M403)*'Progetto del paramento slu'!$G$54,'Progetto del paramento slu'!$G$53)*IF(M403&lt;0,-1,1)</f>
        <v>0</v>
      </c>
      <c r="T403" s="553">
        <f>'Foglio deposito bis'!$F$51*IF(ABS(N403)&lt;'Progetto del paramento slu'!$G$58,ABS(N403)*'Progetto del paramento slu'!$G$54,'Progetto del paramento slu'!$G$53)*IF(N403&lt;0,-1,1)</f>
        <v>240946.49743184328</v>
      </c>
      <c r="U403" s="553">
        <f>'Foglio deposito bis'!$F$52*IF(ABS(O403)&lt;'Progetto del paramento slu'!$G$58,ABS(O403)*'Progetto del paramento slu'!$G$54,'Progetto del paramento slu'!$G$53)*IF(O403&lt;0,-1,1)</f>
        <v>240946.49743184328</v>
      </c>
      <c r="V403" s="479">
        <f t="shared" si="34"/>
        <v>-154398.86495403669</v>
      </c>
      <c r="W403" s="559"/>
      <c r="X403" s="559"/>
    </row>
    <row r="404" spans="1:24" x14ac:dyDescent="0.25">
      <c r="A404" s="553">
        <f t="shared" si="33"/>
        <v>165843.4681815978</v>
      </c>
      <c r="B404" s="3">
        <f t="shared" si="31"/>
        <v>14.899999999999968</v>
      </c>
      <c r="C404" s="553">
        <f>'Foglio deposito bis'!$E$154/sezione!$B$247*B404</f>
        <v>60.487343506037185</v>
      </c>
      <c r="D404" s="611">
        <f>-'Progetto del paramento slu'!$G$47*'Progetto del paramento slu'!$G$41*IF(DATI!$G$218="dx",DATI!$E$61,DATI!$E$64*DATI!$E$63)*1000*C404^2*sezione!$AD$5*(1-sezione!$AD$6)</f>
        <v>-30118571.661311045</v>
      </c>
      <c r="E404" s="553">
        <f>-'Foglio deposito bis'!$F$48*(C404-sezione!$AL$28)*IF(ABS(K404)&lt;'Progetto del paramento slu'!$G$58,ABS(K404)*'Progetto del paramento slu'!$G$54,'Progetto del paramento slu'!$G$53)</f>
        <v>0</v>
      </c>
      <c r="F404" s="553">
        <f>-'Foglio deposito bis'!$F$49*(C404-sezione!$AM$28)*IF(ABS(L404)&lt;'Progetto del paramento slu'!$G$58,ABS(L404)*'Progetto del paramento slu'!$G$54,'Progetto del paramento slu'!$G$53)</f>
        <v>18339932.872483063</v>
      </c>
      <c r="G404" s="553">
        <f>-'Foglio deposito bis'!$F$50*(C404-sezione!$AN$28)*IF(ABS(M404)&lt;'Progetto del paramento slu'!$G$58,ABS(M404)*'Progetto del paramento slu'!$G$54,'Progetto del paramento slu'!$G$53)</f>
        <v>0</v>
      </c>
      <c r="H404" s="553">
        <f>-'Foglio deposito bis'!$F$51*(C404-sezione!$AO$28)*IF(ABS(N404)&lt;'Progetto del paramento slu'!$G$58,ABS(N404)*'Progetto del paramento slu'!$G$54,'Progetto del paramento slu'!$G$53)</f>
        <v>67347595.570090294</v>
      </c>
      <c r="I404" s="479">
        <f>-'Foglio deposito bis'!$F$52*(C404-sezione!$AP$28)*IF(ABS(O404)&lt;'Progetto del paramento slu'!$G$58,ABS(O404)*'Progetto del paramento slu'!$G$54,'Progetto del paramento slu'!$G$53)</f>
        <v>48072113.246850409</v>
      </c>
      <c r="J404" s="479">
        <f t="shared" si="32"/>
        <v>103641070.02811271</v>
      </c>
      <c r="K404" s="558">
        <f>'Progetto del paramento slu'!$G$60*(sezione!$AL$28-C404)/C404</f>
        <v>-1.1854662168123364E-3</v>
      </c>
      <c r="L404" s="558">
        <f>'Progetto del paramento slu'!$G$60*(sezione!$AM$28-C404)/C404</f>
        <v>5.1795016869537391E-3</v>
      </c>
      <c r="M404" s="559">
        <f>'Progetto del paramento slu'!$G$60*(sezione!$AN$28-C404)/C404</f>
        <v>1.1544469590719813E-2</v>
      </c>
      <c r="N404" s="559">
        <f>'Progetto del paramento slu'!$G$60*(sezione!$AO$28-C404)/C404</f>
        <v>1.6173537157095141E-2</v>
      </c>
      <c r="O404" s="559">
        <f>'Progetto del paramento slu'!$G$60*(sezione!$AP$28-C404)/C404</f>
        <v>1.1544526619496924E-2</v>
      </c>
      <c r="P404" s="553">
        <f>-'Progetto del paramento slu'!$G$47*'Progetto del paramento slu'!$G$41*IF(DATI!$G$218="dx",DATI!$E$61,DATI!$E$64*DATI!$E$63)*1000*C404*sezione!$AD$5</f>
        <v>-852622.94045331446</v>
      </c>
      <c r="Q404" s="553">
        <f>'Foglio deposito bis'!$F$48*IF(ABS(K404)&lt;'Progetto del paramento slu'!$G$58,ABS(K404)*'Progetto del paramento slu'!$G$54,'Progetto del paramento slu'!$G$53)*IF(K404&lt;0,-1,1)</f>
        <v>0</v>
      </c>
      <c r="R404" s="553">
        <f>'Foglio deposito bis'!$F$49*IF(ABS(L404)&lt;'Progetto del paramento slu'!$G$58,ABS(L404)*'Progetto del paramento slu'!$G$54,'Progetto del paramento slu'!$G$53)*IF(L404&lt;0,-1,1)</f>
        <v>204886.47740803001</v>
      </c>
      <c r="S404" s="553">
        <f>'Foglio deposito bis'!$F$50*IF(ABS(M404)&lt;'Progetto del paramento slu'!$G$58,ABS(M404)*'Progetto del paramento slu'!$G$54,'Progetto del paramento slu'!$G$53)*IF(M404&lt;0,-1,1)</f>
        <v>0</v>
      </c>
      <c r="T404" s="553">
        <f>'Foglio deposito bis'!$F$51*IF(ABS(N404)&lt;'Progetto del paramento slu'!$G$58,ABS(N404)*'Progetto del paramento slu'!$G$54,'Progetto del paramento slu'!$G$53)*IF(N404&lt;0,-1,1)</f>
        <v>240946.49743184328</v>
      </c>
      <c r="U404" s="553">
        <f>'Foglio deposito bis'!$F$52*IF(ABS(O404)&lt;'Progetto del paramento slu'!$G$58,ABS(O404)*'Progetto del paramento slu'!$G$54,'Progetto del paramento slu'!$G$53)*IF(O404&lt;0,-1,1)</f>
        <v>240946.49743184328</v>
      </c>
      <c r="V404" s="479">
        <f t="shared" si="34"/>
        <v>-165843.4681815978</v>
      </c>
      <c r="W404" s="559"/>
      <c r="X404" s="559"/>
    </row>
    <row r="405" spans="1:24" x14ac:dyDescent="0.25">
      <c r="A405" s="553">
        <f t="shared" si="33"/>
        <v>177288.07140915914</v>
      </c>
      <c r="B405" s="3">
        <f t="shared" si="31"/>
        <v>15.099999999999968</v>
      </c>
      <c r="C405" s="553">
        <f>'Foglio deposito bis'!$E$154/sezione!$B$247*B405</f>
        <v>61.299254157124935</v>
      </c>
      <c r="D405" s="611">
        <f>-'Progetto del paramento slu'!$G$47*'Progetto del paramento slu'!$G$41*IF(DATI!$G$218="dx",DATI!$E$61,DATI!$E$64*DATI!$E$63)*1000*C405^2*sezione!$AD$5*(1-sezione!$AD$6)</f>
        <v>-30932550.445905726</v>
      </c>
      <c r="E405" s="553">
        <f>-'Foglio deposito bis'!$F$48*(C405-sezione!$AL$28)*IF(ABS(K405)&lt;'Progetto del paramento slu'!$G$58,ABS(K405)*'Progetto del paramento slu'!$G$54,'Progetto del paramento slu'!$G$53)</f>
        <v>0</v>
      </c>
      <c r="F405" s="553">
        <f>-'Foglio deposito bis'!$F$49*(C405-sezione!$AM$28)*IF(ABS(L405)&lt;'Progetto del paramento slu'!$G$58,ABS(L405)*'Progetto del paramento slu'!$G$54,'Progetto del paramento slu'!$G$53)</f>
        <v>18173583.359211635</v>
      </c>
      <c r="G405" s="553">
        <f>-'Foglio deposito bis'!$F$50*(C405-sezione!$AN$28)*IF(ABS(M405)&lt;'Progetto del paramento slu'!$G$58,ABS(M405)*'Progetto del paramento slu'!$G$54,'Progetto del paramento slu'!$G$53)</f>
        <v>0</v>
      </c>
      <c r="H405" s="553">
        <f>-'Foglio deposito bis'!$F$51*(C405-sezione!$AO$28)*IF(ABS(N405)&lt;'Progetto del paramento slu'!$G$58,ABS(N405)*'Progetto del paramento slu'!$G$54,'Progetto del paramento slu'!$G$53)</f>
        <v>67151968.542483091</v>
      </c>
      <c r="I405" s="479">
        <f>-'Foglio deposito bis'!$F$52*(C405-sezione!$AP$28)*IF(ABS(O405)&lt;'Progetto del paramento slu'!$G$58,ABS(O405)*'Progetto del paramento slu'!$G$54,'Progetto del paramento slu'!$G$53)</f>
        <v>47876486.219243206</v>
      </c>
      <c r="J405" s="479">
        <f t="shared" si="32"/>
        <v>102269487.6750322</v>
      </c>
      <c r="K405" s="558">
        <f>'Progetto del paramento slu'!$G$60*(sezione!$AL$28-C405)/C405</f>
        <v>-1.2161222934108486E-3</v>
      </c>
      <c r="L405" s="558">
        <f>'Progetto del paramento slu'!$G$60*(sezione!$AM$28-C405)/C405</f>
        <v>5.0645413997093174E-3</v>
      </c>
      <c r="M405" s="559">
        <f>'Progetto del paramento slu'!$G$60*(sezione!$AN$28-C405)/C405</f>
        <v>1.1345205092829483E-2</v>
      </c>
      <c r="N405" s="559">
        <f>'Progetto del paramento slu'!$G$60*(sezione!$AO$28-C405)/C405</f>
        <v>1.5912960506007788E-2</v>
      </c>
      <c r="O405" s="559">
        <f>'Progetto del paramento slu'!$G$60*(sezione!$AP$28-C405)/C405</f>
        <v>1.1345261366258552E-2</v>
      </c>
      <c r="P405" s="553">
        <f>-'Progetto del paramento slu'!$G$47*'Progetto del paramento slu'!$G$41*IF(DATI!$G$218="dx",DATI!$E$61,DATI!$E$64*DATI!$E$63)*1000*C405*sezione!$AD$5</f>
        <v>-864067.54368087579</v>
      </c>
      <c r="Q405" s="553">
        <f>'Foglio deposito bis'!$F$48*IF(ABS(K405)&lt;'Progetto del paramento slu'!$G$58,ABS(K405)*'Progetto del paramento slu'!$G$54,'Progetto del paramento slu'!$G$53)*IF(K405&lt;0,-1,1)</f>
        <v>0</v>
      </c>
      <c r="R405" s="553">
        <f>'Foglio deposito bis'!$F$49*IF(ABS(L405)&lt;'Progetto del paramento slu'!$G$58,ABS(L405)*'Progetto del paramento slu'!$G$54,'Progetto del paramento slu'!$G$53)*IF(L405&lt;0,-1,1)</f>
        <v>204886.47740803001</v>
      </c>
      <c r="S405" s="553">
        <f>'Foglio deposito bis'!$F$50*IF(ABS(M405)&lt;'Progetto del paramento slu'!$G$58,ABS(M405)*'Progetto del paramento slu'!$G$54,'Progetto del paramento slu'!$G$53)*IF(M405&lt;0,-1,1)</f>
        <v>0</v>
      </c>
      <c r="T405" s="553">
        <f>'Foglio deposito bis'!$F$51*IF(ABS(N405)&lt;'Progetto del paramento slu'!$G$58,ABS(N405)*'Progetto del paramento slu'!$G$54,'Progetto del paramento slu'!$G$53)*IF(N405&lt;0,-1,1)</f>
        <v>240946.49743184328</v>
      </c>
      <c r="U405" s="553">
        <f>'Foglio deposito bis'!$F$52*IF(ABS(O405)&lt;'Progetto del paramento slu'!$G$58,ABS(O405)*'Progetto del paramento slu'!$G$54,'Progetto del paramento slu'!$G$53)*IF(O405&lt;0,-1,1)</f>
        <v>240946.49743184328</v>
      </c>
      <c r="V405" s="479">
        <f t="shared" si="34"/>
        <v>-177288.07140915914</v>
      </c>
      <c r="W405" s="559"/>
      <c r="X405" s="559"/>
    </row>
    <row r="406" spans="1:24" x14ac:dyDescent="0.25">
      <c r="A406" s="553">
        <f t="shared" si="33"/>
        <v>188732.67463672048</v>
      </c>
      <c r="B406" s="3">
        <f t="shared" si="31"/>
        <v>15.299999999999967</v>
      </c>
      <c r="C406" s="553">
        <f>'Foglio deposito bis'!$E$154/sezione!$B$247*B406</f>
        <v>62.111164808212678</v>
      </c>
      <c r="D406" s="611">
        <f>-'Progetto del paramento slu'!$G$47*'Progetto del paramento slu'!$G$41*IF(DATI!$G$218="dx",DATI!$E$61,DATI!$E$64*DATI!$E$63)*1000*C406^2*sezione!$AD$5*(1-sezione!$AD$6)</f>
        <v>-31757382.280961677</v>
      </c>
      <c r="E406" s="553">
        <f>-'Foglio deposito bis'!$F$48*(C406-sezione!$AL$28)*IF(ABS(K406)&lt;'Progetto del paramento slu'!$G$58,ABS(K406)*'Progetto del paramento slu'!$G$54,'Progetto del paramento slu'!$G$53)</f>
        <v>0</v>
      </c>
      <c r="F406" s="553">
        <f>-'Foglio deposito bis'!$F$49*(C406-sezione!$AM$28)*IF(ABS(L406)&lt;'Progetto del paramento slu'!$G$58,ABS(L406)*'Progetto del paramento slu'!$G$54,'Progetto del paramento slu'!$G$53)</f>
        <v>18007233.845940206</v>
      </c>
      <c r="G406" s="553">
        <f>-'Foglio deposito bis'!$F$50*(C406-sezione!$AN$28)*IF(ABS(M406)&lt;'Progetto del paramento slu'!$G$58,ABS(M406)*'Progetto del paramento slu'!$G$54,'Progetto del paramento slu'!$G$53)</f>
        <v>0</v>
      </c>
      <c r="H406" s="553">
        <f>-'Foglio deposito bis'!$F$51*(C406-sezione!$AO$28)*IF(ABS(N406)&lt;'Progetto del paramento slu'!$G$58,ABS(N406)*'Progetto del paramento slu'!$G$54,'Progetto del paramento slu'!$G$53)</f>
        <v>66956341.514875911</v>
      </c>
      <c r="I406" s="479">
        <f>-'Foglio deposito bis'!$F$52*(C406-sezione!$AP$28)*IF(ABS(O406)&lt;'Progetto del paramento slu'!$G$58,ABS(O406)*'Progetto del paramento slu'!$G$54,'Progetto del paramento slu'!$G$53)</f>
        <v>47680859.191636011</v>
      </c>
      <c r="J406" s="479">
        <f t="shared" si="32"/>
        <v>100887052.27149045</v>
      </c>
      <c r="K406" s="558">
        <f>'Progetto del paramento slu'!$G$60*(sezione!$AL$28-C406)/C406</f>
        <v>-1.2459769039544976E-3</v>
      </c>
      <c r="L406" s="558">
        <f>'Progetto del paramento slu'!$G$60*(sezione!$AM$28-C406)/C406</f>
        <v>4.9525866101706346E-3</v>
      </c>
      <c r="M406" s="559">
        <f>'Progetto del paramento slu'!$G$60*(sezione!$AN$28-C406)/C406</f>
        <v>1.1151150124295768E-2</v>
      </c>
      <c r="N406" s="559">
        <f>'Progetto del paramento slu'!$G$60*(sezione!$AO$28-C406)/C406</f>
        <v>1.5659196316386775E-2</v>
      </c>
      <c r="O406" s="559">
        <f>'Progetto del paramento slu'!$G$60*(sezione!$AP$28-C406)/C406</f>
        <v>1.1151205662124457E-2</v>
      </c>
      <c r="P406" s="553">
        <f>-'Progetto del paramento slu'!$G$47*'Progetto del paramento slu'!$G$41*IF(DATI!$G$218="dx",DATI!$E$61,DATI!$E$64*DATI!$E$63)*1000*C406*sezione!$AD$5</f>
        <v>-875512.14690843702</v>
      </c>
      <c r="Q406" s="553">
        <f>'Foglio deposito bis'!$F$48*IF(ABS(K406)&lt;'Progetto del paramento slu'!$G$58,ABS(K406)*'Progetto del paramento slu'!$G$54,'Progetto del paramento slu'!$G$53)*IF(K406&lt;0,-1,1)</f>
        <v>0</v>
      </c>
      <c r="R406" s="553">
        <f>'Foglio deposito bis'!$F$49*IF(ABS(L406)&lt;'Progetto del paramento slu'!$G$58,ABS(L406)*'Progetto del paramento slu'!$G$54,'Progetto del paramento slu'!$G$53)*IF(L406&lt;0,-1,1)</f>
        <v>204886.47740803001</v>
      </c>
      <c r="S406" s="553">
        <f>'Foglio deposito bis'!$F$50*IF(ABS(M406)&lt;'Progetto del paramento slu'!$G$58,ABS(M406)*'Progetto del paramento slu'!$G$54,'Progetto del paramento slu'!$G$53)*IF(M406&lt;0,-1,1)</f>
        <v>0</v>
      </c>
      <c r="T406" s="553">
        <f>'Foglio deposito bis'!$F$51*IF(ABS(N406)&lt;'Progetto del paramento slu'!$G$58,ABS(N406)*'Progetto del paramento slu'!$G$54,'Progetto del paramento slu'!$G$53)*IF(N406&lt;0,-1,1)</f>
        <v>240946.49743184328</v>
      </c>
      <c r="U406" s="553">
        <f>'Foglio deposito bis'!$F$52*IF(ABS(O406)&lt;'Progetto del paramento slu'!$G$58,ABS(O406)*'Progetto del paramento slu'!$G$54,'Progetto del paramento slu'!$G$53)*IF(O406&lt;0,-1,1)</f>
        <v>240946.49743184328</v>
      </c>
      <c r="V406" s="479">
        <f t="shared" si="34"/>
        <v>-188732.67463672048</v>
      </c>
      <c r="W406" s="559"/>
      <c r="X406" s="559"/>
    </row>
    <row r="407" spans="1:24" x14ac:dyDescent="0.25">
      <c r="A407" s="553">
        <f t="shared" si="33"/>
        <v>200177.27786428158</v>
      </c>
      <c r="B407" s="3">
        <f t="shared" si="31"/>
        <v>15.499999999999966</v>
      </c>
      <c r="C407" s="553">
        <f>'Foglio deposito bis'!$E$154/sezione!$B$247*B407</f>
        <v>62.923075459300428</v>
      </c>
      <c r="D407" s="611">
        <f>-'Progetto del paramento slu'!$G$47*'Progetto del paramento slu'!$G$41*IF(DATI!$G$218="dx",DATI!$E$61,DATI!$E$64*DATI!$E$63)*1000*C407^2*sezione!$AD$5*(1-sezione!$AD$6)</f>
        <v>-32593067.166478891</v>
      </c>
      <c r="E407" s="553">
        <f>-'Foglio deposito bis'!$F$48*(C407-sezione!$AL$28)*IF(ABS(K407)&lt;'Progetto del paramento slu'!$G$58,ABS(K407)*'Progetto del paramento slu'!$G$54,'Progetto del paramento slu'!$G$53)</f>
        <v>0</v>
      </c>
      <c r="F407" s="553">
        <f>-'Foglio deposito bis'!$F$49*(C407-sezione!$AM$28)*IF(ABS(L407)&lt;'Progetto del paramento slu'!$G$58,ABS(L407)*'Progetto del paramento slu'!$G$54,'Progetto del paramento slu'!$G$53)</f>
        <v>17840884.332668774</v>
      </c>
      <c r="G407" s="553">
        <f>-'Foglio deposito bis'!$F$50*(C407-sezione!$AN$28)*IF(ABS(M407)&lt;'Progetto del paramento slu'!$G$58,ABS(M407)*'Progetto del paramento slu'!$G$54,'Progetto del paramento slu'!$G$53)</f>
        <v>0</v>
      </c>
      <c r="H407" s="553">
        <f>-'Foglio deposito bis'!$F$51*(C407-sezione!$AO$28)*IF(ABS(N407)&lt;'Progetto del paramento slu'!$G$58,ABS(N407)*'Progetto del paramento slu'!$G$54,'Progetto del paramento slu'!$G$53)</f>
        <v>66760714.487268701</v>
      </c>
      <c r="I407" s="479">
        <f>-'Foglio deposito bis'!$F$52*(C407-sezione!$AP$28)*IF(ABS(O407)&lt;'Progetto del paramento slu'!$G$58,ABS(O407)*'Progetto del paramento slu'!$G$54,'Progetto del paramento slu'!$G$53)</f>
        <v>47485232.164028808</v>
      </c>
      <c r="J407" s="479">
        <f t="shared" si="32"/>
        <v>99493763.817487389</v>
      </c>
      <c r="K407" s="558">
        <f>'Progetto del paramento slu'!$G$60*(sezione!$AL$28-C407)/C407</f>
        <v>-1.27506107293573E-3</v>
      </c>
      <c r="L407" s="558">
        <f>'Progetto del paramento slu'!$G$60*(sezione!$AM$28-C407)/C407</f>
        <v>4.8435209764910126E-3</v>
      </c>
      <c r="M407" s="559">
        <f>'Progetto del paramento slu'!$G$60*(sezione!$AN$28-C407)/C407</f>
        <v>1.0962103025917757E-2</v>
      </c>
      <c r="N407" s="559">
        <f>'Progetto del paramento slu'!$G$60*(sezione!$AO$28-C407)/C407</f>
        <v>1.5411980880046295E-2</v>
      </c>
      <c r="O407" s="559">
        <f>'Progetto del paramento slu'!$G$60*(sezione!$AP$28-C407)/C407</f>
        <v>1.0962157847129299E-2</v>
      </c>
      <c r="P407" s="553">
        <f>-'Progetto del paramento slu'!$G$47*'Progetto del paramento slu'!$G$41*IF(DATI!$G$218="dx",DATI!$E$61,DATI!$E$64*DATI!$E$63)*1000*C407*sezione!$AD$5</f>
        <v>-886956.75013599824</v>
      </c>
      <c r="Q407" s="553">
        <f>'Foglio deposito bis'!$F$48*IF(ABS(K407)&lt;'Progetto del paramento slu'!$G$58,ABS(K407)*'Progetto del paramento slu'!$G$54,'Progetto del paramento slu'!$G$53)*IF(K407&lt;0,-1,1)</f>
        <v>0</v>
      </c>
      <c r="R407" s="553">
        <f>'Foglio deposito bis'!$F$49*IF(ABS(L407)&lt;'Progetto del paramento slu'!$G$58,ABS(L407)*'Progetto del paramento slu'!$G$54,'Progetto del paramento slu'!$G$53)*IF(L407&lt;0,-1,1)</f>
        <v>204886.47740803001</v>
      </c>
      <c r="S407" s="553">
        <f>'Foglio deposito bis'!$F$50*IF(ABS(M407)&lt;'Progetto del paramento slu'!$G$58,ABS(M407)*'Progetto del paramento slu'!$G$54,'Progetto del paramento slu'!$G$53)*IF(M407&lt;0,-1,1)</f>
        <v>0</v>
      </c>
      <c r="T407" s="553">
        <f>'Foglio deposito bis'!$F$51*IF(ABS(N407)&lt;'Progetto del paramento slu'!$G$58,ABS(N407)*'Progetto del paramento slu'!$G$54,'Progetto del paramento slu'!$G$53)*IF(N407&lt;0,-1,1)</f>
        <v>240946.49743184328</v>
      </c>
      <c r="U407" s="553">
        <f>'Foglio deposito bis'!$F$52*IF(ABS(O407)&lt;'Progetto del paramento slu'!$G$58,ABS(O407)*'Progetto del paramento slu'!$G$54,'Progetto del paramento slu'!$G$53)*IF(O407&lt;0,-1,1)</f>
        <v>240946.49743184328</v>
      </c>
      <c r="V407" s="479">
        <f t="shared" si="34"/>
        <v>-200177.27786428158</v>
      </c>
      <c r="W407" s="559"/>
      <c r="X407" s="559"/>
    </row>
    <row r="408" spans="1:24" x14ac:dyDescent="0.25">
      <c r="A408" s="553">
        <f t="shared" si="33"/>
        <v>211621.88109184292</v>
      </c>
      <c r="B408" s="3">
        <f t="shared" si="31"/>
        <v>15.699999999999966</v>
      </c>
      <c r="C408" s="553">
        <f>'Foglio deposito bis'!$E$154/sezione!$B$247*B408</f>
        <v>63.734986110388171</v>
      </c>
      <c r="D408" s="611">
        <f>-'Progetto del paramento slu'!$G$47*'Progetto del paramento slu'!$G$41*IF(DATI!$G$218="dx",DATI!$E$61,DATI!$E$64*DATI!$E$63)*1000*C408^2*sezione!$AD$5*(1-sezione!$AD$6)</f>
        <v>-33439605.102457356</v>
      </c>
      <c r="E408" s="553">
        <f>-'Foglio deposito bis'!$F$48*(C408-sezione!$AL$28)*IF(ABS(K408)&lt;'Progetto del paramento slu'!$G$58,ABS(K408)*'Progetto del paramento slu'!$G$54,'Progetto del paramento slu'!$G$53)</f>
        <v>0</v>
      </c>
      <c r="F408" s="553">
        <f>-'Foglio deposito bis'!$F$49*(C408-sezione!$AM$28)*IF(ABS(L408)&lt;'Progetto del paramento slu'!$G$58,ABS(L408)*'Progetto del paramento slu'!$G$54,'Progetto del paramento slu'!$G$53)</f>
        <v>17674534.819397349</v>
      </c>
      <c r="G408" s="553">
        <f>-'Foglio deposito bis'!$F$50*(C408-sezione!$AN$28)*IF(ABS(M408)&lt;'Progetto del paramento slu'!$G$58,ABS(M408)*'Progetto del paramento slu'!$G$54,'Progetto del paramento slu'!$G$53)</f>
        <v>0</v>
      </c>
      <c r="H408" s="553">
        <f>-'Foglio deposito bis'!$F$51*(C408-sezione!$AO$28)*IF(ABS(N408)&lt;'Progetto del paramento slu'!$G$58,ABS(N408)*'Progetto del paramento slu'!$G$54,'Progetto del paramento slu'!$G$53)</f>
        <v>66565087.459661506</v>
      </c>
      <c r="I408" s="479">
        <f>-'Foglio deposito bis'!$F$52*(C408-sezione!$AP$28)*IF(ABS(O408)&lt;'Progetto del paramento slu'!$G$58,ABS(O408)*'Progetto del paramento slu'!$G$54,'Progetto del paramento slu'!$G$53)</f>
        <v>47289605.136421606</v>
      </c>
      <c r="J408" s="479">
        <f t="shared" si="32"/>
        <v>98089622.313023105</v>
      </c>
      <c r="K408" s="558">
        <f>'Progetto del paramento slu'!$G$60*(sezione!$AL$28-C408)/C408</f>
        <v>-1.3034042439811345E-3</v>
      </c>
      <c r="L408" s="558">
        <f>'Progetto del paramento slu'!$G$60*(sezione!$AM$28-C408)/C408</f>
        <v>4.7372340850707463E-3</v>
      </c>
      <c r="M408" s="559">
        <f>'Progetto del paramento slu'!$G$60*(sezione!$AN$28-C408)/C408</f>
        <v>1.0777872414122626E-2</v>
      </c>
      <c r="N408" s="559">
        <f>'Progetto del paramento slu'!$G$60*(sezione!$AO$28-C408)/C408</f>
        <v>1.5171063926160359E-2</v>
      </c>
      <c r="O408" s="559">
        <f>'Progetto del paramento slu'!$G$60*(sezione!$AP$28-C408)/C408</f>
        <v>1.0777926536974788E-2</v>
      </c>
      <c r="P408" s="553">
        <f>-'Progetto del paramento slu'!$G$47*'Progetto del paramento slu'!$G$41*IF(DATI!$G$218="dx",DATI!$E$61,DATI!$E$64*DATI!$E$63)*1000*C408*sezione!$AD$5</f>
        <v>-898401.35336355946</v>
      </c>
      <c r="Q408" s="553">
        <f>'Foglio deposito bis'!$F$48*IF(ABS(K408)&lt;'Progetto del paramento slu'!$G$58,ABS(K408)*'Progetto del paramento slu'!$G$54,'Progetto del paramento slu'!$G$53)*IF(K408&lt;0,-1,1)</f>
        <v>0</v>
      </c>
      <c r="R408" s="553">
        <f>'Foglio deposito bis'!$F$49*IF(ABS(L408)&lt;'Progetto del paramento slu'!$G$58,ABS(L408)*'Progetto del paramento slu'!$G$54,'Progetto del paramento slu'!$G$53)*IF(L408&lt;0,-1,1)</f>
        <v>204886.47740803001</v>
      </c>
      <c r="S408" s="553">
        <f>'Foglio deposito bis'!$F$50*IF(ABS(M408)&lt;'Progetto del paramento slu'!$G$58,ABS(M408)*'Progetto del paramento slu'!$G$54,'Progetto del paramento slu'!$G$53)*IF(M408&lt;0,-1,1)</f>
        <v>0</v>
      </c>
      <c r="T408" s="553">
        <f>'Foglio deposito bis'!$F$51*IF(ABS(N408)&lt;'Progetto del paramento slu'!$G$58,ABS(N408)*'Progetto del paramento slu'!$G$54,'Progetto del paramento slu'!$G$53)*IF(N408&lt;0,-1,1)</f>
        <v>240946.49743184328</v>
      </c>
      <c r="U408" s="553">
        <f>'Foglio deposito bis'!$F$52*IF(ABS(O408)&lt;'Progetto del paramento slu'!$G$58,ABS(O408)*'Progetto del paramento slu'!$G$54,'Progetto del paramento slu'!$G$53)*IF(O408&lt;0,-1,1)</f>
        <v>240946.49743184328</v>
      </c>
      <c r="V408" s="479">
        <f t="shared" si="34"/>
        <v>-211621.88109184292</v>
      </c>
      <c r="W408" s="559"/>
      <c r="X408" s="559"/>
    </row>
    <row r="409" spans="1:24" x14ac:dyDescent="0.25">
      <c r="A409" s="553">
        <f t="shared" si="33"/>
        <v>223066.48431940426</v>
      </c>
      <c r="B409" s="3">
        <f t="shared" si="31"/>
        <v>15.899999999999965</v>
      </c>
      <c r="C409" s="553">
        <f>'Foglio deposito bis'!$E$154/sezione!$B$247*B409</f>
        <v>64.546896761475921</v>
      </c>
      <c r="D409" s="611">
        <f>-'Progetto del paramento slu'!$G$47*'Progetto del paramento slu'!$G$41*IF(DATI!$G$218="dx",DATI!$E$61,DATI!$E$64*DATI!$E$63)*1000*C409^2*sezione!$AD$5*(1-sezione!$AD$6)</f>
        <v>-34296996.088897094</v>
      </c>
      <c r="E409" s="553">
        <f>-'Foglio deposito bis'!$F$48*(C409-sezione!$AL$28)*IF(ABS(K409)&lt;'Progetto del paramento slu'!$G$58,ABS(K409)*'Progetto del paramento slu'!$G$54,'Progetto del paramento slu'!$G$53)</f>
        <v>0</v>
      </c>
      <c r="F409" s="553">
        <f>-'Foglio deposito bis'!$F$49*(C409-sezione!$AM$28)*IF(ABS(L409)&lt;'Progetto del paramento slu'!$G$58,ABS(L409)*'Progetto del paramento slu'!$G$54,'Progetto del paramento slu'!$G$53)</f>
        <v>17508185.30612592</v>
      </c>
      <c r="G409" s="553">
        <f>-'Foglio deposito bis'!$F$50*(C409-sezione!$AN$28)*IF(ABS(M409)&lt;'Progetto del paramento slu'!$G$58,ABS(M409)*'Progetto del paramento slu'!$G$54,'Progetto del paramento slu'!$G$53)</f>
        <v>0</v>
      </c>
      <c r="H409" s="553">
        <f>-'Foglio deposito bis'!$F$51*(C409-sezione!$AO$28)*IF(ABS(N409)&lt;'Progetto del paramento slu'!$G$58,ABS(N409)*'Progetto del paramento slu'!$G$54,'Progetto del paramento slu'!$G$53)</f>
        <v>66369460.432054304</v>
      </c>
      <c r="I409" s="479">
        <f>-'Foglio deposito bis'!$F$52*(C409-sezione!$AP$28)*IF(ABS(O409)&lt;'Progetto del paramento slu'!$G$58,ABS(O409)*'Progetto del paramento slu'!$G$54,'Progetto del paramento slu'!$G$53)</f>
        <v>47093978.108814403</v>
      </c>
      <c r="J409" s="479">
        <f t="shared" si="32"/>
        <v>96674627.758097529</v>
      </c>
      <c r="K409" s="558">
        <f>'Progetto del paramento slu'!$G$60*(sezione!$AL$28-C409)/C409</f>
        <v>-1.3310343792769695E-3</v>
      </c>
      <c r="L409" s="558">
        <f>'Progetto del paramento slu'!$G$60*(sezione!$AM$28-C409)/C409</f>
        <v>4.6336210777113652E-3</v>
      </c>
      <c r="M409" s="559">
        <f>'Progetto del paramento slu'!$G$60*(sezione!$AN$28-C409)/C409</f>
        <v>1.05982765346997E-2</v>
      </c>
      <c r="N409" s="559">
        <f>'Progetto del paramento slu'!$G$60*(sezione!$AO$28-C409)/C409</f>
        <v>1.4936207776145762E-2</v>
      </c>
      <c r="O409" s="559">
        <f>'Progetto del paramento slu'!$G$60*(sezione!$AP$28-C409)/C409</f>
        <v>1.0598329976761269E-2</v>
      </c>
      <c r="P409" s="553">
        <f>-'Progetto del paramento slu'!$G$47*'Progetto del paramento slu'!$G$41*IF(DATI!$G$218="dx",DATI!$E$61,DATI!$E$64*DATI!$E$63)*1000*C409*sezione!$AD$5</f>
        <v>-909845.9565911208</v>
      </c>
      <c r="Q409" s="553">
        <f>'Foglio deposito bis'!$F$48*IF(ABS(K409)&lt;'Progetto del paramento slu'!$G$58,ABS(K409)*'Progetto del paramento slu'!$G$54,'Progetto del paramento slu'!$G$53)*IF(K409&lt;0,-1,1)</f>
        <v>0</v>
      </c>
      <c r="R409" s="553">
        <f>'Foglio deposito bis'!$F$49*IF(ABS(L409)&lt;'Progetto del paramento slu'!$G$58,ABS(L409)*'Progetto del paramento slu'!$G$54,'Progetto del paramento slu'!$G$53)*IF(L409&lt;0,-1,1)</f>
        <v>204886.47740803001</v>
      </c>
      <c r="S409" s="553">
        <f>'Foglio deposito bis'!$F$50*IF(ABS(M409)&lt;'Progetto del paramento slu'!$G$58,ABS(M409)*'Progetto del paramento slu'!$G$54,'Progetto del paramento slu'!$G$53)*IF(M409&lt;0,-1,1)</f>
        <v>0</v>
      </c>
      <c r="T409" s="553">
        <f>'Foglio deposito bis'!$F$51*IF(ABS(N409)&lt;'Progetto del paramento slu'!$G$58,ABS(N409)*'Progetto del paramento slu'!$G$54,'Progetto del paramento slu'!$G$53)*IF(N409&lt;0,-1,1)</f>
        <v>240946.49743184328</v>
      </c>
      <c r="U409" s="553">
        <f>'Foglio deposito bis'!$F$52*IF(ABS(O409)&lt;'Progetto del paramento slu'!$G$58,ABS(O409)*'Progetto del paramento slu'!$G$54,'Progetto del paramento slu'!$G$53)*IF(O409&lt;0,-1,1)</f>
        <v>240946.49743184328</v>
      </c>
      <c r="V409" s="479">
        <f t="shared" si="34"/>
        <v>-223066.48431940426</v>
      </c>
      <c r="W409" s="559"/>
      <c r="X409" s="559"/>
    </row>
    <row r="410" spans="1:24" x14ac:dyDescent="0.25">
      <c r="A410" s="553">
        <f t="shared" si="33"/>
        <v>234511.08754696537</v>
      </c>
      <c r="B410" s="3">
        <f t="shared" si="31"/>
        <v>16.099999999999966</v>
      </c>
      <c r="C410" s="553">
        <f>'Foglio deposito bis'!$E$154/sezione!$B$247*B410</f>
        <v>65.358807412563664</v>
      </c>
      <c r="D410" s="611">
        <f>-'Progetto del paramento slu'!$G$47*'Progetto del paramento slu'!$G$41*IF(DATI!$G$218="dx",DATI!$E$61,DATI!$E$64*DATI!$E$63)*1000*C410^2*sezione!$AD$5*(1-sezione!$AD$6)</f>
        <v>-35165240.125798091</v>
      </c>
      <c r="E410" s="553">
        <f>-'Foglio deposito bis'!$F$48*(C410-sezione!$AL$28)*IF(ABS(K410)&lt;'Progetto del paramento slu'!$G$58,ABS(K410)*'Progetto del paramento slu'!$G$54,'Progetto del paramento slu'!$G$53)</f>
        <v>0</v>
      </c>
      <c r="F410" s="553">
        <f>-'Foglio deposito bis'!$F$49*(C410-sezione!$AM$28)*IF(ABS(L410)&lt;'Progetto del paramento slu'!$G$58,ABS(L410)*'Progetto del paramento slu'!$G$54,'Progetto del paramento slu'!$G$53)</f>
        <v>17341835.792854492</v>
      </c>
      <c r="G410" s="553">
        <f>-'Foglio deposito bis'!$F$50*(C410-sezione!$AN$28)*IF(ABS(M410)&lt;'Progetto del paramento slu'!$G$58,ABS(M410)*'Progetto del paramento slu'!$G$54,'Progetto del paramento slu'!$G$53)</f>
        <v>0</v>
      </c>
      <c r="H410" s="553">
        <f>-'Foglio deposito bis'!$F$51*(C410-sezione!$AO$28)*IF(ABS(N410)&lt;'Progetto del paramento slu'!$G$58,ABS(N410)*'Progetto del paramento slu'!$G$54,'Progetto del paramento slu'!$G$53)</f>
        <v>66173833.404447094</v>
      </c>
      <c r="I410" s="479">
        <f>-'Foglio deposito bis'!$F$52*(C410-sezione!$AP$28)*IF(ABS(O410)&lt;'Progetto del paramento slu'!$G$58,ABS(O410)*'Progetto del paramento slu'!$G$54,'Progetto del paramento slu'!$G$53)</f>
        <v>46898351.081207208</v>
      </c>
      <c r="J410" s="479">
        <f t="shared" si="32"/>
        <v>95248780.152710706</v>
      </c>
      <c r="K410" s="558">
        <f>'Progetto del paramento slu'!$G$60*(sezione!$AL$28-C410)/C410</f>
        <v>-1.3579780515840876E-3</v>
      </c>
      <c r="L410" s="558">
        <f>'Progetto del paramento slu'!$G$60*(sezione!$AM$28-C410)/C410</f>
        <v>4.532582306559672E-3</v>
      </c>
      <c r="M410" s="559">
        <f>'Progetto del paramento slu'!$G$60*(sezione!$AN$28-C410)/C410</f>
        <v>1.0423142664703431E-2</v>
      </c>
      <c r="N410" s="559">
        <f>'Progetto del paramento slu'!$G$60*(sezione!$AO$28-C410)/C410</f>
        <v>1.4707186561535255E-2</v>
      </c>
      <c r="O410" s="559">
        <f>'Progetto del paramento slu'!$G$60*(sezione!$AP$28-C410)/C410</f>
        <v>1.042319544288846E-2</v>
      </c>
      <c r="P410" s="553">
        <f>-'Progetto del paramento slu'!$G$47*'Progetto del paramento slu'!$G$41*IF(DATI!$G$218="dx",DATI!$E$61,DATI!$E$64*DATI!$E$63)*1000*C410*sezione!$AD$5</f>
        <v>-921290.55981868203</v>
      </c>
      <c r="Q410" s="553">
        <f>'Foglio deposito bis'!$F$48*IF(ABS(K410)&lt;'Progetto del paramento slu'!$G$58,ABS(K410)*'Progetto del paramento slu'!$G$54,'Progetto del paramento slu'!$G$53)*IF(K410&lt;0,-1,1)</f>
        <v>0</v>
      </c>
      <c r="R410" s="553">
        <f>'Foglio deposito bis'!$F$49*IF(ABS(L410)&lt;'Progetto del paramento slu'!$G$58,ABS(L410)*'Progetto del paramento slu'!$G$54,'Progetto del paramento slu'!$G$53)*IF(L410&lt;0,-1,1)</f>
        <v>204886.47740803001</v>
      </c>
      <c r="S410" s="553">
        <f>'Foglio deposito bis'!$F$50*IF(ABS(M410)&lt;'Progetto del paramento slu'!$G$58,ABS(M410)*'Progetto del paramento slu'!$G$54,'Progetto del paramento slu'!$G$53)*IF(M410&lt;0,-1,1)</f>
        <v>0</v>
      </c>
      <c r="T410" s="553">
        <f>'Foglio deposito bis'!$F$51*IF(ABS(N410)&lt;'Progetto del paramento slu'!$G$58,ABS(N410)*'Progetto del paramento slu'!$G$54,'Progetto del paramento slu'!$G$53)*IF(N410&lt;0,-1,1)</f>
        <v>240946.49743184328</v>
      </c>
      <c r="U410" s="553">
        <f>'Foglio deposito bis'!$F$52*IF(ABS(O410)&lt;'Progetto del paramento slu'!$G$58,ABS(O410)*'Progetto del paramento slu'!$G$54,'Progetto del paramento slu'!$G$53)*IF(O410&lt;0,-1,1)</f>
        <v>240946.49743184328</v>
      </c>
      <c r="V410" s="479">
        <f t="shared" si="34"/>
        <v>-234511.08754696537</v>
      </c>
      <c r="W410" s="559"/>
      <c r="X410" s="559"/>
    </row>
    <row r="411" spans="1:24" x14ac:dyDescent="0.25">
      <c r="A411" s="553">
        <f t="shared" si="33"/>
        <v>245955.69077452694</v>
      </c>
      <c r="B411" s="3">
        <f t="shared" si="31"/>
        <v>16.299999999999965</v>
      </c>
      <c r="C411" s="553">
        <f>'Foglio deposito bis'!$E$154/sezione!$B$247*B411</f>
        <v>66.170718063651421</v>
      </c>
      <c r="D411" s="611">
        <f>-'Progetto del paramento slu'!$G$47*'Progetto del paramento slu'!$G$41*IF(DATI!$G$218="dx",DATI!$E$61,DATI!$E$64*DATI!$E$63)*1000*C411^2*sezione!$AD$5*(1-sezione!$AD$6)</f>
        <v>-36044337.213160358</v>
      </c>
      <c r="E411" s="553">
        <f>-'Foglio deposito bis'!$F$48*(C411-sezione!$AL$28)*IF(ABS(K411)&lt;'Progetto del paramento slu'!$G$58,ABS(K411)*'Progetto del paramento slu'!$G$54,'Progetto del paramento slu'!$G$53)</f>
        <v>0</v>
      </c>
      <c r="F411" s="553">
        <f>-'Foglio deposito bis'!$F$49*(C411-sezione!$AM$28)*IF(ABS(L411)&lt;'Progetto del paramento slu'!$G$58,ABS(L411)*'Progetto del paramento slu'!$G$54,'Progetto del paramento slu'!$G$53)</f>
        <v>17175486.279583059</v>
      </c>
      <c r="G411" s="553">
        <f>-'Foglio deposito bis'!$F$50*(C411-sezione!$AN$28)*IF(ABS(M411)&lt;'Progetto del paramento slu'!$G$58,ABS(M411)*'Progetto del paramento slu'!$G$54,'Progetto del paramento slu'!$G$53)</f>
        <v>0</v>
      </c>
      <c r="H411" s="553">
        <f>-'Foglio deposito bis'!$F$51*(C411-sezione!$AO$28)*IF(ABS(N411)&lt;'Progetto del paramento slu'!$G$58,ABS(N411)*'Progetto del paramento slu'!$G$54,'Progetto del paramento slu'!$G$53)</f>
        <v>65978206.376839899</v>
      </c>
      <c r="I411" s="479">
        <f>-'Foglio deposito bis'!$F$52*(C411-sezione!$AP$28)*IF(ABS(O411)&lt;'Progetto del paramento slu'!$G$58,ABS(O411)*'Progetto del paramento slu'!$G$54,'Progetto del paramento slu'!$G$53)</f>
        <v>46702724.053600006</v>
      </c>
      <c r="J411" s="479">
        <f t="shared" si="32"/>
        <v>93812079.496862605</v>
      </c>
      <c r="K411" s="558">
        <f>'Progetto del paramento slu'!$G$60*(sezione!$AL$28-C411)/C411</f>
        <v>-1.3842605294787618E-3</v>
      </c>
      <c r="L411" s="558">
        <f>'Progetto del paramento slu'!$G$60*(sezione!$AM$28-C411)/C411</f>
        <v>4.4340230144546437E-3</v>
      </c>
      <c r="M411" s="559">
        <f>'Progetto del paramento slu'!$G$60*(sezione!$AN$28-C411)/C411</f>
        <v>1.025230655838805E-2</v>
      </c>
      <c r="N411" s="559">
        <f>'Progetto del paramento slu'!$G$60*(sezione!$AO$28-C411)/C411</f>
        <v>1.4483785499430527E-2</v>
      </c>
      <c r="O411" s="559">
        <f>'Progetto del paramento slu'!$G$60*(sezione!$AP$28-C411)/C411</f>
        <v>1.0252358688987984E-2</v>
      </c>
      <c r="P411" s="553">
        <f>-'Progetto del paramento slu'!$G$47*'Progetto del paramento slu'!$G$41*IF(DATI!$G$218="dx",DATI!$E$61,DATI!$E$64*DATI!$E$63)*1000*C411*sezione!$AD$5</f>
        <v>-932735.16304624348</v>
      </c>
      <c r="Q411" s="553">
        <f>'Foglio deposito bis'!$F$48*IF(ABS(K411)&lt;'Progetto del paramento slu'!$G$58,ABS(K411)*'Progetto del paramento slu'!$G$54,'Progetto del paramento slu'!$G$53)*IF(K411&lt;0,-1,1)</f>
        <v>0</v>
      </c>
      <c r="R411" s="553">
        <f>'Foglio deposito bis'!$F$49*IF(ABS(L411)&lt;'Progetto del paramento slu'!$G$58,ABS(L411)*'Progetto del paramento slu'!$G$54,'Progetto del paramento slu'!$G$53)*IF(L411&lt;0,-1,1)</f>
        <v>204886.47740803001</v>
      </c>
      <c r="S411" s="553">
        <f>'Foglio deposito bis'!$F$50*IF(ABS(M411)&lt;'Progetto del paramento slu'!$G$58,ABS(M411)*'Progetto del paramento slu'!$G$54,'Progetto del paramento slu'!$G$53)*IF(M411&lt;0,-1,1)</f>
        <v>0</v>
      </c>
      <c r="T411" s="553">
        <f>'Foglio deposito bis'!$F$51*IF(ABS(N411)&lt;'Progetto del paramento slu'!$G$58,ABS(N411)*'Progetto del paramento slu'!$G$54,'Progetto del paramento slu'!$G$53)*IF(N411&lt;0,-1,1)</f>
        <v>240946.49743184328</v>
      </c>
      <c r="U411" s="553">
        <f>'Foglio deposito bis'!$F$52*IF(ABS(O411)&lt;'Progetto del paramento slu'!$G$58,ABS(O411)*'Progetto del paramento slu'!$G$54,'Progetto del paramento slu'!$G$53)*IF(O411&lt;0,-1,1)</f>
        <v>240946.49743184328</v>
      </c>
      <c r="V411" s="479">
        <f t="shared" si="34"/>
        <v>-245955.69077452694</v>
      </c>
      <c r="W411" s="559"/>
      <c r="X411" s="559"/>
    </row>
    <row r="412" spans="1:24" x14ac:dyDescent="0.25">
      <c r="A412" s="553">
        <f t="shared" si="33"/>
        <v>257400.29400208805</v>
      </c>
      <c r="B412" s="3">
        <f t="shared" si="31"/>
        <v>16.499999999999964</v>
      </c>
      <c r="C412" s="553">
        <f>'Foglio deposito bis'!$E$154/sezione!$B$247*B412</f>
        <v>66.982628714739164</v>
      </c>
      <c r="D412" s="611">
        <f>-'Progetto del paramento slu'!$G$47*'Progetto del paramento slu'!$G$41*IF(DATI!$G$218="dx",DATI!$E$61,DATI!$E$64*DATI!$E$63)*1000*C412^2*sezione!$AD$5*(1-sezione!$AD$6)</f>
        <v>-36934287.35098388</v>
      </c>
      <c r="E412" s="553">
        <f>-'Foglio deposito bis'!$F$48*(C412-sezione!$AL$28)*IF(ABS(K412)&lt;'Progetto del paramento slu'!$G$58,ABS(K412)*'Progetto del paramento slu'!$G$54,'Progetto del paramento slu'!$G$53)</f>
        <v>0</v>
      </c>
      <c r="F412" s="553">
        <f>-'Foglio deposito bis'!$F$49*(C412-sezione!$AM$28)*IF(ABS(L412)&lt;'Progetto del paramento slu'!$G$58,ABS(L412)*'Progetto del paramento slu'!$G$54,'Progetto del paramento slu'!$G$53)</f>
        <v>17009136.766311634</v>
      </c>
      <c r="G412" s="553">
        <f>-'Foglio deposito bis'!$F$50*(C412-sezione!$AN$28)*IF(ABS(M412)&lt;'Progetto del paramento slu'!$G$58,ABS(M412)*'Progetto del paramento slu'!$G$54,'Progetto del paramento slu'!$G$53)</f>
        <v>0</v>
      </c>
      <c r="H412" s="553">
        <f>-'Foglio deposito bis'!$F$51*(C412-sezione!$AO$28)*IF(ABS(N412)&lt;'Progetto del paramento slu'!$G$58,ABS(N412)*'Progetto del paramento slu'!$G$54,'Progetto del paramento slu'!$G$53)</f>
        <v>65782579.349232696</v>
      </c>
      <c r="I412" s="479">
        <f>-'Foglio deposito bis'!$F$52*(C412-sezione!$AP$28)*IF(ABS(O412)&lt;'Progetto del paramento slu'!$G$58,ABS(O412)*'Progetto del paramento slu'!$G$54,'Progetto del paramento slu'!$G$53)</f>
        <v>46507097.025992803</v>
      </c>
      <c r="J412" s="479">
        <f t="shared" si="32"/>
        <v>92364525.790553242</v>
      </c>
      <c r="K412" s="558">
        <f>'Progetto del paramento slu'!$G$60*(sezione!$AL$28-C412)/C412</f>
        <v>-1.4099058563941706E-3</v>
      </c>
      <c r="L412" s="558">
        <f>'Progetto del paramento slu'!$G$60*(sezione!$AM$28-C412)/C412</f>
        <v>4.3378530385218611E-3</v>
      </c>
      <c r="M412" s="559">
        <f>'Progetto del paramento slu'!$G$60*(sezione!$AN$28-C412)/C412</f>
        <v>1.0085611933437891E-2</v>
      </c>
      <c r="N412" s="559">
        <f>'Progetto del paramento slu'!$G$60*(sezione!$AO$28-C412)/C412</f>
        <v>1.4265800220649551E-2</v>
      </c>
      <c r="O412" s="559">
        <f>'Progetto del paramento slu'!$G$60*(sezione!$AP$28-C412)/C412</f>
        <v>1.0085663432151767E-2</v>
      </c>
      <c r="P412" s="553">
        <f>-'Progetto del paramento slu'!$G$47*'Progetto del paramento slu'!$G$41*IF(DATI!$G$218="dx",DATI!$E$61,DATI!$E$64*DATI!$E$63)*1000*C412*sezione!$AD$5</f>
        <v>-944179.76627380459</v>
      </c>
      <c r="Q412" s="553">
        <f>'Foglio deposito bis'!$F$48*IF(ABS(K412)&lt;'Progetto del paramento slu'!$G$58,ABS(K412)*'Progetto del paramento slu'!$G$54,'Progetto del paramento slu'!$G$53)*IF(K412&lt;0,-1,1)</f>
        <v>0</v>
      </c>
      <c r="R412" s="553">
        <f>'Foglio deposito bis'!$F$49*IF(ABS(L412)&lt;'Progetto del paramento slu'!$G$58,ABS(L412)*'Progetto del paramento slu'!$G$54,'Progetto del paramento slu'!$G$53)*IF(L412&lt;0,-1,1)</f>
        <v>204886.47740803001</v>
      </c>
      <c r="S412" s="553">
        <f>'Foglio deposito bis'!$F$50*IF(ABS(M412)&lt;'Progetto del paramento slu'!$G$58,ABS(M412)*'Progetto del paramento slu'!$G$54,'Progetto del paramento slu'!$G$53)*IF(M412&lt;0,-1,1)</f>
        <v>0</v>
      </c>
      <c r="T412" s="553">
        <f>'Foglio deposito bis'!$F$51*IF(ABS(N412)&lt;'Progetto del paramento slu'!$G$58,ABS(N412)*'Progetto del paramento slu'!$G$54,'Progetto del paramento slu'!$G$53)*IF(N412&lt;0,-1,1)</f>
        <v>240946.49743184328</v>
      </c>
      <c r="U412" s="553">
        <f>'Foglio deposito bis'!$F$52*IF(ABS(O412)&lt;'Progetto del paramento slu'!$G$58,ABS(O412)*'Progetto del paramento slu'!$G$54,'Progetto del paramento slu'!$G$53)*IF(O412&lt;0,-1,1)</f>
        <v>240946.49743184328</v>
      </c>
      <c r="V412" s="479">
        <f t="shared" si="34"/>
        <v>-257400.29400208805</v>
      </c>
      <c r="W412" s="559"/>
      <c r="X412" s="559"/>
    </row>
    <row r="413" spans="1:24" x14ac:dyDescent="0.25">
      <c r="A413" s="553">
        <f t="shared" si="33"/>
        <v>268844.89722964913</v>
      </c>
      <c r="B413" s="3">
        <f t="shared" si="31"/>
        <v>16.699999999999964</v>
      </c>
      <c r="C413" s="553">
        <f>'Foglio deposito bis'!$E$154/sezione!$B$247*B413</f>
        <v>67.794539365826907</v>
      </c>
      <c r="D413" s="611">
        <f>-'Progetto del paramento slu'!$G$47*'Progetto del paramento slu'!$G$41*IF(DATI!$G$218="dx",DATI!$E$61,DATI!$E$64*DATI!$E$63)*1000*C413^2*sezione!$AD$5*(1-sezione!$AD$6)</f>
        <v>-37835090.539268665</v>
      </c>
      <c r="E413" s="553">
        <f>-'Foglio deposito bis'!$F$48*(C413-sezione!$AL$28)*IF(ABS(K413)&lt;'Progetto del paramento slu'!$G$58,ABS(K413)*'Progetto del paramento slu'!$G$54,'Progetto del paramento slu'!$G$53)</f>
        <v>0</v>
      </c>
      <c r="F413" s="553">
        <f>-'Foglio deposito bis'!$F$49*(C413-sezione!$AM$28)*IF(ABS(L413)&lt;'Progetto del paramento slu'!$G$58,ABS(L413)*'Progetto del paramento slu'!$G$54,'Progetto del paramento slu'!$G$53)</f>
        <v>16842787.253040206</v>
      </c>
      <c r="G413" s="553">
        <f>-'Foglio deposito bis'!$F$50*(C413-sezione!$AN$28)*IF(ABS(M413)&lt;'Progetto del paramento slu'!$G$58,ABS(M413)*'Progetto del paramento slu'!$G$54,'Progetto del paramento slu'!$G$53)</f>
        <v>0</v>
      </c>
      <c r="H413" s="553">
        <f>-'Foglio deposito bis'!$F$51*(C413-sezione!$AO$28)*IF(ABS(N413)&lt;'Progetto del paramento slu'!$G$58,ABS(N413)*'Progetto del paramento slu'!$G$54,'Progetto del paramento slu'!$G$53)</f>
        <v>65586952.321625508</v>
      </c>
      <c r="I413" s="479">
        <f>-'Foglio deposito bis'!$F$52*(C413-sezione!$AP$28)*IF(ABS(O413)&lt;'Progetto del paramento slu'!$G$58,ABS(O413)*'Progetto del paramento slu'!$G$54,'Progetto del paramento slu'!$G$53)</f>
        <v>46311469.998385616</v>
      </c>
      <c r="J413" s="479">
        <f t="shared" si="32"/>
        <v>90906119.033782661</v>
      </c>
      <c r="K413" s="558">
        <f>'Progetto del paramento slu'!$G$60*(sezione!$AL$28-C413)/C413</f>
        <v>-1.4349369239822641E-3</v>
      </c>
      <c r="L413" s="558">
        <f>'Progetto del paramento slu'!$G$60*(sezione!$AM$28-C413)/C413</f>
        <v>4.2439865350665101E-3</v>
      </c>
      <c r="M413" s="559">
        <f>'Progetto del paramento slu'!$G$60*(sezione!$AN$28-C413)/C413</f>
        <v>9.9229099941152837E-3</v>
      </c>
      <c r="N413" s="559">
        <f>'Progetto del paramento slu'!$G$60*(sezione!$AO$28-C413)/C413</f>
        <v>1.4053036146150756E-2</v>
      </c>
      <c r="O413" s="559">
        <f>'Progetto del paramento slu'!$G$60*(sezione!$AP$28-C413)/C413</f>
        <v>9.9229608760780953E-3</v>
      </c>
      <c r="P413" s="553">
        <f>-'Progetto del paramento slu'!$G$47*'Progetto del paramento slu'!$G$41*IF(DATI!$G$218="dx",DATI!$E$61,DATI!$E$64*DATI!$E$63)*1000*C413*sezione!$AD$5</f>
        <v>-955624.36950136581</v>
      </c>
      <c r="Q413" s="553">
        <f>'Foglio deposito bis'!$F$48*IF(ABS(K413)&lt;'Progetto del paramento slu'!$G$58,ABS(K413)*'Progetto del paramento slu'!$G$54,'Progetto del paramento slu'!$G$53)*IF(K413&lt;0,-1,1)</f>
        <v>0</v>
      </c>
      <c r="R413" s="553">
        <f>'Foglio deposito bis'!$F$49*IF(ABS(L413)&lt;'Progetto del paramento slu'!$G$58,ABS(L413)*'Progetto del paramento slu'!$G$54,'Progetto del paramento slu'!$G$53)*IF(L413&lt;0,-1,1)</f>
        <v>204886.47740803001</v>
      </c>
      <c r="S413" s="553">
        <f>'Foglio deposito bis'!$F$50*IF(ABS(M413)&lt;'Progetto del paramento slu'!$G$58,ABS(M413)*'Progetto del paramento slu'!$G$54,'Progetto del paramento slu'!$G$53)*IF(M413&lt;0,-1,1)</f>
        <v>0</v>
      </c>
      <c r="T413" s="553">
        <f>'Foglio deposito bis'!$F$51*IF(ABS(N413)&lt;'Progetto del paramento slu'!$G$58,ABS(N413)*'Progetto del paramento slu'!$G$54,'Progetto del paramento slu'!$G$53)*IF(N413&lt;0,-1,1)</f>
        <v>240946.49743184328</v>
      </c>
      <c r="U413" s="553">
        <f>'Foglio deposito bis'!$F$52*IF(ABS(O413)&lt;'Progetto del paramento slu'!$G$58,ABS(O413)*'Progetto del paramento slu'!$G$54,'Progetto del paramento slu'!$G$53)*IF(O413&lt;0,-1,1)</f>
        <v>240946.49743184328</v>
      </c>
      <c r="V413" s="479">
        <f t="shared" si="34"/>
        <v>-268844.89722964913</v>
      </c>
      <c r="W413" s="559"/>
      <c r="X413" s="559"/>
    </row>
    <row r="414" spans="1:24" x14ac:dyDescent="0.25">
      <c r="A414" s="553">
        <f t="shared" si="33"/>
        <v>280289.50045721047</v>
      </c>
      <c r="B414" s="3">
        <f t="shared" si="31"/>
        <v>16.899999999999963</v>
      </c>
      <c r="C414" s="553">
        <f>'Foglio deposito bis'!$E$154/sezione!$B$247*B414</f>
        <v>68.60645001691465</v>
      </c>
      <c r="D414" s="611">
        <f>-'Progetto del paramento slu'!$G$47*'Progetto del paramento slu'!$G$41*IF(DATI!$G$218="dx",DATI!$E$61,DATI!$E$64*DATI!$E$63)*1000*C414^2*sezione!$AD$5*(1-sezione!$AD$6)</f>
        <v>-38746746.778014697</v>
      </c>
      <c r="E414" s="553">
        <f>-'Foglio deposito bis'!$F$48*(C414-sezione!$AL$28)*IF(ABS(K414)&lt;'Progetto del paramento slu'!$G$58,ABS(K414)*'Progetto del paramento slu'!$G$54,'Progetto del paramento slu'!$G$53)</f>
        <v>0</v>
      </c>
      <c r="F414" s="553">
        <f>-'Foglio deposito bis'!$F$49*(C414-sezione!$AM$28)*IF(ABS(L414)&lt;'Progetto del paramento slu'!$G$58,ABS(L414)*'Progetto del paramento slu'!$G$54,'Progetto del paramento slu'!$G$53)</f>
        <v>16676437.739768777</v>
      </c>
      <c r="G414" s="553">
        <f>-'Foglio deposito bis'!$F$50*(C414-sezione!$AN$28)*IF(ABS(M414)&lt;'Progetto del paramento slu'!$G$58,ABS(M414)*'Progetto del paramento slu'!$G$54,'Progetto del paramento slu'!$G$53)</f>
        <v>0</v>
      </c>
      <c r="H414" s="553">
        <f>-'Foglio deposito bis'!$F$51*(C414-sezione!$AO$28)*IF(ABS(N414)&lt;'Progetto del paramento slu'!$G$58,ABS(N414)*'Progetto del paramento slu'!$G$54,'Progetto del paramento slu'!$G$53)</f>
        <v>65391325.294018306</v>
      </c>
      <c r="I414" s="479">
        <f>-'Foglio deposito bis'!$F$52*(C414-sezione!$AP$28)*IF(ABS(O414)&lt;'Progetto del paramento slu'!$G$58,ABS(O414)*'Progetto del paramento slu'!$G$54,'Progetto del paramento slu'!$G$53)</f>
        <v>46115842.970778406</v>
      </c>
      <c r="J414" s="479">
        <f t="shared" si="32"/>
        <v>89436859.226550788</v>
      </c>
      <c r="K414" s="558">
        <f>'Progetto del paramento slu'!$G$60*(sezione!$AL$28-C414)/C414</f>
        <v>-1.4593755402664975E-3</v>
      </c>
      <c r="L414" s="558">
        <f>'Progetto del paramento slu'!$G$60*(sezione!$AM$28-C414)/C414</f>
        <v>4.1523417240006341E-3</v>
      </c>
      <c r="M414" s="559">
        <f>'Progetto del paramento slu'!$G$60*(sezione!$AN$28-C414)/C414</f>
        <v>9.7640589882677653E-3</v>
      </c>
      <c r="N414" s="559">
        <f>'Progetto del paramento slu'!$G$60*(sezione!$AO$28-C414)/C414</f>
        <v>1.3845307907734772E-2</v>
      </c>
      <c r="O414" s="559">
        <f>'Progetto del paramento slu'!$G$60*(sezione!$AP$28-C414)/C414</f>
        <v>9.7641092680771716E-3</v>
      </c>
      <c r="P414" s="553">
        <f>-'Progetto del paramento slu'!$G$47*'Progetto del paramento slu'!$G$41*IF(DATI!$G$218="dx",DATI!$E$61,DATI!$E$64*DATI!$E$63)*1000*C414*sezione!$AD$5</f>
        <v>-967068.97272892704</v>
      </c>
      <c r="Q414" s="553">
        <f>'Foglio deposito bis'!$F$48*IF(ABS(K414)&lt;'Progetto del paramento slu'!$G$58,ABS(K414)*'Progetto del paramento slu'!$G$54,'Progetto del paramento slu'!$G$53)*IF(K414&lt;0,-1,1)</f>
        <v>0</v>
      </c>
      <c r="R414" s="553">
        <f>'Foglio deposito bis'!$F$49*IF(ABS(L414)&lt;'Progetto del paramento slu'!$G$58,ABS(L414)*'Progetto del paramento slu'!$G$54,'Progetto del paramento slu'!$G$53)*IF(L414&lt;0,-1,1)</f>
        <v>204886.47740803001</v>
      </c>
      <c r="S414" s="553">
        <f>'Foglio deposito bis'!$F$50*IF(ABS(M414)&lt;'Progetto del paramento slu'!$G$58,ABS(M414)*'Progetto del paramento slu'!$G$54,'Progetto del paramento slu'!$G$53)*IF(M414&lt;0,-1,1)</f>
        <v>0</v>
      </c>
      <c r="T414" s="553">
        <f>'Foglio deposito bis'!$F$51*IF(ABS(N414)&lt;'Progetto del paramento slu'!$G$58,ABS(N414)*'Progetto del paramento slu'!$G$54,'Progetto del paramento slu'!$G$53)*IF(N414&lt;0,-1,1)</f>
        <v>240946.49743184328</v>
      </c>
      <c r="U414" s="553">
        <f>'Foglio deposito bis'!$F$52*IF(ABS(O414)&lt;'Progetto del paramento slu'!$G$58,ABS(O414)*'Progetto del paramento slu'!$G$54,'Progetto del paramento slu'!$G$53)*IF(O414&lt;0,-1,1)</f>
        <v>240946.49743184328</v>
      </c>
      <c r="V414" s="479">
        <f t="shared" si="34"/>
        <v>-280289.50045721047</v>
      </c>
      <c r="W414" s="559"/>
      <c r="X414" s="559"/>
    </row>
    <row r="415" spans="1:24" x14ac:dyDescent="0.25">
      <c r="A415" s="553">
        <f t="shared" si="33"/>
        <v>291734.10368477181</v>
      </c>
      <c r="B415" s="3">
        <f t="shared" si="31"/>
        <v>17.099999999999962</v>
      </c>
      <c r="C415" s="553">
        <f>'Foglio deposito bis'!$E$154/sezione!$B$247*B415</f>
        <v>69.418360668002407</v>
      </c>
      <c r="D415" s="611">
        <f>-'Progetto del paramento slu'!$G$47*'Progetto del paramento slu'!$G$41*IF(DATI!$G$218="dx",DATI!$E$61,DATI!$E$64*DATI!$E$63)*1000*C415^2*sezione!$AD$5*(1-sezione!$AD$6)</f>
        <v>-39669256.067222022</v>
      </c>
      <c r="E415" s="553">
        <f>-'Foglio deposito bis'!$F$48*(C415-sezione!$AL$28)*IF(ABS(K415)&lt;'Progetto del paramento slu'!$G$58,ABS(K415)*'Progetto del paramento slu'!$G$54,'Progetto del paramento slu'!$G$53)</f>
        <v>0</v>
      </c>
      <c r="F415" s="553">
        <f>-'Foglio deposito bis'!$F$49*(C415-sezione!$AM$28)*IF(ABS(L415)&lt;'Progetto del paramento slu'!$G$58,ABS(L415)*'Progetto del paramento slu'!$G$54,'Progetto del paramento slu'!$G$53)</f>
        <v>16510088.226497347</v>
      </c>
      <c r="G415" s="553">
        <f>-'Foglio deposito bis'!$F$50*(C415-sezione!$AN$28)*IF(ABS(M415)&lt;'Progetto del paramento slu'!$G$58,ABS(M415)*'Progetto del paramento slu'!$G$54,'Progetto del paramento slu'!$G$53)</f>
        <v>0</v>
      </c>
      <c r="H415" s="553">
        <f>-'Foglio deposito bis'!$F$51*(C415-sezione!$AO$28)*IF(ABS(N415)&lt;'Progetto del paramento slu'!$G$58,ABS(N415)*'Progetto del paramento slu'!$G$54,'Progetto del paramento slu'!$G$53)</f>
        <v>65195698.266411111</v>
      </c>
      <c r="I415" s="479">
        <f>-'Foglio deposito bis'!$F$52*(C415-sezione!$AP$28)*IF(ABS(O415)&lt;'Progetto del paramento slu'!$G$58,ABS(O415)*'Progetto del paramento slu'!$G$54,'Progetto del paramento slu'!$G$53)</f>
        <v>45920215.943171203</v>
      </c>
      <c r="J415" s="479">
        <f t="shared" si="32"/>
        <v>87956746.368857637</v>
      </c>
      <c r="K415" s="558">
        <f>'Progetto del paramento slu'!$G$60*(sezione!$AL$28-C415)/C415</f>
        <v>-1.4832424930119189E-3</v>
      </c>
      <c r="L415" s="558">
        <f>'Progetto del paramento slu'!$G$60*(sezione!$AM$28-C415)/C415</f>
        <v>4.0628406512053039E-3</v>
      </c>
      <c r="M415" s="559">
        <f>'Progetto del paramento slu'!$G$60*(sezione!$AN$28-C415)/C415</f>
        <v>9.6089237954225266E-3</v>
      </c>
      <c r="N415" s="559">
        <f>'Progetto del paramento slu'!$G$60*(sezione!$AO$28-C415)/C415</f>
        <v>1.364243880939869E-2</v>
      </c>
      <c r="O415" s="559">
        <f>'Progetto del paramento slu'!$G$60*(sezione!$AP$28-C415)/C415</f>
        <v>9.6089734871639861E-3</v>
      </c>
      <c r="P415" s="553">
        <f>-'Progetto del paramento slu'!$G$47*'Progetto del paramento slu'!$G$41*IF(DATI!$G$218="dx",DATI!$E$61,DATI!$E$64*DATI!$E$63)*1000*C415*sezione!$AD$5</f>
        <v>-978513.57595648838</v>
      </c>
      <c r="Q415" s="553">
        <f>'Foglio deposito bis'!$F$48*IF(ABS(K415)&lt;'Progetto del paramento slu'!$G$58,ABS(K415)*'Progetto del paramento slu'!$G$54,'Progetto del paramento slu'!$G$53)*IF(K415&lt;0,-1,1)</f>
        <v>0</v>
      </c>
      <c r="R415" s="553">
        <f>'Foglio deposito bis'!$F$49*IF(ABS(L415)&lt;'Progetto del paramento slu'!$G$58,ABS(L415)*'Progetto del paramento slu'!$G$54,'Progetto del paramento slu'!$G$53)*IF(L415&lt;0,-1,1)</f>
        <v>204886.47740803001</v>
      </c>
      <c r="S415" s="553">
        <f>'Foglio deposito bis'!$F$50*IF(ABS(M415)&lt;'Progetto del paramento slu'!$G$58,ABS(M415)*'Progetto del paramento slu'!$G$54,'Progetto del paramento slu'!$G$53)*IF(M415&lt;0,-1,1)</f>
        <v>0</v>
      </c>
      <c r="T415" s="553">
        <f>'Foglio deposito bis'!$F$51*IF(ABS(N415)&lt;'Progetto del paramento slu'!$G$58,ABS(N415)*'Progetto del paramento slu'!$G$54,'Progetto del paramento slu'!$G$53)*IF(N415&lt;0,-1,1)</f>
        <v>240946.49743184328</v>
      </c>
      <c r="U415" s="553">
        <f>'Foglio deposito bis'!$F$52*IF(ABS(O415)&lt;'Progetto del paramento slu'!$G$58,ABS(O415)*'Progetto del paramento slu'!$G$54,'Progetto del paramento slu'!$G$53)*IF(O415&lt;0,-1,1)</f>
        <v>240946.49743184328</v>
      </c>
      <c r="V415" s="479">
        <f t="shared" si="34"/>
        <v>-291734.10368477181</v>
      </c>
      <c r="W415" s="559"/>
      <c r="X415" s="559"/>
    </row>
    <row r="416" spans="1:24" x14ac:dyDescent="0.25">
      <c r="A416" s="553">
        <f t="shared" si="33"/>
        <v>303178.70691233291</v>
      </c>
      <c r="B416" s="3">
        <f t="shared" si="31"/>
        <v>17.299999999999962</v>
      </c>
      <c r="C416" s="553">
        <f>'Foglio deposito bis'!$E$154/sezione!$B$247*B416</f>
        <v>70.23027131909015</v>
      </c>
      <c r="D416" s="611">
        <f>-'Progetto del paramento slu'!$G$47*'Progetto del paramento slu'!$G$41*IF(DATI!$G$218="dx",DATI!$E$61,DATI!$E$64*DATI!$E$63)*1000*C416^2*sezione!$AD$5*(1-sezione!$AD$6)</f>
        <v>-40602618.406890601</v>
      </c>
      <c r="E416" s="553">
        <f>-'Foglio deposito bis'!$F$48*(C416-sezione!$AL$28)*IF(ABS(K416)&lt;'Progetto del paramento slu'!$G$58,ABS(K416)*'Progetto del paramento slu'!$G$54,'Progetto del paramento slu'!$G$53)</f>
        <v>0</v>
      </c>
      <c r="F416" s="553">
        <f>-'Foglio deposito bis'!$F$49*(C416-sezione!$AM$28)*IF(ABS(L416)&lt;'Progetto del paramento slu'!$G$58,ABS(L416)*'Progetto del paramento slu'!$G$54,'Progetto del paramento slu'!$G$53)</f>
        <v>16343738.71322592</v>
      </c>
      <c r="G416" s="553">
        <f>-'Foglio deposito bis'!$F$50*(C416-sezione!$AN$28)*IF(ABS(M416)&lt;'Progetto del paramento slu'!$G$58,ABS(M416)*'Progetto del paramento slu'!$G$54,'Progetto del paramento slu'!$G$53)</f>
        <v>0</v>
      </c>
      <c r="H416" s="553">
        <f>-'Foglio deposito bis'!$F$51*(C416-sezione!$AO$28)*IF(ABS(N416)&lt;'Progetto del paramento slu'!$G$58,ABS(N416)*'Progetto del paramento slu'!$G$54,'Progetto del paramento slu'!$G$53)</f>
        <v>65000071.238803901</v>
      </c>
      <c r="I416" s="479">
        <f>-'Foglio deposito bis'!$F$52*(C416-sezione!$AP$28)*IF(ABS(O416)&lt;'Progetto del paramento slu'!$G$58,ABS(O416)*'Progetto del paramento slu'!$G$54,'Progetto del paramento slu'!$G$53)</f>
        <v>45724588.915564008</v>
      </c>
      <c r="J416" s="479">
        <f t="shared" si="32"/>
        <v>86465780.460703224</v>
      </c>
      <c r="K416" s="558">
        <f>'Progetto del paramento slu'!$G$60*(sezione!$AL$28-C416)/C416</f>
        <v>-1.5065576086996423E-3</v>
      </c>
      <c r="L416" s="558">
        <f>'Progetto del paramento slu'!$G$60*(sezione!$AM$28-C416)/C416</f>
        <v>3.9754089673763411E-3</v>
      </c>
      <c r="M416" s="559">
        <f>'Progetto del paramento slu'!$G$60*(sezione!$AN$28-C416)/C416</f>
        <v>9.4573755434523253E-3</v>
      </c>
      <c r="N416" s="559">
        <f>'Progetto del paramento slu'!$G$60*(sezione!$AO$28-C416)/C416</f>
        <v>1.3444260326053042E-2</v>
      </c>
      <c r="O416" s="559">
        <f>'Progetto del paramento slu'!$G$60*(sezione!$AP$28-C416)/C416</f>
        <v>9.4574246607227845E-3</v>
      </c>
      <c r="P416" s="553">
        <f>-'Progetto del paramento slu'!$G$47*'Progetto del paramento slu'!$G$41*IF(DATI!$G$218="dx",DATI!$E$61,DATI!$E$64*DATI!$E$63)*1000*C416*sezione!$AD$5</f>
        <v>-989958.1791840496</v>
      </c>
      <c r="Q416" s="553">
        <f>'Foglio deposito bis'!$F$48*IF(ABS(K416)&lt;'Progetto del paramento slu'!$G$58,ABS(K416)*'Progetto del paramento slu'!$G$54,'Progetto del paramento slu'!$G$53)*IF(K416&lt;0,-1,1)</f>
        <v>0</v>
      </c>
      <c r="R416" s="553">
        <f>'Foglio deposito bis'!$F$49*IF(ABS(L416)&lt;'Progetto del paramento slu'!$G$58,ABS(L416)*'Progetto del paramento slu'!$G$54,'Progetto del paramento slu'!$G$53)*IF(L416&lt;0,-1,1)</f>
        <v>204886.47740803001</v>
      </c>
      <c r="S416" s="553">
        <f>'Foglio deposito bis'!$F$50*IF(ABS(M416)&lt;'Progetto del paramento slu'!$G$58,ABS(M416)*'Progetto del paramento slu'!$G$54,'Progetto del paramento slu'!$G$53)*IF(M416&lt;0,-1,1)</f>
        <v>0</v>
      </c>
      <c r="T416" s="553">
        <f>'Foglio deposito bis'!$F$51*IF(ABS(N416)&lt;'Progetto del paramento slu'!$G$58,ABS(N416)*'Progetto del paramento slu'!$G$54,'Progetto del paramento slu'!$G$53)*IF(N416&lt;0,-1,1)</f>
        <v>240946.49743184328</v>
      </c>
      <c r="U416" s="553">
        <f>'Foglio deposito bis'!$F$52*IF(ABS(O416)&lt;'Progetto del paramento slu'!$G$58,ABS(O416)*'Progetto del paramento slu'!$G$54,'Progetto del paramento slu'!$G$53)*IF(O416&lt;0,-1,1)</f>
        <v>240946.49743184328</v>
      </c>
      <c r="V416" s="479">
        <f t="shared" si="34"/>
        <v>-303178.70691233291</v>
      </c>
      <c r="W416" s="559"/>
      <c r="X416" s="559"/>
    </row>
    <row r="417" spans="1:24" x14ac:dyDescent="0.25">
      <c r="A417" s="553">
        <f t="shared" si="33"/>
        <v>314623.31013989425</v>
      </c>
      <c r="B417" s="3">
        <f t="shared" si="31"/>
        <v>17.499999999999961</v>
      </c>
      <c r="C417" s="553">
        <f>'Foglio deposito bis'!$E$154/sezione!$B$247*B417</f>
        <v>71.042181970177893</v>
      </c>
      <c r="D417" s="611">
        <f>-'Progetto del paramento slu'!$G$47*'Progetto del paramento slu'!$G$41*IF(DATI!$G$218="dx",DATI!$E$61,DATI!$E$64*DATI!$E$63)*1000*C417^2*sezione!$AD$5*(1-sezione!$AD$6)</f>
        <v>-41546833.797020413</v>
      </c>
      <c r="E417" s="553">
        <f>-'Foglio deposito bis'!$F$48*(C417-sezione!$AL$28)*IF(ABS(K417)&lt;'Progetto del paramento slu'!$G$58,ABS(K417)*'Progetto del paramento slu'!$G$54,'Progetto del paramento slu'!$G$53)</f>
        <v>0</v>
      </c>
      <c r="F417" s="553">
        <f>-'Foglio deposito bis'!$F$49*(C417-sezione!$AM$28)*IF(ABS(L417)&lt;'Progetto del paramento slu'!$G$58,ABS(L417)*'Progetto del paramento slu'!$G$54,'Progetto del paramento slu'!$G$53)</f>
        <v>16177389.199954491</v>
      </c>
      <c r="G417" s="553">
        <f>-'Foglio deposito bis'!$F$50*(C417-sezione!$AN$28)*IF(ABS(M417)&lt;'Progetto del paramento slu'!$G$58,ABS(M417)*'Progetto del paramento slu'!$G$54,'Progetto del paramento slu'!$G$53)</f>
        <v>0</v>
      </c>
      <c r="H417" s="553">
        <f>-'Foglio deposito bis'!$F$51*(C417-sezione!$AO$28)*IF(ABS(N417)&lt;'Progetto del paramento slu'!$G$58,ABS(N417)*'Progetto del paramento slu'!$G$54,'Progetto del paramento slu'!$G$53)</f>
        <v>64804444.211196698</v>
      </c>
      <c r="I417" s="479">
        <f>-'Foglio deposito bis'!$F$52*(C417-sezione!$AP$28)*IF(ABS(O417)&lt;'Progetto del paramento slu'!$G$58,ABS(O417)*'Progetto del paramento slu'!$G$54,'Progetto del paramento slu'!$G$53)</f>
        <v>45528961.887956813</v>
      </c>
      <c r="J417" s="479">
        <f t="shared" si="32"/>
        <v>84963961.502087593</v>
      </c>
      <c r="K417" s="558">
        <f>'Progetto del paramento slu'!$G$60*(sezione!$AL$28-C417)/C417</f>
        <v>-1.5293398074573605E-3</v>
      </c>
      <c r="L417" s="558">
        <f>'Progetto del paramento slu'!$G$60*(sezione!$AM$28-C417)/C417</f>
        <v>3.8899757220348984E-3</v>
      </c>
      <c r="M417" s="559">
        <f>'Progetto del paramento slu'!$G$60*(sezione!$AN$28-C417)/C417</f>
        <v>9.3092912515271575E-3</v>
      </c>
      <c r="N417" s="559">
        <f>'Progetto del paramento slu'!$G$60*(sezione!$AO$28-C417)/C417</f>
        <v>1.3250611636612435E-2</v>
      </c>
      <c r="O417" s="559">
        <f>'Progetto del paramento slu'!$G$60*(sezione!$AP$28-C417)/C417</f>
        <v>9.309339807457382E-3</v>
      </c>
      <c r="P417" s="553">
        <f>-'Progetto del paramento slu'!$G$47*'Progetto del paramento slu'!$G$41*IF(DATI!$G$218="dx",DATI!$E$61,DATI!$E$64*DATI!$E$63)*1000*C417*sezione!$AD$5</f>
        <v>-1001402.7824116108</v>
      </c>
      <c r="Q417" s="553">
        <f>'Foglio deposito bis'!$F$48*IF(ABS(K417)&lt;'Progetto del paramento slu'!$G$58,ABS(K417)*'Progetto del paramento slu'!$G$54,'Progetto del paramento slu'!$G$53)*IF(K417&lt;0,-1,1)</f>
        <v>0</v>
      </c>
      <c r="R417" s="553">
        <f>'Foglio deposito bis'!$F$49*IF(ABS(L417)&lt;'Progetto del paramento slu'!$G$58,ABS(L417)*'Progetto del paramento slu'!$G$54,'Progetto del paramento slu'!$G$53)*IF(L417&lt;0,-1,1)</f>
        <v>204886.47740803001</v>
      </c>
      <c r="S417" s="553">
        <f>'Foglio deposito bis'!$F$50*IF(ABS(M417)&lt;'Progetto del paramento slu'!$G$58,ABS(M417)*'Progetto del paramento slu'!$G$54,'Progetto del paramento slu'!$G$53)*IF(M417&lt;0,-1,1)</f>
        <v>0</v>
      </c>
      <c r="T417" s="553">
        <f>'Foglio deposito bis'!$F$51*IF(ABS(N417)&lt;'Progetto del paramento slu'!$G$58,ABS(N417)*'Progetto del paramento slu'!$G$54,'Progetto del paramento slu'!$G$53)*IF(N417&lt;0,-1,1)</f>
        <v>240946.49743184328</v>
      </c>
      <c r="U417" s="553">
        <f>'Foglio deposito bis'!$F$52*IF(ABS(O417)&lt;'Progetto del paramento slu'!$G$58,ABS(O417)*'Progetto del paramento slu'!$G$54,'Progetto del paramento slu'!$G$53)*IF(O417&lt;0,-1,1)</f>
        <v>240946.49743184328</v>
      </c>
      <c r="V417" s="479">
        <f t="shared" si="34"/>
        <v>-314623.31013989425</v>
      </c>
      <c r="W417" s="559"/>
      <c r="X417" s="559"/>
    </row>
    <row r="418" spans="1:24" x14ac:dyDescent="0.25">
      <c r="A418" s="553">
        <f t="shared" si="33"/>
        <v>326067.91336745536</v>
      </c>
      <c r="B418" s="3">
        <f t="shared" si="31"/>
        <v>17.69999999999996</v>
      </c>
      <c r="C418" s="553">
        <f>'Foglio deposito bis'!$E$154/sezione!$B$247*B418</f>
        <v>71.854092621265636</v>
      </c>
      <c r="D418" s="611">
        <f>-'Progetto del paramento slu'!$G$47*'Progetto del paramento slu'!$G$41*IF(DATI!$G$218="dx",DATI!$E$61,DATI!$E$64*DATI!$E$63)*1000*C418^2*sezione!$AD$5*(1-sezione!$AD$6)</f>
        <v>-42501902.237611517</v>
      </c>
      <c r="E418" s="553">
        <f>-'Foglio deposito bis'!$F$48*(C418-sezione!$AL$28)*IF(ABS(K418)&lt;'Progetto del paramento slu'!$G$58,ABS(K418)*'Progetto del paramento slu'!$G$54,'Progetto del paramento slu'!$G$53)</f>
        <v>0</v>
      </c>
      <c r="F418" s="553">
        <f>-'Foglio deposito bis'!$F$49*(C418-sezione!$AM$28)*IF(ABS(L418)&lt;'Progetto del paramento slu'!$G$58,ABS(L418)*'Progetto del paramento slu'!$G$54,'Progetto del paramento slu'!$G$53)</f>
        <v>16011039.686683064</v>
      </c>
      <c r="G418" s="553">
        <f>-'Foglio deposito bis'!$F$50*(C418-sezione!$AN$28)*IF(ABS(M418)&lt;'Progetto del paramento slu'!$G$58,ABS(M418)*'Progetto del paramento slu'!$G$54,'Progetto del paramento slu'!$G$53)</f>
        <v>0</v>
      </c>
      <c r="H418" s="553">
        <f>-'Foglio deposito bis'!$F$51*(C418-sezione!$AO$28)*IF(ABS(N418)&lt;'Progetto del paramento slu'!$G$58,ABS(N418)*'Progetto del paramento slu'!$G$54,'Progetto del paramento slu'!$G$53)</f>
        <v>64608817.183589503</v>
      </c>
      <c r="I418" s="479">
        <f>-'Foglio deposito bis'!$F$52*(C418-sezione!$AP$28)*IF(ABS(O418)&lt;'Progetto del paramento slu'!$G$58,ABS(O418)*'Progetto del paramento slu'!$G$54,'Progetto del paramento slu'!$G$53)</f>
        <v>45333334.86034961</v>
      </c>
      <c r="J418" s="479">
        <f t="shared" si="32"/>
        <v>83451289.49301067</v>
      </c>
      <c r="K418" s="558">
        <f>'Progetto del paramento slu'!$G$60*(sezione!$AL$28-C418)/C418</f>
        <v>-1.5516071542657516E-3</v>
      </c>
      <c r="L418" s="558">
        <f>'Progetto del paramento slu'!$G$60*(sezione!$AM$28-C418)/C418</f>
        <v>3.8064731715034307E-3</v>
      </c>
      <c r="M418" s="559">
        <f>'Progetto del paramento slu'!$G$60*(sezione!$AN$28-C418)/C418</f>
        <v>9.1645534972726143E-3</v>
      </c>
      <c r="N418" s="559">
        <f>'Progetto del paramento slu'!$G$60*(sezione!$AO$28-C418)/C418</f>
        <v>1.3061339188741109E-2</v>
      </c>
      <c r="O418" s="559">
        <f>'Progetto del paramento slu'!$G$60*(sezione!$AP$28-C418)/C418</f>
        <v>9.1646015045482605E-3</v>
      </c>
      <c r="P418" s="553">
        <f>-'Progetto del paramento slu'!$G$47*'Progetto del paramento slu'!$G$41*IF(DATI!$G$218="dx",DATI!$E$61,DATI!$E$64*DATI!$E$63)*1000*C418*sezione!$AD$5</f>
        <v>-1012847.385639172</v>
      </c>
      <c r="Q418" s="553">
        <f>'Foglio deposito bis'!$F$48*IF(ABS(K418)&lt;'Progetto del paramento slu'!$G$58,ABS(K418)*'Progetto del paramento slu'!$G$54,'Progetto del paramento slu'!$G$53)*IF(K418&lt;0,-1,1)</f>
        <v>0</v>
      </c>
      <c r="R418" s="553">
        <f>'Foglio deposito bis'!$F$49*IF(ABS(L418)&lt;'Progetto del paramento slu'!$G$58,ABS(L418)*'Progetto del paramento slu'!$G$54,'Progetto del paramento slu'!$G$53)*IF(L418&lt;0,-1,1)</f>
        <v>204886.47740803001</v>
      </c>
      <c r="S418" s="553">
        <f>'Foglio deposito bis'!$F$50*IF(ABS(M418)&lt;'Progetto del paramento slu'!$G$58,ABS(M418)*'Progetto del paramento slu'!$G$54,'Progetto del paramento slu'!$G$53)*IF(M418&lt;0,-1,1)</f>
        <v>0</v>
      </c>
      <c r="T418" s="553">
        <f>'Foglio deposito bis'!$F$51*IF(ABS(N418)&lt;'Progetto del paramento slu'!$G$58,ABS(N418)*'Progetto del paramento slu'!$G$54,'Progetto del paramento slu'!$G$53)*IF(N418&lt;0,-1,1)</f>
        <v>240946.49743184328</v>
      </c>
      <c r="U418" s="553">
        <f>'Foglio deposito bis'!$F$52*IF(ABS(O418)&lt;'Progetto del paramento slu'!$G$58,ABS(O418)*'Progetto del paramento slu'!$G$54,'Progetto del paramento slu'!$G$53)*IF(O418&lt;0,-1,1)</f>
        <v>240946.49743184328</v>
      </c>
      <c r="V418" s="479">
        <f t="shared" si="34"/>
        <v>-326067.91336745536</v>
      </c>
      <c r="W418" s="559"/>
      <c r="X418" s="559"/>
    </row>
    <row r="419" spans="1:24" x14ac:dyDescent="0.25">
      <c r="A419" s="553">
        <f t="shared" si="33"/>
        <v>337512.5165950167</v>
      </c>
      <c r="B419" s="3">
        <f t="shared" si="31"/>
        <v>17.899999999999959</v>
      </c>
      <c r="C419" s="553">
        <f>'Foglio deposito bis'!$E$154/sezione!$B$247*B419</f>
        <v>72.666003272353393</v>
      </c>
      <c r="D419" s="611">
        <f>-'Progetto del paramento slu'!$G$47*'Progetto del paramento slu'!$G$41*IF(DATI!$G$218="dx",DATI!$E$61,DATI!$E$64*DATI!$E$63)*1000*C419^2*sezione!$AD$5*(1-sezione!$AD$6)</f>
        <v>-43467823.728663899</v>
      </c>
      <c r="E419" s="553">
        <f>-'Foglio deposito bis'!$F$48*(C419-sezione!$AL$28)*IF(ABS(K419)&lt;'Progetto del paramento slu'!$G$58,ABS(K419)*'Progetto del paramento slu'!$G$54,'Progetto del paramento slu'!$G$53)</f>
        <v>0</v>
      </c>
      <c r="F419" s="553">
        <f>-'Foglio deposito bis'!$F$49*(C419-sezione!$AM$28)*IF(ABS(L419)&lt;'Progetto del paramento slu'!$G$58,ABS(L419)*'Progetto del paramento slu'!$G$54,'Progetto del paramento slu'!$G$53)</f>
        <v>15844690.173411634</v>
      </c>
      <c r="G419" s="553">
        <f>-'Foglio deposito bis'!$F$50*(C419-sezione!$AN$28)*IF(ABS(M419)&lt;'Progetto del paramento slu'!$G$58,ABS(M419)*'Progetto del paramento slu'!$G$54,'Progetto del paramento slu'!$G$53)</f>
        <v>0</v>
      </c>
      <c r="H419" s="553">
        <f>-'Foglio deposito bis'!$F$51*(C419-sezione!$AO$28)*IF(ABS(N419)&lt;'Progetto del paramento slu'!$G$58,ABS(N419)*'Progetto del paramento slu'!$G$54,'Progetto del paramento slu'!$G$53)</f>
        <v>64413190.155982293</v>
      </c>
      <c r="I419" s="479">
        <f>-'Foglio deposito bis'!$F$52*(C419-sezione!$AP$28)*IF(ABS(O419)&lt;'Progetto del paramento slu'!$G$58,ABS(O419)*'Progetto del paramento slu'!$G$54,'Progetto del paramento slu'!$G$53)</f>
        <v>45137707.8327424</v>
      </c>
      <c r="J419" s="479">
        <f t="shared" si="32"/>
        <v>81927764.433472425</v>
      </c>
      <c r="K419" s="558">
        <f>'Progetto del paramento slu'!$G$60*(sezione!$AL$28-C419)/C419</f>
        <v>-1.5733769067320564E-3</v>
      </c>
      <c r="L419" s="558">
        <f>'Progetto del paramento slu'!$G$60*(sezione!$AM$28-C419)/C419</f>
        <v>3.7248365997547884E-3</v>
      </c>
      <c r="M419" s="559">
        <f>'Progetto del paramento slu'!$G$60*(sezione!$AN$28-C419)/C419</f>
        <v>9.023050106241633E-3</v>
      </c>
      <c r="N419" s="559">
        <f>'Progetto del paramento slu'!$G$60*(sezione!$AO$28-C419)/C419</f>
        <v>1.2876296292777518E-2</v>
      </c>
      <c r="O419" s="559">
        <f>'Progetto del paramento slu'!$G$60*(sezione!$AP$28-C419)/C419</f>
        <v>9.0230975771231365E-3</v>
      </c>
      <c r="P419" s="553">
        <f>-'Progetto del paramento slu'!$G$47*'Progetto del paramento slu'!$G$41*IF(DATI!$G$218="dx",DATI!$E$61,DATI!$E$64*DATI!$E$63)*1000*C419*sezione!$AD$5</f>
        <v>-1024291.9888667334</v>
      </c>
      <c r="Q419" s="553">
        <f>'Foglio deposito bis'!$F$48*IF(ABS(K419)&lt;'Progetto del paramento slu'!$G$58,ABS(K419)*'Progetto del paramento slu'!$G$54,'Progetto del paramento slu'!$G$53)*IF(K419&lt;0,-1,1)</f>
        <v>0</v>
      </c>
      <c r="R419" s="553">
        <f>'Foglio deposito bis'!$F$49*IF(ABS(L419)&lt;'Progetto del paramento slu'!$G$58,ABS(L419)*'Progetto del paramento slu'!$G$54,'Progetto del paramento slu'!$G$53)*IF(L419&lt;0,-1,1)</f>
        <v>204886.47740803001</v>
      </c>
      <c r="S419" s="553">
        <f>'Foglio deposito bis'!$F$50*IF(ABS(M419)&lt;'Progetto del paramento slu'!$G$58,ABS(M419)*'Progetto del paramento slu'!$G$54,'Progetto del paramento slu'!$G$53)*IF(M419&lt;0,-1,1)</f>
        <v>0</v>
      </c>
      <c r="T419" s="553">
        <f>'Foglio deposito bis'!$F$51*IF(ABS(N419)&lt;'Progetto del paramento slu'!$G$58,ABS(N419)*'Progetto del paramento slu'!$G$54,'Progetto del paramento slu'!$G$53)*IF(N419&lt;0,-1,1)</f>
        <v>240946.49743184328</v>
      </c>
      <c r="U419" s="553">
        <f>'Foglio deposito bis'!$F$52*IF(ABS(O419)&lt;'Progetto del paramento slu'!$G$58,ABS(O419)*'Progetto del paramento slu'!$G$54,'Progetto del paramento slu'!$G$53)*IF(O419&lt;0,-1,1)</f>
        <v>240946.49743184328</v>
      </c>
      <c r="V419" s="479">
        <f t="shared" si="34"/>
        <v>-337512.5165950167</v>
      </c>
      <c r="W419" s="559"/>
      <c r="X419" s="559"/>
    </row>
    <row r="420" spans="1:24" x14ac:dyDescent="0.25">
      <c r="A420" s="553">
        <f t="shared" si="33"/>
        <v>348957.11982257804</v>
      </c>
      <c r="B420" s="3">
        <f t="shared" si="31"/>
        <v>18.099999999999959</v>
      </c>
      <c r="C420" s="553">
        <f>'Foglio deposito bis'!$E$154/sezione!$B$247*B420</f>
        <v>73.477913923441136</v>
      </c>
      <c r="D420" s="611">
        <f>-'Progetto del paramento slu'!$G$47*'Progetto del paramento slu'!$G$41*IF(DATI!$G$218="dx",DATI!$E$61,DATI!$E$64*DATI!$E$63)*1000*C420^2*sezione!$AD$5*(1-sezione!$AD$6)</f>
        <v>-44444598.270177513</v>
      </c>
      <c r="E420" s="553">
        <f>-'Foglio deposito bis'!$F$48*(C420-sezione!$AL$28)*IF(ABS(K420)&lt;'Progetto del paramento slu'!$G$58,ABS(K420)*'Progetto del paramento slu'!$G$54,'Progetto del paramento slu'!$G$53)</f>
        <v>0</v>
      </c>
      <c r="F420" s="553">
        <f>-'Foglio deposito bis'!$F$49*(C420-sezione!$AM$28)*IF(ABS(L420)&lt;'Progetto del paramento slu'!$G$58,ABS(L420)*'Progetto del paramento slu'!$G$54,'Progetto del paramento slu'!$G$53)</f>
        <v>15678340.660140205</v>
      </c>
      <c r="G420" s="553">
        <f>-'Foglio deposito bis'!$F$50*(C420-sezione!$AN$28)*IF(ABS(M420)&lt;'Progetto del paramento slu'!$G$58,ABS(M420)*'Progetto del paramento slu'!$G$54,'Progetto del paramento slu'!$G$53)</f>
        <v>0</v>
      </c>
      <c r="H420" s="553">
        <f>-'Foglio deposito bis'!$F$51*(C420-sezione!$AO$28)*IF(ABS(N420)&lt;'Progetto del paramento slu'!$G$58,ABS(N420)*'Progetto del paramento slu'!$G$54,'Progetto del paramento slu'!$G$53)</f>
        <v>64217563.128375113</v>
      </c>
      <c r="I420" s="479">
        <f>-'Foglio deposito bis'!$F$52*(C420-sezione!$AP$28)*IF(ABS(O420)&lt;'Progetto del paramento slu'!$G$58,ABS(O420)*'Progetto del paramento slu'!$G$54,'Progetto del paramento slu'!$G$53)</f>
        <v>44942080.805135213</v>
      </c>
      <c r="J420" s="479">
        <f t="shared" si="32"/>
        <v>80393386.323473006</v>
      </c>
      <c r="K420" s="558">
        <f>'Progetto del paramento slu'!$G$60*(sezione!$AL$28-C420)/C420</f>
        <v>-1.594665559696343E-3</v>
      </c>
      <c r="L420" s="558">
        <f>'Progetto del paramento slu'!$G$60*(sezione!$AM$28-C420)/C420</f>
        <v>3.6450041511387134E-3</v>
      </c>
      <c r="M420" s="559">
        <f>'Progetto del paramento slu'!$G$60*(sezione!$AN$28-C420)/C420</f>
        <v>8.8846738619737711E-3</v>
      </c>
      <c r="N420" s="559">
        <f>'Progetto del paramento slu'!$G$60*(sezione!$AO$28-C420)/C420</f>
        <v>1.2695342742581085E-2</v>
      </c>
      <c r="O420" s="559">
        <f>'Progetto del paramento slu'!$G$60*(sezione!$AP$28-C420)/C420</f>
        <v>8.8847208083151497E-3</v>
      </c>
      <c r="P420" s="553">
        <f>-'Progetto del paramento slu'!$G$47*'Progetto del paramento slu'!$G$41*IF(DATI!$G$218="dx",DATI!$E$61,DATI!$E$64*DATI!$E$63)*1000*C420*sezione!$AD$5</f>
        <v>-1035736.5920942946</v>
      </c>
      <c r="Q420" s="553">
        <f>'Foglio deposito bis'!$F$48*IF(ABS(K420)&lt;'Progetto del paramento slu'!$G$58,ABS(K420)*'Progetto del paramento slu'!$G$54,'Progetto del paramento slu'!$G$53)*IF(K420&lt;0,-1,1)</f>
        <v>0</v>
      </c>
      <c r="R420" s="553">
        <f>'Foglio deposito bis'!$F$49*IF(ABS(L420)&lt;'Progetto del paramento slu'!$G$58,ABS(L420)*'Progetto del paramento slu'!$G$54,'Progetto del paramento slu'!$G$53)*IF(L420&lt;0,-1,1)</f>
        <v>204886.47740803001</v>
      </c>
      <c r="S420" s="553">
        <f>'Foglio deposito bis'!$F$50*IF(ABS(M420)&lt;'Progetto del paramento slu'!$G$58,ABS(M420)*'Progetto del paramento slu'!$G$54,'Progetto del paramento slu'!$G$53)*IF(M420&lt;0,-1,1)</f>
        <v>0</v>
      </c>
      <c r="T420" s="553">
        <f>'Foglio deposito bis'!$F$51*IF(ABS(N420)&lt;'Progetto del paramento slu'!$G$58,ABS(N420)*'Progetto del paramento slu'!$G$54,'Progetto del paramento slu'!$G$53)*IF(N420&lt;0,-1,1)</f>
        <v>240946.49743184328</v>
      </c>
      <c r="U420" s="553">
        <f>'Foglio deposito bis'!$F$52*IF(ABS(O420)&lt;'Progetto del paramento slu'!$G$58,ABS(O420)*'Progetto del paramento slu'!$G$54,'Progetto del paramento slu'!$G$53)*IF(O420&lt;0,-1,1)</f>
        <v>240946.49743184328</v>
      </c>
      <c r="V420" s="479">
        <f t="shared" si="34"/>
        <v>-348957.11982257804</v>
      </c>
      <c r="W420" s="559"/>
      <c r="X420" s="559"/>
    </row>
    <row r="421" spans="1:24" x14ac:dyDescent="0.25">
      <c r="A421" s="553">
        <f t="shared" si="33"/>
        <v>360401.72305013915</v>
      </c>
      <c r="B421" s="3">
        <f t="shared" ref="B421:B444" si="35">B420+0.2</f>
        <v>18.299999999999958</v>
      </c>
      <c r="C421" s="553">
        <f>'Foglio deposito bis'!$E$154/sezione!$B$247*B421</f>
        <v>74.289824574528879</v>
      </c>
      <c r="D421" s="611">
        <f>-'Progetto del paramento slu'!$G$47*'Progetto del paramento slu'!$G$41*IF(DATI!$G$218="dx",DATI!$E$61,DATI!$E$64*DATI!$E$63)*1000*C421^2*sezione!$AD$5*(1-sezione!$AD$6)</f>
        <v>-45432225.86215239</v>
      </c>
      <c r="E421" s="553">
        <f>-'Foglio deposito bis'!$F$48*(C421-sezione!$AL$28)*IF(ABS(K421)&lt;'Progetto del paramento slu'!$G$58,ABS(K421)*'Progetto del paramento slu'!$G$54,'Progetto del paramento slu'!$G$53)</f>
        <v>0</v>
      </c>
      <c r="F421" s="553">
        <f>-'Foglio deposito bis'!$F$49*(C421-sezione!$AM$28)*IF(ABS(L421)&lt;'Progetto del paramento slu'!$G$58,ABS(L421)*'Progetto del paramento slu'!$G$54,'Progetto del paramento slu'!$G$53)</f>
        <v>15511991.146868778</v>
      </c>
      <c r="G421" s="553">
        <f>-'Foglio deposito bis'!$F$50*(C421-sezione!$AN$28)*IF(ABS(M421)&lt;'Progetto del paramento slu'!$G$58,ABS(M421)*'Progetto del paramento slu'!$G$54,'Progetto del paramento slu'!$G$53)</f>
        <v>0</v>
      </c>
      <c r="H421" s="553">
        <f>-'Foglio deposito bis'!$F$51*(C421-sezione!$AO$28)*IF(ABS(N421)&lt;'Progetto del paramento slu'!$G$58,ABS(N421)*'Progetto del paramento slu'!$G$54,'Progetto del paramento slu'!$G$53)</f>
        <v>64021936.100767903</v>
      </c>
      <c r="I421" s="479">
        <f>-'Foglio deposito bis'!$F$52*(C421-sezione!$AP$28)*IF(ABS(O421)&lt;'Progetto del paramento slu'!$G$58,ABS(O421)*'Progetto del paramento slu'!$G$54,'Progetto del paramento slu'!$G$53)</f>
        <v>44746453.777528003</v>
      </c>
      <c r="J421" s="479">
        <f t="shared" si="32"/>
        <v>78848155.163012296</v>
      </c>
      <c r="K421" s="558">
        <f>'Progetto del paramento slu'!$G$60*(sezione!$AL$28-C421)/C421</f>
        <v>-1.6154888869127765E-3</v>
      </c>
      <c r="L421" s="558">
        <f>'Progetto del paramento slu'!$G$60*(sezione!$AM$28-C421)/C421</f>
        <v>3.5669166740770891E-3</v>
      </c>
      <c r="M421" s="559">
        <f>'Progetto del paramento slu'!$G$60*(sezione!$AN$28-C421)/C421</f>
        <v>8.7493222350669541E-3</v>
      </c>
      <c r="N421" s="559">
        <f>'Progetto del paramento slu'!$G$60*(sezione!$AO$28-C421)/C421</f>
        <v>1.2518344461241402E-2</v>
      </c>
      <c r="O421" s="559">
        <f>'Progetto del paramento slu'!$G$60*(sezione!$AP$28-C421)/C421</f>
        <v>8.7493686683335625E-3</v>
      </c>
      <c r="P421" s="553">
        <f>-'Progetto del paramento slu'!$G$47*'Progetto del paramento slu'!$G$41*IF(DATI!$G$218="dx",DATI!$E$61,DATI!$E$64*DATI!$E$63)*1000*C421*sezione!$AD$5</f>
        <v>-1047181.1953218558</v>
      </c>
      <c r="Q421" s="553">
        <f>'Foglio deposito bis'!$F$48*IF(ABS(K421)&lt;'Progetto del paramento slu'!$G$58,ABS(K421)*'Progetto del paramento slu'!$G$54,'Progetto del paramento slu'!$G$53)*IF(K421&lt;0,-1,1)</f>
        <v>0</v>
      </c>
      <c r="R421" s="553">
        <f>'Foglio deposito bis'!$F$49*IF(ABS(L421)&lt;'Progetto del paramento slu'!$G$58,ABS(L421)*'Progetto del paramento slu'!$G$54,'Progetto del paramento slu'!$G$53)*IF(L421&lt;0,-1,1)</f>
        <v>204886.47740803001</v>
      </c>
      <c r="S421" s="553">
        <f>'Foglio deposito bis'!$F$50*IF(ABS(M421)&lt;'Progetto del paramento slu'!$G$58,ABS(M421)*'Progetto del paramento slu'!$G$54,'Progetto del paramento slu'!$G$53)*IF(M421&lt;0,-1,1)</f>
        <v>0</v>
      </c>
      <c r="T421" s="553">
        <f>'Foglio deposito bis'!$F$51*IF(ABS(N421)&lt;'Progetto del paramento slu'!$G$58,ABS(N421)*'Progetto del paramento slu'!$G$54,'Progetto del paramento slu'!$G$53)*IF(N421&lt;0,-1,1)</f>
        <v>240946.49743184328</v>
      </c>
      <c r="U421" s="553">
        <f>'Foglio deposito bis'!$F$52*IF(ABS(O421)&lt;'Progetto del paramento slu'!$G$58,ABS(O421)*'Progetto del paramento slu'!$G$54,'Progetto del paramento slu'!$G$53)*IF(O421&lt;0,-1,1)</f>
        <v>240946.49743184328</v>
      </c>
      <c r="V421" s="479">
        <f t="shared" si="34"/>
        <v>-360401.72305013915</v>
      </c>
      <c r="W421" s="559"/>
      <c r="X421" s="559"/>
    </row>
    <row r="422" spans="1:24" x14ac:dyDescent="0.25">
      <c r="A422" s="553">
        <f t="shared" si="33"/>
        <v>371846.32627770025</v>
      </c>
      <c r="B422" s="3">
        <f t="shared" si="35"/>
        <v>18.499999999999957</v>
      </c>
      <c r="C422" s="553">
        <f>'Foglio deposito bis'!$E$154/sezione!$B$247*B422</f>
        <v>75.101735225616622</v>
      </c>
      <c r="D422" s="611">
        <f>-'Progetto del paramento slu'!$G$47*'Progetto del paramento slu'!$G$41*IF(DATI!$G$218="dx",DATI!$E$61,DATI!$E$64*DATI!$E$63)*1000*C422^2*sezione!$AD$5*(1-sezione!$AD$6)</f>
        <v>-46430706.504588537</v>
      </c>
      <c r="E422" s="553">
        <f>-'Foglio deposito bis'!$F$48*(C422-sezione!$AL$28)*IF(ABS(K422)&lt;'Progetto del paramento slu'!$G$58,ABS(K422)*'Progetto del paramento slu'!$G$54,'Progetto del paramento slu'!$G$53)</f>
        <v>0</v>
      </c>
      <c r="F422" s="553">
        <f>-'Foglio deposito bis'!$F$49*(C422-sezione!$AM$28)*IF(ABS(L422)&lt;'Progetto del paramento slu'!$G$58,ABS(L422)*'Progetto del paramento slu'!$G$54,'Progetto del paramento slu'!$G$53)</f>
        <v>15345641.63359735</v>
      </c>
      <c r="G422" s="553">
        <f>-'Foglio deposito bis'!$F$50*(C422-sezione!$AN$28)*IF(ABS(M422)&lt;'Progetto del paramento slu'!$G$58,ABS(M422)*'Progetto del paramento slu'!$G$54,'Progetto del paramento slu'!$G$53)</f>
        <v>0</v>
      </c>
      <c r="H422" s="553">
        <f>-'Foglio deposito bis'!$F$51*(C422-sezione!$AO$28)*IF(ABS(N422)&lt;'Progetto del paramento slu'!$G$58,ABS(N422)*'Progetto del paramento slu'!$G$54,'Progetto del paramento slu'!$G$53)</f>
        <v>63826309.073160708</v>
      </c>
      <c r="I422" s="479">
        <f>-'Foglio deposito bis'!$F$52*(C422-sezione!$AP$28)*IF(ABS(O422)&lt;'Progetto del paramento slu'!$G$58,ABS(O422)*'Progetto del paramento slu'!$G$54,'Progetto del paramento slu'!$G$53)</f>
        <v>44550826.749920808</v>
      </c>
      <c r="J422" s="479">
        <f t="shared" si="32"/>
        <v>77292070.952090323</v>
      </c>
      <c r="K422" s="558">
        <f>'Progetto del paramento slu'!$G$60*(sezione!$AL$28-C422)/C422</f>
        <v>-1.6358619800272327E-3</v>
      </c>
      <c r="L422" s="558">
        <f>'Progetto del paramento slu'!$G$60*(sezione!$AM$28-C422)/C422</f>
        <v>3.4905175748978774E-3</v>
      </c>
      <c r="M422" s="559">
        <f>'Progetto del paramento slu'!$G$60*(sezione!$AN$28-C422)/C422</f>
        <v>8.6168971298229893E-3</v>
      </c>
      <c r="N422" s="559">
        <f>'Progetto del paramento slu'!$G$60*(sezione!$AO$28-C422)/C422</f>
        <v>1.2345173169768523E-2</v>
      </c>
      <c r="O422" s="559">
        <f>'Progetto del paramento slu'!$G$60*(sezione!$AP$28-C422)/C422</f>
        <v>8.6169430611083356E-3</v>
      </c>
      <c r="P422" s="553">
        <f>-'Progetto del paramento slu'!$G$47*'Progetto del paramento slu'!$G$41*IF(DATI!$G$218="dx",DATI!$E$61,DATI!$E$64*DATI!$E$63)*1000*C422*sezione!$AD$5</f>
        <v>-1058625.7985494169</v>
      </c>
      <c r="Q422" s="553">
        <f>'Foglio deposito bis'!$F$48*IF(ABS(K422)&lt;'Progetto del paramento slu'!$G$58,ABS(K422)*'Progetto del paramento slu'!$G$54,'Progetto del paramento slu'!$G$53)*IF(K422&lt;0,-1,1)</f>
        <v>0</v>
      </c>
      <c r="R422" s="553">
        <f>'Foglio deposito bis'!$F$49*IF(ABS(L422)&lt;'Progetto del paramento slu'!$G$58,ABS(L422)*'Progetto del paramento slu'!$G$54,'Progetto del paramento slu'!$G$53)*IF(L422&lt;0,-1,1)</f>
        <v>204886.47740803001</v>
      </c>
      <c r="S422" s="553">
        <f>'Foglio deposito bis'!$F$50*IF(ABS(M422)&lt;'Progetto del paramento slu'!$G$58,ABS(M422)*'Progetto del paramento slu'!$G$54,'Progetto del paramento slu'!$G$53)*IF(M422&lt;0,-1,1)</f>
        <v>0</v>
      </c>
      <c r="T422" s="553">
        <f>'Foglio deposito bis'!$F$51*IF(ABS(N422)&lt;'Progetto del paramento slu'!$G$58,ABS(N422)*'Progetto del paramento slu'!$G$54,'Progetto del paramento slu'!$G$53)*IF(N422&lt;0,-1,1)</f>
        <v>240946.49743184328</v>
      </c>
      <c r="U422" s="553">
        <f>'Foglio deposito bis'!$F$52*IF(ABS(O422)&lt;'Progetto del paramento slu'!$G$58,ABS(O422)*'Progetto del paramento slu'!$G$54,'Progetto del paramento slu'!$G$53)*IF(O422&lt;0,-1,1)</f>
        <v>240946.49743184328</v>
      </c>
      <c r="V422" s="479">
        <f t="shared" si="34"/>
        <v>-371846.32627770025</v>
      </c>
      <c r="W422" s="559"/>
      <c r="X422" s="559"/>
    </row>
    <row r="423" spans="1:24" x14ac:dyDescent="0.25">
      <c r="A423" s="553">
        <f t="shared" si="33"/>
        <v>383290.92950526183</v>
      </c>
      <c r="B423" s="3">
        <f t="shared" si="35"/>
        <v>18.699999999999957</v>
      </c>
      <c r="C423" s="553">
        <f>'Foglio deposito bis'!$E$154/sezione!$B$247*B423</f>
        <v>75.913645876704379</v>
      </c>
      <c r="D423" s="611">
        <f>-'Progetto del paramento slu'!$G$47*'Progetto del paramento slu'!$G$41*IF(DATI!$G$218="dx",DATI!$E$61,DATI!$E$64*DATI!$E$63)*1000*C423^2*sezione!$AD$5*(1-sezione!$AD$6)</f>
        <v>-47440040.197485954</v>
      </c>
      <c r="E423" s="553">
        <f>-'Foglio deposito bis'!$F$48*(C423-sezione!$AL$28)*IF(ABS(K423)&lt;'Progetto del paramento slu'!$G$58,ABS(K423)*'Progetto del paramento slu'!$G$54,'Progetto del paramento slu'!$G$53)</f>
        <v>0</v>
      </c>
      <c r="F423" s="553">
        <f>-'Foglio deposito bis'!$F$49*(C423-sezione!$AM$28)*IF(ABS(L423)&lt;'Progetto del paramento slu'!$G$58,ABS(L423)*'Progetto del paramento slu'!$G$54,'Progetto del paramento slu'!$G$53)</f>
        <v>15179292.120325919</v>
      </c>
      <c r="G423" s="553">
        <f>-'Foglio deposito bis'!$F$50*(C423-sezione!$AN$28)*IF(ABS(M423)&lt;'Progetto del paramento slu'!$G$58,ABS(M423)*'Progetto del paramento slu'!$G$54,'Progetto del paramento slu'!$G$53)</f>
        <v>0</v>
      </c>
      <c r="H423" s="553">
        <f>-'Foglio deposito bis'!$F$51*(C423-sezione!$AO$28)*IF(ABS(N423)&lt;'Progetto del paramento slu'!$G$58,ABS(N423)*'Progetto del paramento slu'!$G$54,'Progetto del paramento slu'!$G$53)</f>
        <v>63630682.045553498</v>
      </c>
      <c r="I423" s="479">
        <f>-'Foglio deposito bis'!$F$52*(C423-sezione!$AP$28)*IF(ABS(O423)&lt;'Progetto del paramento slu'!$G$58,ABS(O423)*'Progetto del paramento slu'!$G$54,'Progetto del paramento slu'!$G$53)</f>
        <v>44355199.722313605</v>
      </c>
      <c r="J423" s="479">
        <f t="shared" si="32"/>
        <v>75725133.690707073</v>
      </c>
      <c r="K423" s="558">
        <f>'Progetto del paramento slu'!$G$60*(sezione!$AL$28-C423)/C423</f>
        <v>-1.6557992850536796E-3</v>
      </c>
      <c r="L423" s="558">
        <f>'Progetto del paramento slu'!$G$60*(sezione!$AM$28-C423)/C423</f>
        <v>3.4157526810487016E-3</v>
      </c>
      <c r="M423" s="559">
        <f>'Progetto del paramento slu'!$G$60*(sezione!$AN$28-C423)/C423</f>
        <v>8.4873046471510821E-3</v>
      </c>
      <c r="N423" s="559">
        <f>'Progetto del paramento slu'!$G$60*(sezione!$AO$28-C423)/C423</f>
        <v>1.2175706077043724E-2</v>
      </c>
      <c r="O423" s="559">
        <f>'Progetto del paramento slu'!$G$60*(sezione!$AP$28-C423)/C423</f>
        <v>8.4873500871927368E-3</v>
      </c>
      <c r="P423" s="553">
        <f>-'Progetto del paramento slu'!$G$47*'Progetto del paramento slu'!$G$41*IF(DATI!$G$218="dx",DATI!$E$61,DATI!$E$64*DATI!$E$63)*1000*C423*sezione!$AD$5</f>
        <v>-1070070.4017769785</v>
      </c>
      <c r="Q423" s="553">
        <f>'Foglio deposito bis'!$F$48*IF(ABS(K423)&lt;'Progetto del paramento slu'!$G$58,ABS(K423)*'Progetto del paramento slu'!$G$54,'Progetto del paramento slu'!$G$53)*IF(K423&lt;0,-1,1)</f>
        <v>0</v>
      </c>
      <c r="R423" s="553">
        <f>'Foglio deposito bis'!$F$49*IF(ABS(L423)&lt;'Progetto del paramento slu'!$G$58,ABS(L423)*'Progetto del paramento slu'!$G$54,'Progetto del paramento slu'!$G$53)*IF(L423&lt;0,-1,1)</f>
        <v>204886.47740803001</v>
      </c>
      <c r="S423" s="553">
        <f>'Foglio deposito bis'!$F$50*IF(ABS(M423)&lt;'Progetto del paramento slu'!$G$58,ABS(M423)*'Progetto del paramento slu'!$G$54,'Progetto del paramento slu'!$G$53)*IF(M423&lt;0,-1,1)</f>
        <v>0</v>
      </c>
      <c r="T423" s="553">
        <f>'Foglio deposito bis'!$F$51*IF(ABS(N423)&lt;'Progetto del paramento slu'!$G$58,ABS(N423)*'Progetto del paramento slu'!$G$54,'Progetto del paramento slu'!$G$53)*IF(N423&lt;0,-1,1)</f>
        <v>240946.49743184328</v>
      </c>
      <c r="U423" s="553">
        <f>'Foglio deposito bis'!$F$52*IF(ABS(O423)&lt;'Progetto del paramento slu'!$G$58,ABS(O423)*'Progetto del paramento slu'!$G$54,'Progetto del paramento slu'!$G$53)*IF(O423&lt;0,-1,1)</f>
        <v>240946.49743184328</v>
      </c>
      <c r="V423" s="479">
        <f t="shared" si="34"/>
        <v>-383290.92950526183</v>
      </c>
      <c r="W423" s="559"/>
      <c r="X423" s="559"/>
    </row>
    <row r="424" spans="1:24" x14ac:dyDescent="0.25">
      <c r="A424" s="553">
        <f t="shared" si="33"/>
        <v>394735.53273282293</v>
      </c>
      <c r="B424" s="3">
        <f t="shared" si="35"/>
        <v>18.899999999999956</v>
      </c>
      <c r="C424" s="553">
        <f>'Foglio deposito bis'!$E$154/sezione!$B$247*B424</f>
        <v>76.725556527792122</v>
      </c>
      <c r="D424" s="611">
        <f>-'Progetto del paramento slu'!$G$47*'Progetto del paramento slu'!$G$41*IF(DATI!$G$218="dx",DATI!$E$61,DATI!$E$64*DATI!$E$63)*1000*C424^2*sezione!$AD$5*(1-sezione!$AD$6)</f>
        <v>-48460226.940844618</v>
      </c>
      <c r="E424" s="553">
        <f>-'Foglio deposito bis'!$F$48*(C424-sezione!$AL$28)*IF(ABS(K424)&lt;'Progetto del paramento slu'!$G$58,ABS(K424)*'Progetto del paramento slu'!$G$54,'Progetto del paramento slu'!$G$53)</f>
        <v>0</v>
      </c>
      <c r="F424" s="553">
        <f>-'Foglio deposito bis'!$F$49*(C424-sezione!$AM$28)*IF(ABS(L424)&lt;'Progetto del paramento slu'!$G$58,ABS(L424)*'Progetto del paramento slu'!$G$54,'Progetto del paramento slu'!$G$53)</f>
        <v>15012942.607054491</v>
      </c>
      <c r="G424" s="553">
        <f>-'Foglio deposito bis'!$F$50*(C424-sezione!$AN$28)*IF(ABS(M424)&lt;'Progetto del paramento slu'!$G$58,ABS(M424)*'Progetto del paramento slu'!$G$54,'Progetto del paramento slu'!$G$53)</f>
        <v>0</v>
      </c>
      <c r="H424" s="553">
        <f>-'Foglio deposito bis'!$F$51*(C424-sezione!$AO$28)*IF(ABS(N424)&lt;'Progetto del paramento slu'!$G$58,ABS(N424)*'Progetto del paramento slu'!$G$54,'Progetto del paramento slu'!$G$53)</f>
        <v>63435055.017946295</v>
      </c>
      <c r="I424" s="479">
        <f>-'Foglio deposito bis'!$F$52*(C424-sezione!$AP$28)*IF(ABS(O424)&lt;'Progetto del paramento slu'!$G$58,ABS(O424)*'Progetto del paramento slu'!$G$54,'Progetto del paramento slu'!$G$53)</f>
        <v>44159572.69470641</v>
      </c>
      <c r="J424" s="479">
        <f t="shared" si="32"/>
        <v>74147343.378862575</v>
      </c>
      <c r="K424" s="558">
        <f>'Progetto del paramento slu'!$G$60*(sezione!$AL$28-C424)/C424</f>
        <v>-1.6753146365345928E-3</v>
      </c>
      <c r="L424" s="558">
        <f>'Progetto del paramento slu'!$G$60*(sezione!$AM$28-C424)/C424</f>
        <v>3.3425701129952763E-3</v>
      </c>
      <c r="M424" s="559">
        <f>'Progetto del paramento slu'!$G$60*(sezione!$AN$28-C424)/C424</f>
        <v>8.3604548625251449E-3</v>
      </c>
      <c r="N424" s="559">
        <f>'Progetto del paramento slu'!$G$60*(sezione!$AO$28-C424)/C424</f>
        <v>1.2009825589455958E-2</v>
      </c>
      <c r="O424" s="559">
        <f>'Progetto del paramento slu'!$G$60*(sezione!$AP$28-C424)/C424</f>
        <v>8.3604998217197985E-3</v>
      </c>
      <c r="P424" s="553">
        <f>-'Progetto del paramento slu'!$G$47*'Progetto del paramento slu'!$G$41*IF(DATI!$G$218="dx",DATI!$E$61,DATI!$E$64*DATI!$E$63)*1000*C424*sezione!$AD$5</f>
        <v>-1081515.0050045396</v>
      </c>
      <c r="Q424" s="553">
        <f>'Foglio deposito bis'!$F$48*IF(ABS(K424)&lt;'Progetto del paramento slu'!$G$58,ABS(K424)*'Progetto del paramento slu'!$G$54,'Progetto del paramento slu'!$G$53)*IF(K424&lt;0,-1,1)</f>
        <v>0</v>
      </c>
      <c r="R424" s="553">
        <f>'Foglio deposito bis'!$F$49*IF(ABS(L424)&lt;'Progetto del paramento slu'!$G$58,ABS(L424)*'Progetto del paramento slu'!$G$54,'Progetto del paramento slu'!$G$53)*IF(L424&lt;0,-1,1)</f>
        <v>204886.47740803001</v>
      </c>
      <c r="S424" s="553">
        <f>'Foglio deposito bis'!$F$50*IF(ABS(M424)&lt;'Progetto del paramento slu'!$G$58,ABS(M424)*'Progetto del paramento slu'!$G$54,'Progetto del paramento slu'!$G$53)*IF(M424&lt;0,-1,1)</f>
        <v>0</v>
      </c>
      <c r="T424" s="553">
        <f>'Foglio deposito bis'!$F$51*IF(ABS(N424)&lt;'Progetto del paramento slu'!$G$58,ABS(N424)*'Progetto del paramento slu'!$G$54,'Progetto del paramento slu'!$G$53)*IF(N424&lt;0,-1,1)</f>
        <v>240946.49743184328</v>
      </c>
      <c r="U424" s="553">
        <f>'Foglio deposito bis'!$F$52*IF(ABS(O424)&lt;'Progetto del paramento slu'!$G$58,ABS(O424)*'Progetto del paramento slu'!$G$54,'Progetto del paramento slu'!$G$53)*IF(O424&lt;0,-1,1)</f>
        <v>240946.49743184328</v>
      </c>
      <c r="V424" s="479">
        <f t="shared" si="34"/>
        <v>-394735.53273282293</v>
      </c>
      <c r="W424" s="559"/>
      <c r="X424" s="559"/>
    </row>
    <row r="425" spans="1:24" x14ac:dyDescent="0.25">
      <c r="A425" s="553">
        <f t="shared" si="33"/>
        <v>406180.13596038404</v>
      </c>
      <c r="B425" s="3">
        <f t="shared" si="35"/>
        <v>19.099999999999955</v>
      </c>
      <c r="C425" s="553">
        <f>'Foglio deposito bis'!$E$154/sezione!$B$247*B425</f>
        <v>77.537467178879865</v>
      </c>
      <c r="D425" s="611">
        <f>-'Progetto del paramento slu'!$G$47*'Progetto del paramento slu'!$G$41*IF(DATI!$G$218="dx",DATI!$E$61,DATI!$E$64*DATI!$E$63)*1000*C425^2*sezione!$AD$5*(1-sezione!$AD$6)</f>
        <v>-49491266.734664544</v>
      </c>
      <c r="E425" s="553">
        <f>-'Foglio deposito bis'!$F$48*(C425-sezione!$AL$28)*IF(ABS(K425)&lt;'Progetto del paramento slu'!$G$58,ABS(K425)*'Progetto del paramento slu'!$G$54,'Progetto del paramento slu'!$G$53)</f>
        <v>0</v>
      </c>
      <c r="F425" s="553">
        <f>-'Foglio deposito bis'!$F$49*(C425-sezione!$AM$28)*IF(ABS(L425)&lt;'Progetto del paramento slu'!$G$58,ABS(L425)*'Progetto del paramento slu'!$G$54,'Progetto del paramento slu'!$G$53)</f>
        <v>14846593.093783064</v>
      </c>
      <c r="G425" s="553">
        <f>-'Foglio deposito bis'!$F$50*(C425-sezione!$AN$28)*IF(ABS(M425)&lt;'Progetto del paramento slu'!$G$58,ABS(M425)*'Progetto del paramento slu'!$G$54,'Progetto del paramento slu'!$G$53)</f>
        <v>0</v>
      </c>
      <c r="H425" s="553">
        <f>-'Foglio deposito bis'!$F$51*(C425-sezione!$AO$28)*IF(ABS(N425)&lt;'Progetto del paramento slu'!$G$58,ABS(N425)*'Progetto del paramento slu'!$G$54,'Progetto del paramento slu'!$G$53)</f>
        <v>63239427.9903391</v>
      </c>
      <c r="I425" s="479">
        <f>-'Foglio deposito bis'!$F$52*(C425-sezione!$AP$28)*IF(ABS(O425)&lt;'Progetto del paramento slu'!$G$58,ABS(O425)*'Progetto del paramento slu'!$G$54,'Progetto del paramento slu'!$G$53)</f>
        <v>43963945.667099208</v>
      </c>
      <c r="J425" s="479">
        <f t="shared" si="32"/>
        <v>72558700.016556829</v>
      </c>
      <c r="K425" s="558">
        <f>'Progetto del paramento slu'!$G$60*(sezione!$AL$28-C425)/C425</f>
        <v>-1.694421289555173E-3</v>
      </c>
      <c r="L425" s="558">
        <f>'Progetto del paramento slu'!$G$60*(sezione!$AM$28-C425)/C425</f>
        <v>3.2709201641681011E-3</v>
      </c>
      <c r="M425" s="559">
        <f>'Progetto del paramento slu'!$G$60*(sezione!$AN$28-C425)/C425</f>
        <v>8.2362616178913751E-3</v>
      </c>
      <c r="N425" s="559">
        <f>'Progetto del paramento slu'!$G$60*(sezione!$AO$28-C425)/C425</f>
        <v>1.184741903878103E-2</v>
      </c>
      <c r="O425" s="559">
        <f>'Progetto del paramento slu'!$G$60*(sezione!$AP$28-C425)/C425</f>
        <v>8.2363061063091218E-3</v>
      </c>
      <c r="P425" s="553">
        <f>-'Progetto del paramento slu'!$G$47*'Progetto del paramento slu'!$G$41*IF(DATI!$G$218="dx",DATI!$E$61,DATI!$E$64*DATI!$E$63)*1000*C425*sezione!$AD$5</f>
        <v>-1092959.6082321007</v>
      </c>
      <c r="Q425" s="553">
        <f>'Foglio deposito bis'!$F$48*IF(ABS(K425)&lt;'Progetto del paramento slu'!$G$58,ABS(K425)*'Progetto del paramento slu'!$G$54,'Progetto del paramento slu'!$G$53)*IF(K425&lt;0,-1,1)</f>
        <v>0</v>
      </c>
      <c r="R425" s="553">
        <f>'Foglio deposito bis'!$F$49*IF(ABS(L425)&lt;'Progetto del paramento slu'!$G$58,ABS(L425)*'Progetto del paramento slu'!$G$54,'Progetto del paramento slu'!$G$53)*IF(L425&lt;0,-1,1)</f>
        <v>204886.47740803001</v>
      </c>
      <c r="S425" s="553">
        <f>'Foglio deposito bis'!$F$50*IF(ABS(M425)&lt;'Progetto del paramento slu'!$G$58,ABS(M425)*'Progetto del paramento slu'!$G$54,'Progetto del paramento slu'!$G$53)*IF(M425&lt;0,-1,1)</f>
        <v>0</v>
      </c>
      <c r="T425" s="553">
        <f>'Foglio deposito bis'!$F$51*IF(ABS(N425)&lt;'Progetto del paramento slu'!$G$58,ABS(N425)*'Progetto del paramento slu'!$G$54,'Progetto del paramento slu'!$G$53)*IF(N425&lt;0,-1,1)</f>
        <v>240946.49743184328</v>
      </c>
      <c r="U425" s="553">
        <f>'Foglio deposito bis'!$F$52*IF(ABS(O425)&lt;'Progetto del paramento slu'!$G$58,ABS(O425)*'Progetto del paramento slu'!$G$54,'Progetto del paramento slu'!$G$53)*IF(O425&lt;0,-1,1)</f>
        <v>240946.49743184328</v>
      </c>
      <c r="V425" s="479">
        <f t="shared" si="34"/>
        <v>-406180.13596038404</v>
      </c>
      <c r="W425" s="559"/>
      <c r="X425" s="559"/>
    </row>
    <row r="426" spans="1:24" x14ac:dyDescent="0.25">
      <c r="A426" s="553">
        <f t="shared" si="33"/>
        <v>417624.73918794538</v>
      </c>
      <c r="B426" s="3">
        <f t="shared" si="35"/>
        <v>19.299999999999955</v>
      </c>
      <c r="C426" s="553">
        <f>'Foglio deposito bis'!$E$154/sezione!$B$247*B426</f>
        <v>78.349377829967608</v>
      </c>
      <c r="D426" s="611">
        <f>-'Progetto del paramento slu'!$G$47*'Progetto del paramento slu'!$G$41*IF(DATI!$G$218="dx",DATI!$E$61,DATI!$E$64*DATI!$E$63)*1000*C426^2*sezione!$AD$5*(1-sezione!$AD$6)</f>
        <v>-50533159.578945749</v>
      </c>
      <c r="E426" s="553">
        <f>-'Foglio deposito bis'!$F$48*(C426-sezione!$AL$28)*IF(ABS(K426)&lt;'Progetto del paramento slu'!$G$58,ABS(K426)*'Progetto del paramento slu'!$G$54,'Progetto del paramento slu'!$G$53)</f>
        <v>0</v>
      </c>
      <c r="F426" s="553">
        <f>-'Foglio deposito bis'!$F$49*(C426-sezione!$AM$28)*IF(ABS(L426)&lt;'Progetto del paramento slu'!$G$58,ABS(L426)*'Progetto del paramento slu'!$G$54,'Progetto del paramento slu'!$G$53)</f>
        <v>14680243.580511635</v>
      </c>
      <c r="G426" s="553">
        <f>-'Foglio deposito bis'!$F$50*(C426-sezione!$AN$28)*IF(ABS(M426)&lt;'Progetto del paramento slu'!$G$58,ABS(M426)*'Progetto del paramento slu'!$G$54,'Progetto del paramento slu'!$G$53)</f>
        <v>0</v>
      </c>
      <c r="H426" s="553">
        <f>-'Foglio deposito bis'!$F$51*(C426-sezione!$AO$28)*IF(ABS(N426)&lt;'Progetto del paramento slu'!$G$58,ABS(N426)*'Progetto del paramento slu'!$G$54,'Progetto del paramento slu'!$G$53)</f>
        <v>63043800.962731913</v>
      </c>
      <c r="I426" s="479">
        <f>-'Foglio deposito bis'!$F$52*(C426-sezione!$AP$28)*IF(ABS(O426)&lt;'Progetto del paramento slu'!$G$58,ABS(O426)*'Progetto del paramento slu'!$G$54,'Progetto del paramento slu'!$G$53)</f>
        <v>43768318.639492005</v>
      </c>
      <c r="J426" s="479">
        <f t="shared" si="32"/>
        <v>70959203.603789806</v>
      </c>
      <c r="K426" s="558">
        <f>'Progetto del paramento slu'!$G$60*(sezione!$AL$28-C426)/C426</f>
        <v>-1.7131319497670366E-3</v>
      </c>
      <c r="L426" s="558">
        <f>'Progetto del paramento slu'!$G$60*(sezione!$AM$28-C426)/C426</f>
        <v>3.2007551883736132E-3</v>
      </c>
      <c r="M426" s="559">
        <f>'Progetto del paramento slu'!$G$60*(sezione!$AN$28-C426)/C426</f>
        <v>8.1146423265142636E-3</v>
      </c>
      <c r="N426" s="559">
        <f>'Progetto del paramento slu'!$G$60*(sezione!$AO$28-C426)/C426</f>
        <v>1.1688378426980192E-2</v>
      </c>
      <c r="O426" s="559">
        <f>'Progetto del paramento slu'!$G$60*(sezione!$AP$28-C426)/C426</f>
        <v>8.1146863539121351E-3</v>
      </c>
      <c r="P426" s="553">
        <f>-'Progetto del paramento slu'!$G$47*'Progetto del paramento slu'!$G$41*IF(DATI!$G$218="dx",DATI!$E$61,DATI!$E$64*DATI!$E$63)*1000*C426*sezione!$AD$5</f>
        <v>-1104404.2114596621</v>
      </c>
      <c r="Q426" s="553">
        <f>'Foglio deposito bis'!$F$48*IF(ABS(K426)&lt;'Progetto del paramento slu'!$G$58,ABS(K426)*'Progetto del paramento slu'!$G$54,'Progetto del paramento slu'!$G$53)*IF(K426&lt;0,-1,1)</f>
        <v>0</v>
      </c>
      <c r="R426" s="553">
        <f>'Foglio deposito bis'!$F$49*IF(ABS(L426)&lt;'Progetto del paramento slu'!$G$58,ABS(L426)*'Progetto del paramento slu'!$G$54,'Progetto del paramento slu'!$G$53)*IF(L426&lt;0,-1,1)</f>
        <v>204886.47740803001</v>
      </c>
      <c r="S426" s="553">
        <f>'Foglio deposito bis'!$F$50*IF(ABS(M426)&lt;'Progetto del paramento slu'!$G$58,ABS(M426)*'Progetto del paramento slu'!$G$54,'Progetto del paramento slu'!$G$53)*IF(M426&lt;0,-1,1)</f>
        <v>0</v>
      </c>
      <c r="T426" s="553">
        <f>'Foglio deposito bis'!$F$51*IF(ABS(N426)&lt;'Progetto del paramento slu'!$G$58,ABS(N426)*'Progetto del paramento slu'!$G$54,'Progetto del paramento slu'!$G$53)*IF(N426&lt;0,-1,1)</f>
        <v>240946.49743184328</v>
      </c>
      <c r="U426" s="553">
        <f>'Foglio deposito bis'!$F$52*IF(ABS(O426)&lt;'Progetto del paramento slu'!$G$58,ABS(O426)*'Progetto del paramento slu'!$G$54,'Progetto del paramento slu'!$G$53)*IF(O426&lt;0,-1,1)</f>
        <v>240946.49743184328</v>
      </c>
      <c r="V426" s="479">
        <f t="shared" si="34"/>
        <v>-417624.73918794538</v>
      </c>
      <c r="W426" s="559"/>
      <c r="X426" s="559"/>
    </row>
    <row r="427" spans="1:24" x14ac:dyDescent="0.25">
      <c r="A427" s="553">
        <f t="shared" si="33"/>
        <v>429069.34241550649</v>
      </c>
      <c r="B427" s="3">
        <f t="shared" si="35"/>
        <v>19.499999999999954</v>
      </c>
      <c r="C427" s="553">
        <f>'Foglio deposito bis'!$E$154/sezione!$B$247*B427</f>
        <v>79.161288481055351</v>
      </c>
      <c r="D427" s="611">
        <f>-'Progetto del paramento slu'!$G$47*'Progetto del paramento slu'!$G$41*IF(DATI!$G$218="dx",DATI!$E$61,DATI!$E$64*DATI!$E$63)*1000*C427^2*sezione!$AD$5*(1-sezione!$AD$6)</f>
        <v>-51585905.4736882</v>
      </c>
      <c r="E427" s="553">
        <f>-'Foglio deposito bis'!$F$48*(C427-sezione!$AL$28)*IF(ABS(K427)&lt;'Progetto del paramento slu'!$G$58,ABS(K427)*'Progetto del paramento slu'!$G$54,'Progetto del paramento slu'!$G$53)</f>
        <v>0</v>
      </c>
      <c r="F427" s="553">
        <f>-'Foglio deposito bis'!$F$49*(C427-sezione!$AM$28)*IF(ABS(L427)&lt;'Progetto del paramento slu'!$G$58,ABS(L427)*'Progetto del paramento slu'!$G$54,'Progetto del paramento slu'!$G$53)</f>
        <v>14513894.067240208</v>
      </c>
      <c r="G427" s="553">
        <f>-'Foglio deposito bis'!$F$50*(C427-sezione!$AN$28)*IF(ABS(M427)&lt;'Progetto del paramento slu'!$G$58,ABS(M427)*'Progetto del paramento slu'!$G$54,'Progetto del paramento slu'!$G$53)</f>
        <v>0</v>
      </c>
      <c r="H427" s="553">
        <f>-'Foglio deposito bis'!$F$51*(C427-sezione!$AO$28)*IF(ABS(N427)&lt;'Progetto del paramento slu'!$G$58,ABS(N427)*'Progetto del paramento slu'!$G$54,'Progetto del paramento slu'!$G$53)</f>
        <v>62848173.93512471</v>
      </c>
      <c r="I427" s="479">
        <f>-'Foglio deposito bis'!$F$52*(C427-sezione!$AP$28)*IF(ABS(O427)&lt;'Progetto del paramento slu'!$G$58,ABS(O427)*'Progetto del paramento slu'!$G$54,'Progetto del paramento slu'!$G$53)</f>
        <v>43572691.61188481</v>
      </c>
      <c r="J427" s="479">
        <f t="shared" si="32"/>
        <v>69348854.140561521</v>
      </c>
      <c r="K427" s="558">
        <f>'Progetto del paramento slu'!$G$60*(sezione!$AL$28-C427)/C427</f>
        <v>-1.7314588015642977E-3</v>
      </c>
      <c r="L427" s="558">
        <f>'Progetto del paramento slu'!$G$60*(sezione!$AM$28-C427)/C427</f>
        <v>3.1320294941338841E-3</v>
      </c>
      <c r="M427" s="559">
        <f>'Progetto del paramento slu'!$G$60*(sezione!$AN$28-C427)/C427</f>
        <v>7.9955177898320649E-3</v>
      </c>
      <c r="N427" s="559">
        <f>'Progetto del paramento slu'!$G$60*(sezione!$AO$28-C427)/C427</f>
        <v>1.1532600186703471E-2</v>
      </c>
      <c r="O427" s="559">
        <f>'Progetto del paramento slu'!$G$60*(sezione!$AP$28-C427)/C427</f>
        <v>7.9955613656668839E-3</v>
      </c>
      <c r="P427" s="553">
        <f>-'Progetto del paramento slu'!$G$47*'Progetto del paramento slu'!$G$41*IF(DATI!$G$218="dx",DATI!$E$61,DATI!$E$64*DATI!$E$63)*1000*C427*sezione!$AD$5</f>
        <v>-1115848.8146872232</v>
      </c>
      <c r="Q427" s="553">
        <f>'Foglio deposito bis'!$F$48*IF(ABS(K427)&lt;'Progetto del paramento slu'!$G$58,ABS(K427)*'Progetto del paramento slu'!$G$54,'Progetto del paramento slu'!$G$53)*IF(K427&lt;0,-1,1)</f>
        <v>0</v>
      </c>
      <c r="R427" s="553">
        <f>'Foglio deposito bis'!$F$49*IF(ABS(L427)&lt;'Progetto del paramento slu'!$G$58,ABS(L427)*'Progetto del paramento slu'!$G$54,'Progetto del paramento slu'!$G$53)*IF(L427&lt;0,-1,1)</f>
        <v>204886.47740803001</v>
      </c>
      <c r="S427" s="553">
        <f>'Foglio deposito bis'!$F$50*IF(ABS(M427)&lt;'Progetto del paramento slu'!$G$58,ABS(M427)*'Progetto del paramento slu'!$G$54,'Progetto del paramento slu'!$G$53)*IF(M427&lt;0,-1,1)</f>
        <v>0</v>
      </c>
      <c r="T427" s="553">
        <f>'Foglio deposito bis'!$F$51*IF(ABS(N427)&lt;'Progetto del paramento slu'!$G$58,ABS(N427)*'Progetto del paramento slu'!$G$54,'Progetto del paramento slu'!$G$53)*IF(N427&lt;0,-1,1)</f>
        <v>240946.49743184328</v>
      </c>
      <c r="U427" s="553">
        <f>'Foglio deposito bis'!$F$52*IF(ABS(O427)&lt;'Progetto del paramento slu'!$G$58,ABS(O427)*'Progetto del paramento slu'!$G$54,'Progetto del paramento slu'!$G$53)*IF(O427&lt;0,-1,1)</f>
        <v>240946.49743184328</v>
      </c>
      <c r="V427" s="479">
        <f t="shared" si="34"/>
        <v>-429069.34241550649</v>
      </c>
      <c r="W427" s="559"/>
      <c r="X427" s="559"/>
    </row>
    <row r="428" spans="1:24" x14ac:dyDescent="0.25">
      <c r="A428" s="553">
        <f t="shared" si="33"/>
        <v>440513.94564306806</v>
      </c>
      <c r="B428" s="3">
        <f t="shared" si="35"/>
        <v>19.699999999999953</v>
      </c>
      <c r="C428" s="553">
        <f>'Foglio deposito bis'!$E$154/sezione!$B$247*B428</f>
        <v>79.973199132143108</v>
      </c>
      <c r="D428" s="611">
        <f>-'Progetto del paramento slu'!$G$47*'Progetto del paramento slu'!$G$41*IF(DATI!$G$218="dx",DATI!$E$61,DATI!$E$64*DATI!$E$63)*1000*C428^2*sezione!$AD$5*(1-sezione!$AD$6)</f>
        <v>-52649504.418891937</v>
      </c>
      <c r="E428" s="553">
        <f>-'Foglio deposito bis'!$F$48*(C428-sezione!$AL$28)*IF(ABS(K428)&lt;'Progetto del paramento slu'!$G$58,ABS(K428)*'Progetto del paramento slu'!$G$54,'Progetto del paramento slu'!$G$53)</f>
        <v>0</v>
      </c>
      <c r="F428" s="553">
        <f>-'Foglio deposito bis'!$F$49*(C428-sezione!$AM$28)*IF(ABS(L428)&lt;'Progetto del paramento slu'!$G$58,ABS(L428)*'Progetto del paramento slu'!$G$54,'Progetto del paramento slu'!$G$53)</f>
        <v>14347544.553968778</v>
      </c>
      <c r="G428" s="553">
        <f>-'Foglio deposito bis'!$F$50*(C428-sezione!$AN$28)*IF(ABS(M428)&lt;'Progetto del paramento slu'!$G$58,ABS(M428)*'Progetto del paramento slu'!$G$54,'Progetto del paramento slu'!$G$53)</f>
        <v>0</v>
      </c>
      <c r="H428" s="553">
        <f>-'Foglio deposito bis'!$F$51*(C428-sezione!$AO$28)*IF(ABS(N428)&lt;'Progetto del paramento slu'!$G$58,ABS(N428)*'Progetto del paramento slu'!$G$54,'Progetto del paramento slu'!$G$53)</f>
        <v>62652546.9075175</v>
      </c>
      <c r="I428" s="479">
        <f>-'Foglio deposito bis'!$F$52*(C428-sezione!$AP$28)*IF(ABS(O428)&lt;'Progetto del paramento slu'!$G$58,ABS(O428)*'Progetto del paramento slu'!$G$54,'Progetto del paramento slu'!$G$53)</f>
        <v>43377064.584277608</v>
      </c>
      <c r="J428" s="479">
        <f t="shared" si="32"/>
        <v>67727651.626871943</v>
      </c>
      <c r="K428" s="558">
        <f>'Progetto del paramento slu'!$G$60*(sezione!$AL$28-C428)/C428</f>
        <v>-1.7494135345433406E-3</v>
      </c>
      <c r="L428" s="558">
        <f>'Progetto del paramento slu'!$G$60*(sezione!$AM$28-C428)/C428</f>
        <v>3.0646992454624734E-3</v>
      </c>
      <c r="M428" s="559">
        <f>'Progetto del paramento slu'!$G$60*(sezione!$AN$28-C428)/C428</f>
        <v>7.8788120254682861E-3</v>
      </c>
      <c r="N428" s="559">
        <f>'Progetto del paramento slu'!$G$60*(sezione!$AO$28-C428)/C428</f>
        <v>1.1379984956381607E-2</v>
      </c>
      <c r="O428" s="559">
        <f>'Progetto del paramento slu'!$G$60*(sezione!$AP$28-C428)/C428</f>
        <v>7.8788551589088415E-3</v>
      </c>
      <c r="P428" s="553">
        <f>-'Progetto del paramento slu'!$G$47*'Progetto del paramento slu'!$G$41*IF(DATI!$G$218="dx",DATI!$E$61,DATI!$E$64*DATI!$E$63)*1000*C428*sezione!$AD$5</f>
        <v>-1127293.4179147847</v>
      </c>
      <c r="Q428" s="553">
        <f>'Foglio deposito bis'!$F$48*IF(ABS(K428)&lt;'Progetto del paramento slu'!$G$58,ABS(K428)*'Progetto del paramento slu'!$G$54,'Progetto del paramento slu'!$G$53)*IF(K428&lt;0,-1,1)</f>
        <v>0</v>
      </c>
      <c r="R428" s="553">
        <f>'Foglio deposito bis'!$F$49*IF(ABS(L428)&lt;'Progetto del paramento slu'!$G$58,ABS(L428)*'Progetto del paramento slu'!$G$54,'Progetto del paramento slu'!$G$53)*IF(L428&lt;0,-1,1)</f>
        <v>204886.47740803001</v>
      </c>
      <c r="S428" s="553">
        <f>'Foglio deposito bis'!$F$50*IF(ABS(M428)&lt;'Progetto del paramento slu'!$G$58,ABS(M428)*'Progetto del paramento slu'!$G$54,'Progetto del paramento slu'!$G$53)*IF(M428&lt;0,-1,1)</f>
        <v>0</v>
      </c>
      <c r="T428" s="553">
        <f>'Foglio deposito bis'!$F$51*IF(ABS(N428)&lt;'Progetto del paramento slu'!$G$58,ABS(N428)*'Progetto del paramento slu'!$G$54,'Progetto del paramento slu'!$G$53)*IF(N428&lt;0,-1,1)</f>
        <v>240946.49743184328</v>
      </c>
      <c r="U428" s="553">
        <f>'Foglio deposito bis'!$F$52*IF(ABS(O428)&lt;'Progetto del paramento slu'!$G$58,ABS(O428)*'Progetto del paramento slu'!$G$54,'Progetto del paramento slu'!$G$53)*IF(O428&lt;0,-1,1)</f>
        <v>240946.49743184328</v>
      </c>
      <c r="V428" s="479">
        <f t="shared" si="34"/>
        <v>-440513.94564306806</v>
      </c>
      <c r="W428" s="559"/>
      <c r="X428" s="559"/>
    </row>
    <row r="429" spans="1:24" x14ac:dyDescent="0.25">
      <c r="A429" s="553">
        <f t="shared" si="33"/>
        <v>451958.54887062917</v>
      </c>
      <c r="B429" s="3">
        <f t="shared" si="35"/>
        <v>19.899999999999952</v>
      </c>
      <c r="C429" s="553">
        <f>'Foglio deposito bis'!$E$154/sezione!$B$247*B429</f>
        <v>80.785109783230851</v>
      </c>
      <c r="D429" s="611">
        <f>-'Progetto del paramento slu'!$G$47*'Progetto del paramento slu'!$G$41*IF(DATI!$G$218="dx",DATI!$E$61,DATI!$E$64*DATI!$E$63)*1000*C429^2*sezione!$AD$5*(1-sezione!$AD$6)</f>
        <v>-53723956.414556913</v>
      </c>
      <c r="E429" s="553">
        <f>-'Foglio deposito bis'!$F$48*(C429-sezione!$AL$28)*IF(ABS(K429)&lt;'Progetto del paramento slu'!$G$58,ABS(K429)*'Progetto del paramento slu'!$G$54,'Progetto del paramento slu'!$G$53)</f>
        <v>0</v>
      </c>
      <c r="F429" s="553">
        <f>-'Foglio deposito bis'!$F$49*(C429-sezione!$AM$28)*IF(ABS(L429)&lt;'Progetto del paramento slu'!$G$58,ABS(L429)*'Progetto del paramento slu'!$G$54,'Progetto del paramento slu'!$G$53)</f>
        <v>14181195.040697349</v>
      </c>
      <c r="G429" s="553">
        <f>-'Foglio deposito bis'!$F$50*(C429-sezione!$AN$28)*IF(ABS(M429)&lt;'Progetto del paramento slu'!$G$58,ABS(M429)*'Progetto del paramento slu'!$G$54,'Progetto del paramento slu'!$G$53)</f>
        <v>0</v>
      </c>
      <c r="H429" s="553">
        <f>-'Foglio deposito bis'!$F$51*(C429-sezione!$AO$28)*IF(ABS(N429)&lt;'Progetto del paramento slu'!$G$58,ABS(N429)*'Progetto del paramento slu'!$G$54,'Progetto del paramento slu'!$G$53)</f>
        <v>62456919.879910305</v>
      </c>
      <c r="I429" s="479">
        <f>-'Foglio deposito bis'!$F$52*(C429-sezione!$AP$28)*IF(ABS(O429)&lt;'Progetto del paramento slu'!$G$58,ABS(O429)*'Progetto del paramento slu'!$G$54,'Progetto del paramento slu'!$G$53)</f>
        <v>43181437.556670412</v>
      </c>
      <c r="J429" s="479">
        <f t="shared" si="32"/>
        <v>66095596.062721156</v>
      </c>
      <c r="K429" s="558">
        <f>'Progetto del paramento slu'!$G$60*(sezione!$AL$28-C429)/C429</f>
        <v>-1.7670073683670256E-3</v>
      </c>
      <c r="L429" s="558">
        <f>'Progetto del paramento slu'!$G$60*(sezione!$AM$28-C429)/C429</f>
        <v>2.9987223686236547E-3</v>
      </c>
      <c r="M429" s="559">
        <f>'Progetto del paramento slu'!$G$60*(sezione!$AN$28-C429)/C429</f>
        <v>7.7644521056143365E-3</v>
      </c>
      <c r="N429" s="559">
        <f>'Progetto del paramento slu'!$G$60*(sezione!$AO$28-C429)/C429</f>
        <v>1.1230437368880287E-2</v>
      </c>
      <c r="O429" s="559">
        <f>'Progetto del paramento slu'!$G$60*(sezione!$AP$28-C429)/C429</f>
        <v>7.764494805552977E-3</v>
      </c>
      <c r="P429" s="553">
        <f>-'Progetto del paramento slu'!$G$47*'Progetto del paramento slu'!$G$41*IF(DATI!$G$218="dx",DATI!$E$61,DATI!$E$64*DATI!$E$63)*1000*C429*sezione!$AD$5</f>
        <v>-1138738.0211423459</v>
      </c>
      <c r="Q429" s="553">
        <f>'Foglio deposito bis'!$F$48*IF(ABS(K429)&lt;'Progetto del paramento slu'!$G$58,ABS(K429)*'Progetto del paramento slu'!$G$54,'Progetto del paramento slu'!$G$53)*IF(K429&lt;0,-1,1)</f>
        <v>0</v>
      </c>
      <c r="R429" s="553">
        <f>'Foglio deposito bis'!$F$49*IF(ABS(L429)&lt;'Progetto del paramento slu'!$G$58,ABS(L429)*'Progetto del paramento slu'!$G$54,'Progetto del paramento slu'!$G$53)*IF(L429&lt;0,-1,1)</f>
        <v>204886.47740803001</v>
      </c>
      <c r="S429" s="553">
        <f>'Foglio deposito bis'!$F$50*IF(ABS(M429)&lt;'Progetto del paramento slu'!$G$58,ABS(M429)*'Progetto del paramento slu'!$G$54,'Progetto del paramento slu'!$G$53)*IF(M429&lt;0,-1,1)</f>
        <v>0</v>
      </c>
      <c r="T429" s="553">
        <f>'Foglio deposito bis'!$F$51*IF(ABS(N429)&lt;'Progetto del paramento slu'!$G$58,ABS(N429)*'Progetto del paramento slu'!$G$54,'Progetto del paramento slu'!$G$53)*IF(N429&lt;0,-1,1)</f>
        <v>240946.49743184328</v>
      </c>
      <c r="U429" s="553">
        <f>'Foglio deposito bis'!$F$52*IF(ABS(O429)&lt;'Progetto del paramento slu'!$G$58,ABS(O429)*'Progetto del paramento slu'!$G$54,'Progetto del paramento slu'!$G$53)*IF(O429&lt;0,-1,1)</f>
        <v>240946.49743184328</v>
      </c>
      <c r="V429" s="479">
        <f t="shared" si="34"/>
        <v>-451958.54887062917</v>
      </c>
      <c r="W429" s="559"/>
      <c r="X429" s="559"/>
    </row>
    <row r="430" spans="1:24" x14ac:dyDescent="0.25">
      <c r="A430" s="553">
        <f t="shared" si="33"/>
        <v>463403.15209819027</v>
      </c>
      <c r="B430" s="3">
        <f t="shared" si="35"/>
        <v>20.099999999999952</v>
      </c>
      <c r="C430" s="553">
        <f>'Foglio deposito bis'!$E$154/sezione!$B$247*B430</f>
        <v>81.597020434318594</v>
      </c>
      <c r="D430" s="611">
        <f>-'Progetto del paramento slu'!$G$47*'Progetto del paramento slu'!$G$41*IF(DATI!$G$218="dx",DATI!$E$61,DATI!$E$64*DATI!$E$63)*1000*C430^2*sezione!$AD$5*(1-sezione!$AD$6)</f>
        <v>-54809261.460683152</v>
      </c>
      <c r="E430" s="553">
        <f>-'Foglio deposito bis'!$F$48*(C430-sezione!$AL$28)*IF(ABS(K430)&lt;'Progetto del paramento slu'!$G$58,ABS(K430)*'Progetto del paramento slu'!$G$54,'Progetto del paramento slu'!$G$53)</f>
        <v>0</v>
      </c>
      <c r="F430" s="553">
        <f>-'Foglio deposito bis'!$F$49*(C430-sezione!$AM$28)*IF(ABS(L430)&lt;'Progetto del paramento slu'!$G$58,ABS(L430)*'Progetto del paramento slu'!$G$54,'Progetto del paramento slu'!$G$53)</f>
        <v>14014845.527425922</v>
      </c>
      <c r="G430" s="553">
        <f>-'Foglio deposito bis'!$F$50*(C430-sezione!$AN$28)*IF(ABS(M430)&lt;'Progetto del paramento slu'!$G$58,ABS(M430)*'Progetto del paramento slu'!$G$54,'Progetto del paramento slu'!$G$53)</f>
        <v>0</v>
      </c>
      <c r="H430" s="553">
        <f>-'Foglio deposito bis'!$F$51*(C430-sezione!$AO$28)*IF(ABS(N430)&lt;'Progetto del paramento slu'!$G$58,ABS(N430)*'Progetto del paramento slu'!$G$54,'Progetto del paramento slu'!$G$53)</f>
        <v>62261292.852303103</v>
      </c>
      <c r="I430" s="479">
        <f>-'Foglio deposito bis'!$F$52*(C430-sezione!$AP$28)*IF(ABS(O430)&lt;'Progetto del paramento slu'!$G$58,ABS(O430)*'Progetto del paramento slu'!$G$54,'Progetto del paramento slu'!$G$53)</f>
        <v>42985810.529063202</v>
      </c>
      <c r="J430" s="479">
        <f t="shared" si="32"/>
        <v>64452687.448109075</v>
      </c>
      <c r="K430" s="558">
        <f>'Progetto del paramento slu'!$G$60*(sezione!$AL$28-C430)/C430</f>
        <v>-1.7842510761444678E-3</v>
      </c>
      <c r="L430" s="558">
        <f>'Progetto del paramento slu'!$G$60*(sezione!$AM$28-C430)/C430</f>
        <v>2.934058464458246E-3</v>
      </c>
      <c r="M430" s="559">
        <f>'Progetto del paramento slu'!$G$60*(sezione!$AN$28-C430)/C430</f>
        <v>7.6523680050609591E-3</v>
      </c>
      <c r="N430" s="559">
        <f>'Progetto del paramento slu'!$G$60*(sezione!$AO$28-C430)/C430</f>
        <v>1.1083865852772023E-2</v>
      </c>
      <c r="O430" s="559">
        <f>'Progetto del paramento slu'!$G$60*(sezione!$AP$28-C430)/C430</f>
        <v>7.6524102801245877E-3</v>
      </c>
      <c r="P430" s="553">
        <f>-'Progetto del paramento slu'!$G$47*'Progetto del paramento slu'!$G$41*IF(DATI!$G$218="dx",DATI!$E$61,DATI!$E$64*DATI!$E$63)*1000*C430*sezione!$AD$5</f>
        <v>-1150182.624369907</v>
      </c>
      <c r="Q430" s="553">
        <f>'Foglio deposito bis'!$F$48*IF(ABS(K430)&lt;'Progetto del paramento slu'!$G$58,ABS(K430)*'Progetto del paramento slu'!$G$54,'Progetto del paramento slu'!$G$53)*IF(K430&lt;0,-1,1)</f>
        <v>0</v>
      </c>
      <c r="R430" s="553">
        <f>'Foglio deposito bis'!$F$49*IF(ABS(L430)&lt;'Progetto del paramento slu'!$G$58,ABS(L430)*'Progetto del paramento slu'!$G$54,'Progetto del paramento slu'!$G$53)*IF(L430&lt;0,-1,1)</f>
        <v>204886.47740803001</v>
      </c>
      <c r="S430" s="553">
        <f>'Foglio deposito bis'!$F$50*IF(ABS(M430)&lt;'Progetto del paramento slu'!$G$58,ABS(M430)*'Progetto del paramento slu'!$G$54,'Progetto del paramento slu'!$G$53)*IF(M430&lt;0,-1,1)</f>
        <v>0</v>
      </c>
      <c r="T430" s="553">
        <f>'Foglio deposito bis'!$F$51*IF(ABS(N430)&lt;'Progetto del paramento slu'!$G$58,ABS(N430)*'Progetto del paramento slu'!$G$54,'Progetto del paramento slu'!$G$53)*IF(N430&lt;0,-1,1)</f>
        <v>240946.49743184328</v>
      </c>
      <c r="U430" s="553">
        <f>'Foglio deposito bis'!$F$52*IF(ABS(O430)&lt;'Progetto del paramento slu'!$G$58,ABS(O430)*'Progetto del paramento slu'!$G$54,'Progetto del paramento slu'!$G$53)*IF(O430&lt;0,-1,1)</f>
        <v>240946.49743184328</v>
      </c>
      <c r="V430" s="479">
        <f t="shared" si="34"/>
        <v>-463403.15209819027</v>
      </c>
      <c r="W430" s="559"/>
      <c r="X430" s="559"/>
    </row>
    <row r="431" spans="1:24" x14ac:dyDescent="0.25">
      <c r="A431" s="553">
        <f t="shared" si="33"/>
        <v>474847.75532575161</v>
      </c>
      <c r="B431" s="3">
        <f t="shared" si="35"/>
        <v>20.299999999999951</v>
      </c>
      <c r="C431" s="553">
        <f>'Foglio deposito bis'!$E$154/sezione!$B$247*B431</f>
        <v>82.408931085406337</v>
      </c>
      <c r="D431" s="611">
        <f>-'Progetto del paramento slu'!$G$47*'Progetto del paramento slu'!$G$41*IF(DATI!$G$218="dx",DATI!$E$61,DATI!$E$64*DATI!$E$63)*1000*C431^2*sezione!$AD$5*(1-sezione!$AD$6)</f>
        <v>-55905419.557270661</v>
      </c>
      <c r="E431" s="553">
        <f>-'Foglio deposito bis'!$F$48*(C431-sezione!$AL$28)*IF(ABS(K431)&lt;'Progetto del paramento slu'!$G$58,ABS(K431)*'Progetto del paramento slu'!$G$54,'Progetto del paramento slu'!$G$53)</f>
        <v>0</v>
      </c>
      <c r="F431" s="553">
        <f>-'Foglio deposito bis'!$F$49*(C431-sezione!$AM$28)*IF(ABS(L431)&lt;'Progetto del paramento slu'!$G$58,ABS(L431)*'Progetto del paramento slu'!$G$54,'Progetto del paramento slu'!$G$53)</f>
        <v>13848496.014154494</v>
      </c>
      <c r="G431" s="553">
        <f>-'Foglio deposito bis'!$F$50*(C431-sezione!$AN$28)*IF(ABS(M431)&lt;'Progetto del paramento slu'!$G$58,ABS(M431)*'Progetto del paramento slu'!$G$54,'Progetto del paramento slu'!$G$53)</f>
        <v>0</v>
      </c>
      <c r="H431" s="553">
        <f>-'Foglio deposito bis'!$F$51*(C431-sezione!$AO$28)*IF(ABS(N431)&lt;'Progetto del paramento slu'!$G$58,ABS(N431)*'Progetto del paramento slu'!$G$54,'Progetto del paramento slu'!$G$53)</f>
        <v>62065665.824695908</v>
      </c>
      <c r="I431" s="479">
        <f>-'Foglio deposito bis'!$F$52*(C431-sezione!$AP$28)*IF(ABS(O431)&lt;'Progetto del paramento slu'!$G$58,ABS(O431)*'Progetto del paramento slu'!$G$54,'Progetto del paramento slu'!$G$53)</f>
        <v>42790183.501456015</v>
      </c>
      <c r="J431" s="479">
        <f t="shared" si="32"/>
        <v>62798925.783035755</v>
      </c>
      <c r="K431" s="558">
        <f>'Progetto del paramento slu'!$G$60*(sezione!$AL$28-C431)/C431</f>
        <v>-1.8011550064287588E-3</v>
      </c>
      <c r="L431" s="558">
        <f>'Progetto del paramento slu'!$G$60*(sezione!$AM$28-C431)/C431</f>
        <v>2.8706687258921552E-3</v>
      </c>
      <c r="M431" s="559">
        <f>'Progetto del paramento slu'!$G$60*(sezione!$AN$28-C431)/C431</f>
        <v>7.5424924582130695E-3</v>
      </c>
      <c r="N431" s="559">
        <f>'Progetto del paramento slu'!$G$60*(sezione!$AO$28-C431)/C431</f>
        <v>1.0940182445355552E-2</v>
      </c>
      <c r="O431" s="559">
        <f>'Progetto del paramento slu'!$G$60*(sezione!$AP$28-C431)/C431</f>
        <v>7.5425343167736083E-3</v>
      </c>
      <c r="P431" s="553">
        <f>-'Progetto del paramento slu'!$G$47*'Progetto del paramento slu'!$G$41*IF(DATI!$G$218="dx",DATI!$E$61,DATI!$E$64*DATI!$E$63)*1000*C431*sezione!$AD$5</f>
        <v>-1161627.2275974683</v>
      </c>
      <c r="Q431" s="553">
        <f>'Foglio deposito bis'!$F$48*IF(ABS(K431)&lt;'Progetto del paramento slu'!$G$58,ABS(K431)*'Progetto del paramento slu'!$G$54,'Progetto del paramento slu'!$G$53)*IF(K431&lt;0,-1,1)</f>
        <v>0</v>
      </c>
      <c r="R431" s="553">
        <f>'Foglio deposito bis'!$F$49*IF(ABS(L431)&lt;'Progetto del paramento slu'!$G$58,ABS(L431)*'Progetto del paramento slu'!$G$54,'Progetto del paramento slu'!$G$53)*IF(L431&lt;0,-1,1)</f>
        <v>204886.47740803001</v>
      </c>
      <c r="S431" s="553">
        <f>'Foglio deposito bis'!$F$50*IF(ABS(M431)&lt;'Progetto del paramento slu'!$G$58,ABS(M431)*'Progetto del paramento slu'!$G$54,'Progetto del paramento slu'!$G$53)*IF(M431&lt;0,-1,1)</f>
        <v>0</v>
      </c>
      <c r="T431" s="553">
        <f>'Foglio deposito bis'!$F$51*IF(ABS(N431)&lt;'Progetto del paramento slu'!$G$58,ABS(N431)*'Progetto del paramento slu'!$G$54,'Progetto del paramento slu'!$G$53)*IF(N431&lt;0,-1,1)</f>
        <v>240946.49743184328</v>
      </c>
      <c r="U431" s="553">
        <f>'Foglio deposito bis'!$F$52*IF(ABS(O431)&lt;'Progetto del paramento slu'!$G$58,ABS(O431)*'Progetto del paramento slu'!$G$54,'Progetto del paramento slu'!$G$53)*IF(O431&lt;0,-1,1)</f>
        <v>240946.49743184328</v>
      </c>
      <c r="V431" s="479">
        <f t="shared" si="34"/>
        <v>-474847.75532575161</v>
      </c>
      <c r="W431" s="559"/>
      <c r="X431" s="559"/>
    </row>
    <row r="432" spans="1:24" x14ac:dyDescent="0.25">
      <c r="A432" s="553">
        <f t="shared" si="33"/>
        <v>486292.35855331318</v>
      </c>
      <c r="B432" s="3">
        <f t="shared" si="35"/>
        <v>20.49999999999995</v>
      </c>
      <c r="C432" s="553">
        <f>'Foglio deposito bis'!$E$154/sezione!$B$247*B432</f>
        <v>83.220841736494094</v>
      </c>
      <c r="D432" s="611">
        <f>-'Progetto del paramento slu'!$G$47*'Progetto del paramento slu'!$G$41*IF(DATI!$G$218="dx",DATI!$E$61,DATI!$E$64*DATI!$E$63)*1000*C432^2*sezione!$AD$5*(1-sezione!$AD$6)</f>
        <v>-57012430.704319447</v>
      </c>
      <c r="E432" s="553">
        <f>-'Foglio deposito bis'!$F$48*(C432-sezione!$AL$28)*IF(ABS(K432)&lt;'Progetto del paramento slu'!$G$58,ABS(K432)*'Progetto del paramento slu'!$G$54,'Progetto del paramento slu'!$G$53)</f>
        <v>0</v>
      </c>
      <c r="F432" s="553">
        <f>-'Foglio deposito bis'!$F$49*(C432-sezione!$AM$28)*IF(ABS(L432)&lt;'Progetto del paramento slu'!$G$58,ABS(L432)*'Progetto del paramento slu'!$G$54,'Progetto del paramento slu'!$G$53)</f>
        <v>13682146.500883063</v>
      </c>
      <c r="G432" s="553">
        <f>-'Foglio deposito bis'!$F$50*(C432-sezione!$AN$28)*IF(ABS(M432)&lt;'Progetto del paramento slu'!$G$58,ABS(M432)*'Progetto del paramento slu'!$G$54,'Progetto del paramento slu'!$G$53)</f>
        <v>0</v>
      </c>
      <c r="H432" s="553">
        <f>-'Foglio deposito bis'!$F$51*(C432-sezione!$AO$28)*IF(ABS(N432)&lt;'Progetto del paramento slu'!$G$58,ABS(N432)*'Progetto del paramento slu'!$G$54,'Progetto del paramento slu'!$G$53)</f>
        <v>61870038.797088698</v>
      </c>
      <c r="I432" s="479">
        <f>-'Foglio deposito bis'!$F$52*(C432-sezione!$AP$28)*IF(ABS(O432)&lt;'Progetto del paramento slu'!$G$58,ABS(O432)*'Progetto del paramento slu'!$G$54,'Progetto del paramento slu'!$G$53)</f>
        <v>42594556.473848805</v>
      </c>
      <c r="J432" s="479">
        <f t="shared" si="32"/>
        <v>61134311.06750112</v>
      </c>
      <c r="K432" s="558">
        <f>'Progetto del paramento slu'!$G$60*(sezione!$AL$28-C432)/C432</f>
        <v>-1.8177291039270149E-3</v>
      </c>
      <c r="L432" s="558">
        <f>'Progetto del paramento slu'!$G$60*(sezione!$AM$28-C432)/C432</f>
        <v>2.808515860273694E-3</v>
      </c>
      <c r="M432" s="559">
        <f>'Progetto del paramento slu'!$G$60*(sezione!$AN$28-C432)/C432</f>
        <v>7.4347608244744031E-3</v>
      </c>
      <c r="N432" s="559">
        <f>'Progetto del paramento slu'!$G$60*(sezione!$AO$28-C432)/C432</f>
        <v>1.0799302616620375E-2</v>
      </c>
      <c r="O432" s="559">
        <f>'Progetto del paramento slu'!$G$60*(sezione!$AP$28-C432)/C432</f>
        <v>7.4348022746587427E-3</v>
      </c>
      <c r="P432" s="553">
        <f>-'Progetto del paramento slu'!$G$47*'Progetto del paramento slu'!$G$41*IF(DATI!$G$218="dx",DATI!$E$61,DATI!$E$64*DATI!$E$63)*1000*C432*sezione!$AD$5</f>
        <v>-1173071.8308250299</v>
      </c>
      <c r="Q432" s="553">
        <f>'Foglio deposito bis'!$F$48*IF(ABS(K432)&lt;'Progetto del paramento slu'!$G$58,ABS(K432)*'Progetto del paramento slu'!$G$54,'Progetto del paramento slu'!$G$53)*IF(K432&lt;0,-1,1)</f>
        <v>0</v>
      </c>
      <c r="R432" s="553">
        <f>'Foglio deposito bis'!$F$49*IF(ABS(L432)&lt;'Progetto del paramento slu'!$G$58,ABS(L432)*'Progetto del paramento slu'!$G$54,'Progetto del paramento slu'!$G$53)*IF(L432&lt;0,-1,1)</f>
        <v>204886.47740803001</v>
      </c>
      <c r="S432" s="553">
        <f>'Foglio deposito bis'!$F$50*IF(ABS(M432)&lt;'Progetto del paramento slu'!$G$58,ABS(M432)*'Progetto del paramento slu'!$G$54,'Progetto del paramento slu'!$G$53)*IF(M432&lt;0,-1,1)</f>
        <v>0</v>
      </c>
      <c r="T432" s="553">
        <f>'Foglio deposito bis'!$F$51*IF(ABS(N432)&lt;'Progetto del paramento slu'!$G$58,ABS(N432)*'Progetto del paramento slu'!$G$54,'Progetto del paramento slu'!$G$53)*IF(N432&lt;0,-1,1)</f>
        <v>240946.49743184328</v>
      </c>
      <c r="U432" s="553">
        <f>'Foglio deposito bis'!$F$52*IF(ABS(O432)&lt;'Progetto del paramento slu'!$G$58,ABS(O432)*'Progetto del paramento slu'!$G$54,'Progetto del paramento slu'!$G$53)*IF(O432&lt;0,-1,1)</f>
        <v>240946.49743184328</v>
      </c>
      <c r="V432" s="479">
        <f t="shared" si="34"/>
        <v>-486292.35855331318</v>
      </c>
      <c r="W432" s="559"/>
      <c r="X432" s="559"/>
    </row>
    <row r="433" spans="1:24" x14ac:dyDescent="0.25">
      <c r="A433" s="553">
        <f t="shared" si="33"/>
        <v>497736.96178087429</v>
      </c>
      <c r="B433" s="3">
        <f t="shared" si="35"/>
        <v>20.69999999999995</v>
      </c>
      <c r="C433" s="553">
        <f>'Foglio deposito bis'!$E$154/sezione!$B$247*B433</f>
        <v>84.032752387581837</v>
      </c>
      <c r="D433" s="611">
        <f>-'Progetto del paramento slu'!$G$47*'Progetto del paramento slu'!$G$41*IF(DATI!$G$218="dx",DATI!$E$61,DATI!$E$64*DATI!$E$63)*1000*C433^2*sezione!$AD$5*(1-sezione!$AD$6)</f>
        <v>-58130294.901829481</v>
      </c>
      <c r="E433" s="553">
        <f>-'Foglio deposito bis'!$F$48*(C433-sezione!$AL$28)*IF(ABS(K433)&lt;'Progetto del paramento slu'!$G$58,ABS(K433)*'Progetto del paramento slu'!$G$54,'Progetto del paramento slu'!$G$53)</f>
        <v>0</v>
      </c>
      <c r="F433" s="553">
        <f>-'Foglio deposito bis'!$F$49*(C433-sezione!$AM$28)*IF(ABS(L433)&lt;'Progetto del paramento slu'!$G$58,ABS(L433)*'Progetto del paramento slu'!$G$54,'Progetto del paramento slu'!$G$53)</f>
        <v>13515796.987611635</v>
      </c>
      <c r="G433" s="553">
        <f>-'Foglio deposito bis'!$F$50*(C433-sezione!$AN$28)*IF(ABS(M433)&lt;'Progetto del paramento slu'!$G$58,ABS(M433)*'Progetto del paramento slu'!$G$54,'Progetto del paramento slu'!$G$53)</f>
        <v>0</v>
      </c>
      <c r="H433" s="553">
        <f>-'Foglio deposito bis'!$F$51*(C433-sezione!$AO$28)*IF(ABS(N433)&lt;'Progetto del paramento slu'!$G$58,ABS(N433)*'Progetto del paramento slu'!$G$54,'Progetto del paramento slu'!$G$53)</f>
        <v>61674411.769481502</v>
      </c>
      <c r="I433" s="479">
        <f>-'Foglio deposito bis'!$F$52*(C433-sezione!$AP$28)*IF(ABS(O433)&lt;'Progetto del paramento slu'!$G$58,ABS(O433)*'Progetto del paramento slu'!$G$54,'Progetto del paramento slu'!$G$53)</f>
        <v>42398929.44624161</v>
      </c>
      <c r="J433" s="479">
        <f t="shared" si="32"/>
        <v>59458843.301505268</v>
      </c>
      <c r="K433" s="558">
        <f>'Progetto del paramento slu'!$G$60*(sezione!$AL$28-C433)/C433</f>
        <v>-1.8339829290098457E-3</v>
      </c>
      <c r="L433" s="558">
        <f>'Progetto del paramento slu'!$G$60*(sezione!$AM$28-C433)/C433</f>
        <v>2.7475640162130791E-3</v>
      </c>
      <c r="M433" s="559">
        <f>'Progetto del paramento slu'!$G$60*(sezione!$AN$28-C433)/C433</f>
        <v>7.3291109614360044E-3</v>
      </c>
      <c r="N433" s="559">
        <f>'Progetto del paramento slu'!$G$60*(sezione!$AO$28-C433)/C433</f>
        <v>1.0661145103416314E-2</v>
      </c>
      <c r="O433" s="559">
        <f>'Progetto del paramento slu'!$G$60*(sezione!$AP$28-C433)/C433</f>
        <v>7.3291520111354704E-3</v>
      </c>
      <c r="P433" s="553">
        <f>-'Progetto del paramento slu'!$G$47*'Progetto del paramento slu'!$G$41*IF(DATI!$G$218="dx",DATI!$E$61,DATI!$E$64*DATI!$E$63)*1000*C433*sezione!$AD$5</f>
        <v>-1184516.434052591</v>
      </c>
      <c r="Q433" s="553">
        <f>'Foglio deposito bis'!$F$48*IF(ABS(K433)&lt;'Progetto del paramento slu'!$G$58,ABS(K433)*'Progetto del paramento slu'!$G$54,'Progetto del paramento slu'!$G$53)*IF(K433&lt;0,-1,1)</f>
        <v>0</v>
      </c>
      <c r="R433" s="553">
        <f>'Foglio deposito bis'!$F$49*IF(ABS(L433)&lt;'Progetto del paramento slu'!$G$58,ABS(L433)*'Progetto del paramento slu'!$G$54,'Progetto del paramento slu'!$G$53)*IF(L433&lt;0,-1,1)</f>
        <v>204886.47740803001</v>
      </c>
      <c r="S433" s="553">
        <f>'Foglio deposito bis'!$F$50*IF(ABS(M433)&lt;'Progetto del paramento slu'!$G$58,ABS(M433)*'Progetto del paramento slu'!$G$54,'Progetto del paramento slu'!$G$53)*IF(M433&lt;0,-1,1)</f>
        <v>0</v>
      </c>
      <c r="T433" s="553">
        <f>'Foglio deposito bis'!$F$51*IF(ABS(N433)&lt;'Progetto del paramento slu'!$G$58,ABS(N433)*'Progetto del paramento slu'!$G$54,'Progetto del paramento slu'!$G$53)*IF(N433&lt;0,-1,1)</f>
        <v>240946.49743184328</v>
      </c>
      <c r="U433" s="553">
        <f>'Foglio deposito bis'!$F$52*IF(ABS(O433)&lt;'Progetto del paramento slu'!$G$58,ABS(O433)*'Progetto del paramento slu'!$G$54,'Progetto del paramento slu'!$G$53)*IF(O433&lt;0,-1,1)</f>
        <v>240946.49743184328</v>
      </c>
      <c r="V433" s="479">
        <f t="shared" si="34"/>
        <v>-497736.96178087429</v>
      </c>
      <c r="W433" s="559"/>
      <c r="X433" s="559"/>
    </row>
    <row r="434" spans="1:24" x14ac:dyDescent="0.25">
      <c r="A434" s="553">
        <f t="shared" si="33"/>
        <v>509181.56500843563</v>
      </c>
      <c r="B434" s="3">
        <f t="shared" si="35"/>
        <v>20.899999999999949</v>
      </c>
      <c r="C434" s="553">
        <f>'Foglio deposito bis'!$E$154/sezione!$B$247*B434</f>
        <v>84.84466303866958</v>
      </c>
      <c r="D434" s="611">
        <f>-'Progetto del paramento slu'!$G$47*'Progetto del paramento slu'!$G$41*IF(DATI!$G$218="dx",DATI!$E$61,DATI!$E$64*DATI!$E$63)*1000*C434^2*sezione!$AD$5*(1-sezione!$AD$6)</f>
        <v>-59259012.14980077</v>
      </c>
      <c r="E434" s="553">
        <f>-'Foglio deposito bis'!$F$48*(C434-sezione!$AL$28)*IF(ABS(K434)&lt;'Progetto del paramento slu'!$G$58,ABS(K434)*'Progetto del paramento slu'!$G$54,'Progetto del paramento slu'!$G$53)</f>
        <v>0</v>
      </c>
      <c r="F434" s="553">
        <f>-'Foglio deposito bis'!$F$49*(C434-sezione!$AM$28)*IF(ABS(L434)&lt;'Progetto del paramento slu'!$G$58,ABS(L434)*'Progetto del paramento slu'!$G$54,'Progetto del paramento slu'!$G$53)</f>
        <v>13349447.474340208</v>
      </c>
      <c r="G434" s="553">
        <f>-'Foglio deposito bis'!$F$50*(C434-sezione!$AN$28)*IF(ABS(M434)&lt;'Progetto del paramento slu'!$G$58,ABS(M434)*'Progetto del paramento slu'!$G$54,'Progetto del paramento slu'!$G$53)</f>
        <v>0</v>
      </c>
      <c r="H434" s="553">
        <f>-'Foglio deposito bis'!$F$51*(C434-sezione!$AO$28)*IF(ABS(N434)&lt;'Progetto del paramento slu'!$G$58,ABS(N434)*'Progetto del paramento slu'!$G$54,'Progetto del paramento slu'!$G$53)</f>
        <v>61478784.741874307</v>
      </c>
      <c r="I434" s="479">
        <f>-'Foglio deposito bis'!$F$52*(C434-sezione!$AP$28)*IF(ABS(O434)&lt;'Progetto del paramento slu'!$G$58,ABS(O434)*'Progetto del paramento slu'!$G$54,'Progetto del paramento slu'!$G$53)</f>
        <v>42203302.418634415</v>
      </c>
      <c r="J434" s="479">
        <f t="shared" si="32"/>
        <v>57772522.48504816</v>
      </c>
      <c r="K434" s="558">
        <f>'Progetto del paramento slu'!$G$60*(sezione!$AL$28-C434)/C434</f>
        <v>-1.8499256761006604E-3</v>
      </c>
      <c r="L434" s="558">
        <f>'Progetto del paramento slu'!$G$60*(sezione!$AM$28-C434)/C434</f>
        <v>2.6877787146225235E-3</v>
      </c>
      <c r="M434" s="559">
        <f>'Progetto del paramento slu'!$G$60*(sezione!$AN$28-C434)/C434</f>
        <v>7.2254831053457083E-3</v>
      </c>
      <c r="N434" s="559">
        <f>'Progetto del paramento slu'!$G$60*(sezione!$AO$28-C434)/C434</f>
        <v>1.0525631753144386E-2</v>
      </c>
      <c r="O434" s="559">
        <f>'Progetto del paramento slu'!$G$60*(sezione!$AP$28-C434)/C434</f>
        <v>7.2255237622250827E-3</v>
      </c>
      <c r="P434" s="553">
        <f>-'Progetto del paramento slu'!$G$47*'Progetto del paramento slu'!$G$41*IF(DATI!$G$218="dx",DATI!$E$61,DATI!$E$64*DATI!$E$63)*1000*C434*sezione!$AD$5</f>
        <v>-1195961.0372801523</v>
      </c>
      <c r="Q434" s="553">
        <f>'Foglio deposito bis'!$F$48*IF(ABS(K434)&lt;'Progetto del paramento slu'!$G$58,ABS(K434)*'Progetto del paramento slu'!$G$54,'Progetto del paramento slu'!$G$53)*IF(K434&lt;0,-1,1)</f>
        <v>0</v>
      </c>
      <c r="R434" s="553">
        <f>'Foglio deposito bis'!$F$49*IF(ABS(L434)&lt;'Progetto del paramento slu'!$G$58,ABS(L434)*'Progetto del paramento slu'!$G$54,'Progetto del paramento slu'!$G$53)*IF(L434&lt;0,-1,1)</f>
        <v>204886.47740803001</v>
      </c>
      <c r="S434" s="553">
        <f>'Foglio deposito bis'!$F$50*IF(ABS(M434)&lt;'Progetto del paramento slu'!$G$58,ABS(M434)*'Progetto del paramento slu'!$G$54,'Progetto del paramento slu'!$G$53)*IF(M434&lt;0,-1,1)</f>
        <v>0</v>
      </c>
      <c r="T434" s="553">
        <f>'Foglio deposito bis'!$F$51*IF(ABS(N434)&lt;'Progetto del paramento slu'!$G$58,ABS(N434)*'Progetto del paramento slu'!$G$54,'Progetto del paramento slu'!$G$53)*IF(N434&lt;0,-1,1)</f>
        <v>240946.49743184328</v>
      </c>
      <c r="U434" s="553">
        <f>'Foglio deposito bis'!$F$52*IF(ABS(O434)&lt;'Progetto del paramento slu'!$G$58,ABS(O434)*'Progetto del paramento slu'!$G$54,'Progetto del paramento slu'!$G$53)*IF(O434&lt;0,-1,1)</f>
        <v>240946.49743184328</v>
      </c>
      <c r="V434" s="479">
        <f t="shared" si="34"/>
        <v>-509181.56500843563</v>
      </c>
      <c r="W434" s="559"/>
      <c r="X434" s="559"/>
    </row>
    <row r="435" spans="1:24" x14ac:dyDescent="0.25">
      <c r="A435" s="553">
        <f t="shared" si="33"/>
        <v>520626.16823599674</v>
      </c>
      <c r="B435" s="3">
        <f t="shared" si="35"/>
        <v>21.099999999999948</v>
      </c>
      <c r="C435" s="553">
        <f>'Foglio deposito bis'!$E$154/sezione!$B$247*B435</f>
        <v>85.656573689757323</v>
      </c>
      <c r="D435" s="611">
        <f>-'Progetto del paramento slu'!$G$47*'Progetto del paramento slu'!$G$41*IF(DATI!$G$218="dx",DATI!$E$61,DATI!$E$64*DATI!$E$63)*1000*C435^2*sezione!$AD$5*(1-sezione!$AD$6)</f>
        <v>-60398582.448233321</v>
      </c>
      <c r="E435" s="553">
        <f>-'Foglio deposito bis'!$F$48*(C435-sezione!$AL$28)*IF(ABS(K435)&lt;'Progetto del paramento slu'!$G$58,ABS(K435)*'Progetto del paramento slu'!$G$54,'Progetto del paramento slu'!$G$53)</f>
        <v>0</v>
      </c>
      <c r="F435" s="553">
        <f>-'Foglio deposito bis'!$F$49*(C435-sezione!$AM$28)*IF(ABS(L435)&lt;'Progetto del paramento slu'!$G$58,ABS(L435)*'Progetto del paramento slu'!$G$54,'Progetto del paramento slu'!$G$53)</f>
        <v>13183097.961068779</v>
      </c>
      <c r="G435" s="553">
        <f>-'Foglio deposito bis'!$F$50*(C435-sezione!$AN$28)*IF(ABS(M435)&lt;'Progetto del paramento slu'!$G$58,ABS(M435)*'Progetto del paramento slu'!$G$54,'Progetto del paramento slu'!$G$53)</f>
        <v>0</v>
      </c>
      <c r="H435" s="553">
        <f>-'Foglio deposito bis'!$F$51*(C435-sezione!$AO$28)*IF(ABS(N435)&lt;'Progetto del paramento slu'!$G$58,ABS(N435)*'Progetto del paramento slu'!$G$54,'Progetto del paramento slu'!$G$53)</f>
        <v>61283157.714267105</v>
      </c>
      <c r="I435" s="479">
        <f>-'Foglio deposito bis'!$F$52*(C435-sezione!$AP$28)*IF(ABS(O435)&lt;'Progetto del paramento slu'!$G$58,ABS(O435)*'Progetto del paramento slu'!$G$54,'Progetto del paramento slu'!$G$53)</f>
        <v>42007675.391027212</v>
      </c>
      <c r="J435" s="479">
        <f t="shared" si="32"/>
        <v>56075348.618129775</v>
      </c>
      <c r="K435" s="558">
        <f>'Progetto del paramento slu'!$G$60*(sezione!$AL$28-C435)/C435</f>
        <v>-1.8655661910191375E-3</v>
      </c>
      <c r="L435" s="558">
        <f>'Progetto del paramento slu'!$G$60*(sezione!$AM$28-C435)/C435</f>
        <v>2.6291267836782346E-3</v>
      </c>
      <c r="M435" s="559">
        <f>'Progetto del paramento slu'!$G$60*(sezione!$AN$28-C435)/C435</f>
        <v>7.1238197583756062E-3</v>
      </c>
      <c r="N435" s="559">
        <f>'Progetto del paramento slu'!$G$60*(sezione!$AO$28-C435)/C435</f>
        <v>1.0392687376337332E-2</v>
      </c>
      <c r="O435" s="559">
        <f>'Progetto del paramento slu'!$G$60*(sezione!$AP$28-C435)/C435</f>
        <v>7.1238600298817178E-3</v>
      </c>
      <c r="P435" s="553">
        <f>-'Progetto del paramento slu'!$G$47*'Progetto del paramento slu'!$G$41*IF(DATI!$G$218="dx",DATI!$E$61,DATI!$E$64*DATI!$E$63)*1000*C435*sezione!$AD$5</f>
        <v>-1207405.6405077134</v>
      </c>
      <c r="Q435" s="553">
        <f>'Foglio deposito bis'!$F$48*IF(ABS(K435)&lt;'Progetto del paramento slu'!$G$58,ABS(K435)*'Progetto del paramento slu'!$G$54,'Progetto del paramento slu'!$G$53)*IF(K435&lt;0,-1,1)</f>
        <v>0</v>
      </c>
      <c r="R435" s="553">
        <f>'Foglio deposito bis'!$F$49*IF(ABS(L435)&lt;'Progetto del paramento slu'!$G$58,ABS(L435)*'Progetto del paramento slu'!$G$54,'Progetto del paramento slu'!$G$53)*IF(L435&lt;0,-1,1)</f>
        <v>204886.47740803001</v>
      </c>
      <c r="S435" s="553">
        <f>'Foglio deposito bis'!$F$50*IF(ABS(M435)&lt;'Progetto del paramento slu'!$G$58,ABS(M435)*'Progetto del paramento slu'!$G$54,'Progetto del paramento slu'!$G$53)*IF(M435&lt;0,-1,1)</f>
        <v>0</v>
      </c>
      <c r="T435" s="553">
        <f>'Foglio deposito bis'!$F$51*IF(ABS(N435)&lt;'Progetto del paramento slu'!$G$58,ABS(N435)*'Progetto del paramento slu'!$G$54,'Progetto del paramento slu'!$G$53)*IF(N435&lt;0,-1,1)</f>
        <v>240946.49743184328</v>
      </c>
      <c r="U435" s="553">
        <f>'Foglio deposito bis'!$F$52*IF(ABS(O435)&lt;'Progetto del paramento slu'!$G$58,ABS(O435)*'Progetto del paramento slu'!$G$54,'Progetto del paramento slu'!$G$53)*IF(O435&lt;0,-1,1)</f>
        <v>240946.49743184328</v>
      </c>
      <c r="V435" s="479">
        <f t="shared" si="34"/>
        <v>-520626.16823599674</v>
      </c>
      <c r="W435" s="559"/>
      <c r="X435" s="559"/>
    </row>
    <row r="436" spans="1:24" x14ac:dyDescent="0.25">
      <c r="A436" s="553">
        <f t="shared" si="33"/>
        <v>532070.77146355808</v>
      </c>
      <c r="B436" s="3">
        <f t="shared" si="35"/>
        <v>21.299999999999947</v>
      </c>
      <c r="C436" s="553">
        <f>'Foglio deposito bis'!$E$154/sezione!$B$247*B436</f>
        <v>86.46848434084508</v>
      </c>
      <c r="D436" s="611">
        <f>-'Progetto del paramento slu'!$G$47*'Progetto del paramento slu'!$G$41*IF(DATI!$G$218="dx",DATI!$E$61,DATI!$E$64*DATI!$E$63)*1000*C436^2*sezione!$AD$5*(1-sezione!$AD$6)</f>
        <v>-61549005.79712715</v>
      </c>
      <c r="E436" s="553">
        <f>-'Foglio deposito bis'!$F$48*(C436-sezione!$AL$28)*IF(ABS(K436)&lt;'Progetto del paramento slu'!$G$58,ABS(K436)*'Progetto del paramento slu'!$G$54,'Progetto del paramento slu'!$G$53)</f>
        <v>0</v>
      </c>
      <c r="F436" s="553">
        <f>-'Foglio deposito bis'!$F$49*(C436-sezione!$AM$28)*IF(ABS(L436)&lt;'Progetto del paramento slu'!$G$58,ABS(L436)*'Progetto del paramento slu'!$G$54,'Progetto del paramento slu'!$G$53)</f>
        <v>13016748.447797349</v>
      </c>
      <c r="G436" s="553">
        <f>-'Foglio deposito bis'!$F$50*(C436-sezione!$AN$28)*IF(ABS(M436)&lt;'Progetto del paramento slu'!$G$58,ABS(M436)*'Progetto del paramento slu'!$G$54,'Progetto del paramento slu'!$G$53)</f>
        <v>0</v>
      </c>
      <c r="H436" s="553">
        <f>-'Foglio deposito bis'!$F$51*(C436-sezione!$AO$28)*IF(ABS(N436)&lt;'Progetto del paramento slu'!$G$58,ABS(N436)*'Progetto del paramento slu'!$G$54,'Progetto del paramento slu'!$G$53)</f>
        <v>61087530.68665991</v>
      </c>
      <c r="I436" s="479">
        <f>-'Foglio deposito bis'!$F$52*(C436-sezione!$AP$28)*IF(ABS(O436)&lt;'Progetto del paramento slu'!$G$58,ABS(O436)*'Progetto del paramento slu'!$G$54,'Progetto del paramento slu'!$G$53)</f>
        <v>41812048.36342001</v>
      </c>
      <c r="J436" s="479">
        <f t="shared" si="32"/>
        <v>54367321.70075012</v>
      </c>
      <c r="K436" s="558">
        <f>'Progetto del paramento slu'!$G$60*(sezione!$AL$28-C436)/C436</f>
        <v>-1.8809129873475965E-3</v>
      </c>
      <c r="L436" s="558">
        <f>'Progetto del paramento slu'!$G$60*(sezione!$AM$28-C436)/C436</f>
        <v>2.5715762974465135E-3</v>
      </c>
      <c r="M436" s="559">
        <f>'Progetto del paramento slu'!$G$60*(sezione!$AN$28-C436)/C436</f>
        <v>7.0240655822406241E-3</v>
      </c>
      <c r="N436" s="559">
        <f>'Progetto del paramento slu'!$G$60*(sezione!$AO$28-C436)/C436</f>
        <v>1.0262239607545432E-2</v>
      </c>
      <c r="O436" s="559">
        <f>'Progetto del paramento slu'!$G$60*(sezione!$AP$28-C436)/C436</f>
        <v>7.0241054756105276E-3</v>
      </c>
      <c r="P436" s="553">
        <f>-'Progetto del paramento slu'!$G$47*'Progetto del paramento slu'!$G$41*IF(DATI!$G$218="dx",DATI!$E$61,DATI!$E$64*DATI!$E$63)*1000*C436*sezione!$AD$5</f>
        <v>-1218850.2437352748</v>
      </c>
      <c r="Q436" s="553">
        <f>'Foglio deposito bis'!$F$48*IF(ABS(K436)&lt;'Progetto del paramento slu'!$G$58,ABS(K436)*'Progetto del paramento slu'!$G$54,'Progetto del paramento slu'!$G$53)*IF(K436&lt;0,-1,1)</f>
        <v>0</v>
      </c>
      <c r="R436" s="553">
        <f>'Foglio deposito bis'!$F$49*IF(ABS(L436)&lt;'Progetto del paramento slu'!$G$58,ABS(L436)*'Progetto del paramento slu'!$G$54,'Progetto del paramento slu'!$G$53)*IF(L436&lt;0,-1,1)</f>
        <v>204886.47740803001</v>
      </c>
      <c r="S436" s="553">
        <f>'Foglio deposito bis'!$F$50*IF(ABS(M436)&lt;'Progetto del paramento slu'!$G$58,ABS(M436)*'Progetto del paramento slu'!$G$54,'Progetto del paramento slu'!$G$53)*IF(M436&lt;0,-1,1)</f>
        <v>0</v>
      </c>
      <c r="T436" s="553">
        <f>'Foglio deposito bis'!$F$51*IF(ABS(N436)&lt;'Progetto del paramento slu'!$G$58,ABS(N436)*'Progetto del paramento slu'!$G$54,'Progetto del paramento slu'!$G$53)*IF(N436&lt;0,-1,1)</f>
        <v>240946.49743184328</v>
      </c>
      <c r="U436" s="553">
        <f>'Foglio deposito bis'!$F$52*IF(ABS(O436)&lt;'Progetto del paramento slu'!$G$58,ABS(O436)*'Progetto del paramento slu'!$G$54,'Progetto del paramento slu'!$G$53)*IF(O436&lt;0,-1,1)</f>
        <v>240946.49743184328</v>
      </c>
      <c r="V436" s="479">
        <f t="shared" si="34"/>
        <v>-532070.77146355808</v>
      </c>
      <c r="W436" s="559"/>
      <c r="X436" s="559"/>
    </row>
    <row r="437" spans="1:24" x14ac:dyDescent="0.25">
      <c r="A437" s="553">
        <f t="shared" si="33"/>
        <v>543515.37469111942</v>
      </c>
      <c r="B437" s="3">
        <f t="shared" si="35"/>
        <v>21.499999999999947</v>
      </c>
      <c r="C437" s="553">
        <f>'Foglio deposito bis'!$E$154/sezione!$B$247*B437</f>
        <v>87.280394991932823</v>
      </c>
      <c r="D437" s="611">
        <f>-'Progetto del paramento slu'!$G$47*'Progetto del paramento slu'!$G$41*IF(DATI!$G$218="dx",DATI!$E$61,DATI!$E$64*DATI!$E$63)*1000*C437^2*sezione!$AD$5*(1-sezione!$AD$6)</f>
        <v>-62710282.196482226</v>
      </c>
      <c r="E437" s="553">
        <f>-'Foglio deposito bis'!$F$48*(C437-sezione!$AL$28)*IF(ABS(K437)&lt;'Progetto del paramento slu'!$G$58,ABS(K437)*'Progetto del paramento slu'!$G$54,'Progetto del paramento slu'!$G$53)</f>
        <v>0</v>
      </c>
      <c r="F437" s="553">
        <f>-'Foglio deposito bis'!$F$49*(C437-sezione!$AM$28)*IF(ABS(L437)&lt;'Progetto del paramento slu'!$G$58,ABS(L437)*'Progetto del paramento slu'!$G$54,'Progetto del paramento slu'!$G$53)</f>
        <v>12850398.934525922</v>
      </c>
      <c r="G437" s="553">
        <f>-'Foglio deposito bis'!$F$50*(C437-sezione!$AN$28)*IF(ABS(M437)&lt;'Progetto del paramento slu'!$G$58,ABS(M437)*'Progetto del paramento slu'!$G$54,'Progetto del paramento slu'!$G$53)</f>
        <v>0</v>
      </c>
      <c r="H437" s="553">
        <f>-'Foglio deposito bis'!$F$51*(C437-sezione!$AO$28)*IF(ABS(N437)&lt;'Progetto del paramento slu'!$G$58,ABS(N437)*'Progetto del paramento slu'!$G$54,'Progetto del paramento slu'!$G$53)</f>
        <v>60891903.6590527</v>
      </c>
      <c r="I437" s="479">
        <f>-'Foglio deposito bis'!$F$52*(C437-sezione!$AP$28)*IF(ABS(O437)&lt;'Progetto del paramento slu'!$G$58,ABS(O437)*'Progetto del paramento slu'!$G$54,'Progetto del paramento slu'!$G$53)</f>
        <v>41616421.335812807</v>
      </c>
      <c r="J437" s="479">
        <f t="shared" si="32"/>
        <v>52648441.732909203</v>
      </c>
      <c r="K437" s="558">
        <f>'Progetto del paramento slu'!$G$60*(sezione!$AL$28-C437)/C437</f>
        <v>-1.8959742618838977E-3</v>
      </c>
      <c r="L437" s="558">
        <f>'Progetto del paramento slu'!$G$60*(sezione!$AM$28-C437)/C437</f>
        <v>2.5150965179353835E-3</v>
      </c>
      <c r="M437" s="559">
        <f>'Progetto del paramento slu'!$G$60*(sezione!$AN$28-C437)/C437</f>
        <v>6.9261672977546642E-3</v>
      </c>
      <c r="N437" s="559">
        <f>'Progetto del paramento slu'!$G$60*(sezione!$AO$28-C437)/C437</f>
        <v>1.013421877398687E-2</v>
      </c>
      <c r="O437" s="559">
        <f>'Progetto del paramento slu'!$G$60*(sezione!$AP$28-C437)/C437</f>
        <v>6.9262068200234526E-3</v>
      </c>
      <c r="P437" s="553">
        <f>-'Progetto del paramento slu'!$G$47*'Progetto del paramento slu'!$G$41*IF(DATI!$G$218="dx",DATI!$E$61,DATI!$E$64*DATI!$E$63)*1000*C437*sezione!$AD$5</f>
        <v>-1230294.8469628361</v>
      </c>
      <c r="Q437" s="553">
        <f>'Foglio deposito bis'!$F$48*IF(ABS(K437)&lt;'Progetto del paramento slu'!$G$58,ABS(K437)*'Progetto del paramento slu'!$G$54,'Progetto del paramento slu'!$G$53)*IF(K437&lt;0,-1,1)</f>
        <v>0</v>
      </c>
      <c r="R437" s="553">
        <f>'Foglio deposito bis'!$F$49*IF(ABS(L437)&lt;'Progetto del paramento slu'!$G$58,ABS(L437)*'Progetto del paramento slu'!$G$54,'Progetto del paramento slu'!$G$53)*IF(L437&lt;0,-1,1)</f>
        <v>204886.47740803001</v>
      </c>
      <c r="S437" s="553">
        <f>'Foglio deposito bis'!$F$50*IF(ABS(M437)&lt;'Progetto del paramento slu'!$G$58,ABS(M437)*'Progetto del paramento slu'!$G$54,'Progetto del paramento slu'!$G$53)*IF(M437&lt;0,-1,1)</f>
        <v>0</v>
      </c>
      <c r="T437" s="553">
        <f>'Foglio deposito bis'!$F$51*IF(ABS(N437)&lt;'Progetto del paramento slu'!$G$58,ABS(N437)*'Progetto del paramento slu'!$G$54,'Progetto del paramento slu'!$G$53)*IF(N437&lt;0,-1,1)</f>
        <v>240946.49743184328</v>
      </c>
      <c r="U437" s="553">
        <f>'Foglio deposito bis'!$F$52*IF(ABS(O437)&lt;'Progetto del paramento slu'!$G$58,ABS(O437)*'Progetto del paramento slu'!$G$54,'Progetto del paramento slu'!$G$53)*IF(O437&lt;0,-1,1)</f>
        <v>240946.49743184328</v>
      </c>
      <c r="V437" s="479">
        <f t="shared" si="34"/>
        <v>-543515.37469111942</v>
      </c>
      <c r="W437" s="559"/>
      <c r="X437" s="559"/>
    </row>
    <row r="438" spans="1:24" x14ac:dyDescent="0.25">
      <c r="A438" s="553">
        <f t="shared" si="33"/>
        <v>554959.97791868052</v>
      </c>
      <c r="B438" s="3">
        <f t="shared" si="35"/>
        <v>21.699999999999946</v>
      </c>
      <c r="C438" s="553">
        <f>'Foglio deposito bis'!$E$154/sezione!$B$247*B438</f>
        <v>88.092305643020566</v>
      </c>
      <c r="D438" s="611">
        <f>-'Progetto del paramento slu'!$G$47*'Progetto del paramento slu'!$G$41*IF(DATI!$G$218="dx",DATI!$E$61,DATI!$E$64*DATI!$E$63)*1000*C438^2*sezione!$AD$5*(1-sezione!$AD$6)</f>
        <v>-63882411.64629858</v>
      </c>
      <c r="E438" s="553">
        <f>-'Foglio deposito bis'!$F$48*(C438-sezione!$AL$28)*IF(ABS(K438)&lt;'Progetto del paramento slu'!$G$58,ABS(K438)*'Progetto del paramento slu'!$G$54,'Progetto del paramento slu'!$G$53)</f>
        <v>0</v>
      </c>
      <c r="F438" s="553">
        <f>-'Foglio deposito bis'!$F$49*(C438-sezione!$AM$28)*IF(ABS(L438)&lt;'Progetto del paramento slu'!$G$58,ABS(L438)*'Progetto del paramento slu'!$G$54,'Progetto del paramento slu'!$G$53)</f>
        <v>12684049.421254493</v>
      </c>
      <c r="G438" s="553">
        <f>-'Foglio deposito bis'!$F$50*(C438-sezione!$AN$28)*IF(ABS(M438)&lt;'Progetto del paramento slu'!$G$58,ABS(M438)*'Progetto del paramento slu'!$G$54,'Progetto del paramento slu'!$G$53)</f>
        <v>0</v>
      </c>
      <c r="H438" s="553">
        <f>-'Foglio deposito bis'!$F$51*(C438-sezione!$AO$28)*IF(ABS(N438)&lt;'Progetto del paramento slu'!$G$58,ABS(N438)*'Progetto del paramento slu'!$G$54,'Progetto del paramento slu'!$G$53)</f>
        <v>60696276.631445505</v>
      </c>
      <c r="I438" s="479">
        <f>-'Foglio deposito bis'!$F$52*(C438-sezione!$AP$28)*IF(ABS(O438)&lt;'Progetto del paramento slu'!$G$58,ABS(O438)*'Progetto del paramento slu'!$G$54,'Progetto del paramento slu'!$G$53)</f>
        <v>41420794.308205612</v>
      </c>
      <c r="J438" s="479">
        <f t="shared" si="32"/>
        <v>50918708.71460703</v>
      </c>
      <c r="K438" s="558">
        <f>'Progetto del paramento slu'!$G$60*(sezione!$AL$28-C438)/C438</f>
        <v>-1.9107579092398064E-3</v>
      </c>
      <c r="L438" s="558">
        <f>'Progetto del paramento slu'!$G$60*(sezione!$AM$28-C438)/C438</f>
        <v>2.4596578403507257E-3</v>
      </c>
      <c r="M438" s="559">
        <f>'Progetto del paramento slu'!$G$60*(sezione!$AN$28-C438)/C438</f>
        <v>6.830073589941258E-3</v>
      </c>
      <c r="N438" s="559">
        <f>'Progetto del paramento slu'!$G$60*(sezione!$AO$28-C438)/C438</f>
        <v>1.0008557771461646E-2</v>
      </c>
      <c r="O438" s="559">
        <f>'Progetto del paramento slu'!$G$60*(sezione!$AP$28-C438)/C438</f>
        <v>6.8301127479495046E-3</v>
      </c>
      <c r="P438" s="553">
        <f>-'Progetto del paramento slu'!$G$47*'Progetto del paramento slu'!$G$41*IF(DATI!$G$218="dx",DATI!$E$61,DATI!$E$64*DATI!$E$63)*1000*C438*sezione!$AD$5</f>
        <v>-1241739.4501903972</v>
      </c>
      <c r="Q438" s="553">
        <f>'Foglio deposito bis'!$F$48*IF(ABS(K438)&lt;'Progetto del paramento slu'!$G$58,ABS(K438)*'Progetto del paramento slu'!$G$54,'Progetto del paramento slu'!$G$53)*IF(K438&lt;0,-1,1)</f>
        <v>0</v>
      </c>
      <c r="R438" s="553">
        <f>'Foglio deposito bis'!$F$49*IF(ABS(L438)&lt;'Progetto del paramento slu'!$G$58,ABS(L438)*'Progetto del paramento slu'!$G$54,'Progetto del paramento slu'!$G$53)*IF(L438&lt;0,-1,1)</f>
        <v>204886.47740803001</v>
      </c>
      <c r="S438" s="553">
        <f>'Foglio deposito bis'!$F$50*IF(ABS(M438)&lt;'Progetto del paramento slu'!$G$58,ABS(M438)*'Progetto del paramento slu'!$G$54,'Progetto del paramento slu'!$G$53)*IF(M438&lt;0,-1,1)</f>
        <v>0</v>
      </c>
      <c r="T438" s="553">
        <f>'Foglio deposito bis'!$F$51*IF(ABS(N438)&lt;'Progetto del paramento slu'!$G$58,ABS(N438)*'Progetto del paramento slu'!$G$54,'Progetto del paramento slu'!$G$53)*IF(N438&lt;0,-1,1)</f>
        <v>240946.49743184328</v>
      </c>
      <c r="U438" s="553">
        <f>'Foglio deposito bis'!$F$52*IF(ABS(O438)&lt;'Progetto del paramento slu'!$G$58,ABS(O438)*'Progetto del paramento slu'!$G$54,'Progetto del paramento slu'!$G$53)*IF(O438&lt;0,-1,1)</f>
        <v>240946.49743184328</v>
      </c>
      <c r="V438" s="479">
        <f t="shared" si="34"/>
        <v>-554959.97791868052</v>
      </c>
      <c r="W438" s="559"/>
      <c r="X438" s="559"/>
    </row>
    <row r="439" spans="1:24" x14ac:dyDescent="0.25">
      <c r="A439" s="553">
        <f t="shared" si="33"/>
        <v>566404.58114624186</v>
      </c>
      <c r="B439" s="3">
        <f t="shared" si="35"/>
        <v>21.899999999999945</v>
      </c>
      <c r="C439" s="553">
        <f>'Foglio deposito bis'!$E$154/sezione!$B$247*B439</f>
        <v>88.904216294108309</v>
      </c>
      <c r="D439" s="611">
        <f>-'Progetto del paramento slu'!$G$47*'Progetto del paramento slu'!$G$41*IF(DATI!$G$218="dx",DATI!$E$61,DATI!$E$64*DATI!$E$63)*1000*C439^2*sezione!$AD$5*(1-sezione!$AD$6)</f>
        <v>-65065394.146576181</v>
      </c>
      <c r="E439" s="553">
        <f>-'Foglio deposito bis'!$F$48*(C439-sezione!$AL$28)*IF(ABS(K439)&lt;'Progetto del paramento slu'!$G$58,ABS(K439)*'Progetto del paramento slu'!$G$54,'Progetto del paramento slu'!$G$53)</f>
        <v>0</v>
      </c>
      <c r="F439" s="553">
        <f>-'Foglio deposito bis'!$F$49*(C439-sezione!$AM$28)*IF(ABS(L439)&lt;'Progetto del paramento slu'!$G$58,ABS(L439)*'Progetto del paramento slu'!$G$54,'Progetto del paramento slu'!$G$53)</f>
        <v>12517699.907983067</v>
      </c>
      <c r="G439" s="553">
        <f>-'Foglio deposito bis'!$F$50*(C439-sezione!$AN$28)*IF(ABS(M439)&lt;'Progetto del paramento slu'!$G$58,ABS(M439)*'Progetto del paramento slu'!$G$54,'Progetto del paramento slu'!$G$53)</f>
        <v>0</v>
      </c>
      <c r="H439" s="553">
        <f>-'Foglio deposito bis'!$F$51*(C439-sezione!$AO$28)*IF(ABS(N439)&lt;'Progetto del paramento slu'!$G$58,ABS(N439)*'Progetto del paramento slu'!$G$54,'Progetto del paramento slu'!$G$53)</f>
        <v>60500649.603838295</v>
      </c>
      <c r="I439" s="479">
        <f>-'Foglio deposito bis'!$F$52*(C439-sezione!$AP$28)*IF(ABS(O439)&lt;'Progetto del paramento slu'!$G$58,ABS(O439)*'Progetto del paramento slu'!$G$54,'Progetto del paramento slu'!$G$53)</f>
        <v>41225167.280598409</v>
      </c>
      <c r="J439" s="479">
        <f t="shared" si="32"/>
        <v>49178122.645843588</v>
      </c>
      <c r="K439" s="558">
        <f>'Progetto del paramento slu'!$G$60*(sezione!$AL$28-C439)/C439</f>
        <v>-1.9252715356394428E-3</v>
      </c>
      <c r="L439" s="558">
        <f>'Progetto del paramento slu'!$G$60*(sezione!$AM$28-C439)/C439</f>
        <v>2.4052317413520894E-3</v>
      </c>
      <c r="M439" s="559">
        <f>'Progetto del paramento slu'!$G$60*(sezione!$AN$28-C439)/C439</f>
        <v>6.7357350183436205E-3</v>
      </c>
      <c r="N439" s="559">
        <f>'Progetto del paramento slu'!$G$60*(sezione!$AO$28-C439)/C439</f>
        <v>9.8851919470647354E-3</v>
      </c>
      <c r="O439" s="559">
        <f>'Progetto del paramento slu'!$G$60*(sezione!$AP$28-C439)/C439</f>
        <v>6.7357738187444859E-3</v>
      </c>
      <c r="P439" s="553">
        <f>-'Progetto del paramento slu'!$G$47*'Progetto del paramento slu'!$G$41*IF(DATI!$G$218="dx",DATI!$E$61,DATI!$E$64*DATI!$E$63)*1000*C439*sezione!$AD$5</f>
        <v>-1253184.0534179586</v>
      </c>
      <c r="Q439" s="553">
        <f>'Foglio deposito bis'!$F$48*IF(ABS(K439)&lt;'Progetto del paramento slu'!$G$58,ABS(K439)*'Progetto del paramento slu'!$G$54,'Progetto del paramento slu'!$G$53)*IF(K439&lt;0,-1,1)</f>
        <v>0</v>
      </c>
      <c r="R439" s="553">
        <f>'Foglio deposito bis'!$F$49*IF(ABS(L439)&lt;'Progetto del paramento slu'!$G$58,ABS(L439)*'Progetto del paramento slu'!$G$54,'Progetto del paramento slu'!$G$53)*IF(L439&lt;0,-1,1)</f>
        <v>204886.47740803001</v>
      </c>
      <c r="S439" s="553">
        <f>'Foglio deposito bis'!$F$50*IF(ABS(M439)&lt;'Progetto del paramento slu'!$G$58,ABS(M439)*'Progetto del paramento slu'!$G$54,'Progetto del paramento slu'!$G$53)*IF(M439&lt;0,-1,1)</f>
        <v>0</v>
      </c>
      <c r="T439" s="553">
        <f>'Foglio deposito bis'!$F$51*IF(ABS(N439)&lt;'Progetto del paramento slu'!$G$58,ABS(N439)*'Progetto del paramento slu'!$G$54,'Progetto del paramento slu'!$G$53)*IF(N439&lt;0,-1,1)</f>
        <v>240946.49743184328</v>
      </c>
      <c r="U439" s="553">
        <f>'Foglio deposito bis'!$F$52*IF(ABS(O439)&lt;'Progetto del paramento slu'!$G$58,ABS(O439)*'Progetto del paramento slu'!$G$54,'Progetto del paramento slu'!$G$53)*IF(O439&lt;0,-1,1)</f>
        <v>240946.49743184328</v>
      </c>
      <c r="V439" s="479">
        <f t="shared" si="34"/>
        <v>-566404.58114624186</v>
      </c>
      <c r="W439" s="559"/>
      <c r="X439" s="559"/>
    </row>
    <row r="440" spans="1:24" x14ac:dyDescent="0.25">
      <c r="A440" s="553">
        <f t="shared" si="33"/>
        <v>577849.1843738032</v>
      </c>
      <c r="B440" s="3">
        <f t="shared" si="35"/>
        <v>22.099999999999945</v>
      </c>
      <c r="C440" s="553">
        <f>'Foglio deposito bis'!$E$154/sezione!$B$247*B440</f>
        <v>89.716126945196066</v>
      </c>
      <c r="D440" s="611">
        <f>-'Progetto del paramento slu'!$G$47*'Progetto del paramento slu'!$G$41*IF(DATI!$G$218="dx",DATI!$E$61,DATI!$E$64*DATI!$E$63)*1000*C440^2*sezione!$AD$5*(1-sezione!$AD$6)</f>
        <v>-66259229.697315067</v>
      </c>
      <c r="E440" s="553">
        <f>-'Foglio deposito bis'!$F$48*(C440-sezione!$AL$28)*IF(ABS(K440)&lt;'Progetto del paramento slu'!$G$58,ABS(K440)*'Progetto del paramento slu'!$G$54,'Progetto del paramento slu'!$G$53)</f>
        <v>0</v>
      </c>
      <c r="F440" s="553">
        <f>-'Foglio deposito bis'!$F$49*(C440-sezione!$AM$28)*IF(ABS(L440)&lt;'Progetto del paramento slu'!$G$58,ABS(L440)*'Progetto del paramento slu'!$G$54,'Progetto del paramento slu'!$G$53)</f>
        <v>12351350.394711636</v>
      </c>
      <c r="G440" s="553">
        <f>-'Foglio deposito bis'!$F$50*(C440-sezione!$AN$28)*IF(ABS(M440)&lt;'Progetto del paramento slu'!$G$58,ABS(M440)*'Progetto del paramento slu'!$G$54,'Progetto del paramento slu'!$G$53)</f>
        <v>0</v>
      </c>
      <c r="H440" s="553">
        <f>-'Foglio deposito bis'!$F$51*(C440-sezione!$AO$28)*IF(ABS(N440)&lt;'Progetto del paramento slu'!$G$58,ABS(N440)*'Progetto del paramento slu'!$G$54,'Progetto del paramento slu'!$G$53)</f>
        <v>60305022.5762311</v>
      </c>
      <c r="I440" s="479">
        <f>-'Foglio deposito bis'!$F$52*(C440-sezione!$AP$28)*IF(ABS(O440)&lt;'Progetto del paramento slu'!$G$58,ABS(O440)*'Progetto del paramento slu'!$G$54,'Progetto del paramento slu'!$G$53)</f>
        <v>41029540.252991207</v>
      </c>
      <c r="J440" s="479">
        <f t="shared" si="32"/>
        <v>47426683.526618876</v>
      </c>
      <c r="K440" s="558">
        <f>'Progetto del paramento slu'!$G$60*(sezione!$AL$28-C440)/C440</f>
        <v>-1.9395224719684979E-3</v>
      </c>
      <c r="L440" s="558">
        <f>'Progetto del paramento slu'!$G$60*(sezione!$AM$28-C440)/C440</f>
        <v>2.3517907301181329E-3</v>
      </c>
      <c r="M440" s="559">
        <f>'Progetto del paramento slu'!$G$60*(sezione!$AN$28-C440)/C440</f>
        <v>6.6431039322047639E-3</v>
      </c>
      <c r="N440" s="559">
        <f>'Progetto del paramento slu'!$G$60*(sezione!$AO$28-C440)/C440</f>
        <v>9.7640589882677688E-3</v>
      </c>
      <c r="O440" s="559">
        <f>'Progetto del paramento slu'!$G$60*(sezione!$AP$28-C440)/C440</f>
        <v>6.6431423814707798E-3</v>
      </c>
      <c r="P440" s="553">
        <f>-'Progetto del paramento slu'!$G$47*'Progetto del paramento slu'!$G$41*IF(DATI!$G$218="dx",DATI!$E$61,DATI!$E$64*DATI!$E$63)*1000*C440*sezione!$AD$5</f>
        <v>-1264628.6566455199</v>
      </c>
      <c r="Q440" s="553">
        <f>'Foglio deposito bis'!$F$48*IF(ABS(K440)&lt;'Progetto del paramento slu'!$G$58,ABS(K440)*'Progetto del paramento slu'!$G$54,'Progetto del paramento slu'!$G$53)*IF(K440&lt;0,-1,1)</f>
        <v>0</v>
      </c>
      <c r="R440" s="553">
        <f>'Foglio deposito bis'!$F$49*IF(ABS(L440)&lt;'Progetto del paramento slu'!$G$58,ABS(L440)*'Progetto del paramento slu'!$G$54,'Progetto del paramento slu'!$G$53)*IF(L440&lt;0,-1,1)</f>
        <v>204886.47740803001</v>
      </c>
      <c r="S440" s="553">
        <f>'Foglio deposito bis'!$F$50*IF(ABS(M440)&lt;'Progetto del paramento slu'!$G$58,ABS(M440)*'Progetto del paramento slu'!$G$54,'Progetto del paramento slu'!$G$53)*IF(M440&lt;0,-1,1)</f>
        <v>0</v>
      </c>
      <c r="T440" s="553">
        <f>'Foglio deposito bis'!$F$51*IF(ABS(N440)&lt;'Progetto del paramento slu'!$G$58,ABS(N440)*'Progetto del paramento slu'!$G$54,'Progetto del paramento slu'!$G$53)*IF(N440&lt;0,-1,1)</f>
        <v>240946.49743184328</v>
      </c>
      <c r="U440" s="553">
        <f>'Foglio deposito bis'!$F$52*IF(ABS(O440)&lt;'Progetto del paramento slu'!$G$58,ABS(O440)*'Progetto del paramento slu'!$G$54,'Progetto del paramento slu'!$G$53)*IF(O440&lt;0,-1,1)</f>
        <v>240946.49743184328</v>
      </c>
      <c r="V440" s="479">
        <f t="shared" si="34"/>
        <v>-577849.1843738032</v>
      </c>
      <c r="W440" s="559"/>
      <c r="X440" s="559"/>
    </row>
    <row r="441" spans="1:24" x14ac:dyDescent="0.25">
      <c r="A441" s="553">
        <f t="shared" si="33"/>
        <v>589293.78760136431</v>
      </c>
      <c r="B441" s="3">
        <f t="shared" si="35"/>
        <v>22.299999999999944</v>
      </c>
      <c r="C441" s="553">
        <f>'Foglio deposito bis'!$E$154/sezione!$B$247*B441</f>
        <v>90.528037596283809</v>
      </c>
      <c r="D441" s="611">
        <f>-'Progetto del paramento slu'!$G$47*'Progetto del paramento slu'!$G$41*IF(DATI!$G$218="dx",DATI!$E$61,DATI!$E$64*DATI!$E$63)*1000*C441^2*sezione!$AD$5*(1-sezione!$AD$6)</f>
        <v>-67463918.298515186</v>
      </c>
      <c r="E441" s="553">
        <f>-'Foglio deposito bis'!$F$48*(C441-sezione!$AL$28)*IF(ABS(K441)&lt;'Progetto del paramento slu'!$G$58,ABS(K441)*'Progetto del paramento slu'!$G$54,'Progetto del paramento slu'!$G$53)</f>
        <v>0</v>
      </c>
      <c r="F441" s="553">
        <f>-'Foglio deposito bis'!$F$49*(C441-sezione!$AM$28)*IF(ABS(L441)&lt;'Progetto del paramento slu'!$G$58,ABS(L441)*'Progetto del paramento slu'!$G$54,'Progetto del paramento slu'!$G$53)</f>
        <v>12185000.881440207</v>
      </c>
      <c r="G441" s="553">
        <f>-'Foglio deposito bis'!$F$50*(C441-sezione!$AN$28)*IF(ABS(M441)&lt;'Progetto del paramento slu'!$G$58,ABS(M441)*'Progetto del paramento slu'!$G$54,'Progetto del paramento slu'!$G$53)</f>
        <v>0</v>
      </c>
      <c r="H441" s="553">
        <f>-'Foglio deposito bis'!$F$51*(C441-sezione!$AO$28)*IF(ABS(N441)&lt;'Progetto del paramento slu'!$G$58,ABS(N441)*'Progetto del paramento slu'!$G$54,'Progetto del paramento slu'!$G$53)</f>
        <v>60109395.548623905</v>
      </c>
      <c r="I441" s="479">
        <f>-'Foglio deposito bis'!$F$52*(C441-sezione!$AP$28)*IF(ABS(O441)&lt;'Progetto del paramento slu'!$G$58,ABS(O441)*'Progetto del paramento slu'!$G$54,'Progetto del paramento slu'!$G$53)</f>
        <v>40833913.225384012</v>
      </c>
      <c r="J441" s="479">
        <f t="shared" si="32"/>
        <v>45664391.356932938</v>
      </c>
      <c r="K441" s="558">
        <f>'Progetto del paramento slu'!$G$60*(sezione!$AL$28-C441)/C441</f>
        <v>-1.9535177861212468E-3</v>
      </c>
      <c r="L441" s="558">
        <f>'Progetto del paramento slu'!$G$60*(sezione!$AM$28-C441)/C441</f>
        <v>2.2993083020453249E-3</v>
      </c>
      <c r="M441" s="559">
        <f>'Progetto del paramento slu'!$G$60*(sezione!$AN$28-C441)/C441</f>
        <v>6.5521343902118969E-3</v>
      </c>
      <c r="N441" s="559">
        <f>'Progetto del paramento slu'!$G$60*(sezione!$AO$28-C441)/C441</f>
        <v>9.6450988179694035E-3</v>
      </c>
      <c r="O441" s="559">
        <f>'Progetto del paramento slu'!$G$60*(sezione!$AP$28-C441)/C441</f>
        <v>6.5521724946414461E-3</v>
      </c>
      <c r="P441" s="553">
        <f>-'Progetto del paramento slu'!$G$47*'Progetto del paramento slu'!$G$41*IF(DATI!$G$218="dx",DATI!$E$61,DATI!$E$64*DATI!$E$63)*1000*C441*sezione!$AD$5</f>
        <v>-1276073.259873081</v>
      </c>
      <c r="Q441" s="553">
        <f>'Foglio deposito bis'!$F$48*IF(ABS(K441)&lt;'Progetto del paramento slu'!$G$58,ABS(K441)*'Progetto del paramento slu'!$G$54,'Progetto del paramento slu'!$G$53)*IF(K441&lt;0,-1,1)</f>
        <v>0</v>
      </c>
      <c r="R441" s="553">
        <f>'Foglio deposito bis'!$F$49*IF(ABS(L441)&lt;'Progetto del paramento slu'!$G$58,ABS(L441)*'Progetto del paramento slu'!$G$54,'Progetto del paramento slu'!$G$53)*IF(L441&lt;0,-1,1)</f>
        <v>204886.47740803001</v>
      </c>
      <c r="S441" s="553">
        <f>'Foglio deposito bis'!$F$50*IF(ABS(M441)&lt;'Progetto del paramento slu'!$G$58,ABS(M441)*'Progetto del paramento slu'!$G$54,'Progetto del paramento slu'!$G$53)*IF(M441&lt;0,-1,1)</f>
        <v>0</v>
      </c>
      <c r="T441" s="553">
        <f>'Foglio deposito bis'!$F$51*IF(ABS(N441)&lt;'Progetto del paramento slu'!$G$58,ABS(N441)*'Progetto del paramento slu'!$G$54,'Progetto del paramento slu'!$G$53)*IF(N441&lt;0,-1,1)</f>
        <v>240946.49743184328</v>
      </c>
      <c r="U441" s="553">
        <f>'Foglio deposito bis'!$F$52*IF(ABS(O441)&lt;'Progetto del paramento slu'!$G$58,ABS(O441)*'Progetto del paramento slu'!$G$54,'Progetto del paramento slu'!$G$53)*IF(O441&lt;0,-1,1)</f>
        <v>240946.49743184328</v>
      </c>
      <c r="V441" s="479">
        <f t="shared" si="34"/>
        <v>-589293.78760136431</v>
      </c>
      <c r="W441" s="559"/>
      <c r="X441" s="559"/>
    </row>
    <row r="442" spans="1:24" x14ac:dyDescent="0.25">
      <c r="A442" s="553">
        <f t="shared" si="33"/>
        <v>600738.39082892565</v>
      </c>
      <c r="B442" s="3">
        <f t="shared" si="35"/>
        <v>22.499999999999943</v>
      </c>
      <c r="C442" s="553">
        <f>'Foglio deposito bis'!$E$154/sezione!$B$247*B442</f>
        <v>91.339948247371552</v>
      </c>
      <c r="D442" s="611">
        <f>-'Progetto del paramento slu'!$G$47*'Progetto del paramento slu'!$G$41*IF(DATI!$G$218="dx",DATI!$E$61,DATI!$E$64*DATI!$E$63)*1000*C442^2*sezione!$AD$5*(1-sezione!$AD$6)</f>
        <v>-68679459.950176597</v>
      </c>
      <c r="E442" s="553">
        <f>-'Foglio deposito bis'!$F$48*(C442-sezione!$AL$28)*IF(ABS(K442)&lt;'Progetto del paramento slu'!$G$58,ABS(K442)*'Progetto del paramento slu'!$G$54,'Progetto del paramento slu'!$G$53)</f>
        <v>0</v>
      </c>
      <c r="F442" s="553">
        <f>-'Foglio deposito bis'!$F$49*(C442-sezione!$AM$28)*IF(ABS(L442)&lt;'Progetto del paramento slu'!$G$58,ABS(L442)*'Progetto del paramento slu'!$G$54,'Progetto del paramento slu'!$G$53)</f>
        <v>12018651.368168779</v>
      </c>
      <c r="G442" s="553">
        <f>-'Foglio deposito bis'!$F$50*(C442-sezione!$AN$28)*IF(ABS(M442)&lt;'Progetto del paramento slu'!$G$58,ABS(M442)*'Progetto del paramento slu'!$G$54,'Progetto del paramento slu'!$G$53)</f>
        <v>0</v>
      </c>
      <c r="H442" s="553">
        <f>-'Foglio deposito bis'!$F$51*(C442-sezione!$AO$28)*IF(ABS(N442)&lt;'Progetto del paramento slu'!$G$58,ABS(N442)*'Progetto del paramento slu'!$G$54,'Progetto del paramento slu'!$G$53)</f>
        <v>59913768.521016702</v>
      </c>
      <c r="I442" s="479">
        <f>-'Foglio deposito bis'!$F$52*(C442-sezione!$AP$28)*IF(ABS(O442)&lt;'Progetto del paramento slu'!$G$58,ABS(O442)*'Progetto del paramento slu'!$G$54,'Progetto del paramento slu'!$G$53)</f>
        <v>40638286.197776809</v>
      </c>
      <c r="J442" s="479">
        <f t="shared" si="32"/>
        <v>43891246.136785693</v>
      </c>
      <c r="K442" s="558">
        <f>'Progetto del paramento slu'!$G$60*(sezione!$AL$28-C442)/C442</f>
        <v>-1.9672642946890577E-3</v>
      </c>
      <c r="L442" s="558">
        <f>'Progetto del paramento slu'!$G$60*(sezione!$AM$28-C442)/C442</f>
        <v>2.2477588949160335E-3</v>
      </c>
      <c r="M442" s="559">
        <f>'Progetto del paramento slu'!$G$60*(sezione!$AN$28-C442)/C442</f>
        <v>6.4627820845211239E-3</v>
      </c>
      <c r="N442" s="559">
        <f>'Progetto del paramento slu'!$G$60*(sezione!$AO$28-C442)/C442</f>
        <v>9.5282534951430086E-3</v>
      </c>
      <c r="O442" s="559">
        <f>'Progetto del paramento slu'!$G$60*(sezione!$AP$28-C442)/C442</f>
        <v>6.4628198502446332E-3</v>
      </c>
      <c r="P442" s="553">
        <f>-'Progetto del paramento slu'!$G$47*'Progetto del paramento slu'!$G$41*IF(DATI!$G$218="dx",DATI!$E$61,DATI!$E$64*DATI!$E$63)*1000*C442*sezione!$AD$5</f>
        <v>-1287517.8631006423</v>
      </c>
      <c r="Q442" s="553">
        <f>'Foglio deposito bis'!$F$48*IF(ABS(K442)&lt;'Progetto del paramento slu'!$G$58,ABS(K442)*'Progetto del paramento slu'!$G$54,'Progetto del paramento slu'!$G$53)*IF(K442&lt;0,-1,1)</f>
        <v>0</v>
      </c>
      <c r="R442" s="553">
        <f>'Foglio deposito bis'!$F$49*IF(ABS(L442)&lt;'Progetto del paramento slu'!$G$58,ABS(L442)*'Progetto del paramento slu'!$G$54,'Progetto del paramento slu'!$G$53)*IF(L442&lt;0,-1,1)</f>
        <v>204886.47740803001</v>
      </c>
      <c r="S442" s="553">
        <f>'Foglio deposito bis'!$F$50*IF(ABS(M442)&lt;'Progetto del paramento slu'!$G$58,ABS(M442)*'Progetto del paramento slu'!$G$54,'Progetto del paramento slu'!$G$53)*IF(M442&lt;0,-1,1)</f>
        <v>0</v>
      </c>
      <c r="T442" s="553">
        <f>'Foglio deposito bis'!$F$51*IF(ABS(N442)&lt;'Progetto del paramento slu'!$G$58,ABS(N442)*'Progetto del paramento slu'!$G$54,'Progetto del paramento slu'!$G$53)*IF(N442&lt;0,-1,1)</f>
        <v>240946.49743184328</v>
      </c>
      <c r="U442" s="553">
        <f>'Foglio deposito bis'!$F$52*IF(ABS(O442)&lt;'Progetto del paramento slu'!$G$58,ABS(O442)*'Progetto del paramento slu'!$G$54,'Progetto del paramento slu'!$G$53)*IF(O442&lt;0,-1,1)</f>
        <v>240946.49743184328</v>
      </c>
      <c r="V442" s="479">
        <f t="shared" si="34"/>
        <v>-600738.39082892565</v>
      </c>
      <c r="W442" s="559"/>
      <c r="X442" s="559"/>
    </row>
    <row r="443" spans="1:24" x14ac:dyDescent="0.25">
      <c r="A443" s="553">
        <f t="shared" si="33"/>
        <v>612182.99405648676</v>
      </c>
      <c r="B443" s="3">
        <f t="shared" si="35"/>
        <v>22.699999999999942</v>
      </c>
      <c r="C443" s="553">
        <f>'Foglio deposito bis'!$E$154/sezione!$B$247*B443</f>
        <v>92.151858898459295</v>
      </c>
      <c r="D443" s="611">
        <f>-'Progetto del paramento slu'!$G$47*'Progetto del paramento slu'!$G$41*IF(DATI!$G$218="dx",DATI!$E$61,DATI!$E$64*DATI!$E$63)*1000*C443^2*sezione!$AD$5*(1-sezione!$AD$6)</f>
        <v>-69905854.65229924</v>
      </c>
      <c r="E443" s="553">
        <f>-'Foglio deposito bis'!$F$48*(C443-sezione!$AL$28)*IF(ABS(K443)&lt;'Progetto del paramento slu'!$G$58,ABS(K443)*'Progetto del paramento slu'!$G$54,'Progetto del paramento slu'!$G$53)</f>
        <v>0</v>
      </c>
      <c r="F443" s="553">
        <f>-'Foglio deposito bis'!$F$49*(C443-sezione!$AM$28)*IF(ABS(L443)&lt;'Progetto del paramento slu'!$G$58,ABS(L443)*'Progetto del paramento slu'!$G$54,'Progetto del paramento slu'!$G$53)</f>
        <v>11852301.854897352</v>
      </c>
      <c r="G443" s="553">
        <f>-'Foglio deposito bis'!$F$50*(C443-sezione!$AN$28)*IF(ABS(M443)&lt;'Progetto del paramento slu'!$G$58,ABS(M443)*'Progetto del paramento slu'!$G$54,'Progetto del paramento slu'!$G$53)</f>
        <v>0</v>
      </c>
      <c r="H443" s="553">
        <f>-'Foglio deposito bis'!$F$51*(C443-sezione!$AO$28)*IF(ABS(N443)&lt;'Progetto del paramento slu'!$G$58,ABS(N443)*'Progetto del paramento slu'!$G$54,'Progetto del paramento slu'!$G$53)</f>
        <v>59718141.493409507</v>
      </c>
      <c r="I443" s="479">
        <f>-'Foglio deposito bis'!$F$52*(C443-sezione!$AP$28)*IF(ABS(O443)&lt;'Progetto del paramento slu'!$G$58,ABS(O443)*'Progetto del paramento slu'!$G$54,'Progetto del paramento slu'!$G$53)</f>
        <v>40442659.170169607</v>
      </c>
      <c r="J443" s="479">
        <f t="shared" si="32"/>
        <v>42107247.866177224</v>
      </c>
      <c r="K443" s="558">
        <f>'Progetto del paramento slu'!$G$60*(sezione!$AL$28-C443)/C443</f>
        <v>-1.9807685740310041E-3</v>
      </c>
      <c r="L443" s="558">
        <f>'Progetto del paramento slu'!$G$60*(sezione!$AM$28-C443)/C443</f>
        <v>2.1971178473837341E-3</v>
      </c>
      <c r="M443" s="559">
        <f>'Progetto del paramento slu'!$G$60*(sezione!$AN$28-C443)/C443</f>
        <v>6.3750042687984723E-3</v>
      </c>
      <c r="N443" s="559">
        <f>'Progetto del paramento slu'!$G$60*(sezione!$AO$28-C443)/C443</f>
        <v>9.4134671207364642E-3</v>
      </c>
      <c r="O443" s="559">
        <f>'Progetto del paramento slu'!$G$60*(sezione!$AP$28-C443)/C443</f>
        <v>6.3750417017843283E-3</v>
      </c>
      <c r="P443" s="553">
        <f>-'Progetto del paramento slu'!$G$47*'Progetto del paramento slu'!$G$41*IF(DATI!$G$218="dx",DATI!$E$61,DATI!$E$64*DATI!$E$63)*1000*C443*sezione!$AD$5</f>
        <v>-1298962.4663282034</v>
      </c>
      <c r="Q443" s="553">
        <f>'Foglio deposito bis'!$F$48*IF(ABS(K443)&lt;'Progetto del paramento slu'!$G$58,ABS(K443)*'Progetto del paramento slu'!$G$54,'Progetto del paramento slu'!$G$53)*IF(K443&lt;0,-1,1)</f>
        <v>0</v>
      </c>
      <c r="R443" s="553">
        <f>'Foglio deposito bis'!$F$49*IF(ABS(L443)&lt;'Progetto del paramento slu'!$G$58,ABS(L443)*'Progetto del paramento slu'!$G$54,'Progetto del paramento slu'!$G$53)*IF(L443&lt;0,-1,1)</f>
        <v>204886.47740803001</v>
      </c>
      <c r="S443" s="553">
        <f>'Foglio deposito bis'!$F$50*IF(ABS(M443)&lt;'Progetto del paramento slu'!$G$58,ABS(M443)*'Progetto del paramento slu'!$G$54,'Progetto del paramento slu'!$G$53)*IF(M443&lt;0,-1,1)</f>
        <v>0</v>
      </c>
      <c r="T443" s="553">
        <f>'Foglio deposito bis'!$F$51*IF(ABS(N443)&lt;'Progetto del paramento slu'!$G$58,ABS(N443)*'Progetto del paramento slu'!$G$54,'Progetto del paramento slu'!$G$53)*IF(N443&lt;0,-1,1)</f>
        <v>240946.49743184328</v>
      </c>
      <c r="U443" s="553">
        <f>'Foglio deposito bis'!$F$52*IF(ABS(O443)&lt;'Progetto del paramento slu'!$G$58,ABS(O443)*'Progetto del paramento slu'!$G$54,'Progetto del paramento slu'!$G$53)*IF(O443&lt;0,-1,1)</f>
        <v>240946.49743184328</v>
      </c>
      <c r="V443" s="479">
        <f t="shared" si="34"/>
        <v>-612182.99405648676</v>
      </c>
      <c r="W443" s="559"/>
      <c r="X443" s="559"/>
    </row>
    <row r="444" spans="1:24" x14ac:dyDescent="0.25">
      <c r="A444" s="553">
        <f t="shared" si="33"/>
        <v>623627.59728404786</v>
      </c>
      <c r="B444" s="3">
        <f t="shared" si="35"/>
        <v>22.899999999999942</v>
      </c>
      <c r="C444" s="553">
        <f>'Foglio deposito bis'!$E$154/sezione!$B$247*B444</f>
        <v>92.963769549547038</v>
      </c>
      <c r="D444" s="611">
        <f>-'Progetto del paramento slu'!$G$47*'Progetto del paramento slu'!$G$41*IF(DATI!$G$218="dx",DATI!$E$61,DATI!$E$64*DATI!$E$63)*1000*C444^2*sezione!$AD$5*(1-sezione!$AD$6)</f>
        <v>-71143102.404883161</v>
      </c>
      <c r="E444" s="553">
        <f>-'Foglio deposito bis'!$F$48*(C444-sezione!$AL$28)*IF(ABS(K444)&lt;'Progetto del paramento slu'!$G$58,ABS(K444)*'Progetto del paramento slu'!$G$54,'Progetto del paramento slu'!$G$53)</f>
        <v>0</v>
      </c>
      <c r="F444" s="553">
        <f>-'Foglio deposito bis'!$F$49*(C444-sezione!$AM$28)*IF(ABS(L444)&lt;'Progetto del paramento slu'!$G$58,ABS(L444)*'Progetto del paramento slu'!$G$54,'Progetto del paramento slu'!$G$53)</f>
        <v>11685952.341625923</v>
      </c>
      <c r="G444" s="553">
        <f>-'Foglio deposito bis'!$F$50*(C444-sezione!$AN$28)*IF(ABS(M444)&lt;'Progetto del paramento slu'!$G$58,ABS(M444)*'Progetto del paramento slu'!$G$54,'Progetto del paramento slu'!$G$53)</f>
        <v>0</v>
      </c>
      <c r="H444" s="553">
        <f>-'Foglio deposito bis'!$F$51*(C444-sezione!$AO$28)*IF(ABS(N444)&lt;'Progetto del paramento slu'!$G$58,ABS(N444)*'Progetto del paramento slu'!$G$54,'Progetto del paramento slu'!$G$53)</f>
        <v>59522514.465802312</v>
      </c>
      <c r="I444" s="479">
        <f>-'Foglio deposito bis'!$F$52*(C444-sezione!$AP$28)*IF(ABS(O444)&lt;'Progetto del paramento slu'!$G$58,ABS(O444)*'Progetto del paramento slu'!$G$54,'Progetto del paramento slu'!$G$53)</f>
        <v>40247032.142562412</v>
      </c>
      <c r="J444" s="479">
        <f t="shared" si="32"/>
        <v>40312396.545107484</v>
      </c>
      <c r="K444" s="558">
        <f>'Progetto del paramento slu'!$G$60*(sezione!$AL$28-C444)/C444</f>
        <v>-1.994036970764358E-3</v>
      </c>
      <c r="L444" s="558">
        <f>'Progetto del paramento slu'!$G$60*(sezione!$AM$28-C444)/C444</f>
        <v>2.1473613596336579E-3</v>
      </c>
      <c r="M444" s="559">
        <f>'Progetto del paramento slu'!$G$60*(sezione!$AN$28-C444)/C444</f>
        <v>6.2887596900316738E-3</v>
      </c>
      <c r="N444" s="559">
        <f>'Progetto del paramento slu'!$G$60*(sezione!$AO$28-C444)/C444</f>
        <v>9.3006857485029588E-3</v>
      </c>
      <c r="O444" s="559">
        <f>'Progetto del paramento slu'!$G$60*(sezione!$AP$28-C444)/C444</f>
        <v>6.2887967960918896E-3</v>
      </c>
      <c r="P444" s="553">
        <f>-'Progetto del paramento slu'!$G$47*'Progetto del paramento slu'!$G$41*IF(DATI!$G$218="dx",DATI!$E$61,DATI!$E$64*DATI!$E$63)*1000*C444*sezione!$AD$5</f>
        <v>-1310407.0695557646</v>
      </c>
      <c r="Q444" s="553">
        <f>'Foglio deposito bis'!$F$48*IF(ABS(K444)&lt;'Progetto del paramento slu'!$G$58,ABS(K444)*'Progetto del paramento slu'!$G$54,'Progetto del paramento slu'!$G$53)*IF(K444&lt;0,-1,1)</f>
        <v>0</v>
      </c>
      <c r="R444" s="553">
        <f>'Foglio deposito bis'!$F$49*IF(ABS(L444)&lt;'Progetto del paramento slu'!$G$58,ABS(L444)*'Progetto del paramento slu'!$G$54,'Progetto del paramento slu'!$G$53)*IF(L444&lt;0,-1,1)</f>
        <v>204886.47740803001</v>
      </c>
      <c r="S444" s="553">
        <f>'Foglio deposito bis'!$F$50*IF(ABS(M444)&lt;'Progetto del paramento slu'!$G$58,ABS(M444)*'Progetto del paramento slu'!$G$54,'Progetto del paramento slu'!$G$53)*IF(M444&lt;0,-1,1)</f>
        <v>0</v>
      </c>
      <c r="T444" s="553">
        <f>'Foglio deposito bis'!$F$51*IF(ABS(N444)&lt;'Progetto del paramento slu'!$G$58,ABS(N444)*'Progetto del paramento slu'!$G$54,'Progetto del paramento slu'!$G$53)*IF(N444&lt;0,-1,1)</f>
        <v>240946.49743184328</v>
      </c>
      <c r="U444" s="553">
        <f>'Foglio deposito bis'!$F$52*IF(ABS(O444)&lt;'Progetto del paramento slu'!$G$58,ABS(O444)*'Progetto del paramento slu'!$G$54,'Progetto del paramento slu'!$G$53)*IF(O444&lt;0,-1,1)</f>
        <v>240946.49743184328</v>
      </c>
      <c r="V444" s="479">
        <f t="shared" si="34"/>
        <v>-623627.59728404786</v>
      </c>
      <c r="W444" s="559"/>
      <c r="X444" s="559"/>
    </row>
    <row r="445" spans="1:24" x14ac:dyDescent="0.25">
      <c r="A445" s="553">
        <f t="shared" si="33"/>
        <v>680850.61342185456</v>
      </c>
      <c r="B445" s="3">
        <f t="shared" ref="B445:B495" si="36">B444+1</f>
        <v>23.899999999999942</v>
      </c>
      <c r="C445" s="553">
        <f>'Foglio deposito bis'!$E$154/sezione!$B$247*B445</f>
        <v>97.023322804985796</v>
      </c>
      <c r="D445" s="611">
        <f>-'Progetto del paramento slu'!$G$47*'Progetto del paramento slu'!$G$41*IF(DATI!$G$218="dx",DATI!$E$61,DATI!$E$64*DATI!$E$63)*1000*C445^2*sezione!$AD$5*(1-sezione!$AD$6)</f>
        <v>-77492136.924721748</v>
      </c>
      <c r="E445" s="553">
        <f>-'Foglio deposito bis'!$F$48*(C445-sezione!$AL$28)*IF(ABS(K445)&lt;'Progetto del paramento slu'!$G$58,ABS(K445)*'Progetto del paramento slu'!$G$54,'Progetto del paramento slu'!$G$53)</f>
        <v>0</v>
      </c>
      <c r="F445" s="553">
        <f>-'Foglio deposito bis'!$F$49*(C445-sezione!$AM$28)*IF(ABS(L445)&lt;'Progetto del paramento slu'!$G$58,ABS(L445)*'Progetto del paramento slu'!$G$54,'Progetto del paramento slu'!$G$53)</f>
        <v>10854204.775268776</v>
      </c>
      <c r="G445" s="553">
        <f>-'Foglio deposito bis'!$F$50*(C445-sezione!$AN$28)*IF(ABS(M445)&lt;'Progetto del paramento slu'!$G$58,ABS(M445)*'Progetto del paramento slu'!$G$54,'Progetto del paramento slu'!$G$53)</f>
        <v>0</v>
      </c>
      <c r="H445" s="553">
        <f>-'Foglio deposito bis'!$F$51*(C445-sezione!$AO$28)*IF(ABS(N445)&lt;'Progetto del paramento slu'!$G$58,ABS(N445)*'Progetto del paramento slu'!$G$54,'Progetto del paramento slu'!$G$53)</f>
        <v>58544379.327766299</v>
      </c>
      <c r="I445" s="479">
        <f>-'Foglio deposito bis'!$F$52*(C445-sezione!$AP$28)*IF(ABS(O445)&lt;'Progetto del paramento slu'!$G$58,ABS(O445)*'Progetto del paramento slu'!$G$54,'Progetto del paramento slu'!$G$53)</f>
        <v>39268897.004526407</v>
      </c>
      <c r="J445" s="479">
        <f t="shared" ref="J445:J495" si="37">D445+E445+F445+G445+H445+I445</f>
        <v>31175344.182839736</v>
      </c>
      <c r="K445" s="558">
        <f>'Progetto del paramento slu'!$G$60*(sezione!$AL$28-C445)/C445</f>
        <v>-2.0570479761717075E-3</v>
      </c>
      <c r="L445" s="558">
        <f>'Progetto del paramento slu'!$G$60*(sezione!$AM$28-C445)/C445</f>
        <v>1.9110700893560978E-3</v>
      </c>
      <c r="M445" s="559">
        <f>'Progetto del paramento slu'!$G$60*(sezione!$AN$28-C445)/C445</f>
        <v>5.8791881548839022E-3</v>
      </c>
      <c r="N445" s="559">
        <f>'Progetto del paramento slu'!$G$60*(sezione!$AO$28-C445)/C445</f>
        <v>8.7650922025404882E-3</v>
      </c>
      <c r="O445" s="559">
        <f>'Progetto del paramento slu'!$G$60*(sezione!$AP$28-C445)/C445</f>
        <v>5.879223708389298E-3</v>
      </c>
      <c r="P445" s="553">
        <f>-'Progetto del paramento slu'!$G$47*'Progetto del paramento slu'!$G$41*IF(DATI!$G$218="dx",DATI!$E$61,DATI!$E$64*DATI!$E$63)*1000*C445*sezione!$AD$5</f>
        <v>-1367630.0856935713</v>
      </c>
      <c r="Q445" s="553">
        <f>'Foglio deposito bis'!$F$48*IF(ABS(K445)&lt;'Progetto del paramento slu'!$G$58,ABS(K445)*'Progetto del paramento slu'!$G$54,'Progetto del paramento slu'!$G$53)*IF(K445&lt;0,-1,1)</f>
        <v>0</v>
      </c>
      <c r="R445" s="553">
        <f>'Foglio deposito bis'!$F$49*IF(ABS(L445)&lt;'Progetto del paramento slu'!$G$58,ABS(L445)*'Progetto del paramento slu'!$G$54,'Progetto del paramento slu'!$G$53)*IF(L445&lt;0,-1,1)</f>
        <v>204886.47740803001</v>
      </c>
      <c r="S445" s="553">
        <f>'Foglio deposito bis'!$F$50*IF(ABS(M445)&lt;'Progetto del paramento slu'!$G$58,ABS(M445)*'Progetto del paramento slu'!$G$54,'Progetto del paramento slu'!$G$53)*IF(M445&lt;0,-1,1)</f>
        <v>0</v>
      </c>
      <c r="T445" s="553">
        <f>'Foglio deposito bis'!$F$51*IF(ABS(N445)&lt;'Progetto del paramento slu'!$G$58,ABS(N445)*'Progetto del paramento slu'!$G$54,'Progetto del paramento slu'!$G$53)*IF(N445&lt;0,-1,1)</f>
        <v>240946.49743184328</v>
      </c>
      <c r="U445" s="553">
        <f>'Foglio deposito bis'!$F$52*IF(ABS(O445)&lt;'Progetto del paramento slu'!$G$58,ABS(O445)*'Progetto del paramento slu'!$G$54,'Progetto del paramento slu'!$G$53)*IF(O445&lt;0,-1,1)</f>
        <v>240946.49743184328</v>
      </c>
      <c r="V445" s="479">
        <f t="shared" si="34"/>
        <v>-680850.61342185456</v>
      </c>
      <c r="W445" s="559"/>
      <c r="X445" s="559"/>
    </row>
    <row r="446" spans="1:24" x14ac:dyDescent="0.25">
      <c r="A446" s="553">
        <f t="shared" ref="A446:A495" si="38">ABS(V446)</f>
        <v>760269.08223310672</v>
      </c>
      <c r="B446" s="3">
        <f t="shared" si="36"/>
        <v>24.899999999999942</v>
      </c>
      <c r="C446" s="553">
        <f>'Foglio deposito bis'!$E$154/sezione!$B$247*B446</f>
        <v>101.08287606042454</v>
      </c>
      <c r="D446" s="611">
        <f>-'Progetto del paramento slu'!$G$47*'Progetto del paramento slu'!$G$41*IF(DATI!$G$218="dx",DATI!$E$61,DATI!$E$64*DATI!$E$63)*1000*C446^2*sezione!$AD$5*(1-sezione!$AD$6)</f>
        <v>-84112497.706091851</v>
      </c>
      <c r="E446" s="553">
        <f>-'Foglio deposito bis'!$F$48*(C446-sezione!$AL$28)*IF(ABS(K446)&lt;'Progetto del paramento slu'!$G$58,ABS(K446)*'Progetto del paramento slu'!$G$54,'Progetto del paramento slu'!$G$53)</f>
        <v>0</v>
      </c>
      <c r="F446" s="553">
        <f>-'Foglio deposito bis'!$F$49*(C446-sezione!$AM$28)*IF(ABS(L446)&lt;'Progetto del paramento slu'!$G$58,ABS(L446)*'Progetto del paramento slu'!$G$54,'Progetto del paramento slu'!$G$53)</f>
        <v>8936719.4995897133</v>
      </c>
      <c r="G446" s="553">
        <f>-'Foglio deposito bis'!$F$50*(C446-sezione!$AN$28)*IF(ABS(M446)&lt;'Progetto del paramento slu'!$G$58,ABS(M446)*'Progetto del paramento slu'!$G$54,'Progetto del paramento slu'!$G$53)</f>
        <v>0</v>
      </c>
      <c r="H446" s="553">
        <f>-'Foglio deposito bis'!$F$51*(C446-sezione!$AO$28)*IF(ABS(N446)&lt;'Progetto del paramento slu'!$G$58,ABS(N446)*'Progetto del paramento slu'!$G$54,'Progetto del paramento slu'!$G$53)</f>
        <v>57566244.189730294</v>
      </c>
      <c r="I446" s="479">
        <f>-'Foglio deposito bis'!$F$52*(C446-sezione!$AP$28)*IF(ABS(O446)&lt;'Progetto del paramento slu'!$G$58,ABS(O446)*'Progetto del paramento slu'!$G$54,'Progetto del paramento slu'!$G$53)</f>
        <v>38290761.866490401</v>
      </c>
      <c r="J446" s="479">
        <f t="shared" si="37"/>
        <v>20681227.849718556</v>
      </c>
      <c r="K446" s="558">
        <f>'Progetto del paramento slu'!$G$60*(sezione!$AL$28-C446)/C446</f>
        <v>-2.1149978566467392E-3</v>
      </c>
      <c r="L446" s="558">
        <f>'Progetto del paramento slu'!$G$60*(sezione!$AM$28-C446)/C446</f>
        <v>1.6937580375747281E-3</v>
      </c>
      <c r="M446" s="559">
        <f>'Progetto del paramento slu'!$G$60*(sezione!$AN$28-C446)/C446</f>
        <v>5.5025139317961946E-3</v>
      </c>
      <c r="N446" s="559">
        <f>'Progetto del paramento slu'!$G$60*(sezione!$AO$28-C446)/C446</f>
        <v>8.2725182185027155E-3</v>
      </c>
      <c r="O446" s="559">
        <f>'Progetto del paramento slu'!$G$60*(sezione!$AP$28-C446)/C446</f>
        <v>5.502548057449967E-3</v>
      </c>
      <c r="P446" s="553">
        <f>-'Progetto del paramento slu'!$G$47*'Progetto del paramento slu'!$G$41*IF(DATI!$G$218="dx",DATI!$E$61,DATI!$E$64*DATI!$E$63)*1000*C446*sezione!$AD$5</f>
        <v>-1424853.1018313777</v>
      </c>
      <c r="Q446" s="553">
        <f>'Foglio deposito bis'!$F$48*IF(ABS(K446)&lt;'Progetto del paramento slu'!$G$58,ABS(K446)*'Progetto del paramento slu'!$G$54,'Progetto del paramento slu'!$G$53)*IF(K446&lt;0,-1,1)</f>
        <v>0</v>
      </c>
      <c r="R446" s="553">
        <f>'Foglio deposito bis'!$F$49*IF(ABS(L446)&lt;'Progetto del paramento slu'!$G$58,ABS(L446)*'Progetto del paramento slu'!$G$54,'Progetto del paramento slu'!$G$53)*IF(L446&lt;0,-1,1)</f>
        <v>182691.02473458444</v>
      </c>
      <c r="S446" s="553">
        <f>'Foglio deposito bis'!$F$50*IF(ABS(M446)&lt;'Progetto del paramento slu'!$G$58,ABS(M446)*'Progetto del paramento slu'!$G$54,'Progetto del paramento slu'!$G$53)*IF(M446&lt;0,-1,1)</f>
        <v>0</v>
      </c>
      <c r="T446" s="553">
        <f>'Foglio deposito bis'!$F$51*IF(ABS(N446)&lt;'Progetto del paramento slu'!$G$58,ABS(N446)*'Progetto del paramento slu'!$G$54,'Progetto del paramento slu'!$G$53)*IF(N446&lt;0,-1,1)</f>
        <v>240946.49743184328</v>
      </c>
      <c r="U446" s="553">
        <f>'Foglio deposito bis'!$F$52*IF(ABS(O446)&lt;'Progetto del paramento slu'!$G$58,ABS(O446)*'Progetto del paramento slu'!$G$54,'Progetto del paramento slu'!$G$53)*IF(O446&lt;0,-1,1)</f>
        <v>240946.49743184328</v>
      </c>
      <c r="V446" s="479">
        <f t="shared" ref="V446:V495" si="39">P446+Q446+R446+S446+T446+U446</f>
        <v>-760269.08223310672</v>
      </c>
      <c r="W446" s="559"/>
      <c r="X446" s="559"/>
    </row>
    <row r="447" spans="1:24" x14ac:dyDescent="0.25">
      <c r="A447" s="553">
        <f t="shared" si="38"/>
        <v>839121.66369681852</v>
      </c>
      <c r="B447" s="3">
        <f t="shared" si="36"/>
        <v>25.899999999999942</v>
      </c>
      <c r="C447" s="553">
        <f>'Foglio deposito bis'!$E$154/sezione!$B$247*B447</f>
        <v>105.14242931586328</v>
      </c>
      <c r="D447" s="611">
        <f>-'Progetto del paramento slu'!$G$47*'Progetto del paramento slu'!$G$41*IF(DATI!$G$218="dx",DATI!$E$61,DATI!$E$64*DATI!$E$63)*1000*C447^2*sezione!$AD$5*(1-sezione!$AD$6)</f>
        <v>-91004184.748993531</v>
      </c>
      <c r="E447" s="553">
        <f>-'Foglio deposito bis'!$F$48*(C447-sezione!$AL$28)*IF(ABS(K447)&lt;'Progetto del paramento slu'!$G$58,ABS(K447)*'Progetto del paramento slu'!$G$54,'Progetto del paramento slu'!$G$53)</f>
        <v>0</v>
      </c>
      <c r="F447" s="553">
        <f>-'Foglio deposito bis'!$F$49*(C447-sezione!$AM$28)*IF(ABS(L447)&lt;'Progetto del paramento slu'!$G$58,ABS(L447)*'Progetto del paramento slu'!$G$54,'Progetto del paramento slu'!$G$53)</f>
        <v>7224825.7999150222</v>
      </c>
      <c r="G447" s="553">
        <f>-'Foglio deposito bis'!$F$50*(C447-sezione!$AN$28)*IF(ABS(M447)&lt;'Progetto del paramento slu'!$G$58,ABS(M447)*'Progetto del paramento slu'!$G$54,'Progetto del paramento slu'!$G$53)</f>
        <v>0</v>
      </c>
      <c r="H447" s="553">
        <f>-'Foglio deposito bis'!$F$51*(C447-sezione!$AO$28)*IF(ABS(N447)&lt;'Progetto del paramento slu'!$G$58,ABS(N447)*'Progetto del paramento slu'!$G$54,'Progetto del paramento slu'!$G$53)</f>
        <v>56588109.051694289</v>
      </c>
      <c r="I447" s="479">
        <f>-'Foglio deposito bis'!$F$52*(C447-sezione!$AP$28)*IF(ABS(O447)&lt;'Progetto del paramento slu'!$G$58,ABS(O447)*'Progetto del paramento slu'!$G$54,'Progetto del paramento slu'!$G$53)</f>
        <v>37312626.728454404</v>
      </c>
      <c r="J447" s="479">
        <f t="shared" si="37"/>
        <v>10121376.831070177</v>
      </c>
      <c r="K447" s="558">
        <f>'Progetto del paramento slu'!$G$60*(sezione!$AL$28-C447)/C447</f>
        <v>-2.1684728428765948E-3</v>
      </c>
      <c r="L447" s="558">
        <f>'Progetto del paramento slu'!$G$60*(sezione!$AM$28-C447)/C447</f>
        <v>1.4932268392127692E-3</v>
      </c>
      <c r="M447" s="559">
        <f>'Progetto del paramento slu'!$G$60*(sezione!$AN$28-C447)/C447</f>
        <v>5.1549265213021323E-3</v>
      </c>
      <c r="N447" s="559">
        <f>'Progetto del paramento slu'!$G$60*(sezione!$AO$28-C447)/C447</f>
        <v>7.8179808355489429E-3</v>
      </c>
      <c r="O447" s="559">
        <f>'Progetto del paramento slu'!$G$60*(sezione!$AP$28-C447)/C447</f>
        <v>5.1549593293630956E-3</v>
      </c>
      <c r="P447" s="553">
        <f>-'Progetto del paramento slu'!$G$47*'Progetto del paramento slu'!$G$41*IF(DATI!$G$218="dx",DATI!$E$61,DATI!$E$64*DATI!$E$63)*1000*C447*sezione!$AD$5</f>
        <v>-1482076.1179691839</v>
      </c>
      <c r="Q447" s="553">
        <f>'Foglio deposito bis'!$F$48*IF(ABS(K447)&lt;'Progetto del paramento slu'!$G$58,ABS(K447)*'Progetto del paramento slu'!$G$54,'Progetto del paramento slu'!$G$53)*IF(K447&lt;0,-1,1)</f>
        <v>0</v>
      </c>
      <c r="R447" s="553">
        <f>'Foglio deposito bis'!$F$49*IF(ABS(L447)&lt;'Progetto del paramento slu'!$G$58,ABS(L447)*'Progetto del paramento slu'!$G$54,'Progetto del paramento slu'!$G$53)*IF(L447&lt;0,-1,1)</f>
        <v>161061.4594086787</v>
      </c>
      <c r="S447" s="553">
        <f>'Foglio deposito bis'!$F$50*IF(ABS(M447)&lt;'Progetto del paramento slu'!$G$58,ABS(M447)*'Progetto del paramento slu'!$G$54,'Progetto del paramento slu'!$G$53)*IF(M447&lt;0,-1,1)</f>
        <v>0</v>
      </c>
      <c r="T447" s="553">
        <f>'Foglio deposito bis'!$F$51*IF(ABS(N447)&lt;'Progetto del paramento slu'!$G$58,ABS(N447)*'Progetto del paramento slu'!$G$54,'Progetto del paramento slu'!$G$53)*IF(N447&lt;0,-1,1)</f>
        <v>240946.49743184328</v>
      </c>
      <c r="U447" s="553">
        <f>'Foglio deposito bis'!$F$52*IF(ABS(O447)&lt;'Progetto del paramento slu'!$G$58,ABS(O447)*'Progetto del paramento slu'!$G$54,'Progetto del paramento slu'!$G$53)*IF(O447&lt;0,-1,1)</f>
        <v>240946.49743184328</v>
      </c>
      <c r="V447" s="479">
        <f t="shared" si="39"/>
        <v>-839121.66369681852</v>
      </c>
      <c r="W447" s="559"/>
      <c r="X447" s="559"/>
    </row>
    <row r="448" spans="1:24" x14ac:dyDescent="0.25">
      <c r="A448" s="553">
        <f t="shared" si="38"/>
        <v>916366.09903964587</v>
      </c>
      <c r="B448" s="3">
        <f t="shared" si="36"/>
        <v>26.899999999999942</v>
      </c>
      <c r="C448" s="553">
        <f>'Foglio deposito bis'!$E$154/sezione!$B$247*B448</f>
        <v>109.20198257130203</v>
      </c>
      <c r="D448" s="611">
        <f>-'Progetto del paramento slu'!$G$47*'Progetto del paramento slu'!$G$41*IF(DATI!$G$218="dx",DATI!$E$61,DATI!$E$64*DATI!$E$63)*1000*C448^2*sezione!$AD$5*(1-sezione!$AD$6)</f>
        <v>-98167198.053426787</v>
      </c>
      <c r="E448" s="553">
        <f>-'Foglio deposito bis'!$F$48*(C448-sezione!$AL$28)*IF(ABS(K448)&lt;'Progetto del paramento slu'!$G$58,ABS(K448)*'Progetto del paramento slu'!$G$54,'Progetto del paramento slu'!$G$53)</f>
        <v>0</v>
      </c>
      <c r="F448" s="553">
        <f>-'Foglio deposito bis'!$F$49*(C448-sezione!$AM$28)*IF(ABS(L448)&lt;'Progetto del paramento slu'!$G$58,ABS(L448)*'Progetto del paramento slu'!$G$54,'Progetto del paramento slu'!$G$53)</f>
        <v>5754154.0183731085</v>
      </c>
      <c r="G448" s="553">
        <f>-'Foglio deposito bis'!$F$50*(C448-sezione!$AN$28)*IF(ABS(M448)&lt;'Progetto del paramento slu'!$G$58,ABS(M448)*'Progetto del paramento slu'!$G$54,'Progetto del paramento slu'!$G$53)</f>
        <v>0</v>
      </c>
      <c r="H448" s="553">
        <f>-'Foglio deposito bis'!$F$51*(C448-sezione!$AO$28)*IF(ABS(N448)&lt;'Progetto del paramento slu'!$G$58,ABS(N448)*'Progetto del paramento slu'!$G$54,'Progetto del paramento slu'!$G$53)</f>
        <v>55609973.913658291</v>
      </c>
      <c r="I448" s="479">
        <f>-'Foglio deposito bis'!$F$52*(C448-sezione!$AP$28)*IF(ABS(O448)&lt;'Progetto del paramento slu'!$G$58,ABS(O448)*'Progetto del paramento slu'!$G$54,'Progetto del paramento slu'!$G$53)</f>
        <v>36334491.590418398</v>
      </c>
      <c r="J448" s="479">
        <f t="shared" si="37"/>
        <v>-468578.53097699583</v>
      </c>
      <c r="K448" s="558">
        <f>'Progetto del paramento slu'!$G$60*(sezione!$AL$28-C448)/C448</f>
        <v>-2.2179719936990263E-3</v>
      </c>
      <c r="L448" s="558">
        <f>'Progetto del paramento slu'!$G$60*(sezione!$AM$28-C448)/C448</f>
        <v>1.307605023628651E-3</v>
      </c>
      <c r="M448" s="559">
        <f>'Progetto del paramento slu'!$G$60*(sezione!$AN$28-C448)/C448</f>
        <v>4.8331820409563278E-3</v>
      </c>
      <c r="N448" s="559">
        <f>'Progetto del paramento slu'!$G$60*(sezione!$AO$28-C448)/C448</f>
        <v>7.3972380535582754E-3</v>
      </c>
      <c r="O448" s="559">
        <f>'Progetto del paramento slu'!$G$60*(sezione!$AP$28-C448)/C448</f>
        <v>4.8332136293867721E-3</v>
      </c>
      <c r="P448" s="553">
        <f>-'Progetto del paramento slu'!$G$47*'Progetto del paramento slu'!$G$41*IF(DATI!$G$218="dx",DATI!$E$61,DATI!$E$64*DATI!$E$63)*1000*C448*sezione!$AD$5</f>
        <v>-1539299.1341069906</v>
      </c>
      <c r="Q448" s="553">
        <f>'Foglio deposito bis'!$F$48*IF(ABS(K448)&lt;'Progetto del paramento slu'!$G$58,ABS(K448)*'Progetto del paramento slu'!$G$54,'Progetto del paramento slu'!$G$53)*IF(K448&lt;0,-1,1)</f>
        <v>0</v>
      </c>
      <c r="R448" s="553">
        <f>'Foglio deposito bis'!$F$49*IF(ABS(L448)&lt;'Progetto del paramento slu'!$G$58,ABS(L448)*'Progetto del paramento slu'!$G$54,'Progetto del paramento slu'!$G$53)*IF(L448&lt;0,-1,1)</f>
        <v>141040.04020365814</v>
      </c>
      <c r="S448" s="553">
        <f>'Foglio deposito bis'!$F$50*IF(ABS(M448)&lt;'Progetto del paramento slu'!$G$58,ABS(M448)*'Progetto del paramento slu'!$G$54,'Progetto del paramento slu'!$G$53)*IF(M448&lt;0,-1,1)</f>
        <v>0</v>
      </c>
      <c r="T448" s="553">
        <f>'Foglio deposito bis'!$F$51*IF(ABS(N448)&lt;'Progetto del paramento slu'!$G$58,ABS(N448)*'Progetto del paramento slu'!$G$54,'Progetto del paramento slu'!$G$53)*IF(N448&lt;0,-1,1)</f>
        <v>240946.49743184328</v>
      </c>
      <c r="U448" s="553">
        <f>'Foglio deposito bis'!$F$52*IF(ABS(O448)&lt;'Progetto del paramento slu'!$G$58,ABS(O448)*'Progetto del paramento slu'!$G$54,'Progetto del paramento slu'!$G$53)*IF(O448&lt;0,-1,1)</f>
        <v>240946.49743184328</v>
      </c>
      <c r="V448" s="479">
        <f t="shared" si="39"/>
        <v>-916366.09903964587</v>
      </c>
      <c r="W448" s="559"/>
      <c r="X448" s="559"/>
    </row>
    <row r="449" spans="1:24" x14ac:dyDescent="0.25">
      <c r="A449" s="553">
        <f t="shared" si="38"/>
        <v>992175.30719931703</v>
      </c>
      <c r="B449" s="3">
        <f t="shared" si="36"/>
        <v>27.899999999999942</v>
      </c>
      <c r="C449" s="553">
        <f>'Foglio deposito bis'!$E$154/sezione!$B$247*B449</f>
        <v>113.26153582674077</v>
      </c>
      <c r="D449" s="611">
        <f>-'Progetto del paramento slu'!$G$47*'Progetto del paramento slu'!$G$41*IF(DATI!$G$218="dx",DATI!$E$61,DATI!$E$64*DATI!$E$63)*1000*C449^2*sezione!$AD$5*(1-sezione!$AD$6)</f>
        <v>-105601537.61939161</v>
      </c>
      <c r="E449" s="553">
        <f>-'Foglio deposito bis'!$F$48*(C449-sezione!$AL$28)*IF(ABS(K449)&lt;'Progetto del paramento slu'!$G$58,ABS(K449)*'Progetto del paramento slu'!$G$54,'Progetto del paramento slu'!$G$53)</f>
        <v>0</v>
      </c>
      <c r="F449" s="553">
        <f>-'Foglio deposito bis'!$F$49*(C449-sezione!$AM$28)*IF(ABS(L449)&lt;'Progetto del paramento slu'!$G$58,ABS(L449)*'Progetto del paramento slu'!$G$54,'Progetto del paramento slu'!$G$53)</f>
        <v>4498766.3143045343</v>
      </c>
      <c r="G449" s="553">
        <f>-'Foglio deposito bis'!$F$50*(C449-sezione!$AN$28)*IF(ABS(M449)&lt;'Progetto del paramento slu'!$G$58,ABS(M449)*'Progetto del paramento slu'!$G$54,'Progetto del paramento slu'!$G$53)</f>
        <v>0</v>
      </c>
      <c r="H449" s="553">
        <f>-'Foglio deposito bis'!$F$51*(C449-sezione!$AO$28)*IF(ABS(N449)&lt;'Progetto del paramento slu'!$G$58,ABS(N449)*'Progetto del paramento slu'!$G$54,'Progetto del paramento slu'!$G$53)</f>
        <v>54631838.775622293</v>
      </c>
      <c r="I449" s="479">
        <f>-'Foglio deposito bis'!$F$52*(C449-sezione!$AP$28)*IF(ABS(O449)&lt;'Progetto del paramento slu'!$G$58,ABS(O449)*'Progetto del paramento slu'!$G$54,'Progetto del paramento slu'!$G$53)</f>
        <v>35356356.452382393</v>
      </c>
      <c r="J449" s="479">
        <f t="shared" si="37"/>
        <v>-11114576.077082388</v>
      </c>
      <c r="K449" s="558">
        <f>'Progetto del paramento slu'!$G$60*(sezione!$AL$28-C449)/C449</f>
        <v>-2.2639228182976278E-3</v>
      </c>
      <c r="L449" s="558">
        <f>'Progetto del paramento slu'!$G$60*(sezione!$AM$28-C449)/C449</f>
        <v>1.1352894313838963E-3</v>
      </c>
      <c r="M449" s="559">
        <f>'Progetto del paramento slu'!$G$60*(sezione!$AN$28-C449)/C449</f>
        <v>4.53450168106542E-3</v>
      </c>
      <c r="N449" s="559">
        <f>'Progetto del paramento slu'!$G$60*(sezione!$AO$28-C449)/C449</f>
        <v>7.0066560444701645E-3</v>
      </c>
      <c r="O449" s="559">
        <f>'Progetto del paramento slu'!$G$60*(sezione!$AP$28-C449)/C449</f>
        <v>4.5345321372940563E-3</v>
      </c>
      <c r="P449" s="553">
        <f>-'Progetto del paramento slu'!$G$47*'Progetto del paramento slu'!$G$41*IF(DATI!$G$218="dx",DATI!$E$61,DATI!$E$64*DATI!$E$63)*1000*C449*sezione!$AD$5</f>
        <v>-1596522.1502447969</v>
      </c>
      <c r="Q449" s="553">
        <f>'Foglio deposito bis'!$F$48*IF(ABS(K449)&lt;'Progetto del paramento slu'!$G$58,ABS(K449)*'Progetto del paramento slu'!$G$54,'Progetto del paramento slu'!$G$53)*IF(K449&lt;0,-1,1)</f>
        <v>0</v>
      </c>
      <c r="R449" s="553">
        <f>'Foglio deposito bis'!$F$49*IF(ABS(L449)&lt;'Progetto del paramento slu'!$G$58,ABS(L449)*'Progetto del paramento slu'!$G$54,'Progetto del paramento slu'!$G$53)*IF(L449&lt;0,-1,1)</f>
        <v>122453.84818179319</v>
      </c>
      <c r="S449" s="553">
        <f>'Foglio deposito bis'!$F$50*IF(ABS(M449)&lt;'Progetto del paramento slu'!$G$58,ABS(M449)*'Progetto del paramento slu'!$G$54,'Progetto del paramento slu'!$G$53)*IF(M449&lt;0,-1,1)</f>
        <v>0</v>
      </c>
      <c r="T449" s="553">
        <f>'Foglio deposito bis'!$F$51*IF(ABS(N449)&lt;'Progetto del paramento slu'!$G$58,ABS(N449)*'Progetto del paramento slu'!$G$54,'Progetto del paramento slu'!$G$53)*IF(N449&lt;0,-1,1)</f>
        <v>240946.49743184328</v>
      </c>
      <c r="U449" s="553">
        <f>'Foglio deposito bis'!$F$52*IF(ABS(O449)&lt;'Progetto del paramento slu'!$G$58,ABS(O449)*'Progetto del paramento slu'!$G$54,'Progetto del paramento slu'!$G$53)*IF(O449&lt;0,-1,1)</f>
        <v>240946.49743184328</v>
      </c>
      <c r="V449" s="479">
        <f t="shared" si="39"/>
        <v>-992175.30719931703</v>
      </c>
      <c r="W449" s="559"/>
      <c r="X449" s="559"/>
    </row>
    <row r="450" spans="1:24" x14ac:dyDescent="0.25">
      <c r="A450" s="553">
        <f t="shared" si="38"/>
        <v>1066698.273696576</v>
      </c>
      <c r="B450" s="3">
        <f t="shared" si="36"/>
        <v>28.899999999999942</v>
      </c>
      <c r="C450" s="553">
        <f>'Foglio deposito bis'!$E$154/sezione!$B$247*B450</f>
        <v>117.32108908217953</v>
      </c>
      <c r="D450" s="611">
        <f>-'Progetto del paramento slu'!$G$47*'Progetto del paramento slu'!$G$41*IF(DATI!$G$218="dx",DATI!$E$61,DATI!$E$64*DATI!$E$63)*1000*C450^2*sezione!$AD$5*(1-sezione!$AD$6)</f>
        <v>-113307203.446888</v>
      </c>
      <c r="E450" s="553">
        <f>-'Foglio deposito bis'!$F$48*(C450-sezione!$AL$28)*IF(ABS(K450)&lt;'Progetto del paramento slu'!$G$58,ABS(K450)*'Progetto del paramento slu'!$G$54,'Progetto del paramento slu'!$G$53)</f>
        <v>0</v>
      </c>
      <c r="F450" s="553">
        <f>-'Foglio deposito bis'!$F$49*(C450-sezione!$AM$28)*IF(ABS(L450)&lt;'Progetto del paramento slu'!$G$58,ABS(L450)*'Progetto del paramento slu'!$G$54,'Progetto del paramento slu'!$G$53)</f>
        <v>3436314.8595978767</v>
      </c>
      <c r="G450" s="553">
        <f>-'Foglio deposito bis'!$F$50*(C450-sezione!$AN$28)*IF(ABS(M450)&lt;'Progetto del paramento slu'!$G$58,ABS(M450)*'Progetto del paramento slu'!$G$54,'Progetto del paramento slu'!$G$53)</f>
        <v>0</v>
      </c>
      <c r="H450" s="553">
        <f>-'Foglio deposito bis'!$F$51*(C450-sezione!$AO$28)*IF(ABS(N450)&lt;'Progetto del paramento slu'!$G$58,ABS(N450)*'Progetto del paramento slu'!$G$54,'Progetto del paramento slu'!$G$53)</f>
        <v>53653703.637586281</v>
      </c>
      <c r="I450" s="479">
        <f>-'Foglio deposito bis'!$F$52*(C450-sezione!$AP$28)*IF(ABS(O450)&lt;'Progetto del paramento slu'!$G$58,ABS(O450)*'Progetto del paramento slu'!$G$54,'Progetto del paramento slu'!$G$53)</f>
        <v>34378221.314346395</v>
      </c>
      <c r="J450" s="479">
        <f t="shared" si="37"/>
        <v>-21838963.635357447</v>
      </c>
      <c r="K450" s="558">
        <f>'Progetto del paramento slu'!$G$60*(sezione!$AL$28-C450)/C450</f>
        <v>-2.3066936550347342E-3</v>
      </c>
      <c r="L450" s="558">
        <f>'Progetto del paramento slu'!$G$60*(sezione!$AM$28-C450)/C450</f>
        <v>9.7489879361974683E-4</v>
      </c>
      <c r="M450" s="559">
        <f>'Progetto del paramento slu'!$G$60*(sezione!$AN$28-C450)/C450</f>
        <v>4.2564912422742279E-3</v>
      </c>
      <c r="N450" s="559">
        <f>'Progetto del paramento slu'!$G$60*(sezione!$AO$28-C450)/C450</f>
        <v>6.6431039322047587E-3</v>
      </c>
      <c r="O450" s="559">
        <f>'Progetto del paramento slu'!$G$60*(sezione!$AP$28-C450)/C450</f>
        <v>4.2565206446541224E-3</v>
      </c>
      <c r="P450" s="553">
        <f>-'Progetto del paramento slu'!$G$47*'Progetto del paramento slu'!$G$41*IF(DATI!$G$218="dx",DATI!$E$61,DATI!$E$64*DATI!$E$63)*1000*C450*sezione!$AD$5</f>
        <v>-1653745.1663826036</v>
      </c>
      <c r="Q450" s="553">
        <f>'Foglio deposito bis'!$F$48*IF(ABS(K450)&lt;'Progetto del paramento slu'!$G$58,ABS(K450)*'Progetto del paramento slu'!$G$54,'Progetto del paramento slu'!$G$53)*IF(K450&lt;0,-1,1)</f>
        <v>0</v>
      </c>
      <c r="R450" s="553">
        <f>'Foglio deposito bis'!$F$49*IF(ABS(L450)&lt;'Progetto del paramento slu'!$G$58,ABS(L450)*'Progetto del paramento slu'!$G$54,'Progetto del paramento slu'!$G$53)*IF(L450&lt;0,-1,1)</f>
        <v>105153.89782234096</v>
      </c>
      <c r="S450" s="553">
        <f>'Foglio deposito bis'!$F$50*IF(ABS(M450)&lt;'Progetto del paramento slu'!$G$58,ABS(M450)*'Progetto del paramento slu'!$G$54,'Progetto del paramento slu'!$G$53)*IF(M450&lt;0,-1,1)</f>
        <v>0</v>
      </c>
      <c r="T450" s="553">
        <f>'Foglio deposito bis'!$F$51*IF(ABS(N450)&lt;'Progetto del paramento slu'!$G$58,ABS(N450)*'Progetto del paramento slu'!$G$54,'Progetto del paramento slu'!$G$53)*IF(N450&lt;0,-1,1)</f>
        <v>240946.49743184328</v>
      </c>
      <c r="U450" s="553">
        <f>'Foglio deposito bis'!$F$52*IF(ABS(O450)&lt;'Progetto del paramento slu'!$G$58,ABS(O450)*'Progetto del paramento slu'!$G$54,'Progetto del paramento slu'!$G$53)*IF(O450&lt;0,-1,1)</f>
        <v>240946.49743184328</v>
      </c>
      <c r="V450" s="479">
        <f t="shared" si="39"/>
        <v>-1066698.273696576</v>
      </c>
      <c r="W450" s="559"/>
      <c r="X450" s="559"/>
    </row>
    <row r="451" spans="1:24" x14ac:dyDescent="0.25">
      <c r="A451" s="553">
        <f t="shared" si="38"/>
        <v>1140064.052878821</v>
      </c>
      <c r="B451" s="3">
        <f t="shared" si="36"/>
        <v>29.899999999999942</v>
      </c>
      <c r="C451" s="553">
        <f>'Foglio deposito bis'!$E$154/sezione!$B$247*B451</f>
        <v>121.38064233761827</v>
      </c>
      <c r="D451" s="611">
        <f>-'Progetto del paramento slu'!$G$47*'Progetto del paramento slu'!$G$41*IF(DATI!$G$218="dx",DATI!$E$61,DATI!$E$64*DATI!$E$63)*1000*C451^2*sezione!$AD$5*(1-sezione!$AD$6)</f>
        <v>-121284195.53591594</v>
      </c>
      <c r="E451" s="553">
        <f>-'Foglio deposito bis'!$F$48*(C451-sezione!$AL$28)*IF(ABS(K451)&lt;'Progetto del paramento slu'!$G$58,ABS(K451)*'Progetto del paramento slu'!$G$54,'Progetto del paramento slu'!$G$53)</f>
        <v>0</v>
      </c>
      <c r="F451" s="553">
        <f>-'Foglio deposito bis'!$F$49*(C451-sezione!$AM$28)*IF(ABS(L451)&lt;'Progetto del paramento slu'!$G$58,ABS(L451)*'Progetto del paramento slu'!$G$54,'Progetto del paramento slu'!$G$53)</f>
        <v>2547441.5021432522</v>
      </c>
      <c r="G451" s="553">
        <f>-'Foglio deposito bis'!$F$50*(C451-sezione!$AN$28)*IF(ABS(M451)&lt;'Progetto del paramento slu'!$G$58,ABS(M451)*'Progetto del paramento slu'!$G$54,'Progetto del paramento slu'!$G$53)</f>
        <v>0</v>
      </c>
      <c r="H451" s="553">
        <f>-'Foglio deposito bis'!$F$51*(C451-sezione!$AO$28)*IF(ABS(N451)&lt;'Progetto del paramento slu'!$G$58,ABS(N451)*'Progetto del paramento slu'!$G$54,'Progetto del paramento slu'!$G$53)</f>
        <v>52675568.499550283</v>
      </c>
      <c r="I451" s="479">
        <f>-'Foglio deposito bis'!$F$52*(C451-sezione!$AP$28)*IF(ABS(O451)&lt;'Progetto del paramento slu'!$G$58,ABS(O451)*'Progetto del paramento slu'!$G$54,'Progetto del paramento slu'!$G$53)</f>
        <v>33400086.17631039</v>
      </c>
      <c r="J451" s="479">
        <f t="shared" si="37"/>
        <v>-32661099.357912019</v>
      </c>
      <c r="K451" s="558">
        <f>'Progetto del paramento slu'!$G$60*(sezione!$AL$28-C451)/C451</f>
        <v>-2.3466035662375864E-3</v>
      </c>
      <c r="L451" s="558">
        <f>'Progetto del paramento slu'!$G$60*(sezione!$AM$28-C451)/C451</f>
        <v>8.2523662660905276E-4</v>
      </c>
      <c r="M451" s="559">
        <f>'Progetto del paramento slu'!$G$60*(sezione!$AN$28-C451)/C451</f>
        <v>3.9970768194556913E-3</v>
      </c>
      <c r="N451" s="559">
        <f>'Progetto del paramento slu'!$G$60*(sezione!$AO$28-C451)/C451</f>
        <v>6.3038696869805195E-3</v>
      </c>
      <c r="O451" s="559">
        <f>'Progetto del paramento slu'!$G$60*(sezione!$AP$28-C451)/C451</f>
        <v>3.9971052384783984E-3</v>
      </c>
      <c r="P451" s="553">
        <f>-'Progetto del paramento slu'!$G$47*'Progetto del paramento slu'!$G$41*IF(DATI!$G$218="dx",DATI!$E$61,DATI!$E$64*DATI!$E$63)*1000*C451*sezione!$AD$5</f>
        <v>-1710968.18252041</v>
      </c>
      <c r="Q451" s="553">
        <f>'Foglio deposito bis'!$F$48*IF(ABS(K451)&lt;'Progetto del paramento slu'!$G$58,ABS(K451)*'Progetto del paramento slu'!$G$54,'Progetto del paramento slu'!$G$53)*IF(K451&lt;0,-1,1)</f>
        <v>0</v>
      </c>
      <c r="R451" s="553">
        <f>'Foglio deposito bis'!$F$49*IF(ABS(L451)&lt;'Progetto del paramento slu'!$G$58,ABS(L451)*'Progetto del paramento slu'!$G$54,'Progetto del paramento slu'!$G$53)*IF(L451&lt;0,-1,1)</f>
        <v>89011.134777902334</v>
      </c>
      <c r="S451" s="553">
        <f>'Foglio deposito bis'!$F$50*IF(ABS(M451)&lt;'Progetto del paramento slu'!$G$58,ABS(M451)*'Progetto del paramento slu'!$G$54,'Progetto del paramento slu'!$G$53)*IF(M451&lt;0,-1,1)</f>
        <v>0</v>
      </c>
      <c r="T451" s="553">
        <f>'Foglio deposito bis'!$F$51*IF(ABS(N451)&lt;'Progetto del paramento slu'!$G$58,ABS(N451)*'Progetto del paramento slu'!$G$54,'Progetto del paramento slu'!$G$53)*IF(N451&lt;0,-1,1)</f>
        <v>240946.49743184328</v>
      </c>
      <c r="U451" s="553">
        <f>'Foglio deposito bis'!$F$52*IF(ABS(O451)&lt;'Progetto del paramento slu'!$G$58,ABS(O451)*'Progetto del paramento slu'!$G$54,'Progetto del paramento slu'!$G$53)*IF(O451&lt;0,-1,1)</f>
        <v>240946.49743184328</v>
      </c>
      <c r="V451" s="479">
        <f t="shared" si="39"/>
        <v>-1140064.052878821</v>
      </c>
      <c r="W451" s="559"/>
      <c r="X451" s="559"/>
    </row>
    <row r="452" spans="1:24" x14ac:dyDescent="0.25">
      <c r="A452" s="553">
        <f t="shared" si="38"/>
        <v>1212384.9930290636</v>
      </c>
      <c r="B452" s="3">
        <f t="shared" si="36"/>
        <v>30.899999999999942</v>
      </c>
      <c r="C452" s="553">
        <f>'Foglio deposito bis'!$E$154/sezione!$B$247*B452</f>
        <v>125.44019559305701</v>
      </c>
      <c r="D452" s="611">
        <f>-'Progetto del paramento slu'!$G$47*'Progetto del paramento slu'!$G$41*IF(DATI!$G$218="dx",DATI!$E$61,DATI!$E$64*DATI!$E$63)*1000*C452^2*sezione!$AD$5*(1-sezione!$AD$6)</f>
        <v>-129532513.88647544</v>
      </c>
      <c r="E452" s="553">
        <f>-'Foglio deposito bis'!$F$48*(C452-sezione!$AL$28)*IF(ABS(K452)&lt;'Progetto del paramento slu'!$G$58,ABS(K452)*'Progetto del paramento slu'!$G$54,'Progetto del paramento slu'!$G$53)</f>
        <v>0</v>
      </c>
      <c r="F452" s="553">
        <f>-'Foglio deposito bis'!$F$49*(C452-sezione!$AM$28)*IF(ABS(L452)&lt;'Progetto del paramento slu'!$G$58,ABS(L452)*'Progetto del paramento slu'!$G$54,'Progetto del paramento slu'!$G$53)</f>
        <v>1815293.9994890026</v>
      </c>
      <c r="G452" s="553">
        <f>-'Foglio deposito bis'!$F$50*(C452-sezione!$AN$28)*IF(ABS(M452)&lt;'Progetto del paramento slu'!$G$58,ABS(M452)*'Progetto del paramento slu'!$G$54,'Progetto del paramento slu'!$G$53)</f>
        <v>0</v>
      </c>
      <c r="H452" s="553">
        <f>-'Foglio deposito bis'!$F$51*(C452-sezione!$AO$28)*IF(ABS(N452)&lt;'Progetto del paramento slu'!$G$58,ABS(N452)*'Progetto del paramento slu'!$G$54,'Progetto del paramento slu'!$G$53)</f>
        <v>51697433.361514285</v>
      </c>
      <c r="I452" s="479">
        <f>-'Foglio deposito bis'!$F$52*(C452-sezione!$AP$28)*IF(ABS(O452)&lt;'Progetto del paramento slu'!$G$58,ABS(O452)*'Progetto del paramento slu'!$G$54,'Progetto del paramento slu'!$G$53)</f>
        <v>32421951.038274389</v>
      </c>
      <c r="J452" s="479">
        <f t="shared" si="37"/>
        <v>-43597835.487197757</v>
      </c>
      <c r="K452" s="558">
        <f>'Progetto del paramento slu'!$G$60*(sezione!$AL$28-C452)/C452</f>
        <v>-2.3839303116667903E-3</v>
      </c>
      <c r="L452" s="558">
        <f>'Progetto del paramento slu'!$G$60*(sezione!$AM$28-C452)/C452</f>
        <v>6.8526133124953632E-4</v>
      </c>
      <c r="M452" s="559">
        <f>'Progetto del paramento slu'!$G$60*(sezione!$AN$28-C452)/C452</f>
        <v>3.7544529741658631E-3</v>
      </c>
      <c r="N452" s="559">
        <f>'Progetto del paramento slu'!$G$60*(sezione!$AO$28-C452)/C452</f>
        <v>5.9865923508322823E-3</v>
      </c>
      <c r="O452" s="559">
        <f>'Progetto del paramento slu'!$G$60*(sezione!$AP$28-C452)/C452</f>
        <v>3.7544804734790977E-3</v>
      </c>
      <c r="P452" s="553">
        <f>-'Progetto del paramento slu'!$G$47*'Progetto del paramento slu'!$G$41*IF(DATI!$G$218="dx",DATI!$E$61,DATI!$E$64*DATI!$E$63)*1000*C452*sezione!$AD$5</f>
        <v>-1768191.1986582163</v>
      </c>
      <c r="Q452" s="553">
        <f>'Foglio deposito bis'!$F$48*IF(ABS(K452)&lt;'Progetto del paramento slu'!$G$58,ABS(K452)*'Progetto del paramento slu'!$G$54,'Progetto del paramento slu'!$G$53)*IF(K452&lt;0,-1,1)</f>
        <v>0</v>
      </c>
      <c r="R452" s="553">
        <f>'Foglio deposito bis'!$F$49*IF(ABS(L452)&lt;'Progetto del paramento slu'!$G$58,ABS(L452)*'Progetto del paramento slu'!$G$54,'Progetto del paramento slu'!$G$53)*IF(L452&lt;0,-1,1)</f>
        <v>73913.210765466196</v>
      </c>
      <c r="S452" s="553">
        <f>'Foglio deposito bis'!$F$50*IF(ABS(M452)&lt;'Progetto del paramento slu'!$G$58,ABS(M452)*'Progetto del paramento slu'!$G$54,'Progetto del paramento slu'!$G$53)*IF(M452&lt;0,-1,1)</f>
        <v>0</v>
      </c>
      <c r="T452" s="553">
        <f>'Foglio deposito bis'!$F$51*IF(ABS(N452)&lt;'Progetto del paramento slu'!$G$58,ABS(N452)*'Progetto del paramento slu'!$G$54,'Progetto del paramento slu'!$G$53)*IF(N452&lt;0,-1,1)</f>
        <v>240946.49743184328</v>
      </c>
      <c r="U452" s="553">
        <f>'Foglio deposito bis'!$F$52*IF(ABS(O452)&lt;'Progetto del paramento slu'!$G$58,ABS(O452)*'Progetto del paramento slu'!$G$54,'Progetto del paramento slu'!$G$53)*IF(O452&lt;0,-1,1)</f>
        <v>240946.49743184328</v>
      </c>
      <c r="V452" s="479">
        <f t="shared" si="39"/>
        <v>-1212384.9930290636</v>
      </c>
      <c r="W452" s="559"/>
      <c r="X452" s="559"/>
    </row>
    <row r="453" spans="1:24" x14ac:dyDescent="0.25">
      <c r="A453" s="553">
        <f t="shared" si="38"/>
        <v>1283759.3548713166</v>
      </c>
      <c r="B453" s="3">
        <f t="shared" si="36"/>
        <v>31.899999999999942</v>
      </c>
      <c r="C453" s="553">
        <f>'Foglio deposito bis'!$E$154/sezione!$B$247*B453</f>
        <v>129.49974884849576</v>
      </c>
      <c r="D453" s="611">
        <f>-'Progetto del paramento slu'!$G$47*'Progetto del paramento slu'!$G$41*IF(DATI!$G$218="dx",DATI!$E$61,DATI!$E$64*DATI!$E$63)*1000*C453^2*sezione!$AD$5*(1-sezione!$AD$6)</f>
        <v>-138052158.49856651</v>
      </c>
      <c r="E453" s="553">
        <f>-'Foglio deposito bis'!$F$48*(C453-sezione!$AL$28)*IF(ABS(K453)&lt;'Progetto del paramento slu'!$G$58,ABS(K453)*'Progetto del paramento slu'!$G$54,'Progetto del paramento slu'!$G$53)</f>
        <v>0</v>
      </c>
      <c r="F453" s="553">
        <f>-'Foglio deposito bis'!$F$49*(C453-sezione!$AM$28)*IF(ABS(L453)&lt;'Progetto del paramento slu'!$G$58,ABS(L453)*'Progetto del paramento slu'!$G$54,'Progetto del paramento slu'!$G$53)</f>
        <v>1225133.2430332121</v>
      </c>
      <c r="G453" s="553">
        <f>-'Foglio deposito bis'!$F$50*(C453-sezione!$AN$28)*IF(ABS(M453)&lt;'Progetto del paramento slu'!$G$58,ABS(M453)*'Progetto del paramento slu'!$G$54,'Progetto del paramento slu'!$G$53)</f>
        <v>0</v>
      </c>
      <c r="H453" s="553">
        <f>-'Foglio deposito bis'!$F$51*(C453-sezione!$AO$28)*IF(ABS(N453)&lt;'Progetto del paramento slu'!$G$58,ABS(N453)*'Progetto del paramento slu'!$G$54,'Progetto del paramento slu'!$G$53)</f>
        <v>50719298.22347828</v>
      </c>
      <c r="I453" s="479">
        <f>-'Foglio deposito bis'!$F$52*(C453-sezione!$AP$28)*IF(ABS(O453)&lt;'Progetto del paramento slu'!$G$58,ABS(O453)*'Progetto del paramento slu'!$G$54,'Progetto del paramento slu'!$G$53)</f>
        <v>31443815.900238387</v>
      </c>
      <c r="J453" s="479">
        <f t="shared" si="37"/>
        <v>-54663911.131816633</v>
      </c>
      <c r="K453" s="558">
        <f>'Progetto del paramento slu'!$G$60*(sezione!$AL$28-C453)/C453</f>
        <v>-2.4189168222728472E-3</v>
      </c>
      <c r="L453" s="558">
        <f>'Progetto del paramento slu'!$G$60*(sezione!$AM$28-C453)/C453</f>
        <v>5.5406191647682326E-4</v>
      </c>
      <c r="M453" s="559">
        <f>'Progetto del paramento slu'!$G$60*(sezione!$AN$28-C453)/C453</f>
        <v>3.5270406552264937E-3</v>
      </c>
      <c r="N453" s="559">
        <f>'Progetto del paramento slu'!$G$60*(sezione!$AO$28-C453)/C453</f>
        <v>5.6892070106807991E-3</v>
      </c>
      <c r="O453" s="559">
        <f>'Progetto del paramento slu'!$G$60*(sezione!$AP$28-C453)/C453</f>
        <v>3.5270672924922913E-3</v>
      </c>
      <c r="P453" s="553">
        <f>-'Progetto del paramento slu'!$G$47*'Progetto del paramento slu'!$G$41*IF(DATI!$G$218="dx",DATI!$E$61,DATI!$E$64*DATI!$E$63)*1000*C453*sezione!$AD$5</f>
        <v>-1825414.214796023</v>
      </c>
      <c r="Q453" s="553">
        <f>'Foglio deposito bis'!$F$48*IF(ABS(K453)&lt;'Progetto del paramento slu'!$G$58,ABS(K453)*'Progetto del paramento slu'!$G$54,'Progetto del paramento slu'!$G$53)*IF(K453&lt;0,-1,1)</f>
        <v>0</v>
      </c>
      <c r="R453" s="553">
        <f>'Foglio deposito bis'!$F$49*IF(ABS(L453)&lt;'Progetto del paramento slu'!$G$58,ABS(L453)*'Progetto del paramento slu'!$G$54,'Progetto del paramento slu'!$G$53)*IF(L453&lt;0,-1,1)</f>
        <v>59761.865061019787</v>
      </c>
      <c r="S453" s="553">
        <f>'Foglio deposito bis'!$F$50*IF(ABS(M453)&lt;'Progetto del paramento slu'!$G$58,ABS(M453)*'Progetto del paramento slu'!$G$54,'Progetto del paramento slu'!$G$53)*IF(M453&lt;0,-1,1)</f>
        <v>0</v>
      </c>
      <c r="T453" s="553">
        <f>'Foglio deposito bis'!$F$51*IF(ABS(N453)&lt;'Progetto del paramento slu'!$G$58,ABS(N453)*'Progetto del paramento slu'!$G$54,'Progetto del paramento slu'!$G$53)*IF(N453&lt;0,-1,1)</f>
        <v>240946.49743184328</v>
      </c>
      <c r="U453" s="553">
        <f>'Foglio deposito bis'!$F$52*IF(ABS(O453)&lt;'Progetto del paramento slu'!$G$58,ABS(O453)*'Progetto del paramento slu'!$G$54,'Progetto del paramento slu'!$G$53)*IF(O453&lt;0,-1,1)</f>
        <v>240946.49743184328</v>
      </c>
      <c r="V453" s="479">
        <f t="shared" si="39"/>
        <v>-1283759.3548713166</v>
      </c>
      <c r="W453" s="559"/>
      <c r="X453" s="559"/>
    </row>
    <row r="454" spans="1:24" x14ac:dyDescent="0.25">
      <c r="A454" s="553">
        <f t="shared" si="38"/>
        <v>1354273.4525370072</v>
      </c>
      <c r="B454" s="3">
        <f t="shared" si="36"/>
        <v>32.899999999999942</v>
      </c>
      <c r="C454" s="553">
        <f>'Foglio deposito bis'!$E$154/sezione!$B$247*B454</f>
        <v>133.5593021039345</v>
      </c>
      <c r="D454" s="611">
        <f>-'Progetto del paramento slu'!$G$47*'Progetto del paramento slu'!$G$41*IF(DATI!$G$218="dx",DATI!$E$61,DATI!$E$64*DATI!$E$63)*1000*C454^2*sezione!$AD$5*(1-sezione!$AD$6)</f>
        <v>-146843129.37218913</v>
      </c>
      <c r="E454" s="553">
        <f>-'Foglio deposito bis'!$F$48*(C454-sezione!$AL$28)*IF(ABS(K454)&lt;'Progetto del paramento slu'!$G$58,ABS(K454)*'Progetto del paramento slu'!$G$54,'Progetto del paramento slu'!$G$53)</f>
        <v>0</v>
      </c>
      <c r="F454" s="553">
        <f>-'Foglio deposito bis'!$F$49*(C454-sezione!$AM$28)*IF(ABS(L454)&lt;'Progetto del paramento slu'!$G$58,ABS(L454)*'Progetto del paramento slu'!$G$54,'Progetto del paramento slu'!$G$53)</f>
        <v>764012.11306173599</v>
      </c>
      <c r="G454" s="553">
        <f>-'Foglio deposito bis'!$F$50*(C454-sezione!$AN$28)*IF(ABS(M454)&lt;'Progetto del paramento slu'!$G$58,ABS(M454)*'Progetto del paramento slu'!$G$54,'Progetto del paramento slu'!$G$53)</f>
        <v>0</v>
      </c>
      <c r="H454" s="553">
        <f>-'Foglio deposito bis'!$F$51*(C454-sezione!$AO$28)*IF(ABS(N454)&lt;'Progetto del paramento slu'!$G$58,ABS(N454)*'Progetto del paramento slu'!$G$54,'Progetto del paramento slu'!$G$53)</f>
        <v>49741163.085442275</v>
      </c>
      <c r="I454" s="479">
        <f>-'Foglio deposito bis'!$F$52*(C454-sezione!$AP$28)*IF(ABS(O454)&lt;'Progetto del paramento slu'!$G$58,ABS(O454)*'Progetto del paramento slu'!$G$54,'Progetto del paramento slu'!$G$53)</f>
        <v>30465680.762202382</v>
      </c>
      <c r="J454" s="479">
        <f t="shared" si="37"/>
        <v>-65872273.411482751</v>
      </c>
      <c r="K454" s="558">
        <f>'Progetto del paramento slu'!$G$60*(sezione!$AL$28-C454)/C454</f>
        <v>-2.4517764933283839E-3</v>
      </c>
      <c r="L454" s="558">
        <f>'Progetto del paramento slu'!$G$60*(sezione!$AM$28-C454)/C454</f>
        <v>4.3083815001856112E-4</v>
      </c>
      <c r="M454" s="559">
        <f>'Progetto del paramento slu'!$G$60*(sezione!$AN$28-C454)/C454</f>
        <v>3.3134527933655058E-3</v>
      </c>
      <c r="N454" s="559">
        <f>'Progetto del paramento slu'!$G$60*(sezione!$AO$28-C454)/C454</f>
        <v>5.4098998067087381E-3</v>
      </c>
      <c r="O454" s="559">
        <f>'Progetto del paramento slu'!$G$60*(sezione!$AP$28-C454)/C454</f>
        <v>3.3134786209879663E-3</v>
      </c>
      <c r="P454" s="553">
        <f>-'Progetto del paramento slu'!$G$47*'Progetto del paramento slu'!$G$41*IF(DATI!$G$218="dx",DATI!$E$61,DATI!$E$64*DATI!$E$63)*1000*C454*sezione!$AD$5</f>
        <v>-1882637.2309338292</v>
      </c>
      <c r="Q454" s="553">
        <f>'Foglio deposito bis'!$F$48*IF(ABS(K454)&lt;'Progetto del paramento slu'!$G$58,ABS(K454)*'Progetto del paramento slu'!$G$54,'Progetto del paramento slu'!$G$53)*IF(K454&lt;0,-1,1)</f>
        <v>0</v>
      </c>
      <c r="R454" s="553">
        <f>'Foglio deposito bis'!$F$49*IF(ABS(L454)&lt;'Progetto del paramento slu'!$G$58,ABS(L454)*'Progetto del paramento slu'!$G$54,'Progetto del paramento slu'!$G$53)*IF(L454&lt;0,-1,1)</f>
        <v>46470.783533135487</v>
      </c>
      <c r="S454" s="553">
        <f>'Foglio deposito bis'!$F$50*IF(ABS(M454)&lt;'Progetto del paramento slu'!$G$58,ABS(M454)*'Progetto del paramento slu'!$G$54,'Progetto del paramento slu'!$G$53)*IF(M454&lt;0,-1,1)</f>
        <v>0</v>
      </c>
      <c r="T454" s="553">
        <f>'Foglio deposito bis'!$F$51*IF(ABS(N454)&lt;'Progetto del paramento slu'!$G$58,ABS(N454)*'Progetto del paramento slu'!$G$54,'Progetto del paramento slu'!$G$53)*IF(N454&lt;0,-1,1)</f>
        <v>240946.49743184328</v>
      </c>
      <c r="U454" s="553">
        <f>'Foglio deposito bis'!$F$52*IF(ABS(O454)&lt;'Progetto del paramento slu'!$G$58,ABS(O454)*'Progetto del paramento slu'!$G$54,'Progetto del paramento slu'!$G$53)*IF(O454&lt;0,-1,1)</f>
        <v>240946.49743184328</v>
      </c>
      <c r="V454" s="479">
        <f t="shared" si="39"/>
        <v>-1354273.4525370072</v>
      </c>
      <c r="W454" s="559"/>
      <c r="X454" s="559"/>
    </row>
    <row r="455" spans="1:24" x14ac:dyDescent="0.25">
      <c r="A455" s="553">
        <f t="shared" si="38"/>
        <v>1424003.4155992828</v>
      </c>
      <c r="B455" s="3">
        <f t="shared" si="36"/>
        <v>33.899999999999942</v>
      </c>
      <c r="C455" s="553">
        <f>'Foglio deposito bis'!$E$154/sezione!$B$247*B455</f>
        <v>137.61885535937324</v>
      </c>
      <c r="D455" s="611">
        <f>-'Progetto del paramento slu'!$G$47*'Progetto del paramento slu'!$G$41*IF(DATI!$G$218="dx",DATI!$E$61,DATI!$E$64*DATI!$E$63)*1000*C455^2*sezione!$AD$5*(1-sezione!$AD$6)</f>
        <v>-155905426.50734332</v>
      </c>
      <c r="E455" s="553">
        <f>-'Foglio deposito bis'!$F$48*(C455-sezione!$AL$28)*IF(ABS(K455)&lt;'Progetto del paramento slu'!$G$58,ABS(K455)*'Progetto del paramento slu'!$G$54,'Progetto del paramento slu'!$G$53)</f>
        <v>0</v>
      </c>
      <c r="F455" s="553">
        <f>-'Foglio deposito bis'!$F$49*(C455-sezione!$AM$28)*IF(ABS(L455)&lt;'Progetto del paramento slu'!$G$58,ABS(L455)*'Progetto del paramento slu'!$G$54,'Progetto del paramento slu'!$G$53)</f>
        <v>420511.17360251019</v>
      </c>
      <c r="G455" s="553">
        <f>-'Foglio deposito bis'!$F$50*(C455-sezione!$AN$28)*IF(ABS(M455)&lt;'Progetto del paramento slu'!$G$58,ABS(M455)*'Progetto del paramento slu'!$G$54,'Progetto del paramento slu'!$G$53)</f>
        <v>0</v>
      </c>
      <c r="H455" s="553">
        <f>-'Foglio deposito bis'!$F$51*(C455-sezione!$AO$28)*IF(ABS(N455)&lt;'Progetto del paramento slu'!$G$58,ABS(N455)*'Progetto del paramento slu'!$G$54,'Progetto del paramento slu'!$G$53)</f>
        <v>48763027.947406277</v>
      </c>
      <c r="I455" s="479">
        <f>-'Foglio deposito bis'!$F$52*(C455-sezione!$AP$28)*IF(ABS(O455)&lt;'Progetto del paramento slu'!$G$58,ABS(O455)*'Progetto del paramento slu'!$G$54,'Progetto del paramento slu'!$G$53)</f>
        <v>29487545.624166384</v>
      </c>
      <c r="J455" s="479">
        <f t="shared" si="37"/>
        <v>-77234341.762168139</v>
      </c>
      <c r="K455" s="558">
        <f>'Progetto del paramento slu'!$G$60*(sezione!$AL$28-C455)/C455</f>
        <v>-2.482697540722827E-3</v>
      </c>
      <c r="L455" s="558">
        <f>'Progetto del paramento slu'!$G$60*(sezione!$AM$28-C455)/C455</f>
        <v>3.1488422228939992E-4</v>
      </c>
      <c r="M455" s="559">
        <f>'Progetto del paramento slu'!$G$60*(sezione!$AN$28-C455)/C455</f>
        <v>3.1124659853016263E-3</v>
      </c>
      <c r="N455" s="559">
        <f>'Progetto del paramento slu'!$G$60*(sezione!$AO$28-C455)/C455</f>
        <v>5.1470709038559728E-3</v>
      </c>
      <c r="O455" s="559">
        <f>'Progetto del paramento slu'!$G$60*(sezione!$AP$28-C455)/C455</f>
        <v>3.1124910510473181E-3</v>
      </c>
      <c r="P455" s="553">
        <f>-'Progetto del paramento slu'!$G$47*'Progetto del paramento slu'!$G$41*IF(DATI!$G$218="dx",DATI!$E$61,DATI!$E$64*DATI!$E$63)*1000*C455*sezione!$AD$5</f>
        <v>-1939860.2470716357</v>
      </c>
      <c r="Q455" s="553">
        <f>'Foglio deposito bis'!$F$48*IF(ABS(K455)&lt;'Progetto del paramento slu'!$G$58,ABS(K455)*'Progetto del paramento slu'!$G$54,'Progetto del paramento slu'!$G$53)*IF(K455&lt;0,-1,1)</f>
        <v>0</v>
      </c>
      <c r="R455" s="553">
        <f>'Foglio deposito bis'!$F$49*IF(ABS(L455)&lt;'Progetto del paramento slu'!$G$58,ABS(L455)*'Progetto del paramento slu'!$G$54,'Progetto del paramento slu'!$G$53)*IF(L455&lt;0,-1,1)</f>
        <v>33963.836608666184</v>
      </c>
      <c r="S455" s="553">
        <f>'Foglio deposito bis'!$F$50*IF(ABS(M455)&lt;'Progetto del paramento slu'!$G$58,ABS(M455)*'Progetto del paramento slu'!$G$54,'Progetto del paramento slu'!$G$53)*IF(M455&lt;0,-1,1)</f>
        <v>0</v>
      </c>
      <c r="T455" s="553">
        <f>'Foglio deposito bis'!$F$51*IF(ABS(N455)&lt;'Progetto del paramento slu'!$G$58,ABS(N455)*'Progetto del paramento slu'!$G$54,'Progetto del paramento slu'!$G$53)*IF(N455&lt;0,-1,1)</f>
        <v>240946.49743184328</v>
      </c>
      <c r="U455" s="553">
        <f>'Foglio deposito bis'!$F$52*IF(ABS(O455)&lt;'Progetto del paramento slu'!$G$58,ABS(O455)*'Progetto del paramento slu'!$G$54,'Progetto del paramento slu'!$G$53)*IF(O455&lt;0,-1,1)</f>
        <v>240946.49743184328</v>
      </c>
      <c r="V455" s="479">
        <f t="shared" si="39"/>
        <v>-1424003.4155992828</v>
      </c>
      <c r="W455" s="559"/>
      <c r="X455" s="559"/>
    </row>
    <row r="456" spans="1:24" x14ac:dyDescent="0.25">
      <c r="A456" s="553">
        <f t="shared" si="38"/>
        <v>1493016.6481787814</v>
      </c>
      <c r="B456" s="3">
        <f t="shared" si="36"/>
        <v>34.899999999999942</v>
      </c>
      <c r="C456" s="553">
        <f>'Foglio deposito bis'!$E$154/sezione!$B$247*B456</f>
        <v>141.67840861481199</v>
      </c>
      <c r="D456" s="611">
        <f>-'Progetto del paramento slu'!$G$47*'Progetto del paramento slu'!$G$41*IF(DATI!$G$218="dx",DATI!$E$61,DATI!$E$64*DATI!$E$63)*1000*C456^2*sezione!$AD$5*(1-sezione!$AD$6)</f>
        <v>-165239049.90402907</v>
      </c>
      <c r="E456" s="553">
        <f>-'Foglio deposito bis'!$F$48*(C456-sezione!$AL$28)*IF(ABS(K456)&lt;'Progetto del paramento slu'!$G$58,ABS(K456)*'Progetto del paramento slu'!$G$54,'Progetto del paramento slu'!$G$53)</f>
        <v>0</v>
      </c>
      <c r="F456" s="553">
        <f>-'Foglio deposito bis'!$F$49*(C456-sezione!$AM$28)*IF(ABS(L456)&lt;'Progetto del paramento slu'!$G$58,ABS(L456)*'Progetto del paramento slu'!$G$54,'Progetto del paramento slu'!$G$53)</f>
        <v>184519.80655992613</v>
      </c>
      <c r="G456" s="553">
        <f>-'Foglio deposito bis'!$F$50*(C456-sezione!$AN$28)*IF(ABS(M456)&lt;'Progetto del paramento slu'!$G$58,ABS(M456)*'Progetto del paramento slu'!$G$54,'Progetto del paramento slu'!$G$53)</f>
        <v>0</v>
      </c>
      <c r="H456" s="553">
        <f>-'Foglio deposito bis'!$F$51*(C456-sezione!$AO$28)*IF(ABS(N456)&lt;'Progetto del paramento slu'!$G$58,ABS(N456)*'Progetto del paramento slu'!$G$54,'Progetto del paramento slu'!$G$53)</f>
        <v>47784892.809370272</v>
      </c>
      <c r="I456" s="479">
        <f>-'Foglio deposito bis'!$F$52*(C456-sezione!$AP$28)*IF(ABS(O456)&lt;'Progetto del paramento slu'!$G$58,ABS(O456)*'Progetto del paramento slu'!$G$54,'Progetto del paramento slu'!$G$53)</f>
        <v>28509410.486130379</v>
      </c>
      <c r="J456" s="479">
        <f t="shared" si="37"/>
        <v>-88760226.801968485</v>
      </c>
      <c r="K456" s="558">
        <f>'Progetto del paramento slu'!$G$60*(sezione!$AL$28-C456)/C456</f>
        <v>-2.511846608323892E-3</v>
      </c>
      <c r="L456" s="558">
        <f>'Progetto del paramento slu'!$G$60*(sezione!$AM$28-C456)/C456</f>
        <v>2.0557521878540548E-4</v>
      </c>
      <c r="M456" s="559">
        <f>'Progetto del paramento slu'!$G$60*(sezione!$AN$28-C456)/C456</f>
        <v>2.9229970458947031E-3</v>
      </c>
      <c r="N456" s="559">
        <f>'Progetto del paramento slu'!$G$60*(sezione!$AO$28-C456)/C456</f>
        <v>4.8993038292469192E-3</v>
      </c>
      <c r="O456" s="559">
        <f>'Progetto del paramento slu'!$G$60*(sezione!$AP$28-C456)/C456</f>
        <v>2.9230213934241856E-3</v>
      </c>
      <c r="P456" s="553">
        <f>-'Progetto del paramento slu'!$G$47*'Progetto del paramento slu'!$G$41*IF(DATI!$G$218="dx",DATI!$E$61,DATI!$E$64*DATI!$E$63)*1000*C456*sezione!$AD$5</f>
        <v>-1997083.2632094424</v>
      </c>
      <c r="Q456" s="553">
        <f>'Foglio deposito bis'!$F$48*IF(ABS(K456)&lt;'Progetto del paramento slu'!$G$58,ABS(K456)*'Progetto del paramento slu'!$G$54,'Progetto del paramento slu'!$G$53)*IF(K456&lt;0,-1,1)</f>
        <v>0</v>
      </c>
      <c r="R456" s="553">
        <f>'Foglio deposito bis'!$F$49*IF(ABS(L456)&lt;'Progetto del paramento slu'!$G$58,ABS(L456)*'Progetto del paramento slu'!$G$54,'Progetto del paramento slu'!$G$53)*IF(L456&lt;0,-1,1)</f>
        <v>22173.620166974488</v>
      </c>
      <c r="S456" s="553">
        <f>'Foglio deposito bis'!$F$50*IF(ABS(M456)&lt;'Progetto del paramento slu'!$G$58,ABS(M456)*'Progetto del paramento slu'!$G$54,'Progetto del paramento slu'!$G$53)*IF(M456&lt;0,-1,1)</f>
        <v>0</v>
      </c>
      <c r="T456" s="553">
        <f>'Foglio deposito bis'!$F$51*IF(ABS(N456)&lt;'Progetto del paramento slu'!$G$58,ABS(N456)*'Progetto del paramento slu'!$G$54,'Progetto del paramento slu'!$G$53)*IF(N456&lt;0,-1,1)</f>
        <v>240946.49743184328</v>
      </c>
      <c r="U456" s="553">
        <f>'Foglio deposito bis'!$F$52*IF(ABS(O456)&lt;'Progetto del paramento slu'!$G$58,ABS(O456)*'Progetto del paramento slu'!$G$54,'Progetto del paramento slu'!$G$53)*IF(O456&lt;0,-1,1)</f>
        <v>240946.49743184328</v>
      </c>
      <c r="V456" s="479">
        <f t="shared" si="39"/>
        <v>-1493016.6481787814</v>
      </c>
      <c r="W456" s="559"/>
      <c r="X456" s="559"/>
    </row>
    <row r="457" spans="1:24" x14ac:dyDescent="0.25">
      <c r="A457" s="553">
        <f t="shared" si="38"/>
        <v>1561373.0441877113</v>
      </c>
      <c r="B457" s="3">
        <f t="shared" si="36"/>
        <v>35.899999999999942</v>
      </c>
      <c r="C457" s="553">
        <f>'Foglio deposito bis'!$E$154/sezione!$B$247*B457</f>
        <v>145.73796187025073</v>
      </c>
      <c r="D457" s="611">
        <f>-'Progetto del paramento slu'!$G$47*'Progetto del paramento slu'!$G$41*IF(DATI!$G$218="dx",DATI!$E$61,DATI!$E$64*DATI!$E$63)*1000*C457^2*sezione!$AD$5*(1-sezione!$AD$6)</f>
        <v>-174843999.56224638</v>
      </c>
      <c r="E457" s="553">
        <f>-'Foglio deposito bis'!$F$48*(C457-sezione!$AL$28)*IF(ABS(K457)&lt;'Progetto del paramento slu'!$G$58,ABS(K457)*'Progetto del paramento slu'!$G$54,'Progetto del paramento slu'!$G$53)</f>
        <v>0</v>
      </c>
      <c r="F457" s="553">
        <f>-'Foglio deposito bis'!$F$49*(C457-sezione!$AM$28)*IF(ABS(L457)&lt;'Progetto del paramento slu'!$G$58,ABS(L457)*'Progetto del paramento slu'!$G$54,'Progetto del paramento slu'!$G$53)</f>
        <v>47053.925102509544</v>
      </c>
      <c r="G457" s="553">
        <f>-'Foglio deposito bis'!$F$50*(C457-sezione!$AN$28)*IF(ABS(M457)&lt;'Progetto del paramento slu'!$G$58,ABS(M457)*'Progetto del paramento slu'!$G$54,'Progetto del paramento slu'!$G$53)</f>
        <v>0</v>
      </c>
      <c r="H457" s="553">
        <f>-'Foglio deposito bis'!$F$51*(C457-sezione!$AO$28)*IF(ABS(N457)&lt;'Progetto del paramento slu'!$G$58,ABS(N457)*'Progetto del paramento slu'!$G$54,'Progetto del paramento slu'!$G$53)</f>
        <v>46806757.671334274</v>
      </c>
      <c r="I457" s="479">
        <f>-'Foglio deposito bis'!$F$52*(C457-sezione!$AP$28)*IF(ABS(O457)&lt;'Progetto del paramento slu'!$G$58,ABS(O457)*'Progetto del paramento slu'!$G$54,'Progetto del paramento slu'!$G$53)</f>
        <v>27531275.348094381</v>
      </c>
      <c r="J457" s="479">
        <f t="shared" si="37"/>
        <v>-100458912.61771524</v>
      </c>
      <c r="K457" s="558">
        <f>'Progetto del paramento slu'!$G$60*(sezione!$AL$28-C457)/C457</f>
        <v>-2.5393717724374325E-3</v>
      </c>
      <c r="L457" s="558">
        <f>'Progetto del paramento slu'!$G$60*(sezione!$AM$28-C457)/C457</f>
        <v>1.0235585335962807E-4</v>
      </c>
      <c r="M457" s="559">
        <f>'Progetto del paramento slu'!$G$60*(sezione!$AN$28-C457)/C457</f>
        <v>2.7440834791566887E-3</v>
      </c>
      <c r="N457" s="559">
        <f>'Progetto del paramento slu'!$G$60*(sezione!$AO$28-C457)/C457</f>
        <v>4.665339934281823E-3</v>
      </c>
      <c r="O457" s="559">
        <f>'Progetto del paramento slu'!$G$60*(sezione!$AP$28-C457)/C457</f>
        <v>2.7441071484820075E-3</v>
      </c>
      <c r="P457" s="553">
        <f>-'Progetto del paramento slu'!$G$47*'Progetto del paramento slu'!$G$41*IF(DATI!$G$218="dx",DATI!$E$61,DATI!$E$64*DATI!$E$63)*1000*C457*sezione!$AD$5</f>
        <v>-2054306.2793472486</v>
      </c>
      <c r="Q457" s="553">
        <f>'Foglio deposito bis'!$F$48*IF(ABS(K457)&lt;'Progetto del paramento slu'!$G$58,ABS(K457)*'Progetto del paramento slu'!$G$54,'Progetto del paramento slu'!$G$53)*IF(K457&lt;0,-1,1)</f>
        <v>0</v>
      </c>
      <c r="R457" s="553">
        <f>'Foglio deposito bis'!$F$49*IF(ABS(L457)&lt;'Progetto del paramento slu'!$G$58,ABS(L457)*'Progetto del paramento slu'!$G$54,'Progetto del paramento slu'!$G$53)*IF(L457&lt;0,-1,1)</f>
        <v>11040.240295850577</v>
      </c>
      <c r="S457" s="553">
        <f>'Foglio deposito bis'!$F$50*IF(ABS(M457)&lt;'Progetto del paramento slu'!$G$58,ABS(M457)*'Progetto del paramento slu'!$G$54,'Progetto del paramento slu'!$G$53)*IF(M457&lt;0,-1,1)</f>
        <v>0</v>
      </c>
      <c r="T457" s="553">
        <f>'Foglio deposito bis'!$F$51*IF(ABS(N457)&lt;'Progetto del paramento slu'!$G$58,ABS(N457)*'Progetto del paramento slu'!$G$54,'Progetto del paramento slu'!$G$53)*IF(N457&lt;0,-1,1)</f>
        <v>240946.49743184328</v>
      </c>
      <c r="U457" s="553">
        <f>'Foglio deposito bis'!$F$52*IF(ABS(O457)&lt;'Progetto del paramento slu'!$G$58,ABS(O457)*'Progetto del paramento slu'!$G$54,'Progetto del paramento slu'!$G$53)*IF(O457&lt;0,-1,1)</f>
        <v>240946.49743184328</v>
      </c>
      <c r="V457" s="479">
        <f t="shared" si="39"/>
        <v>-1561373.0441877113</v>
      </c>
      <c r="W457" s="559"/>
      <c r="X457" s="559"/>
    </row>
    <row r="458" spans="1:24" x14ac:dyDescent="0.25">
      <c r="A458" s="553">
        <f t="shared" si="38"/>
        <v>1629126.0049732751</v>
      </c>
      <c r="B458" s="3">
        <f t="shared" si="36"/>
        <v>36.899999999999942</v>
      </c>
      <c r="C458" s="553">
        <f>'Foglio deposito bis'!$E$154/sezione!$B$247*B458</f>
        <v>149.7975151256895</v>
      </c>
      <c r="D458" s="611">
        <f>-'Progetto del paramento slu'!$G$47*'Progetto del paramento slu'!$G$41*IF(DATI!$G$218="dx",DATI!$E$61,DATI!$E$64*DATI!$E$63)*1000*C458^2*sezione!$AD$5*(1-sezione!$AD$6)</f>
        <v>-184720275.48199531</v>
      </c>
      <c r="E458" s="553">
        <f>-'Foglio deposito bis'!$F$48*(C458-sezione!$AL$28)*IF(ABS(K458)&lt;'Progetto del paramento slu'!$G$58,ABS(K458)*'Progetto del paramento slu'!$G$54,'Progetto del paramento slu'!$G$53)</f>
        <v>0</v>
      </c>
      <c r="F458" s="553">
        <f>-'Foglio deposito bis'!$F$49*(C458-sezione!$AM$28)*IF(ABS(L458)&lt;'Progetto del paramento slu'!$G$58,ABS(L458)*'Progetto del paramento slu'!$G$54,'Progetto del paramento slu'!$G$53)</f>
        <v>103.32715016545703</v>
      </c>
      <c r="G458" s="553">
        <f>-'Foglio deposito bis'!$F$50*(C458-sezione!$AN$28)*IF(ABS(M458)&lt;'Progetto del paramento slu'!$G$58,ABS(M458)*'Progetto del paramento slu'!$G$54,'Progetto del paramento slu'!$G$53)</f>
        <v>0</v>
      </c>
      <c r="H458" s="553">
        <f>-'Foglio deposito bis'!$F$51*(C458-sezione!$AO$28)*IF(ABS(N458)&lt;'Progetto del paramento slu'!$G$58,ABS(N458)*'Progetto del paramento slu'!$G$54,'Progetto del paramento slu'!$G$53)</f>
        <v>45828622.533298269</v>
      </c>
      <c r="I458" s="479">
        <f>-'Foglio deposito bis'!$F$52*(C458-sezione!$AP$28)*IF(ABS(O458)&lt;'Progetto del paramento slu'!$G$58,ABS(O458)*'Progetto del paramento slu'!$G$54,'Progetto del paramento slu'!$G$53)</f>
        <v>26553140.210058369</v>
      </c>
      <c r="J458" s="479">
        <f t="shared" si="37"/>
        <v>-112338409.4114885</v>
      </c>
      <c r="K458" s="558">
        <f>'Progetto del paramento slu'!$G$60*(sezione!$AL$28-C458)/C458</f>
        <v>-2.5654050577372314E-3</v>
      </c>
      <c r="L458" s="558">
        <f>'Progetto del paramento slu'!$G$60*(sezione!$AM$28-C458)/C458</f>
        <v>4.7310334853826356E-6</v>
      </c>
      <c r="M458" s="559">
        <f>'Progetto del paramento slu'!$G$60*(sezione!$AN$28-C458)/C458</f>
        <v>2.5748671247079967E-3</v>
      </c>
      <c r="N458" s="559">
        <f>'Progetto del paramento slu'!$G$60*(sezione!$AO$28-C458)/C458</f>
        <v>4.4440570092335336E-3</v>
      </c>
      <c r="O458" s="559">
        <f>'Progetto del paramento slu'!$G$60*(sezione!$AP$28-C458)/C458</f>
        <v>2.574890152588185E-3</v>
      </c>
      <c r="P458" s="553">
        <f>-'Progetto del paramento slu'!$G$47*'Progetto del paramento slu'!$G$41*IF(DATI!$G$218="dx",DATI!$E$61,DATI!$E$64*DATI!$E$63)*1000*C458*sezione!$AD$5</f>
        <v>-2111529.2954850555</v>
      </c>
      <c r="Q458" s="553">
        <f>'Foglio deposito bis'!$F$48*IF(ABS(K458)&lt;'Progetto del paramento slu'!$G$58,ABS(K458)*'Progetto del paramento slu'!$G$54,'Progetto del paramento slu'!$G$53)*IF(K458&lt;0,-1,1)</f>
        <v>0</v>
      </c>
      <c r="R458" s="553">
        <f>'Foglio deposito bis'!$F$49*IF(ABS(L458)&lt;'Progetto del paramento slu'!$G$58,ABS(L458)*'Progetto del paramento slu'!$G$54,'Progetto del paramento slu'!$G$53)*IF(L458&lt;0,-1,1)</f>
        <v>510.29564809374551</v>
      </c>
      <c r="S458" s="553">
        <f>'Foglio deposito bis'!$F$50*IF(ABS(M458)&lt;'Progetto del paramento slu'!$G$58,ABS(M458)*'Progetto del paramento slu'!$G$54,'Progetto del paramento slu'!$G$53)*IF(M458&lt;0,-1,1)</f>
        <v>0</v>
      </c>
      <c r="T458" s="553">
        <f>'Foglio deposito bis'!$F$51*IF(ABS(N458)&lt;'Progetto del paramento slu'!$G$58,ABS(N458)*'Progetto del paramento slu'!$G$54,'Progetto del paramento slu'!$G$53)*IF(N458&lt;0,-1,1)</f>
        <v>240946.49743184328</v>
      </c>
      <c r="U458" s="553">
        <f>'Foglio deposito bis'!$F$52*IF(ABS(O458)&lt;'Progetto del paramento slu'!$G$58,ABS(O458)*'Progetto del paramento slu'!$G$54,'Progetto del paramento slu'!$G$53)*IF(O458&lt;0,-1,1)</f>
        <v>240946.49743184328</v>
      </c>
      <c r="V458" s="479">
        <f t="shared" si="39"/>
        <v>-1629126.0049732751</v>
      </c>
      <c r="W458" s="559"/>
      <c r="X458" s="559"/>
    </row>
    <row r="459" spans="1:24" x14ac:dyDescent="0.25">
      <c r="A459" s="553">
        <f t="shared" si="38"/>
        <v>1696323.295856582</v>
      </c>
      <c r="B459" s="3">
        <f t="shared" si="36"/>
        <v>37.899999999999942</v>
      </c>
      <c r="C459" s="553">
        <f>'Foglio deposito bis'!$E$154/sezione!$B$247*B459</f>
        <v>153.85706838112824</v>
      </c>
      <c r="D459" s="611">
        <f>-'Progetto del paramento slu'!$G$47*'Progetto del paramento slu'!$G$41*IF(DATI!$G$218="dx",DATI!$E$61,DATI!$E$64*DATI!$E$63)*1000*C459^2*sezione!$AD$5*(1-sezione!$AD$6)</f>
        <v>-194867877.66327578</v>
      </c>
      <c r="E459" s="553">
        <f>-'Foglio deposito bis'!$F$48*(C459-sezione!$AL$28)*IF(ABS(K459)&lt;'Progetto del paramento slu'!$G$58,ABS(K459)*'Progetto del paramento slu'!$G$54,'Progetto del paramento slu'!$G$53)</f>
        <v>0</v>
      </c>
      <c r="F459" s="553">
        <f>-'Foglio deposito bis'!$F$49*(C459-sezione!$AM$28)*IF(ABS(L459)&lt;'Progetto del paramento slu'!$G$58,ABS(L459)*'Progetto del paramento slu'!$G$54,'Progetto del paramento slu'!$G$53)</f>
        <v>-36503.214536266067</v>
      </c>
      <c r="G459" s="553">
        <f>-'Foglio deposito bis'!$F$50*(C459-sezione!$AN$28)*IF(ABS(M459)&lt;'Progetto del paramento slu'!$G$58,ABS(M459)*'Progetto del paramento slu'!$G$54,'Progetto del paramento slu'!$G$53)</f>
        <v>0</v>
      </c>
      <c r="H459" s="553">
        <f>-'Foglio deposito bis'!$F$51*(C459-sezione!$AO$28)*IF(ABS(N459)&lt;'Progetto del paramento slu'!$G$58,ABS(N459)*'Progetto del paramento slu'!$G$54,'Progetto del paramento slu'!$G$53)</f>
        <v>44850487.395262264</v>
      </c>
      <c r="I459" s="479">
        <f>-'Foglio deposito bis'!$F$52*(C459-sezione!$AP$28)*IF(ABS(O459)&lt;'Progetto del paramento slu'!$G$58,ABS(O459)*'Progetto del paramento slu'!$G$54,'Progetto del paramento slu'!$G$53)</f>
        <v>25575005.072022367</v>
      </c>
      <c r="J459" s="479">
        <f t="shared" si="37"/>
        <v>-124478888.41052742</v>
      </c>
      <c r="K459" s="558">
        <f>'Progetto del paramento slu'!$G$60*(sezione!$AL$28-C459)/C459</f>
        <v>-2.5900645548945604E-3</v>
      </c>
      <c r="L459" s="558">
        <f>'Progetto del paramento slu'!$G$60*(sezione!$AM$28-C459)/C459</f>
        <v>-8.774208085460116E-5</v>
      </c>
      <c r="M459" s="559">
        <f>'Progetto del paramento slu'!$G$60*(sezione!$AN$28-C459)/C459</f>
        <v>2.4145803931853579E-3</v>
      </c>
      <c r="N459" s="559">
        <f>'Progetto del paramento slu'!$G$60*(sezione!$AO$28-C459)/C459</f>
        <v>4.2344512833962372E-3</v>
      </c>
      <c r="O459" s="559">
        <f>'Progetto del paramento slu'!$G$60*(sezione!$AP$28-C459)/C459</f>
        <v>2.414602813469763E-3</v>
      </c>
      <c r="P459" s="553">
        <f>-'Progetto del paramento slu'!$G$47*'Progetto del paramento slu'!$G$41*IF(DATI!$G$218="dx",DATI!$E$61,DATI!$E$64*DATI!$E$63)*1000*C459*sezione!$AD$5</f>
        <v>-2168752.3116228618</v>
      </c>
      <c r="Q459" s="553">
        <f>'Foglio deposito bis'!$F$48*IF(ABS(K459)&lt;'Progetto del paramento slu'!$G$58,ABS(K459)*'Progetto del paramento slu'!$G$54,'Progetto del paramento slu'!$G$53)*IF(K459&lt;0,-1,1)</f>
        <v>0</v>
      </c>
      <c r="R459" s="553">
        <f>'Foglio deposito bis'!$F$49*IF(ABS(L459)&lt;'Progetto del paramento slu'!$G$58,ABS(L459)*'Progetto del paramento slu'!$G$54,'Progetto del paramento slu'!$G$53)*IF(L459&lt;0,-1,1)</f>
        <v>-9463.9790974067182</v>
      </c>
      <c r="S459" s="553">
        <f>'Foglio deposito bis'!$F$50*IF(ABS(M459)&lt;'Progetto del paramento slu'!$G$58,ABS(M459)*'Progetto del paramento slu'!$G$54,'Progetto del paramento slu'!$G$53)*IF(M459&lt;0,-1,1)</f>
        <v>0</v>
      </c>
      <c r="T459" s="553">
        <f>'Foglio deposito bis'!$F$51*IF(ABS(N459)&lt;'Progetto del paramento slu'!$G$58,ABS(N459)*'Progetto del paramento slu'!$G$54,'Progetto del paramento slu'!$G$53)*IF(N459&lt;0,-1,1)</f>
        <v>240946.49743184328</v>
      </c>
      <c r="U459" s="553">
        <f>'Foglio deposito bis'!$F$52*IF(ABS(O459)&lt;'Progetto del paramento slu'!$G$58,ABS(O459)*'Progetto del paramento slu'!$G$54,'Progetto del paramento slu'!$G$53)*IF(O459&lt;0,-1,1)</f>
        <v>240946.49743184328</v>
      </c>
      <c r="V459" s="479">
        <f t="shared" si="39"/>
        <v>-1696323.295856582</v>
      </c>
      <c r="W459" s="559"/>
      <c r="X459" s="559"/>
    </row>
    <row r="460" spans="1:24" x14ac:dyDescent="0.25">
      <c r="A460" s="553">
        <f t="shared" si="38"/>
        <v>1763007.770557601</v>
      </c>
      <c r="B460" s="3">
        <f t="shared" si="36"/>
        <v>38.899999999999942</v>
      </c>
      <c r="C460" s="553">
        <f>'Foglio deposito bis'!$E$154/sezione!$B$247*B460</f>
        <v>157.91662163656699</v>
      </c>
      <c r="D460" s="611">
        <f>-'Progetto del paramento slu'!$G$47*'Progetto del paramento slu'!$G$41*IF(DATI!$G$218="dx",DATI!$E$61,DATI!$E$64*DATI!$E$63)*1000*C460^2*sezione!$AD$5*(1-sezione!$AD$6)</f>
        <v>-205286806.10608774</v>
      </c>
      <c r="E460" s="553">
        <f>-'Foglio deposito bis'!$F$48*(C460-sezione!$AL$28)*IF(ABS(K460)&lt;'Progetto del paramento slu'!$G$58,ABS(K460)*'Progetto del paramento slu'!$G$54,'Progetto del paramento slu'!$G$53)</f>
        <v>0</v>
      </c>
      <c r="F460" s="553">
        <f>-'Foglio deposito bis'!$F$49*(C460-sezione!$AM$28)*IF(ABS(L460)&lt;'Progetto del paramento slu'!$G$58,ABS(L460)*'Progetto del paramento slu'!$G$54,'Progetto del paramento slu'!$G$53)</f>
        <v>-149825.52926555797</v>
      </c>
      <c r="G460" s="553">
        <f>-'Foglio deposito bis'!$F$50*(C460-sezione!$AN$28)*IF(ABS(M460)&lt;'Progetto del paramento slu'!$G$58,ABS(M460)*'Progetto del paramento slu'!$G$54,'Progetto del paramento slu'!$G$53)</f>
        <v>0</v>
      </c>
      <c r="H460" s="553">
        <f>-'Foglio deposito bis'!$F$51*(C460-sezione!$AO$28)*IF(ABS(N460)&lt;'Progetto del paramento slu'!$G$58,ABS(N460)*'Progetto del paramento slu'!$G$54,'Progetto del paramento slu'!$G$53)</f>
        <v>43872352.257226259</v>
      </c>
      <c r="I460" s="479">
        <f>-'Foglio deposito bis'!$F$52*(C460-sezione!$AP$28)*IF(ABS(O460)&lt;'Progetto del paramento slu'!$G$58,ABS(O460)*'Progetto del paramento slu'!$G$54,'Progetto del paramento slu'!$G$53)</f>
        <v>24596869.933986362</v>
      </c>
      <c r="J460" s="479">
        <f t="shared" si="37"/>
        <v>-136967409.44414067</v>
      </c>
      <c r="K460" s="558">
        <f>'Progetto del paramento slu'!$G$60*(sezione!$AL$28-C460)/C460</f>
        <v>-2.6134562115810757E-3</v>
      </c>
      <c r="L460" s="558">
        <f>'Progetto del paramento slu'!$G$60*(sezione!$AM$28-C460)/C460</f>
        <v>-1.7546079342903309E-4</v>
      </c>
      <c r="M460" s="559">
        <f>'Progetto del paramento slu'!$G$60*(sezione!$AN$28-C460)/C460</f>
        <v>2.2625346247230095E-3</v>
      </c>
      <c r="N460" s="559">
        <f>'Progetto del paramento slu'!$G$60*(sezione!$AO$28-C460)/C460</f>
        <v>4.0356222015608583E-3</v>
      </c>
      <c r="O460" s="559">
        <f>'Progetto del paramento slu'!$G$60*(sezione!$AP$28-C460)/C460</f>
        <v>2.2625564686504888E-3</v>
      </c>
      <c r="P460" s="553">
        <f>-'Progetto del paramento slu'!$G$47*'Progetto del paramento slu'!$G$41*IF(DATI!$G$218="dx",DATI!$E$61,DATI!$E$64*DATI!$E$63)*1000*C460*sezione!$AD$5</f>
        <v>-2225975.3277606685</v>
      </c>
      <c r="Q460" s="553">
        <f>'Foglio deposito bis'!$F$48*IF(ABS(K460)&lt;'Progetto del paramento slu'!$G$58,ABS(K460)*'Progetto del paramento slu'!$G$54,'Progetto del paramento slu'!$G$53)*IF(K460&lt;0,-1,1)</f>
        <v>0</v>
      </c>
      <c r="R460" s="553">
        <f>'Foglio deposito bis'!$F$49*IF(ABS(L460)&lt;'Progetto del paramento slu'!$G$58,ABS(L460)*'Progetto del paramento slu'!$G$54,'Progetto del paramento slu'!$G$53)*IF(L460&lt;0,-1,1)</f>
        <v>-18925.437660619238</v>
      </c>
      <c r="S460" s="553">
        <f>'Foglio deposito bis'!$F$50*IF(ABS(M460)&lt;'Progetto del paramento slu'!$G$58,ABS(M460)*'Progetto del paramento slu'!$G$54,'Progetto del paramento slu'!$G$53)*IF(M460&lt;0,-1,1)</f>
        <v>0</v>
      </c>
      <c r="T460" s="553">
        <f>'Foglio deposito bis'!$F$51*IF(ABS(N460)&lt;'Progetto del paramento slu'!$G$58,ABS(N460)*'Progetto del paramento slu'!$G$54,'Progetto del paramento slu'!$G$53)*IF(N460&lt;0,-1,1)</f>
        <v>240946.49743184328</v>
      </c>
      <c r="U460" s="553">
        <f>'Foglio deposito bis'!$F$52*IF(ABS(O460)&lt;'Progetto del paramento slu'!$G$58,ABS(O460)*'Progetto del paramento slu'!$G$54,'Progetto del paramento slu'!$G$53)*IF(O460&lt;0,-1,1)</f>
        <v>240946.49743184328</v>
      </c>
      <c r="V460" s="479">
        <f t="shared" si="39"/>
        <v>-1763007.770557601</v>
      </c>
      <c r="W460" s="559"/>
      <c r="X460" s="559"/>
    </row>
    <row r="461" spans="1:24" x14ac:dyDescent="0.25">
      <c r="A461" s="553">
        <f t="shared" si="38"/>
        <v>1829217.9866840229</v>
      </c>
      <c r="B461" s="3">
        <f t="shared" si="36"/>
        <v>39.899999999999942</v>
      </c>
      <c r="C461" s="553">
        <f>'Foglio deposito bis'!$E$154/sezione!$B$247*B461</f>
        <v>161.97617489200573</v>
      </c>
      <c r="D461" s="611">
        <f>-'Progetto del paramento slu'!$G$47*'Progetto del paramento slu'!$G$41*IF(DATI!$G$218="dx",DATI!$E$61,DATI!$E$64*DATI!$E$63)*1000*C461^2*sezione!$AD$5*(1-sezione!$AD$6)</f>
        <v>-215977060.81043133</v>
      </c>
      <c r="E461" s="553">
        <f>-'Foglio deposito bis'!$F$48*(C461-sezione!$AL$28)*IF(ABS(K461)&lt;'Progetto del paramento slu'!$G$58,ABS(K461)*'Progetto del paramento slu'!$G$54,'Progetto del paramento slu'!$G$53)</f>
        <v>0</v>
      </c>
      <c r="F461" s="553">
        <f>-'Foglio deposito bis'!$F$49*(C461-sezione!$AM$28)*IF(ABS(L461)&lt;'Progetto del paramento slu'!$G$58,ABS(L461)*'Progetto del paramento slu'!$G$54,'Progetto del paramento slu'!$G$53)</f>
        <v>-334286.63018441765</v>
      </c>
      <c r="G461" s="553">
        <f>-'Foglio deposito bis'!$F$50*(C461-sezione!$AN$28)*IF(ABS(M461)&lt;'Progetto del paramento slu'!$G$58,ABS(M461)*'Progetto del paramento slu'!$G$54,'Progetto del paramento slu'!$G$53)</f>
        <v>0</v>
      </c>
      <c r="H461" s="553">
        <f>-'Foglio deposito bis'!$F$51*(C461-sezione!$AO$28)*IF(ABS(N461)&lt;'Progetto del paramento slu'!$G$58,ABS(N461)*'Progetto del paramento slu'!$G$54,'Progetto del paramento slu'!$G$53)</f>
        <v>42894217.119190261</v>
      </c>
      <c r="I461" s="479">
        <f>-'Foglio deposito bis'!$F$52*(C461-sezione!$AP$28)*IF(ABS(O461)&lt;'Progetto del paramento slu'!$G$58,ABS(O461)*'Progetto del paramento slu'!$G$54,'Progetto del paramento slu'!$G$53)</f>
        <v>23618734.795950361</v>
      </c>
      <c r="J461" s="479">
        <f t="shared" si="37"/>
        <v>-149798395.52547514</v>
      </c>
      <c r="K461" s="558">
        <f>'Progetto del paramento slu'!$G$60*(sezione!$AL$28-C461)/C461</f>
        <v>-2.6356753541479662E-3</v>
      </c>
      <c r="L461" s="558">
        <f>'Progetto del paramento slu'!$G$60*(sezione!$AM$28-C461)/C461</f>
        <v>-2.5878257805487186E-4</v>
      </c>
      <c r="M461" s="559">
        <f>'Progetto del paramento slu'!$G$60*(sezione!$AN$28-C461)/C461</f>
        <v>2.118110198038222E-3</v>
      </c>
      <c r="N461" s="559">
        <f>'Progetto del paramento slu'!$G$60*(sezione!$AO$28-C461)/C461</f>
        <v>3.8467594897422909E-3</v>
      </c>
      <c r="O461" s="559">
        <f>'Progetto del paramento slu'!$G$60*(sezione!$AP$28-C461)/C461</f>
        <v>2.1181314944988473E-3</v>
      </c>
      <c r="P461" s="553">
        <f>-'Progetto del paramento slu'!$G$47*'Progetto del paramento slu'!$G$41*IF(DATI!$G$218="dx",DATI!$E$61,DATI!$E$64*DATI!$E$63)*1000*C461*sezione!$AD$5</f>
        <v>-2283198.3438984747</v>
      </c>
      <c r="Q461" s="553">
        <f>'Foglio deposito bis'!$F$48*IF(ABS(K461)&lt;'Progetto del paramento slu'!$G$58,ABS(K461)*'Progetto del paramento slu'!$G$54,'Progetto del paramento slu'!$G$53)*IF(K461&lt;0,-1,1)</f>
        <v>0</v>
      </c>
      <c r="R461" s="553">
        <f>'Foglio deposito bis'!$F$49*IF(ABS(L461)&lt;'Progetto del paramento slu'!$G$58,ABS(L461)*'Progetto del paramento slu'!$G$54,'Progetto del paramento slu'!$G$53)*IF(L461&lt;0,-1,1)</f>
        <v>-27912.637649234635</v>
      </c>
      <c r="S461" s="553">
        <f>'Foglio deposito bis'!$F$50*IF(ABS(M461)&lt;'Progetto del paramento slu'!$G$58,ABS(M461)*'Progetto del paramento slu'!$G$54,'Progetto del paramento slu'!$G$53)*IF(M461&lt;0,-1,1)</f>
        <v>0</v>
      </c>
      <c r="T461" s="553">
        <f>'Foglio deposito bis'!$F$51*IF(ABS(N461)&lt;'Progetto del paramento slu'!$G$58,ABS(N461)*'Progetto del paramento slu'!$G$54,'Progetto del paramento slu'!$G$53)*IF(N461&lt;0,-1,1)</f>
        <v>240946.49743184328</v>
      </c>
      <c r="U461" s="553">
        <f>'Foglio deposito bis'!$F$52*IF(ABS(O461)&lt;'Progetto del paramento slu'!$G$58,ABS(O461)*'Progetto del paramento slu'!$G$54,'Progetto del paramento slu'!$G$53)*IF(O461&lt;0,-1,1)</f>
        <v>240946.49743184328</v>
      </c>
      <c r="V461" s="479">
        <f t="shared" si="39"/>
        <v>-1829217.9866840229</v>
      </c>
      <c r="W461" s="559"/>
      <c r="X461" s="559"/>
    </row>
    <row r="462" spans="1:24" x14ac:dyDescent="0.25">
      <c r="A462" s="553">
        <f t="shared" si="38"/>
        <v>1894988.7309283607</v>
      </c>
      <c r="B462" s="3">
        <f t="shared" si="36"/>
        <v>40.899999999999942</v>
      </c>
      <c r="C462" s="553">
        <f>'Foglio deposito bis'!$E$154/sezione!$B$247*B462</f>
        <v>166.03572814744447</v>
      </c>
      <c r="D462" s="611">
        <f>-'Progetto del paramento slu'!$G$47*'Progetto del paramento slu'!$G$41*IF(DATI!$G$218="dx",DATI!$E$61,DATI!$E$64*DATI!$E$63)*1000*C462^2*sezione!$AD$5*(1-sezione!$AD$6)</f>
        <v>-226938641.77630645</v>
      </c>
      <c r="E462" s="553">
        <f>-'Foglio deposito bis'!$F$48*(C462-sezione!$AL$28)*IF(ABS(K462)&lt;'Progetto del paramento slu'!$G$58,ABS(K462)*'Progetto del paramento slu'!$G$54,'Progetto del paramento slu'!$G$53)</f>
        <v>0</v>
      </c>
      <c r="F462" s="553">
        <f>-'Foglio deposito bis'!$F$49*(C462-sezione!$AM$28)*IF(ABS(L462)&lt;'Progetto del paramento slu'!$G$58,ABS(L462)*'Progetto del paramento slu'!$G$54,'Progetto del paramento slu'!$G$53)</f>
        <v>-584668.5134158599</v>
      </c>
      <c r="G462" s="553">
        <f>-'Foglio deposito bis'!$F$50*(C462-sezione!$AN$28)*IF(ABS(M462)&lt;'Progetto del paramento slu'!$G$58,ABS(M462)*'Progetto del paramento slu'!$G$54,'Progetto del paramento slu'!$G$53)</f>
        <v>0</v>
      </c>
      <c r="H462" s="553">
        <f>-'Foglio deposito bis'!$F$51*(C462-sezione!$AO$28)*IF(ABS(N462)&lt;'Progetto del paramento slu'!$G$58,ABS(N462)*'Progetto del paramento slu'!$G$54,'Progetto del paramento slu'!$G$53)</f>
        <v>41916081.981154256</v>
      </c>
      <c r="I462" s="479">
        <f>-'Foglio deposito bis'!$F$52*(C462-sezione!$AP$28)*IF(ABS(O462)&lt;'Progetto del paramento slu'!$G$58,ABS(O462)*'Progetto del paramento slu'!$G$54,'Progetto del paramento slu'!$G$53)</f>
        <v>22640599.657914359</v>
      </c>
      <c r="J462" s="479">
        <f t="shared" si="37"/>
        <v>-162966628.65065369</v>
      </c>
      <c r="K462" s="558">
        <f>'Progetto del paramento slu'!$G$60*(sezione!$AL$28-C462)/C462</f>
        <v>-2.6568079860758887E-3</v>
      </c>
      <c r="L462" s="558">
        <f>'Progetto del paramento slu'!$G$60*(sezione!$AM$28-C462)/C462</f>
        <v>-3.3802994778458172E-4</v>
      </c>
      <c r="M462" s="559">
        <f>'Progetto del paramento slu'!$G$60*(sezione!$AN$28-C462)/C462</f>
        <v>1.980748090506725E-3</v>
      </c>
      <c r="N462" s="559">
        <f>'Progetto del paramento slu'!$G$60*(sezione!$AO$28-C462)/C462</f>
        <v>3.6671321183549483E-3</v>
      </c>
      <c r="O462" s="559">
        <f>'Progetto del paramento slu'!$G$60*(sezione!$AP$28-C462)/C462</f>
        <v>1.9807688662714915E-3</v>
      </c>
      <c r="P462" s="553">
        <f>-'Progetto del paramento slu'!$G$47*'Progetto del paramento slu'!$G$41*IF(DATI!$G$218="dx",DATI!$E$61,DATI!$E$64*DATI!$E$63)*1000*C462*sezione!$AD$5</f>
        <v>-2340421.3600362809</v>
      </c>
      <c r="Q462" s="553">
        <f>'Foglio deposito bis'!$F$48*IF(ABS(K462)&lt;'Progetto del paramento slu'!$G$58,ABS(K462)*'Progetto del paramento slu'!$G$54,'Progetto del paramento slu'!$G$53)*IF(K462&lt;0,-1,1)</f>
        <v>0</v>
      </c>
      <c r="R462" s="553">
        <f>'Foglio deposito bis'!$F$49*IF(ABS(L462)&lt;'Progetto del paramento slu'!$G$58,ABS(L462)*'Progetto del paramento slu'!$G$54,'Progetto del paramento slu'!$G$53)*IF(L462&lt;0,-1,1)</f>
        <v>-36460.365755766157</v>
      </c>
      <c r="S462" s="553">
        <f>'Foglio deposito bis'!$F$50*IF(ABS(M462)&lt;'Progetto del paramento slu'!$G$58,ABS(M462)*'Progetto del paramento slu'!$G$54,'Progetto del paramento slu'!$G$53)*IF(M462&lt;0,-1,1)</f>
        <v>0</v>
      </c>
      <c r="T462" s="553">
        <f>'Foglio deposito bis'!$F$51*IF(ABS(N462)&lt;'Progetto del paramento slu'!$G$58,ABS(N462)*'Progetto del paramento slu'!$G$54,'Progetto del paramento slu'!$G$53)*IF(N462&lt;0,-1,1)</f>
        <v>240946.49743184328</v>
      </c>
      <c r="U462" s="553">
        <f>'Foglio deposito bis'!$F$52*IF(ABS(O462)&lt;'Progetto del paramento slu'!$G$58,ABS(O462)*'Progetto del paramento slu'!$G$54,'Progetto del paramento slu'!$G$53)*IF(O462&lt;0,-1,1)</f>
        <v>240946.49743184328</v>
      </c>
      <c r="V462" s="479">
        <f t="shared" si="39"/>
        <v>-1894988.7309283607</v>
      </c>
      <c r="W462" s="559"/>
      <c r="X462" s="559"/>
    </row>
    <row r="463" spans="1:24" x14ac:dyDescent="0.25">
      <c r="A463" s="553">
        <f t="shared" si="38"/>
        <v>1966639.5208295188</v>
      </c>
      <c r="B463" s="3">
        <f t="shared" si="36"/>
        <v>41.899999999999942</v>
      </c>
      <c r="C463" s="553">
        <f>'Foglio deposito bis'!$E$154/sezione!$B$247*B463</f>
        <v>170.09528140288322</v>
      </c>
      <c r="D463" s="611">
        <f>-'Progetto del paramento slu'!$G$47*'Progetto del paramento slu'!$G$41*IF(DATI!$G$218="dx",DATI!$E$61,DATI!$E$64*DATI!$E$63)*1000*C463^2*sezione!$AD$5*(1-sezione!$AD$6)</f>
        <v>-238171549.00371319</v>
      </c>
      <c r="E463" s="553">
        <f>-'Foglio deposito bis'!$F$48*(C463-sezione!$AL$28)*IF(ABS(K463)&lt;'Progetto del paramento slu'!$G$58,ABS(K463)*'Progetto del paramento slu'!$G$54,'Progetto del paramento slu'!$G$53)</f>
        <v>0</v>
      </c>
      <c r="F463" s="553">
        <f>-'Foglio deposito bis'!$F$49*(C463-sezione!$AM$28)*IF(ABS(L463)&lt;'Progetto del paramento slu'!$G$58,ABS(L463)*'Progetto del paramento slu'!$G$54,'Progetto del paramento slu'!$G$53)</f>
        <v>-896251.31387783797</v>
      </c>
      <c r="G463" s="553">
        <f>-'Foglio deposito bis'!$F$50*(C463-sezione!$AN$28)*IF(ABS(M463)&lt;'Progetto del paramento slu'!$G$58,ABS(M463)*'Progetto del paramento slu'!$G$54,'Progetto del paramento slu'!$G$53)</f>
        <v>0</v>
      </c>
      <c r="H463" s="553">
        <f>-'Foglio deposito bis'!$F$51*(C463-sezione!$AO$28)*IF(ABS(N463)&lt;'Progetto del paramento slu'!$G$58,ABS(N463)*'Progetto del paramento slu'!$G$54,'Progetto del paramento slu'!$G$53)</f>
        <v>40937946.843118258</v>
      </c>
      <c r="I463" s="479">
        <f>-'Foglio deposito bis'!$F$52*(C463-sezione!$AP$28)*IF(ABS(O463)&lt;'Progetto del paramento slu'!$G$58,ABS(O463)*'Progetto del paramento slu'!$G$54,'Progetto del paramento slu'!$G$53)</f>
        <v>21097132.797461763</v>
      </c>
      <c r="J463" s="479">
        <f t="shared" si="37"/>
        <v>-177032720.67701101</v>
      </c>
      <c r="K463" s="558">
        <f>'Progetto del paramento slu'!$G$60*(sezione!$AL$28-C463)/C463</f>
        <v>-2.6769319004893519E-3</v>
      </c>
      <c r="L463" s="558">
        <f>'Progetto del paramento slu'!$G$60*(sezione!$AM$28-C463)/C463</f>
        <v>-4.1349462683506902E-4</v>
      </c>
      <c r="M463" s="559">
        <f>'Progetto del paramento slu'!$G$60*(sezione!$AN$28-C463)/C463</f>
        <v>1.8499426468192135E-3</v>
      </c>
      <c r="N463" s="559">
        <f>'Progetto del paramento slu'!$G$60*(sezione!$AO$28-C463)/C463</f>
        <v>3.4960788458405102E-3</v>
      </c>
      <c r="O463" s="559">
        <f>'Progetto del paramento slu'!$G$60*(sezione!$AP$28-C463)/C463</f>
        <v>1.8499629267423388E-3</v>
      </c>
      <c r="P463" s="553">
        <f>-'Progetto del paramento slu'!$G$47*'Progetto del paramento slu'!$G$41*IF(DATI!$G$218="dx",DATI!$E$61,DATI!$E$64*DATI!$E$63)*1000*C463*sezione!$AD$5</f>
        <v>-2397644.3761740876</v>
      </c>
      <c r="Q463" s="553">
        <f>'Foglio deposito bis'!$F$48*IF(ABS(K463)&lt;'Progetto del paramento slu'!$G$58,ABS(K463)*'Progetto del paramento slu'!$G$54,'Progetto del paramento slu'!$G$53)*IF(K463&lt;0,-1,1)</f>
        <v>0</v>
      </c>
      <c r="R463" s="553">
        <f>'Foglio deposito bis'!$F$49*IF(ABS(L463)&lt;'Progetto del paramento slu'!$G$58,ABS(L463)*'Progetto del paramento slu'!$G$54,'Progetto del paramento slu'!$G$53)*IF(L463&lt;0,-1,1)</f>
        <v>-44600.087747427431</v>
      </c>
      <c r="S463" s="553">
        <f>'Foglio deposito bis'!$F$50*IF(ABS(M463)&lt;'Progetto del paramento slu'!$G$58,ABS(M463)*'Progetto del paramento slu'!$G$54,'Progetto del paramento slu'!$G$53)*IF(M463&lt;0,-1,1)</f>
        <v>0</v>
      </c>
      <c r="T463" s="553">
        <f>'Foglio deposito bis'!$F$51*IF(ABS(N463)&lt;'Progetto del paramento slu'!$G$58,ABS(N463)*'Progetto del paramento slu'!$G$54,'Progetto del paramento slu'!$G$53)*IF(N463&lt;0,-1,1)</f>
        <v>240946.49743184328</v>
      </c>
      <c r="U463" s="553">
        <f>'Foglio deposito bis'!$F$52*IF(ABS(O463)&lt;'Progetto del paramento slu'!$G$58,ABS(O463)*'Progetto del paramento slu'!$G$54,'Progetto del paramento slu'!$G$53)*IF(O463&lt;0,-1,1)</f>
        <v>234658.44566015343</v>
      </c>
      <c r="V463" s="479">
        <f t="shared" si="39"/>
        <v>-1966639.5208295188</v>
      </c>
      <c r="W463" s="559"/>
      <c r="X463" s="559"/>
    </row>
    <row r="464" spans="1:24" x14ac:dyDescent="0.25">
      <c r="A464" s="553">
        <f t="shared" si="38"/>
        <v>2047441.3337634508</v>
      </c>
      <c r="B464" s="3">
        <f t="shared" si="36"/>
        <v>42.899999999999942</v>
      </c>
      <c r="C464" s="553">
        <f>'Foglio deposito bis'!$E$154/sezione!$B$247*B464</f>
        <v>174.15483465832196</v>
      </c>
      <c r="D464" s="611">
        <f>-'Progetto del paramento slu'!$G$47*'Progetto del paramento slu'!$G$41*IF(DATI!$G$218="dx",DATI!$E$61,DATI!$E$64*DATI!$E$63)*1000*C464^2*sezione!$AD$5*(1-sezione!$AD$6)</f>
        <v>-249675782.4926514</v>
      </c>
      <c r="E464" s="553">
        <f>-'Foglio deposito bis'!$F$48*(C464-sezione!$AL$28)*IF(ABS(K464)&lt;'Progetto del paramento slu'!$G$58,ABS(K464)*'Progetto del paramento slu'!$G$54,'Progetto del paramento slu'!$G$53)</f>
        <v>0</v>
      </c>
      <c r="F464" s="553">
        <f>-'Foglio deposito bis'!$F$49*(C464-sezione!$AM$28)*IF(ABS(L464)&lt;'Progetto del paramento slu'!$G$58,ABS(L464)*'Progetto del paramento slu'!$G$54,'Progetto del paramento slu'!$G$53)</f>
        <v>-1264755.2471486365</v>
      </c>
      <c r="G464" s="553">
        <f>-'Foglio deposito bis'!$F$50*(C464-sezione!$AN$28)*IF(ABS(M464)&lt;'Progetto del paramento slu'!$G$58,ABS(M464)*'Progetto del paramento slu'!$G$54,'Progetto del paramento slu'!$G$53)</f>
        <v>0</v>
      </c>
      <c r="H464" s="553">
        <f>-'Foglio deposito bis'!$F$51*(C464-sezione!$AO$28)*IF(ABS(N464)&lt;'Progetto del paramento slu'!$G$58,ABS(N464)*'Progetto del paramento slu'!$G$54,'Progetto del paramento slu'!$G$53)</f>
        <v>39959811.705082253</v>
      </c>
      <c r="I464" s="479">
        <f>-'Foglio deposito bis'!$F$52*(C464-sezione!$AP$28)*IF(ABS(O464)&lt;'Progetto del paramento slu'!$G$58,ABS(O464)*'Progetto del paramento slu'!$G$54,'Progetto del paramento slu'!$G$53)</f>
        <v>18786562.793707836</v>
      </c>
      <c r="J464" s="479">
        <f t="shared" si="37"/>
        <v>-192194163.24100995</v>
      </c>
      <c r="K464" s="558">
        <f>'Progetto del paramento slu'!$G$60*(sezione!$AL$28-C464)/C464</f>
        <v>-2.6961176370746817E-3</v>
      </c>
      <c r="L464" s="558">
        <f>'Progetto del paramento slu'!$G$60*(sezione!$AM$28-C464)/C464</f>
        <v>-4.8544113903005584E-4</v>
      </c>
      <c r="M464" s="559">
        <f>'Progetto del paramento slu'!$G$60*(sezione!$AN$28-C464)/C464</f>
        <v>1.7252353590145699E-3</v>
      </c>
      <c r="N464" s="559">
        <f>'Progetto del paramento slu'!$G$60*(sezione!$AO$28-C464)/C464</f>
        <v>3.3330000848652069E-3</v>
      </c>
      <c r="O464" s="559">
        <f>'Progetto del paramento slu'!$G$60*(sezione!$AP$28-C464)/C464</f>
        <v>1.7252551662122143E-3</v>
      </c>
      <c r="P464" s="553">
        <f>-'Progetto del paramento slu'!$G$47*'Progetto del paramento slu'!$G$41*IF(DATI!$G$218="dx",DATI!$E$61,DATI!$E$64*DATI!$E$63)*1000*C464*sezione!$AD$5</f>
        <v>-2454867.3923118939</v>
      </c>
      <c r="Q464" s="553">
        <f>'Foglio deposito bis'!$F$48*IF(ABS(K464)&lt;'Progetto del paramento slu'!$G$58,ABS(K464)*'Progetto del paramento slu'!$G$54,'Progetto del paramento slu'!$G$53)*IF(K464&lt;0,-1,1)</f>
        <v>0</v>
      </c>
      <c r="R464" s="553">
        <f>'Foglio deposito bis'!$F$49*IF(ABS(L464)&lt;'Progetto del paramento slu'!$G$58,ABS(L464)*'Progetto del paramento slu'!$G$54,'Progetto del paramento slu'!$G$53)*IF(L464&lt;0,-1,1)</f>
        <v>-52360.335520363245</v>
      </c>
      <c r="S464" s="553">
        <f>'Foglio deposito bis'!$F$50*IF(ABS(M464)&lt;'Progetto del paramento slu'!$G$58,ABS(M464)*'Progetto del paramento slu'!$G$54,'Progetto del paramento slu'!$G$53)*IF(M464&lt;0,-1,1)</f>
        <v>0</v>
      </c>
      <c r="T464" s="553">
        <f>'Foglio deposito bis'!$F$51*IF(ABS(N464)&lt;'Progetto del paramento slu'!$G$58,ABS(N464)*'Progetto del paramento slu'!$G$54,'Progetto del paramento slu'!$G$53)*IF(N464&lt;0,-1,1)</f>
        <v>240946.49743184328</v>
      </c>
      <c r="U464" s="553">
        <f>'Foglio deposito bis'!$F$52*IF(ABS(O464)&lt;'Progetto del paramento slu'!$G$58,ABS(O464)*'Progetto del paramento slu'!$G$54,'Progetto del paramento slu'!$G$53)*IF(O464&lt;0,-1,1)</f>
        <v>218839.89663696347</v>
      </c>
      <c r="V464" s="479">
        <f t="shared" si="39"/>
        <v>-2047441.3337634508</v>
      </c>
      <c r="W464" s="559"/>
      <c r="X464" s="559"/>
    </row>
    <row r="465" spans="1:24" x14ac:dyDescent="0.25">
      <c r="A465" s="553">
        <f t="shared" si="38"/>
        <v>2127168.9418319562</v>
      </c>
      <c r="B465" s="3">
        <f t="shared" si="36"/>
        <v>43.899999999999942</v>
      </c>
      <c r="C465" s="553">
        <f>'Foglio deposito bis'!$E$154/sezione!$B$247*B465</f>
        <v>178.2143879137607</v>
      </c>
      <c r="D465" s="611">
        <f>-'Progetto del paramento slu'!$G$47*'Progetto del paramento slu'!$G$41*IF(DATI!$G$218="dx",DATI!$E$61,DATI!$E$64*DATI!$E$63)*1000*C465^2*sezione!$AD$5*(1-sezione!$AD$6)</f>
        <v>-261451342.24312118</v>
      </c>
      <c r="E465" s="553">
        <f>-'Foglio deposito bis'!$F$48*(C465-sezione!$AL$28)*IF(ABS(K465)&lt;'Progetto del paramento slu'!$G$58,ABS(K465)*'Progetto del paramento slu'!$G$54,'Progetto del paramento slu'!$G$53)</f>
        <v>0</v>
      </c>
      <c r="F465" s="553">
        <f>-'Foglio deposito bis'!$F$49*(C465-sezione!$AM$28)*IF(ABS(L465)&lt;'Progetto del paramento slu'!$G$58,ABS(L465)*'Progetto del paramento slu'!$G$54,'Progetto del paramento slu'!$G$53)</f>
        <v>-1686290.4863848281</v>
      </c>
      <c r="G465" s="553">
        <f>-'Foglio deposito bis'!$F$50*(C465-sezione!$AN$28)*IF(ABS(M465)&lt;'Progetto del paramento slu'!$G$58,ABS(M465)*'Progetto del paramento slu'!$G$54,'Progetto del paramento slu'!$G$53)</f>
        <v>0</v>
      </c>
      <c r="H465" s="553">
        <f>-'Foglio deposito bis'!$F$51*(C465-sezione!$AO$28)*IF(ABS(N465)&lt;'Progetto del paramento slu'!$G$58,ABS(N465)*'Progetto del paramento slu'!$G$54,'Progetto del paramento slu'!$G$53)</f>
        <v>38981676.567046247</v>
      </c>
      <c r="I465" s="479">
        <f>-'Foglio deposito bis'!$F$52*(C465-sezione!$AP$28)*IF(ABS(O465)&lt;'Progetto del paramento slu'!$G$58,ABS(O465)*'Progetto del paramento slu'!$G$54,'Progetto del paramento slu'!$G$53)</f>
        <v>16663365.834893599</v>
      </c>
      <c r="J465" s="479">
        <f t="shared" si="37"/>
        <v>-207492590.32756615</v>
      </c>
      <c r="K465" s="558">
        <f>'Progetto del paramento slu'!$G$60*(sezione!$AL$28-C465)/C465</f>
        <v>-2.7144293082119329E-3</v>
      </c>
      <c r="L465" s="558">
        <f>'Progetto del paramento slu'!$G$60*(sezione!$AM$28-C465)/C465</f>
        <v>-5.5410990579474715E-4</v>
      </c>
      <c r="M465" s="559">
        <f>'Progetto del paramento slu'!$G$60*(sezione!$AN$28-C465)/C465</f>
        <v>1.6062094966224382E-3</v>
      </c>
      <c r="N465" s="559">
        <f>'Progetto del paramento slu'!$G$60*(sezione!$AO$28-C465)/C465</f>
        <v>3.1773508801985731E-3</v>
      </c>
      <c r="O465" s="559">
        <f>'Progetto del paramento slu'!$G$60*(sezione!$AP$28-C465)/C465</f>
        <v>1.6062288526310703E-3</v>
      </c>
      <c r="P465" s="553">
        <f>-'Progetto del paramento slu'!$G$47*'Progetto del paramento slu'!$G$41*IF(DATI!$G$218="dx",DATI!$E$61,DATI!$E$64*DATI!$E$63)*1000*C465*sezione!$AD$5</f>
        <v>-2512090.4084497006</v>
      </c>
      <c r="Q465" s="553">
        <f>'Foglio deposito bis'!$F$48*IF(ABS(K465)&lt;'Progetto del paramento slu'!$G$58,ABS(K465)*'Progetto del paramento slu'!$G$54,'Progetto del paramento slu'!$G$53)*IF(K465&lt;0,-1,1)</f>
        <v>0</v>
      </c>
      <c r="R465" s="553">
        <f>'Foglio deposito bis'!$F$49*IF(ABS(L465)&lt;'Progetto del paramento slu'!$G$58,ABS(L465)*'Progetto del paramento slu'!$G$54,'Progetto del paramento slu'!$G$53)*IF(L465&lt;0,-1,1)</f>
        <v>-59767.04125352978</v>
      </c>
      <c r="S465" s="553">
        <f>'Foglio deposito bis'!$F$50*IF(ABS(M465)&lt;'Progetto del paramento slu'!$G$58,ABS(M465)*'Progetto del paramento slu'!$G$54,'Progetto del paramento slu'!$G$53)*IF(M465&lt;0,-1,1)</f>
        <v>0</v>
      </c>
      <c r="T465" s="553">
        <f>'Foglio deposito bis'!$F$51*IF(ABS(N465)&lt;'Progetto del paramento slu'!$G$58,ABS(N465)*'Progetto del paramento slu'!$G$54,'Progetto del paramento slu'!$G$53)*IF(N465&lt;0,-1,1)</f>
        <v>240946.49743184328</v>
      </c>
      <c r="U465" s="553">
        <f>'Foglio deposito bis'!$F$52*IF(ABS(O465)&lt;'Progetto del paramento slu'!$G$58,ABS(O465)*'Progetto del paramento slu'!$G$54,'Progetto del paramento slu'!$G$53)*IF(O465&lt;0,-1,1)</f>
        <v>203742.01043943135</v>
      </c>
      <c r="V465" s="479">
        <f t="shared" si="39"/>
        <v>-2127168.9418319562</v>
      </c>
      <c r="W465" s="559"/>
      <c r="X465" s="559"/>
    </row>
    <row r="466" spans="1:24" x14ac:dyDescent="0.25">
      <c r="A466" s="553">
        <f t="shared" si="38"/>
        <v>2205894.1181886257</v>
      </c>
      <c r="B466" s="3">
        <f t="shared" si="36"/>
        <v>44.899999999999942</v>
      </c>
      <c r="C466" s="553">
        <f>'Foglio deposito bis'!$E$154/sezione!$B$247*B466</f>
        <v>182.27394116919945</v>
      </c>
      <c r="D466" s="611">
        <f>-'Progetto del paramento slu'!$G$47*'Progetto del paramento slu'!$G$41*IF(DATI!$G$218="dx",DATI!$E$61,DATI!$E$64*DATI!$E$63)*1000*C466^2*sezione!$AD$5*(1-sezione!$AD$6)</f>
        <v>-273498228.25512266</v>
      </c>
      <c r="E466" s="553">
        <f>-'Foglio deposito bis'!$F$48*(C466-sezione!$AL$28)*IF(ABS(K466)&lt;'Progetto del paramento slu'!$G$58,ABS(K466)*'Progetto del paramento slu'!$G$54,'Progetto del paramento slu'!$G$53)</f>
        <v>0</v>
      </c>
      <c r="F466" s="553">
        <f>-'Foglio deposito bis'!$F$49*(C466-sezione!$AM$28)*IF(ABS(L466)&lt;'Progetto del paramento slu'!$G$58,ABS(L466)*'Progetto del paramento slu'!$G$54,'Progetto del paramento slu'!$G$53)</f>
        <v>-2157313.7372011961</v>
      </c>
      <c r="G466" s="553">
        <f>-'Foglio deposito bis'!$F$50*(C466-sezione!$AN$28)*IF(ABS(M466)&lt;'Progetto del paramento slu'!$G$58,ABS(M466)*'Progetto del paramento slu'!$G$54,'Progetto del paramento slu'!$G$53)</f>
        <v>0</v>
      </c>
      <c r="H466" s="553">
        <f>-'Foglio deposito bis'!$F$51*(C466-sezione!$AO$28)*IF(ABS(N466)&lt;'Progetto del paramento slu'!$G$58,ABS(N466)*'Progetto del paramento slu'!$G$54,'Progetto del paramento slu'!$G$53)</f>
        <v>38003541.42901025</v>
      </c>
      <c r="I466" s="479">
        <f>-'Foglio deposito bis'!$F$52*(C466-sezione!$AP$28)*IF(ABS(O466)&lt;'Progetto del paramento slu'!$G$58,ABS(O466)*'Progetto del paramento slu'!$G$54,'Progetto del paramento slu'!$G$53)</f>
        <v>14715022.563896144</v>
      </c>
      <c r="J466" s="479">
        <f t="shared" si="37"/>
        <v>-222936977.99941748</v>
      </c>
      <c r="K466" s="558">
        <f>'Progetto del paramento slu'!$G$60*(sezione!$AL$28-C466)/C466</f>
        <v>-2.7319253147105533E-3</v>
      </c>
      <c r="L466" s="558">
        <f>'Progetto del paramento slu'!$G$60*(sezione!$AM$28-C466)/C466</f>
        <v>-6.1971993016457462E-4</v>
      </c>
      <c r="M466" s="559">
        <f>'Progetto del paramento slu'!$G$60*(sezione!$AN$28-C466)/C466</f>
        <v>1.492485454381404E-3</v>
      </c>
      <c r="N466" s="559">
        <f>'Progetto del paramento slu'!$G$60*(sezione!$AO$28-C466)/C466</f>
        <v>3.0286348249602977E-3</v>
      </c>
      <c r="O466" s="559">
        <f>'Progetto del paramento slu'!$G$60*(sezione!$AP$28-C466)/C466</f>
        <v>1.4925043792985298E-3</v>
      </c>
      <c r="P466" s="553">
        <f>-'Progetto del paramento slu'!$G$47*'Progetto del paramento slu'!$G$41*IF(DATI!$G$218="dx",DATI!$E$61,DATI!$E$64*DATI!$E$63)*1000*C466*sezione!$AD$5</f>
        <v>-2569313.4245875068</v>
      </c>
      <c r="Q466" s="553">
        <f>'Foglio deposito bis'!$F$48*IF(ABS(K466)&lt;'Progetto del paramento slu'!$G$58,ABS(K466)*'Progetto del paramento slu'!$G$54,'Progetto del paramento slu'!$G$53)*IF(K466&lt;0,-1,1)</f>
        <v>0</v>
      </c>
      <c r="R466" s="553">
        <f>'Foglio deposito bis'!$F$49*IF(ABS(L466)&lt;'Progetto del paramento slu'!$G$58,ABS(L466)*'Progetto del paramento slu'!$G$54,'Progetto del paramento slu'!$G$53)*IF(L466&lt;0,-1,1)</f>
        <v>-66843.826909495125</v>
      </c>
      <c r="S466" s="553">
        <f>'Foglio deposito bis'!$F$50*IF(ABS(M466)&lt;'Progetto del paramento slu'!$G$58,ABS(M466)*'Progetto del paramento slu'!$G$54,'Progetto del paramento slu'!$G$53)*IF(M466&lt;0,-1,1)</f>
        <v>0</v>
      </c>
      <c r="T466" s="553">
        <f>'Foglio deposito bis'!$F$51*IF(ABS(N466)&lt;'Progetto del paramento slu'!$G$58,ABS(N466)*'Progetto del paramento slu'!$G$54,'Progetto del paramento slu'!$G$53)*IF(N466&lt;0,-1,1)</f>
        <v>240946.49743184328</v>
      </c>
      <c r="U466" s="553">
        <f>'Foglio deposito bis'!$F$52*IF(ABS(O466)&lt;'Progetto del paramento slu'!$G$58,ABS(O466)*'Progetto del paramento slu'!$G$54,'Progetto del paramento slu'!$G$53)*IF(O466&lt;0,-1,1)</f>
        <v>189316.63587653323</v>
      </c>
      <c r="V466" s="479">
        <f t="shared" si="39"/>
        <v>-2205894.1181886257</v>
      </c>
      <c r="W466" s="559"/>
      <c r="X466" s="559"/>
    </row>
    <row r="467" spans="1:24" x14ac:dyDescent="0.25">
      <c r="A467" s="553">
        <f t="shared" si="38"/>
        <v>2283682.3812459982</v>
      </c>
      <c r="B467" s="3">
        <f t="shared" si="36"/>
        <v>45.899999999999942</v>
      </c>
      <c r="C467" s="553">
        <f>'Foglio deposito bis'!$E$154/sezione!$B$247*B467</f>
        <v>186.33349442463819</v>
      </c>
      <c r="D467" s="611">
        <f>-'Progetto del paramento slu'!$G$47*'Progetto del paramento slu'!$G$41*IF(DATI!$G$218="dx",DATI!$E$61,DATI!$E$64*DATI!$E$63)*1000*C467^2*sezione!$AD$5*(1-sezione!$AD$6)</f>
        <v>-285816440.52865559</v>
      </c>
      <c r="E467" s="553">
        <f>-'Foglio deposito bis'!$F$48*(C467-sezione!$AL$28)*IF(ABS(K467)&lt;'Progetto del paramento slu'!$G$58,ABS(K467)*'Progetto del paramento slu'!$G$54,'Progetto del paramento slu'!$G$53)</f>
        <v>0</v>
      </c>
      <c r="F467" s="553">
        <f>-'Foglio deposito bis'!$F$49*(C467-sezione!$AM$28)*IF(ABS(L467)&lt;'Progetto del paramento slu'!$G$58,ABS(L467)*'Progetto del paramento slu'!$G$54,'Progetto del paramento slu'!$G$53)</f>
        <v>-2674590.4890369456</v>
      </c>
      <c r="G467" s="553">
        <f>-'Foglio deposito bis'!$F$50*(C467-sezione!$AN$28)*IF(ABS(M467)&lt;'Progetto del paramento slu'!$G$58,ABS(M467)*'Progetto del paramento slu'!$G$54,'Progetto del paramento slu'!$G$53)</f>
        <v>0</v>
      </c>
      <c r="H467" s="553">
        <f>-'Foglio deposito bis'!$F$51*(C467-sezione!$AO$28)*IF(ABS(N467)&lt;'Progetto del paramento slu'!$G$58,ABS(N467)*'Progetto del paramento slu'!$G$54,'Progetto del paramento slu'!$G$53)</f>
        <v>37025406.290974244</v>
      </c>
      <c r="I467" s="479">
        <f>-'Foglio deposito bis'!$F$52*(C467-sezione!$AP$28)*IF(ABS(O467)&lt;'Progetto del paramento slu'!$G$58,ABS(O467)*'Progetto del paramento slu'!$G$54,'Progetto del paramento slu'!$G$53)</f>
        <v>12930104.635106519</v>
      </c>
      <c r="J467" s="479">
        <f t="shared" si="37"/>
        <v>-238535520.09161174</v>
      </c>
      <c r="K467" s="558">
        <f>'Progetto del paramento slu'!$G$60*(sezione!$AL$28-C467)/C467</f>
        <v>-2.7486589679848331E-3</v>
      </c>
      <c r="L467" s="558">
        <f>'Progetto del paramento slu'!$G$60*(sezione!$AM$28-C467)/C467</f>
        <v>-6.8247112994312422E-4</v>
      </c>
      <c r="M467" s="559">
        <f>'Progetto del paramento slu'!$G$60*(sezione!$AN$28-C467)/C467</f>
        <v>1.3837167080985847E-3</v>
      </c>
      <c r="N467" s="559">
        <f>'Progetto del paramento slu'!$G$60*(sezione!$AO$28-C467)/C467</f>
        <v>2.8863987721289186E-3</v>
      </c>
      <c r="O467" s="559">
        <f>'Progetto del paramento slu'!$G$60*(sezione!$AP$28-C467)/C467</f>
        <v>1.3837352207081478E-3</v>
      </c>
      <c r="P467" s="553">
        <f>-'Progetto del paramento slu'!$G$47*'Progetto del paramento slu'!$G$41*IF(DATI!$G$218="dx",DATI!$E$61,DATI!$E$64*DATI!$E$63)*1000*C467*sezione!$AD$5</f>
        <v>-2626536.440725313</v>
      </c>
      <c r="Q467" s="553">
        <f>'Foglio deposito bis'!$F$48*IF(ABS(K467)&lt;'Progetto del paramento slu'!$G$58,ABS(K467)*'Progetto del paramento slu'!$G$54,'Progetto del paramento slu'!$G$53)*IF(K467&lt;0,-1,1)</f>
        <v>0</v>
      </c>
      <c r="R467" s="553">
        <f>'Foglio deposito bis'!$F$49*IF(ABS(L467)&lt;'Progetto del paramento slu'!$G$58,ABS(L467)*'Progetto del paramento slu'!$G$54,'Progetto del paramento slu'!$G$53)*IF(L467&lt;0,-1,1)</f>
        <v>-73612.255891997906</v>
      </c>
      <c r="S467" s="553">
        <f>'Foglio deposito bis'!$F$50*IF(ABS(M467)&lt;'Progetto del paramento slu'!$G$58,ABS(M467)*'Progetto del paramento slu'!$G$54,'Progetto del paramento slu'!$G$53)*IF(M467&lt;0,-1,1)</f>
        <v>0</v>
      </c>
      <c r="T467" s="553">
        <f>'Foglio deposito bis'!$F$51*IF(ABS(N467)&lt;'Progetto del paramento slu'!$G$58,ABS(N467)*'Progetto del paramento slu'!$G$54,'Progetto del paramento slu'!$G$53)*IF(N467&lt;0,-1,1)</f>
        <v>240946.49743184328</v>
      </c>
      <c r="U467" s="553">
        <f>'Foglio deposito bis'!$F$52*IF(ABS(O467)&lt;'Progetto del paramento slu'!$G$58,ABS(O467)*'Progetto del paramento slu'!$G$54,'Progetto del paramento slu'!$G$53)*IF(O467&lt;0,-1,1)</f>
        <v>175519.81793946942</v>
      </c>
      <c r="V467" s="479">
        <f t="shared" si="39"/>
        <v>-2283682.3812459982</v>
      </c>
      <c r="W467" s="559"/>
      <c r="X467" s="559"/>
    </row>
    <row r="468" spans="1:24" x14ac:dyDescent="0.25">
      <c r="A468" s="553">
        <f t="shared" si="38"/>
        <v>2360593.661492303</v>
      </c>
      <c r="B468" s="3">
        <f t="shared" si="36"/>
        <v>46.899999999999942</v>
      </c>
      <c r="C468" s="553">
        <f>'Foglio deposito bis'!$E$154/sezione!$B$247*B468</f>
        <v>190.39304768007693</v>
      </c>
      <c r="D468" s="611">
        <f>-'Progetto del paramento slu'!$G$47*'Progetto del paramento slu'!$G$41*IF(DATI!$G$218="dx",DATI!$E$61,DATI!$E$64*DATI!$E$63)*1000*C468^2*sezione!$AD$5*(1-sezione!$AD$6)</f>
        <v>-298405979.06372011</v>
      </c>
      <c r="E468" s="553">
        <f>-'Foglio deposito bis'!$F$48*(C468-sezione!$AL$28)*IF(ABS(K468)&lt;'Progetto del paramento slu'!$G$58,ABS(K468)*'Progetto del paramento slu'!$G$54,'Progetto del paramento slu'!$G$53)</f>
        <v>0</v>
      </c>
      <c r="F468" s="553">
        <f>-'Foglio deposito bis'!$F$49*(C468-sezione!$AM$28)*IF(ABS(L468)&lt;'Progetto del paramento slu'!$G$58,ABS(L468)*'Progetto del paramento slu'!$G$54,'Progetto del paramento slu'!$G$53)</f>
        <v>-3235162.0957714343</v>
      </c>
      <c r="G468" s="553">
        <f>-'Foglio deposito bis'!$F$50*(C468-sezione!$AN$28)*IF(ABS(M468)&lt;'Progetto del paramento slu'!$G$58,ABS(M468)*'Progetto del paramento slu'!$G$54,'Progetto del paramento slu'!$G$53)</f>
        <v>0</v>
      </c>
      <c r="H468" s="553">
        <f>-'Foglio deposito bis'!$F$51*(C468-sezione!$AO$28)*IF(ABS(N468)&lt;'Progetto del paramento slu'!$G$58,ABS(N468)*'Progetto del paramento slu'!$G$54,'Progetto del paramento slu'!$G$53)</f>
        <v>36047271.152938247</v>
      </c>
      <c r="I468" s="479">
        <f>-'Foglio deposito bis'!$F$52*(C468-sezione!$AP$28)*IF(ABS(O468)&lt;'Progetto del paramento slu'!$G$58,ABS(O468)*'Progetto del paramento slu'!$G$54,'Progetto del paramento slu'!$G$53)</f>
        <v>11298158.401901627</v>
      </c>
      <c r="J468" s="479">
        <f t="shared" si="37"/>
        <v>-254295711.60465166</v>
      </c>
      <c r="K468" s="558">
        <f>'Progetto del paramento slu'!$G$60*(sezione!$AL$28-C468)/C468</f>
        <v>-2.7646790326333443E-3</v>
      </c>
      <c r="L468" s="558">
        <f>'Progetto del paramento slu'!$G$60*(sezione!$AM$28-C468)/C468</f>
        <v>-7.4254637237504059E-4</v>
      </c>
      <c r="M468" s="559">
        <f>'Progetto del paramento slu'!$G$60*(sezione!$AN$28-C468)/C468</f>
        <v>1.2795862878832631E-3</v>
      </c>
      <c r="N468" s="559">
        <f>'Progetto del paramento slu'!$G$60*(sezione!$AO$28-C468)/C468</f>
        <v>2.7502282226165749E-3</v>
      </c>
      <c r="O468" s="559">
        <f>'Progetto del paramento slu'!$G$60*(sezione!$AP$28-C468)/C468</f>
        <v>1.2796044057676755E-3</v>
      </c>
      <c r="P468" s="553">
        <f>-'Progetto del paramento slu'!$G$47*'Progetto del paramento slu'!$G$41*IF(DATI!$G$218="dx",DATI!$E$61,DATI!$E$64*DATI!$E$63)*1000*C468*sezione!$AD$5</f>
        <v>-2683759.4568631197</v>
      </c>
      <c r="Q468" s="553">
        <f>'Foglio deposito bis'!$F$48*IF(ABS(K468)&lt;'Progetto del paramento slu'!$G$58,ABS(K468)*'Progetto del paramento slu'!$G$54,'Progetto del paramento slu'!$G$53)*IF(K468&lt;0,-1,1)</f>
        <v>0</v>
      </c>
      <c r="R468" s="553">
        <f>'Foglio deposito bis'!$F$49*IF(ABS(L468)&lt;'Progetto del paramento slu'!$G$58,ABS(L468)*'Progetto del paramento slu'!$G$54,'Progetto del paramento slu'!$G$53)*IF(L468&lt;0,-1,1)</f>
        <v>-80092.052508509121</v>
      </c>
      <c r="S468" s="553">
        <f>'Foglio deposito bis'!$F$50*IF(ABS(M468)&lt;'Progetto del paramento slu'!$G$58,ABS(M468)*'Progetto del paramento slu'!$G$54,'Progetto del paramento slu'!$G$53)*IF(M468&lt;0,-1,1)</f>
        <v>0</v>
      </c>
      <c r="T468" s="553">
        <f>'Foglio deposito bis'!$F$51*IF(ABS(N468)&lt;'Progetto del paramento slu'!$G$58,ABS(N468)*'Progetto del paramento slu'!$G$54,'Progetto del paramento slu'!$G$53)*IF(N468&lt;0,-1,1)</f>
        <v>240946.49743184328</v>
      </c>
      <c r="U468" s="553">
        <f>'Foglio deposito bis'!$F$52*IF(ABS(O468)&lt;'Progetto del paramento slu'!$G$58,ABS(O468)*'Progetto del paramento slu'!$G$54,'Progetto del paramento slu'!$G$53)*IF(O468&lt;0,-1,1)</f>
        <v>162311.35044748295</v>
      </c>
      <c r="V468" s="479">
        <f t="shared" si="39"/>
        <v>-2360593.661492303</v>
      </c>
      <c r="W468" s="559"/>
      <c r="X468" s="559"/>
    </row>
    <row r="469" spans="1:24" x14ac:dyDescent="0.25">
      <c r="A469" s="553">
        <f t="shared" si="38"/>
        <v>2436682.8847820936</v>
      </c>
      <c r="B469" s="3">
        <f t="shared" si="36"/>
        <v>47.899999999999942</v>
      </c>
      <c r="C469" s="553">
        <f>'Foglio deposito bis'!$E$154/sezione!$B$247*B469</f>
        <v>194.4526009355157</v>
      </c>
      <c r="D469" s="611">
        <f>-'Progetto del paramento slu'!$G$47*'Progetto del paramento slu'!$G$41*IF(DATI!$G$218="dx",DATI!$E$61,DATI!$E$64*DATI!$E$63)*1000*C469^2*sezione!$AD$5*(1-sezione!$AD$6)</f>
        <v>-311266843.86031622</v>
      </c>
      <c r="E469" s="553">
        <f>-'Foglio deposito bis'!$F$48*(C469-sezione!$AL$28)*IF(ABS(K469)&lt;'Progetto del paramento slu'!$G$58,ABS(K469)*'Progetto del paramento slu'!$G$54,'Progetto del paramento slu'!$G$53)</f>
        <v>0</v>
      </c>
      <c r="F469" s="553">
        <f>-'Foglio deposito bis'!$F$49*(C469-sezione!$AM$28)*IF(ABS(L469)&lt;'Progetto del paramento slu'!$G$58,ABS(L469)*'Progetto del paramento slu'!$G$54,'Progetto del paramento slu'!$G$53)</f>
        <v>-3836316.979853597</v>
      </c>
      <c r="G469" s="553">
        <f>-'Foglio deposito bis'!$F$50*(C469-sezione!$AN$28)*IF(ABS(M469)&lt;'Progetto del paramento slu'!$G$58,ABS(M469)*'Progetto del paramento slu'!$G$54,'Progetto del paramento slu'!$G$53)</f>
        <v>0</v>
      </c>
      <c r="H469" s="553">
        <f>-'Foglio deposito bis'!$F$51*(C469-sezione!$AO$28)*IF(ABS(N469)&lt;'Progetto del paramento slu'!$G$58,ABS(N469)*'Progetto del paramento slu'!$G$54,'Progetto del paramento slu'!$G$53)</f>
        <v>35069136.014902234</v>
      </c>
      <c r="I469" s="479">
        <f>-'Foglio deposito bis'!$F$52*(C469-sezione!$AP$28)*IF(ABS(O469)&lt;'Progetto del paramento slu'!$G$58,ABS(O469)*'Progetto del paramento slu'!$G$54,'Progetto del paramento slu'!$G$53)</f>
        <v>9809603.1735350192</v>
      </c>
      <c r="J469" s="479">
        <f t="shared" si="37"/>
        <v>-270224421.65173256</v>
      </c>
      <c r="K469" s="558">
        <f>'Progetto del paramento slu'!$G$60*(sezione!$AL$28-C469)/C469</f>
        <v>-2.78003020105436E-3</v>
      </c>
      <c r="L469" s="558">
        <f>'Progetto del paramento slu'!$G$60*(sezione!$AM$28-C469)/C469</f>
        <v>-8.0011325395385022E-4</v>
      </c>
      <c r="M469" s="559">
        <f>'Progetto del paramento slu'!$G$60*(sezione!$AN$28-C469)/C469</f>
        <v>1.1798036931466597E-3</v>
      </c>
      <c r="N469" s="559">
        <f>'Progetto del paramento slu'!$G$60*(sezione!$AO$28-C469)/C469</f>
        <v>2.6197432910379397E-3</v>
      </c>
      <c r="O469" s="559">
        <f>'Progetto del paramento slu'!$G$60*(sezione!$AP$28-C469)/C469</f>
        <v>1.1798214327871385E-3</v>
      </c>
      <c r="P469" s="553">
        <f>-'Progetto del paramento slu'!$G$47*'Progetto del paramento slu'!$G$41*IF(DATI!$G$218="dx",DATI!$E$61,DATI!$E$64*DATI!$E$63)*1000*C469*sezione!$AD$5</f>
        <v>-2740982.4730009264</v>
      </c>
      <c r="Q469" s="553">
        <f>'Foglio deposito bis'!$F$48*IF(ABS(K469)&lt;'Progetto del paramento slu'!$G$58,ABS(K469)*'Progetto del paramento slu'!$G$54,'Progetto del paramento slu'!$G$53)*IF(K469&lt;0,-1,1)</f>
        <v>0</v>
      </c>
      <c r="R469" s="553">
        <f>'Foglio deposito bis'!$F$49*IF(ABS(L469)&lt;'Progetto del paramento slu'!$G$58,ABS(L469)*'Progetto del paramento slu'!$G$54,'Progetto del paramento slu'!$G$53)*IF(L469&lt;0,-1,1)</f>
        <v>-86301.293942702585</v>
      </c>
      <c r="S469" s="553">
        <f>'Foglio deposito bis'!$F$50*IF(ABS(M469)&lt;'Progetto del paramento slu'!$G$58,ABS(M469)*'Progetto del paramento slu'!$G$54,'Progetto del paramento slu'!$G$53)*IF(M469&lt;0,-1,1)</f>
        <v>0</v>
      </c>
      <c r="T469" s="553">
        <f>'Foglio deposito bis'!$F$51*IF(ABS(N469)&lt;'Progetto del paramento slu'!$G$58,ABS(N469)*'Progetto del paramento slu'!$G$54,'Progetto del paramento slu'!$G$53)*IF(N469&lt;0,-1,1)</f>
        <v>240946.49743184328</v>
      </c>
      <c r="U469" s="553">
        <f>'Foglio deposito bis'!$F$52*IF(ABS(O469)&lt;'Progetto del paramento slu'!$G$58,ABS(O469)*'Progetto del paramento slu'!$G$54,'Progetto del paramento slu'!$G$53)*IF(O469&lt;0,-1,1)</f>
        <v>149654.38472969207</v>
      </c>
      <c r="V469" s="479">
        <f t="shared" si="39"/>
        <v>-2436682.8847820936</v>
      </c>
      <c r="W469" s="559"/>
      <c r="X469" s="559"/>
    </row>
    <row r="470" spans="1:24" x14ac:dyDescent="0.25">
      <c r="A470" s="553">
        <f t="shared" si="38"/>
        <v>2512000.4840574889</v>
      </c>
      <c r="B470" s="3">
        <f t="shared" si="36"/>
        <v>48.899999999999942</v>
      </c>
      <c r="C470" s="553">
        <f>'Foglio deposito bis'!$E$154/sezione!$B$247*B470</f>
        <v>198.51215419095445</v>
      </c>
      <c r="D470" s="611">
        <f>-'Progetto del paramento slu'!$G$47*'Progetto del paramento slu'!$G$41*IF(DATI!$G$218="dx",DATI!$E$61,DATI!$E$64*DATI!$E$63)*1000*C470^2*sezione!$AD$5*(1-sezione!$AD$6)</f>
        <v>-324399034.9184438</v>
      </c>
      <c r="E470" s="553">
        <f>-'Foglio deposito bis'!$F$48*(C470-sezione!$AL$28)*IF(ABS(K470)&lt;'Progetto del paramento slu'!$G$58,ABS(K470)*'Progetto del paramento slu'!$G$54,'Progetto del paramento slu'!$G$53)</f>
        <v>0</v>
      </c>
      <c r="F470" s="553">
        <f>-'Foglio deposito bis'!$F$49*(C470-sezione!$AM$28)*IF(ABS(L470)&lt;'Progetto del paramento slu'!$G$58,ABS(L470)*'Progetto del paramento slu'!$G$54,'Progetto del paramento slu'!$G$53)</f>
        <v>-4475565.3696670029</v>
      </c>
      <c r="G470" s="553">
        <f>-'Foglio deposito bis'!$F$50*(C470-sezione!$AN$28)*IF(ABS(M470)&lt;'Progetto del paramento slu'!$G$58,ABS(M470)*'Progetto del paramento slu'!$G$54,'Progetto del paramento slu'!$G$53)</f>
        <v>0</v>
      </c>
      <c r="H470" s="553">
        <f>-'Foglio deposito bis'!$F$51*(C470-sezione!$AO$28)*IF(ABS(N470)&lt;'Progetto del paramento slu'!$G$58,ABS(N470)*'Progetto del paramento slu'!$G$54,'Progetto del paramento slu'!$G$53)</f>
        <v>34091000.876866229</v>
      </c>
      <c r="I470" s="479">
        <f>-'Foglio deposito bis'!$F$52*(C470-sezione!$AP$28)*IF(ABS(O470)&lt;'Progetto del paramento slu'!$G$58,ABS(O470)*'Progetto del paramento slu'!$G$54,'Progetto del paramento slu'!$G$53)</f>
        <v>8455641.9558448624</v>
      </c>
      <c r="J470" s="479">
        <f t="shared" si="37"/>
        <v>-286327957.45539969</v>
      </c>
      <c r="K470" s="558">
        <f>'Progetto del paramento slu'!$G$60*(sezione!$AL$28-C470)/C470</f>
        <v>-2.7947535098262542E-3</v>
      </c>
      <c r="L470" s="558">
        <f>'Progetto del paramento slu'!$G$60*(sezione!$AM$28-C470)/C470</f>
        <v>-8.553256618484545E-4</v>
      </c>
      <c r="M470" s="559">
        <f>'Progetto del paramento slu'!$G$60*(sezione!$AN$28-C470)/C470</f>
        <v>1.0841021861293456E-3</v>
      </c>
      <c r="N470" s="559">
        <f>'Progetto del paramento slu'!$G$60*(sezione!$AO$28-C470)/C470</f>
        <v>2.4945951664768367E-3</v>
      </c>
      <c r="O470" s="559">
        <f>'Progetto del paramento slu'!$G$60*(sezione!$AP$28-C470)/C470</f>
        <v>1.0841195629959905E-3</v>
      </c>
      <c r="P470" s="553">
        <f>-'Progetto del paramento slu'!$G$47*'Progetto del paramento slu'!$G$41*IF(DATI!$G$218="dx",DATI!$E$61,DATI!$E$64*DATI!$E$63)*1000*C470*sezione!$AD$5</f>
        <v>-2798205.4891387331</v>
      </c>
      <c r="Q470" s="553">
        <f>'Foglio deposito bis'!$F$48*IF(ABS(K470)&lt;'Progetto del paramento slu'!$G$58,ABS(K470)*'Progetto del paramento slu'!$G$54,'Progetto del paramento slu'!$G$53)*IF(K470&lt;0,-1,1)</f>
        <v>0</v>
      </c>
      <c r="R470" s="553">
        <f>'Foglio deposito bis'!$F$49*IF(ABS(L470)&lt;'Progetto del paramento slu'!$G$58,ABS(L470)*'Progetto del paramento slu'!$G$54,'Progetto del paramento slu'!$G$53)*IF(L470&lt;0,-1,1)</f>
        <v>-92256.578672021002</v>
      </c>
      <c r="S470" s="553">
        <f>'Foglio deposito bis'!$F$50*IF(ABS(M470)&lt;'Progetto del paramento slu'!$G$58,ABS(M470)*'Progetto del paramento slu'!$G$54,'Progetto del paramento slu'!$G$53)*IF(M470&lt;0,-1,1)</f>
        <v>0</v>
      </c>
      <c r="T470" s="553">
        <f>'Foglio deposito bis'!$F$51*IF(ABS(N470)&lt;'Progetto del paramento slu'!$G$58,ABS(N470)*'Progetto del paramento slu'!$G$54,'Progetto del paramento slu'!$G$53)*IF(N470&lt;0,-1,1)</f>
        <v>240946.49743184328</v>
      </c>
      <c r="U470" s="553">
        <f>'Foglio deposito bis'!$F$52*IF(ABS(O470)&lt;'Progetto del paramento slu'!$G$58,ABS(O470)*'Progetto del paramento slu'!$G$54,'Progetto del paramento slu'!$G$53)*IF(O470&lt;0,-1,1)</f>
        <v>137515.08632142239</v>
      </c>
      <c r="V470" s="479">
        <f t="shared" si="39"/>
        <v>-2512000.4840574889</v>
      </c>
      <c r="W470" s="559"/>
      <c r="X470" s="559"/>
    </row>
    <row r="471" spans="1:24" x14ac:dyDescent="0.25">
      <c r="A471" s="553">
        <f t="shared" si="38"/>
        <v>2586592.8495397931</v>
      </c>
      <c r="B471" s="3">
        <f t="shared" si="36"/>
        <v>49.899999999999942</v>
      </c>
      <c r="C471" s="553">
        <f>'Foglio deposito bis'!$E$154/sezione!$B$247*B471</f>
        <v>202.57170744639319</v>
      </c>
      <c r="D471" s="611">
        <f>-'Progetto del paramento slu'!$G$47*'Progetto del paramento slu'!$G$41*IF(DATI!$G$218="dx",DATI!$E$61,DATI!$E$64*DATI!$E$63)*1000*C471^2*sezione!$AD$5*(1-sezione!$AD$6)</f>
        <v>-337802552.23810303</v>
      </c>
      <c r="E471" s="553">
        <f>-'Foglio deposito bis'!$F$48*(C471-sezione!$AL$28)*IF(ABS(K471)&lt;'Progetto del paramento slu'!$G$58,ABS(K471)*'Progetto del paramento slu'!$G$54,'Progetto del paramento slu'!$G$53)</f>
        <v>0</v>
      </c>
      <c r="F471" s="553">
        <f>-'Foglio deposito bis'!$F$49*(C471-sezione!$AM$28)*IF(ABS(L471)&lt;'Progetto del paramento slu'!$G$58,ABS(L471)*'Progetto del paramento slu'!$G$54,'Progetto del paramento slu'!$G$53)</f>
        <v>-5150617.074486332</v>
      </c>
      <c r="G471" s="553">
        <f>-'Foglio deposito bis'!$F$50*(C471-sezione!$AN$28)*IF(ABS(M471)&lt;'Progetto del paramento slu'!$G$58,ABS(M471)*'Progetto del paramento slu'!$G$54,'Progetto del paramento slu'!$G$53)</f>
        <v>0</v>
      </c>
      <c r="H471" s="553">
        <f>-'Foglio deposito bis'!$F$51*(C471-sezione!$AO$28)*IF(ABS(N471)&lt;'Progetto del paramento slu'!$G$58,ABS(N471)*'Progetto del paramento slu'!$G$54,'Progetto del paramento slu'!$G$53)</f>
        <v>33112865.738830231</v>
      </c>
      <c r="I471" s="479">
        <f>-'Foglio deposito bis'!$F$52*(C471-sezione!$AP$28)*IF(ABS(O471)&lt;'Progetto del paramento slu'!$G$58,ABS(O471)*'Progetto del paramento slu'!$G$54,'Progetto del paramento slu'!$G$53)</f>
        <v>7228182.9245419819</v>
      </c>
      <c r="J471" s="479">
        <f t="shared" si="37"/>
        <v>-302612120.64921713</v>
      </c>
      <c r="K471" s="558">
        <f>'Progetto del paramento slu'!$G$60*(sezione!$AL$28-C471)/C471</f>
        <v>-2.8088867060221214E-3</v>
      </c>
      <c r="L471" s="558">
        <f>'Progetto del paramento slu'!$G$60*(sezione!$AM$28-C471)/C471</f>
        <v>-9.0832514758295451E-4</v>
      </c>
      <c r="M471" s="559">
        <f>'Progetto del paramento slu'!$G$60*(sezione!$AN$28-C471)/C471</f>
        <v>9.9223641085621241E-4</v>
      </c>
      <c r="N471" s="559">
        <f>'Progetto del paramento slu'!$G$60*(sezione!$AO$28-C471)/C471</f>
        <v>2.3744629988119701E-3</v>
      </c>
      <c r="O471" s="559">
        <f>'Progetto del paramento slu'!$G$60*(sezione!$AP$28-C471)/C471</f>
        <v>9.9225343948905671E-4</v>
      </c>
      <c r="P471" s="553">
        <f>-'Progetto del paramento slu'!$G$47*'Progetto del paramento slu'!$G$41*IF(DATI!$G$218="dx",DATI!$E$61,DATI!$E$64*DATI!$E$63)*1000*C471*sezione!$AD$5</f>
        <v>-2855428.5052765394</v>
      </c>
      <c r="Q471" s="553">
        <f>'Foglio deposito bis'!$F$48*IF(ABS(K471)&lt;'Progetto del paramento slu'!$G$58,ABS(K471)*'Progetto del paramento slu'!$G$54,'Progetto del paramento slu'!$G$53)*IF(K471&lt;0,-1,1)</f>
        <v>0</v>
      </c>
      <c r="R471" s="553">
        <f>'Foglio deposito bis'!$F$49*IF(ABS(L471)&lt;'Progetto del paramento slu'!$G$58,ABS(L471)*'Progetto del paramento slu'!$G$54,'Progetto del paramento slu'!$G$53)*IF(L471&lt;0,-1,1)</f>
        <v>-97973.174634633295</v>
      </c>
      <c r="S471" s="553">
        <f>'Foglio deposito bis'!$F$50*IF(ABS(M471)&lt;'Progetto del paramento slu'!$G$58,ABS(M471)*'Progetto del paramento slu'!$G$54,'Progetto del paramento slu'!$G$53)*IF(M471&lt;0,-1,1)</f>
        <v>0</v>
      </c>
      <c r="T471" s="553">
        <f>'Foglio deposito bis'!$F$51*IF(ABS(N471)&lt;'Progetto del paramento slu'!$G$58,ABS(N471)*'Progetto del paramento slu'!$G$54,'Progetto del paramento slu'!$G$53)*IF(N471&lt;0,-1,1)</f>
        <v>240946.49743184328</v>
      </c>
      <c r="U471" s="553">
        <f>'Foglio deposito bis'!$F$52*IF(ABS(O471)&lt;'Progetto del paramento slu'!$G$58,ABS(O471)*'Progetto del paramento slu'!$G$54,'Progetto del paramento slu'!$G$53)*IF(O471&lt;0,-1,1)</f>
        <v>125862.33293953625</v>
      </c>
      <c r="V471" s="479">
        <f t="shared" si="39"/>
        <v>-2586592.8495397931</v>
      </c>
      <c r="W471" s="559"/>
      <c r="X471" s="559"/>
    </row>
    <row r="472" spans="1:24" x14ac:dyDescent="0.25">
      <c r="A472" s="553">
        <f t="shared" si="38"/>
        <v>2660502.7258533556</v>
      </c>
      <c r="B472" s="3">
        <f t="shared" si="36"/>
        <v>50.899999999999942</v>
      </c>
      <c r="C472" s="553">
        <f>'Foglio deposito bis'!$E$154/sezione!$B$247*B472</f>
        <v>206.63126070183193</v>
      </c>
      <c r="D472" s="611">
        <f>-'Progetto del paramento slu'!$G$47*'Progetto del paramento slu'!$G$41*IF(DATI!$G$218="dx",DATI!$E$61,DATI!$E$64*DATI!$E$63)*1000*C472^2*sezione!$AD$5*(1-sezione!$AD$6)</f>
        <v>-351477395.8192938</v>
      </c>
      <c r="E472" s="553">
        <f>-'Foglio deposito bis'!$F$48*(C472-sezione!$AL$28)*IF(ABS(K472)&lt;'Progetto del paramento slu'!$G$58,ABS(K472)*'Progetto del paramento slu'!$G$54,'Progetto del paramento slu'!$G$53)</f>
        <v>0</v>
      </c>
      <c r="F472" s="553">
        <f>-'Foglio deposito bis'!$F$49*(C472-sezione!$AM$28)*IF(ABS(L472)&lt;'Progetto del paramento slu'!$G$58,ABS(L472)*'Progetto del paramento slu'!$G$54,'Progetto del paramento slu'!$G$53)</f>
        <v>-5859361.8792817639</v>
      </c>
      <c r="G472" s="553">
        <f>-'Foglio deposito bis'!$F$50*(C472-sezione!$AN$28)*IF(ABS(M472)&lt;'Progetto del paramento slu'!$G$58,ABS(M472)*'Progetto del paramento slu'!$G$54,'Progetto del paramento slu'!$G$53)</f>
        <v>0</v>
      </c>
      <c r="H472" s="553">
        <f>-'Foglio deposito bis'!$F$51*(C472-sezione!$AO$28)*IF(ABS(N472)&lt;'Progetto del paramento slu'!$G$58,ABS(N472)*'Progetto del paramento slu'!$G$54,'Progetto del paramento slu'!$G$53)</f>
        <v>32134730.600794226</v>
      </c>
      <c r="I472" s="479">
        <f>-'Foglio deposito bis'!$F$52*(C472-sezione!$AP$28)*IF(ABS(O472)&lt;'Progetto del paramento slu'!$G$58,ABS(O472)*'Progetto del paramento slu'!$G$54,'Progetto del paramento slu'!$G$53)</f>
        <v>6119770.1550848857</v>
      </c>
      <c r="J472" s="479">
        <f t="shared" si="37"/>
        <v>-319082256.94269639</v>
      </c>
      <c r="K472" s="558">
        <f>'Progetto del paramento slu'!$G$60*(sezione!$AL$28-C472)/C472</f>
        <v>-2.8224645703438869E-3</v>
      </c>
      <c r="L472" s="558">
        <f>'Progetto del paramento slu'!$G$60*(sezione!$AM$28-C472)/C472</f>
        <v>-9.592421387895762E-4</v>
      </c>
      <c r="M472" s="559">
        <f>'Progetto del paramento slu'!$G$60*(sezione!$AN$28-C472)/C472</f>
        <v>9.0398029276473463E-4</v>
      </c>
      <c r="N472" s="559">
        <f>'Progetto del paramento slu'!$G$60*(sezione!$AO$28-C472)/C472</f>
        <v>2.2590511520769606E-3</v>
      </c>
      <c r="O472" s="559">
        <f>'Progetto del paramento slu'!$G$60*(sezione!$AP$28-C472)/C472</f>
        <v>9.039969868468356E-4</v>
      </c>
      <c r="P472" s="553">
        <f>-'Progetto del paramento slu'!$G$47*'Progetto del paramento slu'!$G$41*IF(DATI!$G$218="dx",DATI!$E$61,DATI!$E$64*DATI!$E$63)*1000*C472*sezione!$AD$5</f>
        <v>-2912651.5214143456</v>
      </c>
      <c r="Q472" s="553">
        <f>'Foglio deposito bis'!$F$48*IF(ABS(K472)&lt;'Progetto del paramento slu'!$G$58,ABS(K472)*'Progetto del paramento slu'!$G$54,'Progetto del paramento slu'!$G$53)*IF(K472&lt;0,-1,1)</f>
        <v>0</v>
      </c>
      <c r="R472" s="553">
        <f>'Foglio deposito bis'!$F$49*IF(ABS(L472)&lt;'Progetto del paramento slu'!$G$58,ABS(L472)*'Progetto del paramento slu'!$G$54,'Progetto del paramento slu'!$G$53)*IF(L472&lt;0,-1,1)</f>
        <v>-103465.1499307382</v>
      </c>
      <c r="S472" s="553">
        <f>'Foglio deposito bis'!$F$50*IF(ABS(M472)&lt;'Progetto del paramento slu'!$G$58,ABS(M472)*'Progetto del paramento slu'!$G$54,'Progetto del paramento slu'!$G$53)*IF(M472&lt;0,-1,1)</f>
        <v>0</v>
      </c>
      <c r="T472" s="553">
        <f>'Foglio deposito bis'!$F$51*IF(ABS(N472)&lt;'Progetto del paramento slu'!$G$58,ABS(N472)*'Progetto del paramento slu'!$G$54,'Progetto del paramento slu'!$G$53)*IF(N472&lt;0,-1,1)</f>
        <v>240946.49743184328</v>
      </c>
      <c r="U472" s="553">
        <f>'Foglio deposito bis'!$F$52*IF(ABS(O472)&lt;'Progetto del paramento slu'!$G$58,ABS(O472)*'Progetto del paramento slu'!$G$54,'Progetto del paramento slu'!$G$53)*IF(O472&lt;0,-1,1)</f>
        <v>114667.44805988533</v>
      </c>
      <c r="V472" s="479">
        <f t="shared" si="39"/>
        <v>-2660502.7258533556</v>
      </c>
      <c r="W472" s="559"/>
      <c r="X472" s="559"/>
    </row>
    <row r="473" spans="1:24" x14ac:dyDescent="0.25">
      <c r="A473" s="553">
        <f t="shared" si="38"/>
        <v>2733769.5632391432</v>
      </c>
      <c r="B473" s="3">
        <f t="shared" si="36"/>
        <v>51.899999999999942</v>
      </c>
      <c r="C473" s="553">
        <f>'Foglio deposito bis'!$E$154/sezione!$B$247*B473</f>
        <v>210.69081395727068</v>
      </c>
      <c r="D473" s="611">
        <f>-'Progetto del paramento slu'!$G$47*'Progetto del paramento slu'!$G$41*IF(DATI!$G$218="dx",DATI!$E$61,DATI!$E$64*DATI!$E$63)*1000*C473^2*sezione!$AD$5*(1-sezione!$AD$6)</f>
        <v>-365423565.66201615</v>
      </c>
      <c r="E473" s="553">
        <f>-'Foglio deposito bis'!$F$48*(C473-sezione!$AL$28)*IF(ABS(K473)&lt;'Progetto del paramento slu'!$G$58,ABS(K473)*'Progetto del paramento slu'!$G$54,'Progetto del paramento slu'!$G$53)</f>
        <v>0</v>
      </c>
      <c r="F473" s="553">
        <f>-'Foglio deposito bis'!$F$49*(C473-sezione!$AM$28)*IF(ABS(L473)&lt;'Progetto del paramento slu'!$G$58,ABS(L473)*'Progetto del paramento slu'!$G$54,'Progetto del paramento slu'!$G$53)</f>
        <v>-6599852.2060199995</v>
      </c>
      <c r="G473" s="553">
        <f>-'Foglio deposito bis'!$F$50*(C473-sezione!$AN$28)*IF(ABS(M473)&lt;'Progetto del paramento slu'!$G$58,ABS(M473)*'Progetto del paramento slu'!$G$54,'Progetto del paramento slu'!$G$53)</f>
        <v>0</v>
      </c>
      <c r="H473" s="553">
        <f>-'Foglio deposito bis'!$F$51*(C473-sezione!$AO$28)*IF(ABS(N473)&lt;'Progetto del paramento slu'!$G$58,ABS(N473)*'Progetto del paramento slu'!$G$54,'Progetto del paramento slu'!$G$53)</f>
        <v>31156595.462758221</v>
      </c>
      <c r="I473" s="479">
        <f>-'Foglio deposito bis'!$F$52*(C473-sezione!$AP$28)*IF(ABS(O473)&lt;'Progetto del paramento slu'!$G$58,ABS(O473)*'Progetto del paramento slu'!$G$54,'Progetto del paramento slu'!$G$53)</f>
        <v>5123522.3606616789</v>
      </c>
      <c r="J473" s="479">
        <f t="shared" si="37"/>
        <v>-335743300.04461622</v>
      </c>
      <c r="K473" s="558">
        <f>'Progetto del paramento slu'!$G$60*(sezione!$AL$28-C473)/C473</f>
        <v>-2.8355192028998812E-3</v>
      </c>
      <c r="L473" s="558">
        <f>'Progetto del paramento slu'!$G$60*(sezione!$AM$28-C473)/C473</f>
        <v>-1.0081970108745556E-3</v>
      </c>
      <c r="M473" s="559">
        <f>'Progetto del paramento slu'!$G$60*(sezione!$AN$28-C473)/C473</f>
        <v>8.1912518115077057E-4</v>
      </c>
      <c r="N473" s="559">
        <f>'Progetto del paramento slu'!$G$60*(sezione!$AO$28-C473)/C473</f>
        <v>2.1480867753510078E-3</v>
      </c>
      <c r="O473" s="559">
        <f>'Progetto del paramento slu'!$G$60*(sezione!$AP$28-C473)/C473</f>
        <v>8.1914155357425686E-4</v>
      </c>
      <c r="P473" s="553">
        <f>-'Progetto del paramento slu'!$G$47*'Progetto del paramento slu'!$G$41*IF(DATI!$G$218="dx",DATI!$E$61,DATI!$E$64*DATI!$E$63)*1000*C473*sezione!$AD$5</f>
        <v>-2969874.5375521523</v>
      </c>
      <c r="Q473" s="553">
        <f>'Foglio deposito bis'!$F$48*IF(ABS(K473)&lt;'Progetto del paramento slu'!$G$58,ABS(K473)*'Progetto del paramento slu'!$G$54,'Progetto del paramento slu'!$G$53)*IF(K473&lt;0,-1,1)</f>
        <v>0</v>
      </c>
      <c r="R473" s="553">
        <f>'Foglio deposito bis'!$F$49*IF(ABS(L473)&lt;'Progetto del paramento slu'!$G$58,ABS(L473)*'Progetto del paramento slu'!$G$54,'Progetto del paramento slu'!$G$53)*IF(L473&lt;0,-1,1)</f>
        <v>-108745.4884138911</v>
      </c>
      <c r="S473" s="553">
        <f>'Foglio deposito bis'!$F$50*IF(ABS(M473)&lt;'Progetto del paramento slu'!$G$58,ABS(M473)*'Progetto del paramento slu'!$G$54,'Progetto del paramento slu'!$G$53)*IF(M473&lt;0,-1,1)</f>
        <v>0</v>
      </c>
      <c r="T473" s="553">
        <f>'Foglio deposito bis'!$F$51*IF(ABS(N473)&lt;'Progetto del paramento slu'!$G$58,ABS(N473)*'Progetto del paramento slu'!$G$54,'Progetto del paramento slu'!$G$53)*IF(N473&lt;0,-1,1)</f>
        <v>240946.49743184328</v>
      </c>
      <c r="U473" s="553">
        <f>'Foglio deposito bis'!$F$52*IF(ABS(O473)&lt;'Progetto del paramento slu'!$G$58,ABS(O473)*'Progetto del paramento slu'!$G$54,'Progetto del paramento slu'!$G$53)*IF(O473&lt;0,-1,1)</f>
        <v>103903.96529505721</v>
      </c>
      <c r="V473" s="479">
        <f t="shared" si="39"/>
        <v>-2733769.5632391432</v>
      </c>
      <c r="W473" s="559"/>
      <c r="X473" s="559"/>
    </row>
    <row r="474" spans="1:24" x14ac:dyDescent="0.25">
      <c r="A474" s="553">
        <f t="shared" si="38"/>
        <v>2806429.8289331356</v>
      </c>
      <c r="B474" s="3">
        <f t="shared" si="36"/>
        <v>52.899999999999942</v>
      </c>
      <c r="C474" s="553">
        <f>'Foglio deposito bis'!$E$154/sezione!$B$247*B474</f>
        <v>214.75036721270942</v>
      </c>
      <c r="D474" s="611">
        <f>-'Progetto del paramento slu'!$G$47*'Progetto del paramento slu'!$G$41*IF(DATI!$G$218="dx",DATI!$E$61,DATI!$E$64*DATI!$E$63)*1000*C474^2*sezione!$AD$5*(1-sezione!$AD$6)</f>
        <v>-379641061.76627004</v>
      </c>
      <c r="E474" s="553">
        <f>-'Foglio deposito bis'!$F$48*(C474-sezione!$AL$28)*IF(ABS(K474)&lt;'Progetto del paramento slu'!$G$58,ABS(K474)*'Progetto del paramento slu'!$G$54,'Progetto del paramento slu'!$G$53)</f>
        <v>0</v>
      </c>
      <c r="F474" s="553">
        <f>-'Foglio deposito bis'!$F$49*(C474-sezione!$AM$28)*IF(ABS(L474)&lt;'Progetto del paramento slu'!$G$58,ABS(L474)*'Progetto del paramento slu'!$G$54,'Progetto del paramento slu'!$G$53)</f>
        <v>-7370287.7415473815</v>
      </c>
      <c r="G474" s="553">
        <f>-'Foglio deposito bis'!$F$50*(C474-sezione!$AN$28)*IF(ABS(M474)&lt;'Progetto del paramento slu'!$G$58,ABS(M474)*'Progetto del paramento slu'!$G$54,'Progetto del paramento slu'!$G$53)</f>
        <v>0</v>
      </c>
      <c r="H474" s="553">
        <f>-'Foglio deposito bis'!$F$51*(C474-sezione!$AO$28)*IF(ABS(N474)&lt;'Progetto del paramento slu'!$G$58,ABS(N474)*'Progetto del paramento slu'!$G$54,'Progetto del paramento slu'!$G$53)</f>
        <v>30178460.324722223</v>
      </c>
      <c r="I474" s="479">
        <f>-'Foglio deposito bis'!$F$52*(C474-sezione!$AP$28)*IF(ABS(O474)&lt;'Progetto del paramento slu'!$G$58,ABS(O474)*'Progetto del paramento slu'!$G$54,'Progetto del paramento slu'!$G$53)</f>
        <v>4233078.5786050316</v>
      </c>
      <c r="J474" s="479">
        <f t="shared" si="37"/>
        <v>-352599810.60449016</v>
      </c>
      <c r="K474" s="558">
        <f>'Progetto del paramento slu'!$G$60*(sezione!$AL$28-C474)/C474</f>
        <v>-2.8480802765690713E-3</v>
      </c>
      <c r="L474" s="558">
        <f>'Progetto del paramento slu'!$G$60*(sezione!$AM$28-C474)/C474</f>
        <v>-1.0553010371340157E-3</v>
      </c>
      <c r="M474" s="559">
        <f>'Progetto del paramento slu'!$G$60*(sezione!$AN$28-C474)/C474</f>
        <v>7.3747820230103949E-4</v>
      </c>
      <c r="N474" s="559">
        <f>'Progetto del paramento slu'!$G$60*(sezione!$AO$28-C474)/C474</f>
        <v>2.0413176491628979E-3</v>
      </c>
      <c r="O474" s="559">
        <f>'Progetto del paramento slu'!$G$60*(sezione!$AP$28-C474)/C474</f>
        <v>7.3749426522691736E-4</v>
      </c>
      <c r="P474" s="553">
        <f>-'Progetto del paramento slu'!$G$47*'Progetto del paramento slu'!$G$41*IF(DATI!$G$218="dx",DATI!$E$61,DATI!$E$64*DATI!$E$63)*1000*C474*sezione!$AD$5</f>
        <v>-3027097.5536899585</v>
      </c>
      <c r="Q474" s="553">
        <f>'Foglio deposito bis'!$F$48*IF(ABS(K474)&lt;'Progetto del paramento slu'!$G$58,ABS(K474)*'Progetto del paramento slu'!$G$54,'Progetto del paramento slu'!$G$53)*IF(K474&lt;0,-1,1)</f>
        <v>0</v>
      </c>
      <c r="R474" s="553">
        <f>'Foglio deposito bis'!$F$49*IF(ABS(L474)&lt;'Progetto del paramento slu'!$G$58,ABS(L474)*'Progetto del paramento slu'!$G$54,'Progetto del paramento slu'!$G$53)*IF(L474&lt;0,-1,1)</f>
        <v>-113826.19217178303</v>
      </c>
      <c r="S474" s="553">
        <f>'Foglio deposito bis'!$F$50*IF(ABS(M474)&lt;'Progetto del paramento slu'!$G$58,ABS(M474)*'Progetto del paramento slu'!$G$54,'Progetto del paramento slu'!$G$53)*IF(M474&lt;0,-1,1)</f>
        <v>0</v>
      </c>
      <c r="T474" s="553">
        <f>'Foglio deposito bis'!$F$51*IF(ABS(N474)&lt;'Progetto del paramento slu'!$G$58,ABS(N474)*'Progetto del paramento slu'!$G$54,'Progetto del paramento slu'!$G$53)*IF(N474&lt;0,-1,1)</f>
        <v>240946.49743184328</v>
      </c>
      <c r="U474" s="553">
        <f>'Foglio deposito bis'!$F$52*IF(ABS(O474)&lt;'Progetto del paramento slu'!$G$58,ABS(O474)*'Progetto del paramento slu'!$G$54,'Progetto del paramento slu'!$G$53)*IF(O474&lt;0,-1,1)</f>
        <v>93547.419496763192</v>
      </c>
      <c r="V474" s="479">
        <f t="shared" si="39"/>
        <v>-2806429.8289331356</v>
      </c>
      <c r="W474" s="559"/>
      <c r="X474" s="559"/>
    </row>
    <row r="475" spans="1:24" x14ac:dyDescent="0.25">
      <c r="A475" s="553">
        <f t="shared" si="38"/>
        <v>2878517.2838829281</v>
      </c>
      <c r="B475" s="3">
        <f t="shared" si="36"/>
        <v>53.899999999999942</v>
      </c>
      <c r="C475" s="553">
        <f>'Foglio deposito bis'!$E$154/sezione!$B$247*B475</f>
        <v>218.80992046814816</v>
      </c>
      <c r="D475" s="611">
        <f>-'Progetto del paramento slu'!$G$47*'Progetto del paramento slu'!$G$41*IF(DATI!$G$218="dx",DATI!$E$61,DATI!$E$64*DATI!$E$63)*1000*C475^2*sezione!$AD$5*(1-sezione!$AD$6)</f>
        <v>-394129884.13205552</v>
      </c>
      <c r="E475" s="553">
        <f>-'Foglio deposito bis'!$F$48*(C475-sezione!$AL$28)*IF(ABS(K475)&lt;'Progetto del paramento slu'!$G$58,ABS(K475)*'Progetto del paramento slu'!$G$54,'Progetto del paramento slu'!$G$53)</f>
        <v>0</v>
      </c>
      <c r="F475" s="553">
        <f>-'Foglio deposito bis'!$F$49*(C475-sezione!$AM$28)*IF(ABS(L475)&lt;'Progetto del paramento slu'!$G$58,ABS(L475)*'Progetto del paramento slu'!$G$54,'Progetto del paramento slu'!$G$53)</f>
        <v>-8169001.7766548675</v>
      </c>
      <c r="G475" s="553">
        <f>-'Foglio deposito bis'!$F$50*(C475-sezione!$AN$28)*IF(ABS(M475)&lt;'Progetto del paramento slu'!$G$58,ABS(M475)*'Progetto del paramento slu'!$G$54,'Progetto del paramento slu'!$G$53)</f>
        <v>0</v>
      </c>
      <c r="H475" s="553">
        <f>-'Foglio deposito bis'!$F$51*(C475-sezione!$AO$28)*IF(ABS(N475)&lt;'Progetto del paramento slu'!$G$58,ABS(N475)*'Progetto del paramento slu'!$G$54,'Progetto del paramento slu'!$G$53)</f>
        <v>29200325.186686218</v>
      </c>
      <c r="I475" s="479">
        <f>-'Foglio deposito bis'!$F$52*(C475-sezione!$AP$28)*IF(ABS(O475)&lt;'Progetto del paramento slu'!$G$58,ABS(O475)*'Progetto del paramento slu'!$G$54,'Progetto del paramento slu'!$G$53)</f>
        <v>3442549.902846307</v>
      </c>
      <c r="J475" s="479">
        <f t="shared" si="37"/>
        <v>-369656010.81917781</v>
      </c>
      <c r="K475" s="558">
        <f>'Progetto del paramento slu'!$G$60*(sezione!$AL$28-C475)/C475</f>
        <v>-2.8601752621614817E-3</v>
      </c>
      <c r="L475" s="558">
        <f>'Progetto del paramento slu'!$G$60*(sezione!$AM$28-C475)/C475</f>
        <v>-1.1006572331055554E-3</v>
      </c>
      <c r="M475" s="559">
        <f>'Progetto del paramento slu'!$G$60*(sezione!$AN$28-C475)/C475</f>
        <v>6.5886079595037087E-4</v>
      </c>
      <c r="N475" s="559">
        <f>'Progetto del paramento slu'!$G$60*(sezione!$AO$28-C475)/C475</f>
        <v>1.9385102716274079E-3</v>
      </c>
      <c r="O475" s="559">
        <f>'Progetto del paramento slu'!$G$60*(sezione!$AP$28-C475)/C475</f>
        <v>6.5887656086278154E-4</v>
      </c>
      <c r="P475" s="553">
        <f>-'Progetto del paramento slu'!$G$47*'Progetto del paramento slu'!$G$41*IF(DATI!$G$218="dx",DATI!$E$61,DATI!$E$64*DATI!$E$63)*1000*C475*sezione!$AD$5</f>
        <v>-3084320.5698277652</v>
      </c>
      <c r="Q475" s="553">
        <f>'Foglio deposito bis'!$F$48*IF(ABS(K475)&lt;'Progetto del paramento slu'!$G$58,ABS(K475)*'Progetto del paramento slu'!$G$54,'Progetto del paramento slu'!$G$53)*IF(K475&lt;0,-1,1)</f>
        <v>0</v>
      </c>
      <c r="R475" s="553">
        <f>'Foglio deposito bis'!$F$49*IF(ABS(L475)&lt;'Progetto del paramento slu'!$G$58,ABS(L475)*'Progetto del paramento slu'!$G$54,'Progetto del paramento slu'!$G$53)*IF(L475&lt;0,-1,1)</f>
        <v>-118718.37259914093</v>
      </c>
      <c r="S475" s="553">
        <f>'Foglio deposito bis'!$F$50*IF(ABS(M475)&lt;'Progetto del paramento slu'!$G$58,ABS(M475)*'Progetto del paramento slu'!$G$54,'Progetto del paramento slu'!$G$53)*IF(M475&lt;0,-1,1)</f>
        <v>0</v>
      </c>
      <c r="T475" s="553">
        <f>'Foglio deposito bis'!$F$51*IF(ABS(N475)&lt;'Progetto del paramento slu'!$G$58,ABS(N475)*'Progetto del paramento slu'!$G$54,'Progetto del paramento slu'!$G$53)*IF(N475&lt;0,-1,1)</f>
        <v>240946.49743184328</v>
      </c>
      <c r="U475" s="553">
        <f>'Foglio deposito bis'!$F$52*IF(ABS(O475)&lt;'Progetto del paramento slu'!$G$58,ABS(O475)*'Progetto del paramento slu'!$G$54,'Progetto del paramento slu'!$G$53)*IF(O475&lt;0,-1,1)</f>
        <v>83575.161112135014</v>
      </c>
      <c r="V475" s="479">
        <f t="shared" si="39"/>
        <v>-2878517.2838829281</v>
      </c>
      <c r="W475" s="559"/>
      <c r="X475" s="559"/>
    </row>
    <row r="476" spans="1:24" x14ac:dyDescent="0.25">
      <c r="A476" s="553">
        <f t="shared" si="38"/>
        <v>2957685.0267958418</v>
      </c>
      <c r="B476" s="3">
        <f t="shared" si="36"/>
        <v>54.899999999999942</v>
      </c>
      <c r="C476" s="553">
        <f>'Foglio deposito bis'!$E$154/sezione!$B$247*B476</f>
        <v>222.86947372358691</v>
      </c>
      <c r="D476" s="611">
        <f>-'Progetto del paramento slu'!$G$47*'Progetto del paramento slu'!$G$41*IF(DATI!$G$218="dx",DATI!$E$61,DATI!$E$64*DATI!$E$63)*1000*C476^2*sezione!$AD$5*(1-sezione!$AD$6)</f>
        <v>-408890032.75937247</v>
      </c>
      <c r="E476" s="553">
        <f>-'Foglio deposito bis'!$F$48*(C476-sezione!$AL$28)*IF(ABS(K476)&lt;'Progetto del paramento slu'!$G$58,ABS(K476)*'Progetto del paramento slu'!$G$54,'Progetto del paramento slu'!$G$53)</f>
        <v>0</v>
      </c>
      <c r="F476" s="553">
        <f>-'Foglio deposito bis'!$F$49*(C476-sezione!$AM$28)*IF(ABS(L476)&lt;'Progetto del paramento slu'!$G$58,ABS(L476)*'Progetto del paramento slu'!$G$54,'Progetto del paramento slu'!$G$53)</f>
        <v>-8994449.0381413568</v>
      </c>
      <c r="G476" s="553">
        <f>-'Foglio deposito bis'!$F$50*(C476-sezione!$AN$28)*IF(ABS(M476)&lt;'Progetto del paramento slu'!$G$58,ABS(M476)*'Progetto del paramento slu'!$G$54,'Progetto del paramento slu'!$G$53)</f>
        <v>0</v>
      </c>
      <c r="H476" s="553">
        <f>-'Foglio deposito bis'!$F$51*(C476-sezione!$AO$28)*IF(ABS(N476)&lt;'Progetto del paramento slu'!$G$58,ABS(N476)*'Progetto del paramento slu'!$G$54,'Progetto del paramento slu'!$G$53)</f>
        <v>27329444.887663569</v>
      </c>
      <c r="I476" s="479">
        <f>-'Foglio deposito bis'!$F$52*(C476-sezione!$AP$28)*IF(ABS(O476)&lt;'Progetto del paramento slu'!$G$58,ABS(O476)*'Progetto del paramento slu'!$G$54,'Progetto del paramento slu'!$G$53)</f>
        <v>2746476.4915113011</v>
      </c>
      <c r="J476" s="479">
        <f t="shared" si="37"/>
        <v>-387808560.41833901</v>
      </c>
      <c r="K476" s="558">
        <f>'Progetto del paramento slu'!$G$60*(sezione!$AL$28-C476)/C476</f>
        <v>-2.8718296289709263E-3</v>
      </c>
      <c r="L476" s="558">
        <f>'Progetto del paramento slu'!$G$60*(sezione!$AM$28-C476)/C476</f>
        <v>-1.1443611086409732E-3</v>
      </c>
      <c r="M476" s="559">
        <f>'Progetto del paramento slu'!$G$60*(sezione!$AN$28-C476)/C476</f>
        <v>5.831074116889797E-4</v>
      </c>
      <c r="N476" s="559">
        <f>'Progetto del paramento slu'!$G$60*(sezione!$AO$28-C476)/C476</f>
        <v>1.8394481537471273E-3</v>
      </c>
      <c r="O476" s="559">
        <f>'Progetto del paramento slu'!$G$60*(sezione!$AP$28-C476)/C476</f>
        <v>5.8312288944451591E-4</v>
      </c>
      <c r="P476" s="553">
        <f>-'Progetto del paramento slu'!$G$47*'Progetto del paramento slu'!$G$41*IF(DATI!$G$218="dx",DATI!$E$61,DATI!$E$64*DATI!$E$63)*1000*C476*sezione!$AD$5</f>
        <v>-3141543.5859655715</v>
      </c>
      <c r="Q476" s="553">
        <f>'Foglio deposito bis'!$F$48*IF(ABS(K476)&lt;'Progetto del paramento slu'!$G$58,ABS(K476)*'Progetto del paramento slu'!$G$54,'Progetto del paramento slu'!$G$53)*IF(K476&lt;0,-1,1)</f>
        <v>0</v>
      </c>
      <c r="R476" s="553">
        <f>'Foglio deposito bis'!$F$49*IF(ABS(L476)&lt;'Progetto del paramento slu'!$G$58,ABS(L476)*'Progetto del paramento slu'!$G$54,'Progetto del paramento slu'!$G$53)*IF(L476&lt;0,-1,1)</f>
        <v>-123432.33151730543</v>
      </c>
      <c r="S476" s="553">
        <f>'Foglio deposito bis'!$F$50*IF(ABS(M476)&lt;'Progetto del paramento slu'!$G$58,ABS(M476)*'Progetto del paramento slu'!$G$54,'Progetto del paramento slu'!$G$53)*IF(M476&lt;0,-1,1)</f>
        <v>0</v>
      </c>
      <c r="T476" s="553">
        <f>'Foglio deposito bis'!$F$51*IF(ABS(N476)&lt;'Progetto del paramento slu'!$G$58,ABS(N476)*'Progetto del paramento slu'!$G$54,'Progetto del paramento slu'!$G$53)*IF(N476&lt;0,-1,1)</f>
        <v>233324.69985808452</v>
      </c>
      <c r="U476" s="553">
        <f>'Foglio deposito bis'!$F$52*IF(ABS(O476)&lt;'Progetto del paramento slu'!$G$58,ABS(O476)*'Progetto del paramento slu'!$G$54,'Progetto del paramento slu'!$G$53)*IF(O476&lt;0,-1,1)</f>
        <v>73966.190828950494</v>
      </c>
      <c r="V476" s="479">
        <f t="shared" si="39"/>
        <v>-2957685.0267958418</v>
      </c>
      <c r="W476" s="559"/>
      <c r="X476" s="559"/>
    </row>
    <row r="477" spans="1:24" x14ac:dyDescent="0.25">
      <c r="A477" s="553">
        <f t="shared" si="38"/>
        <v>3040834.4810596858</v>
      </c>
      <c r="B477" s="3">
        <f t="shared" si="36"/>
        <v>55.899999999999942</v>
      </c>
      <c r="C477" s="553">
        <f>'Foglio deposito bis'!$E$154/sezione!$B$247*B477</f>
        <v>226.92902697902565</v>
      </c>
      <c r="D477" s="611">
        <f>-'Progetto del paramento slu'!$G$47*'Progetto del paramento slu'!$G$41*IF(DATI!$G$218="dx",DATI!$E$61,DATI!$E$64*DATI!$E$63)*1000*C477^2*sezione!$AD$5*(1-sezione!$AD$6)</f>
        <v>-423921507.64822114</v>
      </c>
      <c r="E477" s="553">
        <f>-'Foglio deposito bis'!$F$48*(C477-sezione!$AL$28)*IF(ABS(K477)&lt;'Progetto del paramento slu'!$G$58,ABS(K477)*'Progetto del paramento slu'!$G$54,'Progetto del paramento slu'!$G$53)</f>
        <v>0</v>
      </c>
      <c r="F477" s="553">
        <f>-'Foglio deposito bis'!$F$49*(C477-sezione!$AM$28)*IF(ABS(L477)&lt;'Progetto del paramento slu'!$G$58,ABS(L477)*'Progetto del paramento slu'!$G$54,'Progetto del paramento slu'!$G$53)</f>
        <v>-9845194.8269167468</v>
      </c>
      <c r="G477" s="553">
        <f>-'Foglio deposito bis'!$F$50*(C477-sezione!$AN$28)*IF(ABS(M477)&lt;'Progetto del paramento slu'!$G$58,ABS(M477)*'Progetto del paramento slu'!$G$54,'Progetto del paramento slu'!$G$53)</f>
        <v>0</v>
      </c>
      <c r="H477" s="553">
        <f>-'Foglio deposito bis'!$F$51*(C477-sezione!$AO$28)*IF(ABS(N477)&lt;'Progetto del paramento slu'!$G$58,ABS(N477)*'Progetto del paramento slu'!$G$54,'Progetto del paramento slu'!$G$53)</f>
        <v>25012287.77347463</v>
      </c>
      <c r="I477" s="479">
        <f>-'Foglio deposito bis'!$F$52*(C477-sezione!$AP$28)*IF(ABS(O477)&lt;'Progetto del paramento slu'!$G$58,ABS(O477)*'Progetto del paramento slu'!$G$54,'Progetto del paramento slu'!$G$53)</f>
        <v>2139789.1890853229</v>
      </c>
      <c r="J477" s="479">
        <f t="shared" si="37"/>
        <v>-406614625.51257795</v>
      </c>
      <c r="K477" s="558">
        <f>'Progetto del paramento slu'!$G$60*(sezione!$AL$28-C477)/C477</f>
        <v>-2.8830670238014998E-3</v>
      </c>
      <c r="L477" s="558">
        <f>'Progetto del paramento slu'!$G$60*(sezione!$AM$28-C477)/C477</f>
        <v>-1.1865013392556251E-3</v>
      </c>
      <c r="M477" s="559">
        <f>'Progetto del paramento slu'!$G$60*(sezione!$AN$28-C477)/C477</f>
        <v>5.1006434529025013E-4</v>
      </c>
      <c r="N477" s="559">
        <f>'Progetto del paramento slu'!$G$60*(sezione!$AO$28-C477)/C477</f>
        <v>1.7439302976872502E-3</v>
      </c>
      <c r="O477" s="559">
        <f>'Progetto del paramento slu'!$G$60*(sezione!$AP$28-C477)/C477</f>
        <v>5.100795461628609E-4</v>
      </c>
      <c r="P477" s="553">
        <f>-'Progetto del paramento slu'!$G$47*'Progetto del paramento slu'!$G$41*IF(DATI!$G$218="dx",DATI!$E$61,DATI!$E$64*DATI!$E$63)*1000*C477*sezione!$AD$5</f>
        <v>-3198766.6021033777</v>
      </c>
      <c r="Q477" s="553">
        <f>'Foglio deposito bis'!$F$48*IF(ABS(K477)&lt;'Progetto del paramento slu'!$G$58,ABS(K477)*'Progetto del paramento slu'!$G$54,'Progetto del paramento slu'!$G$53)*IF(K477&lt;0,-1,1)</f>
        <v>0</v>
      </c>
      <c r="R477" s="553">
        <f>'Foglio deposito bis'!$F$49*IF(ABS(L477)&lt;'Progetto del paramento slu'!$G$58,ABS(L477)*'Progetto del paramento slu'!$G$54,'Progetto del paramento slu'!$G$53)*IF(L477&lt;0,-1,1)</f>
        <v>-127977.63358687735</v>
      </c>
      <c r="S477" s="553">
        <f>'Foglio deposito bis'!$F$50*IF(ABS(M477)&lt;'Progetto del paramento slu'!$G$58,ABS(M477)*'Progetto del paramento slu'!$G$54,'Progetto del paramento slu'!$G$53)*IF(M477&lt;0,-1,1)</f>
        <v>0</v>
      </c>
      <c r="T477" s="553">
        <f>'Foglio deposito bis'!$F$51*IF(ABS(N477)&lt;'Progetto del paramento slu'!$G$58,ABS(N477)*'Progetto del paramento slu'!$G$54,'Progetto del paramento slu'!$G$53)*IF(N477&lt;0,-1,1)</f>
        <v>221208.74266143373</v>
      </c>
      <c r="U477" s="553">
        <f>'Foglio deposito bis'!$F$52*IF(ABS(O477)&lt;'Progetto del paramento slu'!$G$58,ABS(O477)*'Progetto del paramento slu'!$G$54,'Progetto del paramento slu'!$G$53)*IF(O477&lt;0,-1,1)</f>
        <v>64701.011969135725</v>
      </c>
      <c r="V477" s="479">
        <f t="shared" si="39"/>
        <v>-3040834.4810596858</v>
      </c>
      <c r="W477" s="559"/>
      <c r="X477" s="559"/>
    </row>
    <row r="478" spans="1:24" x14ac:dyDescent="0.25">
      <c r="A478" s="553">
        <f t="shared" si="38"/>
        <v>3123072.6369711207</v>
      </c>
      <c r="B478" s="3">
        <f t="shared" si="36"/>
        <v>56.899999999999942</v>
      </c>
      <c r="C478" s="553">
        <f>'Foglio deposito bis'!$E$154/sezione!$B$247*B478</f>
        <v>230.98858023446439</v>
      </c>
      <c r="D478" s="611">
        <f>-'Progetto del paramento slu'!$G$47*'Progetto del paramento slu'!$G$41*IF(DATI!$G$218="dx",DATI!$E$61,DATI!$E$64*DATI!$E$63)*1000*C478^2*sezione!$AD$5*(1-sezione!$AD$6)</f>
        <v>-439224308.79860115</v>
      </c>
      <c r="E478" s="553">
        <f>-'Foglio deposito bis'!$F$48*(C478-sezione!$AL$28)*IF(ABS(K478)&lt;'Progetto del paramento slu'!$G$58,ABS(K478)*'Progetto del paramento slu'!$G$54,'Progetto del paramento slu'!$G$53)</f>
        <v>0</v>
      </c>
      <c r="F478" s="553">
        <f>-'Foglio deposito bis'!$F$49*(C478-sezione!$AM$28)*IF(ABS(L478)&lt;'Progetto del paramento slu'!$G$58,ABS(L478)*'Progetto del paramento slu'!$G$54,'Progetto del paramento slu'!$G$53)</f>
        <v>-10719905.301471949</v>
      </c>
      <c r="G478" s="553">
        <f>-'Foglio deposito bis'!$F$50*(C478-sezione!$AN$28)*IF(ABS(M478)&lt;'Progetto del paramento slu'!$G$58,ABS(M478)*'Progetto del paramento slu'!$G$54,'Progetto del paramento slu'!$G$53)</f>
        <v>0</v>
      </c>
      <c r="H478" s="553">
        <f>-'Foglio deposito bis'!$F$51*(C478-sezione!$AO$28)*IF(ABS(N478)&lt;'Progetto del paramento slu'!$G$58,ABS(N478)*'Progetto del paramento slu'!$G$54,'Progetto del paramento slu'!$G$53)</f>
        <v>22839925.92982563</v>
      </c>
      <c r="I478" s="479">
        <f>-'Foglio deposito bis'!$F$52*(C478-sezione!$AP$28)*IF(ABS(O478)&lt;'Progetto del paramento slu'!$G$58,ABS(O478)*'Progetto del paramento slu'!$G$54,'Progetto del paramento slu'!$G$53)</f>
        <v>1617775.1954501469</v>
      </c>
      <c r="J478" s="479">
        <f t="shared" si="37"/>
        <v>-425486512.97479737</v>
      </c>
      <c r="K478" s="558">
        <f>'Progetto del paramento slu'!$G$60*(sezione!$AL$28-C478)/C478</f>
        <v>-2.8939094311160609E-3</v>
      </c>
      <c r="L478" s="558">
        <f>'Progetto del paramento slu'!$G$60*(sezione!$AM$28-C478)/C478</f>
        <v>-1.2271603666852272E-3</v>
      </c>
      <c r="M478" s="559">
        <f>'Progetto del paramento slu'!$G$60*(sezione!$AN$28-C478)/C478</f>
        <v>4.3958869774560596E-4</v>
      </c>
      <c r="N478" s="559">
        <f>'Progetto del paramento slu'!$G$60*(sezione!$AO$28-C478)/C478</f>
        <v>1.6517698355134848E-3</v>
      </c>
      <c r="O478" s="559">
        <f>'Progetto del paramento slu'!$G$60*(sezione!$AP$28-C478)/C478</f>
        <v>4.3960363146755576E-4</v>
      </c>
      <c r="P478" s="553">
        <f>-'Progetto del paramento slu'!$G$47*'Progetto del paramento slu'!$G$41*IF(DATI!$G$218="dx",DATI!$E$61,DATI!$E$64*DATI!$E$63)*1000*C478*sezione!$AD$5</f>
        <v>-3255989.6182411844</v>
      </c>
      <c r="Q478" s="553">
        <f>'Foglio deposito bis'!$F$48*IF(ABS(K478)&lt;'Progetto del paramento slu'!$G$58,ABS(K478)*'Progetto del paramento slu'!$G$54,'Progetto del paramento slu'!$G$53)*IF(K478&lt;0,-1,1)</f>
        <v>0</v>
      </c>
      <c r="R478" s="553">
        <f>'Foglio deposito bis'!$F$49*IF(ABS(L478)&lt;'Progetto del paramento slu'!$G$58,ABS(L478)*'Progetto del paramento slu'!$G$54,'Progetto del paramento slu'!$G$53)*IF(L478&lt;0,-1,1)</f>
        <v>-132363.17108458377</v>
      </c>
      <c r="S478" s="553">
        <f>'Foglio deposito bis'!$F$50*IF(ABS(M478)&lt;'Progetto del paramento slu'!$G$58,ABS(M478)*'Progetto del paramento slu'!$G$54,'Progetto del paramento slu'!$G$53)*IF(M478&lt;0,-1,1)</f>
        <v>0</v>
      </c>
      <c r="T478" s="553">
        <f>'Foglio deposito bis'!$F$51*IF(ABS(N478)&lt;'Progetto del paramento slu'!$G$58,ABS(N478)*'Progetto del paramento slu'!$G$54,'Progetto del paramento slu'!$G$53)*IF(N478&lt;0,-1,1)</f>
        <v>209518.65390754744</v>
      </c>
      <c r="U478" s="553">
        <f>'Foglio deposito bis'!$F$52*IF(ABS(O478)&lt;'Progetto del paramento slu'!$G$58,ABS(O478)*'Progetto del paramento slu'!$G$54,'Progetto del paramento slu'!$G$53)*IF(O478&lt;0,-1,1)</f>
        <v>55761.498447100028</v>
      </c>
      <c r="V478" s="479">
        <f t="shared" si="39"/>
        <v>-3123072.6369711207</v>
      </c>
      <c r="W478" s="559"/>
      <c r="X478" s="559"/>
    </row>
    <row r="479" spans="1:24" x14ac:dyDescent="0.25">
      <c r="A479" s="553">
        <f t="shared" si="38"/>
        <v>3204446.71206136</v>
      </c>
      <c r="B479" s="3">
        <f t="shared" si="36"/>
        <v>57.899999999999942</v>
      </c>
      <c r="C479" s="553">
        <f>'Foglio deposito bis'!$E$154/sezione!$B$247*B479</f>
        <v>235.04813348990317</v>
      </c>
      <c r="D479" s="611">
        <f>-'Progetto del paramento slu'!$G$47*'Progetto del paramento slu'!$G$41*IF(DATI!$G$218="dx",DATI!$E$61,DATI!$E$64*DATI!$E$63)*1000*C479^2*sezione!$AD$5*(1-sezione!$AD$6)</f>
        <v>-454798436.210513</v>
      </c>
      <c r="E479" s="553">
        <f>-'Foglio deposito bis'!$F$48*(C479-sezione!$AL$28)*IF(ABS(K479)&lt;'Progetto del paramento slu'!$G$58,ABS(K479)*'Progetto del paramento slu'!$G$54,'Progetto del paramento slu'!$G$53)</f>
        <v>0</v>
      </c>
      <c r="F479" s="553">
        <f>-'Foglio deposito bis'!$F$49*(C479-sezione!$AM$28)*IF(ABS(L479)&lt;'Progetto del paramento slu'!$G$58,ABS(L479)*'Progetto del paramento slu'!$G$54,'Progetto del paramento slu'!$G$53)</f>
        <v>-11617338.768243253</v>
      </c>
      <c r="G479" s="553">
        <f>-'Foglio deposito bis'!$F$50*(C479-sezione!$AN$28)*IF(ABS(M479)&lt;'Progetto del paramento slu'!$G$58,ABS(M479)*'Progetto del paramento slu'!$G$54,'Progetto del paramento slu'!$G$53)</f>
        <v>0</v>
      </c>
      <c r="H479" s="553">
        <f>-'Foglio deposito bis'!$F$51*(C479-sezione!$AO$28)*IF(ABS(N479)&lt;'Progetto del paramento slu'!$G$58,ABS(N479)*'Progetto del paramento slu'!$G$54,'Progetto del paramento slu'!$G$53)</f>
        <v>20804857.011092726</v>
      </c>
      <c r="I479" s="479">
        <f>-'Foglio deposito bis'!$F$52*(C479-sezione!$AP$28)*IF(ABS(O479)&lt;'Progetto del paramento slu'!$G$58,ABS(O479)*'Progetto del paramento slu'!$G$54,'Progetto del paramento slu'!$G$53)</f>
        <v>1176047.2925337076</v>
      </c>
      <c r="J479" s="479">
        <f t="shared" si="37"/>
        <v>-444434870.67512983</v>
      </c>
      <c r="K479" s="558">
        <f>'Progetto del paramento slu'!$G$60*(sezione!$AL$28-C479)/C479</f>
        <v>-2.9043773165890133E-3</v>
      </c>
      <c r="L479" s="558">
        <f>'Progetto del paramento slu'!$G$60*(sezione!$AM$28-C479)/C479</f>
        <v>-1.2664149372087986E-3</v>
      </c>
      <c r="M479" s="559">
        <f>'Progetto del paramento slu'!$G$60*(sezione!$AN$28-C479)/C479</f>
        <v>3.7154744217141538E-4</v>
      </c>
      <c r="N479" s="559">
        <f>'Progetto del paramento slu'!$G$60*(sezione!$AO$28-C479)/C479</f>
        <v>1.5627928089933893E-3</v>
      </c>
      <c r="O479" s="559">
        <f>'Progetto del paramento slu'!$G$60*(sezione!$AP$28-C479)/C479</f>
        <v>3.7156211797070631E-4</v>
      </c>
      <c r="P479" s="553">
        <f>-'Progetto del paramento slu'!$G$47*'Progetto del paramento slu'!$G$41*IF(DATI!$G$218="dx",DATI!$E$61,DATI!$E$64*DATI!$E$63)*1000*C479*sezione!$AD$5</f>
        <v>-3313212.6343789911</v>
      </c>
      <c r="Q479" s="553">
        <f>'Foglio deposito bis'!$F$48*IF(ABS(K479)&lt;'Progetto del paramento slu'!$G$58,ABS(K479)*'Progetto del paramento slu'!$G$54,'Progetto del paramento slu'!$G$53)*IF(K479&lt;0,-1,1)</f>
        <v>0</v>
      </c>
      <c r="R479" s="553">
        <f>'Foglio deposito bis'!$F$49*IF(ABS(L479)&lt;'Progetto del paramento slu'!$G$58,ABS(L479)*'Progetto del paramento slu'!$G$54,'Progetto del paramento slu'!$G$53)*IF(L479&lt;0,-1,1)</f>
        <v>-136597.22196751623</v>
      </c>
      <c r="S479" s="553">
        <f>'Foglio deposito bis'!$F$50*IF(ABS(M479)&lt;'Progetto del paramento slu'!$G$58,ABS(M479)*'Progetto del paramento slu'!$G$54,'Progetto del paramento slu'!$G$53)*IF(M479&lt;0,-1,1)</f>
        <v>0</v>
      </c>
      <c r="T479" s="553">
        <f>'Foglio deposito bis'!$F$51*IF(ABS(N479)&lt;'Progetto del paramento slu'!$G$58,ABS(N479)*'Progetto del paramento slu'!$G$54,'Progetto del paramento slu'!$G$53)*IF(N479&lt;0,-1,1)</f>
        <v>198232.36787400258</v>
      </c>
      <c r="U479" s="553">
        <f>'Foglio deposito bis'!$F$52*IF(ABS(O479)&lt;'Progetto del paramento slu'!$G$58,ABS(O479)*'Progetto del paramento slu'!$G$54,'Progetto del paramento slu'!$G$53)*IF(O479&lt;0,-1,1)</f>
        <v>47130.776411144958</v>
      </c>
      <c r="V479" s="479">
        <f t="shared" si="39"/>
        <v>-3204446.71206136</v>
      </c>
      <c r="W479" s="559"/>
      <c r="X479" s="559"/>
    </row>
    <row r="480" spans="1:24" x14ac:dyDescent="0.25">
      <c r="A480" s="553">
        <f t="shared" si="38"/>
        <v>3285000.7172381035</v>
      </c>
      <c r="B480" s="3">
        <f t="shared" si="36"/>
        <v>58.899999999999942</v>
      </c>
      <c r="C480" s="553">
        <f>'Foglio deposito bis'!$E$154/sezione!$B$247*B480</f>
        <v>239.10768674534191</v>
      </c>
      <c r="D480" s="611">
        <f>-'Progetto del paramento slu'!$G$47*'Progetto del paramento slu'!$G$41*IF(DATI!$G$218="dx",DATI!$E$61,DATI!$E$64*DATI!$E$63)*1000*C480^2*sezione!$AD$5*(1-sezione!$AD$6)</f>
        <v>-470643889.88395625</v>
      </c>
      <c r="E480" s="553">
        <f>-'Foglio deposito bis'!$F$48*(C480-sezione!$AL$28)*IF(ABS(K480)&lt;'Progetto del paramento slu'!$G$58,ABS(K480)*'Progetto del paramento slu'!$G$54,'Progetto del paramento slu'!$G$53)</f>
        <v>0</v>
      </c>
      <c r="F480" s="553">
        <f>-'Foglio deposito bis'!$F$49*(C480-sezione!$AM$28)*IF(ABS(L480)&lt;'Progetto del paramento slu'!$G$58,ABS(L480)*'Progetto del paramento slu'!$G$54,'Progetto del paramento slu'!$G$53)</f>
        <v>-12536337.859206062</v>
      </c>
      <c r="G480" s="553">
        <f>-'Foglio deposito bis'!$F$50*(C480-sezione!$AN$28)*IF(ABS(M480)&lt;'Progetto del paramento slu'!$G$58,ABS(M480)*'Progetto del paramento slu'!$G$54,'Progetto del paramento slu'!$G$53)</f>
        <v>0</v>
      </c>
      <c r="H480" s="553">
        <f>-'Foglio deposito bis'!$F$51*(C480-sezione!$AO$28)*IF(ABS(N480)&lt;'Progetto del paramento slu'!$G$58,ABS(N480)*'Progetto del paramento slu'!$G$54,'Progetto del paramento slu'!$G$53)</f>
        <v>18900088.168808233</v>
      </c>
      <c r="I480" s="479">
        <f>-'Foglio deposito bis'!$F$52*(C480-sezione!$AP$28)*IF(ABS(O480)&lt;'Progetto del paramento slu'!$G$58,ABS(O480)*'Progetto del paramento slu'!$G$54,'Progetto del paramento slu'!$G$53)</f>
        <v>810516.20576629601</v>
      </c>
      <c r="J480" s="479">
        <f t="shared" si="37"/>
        <v>-463469623.36858779</v>
      </c>
      <c r="K480" s="558">
        <f>'Progetto del paramento slu'!$G$60*(sezione!$AL$28-C480)/C480</f>
        <v>-2.914489756035719E-3</v>
      </c>
      <c r="L480" s="558">
        <f>'Progetto del paramento slu'!$G$60*(sezione!$AM$28-C480)/C480</f>
        <v>-1.3043365851339466E-3</v>
      </c>
      <c r="M480" s="559">
        <f>'Progetto del paramento slu'!$G$60*(sezione!$AN$28-C480)/C480</f>
        <v>3.05816585767826E-4</v>
      </c>
      <c r="N480" s="559">
        <f>'Progetto del paramento slu'!$G$60*(sezione!$AO$28-C480)/C480</f>
        <v>1.4768370736963879E-3</v>
      </c>
      <c r="O480" s="559">
        <f>'Progetto del paramento slu'!$G$60*(sezione!$AP$28-C480)/C480</f>
        <v>3.0583101240244301E-4</v>
      </c>
      <c r="P480" s="553">
        <f>-'Progetto del paramento slu'!$G$47*'Progetto del paramento slu'!$G$41*IF(DATI!$G$218="dx",DATI!$E$61,DATI!$E$64*DATI!$E$63)*1000*C480*sezione!$AD$5</f>
        <v>-3370435.6505167978</v>
      </c>
      <c r="Q480" s="553">
        <f>'Foglio deposito bis'!$F$48*IF(ABS(K480)&lt;'Progetto del paramento slu'!$G$58,ABS(K480)*'Progetto del paramento slu'!$G$54,'Progetto del paramento slu'!$G$53)*IF(K480&lt;0,-1,1)</f>
        <v>0</v>
      </c>
      <c r="R480" s="553">
        <f>'Foglio deposito bis'!$F$49*IF(ABS(L480)&lt;'Progetto del paramento slu'!$G$58,ABS(L480)*'Progetto del paramento slu'!$G$54,'Progetto del paramento slu'!$G$53)*IF(L480&lt;0,-1,1)</f>
        <v>-140687.50202250533</v>
      </c>
      <c r="S480" s="553">
        <f>'Foglio deposito bis'!$F$50*IF(ABS(M480)&lt;'Progetto del paramento slu'!$G$58,ABS(M480)*'Progetto del paramento slu'!$G$54,'Progetto del paramento slu'!$G$53)*IF(M480&lt;0,-1,1)</f>
        <v>0</v>
      </c>
      <c r="T480" s="553">
        <f>'Foglio deposito bis'!$F$51*IF(ABS(N480)&lt;'Progetto del paramento slu'!$G$58,ABS(N480)*'Progetto del paramento slu'!$G$54,'Progetto del paramento slu'!$G$53)*IF(N480&lt;0,-1,1)</f>
        <v>187329.31735942367</v>
      </c>
      <c r="U480" s="553">
        <f>'Foglio deposito bis'!$F$52*IF(ABS(O480)&lt;'Progetto del paramento slu'!$G$58,ABS(O480)*'Progetto del paramento slu'!$G$54,'Progetto del paramento slu'!$G$53)*IF(O480&lt;0,-1,1)</f>
        <v>38793.117941775847</v>
      </c>
      <c r="V480" s="479">
        <f t="shared" si="39"/>
        <v>-3285000.7172381035</v>
      </c>
      <c r="W480" s="559"/>
      <c r="X480" s="559"/>
    </row>
    <row r="481" spans="1:24" x14ac:dyDescent="0.25">
      <c r="A481" s="553">
        <f t="shared" si="38"/>
        <v>3364775.7244502748</v>
      </c>
      <c r="B481" s="3">
        <f t="shared" si="36"/>
        <v>59.899999999999942</v>
      </c>
      <c r="C481" s="553">
        <f>'Foglio deposito bis'!$E$154/sezione!$B$247*B481</f>
        <v>243.16724000078065</v>
      </c>
      <c r="D481" s="611">
        <f>-'Progetto del paramento slu'!$G$47*'Progetto del paramento slu'!$G$41*IF(DATI!$G$218="dx",DATI!$E$61,DATI!$E$64*DATI!$E$63)*1000*C481^2*sezione!$AD$5*(1-sezione!$AD$6)</f>
        <v>-486760669.8189311</v>
      </c>
      <c r="E481" s="553">
        <f>-'Foglio deposito bis'!$F$48*(C481-sezione!$AL$28)*IF(ABS(K481)&lt;'Progetto del paramento slu'!$G$58,ABS(K481)*'Progetto del paramento slu'!$G$54,'Progetto del paramento slu'!$G$53)</f>
        <v>0</v>
      </c>
      <c r="F481" s="553">
        <f>-'Foglio deposito bis'!$F$49*(C481-sezione!$AM$28)*IF(ABS(L481)&lt;'Progetto del paramento slu'!$G$58,ABS(L481)*'Progetto del paramento slu'!$G$54,'Progetto del paramento slu'!$G$53)</f>
        <v>-13475822.493015224</v>
      </c>
      <c r="G481" s="553">
        <f>-'Foglio deposito bis'!$F$50*(C481-sezione!$AN$28)*IF(ABS(M481)&lt;'Progetto del paramento slu'!$G$58,ABS(M481)*'Progetto del paramento slu'!$G$54,'Progetto del paramento slu'!$G$53)</f>
        <v>0</v>
      </c>
      <c r="H481" s="553">
        <f>-'Foglio deposito bis'!$F$51*(C481-sezione!$AO$28)*IF(ABS(N481)&lt;'Progetto del paramento slu'!$G$58,ABS(N481)*'Progetto del paramento slu'!$G$54,'Progetto del paramento slu'!$G$53)</f>
        <v>17119093.522682562</v>
      </c>
      <c r="I481" s="479">
        <f>-'Foglio deposito bis'!$F$52*(C481-sezione!$AP$28)*IF(ABS(O481)&lt;'Progetto del paramento slu'!$G$58,ABS(O481)*'Progetto del paramento slu'!$G$54,'Progetto del paramento slu'!$G$53)</f>
        <v>517365.73400522023</v>
      </c>
      <c r="J481" s="479">
        <f t="shared" si="37"/>
        <v>-482600033.05525857</v>
      </c>
      <c r="K481" s="558">
        <f>'Progetto del paramento slu'!$G$60*(sezione!$AL$28-C481)/C481</f>
        <v>-2.9242645514274434E-3</v>
      </c>
      <c r="L481" s="558">
        <f>'Progetto del paramento slu'!$G$60*(sezione!$AM$28-C481)/C481</f>
        <v>-1.3409920678529124E-3</v>
      </c>
      <c r="M481" s="559">
        <f>'Progetto del paramento slu'!$G$60*(sezione!$AN$28-C481)/C481</f>
        <v>2.4228041572161852E-4</v>
      </c>
      <c r="N481" s="559">
        <f>'Progetto del paramento slu'!$G$60*(sezione!$AO$28-C481)/C481</f>
        <v>1.3937513128667318E-3</v>
      </c>
      <c r="O481" s="559">
        <f>'Progetto del paramento slu'!$G$60*(sezione!$AP$28-C481)/C481</f>
        <v>2.422946015109164E-4</v>
      </c>
      <c r="P481" s="553">
        <f>-'Progetto del paramento slu'!$G$47*'Progetto del paramento slu'!$G$41*IF(DATI!$G$218="dx",DATI!$E$61,DATI!$E$64*DATI!$E$63)*1000*C481*sezione!$AD$5</f>
        <v>-3427658.666654604</v>
      </c>
      <c r="Q481" s="553">
        <f>'Foglio deposito bis'!$F$48*IF(ABS(K481)&lt;'Progetto del paramento slu'!$G$58,ABS(K481)*'Progetto del paramento slu'!$G$54,'Progetto del paramento slu'!$G$53)*IF(K481&lt;0,-1,1)</f>
        <v>0</v>
      </c>
      <c r="R481" s="553">
        <f>'Foglio deposito bis'!$F$49*IF(ABS(L481)&lt;'Progetto del paramento slu'!$G$58,ABS(L481)*'Progetto del paramento slu'!$G$54,'Progetto del paramento slu'!$G$53)*IF(L481&lt;0,-1,1)</f>
        <v>-144641.21179185205</v>
      </c>
      <c r="S481" s="553">
        <f>'Foglio deposito bis'!$F$50*IF(ABS(M481)&lt;'Progetto del paramento slu'!$G$58,ABS(M481)*'Progetto del paramento slu'!$G$54,'Progetto del paramento slu'!$G$53)*IF(M481&lt;0,-1,1)</f>
        <v>0</v>
      </c>
      <c r="T481" s="553">
        <f>'Foglio deposito bis'!$F$51*IF(ABS(N481)&lt;'Progetto del paramento slu'!$G$58,ABS(N481)*'Progetto del paramento slu'!$G$54,'Progetto del paramento slu'!$G$53)*IF(N481&lt;0,-1,1)</f>
        <v>176790.30859825303</v>
      </c>
      <c r="U481" s="553">
        <f>'Foglio deposito bis'!$F$52*IF(ABS(O481)&lt;'Progetto del paramento slu'!$G$58,ABS(O481)*'Progetto del paramento slu'!$G$54,'Progetto del paramento slu'!$G$53)*IF(O481&lt;0,-1,1)</f>
        <v>30733.845397928249</v>
      </c>
      <c r="V481" s="479">
        <f t="shared" si="39"/>
        <v>-3364775.7244502748</v>
      </c>
      <c r="W481" s="559"/>
      <c r="X481" s="559"/>
    </row>
    <row r="482" spans="1:24" x14ac:dyDescent="0.25">
      <c r="A482" s="553">
        <f t="shared" si="38"/>
        <v>3443810.1079818429</v>
      </c>
      <c r="B482" s="3">
        <f t="shared" si="36"/>
        <v>60.899999999999942</v>
      </c>
      <c r="C482" s="553">
        <f>'Foglio deposito bis'!$E$154/sezione!$B$247*B482</f>
        <v>247.22679325621939</v>
      </c>
      <c r="D482" s="611">
        <f>-'Progetto del paramento slu'!$G$47*'Progetto del paramento slu'!$G$41*IF(DATI!$G$218="dx",DATI!$E$61,DATI!$E$64*DATI!$E$63)*1000*C482^2*sezione!$AD$5*(1-sezione!$AD$6)</f>
        <v>-503148776.01543748</v>
      </c>
      <c r="E482" s="553">
        <f>-'Foglio deposito bis'!$F$48*(C482-sezione!$AL$28)*IF(ABS(K482)&lt;'Progetto del paramento slu'!$G$58,ABS(K482)*'Progetto del paramento slu'!$G$54,'Progetto del paramento slu'!$G$53)</f>
        <v>0</v>
      </c>
      <c r="F482" s="553">
        <f>-'Foglio deposito bis'!$F$49*(C482-sezione!$AM$28)*IF(ABS(L482)&lt;'Progetto del paramento slu'!$G$58,ABS(L482)*'Progetto del paramento slu'!$G$54,'Progetto del paramento slu'!$G$53)</f>
        <v>-14434783.529629052</v>
      </c>
      <c r="G482" s="553">
        <f>-'Foglio deposito bis'!$F$50*(C482-sezione!$AN$28)*IF(ABS(M482)&lt;'Progetto del paramento slu'!$G$58,ABS(M482)*'Progetto del paramento slu'!$G$54,'Progetto del paramento slu'!$G$53)</f>
        <v>0</v>
      </c>
      <c r="H482" s="553">
        <f>-'Foglio deposito bis'!$F$51*(C482-sezione!$AO$28)*IF(ABS(N482)&lt;'Progetto del paramento slu'!$G$58,ABS(N482)*'Progetto del paramento slu'!$G$54,'Progetto del paramento slu'!$G$53)</f>
        <v>15455775.821673416</v>
      </c>
      <c r="I482" s="479">
        <f>-'Foglio deposito bis'!$F$52*(C482-sezione!$AP$28)*IF(ABS(O482)&lt;'Progetto del paramento slu'!$G$58,ABS(O482)*'Progetto del paramento slu'!$G$54,'Progetto del paramento slu'!$G$53)</f>
        <v>293030.32971322181</v>
      </c>
      <c r="J482" s="479">
        <f t="shared" si="37"/>
        <v>-501834753.39367992</v>
      </c>
      <c r="K482" s="558">
        <f>'Progetto del paramento slu'!$G$60*(sezione!$AL$28-C482)/C482</f>
        <v>-2.9337183354762536E-3</v>
      </c>
      <c r="L482" s="558">
        <f>'Progetto del paramento slu'!$G$60*(sezione!$AM$28-C482)/C482</f>
        <v>-1.3764437580359517E-3</v>
      </c>
      <c r="M482" s="559">
        <f>'Progetto del paramento slu'!$G$60*(sezione!$AN$28-C482)/C482</f>
        <v>1.8083081940435054E-4</v>
      </c>
      <c r="N482" s="559">
        <f>'Progetto del paramento slu'!$G$60*(sezione!$AO$28-C482)/C482</f>
        <v>1.3133941484518431E-3</v>
      </c>
      <c r="O482" s="559">
        <f>'Progetto del paramento slu'!$G$60*(sezione!$AP$28-C482)/C482</f>
        <v>1.8084477225786358E-4</v>
      </c>
      <c r="P482" s="553">
        <f>-'Progetto del paramento slu'!$G$47*'Progetto del paramento slu'!$G$41*IF(DATI!$G$218="dx",DATI!$E$61,DATI!$E$64*DATI!$E$63)*1000*C482*sezione!$AD$5</f>
        <v>-3484881.6827924098</v>
      </c>
      <c r="Q482" s="553">
        <f>'Foglio deposito bis'!$F$48*IF(ABS(K482)&lt;'Progetto del paramento slu'!$G$58,ABS(K482)*'Progetto del paramento slu'!$G$54,'Progetto del paramento slu'!$G$53)*IF(K482&lt;0,-1,1)</f>
        <v>0</v>
      </c>
      <c r="R482" s="553">
        <f>'Foglio deposito bis'!$F$49*IF(ABS(L482)&lt;'Progetto del paramento slu'!$G$58,ABS(L482)*'Progetto del paramento slu'!$G$54,'Progetto del paramento slu'!$G$53)*IF(L482&lt;0,-1,1)</f>
        <v>-148465.07887583436</v>
      </c>
      <c r="S482" s="553">
        <f>'Foglio deposito bis'!$F$50*IF(ABS(M482)&lt;'Progetto del paramento slu'!$G$58,ABS(M482)*'Progetto del paramento slu'!$G$54,'Progetto del paramento slu'!$G$53)*IF(M482&lt;0,-1,1)</f>
        <v>0</v>
      </c>
      <c r="T482" s="553">
        <f>'Foglio deposito bis'!$F$51*IF(ABS(N482)&lt;'Progetto del paramento slu'!$G$58,ABS(N482)*'Progetto del paramento slu'!$G$54,'Progetto del paramento slu'!$G$53)*IF(N482&lt;0,-1,1)</f>
        <v>166597.40849918989</v>
      </c>
      <c r="U482" s="553">
        <f>'Foglio deposito bis'!$F$52*IF(ABS(O482)&lt;'Progetto del paramento slu'!$G$58,ABS(O482)*'Progetto del paramento slu'!$G$54,'Progetto del paramento slu'!$G$53)*IF(O482&lt;0,-1,1)</f>
        <v>22939.245187211935</v>
      </c>
      <c r="V482" s="479">
        <f t="shared" si="39"/>
        <v>-3443810.1079818429</v>
      </c>
      <c r="W482" s="559"/>
      <c r="X482" s="559"/>
    </row>
    <row r="483" spans="1:24" x14ac:dyDescent="0.25">
      <c r="A483" s="553">
        <f t="shared" si="38"/>
        <v>3522139.7623569076</v>
      </c>
      <c r="B483" s="3">
        <f t="shared" si="36"/>
        <v>61.899999999999942</v>
      </c>
      <c r="C483" s="553">
        <f>'Foglio deposito bis'!$E$154/sezione!$B$247*B483</f>
        <v>251.28634651165814</v>
      </c>
      <c r="D483" s="611">
        <f>-'Progetto del paramento slu'!$G$47*'Progetto del paramento slu'!$G$41*IF(DATI!$G$218="dx",DATI!$E$61,DATI!$E$64*DATI!$E$63)*1000*C483^2*sezione!$AD$5*(1-sezione!$AD$6)</f>
        <v>-519808208.47347546</v>
      </c>
      <c r="E483" s="553">
        <f>-'Foglio deposito bis'!$F$48*(C483-sezione!$AL$28)*IF(ABS(K483)&lt;'Progetto del paramento slu'!$G$58,ABS(K483)*'Progetto del paramento slu'!$G$54,'Progetto del paramento slu'!$G$53)</f>
        <v>0</v>
      </c>
      <c r="F483" s="553">
        <f>-'Foglio deposito bis'!$F$49*(C483-sezione!$AM$28)*IF(ABS(L483)&lt;'Progetto del paramento slu'!$G$58,ABS(L483)*'Progetto del paramento slu'!$G$54,'Progetto del paramento slu'!$G$53)</f>
        <v>-15412277.039994003</v>
      </c>
      <c r="G483" s="553">
        <f>-'Foglio deposito bis'!$F$50*(C483-sezione!$AN$28)*IF(ABS(M483)&lt;'Progetto del paramento slu'!$G$58,ABS(M483)*'Progetto del paramento slu'!$G$54,'Progetto del paramento slu'!$G$53)</f>
        <v>0</v>
      </c>
      <c r="H483" s="553">
        <f>-'Foglio deposito bis'!$F$51*(C483-sezione!$AO$28)*IF(ABS(N483)&lt;'Progetto del paramento slu'!$G$58,ABS(N483)*'Progetto del paramento slu'!$G$54,'Progetto del paramento slu'!$G$53)</f>
        <v>13904431.821267866</v>
      </c>
      <c r="I483" s="479">
        <f>-'Foglio deposito bis'!$F$52*(C483-sezione!$AP$28)*IF(ABS(O483)&lt;'Progetto del paramento slu'!$G$58,ABS(O483)*'Progetto del paramento slu'!$G$54,'Progetto del paramento slu'!$G$53)</f>
        <v>134174.8523021389</v>
      </c>
      <c r="J483" s="479">
        <f t="shared" si="37"/>
        <v>-521181878.83989948</v>
      </c>
      <c r="K483" s="558">
        <f>'Progetto del paramento slu'!$G$60*(sezione!$AL$28-C483)/C483</f>
        <v>-2.9428666660824532E-3</v>
      </c>
      <c r="L483" s="558">
        <f>'Progetto del paramento slu'!$G$60*(sezione!$AM$28-C483)/C483</f>
        <v>-1.4107499978091996E-3</v>
      </c>
      <c r="M483" s="559">
        <f>'Progetto del paramento slu'!$G$60*(sezione!$AN$28-C483)/C483</f>
        <v>1.2136667046405407E-4</v>
      </c>
      <c r="N483" s="559">
        <f>'Progetto del paramento slu'!$G$60*(sezione!$AO$28-C483)/C483</f>
        <v>1.2356333382991477E-3</v>
      </c>
      <c r="O483" s="559">
        <f>'Progetto del paramento slu'!$G$60*(sezione!$AP$28-C483)/C483</f>
        <v>1.2138039790797884E-4</v>
      </c>
      <c r="P483" s="553">
        <f>-'Progetto del paramento slu'!$G$47*'Progetto del paramento slu'!$G$41*IF(DATI!$G$218="dx",DATI!$E$61,DATI!$E$64*DATI!$E$63)*1000*C483*sezione!$AD$5</f>
        <v>-3542104.6989302165</v>
      </c>
      <c r="Q483" s="553">
        <f>'Foglio deposito bis'!$F$48*IF(ABS(K483)&lt;'Progetto del paramento slu'!$G$58,ABS(K483)*'Progetto del paramento slu'!$G$54,'Progetto del paramento slu'!$G$53)*IF(K483&lt;0,-1,1)</f>
        <v>0</v>
      </c>
      <c r="R483" s="553">
        <f>'Foglio deposito bis'!$F$49*IF(ABS(L483)&lt;'Progetto del paramento slu'!$G$58,ABS(L483)*'Progetto del paramento slu'!$G$54,'Progetto del paramento slu'!$G$53)*IF(L483&lt;0,-1,1)</f>
        <v>-152165.39613480913</v>
      </c>
      <c r="S483" s="553">
        <f>'Foglio deposito bis'!$F$50*IF(ABS(M483)&lt;'Progetto del paramento slu'!$G$58,ABS(M483)*'Progetto del paramento slu'!$G$54,'Progetto del paramento slu'!$G$53)*IF(M483&lt;0,-1,1)</f>
        <v>0</v>
      </c>
      <c r="T483" s="553">
        <f>'Foglio deposito bis'!$F$51*IF(ABS(N483)&lt;'Progetto del paramento slu'!$G$58,ABS(N483)*'Progetto del paramento slu'!$G$54,'Progetto del paramento slu'!$G$53)*IF(N483&lt;0,-1,1)</f>
        <v>156733.84281366668</v>
      </c>
      <c r="U483" s="553">
        <f>'Foglio deposito bis'!$F$52*IF(ABS(O483)&lt;'Progetto del paramento slu'!$G$58,ABS(O483)*'Progetto del paramento slu'!$G$54,'Progetto del paramento slu'!$G$53)*IF(O483&lt;0,-1,1)</f>
        <v>15396.489894450913</v>
      </c>
      <c r="V483" s="479">
        <f t="shared" si="39"/>
        <v>-3522139.7623569076</v>
      </c>
      <c r="W483" s="559"/>
      <c r="X483" s="559"/>
    </row>
    <row r="484" spans="1:24" x14ac:dyDescent="0.25">
      <c r="A484" s="553">
        <f t="shared" si="38"/>
        <v>3599798.2994589289</v>
      </c>
      <c r="B484" s="3">
        <f t="shared" si="36"/>
        <v>62.899999999999942</v>
      </c>
      <c r="C484" s="553">
        <f>'Foglio deposito bis'!$E$154/sezione!$B$247*B484</f>
        <v>255.34589976709688</v>
      </c>
      <c r="D484" s="611">
        <f>-'Progetto del paramento slu'!$G$47*'Progetto del paramento slu'!$G$41*IF(DATI!$G$218="dx",DATI!$E$61,DATI!$E$64*DATI!$E$63)*1000*C484^2*sezione!$AD$5*(1-sezione!$AD$6)</f>
        <v>-536738967.19304502</v>
      </c>
      <c r="E484" s="553">
        <f>-'Foglio deposito bis'!$F$48*(C484-sezione!$AL$28)*IF(ABS(K484)&lt;'Progetto del paramento slu'!$G$58,ABS(K484)*'Progetto del paramento slu'!$G$54,'Progetto del paramento slu'!$G$53)</f>
        <v>0</v>
      </c>
      <c r="F484" s="553">
        <f>-'Foglio deposito bis'!$F$49*(C484-sezione!$AM$28)*IF(ABS(L484)&lt;'Progetto del paramento slu'!$G$58,ABS(L484)*'Progetto del paramento slu'!$G$54,'Progetto del paramento slu'!$G$53)</f>
        <v>-16407419.122341348</v>
      </c>
      <c r="G484" s="553">
        <f>-'Foglio deposito bis'!$F$50*(C484-sezione!$AN$28)*IF(ABS(M484)&lt;'Progetto del paramento slu'!$G$58,ABS(M484)*'Progetto del paramento slu'!$G$54,'Progetto del paramento slu'!$G$53)</f>
        <v>0</v>
      </c>
      <c r="H484" s="553">
        <f>-'Foglio deposito bis'!$F$51*(C484-sezione!$AO$28)*IF(ABS(N484)&lt;'Progetto del paramento slu'!$G$58,ABS(N484)*'Progetto del paramento slu'!$G$54,'Progetto del paramento slu'!$G$53)</f>
        <v>12459720.963408515</v>
      </c>
      <c r="I484" s="479">
        <f>-'Foglio deposito bis'!$F$52*(C484-sezione!$AP$28)*IF(ABS(O484)&lt;'Progetto del paramento slu'!$G$58,ABS(O484)*'Progetto del paramento slu'!$G$54,'Progetto del paramento slu'!$G$53)</f>
        <v>37676.252795139313</v>
      </c>
      <c r="J484" s="479">
        <f t="shared" si="37"/>
        <v>-540648989.09918284</v>
      </c>
      <c r="K484" s="558">
        <f>'Progetto del paramento slu'!$G$60*(sezione!$AL$28-C484)/C484</f>
        <v>-2.9517241117727163E-3</v>
      </c>
      <c r="L484" s="558">
        <f>'Progetto del paramento slu'!$G$60*(sezione!$AM$28-C484)/C484</f>
        <v>-1.4439654191476861E-3</v>
      </c>
      <c r="M484" s="559">
        <f>'Progetto del paramento slu'!$G$60*(sezione!$AN$28-C484)/C484</f>
        <v>6.3793273477344141E-5</v>
      </c>
      <c r="N484" s="559">
        <f>'Progetto del paramento slu'!$G$60*(sezione!$AO$28-C484)/C484</f>
        <v>1.1603450499319116E-3</v>
      </c>
      <c r="O484" s="559">
        <f>'Progetto del paramento slu'!$G$60*(sezione!$AP$28-C484)/C484</f>
        <v>6.3806782678917166E-5</v>
      </c>
      <c r="P484" s="553">
        <f>-'Progetto del paramento slu'!$G$47*'Progetto del paramento slu'!$G$41*IF(DATI!$G$218="dx",DATI!$E$61,DATI!$E$64*DATI!$E$63)*1000*C484*sezione!$AD$5</f>
        <v>-3599327.7150680232</v>
      </c>
      <c r="Q484" s="553">
        <f>'Foglio deposito bis'!$F$48*IF(ABS(K484)&lt;'Progetto del paramento slu'!$G$58,ABS(K484)*'Progetto del paramento slu'!$G$54,'Progetto del paramento slu'!$G$53)*IF(K484&lt;0,-1,1)</f>
        <v>0</v>
      </c>
      <c r="R484" s="553">
        <f>'Foglio deposito bis'!$F$49*IF(ABS(L484)&lt;'Progetto del paramento slu'!$G$58,ABS(L484)*'Progetto del paramento slu'!$G$54,'Progetto del paramento slu'!$G$53)*IF(L484&lt;0,-1,1)</f>
        <v>-155748.05624723464</v>
      </c>
      <c r="S484" s="553">
        <f>'Foglio deposito bis'!$F$50*IF(ABS(M484)&lt;'Progetto del paramento slu'!$G$58,ABS(M484)*'Progetto del paramento slu'!$G$54,'Progetto del paramento slu'!$G$53)*IF(M484&lt;0,-1,1)</f>
        <v>0</v>
      </c>
      <c r="T484" s="553">
        <f>'Foglio deposito bis'!$F$51*IF(ABS(N484)&lt;'Progetto del paramento slu'!$G$58,ABS(N484)*'Progetto del paramento slu'!$G$54,'Progetto del paramento slu'!$G$53)*IF(N484&lt;0,-1,1)</f>
        <v>147183.90401798525</v>
      </c>
      <c r="U484" s="553">
        <f>'Foglio deposito bis'!$F$52*IF(ABS(O484)&lt;'Progetto del paramento slu'!$G$58,ABS(O484)*'Progetto del paramento slu'!$G$54,'Progetto del paramento slu'!$G$53)*IF(O484&lt;0,-1,1)</f>
        <v>8093.5678383436598</v>
      </c>
      <c r="V484" s="479">
        <f t="shared" si="39"/>
        <v>-3599798.2994589289</v>
      </c>
      <c r="W484" s="559"/>
      <c r="X484" s="559"/>
    </row>
    <row r="485" spans="1:24" x14ac:dyDescent="0.25">
      <c r="A485" s="553">
        <f t="shared" si="38"/>
        <v>3676817.2271410995</v>
      </c>
      <c r="B485" s="3">
        <f t="shared" si="36"/>
        <v>63.899999999999942</v>
      </c>
      <c r="C485" s="553">
        <f>'Foglio deposito bis'!$E$154/sezione!$B$247*B485</f>
        <v>259.40545302253565</v>
      </c>
      <c r="D485" s="611">
        <f>-'Progetto del paramento slu'!$G$47*'Progetto del paramento slu'!$G$41*IF(DATI!$G$218="dx",DATI!$E$61,DATI!$E$64*DATI!$E$63)*1000*C485^2*sezione!$AD$5*(1-sezione!$AD$6)</f>
        <v>-553941052.17414618</v>
      </c>
      <c r="E485" s="553">
        <f>-'Foglio deposito bis'!$F$48*(C485-sezione!$AL$28)*IF(ABS(K485)&lt;'Progetto del paramento slu'!$G$58,ABS(K485)*'Progetto del paramento slu'!$G$54,'Progetto del paramento slu'!$G$53)</f>
        <v>0</v>
      </c>
      <c r="F485" s="553">
        <f>-'Foglio deposito bis'!$F$49*(C485-sezione!$AM$28)*IF(ABS(L485)&lt;'Progetto del paramento slu'!$G$58,ABS(L485)*'Progetto del paramento slu'!$G$54,'Progetto del paramento slu'!$G$53)</f>
        <v>-17419381.205216516</v>
      </c>
      <c r="G485" s="553">
        <f>-'Foglio deposito bis'!$F$50*(C485-sezione!$AN$28)*IF(ABS(M485)&lt;'Progetto del paramento slu'!$G$58,ABS(M485)*'Progetto del paramento slu'!$G$54,'Progetto del paramento slu'!$G$53)</f>
        <v>0</v>
      </c>
      <c r="H485" s="553">
        <f>-'Foglio deposito bis'!$F$51*(C485-sezione!$AO$28)*IF(ABS(N485)&lt;'Progetto del paramento slu'!$G$58,ABS(N485)*'Progetto del paramento slu'!$G$54,'Progetto del paramento slu'!$G$53)</f>
        <v>11116636.997271588</v>
      </c>
      <c r="I485" s="479">
        <f>-'Foglio deposito bis'!$F$52*(C485-sezione!$AP$28)*IF(ABS(O485)&lt;'Progetto del paramento slu'!$G$58,ABS(O485)*'Progetto del paramento slu'!$G$54,'Progetto del paramento slu'!$G$53)</f>
        <v>606.9782389795962</v>
      </c>
      <c r="J485" s="479">
        <f t="shared" si="37"/>
        <v>-560243189.40385222</v>
      </c>
      <c r="K485" s="558">
        <f>'Progetto del paramento slu'!$G$60*(sezione!$AL$28-C485)/C485</f>
        <v>-2.9603043291158665E-3</v>
      </c>
      <c r="L485" s="558">
        <f>'Progetto del paramento slu'!$G$60*(sezione!$AM$28-C485)/C485</f>
        <v>-1.4761412341844987E-3</v>
      </c>
      <c r="M485" s="559">
        <f>'Progetto del paramento slu'!$G$60*(sezione!$AN$28-C485)/C485</f>
        <v>8.0218607468688677E-6</v>
      </c>
      <c r="N485" s="559">
        <f>'Progetto del paramento slu'!$G$60*(sezione!$AO$28-C485)/C485</f>
        <v>1.0874132025151361E-3</v>
      </c>
      <c r="O485" s="559">
        <f>'Progetto del paramento slu'!$G$60*(sezione!$AP$28-C485)/C485</f>
        <v>8.0351585368366789E-6</v>
      </c>
      <c r="P485" s="553">
        <f>-'Progetto del paramento slu'!$G$47*'Progetto del paramento slu'!$G$41*IF(DATI!$G$218="dx",DATI!$E$61,DATI!$E$64*DATI!$E$63)*1000*C485*sezione!$AD$5</f>
        <v>-3656550.7312058299</v>
      </c>
      <c r="Q485" s="553">
        <f>'Foglio deposito bis'!$F$48*IF(ABS(K485)&lt;'Progetto del paramento slu'!$G$58,ABS(K485)*'Progetto del paramento slu'!$G$54,'Progetto del paramento slu'!$G$53)*IF(K485&lt;0,-1,1)</f>
        <v>0</v>
      </c>
      <c r="R485" s="553">
        <f>'Foglio deposito bis'!$F$49*IF(ABS(L485)&lt;'Progetto del paramento slu'!$G$58,ABS(L485)*'Progetto del paramento slu'!$G$54,'Progetto del paramento slu'!$G$53)*IF(L485&lt;0,-1,1)</f>
        <v>-159218.58302280804</v>
      </c>
      <c r="S485" s="553">
        <f>'Foglio deposito bis'!$F$50*IF(ABS(M485)&lt;'Progetto del paramento slu'!$G$58,ABS(M485)*'Progetto del paramento slu'!$G$54,'Progetto del paramento slu'!$G$53)*IF(M485&lt;0,-1,1)</f>
        <v>0</v>
      </c>
      <c r="T485" s="553">
        <f>'Foglio deposito bis'!$F$51*IF(ABS(N485)&lt;'Progetto del paramento slu'!$G$58,ABS(N485)*'Progetto del paramento slu'!$G$54,'Progetto del paramento slu'!$G$53)*IF(N485&lt;0,-1,1)</f>
        <v>137932.86784501679</v>
      </c>
      <c r="U485" s="553">
        <f>'Foglio deposito bis'!$F$52*IF(ABS(O485)&lt;'Progetto del paramento slu'!$G$58,ABS(O485)*'Progetto del paramento slu'!$G$54,'Progetto del paramento slu'!$G$53)*IF(O485&lt;0,-1,1)</f>
        <v>1019.2192425214049</v>
      </c>
      <c r="V485" s="479">
        <f t="shared" si="39"/>
        <v>-3676817.2271410995</v>
      </c>
      <c r="W485" s="559"/>
      <c r="X485" s="559"/>
    </row>
    <row r="486" spans="1:24" x14ac:dyDescent="0.25">
      <c r="A486" s="553">
        <f t="shared" si="38"/>
        <v>3753226.1113242139</v>
      </c>
      <c r="B486" s="3">
        <f t="shared" si="36"/>
        <v>64.899999999999949</v>
      </c>
      <c r="C486" s="553">
        <f>'Foglio deposito bis'!$E$154/sezione!$B$247*B486</f>
        <v>263.4650062779744</v>
      </c>
      <c r="D486" s="611">
        <f>-'Progetto del paramento slu'!$G$47*'Progetto del paramento slu'!$G$41*IF(DATI!$G$218="dx",DATI!$E$61,DATI!$E$64*DATI!$E$63)*1000*C486^2*sezione!$AD$5*(1-sezione!$AD$6)</f>
        <v>-571414463.4167788</v>
      </c>
      <c r="E486" s="553">
        <f>-'Foglio deposito bis'!$F$48*(C486-sezione!$AL$28)*IF(ABS(K486)&lt;'Progetto del paramento slu'!$G$58,ABS(K486)*'Progetto del paramento slu'!$G$54,'Progetto del paramento slu'!$G$53)</f>
        <v>0</v>
      </c>
      <c r="F486" s="553">
        <f>-'Foglio deposito bis'!$F$49*(C486-sezione!$AM$28)*IF(ABS(L486)&lt;'Progetto del paramento slu'!$G$58,ABS(L486)*'Progetto del paramento slu'!$G$54,'Progetto del paramento slu'!$G$53)</f>
        <v>-18447385.784743022</v>
      </c>
      <c r="G486" s="553">
        <f>-'Foglio deposito bis'!$F$50*(C486-sezione!$AN$28)*IF(ABS(M486)&lt;'Progetto del paramento slu'!$G$58,ABS(M486)*'Progetto del paramento slu'!$G$54,'Progetto del paramento slu'!$G$53)</f>
        <v>0</v>
      </c>
      <c r="H486" s="553">
        <f>-'Foglio deposito bis'!$F$51*(C486-sezione!$AO$28)*IF(ABS(N486)&lt;'Progetto del paramento slu'!$G$58,ABS(N486)*'Progetto del paramento slu'!$G$54,'Progetto del paramento slu'!$G$53)</f>
        <v>9870482.22370198</v>
      </c>
      <c r="I486" s="479">
        <f>-'Foglio deposito bis'!$F$52*(C486-sezione!$AP$28)*IF(ABS(O486)&lt;'Progetto del paramento slu'!$G$58,ABS(O486)*'Progetto del paramento slu'!$G$54,'Progetto del paramento slu'!$G$53)</f>
        <v>-20219.910377072898</v>
      </c>
      <c r="J486" s="479">
        <f t="shared" si="37"/>
        <v>-580011586.88819695</v>
      </c>
      <c r="K486" s="558">
        <f>'Progetto del paramento slu'!$G$60*(sezione!$AL$28-C486)/C486</f>
        <v>-2.9686201329815693E-3</v>
      </c>
      <c r="L486" s="558">
        <f>'Progetto del paramento slu'!$G$60*(sezione!$AM$28-C486)/C486</f>
        <v>-1.5073254986808855E-3</v>
      </c>
      <c r="M486" s="559">
        <f>'Progetto del paramento slu'!$G$60*(sezione!$AN$28-C486)/C486</f>
        <v>-4.6030864380201541E-5</v>
      </c>
      <c r="N486" s="559">
        <f>'Progetto del paramento slu'!$G$60*(sezione!$AO$28-C486)/C486</f>
        <v>1.0167288696566596E-3</v>
      </c>
      <c r="O486" s="559">
        <f>'Progetto del paramento slu'!$G$60*(sezione!$AP$28-C486)/C486</f>
        <v>-4.60177714868434E-5</v>
      </c>
      <c r="P486" s="553">
        <f>-'Progetto del paramento slu'!$G$47*'Progetto del paramento slu'!$G$41*IF(DATI!$G$218="dx",DATI!$E$61,DATI!$E$64*DATI!$E$63)*1000*C486*sezione!$AD$5</f>
        <v>-3713773.7473436361</v>
      </c>
      <c r="Q486" s="553">
        <f>'Foglio deposito bis'!$F$48*IF(ABS(K486)&lt;'Progetto del paramento slu'!$G$58,ABS(K486)*'Progetto del paramento slu'!$G$54,'Progetto del paramento slu'!$G$53)*IF(K486&lt;0,-1,1)</f>
        <v>0</v>
      </c>
      <c r="R486" s="553">
        <f>'Foglio deposito bis'!$F$49*IF(ABS(L486)&lt;'Progetto del paramento slu'!$G$58,ABS(L486)*'Progetto del paramento slu'!$G$54,'Progetto del paramento slu'!$G$53)*IF(L486&lt;0,-1,1)</f>
        <v>-162582.15982070583</v>
      </c>
      <c r="S486" s="553">
        <f>'Foglio deposito bis'!$F$50*IF(ABS(M486)&lt;'Progetto del paramento slu'!$G$58,ABS(M486)*'Progetto del paramento slu'!$G$54,'Progetto del paramento slu'!$G$53)*IF(M486&lt;0,-1,1)</f>
        <v>0</v>
      </c>
      <c r="T486" s="553">
        <f>'Foglio deposito bis'!$F$51*IF(ABS(N486)&lt;'Progetto del paramento slu'!$G$58,ABS(N486)*'Progetto del paramento slu'!$G$54,'Progetto del paramento slu'!$G$53)*IF(N486&lt;0,-1,1)</f>
        <v>128966.91753254049</v>
      </c>
      <c r="U486" s="553">
        <f>'Foglio deposito bis'!$F$52*IF(ABS(O486)&lt;'Progetto del paramento slu'!$G$58,ABS(O486)*'Progetto del paramento slu'!$G$54,'Progetto del paramento slu'!$G$53)*IF(O486&lt;0,-1,1)</f>
        <v>-5837.1216924125956</v>
      </c>
      <c r="V486" s="479">
        <f t="shared" si="39"/>
        <v>-3753226.1113242139</v>
      </c>
      <c r="W486" s="559"/>
      <c r="X486" s="559"/>
    </row>
    <row r="487" spans="1:24" x14ac:dyDescent="0.25">
      <c r="A487" s="553">
        <f t="shared" si="38"/>
        <v>3829052.7233359995</v>
      </c>
      <c r="B487" s="3">
        <f t="shared" si="36"/>
        <v>65.899999999999949</v>
      </c>
      <c r="C487" s="553">
        <f>'Foglio deposito bis'!$E$154/sezione!$B$247*B487</f>
        <v>267.52455953341314</v>
      </c>
      <c r="D487" s="611">
        <f>-'Progetto del paramento slu'!$G$47*'Progetto del paramento slu'!$G$41*IF(DATI!$G$218="dx",DATI!$E$61,DATI!$E$64*DATI!$E$63)*1000*C487^2*sezione!$AD$5*(1-sezione!$AD$6)</f>
        <v>-589159200.9209429</v>
      </c>
      <c r="E487" s="553">
        <f>-'Foglio deposito bis'!$F$48*(C487-sezione!$AL$28)*IF(ABS(K487)&lt;'Progetto del paramento slu'!$G$58,ABS(K487)*'Progetto del paramento slu'!$G$54,'Progetto del paramento slu'!$G$53)</f>
        <v>0</v>
      </c>
      <c r="F487" s="553">
        <f>-'Foglio deposito bis'!$F$49*(C487-sezione!$AM$28)*IF(ABS(L487)&lt;'Progetto del paramento slu'!$G$58,ABS(L487)*'Progetto del paramento slu'!$G$54,'Progetto del paramento slu'!$G$53)</f>
        <v>-19490702.549995918</v>
      </c>
      <c r="G487" s="553">
        <f>-'Foglio deposito bis'!$F$50*(C487-sezione!$AN$28)*IF(ABS(M487)&lt;'Progetto del paramento slu'!$G$58,ABS(M487)*'Progetto del paramento slu'!$G$54,'Progetto del paramento slu'!$G$53)</f>
        <v>0</v>
      </c>
      <c r="H487" s="553">
        <f>-'Foglio deposito bis'!$F$51*(C487-sezione!$AO$28)*IF(ABS(N487)&lt;'Progetto del paramento slu'!$G$58,ABS(N487)*'Progetto del paramento slu'!$G$54,'Progetto del paramento slu'!$G$53)</f>
        <v>8716844.0846161935</v>
      </c>
      <c r="I487" s="479">
        <f>-'Foglio deposito bis'!$F$52*(C487-sezione!$AP$28)*IF(ABS(O487)&lt;'Progetto del paramento slu'!$G$58,ABS(O487)*'Progetto del paramento slu'!$G$54,'Progetto del paramento slu'!$G$53)</f>
        <v>-93934.675611804822</v>
      </c>
      <c r="J487" s="479">
        <f t="shared" si="37"/>
        <v>-600026994.06193447</v>
      </c>
      <c r="K487" s="558">
        <f>'Progetto del paramento slu'!$G$60*(sezione!$AL$28-C487)/C487</f>
        <v>-2.9766835604021834E-3</v>
      </c>
      <c r="L487" s="558">
        <f>'Progetto del paramento slu'!$G$60*(sezione!$AM$28-C487)/C487</f>
        <v>-1.5375633515081861E-3</v>
      </c>
      <c r="M487" s="559">
        <f>'Progetto del paramento slu'!$G$60*(sezione!$AN$28-C487)/C487</f>
        <v>-9.8443142614189385E-5</v>
      </c>
      <c r="N487" s="559">
        <f>'Progetto del paramento slu'!$G$60*(sezione!$AO$28-C487)/C487</f>
        <v>9.481897365814446E-4</v>
      </c>
      <c r="O487" s="559">
        <f>'Progetto del paramento slu'!$G$60*(sezione!$AP$28-C487)/C487</f>
        <v>-9.8430248399030922E-5</v>
      </c>
      <c r="P487" s="553">
        <f>-'Progetto del paramento slu'!$G$47*'Progetto del paramento slu'!$G$41*IF(DATI!$G$218="dx",DATI!$E$61,DATI!$E$64*DATI!$E$63)*1000*C487*sezione!$AD$5</f>
        <v>-3770996.7634814428</v>
      </c>
      <c r="Q487" s="553">
        <f>'Foglio deposito bis'!$F$48*IF(ABS(K487)&lt;'Progetto del paramento slu'!$G$58,ABS(K487)*'Progetto del paramento slu'!$G$54,'Progetto del paramento slu'!$G$53)*IF(K487&lt;0,-1,1)</f>
        <v>0</v>
      </c>
      <c r="R487" s="553">
        <f>'Foglio deposito bis'!$F$49*IF(ABS(L487)&lt;'Progetto del paramento slu'!$G$58,ABS(L487)*'Progetto del paramento slu'!$G$54,'Progetto del paramento slu'!$G$53)*IF(L487&lt;0,-1,1)</f>
        <v>-165843.65538042763</v>
      </c>
      <c r="S487" s="553">
        <f>'Foglio deposito bis'!$F$50*IF(ABS(M487)&lt;'Progetto del paramento slu'!$G$58,ABS(M487)*'Progetto del paramento slu'!$G$54,'Progetto del paramento slu'!$G$53)*IF(M487&lt;0,-1,1)</f>
        <v>0</v>
      </c>
      <c r="T487" s="553">
        <f>'Foglio deposito bis'!$F$51*IF(ABS(N487)&lt;'Progetto del paramento slu'!$G$58,ABS(N487)*'Progetto del paramento slu'!$G$54,'Progetto del paramento slu'!$G$53)*IF(N487&lt;0,-1,1)</f>
        <v>120273.074968546</v>
      </c>
      <c r="U487" s="553">
        <f>'Foglio deposito bis'!$F$52*IF(ABS(O487)&lt;'Progetto del paramento slu'!$G$58,ABS(O487)*'Progetto del paramento slu'!$G$54,'Progetto del paramento slu'!$G$53)*IF(O487&lt;0,-1,1)</f>
        <v>-12485.379442674854</v>
      </c>
      <c r="V487" s="479">
        <f t="shared" si="39"/>
        <v>-3829052.7233359995</v>
      </c>
      <c r="W487" s="559"/>
      <c r="X487" s="559"/>
    </row>
    <row r="488" spans="1:24" x14ac:dyDescent="0.25">
      <c r="A488" s="553">
        <f t="shared" si="38"/>
        <v>3904323.1740361564</v>
      </c>
      <c r="B488" s="3">
        <f t="shared" si="36"/>
        <v>66.899999999999949</v>
      </c>
      <c r="C488" s="553">
        <f>'Foglio deposito bis'!$E$154/sezione!$B$247*B488</f>
        <v>271.58411278885188</v>
      </c>
      <c r="D488" s="611">
        <f>-'Progetto del paramento slu'!$G$47*'Progetto del paramento slu'!$G$41*IF(DATI!$G$218="dx",DATI!$E$61,DATI!$E$64*DATI!$E$63)*1000*C488^2*sezione!$AD$5*(1-sezione!$AD$6)</f>
        <v>-607175264.68663883</v>
      </c>
      <c r="E488" s="553">
        <f>-'Foglio deposito bis'!$F$48*(C488-sezione!$AL$28)*IF(ABS(K488)&lt;'Progetto del paramento slu'!$G$58,ABS(K488)*'Progetto del paramento slu'!$G$54,'Progetto del paramento slu'!$G$53)</f>
        <v>0</v>
      </c>
      <c r="F488" s="553">
        <f>-'Foglio deposito bis'!$F$49*(C488-sezione!$AM$28)*IF(ABS(L488)&lt;'Progetto del paramento slu'!$G$58,ABS(L488)*'Progetto del paramento slu'!$G$54,'Progetto del paramento slu'!$G$53)</f>
        <v>-20548644.855875373</v>
      </c>
      <c r="G488" s="553">
        <f>-'Foglio deposito bis'!$F$50*(C488-sezione!$AN$28)*IF(ABS(M488)&lt;'Progetto del paramento slu'!$G$58,ABS(M488)*'Progetto del paramento slu'!$G$54,'Progetto del paramento slu'!$G$53)</f>
        <v>0</v>
      </c>
      <c r="H488" s="553">
        <f>-'Foglio deposito bis'!$F$51*(C488-sezione!$AO$28)*IF(ABS(N488)&lt;'Progetto del paramento slu'!$G$58,ABS(N488)*'Progetto del paramento slu'!$G$54,'Progetto del paramento slu'!$G$53)</f>
        <v>7651573.8520104736</v>
      </c>
      <c r="I488" s="479">
        <f>-'Foglio deposito bis'!$F$52*(C488-sezione!$AP$28)*IF(ABS(O488)&lt;'Progetto del paramento slu'!$G$58,ABS(O488)*'Progetto del paramento slu'!$G$54,'Progetto del paramento slu'!$G$53)</f>
        <v>-219325.18277292256</v>
      </c>
      <c r="J488" s="479">
        <f t="shared" si="37"/>
        <v>-620291660.87327659</v>
      </c>
      <c r="K488" s="558">
        <f>'Progetto del paramento slu'!$G$60*(sezione!$AL$28-C488)/C488</f>
        <v>-2.9845059287070832E-3</v>
      </c>
      <c r="L488" s="558">
        <f>'Progetto del paramento slu'!$G$60*(sezione!$AM$28-C488)/C488</f>
        <v>-1.5668972326515617E-3</v>
      </c>
      <c r="M488" s="559">
        <f>'Progetto del paramento slu'!$G$60*(sezione!$AN$28-C488)/C488</f>
        <v>-1.4928853659604006E-4</v>
      </c>
      <c r="N488" s="559">
        <f>'Progetto del paramento slu'!$G$60*(sezione!$AO$28-C488)/C488</f>
        <v>8.8169960598979372E-4</v>
      </c>
      <c r="O488" s="559">
        <f>'Progetto del paramento slu'!$G$60*(sezione!$AP$28-C488)/C488</f>
        <v>-1.4927583511952376E-4</v>
      </c>
      <c r="P488" s="553">
        <f>-'Progetto del paramento slu'!$G$47*'Progetto del paramento slu'!$G$41*IF(DATI!$G$218="dx",DATI!$E$61,DATI!$E$64*DATI!$E$63)*1000*C488*sezione!$AD$5</f>
        <v>-3828219.7796192495</v>
      </c>
      <c r="Q488" s="553">
        <f>'Foglio deposito bis'!$F$48*IF(ABS(K488)&lt;'Progetto del paramento slu'!$G$58,ABS(K488)*'Progetto del paramento slu'!$G$54,'Progetto del paramento slu'!$G$53)*IF(K488&lt;0,-1,1)</f>
        <v>0</v>
      </c>
      <c r="R488" s="553">
        <f>'Foglio deposito bis'!$F$49*IF(ABS(L488)&lt;'Progetto del paramento slu'!$G$58,ABS(L488)*'Progetto del paramento slu'!$G$54,'Progetto del paramento slu'!$G$53)*IF(L488&lt;0,-1,1)</f>
        <v>-169007.64733597243</v>
      </c>
      <c r="S488" s="553">
        <f>'Foglio deposito bis'!$F$50*IF(ABS(M488)&lt;'Progetto del paramento slu'!$G$58,ABS(M488)*'Progetto del paramento slu'!$G$54,'Progetto del paramento slu'!$G$53)*IF(M488&lt;0,-1,1)</f>
        <v>0</v>
      </c>
      <c r="T488" s="553">
        <f>'Foglio deposito bis'!$F$51*IF(ABS(N488)&lt;'Progetto del paramento slu'!$G$58,ABS(N488)*'Progetto del paramento slu'!$G$54,'Progetto del paramento slu'!$G$53)*IF(N488&lt;0,-1,1)</f>
        <v>111839.13801184585</v>
      </c>
      <c r="U488" s="553">
        <f>'Foglio deposito bis'!$F$52*IF(ABS(O488)&lt;'Progetto del paramento slu'!$G$58,ABS(O488)*'Progetto del paramento slu'!$G$54,'Progetto del paramento slu'!$G$53)*IF(O488&lt;0,-1,1)</f>
        <v>-18934.885092779794</v>
      </c>
      <c r="V488" s="479">
        <f t="shared" si="39"/>
        <v>-3904323.1740361564</v>
      </c>
      <c r="W488" s="559"/>
      <c r="X488" s="559"/>
    </row>
    <row r="489" spans="1:24" x14ac:dyDescent="0.25">
      <c r="A489" s="553">
        <f t="shared" si="38"/>
        <v>3979062.0360894096</v>
      </c>
      <c r="B489" s="3">
        <f t="shared" si="36"/>
        <v>67.899999999999949</v>
      </c>
      <c r="C489" s="553">
        <f>'Foglio deposito bis'!$E$154/sezione!$B$247*B489</f>
        <v>275.64366604429063</v>
      </c>
      <c r="D489" s="611">
        <f>-'Progetto del paramento slu'!$G$47*'Progetto del paramento slu'!$G$41*IF(DATI!$G$218="dx",DATI!$E$61,DATI!$E$64*DATI!$E$63)*1000*C489^2*sezione!$AD$5*(1-sezione!$AD$6)</f>
        <v>-625462654.71386611</v>
      </c>
      <c r="E489" s="553">
        <f>-'Foglio deposito bis'!$F$48*(C489-sezione!$AL$28)*IF(ABS(K489)&lt;'Progetto del paramento slu'!$G$58,ABS(K489)*'Progetto del paramento slu'!$G$54,'Progetto del paramento slu'!$G$53)</f>
        <v>0</v>
      </c>
      <c r="F489" s="553">
        <f>-'Foglio deposito bis'!$F$49*(C489-sezione!$AM$28)*IF(ABS(L489)&lt;'Progetto del paramento slu'!$G$58,ABS(L489)*'Progetto del paramento slu'!$G$54,'Progetto del paramento slu'!$G$53)</f>
        <v>-21620566.507655613</v>
      </c>
      <c r="G489" s="553">
        <f>-'Foglio deposito bis'!$F$50*(C489-sezione!$AN$28)*IF(ABS(M489)&lt;'Progetto del paramento slu'!$G$58,ABS(M489)*'Progetto del paramento slu'!$G$54,'Progetto del paramento slu'!$G$53)</f>
        <v>0</v>
      </c>
      <c r="H489" s="553">
        <f>-'Foglio deposito bis'!$F$51*(C489-sezione!$AO$28)*IF(ABS(N489)&lt;'Progetto del paramento slu'!$G$58,ABS(N489)*'Progetto del paramento slu'!$G$54,'Progetto del paramento slu'!$G$53)</f>
        <v>6670767.2001198642</v>
      </c>
      <c r="I489" s="479">
        <f>-'Foglio deposito bis'!$F$52*(C489-sezione!$AP$28)*IF(ABS(O489)&lt;'Progetto del paramento slu'!$G$58,ABS(O489)*'Progetto del paramento slu'!$G$54,'Progetto del paramento slu'!$G$53)</f>
        <v>-394108.26211404661</v>
      </c>
      <c r="J489" s="479">
        <f t="shared" si="37"/>
        <v>-640806562.28351593</v>
      </c>
      <c r="K489" s="558">
        <f>'Progetto del paramento slu'!$G$60*(sezione!$AL$28-C489)/C489</f>
        <v>-2.992097888519939E-3</v>
      </c>
      <c r="L489" s="558">
        <f>'Progetto del paramento slu'!$G$60*(sezione!$AM$28-C489)/C489</f>
        <v>-1.5953670819497713E-3</v>
      </c>
      <c r="M489" s="559">
        <f>'Progetto del paramento slu'!$G$60*(sezione!$AN$28-C489)/C489</f>
        <v>-1.9863627537960356E-4</v>
      </c>
      <c r="N489" s="559">
        <f>'Progetto del paramento slu'!$G$60*(sezione!$AO$28-C489)/C489</f>
        <v>8.1716794758051844E-4</v>
      </c>
      <c r="O489" s="559">
        <f>'Progetto del paramento slu'!$G$60*(sezione!$AP$28-C489)/C489</f>
        <v>-1.9862376096459704E-4</v>
      </c>
      <c r="P489" s="553">
        <f>-'Progetto del paramento slu'!$G$47*'Progetto del paramento slu'!$G$41*IF(DATI!$G$218="dx",DATI!$E$61,DATI!$E$64*DATI!$E$63)*1000*C489*sezione!$AD$5</f>
        <v>-3885442.7957570562</v>
      </c>
      <c r="Q489" s="553">
        <f>'Foglio deposito bis'!$F$48*IF(ABS(K489)&lt;'Progetto del paramento slu'!$G$58,ABS(K489)*'Progetto del paramento slu'!$G$54,'Progetto del paramento slu'!$G$53)*IF(K489&lt;0,-1,1)</f>
        <v>0</v>
      </c>
      <c r="R489" s="553">
        <f>'Foglio deposito bis'!$F$49*IF(ABS(L489)&lt;'Progetto del paramento slu'!$G$58,ABS(L489)*'Progetto del paramento slu'!$G$54,'Progetto del paramento slu'!$G$53)*IF(L489&lt;0,-1,1)</f>
        <v>-172078.4436521786</v>
      </c>
      <c r="S489" s="553">
        <f>'Foglio deposito bis'!$F$50*IF(ABS(M489)&lt;'Progetto del paramento slu'!$G$58,ABS(M489)*'Progetto del paramento slu'!$G$54,'Progetto del paramento slu'!$G$53)*IF(M489&lt;0,-1,1)</f>
        <v>0</v>
      </c>
      <c r="T489" s="553">
        <f>'Foglio deposito bis'!$F$51*IF(ABS(N489)&lt;'Progetto del paramento slu'!$G$58,ABS(N489)*'Progetto del paramento slu'!$G$54,'Progetto del paramento slu'!$G$53)*IF(N489&lt;0,-1,1)</f>
        <v>103653.62335136659</v>
      </c>
      <c r="U489" s="553">
        <f>'Foglio deposito bis'!$F$52*IF(ABS(O489)&lt;'Progetto del paramento slu'!$G$58,ABS(O489)*'Progetto del paramento slu'!$G$54,'Progetto del paramento slu'!$G$53)*IF(O489&lt;0,-1,1)</f>
        <v>-25194.420031541431</v>
      </c>
      <c r="V489" s="479">
        <f t="shared" si="39"/>
        <v>-3979062.0360894096</v>
      </c>
      <c r="W489" s="559"/>
      <c r="X489" s="559"/>
    </row>
    <row r="490" spans="1:24" x14ac:dyDescent="0.25">
      <c r="A490" s="553">
        <f t="shared" si="38"/>
        <v>4053292.4555906905</v>
      </c>
      <c r="B490" s="3">
        <f t="shared" si="36"/>
        <v>68.899999999999949</v>
      </c>
      <c r="C490" s="553">
        <f>'Foglio deposito bis'!$E$154/sezione!$B$247*B490</f>
        <v>279.70321929972937</v>
      </c>
      <c r="D490" s="611">
        <f>-'Progetto del paramento slu'!$G$47*'Progetto del paramento slu'!$G$41*IF(DATI!$G$218="dx",DATI!$E$61,DATI!$E$64*DATI!$E$63)*1000*C490^2*sezione!$AD$5*(1-sezione!$AD$6)</f>
        <v>-644021371.00262487</v>
      </c>
      <c r="E490" s="553">
        <f>-'Foglio deposito bis'!$F$48*(C490-sezione!$AL$28)*IF(ABS(K490)&lt;'Progetto del paramento slu'!$G$58,ABS(K490)*'Progetto del paramento slu'!$G$54,'Progetto del paramento slu'!$G$53)</f>
        <v>0</v>
      </c>
      <c r="F490" s="553">
        <f>-'Foglio deposito bis'!$F$49*(C490-sezione!$AM$28)*IF(ABS(L490)&lt;'Progetto del paramento slu'!$G$58,ABS(L490)*'Progetto del paramento slu'!$G$54,'Progetto del paramento slu'!$G$53)</f>
        <v>-22705858.825544149</v>
      </c>
      <c r="G490" s="553">
        <f>-'Foglio deposito bis'!$F$50*(C490-sezione!$AN$28)*IF(ABS(M490)&lt;'Progetto del paramento slu'!$G$58,ABS(M490)*'Progetto del paramento slu'!$G$54,'Progetto del paramento slu'!$G$53)</f>
        <v>0</v>
      </c>
      <c r="H490" s="553">
        <f>-'Foglio deposito bis'!$F$51*(C490-sezione!$AO$28)*IF(ABS(N490)&lt;'Progetto del paramento slu'!$G$58,ABS(N490)*'Progetto del paramento slu'!$G$54,'Progetto del paramento slu'!$G$53)</f>
        <v>5770746.4694066988</v>
      </c>
      <c r="I490" s="479">
        <f>-'Foglio deposito bis'!$F$52*(C490-sezione!$AP$28)*IF(ABS(O490)&lt;'Progetto del paramento slu'!$G$58,ABS(O490)*'Progetto del paramento slu'!$G$54,'Progetto del paramento slu'!$G$53)</f>
        <v>-616133.29365636699</v>
      </c>
      <c r="J490" s="479">
        <f t="shared" si="37"/>
        <v>-661572616.65241861</v>
      </c>
      <c r="K490" s="558">
        <f>'Progetto del paramento slu'!$G$60*(sezione!$AL$28-C490)/C490</f>
        <v>-2.9994694721408397E-3</v>
      </c>
      <c r="L490" s="558">
        <f>'Progetto del paramento slu'!$G$60*(sezione!$AM$28-C490)/C490</f>
        <v>-1.623010520528149E-3</v>
      </c>
      <c r="M490" s="559">
        <f>'Progetto del paramento slu'!$G$60*(sezione!$AN$28-C490)/C490</f>
        <v>-2.4655156891545838E-4</v>
      </c>
      <c r="N490" s="559">
        <f>'Progetto del paramento slu'!$G$60*(sezione!$AO$28-C490)/C490</f>
        <v>7.5450948680286212E-4</v>
      </c>
      <c r="O490" s="559">
        <f>'Progetto del paramento slu'!$G$60*(sezione!$AP$28-C490)/C490</f>
        <v>-2.4653923613201942E-4</v>
      </c>
      <c r="P490" s="553">
        <f>-'Progetto del paramento slu'!$G$47*'Progetto del paramento slu'!$G$41*IF(DATI!$G$218="dx",DATI!$E$61,DATI!$E$64*DATI!$E$63)*1000*C490*sezione!$AD$5</f>
        <v>-3942665.811894862</v>
      </c>
      <c r="Q490" s="553">
        <f>'Foglio deposito bis'!$F$48*IF(ABS(K490)&lt;'Progetto del paramento slu'!$G$58,ABS(K490)*'Progetto del paramento slu'!$G$54,'Progetto del paramento slu'!$G$53)*IF(K490&lt;0,-1,1)</f>
        <v>0</v>
      </c>
      <c r="R490" s="553">
        <f>'Foglio deposito bis'!$F$49*IF(ABS(L490)&lt;'Progetto del paramento slu'!$G$58,ABS(L490)*'Progetto del paramento slu'!$G$54,'Progetto del paramento slu'!$G$53)*IF(L490&lt;0,-1,1)</f>
        <v>-175060.10219432949</v>
      </c>
      <c r="S490" s="553">
        <f>'Foglio deposito bis'!$F$50*IF(ABS(M490)&lt;'Progetto del paramento slu'!$G$58,ABS(M490)*'Progetto del paramento slu'!$G$54,'Progetto del paramento slu'!$G$53)*IF(M490&lt;0,-1,1)</f>
        <v>0</v>
      </c>
      <c r="T490" s="553">
        <f>'Foglio deposito bis'!$F$51*IF(ABS(N490)&lt;'Progetto del paramento slu'!$G$58,ABS(N490)*'Progetto del paramento slu'!$G$54,'Progetto del paramento slu'!$G$53)*IF(N490&lt;0,-1,1)</f>
        <v>95705.714341409242</v>
      </c>
      <c r="U490" s="553">
        <f>'Foglio deposito bis'!$F$52*IF(ABS(O490)&lt;'Progetto del paramento slu'!$G$58,ABS(O490)*'Progetto del paramento slu'!$G$54,'Progetto del paramento slu'!$G$53)*IF(O490&lt;0,-1,1)</f>
        <v>-31272.255842907958</v>
      </c>
      <c r="V490" s="479">
        <f t="shared" si="39"/>
        <v>-4053292.4555906905</v>
      </c>
      <c r="W490" s="559"/>
      <c r="X490" s="559"/>
    </row>
    <row r="491" spans="1:24" x14ac:dyDescent="0.25">
      <c r="A491" s="553">
        <f t="shared" si="38"/>
        <v>4127036.2541087535</v>
      </c>
      <c r="B491" s="3">
        <f t="shared" si="36"/>
        <v>69.899999999999949</v>
      </c>
      <c r="C491" s="553">
        <f>'Foglio deposito bis'!$E$154/sezione!$B$247*B491</f>
        <v>283.76277255516811</v>
      </c>
      <c r="D491" s="611">
        <f>-'Progetto del paramento slu'!$G$47*'Progetto del paramento slu'!$G$41*IF(DATI!$G$218="dx",DATI!$E$61,DATI!$E$64*DATI!$E$63)*1000*C491^2*sezione!$AD$5*(1-sezione!$AD$6)</f>
        <v>-662851413.55291545</v>
      </c>
      <c r="E491" s="553">
        <f>-'Foglio deposito bis'!$F$48*(C491-sezione!$AL$28)*IF(ABS(K491)&lt;'Progetto del paramento slu'!$G$58,ABS(K491)*'Progetto del paramento slu'!$G$54,'Progetto del paramento slu'!$G$53)</f>
        <v>0</v>
      </c>
      <c r="F491" s="553">
        <f>-'Foglio deposito bis'!$F$49*(C491-sezione!$AM$28)*IF(ABS(L491)&lt;'Progetto del paramento slu'!$G$58,ABS(L491)*'Progetto del paramento slu'!$G$54,'Progetto del paramento slu'!$G$53)</f>
        <v>-23803947.961210161</v>
      </c>
      <c r="G491" s="553">
        <f>-'Foglio deposito bis'!$F$50*(C491-sezione!$AN$28)*IF(ABS(M491)&lt;'Progetto del paramento slu'!$G$58,ABS(M491)*'Progetto del paramento slu'!$G$54,'Progetto del paramento slu'!$G$53)</f>
        <v>0</v>
      </c>
      <c r="H491" s="553">
        <f>-'Foglio deposito bis'!$F$51*(C491-sezione!$AO$28)*IF(ABS(N491)&lt;'Progetto del paramento slu'!$G$58,ABS(N491)*'Progetto del paramento slu'!$G$54,'Progetto del paramento slu'!$G$53)</f>
        <v>4948044.4529534904</v>
      </c>
      <c r="I491" s="479">
        <f>-'Foglio deposito bis'!$F$52*(C491-sezione!$AP$28)*IF(ABS(O491)&lt;'Progetto del paramento slu'!$G$58,ABS(O491)*'Progetto del paramento slu'!$G$54,'Progetto del paramento slu'!$G$53)</f>
        <v>-883372.72580326593</v>
      </c>
      <c r="J491" s="479">
        <f t="shared" si="37"/>
        <v>-682590689.78697538</v>
      </c>
      <c r="K491" s="558">
        <f>'Progetto del paramento slu'!$G$60*(sezione!$AL$28-C491)/C491</f>
        <v>-3.0066301377754488E-3</v>
      </c>
      <c r="L491" s="558">
        <f>'Progetto del paramento slu'!$G$60*(sezione!$AM$28-C491)/C491</f>
        <v>-1.6498630166579323E-3</v>
      </c>
      <c r="M491" s="559">
        <f>'Progetto del paramento slu'!$G$60*(sezione!$AN$28-C491)/C491</f>
        <v>-2.9309589554041607E-4</v>
      </c>
      <c r="N491" s="559">
        <f>'Progetto del paramento slu'!$G$60*(sezione!$AO$28-C491)/C491</f>
        <v>6.9364382890868667E-4</v>
      </c>
      <c r="O491" s="559">
        <f>'Progetto del paramento slu'!$G$60*(sezione!$AP$28-C491)/C491</f>
        <v>-2.9308373919164721E-4</v>
      </c>
      <c r="P491" s="553">
        <f>-'Progetto del paramento slu'!$G$47*'Progetto del paramento slu'!$G$41*IF(DATI!$G$218="dx",DATI!$E$61,DATI!$E$64*DATI!$E$63)*1000*C491*sezione!$AD$5</f>
        <v>-3999888.8280326687</v>
      </c>
      <c r="Q491" s="553">
        <f>'Foglio deposito bis'!$F$48*IF(ABS(K491)&lt;'Progetto del paramento slu'!$G$58,ABS(K491)*'Progetto del paramento slu'!$G$54,'Progetto del paramento slu'!$G$53)*IF(K491&lt;0,-1,1)</f>
        <v>0</v>
      </c>
      <c r="R491" s="553">
        <f>'Foglio deposito bis'!$F$49*IF(ABS(L491)&lt;'Progetto del paramento slu'!$G$58,ABS(L491)*'Progetto del paramento slu'!$G$54,'Progetto del paramento slu'!$G$53)*IF(L491&lt;0,-1,1)</f>
        <v>-177956.44861796388</v>
      </c>
      <c r="S491" s="553">
        <f>'Foglio deposito bis'!$F$50*IF(ABS(M491)&lt;'Progetto del paramento slu'!$G$58,ABS(M491)*'Progetto del paramento slu'!$G$54,'Progetto del paramento slu'!$G$53)*IF(M491&lt;0,-1,1)</f>
        <v>0</v>
      </c>
      <c r="T491" s="553">
        <f>'Foglio deposito bis'!$F$51*IF(ABS(N491)&lt;'Progetto del paramento slu'!$G$58,ABS(N491)*'Progetto del paramento slu'!$G$54,'Progetto del paramento slu'!$G$53)*IF(N491&lt;0,-1,1)</f>
        <v>87985.213314569395</v>
      </c>
      <c r="U491" s="553">
        <f>'Foglio deposito bis'!$F$52*IF(ABS(O491)&lt;'Progetto del paramento slu'!$G$58,ABS(O491)*'Progetto del paramento slu'!$G$54,'Progetto del paramento slu'!$G$53)*IF(O491&lt;0,-1,1)</f>
        <v>-37176.190772690323</v>
      </c>
      <c r="V491" s="479">
        <f t="shared" si="39"/>
        <v>-4127036.2541087535</v>
      </c>
      <c r="W491" s="559"/>
      <c r="X491" s="559"/>
    </row>
    <row r="492" spans="1:24" x14ac:dyDescent="0.25">
      <c r="A492" s="553">
        <f t="shared" si="38"/>
        <v>4200314.0220942283</v>
      </c>
      <c r="B492" s="3">
        <f t="shared" si="36"/>
        <v>70.899999999999949</v>
      </c>
      <c r="C492" s="553">
        <f>'Foglio deposito bis'!$E$154/sezione!$B$247*B492</f>
        <v>287.82232581060686</v>
      </c>
      <c r="D492" s="611">
        <f>-'Progetto del paramento slu'!$G$47*'Progetto del paramento slu'!$G$41*IF(DATI!$G$218="dx",DATI!$E$61,DATI!$E$64*DATI!$E$63)*1000*C492^2*sezione!$AD$5*(1-sezione!$AD$6)</f>
        <v>-681952782.36473751</v>
      </c>
      <c r="E492" s="553">
        <f>-'Foglio deposito bis'!$F$48*(C492-sezione!$AL$28)*IF(ABS(K492)&lt;'Progetto del paramento slu'!$G$58,ABS(K492)*'Progetto del paramento slu'!$G$54,'Progetto del paramento slu'!$G$53)</f>
        <v>0</v>
      </c>
      <c r="F492" s="553">
        <f>-'Foglio deposito bis'!$F$49*(C492-sezione!$AM$28)*IF(ABS(L492)&lt;'Progetto del paramento slu'!$G$58,ABS(L492)*'Progetto del paramento slu'!$G$54,'Progetto del paramento slu'!$G$53)</f>
        <v>-24914292.44140495</v>
      </c>
      <c r="G492" s="553">
        <f>-'Foglio deposito bis'!$F$50*(C492-sezione!$AN$28)*IF(ABS(M492)&lt;'Progetto del paramento slu'!$G$58,ABS(M492)*'Progetto del paramento slu'!$G$54,'Progetto del paramento slu'!$G$53)</f>
        <v>0</v>
      </c>
      <c r="H492" s="553">
        <f>-'Foglio deposito bis'!$F$51*(C492-sezione!$AO$28)*IF(ABS(N492)&lt;'Progetto del paramento slu'!$G$58,ABS(N492)*'Progetto del paramento slu'!$G$54,'Progetto del paramento slu'!$G$53)</f>
        <v>4199389.5549523421</v>
      </c>
      <c r="I492" s="479">
        <f>-'Foglio deposito bis'!$F$52*(C492-sezione!$AP$28)*IF(ABS(O492)&lt;'Progetto del paramento slu'!$G$58,ABS(O492)*'Progetto del paramento slu'!$G$54,'Progetto del paramento slu'!$G$53)</f>
        <v>-1193913.3963288793</v>
      </c>
      <c r="J492" s="479">
        <f t="shared" si="37"/>
        <v>-703861598.64751899</v>
      </c>
      <c r="K492" s="558">
        <f>'Progetto del paramento slu'!$G$60*(sezione!$AL$28-C492)/C492</f>
        <v>-3.0135888100212109E-3</v>
      </c>
      <c r="L492" s="558">
        <f>'Progetto del paramento slu'!$G$60*(sezione!$AM$28-C492)/C492</f>
        <v>-1.6759580375795412E-3</v>
      </c>
      <c r="M492" s="559">
        <f>'Progetto del paramento slu'!$G$60*(sezione!$AN$28-C492)/C492</f>
        <v>-3.3832726513787143E-4</v>
      </c>
      <c r="N492" s="559">
        <f>'Progetto del paramento slu'!$G$60*(sezione!$AO$28-C492)/C492</f>
        <v>6.3449511481970659E-4</v>
      </c>
      <c r="O492" s="559">
        <f>'Progetto del paramento slu'!$G$60*(sezione!$AP$28-C492)/C492</f>
        <v>-3.3831528024677208E-4</v>
      </c>
      <c r="P492" s="553">
        <f>-'Progetto del paramento slu'!$G$47*'Progetto del paramento slu'!$G$41*IF(DATI!$G$218="dx",DATI!$E$61,DATI!$E$64*DATI!$E$63)*1000*C492*sezione!$AD$5</f>
        <v>-4057111.8441704749</v>
      </c>
      <c r="Q492" s="553">
        <f>'Foglio deposito bis'!$F$48*IF(ABS(K492)&lt;'Progetto del paramento slu'!$G$58,ABS(K492)*'Progetto del paramento slu'!$G$54,'Progetto del paramento slu'!$G$53)*IF(K492&lt;0,-1,1)</f>
        <v>0</v>
      </c>
      <c r="R492" s="553">
        <f>'Foglio deposito bis'!$F$49*IF(ABS(L492)&lt;'Progetto del paramento slu'!$G$58,ABS(L492)*'Progetto del paramento slu'!$G$54,'Progetto del paramento slu'!$G$53)*IF(L492&lt;0,-1,1)</f>
        <v>-180771.09274473976</v>
      </c>
      <c r="S492" s="553">
        <f>'Foglio deposito bis'!$F$50*IF(ABS(M492)&lt;'Progetto del paramento slu'!$G$58,ABS(M492)*'Progetto del paramento slu'!$G$54,'Progetto del paramento slu'!$G$53)*IF(M492&lt;0,-1,1)</f>
        <v>0</v>
      </c>
      <c r="T492" s="553">
        <f>'Foglio deposito bis'!$F$51*IF(ABS(N492)&lt;'Progetto del paramento slu'!$G$58,ABS(N492)*'Progetto del paramento slu'!$G$54,'Progetto del paramento slu'!$G$53)*IF(N492&lt;0,-1,1)</f>
        <v>80482.497930235622</v>
      </c>
      <c r="U492" s="553">
        <f>'Foglio deposito bis'!$F$52*IF(ABS(O492)&lt;'Progetto del paramento slu'!$G$58,ABS(O492)*'Progetto del paramento slu'!$G$54,'Progetto del paramento slu'!$G$53)*IF(O492&lt;0,-1,1)</f>
        <v>-42913.583109248924</v>
      </c>
      <c r="V492" s="479">
        <f t="shared" si="39"/>
        <v>-4200314.0220942283</v>
      </c>
      <c r="W492" s="559"/>
      <c r="X492" s="559"/>
    </row>
    <row r="493" spans="1:24" x14ac:dyDescent="0.25">
      <c r="A493" s="553">
        <f t="shared" si="38"/>
        <v>4273145.2044928409</v>
      </c>
      <c r="B493" s="3">
        <f t="shared" si="36"/>
        <v>71.899999999999949</v>
      </c>
      <c r="C493" s="553">
        <f>'Foglio deposito bis'!$E$154/sezione!$B$247*B493</f>
        <v>291.8818790660456</v>
      </c>
      <c r="D493" s="611">
        <f>-'Progetto del paramento slu'!$G$47*'Progetto del paramento slu'!$G$41*IF(DATI!$G$218="dx",DATI!$E$61,DATI!$E$64*DATI!$E$63)*1000*C493^2*sezione!$AD$5*(1-sezione!$AD$6)</f>
        <v>-701325477.43809116</v>
      </c>
      <c r="E493" s="553">
        <f>-'Foglio deposito bis'!$F$48*(C493-sezione!$AL$28)*IF(ABS(K493)&lt;'Progetto del paramento slu'!$G$58,ABS(K493)*'Progetto del paramento slu'!$G$54,'Progetto del paramento slu'!$G$53)</f>
        <v>0</v>
      </c>
      <c r="F493" s="553">
        <f>-'Foglio deposito bis'!$F$49*(C493-sezione!$AM$28)*IF(ABS(L493)&lt;'Progetto del paramento slu'!$G$58,ABS(L493)*'Progetto del paramento slu'!$G$54,'Progetto del paramento slu'!$G$53)</f>
        <v>-26036380.916565429</v>
      </c>
      <c r="G493" s="553">
        <f>-'Foglio deposito bis'!$F$50*(C493-sezione!$AN$28)*IF(ABS(M493)&lt;'Progetto del paramento slu'!$G$58,ABS(M493)*'Progetto del paramento slu'!$G$54,'Progetto del paramento slu'!$G$53)</f>
        <v>0</v>
      </c>
      <c r="H493" s="553">
        <f>-'Foglio deposito bis'!$F$51*(C493-sezione!$AO$28)*IF(ABS(N493)&lt;'Progetto del paramento slu'!$G$58,ABS(N493)*'Progetto del paramento slu'!$G$54,'Progetto del paramento slu'!$G$53)</f>
        <v>3521692.1877070642</v>
      </c>
      <c r="I493" s="479">
        <f>-'Foglio deposito bis'!$F$52*(C493-sezione!$AP$28)*IF(ABS(O493)&lt;'Progetto del paramento slu'!$G$58,ABS(O493)*'Progetto del paramento slu'!$G$54,'Progetto del paramento slu'!$G$53)</f>
        <v>-1545948.5776235256</v>
      </c>
      <c r="J493" s="479">
        <f t="shared" si="37"/>
        <v>-725386114.744573</v>
      </c>
      <c r="K493" s="558">
        <f>'Progetto del paramento slu'!$G$60*(sezione!$AL$28-C493)/C493</f>
        <v>-3.0203539169750188E-3</v>
      </c>
      <c r="L493" s="558">
        <f>'Progetto del paramento slu'!$G$60*(sezione!$AM$28-C493)/C493</f>
        <v>-1.7013271886563209E-3</v>
      </c>
      <c r="M493" s="559">
        <f>'Progetto del paramento slu'!$G$60*(sezione!$AN$28-C493)/C493</f>
        <v>-3.8230046033762286E-4</v>
      </c>
      <c r="N493" s="559">
        <f>'Progetto del paramento slu'!$G$60*(sezione!$AO$28-C493)/C493</f>
        <v>5.7699170571233937E-4</v>
      </c>
      <c r="O493" s="559">
        <f>'Progetto del paramento slu'!$G$60*(sezione!$AP$28-C493)/C493</f>
        <v>-3.8228864213485592E-4</v>
      </c>
      <c r="P493" s="553">
        <f>-'Progetto del paramento slu'!$G$47*'Progetto del paramento slu'!$G$41*IF(DATI!$G$218="dx",DATI!$E$61,DATI!$E$64*DATI!$E$63)*1000*C493*sezione!$AD$5</f>
        <v>-4114334.8603082816</v>
      </c>
      <c r="Q493" s="553">
        <f>'Foglio deposito bis'!$F$48*IF(ABS(K493)&lt;'Progetto del paramento slu'!$G$58,ABS(K493)*'Progetto del paramento slu'!$G$54,'Progetto del paramento slu'!$G$53)*IF(K493&lt;0,-1,1)</f>
        <v>0</v>
      </c>
      <c r="R493" s="553">
        <f>'Foglio deposito bis'!$F$49*IF(ABS(L493)&lt;'Progetto del paramento slu'!$G$58,ABS(L493)*'Progetto del paramento slu'!$G$54,'Progetto del paramento slu'!$G$53)*IF(L493&lt;0,-1,1)</f>
        <v>-183507.4435717444</v>
      </c>
      <c r="S493" s="553">
        <f>'Foglio deposito bis'!$F$50*IF(ABS(M493)&lt;'Progetto del paramento slu'!$G$58,ABS(M493)*'Progetto del paramento slu'!$G$54,'Progetto del paramento slu'!$G$53)*IF(M493&lt;0,-1,1)</f>
        <v>0</v>
      </c>
      <c r="T493" s="553">
        <f>'Foglio deposito bis'!$F$51*IF(ABS(N493)&lt;'Progetto del paramento slu'!$G$58,ABS(N493)*'Progetto del paramento slu'!$G$54,'Progetto del paramento slu'!$G$53)*IF(N493&lt;0,-1,1)</f>
        <v>73188.481165772057</v>
      </c>
      <c r="U493" s="553">
        <f>'Foglio deposito bis'!$F$52*IF(ABS(O493)&lt;'Progetto del paramento slu'!$G$58,ABS(O493)*'Progetto del paramento slu'!$G$54,'Progetto del paramento slu'!$G$53)*IF(O493&lt;0,-1,1)</f>
        <v>-48491.381778587536</v>
      </c>
      <c r="V493" s="479">
        <f t="shared" si="39"/>
        <v>-4273145.2044928409</v>
      </c>
      <c r="W493" s="559"/>
      <c r="X493" s="559"/>
    </row>
    <row r="494" spans="1:24" x14ac:dyDescent="0.25">
      <c r="A494" s="553">
        <f t="shared" si="38"/>
        <v>4345548.1793122832</v>
      </c>
      <c r="B494" s="3">
        <f t="shared" si="36"/>
        <v>72.899999999999949</v>
      </c>
      <c r="C494" s="553">
        <f>'Foglio deposito bis'!$E$154/sezione!$B$247*B494</f>
        <v>295.94143232148434</v>
      </c>
      <c r="D494" s="611">
        <f>-'Progetto del paramento slu'!$G$47*'Progetto del paramento slu'!$G$41*IF(DATI!$G$218="dx",DATI!$E$61,DATI!$E$64*DATI!$E$63)*1000*C494^2*sezione!$AD$5*(1-sezione!$AD$6)</f>
        <v>-720969498.77297616</v>
      </c>
      <c r="E494" s="553">
        <f>-'Foglio deposito bis'!$F$48*(C494-sezione!$AL$28)*IF(ABS(K494)&lt;'Progetto del paramento slu'!$G$58,ABS(K494)*'Progetto del paramento slu'!$G$54,'Progetto del paramento slu'!$G$53)</f>
        <v>0</v>
      </c>
      <c r="F494" s="553">
        <f>-'Foglio deposito bis'!$F$49*(C494-sezione!$AM$28)*IF(ABS(L494)&lt;'Progetto del paramento slu'!$G$58,ABS(L494)*'Progetto del paramento slu'!$G$54,'Progetto del paramento slu'!$G$53)</f>
        <v>-27169730.094717689</v>
      </c>
      <c r="G494" s="553">
        <f>-'Foglio deposito bis'!$F$50*(C494-sezione!$AN$28)*IF(ABS(M494)&lt;'Progetto del paramento slu'!$G$58,ABS(M494)*'Progetto del paramento slu'!$G$54,'Progetto del paramento slu'!$G$53)</f>
        <v>0</v>
      </c>
      <c r="H494" s="553">
        <f>-'Foglio deposito bis'!$F$51*(C494-sezione!$AO$28)*IF(ABS(N494)&lt;'Progetto del paramento slu'!$G$58,ABS(N494)*'Progetto del paramento slu'!$G$54,'Progetto del paramento slu'!$G$53)</f>
        <v>2912032.2882235851</v>
      </c>
      <c r="I494" s="479">
        <f>-'Foglio deposito bis'!$F$52*(C494-sezione!$AP$28)*IF(ABS(O494)&lt;'Progetto del paramento slu'!$G$58,ABS(O494)*'Progetto del paramento slu'!$G$54,'Progetto del paramento slu'!$G$53)</f>
        <v>-1937770.676651442</v>
      </c>
      <c r="J494" s="479">
        <f t="shared" si="37"/>
        <v>-747164967.25612175</v>
      </c>
      <c r="K494" s="558">
        <f>'Progetto del paramento slu'!$G$60*(sezione!$AL$28-C494)/C494</f>
        <v>-3.0269334242867471E-3</v>
      </c>
      <c r="L494" s="558">
        <f>'Progetto del paramento slu'!$G$60*(sezione!$AM$28-C494)/C494</f>
        <v>-1.7260003410753016E-3</v>
      </c>
      <c r="M494" s="559">
        <f>'Progetto del paramento slu'!$G$60*(sezione!$AN$28-C494)/C494</f>
        <v>-4.2506725786385576E-4</v>
      </c>
      <c r="N494" s="559">
        <f>'Progetto del paramento slu'!$G$60*(sezione!$AO$28-C494)/C494</f>
        <v>5.2106589356265022E-4</v>
      </c>
      <c r="O494" s="559">
        <f>'Progetto del paramento slu'!$G$60*(sezione!$AP$28-C494)/C494</f>
        <v>-4.2505560177635312E-4</v>
      </c>
      <c r="P494" s="553">
        <f>-'Progetto del paramento slu'!$G$47*'Progetto del paramento slu'!$G$41*IF(DATI!$G$218="dx",DATI!$E$61,DATI!$E$64*DATI!$E$63)*1000*C494*sezione!$AD$5</f>
        <v>-4171557.8764460883</v>
      </c>
      <c r="Q494" s="553">
        <f>'Foglio deposito bis'!$F$48*IF(ABS(K494)&lt;'Progetto del paramento slu'!$G$58,ABS(K494)*'Progetto del paramento slu'!$G$54,'Progetto del paramento slu'!$G$53)*IF(K494&lt;0,-1,1)</f>
        <v>0</v>
      </c>
      <c r="R494" s="553">
        <f>'Foglio deposito bis'!$F$49*IF(ABS(L494)&lt;'Progetto del paramento slu'!$G$58,ABS(L494)*'Progetto del paramento slu'!$G$54,'Progetto del paramento slu'!$G$53)*IF(L494&lt;0,-1,1)</f>
        <v>-186168.72304547045</v>
      </c>
      <c r="S494" s="553">
        <f>'Foglio deposito bis'!$F$50*IF(ABS(M494)&lt;'Progetto del paramento slu'!$G$58,ABS(M494)*'Progetto del paramento slu'!$G$54,'Progetto del paramento slu'!$G$53)*IF(M494&lt;0,-1,1)</f>
        <v>0</v>
      </c>
      <c r="T494" s="553">
        <f>'Foglio deposito bis'!$F$51*IF(ABS(N494)&lt;'Progetto del paramento slu'!$G$58,ABS(N494)*'Progetto del paramento slu'!$G$54,'Progetto del paramento slu'!$G$53)*IF(N494&lt;0,-1,1)</f>
        <v>66094.574600607899</v>
      </c>
      <c r="U494" s="553">
        <f>'Foglio deposito bis'!$F$52*IF(ABS(O494)&lt;'Progetto del paramento slu'!$G$58,ABS(O494)*'Progetto del paramento slu'!$G$54,'Progetto del paramento slu'!$G$53)*IF(O494&lt;0,-1,1)</f>
        <v>-53916.154421332511</v>
      </c>
      <c r="V494" s="479">
        <f t="shared" si="39"/>
        <v>-4345548.1793122832</v>
      </c>
      <c r="W494" s="559"/>
      <c r="X494" s="559"/>
    </row>
    <row r="495" spans="1:24" x14ac:dyDescent="0.25">
      <c r="A495" s="553">
        <f t="shared" si="38"/>
        <v>4417540.3298101649</v>
      </c>
      <c r="B495" s="3">
        <f t="shared" si="36"/>
        <v>73.899999999999949</v>
      </c>
      <c r="C495" s="553">
        <f>'Foglio deposito bis'!$E$154/sezione!$B$247*B495</f>
        <v>300.00098557692314</v>
      </c>
      <c r="D495" s="32">
        <f>-'Progetto del paramento slu'!$G$47*'Progetto del paramento slu'!$G$41*IF(DATI!$G$218="dx",DATI!$E$61,DATI!$E$64*DATI!$E$63)*1000*C495^2*sezione!$AD$5*(1-sezione!$AD$6)</f>
        <v>-740884846.36939311</v>
      </c>
      <c r="E495" s="553">
        <f>-'Foglio deposito bis'!$F$48*(C495-sezione!$AL$28)*IF(ABS(K495)&lt;'Progetto del paramento slu'!$G$58,ABS(K495)*'Progetto del paramento slu'!$G$54,'Progetto del paramento slu'!$G$53)</f>
        <v>0</v>
      </c>
      <c r="F495" s="553">
        <f>-'Foglio deposito bis'!$F$49*(C495-sezione!$AM$28)*IF(ABS(L495)&lt;'Progetto del paramento slu'!$G$58,ABS(L495)*'Progetto del paramento slu'!$G$54,'Progetto del paramento slu'!$G$53)</f>
        <v>-28313882.84312867</v>
      </c>
      <c r="G495" s="553">
        <f>-'Foglio deposito bis'!$F$50*(C495-sezione!$AN$28)*IF(ABS(M495)&lt;'Progetto del paramento slu'!$G$58,ABS(M495)*'Progetto del paramento slu'!$G$54,'Progetto del paramento slu'!$G$53)</f>
        <v>0</v>
      </c>
      <c r="H495" s="553">
        <f>-'Foglio deposito bis'!$F$51*(C495-sezione!$AO$28)*IF(ABS(N495)&lt;'Progetto del paramento slu'!$G$58,ABS(N495)*'Progetto del paramento slu'!$G$54,'Progetto del paramento slu'!$G$53)</f>
        <v>2367647.8483383618</v>
      </c>
      <c r="I495" s="479">
        <f>-'Foglio deposito bis'!$F$52*(C495-sezione!$AP$28)*IF(ABS(O495)&lt;'Progetto del paramento slu'!$G$58,ABS(O495)*'Progetto del paramento slu'!$G$54,'Progetto del paramento slu'!$G$53)</f>
        <v>-2367764.5276047885</v>
      </c>
      <c r="J495" s="479">
        <f t="shared" si="37"/>
        <v>-769198845.89178824</v>
      </c>
      <c r="K495" s="558">
        <f>'Progetto del paramento slu'!$G$60*(sezione!$AL$28-C495)/C495</f>
        <v>-3.033334866447955E-3</v>
      </c>
      <c r="L495" s="558">
        <f>'Progetto del paramento slu'!$G$60*(sezione!$AM$28-C495)/C495</f>
        <v>-1.750005749179831E-3</v>
      </c>
      <c r="M495" s="559">
        <f>'Progetto del paramento slu'!$G$60*(sezione!$AN$28-C495)/C495</f>
        <v>-4.6667663191170668E-4</v>
      </c>
      <c r="N495" s="559">
        <f>'Progetto del paramento slu'!$G$60*(sezione!$AO$28-C495)/C495</f>
        <v>4.6665363519238353E-4</v>
      </c>
      <c r="O495" s="559">
        <f>'Progetto del paramento slu'!$G$60*(sezione!$AP$28-C495)/C495</f>
        <v>-4.6666513355204584E-4</v>
      </c>
      <c r="P495" s="553">
        <f>-'Progetto del paramento slu'!$G$47*'Progetto del paramento slu'!$G$41*IF(DATI!$G$218="dx",DATI!$E$61,DATI!$E$64*DATI!$E$63)*1000*C495*sezione!$AD$5</f>
        <v>-4228780.8925838945</v>
      </c>
      <c r="Q495" s="553">
        <f>'Foglio deposito bis'!$F$48*IF(ABS(K495)&lt;'Progetto del paramento slu'!$G$58,ABS(K495)*'Progetto del paramento slu'!$G$54,'Progetto del paramento slu'!$G$53)*IF(K495&lt;0,-1,1)</f>
        <v>0</v>
      </c>
      <c r="R495" s="553">
        <f>'Foglio deposito bis'!$F$49*IF(ABS(L495)&lt;'Progetto del paramento slu'!$G$58,ABS(L495)*'Progetto del paramento slu'!$G$54,'Progetto del paramento slu'!$G$53)*IF(L495&lt;0,-1,1)</f>
        <v>-188757.97871747191</v>
      </c>
      <c r="S495" s="553">
        <f>'Foglio deposito bis'!$F$50*IF(ABS(M495)&lt;'Progetto del paramento slu'!$G$58,ABS(M495)*'Progetto del paramento slu'!$G$54,'Progetto del paramento slu'!$G$53)*IF(M495&lt;0,-1,1)</f>
        <v>0</v>
      </c>
      <c r="T495" s="553">
        <f>'Foglio deposito bis'!$F$51*IF(ABS(N495)&lt;'Progetto del paramento slu'!$G$58,ABS(N495)*'Progetto del paramento slu'!$G$54,'Progetto del paramento slu'!$G$53)*IF(N495&lt;0,-1,1)</f>
        <v>59192.654681320884</v>
      </c>
      <c r="U495" s="553">
        <f>'Foglio deposito bis'!$F$52*IF(ABS(O495)&lt;'Progetto del paramento slu'!$G$58,ABS(O495)*'Progetto del paramento slu'!$G$54,'Progetto del paramento slu'!$G$53)*IF(O495&lt;0,-1,1)</f>
        <v>-59194.113190119628</v>
      </c>
      <c r="V495" s="479">
        <f t="shared" si="39"/>
        <v>-4417540.3298101649</v>
      </c>
      <c r="W495" s="559"/>
      <c r="X495" s="559"/>
    </row>
    <row r="496" spans="1:24" x14ac:dyDescent="0.25">
      <c r="P496" s="553"/>
      <c r="Q496" s="553"/>
      <c r="R496" s="553"/>
      <c r="S496" s="553"/>
      <c r="T496" s="553"/>
      <c r="U496" s="553"/>
      <c r="V496" s="479"/>
    </row>
    <row r="497" spans="1:24" x14ac:dyDescent="0.25">
      <c r="P497" s="553"/>
      <c r="Q497" s="553"/>
      <c r="R497" s="553"/>
      <c r="S497" s="553"/>
      <c r="T497" s="553"/>
      <c r="U497" s="553"/>
      <c r="V497" s="479"/>
    </row>
    <row r="498" spans="1:24" ht="15.75" x14ac:dyDescent="0.25">
      <c r="A498" s="1035" t="s">
        <v>949</v>
      </c>
      <c r="B498" s="1036"/>
      <c r="C498" s="1036"/>
      <c r="D498" s="1036"/>
      <c r="E498" s="1036"/>
      <c r="F498" s="1036"/>
      <c r="G498" s="1036"/>
      <c r="H498" s="1036"/>
      <c r="I498" s="1036"/>
      <c r="J498" s="1036"/>
      <c r="K498" s="1036"/>
      <c r="L498" s="1036"/>
      <c r="M498" s="1036"/>
      <c r="N498" s="1036"/>
      <c r="O498" s="1037"/>
      <c r="P498" s="553"/>
      <c r="Q498" s="553"/>
      <c r="R498" s="553"/>
      <c r="S498" s="553"/>
      <c r="T498" s="553"/>
      <c r="U498" s="553"/>
      <c r="V498" s="479"/>
      <c r="W498" s="613"/>
      <c r="X498" s="613"/>
    </row>
    <row r="499" spans="1:24" x14ac:dyDescent="0.25">
      <c r="A499" s="541">
        <v>1</v>
      </c>
      <c r="B499" s="541">
        <v>2</v>
      </c>
      <c r="C499" s="541">
        <v>3</v>
      </c>
      <c r="D499" s="541">
        <v>4</v>
      </c>
      <c r="E499" s="541">
        <v>5</v>
      </c>
      <c r="F499" s="541">
        <v>6</v>
      </c>
      <c r="G499" s="541">
        <v>7</v>
      </c>
      <c r="H499" s="541">
        <v>8</v>
      </c>
      <c r="I499" s="541">
        <v>9</v>
      </c>
      <c r="J499" s="541">
        <v>10</v>
      </c>
      <c r="K499" s="541">
        <v>11</v>
      </c>
      <c r="L499" s="541">
        <v>12</v>
      </c>
      <c r="M499" s="541">
        <v>13</v>
      </c>
      <c r="N499" s="541">
        <v>14</v>
      </c>
      <c r="O499" s="541">
        <v>15</v>
      </c>
      <c r="P499" s="606">
        <v>4</v>
      </c>
      <c r="Q499" s="606">
        <v>5</v>
      </c>
      <c r="R499" s="606">
        <v>6</v>
      </c>
      <c r="S499" s="606">
        <v>7</v>
      </c>
      <c r="T499" s="606">
        <v>8</v>
      </c>
      <c r="U499" s="606">
        <v>9</v>
      </c>
      <c r="V499" s="606">
        <v>10</v>
      </c>
      <c r="W499" s="47"/>
      <c r="X499" s="47"/>
    </row>
    <row r="500" spans="1:24" x14ac:dyDescent="0.25">
      <c r="A500" s="561" t="s">
        <v>929</v>
      </c>
      <c r="B500" s="83" t="s">
        <v>917</v>
      </c>
      <c r="C500" s="541" t="s">
        <v>134</v>
      </c>
      <c r="D500" s="541" t="s">
        <v>911</v>
      </c>
      <c r="E500" s="541" t="s">
        <v>912</v>
      </c>
      <c r="F500" s="541" t="s">
        <v>913</v>
      </c>
      <c r="G500" s="541" t="s">
        <v>914</v>
      </c>
      <c r="H500" s="541" t="s">
        <v>915</v>
      </c>
      <c r="I500" s="541" t="s">
        <v>916</v>
      </c>
      <c r="J500" s="562" t="s">
        <v>910</v>
      </c>
      <c r="K500" s="561" t="s">
        <v>923</v>
      </c>
      <c r="L500" s="561" t="s">
        <v>924</v>
      </c>
      <c r="M500" s="561" t="s">
        <v>925</v>
      </c>
      <c r="N500" s="561" t="s">
        <v>926</v>
      </c>
      <c r="O500" s="561" t="s">
        <v>927</v>
      </c>
      <c r="P500" s="606" t="s">
        <v>293</v>
      </c>
      <c r="Q500" s="606" t="s">
        <v>968</v>
      </c>
      <c r="R500" s="606" t="s">
        <v>969</v>
      </c>
      <c r="S500" s="606" t="s">
        <v>970</v>
      </c>
      <c r="T500" s="606" t="s">
        <v>971</v>
      </c>
      <c r="U500" s="606" t="s">
        <v>972</v>
      </c>
      <c r="V500" s="607" t="s">
        <v>1021</v>
      </c>
      <c r="W500" s="58"/>
      <c r="X500" s="58"/>
    </row>
    <row r="501" spans="1:24" x14ac:dyDescent="0.25">
      <c r="A501" s="553">
        <f>ABS(V501)</f>
        <v>686638.5133717166</v>
      </c>
      <c r="B501" s="3">
        <v>0</v>
      </c>
      <c r="C501" s="42">
        <v>0.01</v>
      </c>
      <c r="D501" s="611">
        <f>-'Progetto del paramento slu'!$G$47*'Progetto del paramento slu'!$G$41*IF(DATI!$G$218="dx",DATI!$E$61,DATI!$E$64*DATI!$E$63)*1000*C501^2*sezione!$AD$5*(1-sezione!$AD$6)</f>
        <v>-0.82319997600000006</v>
      </c>
      <c r="E501" s="553">
        <f>-'Foglio deposito bis'!$F$48*(C501-sezione!$AL$29)*IF(ABS(K501)&lt;'Progetto del paramento slu'!$G$58,ABS(K501)*'Progetto del paramento slu'!$G$54,'Progetto del paramento slu'!$G$53)</f>
        <v>0</v>
      </c>
      <c r="F501" s="553">
        <f>-'Foglio deposito bis'!$F$49*(C501-sezione!$AM$29)*IF(ABS(L501)&lt;'Progetto del paramento slu'!$G$58,ABS(L501)*'Progetto del paramento slu'!$G$54,'Progetto del paramento slu'!$G$53)</f>
        <v>30730922.746430419</v>
      </c>
      <c r="G501" s="553">
        <f>-'Foglio deposito bis'!$F$50*(C501-sezione!$AN$29)*IF(ABS(M501)&lt;'Progetto del paramento slu'!$G$58,ABS(M501)*'Progetto del paramento slu'!$G$54,'Progetto del paramento slu'!$G$53)</f>
        <v>0</v>
      </c>
      <c r="H501" s="553">
        <f>-'Foglio deposito bis'!$F$51*(C501-sezione!$AO$29)*IF(ABS(N501)&lt;'Progetto del paramento slu'!$G$58,ABS(N501)*'Progetto del paramento slu'!$G$54,'Progetto del paramento slu'!$G$53)</f>
        <v>81919399.66185239</v>
      </c>
      <c r="I501" s="479">
        <f>-'Foglio deposito bis'!$F$52*(C501-sezione!$AP$29)*IF(ABS(O501)&lt;'Progetto del paramento slu'!$G$58,ABS(O501)*'Progetto del paramento slu'!$G$54,'Progetto del paramento slu'!$G$53)</f>
        <v>62644160.601903155</v>
      </c>
      <c r="J501" s="479">
        <f t="shared" ref="J501:J564" si="40">D501+E501+F501+G501+H501+I501</f>
        <v>175294482.18698597</v>
      </c>
      <c r="K501" s="558">
        <f>'Progetto del paramento slu'!$G$60*(sezione!$AL$29-C501)/C501</f>
        <v>13.996500000000001</v>
      </c>
      <c r="L501" s="558">
        <f>'Progetto del paramento slu'!$G$60*(sezione!$AM$29-C501)/C501</f>
        <v>52.496499999999997</v>
      </c>
      <c r="M501" s="559">
        <f>'Progetto del paramento slu'!$G$60*(sezione!$AN$29-C501)/C501</f>
        <v>90.996499999999997</v>
      </c>
      <c r="N501" s="559">
        <f>'Progetto del paramento slu'!$G$60*(sezione!$AO$29-C501)/C501</f>
        <v>118.99650000000001</v>
      </c>
      <c r="O501" s="559">
        <f>'Progetto del paramento slu'!$G$60*(sezione!$AP$29-C501)/C501</f>
        <v>90.997198317307664</v>
      </c>
      <c r="P501" s="553">
        <f>-'Progetto del paramento slu'!$G$47*'Progetto del paramento slu'!$G$41*IF(DATI!$G$218="dx",DATI!$E$61,DATI!$E$64*DATI!$E$63)*1000*C501*sezione!$AD$5</f>
        <v>-140.9589</v>
      </c>
      <c r="Q501" s="553">
        <f>'Foglio deposito bis'!$F$48*IF(ABS(K501)&lt;'Progetto del paramento slu'!$G$58,ABS(K501)*'Progetto del paramento slu'!$G$54,'Progetto del paramento slu'!$G$53)*IF(K501&lt;0,-1,1)</f>
        <v>0</v>
      </c>
      <c r="R501" s="553">
        <f>'Foglio deposito bis'!$F$49*IF(ABS(L501)&lt;'Progetto del paramento slu'!$G$58,ABS(L501)*'Progetto del paramento slu'!$G$54,'Progetto del paramento slu'!$G$53)*IF(L501&lt;0,-1,1)</f>
        <v>204886.47740803001</v>
      </c>
      <c r="S501" s="553">
        <f>'Foglio deposito bis'!$F$50*IF(ABS(M501)&lt;'Progetto del paramento slu'!$G$58,ABS(M501)*'Progetto del paramento slu'!$G$54,'Progetto del paramento slu'!$G$53)*IF(M501&lt;0,-1,1)</f>
        <v>0</v>
      </c>
      <c r="T501" s="553">
        <f>'Foglio deposito bis'!$F$51*IF(ABS(N501)&lt;'Progetto del paramento slu'!$G$58,ABS(N501)*'Progetto del paramento slu'!$G$54,'Progetto del paramento slu'!$G$53)*IF(N501&lt;0,-1,1)</f>
        <v>240946.49743184328</v>
      </c>
      <c r="U501" s="553">
        <f>'Foglio deposito bis'!$F$52*IF(ABS(O501)&lt;'Progetto del paramento slu'!$G$58,ABS(O501)*'Progetto del paramento slu'!$G$54,'Progetto del paramento slu'!$G$53)*IF(O501&lt;0,-1,1)</f>
        <v>240946.49743184328</v>
      </c>
      <c r="V501" s="479">
        <f t="shared" ref="V501:V564" si="41">P501+Q501+R501+S501+T501+U501</f>
        <v>686638.5133717166</v>
      </c>
      <c r="W501" s="559"/>
      <c r="X501" s="559"/>
    </row>
    <row r="502" spans="1:24" x14ac:dyDescent="0.25">
      <c r="A502" s="553">
        <f t="shared" ref="A502:A565" si="42">ABS(V502)</f>
        <v>683918.31183598493</v>
      </c>
      <c r="B502" s="3">
        <f>B501+0.05</f>
        <v>0.05</v>
      </c>
      <c r="C502" s="553">
        <f>'Foglio deposito bis'!$E$155/sezione!$B$247*B502</f>
        <v>0.20297834586759664</v>
      </c>
      <c r="D502" s="611">
        <f>-'Progetto del paramento slu'!$G$47*'Progetto del paramento slu'!$G$41*IF(DATI!$G$218="dx",DATI!$E$61,DATI!$E$64*DATI!$E$63)*1000*C502^2*sezione!$AD$5*(1-sezione!$AD$6)</f>
        <v>-339.16010970386122</v>
      </c>
      <c r="E502" s="553">
        <f>-'Foglio deposito bis'!$F$48*(C502-sezione!$AL$29)*IF(ABS(K502)&lt;'Progetto del paramento slu'!$G$58,ABS(K502)*'Progetto del paramento slu'!$G$54,'Progetto del paramento slu'!$G$53)</f>
        <v>0</v>
      </c>
      <c r="F502" s="553">
        <f>-'Foglio deposito bis'!$F$49*(C502-sezione!$AM$29)*IF(ABS(L502)&lt;'Progetto del paramento slu'!$G$58,ABS(L502)*'Progetto del paramento slu'!$G$54,'Progetto del paramento slu'!$G$53)</f>
        <v>30691384.092929583</v>
      </c>
      <c r="G502" s="553">
        <f>-'Foglio deposito bis'!$F$50*(C502-sezione!$AN$29)*IF(ABS(M502)&lt;'Progetto del paramento slu'!$G$58,ABS(M502)*'Progetto del paramento slu'!$G$54,'Progetto del paramento slu'!$G$53)</f>
        <v>0</v>
      </c>
      <c r="H502" s="553">
        <f>-'Foglio deposito bis'!$F$51*(C502-sezione!$AO$29)*IF(ABS(N502)&lt;'Progetto del paramento slu'!$G$58,ABS(N502)*'Progetto del paramento slu'!$G$54,'Progetto del paramento slu'!$G$53)</f>
        <v>81872902.205335394</v>
      </c>
      <c r="I502" s="479">
        <f>-'Foglio deposito bis'!$F$52*(C502-sezione!$AP$29)*IF(ABS(O502)&lt;'Progetto del paramento slu'!$G$58,ABS(O502)*'Progetto del paramento slu'!$G$54,'Progetto del paramento slu'!$G$53)</f>
        <v>62597663.145386167</v>
      </c>
      <c r="J502" s="479">
        <f t="shared" si="40"/>
        <v>175161610.28354144</v>
      </c>
      <c r="K502" s="558">
        <f>'Progetto del paramento slu'!$G$60*(sezione!$AL$29-C502)/C502</f>
        <v>0.68622874619503704</v>
      </c>
      <c r="L502" s="558">
        <f>'Progetto del paramento slu'!$G$60*(sezione!$AM$29-C502)/C502</f>
        <v>2.5829827982313889</v>
      </c>
      <c r="M502" s="559">
        <f>'Progetto del paramento slu'!$G$60*(sezione!$AN$29-C502)/C502</f>
        <v>4.4797368502677406</v>
      </c>
      <c r="N502" s="559">
        <f>'Progetto del paramento slu'!$G$60*(sezione!$AO$29-C502)/C502</f>
        <v>5.8591943426578137</v>
      </c>
      <c r="O502" s="559">
        <f>'Progetto del paramento slu'!$G$60*(sezione!$AP$29-C502)/C502</f>
        <v>4.4797712538049588</v>
      </c>
      <c r="P502" s="553">
        <f>-'Progetto del paramento slu'!$G$47*'Progetto del paramento slu'!$G$41*IF(DATI!$G$218="dx",DATI!$E$61,DATI!$E$64*DATI!$E$63)*1000*C502*sezione!$AD$5</f>
        <v>-2861.1604357315969</v>
      </c>
      <c r="Q502" s="553">
        <f>'Foglio deposito bis'!$F$48*IF(ABS(K502)&lt;'Progetto del paramento slu'!$G$58,ABS(K502)*'Progetto del paramento slu'!$G$54,'Progetto del paramento slu'!$G$53)*IF(K502&lt;0,-1,1)</f>
        <v>0</v>
      </c>
      <c r="R502" s="553">
        <f>'Foglio deposito bis'!$F$49*IF(ABS(L502)&lt;'Progetto del paramento slu'!$G$58,ABS(L502)*'Progetto del paramento slu'!$G$54,'Progetto del paramento slu'!$G$53)*IF(L502&lt;0,-1,1)</f>
        <v>204886.47740803001</v>
      </c>
      <c r="S502" s="553">
        <f>'Foglio deposito bis'!$F$50*IF(ABS(M502)&lt;'Progetto del paramento slu'!$G$58,ABS(M502)*'Progetto del paramento slu'!$G$54,'Progetto del paramento slu'!$G$53)*IF(M502&lt;0,-1,1)</f>
        <v>0</v>
      </c>
      <c r="T502" s="553">
        <f>'Foglio deposito bis'!$F$51*IF(ABS(N502)&lt;'Progetto del paramento slu'!$G$58,ABS(N502)*'Progetto del paramento slu'!$G$54,'Progetto del paramento slu'!$G$53)*IF(N502&lt;0,-1,1)</f>
        <v>240946.49743184328</v>
      </c>
      <c r="U502" s="553">
        <f>'Foglio deposito bis'!$F$52*IF(ABS(O502)&lt;'Progetto del paramento slu'!$G$58,ABS(O502)*'Progetto del paramento slu'!$G$54,'Progetto del paramento slu'!$G$53)*IF(O502&lt;0,-1,1)</f>
        <v>240946.49743184328</v>
      </c>
      <c r="V502" s="479">
        <f t="shared" si="41"/>
        <v>683918.31183598493</v>
      </c>
      <c r="W502" s="559"/>
      <c r="X502" s="559"/>
    </row>
    <row r="503" spans="1:24" x14ac:dyDescent="0.25">
      <c r="A503" s="553">
        <f t="shared" si="42"/>
        <v>681057.15140025341</v>
      </c>
      <c r="B503" s="3">
        <f t="shared" ref="B503:B566" si="43">B502+0.05</f>
        <v>0.1</v>
      </c>
      <c r="C503" s="553">
        <f>'Foglio deposito bis'!$E$155/sezione!$B$247*B503</f>
        <v>0.40595669173519328</v>
      </c>
      <c r="D503" s="611">
        <f>-'Progetto del paramento slu'!$G$47*'Progetto del paramento slu'!$G$41*IF(DATI!$G$218="dx",DATI!$E$61,DATI!$E$64*DATI!$E$63)*1000*C503^2*sezione!$AD$5*(1-sezione!$AD$6)</f>
        <v>-1356.6404388154449</v>
      </c>
      <c r="E503" s="553">
        <f>-'Foglio deposito bis'!$F$48*(C503-sezione!$AL$29)*IF(ABS(K503)&lt;'Progetto del paramento slu'!$G$58,ABS(K503)*'Progetto del paramento slu'!$G$54,'Progetto del paramento slu'!$G$53)</f>
        <v>0</v>
      </c>
      <c r="F503" s="553">
        <f>-'Foglio deposito bis'!$F$49*(C503-sezione!$AM$29)*IF(ABS(L503)&lt;'Progetto del paramento slu'!$G$58,ABS(L503)*'Progetto del paramento slu'!$G$54,'Progetto del paramento slu'!$G$53)</f>
        <v>30649796.574654665</v>
      </c>
      <c r="G503" s="553">
        <f>-'Foglio deposito bis'!$F$50*(C503-sezione!$AN$29)*IF(ABS(M503)&lt;'Progetto del paramento slu'!$G$58,ABS(M503)*'Progetto del paramento slu'!$G$54,'Progetto del paramento slu'!$G$53)</f>
        <v>0</v>
      </c>
      <c r="H503" s="553">
        <f>-'Foglio deposito bis'!$F$51*(C503-sezione!$AO$29)*IF(ABS(N503)&lt;'Progetto del paramento slu'!$G$58,ABS(N503)*'Progetto del paramento slu'!$G$54,'Progetto del paramento slu'!$G$53)</f>
        <v>81823995.283844098</v>
      </c>
      <c r="I503" s="479">
        <f>-'Foglio deposito bis'!$F$52*(C503-sezione!$AP$29)*IF(ABS(O503)&lt;'Progetto del paramento slu'!$G$58,ABS(O503)*'Progetto del paramento slu'!$G$54,'Progetto del paramento slu'!$G$53)</f>
        <v>62548756.223894857</v>
      </c>
      <c r="J503" s="479">
        <f t="shared" si="40"/>
        <v>175021191.44195482</v>
      </c>
      <c r="K503" s="558">
        <f>'Progetto del paramento slu'!$G$60*(sezione!$AL$29-C503)/C503</f>
        <v>0.34136437309751855</v>
      </c>
      <c r="L503" s="558">
        <f>'Progetto del paramento slu'!$G$60*(sezione!$AM$29-C503)/C503</f>
        <v>1.2897413991156945</v>
      </c>
      <c r="M503" s="559">
        <f>'Progetto del paramento slu'!$G$60*(sezione!$AN$29-C503)/C503</f>
        <v>2.2381184251338704</v>
      </c>
      <c r="N503" s="559">
        <f>'Progetto del paramento slu'!$G$60*(sezione!$AO$29-C503)/C503</f>
        <v>2.9278471713289074</v>
      </c>
      <c r="O503" s="559">
        <f>'Progetto del paramento slu'!$G$60*(sezione!$AP$29-C503)/C503</f>
        <v>2.2381356269024799</v>
      </c>
      <c r="P503" s="553">
        <f>-'Progetto del paramento slu'!$G$47*'Progetto del paramento slu'!$G$41*IF(DATI!$G$218="dx",DATI!$E$61,DATI!$E$64*DATI!$E$63)*1000*C503*sezione!$AD$5</f>
        <v>-5722.3208714631937</v>
      </c>
      <c r="Q503" s="553">
        <f>'Foglio deposito bis'!$F$48*IF(ABS(K503)&lt;'Progetto del paramento slu'!$G$58,ABS(K503)*'Progetto del paramento slu'!$G$54,'Progetto del paramento slu'!$G$53)*IF(K503&lt;0,-1,1)</f>
        <v>0</v>
      </c>
      <c r="R503" s="553">
        <f>'Foglio deposito bis'!$F$49*IF(ABS(L503)&lt;'Progetto del paramento slu'!$G$58,ABS(L503)*'Progetto del paramento slu'!$G$54,'Progetto del paramento slu'!$G$53)*IF(L503&lt;0,-1,1)</f>
        <v>204886.47740803001</v>
      </c>
      <c r="S503" s="553">
        <f>'Foglio deposito bis'!$F$50*IF(ABS(M503)&lt;'Progetto del paramento slu'!$G$58,ABS(M503)*'Progetto del paramento slu'!$G$54,'Progetto del paramento slu'!$G$53)*IF(M503&lt;0,-1,1)</f>
        <v>0</v>
      </c>
      <c r="T503" s="553">
        <f>'Foglio deposito bis'!$F$51*IF(ABS(N503)&lt;'Progetto del paramento slu'!$G$58,ABS(N503)*'Progetto del paramento slu'!$G$54,'Progetto del paramento slu'!$G$53)*IF(N503&lt;0,-1,1)</f>
        <v>240946.49743184328</v>
      </c>
      <c r="U503" s="553">
        <f>'Foglio deposito bis'!$F$52*IF(ABS(O503)&lt;'Progetto del paramento slu'!$G$58,ABS(O503)*'Progetto del paramento slu'!$G$54,'Progetto del paramento slu'!$G$53)*IF(O503&lt;0,-1,1)</f>
        <v>240946.49743184328</v>
      </c>
      <c r="V503" s="479">
        <f t="shared" si="41"/>
        <v>681057.15140025341</v>
      </c>
      <c r="W503" s="559"/>
      <c r="X503" s="559"/>
    </row>
    <row r="504" spans="1:24" x14ac:dyDescent="0.25">
      <c r="A504" s="553">
        <f t="shared" si="42"/>
        <v>678195.99096452177</v>
      </c>
      <c r="B504" s="3">
        <f t="shared" si="43"/>
        <v>0.15000000000000002</v>
      </c>
      <c r="C504" s="553">
        <f>'Foglio deposito bis'!$E$155/sezione!$B$247*B504</f>
        <v>0.60893503760279</v>
      </c>
      <c r="D504" s="611">
        <f>-'Progetto del paramento slu'!$G$47*'Progetto del paramento slu'!$G$41*IF(DATI!$G$218="dx",DATI!$E$61,DATI!$E$64*DATI!$E$63)*1000*C504^2*sezione!$AD$5*(1-sezione!$AD$6)</f>
        <v>-3052.4409873347518</v>
      </c>
      <c r="E504" s="553">
        <f>-'Foglio deposito bis'!$F$48*(C504-sezione!$AL$29)*IF(ABS(K504)&lt;'Progetto del paramento slu'!$G$58,ABS(K504)*'Progetto del paramento slu'!$G$54,'Progetto del paramento slu'!$G$53)</f>
        <v>0</v>
      </c>
      <c r="F504" s="553">
        <f>-'Foglio deposito bis'!$F$49*(C504-sezione!$AM$29)*IF(ABS(L504)&lt;'Progetto del paramento slu'!$G$58,ABS(L504)*'Progetto del paramento slu'!$G$54,'Progetto del paramento slu'!$G$53)</f>
        <v>30608209.056379743</v>
      </c>
      <c r="G504" s="553">
        <f>-'Foglio deposito bis'!$F$50*(C504-sezione!$AN$29)*IF(ABS(M504)&lt;'Progetto del paramento slu'!$G$58,ABS(M504)*'Progetto del paramento slu'!$G$54,'Progetto del paramento slu'!$G$53)</f>
        <v>0</v>
      </c>
      <c r="H504" s="553">
        <f>-'Foglio deposito bis'!$F$51*(C504-sezione!$AO$29)*IF(ABS(N504)&lt;'Progetto del paramento slu'!$G$58,ABS(N504)*'Progetto del paramento slu'!$G$54,'Progetto del paramento slu'!$G$53)</f>
        <v>81775088.362352788</v>
      </c>
      <c r="I504" s="479">
        <f>-'Foglio deposito bis'!$F$52*(C504-sezione!$AP$29)*IF(ABS(O504)&lt;'Progetto del paramento slu'!$G$58,ABS(O504)*'Progetto del paramento slu'!$G$54,'Progetto del paramento slu'!$G$53)</f>
        <v>62499849.302403554</v>
      </c>
      <c r="J504" s="479">
        <f t="shared" si="40"/>
        <v>174880094.28014874</v>
      </c>
      <c r="K504" s="558">
        <f>'Progetto del paramento slu'!$G$60*(sezione!$AL$29-C504)/C504</f>
        <v>0.2264095820650123</v>
      </c>
      <c r="L504" s="558">
        <f>'Progetto del paramento slu'!$G$60*(sezione!$AM$29-C504)/C504</f>
        <v>0.85866093274379629</v>
      </c>
      <c r="M504" s="559">
        <f>'Progetto del paramento slu'!$G$60*(sezione!$AN$29-C504)/C504</f>
        <v>1.4909122834225799</v>
      </c>
      <c r="N504" s="559">
        <f>'Progetto del paramento slu'!$G$60*(sezione!$AO$29-C504)/C504</f>
        <v>1.9507314475526043</v>
      </c>
      <c r="O504" s="559">
        <f>'Progetto del paramento slu'!$G$60*(sezione!$AP$29-C504)/C504</f>
        <v>1.4909237512683196</v>
      </c>
      <c r="P504" s="553">
        <f>-'Progetto del paramento slu'!$G$47*'Progetto del paramento slu'!$G$41*IF(DATI!$G$218="dx",DATI!$E$61,DATI!$E$64*DATI!$E$63)*1000*C504*sezione!$AD$5</f>
        <v>-8583.481307194792</v>
      </c>
      <c r="Q504" s="553">
        <f>'Foglio deposito bis'!$F$48*IF(ABS(K504)&lt;'Progetto del paramento slu'!$G$58,ABS(K504)*'Progetto del paramento slu'!$G$54,'Progetto del paramento slu'!$G$53)*IF(K504&lt;0,-1,1)</f>
        <v>0</v>
      </c>
      <c r="R504" s="553">
        <f>'Foglio deposito bis'!$F$49*IF(ABS(L504)&lt;'Progetto del paramento slu'!$G$58,ABS(L504)*'Progetto del paramento slu'!$G$54,'Progetto del paramento slu'!$G$53)*IF(L504&lt;0,-1,1)</f>
        <v>204886.47740803001</v>
      </c>
      <c r="S504" s="553">
        <f>'Foglio deposito bis'!$F$50*IF(ABS(M504)&lt;'Progetto del paramento slu'!$G$58,ABS(M504)*'Progetto del paramento slu'!$G$54,'Progetto del paramento slu'!$G$53)*IF(M504&lt;0,-1,1)</f>
        <v>0</v>
      </c>
      <c r="T504" s="553">
        <f>'Foglio deposito bis'!$F$51*IF(ABS(N504)&lt;'Progetto del paramento slu'!$G$58,ABS(N504)*'Progetto del paramento slu'!$G$54,'Progetto del paramento slu'!$G$53)*IF(N504&lt;0,-1,1)</f>
        <v>240946.49743184328</v>
      </c>
      <c r="U504" s="553">
        <f>'Foglio deposito bis'!$F$52*IF(ABS(O504)&lt;'Progetto del paramento slu'!$G$58,ABS(O504)*'Progetto del paramento slu'!$G$54,'Progetto del paramento slu'!$G$53)*IF(O504&lt;0,-1,1)</f>
        <v>240946.49743184328</v>
      </c>
      <c r="V504" s="479">
        <f t="shared" si="41"/>
        <v>678195.99096452177</v>
      </c>
      <c r="W504" s="559"/>
      <c r="X504" s="559"/>
    </row>
    <row r="505" spans="1:24" x14ac:dyDescent="0.25">
      <c r="A505" s="553">
        <f t="shared" si="42"/>
        <v>675334.83052879025</v>
      </c>
      <c r="B505" s="3">
        <f t="shared" si="43"/>
        <v>0.2</v>
      </c>
      <c r="C505" s="553">
        <f>'Foglio deposito bis'!$E$155/sezione!$B$247*B505</f>
        <v>0.81191338347038655</v>
      </c>
      <c r="D505" s="611">
        <f>-'Progetto del paramento slu'!$G$47*'Progetto del paramento slu'!$G$41*IF(DATI!$G$218="dx",DATI!$E$61,DATI!$E$64*DATI!$E$63)*1000*C505^2*sezione!$AD$5*(1-sezione!$AD$6)</f>
        <v>-5426.5617552617796</v>
      </c>
      <c r="E505" s="553">
        <f>-'Foglio deposito bis'!$F$48*(C505-sezione!$AL$29)*IF(ABS(K505)&lt;'Progetto del paramento slu'!$G$58,ABS(K505)*'Progetto del paramento slu'!$G$54,'Progetto del paramento slu'!$G$53)</f>
        <v>0</v>
      </c>
      <c r="F505" s="553">
        <f>-'Foglio deposito bis'!$F$49*(C505-sezione!$AM$29)*IF(ABS(L505)&lt;'Progetto del paramento slu'!$G$58,ABS(L505)*'Progetto del paramento slu'!$G$54,'Progetto del paramento slu'!$G$53)</f>
        <v>30566621.538104817</v>
      </c>
      <c r="G505" s="553">
        <f>-'Foglio deposito bis'!$F$50*(C505-sezione!$AN$29)*IF(ABS(M505)&lt;'Progetto del paramento slu'!$G$58,ABS(M505)*'Progetto del paramento slu'!$G$54,'Progetto del paramento slu'!$G$53)</f>
        <v>0</v>
      </c>
      <c r="H505" s="553">
        <f>-'Foglio deposito bis'!$F$51*(C505-sezione!$AO$29)*IF(ABS(N505)&lt;'Progetto del paramento slu'!$G$58,ABS(N505)*'Progetto del paramento slu'!$G$54,'Progetto del paramento slu'!$G$53)</f>
        <v>81726181.440861493</v>
      </c>
      <c r="I505" s="479">
        <f>-'Foglio deposito bis'!$F$52*(C505-sezione!$AP$29)*IF(ABS(O505)&lt;'Progetto del paramento slu'!$G$58,ABS(O505)*'Progetto del paramento slu'!$G$54,'Progetto del paramento slu'!$G$53)</f>
        <v>62450942.380912244</v>
      </c>
      <c r="J505" s="479">
        <f t="shared" si="40"/>
        <v>174738318.7981233</v>
      </c>
      <c r="K505" s="558">
        <f>'Progetto del paramento slu'!$G$60*(sezione!$AL$29-C505)/C505</f>
        <v>0.16893218654875927</v>
      </c>
      <c r="L505" s="558">
        <f>'Progetto del paramento slu'!$G$60*(sezione!$AM$29-C505)/C505</f>
        <v>0.64312069955784712</v>
      </c>
      <c r="M505" s="559">
        <f>'Progetto del paramento slu'!$G$60*(sezione!$AN$29-C505)/C505</f>
        <v>1.1173092125669353</v>
      </c>
      <c r="N505" s="559">
        <f>'Progetto del paramento slu'!$G$60*(sezione!$AO$29-C505)/C505</f>
        <v>1.4621735856644535</v>
      </c>
      <c r="O505" s="559">
        <f>'Progetto del paramento slu'!$G$60*(sezione!$AP$29-C505)/C505</f>
        <v>1.11731781345124</v>
      </c>
      <c r="P505" s="553">
        <f>-'Progetto del paramento slu'!$G$47*'Progetto del paramento slu'!$G$41*IF(DATI!$G$218="dx",DATI!$E$61,DATI!$E$64*DATI!$E$63)*1000*C505*sezione!$AD$5</f>
        <v>-11444.641742926387</v>
      </c>
      <c r="Q505" s="553">
        <f>'Foglio deposito bis'!$F$48*IF(ABS(K505)&lt;'Progetto del paramento slu'!$G$58,ABS(K505)*'Progetto del paramento slu'!$G$54,'Progetto del paramento slu'!$G$53)*IF(K505&lt;0,-1,1)</f>
        <v>0</v>
      </c>
      <c r="R505" s="553">
        <f>'Foglio deposito bis'!$F$49*IF(ABS(L505)&lt;'Progetto del paramento slu'!$G$58,ABS(L505)*'Progetto del paramento slu'!$G$54,'Progetto del paramento slu'!$G$53)*IF(L505&lt;0,-1,1)</f>
        <v>204886.47740803001</v>
      </c>
      <c r="S505" s="553">
        <f>'Foglio deposito bis'!$F$50*IF(ABS(M505)&lt;'Progetto del paramento slu'!$G$58,ABS(M505)*'Progetto del paramento slu'!$G$54,'Progetto del paramento slu'!$G$53)*IF(M505&lt;0,-1,1)</f>
        <v>0</v>
      </c>
      <c r="T505" s="553">
        <f>'Foglio deposito bis'!$F$51*IF(ABS(N505)&lt;'Progetto del paramento slu'!$G$58,ABS(N505)*'Progetto del paramento slu'!$G$54,'Progetto del paramento slu'!$G$53)*IF(N505&lt;0,-1,1)</f>
        <v>240946.49743184328</v>
      </c>
      <c r="U505" s="553">
        <f>'Foglio deposito bis'!$F$52*IF(ABS(O505)&lt;'Progetto del paramento slu'!$G$58,ABS(O505)*'Progetto del paramento slu'!$G$54,'Progetto del paramento slu'!$G$53)*IF(O505&lt;0,-1,1)</f>
        <v>240946.49743184328</v>
      </c>
      <c r="V505" s="479">
        <f t="shared" si="41"/>
        <v>675334.83052879025</v>
      </c>
      <c r="W505" s="559"/>
      <c r="X505" s="559"/>
    </row>
    <row r="506" spans="1:24" x14ac:dyDescent="0.25">
      <c r="A506" s="553">
        <f t="shared" si="42"/>
        <v>672473.67009305861</v>
      </c>
      <c r="B506" s="3">
        <f t="shared" si="43"/>
        <v>0.25</v>
      </c>
      <c r="C506" s="553">
        <f>'Foglio deposito bis'!$E$155/sezione!$B$247*B506</f>
        <v>1.0148917293379831</v>
      </c>
      <c r="D506" s="611">
        <f>-'Progetto del paramento slu'!$G$47*'Progetto del paramento slu'!$G$41*IF(DATI!$G$218="dx",DATI!$E$61,DATI!$E$64*DATI!$E$63)*1000*C506^2*sezione!$AD$5*(1-sezione!$AD$6)</f>
        <v>-8479.0027425965291</v>
      </c>
      <c r="E506" s="553">
        <f>-'Foglio deposito bis'!$F$48*(C506-sezione!$AL$29)*IF(ABS(K506)&lt;'Progetto del paramento slu'!$G$58,ABS(K506)*'Progetto del paramento slu'!$G$54,'Progetto del paramento slu'!$G$53)</f>
        <v>0</v>
      </c>
      <c r="F506" s="553">
        <f>-'Foglio deposito bis'!$F$49*(C506-sezione!$AM$29)*IF(ABS(L506)&lt;'Progetto del paramento slu'!$G$58,ABS(L506)*'Progetto del paramento slu'!$G$54,'Progetto del paramento slu'!$G$53)</f>
        <v>30525034.019829895</v>
      </c>
      <c r="G506" s="553">
        <f>-'Foglio deposito bis'!$F$50*(C506-sezione!$AN$29)*IF(ABS(M506)&lt;'Progetto del paramento slu'!$G$58,ABS(M506)*'Progetto del paramento slu'!$G$54,'Progetto del paramento slu'!$G$53)</f>
        <v>0</v>
      </c>
      <c r="H506" s="553">
        <f>-'Foglio deposito bis'!$F$51*(C506-sezione!$AO$29)*IF(ABS(N506)&lt;'Progetto del paramento slu'!$G$58,ABS(N506)*'Progetto del paramento slu'!$G$54,'Progetto del paramento slu'!$G$53)</f>
        <v>81677274.519370183</v>
      </c>
      <c r="I506" s="479">
        <f>-'Foglio deposito bis'!$F$52*(C506-sezione!$AP$29)*IF(ABS(O506)&lt;'Progetto del paramento slu'!$G$58,ABS(O506)*'Progetto del paramento slu'!$G$54,'Progetto del paramento slu'!$G$53)</f>
        <v>62402035.459420942</v>
      </c>
      <c r="J506" s="479">
        <f t="shared" si="40"/>
        <v>174595864.99587843</v>
      </c>
      <c r="K506" s="558">
        <f>'Progetto del paramento slu'!$G$60*(sezione!$AL$29-C506)/C506</f>
        <v>0.1344457492390074</v>
      </c>
      <c r="L506" s="558">
        <f>'Progetto del paramento slu'!$G$60*(sezione!$AM$29-C506)/C506</f>
        <v>0.5137965596462778</v>
      </c>
      <c r="M506" s="559">
        <f>'Progetto del paramento slu'!$G$60*(sezione!$AN$29-C506)/C506</f>
        <v>0.89314737005354816</v>
      </c>
      <c r="N506" s="559">
        <f>'Progetto del paramento slu'!$G$60*(sezione!$AO$29-C506)/C506</f>
        <v>1.1690388685315629</v>
      </c>
      <c r="O506" s="559">
        <f>'Progetto del paramento slu'!$G$60*(sezione!$AP$29-C506)/C506</f>
        <v>0.89315425076099197</v>
      </c>
      <c r="P506" s="553">
        <f>-'Progetto del paramento slu'!$G$47*'Progetto del paramento slu'!$G$41*IF(DATI!$G$218="dx",DATI!$E$61,DATI!$E$64*DATI!$E$63)*1000*C506*sezione!$AD$5</f>
        <v>-14305.802178657981</v>
      </c>
      <c r="Q506" s="553">
        <f>'Foglio deposito bis'!$F$48*IF(ABS(K506)&lt;'Progetto del paramento slu'!$G$58,ABS(K506)*'Progetto del paramento slu'!$G$54,'Progetto del paramento slu'!$G$53)*IF(K506&lt;0,-1,1)</f>
        <v>0</v>
      </c>
      <c r="R506" s="553">
        <f>'Foglio deposito bis'!$F$49*IF(ABS(L506)&lt;'Progetto del paramento slu'!$G$58,ABS(L506)*'Progetto del paramento slu'!$G$54,'Progetto del paramento slu'!$G$53)*IF(L506&lt;0,-1,1)</f>
        <v>204886.47740803001</v>
      </c>
      <c r="S506" s="553">
        <f>'Foglio deposito bis'!$F$50*IF(ABS(M506)&lt;'Progetto del paramento slu'!$G$58,ABS(M506)*'Progetto del paramento slu'!$G$54,'Progetto del paramento slu'!$G$53)*IF(M506&lt;0,-1,1)</f>
        <v>0</v>
      </c>
      <c r="T506" s="553">
        <f>'Foglio deposito bis'!$F$51*IF(ABS(N506)&lt;'Progetto del paramento slu'!$G$58,ABS(N506)*'Progetto del paramento slu'!$G$54,'Progetto del paramento slu'!$G$53)*IF(N506&lt;0,-1,1)</f>
        <v>240946.49743184328</v>
      </c>
      <c r="U506" s="553">
        <f>'Foglio deposito bis'!$F$52*IF(ABS(O506)&lt;'Progetto del paramento slu'!$G$58,ABS(O506)*'Progetto del paramento slu'!$G$54,'Progetto del paramento slu'!$G$53)*IF(O506&lt;0,-1,1)</f>
        <v>240946.49743184328</v>
      </c>
      <c r="V506" s="479">
        <f t="shared" si="41"/>
        <v>672473.67009305861</v>
      </c>
      <c r="W506" s="559"/>
      <c r="X506" s="559"/>
    </row>
    <row r="507" spans="1:24" x14ac:dyDescent="0.25">
      <c r="A507" s="553">
        <f t="shared" si="42"/>
        <v>669612.50965732697</v>
      </c>
      <c r="B507" s="3">
        <f t="shared" si="43"/>
        <v>0.3</v>
      </c>
      <c r="C507" s="553">
        <f>'Foglio deposito bis'!$E$155/sezione!$B$247*B507</f>
        <v>1.2178700752055798</v>
      </c>
      <c r="D507" s="611">
        <f>-'Progetto del paramento slu'!$G$47*'Progetto del paramento slu'!$G$41*IF(DATI!$G$218="dx",DATI!$E$61,DATI!$E$64*DATI!$E$63)*1000*C507^2*sezione!$AD$5*(1-sezione!$AD$6)</f>
        <v>-12209.763949339</v>
      </c>
      <c r="E507" s="553">
        <f>-'Foglio deposito bis'!$F$48*(C507-sezione!$AL$29)*IF(ABS(K507)&lt;'Progetto del paramento slu'!$G$58,ABS(K507)*'Progetto del paramento slu'!$G$54,'Progetto del paramento slu'!$G$53)</f>
        <v>0</v>
      </c>
      <c r="F507" s="553">
        <f>-'Foglio deposito bis'!$F$49*(C507-sezione!$AM$29)*IF(ABS(L507)&lt;'Progetto del paramento slu'!$G$58,ABS(L507)*'Progetto del paramento slu'!$G$54,'Progetto del paramento slu'!$G$53)</f>
        <v>30483446.501554973</v>
      </c>
      <c r="G507" s="553">
        <f>-'Foglio deposito bis'!$F$50*(C507-sezione!$AN$29)*IF(ABS(M507)&lt;'Progetto del paramento slu'!$G$58,ABS(M507)*'Progetto del paramento slu'!$G$54,'Progetto del paramento slu'!$G$53)</f>
        <v>0</v>
      </c>
      <c r="H507" s="553">
        <f>-'Foglio deposito bis'!$F$51*(C507-sezione!$AO$29)*IF(ABS(N507)&lt;'Progetto del paramento slu'!$G$58,ABS(N507)*'Progetto del paramento slu'!$G$54,'Progetto del paramento slu'!$G$53)</f>
        <v>81628367.597878873</v>
      </c>
      <c r="I507" s="479">
        <f>-'Foglio deposito bis'!$F$52*(C507-sezione!$AP$29)*IF(ABS(O507)&lt;'Progetto del paramento slu'!$G$58,ABS(O507)*'Progetto del paramento slu'!$G$54,'Progetto del paramento slu'!$G$53)</f>
        <v>62353128.537929647</v>
      </c>
      <c r="J507" s="479">
        <f t="shared" si="40"/>
        <v>174452732.87341416</v>
      </c>
      <c r="K507" s="558">
        <f>'Progetto del paramento slu'!$G$60*(sezione!$AL$29-C507)/C507</f>
        <v>0.11145479103250618</v>
      </c>
      <c r="L507" s="558">
        <f>'Progetto del paramento slu'!$G$60*(sezione!$AM$29-C507)/C507</f>
        <v>0.42758046637189812</v>
      </c>
      <c r="M507" s="559">
        <f>'Progetto del paramento slu'!$G$60*(sezione!$AN$29-C507)/C507</f>
        <v>0.74370614171129024</v>
      </c>
      <c r="N507" s="559">
        <f>'Progetto del paramento slu'!$G$60*(sezione!$AO$29-C507)/C507</f>
        <v>0.97361572377630246</v>
      </c>
      <c r="O507" s="559">
        <f>'Progetto del paramento slu'!$G$60*(sezione!$AP$29-C507)/C507</f>
        <v>0.74371187563415997</v>
      </c>
      <c r="P507" s="553">
        <f>-'Progetto del paramento slu'!$G$47*'Progetto del paramento slu'!$G$41*IF(DATI!$G$218="dx",DATI!$E$61,DATI!$E$64*DATI!$E$63)*1000*C507*sezione!$AD$5</f>
        <v>-17166.96261438958</v>
      </c>
      <c r="Q507" s="553">
        <f>'Foglio deposito bis'!$F$48*IF(ABS(K507)&lt;'Progetto del paramento slu'!$G$58,ABS(K507)*'Progetto del paramento slu'!$G$54,'Progetto del paramento slu'!$G$53)*IF(K507&lt;0,-1,1)</f>
        <v>0</v>
      </c>
      <c r="R507" s="553">
        <f>'Foglio deposito bis'!$F$49*IF(ABS(L507)&lt;'Progetto del paramento slu'!$G$58,ABS(L507)*'Progetto del paramento slu'!$G$54,'Progetto del paramento slu'!$G$53)*IF(L507&lt;0,-1,1)</f>
        <v>204886.47740803001</v>
      </c>
      <c r="S507" s="553">
        <f>'Foglio deposito bis'!$F$50*IF(ABS(M507)&lt;'Progetto del paramento slu'!$G$58,ABS(M507)*'Progetto del paramento slu'!$G$54,'Progetto del paramento slu'!$G$53)*IF(M507&lt;0,-1,1)</f>
        <v>0</v>
      </c>
      <c r="T507" s="553">
        <f>'Foglio deposito bis'!$F$51*IF(ABS(N507)&lt;'Progetto del paramento slu'!$G$58,ABS(N507)*'Progetto del paramento slu'!$G$54,'Progetto del paramento slu'!$G$53)*IF(N507&lt;0,-1,1)</f>
        <v>240946.49743184328</v>
      </c>
      <c r="U507" s="553">
        <f>'Foglio deposito bis'!$F$52*IF(ABS(O507)&lt;'Progetto del paramento slu'!$G$58,ABS(O507)*'Progetto del paramento slu'!$G$54,'Progetto del paramento slu'!$G$53)*IF(O507&lt;0,-1,1)</f>
        <v>240946.49743184328</v>
      </c>
      <c r="V507" s="479">
        <f t="shared" si="41"/>
        <v>669612.50965732697</v>
      </c>
      <c r="W507" s="559"/>
      <c r="X507" s="559"/>
    </row>
    <row r="508" spans="1:24" x14ac:dyDescent="0.25">
      <c r="A508" s="553">
        <f t="shared" si="42"/>
        <v>666751.34922159545</v>
      </c>
      <c r="B508" s="3">
        <f t="shared" si="43"/>
        <v>0.35</v>
      </c>
      <c r="C508" s="553">
        <f>'Foglio deposito bis'!$E$155/sezione!$B$247*B508</f>
        <v>1.4208484210731762</v>
      </c>
      <c r="D508" s="611">
        <f>-'Progetto del paramento slu'!$G$47*'Progetto del paramento slu'!$G$41*IF(DATI!$G$218="dx",DATI!$E$61,DATI!$E$64*DATI!$E$63)*1000*C508^2*sezione!$AD$5*(1-sezione!$AD$6)</f>
        <v>-16618.845375489193</v>
      </c>
      <c r="E508" s="553">
        <f>-'Foglio deposito bis'!$F$48*(C508-sezione!$AL$29)*IF(ABS(K508)&lt;'Progetto del paramento slu'!$G$58,ABS(K508)*'Progetto del paramento slu'!$G$54,'Progetto del paramento slu'!$G$53)</f>
        <v>0</v>
      </c>
      <c r="F508" s="553">
        <f>-'Foglio deposito bis'!$F$49*(C508-sezione!$AM$29)*IF(ABS(L508)&lt;'Progetto del paramento slu'!$G$58,ABS(L508)*'Progetto del paramento slu'!$G$54,'Progetto del paramento slu'!$G$53)</f>
        <v>30441858.983280059</v>
      </c>
      <c r="G508" s="553">
        <f>-'Foglio deposito bis'!$F$50*(C508-sezione!$AN$29)*IF(ABS(M508)&lt;'Progetto del paramento slu'!$G$58,ABS(M508)*'Progetto del paramento slu'!$G$54,'Progetto del paramento slu'!$G$53)</f>
        <v>0</v>
      </c>
      <c r="H508" s="553">
        <f>-'Foglio deposito bis'!$F$51*(C508-sezione!$AO$29)*IF(ABS(N508)&lt;'Progetto del paramento slu'!$G$58,ABS(N508)*'Progetto del paramento slu'!$G$54,'Progetto del paramento slu'!$G$53)</f>
        <v>81579460.676387563</v>
      </c>
      <c r="I508" s="479">
        <f>-'Foglio deposito bis'!$F$52*(C508-sezione!$AP$29)*IF(ABS(O508)&lt;'Progetto del paramento slu'!$G$58,ABS(O508)*'Progetto del paramento slu'!$G$54,'Progetto del paramento slu'!$G$53)</f>
        <v>62304221.616438329</v>
      </c>
      <c r="J508" s="479">
        <f t="shared" si="40"/>
        <v>174308922.43073046</v>
      </c>
      <c r="K508" s="558">
        <f>'Progetto del paramento slu'!$G$60*(sezione!$AL$29-C508)/C508</f>
        <v>9.5032678027862458E-2</v>
      </c>
      <c r="L508" s="558">
        <f>'Progetto del paramento slu'!$G$60*(sezione!$AM$29-C508)/C508</f>
        <v>0.36599754260448419</v>
      </c>
      <c r="M508" s="559">
        <f>'Progetto del paramento slu'!$G$60*(sezione!$AN$29-C508)/C508</f>
        <v>0.63696240718110586</v>
      </c>
      <c r="N508" s="559">
        <f>'Progetto del paramento slu'!$G$60*(sezione!$AO$29-C508)/C508</f>
        <v>0.8340277632368307</v>
      </c>
      <c r="O508" s="559">
        <f>'Progetto del paramento slu'!$G$60*(sezione!$AP$29-C508)/C508</f>
        <v>0.63696732197213712</v>
      </c>
      <c r="P508" s="553">
        <f>-'Progetto del paramento slu'!$G$47*'Progetto del paramento slu'!$G$41*IF(DATI!$G$218="dx",DATI!$E$61,DATI!$E$64*DATI!$E$63)*1000*C508*sezione!$AD$5</f>
        <v>-20028.123050121176</v>
      </c>
      <c r="Q508" s="553">
        <f>'Foglio deposito bis'!$F$48*IF(ABS(K508)&lt;'Progetto del paramento slu'!$G$58,ABS(K508)*'Progetto del paramento slu'!$G$54,'Progetto del paramento slu'!$G$53)*IF(K508&lt;0,-1,1)</f>
        <v>0</v>
      </c>
      <c r="R508" s="553">
        <f>'Foglio deposito bis'!$F$49*IF(ABS(L508)&lt;'Progetto del paramento slu'!$G$58,ABS(L508)*'Progetto del paramento slu'!$G$54,'Progetto del paramento slu'!$G$53)*IF(L508&lt;0,-1,1)</f>
        <v>204886.47740803001</v>
      </c>
      <c r="S508" s="553">
        <f>'Foglio deposito bis'!$F$50*IF(ABS(M508)&lt;'Progetto del paramento slu'!$G$58,ABS(M508)*'Progetto del paramento slu'!$G$54,'Progetto del paramento slu'!$G$53)*IF(M508&lt;0,-1,1)</f>
        <v>0</v>
      </c>
      <c r="T508" s="553">
        <f>'Foglio deposito bis'!$F$51*IF(ABS(N508)&lt;'Progetto del paramento slu'!$G$58,ABS(N508)*'Progetto del paramento slu'!$G$54,'Progetto del paramento slu'!$G$53)*IF(N508&lt;0,-1,1)</f>
        <v>240946.49743184328</v>
      </c>
      <c r="U508" s="553">
        <f>'Foglio deposito bis'!$F$52*IF(ABS(O508)&lt;'Progetto del paramento slu'!$G$58,ABS(O508)*'Progetto del paramento slu'!$G$54,'Progetto del paramento slu'!$G$53)*IF(O508&lt;0,-1,1)</f>
        <v>240946.49743184328</v>
      </c>
      <c r="V508" s="479">
        <f t="shared" si="41"/>
        <v>666751.34922159545</v>
      </c>
      <c r="W508" s="559"/>
      <c r="X508" s="559"/>
    </row>
    <row r="509" spans="1:24" x14ac:dyDescent="0.25">
      <c r="A509" s="553">
        <f t="shared" si="42"/>
        <v>663890.18878586381</v>
      </c>
      <c r="B509" s="3">
        <f t="shared" si="43"/>
        <v>0.39999999999999997</v>
      </c>
      <c r="C509" s="553">
        <f>'Foglio deposito bis'!$E$155/sezione!$B$247*B509</f>
        <v>1.6238267669407729</v>
      </c>
      <c r="D509" s="611">
        <f>-'Progetto del paramento slu'!$G$47*'Progetto del paramento slu'!$G$41*IF(DATI!$G$218="dx",DATI!$E$61,DATI!$E$64*DATI!$E$63)*1000*C509^2*sezione!$AD$5*(1-sezione!$AD$6)</f>
        <v>-21706.247021047111</v>
      </c>
      <c r="E509" s="553">
        <f>-'Foglio deposito bis'!$F$48*(C509-sezione!$AL$29)*IF(ABS(K509)&lt;'Progetto del paramento slu'!$G$58,ABS(K509)*'Progetto del paramento slu'!$G$54,'Progetto del paramento slu'!$G$53)</f>
        <v>0</v>
      </c>
      <c r="F509" s="553">
        <f>-'Foglio deposito bis'!$F$49*(C509-sezione!$AM$29)*IF(ABS(L509)&lt;'Progetto del paramento slu'!$G$58,ABS(L509)*'Progetto del paramento slu'!$G$54,'Progetto del paramento slu'!$G$53)</f>
        <v>30400271.465005137</v>
      </c>
      <c r="G509" s="553">
        <f>-'Foglio deposito bis'!$F$50*(C509-sezione!$AN$29)*IF(ABS(M509)&lt;'Progetto del paramento slu'!$G$58,ABS(M509)*'Progetto del paramento slu'!$G$54,'Progetto del paramento slu'!$G$53)</f>
        <v>0</v>
      </c>
      <c r="H509" s="553">
        <f>-'Foglio deposito bis'!$F$51*(C509-sezione!$AO$29)*IF(ABS(N509)&lt;'Progetto del paramento slu'!$G$58,ABS(N509)*'Progetto del paramento slu'!$G$54,'Progetto del paramento slu'!$G$53)</f>
        <v>81530553.754896253</v>
      </c>
      <c r="I509" s="479">
        <f>-'Foglio deposito bis'!$F$52*(C509-sezione!$AP$29)*IF(ABS(O509)&lt;'Progetto del paramento slu'!$G$58,ABS(O509)*'Progetto del paramento slu'!$G$54,'Progetto del paramento slu'!$G$53)</f>
        <v>62255314.694947019</v>
      </c>
      <c r="J509" s="479">
        <f t="shared" si="40"/>
        <v>174164433.66782737</v>
      </c>
      <c r="K509" s="558">
        <f>'Progetto del paramento slu'!$G$60*(sezione!$AL$29-C509)/C509</f>
        <v>8.2716093274379635E-2</v>
      </c>
      <c r="L509" s="558">
        <f>'Progetto del paramento slu'!$G$60*(sezione!$AM$29-C509)/C509</f>
        <v>0.31981034977892364</v>
      </c>
      <c r="M509" s="559">
        <f>'Progetto del paramento slu'!$G$60*(sezione!$AN$29-C509)/C509</f>
        <v>0.55690460628346761</v>
      </c>
      <c r="N509" s="559">
        <f>'Progetto del paramento slu'!$G$60*(sezione!$AO$29-C509)/C509</f>
        <v>0.72933679283222697</v>
      </c>
      <c r="O509" s="559">
        <f>'Progetto del paramento slu'!$G$60*(sezione!$AP$29-C509)/C509</f>
        <v>0.55690890672561999</v>
      </c>
      <c r="P509" s="553">
        <f>-'Progetto del paramento slu'!$G$47*'Progetto del paramento slu'!$G$41*IF(DATI!$G$218="dx",DATI!$E$61,DATI!$E$64*DATI!$E$63)*1000*C509*sezione!$AD$5</f>
        <v>-22889.283485852771</v>
      </c>
      <c r="Q509" s="553">
        <f>'Foglio deposito bis'!$F$48*IF(ABS(K509)&lt;'Progetto del paramento slu'!$G$58,ABS(K509)*'Progetto del paramento slu'!$G$54,'Progetto del paramento slu'!$G$53)*IF(K509&lt;0,-1,1)</f>
        <v>0</v>
      </c>
      <c r="R509" s="553">
        <f>'Foglio deposito bis'!$F$49*IF(ABS(L509)&lt;'Progetto del paramento slu'!$G$58,ABS(L509)*'Progetto del paramento slu'!$G$54,'Progetto del paramento slu'!$G$53)*IF(L509&lt;0,-1,1)</f>
        <v>204886.47740803001</v>
      </c>
      <c r="S509" s="553">
        <f>'Foglio deposito bis'!$F$50*IF(ABS(M509)&lt;'Progetto del paramento slu'!$G$58,ABS(M509)*'Progetto del paramento slu'!$G$54,'Progetto del paramento slu'!$G$53)*IF(M509&lt;0,-1,1)</f>
        <v>0</v>
      </c>
      <c r="T509" s="553">
        <f>'Foglio deposito bis'!$F$51*IF(ABS(N509)&lt;'Progetto del paramento slu'!$G$58,ABS(N509)*'Progetto del paramento slu'!$G$54,'Progetto del paramento slu'!$G$53)*IF(N509&lt;0,-1,1)</f>
        <v>240946.49743184328</v>
      </c>
      <c r="U509" s="553">
        <f>'Foglio deposito bis'!$F$52*IF(ABS(O509)&lt;'Progetto del paramento slu'!$G$58,ABS(O509)*'Progetto del paramento slu'!$G$54,'Progetto del paramento slu'!$G$53)*IF(O509&lt;0,-1,1)</f>
        <v>240946.49743184328</v>
      </c>
      <c r="V509" s="479">
        <f t="shared" si="41"/>
        <v>663890.18878586381</v>
      </c>
      <c r="W509" s="559"/>
      <c r="X509" s="559"/>
    </row>
    <row r="510" spans="1:24" x14ac:dyDescent="0.25">
      <c r="A510" s="553">
        <f t="shared" si="42"/>
        <v>661029.02835013217</v>
      </c>
      <c r="B510" s="3">
        <f t="shared" si="43"/>
        <v>0.44999999999999996</v>
      </c>
      <c r="C510" s="553">
        <f>'Foglio deposito bis'!$E$155/sezione!$B$247*B510</f>
        <v>1.8268051128083693</v>
      </c>
      <c r="D510" s="611">
        <f>-'Progetto del paramento slu'!$G$47*'Progetto del paramento slu'!$G$41*IF(DATI!$G$218="dx",DATI!$E$61,DATI!$E$64*DATI!$E$63)*1000*C510^2*sezione!$AD$5*(1-sezione!$AD$6)</f>
        <v>-27471.968886012743</v>
      </c>
      <c r="E510" s="553">
        <f>-'Foglio deposito bis'!$F$48*(C510-sezione!$AL$29)*IF(ABS(K510)&lt;'Progetto del paramento slu'!$G$58,ABS(K510)*'Progetto del paramento slu'!$G$54,'Progetto del paramento slu'!$G$53)</f>
        <v>0</v>
      </c>
      <c r="F510" s="553">
        <f>-'Foglio deposito bis'!$F$49*(C510-sezione!$AM$29)*IF(ABS(L510)&lt;'Progetto del paramento slu'!$G$58,ABS(L510)*'Progetto del paramento slu'!$G$54,'Progetto del paramento slu'!$G$53)</f>
        <v>30358683.946730219</v>
      </c>
      <c r="G510" s="553">
        <f>-'Foglio deposito bis'!$F$50*(C510-sezione!$AN$29)*IF(ABS(M510)&lt;'Progetto del paramento slu'!$G$58,ABS(M510)*'Progetto del paramento slu'!$G$54,'Progetto del paramento slu'!$G$53)</f>
        <v>0</v>
      </c>
      <c r="H510" s="553">
        <f>-'Foglio deposito bis'!$F$51*(C510-sezione!$AO$29)*IF(ABS(N510)&lt;'Progetto del paramento slu'!$G$58,ABS(N510)*'Progetto del paramento slu'!$G$54,'Progetto del paramento slu'!$G$53)</f>
        <v>81481646.833404958</v>
      </c>
      <c r="I510" s="479">
        <f>-'Foglio deposito bis'!$F$52*(C510-sezione!$AP$29)*IF(ABS(O510)&lt;'Progetto del paramento slu'!$G$58,ABS(O510)*'Progetto del paramento slu'!$G$54,'Progetto del paramento slu'!$G$53)</f>
        <v>62206407.773455717</v>
      </c>
      <c r="J510" s="479">
        <f t="shared" si="40"/>
        <v>174019266.58470488</v>
      </c>
      <c r="K510" s="558">
        <f>'Progetto del paramento slu'!$G$60*(sezione!$AL$29-C510)/C510</f>
        <v>7.3136527355004116E-2</v>
      </c>
      <c r="L510" s="558">
        <f>'Progetto del paramento slu'!$G$60*(sezione!$AM$29-C510)/C510</f>
        <v>0.28388697758126552</v>
      </c>
      <c r="M510" s="559">
        <f>'Progetto del paramento slu'!$G$60*(sezione!$AN$29-C510)/C510</f>
        <v>0.49463742780752684</v>
      </c>
      <c r="N510" s="559">
        <f>'Progetto del paramento slu'!$G$60*(sezione!$AO$29-C510)/C510</f>
        <v>0.64791048251753525</v>
      </c>
      <c r="O510" s="559">
        <f>'Progetto del paramento slu'!$G$60*(sezione!$AP$29-C510)/C510</f>
        <v>0.4946412504227734</v>
      </c>
      <c r="P510" s="553">
        <f>-'Progetto del paramento slu'!$G$47*'Progetto del paramento slu'!$G$41*IF(DATI!$G$218="dx",DATI!$E$61,DATI!$E$64*DATI!$E$63)*1000*C510*sezione!$AD$5</f>
        <v>-25750.443921584363</v>
      </c>
      <c r="Q510" s="553">
        <f>'Foglio deposito bis'!$F$48*IF(ABS(K510)&lt;'Progetto del paramento slu'!$G$58,ABS(K510)*'Progetto del paramento slu'!$G$54,'Progetto del paramento slu'!$G$53)*IF(K510&lt;0,-1,1)</f>
        <v>0</v>
      </c>
      <c r="R510" s="553">
        <f>'Foglio deposito bis'!$F$49*IF(ABS(L510)&lt;'Progetto del paramento slu'!$G$58,ABS(L510)*'Progetto del paramento slu'!$G$54,'Progetto del paramento slu'!$G$53)*IF(L510&lt;0,-1,1)</f>
        <v>204886.47740803001</v>
      </c>
      <c r="S510" s="553">
        <f>'Foglio deposito bis'!$F$50*IF(ABS(M510)&lt;'Progetto del paramento slu'!$G$58,ABS(M510)*'Progetto del paramento slu'!$G$54,'Progetto del paramento slu'!$G$53)*IF(M510&lt;0,-1,1)</f>
        <v>0</v>
      </c>
      <c r="T510" s="553">
        <f>'Foglio deposito bis'!$F$51*IF(ABS(N510)&lt;'Progetto del paramento slu'!$G$58,ABS(N510)*'Progetto del paramento slu'!$G$54,'Progetto del paramento slu'!$G$53)*IF(N510&lt;0,-1,1)</f>
        <v>240946.49743184328</v>
      </c>
      <c r="U510" s="553">
        <f>'Foglio deposito bis'!$F$52*IF(ABS(O510)&lt;'Progetto del paramento slu'!$G$58,ABS(O510)*'Progetto del paramento slu'!$G$54,'Progetto del paramento slu'!$G$53)*IF(O510&lt;0,-1,1)</f>
        <v>240946.49743184328</v>
      </c>
      <c r="V510" s="479">
        <f t="shared" si="41"/>
        <v>661029.02835013217</v>
      </c>
      <c r="W510" s="559"/>
      <c r="X510" s="559"/>
    </row>
    <row r="511" spans="1:24" x14ac:dyDescent="0.25">
      <c r="A511" s="553">
        <f t="shared" si="42"/>
        <v>658167.86791440065</v>
      </c>
      <c r="B511" s="3">
        <f t="shared" si="43"/>
        <v>0.49999999999999994</v>
      </c>
      <c r="C511" s="553">
        <f>'Foglio deposito bis'!$E$155/sezione!$B$247*B511</f>
        <v>2.0297834586759658</v>
      </c>
      <c r="D511" s="611">
        <f>-'Progetto del paramento slu'!$G$47*'Progetto del paramento slu'!$G$41*IF(DATI!$G$218="dx",DATI!$E$61,DATI!$E$64*DATI!$E$63)*1000*C511^2*sezione!$AD$5*(1-sezione!$AD$6)</f>
        <v>-33916.010970386094</v>
      </c>
      <c r="E511" s="553">
        <f>-'Foglio deposito bis'!$F$48*(C511-sezione!$AL$29)*IF(ABS(K511)&lt;'Progetto del paramento slu'!$G$58,ABS(K511)*'Progetto del paramento slu'!$G$54,'Progetto del paramento slu'!$G$53)</f>
        <v>0</v>
      </c>
      <c r="F511" s="553">
        <f>-'Foglio deposito bis'!$F$49*(C511-sezione!$AM$29)*IF(ABS(L511)&lt;'Progetto del paramento slu'!$G$58,ABS(L511)*'Progetto del paramento slu'!$G$54,'Progetto del paramento slu'!$G$53)</f>
        <v>30317096.428455293</v>
      </c>
      <c r="G511" s="553">
        <f>-'Foglio deposito bis'!$F$50*(C511-sezione!$AN$29)*IF(ABS(M511)&lt;'Progetto del paramento slu'!$G$58,ABS(M511)*'Progetto del paramento slu'!$G$54,'Progetto del paramento slu'!$G$53)</f>
        <v>0</v>
      </c>
      <c r="H511" s="553">
        <f>-'Foglio deposito bis'!$F$51*(C511-sezione!$AO$29)*IF(ABS(N511)&lt;'Progetto del paramento slu'!$G$58,ABS(N511)*'Progetto del paramento slu'!$G$54,'Progetto del paramento slu'!$G$53)</f>
        <v>81432739.911913648</v>
      </c>
      <c r="I511" s="479">
        <f>-'Foglio deposito bis'!$F$52*(C511-sezione!$AP$29)*IF(ABS(O511)&lt;'Progetto del paramento slu'!$G$58,ABS(O511)*'Progetto del paramento slu'!$G$54,'Progetto del paramento slu'!$G$53)</f>
        <v>62157500.851964407</v>
      </c>
      <c r="J511" s="479">
        <f t="shared" si="40"/>
        <v>173873421.18136296</v>
      </c>
      <c r="K511" s="558">
        <f>'Progetto del paramento slu'!$G$60*(sezione!$AL$29-C511)/C511</f>
        <v>6.5472874619503726E-2</v>
      </c>
      <c r="L511" s="558">
        <f>'Progetto del paramento slu'!$G$60*(sezione!$AM$29-C511)/C511</f>
        <v>0.25514827982313892</v>
      </c>
      <c r="M511" s="559">
        <f>'Progetto del paramento slu'!$G$60*(sezione!$AN$29-C511)/C511</f>
        <v>0.44482368502677416</v>
      </c>
      <c r="N511" s="559">
        <f>'Progetto del paramento slu'!$G$60*(sezione!$AO$29-C511)/C511</f>
        <v>0.58276943426578165</v>
      </c>
      <c r="O511" s="559">
        <f>'Progetto del paramento slu'!$G$60*(sezione!$AP$29-C511)/C511</f>
        <v>0.44482712538049607</v>
      </c>
      <c r="P511" s="553">
        <f>-'Progetto del paramento slu'!$G$47*'Progetto del paramento slu'!$G$41*IF(DATI!$G$218="dx",DATI!$E$61,DATI!$E$64*DATI!$E$63)*1000*C511*sezione!$AD$5</f>
        <v>-28611.604357315959</v>
      </c>
      <c r="Q511" s="553">
        <f>'Foglio deposito bis'!$F$48*IF(ABS(K511)&lt;'Progetto del paramento slu'!$G$58,ABS(K511)*'Progetto del paramento slu'!$G$54,'Progetto del paramento slu'!$G$53)*IF(K511&lt;0,-1,1)</f>
        <v>0</v>
      </c>
      <c r="R511" s="553">
        <f>'Foglio deposito bis'!$F$49*IF(ABS(L511)&lt;'Progetto del paramento slu'!$G$58,ABS(L511)*'Progetto del paramento slu'!$G$54,'Progetto del paramento slu'!$G$53)*IF(L511&lt;0,-1,1)</f>
        <v>204886.47740803001</v>
      </c>
      <c r="S511" s="553">
        <f>'Foglio deposito bis'!$F$50*IF(ABS(M511)&lt;'Progetto del paramento slu'!$G$58,ABS(M511)*'Progetto del paramento slu'!$G$54,'Progetto del paramento slu'!$G$53)*IF(M511&lt;0,-1,1)</f>
        <v>0</v>
      </c>
      <c r="T511" s="553">
        <f>'Foglio deposito bis'!$F$51*IF(ABS(N511)&lt;'Progetto del paramento slu'!$G$58,ABS(N511)*'Progetto del paramento slu'!$G$54,'Progetto del paramento slu'!$G$53)*IF(N511&lt;0,-1,1)</f>
        <v>240946.49743184328</v>
      </c>
      <c r="U511" s="553">
        <f>'Foglio deposito bis'!$F$52*IF(ABS(O511)&lt;'Progetto del paramento slu'!$G$58,ABS(O511)*'Progetto del paramento slu'!$G$54,'Progetto del paramento slu'!$G$53)*IF(O511&lt;0,-1,1)</f>
        <v>240946.49743184328</v>
      </c>
      <c r="V511" s="479">
        <f t="shared" si="41"/>
        <v>658167.86791440065</v>
      </c>
      <c r="W511" s="559"/>
      <c r="X511" s="559"/>
    </row>
    <row r="512" spans="1:24" x14ac:dyDescent="0.25">
      <c r="A512" s="553">
        <f t="shared" si="42"/>
        <v>655306.70747866901</v>
      </c>
      <c r="B512" s="3">
        <f t="shared" si="43"/>
        <v>0.54999999999999993</v>
      </c>
      <c r="C512" s="553">
        <f>'Foglio deposito bis'!$E$155/sezione!$B$247*B512</f>
        <v>2.2327618045435624</v>
      </c>
      <c r="D512" s="611">
        <f>-'Progetto del paramento slu'!$G$47*'Progetto del paramento slu'!$G$41*IF(DATI!$G$218="dx",DATI!$E$61,DATI!$E$64*DATI!$E$63)*1000*C512^2*sezione!$AD$5*(1-sezione!$AD$6)</f>
        <v>-41038.373274167177</v>
      </c>
      <c r="E512" s="553">
        <f>-'Foglio deposito bis'!$F$48*(C512-sezione!$AL$29)*IF(ABS(K512)&lt;'Progetto del paramento slu'!$G$58,ABS(K512)*'Progetto del paramento slu'!$G$54,'Progetto del paramento slu'!$G$53)</f>
        <v>0</v>
      </c>
      <c r="F512" s="553">
        <f>-'Foglio deposito bis'!$F$49*(C512-sezione!$AM$29)*IF(ABS(L512)&lt;'Progetto del paramento slu'!$G$58,ABS(L512)*'Progetto del paramento slu'!$G$54,'Progetto del paramento slu'!$G$53)</f>
        <v>30275508.910180371</v>
      </c>
      <c r="G512" s="553">
        <f>-'Foglio deposito bis'!$F$50*(C512-sezione!$AN$29)*IF(ABS(M512)&lt;'Progetto del paramento slu'!$G$58,ABS(M512)*'Progetto del paramento slu'!$G$54,'Progetto del paramento slu'!$G$53)</f>
        <v>0</v>
      </c>
      <c r="H512" s="553">
        <f>-'Foglio deposito bis'!$F$51*(C512-sezione!$AO$29)*IF(ABS(N512)&lt;'Progetto del paramento slu'!$G$58,ABS(N512)*'Progetto del paramento slu'!$G$54,'Progetto del paramento slu'!$G$53)</f>
        <v>81383832.990422338</v>
      </c>
      <c r="I512" s="479">
        <f>-'Foglio deposito bis'!$F$52*(C512-sezione!$AP$29)*IF(ABS(O512)&lt;'Progetto del paramento slu'!$G$58,ABS(O512)*'Progetto del paramento slu'!$G$54,'Progetto del paramento slu'!$G$53)</f>
        <v>62108593.930473104</v>
      </c>
      <c r="J512" s="479">
        <f t="shared" si="40"/>
        <v>173726897.45780164</v>
      </c>
      <c r="K512" s="558">
        <f>'Progetto del paramento slu'!$G$60*(sezione!$AL$29-C512)/C512</f>
        <v>5.9202613290457923E-2</v>
      </c>
      <c r="L512" s="558">
        <f>'Progetto del paramento slu'!$G$60*(sezione!$AM$29-C512)/C512</f>
        <v>0.2316347998392172</v>
      </c>
      <c r="M512" s="559">
        <f>'Progetto del paramento slu'!$G$60*(sezione!$AN$29-C512)/C512</f>
        <v>0.40406698638797656</v>
      </c>
      <c r="N512" s="559">
        <f>'Progetto del paramento slu'!$G$60*(sezione!$AO$29-C512)/C512</f>
        <v>0.52947221296889246</v>
      </c>
      <c r="O512" s="559">
        <f>'Progetto del paramento slu'!$G$60*(sezione!$AP$29-C512)/C512</f>
        <v>0.40407011398226916</v>
      </c>
      <c r="P512" s="553">
        <f>-'Progetto del paramento slu'!$G$47*'Progetto del paramento slu'!$G$41*IF(DATI!$G$218="dx",DATI!$E$61,DATI!$E$64*DATI!$E$63)*1000*C512*sezione!$AD$5</f>
        <v>-31472.764793047558</v>
      </c>
      <c r="Q512" s="553">
        <f>'Foglio deposito bis'!$F$48*IF(ABS(K512)&lt;'Progetto del paramento slu'!$G$58,ABS(K512)*'Progetto del paramento slu'!$G$54,'Progetto del paramento slu'!$G$53)*IF(K512&lt;0,-1,1)</f>
        <v>0</v>
      </c>
      <c r="R512" s="553">
        <f>'Foglio deposito bis'!$F$49*IF(ABS(L512)&lt;'Progetto del paramento slu'!$G$58,ABS(L512)*'Progetto del paramento slu'!$G$54,'Progetto del paramento slu'!$G$53)*IF(L512&lt;0,-1,1)</f>
        <v>204886.47740803001</v>
      </c>
      <c r="S512" s="553">
        <f>'Foglio deposito bis'!$F$50*IF(ABS(M512)&lt;'Progetto del paramento slu'!$G$58,ABS(M512)*'Progetto del paramento slu'!$G$54,'Progetto del paramento slu'!$G$53)*IF(M512&lt;0,-1,1)</f>
        <v>0</v>
      </c>
      <c r="T512" s="553">
        <f>'Foglio deposito bis'!$F$51*IF(ABS(N512)&lt;'Progetto del paramento slu'!$G$58,ABS(N512)*'Progetto del paramento slu'!$G$54,'Progetto del paramento slu'!$G$53)*IF(N512&lt;0,-1,1)</f>
        <v>240946.49743184328</v>
      </c>
      <c r="U512" s="553">
        <f>'Foglio deposito bis'!$F$52*IF(ABS(O512)&lt;'Progetto del paramento slu'!$G$58,ABS(O512)*'Progetto del paramento slu'!$G$54,'Progetto del paramento slu'!$G$53)*IF(O512&lt;0,-1,1)</f>
        <v>240946.49743184328</v>
      </c>
      <c r="V512" s="479">
        <f t="shared" si="41"/>
        <v>655306.70747866901</v>
      </c>
      <c r="W512" s="559"/>
      <c r="X512" s="559"/>
    </row>
    <row r="513" spans="1:24" x14ac:dyDescent="0.25">
      <c r="A513" s="553">
        <f t="shared" si="42"/>
        <v>652445.54704293748</v>
      </c>
      <c r="B513" s="3">
        <f t="shared" si="43"/>
        <v>0.6</v>
      </c>
      <c r="C513" s="553">
        <f>'Foglio deposito bis'!$E$155/sezione!$B$247*B513</f>
        <v>2.4357401504111595</v>
      </c>
      <c r="D513" s="611">
        <f>-'Progetto del paramento slu'!$G$47*'Progetto del paramento slu'!$G$41*IF(DATI!$G$218="dx",DATI!$E$61,DATI!$E$64*DATI!$E$63)*1000*C513^2*sezione!$AD$5*(1-sezione!$AD$6)</f>
        <v>-48839.055797355999</v>
      </c>
      <c r="E513" s="553">
        <f>-'Foglio deposito bis'!$F$48*(C513-sezione!$AL$29)*IF(ABS(K513)&lt;'Progetto del paramento slu'!$G$58,ABS(K513)*'Progetto del paramento slu'!$G$54,'Progetto del paramento slu'!$G$53)</f>
        <v>0</v>
      </c>
      <c r="F513" s="553">
        <f>-'Foglio deposito bis'!$F$49*(C513-sezione!$AM$29)*IF(ABS(L513)&lt;'Progetto del paramento slu'!$G$58,ABS(L513)*'Progetto del paramento slu'!$G$54,'Progetto del paramento slu'!$G$53)</f>
        <v>30233921.391905457</v>
      </c>
      <c r="G513" s="553">
        <f>-'Foglio deposito bis'!$F$50*(C513-sezione!$AN$29)*IF(ABS(M513)&lt;'Progetto del paramento slu'!$G$58,ABS(M513)*'Progetto del paramento slu'!$G$54,'Progetto del paramento slu'!$G$53)</f>
        <v>0</v>
      </c>
      <c r="H513" s="553">
        <f>-'Foglio deposito bis'!$F$51*(C513-sezione!$AO$29)*IF(ABS(N513)&lt;'Progetto del paramento slu'!$G$58,ABS(N513)*'Progetto del paramento slu'!$G$54,'Progetto del paramento slu'!$G$53)</f>
        <v>81334926.068931028</v>
      </c>
      <c r="I513" s="479">
        <f>-'Foglio deposito bis'!$F$52*(C513-sezione!$AP$29)*IF(ABS(O513)&lt;'Progetto del paramento slu'!$G$58,ABS(O513)*'Progetto del paramento slu'!$G$54,'Progetto del paramento slu'!$G$53)</f>
        <v>62059687.008981794</v>
      </c>
      <c r="J513" s="479">
        <f t="shared" si="40"/>
        <v>173579695.41402093</v>
      </c>
      <c r="K513" s="558">
        <f>'Progetto del paramento slu'!$G$60*(sezione!$AL$29-C513)/C513</f>
        <v>5.3977395516253086E-2</v>
      </c>
      <c r="L513" s="558">
        <f>'Progetto del paramento slu'!$G$60*(sezione!$AM$29-C513)/C513</f>
        <v>0.21204023318594906</v>
      </c>
      <c r="M513" s="559">
        <f>'Progetto del paramento slu'!$G$60*(sezione!$AN$29-C513)/C513</f>
        <v>0.37010307085564503</v>
      </c>
      <c r="N513" s="559">
        <f>'Progetto del paramento slu'!$G$60*(sezione!$AO$29-C513)/C513</f>
        <v>0.48505786188815125</v>
      </c>
      <c r="O513" s="559">
        <f>'Progetto del paramento slu'!$G$60*(sezione!$AP$29-C513)/C513</f>
        <v>0.37010593781707996</v>
      </c>
      <c r="P513" s="553">
        <f>-'Progetto del paramento slu'!$G$47*'Progetto del paramento slu'!$G$41*IF(DATI!$G$218="dx",DATI!$E$61,DATI!$E$64*DATI!$E$63)*1000*C513*sezione!$AD$5</f>
        <v>-34333.925228779161</v>
      </c>
      <c r="Q513" s="553">
        <f>'Foglio deposito bis'!$F$48*IF(ABS(K513)&lt;'Progetto del paramento slu'!$G$58,ABS(K513)*'Progetto del paramento slu'!$G$54,'Progetto del paramento slu'!$G$53)*IF(K513&lt;0,-1,1)</f>
        <v>0</v>
      </c>
      <c r="R513" s="553">
        <f>'Foglio deposito bis'!$F$49*IF(ABS(L513)&lt;'Progetto del paramento slu'!$G$58,ABS(L513)*'Progetto del paramento slu'!$G$54,'Progetto del paramento slu'!$G$53)*IF(L513&lt;0,-1,1)</f>
        <v>204886.47740803001</v>
      </c>
      <c r="S513" s="553">
        <f>'Foglio deposito bis'!$F$50*IF(ABS(M513)&lt;'Progetto del paramento slu'!$G$58,ABS(M513)*'Progetto del paramento slu'!$G$54,'Progetto del paramento slu'!$G$53)*IF(M513&lt;0,-1,1)</f>
        <v>0</v>
      </c>
      <c r="T513" s="553">
        <f>'Foglio deposito bis'!$F$51*IF(ABS(N513)&lt;'Progetto del paramento slu'!$G$58,ABS(N513)*'Progetto del paramento slu'!$G$54,'Progetto del paramento slu'!$G$53)*IF(N513&lt;0,-1,1)</f>
        <v>240946.49743184328</v>
      </c>
      <c r="U513" s="553">
        <f>'Foglio deposito bis'!$F$52*IF(ABS(O513)&lt;'Progetto del paramento slu'!$G$58,ABS(O513)*'Progetto del paramento slu'!$G$54,'Progetto del paramento slu'!$G$53)*IF(O513&lt;0,-1,1)</f>
        <v>240946.49743184328</v>
      </c>
      <c r="V513" s="479">
        <f t="shared" si="41"/>
        <v>652445.54704293748</v>
      </c>
      <c r="W513" s="559"/>
      <c r="X513" s="559"/>
    </row>
    <row r="514" spans="1:24" x14ac:dyDescent="0.25">
      <c r="A514" s="553">
        <f t="shared" si="42"/>
        <v>649584.38660720584</v>
      </c>
      <c r="B514" s="3">
        <f t="shared" si="43"/>
        <v>0.65</v>
      </c>
      <c r="C514" s="553">
        <f>'Foglio deposito bis'!$E$155/sezione!$B$247*B514</f>
        <v>2.6387184962787562</v>
      </c>
      <c r="D514" s="611">
        <f>-'Progetto del paramento slu'!$G$47*'Progetto del paramento slu'!$G$41*IF(DATI!$G$218="dx",DATI!$E$61,DATI!$E$64*DATI!$E$63)*1000*C514^2*sezione!$AD$5*(1-sezione!$AD$6)</f>
        <v>-57318.058539952544</v>
      </c>
      <c r="E514" s="553">
        <f>-'Foglio deposito bis'!$F$48*(C514-sezione!$AL$29)*IF(ABS(K514)&lt;'Progetto del paramento slu'!$G$58,ABS(K514)*'Progetto del paramento slu'!$G$54,'Progetto del paramento slu'!$G$53)</f>
        <v>0</v>
      </c>
      <c r="F514" s="553">
        <f>-'Foglio deposito bis'!$F$49*(C514-sezione!$AM$29)*IF(ABS(L514)&lt;'Progetto del paramento slu'!$G$58,ABS(L514)*'Progetto del paramento slu'!$G$54,'Progetto del paramento slu'!$G$53)</f>
        <v>30192333.873630535</v>
      </c>
      <c r="G514" s="553">
        <f>-'Foglio deposito bis'!$F$50*(C514-sezione!$AN$29)*IF(ABS(M514)&lt;'Progetto del paramento slu'!$G$58,ABS(M514)*'Progetto del paramento slu'!$G$54,'Progetto del paramento slu'!$G$53)</f>
        <v>0</v>
      </c>
      <c r="H514" s="553">
        <f>-'Foglio deposito bis'!$F$51*(C514-sezione!$AO$29)*IF(ABS(N514)&lt;'Progetto del paramento slu'!$G$58,ABS(N514)*'Progetto del paramento slu'!$G$54,'Progetto del paramento slu'!$G$53)</f>
        <v>81286019.147439718</v>
      </c>
      <c r="I514" s="479">
        <f>-'Foglio deposito bis'!$F$52*(C514-sezione!$AP$29)*IF(ABS(O514)&lt;'Progetto del paramento slu'!$G$58,ABS(O514)*'Progetto del paramento slu'!$G$54,'Progetto del paramento slu'!$G$53)</f>
        <v>62010780.087490477</v>
      </c>
      <c r="J514" s="479">
        <f t="shared" si="40"/>
        <v>173431815.05002078</v>
      </c>
      <c r="K514" s="558">
        <f>'Progetto del paramento slu'!$G$60*(sezione!$AL$29-C514)/C514</f>
        <v>4.9556057399618235E-2</v>
      </c>
      <c r="L514" s="558">
        <f>'Progetto del paramento slu'!$G$60*(sezione!$AM$29-C514)/C514</f>
        <v>0.19546021524856835</v>
      </c>
      <c r="M514" s="559">
        <f>'Progetto del paramento slu'!$G$60*(sezione!$AN$29-C514)/C514</f>
        <v>0.34136437309751849</v>
      </c>
      <c r="N514" s="559">
        <f>'Progetto del paramento slu'!$G$60*(sezione!$AO$29-C514)/C514</f>
        <v>0.44747648789675498</v>
      </c>
      <c r="O514" s="559">
        <f>'Progetto del paramento slu'!$G$60*(sezione!$AP$29-C514)/C514</f>
        <v>0.34136701952345838</v>
      </c>
      <c r="P514" s="553">
        <f>-'Progetto del paramento slu'!$G$47*'Progetto del paramento slu'!$G$41*IF(DATI!$G$218="dx",DATI!$E$61,DATI!$E$64*DATI!$E$63)*1000*C514*sezione!$AD$5</f>
        <v>-37195.085664510756</v>
      </c>
      <c r="Q514" s="553">
        <f>'Foglio deposito bis'!$F$48*IF(ABS(K514)&lt;'Progetto del paramento slu'!$G$58,ABS(K514)*'Progetto del paramento slu'!$G$54,'Progetto del paramento slu'!$G$53)*IF(K514&lt;0,-1,1)</f>
        <v>0</v>
      </c>
      <c r="R514" s="553">
        <f>'Foglio deposito bis'!$F$49*IF(ABS(L514)&lt;'Progetto del paramento slu'!$G$58,ABS(L514)*'Progetto del paramento slu'!$G$54,'Progetto del paramento slu'!$G$53)*IF(L514&lt;0,-1,1)</f>
        <v>204886.47740803001</v>
      </c>
      <c r="S514" s="553">
        <f>'Foglio deposito bis'!$F$50*IF(ABS(M514)&lt;'Progetto del paramento slu'!$G$58,ABS(M514)*'Progetto del paramento slu'!$G$54,'Progetto del paramento slu'!$G$53)*IF(M514&lt;0,-1,1)</f>
        <v>0</v>
      </c>
      <c r="T514" s="553">
        <f>'Foglio deposito bis'!$F$51*IF(ABS(N514)&lt;'Progetto del paramento slu'!$G$58,ABS(N514)*'Progetto del paramento slu'!$G$54,'Progetto del paramento slu'!$G$53)*IF(N514&lt;0,-1,1)</f>
        <v>240946.49743184328</v>
      </c>
      <c r="U514" s="553">
        <f>'Foglio deposito bis'!$F$52*IF(ABS(O514)&lt;'Progetto del paramento slu'!$G$58,ABS(O514)*'Progetto del paramento slu'!$G$54,'Progetto del paramento slu'!$G$53)*IF(O514&lt;0,-1,1)</f>
        <v>240946.49743184328</v>
      </c>
      <c r="V514" s="479">
        <f t="shared" si="41"/>
        <v>649584.38660720584</v>
      </c>
      <c r="W514" s="559"/>
      <c r="X514" s="559"/>
    </row>
    <row r="515" spans="1:24" x14ac:dyDescent="0.25">
      <c r="A515" s="553">
        <f t="shared" si="42"/>
        <v>646723.22617147421</v>
      </c>
      <c r="B515" s="3">
        <f t="shared" si="43"/>
        <v>0.70000000000000007</v>
      </c>
      <c r="C515" s="553">
        <f>'Foglio deposito bis'!$E$155/sezione!$B$247*B515</f>
        <v>2.8416968421463529</v>
      </c>
      <c r="D515" s="611">
        <f>-'Progetto del paramento slu'!$G$47*'Progetto del paramento slu'!$G$41*IF(DATI!$G$218="dx",DATI!$E$61,DATI!$E$64*DATI!$E$63)*1000*C515^2*sezione!$AD$5*(1-sezione!$AD$6)</f>
        <v>-66475.381501956785</v>
      </c>
      <c r="E515" s="553">
        <f>-'Foglio deposito bis'!$F$48*(C515-sezione!$AL$29)*IF(ABS(K515)&lt;'Progetto del paramento slu'!$G$58,ABS(K515)*'Progetto del paramento slu'!$G$54,'Progetto del paramento slu'!$G$53)</f>
        <v>0</v>
      </c>
      <c r="F515" s="553">
        <f>-'Foglio deposito bis'!$F$49*(C515-sezione!$AM$29)*IF(ABS(L515)&lt;'Progetto del paramento slu'!$G$58,ABS(L515)*'Progetto del paramento slu'!$G$54,'Progetto del paramento slu'!$G$53)</f>
        <v>30150746.355355613</v>
      </c>
      <c r="G515" s="553">
        <f>-'Foglio deposito bis'!$F$50*(C515-sezione!$AN$29)*IF(ABS(M515)&lt;'Progetto del paramento slu'!$G$58,ABS(M515)*'Progetto del paramento slu'!$G$54,'Progetto del paramento slu'!$G$53)</f>
        <v>0</v>
      </c>
      <c r="H515" s="553">
        <f>-'Foglio deposito bis'!$F$51*(C515-sezione!$AO$29)*IF(ABS(N515)&lt;'Progetto del paramento slu'!$G$58,ABS(N515)*'Progetto del paramento slu'!$G$54,'Progetto del paramento slu'!$G$53)</f>
        <v>81237112.225948423</v>
      </c>
      <c r="I515" s="479">
        <f>-'Foglio deposito bis'!$F$52*(C515-sezione!$AP$29)*IF(ABS(O515)&lt;'Progetto del paramento slu'!$G$58,ABS(O515)*'Progetto del paramento slu'!$G$54,'Progetto del paramento slu'!$G$53)</f>
        <v>61961873.165999182</v>
      </c>
      <c r="J515" s="479">
        <f t="shared" si="40"/>
        <v>173283256.36580124</v>
      </c>
      <c r="K515" s="558">
        <f>'Progetto del paramento slu'!$G$60*(sezione!$AL$29-C515)/C515</f>
        <v>4.5766339013931213E-2</v>
      </c>
      <c r="L515" s="558">
        <f>'Progetto del paramento slu'!$G$60*(sezione!$AM$29-C515)/C515</f>
        <v>0.18124877130224204</v>
      </c>
      <c r="M515" s="559">
        <f>'Progetto del paramento slu'!$G$60*(sezione!$AN$29-C515)/C515</f>
        <v>0.3167312035905529</v>
      </c>
      <c r="N515" s="559">
        <f>'Progetto del paramento slu'!$G$60*(sezione!$AO$29-C515)/C515</f>
        <v>0.41526388161841538</v>
      </c>
      <c r="O515" s="559">
        <f>'Progetto del paramento slu'!$G$60*(sezione!$AP$29-C515)/C515</f>
        <v>0.31673366098606853</v>
      </c>
      <c r="P515" s="553">
        <f>-'Progetto del paramento slu'!$G$47*'Progetto del paramento slu'!$G$41*IF(DATI!$G$218="dx",DATI!$E$61,DATI!$E$64*DATI!$E$63)*1000*C515*sezione!$AD$5</f>
        <v>-40056.246100242352</v>
      </c>
      <c r="Q515" s="553">
        <f>'Foglio deposito bis'!$F$48*IF(ABS(K515)&lt;'Progetto del paramento slu'!$G$58,ABS(K515)*'Progetto del paramento slu'!$G$54,'Progetto del paramento slu'!$G$53)*IF(K515&lt;0,-1,1)</f>
        <v>0</v>
      </c>
      <c r="R515" s="553">
        <f>'Foglio deposito bis'!$F$49*IF(ABS(L515)&lt;'Progetto del paramento slu'!$G$58,ABS(L515)*'Progetto del paramento slu'!$G$54,'Progetto del paramento slu'!$G$53)*IF(L515&lt;0,-1,1)</f>
        <v>204886.47740803001</v>
      </c>
      <c r="S515" s="553">
        <f>'Foglio deposito bis'!$F$50*IF(ABS(M515)&lt;'Progetto del paramento slu'!$G$58,ABS(M515)*'Progetto del paramento slu'!$G$54,'Progetto del paramento slu'!$G$53)*IF(M515&lt;0,-1,1)</f>
        <v>0</v>
      </c>
      <c r="T515" s="553">
        <f>'Foglio deposito bis'!$F$51*IF(ABS(N515)&lt;'Progetto del paramento slu'!$G$58,ABS(N515)*'Progetto del paramento slu'!$G$54,'Progetto del paramento slu'!$G$53)*IF(N515&lt;0,-1,1)</f>
        <v>240946.49743184328</v>
      </c>
      <c r="U515" s="553">
        <f>'Foglio deposito bis'!$F$52*IF(ABS(O515)&lt;'Progetto del paramento slu'!$G$58,ABS(O515)*'Progetto del paramento slu'!$G$54,'Progetto del paramento slu'!$G$53)*IF(O515&lt;0,-1,1)</f>
        <v>240946.49743184328</v>
      </c>
      <c r="V515" s="479">
        <f t="shared" si="41"/>
        <v>646723.22617147421</v>
      </c>
      <c r="W515" s="559"/>
      <c r="X515" s="559"/>
    </row>
    <row r="516" spans="1:24" x14ac:dyDescent="0.25">
      <c r="A516" s="553">
        <f t="shared" si="42"/>
        <v>643862.06573574268</v>
      </c>
      <c r="B516" s="3">
        <f t="shared" si="43"/>
        <v>0.75000000000000011</v>
      </c>
      <c r="C516" s="553">
        <f>'Foglio deposito bis'!$E$155/sezione!$B$247*B516</f>
        <v>3.04467518801395</v>
      </c>
      <c r="D516" s="611">
        <f>-'Progetto del paramento slu'!$G$47*'Progetto del paramento slu'!$G$41*IF(DATI!$G$218="dx",DATI!$E$61,DATI!$E$64*DATI!$E$63)*1000*C516^2*sezione!$AD$5*(1-sezione!$AD$6)</f>
        <v>-76311.0246833688</v>
      </c>
      <c r="E516" s="553">
        <f>-'Foglio deposito bis'!$F$48*(C516-sezione!$AL$29)*IF(ABS(K516)&lt;'Progetto del paramento slu'!$G$58,ABS(K516)*'Progetto del paramento slu'!$G$54,'Progetto del paramento slu'!$G$53)</f>
        <v>0</v>
      </c>
      <c r="F516" s="553">
        <f>-'Foglio deposito bis'!$F$49*(C516-sezione!$AM$29)*IF(ABS(L516)&lt;'Progetto del paramento slu'!$G$58,ABS(L516)*'Progetto del paramento slu'!$G$54,'Progetto del paramento slu'!$G$53)</f>
        <v>30109158.837080695</v>
      </c>
      <c r="G516" s="553">
        <f>-'Foglio deposito bis'!$F$50*(C516-sezione!$AN$29)*IF(ABS(M516)&lt;'Progetto del paramento slu'!$G$58,ABS(M516)*'Progetto del paramento slu'!$G$54,'Progetto del paramento slu'!$G$53)</f>
        <v>0</v>
      </c>
      <c r="H516" s="553">
        <f>-'Foglio deposito bis'!$F$51*(C516-sezione!$AO$29)*IF(ABS(N516)&lt;'Progetto del paramento slu'!$G$58,ABS(N516)*'Progetto del paramento slu'!$G$54,'Progetto del paramento slu'!$G$53)</f>
        <v>81188205.304457098</v>
      </c>
      <c r="I516" s="479">
        <f>-'Foglio deposito bis'!$F$52*(C516-sezione!$AP$29)*IF(ABS(O516)&lt;'Progetto del paramento slu'!$G$58,ABS(O516)*'Progetto del paramento slu'!$G$54,'Progetto del paramento slu'!$G$53)</f>
        <v>61912966.244507872</v>
      </c>
      <c r="J516" s="479">
        <f t="shared" si="40"/>
        <v>173134019.36136231</v>
      </c>
      <c r="K516" s="558">
        <f>'Progetto del paramento slu'!$G$60*(sezione!$AL$29-C516)/C516</f>
        <v>4.2481916413002467E-2</v>
      </c>
      <c r="L516" s="558">
        <f>'Progetto del paramento slu'!$G$60*(sezione!$AM$29-C516)/C516</f>
        <v>0.16893218654875922</v>
      </c>
      <c r="M516" s="559">
        <f>'Progetto del paramento slu'!$G$60*(sezione!$AN$29-C516)/C516</f>
        <v>0.29538245668451601</v>
      </c>
      <c r="N516" s="559">
        <f>'Progetto del paramento slu'!$G$60*(sezione!$AO$29-C516)/C516</f>
        <v>0.38734628951052091</v>
      </c>
      <c r="O516" s="559">
        <f>'Progetto del paramento slu'!$G$60*(sezione!$AP$29-C516)/C516</f>
        <v>0.2953847502536639</v>
      </c>
      <c r="P516" s="553">
        <f>-'Progetto del paramento slu'!$G$47*'Progetto del paramento slu'!$G$41*IF(DATI!$G$218="dx",DATI!$E$61,DATI!$E$64*DATI!$E$63)*1000*C516*sezione!$AD$5</f>
        <v>-42917.406535973962</v>
      </c>
      <c r="Q516" s="553">
        <f>'Foglio deposito bis'!$F$48*IF(ABS(K516)&lt;'Progetto del paramento slu'!$G$58,ABS(K516)*'Progetto del paramento slu'!$G$54,'Progetto del paramento slu'!$G$53)*IF(K516&lt;0,-1,1)</f>
        <v>0</v>
      </c>
      <c r="R516" s="553">
        <f>'Foglio deposito bis'!$F$49*IF(ABS(L516)&lt;'Progetto del paramento slu'!$G$58,ABS(L516)*'Progetto del paramento slu'!$G$54,'Progetto del paramento slu'!$G$53)*IF(L516&lt;0,-1,1)</f>
        <v>204886.47740803001</v>
      </c>
      <c r="S516" s="553">
        <f>'Foglio deposito bis'!$F$50*IF(ABS(M516)&lt;'Progetto del paramento slu'!$G$58,ABS(M516)*'Progetto del paramento slu'!$G$54,'Progetto del paramento slu'!$G$53)*IF(M516&lt;0,-1,1)</f>
        <v>0</v>
      </c>
      <c r="T516" s="553">
        <f>'Foglio deposito bis'!$F$51*IF(ABS(N516)&lt;'Progetto del paramento slu'!$G$58,ABS(N516)*'Progetto del paramento slu'!$G$54,'Progetto del paramento slu'!$G$53)*IF(N516&lt;0,-1,1)</f>
        <v>240946.49743184328</v>
      </c>
      <c r="U516" s="553">
        <f>'Foglio deposito bis'!$F$52*IF(ABS(O516)&lt;'Progetto del paramento slu'!$G$58,ABS(O516)*'Progetto del paramento slu'!$G$54,'Progetto del paramento slu'!$G$53)*IF(O516&lt;0,-1,1)</f>
        <v>240946.49743184328</v>
      </c>
      <c r="V516" s="479">
        <f t="shared" si="41"/>
        <v>643862.06573574268</v>
      </c>
      <c r="W516" s="559"/>
      <c r="X516" s="559"/>
    </row>
    <row r="517" spans="1:24" x14ac:dyDescent="0.25">
      <c r="A517" s="553">
        <f t="shared" si="42"/>
        <v>641000.90530001104</v>
      </c>
      <c r="B517" s="3">
        <f t="shared" si="43"/>
        <v>0.80000000000000016</v>
      </c>
      <c r="C517" s="553">
        <f>'Foglio deposito bis'!$E$155/sezione!$B$247*B517</f>
        <v>3.2476535338815467</v>
      </c>
      <c r="D517" s="611">
        <f>-'Progetto del paramento slu'!$G$47*'Progetto del paramento slu'!$G$41*IF(DATI!$G$218="dx",DATI!$E$61,DATI!$E$64*DATI!$E$63)*1000*C517^2*sezione!$AD$5*(1-sezione!$AD$6)</f>
        <v>-86824.988084188488</v>
      </c>
      <c r="E517" s="553">
        <f>-'Foglio deposito bis'!$F$48*(C517-sezione!$AL$29)*IF(ABS(K517)&lt;'Progetto del paramento slu'!$G$58,ABS(K517)*'Progetto del paramento slu'!$G$54,'Progetto del paramento slu'!$G$53)</f>
        <v>0</v>
      </c>
      <c r="F517" s="553">
        <f>-'Foglio deposito bis'!$F$49*(C517-sezione!$AM$29)*IF(ABS(L517)&lt;'Progetto del paramento slu'!$G$58,ABS(L517)*'Progetto del paramento slu'!$G$54,'Progetto del paramento slu'!$G$53)</f>
        <v>30067571.318805773</v>
      </c>
      <c r="G517" s="553">
        <f>-'Foglio deposito bis'!$F$50*(C517-sezione!$AN$29)*IF(ABS(M517)&lt;'Progetto del paramento slu'!$G$58,ABS(M517)*'Progetto del paramento slu'!$G$54,'Progetto del paramento slu'!$G$53)</f>
        <v>0</v>
      </c>
      <c r="H517" s="553">
        <f>-'Foglio deposito bis'!$F$51*(C517-sezione!$AO$29)*IF(ABS(N517)&lt;'Progetto del paramento slu'!$G$58,ABS(N517)*'Progetto del paramento slu'!$G$54,'Progetto del paramento slu'!$G$53)</f>
        <v>81139298.382965803</v>
      </c>
      <c r="I517" s="479">
        <f>-'Foglio deposito bis'!$F$52*(C517-sezione!$AP$29)*IF(ABS(O517)&lt;'Progetto del paramento slu'!$G$58,ABS(O517)*'Progetto del paramento slu'!$G$54,'Progetto del paramento slu'!$G$53)</f>
        <v>61864059.323016569</v>
      </c>
      <c r="J517" s="479">
        <f t="shared" si="40"/>
        <v>172984104.03670394</v>
      </c>
      <c r="K517" s="558">
        <f>'Progetto del paramento slu'!$G$60*(sezione!$AL$29-C517)/C517</f>
        <v>3.9608046637189809E-2</v>
      </c>
      <c r="L517" s="558">
        <f>'Progetto del paramento slu'!$G$60*(sezione!$AM$29-C517)/C517</f>
        <v>0.15815517488946179</v>
      </c>
      <c r="M517" s="559">
        <f>'Progetto del paramento slu'!$G$60*(sezione!$AN$29-C517)/C517</f>
        <v>0.27670230314173377</v>
      </c>
      <c r="N517" s="559">
        <f>'Progetto del paramento slu'!$G$60*(sezione!$AO$29-C517)/C517</f>
        <v>0.3629183964161134</v>
      </c>
      <c r="O517" s="559">
        <f>'Progetto del paramento slu'!$G$60*(sezione!$AP$29-C517)/C517</f>
        <v>0.27670445336280991</v>
      </c>
      <c r="P517" s="553">
        <f>-'Progetto del paramento slu'!$G$47*'Progetto del paramento slu'!$G$41*IF(DATI!$G$218="dx",DATI!$E$61,DATI!$E$64*DATI!$E$63)*1000*C517*sezione!$AD$5</f>
        <v>-45778.56697170555</v>
      </c>
      <c r="Q517" s="553">
        <f>'Foglio deposito bis'!$F$48*IF(ABS(K517)&lt;'Progetto del paramento slu'!$G$58,ABS(K517)*'Progetto del paramento slu'!$G$54,'Progetto del paramento slu'!$G$53)*IF(K517&lt;0,-1,1)</f>
        <v>0</v>
      </c>
      <c r="R517" s="553">
        <f>'Foglio deposito bis'!$F$49*IF(ABS(L517)&lt;'Progetto del paramento slu'!$G$58,ABS(L517)*'Progetto del paramento slu'!$G$54,'Progetto del paramento slu'!$G$53)*IF(L517&lt;0,-1,1)</f>
        <v>204886.47740803001</v>
      </c>
      <c r="S517" s="553">
        <f>'Foglio deposito bis'!$F$50*IF(ABS(M517)&lt;'Progetto del paramento slu'!$G$58,ABS(M517)*'Progetto del paramento slu'!$G$54,'Progetto del paramento slu'!$G$53)*IF(M517&lt;0,-1,1)</f>
        <v>0</v>
      </c>
      <c r="T517" s="553">
        <f>'Foglio deposito bis'!$F$51*IF(ABS(N517)&lt;'Progetto del paramento slu'!$G$58,ABS(N517)*'Progetto del paramento slu'!$G$54,'Progetto del paramento slu'!$G$53)*IF(N517&lt;0,-1,1)</f>
        <v>240946.49743184328</v>
      </c>
      <c r="U517" s="553">
        <f>'Foglio deposito bis'!$F$52*IF(ABS(O517)&lt;'Progetto del paramento slu'!$G$58,ABS(O517)*'Progetto del paramento slu'!$G$54,'Progetto del paramento slu'!$G$53)*IF(O517&lt;0,-1,1)</f>
        <v>240946.49743184328</v>
      </c>
      <c r="V517" s="479">
        <f t="shared" si="41"/>
        <v>641000.90530001104</v>
      </c>
      <c r="W517" s="559"/>
      <c r="X517" s="559"/>
    </row>
    <row r="518" spans="1:24" x14ac:dyDescent="0.25">
      <c r="A518" s="553">
        <f t="shared" si="42"/>
        <v>638139.7448642794</v>
      </c>
      <c r="B518" s="3">
        <f t="shared" si="43"/>
        <v>0.8500000000000002</v>
      </c>
      <c r="C518" s="553">
        <f>'Foglio deposito bis'!$E$155/sezione!$B$247*B518</f>
        <v>3.4506318797491433</v>
      </c>
      <c r="D518" s="611">
        <f>-'Progetto del paramento slu'!$G$47*'Progetto del paramento slu'!$G$41*IF(DATI!$G$218="dx",DATI!$E$61,DATI!$E$64*DATI!$E$63)*1000*C518^2*sezione!$AD$5*(1-sezione!$AD$6)</f>
        <v>-98017.271704415922</v>
      </c>
      <c r="E518" s="553">
        <f>-'Foglio deposito bis'!$F$48*(C518-sezione!$AL$29)*IF(ABS(K518)&lt;'Progetto del paramento slu'!$G$58,ABS(K518)*'Progetto del paramento slu'!$G$54,'Progetto del paramento slu'!$G$53)</f>
        <v>0</v>
      </c>
      <c r="F518" s="553">
        <f>-'Foglio deposito bis'!$F$49*(C518-sezione!$AM$29)*IF(ABS(L518)&lt;'Progetto del paramento slu'!$G$58,ABS(L518)*'Progetto del paramento slu'!$G$54,'Progetto del paramento slu'!$G$53)</f>
        <v>30025983.800530847</v>
      </c>
      <c r="G518" s="553">
        <f>-'Foglio deposito bis'!$F$50*(C518-sezione!$AN$29)*IF(ABS(M518)&lt;'Progetto del paramento slu'!$G$58,ABS(M518)*'Progetto del paramento slu'!$G$54,'Progetto del paramento slu'!$G$53)</f>
        <v>0</v>
      </c>
      <c r="H518" s="553">
        <f>-'Foglio deposito bis'!$F$51*(C518-sezione!$AO$29)*IF(ABS(N518)&lt;'Progetto del paramento slu'!$G$58,ABS(N518)*'Progetto del paramento slu'!$G$54,'Progetto del paramento slu'!$G$53)</f>
        <v>81090391.461474508</v>
      </c>
      <c r="I518" s="479">
        <f>-'Foglio deposito bis'!$F$52*(C518-sezione!$AP$29)*IF(ABS(O518)&lt;'Progetto del paramento slu'!$G$58,ABS(O518)*'Progetto del paramento slu'!$G$54,'Progetto del paramento slu'!$G$53)</f>
        <v>61815152.401525259</v>
      </c>
      <c r="J518" s="479">
        <f t="shared" si="40"/>
        <v>172833510.39182621</v>
      </c>
      <c r="K518" s="558">
        <f>'Progetto del paramento slu'!$G$60*(sezione!$AL$29-C518)/C518</f>
        <v>3.7072279187943341E-2</v>
      </c>
      <c r="L518" s="558">
        <f>'Progetto del paramento slu'!$G$60*(sezione!$AM$29-C518)/C518</f>
        <v>0.14864604695478756</v>
      </c>
      <c r="M518" s="559">
        <f>'Progetto del paramento slu'!$G$60*(sezione!$AN$29-C518)/C518</f>
        <v>0.26021981472163175</v>
      </c>
      <c r="N518" s="559">
        <f>'Progetto del paramento slu'!$G$60*(sezione!$AO$29-C518)/C518</f>
        <v>0.34136437309751849</v>
      </c>
      <c r="O518" s="559">
        <f>'Progetto del paramento slu'!$G$60*(sezione!$AP$29-C518)/C518</f>
        <v>0.26022183845911517</v>
      </c>
      <c r="P518" s="553">
        <f>-'Progetto del paramento slu'!$G$47*'Progetto del paramento slu'!$G$41*IF(DATI!$G$218="dx",DATI!$E$61,DATI!$E$64*DATI!$E$63)*1000*C518*sezione!$AD$5</f>
        <v>-48639.727407437153</v>
      </c>
      <c r="Q518" s="553">
        <f>'Foglio deposito bis'!$F$48*IF(ABS(K518)&lt;'Progetto del paramento slu'!$G$58,ABS(K518)*'Progetto del paramento slu'!$G$54,'Progetto del paramento slu'!$G$53)*IF(K518&lt;0,-1,1)</f>
        <v>0</v>
      </c>
      <c r="R518" s="553">
        <f>'Foglio deposito bis'!$F$49*IF(ABS(L518)&lt;'Progetto del paramento slu'!$G$58,ABS(L518)*'Progetto del paramento slu'!$G$54,'Progetto del paramento slu'!$G$53)*IF(L518&lt;0,-1,1)</f>
        <v>204886.47740803001</v>
      </c>
      <c r="S518" s="553">
        <f>'Foglio deposito bis'!$F$50*IF(ABS(M518)&lt;'Progetto del paramento slu'!$G$58,ABS(M518)*'Progetto del paramento slu'!$G$54,'Progetto del paramento slu'!$G$53)*IF(M518&lt;0,-1,1)</f>
        <v>0</v>
      </c>
      <c r="T518" s="553">
        <f>'Foglio deposito bis'!$F$51*IF(ABS(N518)&lt;'Progetto del paramento slu'!$G$58,ABS(N518)*'Progetto del paramento slu'!$G$54,'Progetto del paramento slu'!$G$53)*IF(N518&lt;0,-1,1)</f>
        <v>240946.49743184328</v>
      </c>
      <c r="U518" s="553">
        <f>'Foglio deposito bis'!$F$52*IF(ABS(O518)&lt;'Progetto del paramento slu'!$G$58,ABS(O518)*'Progetto del paramento slu'!$G$54,'Progetto del paramento slu'!$G$53)*IF(O518&lt;0,-1,1)</f>
        <v>240946.49743184328</v>
      </c>
      <c r="V518" s="479">
        <f t="shared" si="41"/>
        <v>638139.7448642794</v>
      </c>
      <c r="W518" s="559"/>
      <c r="X518" s="559"/>
    </row>
    <row r="519" spans="1:24" x14ac:dyDescent="0.25">
      <c r="A519" s="553">
        <f t="shared" si="42"/>
        <v>635278.58442854788</v>
      </c>
      <c r="B519" s="3">
        <f t="shared" si="43"/>
        <v>0.90000000000000024</v>
      </c>
      <c r="C519" s="553">
        <f>'Foglio deposito bis'!$E$155/sezione!$B$247*B519</f>
        <v>3.65361022561674</v>
      </c>
      <c r="D519" s="611">
        <f>-'Progetto del paramento slu'!$G$47*'Progetto del paramento slu'!$G$41*IF(DATI!$G$218="dx",DATI!$E$61,DATI!$E$64*DATI!$E$63)*1000*C519^2*sezione!$AD$5*(1-sezione!$AD$6)</f>
        <v>-109887.87554405104</v>
      </c>
      <c r="E519" s="553">
        <f>-'Foglio deposito bis'!$F$48*(C519-sezione!$AL$29)*IF(ABS(K519)&lt;'Progetto del paramento slu'!$G$58,ABS(K519)*'Progetto del paramento slu'!$G$54,'Progetto del paramento slu'!$G$53)</f>
        <v>0</v>
      </c>
      <c r="F519" s="553">
        <f>-'Foglio deposito bis'!$F$49*(C519-sezione!$AM$29)*IF(ABS(L519)&lt;'Progetto del paramento slu'!$G$58,ABS(L519)*'Progetto del paramento slu'!$G$54,'Progetto del paramento slu'!$G$53)</f>
        <v>29984396.282255933</v>
      </c>
      <c r="G519" s="553">
        <f>-'Foglio deposito bis'!$F$50*(C519-sezione!$AN$29)*IF(ABS(M519)&lt;'Progetto del paramento slu'!$G$58,ABS(M519)*'Progetto del paramento slu'!$G$54,'Progetto del paramento slu'!$G$53)</f>
        <v>0</v>
      </c>
      <c r="H519" s="553">
        <f>-'Foglio deposito bis'!$F$51*(C519-sezione!$AO$29)*IF(ABS(N519)&lt;'Progetto del paramento slu'!$G$58,ABS(N519)*'Progetto del paramento slu'!$G$54,'Progetto del paramento slu'!$G$53)</f>
        <v>81041484.539983198</v>
      </c>
      <c r="I519" s="479">
        <f>-'Foglio deposito bis'!$F$52*(C519-sezione!$AP$29)*IF(ABS(O519)&lt;'Progetto del paramento slu'!$G$58,ABS(O519)*'Progetto del paramento slu'!$G$54,'Progetto del paramento slu'!$G$53)</f>
        <v>61766245.480033956</v>
      </c>
      <c r="J519" s="479">
        <f t="shared" si="40"/>
        <v>172682238.42672902</v>
      </c>
      <c r="K519" s="558">
        <f>'Progetto del paramento slu'!$G$60*(sezione!$AL$29-C519)/C519</f>
        <v>3.481826367750205E-2</v>
      </c>
      <c r="L519" s="558">
        <f>'Progetto del paramento slu'!$G$60*(sezione!$AM$29-C519)/C519</f>
        <v>0.1401934887906327</v>
      </c>
      <c r="M519" s="559">
        <f>'Progetto del paramento slu'!$G$60*(sezione!$AN$29-C519)/C519</f>
        <v>0.24556871390376336</v>
      </c>
      <c r="N519" s="559">
        <f>'Progetto del paramento slu'!$G$60*(sezione!$AO$29-C519)/C519</f>
        <v>0.32220524125876748</v>
      </c>
      <c r="O519" s="559">
        <f>'Progetto del paramento slu'!$G$60*(sezione!$AP$29-C519)/C519</f>
        <v>0.24557062521138662</v>
      </c>
      <c r="P519" s="553">
        <f>-'Progetto del paramento slu'!$G$47*'Progetto del paramento slu'!$G$41*IF(DATI!$G$218="dx",DATI!$E$61,DATI!$E$64*DATI!$E$63)*1000*C519*sezione!$AD$5</f>
        <v>-51500.887843168748</v>
      </c>
      <c r="Q519" s="553">
        <f>'Foglio deposito bis'!$F$48*IF(ABS(K519)&lt;'Progetto del paramento slu'!$G$58,ABS(K519)*'Progetto del paramento slu'!$G$54,'Progetto del paramento slu'!$G$53)*IF(K519&lt;0,-1,1)</f>
        <v>0</v>
      </c>
      <c r="R519" s="553">
        <f>'Foglio deposito bis'!$F$49*IF(ABS(L519)&lt;'Progetto del paramento slu'!$G$58,ABS(L519)*'Progetto del paramento slu'!$G$54,'Progetto del paramento slu'!$G$53)*IF(L519&lt;0,-1,1)</f>
        <v>204886.47740803001</v>
      </c>
      <c r="S519" s="553">
        <f>'Foglio deposito bis'!$F$50*IF(ABS(M519)&lt;'Progetto del paramento slu'!$G$58,ABS(M519)*'Progetto del paramento slu'!$G$54,'Progetto del paramento slu'!$G$53)*IF(M519&lt;0,-1,1)</f>
        <v>0</v>
      </c>
      <c r="T519" s="553">
        <f>'Foglio deposito bis'!$F$51*IF(ABS(N519)&lt;'Progetto del paramento slu'!$G$58,ABS(N519)*'Progetto del paramento slu'!$G$54,'Progetto del paramento slu'!$G$53)*IF(N519&lt;0,-1,1)</f>
        <v>240946.49743184328</v>
      </c>
      <c r="U519" s="553">
        <f>'Foglio deposito bis'!$F$52*IF(ABS(O519)&lt;'Progetto del paramento slu'!$G$58,ABS(O519)*'Progetto del paramento slu'!$G$54,'Progetto del paramento slu'!$G$53)*IF(O519&lt;0,-1,1)</f>
        <v>240946.49743184328</v>
      </c>
      <c r="V519" s="479">
        <f t="shared" si="41"/>
        <v>635278.58442854788</v>
      </c>
      <c r="W519" s="559"/>
      <c r="X519" s="559"/>
    </row>
    <row r="520" spans="1:24" x14ac:dyDescent="0.25">
      <c r="A520" s="553">
        <f t="shared" si="42"/>
        <v>632417.42399281624</v>
      </c>
      <c r="B520" s="3">
        <f t="shared" si="43"/>
        <v>0.95000000000000029</v>
      </c>
      <c r="C520" s="553">
        <f>'Foglio deposito bis'!$E$155/sezione!$B$247*B520</f>
        <v>3.8565885714843371</v>
      </c>
      <c r="D520" s="611">
        <f>-'Progetto del paramento slu'!$G$47*'Progetto del paramento slu'!$G$41*IF(DATI!$G$218="dx",DATI!$E$61,DATI!$E$64*DATI!$E$63)*1000*C520^2*sezione!$AD$5*(1-sezione!$AD$6)</f>
        <v>-122436.79960309395</v>
      </c>
      <c r="E520" s="553">
        <f>-'Foglio deposito bis'!$F$48*(C520-sezione!$AL$29)*IF(ABS(K520)&lt;'Progetto del paramento slu'!$G$58,ABS(K520)*'Progetto del paramento slu'!$G$54,'Progetto del paramento slu'!$G$53)</f>
        <v>0</v>
      </c>
      <c r="F520" s="553">
        <f>-'Foglio deposito bis'!$F$49*(C520-sezione!$AM$29)*IF(ABS(L520)&lt;'Progetto del paramento slu'!$G$58,ABS(L520)*'Progetto del paramento slu'!$G$54,'Progetto del paramento slu'!$G$53)</f>
        <v>29942808.763981011</v>
      </c>
      <c r="G520" s="553">
        <f>-'Foglio deposito bis'!$F$50*(C520-sezione!$AN$29)*IF(ABS(M520)&lt;'Progetto del paramento slu'!$G$58,ABS(M520)*'Progetto del paramento slu'!$G$54,'Progetto del paramento slu'!$G$53)</f>
        <v>0</v>
      </c>
      <c r="H520" s="553">
        <f>-'Foglio deposito bis'!$F$51*(C520-sezione!$AO$29)*IF(ABS(N520)&lt;'Progetto del paramento slu'!$G$58,ABS(N520)*'Progetto del paramento slu'!$G$54,'Progetto del paramento slu'!$G$53)</f>
        <v>80992577.618491888</v>
      </c>
      <c r="I520" s="479">
        <f>-'Foglio deposito bis'!$F$52*(C520-sezione!$AP$29)*IF(ABS(O520)&lt;'Progetto del paramento slu'!$G$58,ABS(O520)*'Progetto del paramento slu'!$G$54,'Progetto del paramento slu'!$G$53)</f>
        <v>61717338.558542646</v>
      </c>
      <c r="J520" s="479">
        <f t="shared" si="40"/>
        <v>172530288.14141244</v>
      </c>
      <c r="K520" s="558">
        <f>'Progetto del paramento slu'!$G$60*(sezione!$AL$29-C520)/C520</f>
        <v>3.2801512957633519E-2</v>
      </c>
      <c r="L520" s="558">
        <f>'Progetto del paramento slu'!$G$60*(sezione!$AM$29-C520)/C520</f>
        <v>0.13263067359112571</v>
      </c>
      <c r="M520" s="559">
        <f>'Progetto del paramento slu'!$G$60*(sezione!$AN$29-C520)/C520</f>
        <v>0.23245983422461788</v>
      </c>
      <c r="N520" s="559">
        <f>'Progetto del paramento slu'!$G$60*(sezione!$AO$29-C520)/C520</f>
        <v>0.30506286013988493</v>
      </c>
      <c r="O520" s="559">
        <f>'Progetto del paramento slu'!$G$60*(sezione!$AP$29-C520)/C520</f>
        <v>0.23246164493710306</v>
      </c>
      <c r="P520" s="553">
        <f>-'Progetto del paramento slu'!$G$47*'Progetto del paramento slu'!$G$41*IF(DATI!$G$218="dx",DATI!$E$61,DATI!$E$64*DATI!$E$63)*1000*C520*sezione!$AD$5</f>
        <v>-54362.048278900358</v>
      </c>
      <c r="Q520" s="553">
        <f>'Foglio deposito bis'!$F$48*IF(ABS(K520)&lt;'Progetto del paramento slu'!$G$58,ABS(K520)*'Progetto del paramento slu'!$G$54,'Progetto del paramento slu'!$G$53)*IF(K520&lt;0,-1,1)</f>
        <v>0</v>
      </c>
      <c r="R520" s="553">
        <f>'Foglio deposito bis'!$F$49*IF(ABS(L520)&lt;'Progetto del paramento slu'!$G$58,ABS(L520)*'Progetto del paramento slu'!$G$54,'Progetto del paramento slu'!$G$53)*IF(L520&lt;0,-1,1)</f>
        <v>204886.47740803001</v>
      </c>
      <c r="S520" s="553">
        <f>'Foglio deposito bis'!$F$50*IF(ABS(M520)&lt;'Progetto del paramento slu'!$G$58,ABS(M520)*'Progetto del paramento slu'!$G$54,'Progetto del paramento slu'!$G$53)*IF(M520&lt;0,-1,1)</f>
        <v>0</v>
      </c>
      <c r="T520" s="553">
        <f>'Foglio deposito bis'!$F$51*IF(ABS(N520)&lt;'Progetto del paramento slu'!$G$58,ABS(N520)*'Progetto del paramento slu'!$G$54,'Progetto del paramento slu'!$G$53)*IF(N520&lt;0,-1,1)</f>
        <v>240946.49743184328</v>
      </c>
      <c r="U520" s="553">
        <f>'Foglio deposito bis'!$F$52*IF(ABS(O520)&lt;'Progetto del paramento slu'!$G$58,ABS(O520)*'Progetto del paramento slu'!$G$54,'Progetto del paramento slu'!$G$53)*IF(O520&lt;0,-1,1)</f>
        <v>240946.49743184328</v>
      </c>
      <c r="V520" s="479">
        <f t="shared" si="41"/>
        <v>632417.42399281624</v>
      </c>
      <c r="W520" s="559"/>
      <c r="X520" s="559"/>
    </row>
    <row r="521" spans="1:24" x14ac:dyDescent="0.25">
      <c r="A521" s="553">
        <f t="shared" si="42"/>
        <v>629556.2635570846</v>
      </c>
      <c r="B521" s="3">
        <f t="shared" si="43"/>
        <v>1.0000000000000002</v>
      </c>
      <c r="C521" s="553">
        <f>'Foglio deposito bis'!$E$155/sezione!$B$247*B521</f>
        <v>4.0595669173519333</v>
      </c>
      <c r="D521" s="611">
        <f>-'Progetto del paramento slu'!$G$47*'Progetto del paramento slu'!$G$41*IF(DATI!$G$218="dx",DATI!$E$61,DATI!$E$64*DATI!$E$63)*1000*C521^2*sezione!$AD$5*(1-sezione!$AD$6)</f>
        <v>-135664.04388154452</v>
      </c>
      <c r="E521" s="553">
        <f>-'Foglio deposito bis'!$F$48*(C521-sezione!$AL$29)*IF(ABS(K521)&lt;'Progetto del paramento slu'!$G$58,ABS(K521)*'Progetto del paramento slu'!$G$54,'Progetto del paramento slu'!$G$53)</f>
        <v>0</v>
      </c>
      <c r="F521" s="553">
        <f>-'Foglio deposito bis'!$F$49*(C521-sezione!$AM$29)*IF(ABS(L521)&lt;'Progetto del paramento slu'!$G$58,ABS(L521)*'Progetto del paramento slu'!$G$54,'Progetto del paramento slu'!$G$53)</f>
        <v>29901221.245706089</v>
      </c>
      <c r="G521" s="553">
        <f>-'Foglio deposito bis'!$F$50*(C521-sezione!$AN$29)*IF(ABS(M521)&lt;'Progetto del paramento slu'!$G$58,ABS(M521)*'Progetto del paramento slu'!$G$54,'Progetto del paramento slu'!$G$53)</f>
        <v>0</v>
      </c>
      <c r="H521" s="553">
        <f>-'Foglio deposito bis'!$F$51*(C521-sezione!$AO$29)*IF(ABS(N521)&lt;'Progetto del paramento slu'!$G$58,ABS(N521)*'Progetto del paramento slu'!$G$54,'Progetto del paramento slu'!$G$53)</f>
        <v>80943670.697000563</v>
      </c>
      <c r="I521" s="479">
        <f>-'Foglio deposito bis'!$F$52*(C521-sezione!$AP$29)*IF(ABS(O521)&lt;'Progetto del paramento slu'!$G$58,ABS(O521)*'Progetto del paramento slu'!$G$54,'Progetto del paramento slu'!$G$53)</f>
        <v>61668431.637051344</v>
      </c>
      <c r="J521" s="479">
        <f t="shared" si="40"/>
        <v>172377659.53587645</v>
      </c>
      <c r="K521" s="558">
        <f>'Progetto del paramento slu'!$G$60*(sezione!$AL$29-C521)/C521</f>
        <v>3.0986437309751851E-2</v>
      </c>
      <c r="L521" s="558">
        <f>'Progetto del paramento slu'!$G$60*(sezione!$AM$29-C521)/C521</f>
        <v>0.12582413991156943</v>
      </c>
      <c r="M521" s="559">
        <f>'Progetto del paramento slu'!$G$60*(sezione!$AN$29-C521)/C521</f>
        <v>0.22066184251338702</v>
      </c>
      <c r="N521" s="559">
        <f>'Progetto del paramento slu'!$G$60*(sezione!$AO$29-C521)/C521</f>
        <v>0.28963471713289068</v>
      </c>
      <c r="O521" s="559">
        <f>'Progetto del paramento slu'!$G$60*(sezione!$AP$29-C521)/C521</f>
        <v>0.22066356269024795</v>
      </c>
      <c r="P521" s="553">
        <f>-'Progetto del paramento slu'!$G$47*'Progetto del paramento slu'!$G$41*IF(DATI!$G$218="dx",DATI!$E$61,DATI!$E$64*DATI!$E$63)*1000*C521*sezione!$AD$5</f>
        <v>-57223.208714631939</v>
      </c>
      <c r="Q521" s="553">
        <f>'Foglio deposito bis'!$F$48*IF(ABS(K521)&lt;'Progetto del paramento slu'!$G$58,ABS(K521)*'Progetto del paramento slu'!$G$54,'Progetto del paramento slu'!$G$53)*IF(K521&lt;0,-1,1)</f>
        <v>0</v>
      </c>
      <c r="R521" s="553">
        <f>'Foglio deposito bis'!$F$49*IF(ABS(L521)&lt;'Progetto del paramento slu'!$G$58,ABS(L521)*'Progetto del paramento slu'!$G$54,'Progetto del paramento slu'!$G$53)*IF(L521&lt;0,-1,1)</f>
        <v>204886.47740803001</v>
      </c>
      <c r="S521" s="553">
        <f>'Foglio deposito bis'!$F$50*IF(ABS(M521)&lt;'Progetto del paramento slu'!$G$58,ABS(M521)*'Progetto del paramento slu'!$G$54,'Progetto del paramento slu'!$G$53)*IF(M521&lt;0,-1,1)</f>
        <v>0</v>
      </c>
      <c r="T521" s="553">
        <f>'Foglio deposito bis'!$F$51*IF(ABS(N521)&lt;'Progetto del paramento slu'!$G$58,ABS(N521)*'Progetto del paramento slu'!$G$54,'Progetto del paramento slu'!$G$53)*IF(N521&lt;0,-1,1)</f>
        <v>240946.49743184328</v>
      </c>
      <c r="U521" s="553">
        <f>'Foglio deposito bis'!$F$52*IF(ABS(O521)&lt;'Progetto del paramento slu'!$G$58,ABS(O521)*'Progetto del paramento slu'!$G$54,'Progetto del paramento slu'!$G$53)*IF(O521&lt;0,-1,1)</f>
        <v>240946.49743184328</v>
      </c>
      <c r="V521" s="479">
        <f t="shared" si="41"/>
        <v>629556.2635570846</v>
      </c>
      <c r="W521" s="559"/>
      <c r="X521" s="559"/>
    </row>
    <row r="522" spans="1:24" x14ac:dyDescent="0.25">
      <c r="A522" s="553">
        <f t="shared" si="42"/>
        <v>626695.10312135308</v>
      </c>
      <c r="B522" s="3">
        <f t="shared" si="43"/>
        <v>1.0500000000000003</v>
      </c>
      <c r="C522" s="553">
        <f>'Foglio deposito bis'!$E$155/sezione!$B$247*B522</f>
        <v>4.26254526321953</v>
      </c>
      <c r="D522" s="611">
        <f>-'Progetto del paramento slu'!$G$47*'Progetto del paramento slu'!$G$41*IF(DATI!$G$218="dx",DATI!$E$61,DATI!$E$64*DATI!$E$63)*1000*C522^2*sezione!$AD$5*(1-sezione!$AD$6)</f>
        <v>-149569.60837940284</v>
      </c>
      <c r="E522" s="553">
        <f>-'Foglio deposito bis'!$F$48*(C522-sezione!$AL$29)*IF(ABS(K522)&lt;'Progetto del paramento slu'!$G$58,ABS(K522)*'Progetto del paramento slu'!$G$54,'Progetto del paramento slu'!$G$53)</f>
        <v>0</v>
      </c>
      <c r="F522" s="553">
        <f>-'Foglio deposito bis'!$F$49*(C522-sezione!$AM$29)*IF(ABS(L522)&lt;'Progetto del paramento slu'!$G$58,ABS(L522)*'Progetto del paramento slu'!$G$54,'Progetto del paramento slu'!$G$53)</f>
        <v>29859633.727431167</v>
      </c>
      <c r="G522" s="553">
        <f>-'Foglio deposito bis'!$F$50*(C522-sezione!$AN$29)*IF(ABS(M522)&lt;'Progetto del paramento slu'!$G$58,ABS(M522)*'Progetto del paramento slu'!$G$54,'Progetto del paramento slu'!$G$53)</f>
        <v>0</v>
      </c>
      <c r="H522" s="553">
        <f>-'Foglio deposito bis'!$F$51*(C522-sezione!$AO$29)*IF(ABS(N522)&lt;'Progetto del paramento slu'!$G$58,ABS(N522)*'Progetto del paramento slu'!$G$54,'Progetto del paramento slu'!$G$53)</f>
        <v>80894763.775509268</v>
      </c>
      <c r="I522" s="479">
        <f>-'Foglio deposito bis'!$F$52*(C522-sezione!$AP$29)*IF(ABS(O522)&lt;'Progetto del paramento slu'!$G$58,ABS(O522)*'Progetto del paramento slu'!$G$54,'Progetto del paramento slu'!$G$53)</f>
        <v>61619524.715560034</v>
      </c>
      <c r="J522" s="479">
        <f t="shared" si="40"/>
        <v>172224352.61012107</v>
      </c>
      <c r="K522" s="558">
        <f>'Progetto del paramento slu'!$G$60*(sezione!$AL$29-C522)/C522</f>
        <v>2.9344226009287475E-2</v>
      </c>
      <c r="L522" s="558">
        <f>'Progetto del paramento slu'!$G$60*(sezione!$AM$29-C522)/C522</f>
        <v>0.11966584753482803</v>
      </c>
      <c r="M522" s="559">
        <f>'Progetto del paramento slu'!$G$60*(sezione!$AN$29-C522)/C522</f>
        <v>0.20998746906036858</v>
      </c>
      <c r="N522" s="559">
        <f>'Progetto del paramento slu'!$G$60*(sezione!$AO$29-C522)/C522</f>
        <v>0.27567592107894356</v>
      </c>
      <c r="O522" s="559">
        <f>'Progetto del paramento slu'!$G$60*(sezione!$AP$29-C522)/C522</f>
        <v>0.20998910732404569</v>
      </c>
      <c r="P522" s="553">
        <f>-'Progetto del paramento slu'!$G$47*'Progetto del paramento slu'!$G$41*IF(DATI!$G$218="dx",DATI!$E$61,DATI!$E$64*DATI!$E$63)*1000*C522*sezione!$AD$5</f>
        <v>-60084.369150363542</v>
      </c>
      <c r="Q522" s="553">
        <f>'Foglio deposito bis'!$F$48*IF(ABS(K522)&lt;'Progetto del paramento slu'!$G$58,ABS(K522)*'Progetto del paramento slu'!$G$54,'Progetto del paramento slu'!$G$53)*IF(K522&lt;0,-1,1)</f>
        <v>0</v>
      </c>
      <c r="R522" s="553">
        <f>'Foglio deposito bis'!$F$49*IF(ABS(L522)&lt;'Progetto del paramento slu'!$G$58,ABS(L522)*'Progetto del paramento slu'!$G$54,'Progetto del paramento slu'!$G$53)*IF(L522&lt;0,-1,1)</f>
        <v>204886.47740803001</v>
      </c>
      <c r="S522" s="553">
        <f>'Foglio deposito bis'!$F$50*IF(ABS(M522)&lt;'Progetto del paramento slu'!$G$58,ABS(M522)*'Progetto del paramento slu'!$G$54,'Progetto del paramento slu'!$G$53)*IF(M522&lt;0,-1,1)</f>
        <v>0</v>
      </c>
      <c r="T522" s="553">
        <f>'Foglio deposito bis'!$F$51*IF(ABS(N522)&lt;'Progetto del paramento slu'!$G$58,ABS(N522)*'Progetto del paramento slu'!$G$54,'Progetto del paramento slu'!$G$53)*IF(N522&lt;0,-1,1)</f>
        <v>240946.49743184328</v>
      </c>
      <c r="U522" s="553">
        <f>'Foglio deposito bis'!$F$52*IF(ABS(O522)&lt;'Progetto del paramento slu'!$G$58,ABS(O522)*'Progetto del paramento slu'!$G$54,'Progetto del paramento slu'!$G$53)*IF(O522&lt;0,-1,1)</f>
        <v>240946.49743184328</v>
      </c>
      <c r="V522" s="479">
        <f t="shared" si="41"/>
        <v>626695.10312135308</v>
      </c>
      <c r="W522" s="559"/>
      <c r="X522" s="559"/>
    </row>
    <row r="523" spans="1:24" x14ac:dyDescent="0.25">
      <c r="A523" s="553">
        <f t="shared" si="42"/>
        <v>623833.94268562144</v>
      </c>
      <c r="B523" s="3">
        <f t="shared" si="43"/>
        <v>1.1000000000000003</v>
      </c>
      <c r="C523" s="553">
        <f>'Foglio deposito bis'!$E$155/sezione!$B$247*B523</f>
        <v>4.4655236090871266</v>
      </c>
      <c r="D523" s="611">
        <f>-'Progetto del paramento slu'!$G$47*'Progetto del paramento slu'!$G$41*IF(DATI!$G$218="dx",DATI!$E$61,DATI!$E$64*DATI!$E$63)*1000*C523^2*sezione!$AD$5*(1-sezione!$AD$6)</f>
        <v>-164153.49309666888</v>
      </c>
      <c r="E523" s="553">
        <f>-'Foglio deposito bis'!$F$48*(C523-sezione!$AL$29)*IF(ABS(K523)&lt;'Progetto del paramento slu'!$G$58,ABS(K523)*'Progetto del paramento slu'!$G$54,'Progetto del paramento slu'!$G$53)</f>
        <v>0</v>
      </c>
      <c r="F523" s="553">
        <f>-'Foglio deposito bis'!$F$49*(C523-sezione!$AM$29)*IF(ABS(L523)&lt;'Progetto del paramento slu'!$G$58,ABS(L523)*'Progetto del paramento slu'!$G$54,'Progetto del paramento slu'!$G$53)</f>
        <v>29818046.209156249</v>
      </c>
      <c r="G523" s="553">
        <f>-'Foglio deposito bis'!$F$50*(C523-sezione!$AN$29)*IF(ABS(M523)&lt;'Progetto del paramento slu'!$G$58,ABS(M523)*'Progetto del paramento slu'!$G$54,'Progetto del paramento slu'!$G$53)</f>
        <v>0</v>
      </c>
      <c r="H523" s="553">
        <f>-'Foglio deposito bis'!$F$51*(C523-sezione!$AO$29)*IF(ABS(N523)&lt;'Progetto del paramento slu'!$G$58,ABS(N523)*'Progetto del paramento slu'!$G$54,'Progetto del paramento slu'!$G$53)</f>
        <v>80845856.854017958</v>
      </c>
      <c r="I523" s="479">
        <f>-'Foglio deposito bis'!$F$52*(C523-sezione!$AP$29)*IF(ABS(O523)&lt;'Progetto del paramento slu'!$G$58,ABS(O523)*'Progetto del paramento slu'!$G$54,'Progetto del paramento slu'!$G$53)</f>
        <v>61570617.794068731</v>
      </c>
      <c r="J523" s="479">
        <f t="shared" si="40"/>
        <v>172070367.36414626</v>
      </c>
      <c r="K523" s="558">
        <f>'Progetto del paramento slu'!$G$60*(sezione!$AL$29-C523)/C523</f>
        <v>2.7851306645228949E-2</v>
      </c>
      <c r="L523" s="558">
        <f>'Progetto del paramento slu'!$G$60*(sezione!$AM$29-C523)/C523</f>
        <v>0.11406739991960858</v>
      </c>
      <c r="M523" s="559">
        <f>'Progetto del paramento slu'!$G$60*(sezione!$AN$29-C523)/C523</f>
        <v>0.20028349319398819</v>
      </c>
      <c r="N523" s="559">
        <f>'Progetto del paramento slu'!$G$60*(sezione!$AO$29-C523)/C523</f>
        <v>0.26298610648444609</v>
      </c>
      <c r="O523" s="559">
        <f>'Progetto del paramento slu'!$G$60*(sezione!$AP$29-C523)/C523</f>
        <v>0.20028505699113452</v>
      </c>
      <c r="P523" s="553">
        <f>-'Progetto del paramento slu'!$G$47*'Progetto del paramento slu'!$G$41*IF(DATI!$G$218="dx",DATI!$E$61,DATI!$E$64*DATI!$E$63)*1000*C523*sezione!$AD$5</f>
        <v>-62945.529586095137</v>
      </c>
      <c r="Q523" s="553">
        <f>'Foglio deposito bis'!$F$48*IF(ABS(K523)&lt;'Progetto del paramento slu'!$G$58,ABS(K523)*'Progetto del paramento slu'!$G$54,'Progetto del paramento slu'!$G$53)*IF(K523&lt;0,-1,1)</f>
        <v>0</v>
      </c>
      <c r="R523" s="553">
        <f>'Foglio deposito bis'!$F$49*IF(ABS(L523)&lt;'Progetto del paramento slu'!$G$58,ABS(L523)*'Progetto del paramento slu'!$G$54,'Progetto del paramento slu'!$G$53)*IF(L523&lt;0,-1,1)</f>
        <v>204886.47740803001</v>
      </c>
      <c r="S523" s="553">
        <f>'Foglio deposito bis'!$F$50*IF(ABS(M523)&lt;'Progetto del paramento slu'!$G$58,ABS(M523)*'Progetto del paramento slu'!$G$54,'Progetto del paramento slu'!$G$53)*IF(M523&lt;0,-1,1)</f>
        <v>0</v>
      </c>
      <c r="T523" s="553">
        <f>'Foglio deposito bis'!$F$51*IF(ABS(N523)&lt;'Progetto del paramento slu'!$G$58,ABS(N523)*'Progetto del paramento slu'!$G$54,'Progetto del paramento slu'!$G$53)*IF(N523&lt;0,-1,1)</f>
        <v>240946.49743184328</v>
      </c>
      <c r="U523" s="553">
        <f>'Foglio deposito bis'!$F$52*IF(ABS(O523)&lt;'Progetto del paramento slu'!$G$58,ABS(O523)*'Progetto del paramento slu'!$G$54,'Progetto del paramento slu'!$G$53)*IF(O523&lt;0,-1,1)</f>
        <v>240946.49743184328</v>
      </c>
      <c r="V523" s="479">
        <f t="shared" si="41"/>
        <v>623833.94268562144</v>
      </c>
      <c r="W523" s="559"/>
      <c r="X523" s="559"/>
    </row>
    <row r="524" spans="1:24" x14ac:dyDescent="0.25">
      <c r="A524" s="553">
        <f t="shared" si="42"/>
        <v>620972.78224988992</v>
      </c>
      <c r="B524" s="3">
        <f t="shared" si="43"/>
        <v>1.1500000000000004</v>
      </c>
      <c r="C524" s="553">
        <f>'Foglio deposito bis'!$E$155/sezione!$B$247*B524</f>
        <v>4.6685019549547233</v>
      </c>
      <c r="D524" s="611">
        <f>-'Progetto del paramento slu'!$G$47*'Progetto del paramento slu'!$G$41*IF(DATI!$G$218="dx",DATI!$E$61,DATI!$E$64*DATI!$E$63)*1000*C524^2*sezione!$AD$5*(1-sezione!$AD$6)</f>
        <v>-179415.6980333426</v>
      </c>
      <c r="E524" s="553">
        <f>-'Foglio deposito bis'!$F$48*(C524-sezione!$AL$29)*IF(ABS(K524)&lt;'Progetto del paramento slu'!$G$58,ABS(K524)*'Progetto del paramento slu'!$G$54,'Progetto del paramento slu'!$G$53)</f>
        <v>0</v>
      </c>
      <c r="F524" s="553">
        <f>-'Foglio deposito bis'!$F$49*(C524-sezione!$AM$29)*IF(ABS(L524)&lt;'Progetto del paramento slu'!$G$58,ABS(L524)*'Progetto del paramento slu'!$G$54,'Progetto del paramento slu'!$G$53)</f>
        <v>29776458.690881323</v>
      </c>
      <c r="G524" s="553">
        <f>-'Foglio deposito bis'!$F$50*(C524-sezione!$AN$29)*IF(ABS(M524)&lt;'Progetto del paramento slu'!$G$58,ABS(M524)*'Progetto del paramento slu'!$G$54,'Progetto del paramento slu'!$G$53)</f>
        <v>0</v>
      </c>
      <c r="H524" s="553">
        <f>-'Foglio deposito bis'!$F$51*(C524-sezione!$AO$29)*IF(ABS(N524)&lt;'Progetto del paramento slu'!$G$58,ABS(N524)*'Progetto del paramento slu'!$G$54,'Progetto del paramento slu'!$G$53)</f>
        <v>80796949.932526663</v>
      </c>
      <c r="I524" s="479">
        <f>-'Foglio deposito bis'!$F$52*(C524-sezione!$AP$29)*IF(ABS(O524)&lt;'Progetto del paramento slu'!$G$58,ABS(O524)*'Progetto del paramento slu'!$G$54,'Progetto del paramento slu'!$G$53)</f>
        <v>61521710.872577421</v>
      </c>
      <c r="J524" s="479">
        <f t="shared" si="40"/>
        <v>171915703.79795206</v>
      </c>
      <c r="K524" s="558">
        <f>'Progetto del paramento slu'!$G$60*(sezione!$AL$29-C524)/C524</f>
        <v>2.6488206356305957E-2</v>
      </c>
      <c r="L524" s="558">
        <f>'Progetto del paramento slu'!$G$60*(sezione!$AM$29-C524)/C524</f>
        <v>0.10895577383614732</v>
      </c>
      <c r="M524" s="559">
        <f>'Progetto del paramento slu'!$G$60*(sezione!$AN$29-C524)/C524</f>
        <v>0.1914233413159887</v>
      </c>
      <c r="N524" s="559">
        <f>'Progetto del paramento slu'!$G$60*(sezione!$AO$29-C524)/C524</f>
        <v>0.25139975402860065</v>
      </c>
      <c r="O524" s="559">
        <f>'Progetto del paramento slu'!$G$60*(sezione!$AP$29-C524)/C524</f>
        <v>0.19142483712195474</v>
      </c>
      <c r="P524" s="553">
        <f>-'Progetto del paramento slu'!$G$47*'Progetto del paramento slu'!$G$41*IF(DATI!$G$218="dx",DATI!$E$61,DATI!$E$64*DATI!$E$63)*1000*C524*sezione!$AD$5</f>
        <v>-65806.690021826726</v>
      </c>
      <c r="Q524" s="553">
        <f>'Foglio deposito bis'!$F$48*IF(ABS(K524)&lt;'Progetto del paramento slu'!$G$58,ABS(K524)*'Progetto del paramento slu'!$G$54,'Progetto del paramento slu'!$G$53)*IF(K524&lt;0,-1,1)</f>
        <v>0</v>
      </c>
      <c r="R524" s="553">
        <f>'Foglio deposito bis'!$F$49*IF(ABS(L524)&lt;'Progetto del paramento slu'!$G$58,ABS(L524)*'Progetto del paramento slu'!$G$54,'Progetto del paramento slu'!$G$53)*IF(L524&lt;0,-1,1)</f>
        <v>204886.47740803001</v>
      </c>
      <c r="S524" s="553">
        <f>'Foglio deposito bis'!$F$50*IF(ABS(M524)&lt;'Progetto del paramento slu'!$G$58,ABS(M524)*'Progetto del paramento slu'!$G$54,'Progetto del paramento slu'!$G$53)*IF(M524&lt;0,-1,1)</f>
        <v>0</v>
      </c>
      <c r="T524" s="553">
        <f>'Foglio deposito bis'!$F$51*IF(ABS(N524)&lt;'Progetto del paramento slu'!$G$58,ABS(N524)*'Progetto del paramento slu'!$G$54,'Progetto del paramento slu'!$G$53)*IF(N524&lt;0,-1,1)</f>
        <v>240946.49743184328</v>
      </c>
      <c r="U524" s="553">
        <f>'Foglio deposito bis'!$F$52*IF(ABS(O524)&lt;'Progetto del paramento slu'!$G$58,ABS(O524)*'Progetto del paramento slu'!$G$54,'Progetto del paramento slu'!$G$53)*IF(O524&lt;0,-1,1)</f>
        <v>240946.49743184328</v>
      </c>
      <c r="V524" s="479">
        <f t="shared" si="41"/>
        <v>620972.78224988992</v>
      </c>
      <c r="W524" s="559"/>
      <c r="X524" s="559"/>
    </row>
    <row r="525" spans="1:24" x14ac:dyDescent="0.25">
      <c r="A525" s="553">
        <f t="shared" si="42"/>
        <v>618111.62181415828</v>
      </c>
      <c r="B525" s="3">
        <f t="shared" si="43"/>
        <v>1.2000000000000004</v>
      </c>
      <c r="C525" s="553">
        <f>'Foglio deposito bis'!$E$155/sezione!$B$247*B525</f>
        <v>4.8714803008223209</v>
      </c>
      <c r="D525" s="611">
        <f>-'Progetto del paramento slu'!$G$47*'Progetto del paramento slu'!$G$41*IF(DATI!$G$218="dx",DATI!$E$61,DATI!$E$64*DATI!$E$63)*1000*C525^2*sezione!$AD$5*(1-sezione!$AD$6)</f>
        <v>-195356.22318942417</v>
      </c>
      <c r="E525" s="553">
        <f>-'Foglio deposito bis'!$F$48*(C525-sezione!$AL$29)*IF(ABS(K525)&lt;'Progetto del paramento slu'!$G$58,ABS(K525)*'Progetto del paramento slu'!$G$54,'Progetto del paramento slu'!$G$53)</f>
        <v>0</v>
      </c>
      <c r="F525" s="553">
        <f>-'Foglio deposito bis'!$F$49*(C525-sezione!$AM$29)*IF(ABS(L525)&lt;'Progetto del paramento slu'!$G$58,ABS(L525)*'Progetto del paramento slu'!$G$54,'Progetto del paramento slu'!$G$53)</f>
        <v>29734871.172606405</v>
      </c>
      <c r="G525" s="553">
        <f>-'Foglio deposito bis'!$F$50*(C525-sezione!$AN$29)*IF(ABS(M525)&lt;'Progetto del paramento slu'!$G$58,ABS(M525)*'Progetto del paramento slu'!$G$54,'Progetto del paramento slu'!$G$53)</f>
        <v>0</v>
      </c>
      <c r="H525" s="553">
        <f>-'Foglio deposito bis'!$F$51*(C525-sezione!$AO$29)*IF(ABS(N525)&lt;'Progetto del paramento slu'!$G$58,ABS(N525)*'Progetto del paramento slu'!$G$54,'Progetto del paramento slu'!$G$53)</f>
        <v>80748043.011035353</v>
      </c>
      <c r="I525" s="479">
        <f>-'Foglio deposito bis'!$F$52*(C525-sezione!$AP$29)*IF(ABS(O525)&lt;'Progetto del paramento slu'!$G$58,ABS(O525)*'Progetto del paramento slu'!$G$54,'Progetto del paramento slu'!$G$53)</f>
        <v>61472803.951086119</v>
      </c>
      <c r="J525" s="479">
        <f t="shared" si="40"/>
        <v>171760361.91153845</v>
      </c>
      <c r="K525" s="558">
        <f>'Progetto del paramento slu'!$G$60*(sezione!$AL$29-C525)/C525</f>
        <v>2.5238697758126535E-2</v>
      </c>
      <c r="L525" s="558">
        <f>'Progetto del paramento slu'!$G$60*(sezione!$AM$29-C525)/C525</f>
        <v>0.1042701165929745</v>
      </c>
      <c r="M525" s="559">
        <f>'Progetto del paramento slu'!$G$60*(sezione!$AN$29-C525)/C525</f>
        <v>0.18330153542782246</v>
      </c>
      <c r="N525" s="559">
        <f>'Progetto del paramento slu'!$G$60*(sezione!$AO$29-C525)/C525</f>
        <v>0.24077893094407554</v>
      </c>
      <c r="O525" s="559">
        <f>'Progetto del paramento slu'!$G$60*(sezione!$AP$29-C525)/C525</f>
        <v>0.18330296890853992</v>
      </c>
      <c r="P525" s="553">
        <f>-'Progetto del paramento slu'!$G$47*'Progetto del paramento slu'!$G$41*IF(DATI!$G$218="dx",DATI!$E$61,DATI!$E$64*DATI!$E$63)*1000*C525*sezione!$AD$5</f>
        <v>-68667.85045755835</v>
      </c>
      <c r="Q525" s="553">
        <f>'Foglio deposito bis'!$F$48*IF(ABS(K525)&lt;'Progetto del paramento slu'!$G$58,ABS(K525)*'Progetto del paramento slu'!$G$54,'Progetto del paramento slu'!$G$53)*IF(K525&lt;0,-1,1)</f>
        <v>0</v>
      </c>
      <c r="R525" s="553">
        <f>'Foglio deposito bis'!$F$49*IF(ABS(L525)&lt;'Progetto del paramento slu'!$G$58,ABS(L525)*'Progetto del paramento slu'!$G$54,'Progetto del paramento slu'!$G$53)*IF(L525&lt;0,-1,1)</f>
        <v>204886.47740803001</v>
      </c>
      <c r="S525" s="553">
        <f>'Foglio deposito bis'!$F$50*IF(ABS(M525)&lt;'Progetto del paramento slu'!$G$58,ABS(M525)*'Progetto del paramento slu'!$G$54,'Progetto del paramento slu'!$G$53)*IF(M525&lt;0,-1,1)</f>
        <v>0</v>
      </c>
      <c r="T525" s="553">
        <f>'Foglio deposito bis'!$F$51*IF(ABS(N525)&lt;'Progetto del paramento slu'!$G$58,ABS(N525)*'Progetto del paramento slu'!$G$54,'Progetto del paramento slu'!$G$53)*IF(N525&lt;0,-1,1)</f>
        <v>240946.49743184328</v>
      </c>
      <c r="U525" s="553">
        <f>'Foglio deposito bis'!$F$52*IF(ABS(O525)&lt;'Progetto del paramento slu'!$G$58,ABS(O525)*'Progetto del paramento slu'!$G$54,'Progetto del paramento slu'!$G$53)*IF(O525&lt;0,-1,1)</f>
        <v>240946.49743184328</v>
      </c>
      <c r="V525" s="479">
        <f t="shared" si="41"/>
        <v>618111.62181415828</v>
      </c>
      <c r="W525" s="559"/>
      <c r="X525" s="559"/>
    </row>
    <row r="526" spans="1:24" x14ac:dyDescent="0.25">
      <c r="A526" s="553">
        <f t="shared" si="42"/>
        <v>615250.46137842664</v>
      </c>
      <c r="B526" s="3">
        <f t="shared" si="43"/>
        <v>1.2500000000000004</v>
      </c>
      <c r="C526" s="553">
        <f>'Foglio deposito bis'!$E$155/sezione!$B$247*B526</f>
        <v>5.0744586466899175</v>
      </c>
      <c r="D526" s="611">
        <f>-'Progetto del paramento slu'!$G$47*'Progetto del paramento slu'!$G$41*IF(DATI!$G$218="dx",DATI!$E$61,DATI!$E$64*DATI!$E$63)*1000*C526^2*sezione!$AD$5*(1-sezione!$AD$6)</f>
        <v>-211975.06856491338</v>
      </c>
      <c r="E526" s="553">
        <f>-'Foglio deposito bis'!$F$48*(C526-sezione!$AL$29)*IF(ABS(K526)&lt;'Progetto del paramento slu'!$G$58,ABS(K526)*'Progetto del paramento slu'!$G$54,'Progetto del paramento slu'!$G$53)</f>
        <v>0</v>
      </c>
      <c r="F526" s="553">
        <f>-'Foglio deposito bis'!$F$49*(C526-sezione!$AM$29)*IF(ABS(L526)&lt;'Progetto del paramento slu'!$G$58,ABS(L526)*'Progetto del paramento slu'!$G$54,'Progetto del paramento slu'!$G$53)</f>
        <v>29693283.654331487</v>
      </c>
      <c r="G526" s="553">
        <f>-'Foglio deposito bis'!$F$50*(C526-sezione!$AN$29)*IF(ABS(M526)&lt;'Progetto del paramento slu'!$G$58,ABS(M526)*'Progetto del paramento slu'!$G$54,'Progetto del paramento slu'!$G$53)</f>
        <v>0</v>
      </c>
      <c r="H526" s="553">
        <f>-'Foglio deposito bis'!$F$51*(C526-sezione!$AO$29)*IF(ABS(N526)&lt;'Progetto del paramento slu'!$G$58,ABS(N526)*'Progetto del paramento slu'!$G$54,'Progetto del paramento slu'!$G$53)</f>
        <v>80699136.089544043</v>
      </c>
      <c r="I526" s="479">
        <f>-'Foglio deposito bis'!$F$52*(C526-sezione!$AP$29)*IF(ABS(O526)&lt;'Progetto del paramento slu'!$G$58,ABS(O526)*'Progetto del paramento slu'!$G$54,'Progetto del paramento slu'!$G$53)</f>
        <v>61423897.029594809</v>
      </c>
      <c r="J526" s="479">
        <f t="shared" si="40"/>
        <v>171604341.70490542</v>
      </c>
      <c r="K526" s="558">
        <f>'Progetto del paramento slu'!$G$60*(sezione!$AL$29-C526)/C526</f>
        <v>2.4089149847801469E-2</v>
      </c>
      <c r="L526" s="558">
        <f>'Progetto del paramento slu'!$G$60*(sezione!$AM$29-C526)/C526</f>
        <v>9.9959311929255515E-2</v>
      </c>
      <c r="M526" s="559">
        <f>'Progetto del paramento slu'!$G$60*(sezione!$AN$29-C526)/C526</f>
        <v>0.17582947401070956</v>
      </c>
      <c r="N526" s="559">
        <f>'Progetto del paramento slu'!$G$60*(sezione!$AO$29-C526)/C526</f>
        <v>0.23100777370631254</v>
      </c>
      <c r="O526" s="559">
        <f>'Progetto del paramento slu'!$G$60*(sezione!$AP$29-C526)/C526</f>
        <v>0.17583085015219832</v>
      </c>
      <c r="P526" s="553">
        <f>-'Progetto del paramento slu'!$G$47*'Progetto del paramento slu'!$G$41*IF(DATI!$G$218="dx",DATI!$E$61,DATI!$E$64*DATI!$E$63)*1000*C526*sezione!$AD$5</f>
        <v>-71529.010893289946</v>
      </c>
      <c r="Q526" s="553">
        <f>'Foglio deposito bis'!$F$48*IF(ABS(K526)&lt;'Progetto del paramento slu'!$G$58,ABS(K526)*'Progetto del paramento slu'!$G$54,'Progetto del paramento slu'!$G$53)*IF(K526&lt;0,-1,1)</f>
        <v>0</v>
      </c>
      <c r="R526" s="553">
        <f>'Foglio deposito bis'!$F$49*IF(ABS(L526)&lt;'Progetto del paramento slu'!$G$58,ABS(L526)*'Progetto del paramento slu'!$G$54,'Progetto del paramento slu'!$G$53)*IF(L526&lt;0,-1,1)</f>
        <v>204886.47740803001</v>
      </c>
      <c r="S526" s="553">
        <f>'Foglio deposito bis'!$F$50*IF(ABS(M526)&lt;'Progetto del paramento slu'!$G$58,ABS(M526)*'Progetto del paramento slu'!$G$54,'Progetto del paramento slu'!$G$53)*IF(M526&lt;0,-1,1)</f>
        <v>0</v>
      </c>
      <c r="T526" s="553">
        <f>'Foglio deposito bis'!$F$51*IF(ABS(N526)&lt;'Progetto del paramento slu'!$G$58,ABS(N526)*'Progetto del paramento slu'!$G$54,'Progetto del paramento slu'!$G$53)*IF(N526&lt;0,-1,1)</f>
        <v>240946.49743184328</v>
      </c>
      <c r="U526" s="553">
        <f>'Foglio deposito bis'!$F$52*IF(ABS(O526)&lt;'Progetto del paramento slu'!$G$58,ABS(O526)*'Progetto del paramento slu'!$G$54,'Progetto del paramento slu'!$G$53)*IF(O526&lt;0,-1,1)</f>
        <v>240946.49743184328</v>
      </c>
      <c r="V526" s="479">
        <f t="shared" si="41"/>
        <v>615250.46137842664</v>
      </c>
      <c r="W526" s="559"/>
      <c r="X526" s="559"/>
    </row>
    <row r="527" spans="1:24" x14ac:dyDescent="0.25">
      <c r="A527" s="553">
        <f t="shared" si="42"/>
        <v>612389.300942695</v>
      </c>
      <c r="B527" s="3">
        <f t="shared" si="43"/>
        <v>1.3000000000000005</v>
      </c>
      <c r="C527" s="553">
        <f>'Foglio deposito bis'!$E$155/sezione!$B$247*B527</f>
        <v>5.2774369925575142</v>
      </c>
      <c r="D527" s="611">
        <f>-'Progetto del paramento slu'!$G$47*'Progetto del paramento slu'!$G$41*IF(DATI!$G$218="dx",DATI!$E$61,DATI!$E$64*DATI!$E$63)*1000*C527^2*sezione!$AD$5*(1-sezione!$AD$6)</f>
        <v>-229272.23415981032</v>
      </c>
      <c r="E527" s="553">
        <f>-'Foglio deposito bis'!$F$48*(C527-sezione!$AL$29)*IF(ABS(K527)&lt;'Progetto del paramento slu'!$G$58,ABS(K527)*'Progetto del paramento slu'!$G$54,'Progetto del paramento slu'!$G$53)</f>
        <v>0</v>
      </c>
      <c r="F527" s="553">
        <f>-'Foglio deposito bis'!$F$49*(C527-sezione!$AM$29)*IF(ABS(L527)&lt;'Progetto del paramento slu'!$G$58,ABS(L527)*'Progetto del paramento slu'!$G$54,'Progetto del paramento slu'!$G$53)</f>
        <v>29651696.136056565</v>
      </c>
      <c r="G527" s="553">
        <f>-'Foglio deposito bis'!$F$50*(C527-sezione!$AN$29)*IF(ABS(M527)&lt;'Progetto del paramento slu'!$G$58,ABS(M527)*'Progetto del paramento slu'!$G$54,'Progetto del paramento slu'!$G$53)</f>
        <v>0</v>
      </c>
      <c r="H527" s="553">
        <f>-'Foglio deposito bis'!$F$51*(C527-sezione!$AO$29)*IF(ABS(N527)&lt;'Progetto del paramento slu'!$G$58,ABS(N527)*'Progetto del paramento slu'!$G$54,'Progetto del paramento slu'!$G$53)</f>
        <v>80650229.168052748</v>
      </c>
      <c r="I527" s="479">
        <f>-'Foglio deposito bis'!$F$52*(C527-sezione!$AP$29)*IF(ABS(O527)&lt;'Progetto del paramento slu'!$G$58,ABS(O527)*'Progetto del paramento slu'!$G$54,'Progetto del paramento slu'!$G$53)</f>
        <v>61374990.108103506</v>
      </c>
      <c r="J527" s="479">
        <f t="shared" si="40"/>
        <v>171447643.17805302</v>
      </c>
      <c r="K527" s="558">
        <f>'Progetto del paramento slu'!$G$60*(sezione!$AL$29-C527)/C527</f>
        <v>2.3028028699809112E-2</v>
      </c>
      <c r="L527" s="558">
        <f>'Progetto del paramento slu'!$G$60*(sezione!$AM$29-C527)/C527</f>
        <v>9.5980107624284161E-2</v>
      </c>
      <c r="M527" s="559">
        <f>'Progetto del paramento slu'!$G$60*(sezione!$AN$29-C527)/C527</f>
        <v>0.16893218654875922</v>
      </c>
      <c r="N527" s="559">
        <f>'Progetto del paramento slu'!$G$60*(sezione!$AO$29-C527)/C527</f>
        <v>0.22198824394837743</v>
      </c>
      <c r="O527" s="559">
        <f>'Progetto del paramento slu'!$G$60*(sezione!$AP$29-C527)/C527</f>
        <v>0.16893350976172916</v>
      </c>
      <c r="P527" s="553">
        <f>-'Progetto del paramento slu'!$G$47*'Progetto del paramento slu'!$G$41*IF(DATI!$G$218="dx",DATI!$E$61,DATI!$E$64*DATI!$E$63)*1000*C527*sezione!$AD$5</f>
        <v>-74390.171329021527</v>
      </c>
      <c r="Q527" s="553">
        <f>'Foglio deposito bis'!$F$48*IF(ABS(K527)&lt;'Progetto del paramento slu'!$G$58,ABS(K527)*'Progetto del paramento slu'!$G$54,'Progetto del paramento slu'!$G$53)*IF(K527&lt;0,-1,1)</f>
        <v>0</v>
      </c>
      <c r="R527" s="553">
        <f>'Foglio deposito bis'!$F$49*IF(ABS(L527)&lt;'Progetto del paramento slu'!$G$58,ABS(L527)*'Progetto del paramento slu'!$G$54,'Progetto del paramento slu'!$G$53)*IF(L527&lt;0,-1,1)</f>
        <v>204886.47740803001</v>
      </c>
      <c r="S527" s="553">
        <f>'Foglio deposito bis'!$F$50*IF(ABS(M527)&lt;'Progetto del paramento slu'!$G$58,ABS(M527)*'Progetto del paramento slu'!$G$54,'Progetto del paramento slu'!$G$53)*IF(M527&lt;0,-1,1)</f>
        <v>0</v>
      </c>
      <c r="T527" s="553">
        <f>'Foglio deposito bis'!$F$51*IF(ABS(N527)&lt;'Progetto del paramento slu'!$G$58,ABS(N527)*'Progetto del paramento slu'!$G$54,'Progetto del paramento slu'!$G$53)*IF(N527&lt;0,-1,1)</f>
        <v>240946.49743184328</v>
      </c>
      <c r="U527" s="553">
        <f>'Foglio deposito bis'!$F$52*IF(ABS(O527)&lt;'Progetto del paramento slu'!$G$58,ABS(O527)*'Progetto del paramento slu'!$G$54,'Progetto del paramento slu'!$G$53)*IF(O527&lt;0,-1,1)</f>
        <v>240946.49743184328</v>
      </c>
      <c r="V527" s="479">
        <f t="shared" si="41"/>
        <v>612389.300942695</v>
      </c>
      <c r="W527" s="559"/>
      <c r="X527" s="559"/>
    </row>
    <row r="528" spans="1:24" x14ac:dyDescent="0.25">
      <c r="A528" s="553">
        <f t="shared" si="42"/>
        <v>609528.14050696348</v>
      </c>
      <c r="B528" s="3">
        <f t="shared" si="43"/>
        <v>1.3500000000000005</v>
      </c>
      <c r="C528" s="553">
        <f>'Foglio deposito bis'!$E$155/sezione!$B$247*B528</f>
        <v>5.4804153384251109</v>
      </c>
      <c r="D528" s="611">
        <f>-'Progetto del paramento slu'!$G$47*'Progetto del paramento slu'!$G$41*IF(DATI!$G$218="dx",DATI!$E$61,DATI!$E$64*DATI!$E$63)*1000*C528^2*sezione!$AD$5*(1-sezione!$AD$6)</f>
        <v>-247247.71997411494</v>
      </c>
      <c r="E528" s="553">
        <f>-'Foglio deposito bis'!$F$48*(C528-sezione!$AL$29)*IF(ABS(K528)&lt;'Progetto del paramento slu'!$G$58,ABS(K528)*'Progetto del paramento slu'!$G$54,'Progetto del paramento slu'!$G$53)</f>
        <v>0</v>
      </c>
      <c r="F528" s="553">
        <f>-'Foglio deposito bis'!$F$49*(C528-sezione!$AM$29)*IF(ABS(L528)&lt;'Progetto del paramento slu'!$G$58,ABS(L528)*'Progetto del paramento slu'!$G$54,'Progetto del paramento slu'!$G$53)</f>
        <v>29610108.617781643</v>
      </c>
      <c r="G528" s="553">
        <f>-'Foglio deposito bis'!$F$50*(C528-sezione!$AN$29)*IF(ABS(M528)&lt;'Progetto del paramento slu'!$G$58,ABS(M528)*'Progetto del paramento slu'!$G$54,'Progetto del paramento slu'!$G$53)</f>
        <v>0</v>
      </c>
      <c r="H528" s="553">
        <f>-'Foglio deposito bis'!$F$51*(C528-sezione!$AO$29)*IF(ABS(N528)&lt;'Progetto del paramento slu'!$G$58,ABS(N528)*'Progetto del paramento slu'!$G$54,'Progetto del paramento slu'!$G$53)</f>
        <v>80601322.246561423</v>
      </c>
      <c r="I528" s="479">
        <f>-'Foglio deposito bis'!$F$52*(C528-sezione!$AP$29)*IF(ABS(O528)&lt;'Progetto del paramento slu'!$G$58,ABS(O528)*'Progetto del paramento slu'!$G$54,'Progetto del paramento slu'!$G$53)</f>
        <v>61326083.186612196</v>
      </c>
      <c r="J528" s="479">
        <f t="shared" si="40"/>
        <v>171290266.33098114</v>
      </c>
      <c r="K528" s="558">
        <f>'Progetto del paramento slu'!$G$60*(sezione!$AL$29-C528)/C528</f>
        <v>2.2045509118334698E-2</v>
      </c>
      <c r="L528" s="558">
        <f>'Progetto del paramento slu'!$G$60*(sezione!$AM$29-C528)/C528</f>
        <v>9.2295659193755125E-2</v>
      </c>
      <c r="M528" s="559">
        <f>'Progetto del paramento slu'!$G$60*(sezione!$AN$29-C528)/C528</f>
        <v>0.16254580926917553</v>
      </c>
      <c r="N528" s="559">
        <f>'Progetto del paramento slu'!$G$60*(sezione!$AO$29-C528)/C528</f>
        <v>0.21363682750584492</v>
      </c>
      <c r="O528" s="559">
        <f>'Progetto del paramento slu'!$G$60*(sezione!$AP$29-C528)/C528</f>
        <v>0.16254708347425773</v>
      </c>
      <c r="P528" s="553">
        <f>-'Progetto del paramento slu'!$G$47*'Progetto del paramento slu'!$G$41*IF(DATI!$G$218="dx",DATI!$E$61,DATI!$E$64*DATI!$E$63)*1000*C528*sezione!$AD$5</f>
        <v>-77251.331764753137</v>
      </c>
      <c r="Q528" s="553">
        <f>'Foglio deposito bis'!$F$48*IF(ABS(K528)&lt;'Progetto del paramento slu'!$G$58,ABS(K528)*'Progetto del paramento slu'!$G$54,'Progetto del paramento slu'!$G$53)*IF(K528&lt;0,-1,1)</f>
        <v>0</v>
      </c>
      <c r="R528" s="553">
        <f>'Foglio deposito bis'!$F$49*IF(ABS(L528)&lt;'Progetto del paramento slu'!$G$58,ABS(L528)*'Progetto del paramento slu'!$G$54,'Progetto del paramento slu'!$G$53)*IF(L528&lt;0,-1,1)</f>
        <v>204886.47740803001</v>
      </c>
      <c r="S528" s="553">
        <f>'Foglio deposito bis'!$F$50*IF(ABS(M528)&lt;'Progetto del paramento slu'!$G$58,ABS(M528)*'Progetto del paramento slu'!$G$54,'Progetto del paramento slu'!$G$53)*IF(M528&lt;0,-1,1)</f>
        <v>0</v>
      </c>
      <c r="T528" s="553">
        <f>'Foglio deposito bis'!$F$51*IF(ABS(N528)&lt;'Progetto del paramento slu'!$G$58,ABS(N528)*'Progetto del paramento slu'!$G$54,'Progetto del paramento slu'!$G$53)*IF(N528&lt;0,-1,1)</f>
        <v>240946.49743184328</v>
      </c>
      <c r="U528" s="553">
        <f>'Foglio deposito bis'!$F$52*IF(ABS(O528)&lt;'Progetto del paramento slu'!$G$58,ABS(O528)*'Progetto del paramento slu'!$G$54,'Progetto del paramento slu'!$G$53)*IF(O528&lt;0,-1,1)</f>
        <v>240946.49743184328</v>
      </c>
      <c r="V528" s="479">
        <f t="shared" si="41"/>
        <v>609528.14050696348</v>
      </c>
      <c r="W528" s="559"/>
      <c r="X528" s="559"/>
    </row>
    <row r="529" spans="1:24" x14ac:dyDescent="0.25">
      <c r="A529" s="553">
        <f t="shared" si="42"/>
        <v>606666.98007123184</v>
      </c>
      <c r="B529" s="3">
        <f t="shared" si="43"/>
        <v>1.4000000000000006</v>
      </c>
      <c r="C529" s="553">
        <f>'Foglio deposito bis'!$E$155/sezione!$B$247*B529</f>
        <v>5.6833936842927075</v>
      </c>
      <c r="D529" s="611">
        <f>-'Progetto del paramento slu'!$G$47*'Progetto del paramento slu'!$G$41*IF(DATI!$G$218="dx",DATI!$E$61,DATI!$E$64*DATI!$E$63)*1000*C529^2*sezione!$AD$5*(1-sezione!$AD$6)</f>
        <v>-265901.52600782731</v>
      </c>
      <c r="E529" s="553">
        <f>-'Foglio deposito bis'!$F$48*(C529-sezione!$AL$29)*IF(ABS(K529)&lt;'Progetto del paramento slu'!$G$58,ABS(K529)*'Progetto del paramento slu'!$G$54,'Progetto del paramento slu'!$G$53)</f>
        <v>0</v>
      </c>
      <c r="F529" s="553">
        <f>-'Foglio deposito bis'!$F$49*(C529-sezione!$AM$29)*IF(ABS(L529)&lt;'Progetto del paramento slu'!$G$58,ABS(L529)*'Progetto del paramento slu'!$G$54,'Progetto del paramento slu'!$G$53)</f>
        <v>29568521.099506725</v>
      </c>
      <c r="G529" s="553">
        <f>-'Foglio deposito bis'!$F$50*(C529-sezione!$AN$29)*IF(ABS(M529)&lt;'Progetto del paramento slu'!$G$58,ABS(M529)*'Progetto del paramento slu'!$G$54,'Progetto del paramento slu'!$G$53)</f>
        <v>0</v>
      </c>
      <c r="H529" s="553">
        <f>-'Foglio deposito bis'!$F$51*(C529-sezione!$AO$29)*IF(ABS(N529)&lt;'Progetto del paramento slu'!$G$58,ABS(N529)*'Progetto del paramento slu'!$G$54,'Progetto del paramento slu'!$G$53)</f>
        <v>80552415.325070128</v>
      </c>
      <c r="I529" s="479">
        <f>-'Foglio deposito bis'!$F$52*(C529-sezione!$AP$29)*IF(ABS(O529)&lt;'Progetto del paramento slu'!$G$58,ABS(O529)*'Progetto del paramento slu'!$G$54,'Progetto del paramento slu'!$G$53)</f>
        <v>61277176.265120886</v>
      </c>
      <c r="J529" s="479">
        <f t="shared" si="40"/>
        <v>171132211.16368991</v>
      </c>
      <c r="K529" s="558">
        <f>'Progetto del paramento slu'!$G$60*(sezione!$AL$29-C529)/C529</f>
        <v>2.1133169506965598E-2</v>
      </c>
      <c r="L529" s="558">
        <f>'Progetto del paramento slu'!$G$60*(sezione!$AM$29-C529)/C529</f>
        <v>8.8874385651121005E-2</v>
      </c>
      <c r="M529" s="559">
        <f>'Progetto del paramento slu'!$G$60*(sezione!$AN$29-C529)/C529</f>
        <v>0.15661560179527642</v>
      </c>
      <c r="N529" s="559">
        <f>'Progetto del paramento slu'!$G$60*(sezione!$AO$29-C529)/C529</f>
        <v>0.2058819408092076</v>
      </c>
      <c r="O529" s="559">
        <f>'Progetto del paramento slu'!$G$60*(sezione!$AP$29-C529)/C529</f>
        <v>0.15661683049303424</v>
      </c>
      <c r="P529" s="553">
        <f>-'Progetto del paramento slu'!$G$47*'Progetto del paramento slu'!$G$41*IF(DATI!$G$218="dx",DATI!$E$61,DATI!$E$64*DATI!$E$63)*1000*C529*sezione!$AD$5</f>
        <v>-80112.492200484732</v>
      </c>
      <c r="Q529" s="553">
        <f>'Foglio deposito bis'!$F$48*IF(ABS(K529)&lt;'Progetto del paramento slu'!$G$58,ABS(K529)*'Progetto del paramento slu'!$G$54,'Progetto del paramento slu'!$G$53)*IF(K529&lt;0,-1,1)</f>
        <v>0</v>
      </c>
      <c r="R529" s="553">
        <f>'Foglio deposito bis'!$F$49*IF(ABS(L529)&lt;'Progetto del paramento slu'!$G$58,ABS(L529)*'Progetto del paramento slu'!$G$54,'Progetto del paramento slu'!$G$53)*IF(L529&lt;0,-1,1)</f>
        <v>204886.47740803001</v>
      </c>
      <c r="S529" s="553">
        <f>'Foglio deposito bis'!$F$50*IF(ABS(M529)&lt;'Progetto del paramento slu'!$G$58,ABS(M529)*'Progetto del paramento slu'!$G$54,'Progetto del paramento slu'!$G$53)*IF(M529&lt;0,-1,1)</f>
        <v>0</v>
      </c>
      <c r="T529" s="553">
        <f>'Foglio deposito bis'!$F$51*IF(ABS(N529)&lt;'Progetto del paramento slu'!$G$58,ABS(N529)*'Progetto del paramento slu'!$G$54,'Progetto del paramento slu'!$G$53)*IF(N529&lt;0,-1,1)</f>
        <v>240946.49743184328</v>
      </c>
      <c r="U529" s="553">
        <f>'Foglio deposito bis'!$F$52*IF(ABS(O529)&lt;'Progetto del paramento slu'!$G$58,ABS(O529)*'Progetto del paramento slu'!$G$54,'Progetto del paramento slu'!$G$53)*IF(O529&lt;0,-1,1)</f>
        <v>240946.49743184328</v>
      </c>
      <c r="V529" s="479">
        <f t="shared" si="41"/>
        <v>606666.98007123184</v>
      </c>
      <c r="W529" s="559"/>
      <c r="X529" s="559"/>
    </row>
    <row r="530" spans="1:24" x14ac:dyDescent="0.25">
      <c r="A530" s="553">
        <f t="shared" si="42"/>
        <v>603805.8196355002</v>
      </c>
      <c r="B530" s="3">
        <f t="shared" si="43"/>
        <v>1.4500000000000006</v>
      </c>
      <c r="C530" s="553">
        <f>'Foglio deposito bis'!$E$155/sezione!$B$247*B530</f>
        <v>5.8863720301603042</v>
      </c>
      <c r="D530" s="611">
        <f>-'Progetto del paramento slu'!$G$47*'Progetto del paramento slu'!$G$41*IF(DATI!$G$218="dx",DATI!$E$61,DATI!$E$64*DATI!$E$63)*1000*C530^2*sezione!$AD$5*(1-sezione!$AD$6)</f>
        <v>-285233.65226094739</v>
      </c>
      <c r="E530" s="553">
        <f>-'Foglio deposito bis'!$F$48*(C530-sezione!$AL$29)*IF(ABS(K530)&lt;'Progetto del paramento slu'!$G$58,ABS(K530)*'Progetto del paramento slu'!$G$54,'Progetto del paramento slu'!$G$53)</f>
        <v>0</v>
      </c>
      <c r="F530" s="553">
        <f>-'Foglio deposito bis'!$F$49*(C530-sezione!$AM$29)*IF(ABS(L530)&lt;'Progetto del paramento slu'!$G$58,ABS(L530)*'Progetto del paramento slu'!$G$54,'Progetto del paramento slu'!$G$53)</f>
        <v>29526933.581231795</v>
      </c>
      <c r="G530" s="553">
        <f>-'Foglio deposito bis'!$F$50*(C530-sezione!$AN$29)*IF(ABS(M530)&lt;'Progetto del paramento slu'!$G$58,ABS(M530)*'Progetto del paramento slu'!$G$54,'Progetto del paramento slu'!$G$53)</f>
        <v>0</v>
      </c>
      <c r="H530" s="553">
        <f>-'Foglio deposito bis'!$F$51*(C530-sezione!$AO$29)*IF(ABS(N530)&lt;'Progetto del paramento slu'!$G$58,ABS(N530)*'Progetto del paramento slu'!$G$54,'Progetto del paramento slu'!$G$53)</f>
        <v>80503508.403578818</v>
      </c>
      <c r="I530" s="479">
        <f>-'Foglio deposito bis'!$F$52*(C530-sezione!$AP$29)*IF(ABS(O530)&lt;'Progetto del paramento slu'!$G$58,ABS(O530)*'Progetto del paramento slu'!$G$54,'Progetto del paramento slu'!$G$53)</f>
        <v>61228269.343629569</v>
      </c>
      <c r="J530" s="479">
        <f t="shared" si="40"/>
        <v>170973477.67617923</v>
      </c>
      <c r="K530" s="558">
        <f>'Progetto del paramento slu'!$G$60*(sezione!$AL$29-C530)/C530</f>
        <v>2.0283749868794377E-2</v>
      </c>
      <c r="L530" s="558">
        <f>'Progetto del paramento slu'!$G$60*(sezione!$AM$29-C530)/C530</f>
        <v>8.5689062007978892E-2</v>
      </c>
      <c r="M530" s="559">
        <f>'Progetto del paramento slu'!$G$60*(sezione!$AN$29-C530)/C530</f>
        <v>0.15109437414716342</v>
      </c>
      <c r="N530" s="559">
        <f>'Progetto del paramento slu'!$G$60*(sezione!$AO$29-C530)/C530</f>
        <v>0.19866187388475218</v>
      </c>
      <c r="O530" s="559">
        <f>'Progetto del paramento slu'!$G$60*(sezione!$AP$29-C530)/C530</f>
        <v>0.15109556047603304</v>
      </c>
      <c r="P530" s="553">
        <f>-'Progetto del paramento slu'!$G$47*'Progetto del paramento slu'!$G$41*IF(DATI!$G$218="dx",DATI!$E$61,DATI!$E$64*DATI!$E$63)*1000*C530*sezione!$AD$5</f>
        <v>-82973.652636216328</v>
      </c>
      <c r="Q530" s="553">
        <f>'Foglio deposito bis'!$F$48*IF(ABS(K530)&lt;'Progetto del paramento slu'!$G$58,ABS(K530)*'Progetto del paramento slu'!$G$54,'Progetto del paramento slu'!$G$53)*IF(K530&lt;0,-1,1)</f>
        <v>0</v>
      </c>
      <c r="R530" s="553">
        <f>'Foglio deposito bis'!$F$49*IF(ABS(L530)&lt;'Progetto del paramento slu'!$G$58,ABS(L530)*'Progetto del paramento slu'!$G$54,'Progetto del paramento slu'!$G$53)*IF(L530&lt;0,-1,1)</f>
        <v>204886.47740803001</v>
      </c>
      <c r="S530" s="553">
        <f>'Foglio deposito bis'!$F$50*IF(ABS(M530)&lt;'Progetto del paramento slu'!$G$58,ABS(M530)*'Progetto del paramento slu'!$G$54,'Progetto del paramento slu'!$G$53)*IF(M530&lt;0,-1,1)</f>
        <v>0</v>
      </c>
      <c r="T530" s="553">
        <f>'Foglio deposito bis'!$F$51*IF(ABS(N530)&lt;'Progetto del paramento slu'!$G$58,ABS(N530)*'Progetto del paramento slu'!$G$54,'Progetto del paramento slu'!$G$53)*IF(N530&lt;0,-1,1)</f>
        <v>240946.49743184328</v>
      </c>
      <c r="U530" s="553">
        <f>'Foglio deposito bis'!$F$52*IF(ABS(O530)&lt;'Progetto del paramento slu'!$G$58,ABS(O530)*'Progetto del paramento slu'!$G$54,'Progetto del paramento slu'!$G$53)*IF(O530&lt;0,-1,1)</f>
        <v>240946.49743184328</v>
      </c>
      <c r="V530" s="479">
        <f t="shared" si="41"/>
        <v>603805.8196355002</v>
      </c>
      <c r="W530" s="559"/>
      <c r="X530" s="559"/>
    </row>
    <row r="531" spans="1:24" x14ac:dyDescent="0.25">
      <c r="A531" s="553">
        <f t="shared" si="42"/>
        <v>600944.65919976868</v>
      </c>
      <c r="B531" s="3">
        <f t="shared" si="43"/>
        <v>1.5000000000000007</v>
      </c>
      <c r="C531" s="553">
        <f>'Foglio deposito bis'!$E$155/sezione!$B$247*B531</f>
        <v>6.0893503760279017</v>
      </c>
      <c r="D531" s="611">
        <f>-'Progetto del paramento slu'!$G$47*'Progetto del paramento slu'!$G$41*IF(DATI!$G$218="dx",DATI!$E$61,DATI!$E$64*DATI!$E$63)*1000*C531^2*sezione!$AD$5*(1-sezione!$AD$6)</f>
        <v>-305244.09873347532</v>
      </c>
      <c r="E531" s="553">
        <f>-'Foglio deposito bis'!$F$48*(C531-sezione!$AL$29)*IF(ABS(K531)&lt;'Progetto del paramento slu'!$G$58,ABS(K531)*'Progetto del paramento slu'!$G$54,'Progetto del paramento slu'!$G$53)</f>
        <v>0</v>
      </c>
      <c r="F531" s="553">
        <f>-'Foglio deposito bis'!$F$49*(C531-sezione!$AM$29)*IF(ABS(L531)&lt;'Progetto del paramento slu'!$G$58,ABS(L531)*'Progetto del paramento slu'!$G$54,'Progetto del paramento slu'!$G$53)</f>
        <v>29485346.062956881</v>
      </c>
      <c r="G531" s="553">
        <f>-'Foglio deposito bis'!$F$50*(C531-sezione!$AN$29)*IF(ABS(M531)&lt;'Progetto del paramento slu'!$G$58,ABS(M531)*'Progetto del paramento slu'!$G$54,'Progetto del paramento slu'!$G$53)</f>
        <v>0</v>
      </c>
      <c r="H531" s="553">
        <f>-'Foglio deposito bis'!$F$51*(C531-sezione!$AO$29)*IF(ABS(N531)&lt;'Progetto del paramento slu'!$G$58,ABS(N531)*'Progetto del paramento slu'!$G$54,'Progetto del paramento slu'!$G$53)</f>
        <v>80454601.482087523</v>
      </c>
      <c r="I531" s="479">
        <f>-'Foglio deposito bis'!$F$52*(C531-sezione!$AP$29)*IF(ABS(O531)&lt;'Progetto del paramento slu'!$G$58,ABS(O531)*'Progetto del paramento slu'!$G$54,'Progetto del paramento slu'!$G$53)</f>
        <v>61179362.422138274</v>
      </c>
      <c r="J531" s="479">
        <f t="shared" si="40"/>
        <v>170814065.86844921</v>
      </c>
      <c r="K531" s="558">
        <f>'Progetto del paramento slu'!$G$60*(sezione!$AL$29-C531)/C531</f>
        <v>1.9490958206501225E-2</v>
      </c>
      <c r="L531" s="558">
        <f>'Progetto del paramento slu'!$G$60*(sezione!$AM$29-C531)/C531</f>
        <v>8.2716093274379579E-2</v>
      </c>
      <c r="M531" s="559">
        <f>'Progetto del paramento slu'!$G$60*(sezione!$AN$29-C531)/C531</f>
        <v>0.14594122834225795</v>
      </c>
      <c r="N531" s="559">
        <f>'Progetto del paramento slu'!$G$60*(sezione!$AO$29-C531)/C531</f>
        <v>0.19192314475526043</v>
      </c>
      <c r="O531" s="559">
        <f>'Progetto del paramento slu'!$G$60*(sezione!$AP$29-C531)/C531</f>
        <v>0.14594237512683192</v>
      </c>
      <c r="P531" s="553">
        <f>-'Progetto del paramento slu'!$G$47*'Progetto del paramento slu'!$G$41*IF(DATI!$G$218="dx",DATI!$E$61,DATI!$E$64*DATI!$E$63)*1000*C531*sezione!$AD$5</f>
        <v>-85834.813071947938</v>
      </c>
      <c r="Q531" s="553">
        <f>'Foglio deposito bis'!$F$48*IF(ABS(K531)&lt;'Progetto del paramento slu'!$G$58,ABS(K531)*'Progetto del paramento slu'!$G$54,'Progetto del paramento slu'!$G$53)*IF(K531&lt;0,-1,1)</f>
        <v>0</v>
      </c>
      <c r="R531" s="553">
        <f>'Foglio deposito bis'!$F$49*IF(ABS(L531)&lt;'Progetto del paramento slu'!$G$58,ABS(L531)*'Progetto del paramento slu'!$G$54,'Progetto del paramento slu'!$G$53)*IF(L531&lt;0,-1,1)</f>
        <v>204886.47740803001</v>
      </c>
      <c r="S531" s="553">
        <f>'Foglio deposito bis'!$F$50*IF(ABS(M531)&lt;'Progetto del paramento slu'!$G$58,ABS(M531)*'Progetto del paramento slu'!$G$54,'Progetto del paramento slu'!$G$53)*IF(M531&lt;0,-1,1)</f>
        <v>0</v>
      </c>
      <c r="T531" s="553">
        <f>'Foglio deposito bis'!$F$51*IF(ABS(N531)&lt;'Progetto del paramento slu'!$G$58,ABS(N531)*'Progetto del paramento slu'!$G$54,'Progetto del paramento slu'!$G$53)*IF(N531&lt;0,-1,1)</f>
        <v>240946.49743184328</v>
      </c>
      <c r="U531" s="553">
        <f>'Foglio deposito bis'!$F$52*IF(ABS(O531)&lt;'Progetto del paramento slu'!$G$58,ABS(O531)*'Progetto del paramento slu'!$G$54,'Progetto del paramento slu'!$G$53)*IF(O531&lt;0,-1,1)</f>
        <v>240946.49743184328</v>
      </c>
      <c r="V531" s="479">
        <f t="shared" si="41"/>
        <v>600944.65919976868</v>
      </c>
      <c r="W531" s="559"/>
      <c r="X531" s="559"/>
    </row>
    <row r="532" spans="1:24" x14ac:dyDescent="0.25">
      <c r="A532" s="553">
        <f t="shared" si="42"/>
        <v>598083.49876403704</v>
      </c>
      <c r="B532" s="3">
        <f t="shared" si="43"/>
        <v>1.5500000000000007</v>
      </c>
      <c r="C532" s="553">
        <f>'Foglio deposito bis'!$E$155/sezione!$B$247*B532</f>
        <v>6.2923287218954984</v>
      </c>
      <c r="D532" s="611">
        <f>-'Progetto del paramento slu'!$G$47*'Progetto del paramento slu'!$G$41*IF(DATI!$G$218="dx",DATI!$E$61,DATI!$E$64*DATI!$E$63)*1000*C532^2*sezione!$AD$5*(1-sezione!$AD$6)</f>
        <v>-325932.86542541086</v>
      </c>
      <c r="E532" s="553">
        <f>-'Foglio deposito bis'!$F$48*(C532-sezione!$AL$29)*IF(ABS(K532)&lt;'Progetto del paramento slu'!$G$58,ABS(K532)*'Progetto del paramento slu'!$G$54,'Progetto del paramento slu'!$G$53)</f>
        <v>0</v>
      </c>
      <c r="F532" s="553">
        <f>-'Foglio deposito bis'!$F$49*(C532-sezione!$AM$29)*IF(ABS(L532)&lt;'Progetto del paramento slu'!$G$58,ABS(L532)*'Progetto del paramento slu'!$G$54,'Progetto del paramento slu'!$G$53)</f>
        <v>29443758.544681963</v>
      </c>
      <c r="G532" s="553">
        <f>-'Foglio deposito bis'!$F$50*(C532-sezione!$AN$29)*IF(ABS(M532)&lt;'Progetto del paramento slu'!$G$58,ABS(M532)*'Progetto del paramento slu'!$G$54,'Progetto del paramento slu'!$G$53)</f>
        <v>0</v>
      </c>
      <c r="H532" s="553">
        <f>-'Foglio deposito bis'!$F$51*(C532-sezione!$AO$29)*IF(ABS(N532)&lt;'Progetto del paramento slu'!$G$58,ABS(N532)*'Progetto del paramento slu'!$G$54,'Progetto del paramento slu'!$G$53)</f>
        <v>80405694.560596198</v>
      </c>
      <c r="I532" s="479">
        <f>-'Foglio deposito bis'!$F$52*(C532-sezione!$AP$29)*IF(ABS(O532)&lt;'Progetto del paramento slu'!$G$58,ABS(O532)*'Progetto del paramento slu'!$G$54,'Progetto del paramento slu'!$G$53)</f>
        <v>61130455.500646971</v>
      </c>
      <c r="J532" s="479">
        <f t="shared" si="40"/>
        <v>170653975.74049973</v>
      </c>
      <c r="K532" s="558">
        <f>'Progetto del paramento slu'!$G$60*(sezione!$AL$29-C532)/C532</f>
        <v>1.874931439338828E-2</v>
      </c>
      <c r="L532" s="558">
        <f>'Progetto del paramento slu'!$G$60*(sezione!$AM$29-C532)/C532</f>
        <v>7.9934928975206057E-2</v>
      </c>
      <c r="M532" s="559">
        <f>'Progetto del paramento slu'!$G$60*(sezione!$AN$29-C532)/C532</f>
        <v>0.14112054355702383</v>
      </c>
      <c r="N532" s="559">
        <f>'Progetto del paramento slu'!$G$60*(sezione!$AO$29-C532)/C532</f>
        <v>0.1856191723438004</v>
      </c>
      <c r="O532" s="559">
        <f>'Progetto del paramento slu'!$G$60*(sezione!$AP$29-C532)/C532</f>
        <v>0.14112165334854701</v>
      </c>
      <c r="P532" s="553">
        <f>-'Progetto del paramento slu'!$G$47*'Progetto del paramento slu'!$G$41*IF(DATI!$G$218="dx",DATI!$E$61,DATI!$E$64*DATI!$E$63)*1000*C532*sezione!$AD$5</f>
        <v>-88695.973507679533</v>
      </c>
      <c r="Q532" s="553">
        <f>'Foglio deposito bis'!$F$48*IF(ABS(K532)&lt;'Progetto del paramento slu'!$G$58,ABS(K532)*'Progetto del paramento slu'!$G$54,'Progetto del paramento slu'!$G$53)*IF(K532&lt;0,-1,1)</f>
        <v>0</v>
      </c>
      <c r="R532" s="553">
        <f>'Foglio deposito bis'!$F$49*IF(ABS(L532)&lt;'Progetto del paramento slu'!$G$58,ABS(L532)*'Progetto del paramento slu'!$G$54,'Progetto del paramento slu'!$G$53)*IF(L532&lt;0,-1,1)</f>
        <v>204886.47740803001</v>
      </c>
      <c r="S532" s="553">
        <f>'Foglio deposito bis'!$F$50*IF(ABS(M532)&lt;'Progetto del paramento slu'!$G$58,ABS(M532)*'Progetto del paramento slu'!$G$54,'Progetto del paramento slu'!$G$53)*IF(M532&lt;0,-1,1)</f>
        <v>0</v>
      </c>
      <c r="T532" s="553">
        <f>'Foglio deposito bis'!$F$51*IF(ABS(N532)&lt;'Progetto del paramento slu'!$G$58,ABS(N532)*'Progetto del paramento slu'!$G$54,'Progetto del paramento slu'!$G$53)*IF(N532&lt;0,-1,1)</f>
        <v>240946.49743184328</v>
      </c>
      <c r="U532" s="553">
        <f>'Foglio deposito bis'!$F$52*IF(ABS(O532)&lt;'Progetto del paramento slu'!$G$58,ABS(O532)*'Progetto del paramento slu'!$G$54,'Progetto del paramento slu'!$G$53)*IF(O532&lt;0,-1,1)</f>
        <v>240946.49743184328</v>
      </c>
      <c r="V532" s="479">
        <f t="shared" si="41"/>
        <v>598083.49876403704</v>
      </c>
      <c r="W532" s="559"/>
      <c r="X532" s="559"/>
    </row>
    <row r="533" spans="1:24" x14ac:dyDescent="0.25">
      <c r="A533" s="553">
        <f t="shared" si="42"/>
        <v>595222.3383283054</v>
      </c>
      <c r="B533" s="3">
        <f t="shared" si="43"/>
        <v>1.6000000000000008</v>
      </c>
      <c r="C533" s="553">
        <f>'Foglio deposito bis'!$E$155/sezione!$B$247*B533</f>
        <v>6.4953070677630951</v>
      </c>
      <c r="D533" s="611">
        <f>-'Progetto del paramento slu'!$G$47*'Progetto del paramento slu'!$G$41*IF(DATI!$G$218="dx",DATI!$E$61,DATI!$E$64*DATI!$E$63)*1000*C533^2*sezione!$AD$5*(1-sezione!$AD$6)</f>
        <v>-347299.95233675418</v>
      </c>
      <c r="E533" s="553">
        <f>-'Foglio deposito bis'!$F$48*(C533-sezione!$AL$29)*IF(ABS(K533)&lt;'Progetto del paramento slu'!$G$58,ABS(K533)*'Progetto del paramento slu'!$G$54,'Progetto del paramento slu'!$G$53)</f>
        <v>0</v>
      </c>
      <c r="F533" s="553">
        <f>-'Foglio deposito bis'!$F$49*(C533-sezione!$AM$29)*IF(ABS(L533)&lt;'Progetto del paramento slu'!$G$58,ABS(L533)*'Progetto del paramento slu'!$G$54,'Progetto del paramento slu'!$G$53)</f>
        <v>29402171.026407041</v>
      </c>
      <c r="G533" s="553">
        <f>-'Foglio deposito bis'!$F$50*(C533-sezione!$AN$29)*IF(ABS(M533)&lt;'Progetto del paramento slu'!$G$58,ABS(M533)*'Progetto del paramento slu'!$G$54,'Progetto del paramento slu'!$G$53)</f>
        <v>0</v>
      </c>
      <c r="H533" s="553">
        <f>-'Foglio deposito bis'!$F$51*(C533-sezione!$AO$29)*IF(ABS(N533)&lt;'Progetto del paramento slu'!$G$58,ABS(N533)*'Progetto del paramento slu'!$G$54,'Progetto del paramento slu'!$G$53)</f>
        <v>80356787.639104888</v>
      </c>
      <c r="I533" s="479">
        <f>-'Foglio deposito bis'!$F$52*(C533-sezione!$AP$29)*IF(ABS(O533)&lt;'Progetto del paramento slu'!$G$58,ABS(O533)*'Progetto del paramento slu'!$G$54,'Progetto del paramento slu'!$G$53)</f>
        <v>61081548.579155661</v>
      </c>
      <c r="J533" s="479">
        <f t="shared" si="40"/>
        <v>170493207.29233083</v>
      </c>
      <c r="K533" s="558">
        <f>'Progetto del paramento slu'!$G$60*(sezione!$AL$29-C533)/C533</f>
        <v>1.8054023318594899E-2</v>
      </c>
      <c r="L533" s="558">
        <f>'Progetto del paramento slu'!$G$60*(sezione!$AM$29-C533)/C533</f>
        <v>7.7327587444730866E-2</v>
      </c>
      <c r="M533" s="559">
        <f>'Progetto del paramento slu'!$G$60*(sezione!$AN$29-C533)/C533</f>
        <v>0.13660115157086683</v>
      </c>
      <c r="N533" s="559">
        <f>'Progetto del paramento slu'!$G$60*(sezione!$AO$29-C533)/C533</f>
        <v>0.17970919820805661</v>
      </c>
      <c r="O533" s="559">
        <f>'Progetto del paramento slu'!$G$60*(sezione!$AP$29-C533)/C533</f>
        <v>0.13660222668140493</v>
      </c>
      <c r="P533" s="553">
        <f>-'Progetto del paramento slu'!$G$47*'Progetto del paramento slu'!$G$41*IF(DATI!$G$218="dx",DATI!$E$61,DATI!$E$64*DATI!$E$63)*1000*C533*sezione!$AD$5</f>
        <v>-91557.133943411129</v>
      </c>
      <c r="Q533" s="553">
        <f>'Foglio deposito bis'!$F$48*IF(ABS(K533)&lt;'Progetto del paramento slu'!$G$58,ABS(K533)*'Progetto del paramento slu'!$G$54,'Progetto del paramento slu'!$G$53)*IF(K533&lt;0,-1,1)</f>
        <v>0</v>
      </c>
      <c r="R533" s="553">
        <f>'Foglio deposito bis'!$F$49*IF(ABS(L533)&lt;'Progetto del paramento slu'!$G$58,ABS(L533)*'Progetto del paramento slu'!$G$54,'Progetto del paramento slu'!$G$53)*IF(L533&lt;0,-1,1)</f>
        <v>204886.47740803001</v>
      </c>
      <c r="S533" s="553">
        <f>'Foglio deposito bis'!$F$50*IF(ABS(M533)&lt;'Progetto del paramento slu'!$G$58,ABS(M533)*'Progetto del paramento slu'!$G$54,'Progetto del paramento slu'!$G$53)*IF(M533&lt;0,-1,1)</f>
        <v>0</v>
      </c>
      <c r="T533" s="553">
        <f>'Foglio deposito bis'!$F$51*IF(ABS(N533)&lt;'Progetto del paramento slu'!$G$58,ABS(N533)*'Progetto del paramento slu'!$G$54,'Progetto del paramento slu'!$G$53)*IF(N533&lt;0,-1,1)</f>
        <v>240946.49743184328</v>
      </c>
      <c r="U533" s="553">
        <f>'Foglio deposito bis'!$F$52*IF(ABS(O533)&lt;'Progetto del paramento slu'!$G$58,ABS(O533)*'Progetto del paramento slu'!$G$54,'Progetto del paramento slu'!$G$53)*IF(O533&lt;0,-1,1)</f>
        <v>240946.49743184328</v>
      </c>
      <c r="V533" s="479">
        <f t="shared" si="41"/>
        <v>595222.3383283054</v>
      </c>
      <c r="W533" s="559"/>
      <c r="X533" s="559"/>
    </row>
    <row r="534" spans="1:24" x14ac:dyDescent="0.25">
      <c r="A534" s="553">
        <f t="shared" si="42"/>
        <v>592361.17789257388</v>
      </c>
      <c r="B534" s="3">
        <f t="shared" si="43"/>
        <v>1.6500000000000008</v>
      </c>
      <c r="C534" s="553">
        <f>'Foglio deposito bis'!$E$155/sezione!$B$247*B534</f>
        <v>6.6982854136306917</v>
      </c>
      <c r="D534" s="611">
        <f>-'Progetto del paramento slu'!$G$47*'Progetto del paramento slu'!$G$41*IF(DATI!$G$218="dx",DATI!$E$61,DATI!$E$64*DATI!$E$63)*1000*C534^2*sezione!$AD$5*(1-sezione!$AD$6)</f>
        <v>-369345.35946750513</v>
      </c>
      <c r="E534" s="553">
        <f>-'Foglio deposito bis'!$F$48*(C534-sezione!$AL$29)*IF(ABS(K534)&lt;'Progetto del paramento slu'!$G$58,ABS(K534)*'Progetto del paramento slu'!$G$54,'Progetto del paramento slu'!$G$53)</f>
        <v>0</v>
      </c>
      <c r="F534" s="553">
        <f>-'Foglio deposito bis'!$F$49*(C534-sezione!$AM$29)*IF(ABS(L534)&lt;'Progetto del paramento slu'!$G$58,ABS(L534)*'Progetto del paramento slu'!$G$54,'Progetto del paramento slu'!$G$53)</f>
        <v>29360583.508132119</v>
      </c>
      <c r="G534" s="553">
        <f>-'Foglio deposito bis'!$F$50*(C534-sezione!$AN$29)*IF(ABS(M534)&lt;'Progetto del paramento slu'!$G$58,ABS(M534)*'Progetto del paramento slu'!$G$54,'Progetto del paramento slu'!$G$53)</f>
        <v>0</v>
      </c>
      <c r="H534" s="553">
        <f>-'Foglio deposito bis'!$F$51*(C534-sezione!$AO$29)*IF(ABS(N534)&lt;'Progetto del paramento slu'!$G$58,ABS(N534)*'Progetto del paramento slu'!$G$54,'Progetto del paramento slu'!$G$53)</f>
        <v>80307880.717613593</v>
      </c>
      <c r="I534" s="479">
        <f>-'Foglio deposito bis'!$F$52*(C534-sezione!$AP$29)*IF(ABS(O534)&lt;'Progetto del paramento slu'!$G$58,ABS(O534)*'Progetto del paramento slu'!$G$54,'Progetto del paramento slu'!$G$53)</f>
        <v>61032641.657664359</v>
      </c>
      <c r="J534" s="479">
        <f t="shared" si="40"/>
        <v>170331760.52394256</v>
      </c>
      <c r="K534" s="558">
        <f>'Progetto del paramento slu'!$G$60*(sezione!$AL$29-C534)/C534</f>
        <v>1.7400871096819294E-2</v>
      </c>
      <c r="L534" s="558">
        <f>'Progetto del paramento slu'!$G$60*(sezione!$AM$29-C534)/C534</f>
        <v>7.4878266613072356E-2</v>
      </c>
      <c r="M534" s="559">
        <f>'Progetto del paramento slu'!$G$60*(sezione!$AN$29-C534)/C534</f>
        <v>0.13235566212932542</v>
      </c>
      <c r="N534" s="559">
        <f>'Progetto del paramento slu'!$G$60*(sezione!$AO$29-C534)/C534</f>
        <v>0.174157404322964</v>
      </c>
      <c r="O534" s="559">
        <f>'Progetto del paramento slu'!$G$60*(sezione!$AP$29-C534)/C534</f>
        <v>0.1323567046607563</v>
      </c>
      <c r="P534" s="553">
        <f>-'Progetto del paramento slu'!$G$47*'Progetto del paramento slu'!$G$41*IF(DATI!$G$218="dx",DATI!$E$61,DATI!$E$64*DATI!$E$63)*1000*C534*sezione!$AD$5</f>
        <v>-94418.294379142739</v>
      </c>
      <c r="Q534" s="553">
        <f>'Foglio deposito bis'!$F$48*IF(ABS(K534)&lt;'Progetto del paramento slu'!$G$58,ABS(K534)*'Progetto del paramento slu'!$G$54,'Progetto del paramento slu'!$G$53)*IF(K534&lt;0,-1,1)</f>
        <v>0</v>
      </c>
      <c r="R534" s="553">
        <f>'Foglio deposito bis'!$F$49*IF(ABS(L534)&lt;'Progetto del paramento slu'!$G$58,ABS(L534)*'Progetto del paramento slu'!$G$54,'Progetto del paramento slu'!$G$53)*IF(L534&lt;0,-1,1)</f>
        <v>204886.47740803001</v>
      </c>
      <c r="S534" s="553">
        <f>'Foglio deposito bis'!$F$50*IF(ABS(M534)&lt;'Progetto del paramento slu'!$G$58,ABS(M534)*'Progetto del paramento slu'!$G$54,'Progetto del paramento slu'!$G$53)*IF(M534&lt;0,-1,1)</f>
        <v>0</v>
      </c>
      <c r="T534" s="553">
        <f>'Foglio deposito bis'!$F$51*IF(ABS(N534)&lt;'Progetto del paramento slu'!$G$58,ABS(N534)*'Progetto del paramento slu'!$G$54,'Progetto del paramento slu'!$G$53)*IF(N534&lt;0,-1,1)</f>
        <v>240946.49743184328</v>
      </c>
      <c r="U534" s="553">
        <f>'Foglio deposito bis'!$F$52*IF(ABS(O534)&lt;'Progetto del paramento slu'!$G$58,ABS(O534)*'Progetto del paramento slu'!$G$54,'Progetto del paramento slu'!$G$53)*IF(O534&lt;0,-1,1)</f>
        <v>240946.49743184328</v>
      </c>
      <c r="V534" s="479">
        <f t="shared" si="41"/>
        <v>592361.17789257388</v>
      </c>
      <c r="W534" s="559"/>
      <c r="X534" s="559"/>
    </row>
    <row r="535" spans="1:24" x14ac:dyDescent="0.25">
      <c r="A535" s="553">
        <f t="shared" si="42"/>
        <v>589500.01745684224</v>
      </c>
      <c r="B535" s="3">
        <f t="shared" si="43"/>
        <v>1.7000000000000008</v>
      </c>
      <c r="C535" s="553">
        <f>'Foglio deposito bis'!$E$155/sezione!$B$247*B535</f>
        <v>6.9012637594982884</v>
      </c>
      <c r="D535" s="611">
        <f>-'Progetto del paramento slu'!$G$47*'Progetto del paramento slu'!$G$41*IF(DATI!$G$218="dx",DATI!$E$61,DATI!$E$64*DATI!$E$63)*1000*C535^2*sezione!$AD$5*(1-sezione!$AD$6)</f>
        <v>-392069.08681766386</v>
      </c>
      <c r="E535" s="553">
        <f>-'Foglio deposito bis'!$F$48*(C535-sezione!$AL$29)*IF(ABS(K535)&lt;'Progetto del paramento slu'!$G$58,ABS(K535)*'Progetto del paramento slu'!$G$54,'Progetto del paramento slu'!$G$53)</f>
        <v>0</v>
      </c>
      <c r="F535" s="553">
        <f>-'Foglio deposito bis'!$F$49*(C535-sezione!$AM$29)*IF(ABS(L535)&lt;'Progetto del paramento slu'!$G$58,ABS(L535)*'Progetto del paramento slu'!$G$54,'Progetto del paramento slu'!$G$53)</f>
        <v>29318995.989857201</v>
      </c>
      <c r="G535" s="553">
        <f>-'Foglio deposito bis'!$F$50*(C535-sezione!$AN$29)*IF(ABS(M535)&lt;'Progetto del paramento slu'!$G$58,ABS(M535)*'Progetto del paramento slu'!$G$54,'Progetto del paramento slu'!$G$53)</f>
        <v>0</v>
      </c>
      <c r="H535" s="553">
        <f>-'Foglio deposito bis'!$F$51*(C535-sezione!$AO$29)*IF(ABS(N535)&lt;'Progetto del paramento slu'!$G$58,ABS(N535)*'Progetto del paramento slu'!$G$54,'Progetto del paramento slu'!$G$53)</f>
        <v>80258973.796122283</v>
      </c>
      <c r="I535" s="479">
        <f>-'Foglio deposito bis'!$F$52*(C535-sezione!$AP$29)*IF(ABS(O535)&lt;'Progetto del paramento slu'!$G$58,ABS(O535)*'Progetto del paramento slu'!$G$54,'Progetto del paramento slu'!$G$53)</f>
        <v>60983734.736173049</v>
      </c>
      <c r="J535" s="479">
        <f t="shared" si="40"/>
        <v>170169635.43533486</v>
      </c>
      <c r="K535" s="558">
        <f>'Progetto del paramento slu'!$G$60*(sezione!$AL$29-C535)/C535</f>
        <v>1.6786139593971666E-2</v>
      </c>
      <c r="L535" s="558">
        <f>'Progetto del paramento slu'!$G$60*(sezione!$AM$29-C535)/C535</f>
        <v>7.2573023477393764E-2</v>
      </c>
      <c r="M535" s="559">
        <f>'Progetto del paramento slu'!$G$60*(sezione!$AN$29-C535)/C535</f>
        <v>0.12835990736081584</v>
      </c>
      <c r="N535" s="559">
        <f>'Progetto del paramento slu'!$G$60*(sezione!$AO$29-C535)/C535</f>
        <v>0.16893218654875919</v>
      </c>
      <c r="O535" s="559">
        <f>'Progetto del paramento slu'!$G$60*(sezione!$AP$29-C535)/C535</f>
        <v>0.12836091922955759</v>
      </c>
      <c r="P535" s="553">
        <f>-'Progetto del paramento slu'!$G$47*'Progetto del paramento slu'!$G$41*IF(DATI!$G$218="dx",DATI!$E$61,DATI!$E$64*DATI!$E$63)*1000*C535*sezione!$AD$5</f>
        <v>-97279.454814874334</v>
      </c>
      <c r="Q535" s="553">
        <f>'Foglio deposito bis'!$F$48*IF(ABS(K535)&lt;'Progetto del paramento slu'!$G$58,ABS(K535)*'Progetto del paramento slu'!$G$54,'Progetto del paramento slu'!$G$53)*IF(K535&lt;0,-1,1)</f>
        <v>0</v>
      </c>
      <c r="R535" s="553">
        <f>'Foglio deposito bis'!$F$49*IF(ABS(L535)&lt;'Progetto del paramento slu'!$G$58,ABS(L535)*'Progetto del paramento slu'!$G$54,'Progetto del paramento slu'!$G$53)*IF(L535&lt;0,-1,1)</f>
        <v>204886.47740803001</v>
      </c>
      <c r="S535" s="553">
        <f>'Foglio deposito bis'!$F$50*IF(ABS(M535)&lt;'Progetto del paramento slu'!$G$58,ABS(M535)*'Progetto del paramento slu'!$G$54,'Progetto del paramento slu'!$G$53)*IF(M535&lt;0,-1,1)</f>
        <v>0</v>
      </c>
      <c r="T535" s="553">
        <f>'Foglio deposito bis'!$F$51*IF(ABS(N535)&lt;'Progetto del paramento slu'!$G$58,ABS(N535)*'Progetto del paramento slu'!$G$54,'Progetto del paramento slu'!$G$53)*IF(N535&lt;0,-1,1)</f>
        <v>240946.49743184328</v>
      </c>
      <c r="U535" s="553">
        <f>'Foglio deposito bis'!$F$52*IF(ABS(O535)&lt;'Progetto del paramento slu'!$G$58,ABS(O535)*'Progetto del paramento slu'!$G$54,'Progetto del paramento slu'!$G$53)*IF(O535&lt;0,-1,1)</f>
        <v>240946.49743184328</v>
      </c>
      <c r="V535" s="479">
        <f t="shared" si="41"/>
        <v>589500.01745684224</v>
      </c>
      <c r="W535" s="559"/>
      <c r="X535" s="559"/>
    </row>
    <row r="536" spans="1:24" x14ac:dyDescent="0.25">
      <c r="A536" s="553">
        <f t="shared" si="42"/>
        <v>586638.85702111071</v>
      </c>
      <c r="B536" s="3">
        <f t="shared" si="43"/>
        <v>1.7500000000000009</v>
      </c>
      <c r="C536" s="553">
        <f>'Foglio deposito bis'!$E$155/sezione!$B$247*B536</f>
        <v>7.1042421053658851</v>
      </c>
      <c r="D536" s="611">
        <f>-'Progetto del paramento slu'!$G$47*'Progetto del paramento slu'!$G$41*IF(DATI!$G$218="dx",DATI!$E$61,DATI!$E$64*DATI!$E$63)*1000*C536^2*sezione!$AD$5*(1-sezione!$AD$6)</f>
        <v>-415471.13438723021</v>
      </c>
      <c r="E536" s="553">
        <f>-'Foglio deposito bis'!$F$48*(C536-sezione!$AL$29)*IF(ABS(K536)&lt;'Progetto del paramento slu'!$G$58,ABS(K536)*'Progetto del paramento slu'!$G$54,'Progetto del paramento slu'!$G$53)</f>
        <v>0</v>
      </c>
      <c r="F536" s="553">
        <f>-'Foglio deposito bis'!$F$49*(C536-sezione!$AM$29)*IF(ABS(L536)&lt;'Progetto del paramento slu'!$G$58,ABS(L536)*'Progetto del paramento slu'!$G$54,'Progetto del paramento slu'!$G$53)</f>
        <v>29277408.471582279</v>
      </c>
      <c r="G536" s="553">
        <f>-'Foglio deposito bis'!$F$50*(C536-sezione!$AN$29)*IF(ABS(M536)&lt;'Progetto del paramento slu'!$G$58,ABS(M536)*'Progetto del paramento slu'!$G$54,'Progetto del paramento slu'!$G$53)</f>
        <v>0</v>
      </c>
      <c r="H536" s="553">
        <f>-'Foglio deposito bis'!$F$51*(C536-sezione!$AO$29)*IF(ABS(N536)&lt;'Progetto del paramento slu'!$G$58,ABS(N536)*'Progetto del paramento slu'!$G$54,'Progetto del paramento slu'!$G$53)</f>
        <v>80210066.874630988</v>
      </c>
      <c r="I536" s="479">
        <f>-'Foglio deposito bis'!$F$52*(C536-sezione!$AP$29)*IF(ABS(O536)&lt;'Progetto del paramento slu'!$G$58,ABS(O536)*'Progetto del paramento slu'!$G$54,'Progetto del paramento slu'!$G$53)</f>
        <v>60934827.814681731</v>
      </c>
      <c r="J536" s="479">
        <f t="shared" si="40"/>
        <v>170006832.02650777</v>
      </c>
      <c r="K536" s="558">
        <f>'Progetto del paramento slu'!$G$60*(sezione!$AL$29-C536)/C536</f>
        <v>1.6206535605572479E-2</v>
      </c>
      <c r="L536" s="558">
        <f>'Progetto del paramento slu'!$G$60*(sezione!$AM$29-C536)/C536</f>
        <v>7.0399508520896784E-2</v>
      </c>
      <c r="M536" s="559">
        <f>'Progetto del paramento slu'!$G$60*(sezione!$AN$29-C536)/C536</f>
        <v>0.12459248143622111</v>
      </c>
      <c r="N536" s="559">
        <f>'Progetto del paramento slu'!$G$60*(sezione!$AO$29-C536)/C536</f>
        <v>0.16400555264736608</v>
      </c>
      <c r="O536" s="559">
        <f>'Progetto del paramento slu'!$G$60*(sezione!$AP$29-C536)/C536</f>
        <v>0.12459346439442735</v>
      </c>
      <c r="P536" s="553">
        <f>-'Progetto del paramento slu'!$G$47*'Progetto del paramento slu'!$G$41*IF(DATI!$G$218="dx",DATI!$E$61,DATI!$E$64*DATI!$E$63)*1000*C536*sezione!$AD$5</f>
        <v>-100140.61525060592</v>
      </c>
      <c r="Q536" s="553">
        <f>'Foglio deposito bis'!$F$48*IF(ABS(K536)&lt;'Progetto del paramento slu'!$G$58,ABS(K536)*'Progetto del paramento slu'!$G$54,'Progetto del paramento slu'!$G$53)*IF(K536&lt;0,-1,1)</f>
        <v>0</v>
      </c>
      <c r="R536" s="553">
        <f>'Foglio deposito bis'!$F$49*IF(ABS(L536)&lt;'Progetto del paramento slu'!$G$58,ABS(L536)*'Progetto del paramento slu'!$G$54,'Progetto del paramento slu'!$G$53)*IF(L536&lt;0,-1,1)</f>
        <v>204886.47740803001</v>
      </c>
      <c r="S536" s="553">
        <f>'Foglio deposito bis'!$F$50*IF(ABS(M536)&lt;'Progetto del paramento slu'!$G$58,ABS(M536)*'Progetto del paramento slu'!$G$54,'Progetto del paramento slu'!$G$53)*IF(M536&lt;0,-1,1)</f>
        <v>0</v>
      </c>
      <c r="T536" s="553">
        <f>'Foglio deposito bis'!$F$51*IF(ABS(N536)&lt;'Progetto del paramento slu'!$G$58,ABS(N536)*'Progetto del paramento slu'!$G$54,'Progetto del paramento slu'!$G$53)*IF(N536&lt;0,-1,1)</f>
        <v>240946.49743184328</v>
      </c>
      <c r="U536" s="553">
        <f>'Foglio deposito bis'!$F$52*IF(ABS(O536)&lt;'Progetto del paramento slu'!$G$58,ABS(O536)*'Progetto del paramento slu'!$G$54,'Progetto del paramento slu'!$G$53)*IF(O536&lt;0,-1,1)</f>
        <v>240946.49743184328</v>
      </c>
      <c r="V536" s="479">
        <f t="shared" si="41"/>
        <v>586638.85702111071</v>
      </c>
      <c r="W536" s="559"/>
      <c r="X536" s="559"/>
    </row>
    <row r="537" spans="1:24" x14ac:dyDescent="0.25">
      <c r="A537" s="553">
        <f t="shared" si="42"/>
        <v>583777.69658537908</v>
      </c>
      <c r="B537" s="3">
        <f t="shared" si="43"/>
        <v>1.8000000000000009</v>
      </c>
      <c r="C537" s="553">
        <f>'Foglio deposito bis'!$E$155/sezione!$B$247*B537</f>
        <v>7.3072204512334817</v>
      </c>
      <c r="D537" s="611">
        <f>-'Progetto del paramento slu'!$G$47*'Progetto del paramento slu'!$G$41*IF(DATI!$G$218="dx",DATI!$E$61,DATI!$E$64*DATI!$E$63)*1000*C537^2*sezione!$AD$5*(1-sezione!$AD$6)</f>
        <v>-439551.50217620441</v>
      </c>
      <c r="E537" s="553">
        <f>-'Foglio deposito bis'!$F$48*(C537-sezione!$AL$29)*IF(ABS(K537)&lt;'Progetto del paramento slu'!$G$58,ABS(K537)*'Progetto del paramento slu'!$G$54,'Progetto del paramento slu'!$G$53)</f>
        <v>0</v>
      </c>
      <c r="F537" s="553">
        <f>-'Foglio deposito bis'!$F$49*(C537-sezione!$AM$29)*IF(ABS(L537)&lt;'Progetto del paramento slu'!$G$58,ABS(L537)*'Progetto del paramento slu'!$G$54,'Progetto del paramento slu'!$G$53)</f>
        <v>29235820.953307357</v>
      </c>
      <c r="G537" s="553">
        <f>-'Foglio deposito bis'!$F$50*(C537-sezione!$AN$29)*IF(ABS(M537)&lt;'Progetto del paramento slu'!$G$58,ABS(M537)*'Progetto del paramento slu'!$G$54,'Progetto del paramento slu'!$G$53)</f>
        <v>0</v>
      </c>
      <c r="H537" s="553">
        <f>-'Foglio deposito bis'!$F$51*(C537-sezione!$AO$29)*IF(ABS(N537)&lt;'Progetto del paramento slu'!$G$58,ABS(N537)*'Progetto del paramento slu'!$G$54,'Progetto del paramento slu'!$G$53)</f>
        <v>80161159.953139663</v>
      </c>
      <c r="I537" s="479">
        <f>-'Foglio deposito bis'!$F$52*(C537-sezione!$AP$29)*IF(ABS(O537)&lt;'Progetto del paramento slu'!$G$58,ABS(O537)*'Progetto del paramento slu'!$G$54,'Progetto del paramento slu'!$G$53)</f>
        <v>60885920.893190429</v>
      </c>
      <c r="J537" s="479">
        <f t="shared" si="40"/>
        <v>169843350.29746124</v>
      </c>
      <c r="K537" s="558">
        <f>'Progetto del paramento slu'!$G$60*(sezione!$AL$29-C537)/C537</f>
        <v>1.565913183875102E-2</v>
      </c>
      <c r="L537" s="558">
        <f>'Progetto del paramento slu'!$G$60*(sezione!$AM$29-C537)/C537</f>
        <v>6.8346744395316322E-2</v>
      </c>
      <c r="M537" s="559">
        <f>'Progetto del paramento slu'!$G$60*(sezione!$AN$29-C537)/C537</f>
        <v>0.12103435695188162</v>
      </c>
      <c r="N537" s="559">
        <f>'Progetto del paramento slu'!$G$60*(sezione!$AO$29-C537)/C537</f>
        <v>0.15935262062938368</v>
      </c>
      <c r="O537" s="559">
        <f>'Progetto del paramento slu'!$G$60*(sezione!$AP$29-C537)/C537</f>
        <v>0.12103531260569327</v>
      </c>
      <c r="P537" s="553">
        <f>-'Progetto del paramento slu'!$G$47*'Progetto del paramento slu'!$G$41*IF(DATI!$G$218="dx",DATI!$E$61,DATI!$E$64*DATI!$E$63)*1000*C537*sezione!$AD$5</f>
        <v>-103001.77568633753</v>
      </c>
      <c r="Q537" s="553">
        <f>'Foglio deposito bis'!$F$48*IF(ABS(K537)&lt;'Progetto del paramento slu'!$G$58,ABS(K537)*'Progetto del paramento slu'!$G$54,'Progetto del paramento slu'!$G$53)*IF(K537&lt;0,-1,1)</f>
        <v>0</v>
      </c>
      <c r="R537" s="553">
        <f>'Foglio deposito bis'!$F$49*IF(ABS(L537)&lt;'Progetto del paramento slu'!$G$58,ABS(L537)*'Progetto del paramento slu'!$G$54,'Progetto del paramento slu'!$G$53)*IF(L537&lt;0,-1,1)</f>
        <v>204886.47740803001</v>
      </c>
      <c r="S537" s="553">
        <f>'Foglio deposito bis'!$F$50*IF(ABS(M537)&lt;'Progetto del paramento slu'!$G$58,ABS(M537)*'Progetto del paramento slu'!$G$54,'Progetto del paramento slu'!$G$53)*IF(M537&lt;0,-1,1)</f>
        <v>0</v>
      </c>
      <c r="T537" s="553">
        <f>'Foglio deposito bis'!$F$51*IF(ABS(N537)&lt;'Progetto del paramento slu'!$G$58,ABS(N537)*'Progetto del paramento slu'!$G$54,'Progetto del paramento slu'!$G$53)*IF(N537&lt;0,-1,1)</f>
        <v>240946.49743184328</v>
      </c>
      <c r="U537" s="553">
        <f>'Foglio deposito bis'!$F$52*IF(ABS(O537)&lt;'Progetto del paramento slu'!$G$58,ABS(O537)*'Progetto del paramento slu'!$G$54,'Progetto del paramento slu'!$G$53)*IF(O537&lt;0,-1,1)</f>
        <v>240946.49743184328</v>
      </c>
      <c r="V537" s="479">
        <f t="shared" si="41"/>
        <v>583777.69658537908</v>
      </c>
      <c r="W537" s="559"/>
      <c r="X537" s="559"/>
    </row>
    <row r="538" spans="1:24" x14ac:dyDescent="0.25">
      <c r="A538" s="553">
        <f t="shared" si="42"/>
        <v>580916.53614964744</v>
      </c>
      <c r="B538" s="3">
        <f t="shared" si="43"/>
        <v>1.850000000000001</v>
      </c>
      <c r="C538" s="553">
        <f>'Foglio deposito bis'!$E$155/sezione!$B$247*B538</f>
        <v>7.5101987971010793</v>
      </c>
      <c r="D538" s="611">
        <f>-'Progetto del paramento slu'!$G$47*'Progetto del paramento slu'!$G$41*IF(DATI!$G$218="dx",DATI!$E$61,DATI!$E$64*DATI!$E$63)*1000*C538^2*sezione!$AD$5*(1-sezione!$AD$6)</f>
        <v>-464310.19018458645</v>
      </c>
      <c r="E538" s="553">
        <f>-'Foglio deposito bis'!$F$48*(C538-sezione!$AL$29)*IF(ABS(K538)&lt;'Progetto del paramento slu'!$G$58,ABS(K538)*'Progetto del paramento slu'!$G$54,'Progetto del paramento slu'!$G$53)</f>
        <v>0</v>
      </c>
      <c r="F538" s="553">
        <f>-'Foglio deposito bis'!$F$49*(C538-sezione!$AM$29)*IF(ABS(L538)&lt;'Progetto del paramento slu'!$G$58,ABS(L538)*'Progetto del paramento slu'!$G$54,'Progetto del paramento slu'!$G$53)</f>
        <v>29194233.435032438</v>
      </c>
      <c r="G538" s="553">
        <f>-'Foglio deposito bis'!$F$50*(C538-sezione!$AN$29)*IF(ABS(M538)&lt;'Progetto del paramento slu'!$G$58,ABS(M538)*'Progetto del paramento slu'!$G$54,'Progetto del paramento slu'!$G$53)</f>
        <v>0</v>
      </c>
      <c r="H538" s="553">
        <f>-'Foglio deposito bis'!$F$51*(C538-sezione!$AO$29)*IF(ABS(N538)&lt;'Progetto del paramento slu'!$G$58,ABS(N538)*'Progetto del paramento slu'!$G$54,'Progetto del paramento slu'!$G$53)</f>
        <v>80112253.031648368</v>
      </c>
      <c r="I538" s="479">
        <f>-'Foglio deposito bis'!$F$52*(C538-sezione!$AP$29)*IF(ABS(O538)&lt;'Progetto del paramento slu'!$G$58,ABS(O538)*'Progetto del paramento slu'!$G$54,'Progetto del paramento slu'!$G$53)</f>
        <v>60837013.971699134</v>
      </c>
      <c r="J538" s="479">
        <f t="shared" si="40"/>
        <v>169679190.24819535</v>
      </c>
      <c r="K538" s="558">
        <f>'Progetto del paramento slu'!$G$60*(sezione!$AL$29-C538)/C538</f>
        <v>1.5141317464730719E-2</v>
      </c>
      <c r="L538" s="558">
        <f>'Progetto del paramento slu'!$G$60*(sezione!$AM$29-C538)/C538</f>
        <v>6.6404940492740205E-2</v>
      </c>
      <c r="M538" s="559">
        <f>'Progetto del paramento slu'!$G$60*(sezione!$AN$29-C538)/C538</f>
        <v>0.11766856352074968</v>
      </c>
      <c r="N538" s="559">
        <f>'Progetto del paramento slu'!$G$60*(sezione!$AO$29-C538)/C538</f>
        <v>0.15495119845021113</v>
      </c>
      <c r="O538" s="559">
        <f>'Progetto del paramento slu'!$G$60*(sezione!$AP$29-C538)/C538</f>
        <v>0.11766949334607991</v>
      </c>
      <c r="P538" s="553">
        <f>-'Progetto del paramento slu'!$G$47*'Progetto del paramento slu'!$G$41*IF(DATI!$G$218="dx",DATI!$E$61,DATI!$E$64*DATI!$E$63)*1000*C538*sezione!$AD$5</f>
        <v>-105862.93612206914</v>
      </c>
      <c r="Q538" s="553">
        <f>'Foglio deposito bis'!$F$48*IF(ABS(K538)&lt;'Progetto del paramento slu'!$G$58,ABS(K538)*'Progetto del paramento slu'!$G$54,'Progetto del paramento slu'!$G$53)*IF(K538&lt;0,-1,1)</f>
        <v>0</v>
      </c>
      <c r="R538" s="553">
        <f>'Foglio deposito bis'!$F$49*IF(ABS(L538)&lt;'Progetto del paramento slu'!$G$58,ABS(L538)*'Progetto del paramento slu'!$G$54,'Progetto del paramento slu'!$G$53)*IF(L538&lt;0,-1,1)</f>
        <v>204886.47740803001</v>
      </c>
      <c r="S538" s="553">
        <f>'Foglio deposito bis'!$F$50*IF(ABS(M538)&lt;'Progetto del paramento slu'!$G$58,ABS(M538)*'Progetto del paramento slu'!$G$54,'Progetto del paramento slu'!$G$53)*IF(M538&lt;0,-1,1)</f>
        <v>0</v>
      </c>
      <c r="T538" s="553">
        <f>'Foglio deposito bis'!$F$51*IF(ABS(N538)&lt;'Progetto del paramento slu'!$G$58,ABS(N538)*'Progetto del paramento slu'!$G$54,'Progetto del paramento slu'!$G$53)*IF(N538&lt;0,-1,1)</f>
        <v>240946.49743184328</v>
      </c>
      <c r="U538" s="553">
        <f>'Foglio deposito bis'!$F$52*IF(ABS(O538)&lt;'Progetto del paramento slu'!$G$58,ABS(O538)*'Progetto del paramento slu'!$G$54,'Progetto del paramento slu'!$G$53)*IF(O538&lt;0,-1,1)</f>
        <v>240946.49743184328</v>
      </c>
      <c r="V538" s="479">
        <f t="shared" si="41"/>
        <v>580916.53614964744</v>
      </c>
      <c r="W538" s="559"/>
      <c r="X538" s="559"/>
    </row>
    <row r="539" spans="1:24" x14ac:dyDescent="0.25">
      <c r="A539" s="553">
        <f t="shared" si="42"/>
        <v>578055.3757139158</v>
      </c>
      <c r="B539" s="3">
        <f t="shared" si="43"/>
        <v>1.900000000000001</v>
      </c>
      <c r="C539" s="553">
        <f>'Foglio deposito bis'!$E$155/sezione!$B$247*B539</f>
        <v>7.713177142968676</v>
      </c>
      <c r="D539" s="611">
        <f>-'Progetto del paramento slu'!$G$47*'Progetto del paramento slu'!$G$41*IF(DATI!$G$218="dx",DATI!$E$61,DATI!$E$64*DATI!$E$63)*1000*C539^2*sezione!$AD$5*(1-sezione!$AD$6)</f>
        <v>-489747.19841237599</v>
      </c>
      <c r="E539" s="553">
        <f>-'Foglio deposito bis'!$F$48*(C539-sezione!$AL$29)*IF(ABS(K539)&lt;'Progetto del paramento slu'!$G$58,ABS(K539)*'Progetto del paramento slu'!$G$54,'Progetto del paramento slu'!$G$53)</f>
        <v>0</v>
      </c>
      <c r="F539" s="553">
        <f>-'Foglio deposito bis'!$F$49*(C539-sezione!$AM$29)*IF(ABS(L539)&lt;'Progetto del paramento slu'!$G$58,ABS(L539)*'Progetto del paramento slu'!$G$54,'Progetto del paramento slu'!$G$53)</f>
        <v>29152645.916757517</v>
      </c>
      <c r="G539" s="553">
        <f>-'Foglio deposito bis'!$F$50*(C539-sezione!$AN$29)*IF(ABS(M539)&lt;'Progetto del paramento slu'!$G$58,ABS(M539)*'Progetto del paramento slu'!$G$54,'Progetto del paramento slu'!$G$53)</f>
        <v>0</v>
      </c>
      <c r="H539" s="553">
        <f>-'Foglio deposito bis'!$F$51*(C539-sezione!$AO$29)*IF(ABS(N539)&lt;'Progetto del paramento slu'!$G$58,ABS(N539)*'Progetto del paramento slu'!$G$54,'Progetto del paramento slu'!$G$53)</f>
        <v>80063346.110157058</v>
      </c>
      <c r="I539" s="479">
        <f>-'Foglio deposito bis'!$F$52*(C539-sezione!$AP$29)*IF(ABS(O539)&lt;'Progetto del paramento slu'!$G$58,ABS(O539)*'Progetto del paramento slu'!$G$54,'Progetto del paramento slu'!$G$53)</f>
        <v>60788107.050207824</v>
      </c>
      <c r="J539" s="479">
        <f t="shared" si="40"/>
        <v>169514351.87871003</v>
      </c>
      <c r="K539" s="558">
        <f>'Progetto del paramento slu'!$G$60*(sezione!$AL$29-C539)/C539</f>
        <v>1.4650756478816754E-2</v>
      </c>
      <c r="L539" s="558">
        <f>'Progetto del paramento slu'!$G$60*(sezione!$AM$29-C539)/C539</f>
        <v>6.4565336795562839E-2</v>
      </c>
      <c r="M539" s="559">
        <f>'Progetto del paramento slu'!$G$60*(sezione!$AN$29-C539)/C539</f>
        <v>0.1144799171123089</v>
      </c>
      <c r="N539" s="559">
        <f>'Progetto del paramento slu'!$G$60*(sezione!$AO$29-C539)/C539</f>
        <v>0.15078143006994241</v>
      </c>
      <c r="O539" s="559">
        <f>'Progetto del paramento slu'!$G$60*(sezione!$AP$29-C539)/C539</f>
        <v>0.1144808224685515</v>
      </c>
      <c r="P539" s="553">
        <f>-'Progetto del paramento slu'!$G$47*'Progetto del paramento slu'!$G$41*IF(DATI!$G$218="dx",DATI!$E$61,DATI!$E$64*DATI!$E$63)*1000*C539*sezione!$AD$5</f>
        <v>-108724.09655780073</v>
      </c>
      <c r="Q539" s="553">
        <f>'Foglio deposito bis'!$F$48*IF(ABS(K539)&lt;'Progetto del paramento slu'!$G$58,ABS(K539)*'Progetto del paramento slu'!$G$54,'Progetto del paramento slu'!$G$53)*IF(K539&lt;0,-1,1)</f>
        <v>0</v>
      </c>
      <c r="R539" s="553">
        <f>'Foglio deposito bis'!$F$49*IF(ABS(L539)&lt;'Progetto del paramento slu'!$G$58,ABS(L539)*'Progetto del paramento slu'!$G$54,'Progetto del paramento slu'!$G$53)*IF(L539&lt;0,-1,1)</f>
        <v>204886.47740803001</v>
      </c>
      <c r="S539" s="553">
        <f>'Foglio deposito bis'!$F$50*IF(ABS(M539)&lt;'Progetto del paramento slu'!$G$58,ABS(M539)*'Progetto del paramento slu'!$G$54,'Progetto del paramento slu'!$G$53)*IF(M539&lt;0,-1,1)</f>
        <v>0</v>
      </c>
      <c r="T539" s="553">
        <f>'Foglio deposito bis'!$F$51*IF(ABS(N539)&lt;'Progetto del paramento slu'!$G$58,ABS(N539)*'Progetto del paramento slu'!$G$54,'Progetto del paramento slu'!$G$53)*IF(N539&lt;0,-1,1)</f>
        <v>240946.49743184328</v>
      </c>
      <c r="U539" s="553">
        <f>'Foglio deposito bis'!$F$52*IF(ABS(O539)&lt;'Progetto del paramento slu'!$G$58,ABS(O539)*'Progetto del paramento slu'!$G$54,'Progetto del paramento slu'!$G$53)*IF(O539&lt;0,-1,1)</f>
        <v>240946.49743184328</v>
      </c>
      <c r="V539" s="479">
        <f t="shared" si="41"/>
        <v>578055.3757139158</v>
      </c>
      <c r="W539" s="559"/>
      <c r="X539" s="559"/>
    </row>
    <row r="540" spans="1:24" x14ac:dyDescent="0.25">
      <c r="A540" s="553">
        <f t="shared" si="42"/>
        <v>575194.21527818427</v>
      </c>
      <c r="B540" s="3">
        <f t="shared" si="43"/>
        <v>1.9500000000000011</v>
      </c>
      <c r="C540" s="553">
        <f>'Foglio deposito bis'!$E$155/sezione!$B$247*B540</f>
        <v>7.9161554888362726</v>
      </c>
      <c r="D540" s="611">
        <f>-'Progetto del paramento slu'!$G$47*'Progetto del paramento slu'!$G$41*IF(DATI!$G$218="dx",DATI!$E$61,DATI!$E$64*DATI!$E$63)*1000*C540^2*sezione!$AD$5*(1-sezione!$AD$6)</f>
        <v>-515862.52685957338</v>
      </c>
      <c r="E540" s="553">
        <f>-'Foglio deposito bis'!$F$48*(C540-sezione!$AL$29)*IF(ABS(K540)&lt;'Progetto del paramento slu'!$G$58,ABS(K540)*'Progetto del paramento slu'!$G$54,'Progetto del paramento slu'!$G$53)</f>
        <v>0</v>
      </c>
      <c r="F540" s="553">
        <f>-'Foglio deposito bis'!$F$49*(C540-sezione!$AM$29)*IF(ABS(L540)&lt;'Progetto del paramento slu'!$G$58,ABS(L540)*'Progetto del paramento slu'!$G$54,'Progetto del paramento slu'!$G$53)</f>
        <v>29111058.398482595</v>
      </c>
      <c r="G540" s="553">
        <f>-'Foglio deposito bis'!$F$50*(C540-sezione!$AN$29)*IF(ABS(M540)&lt;'Progetto del paramento slu'!$G$58,ABS(M540)*'Progetto del paramento slu'!$G$54,'Progetto del paramento slu'!$G$53)</f>
        <v>0</v>
      </c>
      <c r="H540" s="553">
        <f>-'Foglio deposito bis'!$F$51*(C540-sezione!$AO$29)*IF(ABS(N540)&lt;'Progetto del paramento slu'!$G$58,ABS(N540)*'Progetto del paramento slu'!$G$54,'Progetto del paramento slu'!$G$53)</f>
        <v>80014439.188665748</v>
      </c>
      <c r="I540" s="479">
        <f>-'Foglio deposito bis'!$F$52*(C540-sezione!$AP$29)*IF(ABS(O540)&lt;'Progetto del paramento slu'!$G$58,ABS(O540)*'Progetto del paramento slu'!$G$54,'Progetto del paramento slu'!$G$53)</f>
        <v>60739200.128716521</v>
      </c>
      <c r="J540" s="479">
        <f t="shared" si="40"/>
        <v>169348835.18900529</v>
      </c>
      <c r="K540" s="558">
        <f>'Progetto del paramento slu'!$G$60*(sezione!$AL$29-C540)/C540</f>
        <v>1.4185352466539401E-2</v>
      </c>
      <c r="L540" s="558">
        <f>'Progetto del paramento slu'!$G$60*(sezione!$AM$29-C540)/C540</f>
        <v>6.2820071749522768E-2</v>
      </c>
      <c r="M540" s="559">
        <f>'Progetto del paramento slu'!$G$60*(sezione!$AN$29-C540)/C540</f>
        <v>0.11145479103250611</v>
      </c>
      <c r="N540" s="559">
        <f>'Progetto del paramento slu'!$G$60*(sezione!$AO$29-C540)/C540</f>
        <v>0.14682549596558492</v>
      </c>
      <c r="O540" s="559">
        <f>'Progetto del paramento slu'!$G$60*(sezione!$AP$29-C540)/C540</f>
        <v>0.11145567317448608</v>
      </c>
      <c r="P540" s="553">
        <f>-'Progetto del paramento slu'!$G$47*'Progetto del paramento slu'!$G$41*IF(DATI!$G$218="dx",DATI!$E$61,DATI!$E$64*DATI!$E$63)*1000*C540*sezione!$AD$5</f>
        <v>-111585.25699353233</v>
      </c>
      <c r="Q540" s="553">
        <f>'Foglio deposito bis'!$F$48*IF(ABS(K540)&lt;'Progetto del paramento slu'!$G$58,ABS(K540)*'Progetto del paramento slu'!$G$54,'Progetto del paramento slu'!$G$53)*IF(K540&lt;0,-1,1)</f>
        <v>0</v>
      </c>
      <c r="R540" s="553">
        <f>'Foglio deposito bis'!$F$49*IF(ABS(L540)&lt;'Progetto del paramento slu'!$G$58,ABS(L540)*'Progetto del paramento slu'!$G$54,'Progetto del paramento slu'!$G$53)*IF(L540&lt;0,-1,1)</f>
        <v>204886.47740803001</v>
      </c>
      <c r="S540" s="553">
        <f>'Foglio deposito bis'!$F$50*IF(ABS(M540)&lt;'Progetto del paramento slu'!$G$58,ABS(M540)*'Progetto del paramento slu'!$G$54,'Progetto del paramento slu'!$G$53)*IF(M540&lt;0,-1,1)</f>
        <v>0</v>
      </c>
      <c r="T540" s="553">
        <f>'Foglio deposito bis'!$F$51*IF(ABS(N540)&lt;'Progetto del paramento slu'!$G$58,ABS(N540)*'Progetto del paramento slu'!$G$54,'Progetto del paramento slu'!$G$53)*IF(N540&lt;0,-1,1)</f>
        <v>240946.49743184328</v>
      </c>
      <c r="U540" s="553">
        <f>'Foglio deposito bis'!$F$52*IF(ABS(O540)&lt;'Progetto del paramento slu'!$G$58,ABS(O540)*'Progetto del paramento slu'!$G$54,'Progetto del paramento slu'!$G$53)*IF(O540&lt;0,-1,1)</f>
        <v>240946.49743184328</v>
      </c>
      <c r="V540" s="479">
        <f t="shared" si="41"/>
        <v>575194.21527818427</v>
      </c>
      <c r="W540" s="559"/>
      <c r="X540" s="559"/>
    </row>
    <row r="541" spans="1:24" x14ac:dyDescent="0.25">
      <c r="A541" s="553">
        <f t="shared" si="42"/>
        <v>572333.05484245264</v>
      </c>
      <c r="B541" s="3">
        <f t="shared" si="43"/>
        <v>2.0000000000000009</v>
      </c>
      <c r="C541" s="553">
        <f>'Foglio deposito bis'!$E$155/sezione!$B$247*B541</f>
        <v>8.1191338347038684</v>
      </c>
      <c r="D541" s="611">
        <f>-'Progetto del paramento slu'!$G$47*'Progetto del paramento slu'!$G$41*IF(DATI!$G$218="dx",DATI!$E$61,DATI!$E$64*DATI!$E$63)*1000*C541^2*sezione!$AD$5*(1-sezione!$AD$6)</f>
        <v>-542656.17552617833</v>
      </c>
      <c r="E541" s="553">
        <f>-'Foglio deposito bis'!$F$48*(C541-sezione!$AL$29)*IF(ABS(K541)&lt;'Progetto del paramento slu'!$G$58,ABS(K541)*'Progetto del paramento slu'!$G$54,'Progetto del paramento slu'!$G$53)</f>
        <v>0</v>
      </c>
      <c r="F541" s="553">
        <f>-'Foglio deposito bis'!$F$49*(C541-sezione!$AM$29)*IF(ABS(L541)&lt;'Progetto del paramento slu'!$G$58,ABS(L541)*'Progetto del paramento slu'!$G$54,'Progetto del paramento slu'!$G$53)</f>
        <v>29069470.880207673</v>
      </c>
      <c r="G541" s="553">
        <f>-'Foglio deposito bis'!$F$50*(C541-sezione!$AN$29)*IF(ABS(M541)&lt;'Progetto del paramento slu'!$G$58,ABS(M541)*'Progetto del paramento slu'!$G$54,'Progetto del paramento slu'!$G$53)</f>
        <v>0</v>
      </c>
      <c r="H541" s="553">
        <f>-'Foglio deposito bis'!$F$51*(C541-sezione!$AO$29)*IF(ABS(N541)&lt;'Progetto del paramento slu'!$G$58,ABS(N541)*'Progetto del paramento slu'!$G$54,'Progetto del paramento slu'!$G$53)</f>
        <v>79965532.267174453</v>
      </c>
      <c r="I541" s="479">
        <f>-'Foglio deposito bis'!$F$52*(C541-sezione!$AP$29)*IF(ABS(O541)&lt;'Progetto del paramento slu'!$G$58,ABS(O541)*'Progetto del paramento slu'!$G$54,'Progetto del paramento slu'!$G$53)</f>
        <v>60690293.207225211</v>
      </c>
      <c r="J541" s="479">
        <f t="shared" si="40"/>
        <v>169182640.17908114</v>
      </c>
      <c r="K541" s="558">
        <f>'Progetto del paramento slu'!$G$60*(sezione!$AL$29-C541)/C541</f>
        <v>1.3743218654875921E-2</v>
      </c>
      <c r="L541" s="558">
        <f>'Progetto del paramento slu'!$G$60*(sezione!$AM$29-C541)/C541</f>
        <v>6.1162069955784701E-2</v>
      </c>
      <c r="M541" s="559">
        <f>'Progetto del paramento slu'!$G$60*(sezione!$AN$29-C541)/C541</f>
        <v>0.10858092125669347</v>
      </c>
      <c r="N541" s="559">
        <f>'Progetto del paramento slu'!$G$60*(sezione!$AO$29-C541)/C541</f>
        <v>0.14306735856644531</v>
      </c>
      <c r="O541" s="559">
        <f>'Progetto del paramento slu'!$G$60*(sezione!$AP$29-C541)/C541</f>
        <v>0.10858178134512395</v>
      </c>
      <c r="P541" s="553">
        <f>-'Progetto del paramento slu'!$G$47*'Progetto del paramento slu'!$G$41*IF(DATI!$G$218="dx",DATI!$E$61,DATI!$E$64*DATI!$E$63)*1000*C541*sezione!$AD$5</f>
        <v>-114446.41742926389</v>
      </c>
      <c r="Q541" s="553">
        <f>'Foglio deposito bis'!$F$48*IF(ABS(K541)&lt;'Progetto del paramento slu'!$G$58,ABS(K541)*'Progetto del paramento slu'!$G$54,'Progetto del paramento slu'!$G$53)*IF(K541&lt;0,-1,1)</f>
        <v>0</v>
      </c>
      <c r="R541" s="553">
        <f>'Foglio deposito bis'!$F$49*IF(ABS(L541)&lt;'Progetto del paramento slu'!$G$58,ABS(L541)*'Progetto del paramento slu'!$G$54,'Progetto del paramento slu'!$G$53)*IF(L541&lt;0,-1,1)</f>
        <v>204886.47740803001</v>
      </c>
      <c r="S541" s="553">
        <f>'Foglio deposito bis'!$F$50*IF(ABS(M541)&lt;'Progetto del paramento slu'!$G$58,ABS(M541)*'Progetto del paramento slu'!$G$54,'Progetto del paramento slu'!$G$53)*IF(M541&lt;0,-1,1)</f>
        <v>0</v>
      </c>
      <c r="T541" s="553">
        <f>'Foglio deposito bis'!$F$51*IF(ABS(N541)&lt;'Progetto del paramento slu'!$G$58,ABS(N541)*'Progetto del paramento slu'!$G$54,'Progetto del paramento slu'!$G$53)*IF(N541&lt;0,-1,1)</f>
        <v>240946.49743184328</v>
      </c>
      <c r="U541" s="553">
        <f>'Foglio deposito bis'!$F$52*IF(ABS(O541)&lt;'Progetto del paramento slu'!$G$58,ABS(O541)*'Progetto del paramento slu'!$G$54,'Progetto del paramento slu'!$G$53)*IF(O541&lt;0,-1,1)</f>
        <v>240946.49743184328</v>
      </c>
      <c r="V541" s="479">
        <f t="shared" si="41"/>
        <v>572333.05484245264</v>
      </c>
      <c r="W541" s="559"/>
      <c r="X541" s="559"/>
    </row>
    <row r="542" spans="1:24" x14ac:dyDescent="0.25">
      <c r="A542" s="553">
        <f t="shared" si="42"/>
        <v>569471.89440672111</v>
      </c>
      <c r="B542" s="3">
        <f t="shared" si="43"/>
        <v>2.0500000000000007</v>
      </c>
      <c r="C542" s="553">
        <f>'Foglio deposito bis'!$E$155/sezione!$B$247*B542</f>
        <v>8.3221121805714642</v>
      </c>
      <c r="D542" s="611">
        <f>-'Progetto del paramento slu'!$G$47*'Progetto del paramento slu'!$G$41*IF(DATI!$G$218="dx",DATI!$E$61,DATI!$E$64*DATI!$E$63)*1000*C542^2*sezione!$AD$5*(1-sezione!$AD$6)</f>
        <v>-570128.14441219089</v>
      </c>
      <c r="E542" s="553">
        <f>-'Foglio deposito bis'!$F$48*(C542-sezione!$AL$29)*IF(ABS(K542)&lt;'Progetto del paramento slu'!$G$58,ABS(K542)*'Progetto del paramento slu'!$G$54,'Progetto del paramento slu'!$G$53)</f>
        <v>0</v>
      </c>
      <c r="F542" s="553">
        <f>-'Foglio deposito bis'!$F$49*(C542-sezione!$AM$29)*IF(ABS(L542)&lt;'Progetto del paramento slu'!$G$58,ABS(L542)*'Progetto del paramento slu'!$G$54,'Progetto del paramento slu'!$G$53)</f>
        <v>29027883.361932758</v>
      </c>
      <c r="G542" s="553">
        <f>-'Foglio deposito bis'!$F$50*(C542-sezione!$AN$29)*IF(ABS(M542)&lt;'Progetto del paramento slu'!$G$58,ABS(M542)*'Progetto del paramento slu'!$G$54,'Progetto del paramento slu'!$G$53)</f>
        <v>0</v>
      </c>
      <c r="H542" s="553">
        <f>-'Foglio deposito bis'!$F$51*(C542-sezione!$AO$29)*IF(ABS(N542)&lt;'Progetto del paramento slu'!$G$58,ABS(N542)*'Progetto del paramento slu'!$G$54,'Progetto del paramento slu'!$G$53)</f>
        <v>79916625.345683128</v>
      </c>
      <c r="I542" s="479">
        <f>-'Foglio deposito bis'!$F$52*(C542-sezione!$AP$29)*IF(ABS(O542)&lt;'Progetto del paramento slu'!$G$58,ABS(O542)*'Progetto del paramento slu'!$G$54,'Progetto del paramento slu'!$G$53)</f>
        <v>60641386.285733901</v>
      </c>
      <c r="J542" s="479">
        <f t="shared" si="40"/>
        <v>169015766.8489376</v>
      </c>
      <c r="K542" s="558">
        <f>'Progetto del paramento slu'!$G$60*(sezione!$AL$29-C542)/C542</f>
        <v>1.3322652346220409E-2</v>
      </c>
      <c r="L542" s="558">
        <f>'Progetto del paramento slu'!$G$60*(sezione!$AM$29-C542)/C542</f>
        <v>5.9584946298326544E-2</v>
      </c>
      <c r="M542" s="559">
        <f>'Progetto del paramento slu'!$G$60*(sezione!$AN$29-C542)/C542</f>
        <v>0.10584724025043267</v>
      </c>
      <c r="N542" s="559">
        <f>'Progetto del paramento slu'!$G$60*(sezione!$AO$29-C542)/C542</f>
        <v>0.13949254494287347</v>
      </c>
      <c r="O542" s="559">
        <f>'Progetto del paramento slu'!$G$60*(sezione!$AP$29-C542)/C542</f>
        <v>0.10584807936109654</v>
      </c>
      <c r="P542" s="553">
        <f>-'Progetto del paramento slu'!$G$47*'Progetto del paramento slu'!$G$41*IF(DATI!$G$218="dx",DATI!$E$61,DATI!$E$64*DATI!$E$63)*1000*C542*sezione!$AD$5</f>
        <v>-117307.57786499549</v>
      </c>
      <c r="Q542" s="553">
        <f>'Foglio deposito bis'!$F$48*IF(ABS(K542)&lt;'Progetto del paramento slu'!$G$58,ABS(K542)*'Progetto del paramento slu'!$G$54,'Progetto del paramento slu'!$G$53)*IF(K542&lt;0,-1,1)</f>
        <v>0</v>
      </c>
      <c r="R542" s="553">
        <f>'Foglio deposito bis'!$F$49*IF(ABS(L542)&lt;'Progetto del paramento slu'!$G$58,ABS(L542)*'Progetto del paramento slu'!$G$54,'Progetto del paramento slu'!$G$53)*IF(L542&lt;0,-1,1)</f>
        <v>204886.47740803001</v>
      </c>
      <c r="S542" s="553">
        <f>'Foglio deposito bis'!$F$50*IF(ABS(M542)&lt;'Progetto del paramento slu'!$G$58,ABS(M542)*'Progetto del paramento slu'!$G$54,'Progetto del paramento slu'!$G$53)*IF(M542&lt;0,-1,1)</f>
        <v>0</v>
      </c>
      <c r="T542" s="553">
        <f>'Foglio deposito bis'!$F$51*IF(ABS(N542)&lt;'Progetto del paramento slu'!$G$58,ABS(N542)*'Progetto del paramento slu'!$G$54,'Progetto del paramento slu'!$G$53)*IF(N542&lt;0,-1,1)</f>
        <v>240946.49743184328</v>
      </c>
      <c r="U542" s="553">
        <f>'Foglio deposito bis'!$F$52*IF(ABS(O542)&lt;'Progetto del paramento slu'!$G$58,ABS(O542)*'Progetto del paramento slu'!$G$54,'Progetto del paramento slu'!$G$53)*IF(O542&lt;0,-1,1)</f>
        <v>240946.49743184328</v>
      </c>
      <c r="V542" s="479">
        <f t="shared" si="41"/>
        <v>569471.89440672111</v>
      </c>
      <c r="W542" s="559"/>
      <c r="X542" s="559"/>
    </row>
    <row r="543" spans="1:24" x14ac:dyDescent="0.25">
      <c r="A543" s="553">
        <f t="shared" si="42"/>
        <v>566610.73397098947</v>
      </c>
      <c r="B543" s="3">
        <f t="shared" si="43"/>
        <v>2.1000000000000005</v>
      </c>
      <c r="C543" s="553">
        <f>'Foglio deposito bis'!$E$155/sezione!$B$247*B543</f>
        <v>8.52509052643906</v>
      </c>
      <c r="D543" s="611">
        <f>-'Progetto del paramento slu'!$G$47*'Progetto del paramento slu'!$G$41*IF(DATI!$G$218="dx",DATI!$E$61,DATI!$E$64*DATI!$E$63)*1000*C543^2*sezione!$AD$5*(1-sezione!$AD$6)</f>
        <v>-598278.43351761135</v>
      </c>
      <c r="E543" s="553">
        <f>-'Foglio deposito bis'!$F$48*(C543-sezione!$AL$29)*IF(ABS(K543)&lt;'Progetto del paramento slu'!$G$58,ABS(K543)*'Progetto del paramento slu'!$G$54,'Progetto del paramento slu'!$G$53)</f>
        <v>0</v>
      </c>
      <c r="F543" s="553">
        <f>-'Foglio deposito bis'!$F$49*(C543-sezione!$AM$29)*IF(ABS(L543)&lt;'Progetto del paramento slu'!$G$58,ABS(L543)*'Progetto del paramento slu'!$G$54,'Progetto del paramento slu'!$G$53)</f>
        <v>28986295.843657833</v>
      </c>
      <c r="G543" s="553">
        <f>-'Foglio deposito bis'!$F$50*(C543-sezione!$AN$29)*IF(ABS(M543)&lt;'Progetto del paramento slu'!$G$58,ABS(M543)*'Progetto del paramento slu'!$G$54,'Progetto del paramento slu'!$G$53)</f>
        <v>0</v>
      </c>
      <c r="H543" s="553">
        <f>-'Foglio deposito bis'!$F$51*(C543-sezione!$AO$29)*IF(ABS(N543)&lt;'Progetto del paramento slu'!$G$58,ABS(N543)*'Progetto del paramento slu'!$G$54,'Progetto del paramento slu'!$G$53)</f>
        <v>79867718.424191833</v>
      </c>
      <c r="I543" s="479">
        <f>-'Foglio deposito bis'!$F$52*(C543-sezione!$AP$29)*IF(ABS(O543)&lt;'Progetto del paramento slu'!$G$58,ABS(O543)*'Progetto del paramento slu'!$G$54,'Progetto del paramento slu'!$G$53)</f>
        <v>60592479.364242584</v>
      </c>
      <c r="J543" s="479">
        <f t="shared" si="40"/>
        <v>168848215.19857463</v>
      </c>
      <c r="K543" s="558">
        <f>'Progetto del paramento slu'!$G$60*(sezione!$AL$29-C543)/C543</f>
        <v>1.2922113004643737E-2</v>
      </c>
      <c r="L543" s="558">
        <f>'Progetto del paramento slu'!$G$60*(sezione!$AM$29-C543)/C543</f>
        <v>5.8082923767414002E-2</v>
      </c>
      <c r="M543" s="559">
        <f>'Progetto del paramento slu'!$G$60*(sezione!$AN$29-C543)/C543</f>
        <v>0.10324373453018429</v>
      </c>
      <c r="N543" s="559">
        <f>'Progetto del paramento slu'!$G$60*(sezione!$AO$29-C543)/C543</f>
        <v>0.13608796053947175</v>
      </c>
      <c r="O543" s="559">
        <f>'Progetto del paramento slu'!$G$60*(sezione!$AP$29-C543)/C543</f>
        <v>0.10324455366202281</v>
      </c>
      <c r="P543" s="553">
        <f>-'Progetto del paramento slu'!$G$47*'Progetto del paramento slu'!$G$41*IF(DATI!$G$218="dx",DATI!$E$61,DATI!$E$64*DATI!$E$63)*1000*C543*sezione!$AD$5</f>
        <v>-120168.73830072708</v>
      </c>
      <c r="Q543" s="553">
        <f>'Foglio deposito bis'!$F$48*IF(ABS(K543)&lt;'Progetto del paramento slu'!$G$58,ABS(K543)*'Progetto del paramento slu'!$G$54,'Progetto del paramento slu'!$G$53)*IF(K543&lt;0,-1,1)</f>
        <v>0</v>
      </c>
      <c r="R543" s="553">
        <f>'Foglio deposito bis'!$F$49*IF(ABS(L543)&lt;'Progetto del paramento slu'!$G$58,ABS(L543)*'Progetto del paramento slu'!$G$54,'Progetto del paramento slu'!$G$53)*IF(L543&lt;0,-1,1)</f>
        <v>204886.47740803001</v>
      </c>
      <c r="S543" s="553">
        <f>'Foglio deposito bis'!$F$50*IF(ABS(M543)&lt;'Progetto del paramento slu'!$G$58,ABS(M543)*'Progetto del paramento slu'!$G$54,'Progetto del paramento slu'!$G$53)*IF(M543&lt;0,-1,1)</f>
        <v>0</v>
      </c>
      <c r="T543" s="553">
        <f>'Foglio deposito bis'!$F$51*IF(ABS(N543)&lt;'Progetto del paramento slu'!$G$58,ABS(N543)*'Progetto del paramento slu'!$G$54,'Progetto del paramento slu'!$G$53)*IF(N543&lt;0,-1,1)</f>
        <v>240946.49743184328</v>
      </c>
      <c r="U543" s="553">
        <f>'Foglio deposito bis'!$F$52*IF(ABS(O543)&lt;'Progetto del paramento slu'!$G$58,ABS(O543)*'Progetto del paramento slu'!$G$54,'Progetto del paramento slu'!$G$53)*IF(O543&lt;0,-1,1)</f>
        <v>240946.49743184328</v>
      </c>
      <c r="V543" s="479">
        <f t="shared" si="41"/>
        <v>566610.73397098947</v>
      </c>
      <c r="W543" s="559"/>
      <c r="X543" s="559"/>
    </row>
    <row r="544" spans="1:24" x14ac:dyDescent="0.25">
      <c r="A544" s="553">
        <f t="shared" si="42"/>
        <v>563749.57353525795</v>
      </c>
      <c r="B544" s="3">
        <f t="shared" si="43"/>
        <v>2.1500000000000004</v>
      </c>
      <c r="C544" s="553">
        <f>'Foglio deposito bis'!$E$155/sezione!$B$247*B544</f>
        <v>8.7280688723066557</v>
      </c>
      <c r="D544" s="611">
        <f>-'Progetto del paramento slu'!$G$47*'Progetto del paramento slu'!$G$41*IF(DATI!$G$218="dx",DATI!$E$61,DATI!$E$64*DATI!$E$63)*1000*C544^2*sezione!$AD$5*(1-sezione!$AD$6)</f>
        <v>-627107.04284243938</v>
      </c>
      <c r="E544" s="553">
        <f>-'Foglio deposito bis'!$F$48*(C544-sezione!$AL$29)*IF(ABS(K544)&lt;'Progetto del paramento slu'!$G$58,ABS(K544)*'Progetto del paramento slu'!$G$54,'Progetto del paramento slu'!$G$53)</f>
        <v>0</v>
      </c>
      <c r="F544" s="553">
        <f>-'Foglio deposito bis'!$F$49*(C544-sezione!$AM$29)*IF(ABS(L544)&lt;'Progetto del paramento slu'!$G$58,ABS(L544)*'Progetto del paramento slu'!$G$54,'Progetto del paramento slu'!$G$53)</f>
        <v>28944708.325382911</v>
      </c>
      <c r="G544" s="553">
        <f>-'Foglio deposito bis'!$F$50*(C544-sezione!$AN$29)*IF(ABS(M544)&lt;'Progetto del paramento slu'!$G$58,ABS(M544)*'Progetto del paramento slu'!$G$54,'Progetto del paramento slu'!$G$53)</f>
        <v>0</v>
      </c>
      <c r="H544" s="553">
        <f>-'Foglio deposito bis'!$F$51*(C544-sezione!$AO$29)*IF(ABS(N544)&lt;'Progetto del paramento slu'!$G$58,ABS(N544)*'Progetto del paramento slu'!$G$54,'Progetto del paramento slu'!$G$53)</f>
        <v>79818811.502700523</v>
      </c>
      <c r="I544" s="479">
        <f>-'Foglio deposito bis'!$F$52*(C544-sezione!$AP$29)*IF(ABS(O544)&lt;'Progetto del paramento slu'!$G$58,ABS(O544)*'Progetto del paramento slu'!$G$54,'Progetto del paramento slu'!$G$53)</f>
        <v>60543572.442751281</v>
      </c>
      <c r="J544" s="479">
        <f t="shared" si="40"/>
        <v>168679985.22799227</v>
      </c>
      <c r="K544" s="558">
        <f>'Progetto del paramento slu'!$G$60*(sezione!$AL$29-C544)/C544</f>
        <v>1.254020339988458E-2</v>
      </c>
      <c r="L544" s="558">
        <f>'Progetto del paramento slu'!$G$60*(sezione!$AM$29-C544)/C544</f>
        <v>5.6650762749567173E-2</v>
      </c>
      <c r="M544" s="559">
        <f>'Progetto del paramento slu'!$G$60*(sezione!$AN$29-C544)/C544</f>
        <v>0.10076132209924978</v>
      </c>
      <c r="N544" s="559">
        <f>'Progetto del paramento slu'!$G$60*(sezione!$AO$29-C544)/C544</f>
        <v>0.13284172889901893</v>
      </c>
      <c r="O544" s="559">
        <f>'Progetto del paramento slu'!$G$60*(sezione!$AP$29-C544)/C544</f>
        <v>0.10076212218151068</v>
      </c>
      <c r="P544" s="553">
        <f>-'Progetto del paramento slu'!$G$47*'Progetto del paramento slu'!$G$41*IF(DATI!$G$218="dx",DATI!$E$61,DATI!$E$64*DATI!$E$63)*1000*C544*sezione!$AD$5</f>
        <v>-123029.89873645865</v>
      </c>
      <c r="Q544" s="553">
        <f>'Foglio deposito bis'!$F$48*IF(ABS(K544)&lt;'Progetto del paramento slu'!$G$58,ABS(K544)*'Progetto del paramento slu'!$G$54,'Progetto del paramento slu'!$G$53)*IF(K544&lt;0,-1,1)</f>
        <v>0</v>
      </c>
      <c r="R544" s="553">
        <f>'Foglio deposito bis'!$F$49*IF(ABS(L544)&lt;'Progetto del paramento slu'!$G$58,ABS(L544)*'Progetto del paramento slu'!$G$54,'Progetto del paramento slu'!$G$53)*IF(L544&lt;0,-1,1)</f>
        <v>204886.47740803001</v>
      </c>
      <c r="S544" s="553">
        <f>'Foglio deposito bis'!$F$50*IF(ABS(M544)&lt;'Progetto del paramento slu'!$G$58,ABS(M544)*'Progetto del paramento slu'!$G$54,'Progetto del paramento slu'!$G$53)*IF(M544&lt;0,-1,1)</f>
        <v>0</v>
      </c>
      <c r="T544" s="553">
        <f>'Foglio deposito bis'!$F$51*IF(ABS(N544)&lt;'Progetto del paramento slu'!$G$58,ABS(N544)*'Progetto del paramento slu'!$G$54,'Progetto del paramento slu'!$G$53)*IF(N544&lt;0,-1,1)</f>
        <v>240946.49743184328</v>
      </c>
      <c r="U544" s="553">
        <f>'Foglio deposito bis'!$F$52*IF(ABS(O544)&lt;'Progetto del paramento slu'!$G$58,ABS(O544)*'Progetto del paramento slu'!$G$54,'Progetto del paramento slu'!$G$53)*IF(O544&lt;0,-1,1)</f>
        <v>240946.49743184328</v>
      </c>
      <c r="V544" s="479">
        <f t="shared" si="41"/>
        <v>563749.57353525795</v>
      </c>
      <c r="W544" s="559"/>
      <c r="X544" s="559"/>
    </row>
    <row r="545" spans="1:24" x14ac:dyDescent="0.25">
      <c r="A545" s="553">
        <f t="shared" si="42"/>
        <v>560888.41309952631</v>
      </c>
      <c r="B545" s="3">
        <f t="shared" si="43"/>
        <v>2.2000000000000002</v>
      </c>
      <c r="C545" s="553">
        <f>'Foglio deposito bis'!$E$155/sezione!$B$247*B545</f>
        <v>8.9310472181742515</v>
      </c>
      <c r="D545" s="611">
        <f>-'Progetto del paramento slu'!$G$47*'Progetto del paramento slu'!$G$41*IF(DATI!$G$218="dx",DATI!$E$61,DATI!$E$64*DATI!$E$63)*1000*C545^2*sezione!$AD$5*(1-sezione!$AD$6)</f>
        <v>-656613.97238667519</v>
      </c>
      <c r="E545" s="553">
        <f>-'Foglio deposito bis'!$F$48*(C545-sezione!$AL$29)*IF(ABS(K545)&lt;'Progetto del paramento slu'!$G$58,ABS(K545)*'Progetto del paramento slu'!$G$54,'Progetto del paramento slu'!$G$53)</f>
        <v>0</v>
      </c>
      <c r="F545" s="553">
        <f>-'Foglio deposito bis'!$F$49*(C545-sezione!$AM$29)*IF(ABS(L545)&lt;'Progetto del paramento slu'!$G$58,ABS(L545)*'Progetto del paramento slu'!$G$54,'Progetto del paramento slu'!$G$53)</f>
        <v>28903120.807107992</v>
      </c>
      <c r="G545" s="553">
        <f>-'Foglio deposito bis'!$F$50*(C545-sezione!$AN$29)*IF(ABS(M545)&lt;'Progetto del paramento slu'!$G$58,ABS(M545)*'Progetto del paramento slu'!$G$54,'Progetto del paramento slu'!$G$53)</f>
        <v>0</v>
      </c>
      <c r="H545" s="553">
        <f>-'Foglio deposito bis'!$F$51*(C545-sezione!$AO$29)*IF(ABS(N545)&lt;'Progetto del paramento slu'!$G$58,ABS(N545)*'Progetto del paramento slu'!$G$54,'Progetto del paramento slu'!$G$53)</f>
        <v>79769904.581209227</v>
      </c>
      <c r="I545" s="479">
        <f>-'Foglio deposito bis'!$F$52*(C545-sezione!$AP$29)*IF(ABS(O545)&lt;'Progetto del paramento slu'!$G$58,ABS(O545)*'Progetto del paramento slu'!$G$54,'Progetto del paramento slu'!$G$53)</f>
        <v>60494665.521259986</v>
      </c>
      <c r="J545" s="479">
        <f t="shared" si="40"/>
        <v>168511076.93719053</v>
      </c>
      <c r="K545" s="558">
        <f>'Progetto del paramento slu'!$G$60*(sezione!$AL$29-C545)/C545</f>
        <v>1.2175653322614478E-2</v>
      </c>
      <c r="L545" s="558">
        <f>'Progetto del paramento slu'!$G$60*(sezione!$AM$29-C545)/C545</f>
        <v>5.528369995980429E-2</v>
      </c>
      <c r="M545" s="559">
        <f>'Progetto del paramento slu'!$G$60*(sezione!$AN$29-C545)/C545</f>
        <v>9.8391746596994109E-2</v>
      </c>
      <c r="N545" s="559">
        <f>'Progetto del paramento slu'!$G$60*(sezione!$AO$29-C545)/C545</f>
        <v>0.12974305324222307</v>
      </c>
      <c r="O545" s="559">
        <f>'Progetto del paramento slu'!$G$60*(sezione!$AP$29-C545)/C545</f>
        <v>9.8392528495567275E-2</v>
      </c>
      <c r="P545" s="553">
        <f>-'Progetto del paramento slu'!$G$47*'Progetto del paramento slu'!$G$41*IF(DATI!$G$218="dx",DATI!$E$61,DATI!$E$64*DATI!$E$63)*1000*C545*sezione!$AD$5</f>
        <v>-125891.05917219025</v>
      </c>
      <c r="Q545" s="553">
        <f>'Foglio deposito bis'!$F$48*IF(ABS(K545)&lt;'Progetto del paramento slu'!$G$58,ABS(K545)*'Progetto del paramento slu'!$G$54,'Progetto del paramento slu'!$G$53)*IF(K545&lt;0,-1,1)</f>
        <v>0</v>
      </c>
      <c r="R545" s="553">
        <f>'Foglio deposito bis'!$F$49*IF(ABS(L545)&lt;'Progetto del paramento slu'!$G$58,ABS(L545)*'Progetto del paramento slu'!$G$54,'Progetto del paramento slu'!$G$53)*IF(L545&lt;0,-1,1)</f>
        <v>204886.47740803001</v>
      </c>
      <c r="S545" s="553">
        <f>'Foglio deposito bis'!$F$50*IF(ABS(M545)&lt;'Progetto del paramento slu'!$G$58,ABS(M545)*'Progetto del paramento slu'!$G$54,'Progetto del paramento slu'!$G$53)*IF(M545&lt;0,-1,1)</f>
        <v>0</v>
      </c>
      <c r="T545" s="553">
        <f>'Foglio deposito bis'!$F$51*IF(ABS(N545)&lt;'Progetto del paramento slu'!$G$58,ABS(N545)*'Progetto del paramento slu'!$G$54,'Progetto del paramento slu'!$G$53)*IF(N545&lt;0,-1,1)</f>
        <v>240946.49743184328</v>
      </c>
      <c r="U545" s="553">
        <f>'Foglio deposito bis'!$F$52*IF(ABS(O545)&lt;'Progetto del paramento slu'!$G$58,ABS(O545)*'Progetto del paramento slu'!$G$54,'Progetto del paramento slu'!$G$53)*IF(O545&lt;0,-1,1)</f>
        <v>240946.49743184328</v>
      </c>
      <c r="V545" s="479">
        <f t="shared" si="41"/>
        <v>560888.41309952631</v>
      </c>
      <c r="W545" s="559"/>
      <c r="X545" s="559"/>
    </row>
    <row r="546" spans="1:24" x14ac:dyDescent="0.25">
      <c r="A546" s="553">
        <f t="shared" si="42"/>
        <v>558027.25266379479</v>
      </c>
      <c r="B546" s="3">
        <f t="shared" si="43"/>
        <v>2.25</v>
      </c>
      <c r="C546" s="553">
        <f>'Foglio deposito bis'!$E$155/sezione!$B$247*B546</f>
        <v>9.1340255640418473</v>
      </c>
      <c r="D546" s="611">
        <f>-'Progetto del paramento slu'!$G$47*'Progetto del paramento slu'!$G$41*IF(DATI!$G$218="dx",DATI!$E$61,DATI!$E$64*DATI!$E$63)*1000*C546^2*sezione!$AD$5*(1-sezione!$AD$6)</f>
        <v>-686799.22215031879</v>
      </c>
      <c r="E546" s="553">
        <f>-'Foglio deposito bis'!$F$48*(C546-sezione!$AL$29)*IF(ABS(K546)&lt;'Progetto del paramento slu'!$G$58,ABS(K546)*'Progetto del paramento slu'!$G$54,'Progetto del paramento slu'!$G$53)</f>
        <v>0</v>
      </c>
      <c r="F546" s="553">
        <f>-'Foglio deposito bis'!$F$49*(C546-sezione!$AM$29)*IF(ABS(L546)&lt;'Progetto del paramento slu'!$G$58,ABS(L546)*'Progetto del paramento slu'!$G$54,'Progetto del paramento slu'!$G$53)</f>
        <v>28861533.288833071</v>
      </c>
      <c r="G546" s="553">
        <f>-'Foglio deposito bis'!$F$50*(C546-sezione!$AN$29)*IF(ABS(M546)&lt;'Progetto del paramento slu'!$G$58,ABS(M546)*'Progetto del paramento slu'!$G$54,'Progetto del paramento slu'!$G$53)</f>
        <v>0</v>
      </c>
      <c r="H546" s="553">
        <f>-'Foglio deposito bis'!$F$51*(C546-sezione!$AO$29)*IF(ABS(N546)&lt;'Progetto del paramento slu'!$G$58,ABS(N546)*'Progetto del paramento slu'!$G$54,'Progetto del paramento slu'!$G$53)</f>
        <v>79720997.659717903</v>
      </c>
      <c r="I546" s="479">
        <f>-'Foglio deposito bis'!$F$52*(C546-sezione!$AP$29)*IF(ABS(O546)&lt;'Progetto del paramento slu'!$G$58,ABS(O546)*'Progetto del paramento slu'!$G$54,'Progetto del paramento slu'!$G$53)</f>
        <v>60445758.599768676</v>
      </c>
      <c r="J546" s="479">
        <f t="shared" si="40"/>
        <v>168341490.32616934</v>
      </c>
      <c r="K546" s="558">
        <f>'Progetto del paramento slu'!$G$60*(sezione!$AL$29-C546)/C546</f>
        <v>1.1827305471000825E-2</v>
      </c>
      <c r="L546" s="558">
        <f>'Progetto del paramento slu'!$G$60*(sezione!$AM$29-C546)/C546</f>
        <v>5.3977395516253093E-2</v>
      </c>
      <c r="M546" s="559">
        <f>'Progetto del paramento slu'!$G$60*(sezione!$AN$29-C546)/C546</f>
        <v>9.6127485561505369E-2</v>
      </c>
      <c r="N546" s="559">
        <f>'Progetto del paramento slu'!$G$60*(sezione!$AO$29-C546)/C546</f>
        <v>0.126782096503507</v>
      </c>
      <c r="O546" s="559">
        <f>'Progetto del paramento slu'!$G$60*(sezione!$AP$29-C546)/C546</f>
        <v>9.6128250084554667E-2</v>
      </c>
      <c r="P546" s="553">
        <f>-'Progetto del paramento slu'!$G$47*'Progetto del paramento slu'!$G$41*IF(DATI!$G$218="dx",DATI!$E$61,DATI!$E$64*DATI!$E$63)*1000*C546*sezione!$AD$5</f>
        <v>-128752.21960792184</v>
      </c>
      <c r="Q546" s="553">
        <f>'Foglio deposito bis'!$F$48*IF(ABS(K546)&lt;'Progetto del paramento slu'!$G$58,ABS(K546)*'Progetto del paramento slu'!$G$54,'Progetto del paramento slu'!$G$53)*IF(K546&lt;0,-1,1)</f>
        <v>0</v>
      </c>
      <c r="R546" s="553">
        <f>'Foglio deposito bis'!$F$49*IF(ABS(L546)&lt;'Progetto del paramento slu'!$G$58,ABS(L546)*'Progetto del paramento slu'!$G$54,'Progetto del paramento slu'!$G$53)*IF(L546&lt;0,-1,1)</f>
        <v>204886.47740803001</v>
      </c>
      <c r="S546" s="553">
        <f>'Foglio deposito bis'!$F$50*IF(ABS(M546)&lt;'Progetto del paramento slu'!$G$58,ABS(M546)*'Progetto del paramento slu'!$G$54,'Progetto del paramento slu'!$G$53)*IF(M546&lt;0,-1,1)</f>
        <v>0</v>
      </c>
      <c r="T546" s="553">
        <f>'Foglio deposito bis'!$F$51*IF(ABS(N546)&lt;'Progetto del paramento slu'!$G$58,ABS(N546)*'Progetto del paramento slu'!$G$54,'Progetto del paramento slu'!$G$53)*IF(N546&lt;0,-1,1)</f>
        <v>240946.49743184328</v>
      </c>
      <c r="U546" s="553">
        <f>'Foglio deposito bis'!$F$52*IF(ABS(O546)&lt;'Progetto del paramento slu'!$G$58,ABS(O546)*'Progetto del paramento slu'!$G$54,'Progetto del paramento slu'!$G$53)*IF(O546&lt;0,-1,1)</f>
        <v>240946.49743184328</v>
      </c>
      <c r="V546" s="479">
        <f t="shared" si="41"/>
        <v>558027.25266379479</v>
      </c>
      <c r="W546" s="559"/>
      <c r="X546" s="559"/>
    </row>
    <row r="547" spans="1:24" x14ac:dyDescent="0.25">
      <c r="A547" s="553">
        <f t="shared" si="42"/>
        <v>555166.09222806315</v>
      </c>
      <c r="B547" s="3">
        <f t="shared" si="43"/>
        <v>2.2999999999999998</v>
      </c>
      <c r="C547" s="553">
        <f>'Foglio deposito bis'!$E$155/sezione!$B$247*B547</f>
        <v>9.3370039099094431</v>
      </c>
      <c r="D547" s="611">
        <f>-'Progetto del paramento slu'!$G$47*'Progetto del paramento slu'!$G$41*IF(DATI!$G$218="dx",DATI!$E$61,DATI!$E$64*DATI!$E$63)*1000*C547^2*sezione!$AD$5*(1-sezione!$AD$6)</f>
        <v>-717662.79213336995</v>
      </c>
      <c r="E547" s="553">
        <f>-'Foglio deposito bis'!$F$48*(C547-sezione!$AL$29)*IF(ABS(K547)&lt;'Progetto del paramento slu'!$G$58,ABS(K547)*'Progetto del paramento slu'!$G$54,'Progetto del paramento slu'!$G$53)</f>
        <v>0</v>
      </c>
      <c r="F547" s="553">
        <f>-'Foglio deposito bis'!$F$49*(C547-sezione!$AM$29)*IF(ABS(L547)&lt;'Progetto del paramento slu'!$G$58,ABS(L547)*'Progetto del paramento slu'!$G$54,'Progetto del paramento slu'!$G$53)</f>
        <v>28819945.770558149</v>
      </c>
      <c r="G547" s="553">
        <f>-'Foglio deposito bis'!$F$50*(C547-sezione!$AN$29)*IF(ABS(M547)&lt;'Progetto del paramento slu'!$G$58,ABS(M547)*'Progetto del paramento slu'!$G$54,'Progetto del paramento slu'!$G$53)</f>
        <v>0</v>
      </c>
      <c r="H547" s="553">
        <f>-'Foglio deposito bis'!$F$51*(C547-sezione!$AO$29)*IF(ABS(N547)&lt;'Progetto del paramento slu'!$G$58,ABS(N547)*'Progetto del paramento slu'!$G$54,'Progetto del paramento slu'!$G$53)</f>
        <v>79672090.738226607</v>
      </c>
      <c r="I547" s="479">
        <f>-'Foglio deposito bis'!$F$52*(C547-sezione!$AP$29)*IF(ABS(O547)&lt;'Progetto del paramento slu'!$G$58,ABS(O547)*'Progetto del paramento slu'!$G$54,'Progetto del paramento slu'!$G$53)</f>
        <v>60396851.678277373</v>
      </c>
      <c r="J547" s="479">
        <f t="shared" si="40"/>
        <v>168171225.39492875</v>
      </c>
      <c r="K547" s="558">
        <f>'Progetto del paramento slu'!$G$60*(sezione!$AL$29-C547)/C547</f>
        <v>1.1494103178152984E-2</v>
      </c>
      <c r="L547" s="558">
        <f>'Progetto del paramento slu'!$G$60*(sezione!$AM$29-C547)/C547</f>
        <v>5.2727886918073681E-2</v>
      </c>
      <c r="M547" s="559">
        <f>'Progetto del paramento slu'!$G$60*(sezione!$AN$29-C547)/C547</f>
        <v>9.3961670657994392E-2</v>
      </c>
      <c r="N547" s="559">
        <f>'Progetto del paramento slu'!$G$60*(sezione!$AO$29-C547)/C547</f>
        <v>0.12394987701430034</v>
      </c>
      <c r="O547" s="559">
        <f>'Progetto del paramento slu'!$G$60*(sezione!$AP$29-C547)/C547</f>
        <v>9.3962418560977409E-2</v>
      </c>
      <c r="P547" s="553">
        <f>-'Progetto del paramento slu'!$G$47*'Progetto del paramento slu'!$G$41*IF(DATI!$G$218="dx",DATI!$E$61,DATI!$E$64*DATI!$E$63)*1000*C547*sezione!$AD$5</f>
        <v>-131613.38004365342</v>
      </c>
      <c r="Q547" s="553">
        <f>'Foglio deposito bis'!$F$48*IF(ABS(K547)&lt;'Progetto del paramento slu'!$G$58,ABS(K547)*'Progetto del paramento slu'!$G$54,'Progetto del paramento slu'!$G$53)*IF(K547&lt;0,-1,1)</f>
        <v>0</v>
      </c>
      <c r="R547" s="553">
        <f>'Foglio deposito bis'!$F$49*IF(ABS(L547)&lt;'Progetto del paramento slu'!$G$58,ABS(L547)*'Progetto del paramento slu'!$G$54,'Progetto del paramento slu'!$G$53)*IF(L547&lt;0,-1,1)</f>
        <v>204886.47740803001</v>
      </c>
      <c r="S547" s="553">
        <f>'Foglio deposito bis'!$F$50*IF(ABS(M547)&lt;'Progetto del paramento slu'!$G$58,ABS(M547)*'Progetto del paramento slu'!$G$54,'Progetto del paramento slu'!$G$53)*IF(M547&lt;0,-1,1)</f>
        <v>0</v>
      </c>
      <c r="T547" s="553">
        <f>'Foglio deposito bis'!$F$51*IF(ABS(N547)&lt;'Progetto del paramento slu'!$G$58,ABS(N547)*'Progetto del paramento slu'!$G$54,'Progetto del paramento slu'!$G$53)*IF(N547&lt;0,-1,1)</f>
        <v>240946.49743184328</v>
      </c>
      <c r="U547" s="553">
        <f>'Foglio deposito bis'!$F$52*IF(ABS(O547)&lt;'Progetto del paramento slu'!$G$58,ABS(O547)*'Progetto del paramento slu'!$G$54,'Progetto del paramento slu'!$G$53)*IF(O547&lt;0,-1,1)</f>
        <v>240946.49743184328</v>
      </c>
      <c r="V547" s="479">
        <f t="shared" si="41"/>
        <v>555166.09222806315</v>
      </c>
      <c r="W547" s="559"/>
      <c r="X547" s="559"/>
    </row>
    <row r="548" spans="1:24" x14ac:dyDescent="0.25">
      <c r="A548" s="553">
        <f t="shared" si="42"/>
        <v>552304.93179233151</v>
      </c>
      <c r="B548" s="3">
        <f t="shared" si="43"/>
        <v>2.3499999999999996</v>
      </c>
      <c r="C548" s="553">
        <f>'Foglio deposito bis'!$E$155/sezione!$B$247*B548</f>
        <v>9.5399822557770406</v>
      </c>
      <c r="D548" s="611">
        <f>-'Progetto del paramento slu'!$G$47*'Progetto del paramento slu'!$G$41*IF(DATI!$G$218="dx",DATI!$E$61,DATI!$E$64*DATI!$E$63)*1000*C548^2*sezione!$AD$5*(1-sezione!$AD$6)</f>
        <v>-749204.68233582925</v>
      </c>
      <c r="E548" s="553">
        <f>-'Foglio deposito bis'!$F$48*(C548-sezione!$AL$29)*IF(ABS(K548)&lt;'Progetto del paramento slu'!$G$58,ABS(K548)*'Progetto del paramento slu'!$G$54,'Progetto del paramento slu'!$G$53)</f>
        <v>0</v>
      </c>
      <c r="F548" s="553">
        <f>-'Foglio deposito bis'!$F$49*(C548-sezione!$AM$29)*IF(ABS(L548)&lt;'Progetto del paramento slu'!$G$58,ABS(L548)*'Progetto del paramento slu'!$G$54,'Progetto del paramento slu'!$G$53)</f>
        <v>28778358.252283234</v>
      </c>
      <c r="G548" s="553">
        <f>-'Foglio deposito bis'!$F$50*(C548-sezione!$AN$29)*IF(ABS(M548)&lt;'Progetto del paramento slu'!$G$58,ABS(M548)*'Progetto del paramento slu'!$G$54,'Progetto del paramento slu'!$G$53)</f>
        <v>0</v>
      </c>
      <c r="H548" s="553">
        <f>-'Foglio deposito bis'!$F$51*(C548-sezione!$AO$29)*IF(ABS(N548)&lt;'Progetto del paramento slu'!$G$58,ABS(N548)*'Progetto del paramento slu'!$G$54,'Progetto del paramento slu'!$G$53)</f>
        <v>79623183.816735312</v>
      </c>
      <c r="I548" s="479">
        <f>-'Foglio deposito bis'!$F$52*(C548-sezione!$AP$29)*IF(ABS(O548)&lt;'Progetto del paramento slu'!$G$58,ABS(O548)*'Progetto del paramento slu'!$G$54,'Progetto del paramento slu'!$G$53)</f>
        <v>60347944.756786063</v>
      </c>
      <c r="J548" s="479">
        <f t="shared" si="40"/>
        <v>168000282.1434688</v>
      </c>
      <c r="K548" s="558">
        <f>'Progetto del paramento slu'!$G$60*(sezione!$AL$29-C548)/C548</f>
        <v>1.1175079706277385E-2</v>
      </c>
      <c r="L548" s="558">
        <f>'Progetto del paramento slu'!$G$60*(sezione!$AM$29-C548)/C548</f>
        <v>5.1531548898540197E-2</v>
      </c>
      <c r="M548" s="559">
        <f>'Progetto del paramento slu'!$G$60*(sezione!$AN$29-C548)/C548</f>
        <v>9.1888018090803006E-2</v>
      </c>
      <c r="N548" s="559">
        <f>'Progetto del paramento slu'!$G$60*(sezione!$AO$29-C548)/C548</f>
        <v>0.12123817750335777</v>
      </c>
      <c r="O548" s="559">
        <f>'Progetto del paramento slu'!$G$60*(sezione!$AP$29-C548)/C548</f>
        <v>9.1888750080956608E-2</v>
      </c>
      <c r="P548" s="553">
        <f>-'Progetto del paramento slu'!$G$47*'Progetto del paramento slu'!$G$41*IF(DATI!$G$218="dx",DATI!$E$61,DATI!$E$64*DATI!$E$63)*1000*C548*sezione!$AD$5</f>
        <v>-134474.54047938503</v>
      </c>
      <c r="Q548" s="553">
        <f>'Foglio deposito bis'!$F$48*IF(ABS(K548)&lt;'Progetto del paramento slu'!$G$58,ABS(K548)*'Progetto del paramento slu'!$G$54,'Progetto del paramento slu'!$G$53)*IF(K548&lt;0,-1,1)</f>
        <v>0</v>
      </c>
      <c r="R548" s="553">
        <f>'Foglio deposito bis'!$F$49*IF(ABS(L548)&lt;'Progetto del paramento slu'!$G$58,ABS(L548)*'Progetto del paramento slu'!$G$54,'Progetto del paramento slu'!$G$53)*IF(L548&lt;0,-1,1)</f>
        <v>204886.47740803001</v>
      </c>
      <c r="S548" s="553">
        <f>'Foglio deposito bis'!$F$50*IF(ABS(M548)&lt;'Progetto del paramento slu'!$G$58,ABS(M548)*'Progetto del paramento slu'!$G$54,'Progetto del paramento slu'!$G$53)*IF(M548&lt;0,-1,1)</f>
        <v>0</v>
      </c>
      <c r="T548" s="553">
        <f>'Foglio deposito bis'!$F$51*IF(ABS(N548)&lt;'Progetto del paramento slu'!$G$58,ABS(N548)*'Progetto del paramento slu'!$G$54,'Progetto del paramento slu'!$G$53)*IF(N548&lt;0,-1,1)</f>
        <v>240946.49743184328</v>
      </c>
      <c r="U548" s="553">
        <f>'Foglio deposito bis'!$F$52*IF(ABS(O548)&lt;'Progetto del paramento slu'!$G$58,ABS(O548)*'Progetto del paramento slu'!$G$54,'Progetto del paramento slu'!$G$53)*IF(O548&lt;0,-1,1)</f>
        <v>240946.49743184328</v>
      </c>
      <c r="V548" s="479">
        <f t="shared" si="41"/>
        <v>552304.93179233151</v>
      </c>
      <c r="W548" s="559"/>
      <c r="X548" s="559"/>
    </row>
    <row r="549" spans="1:24" x14ac:dyDescent="0.25">
      <c r="A549" s="553">
        <f t="shared" si="42"/>
        <v>549443.77135659999</v>
      </c>
      <c r="B549" s="3">
        <f t="shared" si="43"/>
        <v>2.3999999999999995</v>
      </c>
      <c r="C549" s="553">
        <f>'Foglio deposito bis'!$E$155/sezione!$B$247*B549</f>
        <v>9.7429606016446364</v>
      </c>
      <c r="D549" s="611">
        <f>-'Progetto del paramento slu'!$G$47*'Progetto del paramento slu'!$G$41*IF(DATI!$G$218="dx",DATI!$E$61,DATI!$E$64*DATI!$E$63)*1000*C549^2*sezione!$AD$5*(1-sezione!$AD$6)</f>
        <v>-781424.89275769587</v>
      </c>
      <c r="E549" s="553">
        <f>-'Foglio deposito bis'!$F$48*(C549-sezione!$AL$29)*IF(ABS(K549)&lt;'Progetto del paramento slu'!$G$58,ABS(K549)*'Progetto del paramento slu'!$G$54,'Progetto del paramento slu'!$G$53)</f>
        <v>0</v>
      </c>
      <c r="F549" s="553">
        <f>-'Foglio deposito bis'!$F$49*(C549-sezione!$AM$29)*IF(ABS(L549)&lt;'Progetto del paramento slu'!$G$58,ABS(L549)*'Progetto del paramento slu'!$G$54,'Progetto del paramento slu'!$G$53)</f>
        <v>28736770.734008312</v>
      </c>
      <c r="G549" s="553">
        <f>-'Foglio deposito bis'!$F$50*(C549-sezione!$AN$29)*IF(ABS(M549)&lt;'Progetto del paramento slu'!$G$58,ABS(M549)*'Progetto del paramento slu'!$G$54,'Progetto del paramento slu'!$G$53)</f>
        <v>0</v>
      </c>
      <c r="H549" s="553">
        <f>-'Foglio deposito bis'!$F$51*(C549-sezione!$AO$29)*IF(ABS(N549)&lt;'Progetto del paramento slu'!$G$58,ABS(N549)*'Progetto del paramento slu'!$G$54,'Progetto del paramento slu'!$G$53)</f>
        <v>79574276.895243987</v>
      </c>
      <c r="I549" s="479">
        <f>-'Foglio deposito bis'!$F$52*(C549-sezione!$AP$29)*IF(ABS(O549)&lt;'Progetto del paramento slu'!$G$58,ABS(O549)*'Progetto del paramento slu'!$G$54,'Progetto del paramento slu'!$G$53)</f>
        <v>60299037.835294761</v>
      </c>
      <c r="J549" s="479">
        <f t="shared" si="40"/>
        <v>167828660.57178935</v>
      </c>
      <c r="K549" s="558">
        <f>'Progetto del paramento slu'!$G$60*(sezione!$AL$29-C549)/C549</f>
        <v>1.0869348879063274E-2</v>
      </c>
      <c r="L549" s="558">
        <f>'Progetto del paramento slu'!$G$60*(sezione!$AM$29-C549)/C549</f>
        <v>5.0385058296487283E-2</v>
      </c>
      <c r="M549" s="559">
        <f>'Progetto del paramento slu'!$G$60*(sezione!$AN$29-C549)/C549</f>
        <v>8.9900767713911298E-2</v>
      </c>
      <c r="N549" s="559">
        <f>'Progetto del paramento slu'!$G$60*(sezione!$AO$29-C549)/C549</f>
        <v>0.11863946547203783</v>
      </c>
      <c r="O549" s="559">
        <f>'Progetto del paramento slu'!$G$60*(sezione!$AP$29-C549)/C549</f>
        <v>8.9901484454270014E-2</v>
      </c>
      <c r="P549" s="553">
        <f>-'Progetto del paramento slu'!$G$47*'Progetto del paramento slu'!$G$41*IF(DATI!$G$218="dx",DATI!$E$61,DATI!$E$64*DATI!$E$63)*1000*C549*sezione!$AD$5</f>
        <v>-137335.70091511661</v>
      </c>
      <c r="Q549" s="553">
        <f>'Foglio deposito bis'!$F$48*IF(ABS(K549)&lt;'Progetto del paramento slu'!$G$58,ABS(K549)*'Progetto del paramento slu'!$G$54,'Progetto del paramento slu'!$G$53)*IF(K549&lt;0,-1,1)</f>
        <v>0</v>
      </c>
      <c r="R549" s="553">
        <f>'Foglio deposito bis'!$F$49*IF(ABS(L549)&lt;'Progetto del paramento slu'!$G$58,ABS(L549)*'Progetto del paramento slu'!$G$54,'Progetto del paramento slu'!$G$53)*IF(L549&lt;0,-1,1)</f>
        <v>204886.47740803001</v>
      </c>
      <c r="S549" s="553">
        <f>'Foglio deposito bis'!$F$50*IF(ABS(M549)&lt;'Progetto del paramento slu'!$G$58,ABS(M549)*'Progetto del paramento slu'!$G$54,'Progetto del paramento slu'!$G$53)*IF(M549&lt;0,-1,1)</f>
        <v>0</v>
      </c>
      <c r="T549" s="553">
        <f>'Foglio deposito bis'!$F$51*IF(ABS(N549)&lt;'Progetto del paramento slu'!$G$58,ABS(N549)*'Progetto del paramento slu'!$G$54,'Progetto del paramento slu'!$G$53)*IF(N549&lt;0,-1,1)</f>
        <v>240946.49743184328</v>
      </c>
      <c r="U549" s="553">
        <f>'Foglio deposito bis'!$F$52*IF(ABS(O549)&lt;'Progetto del paramento slu'!$G$58,ABS(O549)*'Progetto del paramento slu'!$G$54,'Progetto del paramento slu'!$G$53)*IF(O549&lt;0,-1,1)</f>
        <v>240946.49743184328</v>
      </c>
      <c r="V549" s="479">
        <f t="shared" si="41"/>
        <v>549443.77135659999</v>
      </c>
      <c r="W549" s="559"/>
      <c r="X549" s="559"/>
    </row>
    <row r="550" spans="1:24" x14ac:dyDescent="0.25">
      <c r="A550" s="553">
        <f t="shared" si="42"/>
        <v>546582.61092086835</v>
      </c>
      <c r="B550" s="3">
        <f t="shared" si="43"/>
        <v>2.4499999999999993</v>
      </c>
      <c r="C550" s="553">
        <f>'Foglio deposito bis'!$E$155/sezione!$B$247*B550</f>
        <v>9.9459389475122322</v>
      </c>
      <c r="D550" s="611">
        <f>-'Progetto del paramento slu'!$G$47*'Progetto del paramento slu'!$G$41*IF(DATI!$G$218="dx",DATI!$E$61,DATI!$E$64*DATI!$E$63)*1000*C550^2*sezione!$AD$5*(1-sezione!$AD$6)</f>
        <v>-814323.42339897016</v>
      </c>
      <c r="E550" s="553">
        <f>-'Foglio deposito bis'!$F$48*(C550-sezione!$AL$29)*IF(ABS(K550)&lt;'Progetto del paramento slu'!$G$58,ABS(K550)*'Progetto del paramento slu'!$G$54,'Progetto del paramento slu'!$G$53)</f>
        <v>0</v>
      </c>
      <c r="F550" s="553">
        <f>-'Foglio deposito bis'!$F$49*(C550-sezione!$AM$29)*IF(ABS(L550)&lt;'Progetto del paramento slu'!$G$58,ABS(L550)*'Progetto del paramento slu'!$G$54,'Progetto del paramento slu'!$G$53)</f>
        <v>28695183.215733394</v>
      </c>
      <c r="G550" s="553">
        <f>-'Foglio deposito bis'!$F$50*(C550-sezione!$AN$29)*IF(ABS(M550)&lt;'Progetto del paramento slu'!$G$58,ABS(M550)*'Progetto del paramento slu'!$G$54,'Progetto del paramento slu'!$G$53)</f>
        <v>0</v>
      </c>
      <c r="H550" s="553">
        <f>-'Foglio deposito bis'!$F$51*(C550-sezione!$AO$29)*IF(ABS(N550)&lt;'Progetto del paramento slu'!$G$58,ABS(N550)*'Progetto del paramento slu'!$G$54,'Progetto del paramento slu'!$G$53)</f>
        <v>79525369.973752692</v>
      </c>
      <c r="I550" s="479">
        <f>-'Foglio deposito bis'!$F$52*(C550-sezione!$AP$29)*IF(ABS(O550)&lt;'Progetto del paramento slu'!$G$58,ABS(O550)*'Progetto del paramento slu'!$G$54,'Progetto del paramento slu'!$G$53)</f>
        <v>60250130.913803451</v>
      </c>
      <c r="J550" s="479">
        <f t="shared" si="40"/>
        <v>167656360.67989057</v>
      </c>
      <c r="K550" s="558">
        <f>'Progetto del paramento slu'!$G$60*(sezione!$AL$29-C550)/C550</f>
        <v>1.0576096861123209E-2</v>
      </c>
      <c r="L550" s="558">
        <f>'Progetto del paramento slu'!$G$60*(sezione!$AM$29-C550)/C550</f>
        <v>4.9285363229212044E-2</v>
      </c>
      <c r="M550" s="559">
        <f>'Progetto del paramento slu'!$G$60*(sezione!$AN$29-C550)/C550</f>
        <v>8.7994629597300866E-2</v>
      </c>
      <c r="N550" s="559">
        <f>'Progetto del paramento slu'!$G$60*(sezione!$AO$29-C550)/C550</f>
        <v>0.11614682331954727</v>
      </c>
      <c r="O550" s="559">
        <f>'Progetto del paramento slu'!$G$60*(sezione!$AP$29-C550)/C550</f>
        <v>8.7995331710305338E-2</v>
      </c>
      <c r="P550" s="553">
        <f>-'Progetto del paramento slu'!$G$47*'Progetto del paramento slu'!$G$41*IF(DATI!$G$218="dx",DATI!$E$61,DATI!$E$64*DATI!$E$63)*1000*C550*sezione!$AD$5</f>
        <v>-140196.86135084819</v>
      </c>
      <c r="Q550" s="553">
        <f>'Foglio deposito bis'!$F$48*IF(ABS(K550)&lt;'Progetto del paramento slu'!$G$58,ABS(K550)*'Progetto del paramento slu'!$G$54,'Progetto del paramento slu'!$G$53)*IF(K550&lt;0,-1,1)</f>
        <v>0</v>
      </c>
      <c r="R550" s="553">
        <f>'Foglio deposito bis'!$F$49*IF(ABS(L550)&lt;'Progetto del paramento slu'!$G$58,ABS(L550)*'Progetto del paramento slu'!$G$54,'Progetto del paramento slu'!$G$53)*IF(L550&lt;0,-1,1)</f>
        <v>204886.47740803001</v>
      </c>
      <c r="S550" s="553">
        <f>'Foglio deposito bis'!$F$50*IF(ABS(M550)&lt;'Progetto del paramento slu'!$G$58,ABS(M550)*'Progetto del paramento slu'!$G$54,'Progetto del paramento slu'!$G$53)*IF(M550&lt;0,-1,1)</f>
        <v>0</v>
      </c>
      <c r="T550" s="553">
        <f>'Foglio deposito bis'!$F$51*IF(ABS(N550)&lt;'Progetto del paramento slu'!$G$58,ABS(N550)*'Progetto del paramento slu'!$G$54,'Progetto del paramento slu'!$G$53)*IF(N550&lt;0,-1,1)</f>
        <v>240946.49743184328</v>
      </c>
      <c r="U550" s="553">
        <f>'Foglio deposito bis'!$F$52*IF(ABS(O550)&lt;'Progetto del paramento slu'!$G$58,ABS(O550)*'Progetto del paramento slu'!$G$54,'Progetto del paramento slu'!$G$53)*IF(O550&lt;0,-1,1)</f>
        <v>240946.49743184328</v>
      </c>
      <c r="V550" s="479">
        <f t="shared" si="41"/>
        <v>546582.61092086835</v>
      </c>
      <c r="W550" s="559"/>
      <c r="X550" s="559"/>
    </row>
    <row r="551" spans="1:24" x14ac:dyDescent="0.25">
      <c r="A551" s="553">
        <f t="shared" si="42"/>
        <v>543721.45048513683</v>
      </c>
      <c r="B551" s="3">
        <f t="shared" si="43"/>
        <v>2.4999999999999991</v>
      </c>
      <c r="C551" s="553">
        <f>'Foglio deposito bis'!$E$155/sezione!$B$247*B551</f>
        <v>10.148917293379828</v>
      </c>
      <c r="D551" s="611">
        <f>-'Progetto del paramento slu'!$G$47*'Progetto del paramento slu'!$G$41*IF(DATI!$G$218="dx",DATI!$E$61,DATI!$E$64*DATI!$E$63)*1000*C551^2*sezione!$AD$5*(1-sezione!$AD$6)</f>
        <v>-847900.27425965248</v>
      </c>
      <c r="E551" s="553">
        <f>-'Foglio deposito bis'!$F$48*(C551-sezione!$AL$29)*IF(ABS(K551)&lt;'Progetto del paramento slu'!$G$58,ABS(K551)*'Progetto del paramento slu'!$G$54,'Progetto del paramento slu'!$G$53)</f>
        <v>0</v>
      </c>
      <c r="F551" s="553">
        <f>-'Foglio deposito bis'!$F$49*(C551-sezione!$AM$29)*IF(ABS(L551)&lt;'Progetto del paramento slu'!$G$58,ABS(L551)*'Progetto del paramento slu'!$G$54,'Progetto del paramento slu'!$G$53)</f>
        <v>28653595.697458468</v>
      </c>
      <c r="G551" s="553">
        <f>-'Foglio deposito bis'!$F$50*(C551-sezione!$AN$29)*IF(ABS(M551)&lt;'Progetto del paramento slu'!$G$58,ABS(M551)*'Progetto del paramento slu'!$G$54,'Progetto del paramento slu'!$G$53)</f>
        <v>0</v>
      </c>
      <c r="H551" s="553">
        <f>-'Foglio deposito bis'!$F$51*(C551-sezione!$AO$29)*IF(ABS(N551)&lt;'Progetto del paramento slu'!$G$58,ABS(N551)*'Progetto del paramento slu'!$G$54,'Progetto del paramento slu'!$G$53)</f>
        <v>79476463.052261367</v>
      </c>
      <c r="I551" s="479">
        <f>-'Foglio deposito bis'!$F$52*(C551-sezione!$AP$29)*IF(ABS(O551)&lt;'Progetto del paramento slu'!$G$58,ABS(O551)*'Progetto del paramento slu'!$G$54,'Progetto del paramento slu'!$G$53)</f>
        <v>60201223.992312133</v>
      </c>
      <c r="J551" s="479">
        <f t="shared" si="40"/>
        <v>167483382.46777231</v>
      </c>
      <c r="K551" s="558">
        <f>'Progetto del paramento slu'!$G$60*(sezione!$AL$29-C551)/C551</f>
        <v>1.0294574923900745E-2</v>
      </c>
      <c r="L551" s="558">
        <f>'Progetto del paramento slu'!$G$60*(sezione!$AM$29-C551)/C551</f>
        <v>4.8229655964627791E-2</v>
      </c>
      <c r="M551" s="559">
        <f>'Progetto del paramento slu'!$G$60*(sezione!$AN$29-C551)/C551</f>
        <v>8.6164737005354847E-2</v>
      </c>
      <c r="N551" s="559">
        <f>'Progetto del paramento slu'!$G$60*(sezione!$AO$29-C551)/C551</f>
        <v>0.11375388685315632</v>
      </c>
      <c r="O551" s="559">
        <f>'Progetto del paramento slu'!$G$60*(sezione!$AP$29-C551)/C551</f>
        <v>8.6165425076099228E-2</v>
      </c>
      <c r="P551" s="553">
        <f>-'Progetto del paramento slu'!$G$47*'Progetto del paramento slu'!$G$41*IF(DATI!$G$218="dx",DATI!$E$61,DATI!$E$64*DATI!$E$63)*1000*C551*sezione!$AD$5</f>
        <v>-143058.02178657977</v>
      </c>
      <c r="Q551" s="553">
        <f>'Foglio deposito bis'!$F$48*IF(ABS(K551)&lt;'Progetto del paramento slu'!$G$58,ABS(K551)*'Progetto del paramento slu'!$G$54,'Progetto del paramento slu'!$G$53)*IF(K551&lt;0,-1,1)</f>
        <v>0</v>
      </c>
      <c r="R551" s="553">
        <f>'Foglio deposito bis'!$F$49*IF(ABS(L551)&lt;'Progetto del paramento slu'!$G$58,ABS(L551)*'Progetto del paramento slu'!$G$54,'Progetto del paramento slu'!$G$53)*IF(L551&lt;0,-1,1)</f>
        <v>204886.47740803001</v>
      </c>
      <c r="S551" s="553">
        <f>'Foglio deposito bis'!$F$50*IF(ABS(M551)&lt;'Progetto del paramento slu'!$G$58,ABS(M551)*'Progetto del paramento slu'!$G$54,'Progetto del paramento slu'!$G$53)*IF(M551&lt;0,-1,1)</f>
        <v>0</v>
      </c>
      <c r="T551" s="553">
        <f>'Foglio deposito bis'!$F$51*IF(ABS(N551)&lt;'Progetto del paramento slu'!$G$58,ABS(N551)*'Progetto del paramento slu'!$G$54,'Progetto del paramento slu'!$G$53)*IF(N551&lt;0,-1,1)</f>
        <v>240946.49743184328</v>
      </c>
      <c r="U551" s="553">
        <f>'Foglio deposito bis'!$F$52*IF(ABS(O551)&lt;'Progetto del paramento slu'!$G$58,ABS(O551)*'Progetto del paramento slu'!$G$54,'Progetto del paramento slu'!$G$53)*IF(O551&lt;0,-1,1)</f>
        <v>240946.49743184328</v>
      </c>
      <c r="V551" s="479">
        <f t="shared" si="41"/>
        <v>543721.45048513683</v>
      </c>
      <c r="W551" s="559"/>
      <c r="X551" s="559"/>
    </row>
    <row r="552" spans="1:24" x14ac:dyDescent="0.25">
      <c r="A552" s="553">
        <f t="shared" si="42"/>
        <v>540860.29004940519</v>
      </c>
      <c r="B552" s="3">
        <f t="shared" si="43"/>
        <v>2.5499999999999989</v>
      </c>
      <c r="C552" s="553">
        <f>'Foglio deposito bis'!$E$155/sezione!$B$247*B552</f>
        <v>10.351895639247424</v>
      </c>
      <c r="D552" s="611">
        <f>-'Progetto del paramento slu'!$G$47*'Progetto del paramento slu'!$G$41*IF(DATI!$G$218="dx",DATI!$E$61,DATI!$E$64*DATI!$E$63)*1000*C552^2*sezione!$AD$5*(1-sezione!$AD$6)</f>
        <v>-882155.445339742</v>
      </c>
      <c r="E552" s="553">
        <f>-'Foglio deposito bis'!$F$48*(C552-sezione!$AL$29)*IF(ABS(K552)&lt;'Progetto del paramento slu'!$G$58,ABS(K552)*'Progetto del paramento slu'!$G$54,'Progetto del paramento slu'!$G$53)</f>
        <v>0</v>
      </c>
      <c r="F552" s="553">
        <f>-'Foglio deposito bis'!$F$49*(C552-sezione!$AM$29)*IF(ABS(L552)&lt;'Progetto del paramento slu'!$G$58,ABS(L552)*'Progetto del paramento slu'!$G$54,'Progetto del paramento slu'!$G$53)</f>
        <v>28612008.179183546</v>
      </c>
      <c r="G552" s="553">
        <f>-'Foglio deposito bis'!$F$50*(C552-sezione!$AN$29)*IF(ABS(M552)&lt;'Progetto del paramento slu'!$G$58,ABS(M552)*'Progetto del paramento slu'!$G$54,'Progetto del paramento slu'!$G$53)</f>
        <v>0</v>
      </c>
      <c r="H552" s="553">
        <f>-'Foglio deposito bis'!$F$51*(C552-sezione!$AO$29)*IF(ABS(N552)&lt;'Progetto del paramento slu'!$G$58,ABS(N552)*'Progetto del paramento slu'!$G$54,'Progetto del paramento slu'!$G$53)</f>
        <v>79427556.130770072</v>
      </c>
      <c r="I552" s="479">
        <f>-'Foglio deposito bis'!$F$52*(C552-sezione!$AP$29)*IF(ABS(O552)&lt;'Progetto del paramento slu'!$G$58,ABS(O552)*'Progetto del paramento slu'!$G$54,'Progetto del paramento slu'!$G$53)</f>
        <v>60152317.070820831</v>
      </c>
      <c r="J552" s="479">
        <f t="shared" si="40"/>
        <v>167309725.9354347</v>
      </c>
      <c r="K552" s="558">
        <f>'Progetto del paramento slu'!$G$60*(sezione!$AL$29-C552)/C552</f>
        <v>1.0024093062647791E-2</v>
      </c>
      <c r="L552" s="558">
        <f>'Progetto del paramento slu'!$G$60*(sezione!$AM$29-C552)/C552</f>
        <v>4.7215348984929212E-2</v>
      </c>
      <c r="M552" s="559">
        <f>'Progetto del paramento slu'!$G$60*(sezione!$AN$29-C552)/C552</f>
        <v>8.4406604907210636E-2</v>
      </c>
      <c r="N552" s="559">
        <f>'Progetto del paramento slu'!$G$60*(sezione!$AO$29-C552)/C552</f>
        <v>0.11145479103250622</v>
      </c>
      <c r="O552" s="559">
        <f>'Progetto del paramento slu'!$G$60*(sezione!$AP$29-C552)/C552</f>
        <v>8.4407279486371792E-2</v>
      </c>
      <c r="P552" s="553">
        <f>-'Progetto del paramento slu'!$G$47*'Progetto del paramento slu'!$G$41*IF(DATI!$G$218="dx",DATI!$E$61,DATI!$E$64*DATI!$E$63)*1000*C552*sezione!$AD$5</f>
        <v>-145919.18222231136</v>
      </c>
      <c r="Q552" s="553">
        <f>'Foglio deposito bis'!$F$48*IF(ABS(K552)&lt;'Progetto del paramento slu'!$G$58,ABS(K552)*'Progetto del paramento slu'!$G$54,'Progetto del paramento slu'!$G$53)*IF(K552&lt;0,-1,1)</f>
        <v>0</v>
      </c>
      <c r="R552" s="553">
        <f>'Foglio deposito bis'!$F$49*IF(ABS(L552)&lt;'Progetto del paramento slu'!$G$58,ABS(L552)*'Progetto del paramento slu'!$G$54,'Progetto del paramento slu'!$G$53)*IF(L552&lt;0,-1,1)</f>
        <v>204886.47740803001</v>
      </c>
      <c r="S552" s="553">
        <f>'Foglio deposito bis'!$F$50*IF(ABS(M552)&lt;'Progetto del paramento slu'!$G$58,ABS(M552)*'Progetto del paramento slu'!$G$54,'Progetto del paramento slu'!$G$53)*IF(M552&lt;0,-1,1)</f>
        <v>0</v>
      </c>
      <c r="T552" s="553">
        <f>'Foglio deposito bis'!$F$51*IF(ABS(N552)&lt;'Progetto del paramento slu'!$G$58,ABS(N552)*'Progetto del paramento slu'!$G$54,'Progetto del paramento slu'!$G$53)*IF(N552&lt;0,-1,1)</f>
        <v>240946.49743184328</v>
      </c>
      <c r="U552" s="553">
        <f>'Foglio deposito bis'!$F$52*IF(ABS(O552)&lt;'Progetto del paramento slu'!$G$58,ABS(O552)*'Progetto del paramento slu'!$G$54,'Progetto del paramento slu'!$G$53)*IF(O552&lt;0,-1,1)</f>
        <v>240946.49743184328</v>
      </c>
      <c r="V552" s="479">
        <f t="shared" si="41"/>
        <v>540860.29004940519</v>
      </c>
      <c r="W552" s="559"/>
      <c r="X552" s="559"/>
    </row>
    <row r="553" spans="1:24" x14ac:dyDescent="0.25">
      <c r="A553" s="553">
        <f t="shared" si="42"/>
        <v>537999.12961367366</v>
      </c>
      <c r="B553" s="3">
        <f t="shared" si="43"/>
        <v>2.5999999999999988</v>
      </c>
      <c r="C553" s="553">
        <f>'Foglio deposito bis'!$E$155/sezione!$B$247*B553</f>
        <v>10.55487398511502</v>
      </c>
      <c r="D553" s="611">
        <f>-'Progetto del paramento slu'!$G$47*'Progetto del paramento slu'!$G$41*IF(DATI!$G$218="dx",DATI!$E$61,DATI!$E$64*DATI!$E$63)*1000*C553^2*sezione!$AD$5*(1-sezione!$AD$6)</f>
        <v>-917088.93663923966</v>
      </c>
      <c r="E553" s="553">
        <f>-'Foglio deposito bis'!$F$48*(C553-sezione!$AL$29)*IF(ABS(K553)&lt;'Progetto del paramento slu'!$G$58,ABS(K553)*'Progetto del paramento slu'!$G$54,'Progetto del paramento slu'!$G$53)</f>
        <v>0</v>
      </c>
      <c r="F553" s="553">
        <f>-'Foglio deposito bis'!$F$49*(C553-sezione!$AM$29)*IF(ABS(L553)&lt;'Progetto del paramento slu'!$G$58,ABS(L553)*'Progetto del paramento slu'!$G$54,'Progetto del paramento slu'!$G$53)</f>
        <v>28570420.660908632</v>
      </c>
      <c r="G553" s="553">
        <f>-'Foglio deposito bis'!$F$50*(C553-sezione!$AN$29)*IF(ABS(M553)&lt;'Progetto del paramento slu'!$G$58,ABS(M553)*'Progetto del paramento slu'!$G$54,'Progetto del paramento slu'!$G$53)</f>
        <v>0</v>
      </c>
      <c r="H553" s="553">
        <f>-'Foglio deposito bis'!$F$51*(C553-sezione!$AO$29)*IF(ABS(N553)&lt;'Progetto del paramento slu'!$G$58,ABS(N553)*'Progetto del paramento slu'!$G$54,'Progetto del paramento slu'!$G$53)</f>
        <v>79378649.209278762</v>
      </c>
      <c r="I553" s="479">
        <f>-'Foglio deposito bis'!$F$52*(C553-sezione!$AP$29)*IF(ABS(O553)&lt;'Progetto del paramento slu'!$G$58,ABS(O553)*'Progetto del paramento slu'!$G$54,'Progetto del paramento slu'!$G$53)</f>
        <v>60103410.149329536</v>
      </c>
      <c r="J553" s="479">
        <f t="shared" si="40"/>
        <v>167135391.0828777</v>
      </c>
      <c r="K553" s="558">
        <f>'Progetto del paramento slu'!$G$60*(sezione!$AL$29-C553)/C553</f>
        <v>9.7640143499045651E-3</v>
      </c>
      <c r="L553" s="558">
        <f>'Progetto del paramento slu'!$G$60*(sezione!$AM$29-C553)/C553</f>
        <v>4.6240053812142121E-2</v>
      </c>
      <c r="M553" s="559">
        <f>'Progetto del paramento slu'!$G$60*(sezione!$AN$29-C553)/C553</f>
        <v>8.2716093274379676E-2</v>
      </c>
      <c r="N553" s="559">
        <f>'Progetto del paramento slu'!$G$60*(sezione!$AO$29-C553)/C553</f>
        <v>0.1092441219741888</v>
      </c>
      <c r="O553" s="559">
        <f>'Progetto del paramento slu'!$G$60*(sezione!$AP$29-C553)/C553</f>
        <v>8.2716754880864649E-2</v>
      </c>
      <c r="P553" s="553">
        <f>-'Progetto del paramento slu'!$G$47*'Progetto del paramento slu'!$G$41*IF(DATI!$G$218="dx",DATI!$E$61,DATI!$E$64*DATI!$E$63)*1000*C553*sezione!$AD$5</f>
        <v>-148780.34265804294</v>
      </c>
      <c r="Q553" s="553">
        <f>'Foglio deposito bis'!$F$48*IF(ABS(K553)&lt;'Progetto del paramento slu'!$G$58,ABS(K553)*'Progetto del paramento slu'!$G$54,'Progetto del paramento slu'!$G$53)*IF(K553&lt;0,-1,1)</f>
        <v>0</v>
      </c>
      <c r="R553" s="553">
        <f>'Foglio deposito bis'!$F$49*IF(ABS(L553)&lt;'Progetto del paramento slu'!$G$58,ABS(L553)*'Progetto del paramento slu'!$G$54,'Progetto del paramento slu'!$G$53)*IF(L553&lt;0,-1,1)</f>
        <v>204886.47740803001</v>
      </c>
      <c r="S553" s="553">
        <f>'Foglio deposito bis'!$F$50*IF(ABS(M553)&lt;'Progetto del paramento slu'!$G$58,ABS(M553)*'Progetto del paramento slu'!$G$54,'Progetto del paramento slu'!$G$53)*IF(M553&lt;0,-1,1)</f>
        <v>0</v>
      </c>
      <c r="T553" s="553">
        <f>'Foglio deposito bis'!$F$51*IF(ABS(N553)&lt;'Progetto del paramento slu'!$G$58,ABS(N553)*'Progetto del paramento slu'!$G$54,'Progetto del paramento slu'!$G$53)*IF(N553&lt;0,-1,1)</f>
        <v>240946.49743184328</v>
      </c>
      <c r="U553" s="553">
        <f>'Foglio deposito bis'!$F$52*IF(ABS(O553)&lt;'Progetto del paramento slu'!$G$58,ABS(O553)*'Progetto del paramento slu'!$G$54,'Progetto del paramento slu'!$G$53)*IF(O553&lt;0,-1,1)</f>
        <v>240946.49743184328</v>
      </c>
      <c r="V553" s="479">
        <f t="shared" si="41"/>
        <v>537999.12961367366</v>
      </c>
      <c r="W553" s="559"/>
      <c r="X553" s="559"/>
    </row>
    <row r="554" spans="1:24" x14ac:dyDescent="0.25">
      <c r="A554" s="553">
        <f t="shared" si="42"/>
        <v>535137.96917794202</v>
      </c>
      <c r="B554" s="3">
        <f t="shared" si="43"/>
        <v>2.6499999999999986</v>
      </c>
      <c r="C554" s="553">
        <f>'Foglio deposito bis'!$E$155/sezione!$B$247*B554</f>
        <v>10.757852330982615</v>
      </c>
      <c r="D554" s="611">
        <f>-'Progetto del paramento slu'!$G$47*'Progetto del paramento slu'!$G$41*IF(DATI!$G$218="dx",DATI!$E$61,DATI!$E$64*DATI!$E$63)*1000*C554^2*sezione!$AD$5*(1-sezione!$AD$6)</f>
        <v>-952700.74815814488</v>
      </c>
      <c r="E554" s="553">
        <f>-'Foglio deposito bis'!$F$48*(C554-sezione!$AL$29)*IF(ABS(K554)&lt;'Progetto del paramento slu'!$G$58,ABS(K554)*'Progetto del paramento slu'!$G$54,'Progetto del paramento slu'!$G$53)</f>
        <v>0</v>
      </c>
      <c r="F554" s="553">
        <f>-'Foglio deposito bis'!$F$49*(C554-sezione!$AM$29)*IF(ABS(L554)&lt;'Progetto del paramento slu'!$G$58,ABS(L554)*'Progetto del paramento slu'!$G$54,'Progetto del paramento slu'!$G$53)</f>
        <v>28528833.14263371</v>
      </c>
      <c r="G554" s="553">
        <f>-'Foglio deposito bis'!$F$50*(C554-sezione!$AN$29)*IF(ABS(M554)&lt;'Progetto del paramento slu'!$G$58,ABS(M554)*'Progetto del paramento slu'!$G$54,'Progetto del paramento slu'!$G$53)</f>
        <v>0</v>
      </c>
      <c r="H554" s="553">
        <f>-'Foglio deposito bis'!$F$51*(C554-sezione!$AO$29)*IF(ABS(N554)&lt;'Progetto del paramento slu'!$G$58,ABS(N554)*'Progetto del paramento slu'!$G$54,'Progetto del paramento slu'!$G$53)</f>
        <v>79329742.287787467</v>
      </c>
      <c r="I554" s="479">
        <f>-'Foglio deposito bis'!$F$52*(C554-sezione!$AP$29)*IF(ABS(O554)&lt;'Progetto del paramento slu'!$G$58,ABS(O554)*'Progetto del paramento slu'!$G$54,'Progetto del paramento slu'!$G$53)</f>
        <v>60054503.227838226</v>
      </c>
      <c r="J554" s="479">
        <f t="shared" si="40"/>
        <v>166960377.91010126</v>
      </c>
      <c r="K554" s="558">
        <f>'Progetto del paramento slu'!$G$60*(sezione!$AL$29-C554)/C554</f>
        <v>9.5137499282082535E-3</v>
      </c>
      <c r="L554" s="558">
        <f>'Progetto del paramento slu'!$G$60*(sezione!$AM$29-C554)/C554</f>
        <v>4.5301562230780953E-2</v>
      </c>
      <c r="M554" s="559">
        <f>'Progetto del paramento slu'!$G$60*(sezione!$AN$29-C554)/C554</f>
        <v>8.1089374533353645E-2</v>
      </c>
      <c r="N554" s="559">
        <f>'Progetto del paramento slu'!$G$60*(sezione!$AO$29-C554)/C554</f>
        <v>0.10711687438977016</v>
      </c>
      <c r="O554" s="559">
        <f>'Progetto del paramento slu'!$G$60*(sezione!$AP$29-C554)/C554</f>
        <v>8.1090023656697402E-2</v>
      </c>
      <c r="P554" s="553">
        <f>-'Progetto del paramento slu'!$G$47*'Progetto del paramento slu'!$G$41*IF(DATI!$G$218="dx",DATI!$E$61,DATI!$E$64*DATI!$E$63)*1000*C554*sezione!$AD$5</f>
        <v>-151641.50309377455</v>
      </c>
      <c r="Q554" s="553">
        <f>'Foglio deposito bis'!$F$48*IF(ABS(K554)&lt;'Progetto del paramento slu'!$G$58,ABS(K554)*'Progetto del paramento slu'!$G$54,'Progetto del paramento slu'!$G$53)*IF(K554&lt;0,-1,1)</f>
        <v>0</v>
      </c>
      <c r="R554" s="553">
        <f>'Foglio deposito bis'!$F$49*IF(ABS(L554)&lt;'Progetto del paramento slu'!$G$58,ABS(L554)*'Progetto del paramento slu'!$G$54,'Progetto del paramento slu'!$G$53)*IF(L554&lt;0,-1,1)</f>
        <v>204886.47740803001</v>
      </c>
      <c r="S554" s="553">
        <f>'Foglio deposito bis'!$F$50*IF(ABS(M554)&lt;'Progetto del paramento slu'!$G$58,ABS(M554)*'Progetto del paramento slu'!$G$54,'Progetto del paramento slu'!$G$53)*IF(M554&lt;0,-1,1)</f>
        <v>0</v>
      </c>
      <c r="T554" s="553">
        <f>'Foglio deposito bis'!$F$51*IF(ABS(N554)&lt;'Progetto del paramento slu'!$G$58,ABS(N554)*'Progetto del paramento slu'!$G$54,'Progetto del paramento slu'!$G$53)*IF(N554&lt;0,-1,1)</f>
        <v>240946.49743184328</v>
      </c>
      <c r="U554" s="553">
        <f>'Foglio deposito bis'!$F$52*IF(ABS(O554)&lt;'Progetto del paramento slu'!$G$58,ABS(O554)*'Progetto del paramento slu'!$G$54,'Progetto del paramento slu'!$G$53)*IF(O554&lt;0,-1,1)</f>
        <v>240946.49743184328</v>
      </c>
      <c r="V554" s="479">
        <f t="shared" si="41"/>
        <v>535137.96917794202</v>
      </c>
      <c r="W554" s="559"/>
      <c r="X554" s="559"/>
    </row>
    <row r="555" spans="1:24" x14ac:dyDescent="0.25">
      <c r="A555" s="553">
        <f t="shared" si="42"/>
        <v>532276.8087422105</v>
      </c>
      <c r="B555" s="3">
        <f t="shared" si="43"/>
        <v>2.6999999999999984</v>
      </c>
      <c r="C555" s="553">
        <f>'Foglio deposito bis'!$E$155/sezione!$B$247*B555</f>
        <v>10.960830676850211</v>
      </c>
      <c r="D555" s="611">
        <f>-'Progetto del paramento slu'!$G$47*'Progetto del paramento slu'!$G$41*IF(DATI!$G$218="dx",DATI!$E$61,DATI!$E$64*DATI!$E$63)*1000*C555^2*sezione!$AD$5*(1-sezione!$AD$6)</f>
        <v>-988990.87989645801</v>
      </c>
      <c r="E555" s="553">
        <f>-'Foglio deposito bis'!$F$48*(C555-sezione!$AL$29)*IF(ABS(K555)&lt;'Progetto del paramento slu'!$G$58,ABS(K555)*'Progetto del paramento slu'!$G$54,'Progetto del paramento slu'!$G$53)</f>
        <v>0</v>
      </c>
      <c r="F555" s="553">
        <f>-'Foglio deposito bis'!$F$49*(C555-sezione!$AM$29)*IF(ABS(L555)&lt;'Progetto del paramento slu'!$G$58,ABS(L555)*'Progetto del paramento slu'!$G$54,'Progetto del paramento slu'!$G$53)</f>
        <v>28487245.624358788</v>
      </c>
      <c r="G555" s="553">
        <f>-'Foglio deposito bis'!$F$50*(C555-sezione!$AN$29)*IF(ABS(M555)&lt;'Progetto del paramento slu'!$G$58,ABS(M555)*'Progetto del paramento slu'!$G$54,'Progetto del paramento slu'!$G$53)</f>
        <v>0</v>
      </c>
      <c r="H555" s="553">
        <f>-'Foglio deposito bis'!$F$51*(C555-sezione!$AO$29)*IF(ABS(N555)&lt;'Progetto del paramento slu'!$G$58,ABS(N555)*'Progetto del paramento slu'!$G$54,'Progetto del paramento slu'!$G$53)</f>
        <v>79280835.366296157</v>
      </c>
      <c r="I555" s="479">
        <f>-'Foglio deposito bis'!$F$52*(C555-sezione!$AP$29)*IF(ABS(O555)&lt;'Progetto del paramento slu'!$G$58,ABS(O555)*'Progetto del paramento slu'!$G$54,'Progetto del paramento slu'!$G$53)</f>
        <v>60005596.306346923</v>
      </c>
      <c r="J555" s="479">
        <f t="shared" si="40"/>
        <v>166784686.41710541</v>
      </c>
      <c r="K555" s="558">
        <f>'Progetto del paramento slu'!$G$60*(sezione!$AL$29-C555)/C555</f>
        <v>9.2727545591673611E-3</v>
      </c>
      <c r="L555" s="558">
        <f>'Progetto del paramento slu'!$G$60*(sezione!$AM$29-C555)/C555</f>
        <v>4.4397829596877603E-2</v>
      </c>
      <c r="M555" s="559">
        <f>'Progetto del paramento slu'!$G$60*(sezione!$AN$29-C555)/C555</f>
        <v>7.9522904634587846E-2</v>
      </c>
      <c r="N555" s="559">
        <f>'Progetto del paramento slu'!$G$60*(sezione!$AO$29-C555)/C555</f>
        <v>0.10506841375292256</v>
      </c>
      <c r="O555" s="559">
        <f>'Progetto del paramento slu'!$G$60*(sezione!$AP$29-C555)/C555</f>
        <v>7.952354173712893E-2</v>
      </c>
      <c r="P555" s="553">
        <f>-'Progetto del paramento slu'!$G$47*'Progetto del paramento slu'!$G$41*IF(DATI!$G$218="dx",DATI!$E$61,DATI!$E$64*DATI!$E$63)*1000*C555*sezione!$AD$5</f>
        <v>-154502.6635295061</v>
      </c>
      <c r="Q555" s="553">
        <f>'Foglio deposito bis'!$F$48*IF(ABS(K555)&lt;'Progetto del paramento slu'!$G$58,ABS(K555)*'Progetto del paramento slu'!$G$54,'Progetto del paramento slu'!$G$53)*IF(K555&lt;0,-1,1)</f>
        <v>0</v>
      </c>
      <c r="R555" s="553">
        <f>'Foglio deposito bis'!$F$49*IF(ABS(L555)&lt;'Progetto del paramento slu'!$G$58,ABS(L555)*'Progetto del paramento slu'!$G$54,'Progetto del paramento slu'!$G$53)*IF(L555&lt;0,-1,1)</f>
        <v>204886.47740803001</v>
      </c>
      <c r="S555" s="553">
        <f>'Foglio deposito bis'!$F$50*IF(ABS(M555)&lt;'Progetto del paramento slu'!$G$58,ABS(M555)*'Progetto del paramento slu'!$G$54,'Progetto del paramento slu'!$G$53)*IF(M555&lt;0,-1,1)</f>
        <v>0</v>
      </c>
      <c r="T555" s="553">
        <f>'Foglio deposito bis'!$F$51*IF(ABS(N555)&lt;'Progetto del paramento slu'!$G$58,ABS(N555)*'Progetto del paramento slu'!$G$54,'Progetto del paramento slu'!$G$53)*IF(N555&lt;0,-1,1)</f>
        <v>240946.49743184328</v>
      </c>
      <c r="U555" s="553">
        <f>'Foglio deposito bis'!$F$52*IF(ABS(O555)&lt;'Progetto del paramento slu'!$G$58,ABS(O555)*'Progetto del paramento slu'!$G$54,'Progetto del paramento slu'!$G$53)*IF(O555&lt;0,-1,1)</f>
        <v>240946.49743184328</v>
      </c>
      <c r="V555" s="479">
        <f t="shared" si="41"/>
        <v>532276.8087422105</v>
      </c>
      <c r="W555" s="559"/>
      <c r="X555" s="559"/>
    </row>
    <row r="556" spans="1:24" x14ac:dyDescent="0.25">
      <c r="A556" s="553">
        <f t="shared" si="42"/>
        <v>529415.64830647886</v>
      </c>
      <c r="B556" s="3">
        <f t="shared" si="43"/>
        <v>2.7499999999999982</v>
      </c>
      <c r="C556" s="553">
        <f>'Foglio deposito bis'!$E$155/sezione!$B$247*B556</f>
        <v>11.163809022717807</v>
      </c>
      <c r="D556" s="611">
        <f>-'Progetto del paramento slu'!$G$47*'Progetto del paramento slu'!$G$41*IF(DATI!$G$218="dx",DATI!$E$61,DATI!$E$64*DATI!$E$63)*1000*C556^2*sezione!$AD$5*(1-sezione!$AD$6)</f>
        <v>-1025959.3318541787</v>
      </c>
      <c r="E556" s="553">
        <f>-'Foglio deposito bis'!$F$48*(C556-sezione!$AL$29)*IF(ABS(K556)&lt;'Progetto del paramento slu'!$G$58,ABS(K556)*'Progetto del paramento slu'!$G$54,'Progetto del paramento slu'!$G$53)</f>
        <v>0</v>
      </c>
      <c r="F556" s="553">
        <f>-'Foglio deposito bis'!$F$49*(C556-sezione!$AM$29)*IF(ABS(L556)&lt;'Progetto del paramento slu'!$G$58,ABS(L556)*'Progetto del paramento slu'!$G$54,'Progetto del paramento slu'!$G$53)</f>
        <v>28445658.10608387</v>
      </c>
      <c r="G556" s="553">
        <f>-'Foglio deposito bis'!$F$50*(C556-sezione!$AN$29)*IF(ABS(M556)&lt;'Progetto del paramento slu'!$G$58,ABS(M556)*'Progetto del paramento slu'!$G$54,'Progetto del paramento slu'!$G$53)</f>
        <v>0</v>
      </c>
      <c r="H556" s="553">
        <f>-'Foglio deposito bis'!$F$51*(C556-sezione!$AO$29)*IF(ABS(N556)&lt;'Progetto del paramento slu'!$G$58,ABS(N556)*'Progetto del paramento slu'!$G$54,'Progetto del paramento slu'!$G$53)</f>
        <v>79231928.444804847</v>
      </c>
      <c r="I556" s="479">
        <f>-'Foglio deposito bis'!$F$52*(C556-sezione!$AP$29)*IF(ABS(O556)&lt;'Progetto del paramento slu'!$G$58,ABS(O556)*'Progetto del paramento slu'!$G$54,'Progetto del paramento slu'!$G$53)</f>
        <v>59956689.384855613</v>
      </c>
      <c r="J556" s="479">
        <f t="shared" si="40"/>
        <v>166608316.60389015</v>
      </c>
      <c r="K556" s="558">
        <f>'Progetto del paramento slu'!$G$60*(sezione!$AL$29-C556)/C556</f>
        <v>9.0405226580915921E-3</v>
      </c>
      <c r="L556" s="558">
        <f>'Progetto del paramento slu'!$G$60*(sezione!$AM$29-C556)/C556</f>
        <v>4.3526959967843469E-2</v>
      </c>
      <c r="M556" s="559">
        <f>'Progetto del paramento slu'!$G$60*(sezione!$AN$29-C556)/C556</f>
        <v>7.8013397277595348E-2</v>
      </c>
      <c r="N556" s="559">
        <f>'Progetto del paramento slu'!$G$60*(sezione!$AO$29-C556)/C556</f>
        <v>0.10309444259377851</v>
      </c>
      <c r="O556" s="559">
        <f>'Progetto del paramento slu'!$G$60*(sezione!$AP$29-C556)/C556</f>
        <v>7.8014022796453877E-2</v>
      </c>
      <c r="P556" s="553">
        <f>-'Progetto del paramento slu'!$G$47*'Progetto del paramento slu'!$G$41*IF(DATI!$G$218="dx",DATI!$E$61,DATI!$E$64*DATI!$E$63)*1000*C556*sezione!$AD$5</f>
        <v>-157363.82396523771</v>
      </c>
      <c r="Q556" s="553">
        <f>'Foglio deposito bis'!$F$48*IF(ABS(K556)&lt;'Progetto del paramento slu'!$G$58,ABS(K556)*'Progetto del paramento slu'!$G$54,'Progetto del paramento slu'!$G$53)*IF(K556&lt;0,-1,1)</f>
        <v>0</v>
      </c>
      <c r="R556" s="553">
        <f>'Foglio deposito bis'!$F$49*IF(ABS(L556)&lt;'Progetto del paramento slu'!$G$58,ABS(L556)*'Progetto del paramento slu'!$G$54,'Progetto del paramento slu'!$G$53)*IF(L556&lt;0,-1,1)</f>
        <v>204886.47740803001</v>
      </c>
      <c r="S556" s="553">
        <f>'Foglio deposito bis'!$F$50*IF(ABS(M556)&lt;'Progetto del paramento slu'!$G$58,ABS(M556)*'Progetto del paramento slu'!$G$54,'Progetto del paramento slu'!$G$53)*IF(M556&lt;0,-1,1)</f>
        <v>0</v>
      </c>
      <c r="T556" s="553">
        <f>'Foglio deposito bis'!$F$51*IF(ABS(N556)&lt;'Progetto del paramento slu'!$G$58,ABS(N556)*'Progetto del paramento slu'!$G$54,'Progetto del paramento slu'!$G$53)*IF(N556&lt;0,-1,1)</f>
        <v>240946.49743184328</v>
      </c>
      <c r="U556" s="553">
        <f>'Foglio deposito bis'!$F$52*IF(ABS(O556)&lt;'Progetto del paramento slu'!$G$58,ABS(O556)*'Progetto del paramento slu'!$G$54,'Progetto del paramento slu'!$G$53)*IF(O556&lt;0,-1,1)</f>
        <v>240946.49743184328</v>
      </c>
      <c r="V556" s="479">
        <f t="shared" si="41"/>
        <v>529415.64830647886</v>
      </c>
      <c r="W556" s="559"/>
      <c r="X556" s="559"/>
    </row>
    <row r="557" spans="1:24" x14ac:dyDescent="0.25">
      <c r="A557" s="553">
        <f t="shared" si="42"/>
        <v>526554.48787074734</v>
      </c>
      <c r="B557" s="3">
        <f t="shared" si="43"/>
        <v>2.799999999999998</v>
      </c>
      <c r="C557" s="553">
        <f>'Foglio deposito bis'!$E$155/sezione!$B$247*B557</f>
        <v>11.366787368585403</v>
      </c>
      <c r="D557" s="611">
        <f>-'Progetto del paramento slu'!$G$47*'Progetto del paramento slu'!$G$41*IF(DATI!$G$218="dx",DATI!$E$61,DATI!$E$64*DATI!$E$63)*1000*C557^2*sezione!$AD$5*(1-sezione!$AD$6)</f>
        <v>-1063606.1040313067</v>
      </c>
      <c r="E557" s="553">
        <f>-'Foglio deposito bis'!$F$48*(C557-sezione!$AL$29)*IF(ABS(K557)&lt;'Progetto del paramento slu'!$G$58,ABS(K557)*'Progetto del paramento slu'!$G$54,'Progetto del paramento slu'!$G$53)</f>
        <v>0</v>
      </c>
      <c r="F557" s="553">
        <f>-'Foglio deposito bis'!$F$49*(C557-sezione!$AM$29)*IF(ABS(L557)&lt;'Progetto del paramento slu'!$G$58,ABS(L557)*'Progetto del paramento slu'!$G$54,'Progetto del paramento slu'!$G$53)</f>
        <v>28404070.587808948</v>
      </c>
      <c r="G557" s="553">
        <f>-'Foglio deposito bis'!$F$50*(C557-sezione!$AN$29)*IF(ABS(M557)&lt;'Progetto del paramento slu'!$G$58,ABS(M557)*'Progetto del paramento slu'!$G$54,'Progetto del paramento slu'!$G$53)</f>
        <v>0</v>
      </c>
      <c r="H557" s="553">
        <f>-'Foglio deposito bis'!$F$51*(C557-sezione!$AO$29)*IF(ABS(N557)&lt;'Progetto del paramento slu'!$G$58,ABS(N557)*'Progetto del paramento slu'!$G$54,'Progetto del paramento slu'!$G$53)</f>
        <v>79183021.523313552</v>
      </c>
      <c r="I557" s="479">
        <f>-'Foglio deposito bis'!$F$52*(C557-sezione!$AP$29)*IF(ABS(O557)&lt;'Progetto del paramento slu'!$G$58,ABS(O557)*'Progetto del paramento slu'!$G$54,'Progetto del paramento slu'!$G$53)</f>
        <v>59907782.463364303</v>
      </c>
      <c r="J557" s="479">
        <f t="shared" si="40"/>
        <v>166431268.4704555</v>
      </c>
      <c r="K557" s="558">
        <f>'Progetto del paramento slu'!$G$60*(sezione!$AL$29-C557)/C557</f>
        <v>8.8165847534828132E-3</v>
      </c>
      <c r="L557" s="558">
        <f>'Progetto del paramento slu'!$G$60*(sezione!$AM$29-C557)/C557</f>
        <v>4.2687192825560556E-2</v>
      </c>
      <c r="M557" s="559">
        <f>'Progetto del paramento slu'!$G$60*(sezione!$AN$29-C557)/C557</f>
        <v>7.6557800897638292E-2</v>
      </c>
      <c r="N557" s="559">
        <f>'Progetto del paramento slu'!$G$60*(sezione!$AO$29-C557)/C557</f>
        <v>0.10119097040460391</v>
      </c>
      <c r="O557" s="559">
        <f>'Progetto del paramento slu'!$G$60*(sezione!$AP$29-C557)/C557</f>
        <v>7.65584152465172E-2</v>
      </c>
      <c r="P557" s="553">
        <f>-'Progetto del paramento slu'!$G$47*'Progetto del paramento slu'!$G$41*IF(DATI!$G$218="dx",DATI!$E$61,DATI!$E$64*DATI!$E$63)*1000*C557*sezione!$AD$5</f>
        <v>-160224.98440096929</v>
      </c>
      <c r="Q557" s="553">
        <f>'Foglio deposito bis'!$F$48*IF(ABS(K557)&lt;'Progetto del paramento slu'!$G$58,ABS(K557)*'Progetto del paramento slu'!$G$54,'Progetto del paramento slu'!$G$53)*IF(K557&lt;0,-1,1)</f>
        <v>0</v>
      </c>
      <c r="R557" s="553">
        <f>'Foglio deposito bis'!$F$49*IF(ABS(L557)&lt;'Progetto del paramento slu'!$G$58,ABS(L557)*'Progetto del paramento slu'!$G$54,'Progetto del paramento slu'!$G$53)*IF(L557&lt;0,-1,1)</f>
        <v>204886.47740803001</v>
      </c>
      <c r="S557" s="553">
        <f>'Foglio deposito bis'!$F$50*IF(ABS(M557)&lt;'Progetto del paramento slu'!$G$58,ABS(M557)*'Progetto del paramento slu'!$G$54,'Progetto del paramento slu'!$G$53)*IF(M557&lt;0,-1,1)</f>
        <v>0</v>
      </c>
      <c r="T557" s="553">
        <f>'Foglio deposito bis'!$F$51*IF(ABS(N557)&lt;'Progetto del paramento slu'!$G$58,ABS(N557)*'Progetto del paramento slu'!$G$54,'Progetto del paramento slu'!$G$53)*IF(N557&lt;0,-1,1)</f>
        <v>240946.49743184328</v>
      </c>
      <c r="U557" s="553">
        <f>'Foglio deposito bis'!$F$52*IF(ABS(O557)&lt;'Progetto del paramento slu'!$G$58,ABS(O557)*'Progetto del paramento slu'!$G$54,'Progetto del paramento slu'!$G$53)*IF(O557&lt;0,-1,1)</f>
        <v>240946.49743184328</v>
      </c>
      <c r="V557" s="479">
        <f t="shared" si="41"/>
        <v>526554.48787074734</v>
      </c>
      <c r="W557" s="559"/>
      <c r="X557" s="559"/>
    </row>
    <row r="558" spans="1:24" x14ac:dyDescent="0.25">
      <c r="A558" s="553">
        <f t="shared" si="42"/>
        <v>523693.3274350157</v>
      </c>
      <c r="B558" s="3">
        <f t="shared" si="43"/>
        <v>2.8499999999999979</v>
      </c>
      <c r="C558" s="553">
        <f>'Foglio deposito bis'!$E$155/sezione!$B$247*B558</f>
        <v>11.569765714452998</v>
      </c>
      <c r="D558" s="611">
        <f>-'Progetto del paramento slu'!$G$47*'Progetto del paramento slu'!$G$41*IF(DATI!$G$218="dx",DATI!$E$61,DATI!$E$64*DATI!$E$63)*1000*C558^2*sezione!$AD$5*(1-sezione!$AD$6)</f>
        <v>-1101931.1964278433</v>
      </c>
      <c r="E558" s="553">
        <f>-'Foglio deposito bis'!$F$48*(C558-sezione!$AL$29)*IF(ABS(K558)&lt;'Progetto del paramento slu'!$G$58,ABS(K558)*'Progetto del paramento slu'!$G$54,'Progetto del paramento slu'!$G$53)</f>
        <v>0</v>
      </c>
      <c r="F558" s="553">
        <f>-'Foglio deposito bis'!$F$49*(C558-sezione!$AM$29)*IF(ABS(L558)&lt;'Progetto del paramento slu'!$G$58,ABS(L558)*'Progetto del paramento slu'!$G$54,'Progetto del paramento slu'!$G$53)</f>
        <v>28362483.069534022</v>
      </c>
      <c r="G558" s="553">
        <f>-'Foglio deposito bis'!$F$50*(C558-sezione!$AN$29)*IF(ABS(M558)&lt;'Progetto del paramento slu'!$G$58,ABS(M558)*'Progetto del paramento slu'!$G$54,'Progetto del paramento slu'!$G$53)</f>
        <v>0</v>
      </c>
      <c r="H558" s="553">
        <f>-'Foglio deposito bis'!$F$51*(C558-sezione!$AO$29)*IF(ABS(N558)&lt;'Progetto del paramento slu'!$G$58,ABS(N558)*'Progetto del paramento slu'!$G$54,'Progetto del paramento slu'!$G$53)</f>
        <v>79134114.601822227</v>
      </c>
      <c r="I558" s="479">
        <f>-'Foglio deposito bis'!$F$52*(C558-sezione!$AP$29)*IF(ABS(O558)&lt;'Progetto del paramento slu'!$G$58,ABS(O558)*'Progetto del paramento slu'!$G$54,'Progetto del paramento slu'!$G$53)</f>
        <v>59858875.541872986</v>
      </c>
      <c r="J558" s="479">
        <f t="shared" si="40"/>
        <v>166253542.01680139</v>
      </c>
      <c r="K558" s="558">
        <f>'Progetto del paramento slu'!$G$60*(sezione!$AL$29-C558)/C558</f>
        <v>8.6005043192111854E-3</v>
      </c>
      <c r="L558" s="558">
        <f>'Progetto del paramento slu'!$G$60*(sezione!$AM$29-C558)/C558</f>
        <v>4.1876891197041945E-2</v>
      </c>
      <c r="M558" s="559">
        <f>'Progetto del paramento slu'!$G$60*(sezione!$AN$29-C558)/C558</f>
        <v>7.5153278074872709E-2</v>
      </c>
      <c r="N558" s="559">
        <f>'Progetto del paramento slu'!$G$60*(sezione!$AO$29-C558)/C558</f>
        <v>9.935428671329509E-2</v>
      </c>
      <c r="O558" s="559">
        <f>'Progetto del paramento slu'!$G$60*(sezione!$AP$29-C558)/C558</f>
        <v>7.5153881645701109E-2</v>
      </c>
      <c r="P558" s="553">
        <f>-'Progetto del paramento slu'!$G$47*'Progetto del paramento slu'!$G$41*IF(DATI!$G$218="dx",DATI!$E$61,DATI!$E$64*DATI!$E$63)*1000*C558*sezione!$AD$5</f>
        <v>-163086.14483670087</v>
      </c>
      <c r="Q558" s="553">
        <f>'Foglio deposito bis'!$F$48*IF(ABS(K558)&lt;'Progetto del paramento slu'!$G$58,ABS(K558)*'Progetto del paramento slu'!$G$54,'Progetto del paramento slu'!$G$53)*IF(K558&lt;0,-1,1)</f>
        <v>0</v>
      </c>
      <c r="R558" s="553">
        <f>'Foglio deposito bis'!$F$49*IF(ABS(L558)&lt;'Progetto del paramento slu'!$G$58,ABS(L558)*'Progetto del paramento slu'!$G$54,'Progetto del paramento slu'!$G$53)*IF(L558&lt;0,-1,1)</f>
        <v>204886.47740803001</v>
      </c>
      <c r="S558" s="553">
        <f>'Foglio deposito bis'!$F$50*IF(ABS(M558)&lt;'Progetto del paramento slu'!$G$58,ABS(M558)*'Progetto del paramento slu'!$G$54,'Progetto del paramento slu'!$G$53)*IF(M558&lt;0,-1,1)</f>
        <v>0</v>
      </c>
      <c r="T558" s="553">
        <f>'Foglio deposito bis'!$F$51*IF(ABS(N558)&lt;'Progetto del paramento slu'!$G$58,ABS(N558)*'Progetto del paramento slu'!$G$54,'Progetto del paramento slu'!$G$53)*IF(N558&lt;0,-1,1)</f>
        <v>240946.49743184328</v>
      </c>
      <c r="U558" s="553">
        <f>'Foglio deposito bis'!$F$52*IF(ABS(O558)&lt;'Progetto del paramento slu'!$G$58,ABS(O558)*'Progetto del paramento slu'!$G$54,'Progetto del paramento slu'!$G$53)*IF(O558&lt;0,-1,1)</f>
        <v>240946.49743184328</v>
      </c>
      <c r="V558" s="479">
        <f t="shared" si="41"/>
        <v>523693.3274350157</v>
      </c>
      <c r="W558" s="559"/>
      <c r="X558" s="559"/>
    </row>
    <row r="559" spans="1:24" x14ac:dyDescent="0.25">
      <c r="A559" s="553">
        <f t="shared" si="42"/>
        <v>520832.16699928418</v>
      </c>
      <c r="B559" s="3">
        <f t="shared" si="43"/>
        <v>2.8999999999999977</v>
      </c>
      <c r="C559" s="553">
        <f>'Foglio deposito bis'!$E$155/sezione!$B$247*B559</f>
        <v>11.772744060320594</v>
      </c>
      <c r="D559" s="611">
        <f>-'Progetto del paramento slu'!$G$47*'Progetto del paramento slu'!$G$41*IF(DATI!$G$218="dx",DATI!$E$61,DATI!$E$64*DATI!$E$63)*1000*C559^2*sezione!$AD$5*(1-sezione!$AD$6)</f>
        <v>-1140934.6090437868</v>
      </c>
      <c r="E559" s="553">
        <f>-'Foglio deposito bis'!$F$48*(C559-sezione!$AL$29)*IF(ABS(K559)&lt;'Progetto del paramento slu'!$G$58,ABS(K559)*'Progetto del paramento slu'!$G$54,'Progetto del paramento slu'!$G$53)</f>
        <v>0</v>
      </c>
      <c r="F559" s="553">
        <f>-'Foglio deposito bis'!$F$49*(C559-sezione!$AM$29)*IF(ABS(L559)&lt;'Progetto del paramento slu'!$G$58,ABS(L559)*'Progetto del paramento slu'!$G$54,'Progetto del paramento slu'!$G$53)</f>
        <v>28320895.551259108</v>
      </c>
      <c r="G559" s="553">
        <f>-'Foglio deposito bis'!$F$50*(C559-sezione!$AN$29)*IF(ABS(M559)&lt;'Progetto del paramento slu'!$G$58,ABS(M559)*'Progetto del paramento slu'!$G$54,'Progetto del paramento slu'!$G$53)</f>
        <v>0</v>
      </c>
      <c r="H559" s="553">
        <f>-'Foglio deposito bis'!$F$51*(C559-sezione!$AO$29)*IF(ABS(N559)&lt;'Progetto del paramento slu'!$G$58,ABS(N559)*'Progetto del paramento slu'!$G$54,'Progetto del paramento slu'!$G$53)</f>
        <v>79085207.680330932</v>
      </c>
      <c r="I559" s="479">
        <f>-'Foglio deposito bis'!$F$52*(C559-sezione!$AP$29)*IF(ABS(O559)&lt;'Progetto del paramento slu'!$G$58,ABS(O559)*'Progetto del paramento slu'!$G$54,'Progetto del paramento slu'!$G$53)</f>
        <v>59809968.620381683</v>
      </c>
      <c r="J559" s="479">
        <f t="shared" si="40"/>
        <v>166075137.24292794</v>
      </c>
      <c r="K559" s="558">
        <f>'Progetto del paramento slu'!$G$60*(sezione!$AL$29-C559)/C559</f>
        <v>8.3918749343972008E-3</v>
      </c>
      <c r="L559" s="558">
        <f>'Progetto del paramento slu'!$G$60*(sezione!$AM$29-C559)/C559</f>
        <v>4.10945310039895E-2</v>
      </c>
      <c r="M559" s="559">
        <f>'Progetto del paramento slu'!$G$60*(sezione!$AN$29-C559)/C559</f>
        <v>7.3797187073581808E-2</v>
      </c>
      <c r="N559" s="559">
        <f>'Progetto del paramento slu'!$G$60*(sezione!$AO$29-C559)/C559</f>
        <v>9.7580936942376198E-2</v>
      </c>
      <c r="O559" s="559">
        <f>'Progetto del paramento slu'!$G$60*(sezione!$AP$29-C559)/C559</f>
        <v>7.3797780238016614E-2</v>
      </c>
      <c r="P559" s="553">
        <f>-'Progetto del paramento slu'!$G$47*'Progetto del paramento slu'!$G$41*IF(DATI!$G$218="dx",DATI!$E$61,DATI!$E$64*DATI!$E$63)*1000*C559*sezione!$AD$5</f>
        <v>-165947.30527243245</v>
      </c>
      <c r="Q559" s="553">
        <f>'Foglio deposito bis'!$F$48*IF(ABS(K559)&lt;'Progetto del paramento slu'!$G$58,ABS(K559)*'Progetto del paramento slu'!$G$54,'Progetto del paramento slu'!$G$53)*IF(K559&lt;0,-1,1)</f>
        <v>0</v>
      </c>
      <c r="R559" s="553">
        <f>'Foglio deposito bis'!$F$49*IF(ABS(L559)&lt;'Progetto del paramento slu'!$G$58,ABS(L559)*'Progetto del paramento slu'!$G$54,'Progetto del paramento slu'!$G$53)*IF(L559&lt;0,-1,1)</f>
        <v>204886.47740803001</v>
      </c>
      <c r="S559" s="553">
        <f>'Foglio deposito bis'!$F$50*IF(ABS(M559)&lt;'Progetto del paramento slu'!$G$58,ABS(M559)*'Progetto del paramento slu'!$G$54,'Progetto del paramento slu'!$G$53)*IF(M559&lt;0,-1,1)</f>
        <v>0</v>
      </c>
      <c r="T559" s="553">
        <f>'Foglio deposito bis'!$F$51*IF(ABS(N559)&lt;'Progetto del paramento slu'!$G$58,ABS(N559)*'Progetto del paramento slu'!$G$54,'Progetto del paramento slu'!$G$53)*IF(N559&lt;0,-1,1)</f>
        <v>240946.49743184328</v>
      </c>
      <c r="U559" s="553">
        <f>'Foglio deposito bis'!$F$52*IF(ABS(O559)&lt;'Progetto del paramento slu'!$G$58,ABS(O559)*'Progetto del paramento slu'!$G$54,'Progetto del paramento slu'!$G$53)*IF(O559&lt;0,-1,1)</f>
        <v>240946.49743184328</v>
      </c>
      <c r="V559" s="479">
        <f t="shared" si="41"/>
        <v>520832.16699928418</v>
      </c>
      <c r="W559" s="559"/>
      <c r="X559" s="559"/>
    </row>
    <row r="560" spans="1:24" x14ac:dyDescent="0.25">
      <c r="A560" s="553">
        <f t="shared" si="42"/>
        <v>517971.00656355254</v>
      </c>
      <c r="B560" s="3">
        <f t="shared" si="43"/>
        <v>2.9499999999999975</v>
      </c>
      <c r="C560" s="553">
        <f>'Foglio deposito bis'!$E$155/sezione!$B$247*B560</f>
        <v>11.97572240618819</v>
      </c>
      <c r="D560" s="611">
        <f>-'Progetto del paramento slu'!$G$47*'Progetto del paramento slu'!$G$41*IF(DATI!$G$218="dx",DATI!$E$61,DATI!$E$64*DATI!$E$63)*1000*C560^2*sezione!$AD$5*(1-sezione!$AD$6)</f>
        <v>-1180616.3418791385</v>
      </c>
      <c r="E560" s="553">
        <f>-'Foglio deposito bis'!$F$48*(C560-sezione!$AL$29)*IF(ABS(K560)&lt;'Progetto del paramento slu'!$G$58,ABS(K560)*'Progetto del paramento slu'!$G$54,'Progetto del paramento slu'!$G$53)</f>
        <v>0</v>
      </c>
      <c r="F560" s="553">
        <f>-'Foglio deposito bis'!$F$49*(C560-sezione!$AM$29)*IF(ABS(L560)&lt;'Progetto del paramento slu'!$G$58,ABS(L560)*'Progetto del paramento slu'!$G$54,'Progetto del paramento slu'!$G$53)</f>
        <v>28279308.032984186</v>
      </c>
      <c r="G560" s="553">
        <f>-'Foglio deposito bis'!$F$50*(C560-sezione!$AN$29)*IF(ABS(M560)&lt;'Progetto del paramento slu'!$G$58,ABS(M560)*'Progetto del paramento slu'!$G$54,'Progetto del paramento slu'!$G$53)</f>
        <v>0</v>
      </c>
      <c r="H560" s="553">
        <f>-'Foglio deposito bis'!$F$51*(C560-sezione!$AO$29)*IF(ABS(N560)&lt;'Progetto del paramento slu'!$G$58,ABS(N560)*'Progetto del paramento slu'!$G$54,'Progetto del paramento slu'!$G$53)</f>
        <v>79036300.758839622</v>
      </c>
      <c r="I560" s="479">
        <f>-'Foglio deposito bis'!$F$52*(C560-sezione!$AP$29)*IF(ABS(O560)&lt;'Progetto del paramento slu'!$G$58,ABS(O560)*'Progetto del paramento slu'!$G$54,'Progetto del paramento slu'!$G$53)</f>
        <v>59761061.698890388</v>
      </c>
      <c r="J560" s="479">
        <f t="shared" si="40"/>
        <v>165896054.14883506</v>
      </c>
      <c r="K560" s="558">
        <f>'Progetto del paramento slu'!$G$60*(sezione!$AL$29-C560)/C560</f>
        <v>8.1903177321192826E-3</v>
      </c>
      <c r="L560" s="558">
        <f>'Progetto del paramento slu'!$G$60*(sezione!$AM$29-C560)/C560</f>
        <v>4.0338691495447304E-2</v>
      </c>
      <c r="M560" s="559">
        <f>'Progetto del paramento slu'!$G$60*(sezione!$AN$29-C560)/C560</f>
        <v>7.2487065258775338E-2</v>
      </c>
      <c r="N560" s="559">
        <f>'Progetto del paramento slu'!$G$60*(sezione!$AO$29-C560)/C560</f>
        <v>9.5867700723013913E-2</v>
      </c>
      <c r="O560" s="559">
        <f>'Progetto del paramento slu'!$G$60*(sezione!$AP$29-C560)/C560</f>
        <v>7.248764836957565E-2</v>
      </c>
      <c r="P560" s="553">
        <f>-'Progetto del paramento slu'!$G$47*'Progetto del paramento slu'!$G$41*IF(DATI!$G$218="dx",DATI!$E$61,DATI!$E$64*DATI!$E$63)*1000*C560*sezione!$AD$5</f>
        <v>-168808.46570816406</v>
      </c>
      <c r="Q560" s="553">
        <f>'Foglio deposito bis'!$F$48*IF(ABS(K560)&lt;'Progetto del paramento slu'!$G$58,ABS(K560)*'Progetto del paramento slu'!$G$54,'Progetto del paramento slu'!$G$53)*IF(K560&lt;0,-1,1)</f>
        <v>0</v>
      </c>
      <c r="R560" s="553">
        <f>'Foglio deposito bis'!$F$49*IF(ABS(L560)&lt;'Progetto del paramento slu'!$G$58,ABS(L560)*'Progetto del paramento slu'!$G$54,'Progetto del paramento slu'!$G$53)*IF(L560&lt;0,-1,1)</f>
        <v>204886.47740803001</v>
      </c>
      <c r="S560" s="553">
        <f>'Foglio deposito bis'!$F$50*IF(ABS(M560)&lt;'Progetto del paramento slu'!$G$58,ABS(M560)*'Progetto del paramento slu'!$G$54,'Progetto del paramento slu'!$G$53)*IF(M560&lt;0,-1,1)</f>
        <v>0</v>
      </c>
      <c r="T560" s="553">
        <f>'Foglio deposito bis'!$F$51*IF(ABS(N560)&lt;'Progetto del paramento slu'!$G$58,ABS(N560)*'Progetto del paramento slu'!$G$54,'Progetto del paramento slu'!$G$53)*IF(N560&lt;0,-1,1)</f>
        <v>240946.49743184328</v>
      </c>
      <c r="U560" s="553">
        <f>'Foglio deposito bis'!$F$52*IF(ABS(O560)&lt;'Progetto del paramento slu'!$G$58,ABS(O560)*'Progetto del paramento slu'!$G$54,'Progetto del paramento slu'!$G$53)*IF(O560&lt;0,-1,1)</f>
        <v>240946.49743184328</v>
      </c>
      <c r="V560" s="479">
        <f t="shared" si="41"/>
        <v>517971.00656355254</v>
      </c>
      <c r="W560" s="559"/>
      <c r="X560" s="559"/>
    </row>
    <row r="561" spans="1:24" x14ac:dyDescent="0.25">
      <c r="A561" s="553">
        <f t="shared" si="42"/>
        <v>515109.84612782102</v>
      </c>
      <c r="B561" s="3">
        <f t="shared" si="43"/>
        <v>2.9999999999999973</v>
      </c>
      <c r="C561" s="553">
        <f>'Foglio deposito bis'!$E$155/sezione!$B$247*B561</f>
        <v>12.178700752055786</v>
      </c>
      <c r="D561" s="611">
        <f>-'Progetto del paramento slu'!$G$47*'Progetto del paramento slu'!$G$41*IF(DATI!$G$218="dx",DATI!$E$61,DATI!$E$64*DATI!$E$63)*1000*C561^2*sezione!$AD$5*(1-sezione!$AD$6)</f>
        <v>-1220976.394933898</v>
      </c>
      <c r="E561" s="553">
        <f>-'Foglio deposito bis'!$F$48*(C561-sezione!$AL$29)*IF(ABS(K561)&lt;'Progetto del paramento slu'!$G$58,ABS(K561)*'Progetto del paramento slu'!$G$54,'Progetto del paramento slu'!$G$53)</f>
        <v>0</v>
      </c>
      <c r="F561" s="553">
        <f>-'Foglio deposito bis'!$F$49*(C561-sezione!$AM$29)*IF(ABS(L561)&lt;'Progetto del paramento slu'!$G$58,ABS(L561)*'Progetto del paramento slu'!$G$54,'Progetto del paramento slu'!$G$53)</f>
        <v>28237720.514709264</v>
      </c>
      <c r="G561" s="553">
        <f>-'Foglio deposito bis'!$F$50*(C561-sezione!$AN$29)*IF(ABS(M561)&lt;'Progetto del paramento slu'!$G$58,ABS(M561)*'Progetto del paramento slu'!$G$54,'Progetto del paramento slu'!$G$53)</f>
        <v>0</v>
      </c>
      <c r="H561" s="553">
        <f>-'Foglio deposito bis'!$F$51*(C561-sezione!$AO$29)*IF(ABS(N561)&lt;'Progetto del paramento slu'!$G$58,ABS(N561)*'Progetto del paramento slu'!$G$54,'Progetto del paramento slu'!$G$53)</f>
        <v>78987393.837348327</v>
      </c>
      <c r="I561" s="479">
        <f>-'Foglio deposito bis'!$F$52*(C561-sezione!$AP$29)*IF(ABS(O561)&lt;'Progetto del paramento slu'!$G$58,ABS(O561)*'Progetto del paramento slu'!$G$54,'Progetto del paramento slu'!$G$53)</f>
        <v>59712154.777399078</v>
      </c>
      <c r="J561" s="479">
        <f t="shared" si="40"/>
        <v>165716292.73452276</v>
      </c>
      <c r="K561" s="558">
        <f>'Progetto del paramento slu'!$G$60*(sezione!$AL$29-C561)/C561</f>
        <v>7.9954791032506283E-3</v>
      </c>
      <c r="L561" s="558">
        <f>'Progetto del paramento slu'!$G$60*(sezione!$AM$29-C561)/C561</f>
        <v>3.9608046637189857E-2</v>
      </c>
      <c r="M561" s="559">
        <f>'Progetto del paramento slu'!$G$60*(sezione!$AN$29-C561)/C561</f>
        <v>7.1220614171129085E-2</v>
      </c>
      <c r="N561" s="559">
        <f>'Progetto del paramento slu'!$G$60*(sezione!$AO$29-C561)/C561</f>
        <v>9.4211572377630337E-2</v>
      </c>
      <c r="O561" s="559">
        <f>'Progetto del paramento slu'!$G$60*(sezione!$AP$29-C561)/C561</f>
        <v>7.1221187563416069E-2</v>
      </c>
      <c r="P561" s="553">
        <f>-'Progetto del paramento slu'!$G$47*'Progetto del paramento slu'!$G$41*IF(DATI!$G$218="dx",DATI!$E$61,DATI!$E$64*DATI!$E$63)*1000*C561*sezione!$AD$5</f>
        <v>-171669.62614389561</v>
      </c>
      <c r="Q561" s="553">
        <f>'Foglio deposito bis'!$F$48*IF(ABS(K561)&lt;'Progetto del paramento slu'!$G$58,ABS(K561)*'Progetto del paramento slu'!$G$54,'Progetto del paramento slu'!$G$53)*IF(K561&lt;0,-1,1)</f>
        <v>0</v>
      </c>
      <c r="R561" s="553">
        <f>'Foglio deposito bis'!$F$49*IF(ABS(L561)&lt;'Progetto del paramento slu'!$G$58,ABS(L561)*'Progetto del paramento slu'!$G$54,'Progetto del paramento slu'!$G$53)*IF(L561&lt;0,-1,1)</f>
        <v>204886.47740803001</v>
      </c>
      <c r="S561" s="553">
        <f>'Foglio deposito bis'!$F$50*IF(ABS(M561)&lt;'Progetto del paramento slu'!$G$58,ABS(M561)*'Progetto del paramento slu'!$G$54,'Progetto del paramento slu'!$G$53)*IF(M561&lt;0,-1,1)</f>
        <v>0</v>
      </c>
      <c r="T561" s="553">
        <f>'Foglio deposito bis'!$F$51*IF(ABS(N561)&lt;'Progetto del paramento slu'!$G$58,ABS(N561)*'Progetto del paramento slu'!$G$54,'Progetto del paramento slu'!$G$53)*IF(N561&lt;0,-1,1)</f>
        <v>240946.49743184328</v>
      </c>
      <c r="U561" s="553">
        <f>'Foglio deposito bis'!$F$52*IF(ABS(O561)&lt;'Progetto del paramento slu'!$G$58,ABS(O561)*'Progetto del paramento slu'!$G$54,'Progetto del paramento slu'!$G$53)*IF(O561&lt;0,-1,1)</f>
        <v>240946.49743184328</v>
      </c>
      <c r="V561" s="479">
        <f t="shared" si="41"/>
        <v>515109.84612782102</v>
      </c>
      <c r="W561" s="559"/>
      <c r="X561" s="559"/>
    </row>
    <row r="562" spans="1:24" x14ac:dyDescent="0.25">
      <c r="A562" s="553">
        <f t="shared" si="42"/>
        <v>512248.68569208938</v>
      </c>
      <c r="B562" s="3">
        <f t="shared" si="43"/>
        <v>3.0499999999999972</v>
      </c>
      <c r="C562" s="553">
        <f>'Foglio deposito bis'!$E$155/sezione!$B$247*B562</f>
        <v>12.381679097923382</v>
      </c>
      <c r="D562" s="611">
        <f>-'Progetto del paramento slu'!$G$47*'Progetto del paramento slu'!$G$41*IF(DATI!$G$218="dx",DATI!$E$61,DATI!$E$64*DATI!$E$63)*1000*C562^2*sezione!$AD$5*(1-sezione!$AD$6)</f>
        <v>-1262014.7682080648</v>
      </c>
      <c r="E562" s="553">
        <f>-'Foglio deposito bis'!$F$48*(C562-sezione!$AL$29)*IF(ABS(K562)&lt;'Progetto del paramento slu'!$G$58,ABS(K562)*'Progetto del paramento slu'!$G$54,'Progetto del paramento slu'!$G$53)</f>
        <v>0</v>
      </c>
      <c r="F562" s="553">
        <f>-'Foglio deposito bis'!$F$49*(C562-sezione!$AM$29)*IF(ABS(L562)&lt;'Progetto del paramento slu'!$G$58,ABS(L562)*'Progetto del paramento slu'!$G$54,'Progetto del paramento slu'!$G$53)</f>
        <v>28196132.996434346</v>
      </c>
      <c r="G562" s="553">
        <f>-'Foglio deposito bis'!$F$50*(C562-sezione!$AN$29)*IF(ABS(M562)&lt;'Progetto del paramento slu'!$G$58,ABS(M562)*'Progetto del paramento slu'!$G$54,'Progetto del paramento slu'!$G$53)</f>
        <v>0</v>
      </c>
      <c r="H562" s="553">
        <f>-'Foglio deposito bis'!$F$51*(C562-sezione!$AO$29)*IF(ABS(N562)&lt;'Progetto del paramento slu'!$G$58,ABS(N562)*'Progetto del paramento slu'!$G$54,'Progetto del paramento slu'!$G$53)</f>
        <v>78938486.915857017</v>
      </c>
      <c r="I562" s="479">
        <f>-'Foglio deposito bis'!$F$52*(C562-sezione!$AP$29)*IF(ABS(O562)&lt;'Progetto del paramento slu'!$G$58,ABS(O562)*'Progetto del paramento slu'!$G$54,'Progetto del paramento slu'!$G$53)</f>
        <v>59663247.855907775</v>
      </c>
      <c r="J562" s="479">
        <f t="shared" si="40"/>
        <v>165535852.99999106</v>
      </c>
      <c r="K562" s="558">
        <f>'Progetto del paramento slu'!$G$60*(sezione!$AL$29-C562)/C562</f>
        <v>7.8070286261481599E-3</v>
      </c>
      <c r="L562" s="558">
        <f>'Progetto del paramento slu'!$G$60*(sezione!$AM$29-C562)/C562</f>
        <v>3.8901357348055603E-2</v>
      </c>
      <c r="M562" s="559">
        <f>'Progetto del paramento slu'!$G$60*(sezione!$AN$29-C562)/C562</f>
        <v>6.9995686069963037E-2</v>
      </c>
      <c r="N562" s="559">
        <f>'Progetto del paramento slu'!$G$60*(sezione!$AO$29-C562)/C562</f>
        <v>9.2609743322259366E-2</v>
      </c>
      <c r="O562" s="559">
        <f>'Progetto del paramento slu'!$G$60*(sezione!$AP$29-C562)/C562</f>
        <v>6.9996250062376461E-2</v>
      </c>
      <c r="P562" s="553">
        <f>-'Progetto del paramento slu'!$G$47*'Progetto del paramento slu'!$G$41*IF(DATI!$G$218="dx",DATI!$E$61,DATI!$E$64*DATI!$E$63)*1000*C562*sezione!$AD$5</f>
        <v>-174530.78657962722</v>
      </c>
      <c r="Q562" s="553">
        <f>'Foglio deposito bis'!$F$48*IF(ABS(K562)&lt;'Progetto del paramento slu'!$G$58,ABS(K562)*'Progetto del paramento slu'!$G$54,'Progetto del paramento slu'!$G$53)*IF(K562&lt;0,-1,1)</f>
        <v>0</v>
      </c>
      <c r="R562" s="553">
        <f>'Foglio deposito bis'!$F$49*IF(ABS(L562)&lt;'Progetto del paramento slu'!$G$58,ABS(L562)*'Progetto del paramento slu'!$G$54,'Progetto del paramento slu'!$G$53)*IF(L562&lt;0,-1,1)</f>
        <v>204886.47740803001</v>
      </c>
      <c r="S562" s="553">
        <f>'Foglio deposito bis'!$F$50*IF(ABS(M562)&lt;'Progetto del paramento slu'!$G$58,ABS(M562)*'Progetto del paramento slu'!$G$54,'Progetto del paramento slu'!$G$53)*IF(M562&lt;0,-1,1)</f>
        <v>0</v>
      </c>
      <c r="T562" s="553">
        <f>'Foglio deposito bis'!$F$51*IF(ABS(N562)&lt;'Progetto del paramento slu'!$G$58,ABS(N562)*'Progetto del paramento slu'!$G$54,'Progetto del paramento slu'!$G$53)*IF(N562&lt;0,-1,1)</f>
        <v>240946.49743184328</v>
      </c>
      <c r="U562" s="553">
        <f>'Foglio deposito bis'!$F$52*IF(ABS(O562)&lt;'Progetto del paramento slu'!$G$58,ABS(O562)*'Progetto del paramento slu'!$G$54,'Progetto del paramento slu'!$G$53)*IF(O562&lt;0,-1,1)</f>
        <v>240946.49743184328</v>
      </c>
      <c r="V562" s="479">
        <f t="shared" si="41"/>
        <v>512248.68569208938</v>
      </c>
      <c r="W562" s="559"/>
      <c r="X562" s="559"/>
    </row>
    <row r="563" spans="1:24" x14ac:dyDescent="0.25">
      <c r="A563" s="553">
        <f t="shared" si="42"/>
        <v>509387.52525635774</v>
      </c>
      <c r="B563" s="3">
        <f t="shared" si="43"/>
        <v>3.099999999999997</v>
      </c>
      <c r="C563" s="553">
        <f>'Foglio deposito bis'!$E$155/sezione!$B$247*B563</f>
        <v>12.584657443790979</v>
      </c>
      <c r="D563" s="611">
        <f>-'Progetto del paramento slu'!$G$47*'Progetto del paramento slu'!$G$41*IF(DATI!$G$218="dx",DATI!$E$61,DATI!$E$64*DATI!$E$63)*1000*C563^2*sezione!$AD$5*(1-sezione!$AD$6)</f>
        <v>-1303731.4617016397</v>
      </c>
      <c r="E563" s="553">
        <f>-'Foglio deposito bis'!$F$48*(C563-sezione!$AL$29)*IF(ABS(K563)&lt;'Progetto del paramento slu'!$G$58,ABS(K563)*'Progetto del paramento slu'!$G$54,'Progetto del paramento slu'!$G$53)</f>
        <v>0</v>
      </c>
      <c r="F563" s="553">
        <f>-'Foglio deposito bis'!$F$49*(C563-sezione!$AM$29)*IF(ABS(L563)&lt;'Progetto del paramento slu'!$G$58,ABS(L563)*'Progetto del paramento slu'!$G$54,'Progetto del paramento slu'!$G$53)</f>
        <v>28154545.478159424</v>
      </c>
      <c r="G563" s="553">
        <f>-'Foglio deposito bis'!$F$50*(C563-sezione!$AN$29)*IF(ABS(M563)&lt;'Progetto del paramento slu'!$G$58,ABS(M563)*'Progetto del paramento slu'!$G$54,'Progetto del paramento slu'!$G$53)</f>
        <v>0</v>
      </c>
      <c r="H563" s="553">
        <f>-'Foglio deposito bis'!$F$51*(C563-sezione!$AO$29)*IF(ABS(N563)&lt;'Progetto del paramento slu'!$G$58,ABS(N563)*'Progetto del paramento slu'!$G$54,'Progetto del paramento slu'!$G$53)</f>
        <v>78889579.994365692</v>
      </c>
      <c r="I563" s="479">
        <f>-'Foglio deposito bis'!$F$52*(C563-sezione!$AP$29)*IF(ABS(O563)&lt;'Progetto del paramento slu'!$G$58,ABS(O563)*'Progetto del paramento slu'!$G$54,'Progetto del paramento slu'!$G$53)</f>
        <v>59614340.934416465</v>
      </c>
      <c r="J563" s="479">
        <f t="shared" si="40"/>
        <v>165354734.94523993</v>
      </c>
      <c r="K563" s="558">
        <f>'Progetto del paramento slu'!$G$60*(sezione!$AL$29-C563)/C563</f>
        <v>7.6246571966941566E-3</v>
      </c>
      <c r="L563" s="558">
        <f>'Progetto del paramento slu'!$G$60*(sezione!$AM$29-C563)/C563</f>
        <v>3.8217464487603089E-2</v>
      </c>
      <c r="M563" s="559">
        <f>'Progetto del paramento slu'!$G$60*(sezione!$AN$29-C563)/C563</f>
        <v>6.8810271778512011E-2</v>
      </c>
      <c r="N563" s="559">
        <f>'Progetto del paramento slu'!$G$60*(sezione!$AO$29-C563)/C563</f>
        <v>9.1059586171900325E-2</v>
      </c>
      <c r="O563" s="559">
        <f>'Progetto del paramento slu'!$G$60*(sezione!$AP$29-C563)/C563</f>
        <v>6.8810826674273615E-2</v>
      </c>
      <c r="P563" s="553">
        <f>-'Progetto del paramento slu'!$G$47*'Progetto del paramento slu'!$G$41*IF(DATI!$G$218="dx",DATI!$E$61,DATI!$E$64*DATI!$E$63)*1000*C563*sezione!$AD$5</f>
        <v>-177391.9470153588</v>
      </c>
      <c r="Q563" s="553">
        <f>'Foglio deposito bis'!$F$48*IF(ABS(K563)&lt;'Progetto del paramento slu'!$G$58,ABS(K563)*'Progetto del paramento slu'!$G$54,'Progetto del paramento slu'!$G$53)*IF(K563&lt;0,-1,1)</f>
        <v>0</v>
      </c>
      <c r="R563" s="553">
        <f>'Foglio deposito bis'!$F$49*IF(ABS(L563)&lt;'Progetto del paramento slu'!$G$58,ABS(L563)*'Progetto del paramento slu'!$G$54,'Progetto del paramento slu'!$G$53)*IF(L563&lt;0,-1,1)</f>
        <v>204886.47740803001</v>
      </c>
      <c r="S563" s="553">
        <f>'Foglio deposito bis'!$F$50*IF(ABS(M563)&lt;'Progetto del paramento slu'!$G$58,ABS(M563)*'Progetto del paramento slu'!$G$54,'Progetto del paramento slu'!$G$53)*IF(M563&lt;0,-1,1)</f>
        <v>0</v>
      </c>
      <c r="T563" s="553">
        <f>'Foglio deposito bis'!$F$51*IF(ABS(N563)&lt;'Progetto del paramento slu'!$G$58,ABS(N563)*'Progetto del paramento slu'!$G$54,'Progetto del paramento slu'!$G$53)*IF(N563&lt;0,-1,1)</f>
        <v>240946.49743184328</v>
      </c>
      <c r="U563" s="553">
        <f>'Foglio deposito bis'!$F$52*IF(ABS(O563)&lt;'Progetto del paramento slu'!$G$58,ABS(O563)*'Progetto del paramento slu'!$G$54,'Progetto del paramento slu'!$G$53)*IF(O563&lt;0,-1,1)</f>
        <v>240946.49743184328</v>
      </c>
      <c r="V563" s="479">
        <f t="shared" si="41"/>
        <v>509387.52525635774</v>
      </c>
      <c r="W563" s="559"/>
      <c r="X563" s="559"/>
    </row>
    <row r="564" spans="1:24" x14ac:dyDescent="0.25">
      <c r="A564" s="553">
        <f t="shared" si="42"/>
        <v>506526.36482062622</v>
      </c>
      <c r="B564" s="3">
        <f t="shared" si="43"/>
        <v>3.1499999999999968</v>
      </c>
      <c r="C564" s="553">
        <f>'Foglio deposito bis'!$E$155/sezione!$B$247*B564</f>
        <v>12.787635789658575</v>
      </c>
      <c r="D564" s="611">
        <f>-'Progetto del paramento slu'!$G$47*'Progetto del paramento slu'!$G$41*IF(DATI!$G$218="dx",DATI!$E$61,DATI!$E$64*DATI!$E$63)*1000*C564^2*sezione!$AD$5*(1-sezione!$AD$6)</f>
        <v>-1346126.4754146223</v>
      </c>
      <c r="E564" s="553">
        <f>-'Foglio deposito bis'!$F$48*(C564-sezione!$AL$29)*IF(ABS(K564)&lt;'Progetto del paramento slu'!$G$58,ABS(K564)*'Progetto del paramento slu'!$G$54,'Progetto del paramento slu'!$G$53)</f>
        <v>0</v>
      </c>
      <c r="F564" s="553">
        <f>-'Foglio deposito bis'!$F$49*(C564-sezione!$AM$29)*IF(ABS(L564)&lt;'Progetto del paramento slu'!$G$58,ABS(L564)*'Progetto del paramento slu'!$G$54,'Progetto del paramento slu'!$G$53)</f>
        <v>28112957.959884502</v>
      </c>
      <c r="G564" s="553">
        <f>-'Foglio deposito bis'!$F$50*(C564-sezione!$AN$29)*IF(ABS(M564)&lt;'Progetto del paramento slu'!$G$58,ABS(M564)*'Progetto del paramento slu'!$G$54,'Progetto del paramento slu'!$G$53)</f>
        <v>0</v>
      </c>
      <c r="H564" s="553">
        <f>-'Foglio deposito bis'!$F$51*(C564-sezione!$AO$29)*IF(ABS(N564)&lt;'Progetto del paramento slu'!$G$58,ABS(N564)*'Progetto del paramento slu'!$G$54,'Progetto del paramento slu'!$G$53)</f>
        <v>78840673.072874397</v>
      </c>
      <c r="I564" s="479">
        <f>-'Foglio deposito bis'!$F$52*(C564-sezione!$AP$29)*IF(ABS(O564)&lt;'Progetto del paramento slu'!$G$58,ABS(O564)*'Progetto del paramento slu'!$G$54,'Progetto del paramento slu'!$G$53)</f>
        <v>59565434.012925163</v>
      </c>
      <c r="J564" s="479">
        <f t="shared" si="40"/>
        <v>165172938.57026944</v>
      </c>
      <c r="K564" s="558">
        <f>'Progetto del paramento slu'!$G$60*(sezione!$AL$29-C564)/C564</f>
        <v>7.4480753364291712E-3</v>
      </c>
      <c r="L564" s="558">
        <f>'Progetto del paramento slu'!$G$60*(sezione!$AM$29-C564)/C564</f>
        <v>3.7555282511609396E-2</v>
      </c>
      <c r="M564" s="559">
        <f>'Progetto del paramento slu'!$G$60*(sezione!$AN$29-C564)/C564</f>
        <v>6.7662489686789604E-2</v>
      </c>
      <c r="N564" s="559">
        <f>'Progetto del paramento slu'!$G$60*(sezione!$AO$29-C564)/C564</f>
        <v>8.9558640359647959E-2</v>
      </c>
      <c r="O564" s="559">
        <f>'Progetto del paramento slu'!$G$60*(sezione!$AP$29-C564)/C564</f>
        <v>6.7663035774681968E-2</v>
      </c>
      <c r="P564" s="553">
        <f>-'Progetto del paramento slu'!$G$47*'Progetto del paramento slu'!$G$41*IF(DATI!$G$218="dx",DATI!$E$61,DATI!$E$64*DATI!$E$63)*1000*C564*sezione!$AD$5</f>
        <v>-180253.10745109041</v>
      </c>
      <c r="Q564" s="553">
        <f>'Foglio deposito bis'!$F$48*IF(ABS(K564)&lt;'Progetto del paramento slu'!$G$58,ABS(K564)*'Progetto del paramento slu'!$G$54,'Progetto del paramento slu'!$G$53)*IF(K564&lt;0,-1,1)</f>
        <v>0</v>
      </c>
      <c r="R564" s="553">
        <f>'Foglio deposito bis'!$F$49*IF(ABS(L564)&lt;'Progetto del paramento slu'!$G$58,ABS(L564)*'Progetto del paramento slu'!$G$54,'Progetto del paramento slu'!$G$53)*IF(L564&lt;0,-1,1)</f>
        <v>204886.47740803001</v>
      </c>
      <c r="S564" s="553">
        <f>'Foglio deposito bis'!$F$50*IF(ABS(M564)&lt;'Progetto del paramento slu'!$G$58,ABS(M564)*'Progetto del paramento slu'!$G$54,'Progetto del paramento slu'!$G$53)*IF(M564&lt;0,-1,1)</f>
        <v>0</v>
      </c>
      <c r="T564" s="553">
        <f>'Foglio deposito bis'!$F$51*IF(ABS(N564)&lt;'Progetto del paramento slu'!$G$58,ABS(N564)*'Progetto del paramento slu'!$G$54,'Progetto del paramento slu'!$G$53)*IF(N564&lt;0,-1,1)</f>
        <v>240946.49743184328</v>
      </c>
      <c r="U564" s="553">
        <f>'Foglio deposito bis'!$F$52*IF(ABS(O564)&lt;'Progetto del paramento slu'!$G$58,ABS(O564)*'Progetto del paramento slu'!$G$54,'Progetto del paramento slu'!$G$53)*IF(O564&lt;0,-1,1)</f>
        <v>240946.49743184328</v>
      </c>
      <c r="V564" s="479">
        <f t="shared" si="41"/>
        <v>506526.36482062622</v>
      </c>
      <c r="W564" s="559"/>
      <c r="X564" s="559"/>
    </row>
    <row r="565" spans="1:24" x14ac:dyDescent="0.25">
      <c r="A565" s="553">
        <f t="shared" si="42"/>
        <v>503665.20438489458</v>
      </c>
      <c r="B565" s="3">
        <f t="shared" si="43"/>
        <v>3.1999999999999966</v>
      </c>
      <c r="C565" s="553">
        <f>'Foglio deposito bis'!$E$155/sezione!$B$247*B565</f>
        <v>12.990614135526171</v>
      </c>
      <c r="D565" s="611">
        <f>-'Progetto del paramento slu'!$G$47*'Progetto del paramento slu'!$G$41*IF(DATI!$G$218="dx",DATI!$E$61,DATI!$E$64*DATI!$E$63)*1000*C565^2*sezione!$AD$5*(1-sezione!$AD$6)</f>
        <v>-1389199.8093470123</v>
      </c>
      <c r="E565" s="553">
        <f>-'Foglio deposito bis'!$F$48*(C565-sezione!$AL$29)*IF(ABS(K565)&lt;'Progetto del paramento slu'!$G$58,ABS(K565)*'Progetto del paramento slu'!$G$54,'Progetto del paramento slu'!$G$53)</f>
        <v>0</v>
      </c>
      <c r="F565" s="553">
        <f>-'Foglio deposito bis'!$F$49*(C565-sezione!$AM$29)*IF(ABS(L565)&lt;'Progetto del paramento slu'!$G$58,ABS(L565)*'Progetto del paramento slu'!$G$54,'Progetto del paramento slu'!$G$53)</f>
        <v>28071370.441609588</v>
      </c>
      <c r="G565" s="553">
        <f>-'Foglio deposito bis'!$F$50*(C565-sezione!$AN$29)*IF(ABS(M565)&lt;'Progetto del paramento slu'!$G$58,ABS(M565)*'Progetto del paramento slu'!$G$54,'Progetto del paramento slu'!$G$53)</f>
        <v>0</v>
      </c>
      <c r="H565" s="553">
        <f>-'Foglio deposito bis'!$F$51*(C565-sezione!$AO$29)*IF(ABS(N565)&lt;'Progetto del paramento slu'!$G$58,ABS(N565)*'Progetto del paramento slu'!$G$54,'Progetto del paramento slu'!$G$53)</f>
        <v>78791766.151383087</v>
      </c>
      <c r="I565" s="479">
        <f>-'Foglio deposito bis'!$F$52*(C565-sezione!$AP$29)*IF(ABS(O565)&lt;'Progetto del paramento slu'!$G$58,ABS(O565)*'Progetto del paramento slu'!$G$54,'Progetto del paramento slu'!$G$53)</f>
        <v>59516527.091433853</v>
      </c>
      <c r="J565" s="479">
        <f t="shared" ref="J565:J628" si="44">D565+E565+F565+G565+H565+I565</f>
        <v>164990463.87507951</v>
      </c>
      <c r="K565" s="558">
        <f>'Progetto del paramento slu'!$G$60*(sezione!$AL$29-C565)/C565</f>
        <v>7.2770116592974646E-3</v>
      </c>
      <c r="L565" s="558">
        <f>'Progetto del paramento slu'!$G$60*(sezione!$AM$29-C565)/C565</f>
        <v>3.6913793722365501E-2</v>
      </c>
      <c r="M565" s="559">
        <f>'Progetto del paramento slu'!$G$60*(sezione!$AN$29-C565)/C565</f>
        <v>6.6550575785433524E-2</v>
      </c>
      <c r="N565" s="559">
        <f>'Progetto del paramento slu'!$G$60*(sezione!$AO$29-C565)/C565</f>
        <v>8.8104599104028458E-2</v>
      </c>
      <c r="O565" s="559">
        <f>'Progetto del paramento slu'!$G$60*(sezione!$AP$29-C565)/C565</f>
        <v>6.6551113340702572E-2</v>
      </c>
      <c r="P565" s="553">
        <f>-'Progetto del paramento slu'!$G$47*'Progetto del paramento slu'!$G$41*IF(DATI!$G$218="dx",DATI!$E$61,DATI!$E$64*DATI!$E$63)*1000*C565*sezione!$AD$5</f>
        <v>-183114.267886822</v>
      </c>
      <c r="Q565" s="553">
        <f>'Foglio deposito bis'!$F$48*IF(ABS(K565)&lt;'Progetto del paramento slu'!$G$58,ABS(K565)*'Progetto del paramento slu'!$G$54,'Progetto del paramento slu'!$G$53)*IF(K565&lt;0,-1,1)</f>
        <v>0</v>
      </c>
      <c r="R565" s="553">
        <f>'Foglio deposito bis'!$F$49*IF(ABS(L565)&lt;'Progetto del paramento slu'!$G$58,ABS(L565)*'Progetto del paramento slu'!$G$54,'Progetto del paramento slu'!$G$53)*IF(L565&lt;0,-1,1)</f>
        <v>204886.47740803001</v>
      </c>
      <c r="S565" s="553">
        <f>'Foglio deposito bis'!$F$50*IF(ABS(M565)&lt;'Progetto del paramento slu'!$G$58,ABS(M565)*'Progetto del paramento slu'!$G$54,'Progetto del paramento slu'!$G$53)*IF(M565&lt;0,-1,1)</f>
        <v>0</v>
      </c>
      <c r="T565" s="553">
        <f>'Foglio deposito bis'!$F$51*IF(ABS(N565)&lt;'Progetto del paramento slu'!$G$58,ABS(N565)*'Progetto del paramento slu'!$G$54,'Progetto del paramento slu'!$G$53)*IF(N565&lt;0,-1,1)</f>
        <v>240946.49743184328</v>
      </c>
      <c r="U565" s="553">
        <f>'Foglio deposito bis'!$F$52*IF(ABS(O565)&lt;'Progetto del paramento slu'!$G$58,ABS(O565)*'Progetto del paramento slu'!$G$54,'Progetto del paramento slu'!$G$53)*IF(O565&lt;0,-1,1)</f>
        <v>240946.49743184328</v>
      </c>
      <c r="V565" s="479">
        <f t="shared" ref="V565:V628" si="45">P565+Q565+R565+S565+T565+U565</f>
        <v>503665.20438489458</v>
      </c>
      <c r="W565" s="559"/>
      <c r="X565" s="559"/>
    </row>
    <row r="566" spans="1:24" x14ac:dyDescent="0.25">
      <c r="A566" s="553">
        <f t="shared" ref="A566:A629" si="46">ABS(V566)</f>
        <v>500804.04394916299</v>
      </c>
      <c r="B566" s="3">
        <f t="shared" si="43"/>
        <v>3.2499999999999964</v>
      </c>
      <c r="C566" s="553">
        <f>'Foglio deposito bis'!$E$155/sezione!$B$247*B566</f>
        <v>13.193592481393766</v>
      </c>
      <c r="D566" s="611">
        <f>-'Progetto del paramento slu'!$G$47*'Progetto del paramento slu'!$G$41*IF(DATI!$G$218="dx",DATI!$E$61,DATI!$E$64*DATI!$E$63)*1000*C566^2*sezione!$AD$5*(1-sezione!$AD$6)</f>
        <v>-1432951.4634988103</v>
      </c>
      <c r="E566" s="553">
        <f>-'Foglio deposito bis'!$F$48*(C566-sezione!$AL$29)*IF(ABS(K566)&lt;'Progetto del paramento slu'!$G$58,ABS(K566)*'Progetto del paramento slu'!$G$54,'Progetto del paramento slu'!$G$53)</f>
        <v>0</v>
      </c>
      <c r="F566" s="553">
        <f>-'Foglio deposito bis'!$F$49*(C566-sezione!$AM$29)*IF(ABS(L566)&lt;'Progetto del paramento slu'!$G$58,ABS(L566)*'Progetto del paramento slu'!$G$54,'Progetto del paramento slu'!$G$53)</f>
        <v>28029782.923334662</v>
      </c>
      <c r="G566" s="553">
        <f>-'Foglio deposito bis'!$F$50*(C566-sezione!$AN$29)*IF(ABS(M566)&lt;'Progetto del paramento slu'!$G$58,ABS(M566)*'Progetto del paramento slu'!$G$54,'Progetto del paramento slu'!$G$53)</f>
        <v>0</v>
      </c>
      <c r="H566" s="553">
        <f>-'Foglio deposito bis'!$F$51*(C566-sezione!$AO$29)*IF(ABS(N566)&lt;'Progetto del paramento slu'!$G$58,ABS(N566)*'Progetto del paramento slu'!$G$54,'Progetto del paramento slu'!$G$53)</f>
        <v>78742859.229891792</v>
      </c>
      <c r="I566" s="479">
        <f>-'Foglio deposito bis'!$F$52*(C566-sezione!$AP$29)*IF(ABS(O566)&lt;'Progetto del paramento slu'!$G$58,ABS(O566)*'Progetto del paramento slu'!$G$54,'Progetto del paramento slu'!$G$53)</f>
        <v>59467620.169942535</v>
      </c>
      <c r="J566" s="479">
        <f t="shared" si="44"/>
        <v>164807310.85967016</v>
      </c>
      <c r="K566" s="558">
        <f>'Progetto del paramento slu'!$G$60*(sezione!$AL$29-C566)/C566</f>
        <v>7.1112114799236591E-3</v>
      </c>
      <c r="L566" s="558">
        <f>'Progetto del paramento slu'!$G$60*(sezione!$AM$29-C566)/C566</f>
        <v>3.6292043049713715E-2</v>
      </c>
      <c r="M566" s="559">
        <f>'Progetto del paramento slu'!$G$60*(sezione!$AN$29-C566)/C566</f>
        <v>6.5472874619503768E-2</v>
      </c>
      <c r="N566" s="559">
        <f>'Progetto del paramento slu'!$G$60*(sezione!$AO$29-C566)/C566</f>
        <v>8.6695297579351113E-2</v>
      </c>
      <c r="O566" s="559">
        <f>'Progetto del paramento slu'!$G$60*(sezione!$AP$29-C566)/C566</f>
        <v>6.5473403904691752E-2</v>
      </c>
      <c r="P566" s="553">
        <f>-'Progetto del paramento slu'!$G$47*'Progetto del paramento slu'!$G$41*IF(DATI!$G$218="dx",DATI!$E$61,DATI!$E$64*DATI!$E$63)*1000*C566*sezione!$AD$5</f>
        <v>-185975.42832255358</v>
      </c>
      <c r="Q566" s="553">
        <f>'Foglio deposito bis'!$F$48*IF(ABS(K566)&lt;'Progetto del paramento slu'!$G$58,ABS(K566)*'Progetto del paramento slu'!$G$54,'Progetto del paramento slu'!$G$53)*IF(K566&lt;0,-1,1)</f>
        <v>0</v>
      </c>
      <c r="R566" s="553">
        <f>'Foglio deposito bis'!$F$49*IF(ABS(L566)&lt;'Progetto del paramento slu'!$G$58,ABS(L566)*'Progetto del paramento slu'!$G$54,'Progetto del paramento slu'!$G$53)*IF(L566&lt;0,-1,1)</f>
        <v>204886.47740803001</v>
      </c>
      <c r="S566" s="553">
        <f>'Foglio deposito bis'!$F$50*IF(ABS(M566)&lt;'Progetto del paramento slu'!$G$58,ABS(M566)*'Progetto del paramento slu'!$G$54,'Progetto del paramento slu'!$G$53)*IF(M566&lt;0,-1,1)</f>
        <v>0</v>
      </c>
      <c r="T566" s="553">
        <f>'Foglio deposito bis'!$F$51*IF(ABS(N566)&lt;'Progetto del paramento slu'!$G$58,ABS(N566)*'Progetto del paramento slu'!$G$54,'Progetto del paramento slu'!$G$53)*IF(N566&lt;0,-1,1)</f>
        <v>240946.49743184328</v>
      </c>
      <c r="U566" s="553">
        <f>'Foglio deposito bis'!$F$52*IF(ABS(O566)&lt;'Progetto del paramento slu'!$G$58,ABS(O566)*'Progetto del paramento slu'!$G$54,'Progetto del paramento slu'!$G$53)*IF(O566&lt;0,-1,1)</f>
        <v>240946.49743184328</v>
      </c>
      <c r="V566" s="479">
        <f t="shared" si="45"/>
        <v>500804.04394916299</v>
      </c>
      <c r="W566" s="559"/>
      <c r="X566" s="559"/>
    </row>
    <row r="567" spans="1:24" x14ac:dyDescent="0.25">
      <c r="A567" s="553">
        <f t="shared" si="46"/>
        <v>497942.88351343141</v>
      </c>
      <c r="B567" s="3">
        <f t="shared" ref="B567:B603" si="47">B566+0.05</f>
        <v>3.2999999999999963</v>
      </c>
      <c r="C567" s="553">
        <f>'Foglio deposito bis'!$E$155/sezione!$B$247*B567</f>
        <v>13.396570827261362</v>
      </c>
      <c r="D567" s="611">
        <f>-'Progetto del paramento slu'!$G$47*'Progetto del paramento slu'!$G$41*IF(DATI!$G$218="dx",DATI!$E$61,DATI!$E$64*DATI!$E$63)*1000*C567^2*sezione!$AD$5*(1-sezione!$AD$6)</f>
        <v>-1477381.4378700159</v>
      </c>
      <c r="E567" s="553">
        <f>-'Foglio deposito bis'!$F$48*(C567-sezione!$AL$29)*IF(ABS(K567)&lt;'Progetto del paramento slu'!$G$58,ABS(K567)*'Progetto del paramento slu'!$G$54,'Progetto del paramento slu'!$G$53)</f>
        <v>0</v>
      </c>
      <c r="F567" s="553">
        <f>-'Foglio deposito bis'!$F$49*(C567-sezione!$AM$29)*IF(ABS(L567)&lt;'Progetto del paramento slu'!$G$58,ABS(L567)*'Progetto del paramento slu'!$G$54,'Progetto del paramento slu'!$G$53)</f>
        <v>27988195.40505974</v>
      </c>
      <c r="G567" s="553">
        <f>-'Foglio deposito bis'!$F$50*(C567-sezione!$AN$29)*IF(ABS(M567)&lt;'Progetto del paramento slu'!$G$58,ABS(M567)*'Progetto del paramento slu'!$G$54,'Progetto del paramento slu'!$G$53)</f>
        <v>0</v>
      </c>
      <c r="H567" s="553">
        <f>-'Foglio deposito bis'!$F$51*(C567-sezione!$AO$29)*IF(ABS(N567)&lt;'Progetto del paramento slu'!$G$58,ABS(N567)*'Progetto del paramento slu'!$G$54,'Progetto del paramento slu'!$G$53)</f>
        <v>78693952.308400467</v>
      </c>
      <c r="I567" s="479">
        <f>-'Foglio deposito bis'!$F$52*(C567-sezione!$AP$29)*IF(ABS(O567)&lt;'Progetto del paramento slu'!$G$58,ABS(O567)*'Progetto del paramento slu'!$G$54,'Progetto del paramento slu'!$G$53)</f>
        <v>59418713.248451233</v>
      </c>
      <c r="J567" s="479">
        <f t="shared" si="44"/>
        <v>164623479.52404141</v>
      </c>
      <c r="K567" s="558">
        <f>'Progetto del paramento slu'!$G$60*(sezione!$AL$29-C567)/C567</f>
        <v>6.9504355484096636E-3</v>
      </c>
      <c r="L567" s="558">
        <f>'Progetto del paramento slu'!$G$60*(sezione!$AM$29-C567)/C567</f>
        <v>3.5689133306536239E-2</v>
      </c>
      <c r="M567" s="559">
        <f>'Progetto del paramento slu'!$G$60*(sezione!$AN$29-C567)/C567</f>
        <v>6.4427831064662822E-2</v>
      </c>
      <c r="N567" s="559">
        <f>'Progetto del paramento slu'!$G$60*(sezione!$AO$29-C567)/C567</f>
        <v>8.5328702161482153E-2</v>
      </c>
      <c r="O567" s="559">
        <f>'Progetto del paramento slu'!$G$60*(sezione!$AP$29-C567)/C567</f>
        <v>6.4428352330378247E-2</v>
      </c>
      <c r="P567" s="553">
        <f>-'Progetto del paramento slu'!$G$47*'Progetto del paramento slu'!$G$41*IF(DATI!$G$218="dx",DATI!$E$61,DATI!$E$64*DATI!$E$63)*1000*C567*sezione!$AD$5</f>
        <v>-188836.58875828516</v>
      </c>
      <c r="Q567" s="553">
        <f>'Foglio deposito bis'!$F$48*IF(ABS(K567)&lt;'Progetto del paramento slu'!$G$58,ABS(K567)*'Progetto del paramento slu'!$G$54,'Progetto del paramento slu'!$G$53)*IF(K567&lt;0,-1,1)</f>
        <v>0</v>
      </c>
      <c r="R567" s="553">
        <f>'Foglio deposito bis'!$F$49*IF(ABS(L567)&lt;'Progetto del paramento slu'!$G$58,ABS(L567)*'Progetto del paramento slu'!$G$54,'Progetto del paramento slu'!$G$53)*IF(L567&lt;0,-1,1)</f>
        <v>204886.47740803001</v>
      </c>
      <c r="S567" s="553">
        <f>'Foglio deposito bis'!$F$50*IF(ABS(M567)&lt;'Progetto del paramento slu'!$G$58,ABS(M567)*'Progetto del paramento slu'!$G$54,'Progetto del paramento slu'!$G$53)*IF(M567&lt;0,-1,1)</f>
        <v>0</v>
      </c>
      <c r="T567" s="553">
        <f>'Foglio deposito bis'!$F$51*IF(ABS(N567)&lt;'Progetto del paramento slu'!$G$58,ABS(N567)*'Progetto del paramento slu'!$G$54,'Progetto del paramento slu'!$G$53)*IF(N567&lt;0,-1,1)</f>
        <v>240946.49743184328</v>
      </c>
      <c r="U567" s="553">
        <f>'Foglio deposito bis'!$F$52*IF(ABS(O567)&lt;'Progetto del paramento slu'!$G$58,ABS(O567)*'Progetto del paramento slu'!$G$54,'Progetto del paramento slu'!$G$53)*IF(O567&lt;0,-1,1)</f>
        <v>240946.49743184328</v>
      </c>
      <c r="V567" s="479">
        <f t="shared" si="45"/>
        <v>497942.88351343141</v>
      </c>
      <c r="W567" s="559"/>
      <c r="X567" s="559"/>
    </row>
    <row r="568" spans="1:24" x14ac:dyDescent="0.25">
      <c r="A568" s="553">
        <f t="shared" si="46"/>
        <v>495081.72307769977</v>
      </c>
      <c r="B568" s="3">
        <f t="shared" si="47"/>
        <v>3.3499999999999961</v>
      </c>
      <c r="C568" s="553">
        <f>'Foglio deposito bis'!$E$155/sezione!$B$247*B568</f>
        <v>13.599549173128958</v>
      </c>
      <c r="D568" s="611">
        <f>-'Progetto del paramento slu'!$G$47*'Progetto del paramento slu'!$G$41*IF(DATI!$G$218="dx",DATI!$E$61,DATI!$E$64*DATI!$E$63)*1000*C568^2*sezione!$AD$5*(1-sezione!$AD$6)</f>
        <v>-1522489.7324606294</v>
      </c>
      <c r="E568" s="553">
        <f>-'Foglio deposito bis'!$F$48*(C568-sezione!$AL$29)*IF(ABS(K568)&lt;'Progetto del paramento slu'!$G$58,ABS(K568)*'Progetto del paramento slu'!$G$54,'Progetto del paramento slu'!$G$53)</f>
        <v>0</v>
      </c>
      <c r="F568" s="553">
        <f>-'Foglio deposito bis'!$F$49*(C568-sezione!$AM$29)*IF(ABS(L568)&lt;'Progetto del paramento slu'!$G$58,ABS(L568)*'Progetto del paramento slu'!$G$54,'Progetto del paramento slu'!$G$53)</f>
        <v>27946607.886784818</v>
      </c>
      <c r="G568" s="553">
        <f>-'Foglio deposito bis'!$F$50*(C568-sezione!$AN$29)*IF(ABS(M568)&lt;'Progetto del paramento slu'!$G$58,ABS(M568)*'Progetto del paramento slu'!$G$54,'Progetto del paramento slu'!$G$53)</f>
        <v>0</v>
      </c>
      <c r="H568" s="553">
        <f>-'Foglio deposito bis'!$F$51*(C568-sezione!$AO$29)*IF(ABS(N568)&lt;'Progetto del paramento slu'!$G$58,ABS(N568)*'Progetto del paramento slu'!$G$54,'Progetto del paramento slu'!$G$53)</f>
        <v>78645045.386909172</v>
      </c>
      <c r="I568" s="479">
        <f>-'Foglio deposito bis'!$F$52*(C568-sezione!$AP$29)*IF(ABS(O568)&lt;'Progetto del paramento slu'!$G$58,ABS(O568)*'Progetto del paramento slu'!$G$54,'Progetto del paramento slu'!$G$53)</f>
        <v>59369806.326959938</v>
      </c>
      <c r="J568" s="479">
        <f t="shared" si="44"/>
        <v>164438969.8681933</v>
      </c>
      <c r="K568" s="558">
        <f>'Progetto del paramento slu'!$G$60*(sezione!$AL$29-C568)/C568</f>
        <v>6.7944588984334012E-3</v>
      </c>
      <c r="L568" s="558">
        <f>'Progetto del paramento slu'!$G$60*(sezione!$AM$29-C568)/C568</f>
        <v>3.5104220869125249E-2</v>
      </c>
      <c r="M568" s="559">
        <f>'Progetto del paramento slu'!$G$60*(sezione!$AN$29-C568)/C568</f>
        <v>6.3413982839817112E-2</v>
      </c>
      <c r="N568" s="559">
        <f>'Progetto del paramento slu'!$G$60*(sezione!$AO$29-C568)/C568</f>
        <v>8.4002900636683919E-2</v>
      </c>
      <c r="O568" s="559">
        <f>'Progetto del paramento slu'!$G$60*(sezione!$AP$29-C568)/C568</f>
        <v>6.3414496325447239E-2</v>
      </c>
      <c r="P568" s="553">
        <f>-'Progetto del paramento slu'!$G$47*'Progetto del paramento slu'!$G$41*IF(DATI!$G$218="dx",DATI!$E$61,DATI!$E$64*DATI!$E$63)*1000*C568*sezione!$AD$5</f>
        <v>-191697.74919401677</v>
      </c>
      <c r="Q568" s="553">
        <f>'Foglio deposito bis'!$F$48*IF(ABS(K568)&lt;'Progetto del paramento slu'!$G$58,ABS(K568)*'Progetto del paramento slu'!$G$54,'Progetto del paramento slu'!$G$53)*IF(K568&lt;0,-1,1)</f>
        <v>0</v>
      </c>
      <c r="R568" s="553">
        <f>'Foglio deposito bis'!$F$49*IF(ABS(L568)&lt;'Progetto del paramento slu'!$G$58,ABS(L568)*'Progetto del paramento slu'!$G$54,'Progetto del paramento slu'!$G$53)*IF(L568&lt;0,-1,1)</f>
        <v>204886.47740803001</v>
      </c>
      <c r="S568" s="553">
        <f>'Foglio deposito bis'!$F$50*IF(ABS(M568)&lt;'Progetto del paramento slu'!$G$58,ABS(M568)*'Progetto del paramento slu'!$G$54,'Progetto del paramento slu'!$G$53)*IF(M568&lt;0,-1,1)</f>
        <v>0</v>
      </c>
      <c r="T568" s="553">
        <f>'Foglio deposito bis'!$F$51*IF(ABS(N568)&lt;'Progetto del paramento slu'!$G$58,ABS(N568)*'Progetto del paramento slu'!$G$54,'Progetto del paramento slu'!$G$53)*IF(N568&lt;0,-1,1)</f>
        <v>240946.49743184328</v>
      </c>
      <c r="U568" s="553">
        <f>'Foglio deposito bis'!$F$52*IF(ABS(O568)&lt;'Progetto del paramento slu'!$G$58,ABS(O568)*'Progetto del paramento slu'!$G$54,'Progetto del paramento slu'!$G$53)*IF(O568&lt;0,-1,1)</f>
        <v>240946.49743184328</v>
      </c>
      <c r="V568" s="479">
        <f t="shared" si="45"/>
        <v>495081.72307769977</v>
      </c>
      <c r="W568" s="559"/>
      <c r="X568" s="559"/>
    </row>
    <row r="569" spans="1:24" x14ac:dyDescent="0.25">
      <c r="A569" s="553">
        <f t="shared" si="46"/>
        <v>492220.56264196825</v>
      </c>
      <c r="B569" s="3">
        <f t="shared" si="47"/>
        <v>3.3999999999999959</v>
      </c>
      <c r="C569" s="553">
        <f>'Foglio deposito bis'!$E$155/sezione!$B$247*B569</f>
        <v>13.802527518996554</v>
      </c>
      <c r="D569" s="611">
        <f>-'Progetto del paramento slu'!$G$47*'Progetto del paramento slu'!$G$41*IF(DATI!$G$218="dx",DATI!$E$61,DATI!$E$64*DATI!$E$63)*1000*C569^2*sezione!$AD$5*(1-sezione!$AD$6)</f>
        <v>-1568276.3472706503</v>
      </c>
      <c r="E569" s="553">
        <f>-'Foglio deposito bis'!$F$48*(C569-sezione!$AL$29)*IF(ABS(K569)&lt;'Progetto del paramento slu'!$G$58,ABS(K569)*'Progetto del paramento slu'!$G$54,'Progetto del paramento slu'!$G$53)</f>
        <v>0</v>
      </c>
      <c r="F569" s="553">
        <f>-'Foglio deposito bis'!$F$49*(C569-sezione!$AM$29)*IF(ABS(L569)&lt;'Progetto del paramento slu'!$G$58,ABS(L569)*'Progetto del paramento slu'!$G$54,'Progetto del paramento slu'!$G$53)</f>
        <v>27905020.3685099</v>
      </c>
      <c r="G569" s="553">
        <f>-'Foglio deposito bis'!$F$50*(C569-sezione!$AN$29)*IF(ABS(M569)&lt;'Progetto del paramento slu'!$G$58,ABS(M569)*'Progetto del paramento slu'!$G$54,'Progetto del paramento slu'!$G$53)</f>
        <v>0</v>
      </c>
      <c r="H569" s="553">
        <f>-'Foglio deposito bis'!$F$51*(C569-sezione!$AO$29)*IF(ABS(N569)&lt;'Progetto del paramento slu'!$G$58,ABS(N569)*'Progetto del paramento slu'!$G$54,'Progetto del paramento slu'!$G$53)</f>
        <v>78596138.465417862</v>
      </c>
      <c r="I569" s="479">
        <f>-'Foglio deposito bis'!$F$52*(C569-sezione!$AP$29)*IF(ABS(O569)&lt;'Progetto del paramento slu'!$G$58,ABS(O569)*'Progetto del paramento slu'!$G$54,'Progetto del paramento slu'!$G$53)</f>
        <v>59320899.405468628</v>
      </c>
      <c r="J569" s="479">
        <f t="shared" si="44"/>
        <v>164253781.89212573</v>
      </c>
      <c r="K569" s="558">
        <f>'Progetto del paramento slu'!$G$60*(sezione!$AL$29-C569)/C569</f>
        <v>6.6430697969858512E-3</v>
      </c>
      <c r="L569" s="558">
        <f>'Progetto del paramento slu'!$G$60*(sezione!$AM$29-C569)/C569</f>
        <v>3.4536511738696943E-2</v>
      </c>
      <c r="M569" s="559">
        <f>'Progetto del paramento slu'!$G$60*(sezione!$AN$29-C569)/C569</f>
        <v>6.2429953680408039E-2</v>
      </c>
      <c r="N569" s="559">
        <f>'Progetto del paramento slu'!$G$60*(sezione!$AO$29-C569)/C569</f>
        <v>8.2716093274379746E-2</v>
      </c>
      <c r="O569" s="559">
        <f>'Progetto del paramento slu'!$G$60*(sezione!$AP$29-C569)/C569</f>
        <v>6.2430459614778895E-2</v>
      </c>
      <c r="P569" s="553">
        <f>-'Progetto del paramento slu'!$G$47*'Progetto del paramento slu'!$G$41*IF(DATI!$G$218="dx",DATI!$E$61,DATI!$E$64*DATI!$E$63)*1000*C569*sezione!$AD$5</f>
        <v>-194558.90962974832</v>
      </c>
      <c r="Q569" s="553">
        <f>'Foglio deposito bis'!$F$48*IF(ABS(K569)&lt;'Progetto del paramento slu'!$G$58,ABS(K569)*'Progetto del paramento slu'!$G$54,'Progetto del paramento slu'!$G$53)*IF(K569&lt;0,-1,1)</f>
        <v>0</v>
      </c>
      <c r="R569" s="553">
        <f>'Foglio deposito bis'!$F$49*IF(ABS(L569)&lt;'Progetto del paramento slu'!$G$58,ABS(L569)*'Progetto del paramento slu'!$G$54,'Progetto del paramento slu'!$G$53)*IF(L569&lt;0,-1,1)</f>
        <v>204886.47740803001</v>
      </c>
      <c r="S569" s="553">
        <f>'Foglio deposito bis'!$F$50*IF(ABS(M569)&lt;'Progetto del paramento slu'!$G$58,ABS(M569)*'Progetto del paramento slu'!$G$54,'Progetto del paramento slu'!$G$53)*IF(M569&lt;0,-1,1)</f>
        <v>0</v>
      </c>
      <c r="T569" s="553">
        <f>'Foglio deposito bis'!$F$51*IF(ABS(N569)&lt;'Progetto del paramento slu'!$G$58,ABS(N569)*'Progetto del paramento slu'!$G$54,'Progetto del paramento slu'!$G$53)*IF(N569&lt;0,-1,1)</f>
        <v>240946.49743184328</v>
      </c>
      <c r="U569" s="553">
        <f>'Foglio deposito bis'!$F$52*IF(ABS(O569)&lt;'Progetto del paramento slu'!$G$58,ABS(O569)*'Progetto del paramento slu'!$G$54,'Progetto del paramento slu'!$G$53)*IF(O569&lt;0,-1,1)</f>
        <v>240946.49743184328</v>
      </c>
      <c r="V569" s="479">
        <f t="shared" si="45"/>
        <v>492220.56264196825</v>
      </c>
      <c r="W569" s="559"/>
      <c r="X569" s="559"/>
    </row>
    <row r="570" spans="1:24" x14ac:dyDescent="0.25">
      <c r="A570" s="553">
        <f t="shared" si="46"/>
        <v>489359.40220623661</v>
      </c>
      <c r="B570" s="3">
        <f t="shared" si="47"/>
        <v>3.4499999999999957</v>
      </c>
      <c r="C570" s="553">
        <f>'Foglio deposito bis'!$E$155/sezione!$B$247*B570</f>
        <v>14.00550586486415</v>
      </c>
      <c r="D570" s="611">
        <f>-'Progetto del paramento slu'!$G$47*'Progetto del paramento slu'!$G$41*IF(DATI!$G$218="dx",DATI!$E$61,DATI!$E$64*DATI!$E$63)*1000*C570^2*sezione!$AD$5*(1-sezione!$AD$6)</f>
        <v>-1614741.282300079</v>
      </c>
      <c r="E570" s="553">
        <f>-'Foglio deposito bis'!$F$48*(C570-sezione!$AL$29)*IF(ABS(K570)&lt;'Progetto del paramento slu'!$G$58,ABS(K570)*'Progetto del paramento slu'!$G$54,'Progetto del paramento slu'!$G$53)</f>
        <v>0</v>
      </c>
      <c r="F570" s="553">
        <f>-'Foglio deposito bis'!$F$49*(C570-sezione!$AM$29)*IF(ABS(L570)&lt;'Progetto del paramento slu'!$G$58,ABS(L570)*'Progetto del paramento slu'!$G$54,'Progetto del paramento slu'!$G$53)</f>
        <v>27863432.850234985</v>
      </c>
      <c r="G570" s="553">
        <f>-'Foglio deposito bis'!$F$50*(C570-sezione!$AN$29)*IF(ABS(M570)&lt;'Progetto del paramento slu'!$G$58,ABS(M570)*'Progetto del paramento slu'!$G$54,'Progetto del paramento slu'!$G$53)</f>
        <v>0</v>
      </c>
      <c r="H570" s="553">
        <f>-'Foglio deposito bis'!$F$51*(C570-sezione!$AO$29)*IF(ABS(N570)&lt;'Progetto del paramento slu'!$G$58,ABS(N570)*'Progetto del paramento slu'!$G$54,'Progetto del paramento slu'!$G$53)</f>
        <v>78547231.543926552</v>
      </c>
      <c r="I570" s="479">
        <f>-'Foglio deposito bis'!$F$52*(C570-sezione!$AP$29)*IF(ABS(O570)&lt;'Progetto del paramento slu'!$G$58,ABS(O570)*'Progetto del paramento slu'!$G$54,'Progetto del paramento slu'!$G$53)</f>
        <v>59271992.483977325</v>
      </c>
      <c r="J570" s="479">
        <f t="shared" si="44"/>
        <v>164067915.59583879</v>
      </c>
      <c r="K570" s="558">
        <f>'Progetto del paramento slu'!$G$60*(sezione!$AL$29-C570)/C570</f>
        <v>6.4960687854353329E-3</v>
      </c>
      <c r="L570" s="558">
        <f>'Progetto del paramento slu'!$G$60*(sezione!$AM$29-C570)/C570</f>
        <v>3.3985257945382499E-2</v>
      </c>
      <c r="M570" s="559">
        <f>'Progetto del paramento slu'!$G$60*(sezione!$AN$29-C570)/C570</f>
        <v>6.1474447105329663E-2</v>
      </c>
      <c r="N570" s="559">
        <f>'Progetto del paramento slu'!$G$60*(sezione!$AO$29-C570)/C570</f>
        <v>8.1466584676200327E-2</v>
      </c>
      <c r="O570" s="559">
        <f>'Progetto del paramento slu'!$G$60*(sezione!$AP$29-C570)/C570</f>
        <v>6.1474945707318332E-2</v>
      </c>
      <c r="P570" s="553">
        <f>-'Progetto del paramento slu'!$G$47*'Progetto del paramento slu'!$G$41*IF(DATI!$G$218="dx",DATI!$E$61,DATI!$E$64*DATI!$E$63)*1000*C570*sezione!$AD$5</f>
        <v>-197420.07006547993</v>
      </c>
      <c r="Q570" s="553">
        <f>'Foglio deposito bis'!$F$48*IF(ABS(K570)&lt;'Progetto del paramento slu'!$G$58,ABS(K570)*'Progetto del paramento slu'!$G$54,'Progetto del paramento slu'!$G$53)*IF(K570&lt;0,-1,1)</f>
        <v>0</v>
      </c>
      <c r="R570" s="553">
        <f>'Foglio deposito bis'!$F$49*IF(ABS(L570)&lt;'Progetto del paramento slu'!$G$58,ABS(L570)*'Progetto del paramento slu'!$G$54,'Progetto del paramento slu'!$G$53)*IF(L570&lt;0,-1,1)</f>
        <v>204886.47740803001</v>
      </c>
      <c r="S570" s="553">
        <f>'Foglio deposito bis'!$F$50*IF(ABS(M570)&lt;'Progetto del paramento slu'!$G$58,ABS(M570)*'Progetto del paramento slu'!$G$54,'Progetto del paramento slu'!$G$53)*IF(M570&lt;0,-1,1)</f>
        <v>0</v>
      </c>
      <c r="T570" s="553">
        <f>'Foglio deposito bis'!$F$51*IF(ABS(N570)&lt;'Progetto del paramento slu'!$G$58,ABS(N570)*'Progetto del paramento slu'!$G$54,'Progetto del paramento slu'!$G$53)*IF(N570&lt;0,-1,1)</f>
        <v>240946.49743184328</v>
      </c>
      <c r="U570" s="553">
        <f>'Foglio deposito bis'!$F$52*IF(ABS(O570)&lt;'Progetto del paramento slu'!$G$58,ABS(O570)*'Progetto del paramento slu'!$G$54,'Progetto del paramento slu'!$G$53)*IF(O570&lt;0,-1,1)</f>
        <v>240946.49743184328</v>
      </c>
      <c r="V570" s="479">
        <f t="shared" si="45"/>
        <v>489359.40220623661</v>
      </c>
      <c r="W570" s="559"/>
      <c r="X570" s="559"/>
    </row>
    <row r="571" spans="1:24" x14ac:dyDescent="0.25">
      <c r="A571" s="553">
        <f t="shared" si="46"/>
        <v>486498.24177050509</v>
      </c>
      <c r="B571" s="3">
        <f t="shared" si="47"/>
        <v>3.4999999999999956</v>
      </c>
      <c r="C571" s="553">
        <f>'Foglio deposito bis'!$E$155/sezione!$B$247*B571</f>
        <v>14.208484210731745</v>
      </c>
      <c r="D571" s="611">
        <f>-'Progetto del paramento slu'!$G$47*'Progetto del paramento slu'!$G$41*IF(DATI!$G$218="dx",DATI!$E$61,DATI!$E$64*DATI!$E$63)*1000*C571^2*sezione!$AD$5*(1-sezione!$AD$6)</f>
        <v>-1661884.537548915</v>
      </c>
      <c r="E571" s="553">
        <f>-'Foglio deposito bis'!$F$48*(C571-sezione!$AL$29)*IF(ABS(K571)&lt;'Progetto del paramento slu'!$G$58,ABS(K571)*'Progetto del paramento slu'!$G$54,'Progetto del paramento slu'!$G$53)</f>
        <v>0</v>
      </c>
      <c r="F571" s="553">
        <f>-'Foglio deposito bis'!$F$49*(C571-sezione!$AM$29)*IF(ABS(L571)&lt;'Progetto del paramento slu'!$G$58,ABS(L571)*'Progetto del paramento slu'!$G$54,'Progetto del paramento slu'!$G$53)</f>
        <v>27821845.331960063</v>
      </c>
      <c r="G571" s="553">
        <f>-'Foglio deposito bis'!$F$50*(C571-sezione!$AN$29)*IF(ABS(M571)&lt;'Progetto del paramento slu'!$G$58,ABS(M571)*'Progetto del paramento slu'!$G$54,'Progetto del paramento slu'!$G$53)</f>
        <v>0</v>
      </c>
      <c r="H571" s="553">
        <f>-'Foglio deposito bis'!$F$51*(C571-sezione!$AO$29)*IF(ABS(N571)&lt;'Progetto del paramento slu'!$G$58,ABS(N571)*'Progetto del paramento slu'!$G$54,'Progetto del paramento slu'!$G$53)</f>
        <v>78498324.622435257</v>
      </c>
      <c r="I571" s="479">
        <f>-'Foglio deposito bis'!$F$52*(C571-sezione!$AP$29)*IF(ABS(O571)&lt;'Progetto del paramento slu'!$G$58,ABS(O571)*'Progetto del paramento slu'!$G$54,'Progetto del paramento slu'!$G$53)</f>
        <v>59223085.562486015</v>
      </c>
      <c r="J571" s="479">
        <f t="shared" si="44"/>
        <v>163881370.97933242</v>
      </c>
      <c r="K571" s="558">
        <f>'Progetto del paramento slu'!$G$60*(sezione!$AL$29-C571)/C571</f>
        <v>6.353267802786256E-3</v>
      </c>
      <c r="L571" s="558">
        <f>'Progetto del paramento slu'!$G$60*(sezione!$AM$29-C571)/C571</f>
        <v>3.344975426044846E-2</v>
      </c>
      <c r="M571" s="559">
        <f>'Progetto del paramento slu'!$G$60*(sezione!$AN$29-C571)/C571</f>
        <v>6.0546240718110669E-2</v>
      </c>
      <c r="N571" s="559">
        <f>'Progetto del paramento slu'!$G$60*(sezione!$AO$29-C571)/C571</f>
        <v>8.0252776323683189E-2</v>
      </c>
      <c r="O571" s="559">
        <f>'Progetto del paramento slu'!$G$60*(sezione!$AP$29-C571)/C571</f>
        <v>6.0546732197213793E-2</v>
      </c>
      <c r="P571" s="553">
        <f>-'Progetto del paramento slu'!$G$47*'Progetto del paramento slu'!$G$41*IF(DATI!$G$218="dx",DATI!$E$61,DATI!$E$64*DATI!$E$63)*1000*C571*sezione!$AD$5</f>
        <v>-200281.23050121151</v>
      </c>
      <c r="Q571" s="553">
        <f>'Foglio deposito bis'!$F$48*IF(ABS(K571)&lt;'Progetto del paramento slu'!$G$58,ABS(K571)*'Progetto del paramento slu'!$G$54,'Progetto del paramento slu'!$G$53)*IF(K571&lt;0,-1,1)</f>
        <v>0</v>
      </c>
      <c r="R571" s="553">
        <f>'Foglio deposito bis'!$F$49*IF(ABS(L571)&lt;'Progetto del paramento slu'!$G$58,ABS(L571)*'Progetto del paramento slu'!$G$54,'Progetto del paramento slu'!$G$53)*IF(L571&lt;0,-1,1)</f>
        <v>204886.47740803001</v>
      </c>
      <c r="S571" s="553">
        <f>'Foglio deposito bis'!$F$50*IF(ABS(M571)&lt;'Progetto del paramento slu'!$G$58,ABS(M571)*'Progetto del paramento slu'!$G$54,'Progetto del paramento slu'!$G$53)*IF(M571&lt;0,-1,1)</f>
        <v>0</v>
      </c>
      <c r="T571" s="553">
        <f>'Foglio deposito bis'!$F$51*IF(ABS(N571)&lt;'Progetto del paramento slu'!$G$58,ABS(N571)*'Progetto del paramento slu'!$G$54,'Progetto del paramento slu'!$G$53)*IF(N571&lt;0,-1,1)</f>
        <v>240946.49743184328</v>
      </c>
      <c r="U571" s="553">
        <f>'Foglio deposito bis'!$F$52*IF(ABS(O571)&lt;'Progetto del paramento slu'!$G$58,ABS(O571)*'Progetto del paramento slu'!$G$54,'Progetto del paramento slu'!$G$53)*IF(O571&lt;0,-1,1)</f>
        <v>240946.49743184328</v>
      </c>
      <c r="V571" s="479">
        <f t="shared" si="45"/>
        <v>486498.24177050509</v>
      </c>
      <c r="W571" s="559"/>
      <c r="X571" s="559"/>
    </row>
    <row r="572" spans="1:24" x14ac:dyDescent="0.25">
      <c r="A572" s="553">
        <f t="shared" si="46"/>
        <v>483637.08133477345</v>
      </c>
      <c r="B572" s="3">
        <f t="shared" si="47"/>
        <v>3.5499999999999954</v>
      </c>
      <c r="C572" s="553">
        <f>'Foglio deposito bis'!$E$155/sezione!$B$247*B572</f>
        <v>14.411462556599341</v>
      </c>
      <c r="D572" s="611">
        <f>-'Progetto del paramento slu'!$G$47*'Progetto del paramento slu'!$G$41*IF(DATI!$G$218="dx",DATI!$E$61,DATI!$E$64*DATI!$E$63)*1000*C572^2*sezione!$AD$5*(1-sezione!$AD$6)</f>
        <v>-1709706.1130171593</v>
      </c>
      <c r="E572" s="553">
        <f>-'Foglio deposito bis'!$F$48*(C572-sezione!$AL$29)*IF(ABS(K572)&lt;'Progetto del paramento slu'!$G$58,ABS(K572)*'Progetto del paramento slu'!$G$54,'Progetto del paramento slu'!$G$53)</f>
        <v>0</v>
      </c>
      <c r="F572" s="553">
        <f>-'Foglio deposito bis'!$F$49*(C572-sezione!$AM$29)*IF(ABS(L572)&lt;'Progetto del paramento slu'!$G$58,ABS(L572)*'Progetto del paramento slu'!$G$54,'Progetto del paramento slu'!$G$53)</f>
        <v>27780257.813685142</v>
      </c>
      <c r="G572" s="553">
        <f>-'Foglio deposito bis'!$F$50*(C572-sezione!$AN$29)*IF(ABS(M572)&lt;'Progetto del paramento slu'!$G$58,ABS(M572)*'Progetto del paramento slu'!$G$54,'Progetto del paramento slu'!$G$53)</f>
        <v>0</v>
      </c>
      <c r="H572" s="553">
        <f>-'Foglio deposito bis'!$F$51*(C572-sezione!$AO$29)*IF(ABS(N572)&lt;'Progetto del paramento slu'!$G$58,ABS(N572)*'Progetto del paramento slu'!$G$54,'Progetto del paramento slu'!$G$53)</f>
        <v>78449417.700943932</v>
      </c>
      <c r="I572" s="479">
        <f>-'Foglio deposito bis'!$F$52*(C572-sezione!$AP$29)*IF(ABS(O572)&lt;'Progetto del paramento slu'!$G$58,ABS(O572)*'Progetto del paramento slu'!$G$54,'Progetto del paramento slu'!$G$53)</f>
        <v>59174178.640994705</v>
      </c>
      <c r="J572" s="479">
        <f t="shared" si="44"/>
        <v>163694148.04260662</v>
      </c>
      <c r="K572" s="558">
        <f>'Progetto del paramento slu'!$G$60*(sezione!$AL$29-C572)/C572</f>
        <v>6.2144893830287044E-3</v>
      </c>
      <c r="L572" s="558">
        <f>'Progetto del paramento slu'!$G$60*(sezione!$AM$29-C572)/C572</f>
        <v>3.2929335186357642E-2</v>
      </c>
      <c r="M572" s="559">
        <f>'Progetto del paramento slu'!$G$60*(sezione!$AN$29-C572)/C572</f>
        <v>5.9644180989686581E-2</v>
      </c>
      <c r="N572" s="559">
        <f>'Progetto del paramento slu'!$G$60*(sezione!$AO$29-C572)/C572</f>
        <v>7.9073159755743985E-2</v>
      </c>
      <c r="O572" s="559">
        <f>'Progetto del paramento slu'!$G$60*(sezione!$AP$29-C572)/C572</f>
        <v>5.9644665546548813E-2</v>
      </c>
      <c r="P572" s="553">
        <f>-'Progetto del paramento slu'!$G$47*'Progetto del paramento slu'!$G$41*IF(DATI!$G$218="dx",DATI!$E$61,DATI!$E$64*DATI!$E$63)*1000*C572*sezione!$AD$5</f>
        <v>-203142.39093694309</v>
      </c>
      <c r="Q572" s="553">
        <f>'Foglio deposito bis'!$F$48*IF(ABS(K572)&lt;'Progetto del paramento slu'!$G$58,ABS(K572)*'Progetto del paramento slu'!$G$54,'Progetto del paramento slu'!$G$53)*IF(K572&lt;0,-1,1)</f>
        <v>0</v>
      </c>
      <c r="R572" s="553">
        <f>'Foglio deposito bis'!$F$49*IF(ABS(L572)&lt;'Progetto del paramento slu'!$G$58,ABS(L572)*'Progetto del paramento slu'!$G$54,'Progetto del paramento slu'!$G$53)*IF(L572&lt;0,-1,1)</f>
        <v>204886.47740803001</v>
      </c>
      <c r="S572" s="553">
        <f>'Foglio deposito bis'!$F$50*IF(ABS(M572)&lt;'Progetto del paramento slu'!$G$58,ABS(M572)*'Progetto del paramento slu'!$G$54,'Progetto del paramento slu'!$G$53)*IF(M572&lt;0,-1,1)</f>
        <v>0</v>
      </c>
      <c r="T572" s="553">
        <f>'Foglio deposito bis'!$F$51*IF(ABS(N572)&lt;'Progetto del paramento slu'!$G$58,ABS(N572)*'Progetto del paramento slu'!$G$54,'Progetto del paramento slu'!$G$53)*IF(N572&lt;0,-1,1)</f>
        <v>240946.49743184328</v>
      </c>
      <c r="U572" s="553">
        <f>'Foglio deposito bis'!$F$52*IF(ABS(O572)&lt;'Progetto del paramento slu'!$G$58,ABS(O572)*'Progetto del paramento slu'!$G$54,'Progetto del paramento slu'!$G$53)*IF(O572&lt;0,-1,1)</f>
        <v>240946.49743184328</v>
      </c>
      <c r="V572" s="479">
        <f t="shared" si="45"/>
        <v>483637.08133477345</v>
      </c>
      <c r="W572" s="559"/>
      <c r="X572" s="559"/>
    </row>
    <row r="573" spans="1:24" x14ac:dyDescent="0.25">
      <c r="A573" s="553">
        <f t="shared" si="46"/>
        <v>480775.92089904193</v>
      </c>
      <c r="B573" s="3">
        <f t="shared" si="47"/>
        <v>3.5999999999999952</v>
      </c>
      <c r="C573" s="553">
        <f>'Foglio deposito bis'!$E$155/sezione!$B$247*B573</f>
        <v>14.614440902466937</v>
      </c>
      <c r="D573" s="611">
        <f>-'Progetto del paramento slu'!$G$47*'Progetto del paramento slu'!$G$41*IF(DATI!$G$218="dx",DATI!$E$61,DATI!$E$64*DATI!$E$63)*1000*C573^2*sezione!$AD$5*(1-sezione!$AD$6)</f>
        <v>-1758206.0087048113</v>
      </c>
      <c r="E573" s="553">
        <f>-'Foglio deposito bis'!$F$48*(C573-sezione!$AL$29)*IF(ABS(K573)&lt;'Progetto del paramento slu'!$G$58,ABS(K573)*'Progetto del paramento slu'!$G$54,'Progetto del paramento slu'!$G$53)</f>
        <v>0</v>
      </c>
      <c r="F573" s="553">
        <f>-'Foglio deposito bis'!$F$49*(C573-sezione!$AM$29)*IF(ABS(L573)&lt;'Progetto del paramento slu'!$G$58,ABS(L573)*'Progetto del paramento slu'!$G$54,'Progetto del paramento slu'!$G$53)</f>
        <v>27738670.295410223</v>
      </c>
      <c r="G573" s="553">
        <f>-'Foglio deposito bis'!$F$50*(C573-sezione!$AN$29)*IF(ABS(M573)&lt;'Progetto del paramento slu'!$G$58,ABS(M573)*'Progetto del paramento slu'!$G$54,'Progetto del paramento slu'!$G$53)</f>
        <v>0</v>
      </c>
      <c r="H573" s="553">
        <f>-'Foglio deposito bis'!$F$51*(C573-sezione!$AO$29)*IF(ABS(N573)&lt;'Progetto del paramento slu'!$G$58,ABS(N573)*'Progetto del paramento slu'!$G$54,'Progetto del paramento slu'!$G$53)</f>
        <v>78400510.779452637</v>
      </c>
      <c r="I573" s="479">
        <f>-'Foglio deposito bis'!$F$52*(C573-sezione!$AP$29)*IF(ABS(O573)&lt;'Progetto del paramento slu'!$G$58,ABS(O573)*'Progetto del paramento slu'!$G$54,'Progetto del paramento slu'!$G$53)</f>
        <v>59125271.719503403</v>
      </c>
      <c r="J573" s="479">
        <f t="shared" si="44"/>
        <v>163506246.78566146</v>
      </c>
      <c r="K573" s="558">
        <f>'Progetto del paramento slu'!$G$60*(sezione!$AL$29-C573)/C573</f>
        <v>6.0795659193755274E-3</v>
      </c>
      <c r="L573" s="558">
        <f>'Progetto del paramento slu'!$G$60*(sezione!$AM$29-C573)/C573</f>
        <v>3.2423372197658229E-2</v>
      </c>
      <c r="M573" s="559">
        <f>'Progetto del paramento slu'!$G$60*(sezione!$AN$29-C573)/C573</f>
        <v>5.8767178475940936E-2</v>
      </c>
      <c r="N573" s="559">
        <f>'Progetto del paramento slu'!$G$60*(sezione!$AO$29-C573)/C573</f>
        <v>7.7926310314691993E-2</v>
      </c>
      <c r="O573" s="559">
        <f>'Progetto del paramento slu'!$G$60*(sezione!$AP$29-C573)/C573</f>
        <v>5.8767656302846749E-2</v>
      </c>
      <c r="P573" s="553">
        <f>-'Progetto del paramento slu'!$G$47*'Progetto del paramento slu'!$G$41*IF(DATI!$G$218="dx",DATI!$E$61,DATI!$E$64*DATI!$E$63)*1000*C573*sezione!$AD$5</f>
        <v>-206003.55137267467</v>
      </c>
      <c r="Q573" s="553">
        <f>'Foglio deposito bis'!$F$48*IF(ABS(K573)&lt;'Progetto del paramento slu'!$G$58,ABS(K573)*'Progetto del paramento slu'!$G$54,'Progetto del paramento slu'!$G$53)*IF(K573&lt;0,-1,1)</f>
        <v>0</v>
      </c>
      <c r="R573" s="553">
        <f>'Foglio deposito bis'!$F$49*IF(ABS(L573)&lt;'Progetto del paramento slu'!$G$58,ABS(L573)*'Progetto del paramento slu'!$G$54,'Progetto del paramento slu'!$G$53)*IF(L573&lt;0,-1,1)</f>
        <v>204886.47740803001</v>
      </c>
      <c r="S573" s="553">
        <f>'Foglio deposito bis'!$F$50*IF(ABS(M573)&lt;'Progetto del paramento slu'!$G$58,ABS(M573)*'Progetto del paramento slu'!$G$54,'Progetto del paramento slu'!$G$53)*IF(M573&lt;0,-1,1)</f>
        <v>0</v>
      </c>
      <c r="T573" s="553">
        <f>'Foglio deposito bis'!$F$51*IF(ABS(N573)&lt;'Progetto del paramento slu'!$G$58,ABS(N573)*'Progetto del paramento slu'!$G$54,'Progetto del paramento slu'!$G$53)*IF(N573&lt;0,-1,1)</f>
        <v>240946.49743184328</v>
      </c>
      <c r="U573" s="553">
        <f>'Foglio deposito bis'!$F$52*IF(ABS(O573)&lt;'Progetto del paramento slu'!$G$58,ABS(O573)*'Progetto del paramento slu'!$G$54,'Progetto del paramento slu'!$G$53)*IF(O573&lt;0,-1,1)</f>
        <v>240946.49743184328</v>
      </c>
      <c r="V573" s="479">
        <f t="shared" si="45"/>
        <v>480775.92089904193</v>
      </c>
      <c r="W573" s="559"/>
      <c r="X573" s="559"/>
    </row>
    <row r="574" spans="1:24" x14ac:dyDescent="0.25">
      <c r="A574" s="553">
        <f t="shared" si="46"/>
        <v>477914.76046331029</v>
      </c>
      <c r="B574" s="3">
        <f t="shared" si="47"/>
        <v>3.649999999999995</v>
      </c>
      <c r="C574" s="553">
        <f>'Foglio deposito bis'!$E$155/sezione!$B$247*B574</f>
        <v>14.817419248334533</v>
      </c>
      <c r="D574" s="611">
        <f>-'Progetto del paramento slu'!$G$47*'Progetto del paramento slu'!$G$41*IF(DATI!$G$218="dx",DATI!$E$61,DATI!$E$64*DATI!$E$63)*1000*C574^2*sezione!$AD$5*(1-sezione!$AD$6)</f>
        <v>-1807384.2246118709</v>
      </c>
      <c r="E574" s="553">
        <f>-'Foglio deposito bis'!$F$48*(C574-sezione!$AL$29)*IF(ABS(K574)&lt;'Progetto del paramento slu'!$G$58,ABS(K574)*'Progetto del paramento slu'!$G$54,'Progetto del paramento slu'!$G$53)</f>
        <v>0</v>
      </c>
      <c r="F574" s="553">
        <f>-'Foglio deposito bis'!$F$49*(C574-sezione!$AM$29)*IF(ABS(L574)&lt;'Progetto del paramento slu'!$G$58,ABS(L574)*'Progetto del paramento slu'!$G$54,'Progetto del paramento slu'!$G$53)</f>
        <v>27697082.777135294</v>
      </c>
      <c r="G574" s="553">
        <f>-'Foglio deposito bis'!$F$50*(C574-sezione!$AN$29)*IF(ABS(M574)&lt;'Progetto del paramento slu'!$G$58,ABS(M574)*'Progetto del paramento slu'!$G$54,'Progetto del paramento slu'!$G$53)</f>
        <v>0</v>
      </c>
      <c r="H574" s="553">
        <f>-'Foglio deposito bis'!$F$51*(C574-sezione!$AO$29)*IF(ABS(N574)&lt;'Progetto del paramento slu'!$G$58,ABS(N574)*'Progetto del paramento slu'!$G$54,'Progetto del paramento slu'!$G$53)</f>
        <v>78351603.857961327</v>
      </c>
      <c r="I574" s="479">
        <f>-'Foglio deposito bis'!$F$52*(C574-sezione!$AP$29)*IF(ABS(O574)&lt;'Progetto del paramento slu'!$G$58,ABS(O574)*'Progetto del paramento slu'!$G$54,'Progetto del paramento slu'!$G$53)</f>
        <v>59076364.798012085</v>
      </c>
      <c r="J574" s="479">
        <f t="shared" si="44"/>
        <v>163317667.20849684</v>
      </c>
      <c r="K574" s="558">
        <f>'Progetto del paramento slu'!$G$60*(sezione!$AL$29-C574)/C574</f>
        <v>5.9483389889731239E-3</v>
      </c>
      <c r="L574" s="558">
        <f>'Progetto del paramento slu'!$G$60*(sezione!$AM$29-C574)/C574</f>
        <v>3.1931271208649213E-2</v>
      </c>
      <c r="M574" s="559">
        <f>'Progetto del paramento slu'!$G$60*(sezione!$AN$29-C574)/C574</f>
        <v>5.7914203428325303E-2</v>
      </c>
      <c r="N574" s="559">
        <f>'Progetto del paramento slu'!$G$60*(sezione!$AO$29-C574)/C574</f>
        <v>7.6810881406271556E-2</v>
      </c>
      <c r="O574" s="559">
        <f>'Progetto del paramento slu'!$G$60*(sezione!$AP$29-C574)/C574</f>
        <v>5.7914674709657069E-2</v>
      </c>
      <c r="P574" s="553">
        <f>-'Progetto del paramento slu'!$G$47*'Progetto del paramento slu'!$G$41*IF(DATI!$G$218="dx",DATI!$E$61,DATI!$E$64*DATI!$E$63)*1000*C574*sezione!$AD$5</f>
        <v>-208864.71180840625</v>
      </c>
      <c r="Q574" s="553">
        <f>'Foglio deposito bis'!$F$48*IF(ABS(K574)&lt;'Progetto del paramento slu'!$G$58,ABS(K574)*'Progetto del paramento slu'!$G$54,'Progetto del paramento slu'!$G$53)*IF(K574&lt;0,-1,1)</f>
        <v>0</v>
      </c>
      <c r="R574" s="553">
        <f>'Foglio deposito bis'!$F$49*IF(ABS(L574)&lt;'Progetto del paramento slu'!$G$58,ABS(L574)*'Progetto del paramento slu'!$G$54,'Progetto del paramento slu'!$G$53)*IF(L574&lt;0,-1,1)</f>
        <v>204886.47740803001</v>
      </c>
      <c r="S574" s="553">
        <f>'Foglio deposito bis'!$F$50*IF(ABS(M574)&lt;'Progetto del paramento slu'!$G$58,ABS(M574)*'Progetto del paramento slu'!$G$54,'Progetto del paramento slu'!$G$53)*IF(M574&lt;0,-1,1)</f>
        <v>0</v>
      </c>
      <c r="T574" s="553">
        <f>'Foglio deposito bis'!$F$51*IF(ABS(N574)&lt;'Progetto del paramento slu'!$G$58,ABS(N574)*'Progetto del paramento slu'!$G$54,'Progetto del paramento slu'!$G$53)*IF(N574&lt;0,-1,1)</f>
        <v>240946.49743184328</v>
      </c>
      <c r="U574" s="553">
        <f>'Foglio deposito bis'!$F$52*IF(ABS(O574)&lt;'Progetto del paramento slu'!$G$58,ABS(O574)*'Progetto del paramento slu'!$G$54,'Progetto del paramento slu'!$G$53)*IF(O574&lt;0,-1,1)</f>
        <v>240946.49743184328</v>
      </c>
      <c r="V574" s="479">
        <f t="shared" si="45"/>
        <v>477914.76046331029</v>
      </c>
      <c r="W574" s="559"/>
      <c r="X574" s="559"/>
    </row>
    <row r="575" spans="1:24" x14ac:dyDescent="0.25">
      <c r="A575" s="553">
        <f t="shared" si="46"/>
        <v>475053.60002757877</v>
      </c>
      <c r="B575" s="3">
        <f t="shared" si="47"/>
        <v>3.6999999999999948</v>
      </c>
      <c r="C575" s="553">
        <f>'Foglio deposito bis'!$E$155/sezione!$B$247*B575</f>
        <v>15.020397594202128</v>
      </c>
      <c r="D575" s="611">
        <f>-'Progetto del paramento slu'!$G$47*'Progetto del paramento slu'!$G$41*IF(DATI!$G$218="dx",DATI!$E$61,DATI!$E$64*DATI!$E$63)*1000*C575^2*sezione!$AD$5*(1-sezione!$AD$6)</f>
        <v>-1857240.7607383383</v>
      </c>
      <c r="E575" s="553">
        <f>-'Foglio deposito bis'!$F$48*(C575-sezione!$AL$29)*IF(ABS(K575)&lt;'Progetto del paramento slu'!$G$58,ABS(K575)*'Progetto del paramento slu'!$G$54,'Progetto del paramento slu'!$G$53)</f>
        <v>0</v>
      </c>
      <c r="F575" s="553">
        <f>-'Foglio deposito bis'!$F$49*(C575-sezione!$AM$29)*IF(ABS(L575)&lt;'Progetto del paramento slu'!$G$58,ABS(L575)*'Progetto del paramento slu'!$G$54,'Progetto del paramento slu'!$G$53)</f>
        <v>27655495.258860376</v>
      </c>
      <c r="G575" s="553">
        <f>-'Foglio deposito bis'!$F$50*(C575-sezione!$AN$29)*IF(ABS(M575)&lt;'Progetto del paramento slu'!$G$58,ABS(M575)*'Progetto del paramento slu'!$G$54,'Progetto del paramento slu'!$G$53)</f>
        <v>0</v>
      </c>
      <c r="H575" s="553">
        <f>-'Foglio deposito bis'!$F$51*(C575-sezione!$AO$29)*IF(ABS(N575)&lt;'Progetto del paramento slu'!$G$58,ABS(N575)*'Progetto del paramento slu'!$G$54,'Progetto del paramento slu'!$G$53)</f>
        <v>78302696.936470032</v>
      </c>
      <c r="I575" s="479">
        <f>-'Foglio deposito bis'!$F$52*(C575-sezione!$AP$29)*IF(ABS(O575)&lt;'Progetto del paramento slu'!$G$58,ABS(O575)*'Progetto del paramento slu'!$G$54,'Progetto del paramento slu'!$G$53)</f>
        <v>59027457.87652079</v>
      </c>
      <c r="J575" s="479">
        <f t="shared" si="44"/>
        <v>163128409.31111285</v>
      </c>
      <c r="K575" s="558">
        <f>'Progetto del paramento slu'!$G$60*(sezione!$AL$29-C575)/C575</f>
        <v>5.8206587323653787E-3</v>
      </c>
      <c r="L575" s="558">
        <f>'Progetto del paramento slu'!$G$60*(sezione!$AM$29-C575)/C575</f>
        <v>3.1452470246370171E-2</v>
      </c>
      <c r="M575" s="559">
        <f>'Progetto del paramento slu'!$G$60*(sezione!$AN$29-C575)/C575</f>
        <v>5.7084281760374965E-2</v>
      </c>
      <c r="N575" s="559">
        <f>'Progetto del paramento slu'!$G$60*(sezione!$AO$29-C575)/C575</f>
        <v>7.572559922510573E-2</v>
      </c>
      <c r="O575" s="559">
        <f>'Progetto del paramento slu'!$G$60*(sezione!$AP$29-C575)/C575</f>
        <v>5.7084746673040088E-2</v>
      </c>
      <c r="P575" s="553">
        <f>-'Progetto del paramento slu'!$G$47*'Progetto del paramento slu'!$G$41*IF(DATI!$G$218="dx",DATI!$E$61,DATI!$E$64*DATI!$E$63)*1000*C575*sezione!$AD$5</f>
        <v>-211725.87224413783</v>
      </c>
      <c r="Q575" s="553">
        <f>'Foglio deposito bis'!$F$48*IF(ABS(K575)&lt;'Progetto del paramento slu'!$G$58,ABS(K575)*'Progetto del paramento slu'!$G$54,'Progetto del paramento slu'!$G$53)*IF(K575&lt;0,-1,1)</f>
        <v>0</v>
      </c>
      <c r="R575" s="553">
        <f>'Foglio deposito bis'!$F$49*IF(ABS(L575)&lt;'Progetto del paramento slu'!$G$58,ABS(L575)*'Progetto del paramento slu'!$G$54,'Progetto del paramento slu'!$G$53)*IF(L575&lt;0,-1,1)</f>
        <v>204886.47740803001</v>
      </c>
      <c r="S575" s="553">
        <f>'Foglio deposito bis'!$F$50*IF(ABS(M575)&lt;'Progetto del paramento slu'!$G$58,ABS(M575)*'Progetto del paramento slu'!$G$54,'Progetto del paramento slu'!$G$53)*IF(M575&lt;0,-1,1)</f>
        <v>0</v>
      </c>
      <c r="T575" s="553">
        <f>'Foglio deposito bis'!$F$51*IF(ABS(N575)&lt;'Progetto del paramento slu'!$G$58,ABS(N575)*'Progetto del paramento slu'!$G$54,'Progetto del paramento slu'!$G$53)*IF(N575&lt;0,-1,1)</f>
        <v>240946.49743184328</v>
      </c>
      <c r="U575" s="553">
        <f>'Foglio deposito bis'!$F$52*IF(ABS(O575)&lt;'Progetto del paramento slu'!$G$58,ABS(O575)*'Progetto del paramento slu'!$G$54,'Progetto del paramento slu'!$G$53)*IF(O575&lt;0,-1,1)</f>
        <v>240946.49743184328</v>
      </c>
      <c r="V575" s="479">
        <f t="shared" si="45"/>
        <v>475053.60002757877</v>
      </c>
      <c r="W575" s="559"/>
      <c r="X575" s="559"/>
    </row>
    <row r="576" spans="1:24" x14ac:dyDescent="0.25">
      <c r="A576" s="553">
        <f t="shared" si="46"/>
        <v>472192.43959184713</v>
      </c>
      <c r="B576" s="3">
        <f t="shared" si="47"/>
        <v>3.7499999999999947</v>
      </c>
      <c r="C576" s="553">
        <f>'Foglio deposito bis'!$E$155/sezione!$B$247*B576</f>
        <v>15.223375940069724</v>
      </c>
      <c r="D576" s="611">
        <f>-'Progetto del paramento slu'!$G$47*'Progetto del paramento slu'!$G$41*IF(DATI!$G$218="dx",DATI!$E$61,DATI!$E$64*DATI!$E$63)*1000*C576^2*sezione!$AD$5*(1-sezione!$AD$6)</f>
        <v>-1907775.6170842133</v>
      </c>
      <c r="E576" s="553">
        <f>-'Foglio deposito bis'!$F$48*(C576-sezione!$AL$29)*IF(ABS(K576)&lt;'Progetto del paramento slu'!$G$58,ABS(K576)*'Progetto del paramento slu'!$G$54,'Progetto del paramento slu'!$G$53)</f>
        <v>0</v>
      </c>
      <c r="F576" s="553">
        <f>-'Foglio deposito bis'!$F$49*(C576-sezione!$AM$29)*IF(ABS(L576)&lt;'Progetto del paramento slu'!$G$58,ABS(L576)*'Progetto del paramento slu'!$G$54,'Progetto del paramento slu'!$G$53)</f>
        <v>27613907.740585461</v>
      </c>
      <c r="G576" s="553">
        <f>-'Foglio deposito bis'!$F$50*(C576-sezione!$AN$29)*IF(ABS(M576)&lt;'Progetto del paramento slu'!$G$58,ABS(M576)*'Progetto del paramento slu'!$G$54,'Progetto del paramento slu'!$G$53)</f>
        <v>0</v>
      </c>
      <c r="H576" s="553">
        <f>-'Foglio deposito bis'!$F$51*(C576-sezione!$AO$29)*IF(ABS(N576)&lt;'Progetto del paramento slu'!$G$58,ABS(N576)*'Progetto del paramento slu'!$G$54,'Progetto del paramento slu'!$G$53)</f>
        <v>78253790.014978707</v>
      </c>
      <c r="I576" s="479">
        <f>-'Foglio deposito bis'!$F$52*(C576-sezione!$AP$29)*IF(ABS(O576)&lt;'Progetto del paramento slu'!$G$58,ABS(O576)*'Progetto del paramento slu'!$G$54,'Progetto del paramento slu'!$G$53)</f>
        <v>58978550.95502948</v>
      </c>
      <c r="J576" s="479">
        <f t="shared" si="44"/>
        <v>162938473.09350944</v>
      </c>
      <c r="K576" s="558">
        <f>'Progetto del paramento slu'!$G$60*(sezione!$AL$29-C576)/C576</f>
        <v>5.6963832826005083E-3</v>
      </c>
      <c r="L576" s="558">
        <f>'Progetto del paramento slu'!$G$60*(sezione!$AM$29-C576)/C576</f>
        <v>3.0986437309751903E-2</v>
      </c>
      <c r="M576" s="559">
        <f>'Progetto del paramento slu'!$G$60*(sezione!$AN$29-C576)/C576</f>
        <v>5.6276491336903302E-2</v>
      </c>
      <c r="N576" s="559">
        <f>'Progetto del paramento slu'!$G$60*(sezione!$AO$29-C576)/C576</f>
        <v>7.4669257902104325E-2</v>
      </c>
      <c r="O576" s="559">
        <f>'Progetto del paramento slu'!$G$60*(sezione!$AP$29-C576)/C576</f>
        <v>5.6276950050732889E-2</v>
      </c>
      <c r="P576" s="553">
        <f>-'Progetto del paramento slu'!$G$47*'Progetto del paramento slu'!$G$41*IF(DATI!$G$218="dx",DATI!$E$61,DATI!$E$64*DATI!$E$63)*1000*C576*sezione!$AD$5</f>
        <v>-214587.03267986942</v>
      </c>
      <c r="Q576" s="553">
        <f>'Foglio deposito bis'!$F$48*IF(ABS(K576)&lt;'Progetto del paramento slu'!$G$58,ABS(K576)*'Progetto del paramento slu'!$G$54,'Progetto del paramento slu'!$G$53)*IF(K576&lt;0,-1,1)</f>
        <v>0</v>
      </c>
      <c r="R576" s="553">
        <f>'Foglio deposito bis'!$F$49*IF(ABS(L576)&lt;'Progetto del paramento slu'!$G$58,ABS(L576)*'Progetto del paramento slu'!$G$54,'Progetto del paramento slu'!$G$53)*IF(L576&lt;0,-1,1)</f>
        <v>204886.47740803001</v>
      </c>
      <c r="S576" s="553">
        <f>'Foglio deposito bis'!$F$50*IF(ABS(M576)&lt;'Progetto del paramento slu'!$G$58,ABS(M576)*'Progetto del paramento slu'!$G$54,'Progetto del paramento slu'!$G$53)*IF(M576&lt;0,-1,1)</f>
        <v>0</v>
      </c>
      <c r="T576" s="553">
        <f>'Foglio deposito bis'!$F$51*IF(ABS(N576)&lt;'Progetto del paramento slu'!$G$58,ABS(N576)*'Progetto del paramento slu'!$G$54,'Progetto del paramento slu'!$G$53)*IF(N576&lt;0,-1,1)</f>
        <v>240946.49743184328</v>
      </c>
      <c r="U576" s="553">
        <f>'Foglio deposito bis'!$F$52*IF(ABS(O576)&lt;'Progetto del paramento slu'!$G$58,ABS(O576)*'Progetto del paramento slu'!$G$54,'Progetto del paramento slu'!$G$53)*IF(O576&lt;0,-1,1)</f>
        <v>240946.49743184328</v>
      </c>
      <c r="V576" s="479">
        <f t="shared" si="45"/>
        <v>472192.43959184713</v>
      </c>
      <c r="W576" s="559"/>
      <c r="X576" s="559"/>
    </row>
    <row r="577" spans="1:24" x14ac:dyDescent="0.25">
      <c r="A577" s="553">
        <f t="shared" si="46"/>
        <v>469331.27915611549</v>
      </c>
      <c r="B577" s="3">
        <f t="shared" si="47"/>
        <v>3.7999999999999945</v>
      </c>
      <c r="C577" s="553">
        <f>'Foglio deposito bis'!$E$155/sezione!$B$247*B577</f>
        <v>15.426354285937322</v>
      </c>
      <c r="D577" s="611">
        <f>-'Progetto del paramento slu'!$G$47*'Progetto del paramento slu'!$G$41*IF(DATI!$G$218="dx",DATI!$E$61,DATI!$E$64*DATI!$E$63)*1000*C577^2*sezione!$AD$5*(1-sezione!$AD$6)</f>
        <v>-1958988.7936494965</v>
      </c>
      <c r="E577" s="553">
        <f>-'Foglio deposito bis'!$F$48*(C577-sezione!$AL$29)*IF(ABS(K577)&lt;'Progetto del paramento slu'!$G$58,ABS(K577)*'Progetto del paramento slu'!$G$54,'Progetto del paramento slu'!$G$53)</f>
        <v>0</v>
      </c>
      <c r="F577" s="553">
        <f>-'Foglio deposito bis'!$F$49*(C577-sezione!$AM$29)*IF(ABS(L577)&lt;'Progetto del paramento slu'!$G$58,ABS(L577)*'Progetto del paramento slu'!$G$54,'Progetto del paramento slu'!$G$53)</f>
        <v>27572320.222310539</v>
      </c>
      <c r="G577" s="553">
        <f>-'Foglio deposito bis'!$F$50*(C577-sezione!$AN$29)*IF(ABS(M577)&lt;'Progetto del paramento slu'!$G$58,ABS(M577)*'Progetto del paramento slu'!$G$54,'Progetto del paramento slu'!$G$53)</f>
        <v>0</v>
      </c>
      <c r="H577" s="553">
        <f>-'Foglio deposito bis'!$F$51*(C577-sezione!$AO$29)*IF(ABS(N577)&lt;'Progetto del paramento slu'!$G$58,ABS(N577)*'Progetto del paramento slu'!$G$54,'Progetto del paramento slu'!$G$53)</f>
        <v>78204883.093487412</v>
      </c>
      <c r="I577" s="479">
        <f>-'Foglio deposito bis'!$F$52*(C577-sezione!$AP$29)*IF(ABS(O577)&lt;'Progetto del paramento slu'!$G$58,ABS(O577)*'Progetto del paramento slu'!$G$54,'Progetto del paramento slu'!$G$53)</f>
        <v>58929644.033538178</v>
      </c>
      <c r="J577" s="479">
        <f t="shared" si="44"/>
        <v>162747858.55568665</v>
      </c>
      <c r="K577" s="558">
        <f>'Progetto del paramento slu'!$G$60*(sezione!$AL$29-C577)/C577</f>
        <v>5.5753782394083956E-3</v>
      </c>
      <c r="L577" s="558">
        <f>'Progetto del paramento slu'!$G$60*(sezione!$AM$29-C577)/C577</f>
        <v>3.0532668397781484E-2</v>
      </c>
      <c r="M577" s="559">
        <f>'Progetto del paramento slu'!$G$60*(sezione!$AN$29-C577)/C577</f>
        <v>5.5489958556154573E-2</v>
      </c>
      <c r="N577" s="559">
        <f>'Progetto del paramento slu'!$G$60*(sezione!$AO$29-C577)/C577</f>
        <v>7.3640715034971355E-2</v>
      </c>
      <c r="O577" s="559">
        <f>'Progetto del paramento slu'!$G$60*(sezione!$AP$29-C577)/C577</f>
        <v>5.5490411234275873E-2</v>
      </c>
      <c r="P577" s="553">
        <f>-'Progetto del paramento slu'!$G$47*'Progetto del paramento slu'!$G$41*IF(DATI!$G$218="dx",DATI!$E$61,DATI!$E$64*DATI!$E$63)*1000*C577*sezione!$AD$5</f>
        <v>-217448.19311560105</v>
      </c>
      <c r="Q577" s="553">
        <f>'Foglio deposito bis'!$F$48*IF(ABS(K577)&lt;'Progetto del paramento slu'!$G$58,ABS(K577)*'Progetto del paramento slu'!$G$54,'Progetto del paramento slu'!$G$53)*IF(K577&lt;0,-1,1)</f>
        <v>0</v>
      </c>
      <c r="R577" s="553">
        <f>'Foglio deposito bis'!$F$49*IF(ABS(L577)&lt;'Progetto del paramento slu'!$G$58,ABS(L577)*'Progetto del paramento slu'!$G$54,'Progetto del paramento slu'!$G$53)*IF(L577&lt;0,-1,1)</f>
        <v>204886.47740803001</v>
      </c>
      <c r="S577" s="553">
        <f>'Foglio deposito bis'!$F$50*IF(ABS(M577)&lt;'Progetto del paramento slu'!$G$58,ABS(M577)*'Progetto del paramento slu'!$G$54,'Progetto del paramento slu'!$G$53)*IF(M577&lt;0,-1,1)</f>
        <v>0</v>
      </c>
      <c r="T577" s="553">
        <f>'Foglio deposito bis'!$F$51*IF(ABS(N577)&lt;'Progetto del paramento slu'!$G$58,ABS(N577)*'Progetto del paramento slu'!$G$54,'Progetto del paramento slu'!$G$53)*IF(N577&lt;0,-1,1)</f>
        <v>240946.49743184328</v>
      </c>
      <c r="U577" s="553">
        <f>'Foglio deposito bis'!$F$52*IF(ABS(O577)&lt;'Progetto del paramento slu'!$G$58,ABS(O577)*'Progetto del paramento slu'!$G$54,'Progetto del paramento slu'!$G$53)*IF(O577&lt;0,-1,1)</f>
        <v>240946.49743184328</v>
      </c>
      <c r="V577" s="479">
        <f t="shared" si="45"/>
        <v>469331.27915611549</v>
      </c>
      <c r="W577" s="559"/>
      <c r="X577" s="559"/>
    </row>
    <row r="578" spans="1:24" x14ac:dyDescent="0.25">
      <c r="A578" s="553">
        <f t="shared" si="46"/>
        <v>466470.11872038397</v>
      </c>
      <c r="B578" s="3">
        <f t="shared" si="47"/>
        <v>3.8499999999999943</v>
      </c>
      <c r="C578" s="553">
        <f>'Foglio deposito bis'!$E$155/sezione!$B$247*B578</f>
        <v>15.629332631804917</v>
      </c>
      <c r="D578" s="611">
        <f>-'Progetto del paramento slu'!$G$47*'Progetto del paramento slu'!$G$41*IF(DATI!$G$218="dx",DATI!$E$61,DATI!$E$64*DATI!$E$63)*1000*C578^2*sezione!$AD$5*(1-sezione!$AD$6)</f>
        <v>-2010880.2904341873</v>
      </c>
      <c r="E578" s="553">
        <f>-'Foglio deposito bis'!$F$48*(C578-sezione!$AL$29)*IF(ABS(K578)&lt;'Progetto del paramento slu'!$G$58,ABS(K578)*'Progetto del paramento slu'!$G$54,'Progetto del paramento slu'!$G$53)</f>
        <v>0</v>
      </c>
      <c r="F578" s="553">
        <f>-'Foglio deposito bis'!$F$49*(C578-sezione!$AM$29)*IF(ABS(L578)&lt;'Progetto del paramento slu'!$G$58,ABS(L578)*'Progetto del paramento slu'!$G$54,'Progetto del paramento slu'!$G$53)</f>
        <v>27530732.704035617</v>
      </c>
      <c r="G578" s="553">
        <f>-'Foglio deposito bis'!$F$50*(C578-sezione!$AN$29)*IF(ABS(M578)&lt;'Progetto del paramento slu'!$G$58,ABS(M578)*'Progetto del paramento slu'!$G$54,'Progetto del paramento slu'!$G$53)</f>
        <v>0</v>
      </c>
      <c r="H578" s="553">
        <f>-'Foglio deposito bis'!$F$51*(C578-sezione!$AO$29)*IF(ABS(N578)&lt;'Progetto del paramento slu'!$G$58,ABS(N578)*'Progetto del paramento slu'!$G$54,'Progetto del paramento slu'!$G$53)</f>
        <v>78155976.171996117</v>
      </c>
      <c r="I578" s="479">
        <f>-'Foglio deposito bis'!$F$52*(C578-sezione!$AP$29)*IF(ABS(O578)&lt;'Progetto del paramento slu'!$G$58,ABS(O578)*'Progetto del paramento slu'!$G$54,'Progetto del paramento slu'!$G$53)</f>
        <v>58880737.112046868</v>
      </c>
      <c r="J578" s="479">
        <f t="shared" si="44"/>
        <v>162556565.69764441</v>
      </c>
      <c r="K578" s="558">
        <f>'Progetto del paramento slu'!$G$60*(sezione!$AL$29-C578)/C578</f>
        <v>5.4575161843511437E-3</v>
      </c>
      <c r="L578" s="558">
        <f>'Progetto del paramento slu'!$G$60*(sezione!$AM$29-C578)/C578</f>
        <v>3.0090685691316791E-2</v>
      </c>
      <c r="M578" s="559">
        <f>'Progetto del paramento slu'!$G$60*(sezione!$AN$29-C578)/C578</f>
        <v>5.4723855198282434E-2</v>
      </c>
      <c r="N578" s="559">
        <f>'Progetto del paramento slu'!$G$60*(sezione!$AO$29-C578)/C578</f>
        <v>7.2638887566984722E-2</v>
      </c>
      <c r="O578" s="559">
        <f>'Progetto del paramento slu'!$G$60*(sezione!$AP$29-C578)/C578</f>
        <v>5.4724301997467098E-2</v>
      </c>
      <c r="P578" s="553">
        <f>-'Progetto del paramento slu'!$G$47*'Progetto del paramento slu'!$G$41*IF(DATI!$G$218="dx",DATI!$E$61,DATI!$E$64*DATI!$E$63)*1000*C578*sezione!$AD$5</f>
        <v>-220309.35355133261</v>
      </c>
      <c r="Q578" s="553">
        <f>'Foglio deposito bis'!$F$48*IF(ABS(K578)&lt;'Progetto del paramento slu'!$G$58,ABS(K578)*'Progetto del paramento slu'!$G$54,'Progetto del paramento slu'!$G$53)*IF(K578&lt;0,-1,1)</f>
        <v>0</v>
      </c>
      <c r="R578" s="553">
        <f>'Foglio deposito bis'!$F$49*IF(ABS(L578)&lt;'Progetto del paramento slu'!$G$58,ABS(L578)*'Progetto del paramento slu'!$G$54,'Progetto del paramento slu'!$G$53)*IF(L578&lt;0,-1,1)</f>
        <v>204886.47740803001</v>
      </c>
      <c r="S578" s="553">
        <f>'Foglio deposito bis'!$F$50*IF(ABS(M578)&lt;'Progetto del paramento slu'!$G$58,ABS(M578)*'Progetto del paramento slu'!$G$54,'Progetto del paramento slu'!$G$53)*IF(M578&lt;0,-1,1)</f>
        <v>0</v>
      </c>
      <c r="T578" s="553">
        <f>'Foglio deposito bis'!$F$51*IF(ABS(N578)&lt;'Progetto del paramento slu'!$G$58,ABS(N578)*'Progetto del paramento slu'!$G$54,'Progetto del paramento slu'!$G$53)*IF(N578&lt;0,-1,1)</f>
        <v>240946.49743184328</v>
      </c>
      <c r="U578" s="553">
        <f>'Foglio deposito bis'!$F$52*IF(ABS(O578)&lt;'Progetto del paramento slu'!$G$58,ABS(O578)*'Progetto del paramento slu'!$G$54,'Progetto del paramento slu'!$G$53)*IF(O578&lt;0,-1,1)</f>
        <v>240946.49743184328</v>
      </c>
      <c r="V578" s="479">
        <f t="shared" si="45"/>
        <v>466470.11872038397</v>
      </c>
      <c r="W578" s="559"/>
      <c r="X578" s="559"/>
    </row>
    <row r="579" spans="1:24" x14ac:dyDescent="0.25">
      <c r="A579" s="553">
        <f t="shared" si="46"/>
        <v>463608.95828465238</v>
      </c>
      <c r="B579" s="3">
        <f t="shared" si="47"/>
        <v>3.8999999999999941</v>
      </c>
      <c r="C579" s="553">
        <f>'Foglio deposito bis'!$E$155/sezione!$B$247*B579</f>
        <v>15.832310977672513</v>
      </c>
      <c r="D579" s="611">
        <f>-'Progetto del paramento slu'!$G$47*'Progetto del paramento slu'!$G$41*IF(DATI!$G$218="dx",DATI!$E$61,DATI!$E$64*DATI!$E$63)*1000*C579^2*sezione!$AD$5*(1-sezione!$AD$6)</f>
        <v>-2063450.1074382851</v>
      </c>
      <c r="E579" s="553">
        <f>-'Foglio deposito bis'!$F$48*(C579-sezione!$AL$29)*IF(ABS(K579)&lt;'Progetto del paramento slu'!$G$58,ABS(K579)*'Progetto del paramento slu'!$G$54,'Progetto del paramento slu'!$G$53)</f>
        <v>0</v>
      </c>
      <c r="F579" s="553">
        <f>-'Foglio deposito bis'!$F$49*(C579-sezione!$AM$29)*IF(ABS(L579)&lt;'Progetto del paramento slu'!$G$58,ABS(L579)*'Progetto del paramento slu'!$G$54,'Progetto del paramento slu'!$G$53)</f>
        <v>27489145.185760695</v>
      </c>
      <c r="G579" s="553">
        <f>-'Foglio deposito bis'!$F$50*(C579-sezione!$AN$29)*IF(ABS(M579)&lt;'Progetto del paramento slu'!$G$58,ABS(M579)*'Progetto del paramento slu'!$G$54,'Progetto del paramento slu'!$G$53)</f>
        <v>0</v>
      </c>
      <c r="H579" s="553">
        <f>-'Foglio deposito bis'!$F$51*(C579-sezione!$AO$29)*IF(ABS(N579)&lt;'Progetto del paramento slu'!$G$58,ABS(N579)*'Progetto del paramento slu'!$G$54,'Progetto del paramento slu'!$G$53)</f>
        <v>78107069.250504792</v>
      </c>
      <c r="I579" s="479">
        <f>-'Foglio deposito bis'!$F$52*(C579-sezione!$AP$29)*IF(ABS(O579)&lt;'Progetto del paramento slu'!$G$58,ABS(O579)*'Progetto del paramento slu'!$G$54,'Progetto del paramento slu'!$G$53)</f>
        <v>58831830.190555565</v>
      </c>
      <c r="J579" s="479">
        <f t="shared" si="44"/>
        <v>162364594.51938277</v>
      </c>
      <c r="K579" s="558">
        <f>'Progetto del paramento slu'!$G$60*(sezione!$AL$29-C579)/C579</f>
        <v>5.3426762332697197E-3</v>
      </c>
      <c r="L579" s="558">
        <f>'Progetto del paramento slu'!$G$60*(sezione!$AM$29-C579)/C579</f>
        <v>2.9660035874761449E-2</v>
      </c>
      <c r="M579" s="559">
        <f>'Progetto del paramento slu'!$G$60*(sezione!$AN$29-C579)/C579</f>
        <v>5.3977395516253177E-2</v>
      </c>
      <c r="N579" s="559">
        <f>'Progetto del paramento slu'!$G$60*(sezione!$AO$29-C579)/C579</f>
        <v>7.166274798279261E-2</v>
      </c>
      <c r="O579" s="559">
        <f>'Progetto del paramento slu'!$G$60*(sezione!$AP$29-C579)/C579</f>
        <v>5.3977836587243165E-2</v>
      </c>
      <c r="P579" s="553">
        <f>-'Progetto del paramento slu'!$G$47*'Progetto del paramento slu'!$G$41*IF(DATI!$G$218="dx",DATI!$E$61,DATI!$E$64*DATI!$E$63)*1000*C579*sezione!$AD$5</f>
        <v>-223170.51398706419</v>
      </c>
      <c r="Q579" s="553">
        <f>'Foglio deposito bis'!$F$48*IF(ABS(K579)&lt;'Progetto del paramento slu'!$G$58,ABS(K579)*'Progetto del paramento slu'!$G$54,'Progetto del paramento slu'!$G$53)*IF(K579&lt;0,-1,1)</f>
        <v>0</v>
      </c>
      <c r="R579" s="553">
        <f>'Foglio deposito bis'!$F$49*IF(ABS(L579)&lt;'Progetto del paramento slu'!$G$58,ABS(L579)*'Progetto del paramento slu'!$G$54,'Progetto del paramento slu'!$G$53)*IF(L579&lt;0,-1,1)</f>
        <v>204886.47740803001</v>
      </c>
      <c r="S579" s="553">
        <f>'Foglio deposito bis'!$F$50*IF(ABS(M579)&lt;'Progetto del paramento slu'!$G$58,ABS(M579)*'Progetto del paramento slu'!$G$54,'Progetto del paramento slu'!$G$53)*IF(M579&lt;0,-1,1)</f>
        <v>0</v>
      </c>
      <c r="T579" s="553">
        <f>'Foglio deposito bis'!$F$51*IF(ABS(N579)&lt;'Progetto del paramento slu'!$G$58,ABS(N579)*'Progetto del paramento slu'!$G$54,'Progetto del paramento slu'!$G$53)*IF(N579&lt;0,-1,1)</f>
        <v>240946.49743184328</v>
      </c>
      <c r="U579" s="553">
        <f>'Foglio deposito bis'!$F$52*IF(ABS(O579)&lt;'Progetto del paramento slu'!$G$58,ABS(O579)*'Progetto del paramento slu'!$G$54,'Progetto del paramento slu'!$G$53)*IF(O579&lt;0,-1,1)</f>
        <v>240946.49743184328</v>
      </c>
      <c r="V579" s="479">
        <f t="shared" si="45"/>
        <v>463608.95828465238</v>
      </c>
      <c r="W579" s="559"/>
      <c r="X579" s="559"/>
    </row>
    <row r="580" spans="1:24" x14ac:dyDescent="0.25">
      <c r="A580" s="553">
        <f t="shared" si="46"/>
        <v>460747.7978489208</v>
      </c>
      <c r="B580" s="3">
        <f t="shared" si="47"/>
        <v>3.949999999999994</v>
      </c>
      <c r="C580" s="553">
        <f>'Foglio deposito bis'!$E$155/sezione!$B$247*B580</f>
        <v>16.035289323540109</v>
      </c>
      <c r="D580" s="611">
        <f>-'Progetto del paramento slu'!$G$47*'Progetto del paramento slu'!$G$41*IF(DATI!$G$218="dx",DATI!$E$61,DATI!$E$64*DATI!$E$63)*1000*C580^2*sezione!$AD$5*(1-sezione!$AD$6)</f>
        <v>-2116698.2446617908</v>
      </c>
      <c r="E580" s="553">
        <f>-'Foglio deposito bis'!$F$48*(C580-sezione!$AL$29)*IF(ABS(K580)&lt;'Progetto del paramento slu'!$G$58,ABS(K580)*'Progetto del paramento slu'!$G$54,'Progetto del paramento slu'!$G$53)</f>
        <v>0</v>
      </c>
      <c r="F580" s="553">
        <f>-'Foglio deposito bis'!$F$49*(C580-sezione!$AM$29)*IF(ABS(L580)&lt;'Progetto del paramento slu'!$G$58,ABS(L580)*'Progetto del paramento slu'!$G$54,'Progetto del paramento slu'!$G$53)</f>
        <v>27447557.667485777</v>
      </c>
      <c r="G580" s="553">
        <f>-'Foglio deposito bis'!$F$50*(C580-sezione!$AN$29)*IF(ABS(M580)&lt;'Progetto del paramento slu'!$G$58,ABS(M580)*'Progetto del paramento slu'!$G$54,'Progetto del paramento slu'!$G$53)</f>
        <v>0</v>
      </c>
      <c r="H580" s="553">
        <f>-'Foglio deposito bis'!$F$51*(C580-sezione!$AO$29)*IF(ABS(N580)&lt;'Progetto del paramento slu'!$G$58,ABS(N580)*'Progetto del paramento slu'!$G$54,'Progetto del paramento slu'!$G$53)</f>
        <v>78058162.329013497</v>
      </c>
      <c r="I580" s="479">
        <f>-'Foglio deposito bis'!$F$52*(C580-sezione!$AP$29)*IF(ABS(O580)&lt;'Progetto del paramento slu'!$G$58,ABS(O580)*'Progetto del paramento slu'!$G$54,'Progetto del paramento slu'!$G$53)</f>
        <v>58782923.269064255</v>
      </c>
      <c r="J580" s="479">
        <f t="shared" si="44"/>
        <v>162171945.02090174</v>
      </c>
      <c r="K580" s="558">
        <f>'Progetto del paramento slu'!$G$60*(sezione!$AL$29-C580)/C580</f>
        <v>5.2307436227220011E-3</v>
      </c>
      <c r="L580" s="558">
        <f>'Progetto del paramento slu'!$G$60*(sezione!$AM$29-C580)/C580</f>
        <v>2.9240288585207507E-2</v>
      </c>
      <c r="M580" s="559">
        <f>'Progetto del paramento slu'!$G$60*(sezione!$AN$29-C580)/C580</f>
        <v>5.3249833547693012E-2</v>
      </c>
      <c r="N580" s="559">
        <f>'Progetto del paramento slu'!$G$60*(sezione!$AO$29-C580)/C580</f>
        <v>7.0711320793137022E-2</v>
      </c>
      <c r="O580" s="559">
        <f>'Progetto del paramento slu'!$G$60*(sezione!$AP$29-C580)/C580</f>
        <v>5.3250269035505907E-2</v>
      </c>
      <c r="P580" s="553">
        <f>-'Progetto del paramento slu'!$G$47*'Progetto del paramento slu'!$G$41*IF(DATI!$G$218="dx",DATI!$E$61,DATI!$E$64*DATI!$E$63)*1000*C580*sezione!$AD$5</f>
        <v>-226031.67442279577</v>
      </c>
      <c r="Q580" s="553">
        <f>'Foglio deposito bis'!$F$48*IF(ABS(K580)&lt;'Progetto del paramento slu'!$G$58,ABS(K580)*'Progetto del paramento slu'!$G$54,'Progetto del paramento slu'!$G$53)*IF(K580&lt;0,-1,1)</f>
        <v>0</v>
      </c>
      <c r="R580" s="553">
        <f>'Foglio deposito bis'!$F$49*IF(ABS(L580)&lt;'Progetto del paramento slu'!$G$58,ABS(L580)*'Progetto del paramento slu'!$G$54,'Progetto del paramento slu'!$G$53)*IF(L580&lt;0,-1,1)</f>
        <v>204886.47740803001</v>
      </c>
      <c r="S580" s="553">
        <f>'Foglio deposito bis'!$F$50*IF(ABS(M580)&lt;'Progetto del paramento slu'!$G$58,ABS(M580)*'Progetto del paramento slu'!$G$54,'Progetto del paramento slu'!$G$53)*IF(M580&lt;0,-1,1)</f>
        <v>0</v>
      </c>
      <c r="T580" s="553">
        <f>'Foglio deposito bis'!$F$51*IF(ABS(N580)&lt;'Progetto del paramento slu'!$G$58,ABS(N580)*'Progetto del paramento slu'!$G$54,'Progetto del paramento slu'!$G$53)*IF(N580&lt;0,-1,1)</f>
        <v>240946.49743184328</v>
      </c>
      <c r="U580" s="553">
        <f>'Foglio deposito bis'!$F$52*IF(ABS(O580)&lt;'Progetto del paramento slu'!$G$58,ABS(O580)*'Progetto del paramento slu'!$G$54,'Progetto del paramento slu'!$G$53)*IF(O580&lt;0,-1,1)</f>
        <v>240946.49743184328</v>
      </c>
      <c r="V580" s="479">
        <f t="shared" si="45"/>
        <v>460747.7978489208</v>
      </c>
      <c r="W580" s="559"/>
      <c r="X580" s="559"/>
    </row>
    <row r="581" spans="1:24" x14ac:dyDescent="0.25">
      <c r="A581" s="553">
        <f t="shared" si="46"/>
        <v>457886.63741318916</v>
      </c>
      <c r="B581" s="3">
        <f t="shared" si="47"/>
        <v>3.9999999999999938</v>
      </c>
      <c r="C581" s="553">
        <f>'Foglio deposito bis'!$E$155/sezione!$B$247*B581</f>
        <v>16.238267669407705</v>
      </c>
      <c r="D581" s="611">
        <f>-'Progetto del paramento slu'!$G$47*'Progetto del paramento slu'!$G$41*IF(DATI!$G$218="dx",DATI!$E$61,DATI!$E$64*DATI!$E$63)*1000*C581^2*sezione!$AD$5*(1-sezione!$AD$6)</f>
        <v>-2170624.7021047049</v>
      </c>
      <c r="E581" s="553">
        <f>-'Foglio deposito bis'!$F$48*(C581-sezione!$AL$29)*IF(ABS(K581)&lt;'Progetto del paramento slu'!$G$58,ABS(K581)*'Progetto del paramento slu'!$G$54,'Progetto del paramento slu'!$G$53)</f>
        <v>0</v>
      </c>
      <c r="F581" s="553">
        <f>-'Foglio deposito bis'!$F$49*(C581-sezione!$AM$29)*IF(ABS(L581)&lt;'Progetto del paramento slu'!$G$58,ABS(L581)*'Progetto del paramento slu'!$G$54,'Progetto del paramento slu'!$G$53)</f>
        <v>27405970.149210852</v>
      </c>
      <c r="G581" s="553">
        <f>-'Foglio deposito bis'!$F$50*(C581-sezione!$AN$29)*IF(ABS(M581)&lt;'Progetto del paramento slu'!$G$58,ABS(M581)*'Progetto del paramento slu'!$G$54,'Progetto del paramento slu'!$G$53)</f>
        <v>0</v>
      </c>
      <c r="H581" s="553">
        <f>-'Foglio deposito bis'!$F$51*(C581-sezione!$AO$29)*IF(ABS(N581)&lt;'Progetto del paramento slu'!$G$58,ABS(N581)*'Progetto del paramento slu'!$G$54,'Progetto del paramento slu'!$G$53)</f>
        <v>78009255.407522172</v>
      </c>
      <c r="I581" s="479">
        <f>-'Foglio deposito bis'!$F$52*(C581-sezione!$AP$29)*IF(ABS(O581)&lt;'Progetto del paramento slu'!$G$58,ABS(O581)*'Progetto del paramento slu'!$G$54,'Progetto del paramento slu'!$G$53)</f>
        <v>58734016.347572938</v>
      </c>
      <c r="J581" s="479">
        <f t="shared" si="44"/>
        <v>161978617.20220125</v>
      </c>
      <c r="K581" s="558">
        <f>'Progetto del paramento slu'!$G$60*(sezione!$AL$29-C581)/C581</f>
        <v>5.1216093274379761E-3</v>
      </c>
      <c r="L581" s="558">
        <f>'Progetto del paramento slu'!$G$60*(sezione!$AM$29-C581)/C581</f>
        <v>2.8831034977892408E-2</v>
      </c>
      <c r="M581" s="559">
        <f>'Progetto del paramento slu'!$G$60*(sezione!$AN$29-C581)/C581</f>
        <v>5.2540460628346844E-2</v>
      </c>
      <c r="N581" s="559">
        <f>'Progetto del paramento slu'!$G$60*(sezione!$AO$29-C581)/C581</f>
        <v>6.9783679283222794E-2</v>
      </c>
      <c r="O581" s="559">
        <f>'Progetto del paramento slu'!$G$60*(sezione!$AP$29-C581)/C581</f>
        <v>5.2540890672562082E-2</v>
      </c>
      <c r="P581" s="553">
        <f>-'Progetto del paramento slu'!$G$47*'Progetto del paramento slu'!$G$41*IF(DATI!$G$218="dx",DATI!$E$61,DATI!$E$64*DATI!$E$63)*1000*C581*sezione!$AD$5</f>
        <v>-228892.83485852738</v>
      </c>
      <c r="Q581" s="553">
        <f>'Foglio deposito bis'!$F$48*IF(ABS(K581)&lt;'Progetto del paramento slu'!$G$58,ABS(K581)*'Progetto del paramento slu'!$G$54,'Progetto del paramento slu'!$G$53)*IF(K581&lt;0,-1,1)</f>
        <v>0</v>
      </c>
      <c r="R581" s="553">
        <f>'Foglio deposito bis'!$F$49*IF(ABS(L581)&lt;'Progetto del paramento slu'!$G$58,ABS(L581)*'Progetto del paramento slu'!$G$54,'Progetto del paramento slu'!$G$53)*IF(L581&lt;0,-1,1)</f>
        <v>204886.47740803001</v>
      </c>
      <c r="S581" s="553">
        <f>'Foglio deposito bis'!$F$50*IF(ABS(M581)&lt;'Progetto del paramento slu'!$G$58,ABS(M581)*'Progetto del paramento slu'!$G$54,'Progetto del paramento slu'!$G$53)*IF(M581&lt;0,-1,1)</f>
        <v>0</v>
      </c>
      <c r="T581" s="553">
        <f>'Foglio deposito bis'!$F$51*IF(ABS(N581)&lt;'Progetto del paramento slu'!$G$58,ABS(N581)*'Progetto del paramento slu'!$G$54,'Progetto del paramento slu'!$G$53)*IF(N581&lt;0,-1,1)</f>
        <v>240946.49743184328</v>
      </c>
      <c r="U581" s="553">
        <f>'Foglio deposito bis'!$F$52*IF(ABS(O581)&lt;'Progetto del paramento slu'!$G$58,ABS(O581)*'Progetto del paramento slu'!$G$54,'Progetto del paramento slu'!$G$53)*IF(O581&lt;0,-1,1)</f>
        <v>240946.49743184328</v>
      </c>
      <c r="V581" s="479">
        <f t="shared" si="45"/>
        <v>457886.63741318916</v>
      </c>
      <c r="W581" s="559"/>
      <c r="X581" s="559"/>
    </row>
    <row r="582" spans="1:24" x14ac:dyDescent="0.25">
      <c r="A582" s="553">
        <f t="shared" si="46"/>
        <v>455025.47697745764</v>
      </c>
      <c r="B582" s="3">
        <f t="shared" si="47"/>
        <v>4.0499999999999936</v>
      </c>
      <c r="C582" s="553">
        <f>'Foglio deposito bis'!$E$155/sezione!$B$247*B582</f>
        <v>16.441246015275301</v>
      </c>
      <c r="D582" s="611">
        <f>-'Progetto del paramento slu'!$G$47*'Progetto del paramento slu'!$G$41*IF(DATI!$G$218="dx",DATI!$E$61,DATI!$E$64*DATI!$E$63)*1000*C582^2*sezione!$AD$5*(1-sezione!$AD$6)</f>
        <v>-2225229.4797670264</v>
      </c>
      <c r="E582" s="553">
        <f>-'Foglio deposito bis'!$F$48*(C582-sezione!$AL$29)*IF(ABS(K582)&lt;'Progetto del paramento slu'!$G$58,ABS(K582)*'Progetto del paramento slu'!$G$54,'Progetto del paramento slu'!$G$53)</f>
        <v>0</v>
      </c>
      <c r="F582" s="553">
        <f>-'Foglio deposito bis'!$F$49*(C582-sezione!$AM$29)*IF(ABS(L582)&lt;'Progetto del paramento slu'!$G$58,ABS(L582)*'Progetto del paramento slu'!$G$54,'Progetto del paramento slu'!$G$53)</f>
        <v>27364382.630935933</v>
      </c>
      <c r="G582" s="553">
        <f>-'Foglio deposito bis'!$F$50*(C582-sezione!$AN$29)*IF(ABS(M582)&lt;'Progetto del paramento slu'!$G$58,ABS(M582)*'Progetto del paramento slu'!$G$54,'Progetto del paramento slu'!$G$53)</f>
        <v>0</v>
      </c>
      <c r="H582" s="553">
        <f>-'Foglio deposito bis'!$F$51*(C582-sezione!$AO$29)*IF(ABS(N582)&lt;'Progetto del paramento slu'!$G$58,ABS(N582)*'Progetto del paramento slu'!$G$54,'Progetto del paramento slu'!$G$53)</f>
        <v>77960348.486030877</v>
      </c>
      <c r="I582" s="479">
        <f>-'Foglio deposito bis'!$F$52*(C582-sezione!$AP$29)*IF(ABS(O582)&lt;'Progetto del paramento slu'!$G$58,ABS(O582)*'Progetto del paramento slu'!$G$54,'Progetto del paramento slu'!$G$53)</f>
        <v>58685109.426081643</v>
      </c>
      <c r="J582" s="479">
        <f t="shared" si="44"/>
        <v>161784611.06328142</v>
      </c>
      <c r="K582" s="558">
        <f>'Progetto del paramento slu'!$G$60*(sezione!$AL$29-C582)/C582</f>
        <v>5.0151697061115814E-3</v>
      </c>
      <c r="L582" s="558">
        <f>'Progetto del paramento slu'!$G$60*(sezione!$AM$29-C582)/C582</f>
        <v>2.8431886397918431E-2</v>
      </c>
      <c r="M582" s="559">
        <f>'Progetto del paramento slu'!$G$60*(sezione!$AN$29-C582)/C582</f>
        <v>5.1848603089725283E-2</v>
      </c>
      <c r="N582" s="559">
        <f>'Progetto del paramento slu'!$G$60*(sezione!$AO$29-C582)/C582</f>
        <v>6.8878942501948454E-2</v>
      </c>
      <c r="O582" s="559">
        <f>'Progetto del paramento slu'!$G$60*(sezione!$AP$29-C582)/C582</f>
        <v>5.1849027824752675E-2</v>
      </c>
      <c r="P582" s="553">
        <f>-'Progetto del paramento slu'!$G$47*'Progetto del paramento slu'!$G$41*IF(DATI!$G$218="dx",DATI!$E$61,DATI!$E$64*DATI!$E$63)*1000*C582*sezione!$AD$5</f>
        <v>-231753.99529425896</v>
      </c>
      <c r="Q582" s="553">
        <f>'Foglio deposito bis'!$F$48*IF(ABS(K582)&lt;'Progetto del paramento slu'!$G$58,ABS(K582)*'Progetto del paramento slu'!$G$54,'Progetto del paramento slu'!$G$53)*IF(K582&lt;0,-1,1)</f>
        <v>0</v>
      </c>
      <c r="R582" s="553">
        <f>'Foglio deposito bis'!$F$49*IF(ABS(L582)&lt;'Progetto del paramento slu'!$G$58,ABS(L582)*'Progetto del paramento slu'!$G$54,'Progetto del paramento slu'!$G$53)*IF(L582&lt;0,-1,1)</f>
        <v>204886.47740803001</v>
      </c>
      <c r="S582" s="553">
        <f>'Foglio deposito bis'!$F$50*IF(ABS(M582)&lt;'Progetto del paramento slu'!$G$58,ABS(M582)*'Progetto del paramento slu'!$G$54,'Progetto del paramento slu'!$G$53)*IF(M582&lt;0,-1,1)</f>
        <v>0</v>
      </c>
      <c r="T582" s="553">
        <f>'Foglio deposito bis'!$F$51*IF(ABS(N582)&lt;'Progetto del paramento slu'!$G$58,ABS(N582)*'Progetto del paramento slu'!$G$54,'Progetto del paramento slu'!$G$53)*IF(N582&lt;0,-1,1)</f>
        <v>240946.49743184328</v>
      </c>
      <c r="U582" s="553">
        <f>'Foglio deposito bis'!$F$52*IF(ABS(O582)&lt;'Progetto del paramento slu'!$G$58,ABS(O582)*'Progetto del paramento slu'!$G$54,'Progetto del paramento slu'!$G$53)*IF(O582&lt;0,-1,1)</f>
        <v>240946.49743184328</v>
      </c>
      <c r="V582" s="479">
        <f t="shared" si="45"/>
        <v>455025.47697745764</v>
      </c>
      <c r="W582" s="559"/>
      <c r="X582" s="559"/>
    </row>
    <row r="583" spans="1:24" x14ac:dyDescent="0.25">
      <c r="A583" s="553">
        <f t="shared" si="46"/>
        <v>452164.316541726</v>
      </c>
      <c r="B583" s="3">
        <f t="shared" si="47"/>
        <v>4.0999999999999934</v>
      </c>
      <c r="C583" s="553">
        <f>'Foglio deposito bis'!$E$155/sezione!$B$247*B583</f>
        <v>16.644224361142896</v>
      </c>
      <c r="D583" s="611">
        <f>-'Progetto del paramento slu'!$G$47*'Progetto del paramento slu'!$G$41*IF(DATI!$G$218="dx",DATI!$E$61,DATI!$E$64*DATI!$E$63)*1000*C583^2*sezione!$AD$5*(1-sezione!$AD$6)</f>
        <v>-2280512.5776487552</v>
      </c>
      <c r="E583" s="553">
        <f>-'Foglio deposito bis'!$F$48*(C583-sezione!$AL$29)*IF(ABS(K583)&lt;'Progetto del paramento slu'!$G$58,ABS(K583)*'Progetto del paramento slu'!$G$54,'Progetto del paramento slu'!$G$53)</f>
        <v>0</v>
      </c>
      <c r="F583" s="553">
        <f>-'Foglio deposito bis'!$F$49*(C583-sezione!$AM$29)*IF(ABS(L583)&lt;'Progetto del paramento slu'!$G$58,ABS(L583)*'Progetto del paramento slu'!$G$54,'Progetto del paramento slu'!$G$53)</f>
        <v>27322795.112661015</v>
      </c>
      <c r="G583" s="553">
        <f>-'Foglio deposito bis'!$F$50*(C583-sezione!$AN$29)*IF(ABS(M583)&lt;'Progetto del paramento slu'!$G$58,ABS(M583)*'Progetto del paramento slu'!$G$54,'Progetto del paramento slu'!$G$53)</f>
        <v>0</v>
      </c>
      <c r="H583" s="553">
        <f>-'Foglio deposito bis'!$F$51*(C583-sezione!$AO$29)*IF(ABS(N583)&lt;'Progetto del paramento slu'!$G$58,ABS(N583)*'Progetto del paramento slu'!$G$54,'Progetto del paramento slu'!$G$53)</f>
        <v>77911441.564539567</v>
      </c>
      <c r="I583" s="479">
        <f>-'Foglio deposito bis'!$F$52*(C583-sezione!$AP$29)*IF(ABS(O583)&lt;'Progetto del paramento slu'!$G$58,ABS(O583)*'Progetto del paramento slu'!$G$54,'Progetto del paramento slu'!$G$53)</f>
        <v>58636202.50459034</v>
      </c>
      <c r="J583" s="479">
        <f t="shared" si="44"/>
        <v>161589926.60414216</v>
      </c>
      <c r="K583" s="558">
        <f>'Progetto del paramento slu'!$G$60*(sezione!$AL$29-C583)/C583</f>
        <v>4.9113261731102221E-3</v>
      </c>
      <c r="L583" s="558">
        <f>'Progetto del paramento slu'!$G$60*(sezione!$AM$29-C583)/C583</f>
        <v>2.8042473149163329E-2</v>
      </c>
      <c r="M583" s="559">
        <f>'Progetto del paramento slu'!$G$60*(sezione!$AN$29-C583)/C583</f>
        <v>5.1173620125216437E-2</v>
      </c>
      <c r="N583" s="559">
        <f>'Progetto del paramento slu'!$G$60*(sezione!$AO$29-C583)/C583</f>
        <v>6.7996272471436886E-2</v>
      </c>
      <c r="O583" s="559">
        <f>'Progetto del paramento slu'!$G$60*(sezione!$AP$29-C583)/C583</f>
        <v>5.1174039680548379E-2</v>
      </c>
      <c r="P583" s="553">
        <f>-'Progetto del paramento slu'!$G$47*'Progetto del paramento slu'!$G$41*IF(DATI!$G$218="dx",DATI!$E$61,DATI!$E$64*DATI!$E$63)*1000*C583*sezione!$AD$5</f>
        <v>-234615.15572999057</v>
      </c>
      <c r="Q583" s="553">
        <f>'Foglio deposito bis'!$F$48*IF(ABS(K583)&lt;'Progetto del paramento slu'!$G$58,ABS(K583)*'Progetto del paramento slu'!$G$54,'Progetto del paramento slu'!$G$53)*IF(K583&lt;0,-1,1)</f>
        <v>0</v>
      </c>
      <c r="R583" s="553">
        <f>'Foglio deposito bis'!$F$49*IF(ABS(L583)&lt;'Progetto del paramento slu'!$G$58,ABS(L583)*'Progetto del paramento slu'!$G$54,'Progetto del paramento slu'!$G$53)*IF(L583&lt;0,-1,1)</f>
        <v>204886.47740803001</v>
      </c>
      <c r="S583" s="553">
        <f>'Foglio deposito bis'!$F$50*IF(ABS(M583)&lt;'Progetto del paramento slu'!$G$58,ABS(M583)*'Progetto del paramento slu'!$G$54,'Progetto del paramento slu'!$G$53)*IF(M583&lt;0,-1,1)</f>
        <v>0</v>
      </c>
      <c r="T583" s="553">
        <f>'Foglio deposito bis'!$F$51*IF(ABS(N583)&lt;'Progetto del paramento slu'!$G$58,ABS(N583)*'Progetto del paramento slu'!$G$54,'Progetto del paramento slu'!$G$53)*IF(N583&lt;0,-1,1)</f>
        <v>240946.49743184328</v>
      </c>
      <c r="U583" s="553">
        <f>'Foglio deposito bis'!$F$52*IF(ABS(O583)&lt;'Progetto del paramento slu'!$G$58,ABS(O583)*'Progetto del paramento slu'!$G$54,'Progetto del paramento slu'!$G$53)*IF(O583&lt;0,-1,1)</f>
        <v>240946.49743184328</v>
      </c>
      <c r="V583" s="479">
        <f t="shared" si="45"/>
        <v>452164.316541726</v>
      </c>
      <c r="W583" s="559"/>
      <c r="X583" s="559"/>
    </row>
    <row r="584" spans="1:24" x14ac:dyDescent="0.25">
      <c r="A584" s="553">
        <f t="shared" si="46"/>
        <v>449303.15610599448</v>
      </c>
      <c r="B584" s="3">
        <f t="shared" si="47"/>
        <v>4.1499999999999932</v>
      </c>
      <c r="C584" s="553">
        <f>'Foglio deposito bis'!$E$155/sezione!$B$247*B584</f>
        <v>16.847202707010492</v>
      </c>
      <c r="D584" s="611">
        <f>-'Progetto del paramento slu'!$G$47*'Progetto del paramento slu'!$G$41*IF(DATI!$G$218="dx",DATI!$E$61,DATI!$E$64*DATI!$E$63)*1000*C584^2*sezione!$AD$5*(1-sezione!$AD$6)</f>
        <v>-2336473.9957498917</v>
      </c>
      <c r="E584" s="553">
        <f>-'Foglio deposito bis'!$F$48*(C584-sezione!$AL$29)*IF(ABS(K584)&lt;'Progetto del paramento slu'!$G$58,ABS(K584)*'Progetto del paramento slu'!$G$54,'Progetto del paramento slu'!$G$53)</f>
        <v>0</v>
      </c>
      <c r="F584" s="553">
        <f>-'Foglio deposito bis'!$F$49*(C584-sezione!$AM$29)*IF(ABS(L584)&lt;'Progetto del paramento slu'!$G$58,ABS(L584)*'Progetto del paramento slu'!$G$54,'Progetto del paramento slu'!$G$53)</f>
        <v>27281207.594386093</v>
      </c>
      <c r="G584" s="553">
        <f>-'Foglio deposito bis'!$F$50*(C584-sezione!$AN$29)*IF(ABS(M584)&lt;'Progetto del paramento slu'!$G$58,ABS(M584)*'Progetto del paramento slu'!$G$54,'Progetto del paramento slu'!$G$53)</f>
        <v>0</v>
      </c>
      <c r="H584" s="553">
        <f>-'Foglio deposito bis'!$F$51*(C584-sezione!$AO$29)*IF(ABS(N584)&lt;'Progetto del paramento slu'!$G$58,ABS(N584)*'Progetto del paramento slu'!$G$54,'Progetto del paramento slu'!$G$53)</f>
        <v>77862534.643048272</v>
      </c>
      <c r="I584" s="479">
        <f>-'Foglio deposito bis'!$F$52*(C584-sezione!$AP$29)*IF(ABS(O584)&lt;'Progetto del paramento slu'!$G$58,ABS(O584)*'Progetto del paramento slu'!$G$54,'Progetto del paramento slu'!$G$53)</f>
        <v>58587295.58309903</v>
      </c>
      <c r="J584" s="479">
        <f t="shared" si="44"/>
        <v>161394563.8247835</v>
      </c>
      <c r="K584" s="558">
        <f>'Progetto del paramento slu'!$G$60*(sezione!$AL$29-C584)/C584</f>
        <v>4.8099848939161232E-3</v>
      </c>
      <c r="L584" s="558">
        <f>'Progetto del paramento slu'!$G$60*(sezione!$AM$29-C584)/C584</f>
        <v>2.766244335218546E-2</v>
      </c>
      <c r="M584" s="559">
        <f>'Progetto del paramento slu'!$G$60*(sezione!$AN$29-C584)/C584</f>
        <v>5.0514901810454794E-2</v>
      </c>
      <c r="N584" s="559">
        <f>'Progetto del paramento slu'!$G$60*(sezione!$AO$29-C584)/C584</f>
        <v>6.7134871598287058E-2</v>
      </c>
      <c r="O584" s="559">
        <f>'Progetto del paramento slu'!$G$60*(sezione!$AP$29-C584)/C584</f>
        <v>5.0515316310903217E-2</v>
      </c>
      <c r="P584" s="553">
        <f>-'Progetto del paramento slu'!$G$47*'Progetto del paramento slu'!$G$41*IF(DATI!$G$218="dx",DATI!$E$61,DATI!$E$64*DATI!$E$63)*1000*C584*sezione!$AD$5</f>
        <v>-237476.31616572212</v>
      </c>
      <c r="Q584" s="553">
        <f>'Foglio deposito bis'!$F$48*IF(ABS(K584)&lt;'Progetto del paramento slu'!$G$58,ABS(K584)*'Progetto del paramento slu'!$G$54,'Progetto del paramento slu'!$G$53)*IF(K584&lt;0,-1,1)</f>
        <v>0</v>
      </c>
      <c r="R584" s="553">
        <f>'Foglio deposito bis'!$F$49*IF(ABS(L584)&lt;'Progetto del paramento slu'!$G$58,ABS(L584)*'Progetto del paramento slu'!$G$54,'Progetto del paramento slu'!$G$53)*IF(L584&lt;0,-1,1)</f>
        <v>204886.47740803001</v>
      </c>
      <c r="S584" s="553">
        <f>'Foglio deposito bis'!$F$50*IF(ABS(M584)&lt;'Progetto del paramento slu'!$G$58,ABS(M584)*'Progetto del paramento slu'!$G$54,'Progetto del paramento slu'!$G$53)*IF(M584&lt;0,-1,1)</f>
        <v>0</v>
      </c>
      <c r="T584" s="553">
        <f>'Foglio deposito bis'!$F$51*IF(ABS(N584)&lt;'Progetto del paramento slu'!$G$58,ABS(N584)*'Progetto del paramento slu'!$G$54,'Progetto del paramento slu'!$G$53)*IF(N584&lt;0,-1,1)</f>
        <v>240946.49743184328</v>
      </c>
      <c r="U584" s="553">
        <f>'Foglio deposito bis'!$F$52*IF(ABS(O584)&lt;'Progetto del paramento slu'!$G$58,ABS(O584)*'Progetto del paramento slu'!$G$54,'Progetto del paramento slu'!$G$53)*IF(O584&lt;0,-1,1)</f>
        <v>240946.49743184328</v>
      </c>
      <c r="V584" s="479">
        <f t="shared" si="45"/>
        <v>449303.15610599448</v>
      </c>
      <c r="W584" s="559"/>
      <c r="X584" s="559"/>
    </row>
    <row r="585" spans="1:24" x14ac:dyDescent="0.25">
      <c r="A585" s="553">
        <f t="shared" si="46"/>
        <v>446441.99567026284</v>
      </c>
      <c r="B585" s="3">
        <f t="shared" si="47"/>
        <v>4.1999999999999931</v>
      </c>
      <c r="C585" s="553">
        <f>'Foglio deposito bis'!$E$155/sezione!$B$247*B585</f>
        <v>17.050181052878088</v>
      </c>
      <c r="D585" s="611">
        <f>-'Progetto del paramento slu'!$G$47*'Progetto del paramento slu'!$G$41*IF(DATI!$G$218="dx",DATI!$E$61,DATI!$E$64*DATI!$E$63)*1000*C585^2*sezione!$AD$5*(1-sezione!$AD$6)</f>
        <v>-2393113.7340704361</v>
      </c>
      <c r="E585" s="553">
        <f>-'Foglio deposito bis'!$F$48*(C585-sezione!$AL$29)*IF(ABS(K585)&lt;'Progetto del paramento slu'!$G$58,ABS(K585)*'Progetto del paramento slu'!$G$54,'Progetto del paramento slu'!$G$53)</f>
        <v>0</v>
      </c>
      <c r="F585" s="553">
        <f>-'Foglio deposito bis'!$F$49*(C585-sezione!$AM$29)*IF(ABS(L585)&lt;'Progetto del paramento slu'!$G$58,ABS(L585)*'Progetto del paramento slu'!$G$54,'Progetto del paramento slu'!$G$53)</f>
        <v>27239620.076111171</v>
      </c>
      <c r="G585" s="553">
        <f>-'Foglio deposito bis'!$F$50*(C585-sezione!$AN$29)*IF(ABS(M585)&lt;'Progetto del paramento slu'!$G$58,ABS(M585)*'Progetto del paramento slu'!$G$54,'Progetto del paramento slu'!$G$53)</f>
        <v>0</v>
      </c>
      <c r="H585" s="553">
        <f>-'Foglio deposito bis'!$F$51*(C585-sezione!$AO$29)*IF(ABS(N585)&lt;'Progetto del paramento slu'!$G$58,ABS(N585)*'Progetto del paramento slu'!$G$54,'Progetto del paramento slu'!$G$53)</f>
        <v>77813627.721556962</v>
      </c>
      <c r="I585" s="479">
        <f>-'Foglio deposito bis'!$F$52*(C585-sezione!$AP$29)*IF(ABS(O585)&lt;'Progetto del paramento slu'!$G$58,ABS(O585)*'Progetto del paramento slu'!$G$54,'Progetto del paramento slu'!$G$53)</f>
        <v>58538388.661607727</v>
      </c>
      <c r="J585" s="479">
        <f t="shared" si="44"/>
        <v>161198522.72520542</v>
      </c>
      <c r="K585" s="558">
        <f>'Progetto del paramento slu'!$G$60*(sezione!$AL$29-C585)/C585</f>
        <v>4.7110565023218837E-3</v>
      </c>
      <c r="L585" s="558">
        <f>'Progetto del paramento slu'!$G$60*(sezione!$AM$29-C585)/C585</f>
        <v>2.7291461883707062E-2</v>
      </c>
      <c r="M585" s="559">
        <f>'Progetto del paramento slu'!$G$60*(sezione!$AN$29-C585)/C585</f>
        <v>4.987186726509224E-2</v>
      </c>
      <c r="N585" s="559">
        <f>'Progetto del paramento slu'!$G$60*(sezione!$AO$29-C585)/C585</f>
        <v>6.6293980269736014E-2</v>
      </c>
      <c r="O585" s="559">
        <f>'Progetto del paramento slu'!$G$60*(sezione!$AP$29-C585)/C585</f>
        <v>4.9872276831011517E-2</v>
      </c>
      <c r="P585" s="553">
        <f>-'Progetto del paramento slu'!$G$47*'Progetto del paramento slu'!$G$41*IF(DATI!$G$218="dx",DATI!$E$61,DATI!$E$64*DATI!$E$63)*1000*C585*sezione!$AD$5</f>
        <v>-240337.4766014537</v>
      </c>
      <c r="Q585" s="553">
        <f>'Foglio deposito bis'!$F$48*IF(ABS(K585)&lt;'Progetto del paramento slu'!$G$58,ABS(K585)*'Progetto del paramento slu'!$G$54,'Progetto del paramento slu'!$G$53)*IF(K585&lt;0,-1,1)</f>
        <v>0</v>
      </c>
      <c r="R585" s="553">
        <f>'Foglio deposito bis'!$F$49*IF(ABS(L585)&lt;'Progetto del paramento slu'!$G$58,ABS(L585)*'Progetto del paramento slu'!$G$54,'Progetto del paramento slu'!$G$53)*IF(L585&lt;0,-1,1)</f>
        <v>204886.47740803001</v>
      </c>
      <c r="S585" s="553">
        <f>'Foglio deposito bis'!$F$50*IF(ABS(M585)&lt;'Progetto del paramento slu'!$G$58,ABS(M585)*'Progetto del paramento slu'!$G$54,'Progetto del paramento slu'!$G$53)*IF(M585&lt;0,-1,1)</f>
        <v>0</v>
      </c>
      <c r="T585" s="553">
        <f>'Foglio deposito bis'!$F$51*IF(ABS(N585)&lt;'Progetto del paramento slu'!$G$58,ABS(N585)*'Progetto del paramento slu'!$G$54,'Progetto del paramento slu'!$G$53)*IF(N585&lt;0,-1,1)</f>
        <v>240946.49743184328</v>
      </c>
      <c r="U585" s="553">
        <f>'Foglio deposito bis'!$F$52*IF(ABS(O585)&lt;'Progetto del paramento slu'!$G$58,ABS(O585)*'Progetto del paramento slu'!$G$54,'Progetto del paramento slu'!$G$53)*IF(O585&lt;0,-1,1)</f>
        <v>240946.49743184328</v>
      </c>
      <c r="V585" s="479">
        <f t="shared" si="45"/>
        <v>446441.99567026284</v>
      </c>
      <c r="W585" s="559"/>
      <c r="X585" s="559"/>
    </row>
    <row r="586" spans="1:24" x14ac:dyDescent="0.25">
      <c r="A586" s="553">
        <f t="shared" si="46"/>
        <v>443580.83523453132</v>
      </c>
      <c r="B586" s="3">
        <f t="shared" si="47"/>
        <v>4.2499999999999929</v>
      </c>
      <c r="C586" s="553">
        <f>'Foglio deposito bis'!$E$155/sezione!$B$247*B586</f>
        <v>17.253159398745684</v>
      </c>
      <c r="D586" s="611">
        <f>-'Progetto del paramento slu'!$G$47*'Progetto del paramento slu'!$G$41*IF(DATI!$G$218="dx",DATI!$E$61,DATI!$E$64*DATI!$E$63)*1000*C586^2*sezione!$AD$5*(1-sezione!$AD$6)</f>
        <v>-2450431.7926103887</v>
      </c>
      <c r="E586" s="553">
        <f>-'Foglio deposito bis'!$F$48*(C586-sezione!$AL$29)*IF(ABS(K586)&lt;'Progetto del paramento slu'!$G$58,ABS(K586)*'Progetto del paramento slu'!$G$54,'Progetto del paramento slu'!$G$53)</f>
        <v>0</v>
      </c>
      <c r="F586" s="553">
        <f>-'Foglio deposito bis'!$F$49*(C586-sezione!$AM$29)*IF(ABS(L586)&lt;'Progetto del paramento slu'!$G$58,ABS(L586)*'Progetto del paramento slu'!$G$54,'Progetto del paramento slu'!$G$53)</f>
        <v>27198032.557836253</v>
      </c>
      <c r="G586" s="553">
        <f>-'Foglio deposito bis'!$F$50*(C586-sezione!$AN$29)*IF(ABS(M586)&lt;'Progetto del paramento slu'!$G$58,ABS(M586)*'Progetto del paramento slu'!$G$54,'Progetto del paramento slu'!$G$53)</f>
        <v>0</v>
      </c>
      <c r="H586" s="553">
        <f>-'Foglio deposito bis'!$F$51*(C586-sezione!$AO$29)*IF(ABS(N586)&lt;'Progetto del paramento slu'!$G$58,ABS(N586)*'Progetto del paramento slu'!$G$54,'Progetto del paramento slu'!$G$53)</f>
        <v>77764720.800065652</v>
      </c>
      <c r="I586" s="479">
        <f>-'Foglio deposito bis'!$F$52*(C586-sezione!$AP$29)*IF(ABS(O586)&lt;'Progetto del paramento slu'!$G$58,ABS(O586)*'Progetto del paramento slu'!$G$54,'Progetto del paramento slu'!$G$53)</f>
        <v>58489481.740116417</v>
      </c>
      <c r="J586" s="479">
        <f t="shared" si="44"/>
        <v>161001803.30540794</v>
      </c>
      <c r="K586" s="558">
        <f>'Progetto del paramento slu'!$G$60*(sezione!$AL$29-C586)/C586</f>
        <v>4.6144558375886859E-3</v>
      </c>
      <c r="L586" s="558">
        <f>'Progetto del paramento slu'!$G$60*(sezione!$AM$29-C586)/C586</f>
        <v>2.6929209390957567E-2</v>
      </c>
      <c r="M586" s="559">
        <f>'Progetto del paramento slu'!$G$60*(sezione!$AN$29-C586)/C586</f>
        <v>4.9243962944326453E-2</v>
      </c>
      <c r="N586" s="559">
        <f>'Progetto del paramento slu'!$G$60*(sezione!$AO$29-C586)/C586</f>
        <v>6.5472874619503824E-2</v>
      </c>
      <c r="O586" s="559">
        <f>'Progetto del paramento slu'!$G$60*(sezione!$AP$29-C586)/C586</f>
        <v>4.9244367691823145E-2</v>
      </c>
      <c r="P586" s="553">
        <f>-'Progetto del paramento slu'!$G$47*'Progetto del paramento slu'!$G$41*IF(DATI!$G$218="dx",DATI!$E$61,DATI!$E$64*DATI!$E$63)*1000*C586*sezione!$AD$5</f>
        <v>-243198.63703718528</v>
      </c>
      <c r="Q586" s="553">
        <f>'Foglio deposito bis'!$F$48*IF(ABS(K586)&lt;'Progetto del paramento slu'!$G$58,ABS(K586)*'Progetto del paramento slu'!$G$54,'Progetto del paramento slu'!$G$53)*IF(K586&lt;0,-1,1)</f>
        <v>0</v>
      </c>
      <c r="R586" s="553">
        <f>'Foglio deposito bis'!$F$49*IF(ABS(L586)&lt;'Progetto del paramento slu'!$G$58,ABS(L586)*'Progetto del paramento slu'!$G$54,'Progetto del paramento slu'!$G$53)*IF(L586&lt;0,-1,1)</f>
        <v>204886.47740803001</v>
      </c>
      <c r="S586" s="553">
        <f>'Foglio deposito bis'!$F$50*IF(ABS(M586)&lt;'Progetto del paramento slu'!$G$58,ABS(M586)*'Progetto del paramento slu'!$G$54,'Progetto del paramento slu'!$G$53)*IF(M586&lt;0,-1,1)</f>
        <v>0</v>
      </c>
      <c r="T586" s="553">
        <f>'Foglio deposito bis'!$F$51*IF(ABS(N586)&lt;'Progetto del paramento slu'!$G$58,ABS(N586)*'Progetto del paramento slu'!$G$54,'Progetto del paramento slu'!$G$53)*IF(N586&lt;0,-1,1)</f>
        <v>240946.49743184328</v>
      </c>
      <c r="U586" s="553">
        <f>'Foglio deposito bis'!$F$52*IF(ABS(O586)&lt;'Progetto del paramento slu'!$G$58,ABS(O586)*'Progetto del paramento slu'!$G$54,'Progetto del paramento slu'!$G$53)*IF(O586&lt;0,-1,1)</f>
        <v>240946.49743184328</v>
      </c>
      <c r="V586" s="479">
        <f t="shared" si="45"/>
        <v>443580.83523453132</v>
      </c>
      <c r="W586" s="559"/>
      <c r="X586" s="559"/>
    </row>
    <row r="587" spans="1:24" x14ac:dyDescent="0.25">
      <c r="A587" s="553">
        <f t="shared" si="46"/>
        <v>440719.67479879968</v>
      </c>
      <c r="B587" s="3">
        <f t="shared" si="47"/>
        <v>4.2999999999999927</v>
      </c>
      <c r="C587" s="553">
        <f>'Foglio deposito bis'!$E$155/sezione!$B$247*B587</f>
        <v>17.456137744613279</v>
      </c>
      <c r="D587" s="611">
        <f>-'Progetto del paramento slu'!$G$47*'Progetto del paramento slu'!$G$41*IF(DATI!$G$218="dx",DATI!$E$61,DATI!$E$64*DATI!$E$63)*1000*C587^2*sezione!$AD$5*(1-sezione!$AD$6)</f>
        <v>-2508428.1713697482</v>
      </c>
      <c r="E587" s="553">
        <f>-'Foglio deposito bis'!$F$48*(C587-sezione!$AL$29)*IF(ABS(K587)&lt;'Progetto del paramento slu'!$G$58,ABS(K587)*'Progetto del paramento slu'!$G$54,'Progetto del paramento slu'!$G$53)</f>
        <v>0</v>
      </c>
      <c r="F587" s="553">
        <f>-'Foglio deposito bis'!$F$49*(C587-sezione!$AM$29)*IF(ABS(L587)&lt;'Progetto del paramento slu'!$G$58,ABS(L587)*'Progetto del paramento slu'!$G$54,'Progetto del paramento slu'!$G$53)</f>
        <v>27156445.039561335</v>
      </c>
      <c r="G587" s="553">
        <f>-'Foglio deposito bis'!$F$50*(C587-sezione!$AN$29)*IF(ABS(M587)&lt;'Progetto del paramento slu'!$G$58,ABS(M587)*'Progetto del paramento slu'!$G$54,'Progetto del paramento slu'!$G$53)</f>
        <v>0</v>
      </c>
      <c r="H587" s="553">
        <f>-'Foglio deposito bis'!$F$51*(C587-sezione!$AO$29)*IF(ABS(N587)&lt;'Progetto del paramento slu'!$G$58,ABS(N587)*'Progetto del paramento slu'!$G$54,'Progetto del paramento slu'!$G$53)</f>
        <v>77715813.878574356</v>
      </c>
      <c r="I587" s="479">
        <f>-'Foglio deposito bis'!$F$52*(C587-sezione!$AP$29)*IF(ABS(O587)&lt;'Progetto del paramento slu'!$G$58,ABS(O587)*'Progetto del paramento slu'!$G$54,'Progetto del paramento slu'!$G$53)</f>
        <v>58440574.818625107</v>
      </c>
      <c r="J587" s="479">
        <f t="shared" si="44"/>
        <v>160804405.56539106</v>
      </c>
      <c r="K587" s="558">
        <f>'Progetto del paramento slu'!$G$60*(sezione!$AL$29-C587)/C587</f>
        <v>4.520101699942305E-3</v>
      </c>
      <c r="L587" s="558">
        <f>'Progetto del paramento slu'!$G$60*(sezione!$AM$29-C587)/C587</f>
        <v>2.6575381374783644E-2</v>
      </c>
      <c r="M587" s="559">
        <f>'Progetto del paramento slu'!$G$60*(sezione!$AN$29-C587)/C587</f>
        <v>4.8630661049624983E-2</v>
      </c>
      <c r="N587" s="559">
        <f>'Progetto del paramento slu'!$G$60*(sezione!$AO$29-C587)/C587</f>
        <v>6.4670864449509591E-2</v>
      </c>
      <c r="O587" s="559">
        <f>'Progetto del paramento slu'!$G$60*(sezione!$AP$29-C587)/C587</f>
        <v>4.8631061090755434E-2</v>
      </c>
      <c r="P587" s="553">
        <f>-'Progetto del paramento slu'!$G$47*'Progetto del paramento slu'!$G$41*IF(DATI!$G$218="dx",DATI!$E$61,DATI!$E$64*DATI!$E$63)*1000*C587*sezione!$AD$5</f>
        <v>-246059.79747291689</v>
      </c>
      <c r="Q587" s="553">
        <f>'Foglio deposito bis'!$F$48*IF(ABS(K587)&lt;'Progetto del paramento slu'!$G$58,ABS(K587)*'Progetto del paramento slu'!$G$54,'Progetto del paramento slu'!$G$53)*IF(K587&lt;0,-1,1)</f>
        <v>0</v>
      </c>
      <c r="R587" s="553">
        <f>'Foglio deposito bis'!$F$49*IF(ABS(L587)&lt;'Progetto del paramento slu'!$G$58,ABS(L587)*'Progetto del paramento slu'!$G$54,'Progetto del paramento slu'!$G$53)*IF(L587&lt;0,-1,1)</f>
        <v>204886.47740803001</v>
      </c>
      <c r="S587" s="553">
        <f>'Foglio deposito bis'!$F$50*IF(ABS(M587)&lt;'Progetto del paramento slu'!$G$58,ABS(M587)*'Progetto del paramento slu'!$G$54,'Progetto del paramento slu'!$G$53)*IF(M587&lt;0,-1,1)</f>
        <v>0</v>
      </c>
      <c r="T587" s="553">
        <f>'Foglio deposito bis'!$F$51*IF(ABS(N587)&lt;'Progetto del paramento slu'!$G$58,ABS(N587)*'Progetto del paramento slu'!$G$54,'Progetto del paramento slu'!$G$53)*IF(N587&lt;0,-1,1)</f>
        <v>240946.49743184328</v>
      </c>
      <c r="U587" s="553">
        <f>'Foglio deposito bis'!$F$52*IF(ABS(O587)&lt;'Progetto del paramento slu'!$G$58,ABS(O587)*'Progetto del paramento slu'!$G$54,'Progetto del paramento slu'!$G$53)*IF(O587&lt;0,-1,1)</f>
        <v>240946.49743184328</v>
      </c>
      <c r="V587" s="479">
        <f t="shared" si="45"/>
        <v>440719.67479879968</v>
      </c>
      <c r="W587" s="559"/>
      <c r="X587" s="559"/>
    </row>
    <row r="588" spans="1:24" x14ac:dyDescent="0.25">
      <c r="A588" s="553">
        <f t="shared" si="46"/>
        <v>437858.5143630681</v>
      </c>
      <c r="B588" s="3">
        <f t="shared" si="47"/>
        <v>4.3499999999999925</v>
      </c>
      <c r="C588" s="553">
        <f>'Foglio deposito bis'!$E$155/sezione!$B$247*B588</f>
        <v>17.659116090480875</v>
      </c>
      <c r="D588" s="611">
        <f>-'Progetto del paramento slu'!$G$47*'Progetto del paramento slu'!$G$41*IF(DATI!$G$218="dx",DATI!$E$61,DATI!$E$64*DATI!$E$63)*1000*C588^2*sezione!$AD$5*(1-sezione!$AD$6)</f>
        <v>-2567102.8703485159</v>
      </c>
      <c r="E588" s="553">
        <f>-'Foglio deposito bis'!$F$48*(C588-sezione!$AL$29)*IF(ABS(K588)&lt;'Progetto del paramento slu'!$G$58,ABS(K588)*'Progetto del paramento slu'!$G$54,'Progetto del paramento slu'!$G$53)</f>
        <v>0</v>
      </c>
      <c r="F588" s="553">
        <f>-'Foglio deposito bis'!$F$49*(C588-sezione!$AM$29)*IF(ABS(L588)&lt;'Progetto del paramento slu'!$G$58,ABS(L588)*'Progetto del paramento slu'!$G$54,'Progetto del paramento slu'!$G$53)</f>
        <v>27114857.521286417</v>
      </c>
      <c r="G588" s="553">
        <f>-'Foglio deposito bis'!$F$50*(C588-sezione!$AN$29)*IF(ABS(M588)&lt;'Progetto del paramento slu'!$G$58,ABS(M588)*'Progetto del paramento slu'!$G$54,'Progetto del paramento slu'!$G$53)</f>
        <v>0</v>
      </c>
      <c r="H588" s="553">
        <f>-'Foglio deposito bis'!$F$51*(C588-sezione!$AO$29)*IF(ABS(N588)&lt;'Progetto del paramento slu'!$G$58,ABS(N588)*'Progetto del paramento slu'!$G$54,'Progetto del paramento slu'!$G$53)</f>
        <v>77666906.957083032</v>
      </c>
      <c r="I588" s="479">
        <f>-'Foglio deposito bis'!$F$52*(C588-sezione!$AP$29)*IF(ABS(O588)&lt;'Progetto del paramento slu'!$G$58,ABS(O588)*'Progetto del paramento slu'!$G$54,'Progetto del paramento slu'!$G$53)</f>
        <v>58391667.897133805</v>
      </c>
      <c r="J588" s="479">
        <f t="shared" si="44"/>
        <v>160606329.50515473</v>
      </c>
      <c r="K588" s="558">
        <f>'Progetto del paramento slu'!$G$60*(sezione!$AL$29-C588)/C588</f>
        <v>4.4279166229314743E-3</v>
      </c>
      <c r="L588" s="558">
        <f>'Progetto del paramento slu'!$G$60*(sezione!$AM$29-C588)/C588</f>
        <v>2.622968733599303E-2</v>
      </c>
      <c r="M588" s="559">
        <f>'Progetto del paramento slu'!$G$60*(sezione!$AN$29-C588)/C588</f>
        <v>4.8031458049054586E-2</v>
      </c>
      <c r="N588" s="559">
        <f>'Progetto del paramento slu'!$G$60*(sezione!$AO$29-C588)/C588</f>
        <v>6.3887291294917534E-2</v>
      </c>
      <c r="O588" s="559">
        <f>'Progetto del paramento slu'!$G$60*(sezione!$AP$29-C588)/C588</f>
        <v>4.8031853492011126E-2</v>
      </c>
      <c r="P588" s="553">
        <f>-'Progetto del paramento slu'!$G$47*'Progetto del paramento slu'!$G$41*IF(DATI!$G$218="dx",DATI!$E$61,DATI!$E$64*DATI!$E$63)*1000*C588*sezione!$AD$5</f>
        <v>-248920.95790864847</v>
      </c>
      <c r="Q588" s="553">
        <f>'Foglio deposito bis'!$F$48*IF(ABS(K588)&lt;'Progetto del paramento slu'!$G$58,ABS(K588)*'Progetto del paramento slu'!$G$54,'Progetto del paramento slu'!$G$53)*IF(K588&lt;0,-1,1)</f>
        <v>0</v>
      </c>
      <c r="R588" s="553">
        <f>'Foglio deposito bis'!$F$49*IF(ABS(L588)&lt;'Progetto del paramento slu'!$G$58,ABS(L588)*'Progetto del paramento slu'!$G$54,'Progetto del paramento slu'!$G$53)*IF(L588&lt;0,-1,1)</f>
        <v>204886.47740803001</v>
      </c>
      <c r="S588" s="553">
        <f>'Foglio deposito bis'!$F$50*IF(ABS(M588)&lt;'Progetto del paramento slu'!$G$58,ABS(M588)*'Progetto del paramento slu'!$G$54,'Progetto del paramento slu'!$G$53)*IF(M588&lt;0,-1,1)</f>
        <v>0</v>
      </c>
      <c r="T588" s="553">
        <f>'Foglio deposito bis'!$F$51*IF(ABS(N588)&lt;'Progetto del paramento slu'!$G$58,ABS(N588)*'Progetto del paramento slu'!$G$54,'Progetto del paramento slu'!$G$53)*IF(N588&lt;0,-1,1)</f>
        <v>240946.49743184328</v>
      </c>
      <c r="U588" s="553">
        <f>'Foglio deposito bis'!$F$52*IF(ABS(O588)&lt;'Progetto del paramento slu'!$G$58,ABS(O588)*'Progetto del paramento slu'!$G$54,'Progetto del paramento slu'!$G$53)*IF(O588&lt;0,-1,1)</f>
        <v>240946.49743184328</v>
      </c>
      <c r="V588" s="479">
        <f t="shared" si="45"/>
        <v>437858.5143630681</v>
      </c>
      <c r="W588" s="559"/>
      <c r="X588" s="559"/>
    </row>
    <row r="589" spans="1:24" x14ac:dyDescent="0.25">
      <c r="A589" s="553">
        <f t="shared" si="46"/>
        <v>434997.35392733652</v>
      </c>
      <c r="B589" s="3">
        <f t="shared" si="47"/>
        <v>4.3999999999999924</v>
      </c>
      <c r="C589" s="553">
        <f>'Foglio deposito bis'!$E$155/sezione!$B$247*B589</f>
        <v>17.862094436348471</v>
      </c>
      <c r="D589" s="611">
        <f>-'Progetto del paramento slu'!$G$47*'Progetto del paramento slu'!$G$41*IF(DATI!$G$218="dx",DATI!$E$61,DATI!$E$64*DATI!$E$63)*1000*C589^2*sezione!$AD$5*(1-sezione!$AD$6)</f>
        <v>-2626455.889546691</v>
      </c>
      <c r="E589" s="553">
        <f>-'Foglio deposito bis'!$F$48*(C589-sezione!$AL$29)*IF(ABS(K589)&lt;'Progetto del paramento slu'!$G$58,ABS(K589)*'Progetto del paramento slu'!$G$54,'Progetto del paramento slu'!$G$53)</f>
        <v>0</v>
      </c>
      <c r="F589" s="553">
        <f>-'Foglio deposito bis'!$F$49*(C589-sezione!$AM$29)*IF(ABS(L589)&lt;'Progetto del paramento slu'!$G$58,ABS(L589)*'Progetto del paramento slu'!$G$54,'Progetto del paramento slu'!$G$53)</f>
        <v>27073270.003011495</v>
      </c>
      <c r="G589" s="553">
        <f>-'Foglio deposito bis'!$F$50*(C589-sezione!$AN$29)*IF(ABS(M589)&lt;'Progetto del paramento slu'!$G$58,ABS(M589)*'Progetto del paramento slu'!$G$54,'Progetto del paramento slu'!$G$53)</f>
        <v>0</v>
      </c>
      <c r="H589" s="553">
        <f>-'Foglio deposito bis'!$F$51*(C589-sezione!$AO$29)*IF(ABS(N589)&lt;'Progetto del paramento slu'!$G$58,ABS(N589)*'Progetto del paramento slu'!$G$54,'Progetto del paramento slu'!$G$53)</f>
        <v>77618000.035591736</v>
      </c>
      <c r="I589" s="479">
        <f>-'Foglio deposito bis'!$F$52*(C589-sezione!$AP$29)*IF(ABS(O589)&lt;'Progetto del paramento slu'!$G$58,ABS(O589)*'Progetto del paramento slu'!$G$54,'Progetto del paramento slu'!$G$53)</f>
        <v>58342760.975642495</v>
      </c>
      <c r="J589" s="479">
        <f t="shared" si="44"/>
        <v>160407575.12469903</v>
      </c>
      <c r="K589" s="558">
        <f>'Progetto del paramento slu'!$G$60*(sezione!$AL$29-C589)/C589</f>
        <v>4.3378266613072532E-3</v>
      </c>
      <c r="L589" s="558">
        <f>'Progetto del paramento slu'!$G$60*(sezione!$AM$29-C589)/C589</f>
        <v>2.5891849979902203E-2</v>
      </c>
      <c r="M589" s="559">
        <f>'Progetto del paramento slu'!$G$60*(sezione!$AN$29-C589)/C589</f>
        <v>4.744587329849715E-2</v>
      </c>
      <c r="N589" s="559">
        <f>'Progetto del paramento slu'!$G$60*(sezione!$AO$29-C589)/C589</f>
        <v>6.3121526621111659E-2</v>
      </c>
      <c r="O589" s="559">
        <f>'Progetto del paramento slu'!$G$60*(sezione!$AP$29-C589)/C589</f>
        <v>4.7446264247783726E-2</v>
      </c>
      <c r="P589" s="553">
        <f>-'Progetto del paramento slu'!$G$47*'Progetto del paramento slu'!$G$41*IF(DATI!$G$218="dx",DATI!$E$61,DATI!$E$64*DATI!$E$63)*1000*C589*sezione!$AD$5</f>
        <v>-251782.11834438003</v>
      </c>
      <c r="Q589" s="553">
        <f>'Foglio deposito bis'!$F$48*IF(ABS(K589)&lt;'Progetto del paramento slu'!$G$58,ABS(K589)*'Progetto del paramento slu'!$G$54,'Progetto del paramento slu'!$G$53)*IF(K589&lt;0,-1,1)</f>
        <v>0</v>
      </c>
      <c r="R589" s="553">
        <f>'Foglio deposito bis'!$F$49*IF(ABS(L589)&lt;'Progetto del paramento slu'!$G$58,ABS(L589)*'Progetto del paramento slu'!$G$54,'Progetto del paramento slu'!$G$53)*IF(L589&lt;0,-1,1)</f>
        <v>204886.47740803001</v>
      </c>
      <c r="S589" s="553">
        <f>'Foglio deposito bis'!$F$50*IF(ABS(M589)&lt;'Progetto del paramento slu'!$G$58,ABS(M589)*'Progetto del paramento slu'!$G$54,'Progetto del paramento slu'!$G$53)*IF(M589&lt;0,-1,1)</f>
        <v>0</v>
      </c>
      <c r="T589" s="553">
        <f>'Foglio deposito bis'!$F$51*IF(ABS(N589)&lt;'Progetto del paramento slu'!$G$58,ABS(N589)*'Progetto del paramento slu'!$G$54,'Progetto del paramento slu'!$G$53)*IF(N589&lt;0,-1,1)</f>
        <v>240946.49743184328</v>
      </c>
      <c r="U589" s="553">
        <f>'Foglio deposito bis'!$F$52*IF(ABS(O589)&lt;'Progetto del paramento slu'!$G$58,ABS(O589)*'Progetto del paramento slu'!$G$54,'Progetto del paramento slu'!$G$53)*IF(O589&lt;0,-1,1)</f>
        <v>240946.49743184328</v>
      </c>
      <c r="V589" s="479">
        <f t="shared" si="45"/>
        <v>434997.35392733652</v>
      </c>
      <c r="W589" s="559"/>
      <c r="X589" s="559"/>
    </row>
    <row r="590" spans="1:24" x14ac:dyDescent="0.25">
      <c r="A590" s="553">
        <f t="shared" si="46"/>
        <v>432136.19349160499</v>
      </c>
      <c r="B590" s="3">
        <f t="shared" si="47"/>
        <v>4.4499999999999922</v>
      </c>
      <c r="C590" s="553">
        <f>'Foglio deposito bis'!$E$155/sezione!$B$247*B590</f>
        <v>18.065072782216067</v>
      </c>
      <c r="D590" s="611">
        <f>-'Progetto del paramento slu'!$G$47*'Progetto del paramento slu'!$G$41*IF(DATI!$G$218="dx",DATI!$E$61,DATI!$E$64*DATI!$E$63)*1000*C590^2*sezione!$AD$5*(1-sezione!$AD$6)</f>
        <v>-2686487.2289642743</v>
      </c>
      <c r="E590" s="553">
        <f>-'Foglio deposito bis'!$F$48*(C590-sezione!$AL$29)*IF(ABS(K590)&lt;'Progetto del paramento slu'!$G$58,ABS(K590)*'Progetto del paramento slu'!$G$54,'Progetto del paramento slu'!$G$53)</f>
        <v>0</v>
      </c>
      <c r="F590" s="553">
        <f>-'Foglio deposito bis'!$F$49*(C590-sezione!$AM$29)*IF(ABS(L590)&lt;'Progetto del paramento slu'!$G$58,ABS(L590)*'Progetto del paramento slu'!$G$54,'Progetto del paramento slu'!$G$53)</f>
        <v>27031682.484736569</v>
      </c>
      <c r="G590" s="553">
        <f>-'Foglio deposito bis'!$F$50*(C590-sezione!$AN$29)*IF(ABS(M590)&lt;'Progetto del paramento slu'!$G$58,ABS(M590)*'Progetto del paramento slu'!$G$54,'Progetto del paramento slu'!$G$53)</f>
        <v>0</v>
      </c>
      <c r="H590" s="553">
        <f>-'Foglio deposito bis'!$F$51*(C590-sezione!$AO$29)*IF(ABS(N590)&lt;'Progetto del paramento slu'!$G$58,ABS(N590)*'Progetto del paramento slu'!$G$54,'Progetto del paramento slu'!$G$53)</f>
        <v>77569093.114100426</v>
      </c>
      <c r="I590" s="479">
        <f>-'Foglio deposito bis'!$F$52*(C590-sezione!$AP$29)*IF(ABS(O590)&lt;'Progetto del paramento slu'!$G$58,ABS(O590)*'Progetto del paramento slu'!$G$54,'Progetto del paramento slu'!$G$53)</f>
        <v>58293854.054151192</v>
      </c>
      <c r="J590" s="479">
        <f t="shared" si="44"/>
        <v>160208142.42402393</v>
      </c>
      <c r="K590" s="558">
        <f>'Progetto del paramento slu'!$G$60*(sezione!$AL$29-C590)/C590</f>
        <v>4.2497611932026782E-3</v>
      </c>
      <c r="L590" s="558">
        <f>'Progetto del paramento slu'!$G$60*(sezione!$AM$29-C590)/C590</f>
        <v>2.5561604474510041E-2</v>
      </c>
      <c r="M590" s="559">
        <f>'Progetto del paramento slu'!$G$60*(sezione!$AN$29-C590)/C590</f>
        <v>4.68734477558174E-2</v>
      </c>
      <c r="N590" s="559">
        <f>'Progetto del paramento slu'!$G$60*(sezione!$AO$29-C590)/C590</f>
        <v>6.2372970142222754E-2</v>
      </c>
      <c r="O590" s="559">
        <f>'Progetto del paramento slu'!$G$60*(sezione!$AP$29-C590)/C590</f>
        <v>4.6873834312415368E-2</v>
      </c>
      <c r="P590" s="553">
        <f>-'Progetto del paramento slu'!$G$47*'Progetto del paramento slu'!$G$41*IF(DATI!$G$218="dx",DATI!$E$61,DATI!$E$64*DATI!$E$63)*1000*C590*sezione!$AD$5</f>
        <v>-254643.27878011161</v>
      </c>
      <c r="Q590" s="553">
        <f>'Foglio deposito bis'!$F$48*IF(ABS(K590)&lt;'Progetto del paramento slu'!$G$58,ABS(K590)*'Progetto del paramento slu'!$G$54,'Progetto del paramento slu'!$G$53)*IF(K590&lt;0,-1,1)</f>
        <v>0</v>
      </c>
      <c r="R590" s="553">
        <f>'Foglio deposito bis'!$F$49*IF(ABS(L590)&lt;'Progetto del paramento slu'!$G$58,ABS(L590)*'Progetto del paramento slu'!$G$54,'Progetto del paramento slu'!$G$53)*IF(L590&lt;0,-1,1)</f>
        <v>204886.47740803001</v>
      </c>
      <c r="S590" s="553">
        <f>'Foglio deposito bis'!$F$50*IF(ABS(M590)&lt;'Progetto del paramento slu'!$G$58,ABS(M590)*'Progetto del paramento slu'!$G$54,'Progetto del paramento slu'!$G$53)*IF(M590&lt;0,-1,1)</f>
        <v>0</v>
      </c>
      <c r="T590" s="553">
        <f>'Foglio deposito bis'!$F$51*IF(ABS(N590)&lt;'Progetto del paramento slu'!$G$58,ABS(N590)*'Progetto del paramento slu'!$G$54,'Progetto del paramento slu'!$G$53)*IF(N590&lt;0,-1,1)</f>
        <v>240946.49743184328</v>
      </c>
      <c r="U590" s="553">
        <f>'Foglio deposito bis'!$F$52*IF(ABS(O590)&lt;'Progetto del paramento slu'!$G$58,ABS(O590)*'Progetto del paramento slu'!$G$54,'Progetto del paramento slu'!$G$53)*IF(O590&lt;0,-1,1)</f>
        <v>240946.49743184328</v>
      </c>
      <c r="V590" s="479">
        <f t="shared" si="45"/>
        <v>432136.19349160499</v>
      </c>
      <c r="W590" s="559"/>
      <c r="X590" s="559"/>
    </row>
    <row r="591" spans="1:24" x14ac:dyDescent="0.25">
      <c r="A591" s="553">
        <f t="shared" si="46"/>
        <v>429275.03305587335</v>
      </c>
      <c r="B591" s="3">
        <f t="shared" si="47"/>
        <v>4.499999999999992</v>
      </c>
      <c r="C591" s="553">
        <f>'Foglio deposito bis'!$E$155/sezione!$B$247*B591</f>
        <v>18.268051128083663</v>
      </c>
      <c r="D591" s="611">
        <f>-'Progetto del paramento slu'!$G$47*'Progetto del paramento slu'!$G$41*IF(DATI!$G$218="dx",DATI!$E$61,DATI!$E$64*DATI!$E$63)*1000*C591^2*sezione!$AD$5*(1-sezione!$AD$6)</f>
        <v>-2747196.8886012645</v>
      </c>
      <c r="E591" s="553">
        <f>-'Foglio deposito bis'!$F$48*(C591-sezione!$AL$29)*IF(ABS(K591)&lt;'Progetto del paramento slu'!$G$58,ABS(K591)*'Progetto del paramento slu'!$G$54,'Progetto del paramento slu'!$G$53)</f>
        <v>0</v>
      </c>
      <c r="F591" s="553">
        <f>-'Foglio deposito bis'!$F$49*(C591-sezione!$AM$29)*IF(ABS(L591)&lt;'Progetto del paramento slu'!$G$58,ABS(L591)*'Progetto del paramento slu'!$G$54,'Progetto del paramento slu'!$G$53)</f>
        <v>26990094.966461647</v>
      </c>
      <c r="G591" s="553">
        <f>-'Foglio deposito bis'!$F$50*(C591-sezione!$AN$29)*IF(ABS(M591)&lt;'Progetto del paramento slu'!$G$58,ABS(M591)*'Progetto del paramento slu'!$G$54,'Progetto del paramento slu'!$G$53)</f>
        <v>0</v>
      </c>
      <c r="H591" s="553">
        <f>-'Foglio deposito bis'!$F$51*(C591-sezione!$AO$29)*IF(ABS(N591)&lt;'Progetto del paramento slu'!$G$58,ABS(N591)*'Progetto del paramento slu'!$G$54,'Progetto del paramento slu'!$G$53)</f>
        <v>77520186.192609131</v>
      </c>
      <c r="I591" s="479">
        <f>-'Foglio deposito bis'!$F$52*(C591-sezione!$AP$29)*IF(ABS(O591)&lt;'Progetto del paramento slu'!$G$58,ABS(O591)*'Progetto del paramento slu'!$G$54,'Progetto del paramento slu'!$G$53)</f>
        <v>58244947.132659882</v>
      </c>
      <c r="J591" s="479">
        <f t="shared" si="44"/>
        <v>160008031.4031294</v>
      </c>
      <c r="K591" s="558">
        <f>'Progetto del paramento slu'!$G$60*(sezione!$AL$29-C591)/C591</f>
        <v>4.1636527355004256E-3</v>
      </c>
      <c r="L591" s="558">
        <f>'Progetto del paramento slu'!$G$60*(sezione!$AM$29-C591)/C591</f>
        <v>2.5238697758126597E-2</v>
      </c>
      <c r="M591" s="559">
        <f>'Progetto del paramento slu'!$G$60*(sezione!$AN$29-C591)/C591</f>
        <v>4.6313742780752766E-2</v>
      </c>
      <c r="N591" s="559">
        <f>'Progetto del paramento slu'!$G$60*(sezione!$AO$29-C591)/C591</f>
        <v>6.1641048251753622E-2</v>
      </c>
      <c r="O591" s="559">
        <f>'Progetto del paramento slu'!$G$60*(sezione!$AP$29-C591)/C591</f>
        <v>4.6314125042277422E-2</v>
      </c>
      <c r="P591" s="553">
        <f>-'Progetto del paramento slu'!$G$47*'Progetto del paramento slu'!$G$41*IF(DATI!$G$218="dx",DATI!$E$61,DATI!$E$64*DATI!$E$63)*1000*C591*sezione!$AD$5</f>
        <v>-257504.43921584322</v>
      </c>
      <c r="Q591" s="553">
        <f>'Foglio deposito bis'!$F$48*IF(ABS(K591)&lt;'Progetto del paramento slu'!$G$58,ABS(K591)*'Progetto del paramento slu'!$G$54,'Progetto del paramento slu'!$G$53)*IF(K591&lt;0,-1,1)</f>
        <v>0</v>
      </c>
      <c r="R591" s="553">
        <f>'Foglio deposito bis'!$F$49*IF(ABS(L591)&lt;'Progetto del paramento slu'!$G$58,ABS(L591)*'Progetto del paramento slu'!$G$54,'Progetto del paramento slu'!$G$53)*IF(L591&lt;0,-1,1)</f>
        <v>204886.47740803001</v>
      </c>
      <c r="S591" s="553">
        <f>'Foglio deposito bis'!$F$50*IF(ABS(M591)&lt;'Progetto del paramento slu'!$G$58,ABS(M591)*'Progetto del paramento slu'!$G$54,'Progetto del paramento slu'!$G$53)*IF(M591&lt;0,-1,1)</f>
        <v>0</v>
      </c>
      <c r="T591" s="553">
        <f>'Foglio deposito bis'!$F$51*IF(ABS(N591)&lt;'Progetto del paramento slu'!$G$58,ABS(N591)*'Progetto del paramento slu'!$G$54,'Progetto del paramento slu'!$G$53)*IF(N591&lt;0,-1,1)</f>
        <v>240946.49743184328</v>
      </c>
      <c r="U591" s="553">
        <f>'Foglio deposito bis'!$F$52*IF(ABS(O591)&lt;'Progetto del paramento slu'!$G$58,ABS(O591)*'Progetto del paramento slu'!$G$54,'Progetto del paramento slu'!$G$53)*IF(O591&lt;0,-1,1)</f>
        <v>240946.49743184328</v>
      </c>
      <c r="V591" s="479">
        <f t="shared" si="45"/>
        <v>429275.03305587335</v>
      </c>
      <c r="W591" s="559"/>
      <c r="X591" s="559"/>
    </row>
    <row r="592" spans="1:24" x14ac:dyDescent="0.25">
      <c r="A592" s="553">
        <f t="shared" si="46"/>
        <v>426413.87262014177</v>
      </c>
      <c r="B592" s="3">
        <f t="shared" si="47"/>
        <v>4.5499999999999918</v>
      </c>
      <c r="C592" s="553">
        <f>'Foglio deposito bis'!$E$155/sezione!$B$247*B592</f>
        <v>18.471029473951258</v>
      </c>
      <c r="D592" s="611">
        <f>-'Progetto del paramento slu'!$G$47*'Progetto del paramento slu'!$G$41*IF(DATI!$G$218="dx",DATI!$E$61,DATI!$E$64*DATI!$E$63)*1000*C592^2*sezione!$AD$5*(1-sezione!$AD$6)</f>
        <v>-2808584.8684576633</v>
      </c>
      <c r="E592" s="553">
        <f>-'Foglio deposito bis'!$F$48*(C592-sezione!$AL$29)*IF(ABS(K592)&lt;'Progetto del paramento slu'!$G$58,ABS(K592)*'Progetto del paramento slu'!$G$54,'Progetto del paramento slu'!$G$53)</f>
        <v>0</v>
      </c>
      <c r="F592" s="553">
        <f>-'Foglio deposito bis'!$F$49*(C592-sezione!$AM$29)*IF(ABS(L592)&lt;'Progetto del paramento slu'!$G$58,ABS(L592)*'Progetto del paramento slu'!$G$54,'Progetto del paramento slu'!$G$53)</f>
        <v>26948507.448186729</v>
      </c>
      <c r="G592" s="553">
        <f>-'Foglio deposito bis'!$F$50*(C592-sezione!$AN$29)*IF(ABS(M592)&lt;'Progetto del paramento slu'!$G$58,ABS(M592)*'Progetto del paramento slu'!$G$54,'Progetto del paramento slu'!$G$53)</f>
        <v>0</v>
      </c>
      <c r="H592" s="553">
        <f>-'Foglio deposito bis'!$F$51*(C592-sezione!$AO$29)*IF(ABS(N592)&lt;'Progetto del paramento slu'!$G$58,ABS(N592)*'Progetto del paramento slu'!$G$54,'Progetto del paramento slu'!$G$53)</f>
        <v>77471279.271117821</v>
      </c>
      <c r="I592" s="479">
        <f>-'Foglio deposito bis'!$F$52*(C592-sezione!$AP$29)*IF(ABS(O592)&lt;'Progetto del paramento slu'!$G$58,ABS(O592)*'Progetto del paramento slu'!$G$54,'Progetto del paramento slu'!$G$53)</f>
        <v>58196040.21116858</v>
      </c>
      <c r="J592" s="479">
        <f t="shared" si="44"/>
        <v>159807242.06201547</v>
      </c>
      <c r="K592" s="558">
        <f>'Progetto del paramento slu'!$G$60*(sezione!$AL$29-C592)/C592</f>
        <v>4.0794367713740476E-3</v>
      </c>
      <c r="L592" s="558">
        <f>'Progetto del paramento slu'!$G$60*(sezione!$AM$29-C592)/C592</f>
        <v>2.4922887892652679E-2</v>
      </c>
      <c r="M592" s="559">
        <f>'Progetto del paramento slu'!$G$60*(sezione!$AN$29-C592)/C592</f>
        <v>4.5766339013931311E-2</v>
      </c>
      <c r="N592" s="559">
        <f>'Progetto del paramento slu'!$G$60*(sezione!$AO$29-C592)/C592</f>
        <v>6.0925212556679403E-2</v>
      </c>
      <c r="O592" s="559">
        <f>'Progetto del paramento slu'!$G$60*(sezione!$AP$29-C592)/C592</f>
        <v>4.5766717074779868E-2</v>
      </c>
      <c r="P592" s="553">
        <f>-'Progetto del paramento slu'!$G$47*'Progetto del paramento slu'!$G$41*IF(DATI!$G$218="dx",DATI!$E$61,DATI!$E$64*DATI!$E$63)*1000*C592*sezione!$AD$5</f>
        <v>-260365.5996515748</v>
      </c>
      <c r="Q592" s="553">
        <f>'Foglio deposito bis'!$F$48*IF(ABS(K592)&lt;'Progetto del paramento slu'!$G$58,ABS(K592)*'Progetto del paramento slu'!$G$54,'Progetto del paramento slu'!$G$53)*IF(K592&lt;0,-1,1)</f>
        <v>0</v>
      </c>
      <c r="R592" s="553">
        <f>'Foglio deposito bis'!$F$49*IF(ABS(L592)&lt;'Progetto del paramento slu'!$G$58,ABS(L592)*'Progetto del paramento slu'!$G$54,'Progetto del paramento slu'!$G$53)*IF(L592&lt;0,-1,1)</f>
        <v>204886.47740803001</v>
      </c>
      <c r="S592" s="553">
        <f>'Foglio deposito bis'!$F$50*IF(ABS(M592)&lt;'Progetto del paramento slu'!$G$58,ABS(M592)*'Progetto del paramento slu'!$G$54,'Progetto del paramento slu'!$G$53)*IF(M592&lt;0,-1,1)</f>
        <v>0</v>
      </c>
      <c r="T592" s="553">
        <f>'Foglio deposito bis'!$F$51*IF(ABS(N592)&lt;'Progetto del paramento slu'!$G$58,ABS(N592)*'Progetto del paramento slu'!$G$54,'Progetto del paramento slu'!$G$53)*IF(N592&lt;0,-1,1)</f>
        <v>240946.49743184328</v>
      </c>
      <c r="U592" s="553">
        <f>'Foglio deposito bis'!$F$52*IF(ABS(O592)&lt;'Progetto del paramento slu'!$G$58,ABS(O592)*'Progetto del paramento slu'!$G$54,'Progetto del paramento slu'!$G$53)*IF(O592&lt;0,-1,1)</f>
        <v>240946.49743184328</v>
      </c>
      <c r="V592" s="479">
        <f t="shared" si="45"/>
        <v>426413.87262014177</v>
      </c>
      <c r="W592" s="559"/>
      <c r="X592" s="559"/>
    </row>
    <row r="593" spans="1:24" x14ac:dyDescent="0.25">
      <c r="A593" s="553">
        <f t="shared" si="46"/>
        <v>423552.71218441019</v>
      </c>
      <c r="B593" s="3">
        <f t="shared" si="47"/>
        <v>4.5999999999999917</v>
      </c>
      <c r="C593" s="553">
        <f>'Foglio deposito bis'!$E$155/sezione!$B$247*B593</f>
        <v>18.674007819818854</v>
      </c>
      <c r="D593" s="611">
        <f>-'Progetto del paramento slu'!$G$47*'Progetto del paramento slu'!$G$41*IF(DATI!$G$218="dx",DATI!$E$61,DATI!$E$64*DATI!$E$63)*1000*C593^2*sezione!$AD$5*(1-sezione!$AD$6)</f>
        <v>-2870651.1685334691</v>
      </c>
      <c r="E593" s="553">
        <f>-'Foglio deposito bis'!$F$48*(C593-sezione!$AL$29)*IF(ABS(K593)&lt;'Progetto del paramento slu'!$G$58,ABS(K593)*'Progetto del paramento slu'!$G$54,'Progetto del paramento slu'!$G$53)</f>
        <v>0</v>
      </c>
      <c r="F593" s="553">
        <f>-'Foglio deposito bis'!$F$49*(C593-sezione!$AM$29)*IF(ABS(L593)&lt;'Progetto del paramento slu'!$G$58,ABS(L593)*'Progetto del paramento slu'!$G$54,'Progetto del paramento slu'!$G$53)</f>
        <v>26906919.929911811</v>
      </c>
      <c r="G593" s="553">
        <f>-'Foglio deposito bis'!$F$50*(C593-sezione!$AN$29)*IF(ABS(M593)&lt;'Progetto del paramento slu'!$G$58,ABS(M593)*'Progetto del paramento slu'!$G$54,'Progetto del paramento slu'!$G$53)</f>
        <v>0</v>
      </c>
      <c r="H593" s="553">
        <f>-'Foglio deposito bis'!$F$51*(C593-sezione!$AO$29)*IF(ABS(N593)&lt;'Progetto del paramento slu'!$G$58,ABS(N593)*'Progetto del paramento slu'!$G$54,'Progetto del paramento slu'!$G$53)</f>
        <v>77422372.349626511</v>
      </c>
      <c r="I593" s="479">
        <f>-'Foglio deposito bis'!$F$52*(C593-sezione!$AP$29)*IF(ABS(O593)&lt;'Progetto del paramento slu'!$G$58,ABS(O593)*'Progetto del paramento slu'!$G$54,'Progetto del paramento slu'!$G$53)</f>
        <v>58147133.28967727</v>
      </c>
      <c r="J593" s="479">
        <f t="shared" si="44"/>
        <v>159605774.40068212</v>
      </c>
      <c r="K593" s="558">
        <f>'Progetto del paramento slu'!$G$60*(sezione!$AL$29-C593)/C593</f>
        <v>3.9970515890765043E-3</v>
      </c>
      <c r="L593" s="558">
        <f>'Progetto del paramento slu'!$G$60*(sezione!$AM$29-C593)/C593</f>
        <v>2.4613943459036891E-2</v>
      </c>
      <c r="M593" s="559">
        <f>'Progetto del paramento slu'!$G$60*(sezione!$AN$29-C593)/C593</f>
        <v>4.5230835328997271E-2</v>
      </c>
      <c r="N593" s="559">
        <f>'Progetto del paramento slu'!$G$60*(sezione!$AO$29-C593)/C593</f>
        <v>6.0224938507150286E-2</v>
      </c>
      <c r="O593" s="559">
        <f>'Progetto del paramento slu'!$G$60*(sezione!$AP$29-C593)/C593</f>
        <v>4.5231209280488779E-2</v>
      </c>
      <c r="P593" s="553">
        <f>-'Progetto del paramento slu'!$G$47*'Progetto del paramento slu'!$G$41*IF(DATI!$G$218="dx",DATI!$E$61,DATI!$E$64*DATI!$E$63)*1000*C593*sezione!$AD$5</f>
        <v>-263226.76008730638</v>
      </c>
      <c r="Q593" s="553">
        <f>'Foglio deposito bis'!$F$48*IF(ABS(K593)&lt;'Progetto del paramento slu'!$G$58,ABS(K593)*'Progetto del paramento slu'!$G$54,'Progetto del paramento slu'!$G$53)*IF(K593&lt;0,-1,1)</f>
        <v>0</v>
      </c>
      <c r="R593" s="553">
        <f>'Foglio deposito bis'!$F$49*IF(ABS(L593)&lt;'Progetto del paramento slu'!$G$58,ABS(L593)*'Progetto del paramento slu'!$G$54,'Progetto del paramento slu'!$G$53)*IF(L593&lt;0,-1,1)</f>
        <v>204886.47740803001</v>
      </c>
      <c r="S593" s="553">
        <f>'Foglio deposito bis'!$F$50*IF(ABS(M593)&lt;'Progetto del paramento slu'!$G$58,ABS(M593)*'Progetto del paramento slu'!$G$54,'Progetto del paramento slu'!$G$53)*IF(M593&lt;0,-1,1)</f>
        <v>0</v>
      </c>
      <c r="T593" s="553">
        <f>'Foglio deposito bis'!$F$51*IF(ABS(N593)&lt;'Progetto del paramento slu'!$G$58,ABS(N593)*'Progetto del paramento slu'!$G$54,'Progetto del paramento slu'!$G$53)*IF(N593&lt;0,-1,1)</f>
        <v>240946.49743184328</v>
      </c>
      <c r="U593" s="553">
        <f>'Foglio deposito bis'!$F$52*IF(ABS(O593)&lt;'Progetto del paramento slu'!$G$58,ABS(O593)*'Progetto del paramento slu'!$G$54,'Progetto del paramento slu'!$G$53)*IF(O593&lt;0,-1,1)</f>
        <v>240946.49743184328</v>
      </c>
      <c r="V593" s="479">
        <f t="shared" si="45"/>
        <v>423552.71218441019</v>
      </c>
      <c r="W593" s="559"/>
      <c r="X593" s="559"/>
    </row>
    <row r="594" spans="1:24" x14ac:dyDescent="0.25">
      <c r="A594" s="553">
        <f t="shared" si="46"/>
        <v>420691.55174867855</v>
      </c>
      <c r="B594" s="3">
        <f t="shared" si="47"/>
        <v>4.6499999999999915</v>
      </c>
      <c r="C594" s="553">
        <f>'Foglio deposito bis'!$E$155/sezione!$B$247*B594</f>
        <v>18.87698616568645</v>
      </c>
      <c r="D594" s="611">
        <f>-'Progetto del paramento slu'!$G$47*'Progetto del paramento slu'!$G$41*IF(DATI!$G$218="dx",DATI!$E$61,DATI!$E$64*DATI!$E$63)*1000*C594^2*sezione!$AD$5*(1-sezione!$AD$6)</f>
        <v>-2933395.7888286836</v>
      </c>
      <c r="E594" s="553">
        <f>-'Foglio deposito bis'!$F$48*(C594-sezione!$AL$29)*IF(ABS(K594)&lt;'Progetto del paramento slu'!$G$58,ABS(K594)*'Progetto del paramento slu'!$G$54,'Progetto del paramento slu'!$G$53)</f>
        <v>0</v>
      </c>
      <c r="F594" s="553">
        <f>-'Foglio deposito bis'!$F$49*(C594-sezione!$AM$29)*IF(ABS(L594)&lt;'Progetto del paramento slu'!$G$58,ABS(L594)*'Progetto del paramento slu'!$G$54,'Progetto del paramento slu'!$G$53)</f>
        <v>26865332.411636893</v>
      </c>
      <c r="G594" s="553">
        <f>-'Foglio deposito bis'!$F$50*(C594-sezione!$AN$29)*IF(ABS(M594)&lt;'Progetto del paramento slu'!$G$58,ABS(M594)*'Progetto del paramento slu'!$G$54,'Progetto del paramento slu'!$G$53)</f>
        <v>0</v>
      </c>
      <c r="H594" s="553">
        <f>-'Foglio deposito bis'!$F$51*(C594-sezione!$AO$29)*IF(ABS(N594)&lt;'Progetto del paramento slu'!$G$58,ABS(N594)*'Progetto del paramento slu'!$G$54,'Progetto del paramento slu'!$G$53)</f>
        <v>77373465.428135201</v>
      </c>
      <c r="I594" s="479">
        <f>-'Foglio deposito bis'!$F$52*(C594-sezione!$AP$29)*IF(ABS(O594)&lt;'Progetto del paramento slu'!$G$58,ABS(O594)*'Progetto del paramento slu'!$G$54,'Progetto del paramento slu'!$G$53)</f>
        <v>58098226.368185967</v>
      </c>
      <c r="J594" s="479">
        <f t="shared" si="44"/>
        <v>159403628.41912937</v>
      </c>
      <c r="K594" s="558">
        <f>'Progetto del paramento slu'!$G$60*(sezione!$AL$29-C594)/C594</f>
        <v>3.9164381311294454E-3</v>
      </c>
      <c r="L594" s="558">
        <f>'Progetto del paramento slu'!$G$60*(sezione!$AM$29-C594)/C594</f>
        <v>2.4311642991735421E-2</v>
      </c>
      <c r="M594" s="559">
        <f>'Progetto del paramento slu'!$G$60*(sezione!$AN$29-C594)/C594</f>
        <v>4.4706847852341393E-2</v>
      </c>
      <c r="N594" s="559">
        <f>'Progetto del paramento slu'!$G$60*(sezione!$AO$29-C594)/C594</f>
        <v>5.9539724114600283E-2</v>
      </c>
      <c r="O594" s="559">
        <f>'Progetto del paramento slu'!$G$60*(sezione!$AP$29-C594)/C594</f>
        <v>4.4707217782849119E-2</v>
      </c>
      <c r="P594" s="553">
        <f>-'Progetto del paramento slu'!$G$47*'Progetto del paramento slu'!$G$41*IF(DATI!$G$218="dx",DATI!$E$61,DATI!$E$64*DATI!$E$63)*1000*C594*sezione!$AD$5</f>
        <v>-266087.92052303802</v>
      </c>
      <c r="Q594" s="553">
        <f>'Foglio deposito bis'!$F$48*IF(ABS(K594)&lt;'Progetto del paramento slu'!$G$58,ABS(K594)*'Progetto del paramento slu'!$G$54,'Progetto del paramento slu'!$G$53)*IF(K594&lt;0,-1,1)</f>
        <v>0</v>
      </c>
      <c r="R594" s="553">
        <f>'Foglio deposito bis'!$F$49*IF(ABS(L594)&lt;'Progetto del paramento slu'!$G$58,ABS(L594)*'Progetto del paramento slu'!$G$54,'Progetto del paramento slu'!$G$53)*IF(L594&lt;0,-1,1)</f>
        <v>204886.47740803001</v>
      </c>
      <c r="S594" s="553">
        <f>'Foglio deposito bis'!$F$50*IF(ABS(M594)&lt;'Progetto del paramento slu'!$G$58,ABS(M594)*'Progetto del paramento slu'!$G$54,'Progetto del paramento slu'!$G$53)*IF(M594&lt;0,-1,1)</f>
        <v>0</v>
      </c>
      <c r="T594" s="553">
        <f>'Foglio deposito bis'!$F$51*IF(ABS(N594)&lt;'Progetto del paramento slu'!$G$58,ABS(N594)*'Progetto del paramento slu'!$G$54,'Progetto del paramento slu'!$G$53)*IF(N594&lt;0,-1,1)</f>
        <v>240946.49743184328</v>
      </c>
      <c r="U594" s="553">
        <f>'Foglio deposito bis'!$F$52*IF(ABS(O594)&lt;'Progetto del paramento slu'!$G$58,ABS(O594)*'Progetto del paramento slu'!$G$54,'Progetto del paramento slu'!$G$53)*IF(O594&lt;0,-1,1)</f>
        <v>240946.49743184328</v>
      </c>
      <c r="V594" s="479">
        <f t="shared" si="45"/>
        <v>420691.55174867855</v>
      </c>
      <c r="W594" s="559"/>
      <c r="X594" s="559"/>
    </row>
    <row r="595" spans="1:24" x14ac:dyDescent="0.25">
      <c r="A595" s="553">
        <f t="shared" si="46"/>
        <v>417830.39131294703</v>
      </c>
      <c r="B595" s="3">
        <f t="shared" si="47"/>
        <v>4.6999999999999913</v>
      </c>
      <c r="C595" s="553">
        <f>'Foglio deposito bis'!$E$155/sezione!$B$247*B595</f>
        <v>19.079964511554046</v>
      </c>
      <c r="D595" s="611">
        <f>-'Progetto del paramento slu'!$G$47*'Progetto del paramento slu'!$G$41*IF(DATI!$G$218="dx",DATI!$E$61,DATI!$E$64*DATI!$E$63)*1000*C595^2*sezione!$AD$5*(1-sezione!$AD$6)</f>
        <v>-2996818.7293433049</v>
      </c>
      <c r="E595" s="553">
        <f>-'Foglio deposito bis'!$F$48*(C595-sezione!$AL$29)*IF(ABS(K595)&lt;'Progetto del paramento slu'!$G$58,ABS(K595)*'Progetto del paramento slu'!$G$54,'Progetto del paramento slu'!$G$53)</f>
        <v>0</v>
      </c>
      <c r="F595" s="553">
        <f>-'Foglio deposito bis'!$F$49*(C595-sezione!$AM$29)*IF(ABS(L595)&lt;'Progetto del paramento slu'!$G$58,ABS(L595)*'Progetto del paramento slu'!$G$54,'Progetto del paramento slu'!$G$53)</f>
        <v>26823744.893361971</v>
      </c>
      <c r="G595" s="553">
        <f>-'Foglio deposito bis'!$F$50*(C595-sezione!$AN$29)*IF(ABS(M595)&lt;'Progetto del paramento slu'!$G$58,ABS(M595)*'Progetto del paramento slu'!$G$54,'Progetto del paramento slu'!$G$53)</f>
        <v>0</v>
      </c>
      <c r="H595" s="553">
        <f>-'Foglio deposito bis'!$F$51*(C595-sezione!$AO$29)*IF(ABS(N595)&lt;'Progetto del paramento slu'!$G$58,ABS(N595)*'Progetto del paramento slu'!$G$54,'Progetto del paramento slu'!$G$53)</f>
        <v>77324558.506643891</v>
      </c>
      <c r="I595" s="479">
        <f>-'Foglio deposito bis'!$F$52*(C595-sezione!$AP$29)*IF(ABS(O595)&lt;'Progetto del paramento slu'!$G$58,ABS(O595)*'Progetto del paramento slu'!$G$54,'Progetto del paramento slu'!$G$53)</f>
        <v>58049319.446694657</v>
      </c>
      <c r="J595" s="479">
        <f t="shared" si="44"/>
        <v>159200804.11735719</v>
      </c>
      <c r="K595" s="558">
        <f>'Progetto del paramento slu'!$G$60*(sezione!$AL$29-C595)/C595</f>
        <v>3.837539853138706E-3</v>
      </c>
      <c r="L595" s="558">
        <f>'Progetto del paramento slu'!$G$60*(sezione!$AM$29-C595)/C595</f>
        <v>2.4015774449270149E-2</v>
      </c>
      <c r="M595" s="559">
        <f>'Progetto del paramento slu'!$G$60*(sezione!$AN$29-C595)/C595</f>
        <v>4.4194009045401592E-2</v>
      </c>
      <c r="N595" s="559">
        <f>'Progetto del paramento slu'!$G$60*(sezione!$AO$29-C595)/C595</f>
        <v>5.8869088751678997E-2</v>
      </c>
      <c r="O595" s="559">
        <f>'Progetto del paramento slu'!$G$60*(sezione!$AP$29-C595)/C595</f>
        <v>4.4194375040478386E-2</v>
      </c>
      <c r="P595" s="553">
        <f>-'Progetto del paramento slu'!$G$47*'Progetto del paramento slu'!$G$41*IF(DATI!$G$218="dx",DATI!$E$61,DATI!$E$64*DATI!$E$63)*1000*C595*sezione!$AD$5</f>
        <v>-268949.08095876954</v>
      </c>
      <c r="Q595" s="553">
        <f>'Foglio deposito bis'!$F$48*IF(ABS(K595)&lt;'Progetto del paramento slu'!$G$58,ABS(K595)*'Progetto del paramento slu'!$G$54,'Progetto del paramento slu'!$G$53)*IF(K595&lt;0,-1,1)</f>
        <v>0</v>
      </c>
      <c r="R595" s="553">
        <f>'Foglio deposito bis'!$F$49*IF(ABS(L595)&lt;'Progetto del paramento slu'!$G$58,ABS(L595)*'Progetto del paramento slu'!$G$54,'Progetto del paramento slu'!$G$53)*IF(L595&lt;0,-1,1)</f>
        <v>204886.47740803001</v>
      </c>
      <c r="S595" s="553">
        <f>'Foglio deposito bis'!$F$50*IF(ABS(M595)&lt;'Progetto del paramento slu'!$G$58,ABS(M595)*'Progetto del paramento slu'!$G$54,'Progetto del paramento slu'!$G$53)*IF(M595&lt;0,-1,1)</f>
        <v>0</v>
      </c>
      <c r="T595" s="553">
        <f>'Foglio deposito bis'!$F$51*IF(ABS(N595)&lt;'Progetto del paramento slu'!$G$58,ABS(N595)*'Progetto del paramento slu'!$G$54,'Progetto del paramento slu'!$G$53)*IF(N595&lt;0,-1,1)</f>
        <v>240946.49743184328</v>
      </c>
      <c r="U595" s="553">
        <f>'Foglio deposito bis'!$F$52*IF(ABS(O595)&lt;'Progetto del paramento slu'!$G$58,ABS(O595)*'Progetto del paramento slu'!$G$54,'Progetto del paramento slu'!$G$53)*IF(O595&lt;0,-1,1)</f>
        <v>240946.49743184328</v>
      </c>
      <c r="V595" s="479">
        <f t="shared" si="45"/>
        <v>417830.39131294703</v>
      </c>
      <c r="W595" s="559"/>
      <c r="X595" s="559"/>
    </row>
    <row r="596" spans="1:24" x14ac:dyDescent="0.25">
      <c r="A596" s="553">
        <f t="shared" si="46"/>
        <v>414969.23087721545</v>
      </c>
      <c r="B596" s="3">
        <f t="shared" si="47"/>
        <v>4.7499999999999911</v>
      </c>
      <c r="C596" s="553">
        <f>'Foglio deposito bis'!$E$155/sezione!$B$247*B596</f>
        <v>19.282942857421641</v>
      </c>
      <c r="D596" s="611">
        <f>-'Progetto del paramento slu'!$G$47*'Progetto del paramento slu'!$G$41*IF(DATI!$G$218="dx",DATI!$E$61,DATI!$E$64*DATI!$E$63)*1000*C596^2*sezione!$AD$5*(1-sezione!$AD$6)</f>
        <v>-3060919.9900773349</v>
      </c>
      <c r="E596" s="553">
        <f>-'Foglio deposito bis'!$F$48*(C596-sezione!$AL$29)*IF(ABS(K596)&lt;'Progetto del paramento slu'!$G$58,ABS(K596)*'Progetto del paramento slu'!$G$54,'Progetto del paramento slu'!$G$53)</f>
        <v>0</v>
      </c>
      <c r="F596" s="553">
        <f>-'Foglio deposito bis'!$F$49*(C596-sezione!$AM$29)*IF(ABS(L596)&lt;'Progetto del paramento slu'!$G$58,ABS(L596)*'Progetto del paramento slu'!$G$54,'Progetto del paramento slu'!$G$53)</f>
        <v>26782157.375087049</v>
      </c>
      <c r="G596" s="553">
        <f>-'Foglio deposito bis'!$F$50*(C596-sezione!$AN$29)*IF(ABS(M596)&lt;'Progetto del paramento slu'!$G$58,ABS(M596)*'Progetto del paramento slu'!$G$54,'Progetto del paramento slu'!$G$53)</f>
        <v>0</v>
      </c>
      <c r="H596" s="553">
        <f>-'Foglio deposito bis'!$F$51*(C596-sezione!$AO$29)*IF(ABS(N596)&lt;'Progetto del paramento slu'!$G$58,ABS(N596)*'Progetto del paramento slu'!$G$54,'Progetto del paramento slu'!$G$53)</f>
        <v>77275651.585152596</v>
      </c>
      <c r="I596" s="479">
        <f>-'Foglio deposito bis'!$F$52*(C596-sezione!$AP$29)*IF(ABS(O596)&lt;'Progetto del paramento slu'!$G$58,ABS(O596)*'Progetto del paramento slu'!$G$54,'Progetto del paramento slu'!$G$53)</f>
        <v>58000412.525203355</v>
      </c>
      <c r="J596" s="479">
        <f t="shared" si="44"/>
        <v>158997301.49536565</v>
      </c>
      <c r="K596" s="558">
        <f>'Progetto del paramento slu'!$G$60*(sezione!$AL$29-C596)/C596</f>
        <v>3.7603025915267205E-3</v>
      </c>
      <c r="L596" s="558">
        <f>'Progetto del paramento slu'!$G$60*(sezione!$AM$29-C596)/C596</f>
        <v>2.3726134718225201E-2</v>
      </c>
      <c r="M596" s="559">
        <f>'Progetto del paramento slu'!$G$60*(sezione!$AN$29-C596)/C596</f>
        <v>4.3691966844923685E-2</v>
      </c>
      <c r="N596" s="559">
        <f>'Progetto del paramento slu'!$G$60*(sezione!$AO$29-C596)/C596</f>
        <v>5.8212572027977125E-2</v>
      </c>
      <c r="O596" s="559">
        <f>'Progetto del paramento slu'!$G$60*(sezione!$AP$29-C596)/C596</f>
        <v>4.3692328987420724E-2</v>
      </c>
      <c r="P596" s="553">
        <f>-'Progetto del paramento slu'!$G$47*'Progetto del paramento slu'!$G$41*IF(DATI!$G$218="dx",DATI!$E$61,DATI!$E$64*DATI!$E$63)*1000*C596*sezione!$AD$5</f>
        <v>-271810.24139450112</v>
      </c>
      <c r="Q596" s="553">
        <f>'Foglio deposito bis'!$F$48*IF(ABS(K596)&lt;'Progetto del paramento slu'!$G$58,ABS(K596)*'Progetto del paramento slu'!$G$54,'Progetto del paramento slu'!$G$53)*IF(K596&lt;0,-1,1)</f>
        <v>0</v>
      </c>
      <c r="R596" s="553">
        <f>'Foglio deposito bis'!$F$49*IF(ABS(L596)&lt;'Progetto del paramento slu'!$G$58,ABS(L596)*'Progetto del paramento slu'!$G$54,'Progetto del paramento slu'!$G$53)*IF(L596&lt;0,-1,1)</f>
        <v>204886.47740803001</v>
      </c>
      <c r="S596" s="553">
        <f>'Foglio deposito bis'!$F$50*IF(ABS(M596)&lt;'Progetto del paramento slu'!$G$58,ABS(M596)*'Progetto del paramento slu'!$G$54,'Progetto del paramento slu'!$G$53)*IF(M596&lt;0,-1,1)</f>
        <v>0</v>
      </c>
      <c r="T596" s="553">
        <f>'Foglio deposito bis'!$F$51*IF(ABS(N596)&lt;'Progetto del paramento slu'!$G$58,ABS(N596)*'Progetto del paramento slu'!$G$54,'Progetto del paramento slu'!$G$53)*IF(N596&lt;0,-1,1)</f>
        <v>240946.49743184328</v>
      </c>
      <c r="U596" s="553">
        <f>'Foglio deposito bis'!$F$52*IF(ABS(O596)&lt;'Progetto del paramento slu'!$G$58,ABS(O596)*'Progetto del paramento slu'!$G$54,'Progetto del paramento slu'!$G$53)*IF(O596&lt;0,-1,1)</f>
        <v>240946.49743184328</v>
      </c>
      <c r="V596" s="479">
        <f t="shared" si="45"/>
        <v>414969.23087721545</v>
      </c>
      <c r="W596" s="559"/>
      <c r="X596" s="559"/>
    </row>
    <row r="597" spans="1:24" x14ac:dyDescent="0.25">
      <c r="A597" s="553">
        <f t="shared" si="46"/>
        <v>412108.07044148387</v>
      </c>
      <c r="B597" s="3">
        <f t="shared" si="47"/>
        <v>4.7999999999999909</v>
      </c>
      <c r="C597" s="553">
        <f>'Foglio deposito bis'!$E$155/sezione!$B$247*B597</f>
        <v>19.485921203289237</v>
      </c>
      <c r="D597" s="611">
        <f>-'Progetto del paramento slu'!$G$47*'Progetto del paramento slu'!$G$41*IF(DATI!$G$218="dx",DATI!$E$61,DATI!$E$64*DATI!$E$63)*1000*C597^2*sezione!$AD$5*(1-sezione!$AD$6)</f>
        <v>-3125699.5710307718</v>
      </c>
      <c r="E597" s="553">
        <f>-'Foglio deposito bis'!$F$48*(C597-sezione!$AL$29)*IF(ABS(K597)&lt;'Progetto del paramento slu'!$G$58,ABS(K597)*'Progetto del paramento slu'!$G$54,'Progetto del paramento slu'!$G$53)</f>
        <v>0</v>
      </c>
      <c r="F597" s="553">
        <f>-'Foglio deposito bis'!$F$49*(C597-sezione!$AM$29)*IF(ABS(L597)&lt;'Progetto del paramento slu'!$G$58,ABS(L597)*'Progetto del paramento slu'!$G$54,'Progetto del paramento slu'!$G$53)</f>
        <v>26740569.856812123</v>
      </c>
      <c r="G597" s="553">
        <f>-'Foglio deposito bis'!$F$50*(C597-sezione!$AN$29)*IF(ABS(M597)&lt;'Progetto del paramento slu'!$G$58,ABS(M597)*'Progetto del paramento slu'!$G$54,'Progetto del paramento slu'!$G$53)</f>
        <v>0</v>
      </c>
      <c r="H597" s="553">
        <f>-'Foglio deposito bis'!$F$51*(C597-sezione!$AO$29)*IF(ABS(N597)&lt;'Progetto del paramento slu'!$G$58,ABS(N597)*'Progetto del paramento slu'!$G$54,'Progetto del paramento slu'!$G$53)</f>
        <v>77226744.663661271</v>
      </c>
      <c r="I597" s="479">
        <f>-'Foglio deposito bis'!$F$52*(C597-sezione!$AP$29)*IF(ABS(O597)&lt;'Progetto del paramento slu'!$G$58,ABS(O597)*'Progetto del paramento slu'!$G$54,'Progetto del paramento slu'!$G$53)</f>
        <v>57951505.603712045</v>
      </c>
      <c r="J597" s="479">
        <f t="shared" si="44"/>
        <v>158793120.55315468</v>
      </c>
      <c r="K597" s="558">
        <f>'Progetto del paramento slu'!$G$60*(sezione!$AL$29-C597)/C597</f>
        <v>3.6846744395316504E-3</v>
      </c>
      <c r="L597" s="558">
        <f>'Progetto del paramento slu'!$G$60*(sezione!$AM$29-C597)/C597</f>
        <v>2.3442529148243685E-2</v>
      </c>
      <c r="M597" s="559">
        <f>'Progetto del paramento slu'!$G$60*(sezione!$AN$29-C597)/C597</f>
        <v>4.3200383856955724E-2</v>
      </c>
      <c r="N597" s="559">
        <f>'Progetto del paramento slu'!$G$60*(sezione!$AO$29-C597)/C597</f>
        <v>5.7569732736019022E-2</v>
      </c>
      <c r="O597" s="559">
        <f>'Progetto del paramento slu'!$G$60*(sezione!$AP$29-C597)/C597</f>
        <v>4.3200742227135082E-2</v>
      </c>
      <c r="P597" s="553">
        <f>-'Progetto del paramento slu'!$G$47*'Progetto del paramento slu'!$G$41*IF(DATI!$G$218="dx",DATI!$E$61,DATI!$E$64*DATI!$E$63)*1000*C597*sezione!$AD$5</f>
        <v>-274671.4018302327</v>
      </c>
      <c r="Q597" s="553">
        <f>'Foglio deposito bis'!$F$48*IF(ABS(K597)&lt;'Progetto del paramento slu'!$G$58,ABS(K597)*'Progetto del paramento slu'!$G$54,'Progetto del paramento slu'!$G$53)*IF(K597&lt;0,-1,1)</f>
        <v>0</v>
      </c>
      <c r="R597" s="553">
        <f>'Foglio deposito bis'!$F$49*IF(ABS(L597)&lt;'Progetto del paramento slu'!$G$58,ABS(L597)*'Progetto del paramento slu'!$G$54,'Progetto del paramento slu'!$G$53)*IF(L597&lt;0,-1,1)</f>
        <v>204886.47740803001</v>
      </c>
      <c r="S597" s="553">
        <f>'Foglio deposito bis'!$F$50*IF(ABS(M597)&lt;'Progetto del paramento slu'!$G$58,ABS(M597)*'Progetto del paramento slu'!$G$54,'Progetto del paramento slu'!$G$53)*IF(M597&lt;0,-1,1)</f>
        <v>0</v>
      </c>
      <c r="T597" s="553">
        <f>'Foglio deposito bis'!$F$51*IF(ABS(N597)&lt;'Progetto del paramento slu'!$G$58,ABS(N597)*'Progetto del paramento slu'!$G$54,'Progetto del paramento slu'!$G$53)*IF(N597&lt;0,-1,1)</f>
        <v>240946.49743184328</v>
      </c>
      <c r="U597" s="553">
        <f>'Foglio deposito bis'!$F$52*IF(ABS(O597)&lt;'Progetto del paramento slu'!$G$58,ABS(O597)*'Progetto del paramento slu'!$G$54,'Progetto del paramento slu'!$G$53)*IF(O597&lt;0,-1,1)</f>
        <v>240946.49743184328</v>
      </c>
      <c r="V597" s="479">
        <f t="shared" si="45"/>
        <v>412108.07044148387</v>
      </c>
      <c r="W597" s="559"/>
      <c r="X597" s="559"/>
    </row>
    <row r="598" spans="1:24" x14ac:dyDescent="0.25">
      <c r="A598" s="553">
        <f t="shared" si="46"/>
        <v>409246.91000575223</v>
      </c>
      <c r="B598" s="3">
        <f t="shared" si="47"/>
        <v>4.8499999999999908</v>
      </c>
      <c r="C598" s="553">
        <f>'Foglio deposito bis'!$E$155/sezione!$B$247*B598</f>
        <v>19.688899549156833</v>
      </c>
      <c r="D598" s="611">
        <f>-'Progetto del paramento slu'!$G$47*'Progetto del paramento slu'!$G$41*IF(DATI!$G$218="dx",DATI!$E$61,DATI!$E$64*DATI!$E$63)*1000*C598^2*sezione!$AD$5*(1-sezione!$AD$6)</f>
        <v>-3191157.472203617</v>
      </c>
      <c r="E598" s="553">
        <f>-'Foglio deposito bis'!$F$48*(C598-sezione!$AL$29)*IF(ABS(K598)&lt;'Progetto del paramento slu'!$G$58,ABS(K598)*'Progetto del paramento slu'!$G$54,'Progetto del paramento slu'!$G$53)</f>
        <v>0</v>
      </c>
      <c r="F598" s="553">
        <f>-'Foglio deposito bis'!$F$49*(C598-sezione!$AM$29)*IF(ABS(L598)&lt;'Progetto del paramento slu'!$G$58,ABS(L598)*'Progetto del paramento slu'!$G$54,'Progetto del paramento slu'!$G$53)</f>
        <v>26698982.338537201</v>
      </c>
      <c r="G598" s="553">
        <f>-'Foglio deposito bis'!$F$50*(C598-sezione!$AN$29)*IF(ABS(M598)&lt;'Progetto del paramento slu'!$G$58,ABS(M598)*'Progetto del paramento slu'!$G$54,'Progetto del paramento slu'!$G$53)</f>
        <v>0</v>
      </c>
      <c r="H598" s="553">
        <f>-'Foglio deposito bis'!$F$51*(C598-sezione!$AO$29)*IF(ABS(N598)&lt;'Progetto del paramento slu'!$G$58,ABS(N598)*'Progetto del paramento slu'!$G$54,'Progetto del paramento slu'!$G$53)</f>
        <v>77177837.742169976</v>
      </c>
      <c r="I598" s="479">
        <f>-'Foglio deposito bis'!$F$52*(C598-sezione!$AP$29)*IF(ABS(O598)&lt;'Progetto del paramento slu'!$G$58,ABS(O598)*'Progetto del paramento slu'!$G$54,'Progetto del paramento slu'!$G$53)</f>
        <v>57902598.682220742</v>
      </c>
      <c r="J598" s="479">
        <f t="shared" si="44"/>
        <v>158588261.29072431</v>
      </c>
      <c r="K598" s="558">
        <f>'Progetto del paramento slu'!$G$60*(sezione!$AL$29-C598)/C598</f>
        <v>3.6106056308766849E-3</v>
      </c>
      <c r="L598" s="558">
        <f>'Progetto del paramento slu'!$G$60*(sezione!$AM$29-C598)/C598</f>
        <v>2.3164771115787568E-2</v>
      </c>
      <c r="M598" s="559">
        <f>'Progetto del paramento slu'!$G$60*(sezione!$AN$29-C598)/C598</f>
        <v>4.2718936600698455E-2</v>
      </c>
      <c r="N598" s="559">
        <f>'Progetto del paramento slu'!$G$60*(sezione!$AO$29-C598)/C598</f>
        <v>5.6940147862451822E-2</v>
      </c>
      <c r="O598" s="559">
        <f>'Progetto del paramento slu'!$G$60*(sezione!$AP$29-C598)/C598</f>
        <v>4.2719291276339881E-2</v>
      </c>
      <c r="P598" s="553">
        <f>-'Progetto del paramento slu'!$G$47*'Progetto del paramento slu'!$G$41*IF(DATI!$G$218="dx",DATI!$E$61,DATI!$E$64*DATI!$E$63)*1000*C598*sezione!$AD$5</f>
        <v>-277532.56226596434</v>
      </c>
      <c r="Q598" s="553">
        <f>'Foglio deposito bis'!$F$48*IF(ABS(K598)&lt;'Progetto del paramento slu'!$G$58,ABS(K598)*'Progetto del paramento slu'!$G$54,'Progetto del paramento slu'!$G$53)*IF(K598&lt;0,-1,1)</f>
        <v>0</v>
      </c>
      <c r="R598" s="553">
        <f>'Foglio deposito bis'!$F$49*IF(ABS(L598)&lt;'Progetto del paramento slu'!$G$58,ABS(L598)*'Progetto del paramento slu'!$G$54,'Progetto del paramento slu'!$G$53)*IF(L598&lt;0,-1,1)</f>
        <v>204886.47740803001</v>
      </c>
      <c r="S598" s="553">
        <f>'Foglio deposito bis'!$F$50*IF(ABS(M598)&lt;'Progetto del paramento slu'!$G$58,ABS(M598)*'Progetto del paramento slu'!$G$54,'Progetto del paramento slu'!$G$53)*IF(M598&lt;0,-1,1)</f>
        <v>0</v>
      </c>
      <c r="T598" s="553">
        <f>'Foglio deposito bis'!$F$51*IF(ABS(N598)&lt;'Progetto del paramento slu'!$G$58,ABS(N598)*'Progetto del paramento slu'!$G$54,'Progetto del paramento slu'!$G$53)*IF(N598&lt;0,-1,1)</f>
        <v>240946.49743184328</v>
      </c>
      <c r="U598" s="553">
        <f>'Foglio deposito bis'!$F$52*IF(ABS(O598)&lt;'Progetto del paramento slu'!$G$58,ABS(O598)*'Progetto del paramento slu'!$G$54,'Progetto del paramento slu'!$G$53)*IF(O598&lt;0,-1,1)</f>
        <v>240946.49743184328</v>
      </c>
      <c r="V598" s="479">
        <f t="shared" si="45"/>
        <v>409246.91000575223</v>
      </c>
      <c r="W598" s="559"/>
      <c r="X598" s="559"/>
    </row>
    <row r="599" spans="1:24" x14ac:dyDescent="0.25">
      <c r="A599" s="553">
        <f t="shared" si="46"/>
        <v>406385.74957002059</v>
      </c>
      <c r="B599" s="3">
        <f t="shared" si="47"/>
        <v>4.8999999999999906</v>
      </c>
      <c r="C599" s="553">
        <f>'Foglio deposito bis'!$E$155/sezione!$B$247*B599</f>
        <v>19.891877895024432</v>
      </c>
      <c r="D599" s="611">
        <f>-'Progetto del paramento slu'!$G$47*'Progetto del paramento slu'!$G$41*IF(DATI!$G$218="dx",DATI!$E$61,DATI!$E$64*DATI!$E$63)*1000*C599^2*sezione!$AD$5*(1-sezione!$AD$6)</f>
        <v>-3257293.6935958699</v>
      </c>
      <c r="E599" s="553">
        <f>-'Foglio deposito bis'!$F$48*(C599-sezione!$AL$29)*IF(ABS(K599)&lt;'Progetto del paramento slu'!$G$58,ABS(K599)*'Progetto del paramento slu'!$G$54,'Progetto del paramento slu'!$G$53)</f>
        <v>0</v>
      </c>
      <c r="F599" s="553">
        <f>-'Foglio deposito bis'!$F$49*(C599-sezione!$AM$29)*IF(ABS(L599)&lt;'Progetto del paramento slu'!$G$58,ABS(L599)*'Progetto del paramento slu'!$G$54,'Progetto del paramento slu'!$G$53)</f>
        <v>26657394.820262287</v>
      </c>
      <c r="G599" s="553">
        <f>-'Foglio deposito bis'!$F$50*(C599-sezione!$AN$29)*IF(ABS(M599)&lt;'Progetto del paramento slu'!$G$58,ABS(M599)*'Progetto del paramento slu'!$G$54,'Progetto del paramento slu'!$G$53)</f>
        <v>0</v>
      </c>
      <c r="H599" s="553">
        <f>-'Foglio deposito bis'!$F$51*(C599-sezione!$AO$29)*IF(ABS(N599)&lt;'Progetto del paramento slu'!$G$58,ABS(N599)*'Progetto del paramento slu'!$G$54,'Progetto del paramento slu'!$G$53)</f>
        <v>77128930.820678666</v>
      </c>
      <c r="I599" s="479">
        <f>-'Foglio deposito bis'!$F$52*(C599-sezione!$AP$29)*IF(ABS(O599)&lt;'Progetto del paramento slu'!$G$58,ABS(O599)*'Progetto del paramento slu'!$G$54,'Progetto del paramento slu'!$G$53)</f>
        <v>57853691.760729432</v>
      </c>
      <c r="J599" s="479">
        <f t="shared" si="44"/>
        <v>158382723.70807451</v>
      </c>
      <c r="K599" s="558">
        <f>'Progetto del paramento slu'!$G$60*(sezione!$AL$29-C599)/C599</f>
        <v>3.5380484305616161E-3</v>
      </c>
      <c r="L599" s="558">
        <f>'Progetto del paramento slu'!$G$60*(sezione!$AM$29-C599)/C599</f>
        <v>2.2892681614606059E-2</v>
      </c>
      <c r="M599" s="559">
        <f>'Progetto del paramento slu'!$G$60*(sezione!$AN$29-C599)/C599</f>
        <v>4.2247314798650501E-2</v>
      </c>
      <c r="N599" s="559">
        <f>'Progetto del paramento slu'!$G$60*(sezione!$AO$29-C599)/C599</f>
        <v>5.6323411659773732E-2</v>
      </c>
      <c r="O599" s="559">
        <f>'Progetto del paramento slu'!$G$60*(sezione!$AP$29-C599)/C599</f>
        <v>4.2247665855152737E-2</v>
      </c>
      <c r="P599" s="553">
        <f>-'Progetto del paramento slu'!$G$47*'Progetto del paramento slu'!$G$41*IF(DATI!$G$218="dx",DATI!$E$61,DATI!$E$64*DATI!$E$63)*1000*C599*sezione!$AD$5</f>
        <v>-280393.72270169598</v>
      </c>
      <c r="Q599" s="553">
        <f>'Foglio deposito bis'!$F$48*IF(ABS(K599)&lt;'Progetto del paramento slu'!$G$58,ABS(K599)*'Progetto del paramento slu'!$G$54,'Progetto del paramento slu'!$G$53)*IF(K599&lt;0,-1,1)</f>
        <v>0</v>
      </c>
      <c r="R599" s="553">
        <f>'Foglio deposito bis'!$F$49*IF(ABS(L599)&lt;'Progetto del paramento slu'!$G$58,ABS(L599)*'Progetto del paramento slu'!$G$54,'Progetto del paramento slu'!$G$53)*IF(L599&lt;0,-1,1)</f>
        <v>204886.47740803001</v>
      </c>
      <c r="S599" s="553">
        <f>'Foglio deposito bis'!$F$50*IF(ABS(M599)&lt;'Progetto del paramento slu'!$G$58,ABS(M599)*'Progetto del paramento slu'!$G$54,'Progetto del paramento slu'!$G$53)*IF(M599&lt;0,-1,1)</f>
        <v>0</v>
      </c>
      <c r="T599" s="553">
        <f>'Foglio deposito bis'!$F$51*IF(ABS(N599)&lt;'Progetto del paramento slu'!$G$58,ABS(N599)*'Progetto del paramento slu'!$G$54,'Progetto del paramento slu'!$G$53)*IF(N599&lt;0,-1,1)</f>
        <v>240946.49743184328</v>
      </c>
      <c r="U599" s="553">
        <f>'Foglio deposito bis'!$F$52*IF(ABS(O599)&lt;'Progetto del paramento slu'!$G$58,ABS(O599)*'Progetto del paramento slu'!$G$54,'Progetto del paramento slu'!$G$53)*IF(O599&lt;0,-1,1)</f>
        <v>240946.49743184328</v>
      </c>
      <c r="V599" s="479">
        <f t="shared" si="45"/>
        <v>406385.74957002059</v>
      </c>
      <c r="W599" s="559"/>
      <c r="X599" s="559"/>
    </row>
    <row r="600" spans="1:24" x14ac:dyDescent="0.25">
      <c r="A600" s="553">
        <f t="shared" si="46"/>
        <v>403524.58913428907</v>
      </c>
      <c r="B600" s="3">
        <f t="shared" si="47"/>
        <v>4.9499999999999904</v>
      </c>
      <c r="C600" s="553">
        <f>'Foglio deposito bis'!$E$155/sezione!$B$247*B600</f>
        <v>20.094856240892028</v>
      </c>
      <c r="D600" s="611">
        <f>-'Progetto del paramento slu'!$G$47*'Progetto del paramento slu'!$G$41*IF(DATI!$G$218="dx",DATI!$E$61,DATI!$E$64*DATI!$E$63)*1000*C600^2*sezione!$AD$5*(1-sezione!$AD$6)</f>
        <v>-3324108.2352075307</v>
      </c>
      <c r="E600" s="553">
        <f>-'Foglio deposito bis'!$F$48*(C600-sezione!$AL$29)*IF(ABS(K600)&lt;'Progetto del paramento slu'!$G$58,ABS(K600)*'Progetto del paramento slu'!$G$54,'Progetto del paramento slu'!$G$53)</f>
        <v>0</v>
      </c>
      <c r="F600" s="553">
        <f>-'Foglio deposito bis'!$F$49*(C600-sezione!$AM$29)*IF(ABS(L600)&lt;'Progetto del paramento slu'!$G$58,ABS(L600)*'Progetto del paramento slu'!$G$54,'Progetto del paramento slu'!$G$53)</f>
        <v>26615807.301987369</v>
      </c>
      <c r="G600" s="553">
        <f>-'Foglio deposito bis'!$F$50*(C600-sezione!$AN$29)*IF(ABS(M600)&lt;'Progetto del paramento slu'!$G$58,ABS(M600)*'Progetto del paramento slu'!$G$54,'Progetto del paramento slu'!$G$53)</f>
        <v>0</v>
      </c>
      <c r="H600" s="553">
        <f>-'Foglio deposito bis'!$F$51*(C600-sezione!$AO$29)*IF(ABS(N600)&lt;'Progetto del paramento slu'!$G$58,ABS(N600)*'Progetto del paramento slu'!$G$54,'Progetto del paramento slu'!$G$53)</f>
        <v>77080023.899187371</v>
      </c>
      <c r="I600" s="479">
        <f>-'Foglio deposito bis'!$F$52*(C600-sezione!$AP$29)*IF(ABS(O600)&lt;'Progetto del paramento slu'!$G$58,ABS(O600)*'Progetto del paramento slu'!$G$54,'Progetto del paramento slu'!$G$53)</f>
        <v>57804784.839238122</v>
      </c>
      <c r="J600" s="479">
        <f t="shared" si="44"/>
        <v>158176507.80520535</v>
      </c>
      <c r="K600" s="558">
        <f>'Progetto del paramento slu'!$G$60*(sezione!$AL$29-C600)/C600</f>
        <v>3.4669570322731148E-3</v>
      </c>
      <c r="L600" s="558">
        <f>'Progetto del paramento slu'!$G$60*(sezione!$AM$29-C600)/C600</f>
        <v>2.2626088871024179E-2</v>
      </c>
      <c r="M600" s="559">
        <f>'Progetto del paramento slu'!$G$60*(sezione!$AN$29-C600)/C600</f>
        <v>4.178522070977525E-2</v>
      </c>
      <c r="N600" s="559">
        <f>'Progetto del paramento slu'!$G$60*(sezione!$AO$29-C600)/C600</f>
        <v>5.5719134774321478E-2</v>
      </c>
      <c r="O600" s="559">
        <f>'Progetto del paramento slu'!$G$60*(sezione!$AP$29-C600)/C600</f>
        <v>4.1785568220252207E-2</v>
      </c>
      <c r="P600" s="553">
        <f>-'Progetto del paramento slu'!$G$47*'Progetto del paramento slu'!$G$41*IF(DATI!$G$218="dx",DATI!$E$61,DATI!$E$64*DATI!$E$63)*1000*C600*sezione!$AD$5</f>
        <v>-283254.8831374275</v>
      </c>
      <c r="Q600" s="553">
        <f>'Foglio deposito bis'!$F$48*IF(ABS(K600)&lt;'Progetto del paramento slu'!$G$58,ABS(K600)*'Progetto del paramento slu'!$G$54,'Progetto del paramento slu'!$G$53)*IF(K600&lt;0,-1,1)</f>
        <v>0</v>
      </c>
      <c r="R600" s="553">
        <f>'Foglio deposito bis'!$F$49*IF(ABS(L600)&lt;'Progetto del paramento slu'!$G$58,ABS(L600)*'Progetto del paramento slu'!$G$54,'Progetto del paramento slu'!$G$53)*IF(L600&lt;0,-1,1)</f>
        <v>204886.47740803001</v>
      </c>
      <c r="S600" s="553">
        <f>'Foglio deposito bis'!$F$50*IF(ABS(M600)&lt;'Progetto del paramento slu'!$G$58,ABS(M600)*'Progetto del paramento slu'!$G$54,'Progetto del paramento slu'!$G$53)*IF(M600&lt;0,-1,1)</f>
        <v>0</v>
      </c>
      <c r="T600" s="553">
        <f>'Foglio deposito bis'!$F$51*IF(ABS(N600)&lt;'Progetto del paramento slu'!$G$58,ABS(N600)*'Progetto del paramento slu'!$G$54,'Progetto del paramento slu'!$G$53)*IF(N600&lt;0,-1,1)</f>
        <v>240946.49743184328</v>
      </c>
      <c r="U600" s="553">
        <f>'Foglio deposito bis'!$F$52*IF(ABS(O600)&lt;'Progetto del paramento slu'!$G$58,ABS(O600)*'Progetto del paramento slu'!$G$54,'Progetto del paramento slu'!$G$53)*IF(O600&lt;0,-1,1)</f>
        <v>240946.49743184328</v>
      </c>
      <c r="V600" s="479">
        <f t="shared" si="45"/>
        <v>403524.58913428907</v>
      </c>
      <c r="W600" s="559"/>
      <c r="X600" s="559"/>
    </row>
    <row r="601" spans="1:24" x14ac:dyDescent="0.25">
      <c r="A601" s="553">
        <f t="shared" si="46"/>
        <v>400663.42869855749</v>
      </c>
      <c r="B601" s="3">
        <f t="shared" si="47"/>
        <v>4.9999999999999902</v>
      </c>
      <c r="C601" s="553">
        <f>'Foglio deposito bis'!$E$155/sezione!$B$247*B601</f>
        <v>20.297834586759624</v>
      </c>
      <c r="D601" s="611">
        <f>-'Progetto del paramento slu'!$G$47*'Progetto del paramento slu'!$G$41*IF(DATI!$G$218="dx",DATI!$E$61,DATI!$E$64*DATI!$E$63)*1000*C601^2*sezione!$AD$5*(1-sezione!$AD$6)</f>
        <v>-3391601.0970385987</v>
      </c>
      <c r="E601" s="553">
        <f>-'Foglio deposito bis'!$F$48*(C601-sezione!$AL$29)*IF(ABS(K601)&lt;'Progetto del paramento slu'!$G$58,ABS(K601)*'Progetto del paramento slu'!$G$54,'Progetto del paramento slu'!$G$53)</f>
        <v>0</v>
      </c>
      <c r="F601" s="553">
        <f>-'Foglio deposito bis'!$F$49*(C601-sezione!$AM$29)*IF(ABS(L601)&lt;'Progetto del paramento slu'!$G$58,ABS(L601)*'Progetto del paramento slu'!$G$54,'Progetto del paramento slu'!$G$53)</f>
        <v>26574219.783712447</v>
      </c>
      <c r="G601" s="553">
        <f>-'Foglio deposito bis'!$F$50*(C601-sezione!$AN$29)*IF(ABS(M601)&lt;'Progetto del paramento slu'!$G$58,ABS(M601)*'Progetto del paramento slu'!$G$54,'Progetto del paramento slu'!$G$53)</f>
        <v>0</v>
      </c>
      <c r="H601" s="553">
        <f>-'Foglio deposito bis'!$F$51*(C601-sezione!$AO$29)*IF(ABS(N601)&lt;'Progetto del paramento slu'!$G$58,ABS(N601)*'Progetto del paramento slu'!$G$54,'Progetto del paramento slu'!$G$53)</f>
        <v>77031116.977696061</v>
      </c>
      <c r="I601" s="479">
        <f>-'Foglio deposito bis'!$F$52*(C601-sezione!$AP$29)*IF(ABS(O601)&lt;'Progetto del paramento slu'!$G$58,ABS(O601)*'Progetto del paramento slu'!$G$54,'Progetto del paramento slu'!$G$53)</f>
        <v>57755877.91774682</v>
      </c>
      <c r="J601" s="479">
        <f t="shared" si="44"/>
        <v>157969613.58211672</v>
      </c>
      <c r="K601" s="558">
        <f>'Progetto del paramento slu'!$G$60*(sezione!$AL$29-C601)/C601</f>
        <v>3.3972874619503835E-3</v>
      </c>
      <c r="L601" s="558">
        <f>'Progetto del paramento slu'!$G$60*(sezione!$AM$29-C601)/C601</f>
        <v>2.2364827982313939E-2</v>
      </c>
      <c r="M601" s="559">
        <f>'Progetto del paramento slu'!$G$60*(sezione!$AN$29-C601)/C601</f>
        <v>4.1332368502677498E-2</v>
      </c>
      <c r="N601" s="559">
        <f>'Progetto del paramento slu'!$G$60*(sezione!$AO$29-C601)/C601</f>
        <v>5.5126943426578257E-2</v>
      </c>
      <c r="O601" s="559">
        <f>'Progetto del paramento slu'!$G$60*(sezione!$AP$29-C601)/C601</f>
        <v>4.1332712538049682E-2</v>
      </c>
      <c r="P601" s="553">
        <f>-'Progetto del paramento slu'!$G$47*'Progetto del paramento slu'!$G$41*IF(DATI!$G$218="dx",DATI!$E$61,DATI!$E$64*DATI!$E$63)*1000*C601*sezione!$AD$5</f>
        <v>-286116.04357315908</v>
      </c>
      <c r="Q601" s="553">
        <f>'Foglio deposito bis'!$F$48*IF(ABS(K601)&lt;'Progetto del paramento slu'!$G$58,ABS(K601)*'Progetto del paramento slu'!$G$54,'Progetto del paramento slu'!$G$53)*IF(K601&lt;0,-1,1)</f>
        <v>0</v>
      </c>
      <c r="R601" s="553">
        <f>'Foglio deposito bis'!$F$49*IF(ABS(L601)&lt;'Progetto del paramento slu'!$G$58,ABS(L601)*'Progetto del paramento slu'!$G$54,'Progetto del paramento slu'!$G$53)*IF(L601&lt;0,-1,1)</f>
        <v>204886.47740803001</v>
      </c>
      <c r="S601" s="553">
        <f>'Foglio deposito bis'!$F$50*IF(ABS(M601)&lt;'Progetto del paramento slu'!$G$58,ABS(M601)*'Progetto del paramento slu'!$G$54,'Progetto del paramento slu'!$G$53)*IF(M601&lt;0,-1,1)</f>
        <v>0</v>
      </c>
      <c r="T601" s="553">
        <f>'Foglio deposito bis'!$F$51*IF(ABS(N601)&lt;'Progetto del paramento slu'!$G$58,ABS(N601)*'Progetto del paramento slu'!$G$54,'Progetto del paramento slu'!$G$53)*IF(N601&lt;0,-1,1)</f>
        <v>240946.49743184328</v>
      </c>
      <c r="U601" s="553">
        <f>'Foglio deposito bis'!$F$52*IF(ABS(O601)&lt;'Progetto del paramento slu'!$G$58,ABS(O601)*'Progetto del paramento slu'!$G$54,'Progetto del paramento slu'!$G$53)*IF(O601&lt;0,-1,1)</f>
        <v>240946.49743184328</v>
      </c>
      <c r="V601" s="479">
        <f t="shared" si="45"/>
        <v>400663.42869855749</v>
      </c>
      <c r="W601" s="559"/>
      <c r="X601" s="559"/>
    </row>
    <row r="602" spans="1:24" x14ac:dyDescent="0.25">
      <c r="A602" s="553">
        <f t="shared" si="46"/>
        <v>397802.26826282591</v>
      </c>
      <c r="B602" s="3">
        <f t="shared" si="47"/>
        <v>5.0499999999999901</v>
      </c>
      <c r="C602" s="553">
        <f>'Foglio deposito bis'!$E$155/sezione!$B$247*B602</f>
        <v>20.50081293262722</v>
      </c>
      <c r="D602" s="611">
        <f>-'Progetto del paramento slu'!$G$47*'Progetto del paramento slu'!$G$41*IF(DATI!$G$218="dx",DATI!$E$61,DATI!$E$64*DATI!$E$63)*1000*C602^2*sezione!$AD$5*(1-sezione!$AD$6)</f>
        <v>-3459772.2790890741</v>
      </c>
      <c r="E602" s="553">
        <f>-'Foglio deposito bis'!$F$48*(C602-sezione!$AL$29)*IF(ABS(K602)&lt;'Progetto del paramento slu'!$G$58,ABS(K602)*'Progetto del paramento slu'!$G$54,'Progetto del paramento slu'!$G$53)</f>
        <v>0</v>
      </c>
      <c r="F602" s="553">
        <f>-'Foglio deposito bis'!$F$49*(C602-sezione!$AM$29)*IF(ABS(L602)&lt;'Progetto del paramento slu'!$G$58,ABS(L602)*'Progetto del paramento slu'!$G$54,'Progetto del paramento slu'!$G$53)</f>
        <v>26532632.265437525</v>
      </c>
      <c r="G602" s="553">
        <f>-'Foglio deposito bis'!$F$50*(C602-sezione!$AN$29)*IF(ABS(M602)&lt;'Progetto del paramento slu'!$G$58,ABS(M602)*'Progetto del paramento slu'!$G$54,'Progetto del paramento slu'!$G$53)</f>
        <v>0</v>
      </c>
      <c r="H602" s="553">
        <f>-'Foglio deposito bis'!$F$51*(C602-sezione!$AO$29)*IF(ABS(N602)&lt;'Progetto del paramento slu'!$G$58,ABS(N602)*'Progetto del paramento slu'!$G$54,'Progetto del paramento slu'!$G$53)</f>
        <v>76982210.056204736</v>
      </c>
      <c r="I602" s="479">
        <f>-'Foglio deposito bis'!$F$52*(C602-sezione!$AP$29)*IF(ABS(O602)&lt;'Progetto del paramento slu'!$G$58,ABS(O602)*'Progetto del paramento slu'!$G$54,'Progetto del paramento slu'!$G$53)</f>
        <v>57706970.99625551</v>
      </c>
      <c r="J602" s="479">
        <f t="shared" si="44"/>
        <v>157762041.0388087</v>
      </c>
      <c r="K602" s="558">
        <f>'Progetto del paramento slu'!$G$60*(sezione!$AL$29-C602)/C602</f>
        <v>3.3289974870795878E-3</v>
      </c>
      <c r="L602" s="558">
        <f>'Progetto del paramento slu'!$G$60*(sezione!$AM$29-C602)/C602</f>
        <v>2.2108740576548457E-2</v>
      </c>
      <c r="M602" s="559">
        <f>'Progetto del paramento slu'!$G$60*(sezione!$AN$29-C602)/C602</f>
        <v>4.0888483666017328E-2</v>
      </c>
      <c r="N602" s="559">
        <f>'Progetto del paramento slu'!$G$60*(sezione!$AO$29-C602)/C602</f>
        <v>5.4546478640176491E-2</v>
      </c>
      <c r="O602" s="559">
        <f>'Progetto del paramento slu'!$G$60*(sezione!$AP$29-C602)/C602</f>
        <v>4.08888242950987E-2</v>
      </c>
      <c r="P602" s="553">
        <f>-'Progetto del paramento slu'!$G$47*'Progetto del paramento slu'!$G$41*IF(DATI!$G$218="dx",DATI!$E$61,DATI!$E$64*DATI!$E$63)*1000*C602*sezione!$AD$5</f>
        <v>-288977.20400889067</v>
      </c>
      <c r="Q602" s="553">
        <f>'Foglio deposito bis'!$F$48*IF(ABS(K602)&lt;'Progetto del paramento slu'!$G$58,ABS(K602)*'Progetto del paramento slu'!$G$54,'Progetto del paramento slu'!$G$53)*IF(K602&lt;0,-1,1)</f>
        <v>0</v>
      </c>
      <c r="R602" s="553">
        <f>'Foglio deposito bis'!$F$49*IF(ABS(L602)&lt;'Progetto del paramento slu'!$G$58,ABS(L602)*'Progetto del paramento slu'!$G$54,'Progetto del paramento slu'!$G$53)*IF(L602&lt;0,-1,1)</f>
        <v>204886.47740803001</v>
      </c>
      <c r="S602" s="553">
        <f>'Foglio deposito bis'!$F$50*IF(ABS(M602)&lt;'Progetto del paramento slu'!$G$58,ABS(M602)*'Progetto del paramento slu'!$G$54,'Progetto del paramento slu'!$G$53)*IF(M602&lt;0,-1,1)</f>
        <v>0</v>
      </c>
      <c r="T602" s="553">
        <f>'Foglio deposito bis'!$F$51*IF(ABS(N602)&lt;'Progetto del paramento slu'!$G$58,ABS(N602)*'Progetto del paramento slu'!$G$54,'Progetto del paramento slu'!$G$53)*IF(N602&lt;0,-1,1)</f>
        <v>240946.49743184328</v>
      </c>
      <c r="U602" s="553">
        <f>'Foglio deposito bis'!$F$52*IF(ABS(O602)&lt;'Progetto del paramento slu'!$G$58,ABS(O602)*'Progetto del paramento slu'!$G$54,'Progetto del paramento slu'!$G$53)*IF(O602&lt;0,-1,1)</f>
        <v>240946.49743184328</v>
      </c>
      <c r="V602" s="479">
        <f t="shared" si="45"/>
        <v>397802.26826282591</v>
      </c>
      <c r="W602" s="559"/>
      <c r="X602" s="559"/>
    </row>
    <row r="603" spans="1:24" x14ac:dyDescent="0.25">
      <c r="A603" s="553">
        <f t="shared" si="46"/>
        <v>394941.10782709427</v>
      </c>
      <c r="B603" s="3">
        <f t="shared" si="47"/>
        <v>5.0999999999999899</v>
      </c>
      <c r="C603" s="553">
        <f>'Foglio deposito bis'!$E$155/sezione!$B$247*B603</f>
        <v>20.703791278494815</v>
      </c>
      <c r="D603" s="611">
        <f>-'Progetto del paramento slu'!$G$47*'Progetto del paramento slu'!$G$41*IF(DATI!$G$218="dx",DATI!$E$61,DATI!$E$64*DATI!$E$63)*1000*C603^2*sezione!$AD$5*(1-sezione!$AD$6)</f>
        <v>-3528621.7813589578</v>
      </c>
      <c r="E603" s="553">
        <f>-'Foglio deposito bis'!$F$48*(C603-sezione!$AL$29)*IF(ABS(K603)&lt;'Progetto del paramento slu'!$G$58,ABS(K603)*'Progetto del paramento slu'!$G$54,'Progetto del paramento slu'!$G$53)</f>
        <v>0</v>
      </c>
      <c r="F603" s="553">
        <f>-'Foglio deposito bis'!$F$49*(C603-sezione!$AM$29)*IF(ABS(L603)&lt;'Progetto del paramento slu'!$G$58,ABS(L603)*'Progetto del paramento slu'!$G$54,'Progetto del paramento slu'!$G$53)</f>
        <v>26491044.747162607</v>
      </c>
      <c r="G603" s="553">
        <f>-'Foglio deposito bis'!$F$50*(C603-sezione!$AN$29)*IF(ABS(M603)&lt;'Progetto del paramento slu'!$G$58,ABS(M603)*'Progetto del paramento slu'!$G$54,'Progetto del paramento slu'!$G$53)</f>
        <v>0</v>
      </c>
      <c r="H603" s="553">
        <f>-'Foglio deposito bis'!$F$51*(C603-sezione!$AO$29)*IF(ABS(N603)&lt;'Progetto del paramento slu'!$G$58,ABS(N603)*'Progetto del paramento slu'!$G$54,'Progetto del paramento slu'!$G$53)</f>
        <v>76933303.134713441</v>
      </c>
      <c r="I603" s="479">
        <f>-'Foglio deposito bis'!$F$52*(C603-sezione!$AP$29)*IF(ABS(O603)&lt;'Progetto del paramento slu'!$G$58,ABS(O603)*'Progetto del paramento slu'!$G$54,'Progetto del paramento slu'!$G$53)</f>
        <v>57658064.074764207</v>
      </c>
      <c r="J603" s="479">
        <f t="shared" si="44"/>
        <v>157553790.17528129</v>
      </c>
      <c r="K603" s="558">
        <f>'Progetto del paramento slu'!$G$60*(sezione!$AL$29-C603)/C603</f>
        <v>3.2620465313239061E-3</v>
      </c>
      <c r="L603" s="558">
        <f>'Progetto del paramento slu'!$G$60*(sezione!$AM$29-C603)/C603</f>
        <v>2.1857674492464649E-2</v>
      </c>
      <c r="M603" s="559">
        <f>'Progetto del paramento slu'!$G$60*(sezione!$AN$29-C603)/C603</f>
        <v>4.0453302453605393E-2</v>
      </c>
      <c r="N603" s="559">
        <f>'Progetto del paramento slu'!$G$60*(sezione!$AO$29-C603)/C603</f>
        <v>5.3977395516253197E-2</v>
      </c>
      <c r="O603" s="559">
        <f>'Progetto del paramento slu'!$G$60*(sezione!$AP$29-C603)/C603</f>
        <v>4.0453639743185971E-2</v>
      </c>
      <c r="P603" s="553">
        <f>-'Progetto del paramento slu'!$G$47*'Progetto del paramento slu'!$G$41*IF(DATI!$G$218="dx",DATI!$E$61,DATI!$E$64*DATI!$E$63)*1000*C603*sezione!$AD$5</f>
        <v>-291838.3644446223</v>
      </c>
      <c r="Q603" s="553">
        <f>'Foglio deposito bis'!$F$48*IF(ABS(K603)&lt;'Progetto del paramento slu'!$G$58,ABS(K603)*'Progetto del paramento slu'!$G$54,'Progetto del paramento slu'!$G$53)*IF(K603&lt;0,-1,1)</f>
        <v>0</v>
      </c>
      <c r="R603" s="553">
        <f>'Foglio deposito bis'!$F$49*IF(ABS(L603)&lt;'Progetto del paramento slu'!$G$58,ABS(L603)*'Progetto del paramento slu'!$G$54,'Progetto del paramento slu'!$G$53)*IF(L603&lt;0,-1,1)</f>
        <v>204886.47740803001</v>
      </c>
      <c r="S603" s="553">
        <f>'Foglio deposito bis'!$F$50*IF(ABS(M603)&lt;'Progetto del paramento slu'!$G$58,ABS(M603)*'Progetto del paramento slu'!$G$54,'Progetto del paramento slu'!$G$53)*IF(M603&lt;0,-1,1)</f>
        <v>0</v>
      </c>
      <c r="T603" s="553">
        <f>'Foglio deposito bis'!$F$51*IF(ABS(N603)&lt;'Progetto del paramento slu'!$G$58,ABS(N603)*'Progetto del paramento slu'!$G$54,'Progetto del paramento slu'!$G$53)*IF(N603&lt;0,-1,1)</f>
        <v>240946.49743184328</v>
      </c>
      <c r="U603" s="553">
        <f>'Foglio deposito bis'!$F$52*IF(ABS(O603)&lt;'Progetto del paramento slu'!$G$58,ABS(O603)*'Progetto del paramento slu'!$G$54,'Progetto del paramento slu'!$G$53)*IF(O603&lt;0,-1,1)</f>
        <v>240946.49743184328</v>
      </c>
      <c r="V603" s="479">
        <f t="shared" si="45"/>
        <v>394941.10782709427</v>
      </c>
      <c r="W603" s="559"/>
      <c r="X603" s="559"/>
    </row>
    <row r="604" spans="1:24" x14ac:dyDescent="0.25">
      <c r="A604" s="553">
        <f t="shared" si="46"/>
        <v>383496.46608416789</v>
      </c>
      <c r="B604" s="3">
        <f>B603+0.2</f>
        <v>5.2999999999999901</v>
      </c>
      <c r="C604" s="553">
        <f>'Foglio deposito bis'!$E$155/sezione!$B$247*B604</f>
        <v>21.515704661965202</v>
      </c>
      <c r="D604" s="611">
        <f>-'Progetto del paramento slu'!$G$47*'Progetto del paramento slu'!$G$41*IF(DATI!$G$218="dx",DATI!$E$61,DATI!$E$64*DATI!$E$63)*1000*C604^2*sezione!$AD$5*(1-sezione!$AD$6)</f>
        <v>-3810802.9926325697</v>
      </c>
      <c r="E604" s="553">
        <f>-'Foglio deposito bis'!$F$48*(C604-sezione!$AL$29)*IF(ABS(K604)&lt;'Progetto del paramento slu'!$G$58,ABS(K604)*'Progetto del paramento slu'!$G$54,'Progetto del paramento slu'!$G$53)</f>
        <v>0</v>
      </c>
      <c r="F604" s="553">
        <f>-'Foglio deposito bis'!$F$49*(C604-sezione!$AM$29)*IF(ABS(L604)&lt;'Progetto del paramento slu'!$G$58,ABS(L604)*'Progetto del paramento slu'!$G$54,'Progetto del paramento slu'!$G$53)</f>
        <v>26324694.674062923</v>
      </c>
      <c r="G604" s="553">
        <f>-'Foglio deposito bis'!$F$50*(C604-sezione!$AN$29)*IF(ABS(M604)&lt;'Progetto del paramento slu'!$G$58,ABS(M604)*'Progetto del paramento slu'!$G$54,'Progetto del paramento slu'!$G$53)</f>
        <v>0</v>
      </c>
      <c r="H604" s="553">
        <f>-'Foglio deposito bis'!$F$51*(C604-sezione!$AO$29)*IF(ABS(N604)&lt;'Progetto del paramento slu'!$G$58,ABS(N604)*'Progetto del paramento slu'!$G$54,'Progetto del paramento slu'!$G$53)</f>
        <v>76737675.448748216</v>
      </c>
      <c r="I604" s="479">
        <f>-'Foglio deposito bis'!$F$52*(C604-sezione!$AP$29)*IF(ABS(O604)&lt;'Progetto del paramento slu'!$G$58,ABS(O604)*'Progetto del paramento slu'!$G$54,'Progetto del paramento slu'!$G$53)</f>
        <v>57462436.388798982</v>
      </c>
      <c r="J604" s="479">
        <f t="shared" si="44"/>
        <v>156714003.51897755</v>
      </c>
      <c r="K604" s="558">
        <f>'Progetto del paramento slu'!$G$60*(sezione!$AL$29-C604)/C604</f>
        <v>3.0068749641041352E-3</v>
      </c>
      <c r="L604" s="558">
        <f>'Progetto del paramento slu'!$G$60*(sezione!$AM$29-C604)/C604</f>
        <v>2.0900781115390506E-2</v>
      </c>
      <c r="M604" s="559">
        <f>'Progetto del paramento slu'!$G$60*(sezione!$AN$29-C604)/C604</f>
        <v>3.8794687266676883E-2</v>
      </c>
      <c r="N604" s="559">
        <f>'Progetto del paramento slu'!$G$60*(sezione!$AO$29-C604)/C604</f>
        <v>5.1808437194885149E-2</v>
      </c>
      <c r="O604" s="559">
        <f>'Progetto del paramento slu'!$G$60*(sezione!$AP$29-C604)/C604</f>
        <v>3.8795011828348755E-2</v>
      </c>
      <c r="P604" s="553">
        <f>-'Progetto del paramento slu'!$G$47*'Progetto del paramento slu'!$G$41*IF(DATI!$G$218="dx",DATI!$E$61,DATI!$E$64*DATI!$E$63)*1000*C604*sezione!$AD$5</f>
        <v>-303283.00618754869</v>
      </c>
      <c r="Q604" s="553">
        <f>'Foglio deposito bis'!$F$48*IF(ABS(K604)&lt;'Progetto del paramento slu'!$G$58,ABS(K604)*'Progetto del paramento slu'!$G$54,'Progetto del paramento slu'!$G$53)*IF(K604&lt;0,-1,1)</f>
        <v>0</v>
      </c>
      <c r="R604" s="553">
        <f>'Foglio deposito bis'!$F$49*IF(ABS(L604)&lt;'Progetto del paramento slu'!$G$58,ABS(L604)*'Progetto del paramento slu'!$G$54,'Progetto del paramento slu'!$G$53)*IF(L604&lt;0,-1,1)</f>
        <v>204886.47740803001</v>
      </c>
      <c r="S604" s="553">
        <f>'Foglio deposito bis'!$F$50*IF(ABS(M604)&lt;'Progetto del paramento slu'!$G$58,ABS(M604)*'Progetto del paramento slu'!$G$54,'Progetto del paramento slu'!$G$53)*IF(M604&lt;0,-1,1)</f>
        <v>0</v>
      </c>
      <c r="T604" s="553">
        <f>'Foglio deposito bis'!$F$51*IF(ABS(N604)&lt;'Progetto del paramento slu'!$G$58,ABS(N604)*'Progetto del paramento slu'!$G$54,'Progetto del paramento slu'!$G$53)*IF(N604&lt;0,-1,1)</f>
        <v>240946.49743184328</v>
      </c>
      <c r="U604" s="553">
        <f>'Foglio deposito bis'!$F$52*IF(ABS(O604)&lt;'Progetto del paramento slu'!$G$58,ABS(O604)*'Progetto del paramento slu'!$G$54,'Progetto del paramento slu'!$G$53)*IF(O604&lt;0,-1,1)</f>
        <v>240946.49743184328</v>
      </c>
      <c r="V604" s="479">
        <f t="shared" si="45"/>
        <v>383496.46608416789</v>
      </c>
      <c r="W604" s="559"/>
      <c r="X604" s="559"/>
    </row>
    <row r="605" spans="1:24" x14ac:dyDescent="0.25">
      <c r="A605" s="553">
        <f t="shared" si="46"/>
        <v>372051.8243412415</v>
      </c>
      <c r="B605" s="3">
        <f t="shared" ref="B605:B668" si="48">B604+0.2</f>
        <v>5.4999999999999902</v>
      </c>
      <c r="C605" s="553">
        <f>'Foglio deposito bis'!$E$155/sezione!$B$247*B605</f>
        <v>22.327618045435589</v>
      </c>
      <c r="D605" s="611">
        <f>-'Progetto del paramento slu'!$G$47*'Progetto del paramento slu'!$G$41*IF(DATI!$G$218="dx",DATI!$E$61,DATI!$E$64*DATI!$E$63)*1000*C605^2*sezione!$AD$5*(1-sezione!$AD$6)</f>
        <v>-4103837.327416705</v>
      </c>
      <c r="E605" s="553">
        <f>-'Foglio deposito bis'!$F$48*(C605-sezione!$AL$29)*IF(ABS(K605)&lt;'Progetto del paramento slu'!$G$58,ABS(K605)*'Progetto del paramento slu'!$G$54,'Progetto del paramento slu'!$G$53)</f>
        <v>0</v>
      </c>
      <c r="F605" s="553">
        <f>-'Foglio deposito bis'!$F$49*(C605-sezione!$AM$29)*IF(ABS(L605)&lt;'Progetto del paramento slu'!$G$58,ABS(L605)*'Progetto del paramento slu'!$G$54,'Progetto del paramento slu'!$G$53)</f>
        <v>26158344.600963239</v>
      </c>
      <c r="G605" s="553">
        <f>-'Foglio deposito bis'!$F$50*(C605-sezione!$AN$29)*IF(ABS(M605)&lt;'Progetto del paramento slu'!$G$58,ABS(M605)*'Progetto del paramento slu'!$G$54,'Progetto del paramento slu'!$G$53)</f>
        <v>0</v>
      </c>
      <c r="H605" s="553">
        <f>-'Foglio deposito bis'!$F$51*(C605-sezione!$AO$29)*IF(ABS(N605)&lt;'Progetto del paramento slu'!$G$58,ABS(N605)*'Progetto del paramento slu'!$G$54,'Progetto del paramento slu'!$G$53)</f>
        <v>76542047.762782976</v>
      </c>
      <c r="I605" s="479">
        <f>-'Foglio deposito bis'!$F$52*(C605-sezione!$AP$29)*IF(ABS(O605)&lt;'Progetto del paramento slu'!$G$58,ABS(O605)*'Progetto del paramento slu'!$G$54,'Progetto del paramento slu'!$G$53)</f>
        <v>57266808.702833742</v>
      </c>
      <c r="J605" s="479">
        <f t="shared" si="44"/>
        <v>155863363.73916325</v>
      </c>
      <c r="K605" s="558">
        <f>'Progetto del paramento slu'!$G$60*(sezione!$AL$29-C605)/C605</f>
        <v>2.7702613290458027E-3</v>
      </c>
      <c r="L605" s="558">
        <f>'Progetto del paramento slu'!$G$60*(sezione!$AM$29-C605)/C605</f>
        <v>2.0013479983921761E-2</v>
      </c>
      <c r="M605" s="559">
        <f>'Progetto del paramento slu'!$G$60*(sezione!$AN$29-C605)/C605</f>
        <v>3.7256698638797714E-2</v>
      </c>
      <c r="N605" s="559">
        <f>'Progetto del paramento slu'!$G$60*(sezione!$AO$29-C605)/C605</f>
        <v>4.9797221296889314E-2</v>
      </c>
      <c r="O605" s="559">
        <f>'Progetto del paramento slu'!$G$60*(sezione!$AP$29-C605)/C605</f>
        <v>3.7257011398226979E-2</v>
      </c>
      <c r="P605" s="553">
        <f>-'Progetto del paramento slu'!$G$47*'Progetto del paramento slu'!$G$41*IF(DATI!$G$218="dx",DATI!$E$61,DATI!$E$64*DATI!$E$63)*1000*C605*sezione!$AD$5</f>
        <v>-314727.64793047507</v>
      </c>
      <c r="Q605" s="553">
        <f>'Foglio deposito bis'!$F$48*IF(ABS(K605)&lt;'Progetto del paramento slu'!$G$58,ABS(K605)*'Progetto del paramento slu'!$G$54,'Progetto del paramento slu'!$G$53)*IF(K605&lt;0,-1,1)</f>
        <v>0</v>
      </c>
      <c r="R605" s="553">
        <f>'Foglio deposito bis'!$F$49*IF(ABS(L605)&lt;'Progetto del paramento slu'!$G$58,ABS(L605)*'Progetto del paramento slu'!$G$54,'Progetto del paramento slu'!$G$53)*IF(L605&lt;0,-1,1)</f>
        <v>204886.47740803001</v>
      </c>
      <c r="S605" s="553">
        <f>'Foglio deposito bis'!$F$50*IF(ABS(M605)&lt;'Progetto del paramento slu'!$G$58,ABS(M605)*'Progetto del paramento slu'!$G$54,'Progetto del paramento slu'!$G$53)*IF(M605&lt;0,-1,1)</f>
        <v>0</v>
      </c>
      <c r="T605" s="553">
        <f>'Foglio deposito bis'!$F$51*IF(ABS(N605)&lt;'Progetto del paramento slu'!$G$58,ABS(N605)*'Progetto del paramento slu'!$G$54,'Progetto del paramento slu'!$G$53)*IF(N605&lt;0,-1,1)</f>
        <v>240946.49743184328</v>
      </c>
      <c r="U605" s="553">
        <f>'Foglio deposito bis'!$F$52*IF(ABS(O605)&lt;'Progetto del paramento slu'!$G$58,ABS(O605)*'Progetto del paramento slu'!$G$54,'Progetto del paramento slu'!$G$53)*IF(O605&lt;0,-1,1)</f>
        <v>240946.49743184328</v>
      </c>
      <c r="V605" s="479">
        <f t="shared" si="45"/>
        <v>372051.8243412415</v>
      </c>
      <c r="W605" s="559"/>
      <c r="X605" s="559"/>
    </row>
    <row r="606" spans="1:24" x14ac:dyDescent="0.25">
      <c r="A606" s="553">
        <f t="shared" si="46"/>
        <v>360607.18259831512</v>
      </c>
      <c r="B606" s="3">
        <f t="shared" si="48"/>
        <v>5.6999999999999904</v>
      </c>
      <c r="C606" s="553">
        <f>'Foglio deposito bis'!$E$155/sezione!$B$247*B606</f>
        <v>23.139531428905975</v>
      </c>
      <c r="D606" s="611">
        <f>-'Progetto del paramento slu'!$G$47*'Progetto del paramento slu'!$G$41*IF(DATI!$G$218="dx",DATI!$E$61,DATI!$E$64*DATI!$E$63)*1000*C606^2*sezione!$AD$5*(1-sezione!$AD$6)</f>
        <v>-4407724.7857113639</v>
      </c>
      <c r="E606" s="553">
        <f>-'Foglio deposito bis'!$F$48*(C606-sezione!$AL$29)*IF(ABS(K606)&lt;'Progetto del paramento slu'!$G$58,ABS(K606)*'Progetto del paramento slu'!$G$54,'Progetto del paramento slu'!$G$53)</f>
        <v>0</v>
      </c>
      <c r="F606" s="553">
        <f>-'Foglio deposito bis'!$F$49*(C606-sezione!$AM$29)*IF(ABS(L606)&lt;'Progetto del paramento slu'!$G$58,ABS(L606)*'Progetto del paramento slu'!$G$54,'Progetto del paramento slu'!$G$53)</f>
        <v>25991994.527863555</v>
      </c>
      <c r="G606" s="553">
        <f>-'Foglio deposito bis'!$F$50*(C606-sezione!$AN$29)*IF(ABS(M606)&lt;'Progetto del paramento slu'!$G$58,ABS(M606)*'Progetto del paramento slu'!$G$54,'Progetto del paramento slu'!$G$53)</f>
        <v>0</v>
      </c>
      <c r="H606" s="553">
        <f>-'Foglio deposito bis'!$F$51*(C606-sezione!$AO$29)*IF(ABS(N606)&lt;'Progetto del paramento slu'!$G$58,ABS(N606)*'Progetto del paramento slu'!$G$54,'Progetto del paramento slu'!$G$53)</f>
        <v>76346420.076817766</v>
      </c>
      <c r="I606" s="479">
        <f>-'Foglio deposito bis'!$F$52*(C606-sezione!$AP$29)*IF(ABS(O606)&lt;'Progetto del paramento slu'!$G$58,ABS(O606)*'Progetto del paramento slu'!$G$54,'Progetto del paramento slu'!$G$53)</f>
        <v>57071181.016868524</v>
      </c>
      <c r="J606" s="479">
        <f t="shared" si="44"/>
        <v>155001870.8358385</v>
      </c>
      <c r="K606" s="558">
        <f>'Progetto del paramento slu'!$G$60*(sezione!$AL$29-C606)/C606</f>
        <v>2.5502521596055985E-3</v>
      </c>
      <c r="L606" s="558">
        <f>'Progetto del paramento slu'!$G$60*(sezione!$AM$29-C606)/C606</f>
        <v>1.9188445598520999E-2</v>
      </c>
      <c r="M606" s="559">
        <f>'Progetto del paramento slu'!$G$60*(sezione!$AN$29-C606)/C606</f>
        <v>3.5826639037436388E-2</v>
      </c>
      <c r="N606" s="559">
        <f>'Progetto del paramento slu'!$G$60*(sezione!$AO$29-C606)/C606</f>
        <v>4.7927143356647592E-2</v>
      </c>
      <c r="O606" s="559">
        <f>'Progetto del paramento slu'!$G$60*(sezione!$AP$29-C606)/C606</f>
        <v>3.5826940822850595E-2</v>
      </c>
      <c r="P606" s="553">
        <f>-'Progetto del paramento slu'!$G$47*'Progetto del paramento slu'!$G$41*IF(DATI!$G$218="dx",DATI!$E$61,DATI!$E$64*DATI!$E$63)*1000*C606*sezione!$AD$5</f>
        <v>-326172.28967340145</v>
      </c>
      <c r="Q606" s="553">
        <f>'Foglio deposito bis'!$F$48*IF(ABS(K606)&lt;'Progetto del paramento slu'!$G$58,ABS(K606)*'Progetto del paramento slu'!$G$54,'Progetto del paramento slu'!$G$53)*IF(K606&lt;0,-1,1)</f>
        <v>0</v>
      </c>
      <c r="R606" s="553">
        <f>'Foglio deposito bis'!$F$49*IF(ABS(L606)&lt;'Progetto del paramento slu'!$G$58,ABS(L606)*'Progetto del paramento slu'!$G$54,'Progetto del paramento slu'!$G$53)*IF(L606&lt;0,-1,1)</f>
        <v>204886.47740803001</v>
      </c>
      <c r="S606" s="553">
        <f>'Foglio deposito bis'!$F$50*IF(ABS(M606)&lt;'Progetto del paramento slu'!$G$58,ABS(M606)*'Progetto del paramento slu'!$G$54,'Progetto del paramento slu'!$G$53)*IF(M606&lt;0,-1,1)</f>
        <v>0</v>
      </c>
      <c r="T606" s="553">
        <f>'Foglio deposito bis'!$F$51*IF(ABS(N606)&lt;'Progetto del paramento slu'!$G$58,ABS(N606)*'Progetto del paramento slu'!$G$54,'Progetto del paramento slu'!$G$53)*IF(N606&lt;0,-1,1)</f>
        <v>240946.49743184328</v>
      </c>
      <c r="U606" s="553">
        <f>'Foglio deposito bis'!$F$52*IF(ABS(O606)&lt;'Progetto del paramento slu'!$G$58,ABS(O606)*'Progetto del paramento slu'!$G$54,'Progetto del paramento slu'!$G$53)*IF(O606&lt;0,-1,1)</f>
        <v>240946.49743184328</v>
      </c>
      <c r="V606" s="479">
        <f t="shared" si="45"/>
        <v>360607.18259831512</v>
      </c>
      <c r="W606" s="559"/>
      <c r="X606" s="559"/>
    </row>
    <row r="607" spans="1:24" x14ac:dyDescent="0.25">
      <c r="A607" s="553">
        <f t="shared" si="46"/>
        <v>349162.54085538874</v>
      </c>
      <c r="B607" s="3">
        <f t="shared" si="48"/>
        <v>5.8999999999999906</v>
      </c>
      <c r="C607" s="553">
        <f>'Foglio deposito bis'!$E$155/sezione!$B$247*B607</f>
        <v>23.951444812376362</v>
      </c>
      <c r="D607" s="611">
        <f>-'Progetto del paramento slu'!$G$47*'Progetto del paramento slu'!$G$41*IF(DATI!$G$218="dx",DATI!$E$61,DATI!$E$64*DATI!$E$63)*1000*C607^2*sezione!$AD$5*(1-sezione!$AD$6)</f>
        <v>-4722465.3675165465</v>
      </c>
      <c r="E607" s="553">
        <f>-'Foglio deposito bis'!$F$48*(C607-sezione!$AL$29)*IF(ABS(K607)&lt;'Progetto del paramento slu'!$G$58,ABS(K607)*'Progetto del paramento slu'!$G$54,'Progetto del paramento slu'!$G$53)</f>
        <v>0</v>
      </c>
      <c r="F607" s="553">
        <f>-'Foglio deposito bis'!$F$49*(C607-sezione!$AM$29)*IF(ABS(L607)&lt;'Progetto del paramento slu'!$G$58,ABS(L607)*'Progetto del paramento slu'!$G$54,'Progetto del paramento slu'!$G$53)</f>
        <v>25825644.454763874</v>
      </c>
      <c r="G607" s="553">
        <f>-'Foglio deposito bis'!$F$50*(C607-sezione!$AN$29)*IF(ABS(M607)&lt;'Progetto del paramento slu'!$G$58,ABS(M607)*'Progetto del paramento slu'!$G$54,'Progetto del paramento slu'!$G$53)</f>
        <v>0</v>
      </c>
      <c r="H607" s="553">
        <f>-'Foglio deposito bis'!$F$51*(C607-sezione!$AO$29)*IF(ABS(N607)&lt;'Progetto del paramento slu'!$G$58,ABS(N607)*'Progetto del paramento slu'!$G$54,'Progetto del paramento slu'!$G$53)</f>
        <v>76150792.390852541</v>
      </c>
      <c r="I607" s="479">
        <f>-'Foglio deposito bis'!$F$52*(C607-sezione!$AP$29)*IF(ABS(O607)&lt;'Progetto del paramento slu'!$G$58,ABS(O607)*'Progetto del paramento slu'!$G$54,'Progetto del paramento slu'!$G$53)</f>
        <v>56875553.330903299</v>
      </c>
      <c r="J607" s="479">
        <f t="shared" si="44"/>
        <v>154129524.80900317</v>
      </c>
      <c r="K607" s="558">
        <f>'Progetto del paramento slu'!$G$60*(sezione!$AL$29-C607)/C607</f>
        <v>2.3451588660596458E-3</v>
      </c>
      <c r="L607" s="558">
        <f>'Progetto del paramento slu'!$G$60*(sezione!$AM$29-C607)/C607</f>
        <v>1.8419345747723671E-2</v>
      </c>
      <c r="M607" s="559">
        <f>'Progetto del paramento slu'!$G$60*(sezione!$AN$29-C607)/C607</f>
        <v>3.4493532629387695E-2</v>
      </c>
      <c r="N607" s="559">
        <f>'Progetto del paramento slu'!$G$60*(sezione!$AO$29-C607)/C607</f>
        <v>4.6183850361506996E-2</v>
      </c>
      <c r="O607" s="559">
        <f>'Progetto del paramento slu'!$G$60*(sezione!$AP$29-C607)/C607</f>
        <v>3.4493824184787858E-2</v>
      </c>
      <c r="P607" s="553">
        <f>-'Progetto del paramento slu'!$G$47*'Progetto del paramento slu'!$G$41*IF(DATI!$G$218="dx",DATI!$E$61,DATI!$E$64*DATI!$E$63)*1000*C607*sezione!$AD$5</f>
        <v>-337616.93141632783</v>
      </c>
      <c r="Q607" s="553">
        <f>'Foglio deposito bis'!$F$48*IF(ABS(K607)&lt;'Progetto del paramento slu'!$G$58,ABS(K607)*'Progetto del paramento slu'!$G$54,'Progetto del paramento slu'!$G$53)*IF(K607&lt;0,-1,1)</f>
        <v>0</v>
      </c>
      <c r="R607" s="553">
        <f>'Foglio deposito bis'!$F$49*IF(ABS(L607)&lt;'Progetto del paramento slu'!$G$58,ABS(L607)*'Progetto del paramento slu'!$G$54,'Progetto del paramento slu'!$G$53)*IF(L607&lt;0,-1,1)</f>
        <v>204886.47740803001</v>
      </c>
      <c r="S607" s="553">
        <f>'Foglio deposito bis'!$F$50*IF(ABS(M607)&lt;'Progetto del paramento slu'!$G$58,ABS(M607)*'Progetto del paramento slu'!$G$54,'Progetto del paramento slu'!$G$53)*IF(M607&lt;0,-1,1)</f>
        <v>0</v>
      </c>
      <c r="T607" s="553">
        <f>'Foglio deposito bis'!$F$51*IF(ABS(N607)&lt;'Progetto del paramento slu'!$G$58,ABS(N607)*'Progetto del paramento slu'!$G$54,'Progetto del paramento slu'!$G$53)*IF(N607&lt;0,-1,1)</f>
        <v>240946.49743184328</v>
      </c>
      <c r="U607" s="553">
        <f>'Foglio deposito bis'!$F$52*IF(ABS(O607)&lt;'Progetto del paramento slu'!$G$58,ABS(O607)*'Progetto del paramento slu'!$G$54,'Progetto del paramento slu'!$G$53)*IF(O607&lt;0,-1,1)</f>
        <v>240946.49743184328</v>
      </c>
      <c r="V607" s="479">
        <f t="shared" si="45"/>
        <v>349162.54085538874</v>
      </c>
      <c r="W607" s="559"/>
      <c r="X607" s="559"/>
    </row>
    <row r="608" spans="1:24" x14ac:dyDescent="0.25">
      <c r="A608" s="553">
        <f t="shared" si="46"/>
        <v>337717.8991124623</v>
      </c>
      <c r="B608" s="3">
        <f t="shared" si="48"/>
        <v>6.0999999999999908</v>
      </c>
      <c r="C608" s="553">
        <f>'Foglio deposito bis'!$E$155/sezione!$B$247*B608</f>
        <v>24.763358195846749</v>
      </c>
      <c r="D608" s="611">
        <f>-'Progetto del paramento slu'!$G$47*'Progetto del paramento slu'!$G$41*IF(DATI!$G$218="dx",DATI!$E$61,DATI!$E$64*DATI!$E$63)*1000*C608^2*sezione!$AD$5*(1-sezione!$AD$6)</f>
        <v>-5048059.0728322538</v>
      </c>
      <c r="E608" s="553">
        <f>-'Foglio deposito bis'!$F$48*(C608-sezione!$AL$29)*IF(ABS(K608)&lt;'Progetto del paramento slu'!$G$58,ABS(K608)*'Progetto del paramento slu'!$G$54,'Progetto del paramento slu'!$G$53)</f>
        <v>0</v>
      </c>
      <c r="F608" s="553">
        <f>-'Foglio deposito bis'!$F$49*(C608-sezione!$AM$29)*IF(ABS(L608)&lt;'Progetto del paramento slu'!$G$58,ABS(L608)*'Progetto del paramento slu'!$G$54,'Progetto del paramento slu'!$G$53)</f>
        <v>25659294.38166419</v>
      </c>
      <c r="G608" s="553">
        <f>-'Foglio deposito bis'!$F$50*(C608-sezione!$AN$29)*IF(ABS(M608)&lt;'Progetto del paramento slu'!$G$58,ABS(M608)*'Progetto del paramento slu'!$G$54,'Progetto del paramento slu'!$G$53)</f>
        <v>0</v>
      </c>
      <c r="H608" s="553">
        <f>-'Foglio deposito bis'!$F$51*(C608-sezione!$AO$29)*IF(ABS(N608)&lt;'Progetto del paramento slu'!$G$58,ABS(N608)*'Progetto del paramento slu'!$G$54,'Progetto del paramento slu'!$G$53)</f>
        <v>75955164.704887301</v>
      </c>
      <c r="I608" s="479">
        <f>-'Foglio deposito bis'!$F$52*(C608-sezione!$AP$29)*IF(ABS(O608)&lt;'Progetto del paramento slu'!$G$58,ABS(O608)*'Progetto del paramento slu'!$G$54,'Progetto del paramento slu'!$G$53)</f>
        <v>56679925.644938067</v>
      </c>
      <c r="J608" s="479">
        <f t="shared" si="44"/>
        <v>153246325.65865731</v>
      </c>
      <c r="K608" s="558">
        <f>'Progetto del paramento slu'!$G$60*(sezione!$AL$29-C608)/C608</f>
        <v>2.1535143130740832E-3</v>
      </c>
      <c r="L608" s="558">
        <f>'Progetto del paramento slu'!$G$60*(sezione!$AM$29-C608)/C608</f>
        <v>1.770067867402781E-2</v>
      </c>
      <c r="M608" s="559">
        <f>'Progetto del paramento slu'!$G$60*(sezione!$AN$29-C608)/C608</f>
        <v>3.3247843034981538E-2</v>
      </c>
      <c r="N608" s="559">
        <f>'Progetto del paramento slu'!$G$60*(sezione!$AO$29-C608)/C608</f>
        <v>4.4554871661129709E-2</v>
      </c>
      <c r="O608" s="559">
        <f>'Progetto del paramento slu'!$G$60*(sezione!$AP$29-C608)/C608</f>
        <v>3.324812503118825E-2</v>
      </c>
      <c r="P608" s="553">
        <f>-'Progetto del paramento slu'!$G$47*'Progetto del paramento slu'!$G$41*IF(DATI!$G$218="dx",DATI!$E$61,DATI!$E$64*DATI!$E$63)*1000*C608*sezione!$AD$5</f>
        <v>-349061.57315925427</v>
      </c>
      <c r="Q608" s="553">
        <f>'Foglio deposito bis'!$F$48*IF(ABS(K608)&lt;'Progetto del paramento slu'!$G$58,ABS(K608)*'Progetto del paramento slu'!$G$54,'Progetto del paramento slu'!$G$53)*IF(K608&lt;0,-1,1)</f>
        <v>0</v>
      </c>
      <c r="R608" s="553">
        <f>'Foglio deposito bis'!$F$49*IF(ABS(L608)&lt;'Progetto del paramento slu'!$G$58,ABS(L608)*'Progetto del paramento slu'!$G$54,'Progetto del paramento slu'!$G$53)*IF(L608&lt;0,-1,1)</f>
        <v>204886.47740803001</v>
      </c>
      <c r="S608" s="553">
        <f>'Foglio deposito bis'!$F$50*IF(ABS(M608)&lt;'Progetto del paramento slu'!$G$58,ABS(M608)*'Progetto del paramento slu'!$G$54,'Progetto del paramento slu'!$G$53)*IF(M608&lt;0,-1,1)</f>
        <v>0</v>
      </c>
      <c r="T608" s="553">
        <f>'Foglio deposito bis'!$F$51*IF(ABS(N608)&lt;'Progetto del paramento slu'!$G$58,ABS(N608)*'Progetto del paramento slu'!$G$54,'Progetto del paramento slu'!$G$53)*IF(N608&lt;0,-1,1)</f>
        <v>240946.49743184328</v>
      </c>
      <c r="U608" s="553">
        <f>'Foglio deposito bis'!$F$52*IF(ABS(O608)&lt;'Progetto del paramento slu'!$G$58,ABS(O608)*'Progetto del paramento slu'!$G$54,'Progetto del paramento slu'!$G$53)*IF(O608&lt;0,-1,1)</f>
        <v>240946.49743184328</v>
      </c>
      <c r="V608" s="479">
        <f t="shared" si="45"/>
        <v>337717.8991124623</v>
      </c>
      <c r="W608" s="559"/>
      <c r="X608" s="559"/>
    </row>
    <row r="609" spans="1:24" x14ac:dyDescent="0.25">
      <c r="A609" s="553">
        <f t="shared" si="46"/>
        <v>326273.25736953592</v>
      </c>
      <c r="B609" s="3">
        <f t="shared" si="48"/>
        <v>6.2999999999999909</v>
      </c>
      <c r="C609" s="553">
        <f>'Foglio deposito bis'!$E$155/sezione!$B$247*B609</f>
        <v>25.575271579317139</v>
      </c>
      <c r="D609" s="611">
        <f>-'Progetto del paramento slu'!$G$47*'Progetto del paramento slu'!$G$41*IF(DATI!$G$218="dx",DATI!$E$61,DATI!$E$64*DATI!$E$63)*1000*C609^2*sezione!$AD$5*(1-sezione!$AD$6)</f>
        <v>-5384505.9016584847</v>
      </c>
      <c r="E609" s="553">
        <f>-'Foglio deposito bis'!$F$48*(C609-sezione!$AL$29)*IF(ABS(K609)&lt;'Progetto del paramento slu'!$G$58,ABS(K609)*'Progetto del paramento slu'!$G$54,'Progetto del paramento slu'!$G$53)</f>
        <v>0</v>
      </c>
      <c r="F609" s="553">
        <f>-'Foglio deposito bis'!$F$49*(C609-sezione!$AM$29)*IF(ABS(L609)&lt;'Progetto del paramento slu'!$G$58,ABS(L609)*'Progetto del paramento slu'!$G$54,'Progetto del paramento slu'!$G$53)</f>
        <v>25492944.30856451</v>
      </c>
      <c r="G609" s="553">
        <f>-'Foglio deposito bis'!$F$50*(C609-sezione!$AN$29)*IF(ABS(M609)&lt;'Progetto del paramento slu'!$G$58,ABS(M609)*'Progetto del paramento slu'!$G$54,'Progetto del paramento slu'!$G$53)</f>
        <v>0</v>
      </c>
      <c r="H609" s="553">
        <f>-'Foglio deposito bis'!$F$51*(C609-sezione!$AO$29)*IF(ABS(N609)&lt;'Progetto del paramento slu'!$G$58,ABS(N609)*'Progetto del paramento slu'!$G$54,'Progetto del paramento slu'!$G$53)</f>
        <v>75759537.018922076</v>
      </c>
      <c r="I609" s="479">
        <f>-'Foglio deposito bis'!$F$52*(C609-sezione!$AP$29)*IF(ABS(O609)&lt;'Progetto del paramento slu'!$G$58,ABS(O609)*'Progetto del paramento slu'!$G$54,'Progetto del paramento slu'!$G$53)</f>
        <v>56484297.958972849</v>
      </c>
      <c r="J609" s="479">
        <f t="shared" si="44"/>
        <v>152352273.38480094</v>
      </c>
      <c r="K609" s="558">
        <f>'Progetto del paramento slu'!$G$60*(sezione!$AL$29-C609)/C609</f>
        <v>1.9740376682145875E-3</v>
      </c>
      <c r="L609" s="558">
        <f>'Progetto del paramento slu'!$G$60*(sezione!$AM$29-C609)/C609</f>
        <v>1.7027641255804703E-2</v>
      </c>
      <c r="M609" s="559">
        <f>'Progetto del paramento slu'!$G$60*(sezione!$AN$29-C609)/C609</f>
        <v>3.2081244843394821E-2</v>
      </c>
      <c r="N609" s="559">
        <f>'Progetto del paramento slu'!$G$60*(sezione!$AO$29-C609)/C609</f>
        <v>4.3029320179823999E-2</v>
      </c>
      <c r="O609" s="559">
        <f>'Progetto del paramento slu'!$G$60*(sezione!$AP$29-C609)/C609</f>
        <v>3.2081517887341003E-2</v>
      </c>
      <c r="P609" s="553">
        <f>-'Progetto del paramento slu'!$G$47*'Progetto del paramento slu'!$G$41*IF(DATI!$G$218="dx",DATI!$E$61,DATI!$E$64*DATI!$E$63)*1000*C609*sezione!$AD$5</f>
        <v>-360506.21490218065</v>
      </c>
      <c r="Q609" s="553">
        <f>'Foglio deposito bis'!$F$48*IF(ABS(K609)&lt;'Progetto del paramento slu'!$G$58,ABS(K609)*'Progetto del paramento slu'!$G$54,'Progetto del paramento slu'!$G$53)*IF(K609&lt;0,-1,1)</f>
        <v>0</v>
      </c>
      <c r="R609" s="553">
        <f>'Foglio deposito bis'!$F$49*IF(ABS(L609)&lt;'Progetto del paramento slu'!$G$58,ABS(L609)*'Progetto del paramento slu'!$G$54,'Progetto del paramento slu'!$G$53)*IF(L609&lt;0,-1,1)</f>
        <v>204886.47740803001</v>
      </c>
      <c r="S609" s="553">
        <f>'Foglio deposito bis'!$F$50*IF(ABS(M609)&lt;'Progetto del paramento slu'!$G$58,ABS(M609)*'Progetto del paramento slu'!$G$54,'Progetto del paramento slu'!$G$53)*IF(M609&lt;0,-1,1)</f>
        <v>0</v>
      </c>
      <c r="T609" s="553">
        <f>'Foglio deposito bis'!$F$51*IF(ABS(N609)&lt;'Progetto del paramento slu'!$G$58,ABS(N609)*'Progetto del paramento slu'!$G$54,'Progetto del paramento slu'!$G$53)*IF(N609&lt;0,-1,1)</f>
        <v>240946.49743184328</v>
      </c>
      <c r="U609" s="553">
        <f>'Foglio deposito bis'!$F$52*IF(ABS(O609)&lt;'Progetto del paramento slu'!$G$58,ABS(O609)*'Progetto del paramento slu'!$G$54,'Progetto del paramento slu'!$G$53)*IF(O609&lt;0,-1,1)</f>
        <v>240946.49743184328</v>
      </c>
      <c r="V609" s="479">
        <f t="shared" si="45"/>
        <v>326273.25736953592</v>
      </c>
      <c r="W609" s="559"/>
      <c r="X609" s="559"/>
    </row>
    <row r="610" spans="1:24" x14ac:dyDescent="0.25">
      <c r="A610" s="553">
        <f t="shared" si="46"/>
        <v>314828.61562660953</v>
      </c>
      <c r="B610" s="3">
        <f t="shared" si="48"/>
        <v>6.4999999999999911</v>
      </c>
      <c r="C610" s="553">
        <f>'Foglio deposito bis'!$E$155/sezione!$B$247*B610</f>
        <v>26.387184962787526</v>
      </c>
      <c r="D610" s="611">
        <f>-'Progetto del paramento slu'!$G$47*'Progetto del paramento slu'!$G$41*IF(DATI!$G$218="dx",DATI!$E$61,DATI!$E$64*DATI!$E$63)*1000*C610^2*sezione!$AD$5*(1-sezione!$AD$6)</f>
        <v>-5731805.8539952375</v>
      </c>
      <c r="E610" s="553">
        <f>-'Foglio deposito bis'!$F$48*(C610-sezione!$AL$29)*IF(ABS(K610)&lt;'Progetto del paramento slu'!$G$58,ABS(K610)*'Progetto del paramento slu'!$G$54,'Progetto del paramento slu'!$G$53)</f>
        <v>0</v>
      </c>
      <c r="F610" s="553">
        <f>-'Foglio deposito bis'!$F$49*(C610-sezione!$AM$29)*IF(ABS(L610)&lt;'Progetto del paramento slu'!$G$58,ABS(L610)*'Progetto del paramento slu'!$G$54,'Progetto del paramento slu'!$G$53)</f>
        <v>25326594.235464823</v>
      </c>
      <c r="G610" s="553">
        <f>-'Foglio deposito bis'!$F$50*(C610-sezione!$AN$29)*IF(ABS(M610)&lt;'Progetto del paramento slu'!$G$58,ABS(M610)*'Progetto del paramento slu'!$G$54,'Progetto del paramento slu'!$G$53)</f>
        <v>0</v>
      </c>
      <c r="H610" s="553">
        <f>-'Foglio deposito bis'!$F$51*(C610-sezione!$AO$29)*IF(ABS(N610)&lt;'Progetto del paramento slu'!$G$58,ABS(N610)*'Progetto del paramento slu'!$G$54,'Progetto del paramento slu'!$G$53)</f>
        <v>75563909.332956865</v>
      </c>
      <c r="I610" s="479">
        <f>-'Foglio deposito bis'!$F$52*(C610-sezione!$AP$29)*IF(ABS(O610)&lt;'Progetto del paramento slu'!$G$58,ABS(O610)*'Progetto del paramento slu'!$G$54,'Progetto del paramento slu'!$G$53)</f>
        <v>56288670.273007609</v>
      </c>
      <c r="J610" s="479">
        <f t="shared" si="44"/>
        <v>151447367.98743406</v>
      </c>
      <c r="K610" s="558">
        <f>'Progetto del paramento slu'!$G$60*(sezione!$AL$29-C610)/C610</f>
        <v>1.8056057399618308E-3</v>
      </c>
      <c r="L610" s="558">
        <f>'Progetto del paramento slu'!$G$60*(sezione!$AM$29-C610)/C610</f>
        <v>1.6396021524856863E-2</v>
      </c>
      <c r="M610" s="559">
        <f>'Progetto del paramento slu'!$G$60*(sezione!$AN$29-C610)/C610</f>
        <v>3.09864373097519E-2</v>
      </c>
      <c r="N610" s="559">
        <f>'Progetto del paramento slu'!$G$60*(sezione!$AO$29-C610)/C610</f>
        <v>4.1597648789675569E-2</v>
      </c>
      <c r="O610" s="559">
        <f>'Progetto del paramento slu'!$G$60*(sezione!$AP$29-C610)/C610</f>
        <v>3.0986701952345892E-2</v>
      </c>
      <c r="P610" s="553">
        <f>-'Progetto del paramento slu'!$G$47*'Progetto del paramento slu'!$G$41*IF(DATI!$G$218="dx",DATI!$E$61,DATI!$E$64*DATI!$E$63)*1000*C610*sezione!$AD$5</f>
        <v>-371950.85664510704</v>
      </c>
      <c r="Q610" s="553">
        <f>'Foglio deposito bis'!$F$48*IF(ABS(K610)&lt;'Progetto del paramento slu'!$G$58,ABS(K610)*'Progetto del paramento slu'!$G$54,'Progetto del paramento slu'!$G$53)*IF(K610&lt;0,-1,1)</f>
        <v>0</v>
      </c>
      <c r="R610" s="553">
        <f>'Foglio deposito bis'!$F$49*IF(ABS(L610)&lt;'Progetto del paramento slu'!$G$58,ABS(L610)*'Progetto del paramento slu'!$G$54,'Progetto del paramento slu'!$G$53)*IF(L610&lt;0,-1,1)</f>
        <v>204886.47740803001</v>
      </c>
      <c r="S610" s="553">
        <f>'Foglio deposito bis'!$F$50*IF(ABS(M610)&lt;'Progetto del paramento slu'!$G$58,ABS(M610)*'Progetto del paramento slu'!$G$54,'Progetto del paramento slu'!$G$53)*IF(M610&lt;0,-1,1)</f>
        <v>0</v>
      </c>
      <c r="T610" s="553">
        <f>'Foglio deposito bis'!$F$51*IF(ABS(N610)&lt;'Progetto del paramento slu'!$G$58,ABS(N610)*'Progetto del paramento slu'!$G$54,'Progetto del paramento slu'!$G$53)*IF(N610&lt;0,-1,1)</f>
        <v>240946.49743184328</v>
      </c>
      <c r="U610" s="553">
        <f>'Foglio deposito bis'!$F$52*IF(ABS(O610)&lt;'Progetto del paramento slu'!$G$58,ABS(O610)*'Progetto del paramento slu'!$G$54,'Progetto del paramento slu'!$G$53)*IF(O610&lt;0,-1,1)</f>
        <v>240946.49743184328</v>
      </c>
      <c r="V610" s="479">
        <f t="shared" si="45"/>
        <v>314828.61562660953</v>
      </c>
      <c r="W610" s="559"/>
      <c r="X610" s="559"/>
    </row>
    <row r="611" spans="1:24" x14ac:dyDescent="0.25">
      <c r="A611" s="553">
        <f t="shared" si="46"/>
        <v>303383.97388368309</v>
      </c>
      <c r="B611" s="3">
        <f t="shared" si="48"/>
        <v>6.6999999999999913</v>
      </c>
      <c r="C611" s="553">
        <f>'Foglio deposito bis'!$E$155/sezione!$B$247*B611</f>
        <v>27.199098346257912</v>
      </c>
      <c r="D611" s="611">
        <f>-'Progetto del paramento slu'!$G$47*'Progetto del paramento slu'!$G$41*IF(DATI!$G$218="dx",DATI!$E$61,DATI!$E$64*DATI!$E$63)*1000*C611^2*sezione!$AD$5*(1-sezione!$AD$6)</f>
        <v>-6089958.9298425149</v>
      </c>
      <c r="E611" s="553">
        <f>-'Foglio deposito bis'!$F$48*(C611-sezione!$AL$29)*IF(ABS(K611)&lt;'Progetto del paramento slu'!$G$58,ABS(K611)*'Progetto del paramento slu'!$G$54,'Progetto del paramento slu'!$G$53)</f>
        <v>0</v>
      </c>
      <c r="F611" s="553">
        <f>-'Foglio deposito bis'!$F$49*(C611-sezione!$AM$29)*IF(ABS(L611)&lt;'Progetto del paramento slu'!$G$58,ABS(L611)*'Progetto del paramento slu'!$G$54,'Progetto del paramento slu'!$G$53)</f>
        <v>25160244.162365142</v>
      </c>
      <c r="G611" s="553">
        <f>-'Foglio deposito bis'!$F$50*(C611-sezione!$AN$29)*IF(ABS(M611)&lt;'Progetto del paramento slu'!$G$58,ABS(M611)*'Progetto del paramento slu'!$G$54,'Progetto del paramento slu'!$G$53)</f>
        <v>0</v>
      </c>
      <c r="H611" s="553">
        <f>-'Foglio deposito bis'!$F$51*(C611-sezione!$AO$29)*IF(ABS(N611)&lt;'Progetto del paramento slu'!$G$58,ABS(N611)*'Progetto del paramento slu'!$G$54,'Progetto del paramento slu'!$G$53)</f>
        <v>75368281.646991625</v>
      </c>
      <c r="I611" s="479">
        <f>-'Foglio deposito bis'!$F$52*(C611-sezione!$AP$29)*IF(ABS(O611)&lt;'Progetto del paramento slu'!$G$58,ABS(O611)*'Progetto del paramento slu'!$G$54,'Progetto del paramento slu'!$G$53)</f>
        <v>56093042.587042384</v>
      </c>
      <c r="J611" s="479">
        <f t="shared" si="44"/>
        <v>150531609.46655664</v>
      </c>
      <c r="K611" s="558">
        <f>'Progetto del paramento slu'!$G$60*(sezione!$AL$29-C611)/C611</f>
        <v>1.647229449216701E-3</v>
      </c>
      <c r="L611" s="558">
        <f>'Progetto del paramento slu'!$G$60*(sezione!$AM$29-C611)/C611</f>
        <v>1.580211043456263E-2</v>
      </c>
      <c r="M611" s="559">
        <f>'Progetto del paramento slu'!$G$60*(sezione!$AN$29-C611)/C611</f>
        <v>2.9956991419908555E-2</v>
      </c>
      <c r="N611" s="559">
        <f>'Progetto del paramento slu'!$G$60*(sezione!$AO$29-C611)/C611</f>
        <v>4.0251450318341958E-2</v>
      </c>
      <c r="O611" s="559">
        <f>'Progetto del paramento slu'!$G$60*(sezione!$AP$29-C611)/C611</f>
        <v>2.9957248162723622E-2</v>
      </c>
      <c r="P611" s="553">
        <f>-'Progetto del paramento slu'!$G$47*'Progetto del paramento slu'!$G$41*IF(DATI!$G$218="dx",DATI!$E$61,DATI!$E$64*DATI!$E$63)*1000*C611*sezione!$AD$5</f>
        <v>-383395.49838803348</v>
      </c>
      <c r="Q611" s="553">
        <f>'Foglio deposito bis'!$F$48*IF(ABS(K611)&lt;'Progetto del paramento slu'!$G$58,ABS(K611)*'Progetto del paramento slu'!$G$54,'Progetto del paramento slu'!$G$53)*IF(K611&lt;0,-1,1)</f>
        <v>0</v>
      </c>
      <c r="R611" s="553">
        <f>'Foglio deposito bis'!$F$49*IF(ABS(L611)&lt;'Progetto del paramento slu'!$G$58,ABS(L611)*'Progetto del paramento slu'!$G$54,'Progetto del paramento slu'!$G$53)*IF(L611&lt;0,-1,1)</f>
        <v>204886.47740803001</v>
      </c>
      <c r="S611" s="553">
        <f>'Foglio deposito bis'!$F$50*IF(ABS(M611)&lt;'Progetto del paramento slu'!$G$58,ABS(M611)*'Progetto del paramento slu'!$G$54,'Progetto del paramento slu'!$G$53)*IF(M611&lt;0,-1,1)</f>
        <v>0</v>
      </c>
      <c r="T611" s="553">
        <f>'Foglio deposito bis'!$F$51*IF(ABS(N611)&lt;'Progetto del paramento slu'!$G$58,ABS(N611)*'Progetto del paramento slu'!$G$54,'Progetto del paramento slu'!$G$53)*IF(N611&lt;0,-1,1)</f>
        <v>240946.49743184328</v>
      </c>
      <c r="U611" s="553">
        <f>'Foglio deposito bis'!$F$52*IF(ABS(O611)&lt;'Progetto del paramento slu'!$G$58,ABS(O611)*'Progetto del paramento slu'!$G$54,'Progetto del paramento slu'!$G$53)*IF(O611&lt;0,-1,1)</f>
        <v>240946.49743184328</v>
      </c>
      <c r="V611" s="479">
        <f t="shared" si="45"/>
        <v>303383.97388368309</v>
      </c>
      <c r="W611" s="559"/>
      <c r="X611" s="559"/>
    </row>
    <row r="612" spans="1:24" x14ac:dyDescent="0.25">
      <c r="A612" s="553">
        <f t="shared" si="46"/>
        <v>291939.33214075671</v>
      </c>
      <c r="B612" s="3">
        <f t="shared" si="48"/>
        <v>6.8999999999999915</v>
      </c>
      <c r="C612" s="553">
        <f>'Foglio deposito bis'!$E$155/sezione!$B$247*B612</f>
        <v>28.011011729728299</v>
      </c>
      <c r="D612" s="611">
        <f>-'Progetto del paramento slu'!$G$47*'Progetto del paramento slu'!$G$41*IF(DATI!$G$218="dx",DATI!$E$61,DATI!$E$64*DATI!$E$63)*1000*C612^2*sezione!$AD$5*(1-sezione!$AD$6)</f>
        <v>-6458965.129200316</v>
      </c>
      <c r="E612" s="553">
        <f>-'Foglio deposito bis'!$F$48*(C612-sezione!$AL$29)*IF(ABS(K612)&lt;'Progetto del paramento slu'!$G$58,ABS(K612)*'Progetto del paramento slu'!$G$54,'Progetto del paramento slu'!$G$53)</f>
        <v>0</v>
      </c>
      <c r="F612" s="553">
        <f>-'Foglio deposito bis'!$F$49*(C612-sezione!$AM$29)*IF(ABS(L612)&lt;'Progetto del paramento slu'!$G$58,ABS(L612)*'Progetto del paramento slu'!$G$54,'Progetto del paramento slu'!$G$53)</f>
        <v>24993894.089265462</v>
      </c>
      <c r="G612" s="553">
        <f>-'Foglio deposito bis'!$F$50*(C612-sezione!$AN$29)*IF(ABS(M612)&lt;'Progetto del paramento slu'!$G$58,ABS(M612)*'Progetto del paramento slu'!$G$54,'Progetto del paramento slu'!$G$53)</f>
        <v>0</v>
      </c>
      <c r="H612" s="553">
        <f>-'Foglio deposito bis'!$F$51*(C612-sezione!$AO$29)*IF(ABS(N612)&lt;'Progetto del paramento slu'!$G$58,ABS(N612)*'Progetto del paramento slu'!$G$54,'Progetto del paramento slu'!$G$53)</f>
        <v>75172653.9610264</v>
      </c>
      <c r="I612" s="479">
        <f>-'Foglio deposito bis'!$F$52*(C612-sezione!$AP$29)*IF(ABS(O612)&lt;'Progetto del paramento slu'!$G$58,ABS(O612)*'Progetto del paramento slu'!$G$54,'Progetto del paramento slu'!$G$53)</f>
        <v>55897414.901077159</v>
      </c>
      <c r="J612" s="479">
        <f t="shared" si="44"/>
        <v>149604997.82216871</v>
      </c>
      <c r="K612" s="558">
        <f>'Progetto del paramento slu'!$G$60*(sezione!$AL$29-C612)/C612</f>
        <v>1.4980343927176662E-3</v>
      </c>
      <c r="L612" s="558">
        <f>'Progetto del paramento slu'!$G$60*(sezione!$AM$29-C612)/C612</f>
        <v>1.524262897269125E-2</v>
      </c>
      <c r="M612" s="559">
        <f>'Progetto del paramento slu'!$G$60*(sezione!$AN$29-C612)/C612</f>
        <v>2.898722355266483E-2</v>
      </c>
      <c r="N612" s="559">
        <f>'Progetto del paramento slu'!$G$60*(sezione!$AO$29-C612)/C612</f>
        <v>3.8983292338100162E-2</v>
      </c>
      <c r="O612" s="559">
        <f>'Progetto del paramento slu'!$G$60*(sezione!$AP$29-C612)/C612</f>
        <v>2.8987472853659168E-2</v>
      </c>
      <c r="P612" s="553">
        <f>-'Progetto del paramento slu'!$G$47*'Progetto del paramento slu'!$G$41*IF(DATI!$G$218="dx",DATI!$E$61,DATI!$E$64*DATI!$E$63)*1000*C612*sezione!$AD$5</f>
        <v>-394840.14013095986</v>
      </c>
      <c r="Q612" s="553">
        <f>'Foglio deposito bis'!$F$48*IF(ABS(K612)&lt;'Progetto del paramento slu'!$G$58,ABS(K612)*'Progetto del paramento slu'!$G$54,'Progetto del paramento slu'!$G$53)*IF(K612&lt;0,-1,1)</f>
        <v>0</v>
      </c>
      <c r="R612" s="553">
        <f>'Foglio deposito bis'!$F$49*IF(ABS(L612)&lt;'Progetto del paramento slu'!$G$58,ABS(L612)*'Progetto del paramento slu'!$G$54,'Progetto del paramento slu'!$G$53)*IF(L612&lt;0,-1,1)</f>
        <v>204886.47740803001</v>
      </c>
      <c r="S612" s="553">
        <f>'Foglio deposito bis'!$F$50*IF(ABS(M612)&lt;'Progetto del paramento slu'!$G$58,ABS(M612)*'Progetto del paramento slu'!$G$54,'Progetto del paramento slu'!$G$53)*IF(M612&lt;0,-1,1)</f>
        <v>0</v>
      </c>
      <c r="T612" s="553">
        <f>'Foglio deposito bis'!$F$51*IF(ABS(N612)&lt;'Progetto del paramento slu'!$G$58,ABS(N612)*'Progetto del paramento slu'!$G$54,'Progetto del paramento slu'!$G$53)*IF(N612&lt;0,-1,1)</f>
        <v>240946.49743184328</v>
      </c>
      <c r="U612" s="553">
        <f>'Foglio deposito bis'!$F$52*IF(ABS(O612)&lt;'Progetto del paramento slu'!$G$58,ABS(O612)*'Progetto del paramento slu'!$G$54,'Progetto del paramento slu'!$G$53)*IF(O612&lt;0,-1,1)</f>
        <v>240946.49743184328</v>
      </c>
      <c r="V612" s="479">
        <f t="shared" si="45"/>
        <v>291939.33214075671</v>
      </c>
      <c r="W612" s="559"/>
      <c r="X612" s="559"/>
    </row>
    <row r="613" spans="1:24" x14ac:dyDescent="0.25">
      <c r="A613" s="553">
        <f t="shared" si="46"/>
        <v>280494.69039783039</v>
      </c>
      <c r="B613" s="3">
        <f t="shared" si="48"/>
        <v>7.0999999999999917</v>
      </c>
      <c r="C613" s="553">
        <f>'Foglio deposito bis'!$E$155/sezione!$B$247*B613</f>
        <v>28.822925113198686</v>
      </c>
      <c r="D613" s="611">
        <f>-'Progetto del paramento slu'!$G$47*'Progetto del paramento slu'!$G$41*IF(DATI!$G$218="dx",DATI!$E$61,DATI!$E$64*DATI!$E$63)*1000*C613^2*sezione!$AD$5*(1-sezione!$AD$6)</f>
        <v>-6838824.4520686399</v>
      </c>
      <c r="E613" s="553">
        <f>-'Foglio deposito bis'!$F$48*(C613-sezione!$AL$29)*IF(ABS(K613)&lt;'Progetto del paramento slu'!$G$58,ABS(K613)*'Progetto del paramento slu'!$G$54,'Progetto del paramento slu'!$G$53)</f>
        <v>0</v>
      </c>
      <c r="F613" s="553">
        <f>-'Foglio deposito bis'!$F$49*(C613-sezione!$AM$29)*IF(ABS(L613)&lt;'Progetto del paramento slu'!$G$58,ABS(L613)*'Progetto del paramento slu'!$G$54,'Progetto del paramento slu'!$G$53)</f>
        <v>24827544.016165778</v>
      </c>
      <c r="G613" s="553">
        <f>-'Foglio deposito bis'!$F$50*(C613-sezione!$AN$29)*IF(ABS(M613)&lt;'Progetto del paramento slu'!$G$58,ABS(M613)*'Progetto del paramento slu'!$G$54,'Progetto del paramento slu'!$G$53)</f>
        <v>0</v>
      </c>
      <c r="H613" s="553">
        <f>-'Foglio deposito bis'!$F$51*(C613-sezione!$AO$29)*IF(ABS(N613)&lt;'Progetto del paramento slu'!$G$58,ABS(N613)*'Progetto del paramento slu'!$G$54,'Progetto del paramento slu'!$G$53)</f>
        <v>74977026.27506119</v>
      </c>
      <c r="I613" s="479">
        <f>-'Foglio deposito bis'!$F$52*(C613-sezione!$AP$29)*IF(ABS(O613)&lt;'Progetto del paramento slu'!$G$58,ABS(O613)*'Progetto del paramento slu'!$G$54,'Progetto del paramento slu'!$G$53)</f>
        <v>55701787.215111934</v>
      </c>
      <c r="J613" s="479">
        <f t="shared" si="44"/>
        <v>148667533.05427027</v>
      </c>
      <c r="K613" s="558">
        <f>'Progetto del paramento slu'!$G$60*(sezione!$AL$29-C613)/C613</f>
        <v>1.3572446915143513E-3</v>
      </c>
      <c r="L613" s="558">
        <f>'Progetto del paramento slu'!$G$60*(sezione!$AM$29-C613)/C613</f>
        <v>1.4714667593178818E-2</v>
      </c>
      <c r="M613" s="559">
        <f>'Progetto del paramento slu'!$G$60*(sezione!$AN$29-C613)/C613</f>
        <v>2.8072090494843282E-2</v>
      </c>
      <c r="N613" s="559">
        <f>'Progetto del paramento slu'!$G$60*(sezione!$AO$29-C613)/C613</f>
        <v>3.7786579877871991E-2</v>
      </c>
      <c r="O613" s="559">
        <f>'Progetto del paramento slu'!$G$60*(sezione!$AP$29-C613)/C613</f>
        <v>2.8072332773274401E-2</v>
      </c>
      <c r="P613" s="553">
        <f>-'Progetto del paramento slu'!$G$47*'Progetto del paramento slu'!$G$41*IF(DATI!$G$218="dx",DATI!$E$61,DATI!$E$64*DATI!$E$63)*1000*C613*sezione!$AD$5</f>
        <v>-406284.78187388618</v>
      </c>
      <c r="Q613" s="553">
        <f>'Foglio deposito bis'!$F$48*IF(ABS(K613)&lt;'Progetto del paramento slu'!$G$58,ABS(K613)*'Progetto del paramento slu'!$G$54,'Progetto del paramento slu'!$G$53)*IF(K613&lt;0,-1,1)</f>
        <v>0</v>
      </c>
      <c r="R613" s="553">
        <f>'Foglio deposito bis'!$F$49*IF(ABS(L613)&lt;'Progetto del paramento slu'!$G$58,ABS(L613)*'Progetto del paramento slu'!$G$54,'Progetto del paramento slu'!$G$53)*IF(L613&lt;0,-1,1)</f>
        <v>204886.47740803001</v>
      </c>
      <c r="S613" s="553">
        <f>'Foglio deposito bis'!$F$50*IF(ABS(M613)&lt;'Progetto del paramento slu'!$G$58,ABS(M613)*'Progetto del paramento slu'!$G$54,'Progetto del paramento slu'!$G$53)*IF(M613&lt;0,-1,1)</f>
        <v>0</v>
      </c>
      <c r="T613" s="553">
        <f>'Foglio deposito bis'!$F$51*IF(ABS(N613)&lt;'Progetto del paramento slu'!$G$58,ABS(N613)*'Progetto del paramento slu'!$G$54,'Progetto del paramento slu'!$G$53)*IF(N613&lt;0,-1,1)</f>
        <v>240946.49743184328</v>
      </c>
      <c r="U613" s="553">
        <f>'Foglio deposito bis'!$F$52*IF(ABS(O613)&lt;'Progetto del paramento slu'!$G$58,ABS(O613)*'Progetto del paramento slu'!$G$54,'Progetto del paramento slu'!$G$53)*IF(O613&lt;0,-1,1)</f>
        <v>240946.49743184328</v>
      </c>
      <c r="V613" s="479">
        <f t="shared" si="45"/>
        <v>280494.69039783039</v>
      </c>
      <c r="W613" s="559"/>
      <c r="X613" s="559"/>
    </row>
    <row r="614" spans="1:24" x14ac:dyDescent="0.25">
      <c r="A614" s="553">
        <f t="shared" si="46"/>
        <v>269050.04865490395</v>
      </c>
      <c r="B614" s="3">
        <f t="shared" si="48"/>
        <v>7.2999999999999918</v>
      </c>
      <c r="C614" s="553">
        <f>'Foglio deposito bis'!$E$155/sezione!$B$247*B614</f>
        <v>29.634838496669072</v>
      </c>
      <c r="D614" s="611">
        <f>-'Progetto del paramento slu'!$G$47*'Progetto del paramento slu'!$G$41*IF(DATI!$G$218="dx",DATI!$E$61,DATI!$E$64*DATI!$E$63)*1000*C614^2*sezione!$AD$5*(1-sezione!$AD$6)</f>
        <v>-7229536.8984474875</v>
      </c>
      <c r="E614" s="553">
        <f>-'Foglio deposito bis'!$F$48*(C614-sezione!$AL$29)*IF(ABS(K614)&lt;'Progetto del paramento slu'!$G$58,ABS(K614)*'Progetto del paramento slu'!$G$54,'Progetto del paramento slu'!$G$53)</f>
        <v>0</v>
      </c>
      <c r="F614" s="553">
        <f>-'Foglio deposito bis'!$F$49*(C614-sezione!$AM$29)*IF(ABS(L614)&lt;'Progetto del paramento slu'!$G$58,ABS(L614)*'Progetto del paramento slu'!$G$54,'Progetto del paramento slu'!$G$53)</f>
        <v>24661193.943066094</v>
      </c>
      <c r="G614" s="553">
        <f>-'Foglio deposito bis'!$F$50*(C614-sezione!$AN$29)*IF(ABS(M614)&lt;'Progetto del paramento slu'!$G$58,ABS(M614)*'Progetto del paramento slu'!$G$54,'Progetto del paramento slu'!$G$53)</f>
        <v>0</v>
      </c>
      <c r="H614" s="553">
        <f>-'Foglio deposito bis'!$F$51*(C614-sezione!$AO$29)*IF(ABS(N614)&lt;'Progetto del paramento slu'!$G$58,ABS(N614)*'Progetto del paramento slu'!$G$54,'Progetto del paramento slu'!$G$53)</f>
        <v>74781398.58909595</v>
      </c>
      <c r="I614" s="479">
        <f>-'Foglio deposito bis'!$F$52*(C614-sezione!$AP$29)*IF(ABS(O614)&lt;'Progetto del paramento slu'!$G$58,ABS(O614)*'Progetto del paramento slu'!$G$54,'Progetto del paramento slu'!$G$53)</f>
        <v>55506159.529146709</v>
      </c>
      <c r="J614" s="479">
        <f t="shared" si="44"/>
        <v>147719215.16286126</v>
      </c>
      <c r="K614" s="558">
        <f>'Progetto del paramento slu'!$G$60*(sezione!$AL$29-C614)/C614</f>
        <v>1.2241694944865609E-3</v>
      </c>
      <c r="L614" s="558">
        <f>'Progetto del paramento slu'!$G$60*(sezione!$AM$29-C614)/C614</f>
        <v>1.4215635604324602E-2</v>
      </c>
      <c r="M614" s="559">
        <f>'Progetto del paramento slu'!$G$60*(sezione!$AN$29-C614)/C614</f>
        <v>2.7207101714162647E-2</v>
      </c>
      <c r="N614" s="559">
        <f>'Progetto del paramento slu'!$G$60*(sezione!$AO$29-C614)/C614</f>
        <v>3.6655440703135762E-2</v>
      </c>
      <c r="O614" s="559">
        <f>'Progetto del paramento slu'!$G$60*(sezione!$AP$29-C614)/C614</f>
        <v>2.7207337354828526E-2</v>
      </c>
      <c r="P614" s="553">
        <f>-'Progetto del paramento slu'!$G$47*'Progetto del paramento slu'!$G$41*IF(DATI!$G$218="dx",DATI!$E$61,DATI!$E$64*DATI!$E$63)*1000*C614*sezione!$AD$5</f>
        <v>-417729.42361681262</v>
      </c>
      <c r="Q614" s="553">
        <f>'Foglio deposito bis'!$F$48*IF(ABS(K614)&lt;'Progetto del paramento slu'!$G$58,ABS(K614)*'Progetto del paramento slu'!$G$54,'Progetto del paramento slu'!$G$53)*IF(K614&lt;0,-1,1)</f>
        <v>0</v>
      </c>
      <c r="R614" s="553">
        <f>'Foglio deposito bis'!$F$49*IF(ABS(L614)&lt;'Progetto del paramento slu'!$G$58,ABS(L614)*'Progetto del paramento slu'!$G$54,'Progetto del paramento slu'!$G$53)*IF(L614&lt;0,-1,1)</f>
        <v>204886.47740803001</v>
      </c>
      <c r="S614" s="553">
        <f>'Foglio deposito bis'!$F$50*IF(ABS(M614)&lt;'Progetto del paramento slu'!$G$58,ABS(M614)*'Progetto del paramento slu'!$G$54,'Progetto del paramento slu'!$G$53)*IF(M614&lt;0,-1,1)</f>
        <v>0</v>
      </c>
      <c r="T614" s="553">
        <f>'Foglio deposito bis'!$F$51*IF(ABS(N614)&lt;'Progetto del paramento slu'!$G$58,ABS(N614)*'Progetto del paramento slu'!$G$54,'Progetto del paramento slu'!$G$53)*IF(N614&lt;0,-1,1)</f>
        <v>240946.49743184328</v>
      </c>
      <c r="U614" s="553">
        <f>'Foglio deposito bis'!$F$52*IF(ABS(O614)&lt;'Progetto del paramento slu'!$G$58,ABS(O614)*'Progetto del paramento slu'!$G$54,'Progetto del paramento slu'!$G$53)*IF(O614&lt;0,-1,1)</f>
        <v>240946.49743184328</v>
      </c>
      <c r="V614" s="479">
        <f t="shared" si="45"/>
        <v>269050.04865490395</v>
      </c>
      <c r="W614" s="559"/>
      <c r="X614" s="559"/>
    </row>
    <row r="615" spans="1:24" x14ac:dyDescent="0.25">
      <c r="A615" s="553">
        <f t="shared" si="46"/>
        <v>257605.40691197757</v>
      </c>
      <c r="B615" s="3">
        <f t="shared" si="48"/>
        <v>7.499999999999992</v>
      </c>
      <c r="C615" s="553">
        <f>'Foglio deposito bis'!$E$155/sezione!$B$247*B615</f>
        <v>30.446751880139459</v>
      </c>
      <c r="D615" s="611">
        <f>-'Progetto del paramento slu'!$G$47*'Progetto del paramento slu'!$G$41*IF(DATI!$G$218="dx",DATI!$E$61,DATI!$E$64*DATI!$E$63)*1000*C615^2*sezione!$AD$5*(1-sezione!$AD$6)</f>
        <v>-7631102.4683368588</v>
      </c>
      <c r="E615" s="553">
        <f>-'Foglio deposito bis'!$F$48*(C615-sezione!$AL$29)*IF(ABS(K615)&lt;'Progetto del paramento slu'!$G$58,ABS(K615)*'Progetto del paramento slu'!$G$54,'Progetto del paramento slu'!$G$53)</f>
        <v>0</v>
      </c>
      <c r="F615" s="553">
        <f>-'Foglio deposito bis'!$F$49*(C615-sezione!$AM$29)*IF(ABS(L615)&lt;'Progetto del paramento slu'!$G$58,ABS(L615)*'Progetto del paramento slu'!$G$54,'Progetto del paramento slu'!$G$53)</f>
        <v>24494843.86996641</v>
      </c>
      <c r="G615" s="553">
        <f>-'Foglio deposito bis'!$F$50*(C615-sezione!$AN$29)*IF(ABS(M615)&lt;'Progetto del paramento slu'!$G$58,ABS(M615)*'Progetto del paramento slu'!$G$54,'Progetto del paramento slu'!$G$53)</f>
        <v>0</v>
      </c>
      <c r="H615" s="553">
        <f>-'Foglio deposito bis'!$F$51*(C615-sezione!$AO$29)*IF(ABS(N615)&lt;'Progetto del paramento slu'!$G$58,ABS(N615)*'Progetto del paramento slu'!$G$54,'Progetto del paramento slu'!$G$53)</f>
        <v>74585770.903130725</v>
      </c>
      <c r="I615" s="479">
        <f>-'Foglio deposito bis'!$F$52*(C615-sezione!$AP$29)*IF(ABS(O615)&lt;'Progetto del paramento slu'!$G$58,ABS(O615)*'Progetto del paramento slu'!$G$54,'Progetto del paramento slu'!$G$53)</f>
        <v>55310531.843181483</v>
      </c>
      <c r="J615" s="479">
        <f t="shared" si="44"/>
        <v>146760044.14794177</v>
      </c>
      <c r="K615" s="558">
        <f>'Progetto del paramento slu'!$G$60*(sezione!$AL$29-C615)/C615</f>
        <v>1.0981916413002521E-3</v>
      </c>
      <c r="L615" s="558">
        <f>'Progetto del paramento slu'!$G$60*(sezione!$AM$29-C615)/C615</f>
        <v>1.3743218654875947E-2</v>
      </c>
      <c r="M615" s="559">
        <f>'Progetto del paramento slu'!$G$60*(sezione!$AN$29-C615)/C615</f>
        <v>2.6388245668451642E-2</v>
      </c>
      <c r="N615" s="559">
        <f>'Progetto del paramento slu'!$G$60*(sezione!$AO$29-C615)/C615</f>
        <v>3.558462895105214E-2</v>
      </c>
      <c r="O615" s="559">
        <f>'Progetto del paramento slu'!$G$60*(sezione!$AP$29-C615)/C615</f>
        <v>2.6388475025366433E-2</v>
      </c>
      <c r="P615" s="553">
        <f>-'Progetto del paramento slu'!$G$47*'Progetto del paramento slu'!$G$41*IF(DATI!$G$218="dx",DATI!$E$61,DATI!$E$64*DATI!$E$63)*1000*C615*sezione!$AD$5</f>
        <v>-429174.065359739</v>
      </c>
      <c r="Q615" s="553">
        <f>'Foglio deposito bis'!$F$48*IF(ABS(K615)&lt;'Progetto del paramento slu'!$G$58,ABS(K615)*'Progetto del paramento slu'!$G$54,'Progetto del paramento slu'!$G$53)*IF(K615&lt;0,-1,1)</f>
        <v>0</v>
      </c>
      <c r="R615" s="553">
        <f>'Foglio deposito bis'!$F$49*IF(ABS(L615)&lt;'Progetto del paramento slu'!$G$58,ABS(L615)*'Progetto del paramento slu'!$G$54,'Progetto del paramento slu'!$G$53)*IF(L615&lt;0,-1,1)</f>
        <v>204886.47740803001</v>
      </c>
      <c r="S615" s="553">
        <f>'Foglio deposito bis'!$F$50*IF(ABS(M615)&lt;'Progetto del paramento slu'!$G$58,ABS(M615)*'Progetto del paramento slu'!$G$54,'Progetto del paramento slu'!$G$53)*IF(M615&lt;0,-1,1)</f>
        <v>0</v>
      </c>
      <c r="T615" s="553">
        <f>'Foglio deposito bis'!$F$51*IF(ABS(N615)&lt;'Progetto del paramento slu'!$G$58,ABS(N615)*'Progetto del paramento slu'!$G$54,'Progetto del paramento slu'!$G$53)*IF(N615&lt;0,-1,1)</f>
        <v>240946.49743184328</v>
      </c>
      <c r="U615" s="553">
        <f>'Foglio deposito bis'!$F$52*IF(ABS(O615)&lt;'Progetto del paramento slu'!$G$58,ABS(O615)*'Progetto del paramento slu'!$G$54,'Progetto del paramento slu'!$G$53)*IF(O615&lt;0,-1,1)</f>
        <v>240946.49743184328</v>
      </c>
      <c r="V615" s="479">
        <f t="shared" si="45"/>
        <v>257605.40691197757</v>
      </c>
      <c r="W615" s="559"/>
      <c r="X615" s="559"/>
    </row>
    <row r="616" spans="1:24" x14ac:dyDescent="0.25">
      <c r="A616" s="553">
        <f t="shared" si="46"/>
        <v>246160.76516905113</v>
      </c>
      <c r="B616" s="3">
        <f t="shared" si="48"/>
        <v>7.6999999999999922</v>
      </c>
      <c r="C616" s="553">
        <f>'Foglio deposito bis'!$E$155/sezione!$B$247*B616</f>
        <v>31.258665263609849</v>
      </c>
      <c r="D616" s="611">
        <f>-'Progetto del paramento slu'!$G$47*'Progetto del paramento slu'!$G$41*IF(DATI!$G$218="dx",DATI!$E$61,DATI!$E$64*DATI!$E$63)*1000*C616^2*sezione!$AD$5*(1-sezione!$AD$6)</f>
        <v>-8043521.1617367538</v>
      </c>
      <c r="E616" s="553">
        <f>-'Foglio deposito bis'!$F$48*(C616-sezione!$AL$29)*IF(ABS(K616)&lt;'Progetto del paramento slu'!$G$58,ABS(K616)*'Progetto del paramento slu'!$G$54,'Progetto del paramento slu'!$G$53)</f>
        <v>0</v>
      </c>
      <c r="F616" s="553">
        <f>-'Foglio deposito bis'!$F$49*(C616-sezione!$AM$29)*IF(ABS(L616)&lt;'Progetto del paramento slu'!$G$58,ABS(L616)*'Progetto del paramento slu'!$G$54,'Progetto del paramento slu'!$G$53)</f>
        <v>24328493.79686673</v>
      </c>
      <c r="G616" s="553">
        <f>-'Foglio deposito bis'!$F$50*(C616-sezione!$AN$29)*IF(ABS(M616)&lt;'Progetto del paramento slu'!$G$58,ABS(M616)*'Progetto del paramento slu'!$G$54,'Progetto del paramento slu'!$G$53)</f>
        <v>0</v>
      </c>
      <c r="H616" s="553">
        <f>-'Foglio deposito bis'!$F$51*(C616-sezione!$AO$29)*IF(ABS(N616)&lt;'Progetto del paramento slu'!$G$58,ABS(N616)*'Progetto del paramento slu'!$G$54,'Progetto del paramento slu'!$G$53)</f>
        <v>74390143.2171655</v>
      </c>
      <c r="I616" s="479">
        <f>-'Foglio deposito bis'!$F$52*(C616-sezione!$AP$29)*IF(ABS(O616)&lt;'Progetto del paramento slu'!$G$58,ABS(O616)*'Progetto del paramento slu'!$G$54,'Progetto del paramento slu'!$G$53)</f>
        <v>55114904.157216258</v>
      </c>
      <c r="J616" s="479">
        <f t="shared" si="44"/>
        <v>145790020.00951174</v>
      </c>
      <c r="K616" s="558">
        <f>'Progetto del paramento slu'!$G$60*(sezione!$AL$29-C616)/C616</f>
        <v>9.7875809217556962E-4</v>
      </c>
      <c r="L616" s="558">
        <f>'Progetto del paramento slu'!$G$60*(sezione!$AM$29-C616)/C616</f>
        <v>1.3295342845658385E-2</v>
      </c>
      <c r="M616" s="559">
        <f>'Progetto del paramento slu'!$G$60*(sezione!$AN$29-C616)/C616</f>
        <v>2.5611927599141202E-2</v>
      </c>
      <c r="N616" s="559">
        <f>'Progetto del paramento slu'!$G$60*(sezione!$AO$29-C616)/C616</f>
        <v>3.4569443783492346E-2</v>
      </c>
      <c r="O616" s="559">
        <f>'Progetto del paramento slu'!$G$60*(sezione!$AP$29-C616)/C616</f>
        <v>2.5612150998733534E-2</v>
      </c>
      <c r="P616" s="553">
        <f>-'Progetto del paramento slu'!$G$47*'Progetto del paramento slu'!$G$41*IF(DATI!$G$218="dx",DATI!$E$61,DATI!$E$64*DATI!$E$63)*1000*C616*sezione!$AD$5</f>
        <v>-440618.70710266544</v>
      </c>
      <c r="Q616" s="553">
        <f>'Foglio deposito bis'!$F$48*IF(ABS(K616)&lt;'Progetto del paramento slu'!$G$58,ABS(K616)*'Progetto del paramento slu'!$G$54,'Progetto del paramento slu'!$G$53)*IF(K616&lt;0,-1,1)</f>
        <v>0</v>
      </c>
      <c r="R616" s="553">
        <f>'Foglio deposito bis'!$F$49*IF(ABS(L616)&lt;'Progetto del paramento slu'!$G$58,ABS(L616)*'Progetto del paramento slu'!$G$54,'Progetto del paramento slu'!$G$53)*IF(L616&lt;0,-1,1)</f>
        <v>204886.47740803001</v>
      </c>
      <c r="S616" s="553">
        <f>'Foglio deposito bis'!$F$50*IF(ABS(M616)&lt;'Progetto del paramento slu'!$G$58,ABS(M616)*'Progetto del paramento slu'!$G$54,'Progetto del paramento slu'!$G$53)*IF(M616&lt;0,-1,1)</f>
        <v>0</v>
      </c>
      <c r="T616" s="553">
        <f>'Foglio deposito bis'!$F$51*IF(ABS(N616)&lt;'Progetto del paramento slu'!$G$58,ABS(N616)*'Progetto del paramento slu'!$G$54,'Progetto del paramento slu'!$G$53)*IF(N616&lt;0,-1,1)</f>
        <v>240946.49743184328</v>
      </c>
      <c r="U616" s="553">
        <f>'Foglio deposito bis'!$F$52*IF(ABS(O616)&lt;'Progetto del paramento slu'!$G$58,ABS(O616)*'Progetto del paramento slu'!$G$54,'Progetto del paramento slu'!$G$53)*IF(O616&lt;0,-1,1)</f>
        <v>240946.49743184328</v>
      </c>
      <c r="V616" s="479">
        <f t="shared" si="45"/>
        <v>246160.76516905113</v>
      </c>
      <c r="W616" s="559"/>
      <c r="X616" s="559"/>
    </row>
    <row r="617" spans="1:24" x14ac:dyDescent="0.25">
      <c r="A617" s="553">
        <f t="shared" si="46"/>
        <v>234716.1234261248</v>
      </c>
      <c r="B617" s="3">
        <f t="shared" si="48"/>
        <v>7.8999999999999924</v>
      </c>
      <c r="C617" s="553">
        <f>'Foglio deposito bis'!$E$155/sezione!$B$247*B617</f>
        <v>32.070578647080232</v>
      </c>
      <c r="D617" s="611">
        <f>-'Progetto del paramento slu'!$G$47*'Progetto del paramento slu'!$G$41*IF(DATI!$G$218="dx",DATI!$E$61,DATI!$E$64*DATI!$E$63)*1000*C617^2*sezione!$AD$5*(1-sezione!$AD$6)</f>
        <v>-8466792.9786471706</v>
      </c>
      <c r="E617" s="553">
        <f>-'Foglio deposito bis'!$F$48*(C617-sezione!$AL$29)*IF(ABS(K617)&lt;'Progetto del paramento slu'!$G$58,ABS(K617)*'Progetto del paramento slu'!$G$54,'Progetto del paramento slu'!$G$53)</f>
        <v>0</v>
      </c>
      <c r="F617" s="553">
        <f>-'Foglio deposito bis'!$F$49*(C617-sezione!$AM$29)*IF(ABS(L617)&lt;'Progetto del paramento slu'!$G$58,ABS(L617)*'Progetto del paramento slu'!$G$54,'Progetto del paramento slu'!$G$53)</f>
        <v>24162143.72376705</v>
      </c>
      <c r="G617" s="553">
        <f>-'Foglio deposito bis'!$F$50*(C617-sezione!$AN$29)*IF(ABS(M617)&lt;'Progetto del paramento slu'!$G$58,ABS(M617)*'Progetto del paramento slu'!$G$54,'Progetto del paramento slu'!$G$53)</f>
        <v>0</v>
      </c>
      <c r="H617" s="553">
        <f>-'Foglio deposito bis'!$F$51*(C617-sezione!$AO$29)*IF(ABS(N617)&lt;'Progetto del paramento slu'!$G$58,ABS(N617)*'Progetto del paramento slu'!$G$54,'Progetto del paramento slu'!$G$53)</f>
        <v>74194515.53120026</v>
      </c>
      <c r="I617" s="479">
        <f>-'Foglio deposito bis'!$F$52*(C617-sezione!$AP$29)*IF(ABS(O617)&lt;'Progetto del paramento slu'!$G$58,ABS(O617)*'Progetto del paramento slu'!$G$54,'Progetto del paramento slu'!$G$53)</f>
        <v>54919276.471251026</v>
      </c>
      <c r="J617" s="479">
        <f t="shared" si="44"/>
        <v>144809142.74757117</v>
      </c>
      <c r="K617" s="558">
        <f>'Progetto del paramento slu'!$G$60*(sezione!$AL$29-C617)/C617</f>
        <v>8.6537181136099866E-4</v>
      </c>
      <c r="L617" s="558">
        <f>'Progetto del paramento slu'!$G$60*(sezione!$AM$29-C617)/C617</f>
        <v>1.2870144292603745E-2</v>
      </c>
      <c r="M617" s="559">
        <f>'Progetto del paramento slu'!$G$60*(sezione!$AN$29-C617)/C617</f>
        <v>2.4874916773846494E-2</v>
      </c>
      <c r="N617" s="559">
        <f>'Progetto del paramento slu'!$G$60*(sezione!$AO$29-C617)/C617</f>
        <v>3.3605660396568482E-2</v>
      </c>
      <c r="O617" s="559">
        <f>'Progetto del paramento slu'!$G$60*(sezione!$AP$29-C617)/C617</f>
        <v>2.4875134517752941E-2</v>
      </c>
      <c r="P617" s="553">
        <f>-'Progetto del paramento slu'!$G$47*'Progetto del paramento slu'!$G$41*IF(DATI!$G$218="dx",DATI!$E$61,DATI!$E$64*DATI!$E$63)*1000*C617*sezione!$AD$5</f>
        <v>-452063.34884559177</v>
      </c>
      <c r="Q617" s="553">
        <f>'Foglio deposito bis'!$F$48*IF(ABS(K617)&lt;'Progetto del paramento slu'!$G$58,ABS(K617)*'Progetto del paramento slu'!$G$54,'Progetto del paramento slu'!$G$53)*IF(K617&lt;0,-1,1)</f>
        <v>0</v>
      </c>
      <c r="R617" s="553">
        <f>'Foglio deposito bis'!$F$49*IF(ABS(L617)&lt;'Progetto del paramento slu'!$G$58,ABS(L617)*'Progetto del paramento slu'!$G$54,'Progetto del paramento slu'!$G$53)*IF(L617&lt;0,-1,1)</f>
        <v>204886.47740803001</v>
      </c>
      <c r="S617" s="553">
        <f>'Foglio deposito bis'!$F$50*IF(ABS(M617)&lt;'Progetto del paramento slu'!$G$58,ABS(M617)*'Progetto del paramento slu'!$G$54,'Progetto del paramento slu'!$G$53)*IF(M617&lt;0,-1,1)</f>
        <v>0</v>
      </c>
      <c r="T617" s="553">
        <f>'Foglio deposito bis'!$F$51*IF(ABS(N617)&lt;'Progetto del paramento slu'!$G$58,ABS(N617)*'Progetto del paramento slu'!$G$54,'Progetto del paramento slu'!$G$53)*IF(N617&lt;0,-1,1)</f>
        <v>240946.49743184328</v>
      </c>
      <c r="U617" s="553">
        <f>'Foglio deposito bis'!$F$52*IF(ABS(O617)&lt;'Progetto del paramento slu'!$G$58,ABS(O617)*'Progetto del paramento slu'!$G$54,'Progetto del paramento slu'!$G$53)*IF(O617&lt;0,-1,1)</f>
        <v>240946.49743184328</v>
      </c>
      <c r="V617" s="479">
        <f t="shared" si="45"/>
        <v>234716.1234261248</v>
      </c>
      <c r="W617" s="559"/>
      <c r="X617" s="559"/>
    </row>
    <row r="618" spans="1:24" x14ac:dyDescent="0.25">
      <c r="A618" s="553">
        <f t="shared" si="46"/>
        <v>223271.48168319836</v>
      </c>
      <c r="B618" s="3">
        <f t="shared" si="48"/>
        <v>8.0999999999999925</v>
      </c>
      <c r="C618" s="553">
        <f>'Foglio deposito bis'!$E$155/sezione!$B$247*B618</f>
        <v>32.882492030550623</v>
      </c>
      <c r="D618" s="611">
        <f>-'Progetto del paramento slu'!$G$47*'Progetto del paramento slu'!$G$41*IF(DATI!$G$218="dx",DATI!$E$61,DATI!$E$64*DATI!$E$63)*1000*C618^2*sezione!$AD$5*(1-sezione!$AD$6)</f>
        <v>-8900917.9190681148</v>
      </c>
      <c r="E618" s="553">
        <f>-'Foglio deposito bis'!$F$48*(C618-sezione!$AL$29)*IF(ABS(K618)&lt;'Progetto del paramento slu'!$G$58,ABS(K618)*'Progetto del paramento slu'!$G$54,'Progetto del paramento slu'!$G$53)</f>
        <v>0</v>
      </c>
      <c r="F618" s="553">
        <f>-'Foglio deposito bis'!$F$49*(C618-sezione!$AM$29)*IF(ABS(L618)&lt;'Progetto del paramento slu'!$G$58,ABS(L618)*'Progetto del paramento slu'!$G$54,'Progetto del paramento slu'!$G$53)</f>
        <v>23995793.650667366</v>
      </c>
      <c r="G618" s="553">
        <f>-'Foglio deposito bis'!$F$50*(C618-sezione!$AN$29)*IF(ABS(M618)&lt;'Progetto del paramento slu'!$G$58,ABS(M618)*'Progetto del paramento slu'!$G$54,'Progetto del paramento slu'!$G$53)</f>
        <v>0</v>
      </c>
      <c r="H618" s="553">
        <f>-'Foglio deposito bis'!$F$51*(C618-sezione!$AO$29)*IF(ABS(N618)&lt;'Progetto del paramento slu'!$G$58,ABS(N618)*'Progetto del paramento slu'!$G$54,'Progetto del paramento slu'!$G$53)</f>
        <v>73998887.84523505</v>
      </c>
      <c r="I618" s="479">
        <f>-'Foglio deposito bis'!$F$52*(C618-sezione!$AP$29)*IF(ABS(O618)&lt;'Progetto del paramento slu'!$G$58,ABS(O618)*'Progetto del paramento slu'!$G$54,'Progetto del paramento slu'!$G$53)</f>
        <v>54723648.785285801</v>
      </c>
      <c r="J618" s="479">
        <f t="shared" si="44"/>
        <v>143817412.36212009</v>
      </c>
      <c r="K618" s="558">
        <f>'Progetto del paramento slu'!$G$60*(sezione!$AL$29-C618)/C618</f>
        <v>7.5758485305578828E-4</v>
      </c>
      <c r="L618" s="558">
        <f>'Progetto del paramento slu'!$G$60*(sezione!$AM$29-C618)/C618</f>
        <v>1.2465943198959207E-2</v>
      </c>
      <c r="M618" s="559">
        <f>'Progetto del paramento slu'!$G$60*(sezione!$AN$29-C618)/C618</f>
        <v>2.4174301544862623E-2</v>
      </c>
      <c r="N618" s="559">
        <f>'Progetto del paramento slu'!$G$60*(sezione!$AO$29-C618)/C618</f>
        <v>3.2689471250974204E-2</v>
      </c>
      <c r="O618" s="559">
        <f>'Progetto del paramento slu'!$G$60*(sezione!$AP$29-C618)/C618</f>
        <v>2.4174513912376318E-2</v>
      </c>
      <c r="P618" s="553">
        <f>-'Progetto del paramento slu'!$G$47*'Progetto del paramento slu'!$G$41*IF(DATI!$G$218="dx",DATI!$E$61,DATI!$E$64*DATI!$E$63)*1000*C618*sezione!$AD$5</f>
        <v>-463507.99058851821</v>
      </c>
      <c r="Q618" s="553">
        <f>'Foglio deposito bis'!$F$48*IF(ABS(K618)&lt;'Progetto del paramento slu'!$G$58,ABS(K618)*'Progetto del paramento slu'!$G$54,'Progetto del paramento slu'!$G$53)*IF(K618&lt;0,-1,1)</f>
        <v>0</v>
      </c>
      <c r="R618" s="553">
        <f>'Foglio deposito bis'!$F$49*IF(ABS(L618)&lt;'Progetto del paramento slu'!$G$58,ABS(L618)*'Progetto del paramento slu'!$G$54,'Progetto del paramento slu'!$G$53)*IF(L618&lt;0,-1,1)</f>
        <v>204886.47740803001</v>
      </c>
      <c r="S618" s="553">
        <f>'Foglio deposito bis'!$F$50*IF(ABS(M618)&lt;'Progetto del paramento slu'!$G$58,ABS(M618)*'Progetto del paramento slu'!$G$54,'Progetto del paramento slu'!$G$53)*IF(M618&lt;0,-1,1)</f>
        <v>0</v>
      </c>
      <c r="T618" s="553">
        <f>'Foglio deposito bis'!$F$51*IF(ABS(N618)&lt;'Progetto del paramento slu'!$G$58,ABS(N618)*'Progetto del paramento slu'!$G$54,'Progetto del paramento slu'!$G$53)*IF(N618&lt;0,-1,1)</f>
        <v>240946.49743184328</v>
      </c>
      <c r="U618" s="553">
        <f>'Foglio deposito bis'!$F$52*IF(ABS(O618)&lt;'Progetto del paramento slu'!$G$58,ABS(O618)*'Progetto del paramento slu'!$G$54,'Progetto del paramento slu'!$G$53)*IF(O618&lt;0,-1,1)</f>
        <v>240946.49743184328</v>
      </c>
      <c r="V618" s="479">
        <f t="shared" si="45"/>
        <v>223271.48168319836</v>
      </c>
      <c r="W618" s="559"/>
      <c r="X618" s="559"/>
    </row>
    <row r="619" spans="1:24" x14ac:dyDescent="0.25">
      <c r="A619" s="553">
        <f t="shared" si="46"/>
        <v>211826.83994027198</v>
      </c>
      <c r="B619" s="3">
        <f t="shared" si="48"/>
        <v>8.2999999999999918</v>
      </c>
      <c r="C619" s="553">
        <f>'Foglio deposito bis'!$E$155/sezione!$B$247*B619</f>
        <v>33.694405414021006</v>
      </c>
      <c r="D619" s="611">
        <f>-'Progetto del paramento slu'!$G$47*'Progetto del paramento slu'!$G$41*IF(DATI!$G$218="dx",DATI!$E$61,DATI!$E$64*DATI!$E$63)*1000*C619^2*sezione!$AD$5*(1-sezione!$AD$6)</f>
        <v>-9345895.9829995781</v>
      </c>
      <c r="E619" s="553">
        <f>-'Foglio deposito bis'!$F$48*(C619-sezione!$AL$29)*IF(ABS(K619)&lt;'Progetto del paramento slu'!$G$58,ABS(K619)*'Progetto del paramento slu'!$G$54,'Progetto del paramento slu'!$G$53)</f>
        <v>0</v>
      </c>
      <c r="F619" s="553">
        <f>-'Foglio deposito bis'!$F$49*(C619-sezione!$AM$29)*IF(ABS(L619)&lt;'Progetto del paramento slu'!$G$58,ABS(L619)*'Progetto del paramento slu'!$G$54,'Progetto del paramento slu'!$G$53)</f>
        <v>23829443.577567682</v>
      </c>
      <c r="G619" s="553">
        <f>-'Foglio deposito bis'!$F$50*(C619-sezione!$AN$29)*IF(ABS(M619)&lt;'Progetto del paramento slu'!$G$58,ABS(M619)*'Progetto del paramento slu'!$G$54,'Progetto del paramento slu'!$G$53)</f>
        <v>0</v>
      </c>
      <c r="H619" s="553">
        <f>-'Foglio deposito bis'!$F$51*(C619-sezione!$AO$29)*IF(ABS(N619)&lt;'Progetto del paramento slu'!$G$58,ABS(N619)*'Progetto del paramento slu'!$G$54,'Progetto del paramento slu'!$G$53)</f>
        <v>73803260.15926981</v>
      </c>
      <c r="I619" s="479">
        <f>-'Foglio deposito bis'!$F$52*(C619-sezione!$AP$29)*IF(ABS(O619)&lt;'Progetto del paramento slu'!$G$58,ABS(O619)*'Progetto del paramento slu'!$G$54,'Progetto del paramento slu'!$G$53)</f>
        <v>54528021.099320576</v>
      </c>
      <c r="J619" s="479">
        <f t="shared" si="44"/>
        <v>142814828.85315847</v>
      </c>
      <c r="K619" s="558">
        <f>'Progetto del paramento slu'!$G$60*(sezione!$AL$29-C619)/C619</f>
        <v>6.5499244695805875E-4</v>
      </c>
      <c r="L619" s="558">
        <f>'Progetto del paramento slu'!$G$60*(sezione!$AM$29-C619)/C619</f>
        <v>1.2081221676092721E-2</v>
      </c>
      <c r="M619" s="559">
        <f>'Progetto del paramento slu'!$G$60*(sezione!$AN$29-C619)/C619</f>
        <v>2.3507450905227382E-2</v>
      </c>
      <c r="N619" s="559">
        <f>'Progetto del paramento slu'!$G$60*(sezione!$AO$29-C619)/C619</f>
        <v>3.1817435799143506E-2</v>
      </c>
      <c r="O619" s="559">
        <f>'Progetto del paramento slu'!$G$60*(sezione!$AP$29-C619)/C619</f>
        <v>2.3507658155451593E-2</v>
      </c>
      <c r="P619" s="553">
        <f>-'Progetto del paramento slu'!$G$47*'Progetto del paramento slu'!$G$41*IF(DATI!$G$218="dx",DATI!$E$61,DATI!$E$64*DATI!$E$63)*1000*C619*sezione!$AD$5</f>
        <v>-474952.63233144459</v>
      </c>
      <c r="Q619" s="553">
        <f>'Foglio deposito bis'!$F$48*IF(ABS(K619)&lt;'Progetto del paramento slu'!$G$58,ABS(K619)*'Progetto del paramento slu'!$G$54,'Progetto del paramento slu'!$G$53)*IF(K619&lt;0,-1,1)</f>
        <v>0</v>
      </c>
      <c r="R619" s="553">
        <f>'Foglio deposito bis'!$F$49*IF(ABS(L619)&lt;'Progetto del paramento slu'!$G$58,ABS(L619)*'Progetto del paramento slu'!$G$54,'Progetto del paramento slu'!$G$53)*IF(L619&lt;0,-1,1)</f>
        <v>204886.47740803001</v>
      </c>
      <c r="S619" s="553">
        <f>'Foglio deposito bis'!$F$50*IF(ABS(M619)&lt;'Progetto del paramento slu'!$G$58,ABS(M619)*'Progetto del paramento slu'!$G$54,'Progetto del paramento slu'!$G$53)*IF(M619&lt;0,-1,1)</f>
        <v>0</v>
      </c>
      <c r="T619" s="553">
        <f>'Foglio deposito bis'!$F$51*IF(ABS(N619)&lt;'Progetto del paramento slu'!$G$58,ABS(N619)*'Progetto del paramento slu'!$G$54,'Progetto del paramento slu'!$G$53)*IF(N619&lt;0,-1,1)</f>
        <v>240946.49743184328</v>
      </c>
      <c r="U619" s="553">
        <f>'Foglio deposito bis'!$F$52*IF(ABS(O619)&lt;'Progetto del paramento slu'!$G$58,ABS(O619)*'Progetto del paramento slu'!$G$54,'Progetto del paramento slu'!$G$53)*IF(O619&lt;0,-1,1)</f>
        <v>240946.49743184328</v>
      </c>
      <c r="V619" s="479">
        <f t="shared" si="45"/>
        <v>211826.83994027198</v>
      </c>
      <c r="W619" s="559"/>
      <c r="X619" s="559"/>
    </row>
    <row r="620" spans="1:24" x14ac:dyDescent="0.25">
      <c r="A620" s="553">
        <f t="shared" si="46"/>
        <v>200382.19819734572</v>
      </c>
      <c r="B620" s="3">
        <f t="shared" si="48"/>
        <v>8.4999999999999911</v>
      </c>
      <c r="C620" s="553">
        <f>'Foglio deposito bis'!$E$155/sezione!$B$247*B620</f>
        <v>34.506318797491389</v>
      </c>
      <c r="D620" s="611">
        <f>-'Progetto del paramento slu'!$G$47*'Progetto del paramento slu'!$G$41*IF(DATI!$G$218="dx",DATI!$E$61,DATI!$E$64*DATI!$E$63)*1000*C620^2*sezione!$AD$5*(1-sezione!$AD$6)</f>
        <v>-9801727.1704415642</v>
      </c>
      <c r="E620" s="553">
        <f>-'Foglio deposito bis'!$F$48*(C620-sezione!$AL$29)*IF(ABS(K620)&lt;'Progetto del paramento slu'!$G$58,ABS(K620)*'Progetto del paramento slu'!$G$54,'Progetto del paramento slu'!$G$53)</f>
        <v>0</v>
      </c>
      <c r="F620" s="553">
        <f>-'Foglio deposito bis'!$F$49*(C620-sezione!$AM$29)*IF(ABS(L620)&lt;'Progetto del paramento slu'!$G$58,ABS(L620)*'Progetto del paramento slu'!$G$54,'Progetto del paramento slu'!$G$53)</f>
        <v>23663093.504468001</v>
      </c>
      <c r="G620" s="553">
        <f>-'Foglio deposito bis'!$F$50*(C620-sezione!$AN$29)*IF(ABS(M620)&lt;'Progetto del paramento slu'!$G$58,ABS(M620)*'Progetto del paramento slu'!$G$54,'Progetto del paramento slu'!$G$53)</f>
        <v>0</v>
      </c>
      <c r="H620" s="553">
        <f>-'Foglio deposito bis'!$F$51*(C620-sezione!$AO$29)*IF(ABS(N620)&lt;'Progetto del paramento slu'!$G$58,ABS(N620)*'Progetto del paramento slu'!$G$54,'Progetto del paramento slu'!$G$53)</f>
        <v>73607632.473304585</v>
      </c>
      <c r="I620" s="479">
        <f>-'Foglio deposito bis'!$F$52*(C620-sezione!$AP$29)*IF(ABS(O620)&lt;'Progetto del paramento slu'!$G$58,ABS(O620)*'Progetto del paramento slu'!$G$54,'Progetto del paramento slu'!$G$53)</f>
        <v>54332393.41335535</v>
      </c>
      <c r="J620" s="479">
        <f t="shared" si="44"/>
        <v>141801392.22068638</v>
      </c>
      <c r="K620" s="558">
        <f>'Progetto del paramento slu'!$G$60*(sezione!$AL$29-C620)/C620</f>
        <v>5.5722791879433996E-4</v>
      </c>
      <c r="L620" s="558">
        <f>'Progetto del paramento slu'!$G$60*(sezione!$AM$29-C620)/C620</f>
        <v>1.1714604695478775E-2</v>
      </c>
      <c r="M620" s="559">
        <f>'Progetto del paramento slu'!$G$60*(sezione!$AN$29-C620)/C620</f>
        <v>2.2871981472163211E-2</v>
      </c>
      <c r="N620" s="559">
        <f>'Progetto del paramento slu'!$G$60*(sezione!$AO$29-C620)/C620</f>
        <v>3.0986437309751889E-2</v>
      </c>
      <c r="O620" s="559">
        <f>'Progetto del paramento slu'!$G$60*(sezione!$AP$29-C620)/C620</f>
        <v>2.2872183845911553E-2</v>
      </c>
      <c r="P620" s="553">
        <f>-'Progetto del paramento slu'!$G$47*'Progetto del paramento slu'!$G$41*IF(DATI!$G$218="dx",DATI!$E$61,DATI!$E$64*DATI!$E$63)*1000*C620*sezione!$AD$5</f>
        <v>-486397.27407437086</v>
      </c>
      <c r="Q620" s="553">
        <f>'Foglio deposito bis'!$F$48*IF(ABS(K620)&lt;'Progetto del paramento slu'!$G$58,ABS(K620)*'Progetto del paramento slu'!$G$54,'Progetto del paramento slu'!$G$53)*IF(K620&lt;0,-1,1)</f>
        <v>0</v>
      </c>
      <c r="R620" s="553">
        <f>'Foglio deposito bis'!$F$49*IF(ABS(L620)&lt;'Progetto del paramento slu'!$G$58,ABS(L620)*'Progetto del paramento slu'!$G$54,'Progetto del paramento slu'!$G$53)*IF(L620&lt;0,-1,1)</f>
        <v>204886.47740803001</v>
      </c>
      <c r="S620" s="553">
        <f>'Foglio deposito bis'!$F$50*IF(ABS(M620)&lt;'Progetto del paramento slu'!$G$58,ABS(M620)*'Progetto del paramento slu'!$G$54,'Progetto del paramento slu'!$G$53)*IF(M620&lt;0,-1,1)</f>
        <v>0</v>
      </c>
      <c r="T620" s="553">
        <f>'Foglio deposito bis'!$F$51*IF(ABS(N620)&lt;'Progetto del paramento slu'!$G$58,ABS(N620)*'Progetto del paramento slu'!$G$54,'Progetto del paramento slu'!$G$53)*IF(N620&lt;0,-1,1)</f>
        <v>240946.49743184328</v>
      </c>
      <c r="U620" s="553">
        <f>'Foglio deposito bis'!$F$52*IF(ABS(O620)&lt;'Progetto del paramento slu'!$G$58,ABS(O620)*'Progetto del paramento slu'!$G$54,'Progetto del paramento slu'!$G$53)*IF(O620&lt;0,-1,1)</f>
        <v>240946.49743184328</v>
      </c>
      <c r="V620" s="479">
        <f t="shared" si="45"/>
        <v>200382.19819734572</v>
      </c>
      <c r="W620" s="559"/>
      <c r="X620" s="559"/>
    </row>
    <row r="621" spans="1:24" x14ac:dyDescent="0.25">
      <c r="A621" s="553">
        <f t="shared" si="46"/>
        <v>188937.55645441933</v>
      </c>
      <c r="B621" s="3">
        <f t="shared" si="48"/>
        <v>8.6999999999999904</v>
      </c>
      <c r="C621" s="553">
        <f>'Foglio deposito bis'!$E$155/sezione!$B$247*B621</f>
        <v>35.318232180961772</v>
      </c>
      <c r="D621" s="611">
        <f>-'Progetto del paramento slu'!$G$47*'Progetto del paramento slu'!$G$41*IF(DATI!$G$218="dx",DATI!$E$61,DATI!$E$64*DATI!$E$63)*1000*C621^2*sezione!$AD$5*(1-sezione!$AD$6)</f>
        <v>-10268411.481394077</v>
      </c>
      <c r="E621" s="553">
        <f>-'Foglio deposito bis'!$F$48*(C621-sezione!$AL$29)*IF(ABS(K621)&lt;'Progetto del paramento slu'!$G$58,ABS(K621)*'Progetto del paramento slu'!$G$54,'Progetto del paramento slu'!$G$53)</f>
        <v>0</v>
      </c>
      <c r="F621" s="553">
        <f>-'Foglio deposito bis'!$F$49*(C621-sezione!$AM$29)*IF(ABS(L621)&lt;'Progetto del paramento slu'!$G$58,ABS(L621)*'Progetto del paramento slu'!$G$54,'Progetto del paramento slu'!$G$53)</f>
        <v>23496743.431368317</v>
      </c>
      <c r="G621" s="553">
        <f>-'Foglio deposito bis'!$F$50*(C621-sezione!$AN$29)*IF(ABS(M621)&lt;'Progetto del paramento slu'!$G$58,ABS(M621)*'Progetto del paramento slu'!$G$54,'Progetto del paramento slu'!$G$53)</f>
        <v>0</v>
      </c>
      <c r="H621" s="553">
        <f>-'Foglio deposito bis'!$F$51*(C621-sezione!$AO$29)*IF(ABS(N621)&lt;'Progetto del paramento slu'!$G$58,ABS(N621)*'Progetto del paramento slu'!$G$54,'Progetto del paramento slu'!$G$53)</f>
        <v>73412004.78733936</v>
      </c>
      <c r="I621" s="479">
        <f>-'Foglio deposito bis'!$F$52*(C621-sezione!$AP$29)*IF(ABS(O621)&lt;'Progetto del paramento slu'!$G$58,ABS(O621)*'Progetto del paramento slu'!$G$54,'Progetto del paramento slu'!$G$53)</f>
        <v>54136765.727390125</v>
      </c>
      <c r="J621" s="479">
        <f t="shared" si="44"/>
        <v>140777102.46470374</v>
      </c>
      <c r="K621" s="558">
        <f>'Progetto del paramento slu'!$G$60*(sezione!$AL$29-C621)/C621</f>
        <v>4.6395831146573481E-4</v>
      </c>
      <c r="L621" s="558">
        <f>'Progetto del paramento slu'!$G$60*(sezione!$AM$29-C621)/C621</f>
        <v>1.1364843667996505E-2</v>
      </c>
      <c r="M621" s="559">
        <f>'Progetto del paramento slu'!$G$60*(sezione!$AN$29-C621)/C621</f>
        <v>2.2265729024527278E-2</v>
      </c>
      <c r="N621" s="559">
        <f>'Progetto del paramento slu'!$G$60*(sezione!$AO$29-C621)/C621</f>
        <v>3.0193645647458744E-2</v>
      </c>
      <c r="O621" s="559">
        <f>'Progetto del paramento slu'!$G$60*(sezione!$AP$29-C621)/C621</f>
        <v>2.2265926746005544E-2</v>
      </c>
      <c r="P621" s="553">
        <f>-'Progetto del paramento slu'!$G$47*'Progetto del paramento slu'!$G$41*IF(DATI!$G$218="dx",DATI!$E$61,DATI!$E$64*DATI!$E$63)*1000*C621*sezione!$AD$5</f>
        <v>-497841.91581729724</v>
      </c>
      <c r="Q621" s="553">
        <f>'Foglio deposito bis'!$F$48*IF(ABS(K621)&lt;'Progetto del paramento slu'!$G$58,ABS(K621)*'Progetto del paramento slu'!$G$54,'Progetto del paramento slu'!$G$53)*IF(K621&lt;0,-1,1)</f>
        <v>0</v>
      </c>
      <c r="R621" s="553">
        <f>'Foglio deposito bis'!$F$49*IF(ABS(L621)&lt;'Progetto del paramento slu'!$G$58,ABS(L621)*'Progetto del paramento slu'!$G$54,'Progetto del paramento slu'!$G$53)*IF(L621&lt;0,-1,1)</f>
        <v>204886.47740803001</v>
      </c>
      <c r="S621" s="553">
        <f>'Foglio deposito bis'!$F$50*IF(ABS(M621)&lt;'Progetto del paramento slu'!$G$58,ABS(M621)*'Progetto del paramento slu'!$G$54,'Progetto del paramento slu'!$G$53)*IF(M621&lt;0,-1,1)</f>
        <v>0</v>
      </c>
      <c r="T621" s="553">
        <f>'Foglio deposito bis'!$F$51*IF(ABS(N621)&lt;'Progetto del paramento slu'!$G$58,ABS(N621)*'Progetto del paramento slu'!$G$54,'Progetto del paramento slu'!$G$53)*IF(N621&lt;0,-1,1)</f>
        <v>240946.49743184328</v>
      </c>
      <c r="U621" s="553">
        <f>'Foglio deposito bis'!$F$52*IF(ABS(O621)&lt;'Progetto del paramento slu'!$G$58,ABS(O621)*'Progetto del paramento slu'!$G$54,'Progetto del paramento slu'!$G$53)*IF(O621&lt;0,-1,1)</f>
        <v>240946.49743184328</v>
      </c>
      <c r="V621" s="479">
        <f t="shared" si="45"/>
        <v>188937.55645441933</v>
      </c>
      <c r="W621" s="559"/>
      <c r="X621" s="559"/>
    </row>
    <row r="622" spans="1:24" x14ac:dyDescent="0.25">
      <c r="A622" s="553">
        <f t="shared" si="46"/>
        <v>177492.91471149307</v>
      </c>
      <c r="B622" s="3">
        <f t="shared" si="48"/>
        <v>8.8999999999999897</v>
      </c>
      <c r="C622" s="553">
        <f>'Foglio deposito bis'!$E$155/sezione!$B$247*B622</f>
        <v>36.130145564432155</v>
      </c>
      <c r="D622" s="611">
        <f>-'Progetto del paramento slu'!$G$47*'Progetto del paramento slu'!$G$41*IF(DATI!$G$218="dx",DATI!$E$61,DATI!$E$64*DATI!$E$63)*1000*C622^2*sezione!$AD$5*(1-sezione!$AD$6)</f>
        <v>-10745948.91585711</v>
      </c>
      <c r="E622" s="553">
        <f>-'Foglio deposito bis'!$F$48*(C622-sezione!$AL$29)*IF(ABS(K622)&lt;'Progetto del paramento slu'!$G$58,ABS(K622)*'Progetto del paramento slu'!$G$54,'Progetto del paramento slu'!$G$53)</f>
        <v>0</v>
      </c>
      <c r="F622" s="553">
        <f>-'Foglio deposito bis'!$F$49*(C622-sezione!$AM$29)*IF(ABS(L622)&lt;'Progetto del paramento slu'!$G$58,ABS(L622)*'Progetto del paramento slu'!$G$54,'Progetto del paramento slu'!$G$53)</f>
        <v>23330393.358268637</v>
      </c>
      <c r="G622" s="553">
        <f>-'Foglio deposito bis'!$F$50*(C622-sezione!$AN$29)*IF(ABS(M622)&lt;'Progetto del paramento slu'!$G$58,ABS(M622)*'Progetto del paramento slu'!$G$54,'Progetto del paramento slu'!$G$53)</f>
        <v>0</v>
      </c>
      <c r="H622" s="553">
        <f>-'Foglio deposito bis'!$F$51*(C622-sezione!$AO$29)*IF(ABS(N622)&lt;'Progetto del paramento slu'!$G$58,ABS(N622)*'Progetto del paramento slu'!$G$54,'Progetto del paramento slu'!$G$53)</f>
        <v>73216377.101374134</v>
      </c>
      <c r="I622" s="479">
        <f>-'Foglio deposito bis'!$F$52*(C622-sezione!$AP$29)*IF(ABS(O622)&lt;'Progetto del paramento slu'!$G$58,ABS(O622)*'Progetto del paramento slu'!$G$54,'Progetto del paramento slu'!$G$53)</f>
        <v>53941138.0414249</v>
      </c>
      <c r="J622" s="479">
        <f t="shared" si="44"/>
        <v>139741959.58521056</v>
      </c>
      <c r="K622" s="558">
        <f>'Progetto del paramento slu'!$G$60*(sezione!$AL$29-C622)/C622</f>
        <v>3.7488059660133649E-4</v>
      </c>
      <c r="L622" s="558">
        <f>'Progetto del paramento slu'!$G$60*(sezione!$AM$29-C622)/C622</f>
        <v>1.1030802237255012E-2</v>
      </c>
      <c r="M622" s="559">
        <f>'Progetto del paramento slu'!$G$60*(sezione!$AN$29-C622)/C622</f>
        <v>2.1686723877908688E-2</v>
      </c>
      <c r="N622" s="559">
        <f>'Progetto del paramento slu'!$G$60*(sezione!$AO$29-C622)/C622</f>
        <v>2.9436485071111362E-2</v>
      </c>
      <c r="O622" s="559">
        <f>'Progetto del paramento slu'!$G$60*(sezione!$AP$29-C622)/C622</f>
        <v>2.1686917156207672E-2</v>
      </c>
      <c r="P622" s="553">
        <f>-'Progetto del paramento slu'!$G$47*'Progetto del paramento slu'!$G$41*IF(DATI!$G$218="dx",DATI!$E$61,DATI!$E$64*DATI!$E$63)*1000*C622*sezione!$AD$5</f>
        <v>-509286.5575602235</v>
      </c>
      <c r="Q622" s="553">
        <f>'Foglio deposito bis'!$F$48*IF(ABS(K622)&lt;'Progetto del paramento slu'!$G$58,ABS(K622)*'Progetto del paramento slu'!$G$54,'Progetto del paramento slu'!$G$53)*IF(K622&lt;0,-1,1)</f>
        <v>0</v>
      </c>
      <c r="R622" s="553">
        <f>'Foglio deposito bis'!$F$49*IF(ABS(L622)&lt;'Progetto del paramento slu'!$G$58,ABS(L622)*'Progetto del paramento slu'!$G$54,'Progetto del paramento slu'!$G$53)*IF(L622&lt;0,-1,1)</f>
        <v>204886.47740803001</v>
      </c>
      <c r="S622" s="553">
        <f>'Foglio deposito bis'!$F$50*IF(ABS(M622)&lt;'Progetto del paramento slu'!$G$58,ABS(M622)*'Progetto del paramento slu'!$G$54,'Progetto del paramento slu'!$G$53)*IF(M622&lt;0,-1,1)</f>
        <v>0</v>
      </c>
      <c r="T622" s="553">
        <f>'Foglio deposito bis'!$F$51*IF(ABS(N622)&lt;'Progetto del paramento slu'!$G$58,ABS(N622)*'Progetto del paramento slu'!$G$54,'Progetto del paramento slu'!$G$53)*IF(N622&lt;0,-1,1)</f>
        <v>240946.49743184328</v>
      </c>
      <c r="U622" s="553">
        <f>'Foglio deposito bis'!$F$52*IF(ABS(O622)&lt;'Progetto del paramento slu'!$G$58,ABS(O622)*'Progetto del paramento slu'!$G$54,'Progetto del paramento slu'!$G$53)*IF(O622&lt;0,-1,1)</f>
        <v>240946.49743184328</v>
      </c>
      <c r="V622" s="479">
        <f t="shared" si="45"/>
        <v>177492.91471149307</v>
      </c>
      <c r="W622" s="559"/>
      <c r="X622" s="559"/>
    </row>
    <row r="623" spans="1:24" x14ac:dyDescent="0.25">
      <c r="A623" s="553">
        <f t="shared" si="46"/>
        <v>166048.27296856669</v>
      </c>
      <c r="B623" s="3">
        <f t="shared" si="48"/>
        <v>9.099999999999989</v>
      </c>
      <c r="C623" s="553">
        <f>'Foglio deposito bis'!$E$155/sezione!$B$247*B623</f>
        <v>36.942058947902538</v>
      </c>
      <c r="D623" s="611">
        <f>-'Progetto del paramento slu'!$G$47*'Progetto del paramento slu'!$G$41*IF(DATI!$G$218="dx",DATI!$E$61,DATI!$E$64*DATI!$E$63)*1000*C623^2*sezione!$AD$5*(1-sezione!$AD$6)</f>
        <v>-11234339.473830668</v>
      </c>
      <c r="E623" s="553">
        <f>-'Foglio deposito bis'!$F$48*(C623-sezione!$AL$29)*IF(ABS(K623)&lt;'Progetto del paramento slu'!$G$58,ABS(K623)*'Progetto del paramento slu'!$G$54,'Progetto del paramento slu'!$G$53)</f>
        <v>0</v>
      </c>
      <c r="F623" s="553">
        <f>-'Foglio deposito bis'!$F$49*(C623-sezione!$AM$29)*IF(ABS(L623)&lt;'Progetto del paramento slu'!$G$58,ABS(L623)*'Progetto del paramento slu'!$G$54,'Progetto del paramento slu'!$G$53)</f>
        <v>23164043.285168957</v>
      </c>
      <c r="G623" s="553">
        <f>-'Foglio deposito bis'!$F$50*(C623-sezione!$AN$29)*IF(ABS(M623)&lt;'Progetto del paramento slu'!$G$58,ABS(M623)*'Progetto del paramento slu'!$G$54,'Progetto del paramento slu'!$G$53)</f>
        <v>0</v>
      </c>
      <c r="H623" s="553">
        <f>-'Foglio deposito bis'!$F$51*(C623-sezione!$AO$29)*IF(ABS(N623)&lt;'Progetto del paramento slu'!$G$58,ABS(N623)*'Progetto del paramento slu'!$G$54,'Progetto del paramento slu'!$G$53)</f>
        <v>73020749.415408909</v>
      </c>
      <c r="I623" s="479">
        <f>-'Foglio deposito bis'!$F$52*(C623-sezione!$AP$29)*IF(ABS(O623)&lt;'Progetto del paramento slu'!$G$58,ABS(O623)*'Progetto del paramento slu'!$G$54,'Progetto del paramento slu'!$G$53)</f>
        <v>53745510.355459675</v>
      </c>
      <c r="J623" s="479">
        <f t="shared" si="44"/>
        <v>138695963.58220688</v>
      </c>
      <c r="K623" s="558">
        <f>'Progetto del paramento slu'!$G$60*(sezione!$AL$29-C623)/C623</f>
        <v>2.8971838568702166E-4</v>
      </c>
      <c r="L623" s="558">
        <f>'Progetto del paramento slu'!$G$60*(sezione!$AM$29-C623)/C623</f>
        <v>1.0711443946326331E-2</v>
      </c>
      <c r="M623" s="559">
        <f>'Progetto del paramento slu'!$G$60*(sezione!$AN$29-C623)/C623</f>
        <v>2.1133169506965643E-2</v>
      </c>
      <c r="N623" s="559">
        <f>'Progetto del paramento slu'!$G$60*(sezione!$AO$29-C623)/C623</f>
        <v>2.8712606278339686E-2</v>
      </c>
      <c r="O623" s="559">
        <f>'Progetto del paramento slu'!$G$60*(sezione!$AP$29-C623)/C623</f>
        <v>2.1133358537389922E-2</v>
      </c>
      <c r="P623" s="553">
        <f>-'Progetto del paramento slu'!$G$47*'Progetto del paramento slu'!$G$41*IF(DATI!$G$218="dx",DATI!$E$61,DATI!$E$64*DATI!$E$63)*1000*C623*sezione!$AD$5</f>
        <v>-520731.19930314989</v>
      </c>
      <c r="Q623" s="553">
        <f>'Foglio deposito bis'!$F$48*IF(ABS(K623)&lt;'Progetto del paramento slu'!$G$58,ABS(K623)*'Progetto del paramento slu'!$G$54,'Progetto del paramento slu'!$G$53)*IF(K623&lt;0,-1,1)</f>
        <v>0</v>
      </c>
      <c r="R623" s="553">
        <f>'Foglio deposito bis'!$F$49*IF(ABS(L623)&lt;'Progetto del paramento slu'!$G$58,ABS(L623)*'Progetto del paramento slu'!$G$54,'Progetto del paramento slu'!$G$53)*IF(L623&lt;0,-1,1)</f>
        <v>204886.47740803001</v>
      </c>
      <c r="S623" s="553">
        <f>'Foglio deposito bis'!$F$50*IF(ABS(M623)&lt;'Progetto del paramento slu'!$G$58,ABS(M623)*'Progetto del paramento slu'!$G$54,'Progetto del paramento slu'!$G$53)*IF(M623&lt;0,-1,1)</f>
        <v>0</v>
      </c>
      <c r="T623" s="553">
        <f>'Foglio deposito bis'!$F$51*IF(ABS(N623)&lt;'Progetto del paramento slu'!$G$58,ABS(N623)*'Progetto del paramento slu'!$G$54,'Progetto del paramento slu'!$G$53)*IF(N623&lt;0,-1,1)</f>
        <v>240946.49743184328</v>
      </c>
      <c r="U623" s="553">
        <f>'Foglio deposito bis'!$F$52*IF(ABS(O623)&lt;'Progetto del paramento slu'!$G$58,ABS(O623)*'Progetto del paramento slu'!$G$54,'Progetto del paramento slu'!$G$53)*IF(O623&lt;0,-1,1)</f>
        <v>240946.49743184328</v>
      </c>
      <c r="V623" s="479">
        <f t="shared" si="45"/>
        <v>166048.27296856669</v>
      </c>
      <c r="W623" s="559"/>
      <c r="X623" s="559"/>
    </row>
    <row r="624" spans="1:24" x14ac:dyDescent="0.25">
      <c r="A624" s="553">
        <f t="shared" si="46"/>
        <v>154603.6312256403</v>
      </c>
      <c r="B624" s="3">
        <f t="shared" si="48"/>
        <v>9.2999999999999883</v>
      </c>
      <c r="C624" s="553">
        <f>'Foglio deposito bis'!$E$155/sezione!$B$247*B624</f>
        <v>37.753972331372921</v>
      </c>
      <c r="D624" s="611">
        <f>-'Progetto del paramento slu'!$G$47*'Progetto del paramento slu'!$G$41*IF(DATI!$G$218="dx",DATI!$E$61,DATI!$E$64*DATI!$E$63)*1000*C624^2*sezione!$AD$5*(1-sezione!$AD$6)</f>
        <v>-11733583.155314749</v>
      </c>
      <c r="E624" s="553">
        <f>-'Foglio deposito bis'!$F$48*(C624-sezione!$AL$29)*IF(ABS(K624)&lt;'Progetto del paramento slu'!$G$58,ABS(K624)*'Progetto del paramento slu'!$G$54,'Progetto del paramento slu'!$G$53)</f>
        <v>0</v>
      </c>
      <c r="F624" s="553">
        <f>-'Foglio deposito bis'!$F$49*(C624-sezione!$AM$29)*IF(ABS(L624)&lt;'Progetto del paramento slu'!$G$58,ABS(L624)*'Progetto del paramento slu'!$G$54,'Progetto del paramento slu'!$G$53)</f>
        <v>22997693.212069273</v>
      </c>
      <c r="G624" s="553">
        <f>-'Foglio deposito bis'!$F$50*(C624-sezione!$AN$29)*IF(ABS(M624)&lt;'Progetto del paramento slu'!$G$58,ABS(M624)*'Progetto del paramento slu'!$G$54,'Progetto del paramento slu'!$G$53)</f>
        <v>0</v>
      </c>
      <c r="H624" s="553">
        <f>-'Foglio deposito bis'!$F$51*(C624-sezione!$AO$29)*IF(ABS(N624)&lt;'Progetto del paramento slu'!$G$58,ABS(N624)*'Progetto del paramento slu'!$G$54,'Progetto del paramento slu'!$G$53)</f>
        <v>72825121.729443684</v>
      </c>
      <c r="I624" s="479">
        <f>-'Foglio deposito bis'!$F$52*(C624-sezione!$AP$29)*IF(ABS(O624)&lt;'Progetto del paramento slu'!$G$58,ABS(O624)*'Progetto del paramento slu'!$G$54,'Progetto del paramento slu'!$G$53)</f>
        <v>53549882.669494443</v>
      </c>
      <c r="J624" s="479">
        <f t="shared" si="44"/>
        <v>137639114.45569265</v>
      </c>
      <c r="K624" s="558">
        <f>'Progetto del paramento slu'!$G$60*(sezione!$AL$29-C624)/C624</f>
        <v>2.0821906556472034E-4</v>
      </c>
      <c r="L624" s="558">
        <f>'Progetto del paramento slu'!$G$60*(sezione!$AM$29-C624)/C624</f>
        <v>1.04058214958677E-2</v>
      </c>
      <c r="M624" s="559">
        <f>'Progetto del paramento slu'!$G$60*(sezione!$AN$29-C624)/C624</f>
        <v>2.0603423926170681E-2</v>
      </c>
      <c r="N624" s="559">
        <f>'Progetto del paramento slu'!$G$60*(sezione!$AO$29-C624)/C624</f>
        <v>2.8019862057300126E-2</v>
      </c>
      <c r="O624" s="559">
        <f>'Progetto del paramento slu'!$G$60*(sezione!$AP$29-C624)/C624</f>
        <v>2.0603608891424548E-2</v>
      </c>
      <c r="P624" s="553">
        <f>-'Progetto del paramento slu'!$G$47*'Progetto del paramento slu'!$G$41*IF(DATI!$G$218="dx",DATI!$E$61,DATI!$E$64*DATI!$E$63)*1000*C624*sezione!$AD$5</f>
        <v>-532175.84104607627</v>
      </c>
      <c r="Q624" s="553">
        <f>'Foglio deposito bis'!$F$48*IF(ABS(K624)&lt;'Progetto del paramento slu'!$G$58,ABS(K624)*'Progetto del paramento slu'!$G$54,'Progetto del paramento slu'!$G$53)*IF(K624&lt;0,-1,1)</f>
        <v>0</v>
      </c>
      <c r="R624" s="553">
        <f>'Foglio deposito bis'!$F$49*IF(ABS(L624)&lt;'Progetto del paramento slu'!$G$58,ABS(L624)*'Progetto del paramento slu'!$G$54,'Progetto del paramento slu'!$G$53)*IF(L624&lt;0,-1,1)</f>
        <v>204886.47740803001</v>
      </c>
      <c r="S624" s="553">
        <f>'Foglio deposito bis'!$F$50*IF(ABS(M624)&lt;'Progetto del paramento slu'!$G$58,ABS(M624)*'Progetto del paramento slu'!$G$54,'Progetto del paramento slu'!$G$53)*IF(M624&lt;0,-1,1)</f>
        <v>0</v>
      </c>
      <c r="T624" s="553">
        <f>'Foglio deposito bis'!$F$51*IF(ABS(N624)&lt;'Progetto del paramento slu'!$G$58,ABS(N624)*'Progetto del paramento slu'!$G$54,'Progetto del paramento slu'!$G$53)*IF(N624&lt;0,-1,1)</f>
        <v>240946.49743184328</v>
      </c>
      <c r="U624" s="553">
        <f>'Foglio deposito bis'!$F$52*IF(ABS(O624)&lt;'Progetto del paramento slu'!$G$58,ABS(O624)*'Progetto del paramento slu'!$G$54,'Progetto del paramento slu'!$G$53)*IF(O624&lt;0,-1,1)</f>
        <v>240946.49743184328</v>
      </c>
      <c r="V624" s="479">
        <f t="shared" si="45"/>
        <v>154603.6312256403</v>
      </c>
      <c r="W624" s="559"/>
      <c r="X624" s="559"/>
    </row>
    <row r="625" spans="1:24" x14ac:dyDescent="0.25">
      <c r="A625" s="553">
        <f t="shared" si="46"/>
        <v>143158.98948271398</v>
      </c>
      <c r="B625" s="3">
        <f t="shared" si="48"/>
        <v>9.4999999999999876</v>
      </c>
      <c r="C625" s="553">
        <f>'Foglio deposito bis'!$E$155/sezione!$B$247*B625</f>
        <v>38.565885714843304</v>
      </c>
      <c r="D625" s="611">
        <f>-'Progetto del paramento slu'!$G$47*'Progetto del paramento slu'!$G$41*IF(DATI!$G$218="dx",DATI!$E$61,DATI!$E$64*DATI!$E$63)*1000*C625^2*sezione!$AD$5*(1-sezione!$AD$6)</f>
        <v>-12243679.960309353</v>
      </c>
      <c r="E625" s="553">
        <f>-'Foglio deposito bis'!$F$48*(C625-sezione!$AL$29)*IF(ABS(K625)&lt;'Progetto del paramento slu'!$G$58,ABS(K625)*'Progetto del paramento slu'!$G$54,'Progetto del paramento slu'!$G$53)</f>
        <v>0</v>
      </c>
      <c r="F625" s="553">
        <f>-'Foglio deposito bis'!$F$49*(C625-sezione!$AM$29)*IF(ABS(L625)&lt;'Progetto del paramento slu'!$G$58,ABS(L625)*'Progetto del paramento slu'!$G$54,'Progetto del paramento slu'!$G$53)</f>
        <v>22831343.138969593</v>
      </c>
      <c r="G625" s="553">
        <f>-'Foglio deposito bis'!$F$50*(C625-sezione!$AN$29)*IF(ABS(M625)&lt;'Progetto del paramento slu'!$G$58,ABS(M625)*'Progetto del paramento slu'!$G$54,'Progetto del paramento slu'!$G$53)</f>
        <v>0</v>
      </c>
      <c r="H625" s="553">
        <f>-'Foglio deposito bis'!$F$51*(C625-sezione!$AO$29)*IF(ABS(N625)&lt;'Progetto del paramento slu'!$G$58,ABS(N625)*'Progetto del paramento slu'!$G$54,'Progetto del paramento slu'!$G$53)</f>
        <v>72629494.043478459</v>
      </c>
      <c r="I625" s="479">
        <f>-'Foglio deposito bis'!$F$52*(C625-sezione!$AP$29)*IF(ABS(O625)&lt;'Progetto del paramento slu'!$G$58,ABS(O625)*'Progetto del paramento slu'!$G$54,'Progetto del paramento slu'!$G$53)</f>
        <v>53354254.983529218</v>
      </c>
      <c r="J625" s="479">
        <f t="shared" si="44"/>
        <v>136571412.20566791</v>
      </c>
      <c r="K625" s="558">
        <f>'Progetto del paramento slu'!$G$60*(sezione!$AL$29-C625)/C625</f>
        <v>1.3015129576335804E-4</v>
      </c>
      <c r="L625" s="558">
        <f>'Progetto del paramento slu'!$G$60*(sezione!$AM$29-C625)/C625</f>
        <v>1.0113067359112594E-2</v>
      </c>
      <c r="M625" s="559">
        <f>'Progetto del paramento slu'!$G$60*(sezione!$AN$29-C625)/C625</f>
        <v>2.0095983422461824E-2</v>
      </c>
      <c r="N625" s="559">
        <f>'Progetto del paramento slu'!$G$60*(sezione!$AO$29-C625)/C625</f>
        <v>2.7356286013988543E-2</v>
      </c>
      <c r="O625" s="559">
        <f>'Progetto del paramento slu'!$G$60*(sezione!$AP$29-C625)/C625</f>
        <v>2.0096164493710347E-2</v>
      </c>
      <c r="P625" s="553">
        <f>-'Progetto del paramento slu'!$G$47*'Progetto del paramento slu'!$G$41*IF(DATI!$G$218="dx",DATI!$E$61,DATI!$E$64*DATI!$E$63)*1000*C625*sezione!$AD$5</f>
        <v>-543620.48278900259</v>
      </c>
      <c r="Q625" s="553">
        <f>'Foglio deposito bis'!$F$48*IF(ABS(K625)&lt;'Progetto del paramento slu'!$G$58,ABS(K625)*'Progetto del paramento slu'!$G$54,'Progetto del paramento slu'!$G$53)*IF(K625&lt;0,-1,1)</f>
        <v>0</v>
      </c>
      <c r="R625" s="553">
        <f>'Foglio deposito bis'!$F$49*IF(ABS(L625)&lt;'Progetto del paramento slu'!$G$58,ABS(L625)*'Progetto del paramento slu'!$G$54,'Progetto del paramento slu'!$G$53)*IF(L625&lt;0,-1,1)</f>
        <v>204886.47740803001</v>
      </c>
      <c r="S625" s="553">
        <f>'Foglio deposito bis'!$F$50*IF(ABS(M625)&lt;'Progetto del paramento slu'!$G$58,ABS(M625)*'Progetto del paramento slu'!$G$54,'Progetto del paramento slu'!$G$53)*IF(M625&lt;0,-1,1)</f>
        <v>0</v>
      </c>
      <c r="T625" s="553">
        <f>'Foglio deposito bis'!$F$51*IF(ABS(N625)&lt;'Progetto del paramento slu'!$G$58,ABS(N625)*'Progetto del paramento slu'!$G$54,'Progetto del paramento slu'!$G$53)*IF(N625&lt;0,-1,1)</f>
        <v>240946.49743184328</v>
      </c>
      <c r="U625" s="553">
        <f>'Foglio deposito bis'!$F$52*IF(ABS(O625)&lt;'Progetto del paramento slu'!$G$58,ABS(O625)*'Progetto del paramento slu'!$G$54,'Progetto del paramento slu'!$G$53)*IF(O625&lt;0,-1,1)</f>
        <v>240946.49743184328</v>
      </c>
      <c r="V625" s="479">
        <f t="shared" si="45"/>
        <v>143158.98948271398</v>
      </c>
      <c r="W625" s="559"/>
      <c r="X625" s="559"/>
    </row>
    <row r="626" spans="1:24" x14ac:dyDescent="0.25">
      <c r="A626" s="553">
        <f t="shared" si="46"/>
        <v>131714.34773978754</v>
      </c>
      <c r="B626" s="3">
        <f t="shared" si="48"/>
        <v>9.6999999999999869</v>
      </c>
      <c r="C626" s="553">
        <f>'Foglio deposito bis'!$E$155/sezione!$B$247*B626</f>
        <v>39.377799098313695</v>
      </c>
      <c r="D626" s="611">
        <f>-'Progetto del paramento slu'!$G$47*'Progetto del paramento slu'!$G$41*IF(DATI!$G$218="dx",DATI!$E$61,DATI!$E$64*DATI!$E$63)*1000*C626^2*sezione!$AD$5*(1-sezione!$AD$6)</f>
        <v>-12764629.888814485</v>
      </c>
      <c r="E626" s="553">
        <f>-'Foglio deposito bis'!$F$48*(C626-sezione!$AL$29)*IF(ABS(K626)&lt;'Progetto del paramento slu'!$G$58,ABS(K626)*'Progetto del paramento slu'!$G$54,'Progetto del paramento slu'!$G$53)</f>
        <v>0</v>
      </c>
      <c r="F626" s="553">
        <f>-'Foglio deposito bis'!$F$49*(C626-sezione!$AM$29)*IF(ABS(L626)&lt;'Progetto del paramento slu'!$G$58,ABS(L626)*'Progetto del paramento slu'!$G$54,'Progetto del paramento slu'!$G$53)</f>
        <v>22664993.065869909</v>
      </c>
      <c r="G626" s="553">
        <f>-'Foglio deposito bis'!$F$50*(C626-sezione!$AN$29)*IF(ABS(M626)&lt;'Progetto del paramento slu'!$G$58,ABS(M626)*'Progetto del paramento slu'!$G$54,'Progetto del paramento slu'!$G$53)</f>
        <v>0</v>
      </c>
      <c r="H626" s="553">
        <f>-'Foglio deposito bis'!$F$51*(C626-sezione!$AO$29)*IF(ABS(N626)&lt;'Progetto del paramento slu'!$G$58,ABS(N626)*'Progetto del paramento slu'!$G$54,'Progetto del paramento slu'!$G$53)</f>
        <v>72433866.357513234</v>
      </c>
      <c r="I626" s="479">
        <f>-'Foglio deposito bis'!$F$52*(C626-sezione!$AP$29)*IF(ABS(O626)&lt;'Progetto del paramento slu'!$G$58,ABS(O626)*'Progetto del paramento slu'!$G$54,'Progetto del paramento slu'!$G$53)</f>
        <v>53158627.297563992</v>
      </c>
      <c r="J626" s="479">
        <f t="shared" si="44"/>
        <v>135492856.83213264</v>
      </c>
      <c r="K626" s="558">
        <f>'Progetto del paramento slu'!$G$60*(sezione!$AL$29-C626)/C626</f>
        <v>5.5302815438339885E-5</v>
      </c>
      <c r="L626" s="558">
        <f>'Progetto del paramento slu'!$G$60*(sezione!$AM$29-C626)/C626</f>
        <v>9.8323855578937754E-3</v>
      </c>
      <c r="M626" s="559">
        <f>'Progetto del paramento slu'!$G$60*(sezione!$AN$29-C626)/C626</f>
        <v>1.9609468300349209E-2</v>
      </c>
      <c r="N626" s="559">
        <f>'Progetto del paramento slu'!$G$60*(sezione!$AO$29-C626)/C626</f>
        <v>2.6720073931225889E-2</v>
      </c>
      <c r="O626" s="559">
        <f>'Progetto del paramento slu'!$G$60*(sezione!$AP$29-C626)/C626</f>
        <v>1.9609645638169925E-2</v>
      </c>
      <c r="P626" s="553">
        <f>-'Progetto del paramento slu'!$G$47*'Progetto del paramento slu'!$G$41*IF(DATI!$G$218="dx",DATI!$E$61,DATI!$E$64*DATI!$E$63)*1000*C626*sezione!$AD$5</f>
        <v>-555065.12453192903</v>
      </c>
      <c r="Q626" s="553">
        <f>'Foglio deposito bis'!$F$48*IF(ABS(K626)&lt;'Progetto del paramento slu'!$G$58,ABS(K626)*'Progetto del paramento slu'!$G$54,'Progetto del paramento slu'!$G$53)*IF(K626&lt;0,-1,1)</f>
        <v>0</v>
      </c>
      <c r="R626" s="553">
        <f>'Foglio deposito bis'!$F$49*IF(ABS(L626)&lt;'Progetto del paramento slu'!$G$58,ABS(L626)*'Progetto del paramento slu'!$G$54,'Progetto del paramento slu'!$G$53)*IF(L626&lt;0,-1,1)</f>
        <v>204886.47740803001</v>
      </c>
      <c r="S626" s="553">
        <f>'Foglio deposito bis'!$F$50*IF(ABS(M626)&lt;'Progetto del paramento slu'!$G$58,ABS(M626)*'Progetto del paramento slu'!$G$54,'Progetto del paramento slu'!$G$53)*IF(M626&lt;0,-1,1)</f>
        <v>0</v>
      </c>
      <c r="T626" s="553">
        <f>'Foglio deposito bis'!$F$51*IF(ABS(N626)&lt;'Progetto del paramento slu'!$G$58,ABS(N626)*'Progetto del paramento slu'!$G$54,'Progetto del paramento slu'!$G$53)*IF(N626&lt;0,-1,1)</f>
        <v>240946.49743184328</v>
      </c>
      <c r="U626" s="553">
        <f>'Foglio deposito bis'!$F$52*IF(ABS(O626)&lt;'Progetto del paramento slu'!$G$58,ABS(O626)*'Progetto del paramento slu'!$G$54,'Progetto del paramento slu'!$G$53)*IF(O626&lt;0,-1,1)</f>
        <v>240946.49743184328</v>
      </c>
      <c r="V626" s="479">
        <f t="shared" si="45"/>
        <v>131714.34773978754</v>
      </c>
      <c r="W626" s="559"/>
      <c r="X626" s="559"/>
    </row>
    <row r="627" spans="1:24" x14ac:dyDescent="0.25">
      <c r="A627" s="553">
        <f t="shared" si="46"/>
        <v>120269.70599686122</v>
      </c>
      <c r="B627" s="3">
        <f t="shared" si="48"/>
        <v>9.8999999999999861</v>
      </c>
      <c r="C627" s="553">
        <f>'Foglio deposito bis'!$E$155/sezione!$B$247*B627</f>
        <v>40.189712481784078</v>
      </c>
      <c r="D627" s="611">
        <f>-'Progetto del paramento slu'!$G$47*'Progetto del paramento slu'!$G$41*IF(DATI!$G$218="dx",DATI!$E$61,DATI!$E$64*DATI!$E$63)*1000*C627^2*sezione!$AD$5*(1-sezione!$AD$6)</f>
        <v>-13296432.940830138</v>
      </c>
      <c r="E627" s="553">
        <f>-'Foglio deposito bis'!$F$48*(C627-sezione!$AL$29)*IF(ABS(K627)&lt;'Progetto del paramento slu'!$G$58,ABS(K627)*'Progetto del paramento slu'!$G$54,'Progetto del paramento slu'!$G$53)</f>
        <v>0</v>
      </c>
      <c r="F627" s="553">
        <f>-'Foglio deposito bis'!$F$49*(C627-sezione!$AM$29)*IF(ABS(L627)&lt;'Progetto del paramento slu'!$G$58,ABS(L627)*'Progetto del paramento slu'!$G$54,'Progetto del paramento slu'!$G$53)</f>
        <v>22498642.992770225</v>
      </c>
      <c r="G627" s="553">
        <f>-'Foglio deposito bis'!$F$50*(C627-sezione!$AN$29)*IF(ABS(M627)&lt;'Progetto del paramento slu'!$G$58,ABS(M627)*'Progetto del paramento slu'!$G$54,'Progetto del paramento slu'!$G$53)</f>
        <v>0</v>
      </c>
      <c r="H627" s="553">
        <f>-'Foglio deposito bis'!$F$51*(C627-sezione!$AO$29)*IF(ABS(N627)&lt;'Progetto del paramento slu'!$G$58,ABS(N627)*'Progetto del paramento slu'!$G$54,'Progetto del paramento slu'!$G$53)</f>
        <v>72238238.671548009</v>
      </c>
      <c r="I627" s="479">
        <f>-'Foglio deposito bis'!$F$52*(C627-sezione!$AP$29)*IF(ABS(O627)&lt;'Progetto del paramento slu'!$G$58,ABS(O627)*'Progetto del paramento slu'!$G$54,'Progetto del paramento slu'!$G$53)</f>
        <v>52962999.611598767</v>
      </c>
      <c r="J627" s="479">
        <f t="shared" si="44"/>
        <v>134403448.33508685</v>
      </c>
      <c r="K627" s="558">
        <f>'Progetto del paramento slu'!$G$60*(sezione!$AL$29-C627)/C627</f>
        <v>-1.6521483863444551E-5</v>
      </c>
      <c r="L627" s="558">
        <f>'Progetto del paramento slu'!$G$60*(sezione!$AM$29-C627)/C627</f>
        <v>9.5630444355120827E-3</v>
      </c>
      <c r="M627" s="559">
        <f>'Progetto del paramento slu'!$G$60*(sezione!$AN$29-C627)/C627</f>
        <v>1.914261035488761E-2</v>
      </c>
      <c r="N627" s="559">
        <f>'Progetto del paramento slu'!$G$60*(sezione!$AO$29-C627)/C627</f>
        <v>2.6109567387160724E-2</v>
      </c>
      <c r="O627" s="559">
        <f>'Progetto del paramento slu'!$G$60*(sezione!$AP$29-C627)/C627</f>
        <v>1.9142784110126088E-2</v>
      </c>
      <c r="P627" s="553">
        <f>-'Progetto del paramento slu'!$G$47*'Progetto del paramento slu'!$G$41*IF(DATI!$G$218="dx",DATI!$E$61,DATI!$E$64*DATI!$E$63)*1000*C627*sezione!$AD$5</f>
        <v>-566509.76627485536</v>
      </c>
      <c r="Q627" s="553">
        <f>'Foglio deposito bis'!$F$48*IF(ABS(K627)&lt;'Progetto del paramento slu'!$G$58,ABS(K627)*'Progetto del paramento slu'!$G$54,'Progetto del paramento slu'!$G$53)*IF(K627&lt;0,-1,1)</f>
        <v>0</v>
      </c>
      <c r="R627" s="553">
        <f>'Foglio deposito bis'!$F$49*IF(ABS(L627)&lt;'Progetto del paramento slu'!$G$58,ABS(L627)*'Progetto del paramento slu'!$G$54,'Progetto del paramento slu'!$G$53)*IF(L627&lt;0,-1,1)</f>
        <v>204886.47740803001</v>
      </c>
      <c r="S627" s="553">
        <f>'Foglio deposito bis'!$F$50*IF(ABS(M627)&lt;'Progetto del paramento slu'!$G$58,ABS(M627)*'Progetto del paramento slu'!$G$54,'Progetto del paramento slu'!$G$53)*IF(M627&lt;0,-1,1)</f>
        <v>0</v>
      </c>
      <c r="T627" s="553">
        <f>'Foglio deposito bis'!$F$51*IF(ABS(N627)&lt;'Progetto del paramento slu'!$G$58,ABS(N627)*'Progetto del paramento slu'!$G$54,'Progetto del paramento slu'!$G$53)*IF(N627&lt;0,-1,1)</f>
        <v>240946.49743184328</v>
      </c>
      <c r="U627" s="553">
        <f>'Foglio deposito bis'!$F$52*IF(ABS(O627)&lt;'Progetto del paramento slu'!$G$58,ABS(O627)*'Progetto del paramento slu'!$G$54,'Progetto del paramento slu'!$G$53)*IF(O627&lt;0,-1,1)</f>
        <v>240946.49743184328</v>
      </c>
      <c r="V627" s="479">
        <f t="shared" si="45"/>
        <v>120269.70599686122</v>
      </c>
      <c r="W627" s="559"/>
      <c r="X627" s="559"/>
    </row>
    <row r="628" spans="1:24" x14ac:dyDescent="0.25">
      <c r="A628" s="553">
        <f t="shared" si="46"/>
        <v>108825.06425393489</v>
      </c>
      <c r="B628" s="3">
        <f t="shared" si="48"/>
        <v>10.099999999999985</v>
      </c>
      <c r="C628" s="553">
        <f>'Foglio deposito bis'!$E$155/sezione!$B$247*B628</f>
        <v>41.001625865254461</v>
      </c>
      <c r="D628" s="611">
        <f>-'Progetto del paramento slu'!$G$47*'Progetto del paramento slu'!$G$41*IF(DATI!$G$218="dx",DATI!$E$61,DATI!$E$64*DATI!$E$63)*1000*C628^2*sezione!$AD$5*(1-sezione!$AD$6)</f>
        <v>-13839089.116356313</v>
      </c>
      <c r="E628" s="553">
        <f>-'Foglio deposito bis'!$F$48*(C628-sezione!$AL$29)*IF(ABS(K628)&lt;'Progetto del paramento slu'!$G$58,ABS(K628)*'Progetto del paramento slu'!$G$54,'Progetto del paramento slu'!$G$53)</f>
        <v>0</v>
      </c>
      <c r="F628" s="553">
        <f>-'Foglio deposito bis'!$F$49*(C628-sezione!$AM$29)*IF(ABS(L628)&lt;'Progetto del paramento slu'!$G$58,ABS(L628)*'Progetto del paramento slu'!$G$54,'Progetto del paramento slu'!$G$53)</f>
        <v>22332292.919670548</v>
      </c>
      <c r="G628" s="553">
        <f>-'Foglio deposito bis'!$F$50*(C628-sezione!$AN$29)*IF(ABS(M628)&lt;'Progetto del paramento slu'!$G$58,ABS(M628)*'Progetto del paramento slu'!$G$54,'Progetto del paramento slu'!$G$53)</f>
        <v>0</v>
      </c>
      <c r="H628" s="553">
        <f>-'Foglio deposito bis'!$F$51*(C628-sezione!$AO$29)*IF(ABS(N628)&lt;'Progetto del paramento slu'!$G$58,ABS(N628)*'Progetto del paramento slu'!$G$54,'Progetto del paramento slu'!$G$53)</f>
        <v>72042610.985582769</v>
      </c>
      <c r="I628" s="479">
        <f>-'Foglio deposito bis'!$F$52*(C628-sezione!$AP$29)*IF(ABS(O628)&lt;'Progetto del paramento slu'!$G$58,ABS(O628)*'Progetto del paramento slu'!$G$54,'Progetto del paramento slu'!$G$53)</f>
        <v>52767371.925633542</v>
      </c>
      <c r="J628" s="479">
        <f t="shared" si="44"/>
        <v>133303186.71453056</v>
      </c>
      <c r="K628" s="558">
        <f>'Progetto del paramento slu'!$G$60*(sezione!$AL$29-C628)/C628</f>
        <v>-8.5501256460207841E-5</v>
      </c>
      <c r="L628" s="558">
        <f>'Progetto del paramento slu'!$G$60*(sezione!$AM$29-C628)/C628</f>
        <v>9.3043702882742215E-3</v>
      </c>
      <c r="M628" s="559">
        <f>'Progetto del paramento slu'!$G$60*(sezione!$AN$29-C628)/C628</f>
        <v>1.8694241833008652E-2</v>
      </c>
      <c r="N628" s="559">
        <f>'Progetto del paramento slu'!$G$60*(sezione!$AO$29-C628)/C628</f>
        <v>2.552323932008823E-2</v>
      </c>
      <c r="O628" s="559">
        <f>'Progetto del paramento slu'!$G$60*(sezione!$AP$29-C628)/C628</f>
        <v>1.8694412147549338E-2</v>
      </c>
      <c r="P628" s="553">
        <f>-'Progetto del paramento slu'!$G$47*'Progetto del paramento slu'!$G$41*IF(DATI!$G$218="dx",DATI!$E$61,DATI!$E$64*DATI!$E$63)*1000*C628*sezione!$AD$5</f>
        <v>-577954.40801778168</v>
      </c>
      <c r="Q628" s="553">
        <f>'Foglio deposito bis'!$F$48*IF(ABS(K628)&lt;'Progetto del paramento slu'!$G$58,ABS(K628)*'Progetto del paramento slu'!$G$54,'Progetto del paramento slu'!$G$53)*IF(K628&lt;0,-1,1)</f>
        <v>0</v>
      </c>
      <c r="R628" s="553">
        <f>'Foglio deposito bis'!$F$49*IF(ABS(L628)&lt;'Progetto del paramento slu'!$G$58,ABS(L628)*'Progetto del paramento slu'!$G$54,'Progetto del paramento slu'!$G$53)*IF(L628&lt;0,-1,1)</f>
        <v>204886.47740803001</v>
      </c>
      <c r="S628" s="553">
        <f>'Foglio deposito bis'!$F$50*IF(ABS(M628)&lt;'Progetto del paramento slu'!$G$58,ABS(M628)*'Progetto del paramento slu'!$G$54,'Progetto del paramento slu'!$G$53)*IF(M628&lt;0,-1,1)</f>
        <v>0</v>
      </c>
      <c r="T628" s="553">
        <f>'Foglio deposito bis'!$F$51*IF(ABS(N628)&lt;'Progetto del paramento slu'!$G$58,ABS(N628)*'Progetto del paramento slu'!$G$54,'Progetto del paramento slu'!$G$53)*IF(N628&lt;0,-1,1)</f>
        <v>240946.49743184328</v>
      </c>
      <c r="U628" s="553">
        <f>'Foglio deposito bis'!$F$52*IF(ABS(O628)&lt;'Progetto del paramento slu'!$G$58,ABS(O628)*'Progetto del paramento slu'!$G$54,'Progetto del paramento slu'!$G$53)*IF(O628&lt;0,-1,1)</f>
        <v>240946.49743184328</v>
      </c>
      <c r="V628" s="479">
        <f t="shared" si="45"/>
        <v>108825.06425393489</v>
      </c>
      <c r="W628" s="559"/>
      <c r="X628" s="559"/>
    </row>
    <row r="629" spans="1:24" x14ac:dyDescent="0.25">
      <c r="A629" s="553">
        <f t="shared" si="46"/>
        <v>97380.422511008568</v>
      </c>
      <c r="B629" s="3">
        <f t="shared" si="48"/>
        <v>10.299999999999985</v>
      </c>
      <c r="C629" s="553">
        <f>'Foglio deposito bis'!$E$155/sezione!$B$247*B629</f>
        <v>41.813539248724844</v>
      </c>
      <c r="D629" s="611">
        <f>-'Progetto del paramento slu'!$G$47*'Progetto del paramento slu'!$G$41*IF(DATI!$G$218="dx",DATI!$E$61,DATI!$E$64*DATI!$E$63)*1000*C629^2*sezione!$AD$5*(1-sezione!$AD$6)</f>
        <v>-14392598.41539301</v>
      </c>
      <c r="E629" s="553">
        <f>-'Foglio deposito bis'!$F$48*(C629-sezione!$AL$29)*IF(ABS(K629)&lt;'Progetto del paramento slu'!$G$58,ABS(K629)*'Progetto del paramento slu'!$G$54,'Progetto del paramento slu'!$G$53)</f>
        <v>0</v>
      </c>
      <c r="F629" s="553">
        <f>-'Foglio deposito bis'!$F$49*(C629-sezione!$AM$29)*IF(ABS(L629)&lt;'Progetto del paramento slu'!$G$58,ABS(L629)*'Progetto del paramento slu'!$G$54,'Progetto del paramento slu'!$G$53)</f>
        <v>22165942.846570861</v>
      </c>
      <c r="G629" s="553">
        <f>-'Foglio deposito bis'!$F$50*(C629-sezione!$AN$29)*IF(ABS(M629)&lt;'Progetto del paramento slu'!$G$58,ABS(M629)*'Progetto del paramento slu'!$G$54,'Progetto del paramento slu'!$G$53)</f>
        <v>0</v>
      </c>
      <c r="H629" s="553">
        <f>-'Foglio deposito bis'!$F$51*(C629-sezione!$AO$29)*IF(ABS(N629)&lt;'Progetto del paramento slu'!$G$58,ABS(N629)*'Progetto del paramento slu'!$G$54,'Progetto del paramento slu'!$G$53)</f>
        <v>71846983.299617559</v>
      </c>
      <c r="I629" s="479">
        <f>-'Foglio deposito bis'!$F$52*(C629-sezione!$AP$29)*IF(ABS(O629)&lt;'Progetto del paramento slu'!$G$58,ABS(O629)*'Progetto del paramento slu'!$G$54,'Progetto del paramento slu'!$G$53)</f>
        <v>52571744.239668317</v>
      </c>
      <c r="J629" s="479">
        <f t="shared" ref="J629:J692" si="49">D629+E629+F629+G629+H629+I629</f>
        <v>132192071.97046372</v>
      </c>
      <c r="K629" s="558">
        <f>'Progetto del paramento slu'!$G$60*(sezione!$AL$29-C629)/C629</f>
        <v>-1.5180220293670849E-4</v>
      </c>
      <c r="L629" s="558">
        <f>'Progetto del paramento slu'!$G$60*(sezione!$AM$29-C629)/C629</f>
        <v>9.0557417389873426E-3</v>
      </c>
      <c r="M629" s="559">
        <f>'Progetto del paramento slu'!$G$60*(sezione!$AN$29-C629)/C629</f>
        <v>1.8263285680911394E-2</v>
      </c>
      <c r="N629" s="559">
        <f>'Progetto del paramento slu'!$G$60*(sezione!$AO$29-C629)/C629</f>
        <v>2.4959681275037976E-2</v>
      </c>
      <c r="O629" s="559">
        <f>'Progetto del paramento slu'!$G$60*(sezione!$AP$29-C629)/C629</f>
        <v>1.8263452688373621E-2</v>
      </c>
      <c r="P629" s="553">
        <f>-'Progetto del paramento slu'!$G$47*'Progetto del paramento slu'!$G$41*IF(DATI!$G$218="dx",DATI!$E$61,DATI!$E$64*DATI!$E$63)*1000*C629*sezione!$AD$5</f>
        <v>-589399.049760708</v>
      </c>
      <c r="Q629" s="553">
        <f>'Foglio deposito bis'!$F$48*IF(ABS(K629)&lt;'Progetto del paramento slu'!$G$58,ABS(K629)*'Progetto del paramento slu'!$G$54,'Progetto del paramento slu'!$G$53)*IF(K629&lt;0,-1,1)</f>
        <v>0</v>
      </c>
      <c r="R629" s="553">
        <f>'Foglio deposito bis'!$F$49*IF(ABS(L629)&lt;'Progetto del paramento slu'!$G$58,ABS(L629)*'Progetto del paramento slu'!$G$54,'Progetto del paramento slu'!$G$53)*IF(L629&lt;0,-1,1)</f>
        <v>204886.47740803001</v>
      </c>
      <c r="S629" s="553">
        <f>'Foglio deposito bis'!$F$50*IF(ABS(M629)&lt;'Progetto del paramento slu'!$G$58,ABS(M629)*'Progetto del paramento slu'!$G$54,'Progetto del paramento slu'!$G$53)*IF(M629&lt;0,-1,1)</f>
        <v>0</v>
      </c>
      <c r="T629" s="553">
        <f>'Foglio deposito bis'!$F$51*IF(ABS(N629)&lt;'Progetto del paramento slu'!$G$58,ABS(N629)*'Progetto del paramento slu'!$G$54,'Progetto del paramento slu'!$G$53)*IF(N629&lt;0,-1,1)</f>
        <v>240946.49743184328</v>
      </c>
      <c r="U629" s="553">
        <f>'Foglio deposito bis'!$F$52*IF(ABS(O629)&lt;'Progetto del paramento slu'!$G$58,ABS(O629)*'Progetto del paramento slu'!$G$54,'Progetto del paramento slu'!$G$53)*IF(O629&lt;0,-1,1)</f>
        <v>240946.49743184328</v>
      </c>
      <c r="V629" s="479">
        <f t="shared" ref="V629:V692" si="50">P629+Q629+R629+S629+T629+U629</f>
        <v>97380.422511008568</v>
      </c>
      <c r="W629" s="559"/>
      <c r="X629" s="559"/>
    </row>
    <row r="630" spans="1:24" x14ac:dyDescent="0.25">
      <c r="A630" s="553">
        <f t="shared" ref="A630:A693" si="51">ABS(V630)</f>
        <v>85935.780768082128</v>
      </c>
      <c r="B630" s="3">
        <f t="shared" si="48"/>
        <v>10.499999999999984</v>
      </c>
      <c r="C630" s="553">
        <f>'Foglio deposito bis'!$E$155/sezione!$B$247*B630</f>
        <v>42.625452632195227</v>
      </c>
      <c r="D630" s="611">
        <f>-'Progetto del paramento slu'!$G$47*'Progetto del paramento slu'!$G$41*IF(DATI!$G$218="dx",DATI!$E$61,DATI!$E$64*DATI!$E$63)*1000*C630^2*sezione!$AD$5*(1-sezione!$AD$6)</f>
        <v>-14956960.837940233</v>
      </c>
      <c r="E630" s="553">
        <f>-'Foglio deposito bis'!$F$48*(C630-sezione!$AL$29)*IF(ABS(K630)&lt;'Progetto del paramento slu'!$G$58,ABS(K630)*'Progetto del paramento slu'!$G$54,'Progetto del paramento slu'!$G$53)</f>
        <v>0</v>
      </c>
      <c r="F630" s="553">
        <f>-'Foglio deposito bis'!$F$49*(C630-sezione!$AM$29)*IF(ABS(L630)&lt;'Progetto del paramento slu'!$G$58,ABS(L630)*'Progetto del paramento slu'!$G$54,'Progetto del paramento slu'!$G$53)</f>
        <v>21999592.773471184</v>
      </c>
      <c r="G630" s="553">
        <f>-'Foglio deposito bis'!$F$50*(C630-sezione!$AN$29)*IF(ABS(M630)&lt;'Progetto del paramento slu'!$G$58,ABS(M630)*'Progetto del paramento slu'!$G$54,'Progetto del paramento slu'!$G$53)</f>
        <v>0</v>
      </c>
      <c r="H630" s="553">
        <f>-'Foglio deposito bis'!$F$51*(C630-sezione!$AO$29)*IF(ABS(N630)&lt;'Progetto del paramento slu'!$G$58,ABS(N630)*'Progetto del paramento slu'!$G$54,'Progetto del paramento slu'!$G$53)</f>
        <v>71651355.613652334</v>
      </c>
      <c r="I630" s="479">
        <f>-'Foglio deposito bis'!$F$52*(C630-sezione!$AP$29)*IF(ABS(O630)&lt;'Progetto del paramento slu'!$G$58,ABS(O630)*'Progetto del paramento slu'!$G$54,'Progetto del paramento slu'!$G$53)</f>
        <v>52376116.553703092</v>
      </c>
      <c r="J630" s="479">
        <f t="shared" si="49"/>
        <v>131070104.10288638</v>
      </c>
      <c r="K630" s="558">
        <f>'Progetto del paramento slu'!$G$60*(sezione!$AL$29-C630)/C630</f>
        <v>-2.1557739907124718E-4</v>
      </c>
      <c r="L630" s="558">
        <f>'Progetto del paramento slu'!$G$60*(sezione!$AM$29-C630)/C630</f>
        <v>8.8165847534828236E-3</v>
      </c>
      <c r="M630" s="559">
        <f>'Progetto del paramento slu'!$G$60*(sezione!$AN$29-C630)/C630</f>
        <v>1.7848746906036893E-2</v>
      </c>
      <c r="N630" s="559">
        <f>'Progetto del paramento slu'!$G$60*(sezione!$AO$29-C630)/C630</f>
        <v>2.4417592107894397E-2</v>
      </c>
      <c r="O630" s="559">
        <f>'Progetto del paramento slu'!$G$60*(sezione!$AP$29-C630)/C630</f>
        <v>1.7848910732404605E-2</v>
      </c>
      <c r="P630" s="553">
        <f>-'Progetto del paramento slu'!$G$47*'Progetto del paramento slu'!$G$41*IF(DATI!$G$218="dx",DATI!$E$61,DATI!$E$64*DATI!$E$63)*1000*C630*sezione!$AD$5</f>
        <v>-600843.69150363444</v>
      </c>
      <c r="Q630" s="553">
        <f>'Foglio deposito bis'!$F$48*IF(ABS(K630)&lt;'Progetto del paramento slu'!$G$58,ABS(K630)*'Progetto del paramento slu'!$G$54,'Progetto del paramento slu'!$G$53)*IF(K630&lt;0,-1,1)</f>
        <v>0</v>
      </c>
      <c r="R630" s="553">
        <f>'Foglio deposito bis'!$F$49*IF(ABS(L630)&lt;'Progetto del paramento slu'!$G$58,ABS(L630)*'Progetto del paramento slu'!$G$54,'Progetto del paramento slu'!$G$53)*IF(L630&lt;0,-1,1)</f>
        <v>204886.47740803001</v>
      </c>
      <c r="S630" s="553">
        <f>'Foglio deposito bis'!$F$50*IF(ABS(M630)&lt;'Progetto del paramento slu'!$G$58,ABS(M630)*'Progetto del paramento slu'!$G$54,'Progetto del paramento slu'!$G$53)*IF(M630&lt;0,-1,1)</f>
        <v>0</v>
      </c>
      <c r="T630" s="553">
        <f>'Foglio deposito bis'!$F$51*IF(ABS(N630)&lt;'Progetto del paramento slu'!$G$58,ABS(N630)*'Progetto del paramento slu'!$G$54,'Progetto del paramento slu'!$G$53)*IF(N630&lt;0,-1,1)</f>
        <v>240946.49743184328</v>
      </c>
      <c r="U630" s="553">
        <f>'Foglio deposito bis'!$F$52*IF(ABS(O630)&lt;'Progetto del paramento slu'!$G$58,ABS(O630)*'Progetto del paramento slu'!$G$54,'Progetto del paramento slu'!$G$53)*IF(O630&lt;0,-1,1)</f>
        <v>240946.49743184328</v>
      </c>
      <c r="V630" s="479">
        <f t="shared" si="50"/>
        <v>85935.780768082128</v>
      </c>
      <c r="W630" s="559"/>
      <c r="X630" s="559"/>
    </row>
    <row r="631" spans="1:24" x14ac:dyDescent="0.25">
      <c r="A631" s="553">
        <f t="shared" si="51"/>
        <v>74491.139025155921</v>
      </c>
      <c r="B631" s="3">
        <f t="shared" si="48"/>
        <v>10.699999999999983</v>
      </c>
      <c r="C631" s="553">
        <f>'Foglio deposito bis'!$E$155/sezione!$B$247*B631</f>
        <v>43.43736601566561</v>
      </c>
      <c r="D631" s="611">
        <f>-'Progetto del paramento slu'!$G$47*'Progetto del paramento slu'!$G$41*IF(DATI!$G$218="dx",DATI!$E$61,DATI!$E$64*DATI!$E$63)*1000*C631^2*sezione!$AD$5*(1-sezione!$AD$6)</f>
        <v>-15532176.383997977</v>
      </c>
      <c r="E631" s="553">
        <f>-'Foglio deposito bis'!$F$48*(C631-sezione!$AL$29)*IF(ABS(K631)&lt;'Progetto del paramento slu'!$G$58,ABS(K631)*'Progetto del paramento slu'!$G$54,'Progetto del paramento slu'!$G$53)</f>
        <v>0</v>
      </c>
      <c r="F631" s="553">
        <f>-'Foglio deposito bis'!$F$49*(C631-sezione!$AM$29)*IF(ABS(L631)&lt;'Progetto del paramento slu'!$G$58,ABS(L631)*'Progetto del paramento slu'!$G$54,'Progetto del paramento slu'!$G$53)</f>
        <v>21833242.700371496</v>
      </c>
      <c r="G631" s="553">
        <f>-'Foglio deposito bis'!$F$50*(C631-sezione!$AN$29)*IF(ABS(M631)&lt;'Progetto del paramento slu'!$G$58,ABS(M631)*'Progetto del paramento slu'!$G$54,'Progetto del paramento slu'!$G$53)</f>
        <v>0</v>
      </c>
      <c r="H631" s="553">
        <f>-'Foglio deposito bis'!$F$51*(C631-sezione!$AO$29)*IF(ABS(N631)&lt;'Progetto del paramento slu'!$G$58,ABS(N631)*'Progetto del paramento slu'!$G$54,'Progetto del paramento slu'!$G$53)</f>
        <v>71455727.927687109</v>
      </c>
      <c r="I631" s="479">
        <f>-'Foglio deposito bis'!$F$52*(C631-sezione!$AP$29)*IF(ABS(O631)&lt;'Progetto del paramento slu'!$G$58,ABS(O631)*'Progetto del paramento slu'!$G$54,'Progetto del paramento slu'!$G$53)</f>
        <v>52180488.867737859</v>
      </c>
      <c r="J631" s="479">
        <f t="shared" si="49"/>
        <v>129937283.1117985</v>
      </c>
      <c r="K631" s="558">
        <f>'Progetto del paramento slu'!$G$60*(sezione!$AL$29-C631)/C631</f>
        <v>-2.769684757241209E-4</v>
      </c>
      <c r="L631" s="558">
        <f>'Progetto del paramento slu'!$G$60*(sezione!$AM$29-C631)/C631</f>
        <v>8.5863682160345449E-3</v>
      </c>
      <c r="M631" s="559">
        <f>'Progetto del paramento slu'!$G$60*(sezione!$AN$29-C631)/C631</f>
        <v>1.7449704907793212E-2</v>
      </c>
      <c r="N631" s="559">
        <f>'Progetto del paramento slu'!$G$60*(sezione!$AO$29-C631)/C631</f>
        <v>2.3895767956344974E-2</v>
      </c>
      <c r="O631" s="559">
        <f>'Progetto del paramento slu'!$G$60*(sezione!$AP$29-C631)/C631</f>
        <v>1.7449865671985827E-2</v>
      </c>
      <c r="P631" s="553">
        <f>-'Progetto del paramento slu'!$G$47*'Progetto del paramento slu'!$G$41*IF(DATI!$G$218="dx",DATI!$E$61,DATI!$E$64*DATI!$E$63)*1000*C631*sezione!$AD$5</f>
        <v>-612288.33324656065</v>
      </c>
      <c r="Q631" s="553">
        <f>'Foglio deposito bis'!$F$48*IF(ABS(K631)&lt;'Progetto del paramento slu'!$G$58,ABS(K631)*'Progetto del paramento slu'!$G$54,'Progetto del paramento slu'!$G$53)*IF(K631&lt;0,-1,1)</f>
        <v>0</v>
      </c>
      <c r="R631" s="553">
        <f>'Foglio deposito bis'!$F$49*IF(ABS(L631)&lt;'Progetto del paramento slu'!$G$58,ABS(L631)*'Progetto del paramento slu'!$G$54,'Progetto del paramento slu'!$G$53)*IF(L631&lt;0,-1,1)</f>
        <v>204886.47740803001</v>
      </c>
      <c r="S631" s="553">
        <f>'Foglio deposito bis'!$F$50*IF(ABS(M631)&lt;'Progetto del paramento slu'!$G$58,ABS(M631)*'Progetto del paramento slu'!$G$54,'Progetto del paramento slu'!$G$53)*IF(M631&lt;0,-1,1)</f>
        <v>0</v>
      </c>
      <c r="T631" s="553">
        <f>'Foglio deposito bis'!$F$51*IF(ABS(N631)&lt;'Progetto del paramento slu'!$G$58,ABS(N631)*'Progetto del paramento slu'!$G$54,'Progetto del paramento slu'!$G$53)*IF(N631&lt;0,-1,1)</f>
        <v>240946.49743184328</v>
      </c>
      <c r="U631" s="553">
        <f>'Foglio deposito bis'!$F$52*IF(ABS(O631)&lt;'Progetto del paramento slu'!$G$58,ABS(O631)*'Progetto del paramento slu'!$G$54,'Progetto del paramento slu'!$G$53)*IF(O631&lt;0,-1,1)</f>
        <v>240946.49743184328</v>
      </c>
      <c r="V631" s="479">
        <f t="shared" si="50"/>
        <v>74491.139025155921</v>
      </c>
      <c r="W631" s="559"/>
      <c r="X631" s="559"/>
    </row>
    <row r="632" spans="1:24" x14ac:dyDescent="0.25">
      <c r="A632" s="553">
        <f t="shared" si="51"/>
        <v>63046.49728222948</v>
      </c>
      <c r="B632" s="3">
        <f t="shared" si="48"/>
        <v>10.899999999999983</v>
      </c>
      <c r="C632" s="553">
        <f>'Foglio deposito bis'!$E$155/sezione!$B$247*B632</f>
        <v>44.249279399135993</v>
      </c>
      <c r="D632" s="611">
        <f>-'Progetto del paramento slu'!$G$47*'Progetto del paramento slu'!$G$41*IF(DATI!$G$218="dx",DATI!$E$61,DATI!$E$64*DATI!$E$63)*1000*C632^2*sezione!$AD$5*(1-sezione!$AD$6)</f>
        <v>-16118245.053566245</v>
      </c>
      <c r="E632" s="553">
        <f>-'Foglio deposito bis'!$F$48*(C632-sezione!$AL$29)*IF(ABS(K632)&lt;'Progetto del paramento slu'!$G$58,ABS(K632)*'Progetto del paramento slu'!$G$54,'Progetto del paramento slu'!$G$53)</f>
        <v>0</v>
      </c>
      <c r="F632" s="553">
        <f>-'Foglio deposito bis'!$F$49*(C632-sezione!$AM$29)*IF(ABS(L632)&lt;'Progetto del paramento slu'!$G$58,ABS(L632)*'Progetto del paramento slu'!$G$54,'Progetto del paramento slu'!$G$53)</f>
        <v>21666892.627271816</v>
      </c>
      <c r="G632" s="553">
        <f>-'Foglio deposito bis'!$F$50*(C632-sezione!$AN$29)*IF(ABS(M632)&lt;'Progetto del paramento slu'!$G$58,ABS(M632)*'Progetto del paramento slu'!$G$54,'Progetto del paramento slu'!$G$53)</f>
        <v>0</v>
      </c>
      <c r="H632" s="553">
        <f>-'Foglio deposito bis'!$F$51*(C632-sezione!$AO$29)*IF(ABS(N632)&lt;'Progetto del paramento slu'!$G$58,ABS(N632)*'Progetto del paramento slu'!$G$54,'Progetto del paramento slu'!$G$53)</f>
        <v>71260100.241721869</v>
      </c>
      <c r="I632" s="479">
        <f>-'Foglio deposito bis'!$F$52*(C632-sezione!$AP$29)*IF(ABS(O632)&lt;'Progetto del paramento slu'!$G$58,ABS(O632)*'Progetto del paramento slu'!$G$54,'Progetto del paramento slu'!$G$53)</f>
        <v>51984861.181772634</v>
      </c>
      <c r="J632" s="479">
        <f t="shared" si="49"/>
        <v>128793608.99720007</v>
      </c>
      <c r="K632" s="558">
        <f>'Progetto del paramento slu'!$G$60*(sezione!$AL$29-C632)/C632</f>
        <v>-3.3610666883010021E-4</v>
      </c>
      <c r="L632" s="558">
        <f>'Progetto del paramento slu'!$G$60*(sezione!$AM$29-C632)/C632</f>
        <v>8.3645999918871249E-3</v>
      </c>
      <c r="M632" s="559">
        <f>'Progetto del paramento slu'!$G$60*(sezione!$AN$29-C632)/C632</f>
        <v>1.7065306652604348E-2</v>
      </c>
      <c r="N632" s="559">
        <f>'Progetto del paramento slu'!$G$60*(sezione!$AO$29-C632)/C632</f>
        <v>2.3393093314944147E-2</v>
      </c>
      <c r="O632" s="559">
        <f>'Progetto del paramento slu'!$G$60*(sezione!$AP$29-C632)/C632</f>
        <v>1.7065464466995261E-2</v>
      </c>
      <c r="P632" s="553">
        <f>-'Progetto del paramento slu'!$G$47*'Progetto del paramento slu'!$G$41*IF(DATI!$G$218="dx",DATI!$E$61,DATI!$E$64*DATI!$E$63)*1000*C632*sezione!$AD$5</f>
        <v>-623732.97498948709</v>
      </c>
      <c r="Q632" s="553">
        <f>'Foglio deposito bis'!$F$48*IF(ABS(K632)&lt;'Progetto del paramento slu'!$G$58,ABS(K632)*'Progetto del paramento slu'!$G$54,'Progetto del paramento slu'!$G$53)*IF(K632&lt;0,-1,1)</f>
        <v>0</v>
      </c>
      <c r="R632" s="553">
        <f>'Foglio deposito bis'!$F$49*IF(ABS(L632)&lt;'Progetto del paramento slu'!$G$58,ABS(L632)*'Progetto del paramento slu'!$G$54,'Progetto del paramento slu'!$G$53)*IF(L632&lt;0,-1,1)</f>
        <v>204886.47740803001</v>
      </c>
      <c r="S632" s="553">
        <f>'Foglio deposito bis'!$F$50*IF(ABS(M632)&lt;'Progetto del paramento slu'!$G$58,ABS(M632)*'Progetto del paramento slu'!$G$54,'Progetto del paramento slu'!$G$53)*IF(M632&lt;0,-1,1)</f>
        <v>0</v>
      </c>
      <c r="T632" s="553">
        <f>'Foglio deposito bis'!$F$51*IF(ABS(N632)&lt;'Progetto del paramento slu'!$G$58,ABS(N632)*'Progetto del paramento slu'!$G$54,'Progetto del paramento slu'!$G$53)*IF(N632&lt;0,-1,1)</f>
        <v>240946.49743184328</v>
      </c>
      <c r="U632" s="553">
        <f>'Foglio deposito bis'!$F$52*IF(ABS(O632)&lt;'Progetto del paramento slu'!$G$58,ABS(O632)*'Progetto del paramento slu'!$G$54,'Progetto del paramento slu'!$G$53)*IF(O632&lt;0,-1,1)</f>
        <v>240946.49743184328</v>
      </c>
      <c r="V632" s="479">
        <f t="shared" si="50"/>
        <v>63046.49728222948</v>
      </c>
      <c r="W632" s="559"/>
      <c r="X632" s="559"/>
    </row>
    <row r="633" spans="1:24" x14ac:dyDescent="0.25">
      <c r="A633" s="553">
        <f t="shared" si="51"/>
        <v>51601.855539303273</v>
      </c>
      <c r="B633" s="3">
        <f t="shared" si="48"/>
        <v>11.099999999999982</v>
      </c>
      <c r="C633" s="553">
        <f>'Foglio deposito bis'!$E$155/sezione!$B$247*B633</f>
        <v>45.061192782606376</v>
      </c>
      <c r="D633" s="611">
        <f>-'Progetto del paramento slu'!$G$47*'Progetto del paramento slu'!$G$41*IF(DATI!$G$218="dx",DATI!$E$61,DATI!$E$64*DATI!$E$63)*1000*C633^2*sezione!$AD$5*(1-sezione!$AD$6)</f>
        <v>-16715166.846645039</v>
      </c>
      <c r="E633" s="553">
        <f>-'Foglio deposito bis'!$F$48*(C633-sezione!$AL$29)*IF(ABS(K633)&lt;'Progetto del paramento slu'!$G$58,ABS(K633)*'Progetto del paramento slu'!$G$54,'Progetto del paramento slu'!$G$53)</f>
        <v>0</v>
      </c>
      <c r="F633" s="553">
        <f>-'Foglio deposito bis'!$F$49*(C633-sezione!$AM$29)*IF(ABS(L633)&lt;'Progetto del paramento slu'!$G$58,ABS(L633)*'Progetto del paramento slu'!$G$54,'Progetto del paramento slu'!$G$53)</f>
        <v>21500542.554172136</v>
      </c>
      <c r="G633" s="553">
        <f>-'Foglio deposito bis'!$F$50*(C633-sezione!$AN$29)*IF(ABS(M633)&lt;'Progetto del paramento slu'!$G$58,ABS(M633)*'Progetto del paramento slu'!$G$54,'Progetto del paramento slu'!$G$53)</f>
        <v>0</v>
      </c>
      <c r="H633" s="553">
        <f>-'Foglio deposito bis'!$F$51*(C633-sezione!$AO$29)*IF(ABS(N633)&lt;'Progetto del paramento slu'!$G$58,ABS(N633)*'Progetto del paramento slu'!$G$54,'Progetto del paramento slu'!$G$53)</f>
        <v>71064472.555756643</v>
      </c>
      <c r="I633" s="479">
        <f>-'Foglio deposito bis'!$F$52*(C633-sezione!$AP$29)*IF(ABS(O633)&lt;'Progetto del paramento slu'!$G$58,ABS(O633)*'Progetto del paramento slu'!$G$54,'Progetto del paramento slu'!$G$53)</f>
        <v>51789233.495807409</v>
      </c>
      <c r="J633" s="479">
        <f t="shared" si="49"/>
        <v>127639081.75909115</v>
      </c>
      <c r="K633" s="558">
        <f>'Progetto del paramento slu'!$G$60*(sezione!$AL$29-C633)/C633</f>
        <v>-3.9311375587820638E-4</v>
      </c>
      <c r="L633" s="558">
        <f>'Progetto del paramento slu'!$G$60*(sezione!$AM$29-C633)/C633</f>
        <v>8.1508234154567261E-3</v>
      </c>
      <c r="M633" s="559">
        <f>'Progetto del paramento slu'!$G$60*(sezione!$AN$29-C633)/C633</f>
        <v>1.669476058679166E-2</v>
      </c>
      <c r="N633" s="559">
        <f>'Progetto del paramento slu'!$G$60*(sezione!$AO$29-C633)/C633</f>
        <v>2.2908533075035247E-2</v>
      </c>
      <c r="O633" s="559">
        <f>'Progetto del paramento slu'!$G$60*(sezione!$AP$29-C633)/C633</f>
        <v>1.6694915557680032E-2</v>
      </c>
      <c r="P633" s="553">
        <f>-'Progetto del paramento slu'!$G$47*'Progetto del paramento slu'!$G$41*IF(DATI!$G$218="dx",DATI!$E$61,DATI!$E$64*DATI!$E$63)*1000*C633*sezione!$AD$5</f>
        <v>-635177.6167324133</v>
      </c>
      <c r="Q633" s="553">
        <f>'Foglio deposito bis'!$F$48*IF(ABS(K633)&lt;'Progetto del paramento slu'!$G$58,ABS(K633)*'Progetto del paramento slu'!$G$54,'Progetto del paramento slu'!$G$53)*IF(K633&lt;0,-1,1)</f>
        <v>0</v>
      </c>
      <c r="R633" s="553">
        <f>'Foglio deposito bis'!$F$49*IF(ABS(L633)&lt;'Progetto del paramento slu'!$G$58,ABS(L633)*'Progetto del paramento slu'!$G$54,'Progetto del paramento slu'!$G$53)*IF(L633&lt;0,-1,1)</f>
        <v>204886.47740803001</v>
      </c>
      <c r="S633" s="553">
        <f>'Foglio deposito bis'!$F$50*IF(ABS(M633)&lt;'Progetto del paramento slu'!$G$58,ABS(M633)*'Progetto del paramento slu'!$G$54,'Progetto del paramento slu'!$G$53)*IF(M633&lt;0,-1,1)</f>
        <v>0</v>
      </c>
      <c r="T633" s="553">
        <f>'Foglio deposito bis'!$F$51*IF(ABS(N633)&lt;'Progetto del paramento slu'!$G$58,ABS(N633)*'Progetto del paramento slu'!$G$54,'Progetto del paramento slu'!$G$53)*IF(N633&lt;0,-1,1)</f>
        <v>240946.49743184328</v>
      </c>
      <c r="U633" s="553">
        <f>'Foglio deposito bis'!$F$52*IF(ABS(O633)&lt;'Progetto del paramento slu'!$G$58,ABS(O633)*'Progetto del paramento slu'!$G$54,'Progetto del paramento slu'!$G$53)*IF(O633&lt;0,-1,1)</f>
        <v>240946.49743184328</v>
      </c>
      <c r="V633" s="479">
        <f t="shared" si="50"/>
        <v>51601.855539303273</v>
      </c>
      <c r="W633" s="559"/>
      <c r="X633" s="559"/>
    </row>
    <row r="634" spans="1:24" x14ac:dyDescent="0.25">
      <c r="A634" s="553">
        <f t="shared" si="51"/>
        <v>40157.213796376833</v>
      </c>
      <c r="B634" s="3">
        <f t="shared" si="48"/>
        <v>11.299999999999981</v>
      </c>
      <c r="C634" s="553">
        <f>'Foglio deposito bis'!$E$155/sezione!$B$247*B634</f>
        <v>45.873106166076759</v>
      </c>
      <c r="D634" s="611">
        <f>-'Progetto del paramento slu'!$G$47*'Progetto del paramento slu'!$G$41*IF(DATI!$G$218="dx",DATI!$E$61,DATI!$E$64*DATI!$E$63)*1000*C634^2*sezione!$AD$5*(1-sezione!$AD$6)</f>
        <v>-17322941.763234355</v>
      </c>
      <c r="E634" s="553">
        <f>-'Foglio deposito bis'!$F$48*(C634-sezione!$AL$29)*IF(ABS(K634)&lt;'Progetto del paramento slu'!$G$58,ABS(K634)*'Progetto del paramento slu'!$G$54,'Progetto del paramento slu'!$G$53)</f>
        <v>0</v>
      </c>
      <c r="F634" s="553">
        <f>-'Foglio deposito bis'!$F$49*(C634-sezione!$AM$29)*IF(ABS(L634)&lt;'Progetto del paramento slu'!$G$58,ABS(L634)*'Progetto del paramento slu'!$G$54,'Progetto del paramento slu'!$G$53)</f>
        <v>21334192.481072456</v>
      </c>
      <c r="G634" s="553">
        <f>-'Foglio deposito bis'!$F$50*(C634-sezione!$AN$29)*IF(ABS(M634)&lt;'Progetto del paramento slu'!$G$58,ABS(M634)*'Progetto del paramento slu'!$G$54,'Progetto del paramento slu'!$G$53)</f>
        <v>0</v>
      </c>
      <c r="H634" s="553">
        <f>-'Foglio deposito bis'!$F$51*(C634-sezione!$AO$29)*IF(ABS(N634)&lt;'Progetto del paramento slu'!$G$58,ABS(N634)*'Progetto del paramento slu'!$G$54,'Progetto del paramento slu'!$G$53)</f>
        <v>70868844.869791418</v>
      </c>
      <c r="I634" s="479">
        <f>-'Foglio deposito bis'!$F$52*(C634-sezione!$AP$29)*IF(ABS(O634)&lt;'Progetto del paramento slu'!$G$58,ABS(O634)*'Progetto del paramento slu'!$G$54,'Progetto del paramento slu'!$G$53)</f>
        <v>51593605.809842184</v>
      </c>
      <c r="J634" s="479">
        <f t="shared" si="49"/>
        <v>126473701.39747171</v>
      </c>
      <c r="K634" s="558">
        <f>'Progetto del paramento slu'!$G$60*(sezione!$AL$29-C634)/C634</f>
        <v>-4.4810289294230877E-4</v>
      </c>
      <c r="L634" s="558">
        <f>'Progetto del paramento slu'!$G$60*(sezione!$AM$29-C634)/C634</f>
        <v>7.9446141514663421E-3</v>
      </c>
      <c r="M634" s="559">
        <f>'Progetto del paramento slu'!$G$60*(sezione!$AN$29-C634)/C634</f>
        <v>1.6337331195874993E-2</v>
      </c>
      <c r="N634" s="559">
        <f>'Progetto del paramento slu'!$G$60*(sezione!$AO$29-C634)/C634</f>
        <v>2.2441125409990378E-2</v>
      </c>
      <c r="O634" s="559">
        <f>'Progetto del paramento slu'!$G$60*(sezione!$AP$29-C634)/C634</f>
        <v>1.6337483423915784E-2</v>
      </c>
      <c r="P634" s="553">
        <f>-'Progetto del paramento slu'!$G$47*'Progetto del paramento slu'!$G$41*IF(DATI!$G$218="dx",DATI!$E$61,DATI!$E$64*DATI!$E$63)*1000*C634*sezione!$AD$5</f>
        <v>-646622.25847533974</v>
      </c>
      <c r="Q634" s="553">
        <f>'Foglio deposito bis'!$F$48*IF(ABS(K634)&lt;'Progetto del paramento slu'!$G$58,ABS(K634)*'Progetto del paramento slu'!$G$54,'Progetto del paramento slu'!$G$53)*IF(K634&lt;0,-1,1)</f>
        <v>0</v>
      </c>
      <c r="R634" s="553">
        <f>'Foglio deposito bis'!$F$49*IF(ABS(L634)&lt;'Progetto del paramento slu'!$G$58,ABS(L634)*'Progetto del paramento slu'!$G$54,'Progetto del paramento slu'!$G$53)*IF(L634&lt;0,-1,1)</f>
        <v>204886.47740803001</v>
      </c>
      <c r="S634" s="553">
        <f>'Foglio deposito bis'!$F$50*IF(ABS(M634)&lt;'Progetto del paramento slu'!$G$58,ABS(M634)*'Progetto del paramento slu'!$G$54,'Progetto del paramento slu'!$G$53)*IF(M634&lt;0,-1,1)</f>
        <v>0</v>
      </c>
      <c r="T634" s="553">
        <f>'Foglio deposito bis'!$F$51*IF(ABS(N634)&lt;'Progetto del paramento slu'!$G$58,ABS(N634)*'Progetto del paramento slu'!$G$54,'Progetto del paramento slu'!$G$53)*IF(N634&lt;0,-1,1)</f>
        <v>240946.49743184328</v>
      </c>
      <c r="U634" s="553">
        <f>'Foglio deposito bis'!$F$52*IF(ABS(O634)&lt;'Progetto del paramento slu'!$G$58,ABS(O634)*'Progetto del paramento slu'!$G$54,'Progetto del paramento slu'!$G$53)*IF(O634&lt;0,-1,1)</f>
        <v>240946.49743184328</v>
      </c>
      <c r="V634" s="479">
        <f t="shared" si="50"/>
        <v>40157.213796376833</v>
      </c>
      <c r="W634" s="559"/>
      <c r="X634" s="559"/>
    </row>
    <row r="635" spans="1:24" x14ac:dyDescent="0.25">
      <c r="A635" s="553">
        <f t="shared" si="51"/>
        <v>28712.572053450509</v>
      </c>
      <c r="B635" s="3">
        <f t="shared" si="48"/>
        <v>11.49999999999998</v>
      </c>
      <c r="C635" s="553">
        <f>'Foglio deposito bis'!$E$155/sezione!$B$247*B635</f>
        <v>46.685019549547143</v>
      </c>
      <c r="D635" s="611">
        <f>-'Progetto del paramento slu'!$G$47*'Progetto del paramento slu'!$G$41*IF(DATI!$G$218="dx",DATI!$E$61,DATI!$E$64*DATI!$E$63)*1000*C635^2*sezione!$AD$5*(1-sezione!$AD$6)</f>
        <v>-17941569.803334191</v>
      </c>
      <c r="E635" s="553">
        <f>-'Foglio deposito bis'!$F$48*(C635-sezione!$AL$29)*IF(ABS(K635)&lt;'Progetto del paramento slu'!$G$58,ABS(K635)*'Progetto del paramento slu'!$G$54,'Progetto del paramento slu'!$G$53)</f>
        <v>0</v>
      </c>
      <c r="F635" s="553">
        <f>-'Foglio deposito bis'!$F$49*(C635-sezione!$AM$29)*IF(ABS(L635)&lt;'Progetto del paramento slu'!$G$58,ABS(L635)*'Progetto del paramento slu'!$G$54,'Progetto del paramento slu'!$G$53)</f>
        <v>21167842.407972772</v>
      </c>
      <c r="G635" s="553">
        <f>-'Foglio deposito bis'!$F$50*(C635-sezione!$AN$29)*IF(ABS(M635)&lt;'Progetto del paramento slu'!$G$58,ABS(M635)*'Progetto del paramento slu'!$G$54,'Progetto del paramento slu'!$G$53)</f>
        <v>0</v>
      </c>
      <c r="H635" s="553">
        <f>-'Foglio deposito bis'!$F$51*(C635-sezione!$AO$29)*IF(ABS(N635)&lt;'Progetto del paramento slu'!$G$58,ABS(N635)*'Progetto del paramento slu'!$G$54,'Progetto del paramento slu'!$G$53)</f>
        <v>70673217.183826193</v>
      </c>
      <c r="I635" s="479">
        <f>-'Foglio deposito bis'!$F$52*(C635-sezione!$AP$29)*IF(ABS(O635)&lt;'Progetto del paramento slu'!$G$58,ABS(O635)*'Progetto del paramento slu'!$G$54,'Progetto del paramento slu'!$G$53)</f>
        <v>51397978.123876959</v>
      </c>
      <c r="J635" s="479">
        <f t="shared" si="49"/>
        <v>125297467.91234173</v>
      </c>
      <c r="K635" s="558">
        <f>'Progetto del paramento slu'!$G$60*(sezione!$AL$29-C635)/C635</f>
        <v>-5.0117936436939895E-4</v>
      </c>
      <c r="L635" s="558">
        <f>'Progetto del paramento slu'!$G$60*(sezione!$AM$29-C635)/C635</f>
        <v>7.7455773836147546E-3</v>
      </c>
      <c r="M635" s="559">
        <f>'Progetto del paramento slu'!$G$60*(sezione!$AN$29-C635)/C635</f>
        <v>1.5992334131598906E-2</v>
      </c>
      <c r="N635" s="559">
        <f>'Progetto del paramento slu'!$G$60*(sezione!$AO$29-C635)/C635</f>
        <v>2.1989975402860112E-2</v>
      </c>
      <c r="O635" s="559">
        <f>'Progetto del paramento slu'!$G$60*(sezione!$AP$29-C635)/C635</f>
        <v>1.5992483712195513E-2</v>
      </c>
      <c r="P635" s="553">
        <f>-'Progetto del paramento slu'!$G$47*'Progetto del paramento slu'!$G$41*IF(DATI!$G$218="dx",DATI!$E$61,DATI!$E$64*DATI!$E$63)*1000*C635*sezione!$AD$5</f>
        <v>-658066.90021826606</v>
      </c>
      <c r="Q635" s="553">
        <f>'Foglio deposito bis'!$F$48*IF(ABS(K635)&lt;'Progetto del paramento slu'!$G$58,ABS(K635)*'Progetto del paramento slu'!$G$54,'Progetto del paramento slu'!$G$53)*IF(K635&lt;0,-1,1)</f>
        <v>0</v>
      </c>
      <c r="R635" s="553">
        <f>'Foglio deposito bis'!$F$49*IF(ABS(L635)&lt;'Progetto del paramento slu'!$G$58,ABS(L635)*'Progetto del paramento slu'!$G$54,'Progetto del paramento slu'!$G$53)*IF(L635&lt;0,-1,1)</f>
        <v>204886.47740803001</v>
      </c>
      <c r="S635" s="553">
        <f>'Foglio deposito bis'!$F$50*IF(ABS(M635)&lt;'Progetto del paramento slu'!$G$58,ABS(M635)*'Progetto del paramento slu'!$G$54,'Progetto del paramento slu'!$G$53)*IF(M635&lt;0,-1,1)</f>
        <v>0</v>
      </c>
      <c r="T635" s="553">
        <f>'Foglio deposito bis'!$F$51*IF(ABS(N635)&lt;'Progetto del paramento slu'!$G$58,ABS(N635)*'Progetto del paramento slu'!$G$54,'Progetto del paramento slu'!$G$53)*IF(N635&lt;0,-1,1)</f>
        <v>240946.49743184328</v>
      </c>
      <c r="U635" s="553">
        <f>'Foglio deposito bis'!$F$52*IF(ABS(O635)&lt;'Progetto del paramento slu'!$G$58,ABS(O635)*'Progetto del paramento slu'!$G$54,'Progetto del paramento slu'!$G$53)*IF(O635&lt;0,-1,1)</f>
        <v>240946.49743184328</v>
      </c>
      <c r="V635" s="479">
        <f t="shared" si="50"/>
        <v>28712.572053450509</v>
      </c>
      <c r="W635" s="559"/>
      <c r="X635" s="559"/>
    </row>
    <row r="636" spans="1:24" x14ac:dyDescent="0.25">
      <c r="A636" s="553">
        <f t="shared" si="51"/>
        <v>17267.930310524185</v>
      </c>
      <c r="B636" s="3">
        <f t="shared" si="48"/>
        <v>11.69999999999998</v>
      </c>
      <c r="C636" s="553">
        <f>'Foglio deposito bis'!$E$155/sezione!$B$247*B636</f>
        <v>47.496932933017526</v>
      </c>
      <c r="D636" s="611">
        <f>-'Progetto del paramento slu'!$G$47*'Progetto del paramento slu'!$G$41*IF(DATI!$G$218="dx",DATI!$E$61,DATI!$E$64*DATI!$E$63)*1000*C636^2*sezione!$AD$5*(1-sezione!$AD$6)</f>
        <v>-18571050.966944557</v>
      </c>
      <c r="E636" s="553">
        <f>-'Foglio deposito bis'!$F$48*(C636-sezione!$AL$29)*IF(ABS(K636)&lt;'Progetto del paramento slu'!$G$58,ABS(K636)*'Progetto del paramento slu'!$G$54,'Progetto del paramento slu'!$G$53)</f>
        <v>0</v>
      </c>
      <c r="F636" s="553">
        <f>-'Foglio deposito bis'!$F$49*(C636-sezione!$AM$29)*IF(ABS(L636)&lt;'Progetto del paramento slu'!$G$58,ABS(L636)*'Progetto del paramento slu'!$G$54,'Progetto del paramento slu'!$G$53)</f>
        <v>21001492.334873091</v>
      </c>
      <c r="G636" s="553">
        <f>-'Foglio deposito bis'!$F$50*(C636-sezione!$AN$29)*IF(ABS(M636)&lt;'Progetto del paramento slu'!$G$58,ABS(M636)*'Progetto del paramento slu'!$G$54,'Progetto del paramento slu'!$G$53)</f>
        <v>0</v>
      </c>
      <c r="H636" s="553">
        <f>-'Foglio deposito bis'!$F$51*(C636-sezione!$AO$29)*IF(ABS(N636)&lt;'Progetto del paramento slu'!$G$58,ABS(N636)*'Progetto del paramento slu'!$G$54,'Progetto del paramento slu'!$G$53)</f>
        <v>70477589.497860968</v>
      </c>
      <c r="I636" s="479">
        <f>-'Foglio deposito bis'!$F$52*(C636-sezione!$AP$29)*IF(ABS(O636)&lt;'Progetto del paramento slu'!$G$58,ABS(O636)*'Progetto del paramento slu'!$G$54,'Progetto del paramento slu'!$G$53)</f>
        <v>51202350.437911741</v>
      </c>
      <c r="J636" s="479">
        <f t="shared" si="49"/>
        <v>124110381.30370125</v>
      </c>
      <c r="K636" s="558">
        <f>'Progetto del paramento slu'!$G$60*(sezione!$AL$29-C636)/C636</f>
        <v>-5.524412555767595E-4</v>
      </c>
      <c r="L636" s="558">
        <f>'Progetto del paramento slu'!$G$60*(sezione!$AM$29-C636)/C636</f>
        <v>7.5533452915871524E-3</v>
      </c>
      <c r="M636" s="559">
        <f>'Progetto del paramento slu'!$G$60*(sezione!$AN$29-C636)/C636</f>
        <v>1.5659131838751065E-2</v>
      </c>
      <c r="N636" s="559">
        <f>'Progetto del paramento slu'!$G$60*(sezione!$AO$29-C636)/C636</f>
        <v>2.1554249327597544E-2</v>
      </c>
      <c r="O636" s="559">
        <f>'Progetto del paramento slu'!$G$60*(sezione!$AP$29-C636)/C636</f>
        <v>1.5659278862414392E-2</v>
      </c>
      <c r="P636" s="553">
        <f>-'Progetto del paramento slu'!$G$47*'Progetto del paramento slu'!$G$41*IF(DATI!$G$218="dx",DATI!$E$61,DATI!$E$64*DATI!$E$63)*1000*C636*sezione!$AD$5</f>
        <v>-669511.54196119239</v>
      </c>
      <c r="Q636" s="553">
        <f>'Foglio deposito bis'!$F$48*IF(ABS(K636)&lt;'Progetto del paramento slu'!$G$58,ABS(K636)*'Progetto del paramento slu'!$G$54,'Progetto del paramento slu'!$G$53)*IF(K636&lt;0,-1,1)</f>
        <v>0</v>
      </c>
      <c r="R636" s="553">
        <f>'Foglio deposito bis'!$F$49*IF(ABS(L636)&lt;'Progetto del paramento slu'!$G$58,ABS(L636)*'Progetto del paramento slu'!$G$54,'Progetto del paramento slu'!$G$53)*IF(L636&lt;0,-1,1)</f>
        <v>204886.47740803001</v>
      </c>
      <c r="S636" s="553">
        <f>'Foglio deposito bis'!$F$50*IF(ABS(M636)&lt;'Progetto del paramento slu'!$G$58,ABS(M636)*'Progetto del paramento slu'!$G$54,'Progetto del paramento slu'!$G$53)*IF(M636&lt;0,-1,1)</f>
        <v>0</v>
      </c>
      <c r="T636" s="553">
        <f>'Foglio deposito bis'!$F$51*IF(ABS(N636)&lt;'Progetto del paramento slu'!$G$58,ABS(N636)*'Progetto del paramento slu'!$G$54,'Progetto del paramento slu'!$G$53)*IF(N636&lt;0,-1,1)</f>
        <v>240946.49743184328</v>
      </c>
      <c r="U636" s="553">
        <f>'Foglio deposito bis'!$F$52*IF(ABS(O636)&lt;'Progetto del paramento slu'!$G$58,ABS(O636)*'Progetto del paramento slu'!$G$54,'Progetto del paramento slu'!$G$53)*IF(O636&lt;0,-1,1)</f>
        <v>240946.49743184328</v>
      </c>
      <c r="V636" s="479">
        <f t="shared" si="50"/>
        <v>17267.930310524185</v>
      </c>
      <c r="W636" s="559"/>
      <c r="X636" s="559"/>
    </row>
    <row r="637" spans="1:24" x14ac:dyDescent="0.25">
      <c r="A637" s="553">
        <f t="shared" si="51"/>
        <v>5823.2885675978614</v>
      </c>
      <c r="B637" s="3">
        <f t="shared" si="48"/>
        <v>11.899999999999979</v>
      </c>
      <c r="C637" s="553">
        <f>'Foglio deposito bis'!$E$155/sezione!$B$247*B637</f>
        <v>48.308846316487909</v>
      </c>
      <c r="D637" s="611">
        <f>-'Progetto del paramento slu'!$G$47*'Progetto del paramento slu'!$G$41*IF(DATI!$G$218="dx",DATI!$E$61,DATI!$E$64*DATI!$E$63)*1000*C637^2*sezione!$AD$5*(1-sezione!$AD$6)</f>
        <v>-19211385.254065439</v>
      </c>
      <c r="E637" s="553">
        <f>-'Foglio deposito bis'!$F$48*(C637-sezione!$AL$29)*IF(ABS(K637)&lt;'Progetto del paramento slu'!$G$58,ABS(K637)*'Progetto del paramento slu'!$G$54,'Progetto del paramento slu'!$G$53)</f>
        <v>0</v>
      </c>
      <c r="F637" s="553">
        <f>-'Foglio deposito bis'!$F$49*(C637-sezione!$AM$29)*IF(ABS(L637)&lt;'Progetto del paramento slu'!$G$58,ABS(L637)*'Progetto del paramento slu'!$G$54,'Progetto del paramento slu'!$G$53)</f>
        <v>20835142.261773404</v>
      </c>
      <c r="G637" s="553">
        <f>-'Foglio deposito bis'!$F$50*(C637-sezione!$AN$29)*IF(ABS(M637)&lt;'Progetto del paramento slu'!$G$58,ABS(M637)*'Progetto del paramento slu'!$G$54,'Progetto del paramento slu'!$G$53)</f>
        <v>0</v>
      </c>
      <c r="H637" s="553">
        <f>-'Foglio deposito bis'!$F$51*(C637-sezione!$AO$29)*IF(ABS(N637)&lt;'Progetto del paramento slu'!$G$58,ABS(N637)*'Progetto del paramento slu'!$G$54,'Progetto del paramento slu'!$G$53)</f>
        <v>70281961.811895743</v>
      </c>
      <c r="I637" s="479">
        <f>-'Foglio deposito bis'!$F$52*(C637-sezione!$AP$29)*IF(ABS(O637)&lt;'Progetto del paramento slu'!$G$58,ABS(O637)*'Progetto del paramento slu'!$G$54,'Progetto del paramento slu'!$G$53)</f>
        <v>51006722.751946509</v>
      </c>
      <c r="J637" s="479">
        <f t="shared" si="49"/>
        <v>122912441.57155022</v>
      </c>
      <c r="K637" s="558">
        <f>'Progetto del paramento slu'!$G$60*(sezione!$AL$29-C637)/C637</f>
        <v>-6.019800580040407E-4</v>
      </c>
      <c r="L637" s="558">
        <f>'Progetto del paramento slu'!$G$60*(sezione!$AM$29-C637)/C637</f>
        <v>7.3675747824848469E-3</v>
      </c>
      <c r="M637" s="559">
        <f>'Progetto del paramento slu'!$G$60*(sezione!$AN$29-C637)/C637</f>
        <v>1.5337129622973735E-2</v>
      </c>
      <c r="N637" s="559">
        <f>'Progetto del paramento slu'!$G$60*(sezione!$AO$29-C637)/C637</f>
        <v>2.1133169506965654E-2</v>
      </c>
      <c r="O637" s="559">
        <f>'Progetto del paramento slu'!$G$60*(sezione!$AP$29-C637)/C637</f>
        <v>1.5337274175651125E-2</v>
      </c>
      <c r="P637" s="553">
        <f>-'Progetto del paramento slu'!$G$47*'Progetto del paramento slu'!$G$41*IF(DATI!$G$218="dx",DATI!$E$61,DATI!$E$64*DATI!$E$63)*1000*C637*sezione!$AD$5</f>
        <v>-680956.18370411871</v>
      </c>
      <c r="Q637" s="553">
        <f>'Foglio deposito bis'!$F$48*IF(ABS(K637)&lt;'Progetto del paramento slu'!$G$58,ABS(K637)*'Progetto del paramento slu'!$G$54,'Progetto del paramento slu'!$G$53)*IF(K637&lt;0,-1,1)</f>
        <v>0</v>
      </c>
      <c r="R637" s="553">
        <f>'Foglio deposito bis'!$F$49*IF(ABS(L637)&lt;'Progetto del paramento slu'!$G$58,ABS(L637)*'Progetto del paramento slu'!$G$54,'Progetto del paramento slu'!$G$53)*IF(L637&lt;0,-1,1)</f>
        <v>204886.47740803001</v>
      </c>
      <c r="S637" s="553">
        <f>'Foglio deposito bis'!$F$50*IF(ABS(M637)&lt;'Progetto del paramento slu'!$G$58,ABS(M637)*'Progetto del paramento slu'!$G$54,'Progetto del paramento slu'!$G$53)*IF(M637&lt;0,-1,1)</f>
        <v>0</v>
      </c>
      <c r="T637" s="553">
        <f>'Foglio deposito bis'!$F$51*IF(ABS(N637)&lt;'Progetto del paramento slu'!$G$58,ABS(N637)*'Progetto del paramento slu'!$G$54,'Progetto del paramento slu'!$G$53)*IF(N637&lt;0,-1,1)</f>
        <v>240946.49743184328</v>
      </c>
      <c r="U637" s="553">
        <f>'Foglio deposito bis'!$F$52*IF(ABS(O637)&lt;'Progetto del paramento slu'!$G$58,ABS(O637)*'Progetto del paramento slu'!$G$54,'Progetto del paramento slu'!$G$53)*IF(O637&lt;0,-1,1)</f>
        <v>240946.49743184328</v>
      </c>
      <c r="V637" s="479">
        <f t="shared" si="50"/>
        <v>5823.2885675978614</v>
      </c>
      <c r="W637" s="559"/>
      <c r="X637" s="559"/>
    </row>
    <row r="638" spans="1:24" x14ac:dyDescent="0.25">
      <c r="A638" s="553">
        <f t="shared" si="51"/>
        <v>5621.3531753285788</v>
      </c>
      <c r="B638" s="3">
        <f t="shared" si="48"/>
        <v>12.099999999999978</v>
      </c>
      <c r="C638" s="553">
        <f>'Foglio deposito bis'!$E$155/sezione!$B$247*B638</f>
        <v>49.120759699958292</v>
      </c>
      <c r="D638" s="611">
        <f>-'Progetto del paramento slu'!$G$47*'Progetto del paramento slu'!$G$41*IF(DATI!$G$218="dx",DATI!$E$61,DATI!$E$64*DATI!$E$63)*1000*C638^2*sezione!$AD$5*(1-sezione!$AD$6)</f>
        <v>-19862572.66469685</v>
      </c>
      <c r="E638" s="553">
        <f>-'Foglio deposito bis'!$F$48*(C638-sezione!$AL$29)*IF(ABS(K638)&lt;'Progetto del paramento slu'!$G$58,ABS(K638)*'Progetto del paramento slu'!$G$54,'Progetto del paramento slu'!$G$53)</f>
        <v>0</v>
      </c>
      <c r="F638" s="553">
        <f>-'Foglio deposito bis'!$F$49*(C638-sezione!$AM$29)*IF(ABS(L638)&lt;'Progetto del paramento slu'!$G$58,ABS(L638)*'Progetto del paramento slu'!$G$54,'Progetto del paramento slu'!$G$53)</f>
        <v>20668792.188673727</v>
      </c>
      <c r="G638" s="553">
        <f>-'Foglio deposito bis'!$F$50*(C638-sezione!$AN$29)*IF(ABS(M638)&lt;'Progetto del paramento slu'!$G$58,ABS(M638)*'Progetto del paramento slu'!$G$54,'Progetto del paramento slu'!$G$53)</f>
        <v>0</v>
      </c>
      <c r="H638" s="553">
        <f>-'Foglio deposito bis'!$F$51*(C638-sezione!$AO$29)*IF(ABS(N638)&lt;'Progetto del paramento slu'!$G$58,ABS(N638)*'Progetto del paramento slu'!$G$54,'Progetto del paramento slu'!$G$53)</f>
        <v>70086334.125930518</v>
      </c>
      <c r="I638" s="479">
        <f>-'Foglio deposito bis'!$F$52*(C638-sezione!$AP$29)*IF(ABS(O638)&lt;'Progetto del paramento slu'!$G$58,ABS(O638)*'Progetto del paramento slu'!$G$54,'Progetto del paramento slu'!$G$53)</f>
        <v>50811095.065981284</v>
      </c>
      <c r="J638" s="479">
        <f t="shared" si="49"/>
        <v>121703648.71588868</v>
      </c>
      <c r="K638" s="558">
        <f>'Progetto del paramento slu'!$G$60*(sezione!$AL$29-C638)/C638</f>
        <v>-6.498812140700895E-4</v>
      </c>
      <c r="L638" s="558">
        <f>'Progetto del paramento slu'!$G$60*(sezione!$AM$29-C638)/C638</f>
        <v>7.1879454472371642E-3</v>
      </c>
      <c r="M638" s="559">
        <f>'Progetto del paramento slu'!$G$60*(sezione!$AN$29-C638)/C638</f>
        <v>1.5025772108544418E-2</v>
      </c>
      <c r="N638" s="559">
        <f>'Progetto del paramento slu'!$G$60*(sezione!$AO$29-C638)/C638</f>
        <v>2.072600968040424E-2</v>
      </c>
      <c r="O638" s="559">
        <f>'Progetto del paramento slu'!$G$60*(sezione!$AP$29-C638)/C638</f>
        <v>1.5025914271921357E-2</v>
      </c>
      <c r="P638" s="553">
        <f>-'Progetto del paramento slu'!$G$47*'Progetto del paramento slu'!$G$41*IF(DATI!$G$218="dx",DATI!$E$61,DATI!$E$64*DATI!$E$63)*1000*C638*sezione!$AD$5</f>
        <v>-692400.82544704515</v>
      </c>
      <c r="Q638" s="553">
        <f>'Foglio deposito bis'!$F$48*IF(ABS(K638)&lt;'Progetto del paramento slu'!$G$58,ABS(K638)*'Progetto del paramento slu'!$G$54,'Progetto del paramento slu'!$G$53)*IF(K638&lt;0,-1,1)</f>
        <v>0</v>
      </c>
      <c r="R638" s="553">
        <f>'Foglio deposito bis'!$F$49*IF(ABS(L638)&lt;'Progetto del paramento slu'!$G$58,ABS(L638)*'Progetto del paramento slu'!$G$54,'Progetto del paramento slu'!$G$53)*IF(L638&lt;0,-1,1)</f>
        <v>204886.47740803001</v>
      </c>
      <c r="S638" s="553">
        <f>'Foglio deposito bis'!$F$50*IF(ABS(M638)&lt;'Progetto del paramento slu'!$G$58,ABS(M638)*'Progetto del paramento slu'!$G$54,'Progetto del paramento slu'!$G$53)*IF(M638&lt;0,-1,1)</f>
        <v>0</v>
      </c>
      <c r="T638" s="553">
        <f>'Foglio deposito bis'!$F$51*IF(ABS(N638)&lt;'Progetto del paramento slu'!$G$58,ABS(N638)*'Progetto del paramento slu'!$G$54,'Progetto del paramento slu'!$G$53)*IF(N638&lt;0,-1,1)</f>
        <v>240946.49743184328</v>
      </c>
      <c r="U638" s="553">
        <f>'Foglio deposito bis'!$F$52*IF(ABS(O638)&lt;'Progetto del paramento slu'!$G$58,ABS(O638)*'Progetto del paramento slu'!$G$54,'Progetto del paramento slu'!$G$53)*IF(O638&lt;0,-1,1)</f>
        <v>240946.49743184328</v>
      </c>
      <c r="V638" s="479">
        <f t="shared" si="50"/>
        <v>-5621.3531753285788</v>
      </c>
      <c r="W638" s="559"/>
      <c r="X638" s="559"/>
    </row>
    <row r="639" spans="1:24" x14ac:dyDescent="0.25">
      <c r="A639" s="553">
        <f t="shared" si="51"/>
        <v>17065.994918254786</v>
      </c>
      <c r="B639" s="3">
        <f t="shared" si="48"/>
        <v>12.299999999999978</v>
      </c>
      <c r="C639" s="553">
        <f>'Foglio deposito bis'!$E$155/sezione!$B$247*B639</f>
        <v>49.932673083428675</v>
      </c>
      <c r="D639" s="611">
        <f>-'Progetto del paramento slu'!$G$47*'Progetto del paramento slu'!$G$41*IF(DATI!$G$218="dx",DATI!$E$61,DATI!$E$64*DATI!$E$63)*1000*C639^2*sezione!$AD$5*(1-sezione!$AD$6)</f>
        <v>-20524613.198838782</v>
      </c>
      <c r="E639" s="553">
        <f>-'Foglio deposito bis'!$F$48*(C639-sezione!$AL$29)*IF(ABS(K639)&lt;'Progetto del paramento slu'!$G$58,ABS(K639)*'Progetto del paramento slu'!$G$54,'Progetto del paramento slu'!$G$53)</f>
        <v>0</v>
      </c>
      <c r="F639" s="553">
        <f>-'Foglio deposito bis'!$F$49*(C639-sezione!$AM$29)*IF(ABS(L639)&lt;'Progetto del paramento slu'!$G$58,ABS(L639)*'Progetto del paramento slu'!$G$54,'Progetto del paramento slu'!$G$53)</f>
        <v>20502442.115574043</v>
      </c>
      <c r="G639" s="553">
        <f>-'Foglio deposito bis'!$F$50*(C639-sezione!$AN$29)*IF(ABS(M639)&lt;'Progetto del paramento slu'!$G$58,ABS(M639)*'Progetto del paramento slu'!$G$54,'Progetto del paramento slu'!$G$53)</f>
        <v>0</v>
      </c>
      <c r="H639" s="553">
        <f>-'Foglio deposito bis'!$F$51*(C639-sezione!$AO$29)*IF(ABS(N639)&lt;'Progetto del paramento slu'!$G$58,ABS(N639)*'Progetto del paramento slu'!$G$54,'Progetto del paramento slu'!$G$53)</f>
        <v>69890706.439965308</v>
      </c>
      <c r="I639" s="479">
        <f>-'Foglio deposito bis'!$F$52*(C639-sezione!$AP$29)*IF(ABS(O639)&lt;'Progetto del paramento slu'!$G$58,ABS(O639)*'Progetto del paramento slu'!$G$54,'Progetto del paramento slu'!$G$53)</f>
        <v>50615467.380016051</v>
      </c>
      <c r="J639" s="479">
        <f t="shared" si="49"/>
        <v>120484002.73671663</v>
      </c>
      <c r="K639" s="558">
        <f>'Progetto del paramento slu'!$G$60*(sezione!$AL$29-C639)/C639</f>
        <v>-6.9622460896325879E-4</v>
      </c>
      <c r="L639" s="558">
        <f>'Progetto del paramento slu'!$G$60*(sezione!$AM$29-C639)/C639</f>
        <v>7.0141577163877799E-3</v>
      </c>
      <c r="M639" s="559">
        <f>'Progetto del paramento slu'!$G$60*(sezione!$AN$29-C639)/C639</f>
        <v>1.4724540041738817E-2</v>
      </c>
      <c r="N639" s="559">
        <f>'Progetto del paramento slu'!$G$60*(sezione!$AO$29-C639)/C639</f>
        <v>2.0332090823812304E-2</v>
      </c>
      <c r="O639" s="559">
        <f>'Progetto del paramento slu'!$G$60*(sezione!$AP$29-C639)/C639</f>
        <v>1.472467989351613E-2</v>
      </c>
      <c r="P639" s="553">
        <f>-'Progetto del paramento slu'!$G$47*'Progetto del paramento slu'!$G$41*IF(DATI!$G$218="dx",DATI!$E$61,DATI!$E$64*DATI!$E$63)*1000*C639*sezione!$AD$5</f>
        <v>-703845.46718997136</v>
      </c>
      <c r="Q639" s="553">
        <f>'Foglio deposito bis'!$F$48*IF(ABS(K639)&lt;'Progetto del paramento slu'!$G$58,ABS(K639)*'Progetto del paramento slu'!$G$54,'Progetto del paramento slu'!$G$53)*IF(K639&lt;0,-1,1)</f>
        <v>0</v>
      </c>
      <c r="R639" s="553">
        <f>'Foglio deposito bis'!$F$49*IF(ABS(L639)&lt;'Progetto del paramento slu'!$G$58,ABS(L639)*'Progetto del paramento slu'!$G$54,'Progetto del paramento slu'!$G$53)*IF(L639&lt;0,-1,1)</f>
        <v>204886.47740803001</v>
      </c>
      <c r="S639" s="553">
        <f>'Foglio deposito bis'!$F$50*IF(ABS(M639)&lt;'Progetto del paramento slu'!$G$58,ABS(M639)*'Progetto del paramento slu'!$G$54,'Progetto del paramento slu'!$G$53)*IF(M639&lt;0,-1,1)</f>
        <v>0</v>
      </c>
      <c r="T639" s="553">
        <f>'Foglio deposito bis'!$F$51*IF(ABS(N639)&lt;'Progetto del paramento slu'!$G$58,ABS(N639)*'Progetto del paramento slu'!$G$54,'Progetto del paramento slu'!$G$53)*IF(N639&lt;0,-1,1)</f>
        <v>240946.49743184328</v>
      </c>
      <c r="U639" s="553">
        <f>'Foglio deposito bis'!$F$52*IF(ABS(O639)&lt;'Progetto del paramento slu'!$G$58,ABS(O639)*'Progetto del paramento slu'!$G$54,'Progetto del paramento slu'!$G$53)*IF(O639&lt;0,-1,1)</f>
        <v>240946.49743184328</v>
      </c>
      <c r="V639" s="479">
        <f t="shared" si="50"/>
        <v>-17065.994918254786</v>
      </c>
      <c r="W639" s="559"/>
      <c r="X639" s="559"/>
    </row>
    <row r="640" spans="1:24" x14ac:dyDescent="0.25">
      <c r="A640" s="553">
        <f t="shared" si="51"/>
        <v>28510.636661181255</v>
      </c>
      <c r="B640" s="3">
        <f t="shared" si="48"/>
        <v>12.499999999999977</v>
      </c>
      <c r="C640" s="553">
        <f>'Foglio deposito bis'!$E$155/sezione!$B$247*B640</f>
        <v>50.744586466899058</v>
      </c>
      <c r="D640" s="611">
        <f>-'Progetto del paramento slu'!$G$47*'Progetto del paramento slu'!$G$41*IF(DATI!$G$218="dx",DATI!$E$61,DATI!$E$64*DATI!$E$63)*1000*C640^2*sezione!$AD$5*(1-sezione!$AD$6)</f>
        <v>-21197506.856491238</v>
      </c>
      <c r="E640" s="553">
        <f>-'Foglio deposito bis'!$F$48*(C640-sezione!$AL$29)*IF(ABS(K640)&lt;'Progetto del paramento slu'!$G$58,ABS(K640)*'Progetto del paramento slu'!$G$54,'Progetto del paramento slu'!$G$53)</f>
        <v>0</v>
      </c>
      <c r="F640" s="553">
        <f>-'Foglio deposito bis'!$F$49*(C640-sezione!$AM$29)*IF(ABS(L640)&lt;'Progetto del paramento slu'!$G$58,ABS(L640)*'Progetto del paramento slu'!$G$54,'Progetto del paramento slu'!$G$53)</f>
        <v>20336092.042474363</v>
      </c>
      <c r="G640" s="553">
        <f>-'Foglio deposito bis'!$F$50*(C640-sezione!$AN$29)*IF(ABS(M640)&lt;'Progetto del paramento slu'!$G$58,ABS(M640)*'Progetto del paramento slu'!$G$54,'Progetto del paramento slu'!$G$53)</f>
        <v>0</v>
      </c>
      <c r="H640" s="553">
        <f>-'Foglio deposito bis'!$F$51*(C640-sezione!$AO$29)*IF(ABS(N640)&lt;'Progetto del paramento slu'!$G$58,ABS(N640)*'Progetto del paramento slu'!$G$54,'Progetto del paramento slu'!$G$53)</f>
        <v>69695078.754000068</v>
      </c>
      <c r="I640" s="479">
        <f>-'Foglio deposito bis'!$F$52*(C640-sezione!$AP$29)*IF(ABS(O640)&lt;'Progetto del paramento slu'!$G$58,ABS(O640)*'Progetto del paramento slu'!$G$54,'Progetto del paramento slu'!$G$53)</f>
        <v>50419839.694050834</v>
      </c>
      <c r="J640" s="479">
        <f t="shared" si="49"/>
        <v>119253503.63403402</v>
      </c>
      <c r="K640" s="558">
        <f>'Progetto del paramento slu'!$G$60*(sezione!$AL$29-C640)/C640</f>
        <v>-7.4108501521984638E-4</v>
      </c>
      <c r="L640" s="558">
        <f>'Progetto del paramento slu'!$G$60*(sezione!$AM$29-C640)/C640</f>
        <v>6.8459311929255761E-3</v>
      </c>
      <c r="M640" s="559">
        <f>'Progetto del paramento slu'!$G$60*(sezione!$AN$29-C640)/C640</f>
        <v>1.4432947401070997E-2</v>
      </c>
      <c r="N640" s="559">
        <f>'Progetto del paramento slu'!$G$60*(sezione!$AO$29-C640)/C640</f>
        <v>1.9950777370631303E-2</v>
      </c>
      <c r="O640" s="559">
        <f>'Progetto del paramento slu'!$G$60*(sezione!$AP$29-C640)/C640</f>
        <v>1.4433085015219874E-2</v>
      </c>
      <c r="P640" s="553">
        <f>-'Progetto del paramento slu'!$G$47*'Progetto del paramento slu'!$G$41*IF(DATI!$G$218="dx",DATI!$E$61,DATI!$E$64*DATI!$E$63)*1000*C640*sezione!$AD$5</f>
        <v>-715290.1089328978</v>
      </c>
      <c r="Q640" s="553">
        <f>'Foglio deposito bis'!$F$48*IF(ABS(K640)&lt;'Progetto del paramento slu'!$G$58,ABS(K640)*'Progetto del paramento slu'!$G$54,'Progetto del paramento slu'!$G$53)*IF(K640&lt;0,-1,1)</f>
        <v>0</v>
      </c>
      <c r="R640" s="553">
        <f>'Foglio deposito bis'!$F$49*IF(ABS(L640)&lt;'Progetto del paramento slu'!$G$58,ABS(L640)*'Progetto del paramento slu'!$G$54,'Progetto del paramento slu'!$G$53)*IF(L640&lt;0,-1,1)</f>
        <v>204886.47740803001</v>
      </c>
      <c r="S640" s="553">
        <f>'Foglio deposito bis'!$F$50*IF(ABS(M640)&lt;'Progetto del paramento slu'!$G$58,ABS(M640)*'Progetto del paramento slu'!$G$54,'Progetto del paramento slu'!$G$53)*IF(M640&lt;0,-1,1)</f>
        <v>0</v>
      </c>
      <c r="T640" s="553">
        <f>'Foglio deposito bis'!$F$51*IF(ABS(N640)&lt;'Progetto del paramento slu'!$G$58,ABS(N640)*'Progetto del paramento slu'!$G$54,'Progetto del paramento slu'!$G$53)*IF(N640&lt;0,-1,1)</f>
        <v>240946.49743184328</v>
      </c>
      <c r="U640" s="553">
        <f>'Foglio deposito bis'!$F$52*IF(ABS(O640)&lt;'Progetto del paramento slu'!$G$58,ABS(O640)*'Progetto del paramento slu'!$G$54,'Progetto del paramento slu'!$G$53)*IF(O640&lt;0,-1,1)</f>
        <v>240946.49743184328</v>
      </c>
      <c r="V640" s="479">
        <f t="shared" si="50"/>
        <v>-28510.636661181255</v>
      </c>
      <c r="W640" s="559"/>
      <c r="X640" s="559"/>
    </row>
    <row r="641" spans="1:24" x14ac:dyDescent="0.25">
      <c r="A641" s="553">
        <f t="shared" si="51"/>
        <v>39955.278404107696</v>
      </c>
      <c r="B641" s="3">
        <f t="shared" si="48"/>
        <v>12.699999999999976</v>
      </c>
      <c r="C641" s="553">
        <f>'Foglio deposito bis'!$E$155/sezione!$B$247*B641</f>
        <v>51.556499850369448</v>
      </c>
      <c r="D641" s="611">
        <f>-'Progetto del paramento slu'!$G$47*'Progetto del paramento slu'!$G$41*IF(DATI!$G$218="dx",DATI!$E$61,DATI!$E$64*DATI!$E$63)*1000*C641^2*sezione!$AD$5*(1-sezione!$AD$6)</f>
        <v>-21881253.637654223</v>
      </c>
      <c r="E641" s="553">
        <f>-'Foglio deposito bis'!$F$48*(C641-sezione!$AL$29)*IF(ABS(K641)&lt;'Progetto del paramento slu'!$G$58,ABS(K641)*'Progetto del paramento slu'!$G$54,'Progetto del paramento slu'!$G$53)</f>
        <v>0</v>
      </c>
      <c r="F641" s="553">
        <f>-'Foglio deposito bis'!$F$49*(C641-sezione!$AM$29)*IF(ABS(L641)&lt;'Progetto del paramento slu'!$G$58,ABS(L641)*'Progetto del paramento slu'!$G$54,'Progetto del paramento slu'!$G$53)</f>
        <v>20169741.969374679</v>
      </c>
      <c r="G641" s="553">
        <f>-'Foglio deposito bis'!$F$50*(C641-sezione!$AN$29)*IF(ABS(M641)&lt;'Progetto del paramento slu'!$G$58,ABS(M641)*'Progetto del paramento slu'!$G$54,'Progetto del paramento slu'!$G$53)</f>
        <v>0</v>
      </c>
      <c r="H641" s="553">
        <f>-'Foglio deposito bis'!$F$51*(C641-sezione!$AO$29)*IF(ABS(N641)&lt;'Progetto del paramento slu'!$G$58,ABS(N641)*'Progetto del paramento slu'!$G$54,'Progetto del paramento slu'!$G$53)</f>
        <v>69499451.068034843</v>
      </c>
      <c r="I641" s="479">
        <f>-'Foglio deposito bis'!$F$52*(C641-sezione!$AP$29)*IF(ABS(O641)&lt;'Progetto del paramento slu'!$G$58,ABS(O641)*'Progetto del paramento slu'!$G$54,'Progetto del paramento slu'!$G$53)</f>
        <v>50224212.008085601</v>
      </c>
      <c r="J641" s="479">
        <f t="shared" si="49"/>
        <v>118012151.40784091</v>
      </c>
      <c r="K641" s="558">
        <f>'Progetto del paramento slu'!$G$60*(sezione!$AL$29-C641)/C641</f>
        <v>-7.845324952951248E-4</v>
      </c>
      <c r="L641" s="558">
        <f>'Progetto del paramento slu'!$G$60*(sezione!$AM$29-C641)/C641</f>
        <v>6.6830031426432816E-3</v>
      </c>
      <c r="M641" s="559">
        <f>'Progetto del paramento slu'!$G$60*(sezione!$AN$29-C641)/C641</f>
        <v>1.415053878058169E-2</v>
      </c>
      <c r="N641" s="559">
        <f>'Progetto del paramento slu'!$G$60*(sezione!$AO$29-C641)/C641</f>
        <v>1.9581473789991439E-2</v>
      </c>
      <c r="O641" s="559">
        <f>'Progetto del paramento slu'!$G$60*(sezione!$AP$29-C641)/C641</f>
        <v>1.4150674227578614E-2</v>
      </c>
      <c r="P641" s="553">
        <f>-'Progetto del paramento slu'!$G$47*'Progetto del paramento slu'!$G$41*IF(DATI!$G$218="dx",DATI!$E$61,DATI!$E$64*DATI!$E$63)*1000*C641*sezione!$AD$5</f>
        <v>-726734.75067582424</v>
      </c>
      <c r="Q641" s="553">
        <f>'Foglio deposito bis'!$F$48*IF(ABS(K641)&lt;'Progetto del paramento slu'!$G$58,ABS(K641)*'Progetto del paramento slu'!$G$54,'Progetto del paramento slu'!$G$53)*IF(K641&lt;0,-1,1)</f>
        <v>0</v>
      </c>
      <c r="R641" s="553">
        <f>'Foglio deposito bis'!$F$49*IF(ABS(L641)&lt;'Progetto del paramento slu'!$G$58,ABS(L641)*'Progetto del paramento slu'!$G$54,'Progetto del paramento slu'!$G$53)*IF(L641&lt;0,-1,1)</f>
        <v>204886.47740803001</v>
      </c>
      <c r="S641" s="553">
        <f>'Foglio deposito bis'!$F$50*IF(ABS(M641)&lt;'Progetto del paramento slu'!$G$58,ABS(M641)*'Progetto del paramento slu'!$G$54,'Progetto del paramento slu'!$G$53)*IF(M641&lt;0,-1,1)</f>
        <v>0</v>
      </c>
      <c r="T641" s="553">
        <f>'Foglio deposito bis'!$F$51*IF(ABS(N641)&lt;'Progetto del paramento slu'!$G$58,ABS(N641)*'Progetto del paramento slu'!$G$54,'Progetto del paramento slu'!$G$53)*IF(N641&lt;0,-1,1)</f>
        <v>240946.49743184328</v>
      </c>
      <c r="U641" s="553">
        <f>'Foglio deposito bis'!$F$52*IF(ABS(O641)&lt;'Progetto del paramento slu'!$G$58,ABS(O641)*'Progetto del paramento slu'!$G$54,'Progetto del paramento slu'!$G$53)*IF(O641&lt;0,-1,1)</f>
        <v>240946.49743184328</v>
      </c>
      <c r="V641" s="479">
        <f t="shared" si="50"/>
        <v>-39955.278404107696</v>
      </c>
      <c r="W641" s="559"/>
      <c r="X641" s="559"/>
    </row>
    <row r="642" spans="1:24" x14ac:dyDescent="0.25">
      <c r="A642" s="553">
        <f t="shared" si="51"/>
        <v>51399.920147033903</v>
      </c>
      <c r="B642" s="3">
        <f t="shared" si="48"/>
        <v>12.899999999999975</v>
      </c>
      <c r="C642" s="553">
        <f>'Foglio deposito bis'!$E$155/sezione!$B$247*B642</f>
        <v>52.368413233839831</v>
      </c>
      <c r="D642" s="611">
        <f>-'Progetto del paramento slu'!$G$47*'Progetto del paramento slu'!$G$41*IF(DATI!$G$218="dx",DATI!$E$61,DATI!$E$64*DATI!$E$63)*1000*C642^2*sezione!$AD$5*(1-sezione!$AD$6)</f>
        <v>-22575853.542327728</v>
      </c>
      <c r="E642" s="553">
        <f>-'Foglio deposito bis'!$F$48*(C642-sezione!$AL$29)*IF(ABS(K642)&lt;'Progetto del paramento slu'!$G$58,ABS(K642)*'Progetto del paramento slu'!$G$54,'Progetto del paramento slu'!$G$53)</f>
        <v>0</v>
      </c>
      <c r="F642" s="553">
        <f>-'Foglio deposito bis'!$F$49*(C642-sezione!$AM$29)*IF(ABS(L642)&lt;'Progetto del paramento slu'!$G$58,ABS(L642)*'Progetto del paramento slu'!$G$54,'Progetto del paramento slu'!$G$53)</f>
        <v>20003391.896274995</v>
      </c>
      <c r="G642" s="553">
        <f>-'Foglio deposito bis'!$F$50*(C642-sezione!$AN$29)*IF(ABS(M642)&lt;'Progetto del paramento slu'!$G$58,ABS(M642)*'Progetto del paramento slu'!$G$54,'Progetto del paramento slu'!$G$53)</f>
        <v>0</v>
      </c>
      <c r="H642" s="553">
        <f>-'Foglio deposito bis'!$F$51*(C642-sezione!$AO$29)*IF(ABS(N642)&lt;'Progetto del paramento slu'!$G$58,ABS(N642)*'Progetto del paramento slu'!$G$54,'Progetto del paramento slu'!$G$53)</f>
        <v>69303823.382069618</v>
      </c>
      <c r="I642" s="479">
        <f>-'Foglio deposito bis'!$F$52*(C642-sezione!$AP$29)*IF(ABS(O642)&lt;'Progetto del paramento slu'!$G$58,ABS(O642)*'Progetto del paramento slu'!$G$54,'Progetto del paramento slu'!$G$53)</f>
        <v>50028584.322120383</v>
      </c>
      <c r="J642" s="479">
        <f t="shared" si="49"/>
        <v>116759946.05813727</v>
      </c>
      <c r="K642" s="558">
        <f>'Progetto del paramento slu'!$G$60*(sezione!$AL$29-C642)/C642</f>
        <v>-8.2663276668589792E-4</v>
      </c>
      <c r="L642" s="558">
        <f>'Progetto del paramento slu'!$G$60*(sezione!$AM$29-C642)/C642</f>
        <v>6.5251271249278835E-3</v>
      </c>
      <c r="M642" s="559">
        <f>'Progetto del paramento slu'!$G$60*(sezione!$AN$29-C642)/C642</f>
        <v>1.3876887016541665E-2</v>
      </c>
      <c r="N642" s="559">
        <f>'Progetto del paramento slu'!$G$60*(sezione!$AO$29-C642)/C642</f>
        <v>1.9223621483169868E-2</v>
      </c>
      <c r="O642" s="559">
        <f>'Progetto del paramento slu'!$G$60*(sezione!$AP$29-C642)/C642</f>
        <v>1.3877020363585148E-2</v>
      </c>
      <c r="P642" s="553">
        <f>-'Progetto del paramento slu'!$G$47*'Progetto del paramento slu'!$G$41*IF(DATI!$G$218="dx",DATI!$E$61,DATI!$E$64*DATI!$E$63)*1000*C642*sezione!$AD$5</f>
        <v>-738179.39241875056</v>
      </c>
      <c r="Q642" s="553">
        <f>'Foglio deposito bis'!$F$48*IF(ABS(K642)&lt;'Progetto del paramento slu'!$G$58,ABS(K642)*'Progetto del paramento slu'!$G$54,'Progetto del paramento slu'!$G$53)*IF(K642&lt;0,-1,1)</f>
        <v>0</v>
      </c>
      <c r="R642" s="553">
        <f>'Foglio deposito bis'!$F$49*IF(ABS(L642)&lt;'Progetto del paramento slu'!$G$58,ABS(L642)*'Progetto del paramento slu'!$G$54,'Progetto del paramento slu'!$G$53)*IF(L642&lt;0,-1,1)</f>
        <v>204886.47740803001</v>
      </c>
      <c r="S642" s="553">
        <f>'Foglio deposito bis'!$F$50*IF(ABS(M642)&lt;'Progetto del paramento slu'!$G$58,ABS(M642)*'Progetto del paramento slu'!$G$54,'Progetto del paramento slu'!$G$53)*IF(M642&lt;0,-1,1)</f>
        <v>0</v>
      </c>
      <c r="T642" s="553">
        <f>'Foglio deposito bis'!$F$51*IF(ABS(N642)&lt;'Progetto del paramento slu'!$G$58,ABS(N642)*'Progetto del paramento slu'!$G$54,'Progetto del paramento slu'!$G$53)*IF(N642&lt;0,-1,1)</f>
        <v>240946.49743184328</v>
      </c>
      <c r="U642" s="553">
        <f>'Foglio deposito bis'!$F$52*IF(ABS(O642)&lt;'Progetto del paramento slu'!$G$58,ABS(O642)*'Progetto del paramento slu'!$G$54,'Progetto del paramento slu'!$G$53)*IF(O642&lt;0,-1,1)</f>
        <v>240946.49743184328</v>
      </c>
      <c r="V642" s="479">
        <f t="shared" si="50"/>
        <v>-51399.920147033903</v>
      </c>
      <c r="W642" s="559"/>
      <c r="X642" s="559"/>
    </row>
    <row r="643" spans="1:24" x14ac:dyDescent="0.25">
      <c r="A643" s="553">
        <f t="shared" si="51"/>
        <v>62844.561889960227</v>
      </c>
      <c r="B643" s="3">
        <f t="shared" si="48"/>
        <v>13.099999999999975</v>
      </c>
      <c r="C643" s="553">
        <f>'Foglio deposito bis'!$E$155/sezione!$B$247*B643</f>
        <v>53.180326617310214</v>
      </c>
      <c r="D643" s="611">
        <f>-'Progetto del paramento slu'!$G$47*'Progetto del paramento slu'!$G$41*IF(DATI!$G$218="dx",DATI!$E$61,DATI!$E$64*DATI!$E$63)*1000*C643^2*sezione!$AD$5*(1-sezione!$AD$6)</f>
        <v>-23281306.570511755</v>
      </c>
      <c r="E643" s="553">
        <f>-'Foglio deposito bis'!$F$48*(C643-sezione!$AL$29)*IF(ABS(K643)&lt;'Progetto del paramento slu'!$G$58,ABS(K643)*'Progetto del paramento slu'!$G$54,'Progetto del paramento slu'!$G$53)</f>
        <v>0</v>
      </c>
      <c r="F643" s="553">
        <f>-'Foglio deposito bis'!$F$49*(C643-sezione!$AM$29)*IF(ABS(L643)&lt;'Progetto del paramento slu'!$G$58,ABS(L643)*'Progetto del paramento slu'!$G$54,'Progetto del paramento slu'!$G$53)</f>
        <v>19837041.823175315</v>
      </c>
      <c r="G643" s="553">
        <f>-'Foglio deposito bis'!$F$50*(C643-sezione!$AN$29)*IF(ABS(M643)&lt;'Progetto del paramento slu'!$G$58,ABS(M643)*'Progetto del paramento slu'!$G$54,'Progetto del paramento slu'!$G$53)</f>
        <v>0</v>
      </c>
      <c r="H643" s="553">
        <f>-'Foglio deposito bis'!$F$51*(C643-sezione!$AO$29)*IF(ABS(N643)&lt;'Progetto del paramento slu'!$G$58,ABS(N643)*'Progetto del paramento slu'!$G$54,'Progetto del paramento slu'!$G$53)</f>
        <v>69108195.696104378</v>
      </c>
      <c r="I643" s="479">
        <f>-'Foglio deposito bis'!$F$52*(C643-sezione!$AP$29)*IF(ABS(O643)&lt;'Progetto del paramento slu'!$G$58,ABS(O643)*'Progetto del paramento slu'!$G$54,'Progetto del paramento slu'!$G$53)</f>
        <v>49832956.636155151</v>
      </c>
      <c r="J643" s="479">
        <f t="shared" si="49"/>
        <v>115496887.58492309</v>
      </c>
      <c r="K643" s="558">
        <f>'Progetto del paramento slu'!$G$60*(sezione!$AL$29-C643)/C643</f>
        <v>-8.6744753360672383E-4</v>
      </c>
      <c r="L643" s="558">
        <f>'Progetto del paramento slu'!$G$60*(sezione!$AM$29-C643)/C643</f>
        <v>6.3720717489747858E-3</v>
      </c>
      <c r="M643" s="559">
        <f>'Progetto del paramento slu'!$G$60*(sezione!$AN$29-C643)/C643</f>
        <v>1.3611591031556295E-2</v>
      </c>
      <c r="N643" s="559">
        <f>'Progetto del paramento slu'!$G$60*(sezione!$AO$29-C643)/C643</f>
        <v>1.8876695964342844E-2</v>
      </c>
      <c r="O643" s="559">
        <f>'Progetto del paramento slu'!$G$60*(sezione!$AP$29-C643)/C643</f>
        <v>1.3611722342767054E-2</v>
      </c>
      <c r="P643" s="553">
        <f>-'Progetto del paramento slu'!$G$47*'Progetto del paramento slu'!$G$41*IF(DATI!$G$218="dx",DATI!$E$61,DATI!$E$64*DATI!$E$63)*1000*C643*sezione!$AD$5</f>
        <v>-749624.03416167689</v>
      </c>
      <c r="Q643" s="553">
        <f>'Foglio deposito bis'!$F$48*IF(ABS(K643)&lt;'Progetto del paramento slu'!$G$58,ABS(K643)*'Progetto del paramento slu'!$G$54,'Progetto del paramento slu'!$G$53)*IF(K643&lt;0,-1,1)</f>
        <v>0</v>
      </c>
      <c r="R643" s="553">
        <f>'Foglio deposito bis'!$F$49*IF(ABS(L643)&lt;'Progetto del paramento slu'!$G$58,ABS(L643)*'Progetto del paramento slu'!$G$54,'Progetto del paramento slu'!$G$53)*IF(L643&lt;0,-1,1)</f>
        <v>204886.47740803001</v>
      </c>
      <c r="S643" s="553">
        <f>'Foglio deposito bis'!$F$50*IF(ABS(M643)&lt;'Progetto del paramento slu'!$G$58,ABS(M643)*'Progetto del paramento slu'!$G$54,'Progetto del paramento slu'!$G$53)*IF(M643&lt;0,-1,1)</f>
        <v>0</v>
      </c>
      <c r="T643" s="553">
        <f>'Foglio deposito bis'!$F$51*IF(ABS(N643)&lt;'Progetto del paramento slu'!$G$58,ABS(N643)*'Progetto del paramento slu'!$G$54,'Progetto del paramento slu'!$G$53)*IF(N643&lt;0,-1,1)</f>
        <v>240946.49743184328</v>
      </c>
      <c r="U643" s="553">
        <f>'Foglio deposito bis'!$F$52*IF(ABS(O643)&lt;'Progetto del paramento slu'!$G$58,ABS(O643)*'Progetto del paramento slu'!$G$54,'Progetto del paramento slu'!$G$53)*IF(O643&lt;0,-1,1)</f>
        <v>240946.49743184328</v>
      </c>
      <c r="V643" s="479">
        <f t="shared" si="50"/>
        <v>-62844.561889960227</v>
      </c>
      <c r="W643" s="559"/>
      <c r="X643" s="559"/>
    </row>
    <row r="644" spans="1:24" x14ac:dyDescent="0.25">
      <c r="A644" s="553">
        <f t="shared" si="51"/>
        <v>74289.203632886551</v>
      </c>
      <c r="B644" s="3">
        <f t="shared" si="48"/>
        <v>13.299999999999974</v>
      </c>
      <c r="C644" s="553">
        <f>'Foglio deposito bis'!$E$155/sezione!$B$247*B644</f>
        <v>53.992240000780598</v>
      </c>
      <c r="D644" s="611">
        <f>-'Progetto del paramento slu'!$G$47*'Progetto del paramento slu'!$G$41*IF(DATI!$G$218="dx",DATI!$E$61,DATI!$E$64*DATI!$E$63)*1000*C644^2*sezione!$AD$5*(1-sezione!$AD$6)</f>
        <v>-23997612.722206306</v>
      </c>
      <c r="E644" s="553">
        <f>-'Foglio deposito bis'!$F$48*(C644-sezione!$AL$29)*IF(ABS(K644)&lt;'Progetto del paramento slu'!$G$58,ABS(K644)*'Progetto del paramento slu'!$G$54,'Progetto del paramento slu'!$G$53)</f>
        <v>0</v>
      </c>
      <c r="F644" s="553">
        <f>-'Foglio deposito bis'!$F$49*(C644-sezione!$AM$29)*IF(ABS(L644)&lt;'Progetto del paramento slu'!$G$58,ABS(L644)*'Progetto del paramento slu'!$G$54,'Progetto del paramento slu'!$G$53)</f>
        <v>19670691.750075631</v>
      </c>
      <c r="G644" s="553">
        <f>-'Foglio deposito bis'!$F$50*(C644-sezione!$AN$29)*IF(ABS(M644)&lt;'Progetto del paramento slu'!$G$58,ABS(M644)*'Progetto del paramento slu'!$G$54,'Progetto del paramento slu'!$G$53)</f>
        <v>0</v>
      </c>
      <c r="H644" s="553">
        <f>-'Foglio deposito bis'!$F$51*(C644-sezione!$AO$29)*IF(ABS(N644)&lt;'Progetto del paramento slu'!$G$58,ABS(N644)*'Progetto del paramento slu'!$G$54,'Progetto del paramento slu'!$G$53)</f>
        <v>68912568.010139167</v>
      </c>
      <c r="I644" s="479">
        <f>-'Foglio deposito bis'!$F$52*(C644-sezione!$AP$29)*IF(ABS(O644)&lt;'Progetto del paramento slu'!$G$58,ABS(O644)*'Progetto del paramento slu'!$G$54,'Progetto del paramento slu'!$G$53)</f>
        <v>49637328.950189926</v>
      </c>
      <c r="J644" s="479">
        <f t="shared" si="49"/>
        <v>114222975.98819843</v>
      </c>
      <c r="K644" s="558">
        <f>'Progetto del paramento slu'!$G$60*(sezione!$AL$29-C644)/C644</f>
        <v>-9.0703478874045731E-4</v>
      </c>
      <c r="L644" s="558">
        <f>'Progetto del paramento slu'!$G$60*(sezione!$AM$29-C644)/C644</f>
        <v>6.223619542223285E-3</v>
      </c>
      <c r="M644" s="559">
        <f>'Progetto del paramento slu'!$G$60*(sezione!$AN$29-C644)/C644</f>
        <v>1.3354273873187028E-2</v>
      </c>
      <c r="N644" s="559">
        <f>'Progetto del paramento slu'!$G$60*(sezione!$AO$29-C644)/C644</f>
        <v>1.8540204295706117E-2</v>
      </c>
      <c r="O644" s="559">
        <f>'Progetto del paramento slu'!$G$60*(sezione!$AP$29-C644)/C644</f>
        <v>1.3354403209793113E-2</v>
      </c>
      <c r="P644" s="553">
        <f>-'Progetto del paramento slu'!$G$47*'Progetto del paramento slu'!$G$41*IF(DATI!$G$218="dx",DATI!$E$61,DATI!$E$64*DATI!$E$63)*1000*C644*sezione!$AD$5</f>
        <v>-761068.67590460321</v>
      </c>
      <c r="Q644" s="553">
        <f>'Foglio deposito bis'!$F$48*IF(ABS(K644)&lt;'Progetto del paramento slu'!$G$58,ABS(K644)*'Progetto del paramento slu'!$G$54,'Progetto del paramento slu'!$G$53)*IF(K644&lt;0,-1,1)</f>
        <v>0</v>
      </c>
      <c r="R644" s="553">
        <f>'Foglio deposito bis'!$F$49*IF(ABS(L644)&lt;'Progetto del paramento slu'!$G$58,ABS(L644)*'Progetto del paramento slu'!$G$54,'Progetto del paramento slu'!$G$53)*IF(L644&lt;0,-1,1)</f>
        <v>204886.47740803001</v>
      </c>
      <c r="S644" s="553">
        <f>'Foglio deposito bis'!$F$50*IF(ABS(M644)&lt;'Progetto del paramento slu'!$G$58,ABS(M644)*'Progetto del paramento slu'!$G$54,'Progetto del paramento slu'!$G$53)*IF(M644&lt;0,-1,1)</f>
        <v>0</v>
      </c>
      <c r="T644" s="553">
        <f>'Foglio deposito bis'!$F$51*IF(ABS(N644)&lt;'Progetto del paramento slu'!$G$58,ABS(N644)*'Progetto del paramento slu'!$G$54,'Progetto del paramento slu'!$G$53)*IF(N644&lt;0,-1,1)</f>
        <v>240946.49743184328</v>
      </c>
      <c r="U644" s="553">
        <f>'Foglio deposito bis'!$F$52*IF(ABS(O644)&lt;'Progetto del paramento slu'!$G$58,ABS(O644)*'Progetto del paramento slu'!$G$54,'Progetto del paramento slu'!$G$53)*IF(O644&lt;0,-1,1)</f>
        <v>240946.49743184328</v>
      </c>
      <c r="V644" s="479">
        <f t="shared" si="50"/>
        <v>-74289.203632886551</v>
      </c>
      <c r="W644" s="559"/>
      <c r="X644" s="559"/>
    </row>
    <row r="645" spans="1:24" x14ac:dyDescent="0.25">
      <c r="A645" s="553">
        <f t="shared" si="51"/>
        <v>85733.845375812874</v>
      </c>
      <c r="B645" s="3">
        <f t="shared" si="48"/>
        <v>13.499999999999973</v>
      </c>
      <c r="C645" s="553">
        <f>'Foglio deposito bis'!$E$155/sezione!$B$247*B645</f>
        <v>54.804153384250981</v>
      </c>
      <c r="D645" s="611">
        <f>-'Progetto del paramento slu'!$G$47*'Progetto del paramento slu'!$G$41*IF(DATI!$G$218="dx",DATI!$E$61,DATI!$E$64*DATI!$E$63)*1000*C645^2*sezione!$AD$5*(1-sezione!$AD$6)</f>
        <v>-24724771.997411378</v>
      </c>
      <c r="E645" s="553">
        <f>-'Foglio deposito bis'!$F$48*(C645-sezione!$AL$29)*IF(ABS(K645)&lt;'Progetto del paramento slu'!$G$58,ABS(K645)*'Progetto del paramento slu'!$G$54,'Progetto del paramento slu'!$G$53)</f>
        <v>0</v>
      </c>
      <c r="F645" s="553">
        <f>-'Foglio deposito bis'!$F$49*(C645-sezione!$AM$29)*IF(ABS(L645)&lt;'Progetto del paramento slu'!$G$58,ABS(L645)*'Progetto del paramento slu'!$G$54,'Progetto del paramento slu'!$G$53)</f>
        <v>19504341.676975951</v>
      </c>
      <c r="G645" s="553">
        <f>-'Foglio deposito bis'!$F$50*(C645-sezione!$AN$29)*IF(ABS(M645)&lt;'Progetto del paramento slu'!$G$58,ABS(M645)*'Progetto del paramento slu'!$G$54,'Progetto del paramento slu'!$G$53)</f>
        <v>0</v>
      </c>
      <c r="H645" s="553">
        <f>-'Foglio deposito bis'!$F$51*(C645-sezione!$AO$29)*IF(ABS(N645)&lt;'Progetto del paramento slu'!$G$58,ABS(N645)*'Progetto del paramento slu'!$G$54,'Progetto del paramento slu'!$G$53)</f>
        <v>68716940.324173942</v>
      </c>
      <c r="I645" s="479">
        <f>-'Foglio deposito bis'!$F$52*(C645-sezione!$AP$29)*IF(ABS(O645)&lt;'Progetto del paramento slu'!$G$58,ABS(O645)*'Progetto del paramento slu'!$G$54,'Progetto del paramento slu'!$G$53)</f>
        <v>49441701.264224701</v>
      </c>
      <c r="J645" s="479">
        <f t="shared" si="49"/>
        <v>112938211.26796322</v>
      </c>
      <c r="K645" s="558">
        <f>'Progetto del paramento slu'!$G$60*(sezione!$AL$29-C645)/C645</f>
        <v>-9.4544908816652444E-4</v>
      </c>
      <c r="L645" s="558">
        <f>'Progetto del paramento slu'!$G$60*(sezione!$AM$29-C645)/C645</f>
        <v>6.0795659193755344E-3</v>
      </c>
      <c r="M645" s="559">
        <f>'Progetto del paramento slu'!$G$60*(sezione!$AN$29-C645)/C645</f>
        <v>1.3104580926917591E-2</v>
      </c>
      <c r="N645" s="559">
        <f>'Progetto del paramento slu'!$G$60*(sezione!$AO$29-C645)/C645</f>
        <v>1.8213682750584544E-2</v>
      </c>
      <c r="O645" s="559">
        <f>'Progetto del paramento slu'!$G$60*(sezione!$AP$29-C645)/C645</f>
        <v>1.3104708347425808E-2</v>
      </c>
      <c r="P645" s="553">
        <f>-'Progetto del paramento slu'!$G$47*'Progetto del paramento slu'!$G$41*IF(DATI!$G$218="dx",DATI!$E$61,DATI!$E$64*DATI!$E$63)*1000*C645*sezione!$AD$5</f>
        <v>-772513.31764752953</v>
      </c>
      <c r="Q645" s="553">
        <f>'Foglio deposito bis'!$F$48*IF(ABS(K645)&lt;'Progetto del paramento slu'!$G$58,ABS(K645)*'Progetto del paramento slu'!$G$54,'Progetto del paramento slu'!$G$53)*IF(K645&lt;0,-1,1)</f>
        <v>0</v>
      </c>
      <c r="R645" s="553">
        <f>'Foglio deposito bis'!$F$49*IF(ABS(L645)&lt;'Progetto del paramento slu'!$G$58,ABS(L645)*'Progetto del paramento slu'!$G$54,'Progetto del paramento slu'!$G$53)*IF(L645&lt;0,-1,1)</f>
        <v>204886.47740803001</v>
      </c>
      <c r="S645" s="553">
        <f>'Foglio deposito bis'!$F$50*IF(ABS(M645)&lt;'Progetto del paramento slu'!$G$58,ABS(M645)*'Progetto del paramento slu'!$G$54,'Progetto del paramento slu'!$G$53)*IF(M645&lt;0,-1,1)</f>
        <v>0</v>
      </c>
      <c r="T645" s="553">
        <f>'Foglio deposito bis'!$F$51*IF(ABS(N645)&lt;'Progetto del paramento slu'!$G$58,ABS(N645)*'Progetto del paramento slu'!$G$54,'Progetto del paramento slu'!$G$53)*IF(N645&lt;0,-1,1)</f>
        <v>240946.49743184328</v>
      </c>
      <c r="U645" s="553">
        <f>'Foglio deposito bis'!$F$52*IF(ABS(O645)&lt;'Progetto del paramento slu'!$G$58,ABS(O645)*'Progetto del paramento slu'!$G$54,'Progetto del paramento slu'!$G$53)*IF(O645&lt;0,-1,1)</f>
        <v>240946.49743184328</v>
      </c>
      <c r="V645" s="479">
        <f t="shared" si="50"/>
        <v>-85733.845375812874</v>
      </c>
      <c r="W645" s="559"/>
      <c r="X645" s="559"/>
    </row>
    <row r="646" spans="1:24" x14ac:dyDescent="0.25">
      <c r="A646" s="553">
        <f t="shared" si="51"/>
        <v>97178.487118739431</v>
      </c>
      <c r="B646" s="3">
        <f t="shared" si="48"/>
        <v>13.699999999999973</v>
      </c>
      <c r="C646" s="553">
        <f>'Foglio deposito bis'!$E$155/sezione!$B$247*B646</f>
        <v>55.616066767721364</v>
      </c>
      <c r="D646" s="611">
        <f>-'Progetto del paramento slu'!$G$47*'Progetto del paramento slu'!$G$41*IF(DATI!$G$218="dx",DATI!$E$61,DATI!$E$64*DATI!$E$63)*1000*C646^2*sezione!$AD$5*(1-sezione!$AD$6)</f>
        <v>-25462784.396126974</v>
      </c>
      <c r="E646" s="553">
        <f>-'Foglio deposito bis'!$F$48*(C646-sezione!$AL$29)*IF(ABS(K646)&lt;'Progetto del paramento slu'!$G$58,ABS(K646)*'Progetto del paramento slu'!$G$54,'Progetto del paramento slu'!$G$53)</f>
        <v>0</v>
      </c>
      <c r="F646" s="553">
        <f>-'Foglio deposito bis'!$F$49*(C646-sezione!$AM$29)*IF(ABS(L646)&lt;'Progetto del paramento slu'!$G$58,ABS(L646)*'Progetto del paramento slu'!$G$54,'Progetto del paramento slu'!$G$53)</f>
        <v>19337991.60387627</v>
      </c>
      <c r="G646" s="553">
        <f>-'Foglio deposito bis'!$F$50*(C646-sezione!$AN$29)*IF(ABS(M646)&lt;'Progetto del paramento slu'!$G$58,ABS(M646)*'Progetto del paramento slu'!$G$54,'Progetto del paramento slu'!$G$53)</f>
        <v>0</v>
      </c>
      <c r="H646" s="553">
        <f>-'Foglio deposito bis'!$F$51*(C646-sezione!$AO$29)*IF(ABS(N646)&lt;'Progetto del paramento slu'!$G$58,ABS(N646)*'Progetto del paramento slu'!$G$54,'Progetto del paramento slu'!$G$53)</f>
        <v>68521312.638208717</v>
      </c>
      <c r="I646" s="479">
        <f>-'Foglio deposito bis'!$F$52*(C646-sezione!$AP$29)*IF(ABS(O646)&lt;'Progetto del paramento slu'!$G$58,ABS(O646)*'Progetto del paramento slu'!$G$54,'Progetto del paramento slu'!$G$53)</f>
        <v>49246073.578259476</v>
      </c>
      <c r="J646" s="479">
        <f t="shared" si="49"/>
        <v>111642593.42421749</v>
      </c>
      <c r="K646" s="558">
        <f>'Progetto del paramento slu'!$G$60*(sezione!$AL$29-C646)/C646</f>
        <v>-9.8274180220788896E-4</v>
      </c>
      <c r="L646" s="558">
        <f>'Progetto del paramento slu'!$G$60*(sezione!$AM$29-C646)/C646</f>
        <v>5.9397182417204163E-3</v>
      </c>
      <c r="M646" s="559">
        <f>'Progetto del paramento slu'!$G$60*(sezione!$AN$29-C646)/C646</f>
        <v>1.2862178285648722E-2</v>
      </c>
      <c r="N646" s="559">
        <f>'Progetto del paramento slu'!$G$60*(sezione!$AO$29-C646)/C646</f>
        <v>1.7896694681232946E-2</v>
      </c>
      <c r="O646" s="559">
        <f>'Progetto del paramento slu'!$G$60*(sezione!$AP$29-C646)/C646</f>
        <v>1.2862303846003535E-2</v>
      </c>
      <c r="P646" s="553">
        <f>-'Progetto del paramento slu'!$G$47*'Progetto del paramento slu'!$G$41*IF(DATI!$G$218="dx",DATI!$E$61,DATI!$E$64*DATI!$E$63)*1000*C646*sezione!$AD$5</f>
        <v>-783957.95939045597</v>
      </c>
      <c r="Q646" s="553">
        <f>'Foglio deposito bis'!$F$48*IF(ABS(K646)&lt;'Progetto del paramento slu'!$G$58,ABS(K646)*'Progetto del paramento slu'!$G$54,'Progetto del paramento slu'!$G$53)*IF(K646&lt;0,-1,1)</f>
        <v>0</v>
      </c>
      <c r="R646" s="553">
        <f>'Foglio deposito bis'!$F$49*IF(ABS(L646)&lt;'Progetto del paramento slu'!$G$58,ABS(L646)*'Progetto del paramento slu'!$G$54,'Progetto del paramento slu'!$G$53)*IF(L646&lt;0,-1,1)</f>
        <v>204886.47740803001</v>
      </c>
      <c r="S646" s="553">
        <f>'Foglio deposito bis'!$F$50*IF(ABS(M646)&lt;'Progetto del paramento slu'!$G$58,ABS(M646)*'Progetto del paramento slu'!$G$54,'Progetto del paramento slu'!$G$53)*IF(M646&lt;0,-1,1)</f>
        <v>0</v>
      </c>
      <c r="T646" s="553">
        <f>'Foglio deposito bis'!$F$51*IF(ABS(N646)&lt;'Progetto del paramento slu'!$G$58,ABS(N646)*'Progetto del paramento slu'!$G$54,'Progetto del paramento slu'!$G$53)*IF(N646&lt;0,-1,1)</f>
        <v>240946.49743184328</v>
      </c>
      <c r="U646" s="553">
        <f>'Foglio deposito bis'!$F$52*IF(ABS(O646)&lt;'Progetto del paramento slu'!$G$58,ABS(O646)*'Progetto del paramento slu'!$G$54,'Progetto del paramento slu'!$G$53)*IF(O646&lt;0,-1,1)</f>
        <v>240946.49743184328</v>
      </c>
      <c r="V646" s="479">
        <f t="shared" si="50"/>
        <v>-97178.487118739431</v>
      </c>
      <c r="W646" s="559"/>
      <c r="X646" s="559"/>
    </row>
    <row r="647" spans="1:24" x14ac:dyDescent="0.25">
      <c r="A647" s="553">
        <f t="shared" si="51"/>
        <v>108623.12886166552</v>
      </c>
      <c r="B647" s="3">
        <f t="shared" si="48"/>
        <v>13.899999999999972</v>
      </c>
      <c r="C647" s="553">
        <f>'Foglio deposito bis'!$E$155/sezione!$B$247*B647</f>
        <v>56.427980151191747</v>
      </c>
      <c r="D647" s="611">
        <f>-'Progetto del paramento slu'!$G$47*'Progetto del paramento slu'!$G$41*IF(DATI!$G$218="dx",DATI!$E$61,DATI!$E$64*DATI!$E$63)*1000*C647^2*sezione!$AD$5*(1-sezione!$AD$6)</f>
        <v>-26211649.918353096</v>
      </c>
      <c r="E647" s="553">
        <f>-'Foglio deposito bis'!$F$48*(C647-sezione!$AL$29)*IF(ABS(K647)&lt;'Progetto del paramento slu'!$G$58,ABS(K647)*'Progetto del paramento slu'!$G$54,'Progetto del paramento slu'!$G$53)</f>
        <v>0</v>
      </c>
      <c r="F647" s="553">
        <f>-'Foglio deposito bis'!$F$49*(C647-sezione!$AM$29)*IF(ABS(L647)&lt;'Progetto del paramento slu'!$G$58,ABS(L647)*'Progetto del paramento slu'!$G$54,'Progetto del paramento slu'!$G$53)</f>
        <v>19171641.530776586</v>
      </c>
      <c r="G647" s="553">
        <f>-'Foglio deposito bis'!$F$50*(C647-sezione!$AN$29)*IF(ABS(M647)&lt;'Progetto del paramento slu'!$G$58,ABS(M647)*'Progetto del paramento slu'!$G$54,'Progetto del paramento slu'!$G$53)</f>
        <v>0</v>
      </c>
      <c r="H647" s="553">
        <f>-'Foglio deposito bis'!$F$51*(C647-sezione!$AO$29)*IF(ABS(N647)&lt;'Progetto del paramento slu'!$G$58,ABS(N647)*'Progetto del paramento slu'!$G$54,'Progetto del paramento slu'!$G$53)</f>
        <v>68325684.952243492</v>
      </c>
      <c r="I647" s="479">
        <f>-'Foglio deposito bis'!$F$52*(C647-sezione!$AP$29)*IF(ABS(O647)&lt;'Progetto del paramento slu'!$G$58,ABS(O647)*'Progetto del paramento slu'!$G$54,'Progetto del paramento slu'!$G$53)</f>
        <v>49050445.89229425</v>
      </c>
      <c r="J647" s="479">
        <f t="shared" si="49"/>
        <v>110336122.45696124</v>
      </c>
      <c r="K647" s="558">
        <f>'Progetto del paramento slu'!$G$60*(sezione!$AL$29-C647)/C647</f>
        <v>-1.0189613446221638E-3</v>
      </c>
      <c r="L647" s="558">
        <f>'Progetto del paramento slu'!$G$60*(sezione!$AM$29-C647)/C647</f>
        <v>5.8038949576668854E-3</v>
      </c>
      <c r="M647" s="559">
        <f>'Progetto del paramento slu'!$G$60*(sezione!$AN$29-C647)/C647</f>
        <v>1.2626751259955936E-2</v>
      </c>
      <c r="N647" s="559">
        <f>'Progetto del paramento slu'!$G$60*(sezione!$AO$29-C647)/C647</f>
        <v>1.7588828570711607E-2</v>
      </c>
      <c r="O647" s="559">
        <f>'Progetto del paramento slu'!$G$60*(sezione!$AP$29-C647)/C647</f>
        <v>1.2626875013686938E-2</v>
      </c>
      <c r="P647" s="553">
        <f>-'Progetto del paramento slu'!$G$47*'Progetto del paramento slu'!$G$41*IF(DATI!$G$218="dx",DATI!$E$61,DATI!$E$64*DATI!$E$63)*1000*C647*sezione!$AD$5</f>
        <v>-795402.60113338218</v>
      </c>
      <c r="Q647" s="553">
        <f>'Foglio deposito bis'!$F$48*IF(ABS(K647)&lt;'Progetto del paramento slu'!$G$58,ABS(K647)*'Progetto del paramento slu'!$G$54,'Progetto del paramento slu'!$G$53)*IF(K647&lt;0,-1,1)</f>
        <v>0</v>
      </c>
      <c r="R647" s="553">
        <f>'Foglio deposito bis'!$F$49*IF(ABS(L647)&lt;'Progetto del paramento slu'!$G$58,ABS(L647)*'Progetto del paramento slu'!$G$54,'Progetto del paramento slu'!$G$53)*IF(L647&lt;0,-1,1)</f>
        <v>204886.47740803001</v>
      </c>
      <c r="S647" s="553">
        <f>'Foglio deposito bis'!$F$50*IF(ABS(M647)&lt;'Progetto del paramento slu'!$G$58,ABS(M647)*'Progetto del paramento slu'!$G$54,'Progetto del paramento slu'!$G$53)*IF(M647&lt;0,-1,1)</f>
        <v>0</v>
      </c>
      <c r="T647" s="553">
        <f>'Foglio deposito bis'!$F$51*IF(ABS(N647)&lt;'Progetto del paramento slu'!$G$58,ABS(N647)*'Progetto del paramento slu'!$G$54,'Progetto del paramento slu'!$G$53)*IF(N647&lt;0,-1,1)</f>
        <v>240946.49743184328</v>
      </c>
      <c r="U647" s="553">
        <f>'Foglio deposito bis'!$F$52*IF(ABS(O647)&lt;'Progetto del paramento slu'!$G$58,ABS(O647)*'Progetto del paramento slu'!$G$54,'Progetto del paramento slu'!$G$53)*IF(O647&lt;0,-1,1)</f>
        <v>240946.49743184328</v>
      </c>
      <c r="V647" s="479">
        <f t="shared" si="50"/>
        <v>-108623.12886166552</v>
      </c>
      <c r="W647" s="559"/>
      <c r="X647" s="559"/>
    </row>
    <row r="648" spans="1:24" x14ac:dyDescent="0.25">
      <c r="A648" s="553">
        <f t="shared" si="51"/>
        <v>120067.77060459208</v>
      </c>
      <c r="B648" s="3">
        <f t="shared" si="48"/>
        <v>14.099999999999971</v>
      </c>
      <c r="C648" s="553">
        <f>'Foglio deposito bis'!$E$155/sezione!$B$247*B648</f>
        <v>57.23989353466213</v>
      </c>
      <c r="D648" s="611">
        <f>-'Progetto del paramento slu'!$G$47*'Progetto del paramento slu'!$G$41*IF(DATI!$G$218="dx",DATI!$E$61,DATI!$E$64*DATI!$E$63)*1000*C648^2*sezione!$AD$5*(1-sezione!$AD$6)</f>
        <v>-26971368.564089742</v>
      </c>
      <c r="E648" s="553">
        <f>-'Foglio deposito bis'!$F$48*(C648-sezione!$AL$29)*IF(ABS(K648)&lt;'Progetto del paramento slu'!$G$58,ABS(K648)*'Progetto del paramento slu'!$G$54,'Progetto del paramento slu'!$G$53)</f>
        <v>0</v>
      </c>
      <c r="F648" s="553">
        <f>-'Foglio deposito bis'!$F$49*(C648-sezione!$AM$29)*IF(ABS(L648)&lt;'Progetto del paramento slu'!$G$58,ABS(L648)*'Progetto del paramento slu'!$G$54,'Progetto del paramento slu'!$G$53)</f>
        <v>19005291.457676906</v>
      </c>
      <c r="G648" s="553">
        <f>-'Foglio deposito bis'!$F$50*(C648-sezione!$AN$29)*IF(ABS(M648)&lt;'Progetto del paramento slu'!$G$58,ABS(M648)*'Progetto del paramento slu'!$G$54,'Progetto del paramento slu'!$G$53)</f>
        <v>0</v>
      </c>
      <c r="H648" s="553">
        <f>-'Foglio deposito bis'!$F$51*(C648-sezione!$AO$29)*IF(ABS(N648)&lt;'Progetto del paramento slu'!$G$58,ABS(N648)*'Progetto del paramento slu'!$G$54,'Progetto del paramento slu'!$G$53)</f>
        <v>68130057.266278252</v>
      </c>
      <c r="I648" s="479">
        <f>-'Foglio deposito bis'!$F$52*(C648-sezione!$AP$29)*IF(ABS(O648)&lt;'Progetto del paramento slu'!$G$58,ABS(O648)*'Progetto del paramento slu'!$G$54,'Progetto del paramento slu'!$G$53)</f>
        <v>48854818.206329018</v>
      </c>
      <c r="J648" s="479">
        <f t="shared" si="49"/>
        <v>109018798.36619443</v>
      </c>
      <c r="K648" s="558">
        <f>'Progetto del paramento slu'!$G$60*(sezione!$AL$29-C648)/C648</f>
        <v>-1.0541533822870975E-3</v>
      </c>
      <c r="L648" s="558">
        <f>'Progetto del paramento slu'!$G$60*(sezione!$AM$29-C648)/C648</f>
        <v>5.6719248164233838E-3</v>
      </c>
      <c r="M648" s="559">
        <f>'Progetto del paramento slu'!$G$60*(sezione!$AN$29-C648)/C648</f>
        <v>1.2398003015133866E-2</v>
      </c>
      <c r="N648" s="559">
        <f>'Progetto del paramento slu'!$G$60*(sezione!$AO$29-C648)/C648</f>
        <v>1.728969625055967E-2</v>
      </c>
      <c r="O648" s="559">
        <f>'Progetto del paramento slu'!$G$60*(sezione!$AP$29-C648)/C648</f>
        <v>1.2398125013492798E-2</v>
      </c>
      <c r="P648" s="553">
        <f>-'Progetto del paramento slu'!$G$47*'Progetto del paramento slu'!$G$41*IF(DATI!$G$218="dx",DATI!$E$61,DATI!$E$64*DATI!$E$63)*1000*C648*sezione!$AD$5</f>
        <v>-806847.24287630862</v>
      </c>
      <c r="Q648" s="553">
        <f>'Foglio deposito bis'!$F$48*IF(ABS(K648)&lt;'Progetto del paramento slu'!$G$58,ABS(K648)*'Progetto del paramento slu'!$G$54,'Progetto del paramento slu'!$G$53)*IF(K648&lt;0,-1,1)</f>
        <v>0</v>
      </c>
      <c r="R648" s="553">
        <f>'Foglio deposito bis'!$F$49*IF(ABS(L648)&lt;'Progetto del paramento slu'!$G$58,ABS(L648)*'Progetto del paramento slu'!$G$54,'Progetto del paramento slu'!$G$53)*IF(L648&lt;0,-1,1)</f>
        <v>204886.47740803001</v>
      </c>
      <c r="S648" s="553">
        <f>'Foglio deposito bis'!$F$50*IF(ABS(M648)&lt;'Progetto del paramento slu'!$G$58,ABS(M648)*'Progetto del paramento slu'!$G$54,'Progetto del paramento slu'!$G$53)*IF(M648&lt;0,-1,1)</f>
        <v>0</v>
      </c>
      <c r="T648" s="553">
        <f>'Foglio deposito bis'!$F$51*IF(ABS(N648)&lt;'Progetto del paramento slu'!$G$58,ABS(N648)*'Progetto del paramento slu'!$G$54,'Progetto del paramento slu'!$G$53)*IF(N648&lt;0,-1,1)</f>
        <v>240946.49743184328</v>
      </c>
      <c r="U648" s="553">
        <f>'Foglio deposito bis'!$F$52*IF(ABS(O648)&lt;'Progetto del paramento slu'!$G$58,ABS(O648)*'Progetto del paramento slu'!$G$54,'Progetto del paramento slu'!$G$53)*IF(O648&lt;0,-1,1)</f>
        <v>240946.49743184328</v>
      </c>
      <c r="V648" s="479">
        <f t="shared" si="50"/>
        <v>-120067.77060459208</v>
      </c>
      <c r="W648" s="559"/>
      <c r="X648" s="559"/>
    </row>
    <row r="649" spans="1:24" x14ac:dyDescent="0.25">
      <c r="A649" s="553">
        <f t="shared" si="51"/>
        <v>131512.4123475184</v>
      </c>
      <c r="B649" s="3">
        <f t="shared" si="48"/>
        <v>14.299999999999971</v>
      </c>
      <c r="C649" s="553">
        <f>'Foglio deposito bis'!$E$155/sezione!$B$247*B649</f>
        <v>58.051806918132513</v>
      </c>
      <c r="D649" s="611">
        <f>-'Progetto del paramento slu'!$G$47*'Progetto del paramento slu'!$G$41*IF(DATI!$G$218="dx",DATI!$E$61,DATI!$E$64*DATI!$E$63)*1000*C649^2*sezione!$AD$5*(1-sezione!$AD$6)</f>
        <v>-27741940.333336912</v>
      </c>
      <c r="E649" s="553">
        <f>-'Foglio deposito bis'!$F$48*(C649-sezione!$AL$29)*IF(ABS(K649)&lt;'Progetto del paramento slu'!$G$58,ABS(K649)*'Progetto del paramento slu'!$G$54,'Progetto del paramento slu'!$G$53)</f>
        <v>0</v>
      </c>
      <c r="F649" s="553">
        <f>-'Foglio deposito bis'!$F$49*(C649-sezione!$AM$29)*IF(ABS(L649)&lt;'Progetto del paramento slu'!$G$58,ABS(L649)*'Progetto del paramento slu'!$G$54,'Progetto del paramento slu'!$G$53)</f>
        <v>18838941.384577222</v>
      </c>
      <c r="G649" s="553">
        <f>-'Foglio deposito bis'!$F$50*(C649-sezione!$AN$29)*IF(ABS(M649)&lt;'Progetto del paramento slu'!$G$58,ABS(M649)*'Progetto del paramento slu'!$G$54,'Progetto del paramento slu'!$G$53)</f>
        <v>0</v>
      </c>
      <c r="H649" s="553">
        <f>-'Foglio deposito bis'!$F$51*(C649-sezione!$AO$29)*IF(ABS(N649)&lt;'Progetto del paramento slu'!$G$58,ABS(N649)*'Progetto del paramento slu'!$G$54,'Progetto del paramento slu'!$G$53)</f>
        <v>67934429.580313027</v>
      </c>
      <c r="I649" s="479">
        <f>-'Foglio deposito bis'!$F$52*(C649-sezione!$AP$29)*IF(ABS(O649)&lt;'Progetto del paramento slu'!$G$58,ABS(O649)*'Progetto del paramento slu'!$G$54,'Progetto del paramento slu'!$G$53)</f>
        <v>48659190.5203638</v>
      </c>
      <c r="J649" s="479">
        <f t="shared" si="49"/>
        <v>107690621.15191713</v>
      </c>
      <c r="K649" s="558">
        <f>'Progetto del paramento slu'!$G$60*(sezione!$AL$29-C649)/C649</f>
        <v>-1.0883610272900753E-3</v>
      </c>
      <c r="L649" s="558">
        <f>'Progetto del paramento slu'!$G$60*(sezione!$AM$29-C649)/C649</f>
        <v>5.5436461476622186E-3</v>
      </c>
      <c r="M649" s="559">
        <f>'Progetto del paramento slu'!$G$60*(sezione!$AN$29-C649)/C649</f>
        <v>1.2175653322614511E-2</v>
      </c>
      <c r="N649" s="559">
        <f>'Progetto del paramento slu'!$G$60*(sezione!$AO$29-C649)/C649</f>
        <v>1.699893126803436E-2</v>
      </c>
      <c r="O649" s="559">
        <f>'Progetto del paramento slu'!$G$60*(sezione!$AP$29-C649)/C649</f>
        <v>1.2175773614702689E-2</v>
      </c>
      <c r="P649" s="553">
        <f>-'Progetto del paramento slu'!$G$47*'Progetto del paramento slu'!$G$41*IF(DATI!$G$218="dx",DATI!$E$61,DATI!$E$64*DATI!$E$63)*1000*C649*sezione!$AD$5</f>
        <v>-818291.88461923494</v>
      </c>
      <c r="Q649" s="553">
        <f>'Foglio deposito bis'!$F$48*IF(ABS(K649)&lt;'Progetto del paramento slu'!$G$58,ABS(K649)*'Progetto del paramento slu'!$G$54,'Progetto del paramento slu'!$G$53)*IF(K649&lt;0,-1,1)</f>
        <v>0</v>
      </c>
      <c r="R649" s="553">
        <f>'Foglio deposito bis'!$F$49*IF(ABS(L649)&lt;'Progetto del paramento slu'!$G$58,ABS(L649)*'Progetto del paramento slu'!$G$54,'Progetto del paramento slu'!$G$53)*IF(L649&lt;0,-1,1)</f>
        <v>204886.47740803001</v>
      </c>
      <c r="S649" s="553">
        <f>'Foglio deposito bis'!$F$50*IF(ABS(M649)&lt;'Progetto del paramento slu'!$G$58,ABS(M649)*'Progetto del paramento slu'!$G$54,'Progetto del paramento slu'!$G$53)*IF(M649&lt;0,-1,1)</f>
        <v>0</v>
      </c>
      <c r="T649" s="553">
        <f>'Foglio deposito bis'!$F$51*IF(ABS(N649)&lt;'Progetto del paramento slu'!$G$58,ABS(N649)*'Progetto del paramento slu'!$G$54,'Progetto del paramento slu'!$G$53)*IF(N649&lt;0,-1,1)</f>
        <v>240946.49743184328</v>
      </c>
      <c r="U649" s="553">
        <f>'Foglio deposito bis'!$F$52*IF(ABS(O649)&lt;'Progetto del paramento slu'!$G$58,ABS(O649)*'Progetto del paramento slu'!$G$54,'Progetto del paramento slu'!$G$53)*IF(O649&lt;0,-1,1)</f>
        <v>240946.49743184328</v>
      </c>
      <c r="V649" s="479">
        <f t="shared" si="50"/>
        <v>-131512.4123475184</v>
      </c>
      <c r="W649" s="559"/>
      <c r="X649" s="559"/>
    </row>
    <row r="650" spans="1:24" x14ac:dyDescent="0.25">
      <c r="A650" s="553">
        <f t="shared" si="51"/>
        <v>142957.05409044473</v>
      </c>
      <c r="B650" s="3">
        <f t="shared" si="48"/>
        <v>14.49999999999997</v>
      </c>
      <c r="C650" s="553">
        <f>'Foglio deposito bis'!$E$155/sezione!$B$247*B650</f>
        <v>58.863720301602896</v>
      </c>
      <c r="D650" s="611">
        <f>-'Progetto del paramento slu'!$G$47*'Progetto del paramento slu'!$G$41*IF(DATI!$G$218="dx",DATI!$E$61,DATI!$E$64*DATI!$E$63)*1000*C650^2*sezione!$AD$5*(1-sezione!$AD$6)</f>
        <v>-28523365.2260946</v>
      </c>
      <c r="E650" s="553">
        <f>-'Foglio deposito bis'!$F$48*(C650-sezione!$AL$29)*IF(ABS(K650)&lt;'Progetto del paramento slu'!$G$58,ABS(K650)*'Progetto del paramento slu'!$G$54,'Progetto del paramento slu'!$G$53)</f>
        <v>0</v>
      </c>
      <c r="F650" s="553">
        <f>-'Foglio deposito bis'!$F$49*(C650-sezione!$AM$29)*IF(ABS(L650)&lt;'Progetto del paramento slu'!$G$58,ABS(L650)*'Progetto del paramento slu'!$G$54,'Progetto del paramento slu'!$G$53)</f>
        <v>18672591.311477542</v>
      </c>
      <c r="G650" s="553">
        <f>-'Foglio deposito bis'!$F$50*(C650-sezione!$AN$29)*IF(ABS(M650)&lt;'Progetto del paramento slu'!$G$58,ABS(M650)*'Progetto del paramento slu'!$G$54,'Progetto del paramento slu'!$G$53)</f>
        <v>0</v>
      </c>
      <c r="H650" s="553">
        <f>-'Foglio deposito bis'!$F$51*(C650-sezione!$AO$29)*IF(ABS(N650)&lt;'Progetto del paramento slu'!$G$58,ABS(N650)*'Progetto del paramento slu'!$G$54,'Progetto del paramento slu'!$G$53)</f>
        <v>67738801.894347817</v>
      </c>
      <c r="I650" s="479">
        <f>-'Foglio deposito bis'!$F$52*(C650-sezione!$AP$29)*IF(ABS(O650)&lt;'Progetto del paramento slu'!$G$58,ABS(O650)*'Progetto del paramento slu'!$G$54,'Progetto del paramento slu'!$G$53)</f>
        <v>48463562.834398575</v>
      </c>
      <c r="J650" s="479">
        <f t="shared" si="49"/>
        <v>106351590.81412932</v>
      </c>
      <c r="K650" s="558">
        <f>'Progetto del paramento slu'!$G$60*(sezione!$AL$29-C650)/C650</f>
        <v>-1.121625013120557E-3</v>
      </c>
      <c r="L650" s="558">
        <f>'Progetto del paramento slu'!$G$60*(sezione!$AM$29-C650)/C650</f>
        <v>5.4189062007979115E-3</v>
      </c>
      <c r="M650" s="559">
        <f>'Progetto del paramento slu'!$G$60*(sezione!$AN$29-C650)/C650</f>
        <v>1.1959437414716381E-2</v>
      </c>
      <c r="N650" s="559">
        <f>'Progetto del paramento slu'!$G$60*(sezione!$AO$29-C650)/C650</f>
        <v>1.671618738847527E-2</v>
      </c>
      <c r="O650" s="559">
        <f>'Progetto del paramento slu'!$G$60*(sezione!$AP$29-C650)/C650</f>
        <v>1.1959556047603343E-2</v>
      </c>
      <c r="P650" s="553">
        <f>-'Progetto del paramento slu'!$G$47*'Progetto del paramento slu'!$G$41*IF(DATI!$G$218="dx",DATI!$E$61,DATI!$E$64*DATI!$E$63)*1000*C650*sezione!$AD$5</f>
        <v>-829736.52636216127</v>
      </c>
      <c r="Q650" s="553">
        <f>'Foglio deposito bis'!$F$48*IF(ABS(K650)&lt;'Progetto del paramento slu'!$G$58,ABS(K650)*'Progetto del paramento slu'!$G$54,'Progetto del paramento slu'!$G$53)*IF(K650&lt;0,-1,1)</f>
        <v>0</v>
      </c>
      <c r="R650" s="553">
        <f>'Foglio deposito bis'!$F$49*IF(ABS(L650)&lt;'Progetto del paramento slu'!$G$58,ABS(L650)*'Progetto del paramento slu'!$G$54,'Progetto del paramento slu'!$G$53)*IF(L650&lt;0,-1,1)</f>
        <v>204886.47740803001</v>
      </c>
      <c r="S650" s="553">
        <f>'Foglio deposito bis'!$F$50*IF(ABS(M650)&lt;'Progetto del paramento slu'!$G$58,ABS(M650)*'Progetto del paramento slu'!$G$54,'Progetto del paramento slu'!$G$53)*IF(M650&lt;0,-1,1)</f>
        <v>0</v>
      </c>
      <c r="T650" s="553">
        <f>'Foglio deposito bis'!$F$51*IF(ABS(N650)&lt;'Progetto del paramento slu'!$G$58,ABS(N650)*'Progetto del paramento slu'!$G$54,'Progetto del paramento slu'!$G$53)*IF(N650&lt;0,-1,1)</f>
        <v>240946.49743184328</v>
      </c>
      <c r="U650" s="553">
        <f>'Foglio deposito bis'!$F$52*IF(ABS(O650)&lt;'Progetto del paramento slu'!$G$58,ABS(O650)*'Progetto del paramento slu'!$G$54,'Progetto del paramento slu'!$G$53)*IF(O650&lt;0,-1,1)</f>
        <v>240946.49743184328</v>
      </c>
      <c r="V650" s="479">
        <f t="shared" si="50"/>
        <v>-142957.05409044473</v>
      </c>
      <c r="W650" s="559"/>
      <c r="X650" s="559"/>
    </row>
    <row r="651" spans="1:24" x14ac:dyDescent="0.25">
      <c r="A651" s="553">
        <f t="shared" si="51"/>
        <v>154401.69583337105</v>
      </c>
      <c r="B651" s="3">
        <f t="shared" si="48"/>
        <v>14.699999999999969</v>
      </c>
      <c r="C651" s="553">
        <f>'Foglio deposito bis'!$E$155/sezione!$B$247*B651</f>
        <v>59.675633685073279</v>
      </c>
      <c r="D651" s="611">
        <f>-'Progetto del paramento slu'!$G$47*'Progetto del paramento slu'!$G$41*IF(DATI!$G$218="dx",DATI!$E$61,DATI!$E$64*DATI!$E$63)*1000*C651^2*sezione!$AD$5*(1-sezione!$AD$6)</f>
        <v>-29315643.24236282</v>
      </c>
      <c r="E651" s="553">
        <f>-'Foglio deposito bis'!$F$48*(C651-sezione!$AL$29)*IF(ABS(K651)&lt;'Progetto del paramento slu'!$G$58,ABS(K651)*'Progetto del paramento slu'!$G$54,'Progetto del paramento slu'!$G$53)</f>
        <v>0</v>
      </c>
      <c r="F651" s="553">
        <f>-'Foglio deposito bis'!$F$49*(C651-sezione!$AM$29)*IF(ABS(L651)&lt;'Progetto del paramento slu'!$G$58,ABS(L651)*'Progetto del paramento slu'!$G$54,'Progetto del paramento slu'!$G$53)</f>
        <v>18506241.238377862</v>
      </c>
      <c r="G651" s="553">
        <f>-'Foglio deposito bis'!$F$50*(C651-sezione!$AN$29)*IF(ABS(M651)&lt;'Progetto del paramento slu'!$G$58,ABS(M651)*'Progetto del paramento slu'!$G$54,'Progetto del paramento slu'!$G$53)</f>
        <v>0</v>
      </c>
      <c r="H651" s="553">
        <f>-'Foglio deposito bis'!$F$51*(C651-sezione!$AO$29)*IF(ABS(N651)&lt;'Progetto del paramento slu'!$G$58,ABS(N651)*'Progetto del paramento slu'!$G$54,'Progetto del paramento slu'!$G$53)</f>
        <v>67543174.208382577</v>
      </c>
      <c r="I651" s="479">
        <f>-'Foglio deposito bis'!$F$52*(C651-sezione!$AP$29)*IF(ABS(O651)&lt;'Progetto del paramento slu'!$G$58,ABS(O651)*'Progetto del paramento slu'!$G$54,'Progetto del paramento slu'!$G$53)</f>
        <v>48267935.148433343</v>
      </c>
      <c r="J651" s="479">
        <f t="shared" si="49"/>
        <v>105001707.35283096</v>
      </c>
      <c r="K651" s="558">
        <f>'Progetto del paramento slu'!$G$60*(sezione!$AL$29-C651)/C651</f>
        <v>-1.1539838564794608E-3</v>
      </c>
      <c r="L651" s="558">
        <f>'Progetto del paramento slu'!$G$60*(sezione!$AM$29-C651)/C651</f>
        <v>5.2975605382020218E-3</v>
      </c>
      <c r="M651" s="559">
        <f>'Progetto del paramento slu'!$G$60*(sezione!$AN$29-C651)/C651</f>
        <v>1.1749104932883505E-2</v>
      </c>
      <c r="N651" s="559">
        <f>'Progetto del paramento slu'!$G$60*(sezione!$AO$29-C651)/C651</f>
        <v>1.6441137219924584E-2</v>
      </c>
      <c r="O651" s="559">
        <f>'Progetto del paramento slu'!$G$60*(sezione!$AP$29-C651)/C651</f>
        <v>1.1749221951717582E-2</v>
      </c>
      <c r="P651" s="553">
        <f>-'Progetto del paramento slu'!$G$47*'Progetto del paramento slu'!$G$41*IF(DATI!$G$218="dx",DATI!$E$61,DATI!$E$64*DATI!$E$63)*1000*C651*sezione!$AD$5</f>
        <v>-841181.16810508759</v>
      </c>
      <c r="Q651" s="553">
        <f>'Foglio deposito bis'!$F$48*IF(ABS(K651)&lt;'Progetto del paramento slu'!$G$58,ABS(K651)*'Progetto del paramento slu'!$G$54,'Progetto del paramento slu'!$G$53)*IF(K651&lt;0,-1,1)</f>
        <v>0</v>
      </c>
      <c r="R651" s="553">
        <f>'Foglio deposito bis'!$F$49*IF(ABS(L651)&lt;'Progetto del paramento slu'!$G$58,ABS(L651)*'Progetto del paramento slu'!$G$54,'Progetto del paramento slu'!$G$53)*IF(L651&lt;0,-1,1)</f>
        <v>204886.47740803001</v>
      </c>
      <c r="S651" s="553">
        <f>'Foglio deposito bis'!$F$50*IF(ABS(M651)&lt;'Progetto del paramento slu'!$G$58,ABS(M651)*'Progetto del paramento slu'!$G$54,'Progetto del paramento slu'!$G$53)*IF(M651&lt;0,-1,1)</f>
        <v>0</v>
      </c>
      <c r="T651" s="553">
        <f>'Foglio deposito bis'!$F$51*IF(ABS(N651)&lt;'Progetto del paramento slu'!$G$58,ABS(N651)*'Progetto del paramento slu'!$G$54,'Progetto del paramento slu'!$G$53)*IF(N651&lt;0,-1,1)</f>
        <v>240946.49743184328</v>
      </c>
      <c r="U651" s="553">
        <f>'Foglio deposito bis'!$F$52*IF(ABS(O651)&lt;'Progetto del paramento slu'!$G$58,ABS(O651)*'Progetto del paramento slu'!$G$54,'Progetto del paramento slu'!$G$53)*IF(O651&lt;0,-1,1)</f>
        <v>240946.49743184328</v>
      </c>
      <c r="V651" s="479">
        <f t="shared" si="50"/>
        <v>-154401.69583337105</v>
      </c>
      <c r="W651" s="559"/>
      <c r="X651" s="559"/>
    </row>
    <row r="652" spans="1:24" x14ac:dyDescent="0.25">
      <c r="A652" s="553">
        <f t="shared" si="51"/>
        <v>165846.33757629737</v>
      </c>
      <c r="B652" s="3">
        <f t="shared" si="48"/>
        <v>14.899999999999968</v>
      </c>
      <c r="C652" s="553">
        <f>'Foglio deposito bis'!$E$155/sezione!$B$247*B652</f>
        <v>60.487547068543662</v>
      </c>
      <c r="D652" s="611">
        <f>-'Progetto del paramento slu'!$G$47*'Progetto del paramento slu'!$G$41*IF(DATI!$G$218="dx",DATI!$E$61,DATI!$E$64*DATI!$E$63)*1000*C652^2*sezione!$AD$5*(1-sezione!$AD$6)</f>
        <v>-30118774.382141557</v>
      </c>
      <c r="E652" s="553">
        <f>-'Foglio deposito bis'!$F$48*(C652-sezione!$AL$29)*IF(ABS(K652)&lt;'Progetto del paramento slu'!$G$58,ABS(K652)*'Progetto del paramento slu'!$G$54,'Progetto del paramento slu'!$G$53)</f>
        <v>0</v>
      </c>
      <c r="F652" s="553">
        <f>-'Foglio deposito bis'!$F$49*(C652-sezione!$AM$29)*IF(ABS(L652)&lt;'Progetto del paramento slu'!$G$58,ABS(L652)*'Progetto del paramento slu'!$G$54,'Progetto del paramento slu'!$G$53)</f>
        <v>18339891.165278181</v>
      </c>
      <c r="G652" s="553">
        <f>-'Foglio deposito bis'!$F$50*(C652-sezione!$AN$29)*IF(ABS(M652)&lt;'Progetto del paramento slu'!$G$58,ABS(M652)*'Progetto del paramento slu'!$G$54,'Progetto del paramento slu'!$G$53)</f>
        <v>0</v>
      </c>
      <c r="H652" s="553">
        <f>-'Foglio deposito bis'!$F$51*(C652-sezione!$AO$29)*IF(ABS(N652)&lt;'Progetto del paramento slu'!$G$58,ABS(N652)*'Progetto del paramento slu'!$G$54,'Progetto del paramento slu'!$G$53)</f>
        <v>67347546.522417352</v>
      </c>
      <c r="I652" s="479">
        <f>-'Foglio deposito bis'!$F$52*(C652-sezione!$AP$29)*IF(ABS(O652)&lt;'Progetto del paramento slu'!$G$58,ABS(O652)*'Progetto del paramento slu'!$G$54,'Progetto del paramento slu'!$G$53)</f>
        <v>48072307.462468117</v>
      </c>
      <c r="J652" s="479">
        <f t="shared" si="49"/>
        <v>103640970.76802209</v>
      </c>
      <c r="K652" s="558">
        <f>'Progetto del paramento slu'!$G$60*(sezione!$AL$29-C652)/C652</f>
        <v>-1.1854740060569175E-3</v>
      </c>
      <c r="L652" s="558">
        <f>'Progetto del paramento slu'!$G$60*(sezione!$AM$29-C652)/C652</f>
        <v>5.1794724772865593E-3</v>
      </c>
      <c r="M652" s="559">
        <f>'Progetto del paramento slu'!$G$60*(sezione!$AN$29-C652)/C652</f>
        <v>1.1544418960630035E-2</v>
      </c>
      <c r="N652" s="559">
        <f>'Progetto del paramento slu'!$G$60*(sezione!$AO$29-C652)/C652</f>
        <v>1.6173470948516198E-2</v>
      </c>
      <c r="O652" s="559">
        <f>'Progetto del paramento slu'!$G$60*(sezione!$AP$29-C652)/C652</f>
        <v>1.1544534408741506E-2</v>
      </c>
      <c r="P652" s="553">
        <f>-'Progetto del paramento slu'!$G$47*'Progetto del paramento slu'!$G$41*IF(DATI!$G$218="dx",DATI!$E$61,DATI!$E$64*DATI!$E$63)*1000*C652*sezione!$AD$5</f>
        <v>-852625.80984801392</v>
      </c>
      <c r="Q652" s="553">
        <f>'Foglio deposito bis'!$F$48*IF(ABS(K652)&lt;'Progetto del paramento slu'!$G$58,ABS(K652)*'Progetto del paramento slu'!$G$54,'Progetto del paramento slu'!$G$53)*IF(K652&lt;0,-1,1)</f>
        <v>0</v>
      </c>
      <c r="R652" s="553">
        <f>'Foglio deposito bis'!$F$49*IF(ABS(L652)&lt;'Progetto del paramento slu'!$G$58,ABS(L652)*'Progetto del paramento slu'!$G$54,'Progetto del paramento slu'!$G$53)*IF(L652&lt;0,-1,1)</f>
        <v>204886.47740803001</v>
      </c>
      <c r="S652" s="553">
        <f>'Foglio deposito bis'!$F$50*IF(ABS(M652)&lt;'Progetto del paramento slu'!$G$58,ABS(M652)*'Progetto del paramento slu'!$G$54,'Progetto del paramento slu'!$G$53)*IF(M652&lt;0,-1,1)</f>
        <v>0</v>
      </c>
      <c r="T652" s="553">
        <f>'Foglio deposito bis'!$F$51*IF(ABS(N652)&lt;'Progetto del paramento slu'!$G$58,ABS(N652)*'Progetto del paramento slu'!$G$54,'Progetto del paramento slu'!$G$53)*IF(N652&lt;0,-1,1)</f>
        <v>240946.49743184328</v>
      </c>
      <c r="U652" s="553">
        <f>'Foglio deposito bis'!$F$52*IF(ABS(O652)&lt;'Progetto del paramento slu'!$G$58,ABS(O652)*'Progetto del paramento slu'!$G$54,'Progetto del paramento slu'!$G$53)*IF(O652&lt;0,-1,1)</f>
        <v>240946.49743184328</v>
      </c>
      <c r="V652" s="479">
        <f t="shared" si="50"/>
        <v>-165846.33757629737</v>
      </c>
      <c r="W652" s="559"/>
      <c r="X652" s="559"/>
    </row>
    <row r="653" spans="1:24" x14ac:dyDescent="0.25">
      <c r="A653" s="553">
        <f t="shared" si="51"/>
        <v>177290.9793192237</v>
      </c>
      <c r="B653" s="3">
        <f t="shared" si="48"/>
        <v>15.099999999999968</v>
      </c>
      <c r="C653" s="553">
        <f>'Foglio deposito bis'!$E$155/sezione!$B$247*B653</f>
        <v>61.299460452014046</v>
      </c>
      <c r="D653" s="611">
        <f>-'Progetto del paramento slu'!$G$47*'Progetto del paramento slu'!$G$41*IF(DATI!$G$218="dx",DATI!$E$61,DATI!$E$64*DATI!$E$63)*1000*C653^2*sezione!$AD$5*(1-sezione!$AD$6)</f>
        <v>-30932758.645430818</v>
      </c>
      <c r="E653" s="553">
        <f>-'Foglio deposito bis'!$F$48*(C653-sezione!$AL$29)*IF(ABS(K653)&lt;'Progetto del paramento slu'!$G$58,ABS(K653)*'Progetto del paramento slu'!$G$54,'Progetto del paramento slu'!$G$53)</f>
        <v>0</v>
      </c>
      <c r="F653" s="553">
        <f>-'Foglio deposito bis'!$F$49*(C653-sezione!$AM$29)*IF(ABS(L653)&lt;'Progetto del paramento slu'!$G$58,ABS(L653)*'Progetto del paramento slu'!$G$54,'Progetto del paramento slu'!$G$53)</f>
        <v>18173541.092178497</v>
      </c>
      <c r="G653" s="553">
        <f>-'Foglio deposito bis'!$F$50*(C653-sezione!$AN$29)*IF(ABS(M653)&lt;'Progetto del paramento slu'!$G$58,ABS(M653)*'Progetto del paramento slu'!$G$54,'Progetto del paramento slu'!$G$53)</f>
        <v>0</v>
      </c>
      <c r="H653" s="553">
        <f>-'Foglio deposito bis'!$F$51*(C653-sezione!$AO$29)*IF(ABS(N653)&lt;'Progetto del paramento slu'!$G$58,ABS(N653)*'Progetto del paramento slu'!$G$54,'Progetto del paramento slu'!$G$53)</f>
        <v>67151918.836452127</v>
      </c>
      <c r="I653" s="479">
        <f>-'Foglio deposito bis'!$F$52*(C653-sezione!$AP$29)*IF(ABS(O653)&lt;'Progetto del paramento slu'!$G$58,ABS(O653)*'Progetto del paramento slu'!$G$54,'Progetto del paramento slu'!$G$53)</f>
        <v>47876679.776502892</v>
      </c>
      <c r="J653" s="479">
        <f t="shared" si="49"/>
        <v>102269381.05970269</v>
      </c>
      <c r="K653" s="558">
        <f>'Progetto del paramento slu'!$G$60*(sezione!$AL$29-C653)/C653</f>
        <v>-1.2161299794866273E-3</v>
      </c>
      <c r="L653" s="558">
        <f>'Progetto del paramento slu'!$G$60*(sezione!$AM$29-C653)/C653</f>
        <v>5.0645125769251476E-3</v>
      </c>
      <c r="M653" s="559">
        <f>'Progetto del paramento slu'!$G$60*(sezione!$AN$29-C653)/C653</f>
        <v>1.1345155133336922E-2</v>
      </c>
      <c r="N653" s="559">
        <f>'Progetto del paramento slu'!$G$60*(sezione!$AO$29-C653)/C653</f>
        <v>1.5912895174363669E-2</v>
      </c>
      <c r="O653" s="559">
        <f>'Progetto del paramento slu'!$G$60*(sezione!$AP$29-C653)/C653</f>
        <v>1.1345269052334336E-2</v>
      </c>
      <c r="P653" s="553">
        <f>-'Progetto del paramento slu'!$G$47*'Progetto del paramento slu'!$G$41*IF(DATI!$G$218="dx",DATI!$E$61,DATI!$E$64*DATI!$E$63)*1000*C653*sezione!$AD$5</f>
        <v>-864070.45159094036</v>
      </c>
      <c r="Q653" s="553">
        <f>'Foglio deposito bis'!$F$48*IF(ABS(K653)&lt;'Progetto del paramento slu'!$G$58,ABS(K653)*'Progetto del paramento slu'!$G$54,'Progetto del paramento slu'!$G$53)*IF(K653&lt;0,-1,1)</f>
        <v>0</v>
      </c>
      <c r="R653" s="553">
        <f>'Foglio deposito bis'!$F$49*IF(ABS(L653)&lt;'Progetto del paramento slu'!$G$58,ABS(L653)*'Progetto del paramento slu'!$G$54,'Progetto del paramento slu'!$G$53)*IF(L653&lt;0,-1,1)</f>
        <v>204886.47740803001</v>
      </c>
      <c r="S653" s="553">
        <f>'Foglio deposito bis'!$F$50*IF(ABS(M653)&lt;'Progetto del paramento slu'!$G$58,ABS(M653)*'Progetto del paramento slu'!$G$54,'Progetto del paramento slu'!$G$53)*IF(M653&lt;0,-1,1)</f>
        <v>0</v>
      </c>
      <c r="T653" s="553">
        <f>'Foglio deposito bis'!$F$51*IF(ABS(N653)&lt;'Progetto del paramento slu'!$G$58,ABS(N653)*'Progetto del paramento slu'!$G$54,'Progetto del paramento slu'!$G$53)*IF(N653&lt;0,-1,1)</f>
        <v>240946.49743184328</v>
      </c>
      <c r="U653" s="553">
        <f>'Foglio deposito bis'!$F$52*IF(ABS(O653)&lt;'Progetto del paramento slu'!$G$58,ABS(O653)*'Progetto del paramento slu'!$G$54,'Progetto del paramento slu'!$G$53)*IF(O653&lt;0,-1,1)</f>
        <v>240946.49743184328</v>
      </c>
      <c r="V653" s="479">
        <f t="shared" si="50"/>
        <v>-177290.9793192237</v>
      </c>
      <c r="W653" s="559"/>
      <c r="X653" s="559"/>
    </row>
    <row r="654" spans="1:24" x14ac:dyDescent="0.25">
      <c r="A654" s="553">
        <f t="shared" si="51"/>
        <v>188735.62106215002</v>
      </c>
      <c r="B654" s="3">
        <f t="shared" si="48"/>
        <v>15.299999999999967</v>
      </c>
      <c r="C654" s="553">
        <f>'Foglio deposito bis'!$E$155/sezione!$B$247*B654</f>
        <v>62.111373835484429</v>
      </c>
      <c r="D654" s="611">
        <f>-'Progetto del paramento slu'!$G$47*'Progetto del paramento slu'!$G$41*IF(DATI!$G$218="dx",DATI!$E$61,DATI!$E$64*DATI!$E$63)*1000*C654^2*sezione!$AD$5*(1-sezione!$AD$6)</f>
        <v>-31757596.032230601</v>
      </c>
      <c r="E654" s="553">
        <f>-'Foglio deposito bis'!$F$48*(C654-sezione!$AL$29)*IF(ABS(K654)&lt;'Progetto del paramento slu'!$G$58,ABS(K654)*'Progetto del paramento slu'!$G$54,'Progetto del paramento slu'!$G$53)</f>
        <v>0</v>
      </c>
      <c r="F654" s="553">
        <f>-'Foglio deposito bis'!$F$49*(C654-sezione!$AM$29)*IF(ABS(L654)&lt;'Progetto del paramento slu'!$G$58,ABS(L654)*'Progetto del paramento slu'!$G$54,'Progetto del paramento slu'!$G$53)</f>
        <v>18007191.019078813</v>
      </c>
      <c r="G654" s="553">
        <f>-'Foglio deposito bis'!$F$50*(C654-sezione!$AN$29)*IF(ABS(M654)&lt;'Progetto del paramento slu'!$G$58,ABS(M654)*'Progetto del paramento slu'!$G$54,'Progetto del paramento slu'!$G$53)</f>
        <v>0</v>
      </c>
      <c r="H654" s="553">
        <f>-'Foglio deposito bis'!$F$51*(C654-sezione!$AO$29)*IF(ABS(N654)&lt;'Progetto del paramento slu'!$G$58,ABS(N654)*'Progetto del paramento slu'!$G$54,'Progetto del paramento slu'!$G$53)</f>
        <v>66956291.150486916</v>
      </c>
      <c r="I654" s="479">
        <f>-'Foglio deposito bis'!$F$52*(C654-sezione!$AP$29)*IF(ABS(O654)&lt;'Progetto del paramento slu'!$G$58,ABS(O654)*'Progetto del paramento slu'!$G$54,'Progetto del paramento slu'!$G$53)</f>
        <v>47681052.090537675</v>
      </c>
      <c r="J654" s="479">
        <f t="shared" si="49"/>
        <v>100886938.2278728</v>
      </c>
      <c r="K654" s="558">
        <f>'Progetto del paramento slu'!$G$60*(sezione!$AL$29-C654)/C654</f>
        <v>-1.2459844895586975E-3</v>
      </c>
      <c r="L654" s="558">
        <f>'Progetto del paramento slu'!$G$60*(sezione!$AM$29-C654)/C654</f>
        <v>4.9525581641548843E-3</v>
      </c>
      <c r="M654" s="559">
        <f>'Progetto del paramento slu'!$G$60*(sezione!$AN$29-C654)/C654</f>
        <v>1.1151100817868468E-2</v>
      </c>
      <c r="N654" s="559">
        <f>'Progetto del paramento slu'!$G$60*(sezione!$AO$29-C654)/C654</f>
        <v>1.5659131838751072E-2</v>
      </c>
      <c r="O654" s="559">
        <f>'Progetto del paramento slu'!$G$60*(sezione!$AP$29-C654)/C654</f>
        <v>1.1151213247728659E-2</v>
      </c>
      <c r="P654" s="553">
        <f>-'Progetto del paramento slu'!$G$47*'Progetto del paramento slu'!$G$41*IF(DATI!$G$218="dx",DATI!$E$61,DATI!$E$64*DATI!$E$63)*1000*C654*sezione!$AD$5</f>
        <v>-875515.09333386656</v>
      </c>
      <c r="Q654" s="553">
        <f>'Foglio deposito bis'!$F$48*IF(ABS(K654)&lt;'Progetto del paramento slu'!$G$58,ABS(K654)*'Progetto del paramento slu'!$G$54,'Progetto del paramento slu'!$G$53)*IF(K654&lt;0,-1,1)</f>
        <v>0</v>
      </c>
      <c r="R654" s="553">
        <f>'Foglio deposito bis'!$F$49*IF(ABS(L654)&lt;'Progetto del paramento slu'!$G$58,ABS(L654)*'Progetto del paramento slu'!$G$54,'Progetto del paramento slu'!$G$53)*IF(L654&lt;0,-1,1)</f>
        <v>204886.47740803001</v>
      </c>
      <c r="S654" s="553">
        <f>'Foglio deposito bis'!$F$50*IF(ABS(M654)&lt;'Progetto del paramento slu'!$G$58,ABS(M654)*'Progetto del paramento slu'!$G$54,'Progetto del paramento slu'!$G$53)*IF(M654&lt;0,-1,1)</f>
        <v>0</v>
      </c>
      <c r="T654" s="553">
        <f>'Foglio deposito bis'!$F$51*IF(ABS(N654)&lt;'Progetto del paramento slu'!$G$58,ABS(N654)*'Progetto del paramento slu'!$G$54,'Progetto del paramento slu'!$G$53)*IF(N654&lt;0,-1,1)</f>
        <v>240946.49743184328</v>
      </c>
      <c r="U654" s="553">
        <f>'Foglio deposito bis'!$F$52*IF(ABS(O654)&lt;'Progetto del paramento slu'!$G$58,ABS(O654)*'Progetto del paramento slu'!$G$54,'Progetto del paramento slu'!$G$53)*IF(O654&lt;0,-1,1)</f>
        <v>240946.49743184328</v>
      </c>
      <c r="V654" s="479">
        <f t="shared" si="50"/>
        <v>-188735.62106215002</v>
      </c>
      <c r="W654" s="559"/>
      <c r="X654" s="559"/>
    </row>
    <row r="655" spans="1:24" x14ac:dyDescent="0.25">
      <c r="A655" s="553">
        <f t="shared" si="51"/>
        <v>200180.26280507658</v>
      </c>
      <c r="B655" s="3">
        <f t="shared" si="48"/>
        <v>15.499999999999966</v>
      </c>
      <c r="C655" s="553">
        <f>'Foglio deposito bis'!$E$155/sezione!$B$247*B655</f>
        <v>62.923287218954819</v>
      </c>
      <c r="D655" s="611">
        <f>-'Progetto del paramento slu'!$G$47*'Progetto del paramento slu'!$G$41*IF(DATI!$G$218="dx",DATI!$E$61,DATI!$E$64*DATI!$E$63)*1000*C655^2*sezione!$AD$5*(1-sezione!$AD$6)</f>
        <v>-32593286.542540915</v>
      </c>
      <c r="E655" s="553">
        <f>-'Foglio deposito bis'!$F$48*(C655-sezione!$AL$29)*IF(ABS(K655)&lt;'Progetto del paramento slu'!$G$58,ABS(K655)*'Progetto del paramento slu'!$G$54,'Progetto del paramento slu'!$G$53)</f>
        <v>0</v>
      </c>
      <c r="F655" s="553">
        <f>-'Foglio deposito bis'!$F$49*(C655-sezione!$AM$29)*IF(ABS(L655)&lt;'Progetto del paramento slu'!$G$58,ABS(L655)*'Progetto del paramento slu'!$G$54,'Progetto del paramento slu'!$G$53)</f>
        <v>17840840.945979133</v>
      </c>
      <c r="G655" s="553">
        <f>-'Foglio deposito bis'!$F$50*(C655-sezione!$AN$29)*IF(ABS(M655)&lt;'Progetto del paramento slu'!$G$58,ABS(M655)*'Progetto del paramento slu'!$G$54,'Progetto del paramento slu'!$G$53)</f>
        <v>0</v>
      </c>
      <c r="H655" s="553">
        <f>-'Foglio deposito bis'!$F$51*(C655-sezione!$AO$29)*IF(ABS(N655)&lt;'Progetto del paramento slu'!$G$58,ABS(N655)*'Progetto del paramento slu'!$G$54,'Progetto del paramento slu'!$G$53)</f>
        <v>66760663.464521676</v>
      </c>
      <c r="I655" s="479">
        <f>-'Foglio deposito bis'!$F$52*(C655-sezione!$AP$29)*IF(ABS(O655)&lt;'Progetto del paramento slu'!$G$58,ABS(O655)*'Progetto del paramento slu'!$G$54,'Progetto del paramento slu'!$G$53)</f>
        <v>47485424.404572442</v>
      </c>
      <c r="J655" s="479">
        <f t="shared" si="49"/>
        <v>99493642.272532344</v>
      </c>
      <c r="K655" s="558">
        <f>'Progetto del paramento slu'!$G$60*(sezione!$AL$29-C655)/C655</f>
        <v>-1.2750685606611662E-3</v>
      </c>
      <c r="L655" s="558">
        <f>'Progetto del paramento slu'!$G$60*(sezione!$AM$29-C655)/C655</f>
        <v>4.8434928975206286E-3</v>
      </c>
      <c r="M655" s="559">
        <f>'Progetto del paramento slu'!$G$60*(sezione!$AN$29-C655)/C655</f>
        <v>1.0962054355702421E-2</v>
      </c>
      <c r="N655" s="559">
        <f>'Progetto del paramento slu'!$G$60*(sezione!$AO$29-C655)/C655</f>
        <v>1.5411917234380089E-2</v>
      </c>
      <c r="O655" s="559">
        <f>'Progetto del paramento slu'!$G$60*(sezione!$AP$29-C655)/C655</f>
        <v>1.0962165334854741E-2</v>
      </c>
      <c r="P655" s="553">
        <f>-'Progetto del paramento slu'!$G$47*'Progetto del paramento slu'!$G$41*IF(DATI!$G$218="dx",DATI!$E$61,DATI!$E$64*DATI!$E$63)*1000*C655*sezione!$AD$5</f>
        <v>-886959.73507679312</v>
      </c>
      <c r="Q655" s="553">
        <f>'Foglio deposito bis'!$F$48*IF(ABS(K655)&lt;'Progetto del paramento slu'!$G$58,ABS(K655)*'Progetto del paramento slu'!$G$54,'Progetto del paramento slu'!$G$53)*IF(K655&lt;0,-1,1)</f>
        <v>0</v>
      </c>
      <c r="R655" s="553">
        <f>'Foglio deposito bis'!$F$49*IF(ABS(L655)&lt;'Progetto del paramento slu'!$G$58,ABS(L655)*'Progetto del paramento slu'!$G$54,'Progetto del paramento slu'!$G$53)*IF(L655&lt;0,-1,1)</f>
        <v>204886.47740803001</v>
      </c>
      <c r="S655" s="553">
        <f>'Foglio deposito bis'!$F$50*IF(ABS(M655)&lt;'Progetto del paramento slu'!$G$58,ABS(M655)*'Progetto del paramento slu'!$G$54,'Progetto del paramento slu'!$G$53)*IF(M655&lt;0,-1,1)</f>
        <v>0</v>
      </c>
      <c r="T655" s="553">
        <f>'Foglio deposito bis'!$F$51*IF(ABS(N655)&lt;'Progetto del paramento slu'!$G$58,ABS(N655)*'Progetto del paramento slu'!$G$54,'Progetto del paramento slu'!$G$53)*IF(N655&lt;0,-1,1)</f>
        <v>240946.49743184328</v>
      </c>
      <c r="U655" s="553">
        <f>'Foglio deposito bis'!$F$52*IF(ABS(O655)&lt;'Progetto del paramento slu'!$G$58,ABS(O655)*'Progetto del paramento slu'!$G$54,'Progetto del paramento slu'!$G$53)*IF(O655&lt;0,-1,1)</f>
        <v>240946.49743184328</v>
      </c>
      <c r="V655" s="479">
        <f t="shared" si="50"/>
        <v>-200180.26280507658</v>
      </c>
      <c r="W655" s="559"/>
      <c r="X655" s="559"/>
    </row>
    <row r="656" spans="1:24" x14ac:dyDescent="0.25">
      <c r="A656" s="553">
        <f t="shared" si="51"/>
        <v>211624.9045480029</v>
      </c>
      <c r="B656" s="3">
        <f t="shared" si="48"/>
        <v>15.699999999999966</v>
      </c>
      <c r="C656" s="553">
        <f>'Foglio deposito bis'!$E$155/sezione!$B$247*B656</f>
        <v>63.735200602425202</v>
      </c>
      <c r="D656" s="611">
        <f>-'Progetto del paramento slu'!$G$47*'Progetto del paramento slu'!$G$41*IF(DATI!$G$218="dx",DATI!$E$61,DATI!$E$64*DATI!$E$63)*1000*C656^2*sezione!$AD$5*(1-sezione!$AD$6)</f>
        <v>-33439830.176361755</v>
      </c>
      <c r="E656" s="553">
        <f>-'Foglio deposito bis'!$F$48*(C656-sezione!$AL$29)*IF(ABS(K656)&lt;'Progetto del paramento slu'!$G$58,ABS(K656)*'Progetto del paramento slu'!$G$54,'Progetto del paramento slu'!$G$53)</f>
        <v>0</v>
      </c>
      <c r="F656" s="553">
        <f>-'Foglio deposito bis'!$F$49*(C656-sezione!$AM$29)*IF(ABS(L656)&lt;'Progetto del paramento slu'!$G$58,ABS(L656)*'Progetto del paramento slu'!$G$54,'Progetto del paramento slu'!$G$53)</f>
        <v>17674490.872879449</v>
      </c>
      <c r="G656" s="553">
        <f>-'Foglio deposito bis'!$F$50*(C656-sezione!$AN$29)*IF(ABS(M656)&lt;'Progetto del paramento slu'!$G$58,ABS(M656)*'Progetto del paramento slu'!$G$54,'Progetto del paramento slu'!$G$53)</f>
        <v>0</v>
      </c>
      <c r="H656" s="553">
        <f>-'Foglio deposito bis'!$F$51*(C656-sezione!$AO$29)*IF(ABS(N656)&lt;'Progetto del paramento slu'!$G$58,ABS(N656)*'Progetto del paramento slu'!$G$54,'Progetto del paramento slu'!$G$53)</f>
        <v>66565035.778556451</v>
      </c>
      <c r="I656" s="479">
        <f>-'Foglio deposito bis'!$F$52*(C656-sezione!$AP$29)*IF(ABS(O656)&lt;'Progetto del paramento slu'!$G$58,ABS(O656)*'Progetto del paramento slu'!$G$54,'Progetto del paramento slu'!$G$53)</f>
        <v>47289796.718607217</v>
      </c>
      <c r="J656" s="479">
        <f t="shared" si="49"/>
        <v>98089493.193681359</v>
      </c>
      <c r="K656" s="558">
        <f>'Progetto del paramento slu'!$G$60*(sezione!$AL$29-C656)/C656</f>
        <v>-1.3034116363215332E-3</v>
      </c>
      <c r="L656" s="558">
        <f>'Progetto del paramento slu'!$G$60*(sezione!$AM$29-C656)/C656</f>
        <v>4.7372063637942498E-3</v>
      </c>
      <c r="M656" s="559">
        <f>'Progetto del paramento slu'!$G$60*(sezione!$AN$29-C656)/C656</f>
        <v>1.0777824363910034E-2</v>
      </c>
      <c r="N656" s="559">
        <f>'Progetto del paramento slu'!$G$60*(sezione!$AO$29-C656)/C656</f>
        <v>1.5171001091266968E-2</v>
      </c>
      <c r="O656" s="559">
        <f>'Progetto del paramento slu'!$G$60*(sezione!$AP$29-C656)/C656</f>
        <v>1.0777933929315189E-2</v>
      </c>
      <c r="P656" s="553">
        <f>-'Progetto del paramento slu'!$G$47*'Progetto del paramento slu'!$G$41*IF(DATI!$G$218="dx",DATI!$E$61,DATI!$E$64*DATI!$E$63)*1000*C656*sezione!$AD$5</f>
        <v>-898404.37681971944</v>
      </c>
      <c r="Q656" s="553">
        <f>'Foglio deposito bis'!$F$48*IF(ABS(K656)&lt;'Progetto del paramento slu'!$G$58,ABS(K656)*'Progetto del paramento slu'!$G$54,'Progetto del paramento slu'!$G$53)*IF(K656&lt;0,-1,1)</f>
        <v>0</v>
      </c>
      <c r="R656" s="553">
        <f>'Foglio deposito bis'!$F$49*IF(ABS(L656)&lt;'Progetto del paramento slu'!$G$58,ABS(L656)*'Progetto del paramento slu'!$G$54,'Progetto del paramento slu'!$G$53)*IF(L656&lt;0,-1,1)</f>
        <v>204886.47740803001</v>
      </c>
      <c r="S656" s="553">
        <f>'Foglio deposito bis'!$F$50*IF(ABS(M656)&lt;'Progetto del paramento slu'!$G$58,ABS(M656)*'Progetto del paramento slu'!$G$54,'Progetto del paramento slu'!$G$53)*IF(M656&lt;0,-1,1)</f>
        <v>0</v>
      </c>
      <c r="T656" s="553">
        <f>'Foglio deposito bis'!$F$51*IF(ABS(N656)&lt;'Progetto del paramento slu'!$G$58,ABS(N656)*'Progetto del paramento slu'!$G$54,'Progetto del paramento slu'!$G$53)*IF(N656&lt;0,-1,1)</f>
        <v>240946.49743184328</v>
      </c>
      <c r="U656" s="553">
        <f>'Foglio deposito bis'!$F$52*IF(ABS(O656)&lt;'Progetto del paramento slu'!$G$58,ABS(O656)*'Progetto del paramento slu'!$G$54,'Progetto del paramento slu'!$G$53)*IF(O656&lt;0,-1,1)</f>
        <v>240946.49743184328</v>
      </c>
      <c r="V656" s="479">
        <f t="shared" si="50"/>
        <v>-211624.9045480029</v>
      </c>
      <c r="W656" s="559"/>
      <c r="X656" s="559"/>
    </row>
    <row r="657" spans="1:24" x14ac:dyDescent="0.25">
      <c r="A657" s="553">
        <f t="shared" si="51"/>
        <v>223069.54629092899</v>
      </c>
      <c r="B657" s="3">
        <f t="shared" si="48"/>
        <v>15.899999999999965</v>
      </c>
      <c r="C657" s="553">
        <f>'Foglio deposito bis'!$E$155/sezione!$B$247*B657</f>
        <v>64.547113985895578</v>
      </c>
      <c r="D657" s="611">
        <f>-'Progetto del paramento slu'!$G$47*'Progetto del paramento slu'!$G$41*IF(DATI!$G$218="dx",DATI!$E$61,DATI!$E$64*DATI!$E$63)*1000*C657^2*sezione!$AD$5*(1-sezione!$AD$6)</f>
        <v>-34297226.933693096</v>
      </c>
      <c r="E657" s="553">
        <f>-'Foglio deposito bis'!$F$48*(C657-sezione!$AL$29)*IF(ABS(K657)&lt;'Progetto del paramento slu'!$G$58,ABS(K657)*'Progetto del paramento slu'!$G$54,'Progetto del paramento slu'!$G$53)</f>
        <v>0</v>
      </c>
      <c r="F657" s="553">
        <f>-'Foglio deposito bis'!$F$49*(C657-sezione!$AM$29)*IF(ABS(L657)&lt;'Progetto del paramento slu'!$G$58,ABS(L657)*'Progetto del paramento slu'!$G$54,'Progetto del paramento slu'!$G$53)</f>
        <v>17508140.799779769</v>
      </c>
      <c r="G657" s="553">
        <f>-'Foglio deposito bis'!$F$50*(C657-sezione!$AN$29)*IF(ABS(M657)&lt;'Progetto del paramento slu'!$G$58,ABS(M657)*'Progetto del paramento slu'!$G$54,'Progetto del paramento slu'!$G$53)</f>
        <v>0</v>
      </c>
      <c r="H657" s="553">
        <f>-'Foglio deposito bis'!$F$51*(C657-sezione!$AO$29)*IF(ABS(N657)&lt;'Progetto del paramento slu'!$G$58,ABS(N657)*'Progetto del paramento slu'!$G$54,'Progetto del paramento slu'!$G$53)</f>
        <v>66369408.092591226</v>
      </c>
      <c r="I657" s="479">
        <f>-'Foglio deposito bis'!$F$52*(C657-sezione!$AP$29)*IF(ABS(O657)&lt;'Progetto del paramento slu'!$G$58,ABS(O657)*'Progetto del paramento slu'!$G$54,'Progetto del paramento slu'!$G$53)</f>
        <v>47094169.032641992</v>
      </c>
      <c r="J657" s="479">
        <f t="shared" si="49"/>
        <v>96674490.991319895</v>
      </c>
      <c r="K657" s="558">
        <f>'Progetto del paramento slu'!$G$60*(sezione!$AL$29-C657)/C657</f>
        <v>-1.3310416786319538E-3</v>
      </c>
      <c r="L657" s="558">
        <f>'Progetto del paramento slu'!$G$60*(sezione!$AM$29-C657)/C657</f>
        <v>4.6335937051301722E-3</v>
      </c>
      <c r="M657" s="559">
        <f>'Progetto del paramento slu'!$G$60*(sezione!$AN$29-C657)/C657</f>
        <v>1.0598229088892299E-2</v>
      </c>
      <c r="N657" s="559">
        <f>'Progetto del paramento slu'!$G$60*(sezione!$AO$29-C657)/C657</f>
        <v>1.4936145731628391E-2</v>
      </c>
      <c r="O657" s="559">
        <f>'Progetto del paramento slu'!$G$60*(sezione!$AP$29-C657)/C657</f>
        <v>1.0598337276116258E-2</v>
      </c>
      <c r="P657" s="553">
        <f>-'Progetto del paramento slu'!$G$47*'Progetto del paramento slu'!$G$41*IF(DATI!$G$218="dx",DATI!$E$61,DATI!$E$64*DATI!$E$63)*1000*C657*sezione!$AD$5</f>
        <v>-909849.01856264565</v>
      </c>
      <c r="Q657" s="553">
        <f>'Foglio deposito bis'!$F$48*IF(ABS(K657)&lt;'Progetto del paramento slu'!$G$58,ABS(K657)*'Progetto del paramento slu'!$G$54,'Progetto del paramento slu'!$G$53)*IF(K657&lt;0,-1,1)</f>
        <v>0</v>
      </c>
      <c r="R657" s="553">
        <f>'Foglio deposito bis'!$F$49*IF(ABS(L657)&lt;'Progetto del paramento slu'!$G$58,ABS(L657)*'Progetto del paramento slu'!$G$54,'Progetto del paramento slu'!$G$53)*IF(L657&lt;0,-1,1)</f>
        <v>204886.47740803001</v>
      </c>
      <c r="S657" s="553">
        <f>'Foglio deposito bis'!$F$50*IF(ABS(M657)&lt;'Progetto del paramento slu'!$G$58,ABS(M657)*'Progetto del paramento slu'!$G$54,'Progetto del paramento slu'!$G$53)*IF(M657&lt;0,-1,1)</f>
        <v>0</v>
      </c>
      <c r="T657" s="553">
        <f>'Foglio deposito bis'!$F$51*IF(ABS(N657)&lt;'Progetto del paramento slu'!$G$58,ABS(N657)*'Progetto del paramento slu'!$G$54,'Progetto del paramento slu'!$G$53)*IF(N657&lt;0,-1,1)</f>
        <v>240946.49743184328</v>
      </c>
      <c r="U657" s="553">
        <f>'Foglio deposito bis'!$F$52*IF(ABS(O657)&lt;'Progetto del paramento slu'!$G$58,ABS(O657)*'Progetto del paramento slu'!$G$54,'Progetto del paramento slu'!$G$53)*IF(O657&lt;0,-1,1)</f>
        <v>240946.49743184328</v>
      </c>
      <c r="V657" s="479">
        <f t="shared" si="50"/>
        <v>-223069.54629092899</v>
      </c>
      <c r="W657" s="559"/>
      <c r="X657" s="559"/>
    </row>
    <row r="658" spans="1:24" x14ac:dyDescent="0.25">
      <c r="A658" s="553">
        <f t="shared" si="51"/>
        <v>234514.18803385555</v>
      </c>
      <c r="B658" s="3">
        <f t="shared" si="48"/>
        <v>16.099999999999966</v>
      </c>
      <c r="C658" s="553">
        <f>'Foglio deposito bis'!$E$155/sezione!$B$247*B658</f>
        <v>65.359027369365975</v>
      </c>
      <c r="D658" s="611">
        <f>-'Progetto del paramento slu'!$G$47*'Progetto del paramento slu'!$G$41*IF(DATI!$G$218="dx",DATI!$E$61,DATI!$E$64*DATI!$E$63)*1000*C658^2*sezione!$AD$5*(1-sezione!$AD$6)</f>
        <v>-35165476.814534992</v>
      </c>
      <c r="E658" s="553">
        <f>-'Foglio deposito bis'!$F$48*(C658-sezione!$AL$29)*IF(ABS(K658)&lt;'Progetto del paramento slu'!$G$58,ABS(K658)*'Progetto del paramento slu'!$G$54,'Progetto del paramento slu'!$G$53)</f>
        <v>0</v>
      </c>
      <c r="F658" s="553">
        <f>-'Foglio deposito bis'!$F$49*(C658-sezione!$AM$29)*IF(ABS(L658)&lt;'Progetto del paramento slu'!$G$58,ABS(L658)*'Progetto del paramento slu'!$G$54,'Progetto del paramento slu'!$G$53)</f>
        <v>17341790.726680085</v>
      </c>
      <c r="G658" s="553">
        <f>-'Foglio deposito bis'!$F$50*(C658-sezione!$AN$29)*IF(ABS(M658)&lt;'Progetto del paramento slu'!$G$58,ABS(M658)*'Progetto del paramento slu'!$G$54,'Progetto del paramento slu'!$G$53)</f>
        <v>0</v>
      </c>
      <c r="H658" s="553">
        <f>-'Foglio deposito bis'!$F$51*(C658-sezione!$AO$29)*IF(ABS(N658)&lt;'Progetto del paramento slu'!$G$58,ABS(N658)*'Progetto del paramento slu'!$G$54,'Progetto del paramento slu'!$G$53)</f>
        <v>66173780.406626001</v>
      </c>
      <c r="I658" s="479">
        <f>-'Foglio deposito bis'!$F$52*(C658-sezione!$AP$29)*IF(ABS(O658)&lt;'Progetto del paramento slu'!$G$58,ABS(O658)*'Progetto del paramento slu'!$G$54,'Progetto del paramento slu'!$G$53)</f>
        <v>46898541.346676759</v>
      </c>
      <c r="J658" s="479">
        <f t="shared" si="49"/>
        <v>95248635.665447861</v>
      </c>
      <c r="K658" s="558">
        <f>'Progetto del paramento slu'!$G$60*(sezione!$AL$29-C658)/C658</f>
        <v>-1.3579852602638557E-3</v>
      </c>
      <c r="L658" s="558">
        <f>'Progetto del paramento slu'!$G$60*(sezione!$AM$29-C658)/C658</f>
        <v>4.5325552740105423E-3</v>
      </c>
      <c r="M658" s="559">
        <f>'Progetto del paramento slu'!$G$60*(sezione!$AN$29-C658)/C658</f>
        <v>1.0423095808284939E-2</v>
      </c>
      <c r="N658" s="559">
        <f>'Progetto del paramento slu'!$G$60*(sezione!$AO$29-C658)/C658</f>
        <v>1.4707125287757226E-2</v>
      </c>
      <c r="O658" s="559">
        <f>'Progetto del paramento slu'!$G$60*(sezione!$AP$29-C658)/C658</f>
        <v>1.0423202651568228E-2</v>
      </c>
      <c r="P658" s="553">
        <f>-'Progetto del paramento slu'!$G$47*'Progetto del paramento slu'!$G$41*IF(DATI!$G$218="dx",DATI!$E$61,DATI!$E$64*DATI!$E$63)*1000*C658*sezione!$AD$5</f>
        <v>-921293.66030557221</v>
      </c>
      <c r="Q658" s="553">
        <f>'Foglio deposito bis'!$F$48*IF(ABS(K658)&lt;'Progetto del paramento slu'!$G$58,ABS(K658)*'Progetto del paramento slu'!$G$54,'Progetto del paramento slu'!$G$53)*IF(K658&lt;0,-1,1)</f>
        <v>0</v>
      </c>
      <c r="R658" s="553">
        <f>'Foglio deposito bis'!$F$49*IF(ABS(L658)&lt;'Progetto del paramento slu'!$G$58,ABS(L658)*'Progetto del paramento slu'!$G$54,'Progetto del paramento slu'!$G$53)*IF(L658&lt;0,-1,1)</f>
        <v>204886.47740803001</v>
      </c>
      <c r="S658" s="553">
        <f>'Foglio deposito bis'!$F$50*IF(ABS(M658)&lt;'Progetto del paramento slu'!$G$58,ABS(M658)*'Progetto del paramento slu'!$G$54,'Progetto del paramento slu'!$G$53)*IF(M658&lt;0,-1,1)</f>
        <v>0</v>
      </c>
      <c r="T658" s="553">
        <f>'Foglio deposito bis'!$F$51*IF(ABS(N658)&lt;'Progetto del paramento slu'!$G$58,ABS(N658)*'Progetto del paramento slu'!$G$54,'Progetto del paramento slu'!$G$53)*IF(N658&lt;0,-1,1)</f>
        <v>240946.49743184328</v>
      </c>
      <c r="U658" s="553">
        <f>'Foglio deposito bis'!$F$52*IF(ABS(O658)&lt;'Progetto del paramento slu'!$G$58,ABS(O658)*'Progetto del paramento slu'!$G$54,'Progetto del paramento slu'!$G$53)*IF(O658&lt;0,-1,1)</f>
        <v>240946.49743184328</v>
      </c>
      <c r="V658" s="479">
        <f t="shared" si="50"/>
        <v>-234514.18803385555</v>
      </c>
      <c r="W658" s="559"/>
      <c r="X658" s="559"/>
    </row>
    <row r="659" spans="1:24" x14ac:dyDescent="0.25">
      <c r="A659" s="553">
        <f t="shared" si="51"/>
        <v>245958.82977678187</v>
      </c>
      <c r="B659" s="3">
        <f t="shared" si="48"/>
        <v>16.299999999999965</v>
      </c>
      <c r="C659" s="553">
        <f>'Foglio deposito bis'!$E$155/sezione!$B$247*B659</f>
        <v>66.170940752836358</v>
      </c>
      <c r="D659" s="611">
        <f>-'Progetto del paramento slu'!$G$47*'Progetto del paramento slu'!$G$41*IF(DATI!$G$218="dx",DATI!$E$61,DATI!$E$64*DATI!$E$63)*1000*C659^2*sezione!$AD$5*(1-sezione!$AD$6)</f>
        <v>-36044579.81888739</v>
      </c>
      <c r="E659" s="553">
        <f>-'Foglio deposito bis'!$F$48*(C659-sezione!$AL$29)*IF(ABS(K659)&lt;'Progetto del paramento slu'!$G$58,ABS(K659)*'Progetto del paramento slu'!$G$54,'Progetto del paramento slu'!$G$53)</f>
        <v>0</v>
      </c>
      <c r="F659" s="553">
        <f>-'Foglio deposito bis'!$F$49*(C659-sezione!$AM$29)*IF(ABS(L659)&lt;'Progetto del paramento slu'!$G$58,ABS(L659)*'Progetto del paramento slu'!$G$54,'Progetto del paramento slu'!$G$53)</f>
        <v>17175440.653580401</v>
      </c>
      <c r="G659" s="553">
        <f>-'Foglio deposito bis'!$F$50*(C659-sezione!$AN$29)*IF(ABS(M659)&lt;'Progetto del paramento slu'!$G$58,ABS(M659)*'Progetto del paramento slu'!$G$54,'Progetto del paramento slu'!$G$53)</f>
        <v>0</v>
      </c>
      <c r="H659" s="553">
        <f>-'Foglio deposito bis'!$F$51*(C659-sezione!$AO$29)*IF(ABS(N659)&lt;'Progetto del paramento slu'!$G$58,ABS(N659)*'Progetto del paramento slu'!$G$54,'Progetto del paramento slu'!$G$53)</f>
        <v>65978152.720660768</v>
      </c>
      <c r="I659" s="479">
        <f>-'Foglio deposito bis'!$F$52*(C659-sezione!$AP$29)*IF(ABS(O659)&lt;'Progetto del paramento slu'!$G$58,ABS(O659)*'Progetto del paramento slu'!$G$54,'Progetto del paramento slu'!$G$53)</f>
        <v>46702913.660711534</v>
      </c>
      <c r="J659" s="479">
        <f t="shared" si="49"/>
        <v>93811927.216065317</v>
      </c>
      <c r="K659" s="558">
        <f>'Progetto del paramento slu'!$G$60*(sezione!$AL$29-C659)/C659</f>
        <v>-1.3842676497084708E-3</v>
      </c>
      <c r="L659" s="558">
        <f>'Progetto del paramento slu'!$G$60*(sezione!$AM$29-C659)/C659</f>
        <v>4.4339963135932347E-3</v>
      </c>
      <c r="M659" s="559">
        <f>'Progetto del paramento slu'!$G$60*(sezione!$AN$29-C659)/C659</f>
        <v>1.0252260276894938E-2</v>
      </c>
      <c r="N659" s="559">
        <f>'Progetto del paramento slu'!$G$60*(sezione!$AO$29-C659)/C659</f>
        <v>1.4483724977477998E-2</v>
      </c>
      <c r="O659" s="559">
        <f>'Progetto del paramento slu'!$G$60*(sezione!$AP$29-C659)/C659</f>
        <v>1.0252365809217696E-2</v>
      </c>
      <c r="P659" s="553">
        <f>-'Progetto del paramento slu'!$G$47*'Progetto del paramento slu'!$G$41*IF(DATI!$G$218="dx",DATI!$E$61,DATI!$E$64*DATI!$E$63)*1000*C659*sezione!$AD$5</f>
        <v>-932738.30204849853</v>
      </c>
      <c r="Q659" s="553">
        <f>'Foglio deposito bis'!$F$48*IF(ABS(K659)&lt;'Progetto del paramento slu'!$G$58,ABS(K659)*'Progetto del paramento slu'!$G$54,'Progetto del paramento slu'!$G$53)*IF(K659&lt;0,-1,1)</f>
        <v>0</v>
      </c>
      <c r="R659" s="553">
        <f>'Foglio deposito bis'!$F$49*IF(ABS(L659)&lt;'Progetto del paramento slu'!$G$58,ABS(L659)*'Progetto del paramento slu'!$G$54,'Progetto del paramento slu'!$G$53)*IF(L659&lt;0,-1,1)</f>
        <v>204886.47740803001</v>
      </c>
      <c r="S659" s="553">
        <f>'Foglio deposito bis'!$F$50*IF(ABS(M659)&lt;'Progetto del paramento slu'!$G$58,ABS(M659)*'Progetto del paramento slu'!$G$54,'Progetto del paramento slu'!$G$53)*IF(M659&lt;0,-1,1)</f>
        <v>0</v>
      </c>
      <c r="T659" s="553">
        <f>'Foglio deposito bis'!$F$51*IF(ABS(N659)&lt;'Progetto del paramento slu'!$G$58,ABS(N659)*'Progetto del paramento slu'!$G$54,'Progetto del paramento slu'!$G$53)*IF(N659&lt;0,-1,1)</f>
        <v>240946.49743184328</v>
      </c>
      <c r="U659" s="553">
        <f>'Foglio deposito bis'!$F$52*IF(ABS(O659)&lt;'Progetto del paramento slu'!$G$58,ABS(O659)*'Progetto del paramento slu'!$G$54,'Progetto del paramento slu'!$G$53)*IF(O659&lt;0,-1,1)</f>
        <v>240946.49743184328</v>
      </c>
      <c r="V659" s="479">
        <f t="shared" si="50"/>
        <v>-245958.82977678187</v>
      </c>
      <c r="W659" s="559"/>
      <c r="X659" s="559"/>
    </row>
    <row r="660" spans="1:24" x14ac:dyDescent="0.25">
      <c r="A660" s="553">
        <f t="shared" si="51"/>
        <v>257403.4715197082</v>
      </c>
      <c r="B660" s="3">
        <f t="shared" si="48"/>
        <v>16.499999999999964</v>
      </c>
      <c r="C660" s="553">
        <f>'Foglio deposito bis'!$E$155/sezione!$B$247*B660</f>
        <v>66.982854136306742</v>
      </c>
      <c r="D660" s="611">
        <f>-'Progetto del paramento slu'!$G$47*'Progetto del paramento slu'!$G$41*IF(DATI!$G$218="dx",DATI!$E$61,DATI!$E$64*DATI!$E$63)*1000*C660^2*sezione!$AD$5*(1-sezione!$AD$6)</f>
        <v>-36934535.94675032</v>
      </c>
      <c r="E660" s="553">
        <f>-'Foglio deposito bis'!$F$48*(C660-sezione!$AL$29)*IF(ABS(K660)&lt;'Progetto del paramento slu'!$G$58,ABS(K660)*'Progetto del paramento slu'!$G$54,'Progetto del paramento slu'!$G$53)</f>
        <v>0</v>
      </c>
      <c r="F660" s="553">
        <f>-'Foglio deposito bis'!$F$49*(C660-sezione!$AM$29)*IF(ABS(L660)&lt;'Progetto del paramento slu'!$G$58,ABS(L660)*'Progetto del paramento slu'!$G$54,'Progetto del paramento slu'!$G$53)</f>
        <v>17009090.580480721</v>
      </c>
      <c r="G660" s="553">
        <f>-'Foglio deposito bis'!$F$50*(C660-sezione!$AN$29)*IF(ABS(M660)&lt;'Progetto del paramento slu'!$G$58,ABS(M660)*'Progetto del paramento slu'!$G$54,'Progetto del paramento slu'!$G$53)</f>
        <v>0</v>
      </c>
      <c r="H660" s="553">
        <f>-'Foglio deposito bis'!$F$51*(C660-sezione!$AO$29)*IF(ABS(N660)&lt;'Progetto del paramento slu'!$G$58,ABS(N660)*'Progetto del paramento slu'!$G$54,'Progetto del paramento slu'!$G$53)</f>
        <v>65782525.034695543</v>
      </c>
      <c r="I660" s="479">
        <f>-'Foglio deposito bis'!$F$52*(C660-sezione!$AP$29)*IF(ABS(O660)&lt;'Progetto del paramento slu'!$G$58,ABS(O660)*'Progetto del paramento slu'!$G$54,'Progetto del paramento slu'!$G$53)</f>
        <v>46507285.974746309</v>
      </c>
      <c r="J660" s="479">
        <f t="shared" si="49"/>
        <v>92364365.643172264</v>
      </c>
      <c r="K660" s="558">
        <f>'Progetto del paramento slu'!$G$60*(sezione!$AL$29-C660)/C660</f>
        <v>-1.4099128903180649E-3</v>
      </c>
      <c r="L660" s="558">
        <f>'Progetto del paramento slu'!$G$60*(sezione!$AM$29-C660)/C660</f>
        <v>4.3378266613072558E-3</v>
      </c>
      <c r="M660" s="559">
        <f>'Progetto del paramento slu'!$G$60*(sezione!$AN$29-C660)/C660</f>
        <v>1.0085566212932578E-2</v>
      </c>
      <c r="N660" s="559">
        <f>'Progetto del paramento slu'!$G$60*(sezione!$AO$29-C660)/C660</f>
        <v>1.4265740432296448E-2</v>
      </c>
      <c r="O660" s="559">
        <f>'Progetto del paramento slu'!$G$60*(sezione!$AP$29-C660)/C660</f>
        <v>1.0085670466075664E-2</v>
      </c>
      <c r="P660" s="553">
        <f>-'Progetto del paramento slu'!$G$47*'Progetto del paramento slu'!$G$41*IF(DATI!$G$218="dx",DATI!$E$61,DATI!$E$64*DATI!$E$63)*1000*C660*sezione!$AD$5</f>
        <v>-944182.94379142474</v>
      </c>
      <c r="Q660" s="553">
        <f>'Foglio deposito bis'!$F$48*IF(ABS(K660)&lt;'Progetto del paramento slu'!$G$58,ABS(K660)*'Progetto del paramento slu'!$G$54,'Progetto del paramento slu'!$G$53)*IF(K660&lt;0,-1,1)</f>
        <v>0</v>
      </c>
      <c r="R660" s="553">
        <f>'Foglio deposito bis'!$F$49*IF(ABS(L660)&lt;'Progetto del paramento slu'!$G$58,ABS(L660)*'Progetto del paramento slu'!$G$54,'Progetto del paramento slu'!$G$53)*IF(L660&lt;0,-1,1)</f>
        <v>204886.47740803001</v>
      </c>
      <c r="S660" s="553">
        <f>'Foglio deposito bis'!$F$50*IF(ABS(M660)&lt;'Progetto del paramento slu'!$G$58,ABS(M660)*'Progetto del paramento slu'!$G$54,'Progetto del paramento slu'!$G$53)*IF(M660&lt;0,-1,1)</f>
        <v>0</v>
      </c>
      <c r="T660" s="553">
        <f>'Foglio deposito bis'!$F$51*IF(ABS(N660)&lt;'Progetto del paramento slu'!$G$58,ABS(N660)*'Progetto del paramento slu'!$G$54,'Progetto del paramento slu'!$G$53)*IF(N660&lt;0,-1,1)</f>
        <v>240946.49743184328</v>
      </c>
      <c r="U660" s="553">
        <f>'Foglio deposito bis'!$F$52*IF(ABS(O660)&lt;'Progetto del paramento slu'!$G$58,ABS(O660)*'Progetto del paramento slu'!$G$54,'Progetto del paramento slu'!$G$53)*IF(O660&lt;0,-1,1)</f>
        <v>240946.49743184328</v>
      </c>
      <c r="V660" s="479">
        <f t="shared" si="50"/>
        <v>-257403.4715197082</v>
      </c>
      <c r="W660" s="559"/>
      <c r="X660" s="559"/>
    </row>
    <row r="661" spans="1:24" x14ac:dyDescent="0.25">
      <c r="A661" s="553">
        <f t="shared" si="51"/>
        <v>268848.11326263449</v>
      </c>
      <c r="B661" s="3">
        <f t="shared" si="48"/>
        <v>16.699999999999964</v>
      </c>
      <c r="C661" s="553">
        <f>'Foglio deposito bis'!$E$155/sezione!$B$247*B661</f>
        <v>67.794767519777125</v>
      </c>
      <c r="D661" s="611">
        <f>-'Progetto del paramento slu'!$G$47*'Progetto del paramento slu'!$G$41*IF(DATI!$G$218="dx",DATI!$E$61,DATI!$E$64*DATI!$E$63)*1000*C661^2*sezione!$AD$5*(1-sezione!$AD$6)</f>
        <v>-37835345.198123775</v>
      </c>
      <c r="E661" s="553">
        <f>-'Foglio deposito bis'!$F$48*(C661-sezione!$AL$29)*IF(ABS(K661)&lt;'Progetto del paramento slu'!$G$58,ABS(K661)*'Progetto del paramento slu'!$G$54,'Progetto del paramento slu'!$G$53)</f>
        <v>0</v>
      </c>
      <c r="F661" s="553">
        <f>-'Foglio deposito bis'!$F$49*(C661-sezione!$AM$29)*IF(ABS(L661)&lt;'Progetto del paramento slu'!$G$58,ABS(L661)*'Progetto del paramento slu'!$G$54,'Progetto del paramento slu'!$G$53)</f>
        <v>16842740.507381037</v>
      </c>
      <c r="G661" s="553">
        <f>-'Foglio deposito bis'!$F$50*(C661-sezione!$AN$29)*IF(ABS(M661)&lt;'Progetto del paramento slu'!$G$58,ABS(M661)*'Progetto del paramento slu'!$G$54,'Progetto del paramento slu'!$G$53)</f>
        <v>0</v>
      </c>
      <c r="H661" s="553">
        <f>-'Foglio deposito bis'!$F$51*(C661-sezione!$AO$29)*IF(ABS(N661)&lt;'Progetto del paramento slu'!$G$58,ABS(N661)*'Progetto del paramento slu'!$G$54,'Progetto del paramento slu'!$G$53)</f>
        <v>65586897.348730333</v>
      </c>
      <c r="I661" s="479">
        <f>-'Foglio deposito bis'!$F$52*(C661-sezione!$AP$29)*IF(ABS(O661)&lt;'Progetto del paramento slu'!$G$58,ABS(O661)*'Progetto del paramento slu'!$G$54,'Progetto del paramento slu'!$G$53)</f>
        <v>46311658.288781084</v>
      </c>
      <c r="J661" s="479">
        <f t="shared" si="49"/>
        <v>90905950.946768671</v>
      </c>
      <c r="K661" s="558">
        <f>'Progetto del paramento slu'!$G$60*(sezione!$AL$29-C661)/C661</f>
        <v>-1.4349438736675493E-3</v>
      </c>
      <c r="L661" s="558">
        <f>'Progetto del paramento slu'!$G$60*(sezione!$AM$29-C661)/C661</f>
        <v>4.2439604737466901E-3</v>
      </c>
      <c r="M661" s="559">
        <f>'Progetto del paramento slu'!$G$60*(sezione!$AN$29-C661)/C661</f>
        <v>9.9228648211609309E-3</v>
      </c>
      <c r="N661" s="559">
        <f>'Progetto del paramento slu'!$G$60*(sezione!$AO$29-C661)/C661</f>
        <v>1.4052977073825832E-2</v>
      </c>
      <c r="O661" s="559">
        <f>'Progetto del paramento slu'!$G$60*(sezione!$AP$29-C661)/C661</f>
        <v>9.9229678257633808E-3</v>
      </c>
      <c r="P661" s="553">
        <f>-'Progetto del paramento slu'!$G$47*'Progetto del paramento slu'!$G$41*IF(DATI!$G$218="dx",DATI!$E$61,DATI!$E$64*DATI!$E$63)*1000*C661*sezione!$AD$5</f>
        <v>-955627.58553435118</v>
      </c>
      <c r="Q661" s="553">
        <f>'Foglio deposito bis'!$F$48*IF(ABS(K661)&lt;'Progetto del paramento slu'!$G$58,ABS(K661)*'Progetto del paramento slu'!$G$54,'Progetto del paramento slu'!$G$53)*IF(K661&lt;0,-1,1)</f>
        <v>0</v>
      </c>
      <c r="R661" s="553">
        <f>'Foglio deposito bis'!$F$49*IF(ABS(L661)&lt;'Progetto del paramento slu'!$G$58,ABS(L661)*'Progetto del paramento slu'!$G$54,'Progetto del paramento slu'!$G$53)*IF(L661&lt;0,-1,1)</f>
        <v>204886.47740803001</v>
      </c>
      <c r="S661" s="553">
        <f>'Foglio deposito bis'!$F$50*IF(ABS(M661)&lt;'Progetto del paramento slu'!$G$58,ABS(M661)*'Progetto del paramento slu'!$G$54,'Progetto del paramento slu'!$G$53)*IF(M661&lt;0,-1,1)</f>
        <v>0</v>
      </c>
      <c r="T661" s="553">
        <f>'Foglio deposito bis'!$F$51*IF(ABS(N661)&lt;'Progetto del paramento slu'!$G$58,ABS(N661)*'Progetto del paramento slu'!$G$54,'Progetto del paramento slu'!$G$53)*IF(N661&lt;0,-1,1)</f>
        <v>240946.49743184328</v>
      </c>
      <c r="U661" s="553">
        <f>'Foglio deposito bis'!$F$52*IF(ABS(O661)&lt;'Progetto del paramento slu'!$G$58,ABS(O661)*'Progetto del paramento slu'!$G$54,'Progetto del paramento slu'!$G$53)*IF(O661&lt;0,-1,1)</f>
        <v>240946.49743184328</v>
      </c>
      <c r="V661" s="479">
        <f t="shared" si="50"/>
        <v>-268848.11326263449</v>
      </c>
      <c r="W661" s="559"/>
      <c r="X661" s="559"/>
    </row>
    <row r="662" spans="1:24" x14ac:dyDescent="0.25">
      <c r="A662" s="553">
        <f t="shared" si="51"/>
        <v>280292.75500556082</v>
      </c>
      <c r="B662" s="3">
        <f t="shared" si="48"/>
        <v>16.899999999999963</v>
      </c>
      <c r="C662" s="553">
        <f>'Foglio deposito bis'!$E$155/sezione!$B$247*B662</f>
        <v>68.606680903247508</v>
      </c>
      <c r="D662" s="611">
        <f>-'Progetto del paramento slu'!$G$47*'Progetto del paramento slu'!$G$41*IF(DATI!$G$218="dx",DATI!$E$61,DATI!$E$64*DATI!$E$63)*1000*C662^2*sezione!$AD$5*(1-sezione!$AD$6)</f>
        <v>-38747007.57300774</v>
      </c>
      <c r="E662" s="553">
        <f>-'Foglio deposito bis'!$F$48*(C662-sezione!$AL$29)*IF(ABS(K662)&lt;'Progetto del paramento slu'!$G$58,ABS(K662)*'Progetto del paramento slu'!$G$54,'Progetto del paramento slu'!$G$53)</f>
        <v>0</v>
      </c>
      <c r="F662" s="553">
        <f>-'Foglio deposito bis'!$F$49*(C662-sezione!$AM$29)*IF(ABS(L662)&lt;'Progetto del paramento slu'!$G$58,ABS(L662)*'Progetto del paramento slu'!$G$54,'Progetto del paramento slu'!$G$53)</f>
        <v>16676390.434281358</v>
      </c>
      <c r="G662" s="553">
        <f>-'Foglio deposito bis'!$F$50*(C662-sezione!$AN$29)*IF(ABS(M662)&lt;'Progetto del paramento slu'!$G$58,ABS(M662)*'Progetto del paramento slu'!$G$54,'Progetto del paramento slu'!$G$53)</f>
        <v>0</v>
      </c>
      <c r="H662" s="553">
        <f>-'Foglio deposito bis'!$F$51*(C662-sezione!$AO$29)*IF(ABS(N662)&lt;'Progetto del paramento slu'!$G$58,ABS(N662)*'Progetto del paramento slu'!$G$54,'Progetto del paramento slu'!$G$53)</f>
        <v>65391269.662765101</v>
      </c>
      <c r="I662" s="479">
        <f>-'Foglio deposito bis'!$F$52*(C662-sezione!$AP$29)*IF(ABS(O662)&lt;'Progetto del paramento slu'!$G$58,ABS(O662)*'Progetto del paramento slu'!$G$54,'Progetto del paramento slu'!$G$53)</f>
        <v>46116030.602815859</v>
      </c>
      <c r="J662" s="479">
        <f t="shared" si="49"/>
        <v>89436683.126854569</v>
      </c>
      <c r="K662" s="558">
        <f>'Progetto del paramento slu'!$G$60*(sezione!$AL$29-C662)/C662</f>
        <v>-1.4593824077069864E-3</v>
      </c>
      <c r="L662" s="558">
        <f>'Progetto del paramento slu'!$G$60*(sezione!$AM$29-C662)/C662</f>
        <v>4.1523159710988014E-3</v>
      </c>
      <c r="M662" s="559">
        <f>'Progetto del paramento slu'!$G$60*(sezione!$AN$29-C662)/C662</f>
        <v>9.7640143499045876E-3</v>
      </c>
      <c r="N662" s="559">
        <f>'Progetto del paramento slu'!$G$60*(sezione!$AO$29-C662)/C662</f>
        <v>1.3845249534490617E-2</v>
      </c>
      <c r="O662" s="559">
        <f>'Progetto del paramento slu'!$G$60*(sezione!$AP$29-C662)/C662</f>
        <v>9.7641161355176628E-3</v>
      </c>
      <c r="P662" s="553">
        <f>-'Progetto del paramento slu'!$G$47*'Progetto del paramento slu'!$G$41*IF(DATI!$G$218="dx",DATI!$E$61,DATI!$E$64*DATI!$E$63)*1000*C662*sezione!$AD$5</f>
        <v>-967072.2272772775</v>
      </c>
      <c r="Q662" s="553">
        <f>'Foglio deposito bis'!$F$48*IF(ABS(K662)&lt;'Progetto del paramento slu'!$G$58,ABS(K662)*'Progetto del paramento slu'!$G$54,'Progetto del paramento slu'!$G$53)*IF(K662&lt;0,-1,1)</f>
        <v>0</v>
      </c>
      <c r="R662" s="553">
        <f>'Foglio deposito bis'!$F$49*IF(ABS(L662)&lt;'Progetto del paramento slu'!$G$58,ABS(L662)*'Progetto del paramento slu'!$G$54,'Progetto del paramento slu'!$G$53)*IF(L662&lt;0,-1,1)</f>
        <v>204886.47740803001</v>
      </c>
      <c r="S662" s="553">
        <f>'Foglio deposito bis'!$F$50*IF(ABS(M662)&lt;'Progetto del paramento slu'!$G$58,ABS(M662)*'Progetto del paramento slu'!$G$54,'Progetto del paramento slu'!$G$53)*IF(M662&lt;0,-1,1)</f>
        <v>0</v>
      </c>
      <c r="T662" s="553">
        <f>'Foglio deposito bis'!$F$51*IF(ABS(N662)&lt;'Progetto del paramento slu'!$G$58,ABS(N662)*'Progetto del paramento slu'!$G$54,'Progetto del paramento slu'!$G$53)*IF(N662&lt;0,-1,1)</f>
        <v>240946.49743184328</v>
      </c>
      <c r="U662" s="553">
        <f>'Foglio deposito bis'!$F$52*IF(ABS(O662)&lt;'Progetto del paramento slu'!$G$58,ABS(O662)*'Progetto del paramento slu'!$G$54,'Progetto del paramento slu'!$G$53)*IF(O662&lt;0,-1,1)</f>
        <v>240946.49743184328</v>
      </c>
      <c r="V662" s="479">
        <f t="shared" si="50"/>
        <v>-280292.75500556082</v>
      </c>
      <c r="W662" s="559"/>
      <c r="X662" s="559"/>
    </row>
    <row r="663" spans="1:24" x14ac:dyDescent="0.25">
      <c r="A663" s="553">
        <f t="shared" si="51"/>
        <v>291737.39674848737</v>
      </c>
      <c r="B663" s="3">
        <f t="shared" si="48"/>
        <v>17.099999999999962</v>
      </c>
      <c r="C663" s="553">
        <f>'Foglio deposito bis'!$E$155/sezione!$B$247*B663</f>
        <v>69.418594286717891</v>
      </c>
      <c r="D663" s="611">
        <f>-'Progetto del paramento slu'!$G$47*'Progetto del paramento slu'!$G$41*IF(DATI!$G$218="dx",DATI!$E$61,DATI!$E$64*DATI!$E$63)*1000*C663^2*sezione!$AD$5*(1-sezione!$AD$6)</f>
        <v>-39669523.071402237</v>
      </c>
      <c r="E663" s="553">
        <f>-'Foglio deposito bis'!$F$48*(C663-sezione!$AL$29)*IF(ABS(K663)&lt;'Progetto del paramento slu'!$G$58,ABS(K663)*'Progetto del paramento slu'!$G$54,'Progetto del paramento slu'!$G$53)</f>
        <v>0</v>
      </c>
      <c r="F663" s="553">
        <f>-'Foglio deposito bis'!$F$49*(C663-sezione!$AM$29)*IF(ABS(L663)&lt;'Progetto del paramento slu'!$G$58,ABS(L663)*'Progetto del paramento slu'!$G$54,'Progetto del paramento slu'!$G$53)</f>
        <v>16510040.361181675</v>
      </c>
      <c r="G663" s="553">
        <f>-'Foglio deposito bis'!$F$50*(C663-sezione!$AN$29)*IF(ABS(M663)&lt;'Progetto del paramento slu'!$G$58,ABS(M663)*'Progetto del paramento slu'!$G$54,'Progetto del paramento slu'!$G$53)</f>
        <v>0</v>
      </c>
      <c r="H663" s="553">
        <f>-'Foglio deposito bis'!$F$51*(C663-sezione!$AO$29)*IF(ABS(N663)&lt;'Progetto del paramento slu'!$G$58,ABS(N663)*'Progetto del paramento slu'!$G$54,'Progetto del paramento slu'!$G$53)</f>
        <v>65195641.976799868</v>
      </c>
      <c r="I663" s="479">
        <f>-'Foglio deposito bis'!$F$52*(C663-sezione!$AP$29)*IF(ABS(O663)&lt;'Progetto del paramento slu'!$G$58,ABS(O663)*'Progetto del paramento slu'!$G$54,'Progetto del paramento slu'!$G$53)</f>
        <v>45920402.916850626</v>
      </c>
      <c r="J663" s="479">
        <f t="shared" si="49"/>
        <v>87956562.183429927</v>
      </c>
      <c r="K663" s="558">
        <f>'Progetto del paramento slu'!$G$60*(sezione!$AL$29-C663)/C663</f>
        <v>-1.4832492801314661E-3</v>
      </c>
      <c r="L663" s="558">
        <f>'Progetto del paramento slu'!$G$60*(sezione!$AM$29-C663)/C663</f>
        <v>4.0628151995070021E-3</v>
      </c>
      <c r="M663" s="559">
        <f>'Progetto del paramento slu'!$G$60*(sezione!$AN$29-C663)/C663</f>
        <v>9.6088796791454698E-3</v>
      </c>
      <c r="N663" s="559">
        <f>'Progetto del paramento slu'!$G$60*(sezione!$AO$29-C663)/C663</f>
        <v>1.3642381118882538E-2</v>
      </c>
      <c r="O663" s="559">
        <f>'Progetto del paramento slu'!$G$60*(sezione!$AP$29-C663)/C663</f>
        <v>9.6089802742835365E-3</v>
      </c>
      <c r="P663" s="553">
        <f>-'Progetto del paramento slu'!$G$47*'Progetto del paramento slu'!$G$41*IF(DATI!$G$218="dx",DATI!$E$61,DATI!$E$64*DATI!$E$63)*1000*C663*sezione!$AD$5</f>
        <v>-978516.86902020394</v>
      </c>
      <c r="Q663" s="553">
        <f>'Foglio deposito bis'!$F$48*IF(ABS(K663)&lt;'Progetto del paramento slu'!$G$58,ABS(K663)*'Progetto del paramento slu'!$G$54,'Progetto del paramento slu'!$G$53)*IF(K663&lt;0,-1,1)</f>
        <v>0</v>
      </c>
      <c r="R663" s="553">
        <f>'Foglio deposito bis'!$F$49*IF(ABS(L663)&lt;'Progetto del paramento slu'!$G$58,ABS(L663)*'Progetto del paramento slu'!$G$54,'Progetto del paramento slu'!$G$53)*IF(L663&lt;0,-1,1)</f>
        <v>204886.47740803001</v>
      </c>
      <c r="S663" s="553">
        <f>'Foglio deposito bis'!$F$50*IF(ABS(M663)&lt;'Progetto del paramento slu'!$G$58,ABS(M663)*'Progetto del paramento slu'!$G$54,'Progetto del paramento slu'!$G$53)*IF(M663&lt;0,-1,1)</f>
        <v>0</v>
      </c>
      <c r="T663" s="553">
        <f>'Foglio deposito bis'!$F$51*IF(ABS(N663)&lt;'Progetto del paramento slu'!$G$58,ABS(N663)*'Progetto del paramento slu'!$G$54,'Progetto del paramento slu'!$G$53)*IF(N663&lt;0,-1,1)</f>
        <v>240946.49743184328</v>
      </c>
      <c r="U663" s="553">
        <f>'Foglio deposito bis'!$F$52*IF(ABS(O663)&lt;'Progetto del paramento slu'!$G$58,ABS(O663)*'Progetto del paramento slu'!$G$54,'Progetto del paramento slu'!$G$53)*IF(O663&lt;0,-1,1)</f>
        <v>240946.49743184328</v>
      </c>
      <c r="V663" s="479">
        <f t="shared" si="50"/>
        <v>-291737.39674848737</v>
      </c>
      <c r="W663" s="559"/>
      <c r="X663" s="559"/>
    </row>
    <row r="664" spans="1:24" x14ac:dyDescent="0.25">
      <c r="A664" s="553">
        <f t="shared" si="51"/>
        <v>303182.0384914137</v>
      </c>
      <c r="B664" s="3">
        <f t="shared" si="48"/>
        <v>17.299999999999962</v>
      </c>
      <c r="C664" s="553">
        <f>'Foglio deposito bis'!$E$155/sezione!$B$247*B664</f>
        <v>70.230507670188274</v>
      </c>
      <c r="D664" s="611">
        <f>-'Progetto del paramento slu'!$G$47*'Progetto del paramento slu'!$G$41*IF(DATI!$G$218="dx",DATI!$E$61,DATI!$E$64*DATI!$E$63)*1000*C664^2*sezione!$AD$5*(1-sezione!$AD$6)</f>
        <v>-40602891.693307258</v>
      </c>
      <c r="E664" s="553">
        <f>-'Foglio deposito bis'!$F$48*(C664-sezione!$AL$29)*IF(ABS(K664)&lt;'Progetto del paramento slu'!$G$58,ABS(K664)*'Progetto del paramento slu'!$G$54,'Progetto del paramento slu'!$G$53)</f>
        <v>0</v>
      </c>
      <c r="F664" s="553">
        <f>-'Foglio deposito bis'!$F$49*(C664-sezione!$AM$29)*IF(ABS(L664)&lt;'Progetto del paramento slu'!$G$58,ABS(L664)*'Progetto del paramento slu'!$G$54,'Progetto del paramento slu'!$G$53)</f>
        <v>16343690.288081992</v>
      </c>
      <c r="G664" s="553">
        <f>-'Foglio deposito bis'!$F$50*(C664-sezione!$AN$29)*IF(ABS(M664)&lt;'Progetto del paramento slu'!$G$58,ABS(M664)*'Progetto del paramento slu'!$G$54,'Progetto del paramento slu'!$G$53)</f>
        <v>0</v>
      </c>
      <c r="H664" s="553">
        <f>-'Foglio deposito bis'!$F$51*(C664-sezione!$AO$29)*IF(ABS(N664)&lt;'Progetto del paramento slu'!$G$58,ABS(N664)*'Progetto del paramento slu'!$G$54,'Progetto del paramento slu'!$G$53)</f>
        <v>65000014.290834643</v>
      </c>
      <c r="I664" s="479">
        <f>-'Foglio deposito bis'!$F$52*(C664-sezione!$AP$29)*IF(ABS(O664)&lt;'Progetto del paramento slu'!$G$58,ABS(O664)*'Progetto del paramento slu'!$G$54,'Progetto del paramento slu'!$G$53)</f>
        <v>45724775.230885409</v>
      </c>
      <c r="J664" s="479">
        <f t="shared" si="49"/>
        <v>86465588.116494775</v>
      </c>
      <c r="K664" s="558">
        <f>'Progetto del paramento slu'!$G$60*(sezione!$AL$29-C664)/C664</f>
        <v>-1.5065643173553798E-3</v>
      </c>
      <c r="L664" s="558">
        <f>'Progetto del paramento slu'!$G$60*(sezione!$AM$29-C664)/C664</f>
        <v>3.9753838099173258E-3</v>
      </c>
      <c r="M664" s="559">
        <f>'Progetto del paramento slu'!$G$60*(sezione!$AN$29-C664)/C664</f>
        <v>9.4573319371900316E-3</v>
      </c>
      <c r="N664" s="559">
        <f>'Progetto del paramento slu'!$G$60*(sezione!$AO$29-C664)/C664</f>
        <v>1.3444203302479273E-2</v>
      </c>
      <c r="O664" s="559">
        <f>'Progetto del paramento slu'!$G$60*(sezione!$AP$29-C664)/C664</f>
        <v>9.4574313693785248E-3</v>
      </c>
      <c r="P664" s="553">
        <f>-'Progetto del paramento slu'!$G$47*'Progetto del paramento slu'!$G$41*IF(DATI!$G$218="dx",DATI!$E$61,DATI!$E$64*DATI!$E$63)*1000*C664*sezione!$AD$5</f>
        <v>-989961.51076313027</v>
      </c>
      <c r="Q664" s="553">
        <f>'Foglio deposito bis'!$F$48*IF(ABS(K664)&lt;'Progetto del paramento slu'!$G$58,ABS(K664)*'Progetto del paramento slu'!$G$54,'Progetto del paramento slu'!$G$53)*IF(K664&lt;0,-1,1)</f>
        <v>0</v>
      </c>
      <c r="R664" s="553">
        <f>'Foglio deposito bis'!$F$49*IF(ABS(L664)&lt;'Progetto del paramento slu'!$G$58,ABS(L664)*'Progetto del paramento slu'!$G$54,'Progetto del paramento slu'!$G$53)*IF(L664&lt;0,-1,1)</f>
        <v>204886.47740803001</v>
      </c>
      <c r="S664" s="553">
        <f>'Foglio deposito bis'!$F$50*IF(ABS(M664)&lt;'Progetto del paramento slu'!$G$58,ABS(M664)*'Progetto del paramento slu'!$G$54,'Progetto del paramento slu'!$G$53)*IF(M664&lt;0,-1,1)</f>
        <v>0</v>
      </c>
      <c r="T664" s="553">
        <f>'Foglio deposito bis'!$F$51*IF(ABS(N664)&lt;'Progetto del paramento slu'!$G$58,ABS(N664)*'Progetto del paramento slu'!$G$54,'Progetto del paramento slu'!$G$53)*IF(N664&lt;0,-1,1)</f>
        <v>240946.49743184328</v>
      </c>
      <c r="U664" s="553">
        <f>'Foglio deposito bis'!$F$52*IF(ABS(O664)&lt;'Progetto del paramento slu'!$G$58,ABS(O664)*'Progetto del paramento slu'!$G$54,'Progetto del paramento slu'!$G$53)*IF(O664&lt;0,-1,1)</f>
        <v>240946.49743184328</v>
      </c>
      <c r="V664" s="479">
        <f t="shared" si="50"/>
        <v>-303182.0384914137</v>
      </c>
      <c r="W664" s="559"/>
      <c r="X664" s="559"/>
    </row>
    <row r="665" spans="1:24" x14ac:dyDescent="0.25">
      <c r="A665" s="553">
        <f t="shared" si="51"/>
        <v>314626.68023433979</v>
      </c>
      <c r="B665" s="3">
        <f t="shared" si="48"/>
        <v>17.499999999999961</v>
      </c>
      <c r="C665" s="553">
        <f>'Foglio deposito bis'!$E$155/sezione!$B$247*B665</f>
        <v>71.042421053658657</v>
      </c>
      <c r="D665" s="611">
        <f>-'Progetto del paramento slu'!$G$47*'Progetto del paramento slu'!$G$41*IF(DATI!$G$218="dx",DATI!$E$61,DATI!$E$64*DATI!$E$63)*1000*C665^2*sezione!$AD$5*(1-sezione!$AD$6)</f>
        <v>-41547113.438722797</v>
      </c>
      <c r="E665" s="553">
        <f>-'Foglio deposito bis'!$F$48*(C665-sezione!$AL$29)*IF(ABS(K665)&lt;'Progetto del paramento slu'!$G$58,ABS(K665)*'Progetto del paramento slu'!$G$54,'Progetto del paramento slu'!$G$53)</f>
        <v>0</v>
      </c>
      <c r="F665" s="553">
        <f>-'Foglio deposito bis'!$F$49*(C665-sezione!$AM$29)*IF(ABS(L665)&lt;'Progetto del paramento slu'!$G$58,ABS(L665)*'Progetto del paramento slu'!$G$54,'Progetto del paramento slu'!$G$53)</f>
        <v>16177340.214982312</v>
      </c>
      <c r="G665" s="553">
        <f>-'Foglio deposito bis'!$F$50*(C665-sezione!$AN$29)*IF(ABS(M665)&lt;'Progetto del paramento slu'!$G$58,ABS(M665)*'Progetto del paramento slu'!$G$54,'Progetto del paramento slu'!$G$53)</f>
        <v>0</v>
      </c>
      <c r="H665" s="553">
        <f>-'Foglio deposito bis'!$F$51*(C665-sezione!$AO$29)*IF(ABS(N665)&lt;'Progetto del paramento slu'!$G$58,ABS(N665)*'Progetto del paramento slu'!$G$54,'Progetto del paramento slu'!$G$53)</f>
        <v>64804386.604869425</v>
      </c>
      <c r="I665" s="479">
        <f>-'Foglio deposito bis'!$F$52*(C665-sezione!$AP$29)*IF(ABS(O665)&lt;'Progetto del paramento slu'!$G$58,ABS(O665)*'Progetto del paramento slu'!$G$54,'Progetto del paramento slu'!$G$53)</f>
        <v>45529147.544920184</v>
      </c>
      <c r="J665" s="479">
        <f t="shared" si="49"/>
        <v>84963760.926049113</v>
      </c>
      <c r="K665" s="558">
        <f>'Progetto del paramento slu'!$G$60*(sezione!$AL$29-C665)/C665</f>
        <v>-1.529346439442747E-3</v>
      </c>
      <c r="L665" s="558">
        <f>'Progetto del paramento slu'!$G$60*(sezione!$AM$29-C665)/C665</f>
        <v>3.8899508520897001E-3</v>
      </c>
      <c r="M665" s="559">
        <f>'Progetto del paramento slu'!$G$60*(sezione!$AN$29-C665)/C665</f>
        <v>9.3092481436221463E-3</v>
      </c>
      <c r="N665" s="559">
        <f>'Progetto del paramento slu'!$G$60*(sezione!$AO$29-C665)/C665</f>
        <v>1.3250555264736653E-2</v>
      </c>
      <c r="O665" s="559">
        <f>'Progetto del paramento slu'!$G$60*(sezione!$AP$29-C665)/C665</f>
        <v>9.3093464394427717E-3</v>
      </c>
      <c r="P665" s="553">
        <f>-'Progetto del paramento slu'!$G$47*'Progetto del paramento slu'!$G$41*IF(DATI!$G$218="dx",DATI!$E$61,DATI!$E$64*DATI!$E$63)*1000*C665*sezione!$AD$5</f>
        <v>-1001406.1525060565</v>
      </c>
      <c r="Q665" s="553">
        <f>'Foglio deposito bis'!$F$48*IF(ABS(K665)&lt;'Progetto del paramento slu'!$G$58,ABS(K665)*'Progetto del paramento slu'!$G$54,'Progetto del paramento slu'!$G$53)*IF(K665&lt;0,-1,1)</f>
        <v>0</v>
      </c>
      <c r="R665" s="553">
        <f>'Foglio deposito bis'!$F$49*IF(ABS(L665)&lt;'Progetto del paramento slu'!$G$58,ABS(L665)*'Progetto del paramento slu'!$G$54,'Progetto del paramento slu'!$G$53)*IF(L665&lt;0,-1,1)</f>
        <v>204886.47740803001</v>
      </c>
      <c r="S665" s="553">
        <f>'Foglio deposito bis'!$F$50*IF(ABS(M665)&lt;'Progetto del paramento slu'!$G$58,ABS(M665)*'Progetto del paramento slu'!$G$54,'Progetto del paramento slu'!$G$53)*IF(M665&lt;0,-1,1)</f>
        <v>0</v>
      </c>
      <c r="T665" s="553">
        <f>'Foglio deposito bis'!$F$51*IF(ABS(N665)&lt;'Progetto del paramento slu'!$G$58,ABS(N665)*'Progetto del paramento slu'!$G$54,'Progetto del paramento slu'!$G$53)*IF(N665&lt;0,-1,1)</f>
        <v>240946.49743184328</v>
      </c>
      <c r="U665" s="553">
        <f>'Foglio deposito bis'!$F$52*IF(ABS(O665)&lt;'Progetto del paramento slu'!$G$58,ABS(O665)*'Progetto del paramento slu'!$G$54,'Progetto del paramento slu'!$G$53)*IF(O665&lt;0,-1,1)</f>
        <v>240946.49743184328</v>
      </c>
      <c r="V665" s="479">
        <f t="shared" si="50"/>
        <v>-314626.68023433979</v>
      </c>
      <c r="W665" s="559"/>
      <c r="X665" s="559"/>
    </row>
    <row r="666" spans="1:24" x14ac:dyDescent="0.25">
      <c r="A666" s="553">
        <f t="shared" si="51"/>
        <v>326071.32197726611</v>
      </c>
      <c r="B666" s="3">
        <f t="shared" si="48"/>
        <v>17.69999999999996</v>
      </c>
      <c r="C666" s="553">
        <f>'Foglio deposito bis'!$E$155/sezione!$B$247*B666</f>
        <v>71.85433443712904</v>
      </c>
      <c r="D666" s="611">
        <f>-'Progetto del paramento slu'!$G$47*'Progetto del paramento slu'!$G$41*IF(DATI!$G$218="dx",DATI!$E$61,DATI!$E$64*DATI!$E$63)*1000*C666^2*sezione!$AD$5*(1-sezione!$AD$6)</f>
        <v>-42502188.30764886</v>
      </c>
      <c r="E666" s="553">
        <f>-'Foglio deposito bis'!$F$48*(C666-sezione!$AL$29)*IF(ABS(K666)&lt;'Progetto del paramento slu'!$G$58,ABS(K666)*'Progetto del paramento slu'!$G$54,'Progetto del paramento slu'!$G$53)</f>
        <v>0</v>
      </c>
      <c r="F666" s="553">
        <f>-'Foglio deposito bis'!$F$49*(C666-sezione!$AM$29)*IF(ABS(L666)&lt;'Progetto del paramento slu'!$G$58,ABS(L666)*'Progetto del paramento slu'!$G$54,'Progetto del paramento slu'!$G$53)</f>
        <v>16010990.141882628</v>
      </c>
      <c r="G666" s="553">
        <f>-'Foglio deposito bis'!$F$50*(C666-sezione!$AN$29)*IF(ABS(M666)&lt;'Progetto del paramento slu'!$G$58,ABS(M666)*'Progetto del paramento slu'!$G$54,'Progetto del paramento slu'!$G$53)</f>
        <v>0</v>
      </c>
      <c r="H666" s="553">
        <f>-'Foglio deposito bis'!$F$51*(C666-sezione!$AO$29)*IF(ABS(N666)&lt;'Progetto del paramento slu'!$G$58,ABS(N666)*'Progetto del paramento slu'!$G$54,'Progetto del paramento slu'!$G$53)</f>
        <v>64608758.918904185</v>
      </c>
      <c r="I666" s="479">
        <f>-'Foglio deposito bis'!$F$52*(C666-sezione!$AP$29)*IF(ABS(O666)&lt;'Progetto del paramento slu'!$G$58,ABS(O666)*'Progetto del paramento slu'!$G$54,'Progetto del paramento slu'!$G$53)</f>
        <v>45333519.858954951</v>
      </c>
      <c r="J666" s="479">
        <f t="shared" si="49"/>
        <v>83451080.612092912</v>
      </c>
      <c r="K666" s="558">
        <f>'Progetto del paramento slu'!$G$60*(sezione!$AL$29-C666)/C666</f>
        <v>-1.5516137113134501E-3</v>
      </c>
      <c r="L666" s="558">
        <f>'Progetto del paramento slu'!$G$60*(sezione!$AM$29-C666)/C666</f>
        <v>3.806448582574562E-3</v>
      </c>
      <c r="M666" s="559">
        <f>'Progetto del paramento slu'!$G$60*(sezione!$AN$29-C666)/C666</f>
        <v>9.1645108764625734E-3</v>
      </c>
      <c r="N666" s="559">
        <f>'Progetto del paramento slu'!$G$60*(sezione!$AO$29-C666)/C666</f>
        <v>1.3061283453835672E-2</v>
      </c>
      <c r="O666" s="559">
        <f>'Progetto del paramento slu'!$G$60*(sezione!$AP$29-C666)/C666</f>
        <v>9.1646080615959604E-3</v>
      </c>
      <c r="P666" s="553">
        <f>-'Progetto del paramento slu'!$G$47*'Progetto del paramento slu'!$G$41*IF(DATI!$G$218="dx",DATI!$E$61,DATI!$E$64*DATI!$E$63)*1000*C666*sezione!$AD$5</f>
        <v>-1012850.7942489828</v>
      </c>
      <c r="Q666" s="553">
        <f>'Foglio deposito bis'!$F$48*IF(ABS(K666)&lt;'Progetto del paramento slu'!$G$58,ABS(K666)*'Progetto del paramento slu'!$G$54,'Progetto del paramento slu'!$G$53)*IF(K666&lt;0,-1,1)</f>
        <v>0</v>
      </c>
      <c r="R666" s="553">
        <f>'Foglio deposito bis'!$F$49*IF(ABS(L666)&lt;'Progetto del paramento slu'!$G$58,ABS(L666)*'Progetto del paramento slu'!$G$54,'Progetto del paramento slu'!$G$53)*IF(L666&lt;0,-1,1)</f>
        <v>204886.47740803001</v>
      </c>
      <c r="S666" s="553">
        <f>'Foglio deposito bis'!$F$50*IF(ABS(M666)&lt;'Progetto del paramento slu'!$G$58,ABS(M666)*'Progetto del paramento slu'!$G$54,'Progetto del paramento slu'!$G$53)*IF(M666&lt;0,-1,1)</f>
        <v>0</v>
      </c>
      <c r="T666" s="553">
        <f>'Foglio deposito bis'!$F$51*IF(ABS(N666)&lt;'Progetto del paramento slu'!$G$58,ABS(N666)*'Progetto del paramento slu'!$G$54,'Progetto del paramento slu'!$G$53)*IF(N666&lt;0,-1,1)</f>
        <v>240946.49743184328</v>
      </c>
      <c r="U666" s="553">
        <f>'Foglio deposito bis'!$F$52*IF(ABS(O666)&lt;'Progetto del paramento slu'!$G$58,ABS(O666)*'Progetto del paramento slu'!$G$54,'Progetto del paramento slu'!$G$53)*IF(O666&lt;0,-1,1)</f>
        <v>240946.49743184328</v>
      </c>
      <c r="V666" s="479">
        <f t="shared" si="50"/>
        <v>-326071.32197726611</v>
      </c>
      <c r="W666" s="559"/>
      <c r="X666" s="559"/>
    </row>
    <row r="667" spans="1:24" x14ac:dyDescent="0.25">
      <c r="A667" s="553">
        <f t="shared" si="51"/>
        <v>337515.96372019267</v>
      </c>
      <c r="B667" s="3">
        <f t="shared" si="48"/>
        <v>17.899999999999959</v>
      </c>
      <c r="C667" s="553">
        <f>'Foglio deposito bis'!$E$155/sezione!$B$247*B667</f>
        <v>72.666247820599423</v>
      </c>
      <c r="D667" s="611">
        <f>-'Progetto del paramento slu'!$G$47*'Progetto del paramento slu'!$G$41*IF(DATI!$G$218="dx",DATI!$E$61,DATI!$E$64*DATI!$E$63)*1000*C667^2*sezione!$AD$5*(1-sezione!$AD$6)</f>
        <v>-43468116.300085463</v>
      </c>
      <c r="E667" s="553">
        <f>-'Foglio deposito bis'!$F$48*(C667-sezione!$AL$29)*IF(ABS(K667)&lt;'Progetto del paramento slu'!$G$58,ABS(K667)*'Progetto del paramento slu'!$G$54,'Progetto del paramento slu'!$G$53)</f>
        <v>0</v>
      </c>
      <c r="F667" s="553">
        <f>-'Foglio deposito bis'!$F$49*(C667-sezione!$AM$29)*IF(ABS(L667)&lt;'Progetto del paramento slu'!$G$58,ABS(L667)*'Progetto del paramento slu'!$G$54,'Progetto del paramento slu'!$G$53)</f>
        <v>15844640.068782948</v>
      </c>
      <c r="G667" s="553">
        <f>-'Foglio deposito bis'!$F$50*(C667-sezione!$AN$29)*IF(ABS(M667)&lt;'Progetto del paramento slu'!$G$58,ABS(M667)*'Progetto del paramento slu'!$G$54,'Progetto del paramento slu'!$G$53)</f>
        <v>0</v>
      </c>
      <c r="H667" s="553">
        <f>-'Foglio deposito bis'!$F$51*(C667-sezione!$AO$29)*IF(ABS(N667)&lt;'Progetto del paramento slu'!$G$58,ABS(N667)*'Progetto del paramento slu'!$G$54,'Progetto del paramento slu'!$G$53)</f>
        <v>64413131.23293896</v>
      </c>
      <c r="I667" s="479">
        <f>-'Foglio deposito bis'!$F$52*(C667-sezione!$AP$29)*IF(ABS(O667)&lt;'Progetto del paramento slu'!$G$58,ABS(O667)*'Progetto del paramento slu'!$G$54,'Progetto del paramento slu'!$G$53)</f>
        <v>45137892.172989719</v>
      </c>
      <c r="J667" s="479">
        <f t="shared" si="49"/>
        <v>81927547.174626172</v>
      </c>
      <c r="K667" s="558">
        <f>'Progetto del paramento slu'!$G$60*(sezione!$AL$29-C667)/C667</f>
        <v>-1.5733833905166518E-3</v>
      </c>
      <c r="L667" s="558">
        <f>'Progetto del paramento slu'!$G$60*(sezione!$AM$29-C667)/C667</f>
        <v>3.7248122855625555E-3</v>
      </c>
      <c r="M667" s="559">
        <f>'Progetto del paramento slu'!$G$60*(sezione!$AN$29-C667)/C667</f>
        <v>9.023007961641764E-3</v>
      </c>
      <c r="N667" s="559">
        <f>'Progetto del paramento slu'!$G$60*(sezione!$AO$29-C667)/C667</f>
        <v>1.2876241180608459E-2</v>
      </c>
      <c r="O667" s="559">
        <f>'Progetto del paramento slu'!$G$60*(sezione!$AP$29-C667)/C667</f>
        <v>9.023104060907736E-3</v>
      </c>
      <c r="P667" s="553">
        <f>-'Progetto del paramento slu'!$G$47*'Progetto del paramento slu'!$G$41*IF(DATI!$G$218="dx",DATI!$E$61,DATI!$E$64*DATI!$E$63)*1000*C667*sezione!$AD$5</f>
        <v>-1024295.4359919092</v>
      </c>
      <c r="Q667" s="553">
        <f>'Foglio deposito bis'!$F$48*IF(ABS(K667)&lt;'Progetto del paramento slu'!$G$58,ABS(K667)*'Progetto del paramento slu'!$G$54,'Progetto del paramento slu'!$G$53)*IF(K667&lt;0,-1,1)</f>
        <v>0</v>
      </c>
      <c r="R667" s="553">
        <f>'Foglio deposito bis'!$F$49*IF(ABS(L667)&lt;'Progetto del paramento slu'!$G$58,ABS(L667)*'Progetto del paramento slu'!$G$54,'Progetto del paramento slu'!$G$53)*IF(L667&lt;0,-1,1)</f>
        <v>204886.47740803001</v>
      </c>
      <c r="S667" s="553">
        <f>'Foglio deposito bis'!$F$50*IF(ABS(M667)&lt;'Progetto del paramento slu'!$G$58,ABS(M667)*'Progetto del paramento slu'!$G$54,'Progetto del paramento slu'!$G$53)*IF(M667&lt;0,-1,1)</f>
        <v>0</v>
      </c>
      <c r="T667" s="553">
        <f>'Foglio deposito bis'!$F$51*IF(ABS(N667)&lt;'Progetto del paramento slu'!$G$58,ABS(N667)*'Progetto del paramento slu'!$G$54,'Progetto del paramento slu'!$G$53)*IF(N667&lt;0,-1,1)</f>
        <v>240946.49743184328</v>
      </c>
      <c r="U667" s="553">
        <f>'Foglio deposito bis'!$F$52*IF(ABS(O667)&lt;'Progetto del paramento slu'!$G$58,ABS(O667)*'Progetto del paramento slu'!$G$54,'Progetto del paramento slu'!$G$53)*IF(O667&lt;0,-1,1)</f>
        <v>240946.49743184328</v>
      </c>
      <c r="V667" s="479">
        <f t="shared" si="50"/>
        <v>-337515.96372019267</v>
      </c>
      <c r="W667" s="559"/>
      <c r="X667" s="559"/>
    </row>
    <row r="668" spans="1:24" x14ac:dyDescent="0.25">
      <c r="A668" s="553">
        <f t="shared" si="51"/>
        <v>348960.60546311899</v>
      </c>
      <c r="B668" s="3">
        <f t="shared" si="48"/>
        <v>18.099999999999959</v>
      </c>
      <c r="C668" s="553">
        <f>'Foglio deposito bis'!$E$155/sezione!$B$247*B668</f>
        <v>73.478161204069806</v>
      </c>
      <c r="D668" s="611">
        <f>-'Progetto del paramento slu'!$G$47*'Progetto del paramento slu'!$G$41*IF(DATI!$G$218="dx",DATI!$E$61,DATI!$E$64*DATI!$E$63)*1000*C668^2*sezione!$AD$5*(1-sezione!$AD$6)</f>
        <v>-44444897.416032575</v>
      </c>
      <c r="E668" s="553">
        <f>-'Foglio deposito bis'!$F$48*(C668-sezione!$AL$29)*IF(ABS(K668)&lt;'Progetto del paramento slu'!$G$58,ABS(K668)*'Progetto del paramento slu'!$G$54,'Progetto del paramento slu'!$G$53)</f>
        <v>0</v>
      </c>
      <c r="F668" s="553">
        <f>-'Foglio deposito bis'!$F$49*(C668-sezione!$AM$29)*IF(ABS(L668)&lt;'Progetto del paramento slu'!$G$58,ABS(L668)*'Progetto del paramento slu'!$G$54,'Progetto del paramento slu'!$G$53)</f>
        <v>15678289.995683266</v>
      </c>
      <c r="G668" s="553">
        <f>-'Foglio deposito bis'!$F$50*(C668-sezione!$AN$29)*IF(ABS(M668)&lt;'Progetto del paramento slu'!$G$58,ABS(M668)*'Progetto del paramento slu'!$G$54,'Progetto del paramento slu'!$G$53)</f>
        <v>0</v>
      </c>
      <c r="H668" s="553">
        <f>-'Foglio deposito bis'!$F$51*(C668-sezione!$AO$29)*IF(ABS(N668)&lt;'Progetto del paramento slu'!$G$58,ABS(N668)*'Progetto del paramento slu'!$G$54,'Progetto del paramento slu'!$G$53)</f>
        <v>64217503.546973735</v>
      </c>
      <c r="I668" s="479">
        <f>-'Foglio deposito bis'!$F$52*(C668-sezione!$AP$29)*IF(ABS(O668)&lt;'Progetto del paramento slu'!$G$58,ABS(O668)*'Progetto del paramento slu'!$G$54,'Progetto del paramento slu'!$G$53)</f>
        <v>44942264.487024501</v>
      </c>
      <c r="J668" s="479">
        <f t="shared" si="49"/>
        <v>80393160.613648921</v>
      </c>
      <c r="K668" s="558">
        <f>'Progetto del paramento slu'!$G$60*(sezione!$AL$29-C668)/C668</f>
        <v>-1.5946719718369098E-3</v>
      </c>
      <c r="L668" s="558">
        <f>'Progetto del paramento slu'!$G$60*(sezione!$AM$29-C668)/C668</f>
        <v>3.644980105611588E-3</v>
      </c>
      <c r="M668" s="559">
        <f>'Progetto del paramento slu'!$G$60*(sezione!$AN$29-C668)/C668</f>
        <v>8.8846321830600879E-3</v>
      </c>
      <c r="N668" s="559">
        <f>'Progetto del paramento slu'!$G$60*(sezione!$AO$29-C668)/C668</f>
        <v>1.2695288239386269E-2</v>
      </c>
      <c r="O668" s="559">
        <f>'Progetto del paramento slu'!$G$60*(sezione!$AP$29-C668)/C668</f>
        <v>8.8847272204557199E-3</v>
      </c>
      <c r="P668" s="553">
        <f>-'Progetto del paramento slu'!$G$47*'Progetto del paramento slu'!$G$41*IF(DATI!$G$218="dx",DATI!$E$61,DATI!$E$64*DATI!$E$63)*1000*C668*sezione!$AD$5</f>
        <v>-1035740.0777348356</v>
      </c>
      <c r="Q668" s="553">
        <f>'Foglio deposito bis'!$F$48*IF(ABS(K668)&lt;'Progetto del paramento slu'!$G$58,ABS(K668)*'Progetto del paramento slu'!$G$54,'Progetto del paramento slu'!$G$53)*IF(K668&lt;0,-1,1)</f>
        <v>0</v>
      </c>
      <c r="R668" s="553">
        <f>'Foglio deposito bis'!$F$49*IF(ABS(L668)&lt;'Progetto del paramento slu'!$G$58,ABS(L668)*'Progetto del paramento slu'!$G$54,'Progetto del paramento slu'!$G$53)*IF(L668&lt;0,-1,1)</f>
        <v>204886.47740803001</v>
      </c>
      <c r="S668" s="553">
        <f>'Foglio deposito bis'!$F$50*IF(ABS(M668)&lt;'Progetto del paramento slu'!$G$58,ABS(M668)*'Progetto del paramento slu'!$G$54,'Progetto del paramento slu'!$G$53)*IF(M668&lt;0,-1,1)</f>
        <v>0</v>
      </c>
      <c r="T668" s="553">
        <f>'Foglio deposito bis'!$F$51*IF(ABS(N668)&lt;'Progetto del paramento slu'!$G$58,ABS(N668)*'Progetto del paramento slu'!$G$54,'Progetto del paramento slu'!$G$53)*IF(N668&lt;0,-1,1)</f>
        <v>240946.49743184328</v>
      </c>
      <c r="U668" s="553">
        <f>'Foglio deposito bis'!$F$52*IF(ABS(O668)&lt;'Progetto del paramento slu'!$G$58,ABS(O668)*'Progetto del paramento slu'!$G$54,'Progetto del paramento slu'!$G$53)*IF(O668&lt;0,-1,1)</f>
        <v>240946.49743184328</v>
      </c>
      <c r="V668" s="479">
        <f t="shared" si="50"/>
        <v>-348960.60546311899</v>
      </c>
      <c r="W668" s="559"/>
      <c r="X668" s="559"/>
    </row>
    <row r="669" spans="1:24" x14ac:dyDescent="0.25">
      <c r="A669" s="553">
        <f t="shared" si="51"/>
        <v>360405.24720604531</v>
      </c>
      <c r="B669" s="3">
        <f t="shared" ref="B669:B692" si="52">B668+0.2</f>
        <v>18.299999999999958</v>
      </c>
      <c r="C669" s="553">
        <f>'Foglio deposito bis'!$E$155/sezione!$B$247*B669</f>
        <v>74.29007458754019</v>
      </c>
      <c r="D669" s="611">
        <f>-'Progetto del paramento slu'!$G$47*'Progetto del paramento slu'!$G$41*IF(DATI!$G$218="dx",DATI!$E$61,DATI!$E$64*DATI!$E$63)*1000*C669^2*sezione!$AD$5*(1-sezione!$AD$6)</f>
        <v>-45432531.655490212</v>
      </c>
      <c r="E669" s="553">
        <f>-'Foglio deposito bis'!$F$48*(C669-sezione!$AL$29)*IF(ABS(K669)&lt;'Progetto del paramento slu'!$G$58,ABS(K669)*'Progetto del paramento slu'!$G$54,'Progetto del paramento slu'!$G$53)</f>
        <v>0</v>
      </c>
      <c r="F669" s="553">
        <f>-'Foglio deposito bis'!$F$49*(C669-sezione!$AM$29)*IF(ABS(L669)&lt;'Progetto del paramento slu'!$G$58,ABS(L669)*'Progetto del paramento slu'!$G$54,'Progetto del paramento slu'!$G$53)</f>
        <v>15511939.922583582</v>
      </c>
      <c r="G669" s="553">
        <f>-'Foglio deposito bis'!$F$50*(C669-sezione!$AN$29)*IF(ABS(M669)&lt;'Progetto del paramento slu'!$G$58,ABS(M669)*'Progetto del paramento slu'!$G$54,'Progetto del paramento slu'!$G$53)</f>
        <v>0</v>
      </c>
      <c r="H669" s="553">
        <f>-'Foglio deposito bis'!$F$51*(C669-sezione!$AO$29)*IF(ABS(N669)&lt;'Progetto del paramento slu'!$G$58,ABS(N669)*'Progetto del paramento slu'!$G$54,'Progetto del paramento slu'!$G$53)</f>
        <v>64021875.861008525</v>
      </c>
      <c r="I669" s="479">
        <f>-'Foglio deposito bis'!$F$52*(C669-sezione!$AP$29)*IF(ABS(O669)&lt;'Progetto del paramento slu'!$G$58,ABS(O669)*'Progetto del paramento slu'!$G$54,'Progetto del paramento slu'!$G$53)</f>
        <v>44746636.801059283</v>
      </c>
      <c r="J669" s="479">
        <f t="shared" si="49"/>
        <v>78847920.929161176</v>
      </c>
      <c r="K669" s="558">
        <f>'Progetto del paramento slu'!$G$60*(sezione!$AL$29-C669)/C669</f>
        <v>-1.6154952289753042E-3</v>
      </c>
      <c r="L669" s="558">
        <f>'Progetto del paramento slu'!$G$60*(sezione!$AM$29-C669)/C669</f>
        <v>3.5668928913426094E-3</v>
      </c>
      <c r="M669" s="559">
        <f>'Progetto del paramento slu'!$G$60*(sezione!$AN$29-C669)/C669</f>
        <v>8.7492810116605244E-3</v>
      </c>
      <c r="N669" s="559">
        <f>'Progetto del paramento slu'!$G$60*(sezione!$AO$29-C669)/C669</f>
        <v>1.2518290553709916E-2</v>
      </c>
      <c r="O669" s="559">
        <f>'Progetto del paramento slu'!$G$60*(sezione!$AP$29-C669)/C669</f>
        <v>8.7493750103960939E-3</v>
      </c>
      <c r="P669" s="553">
        <f>-'Progetto del paramento slu'!$G$47*'Progetto del paramento slu'!$G$41*IF(DATI!$G$218="dx",DATI!$E$61,DATI!$E$64*DATI!$E$63)*1000*C669*sezione!$AD$5</f>
        <v>-1047184.7194777619</v>
      </c>
      <c r="Q669" s="553">
        <f>'Foglio deposito bis'!$F$48*IF(ABS(K669)&lt;'Progetto del paramento slu'!$G$58,ABS(K669)*'Progetto del paramento slu'!$G$54,'Progetto del paramento slu'!$G$53)*IF(K669&lt;0,-1,1)</f>
        <v>0</v>
      </c>
      <c r="R669" s="553">
        <f>'Foglio deposito bis'!$F$49*IF(ABS(L669)&lt;'Progetto del paramento slu'!$G$58,ABS(L669)*'Progetto del paramento slu'!$G$54,'Progetto del paramento slu'!$G$53)*IF(L669&lt;0,-1,1)</f>
        <v>204886.47740803001</v>
      </c>
      <c r="S669" s="553">
        <f>'Foglio deposito bis'!$F$50*IF(ABS(M669)&lt;'Progetto del paramento slu'!$G$58,ABS(M669)*'Progetto del paramento slu'!$G$54,'Progetto del paramento slu'!$G$53)*IF(M669&lt;0,-1,1)</f>
        <v>0</v>
      </c>
      <c r="T669" s="553">
        <f>'Foglio deposito bis'!$F$51*IF(ABS(N669)&lt;'Progetto del paramento slu'!$G$58,ABS(N669)*'Progetto del paramento slu'!$G$54,'Progetto del paramento slu'!$G$53)*IF(N669&lt;0,-1,1)</f>
        <v>240946.49743184328</v>
      </c>
      <c r="U669" s="553">
        <f>'Foglio deposito bis'!$F$52*IF(ABS(O669)&lt;'Progetto del paramento slu'!$G$58,ABS(O669)*'Progetto del paramento slu'!$G$54,'Progetto del paramento slu'!$G$53)*IF(O669&lt;0,-1,1)</f>
        <v>240946.49743184328</v>
      </c>
      <c r="V669" s="479">
        <f t="shared" si="50"/>
        <v>-360405.24720604531</v>
      </c>
      <c r="W669" s="559"/>
      <c r="X669" s="559"/>
    </row>
    <row r="670" spans="1:24" x14ac:dyDescent="0.25">
      <c r="A670" s="553">
        <f t="shared" si="51"/>
        <v>371849.88894897141</v>
      </c>
      <c r="B670" s="3">
        <f t="shared" si="52"/>
        <v>18.499999999999957</v>
      </c>
      <c r="C670" s="553">
        <f>'Foglio deposito bis'!$E$155/sezione!$B$247*B670</f>
        <v>75.101987971010573</v>
      </c>
      <c r="D670" s="611">
        <f>-'Progetto del paramento slu'!$G$47*'Progetto del paramento slu'!$G$41*IF(DATI!$G$218="dx",DATI!$E$61,DATI!$E$64*DATI!$E$63)*1000*C670^2*sezione!$AD$5*(1-sezione!$AD$6)</f>
        <v>-46431019.018458374</v>
      </c>
      <c r="E670" s="553">
        <f>-'Foglio deposito bis'!$F$48*(C670-sezione!$AL$29)*IF(ABS(K670)&lt;'Progetto del paramento slu'!$G$58,ABS(K670)*'Progetto del paramento slu'!$G$54,'Progetto del paramento slu'!$G$53)</f>
        <v>0</v>
      </c>
      <c r="F670" s="553">
        <f>-'Foglio deposito bis'!$F$49*(C670-sezione!$AM$29)*IF(ABS(L670)&lt;'Progetto del paramento slu'!$G$58,ABS(L670)*'Progetto del paramento slu'!$G$54,'Progetto del paramento slu'!$G$53)</f>
        <v>15345589.849483902</v>
      </c>
      <c r="G670" s="553">
        <f>-'Foglio deposito bis'!$F$50*(C670-sezione!$AN$29)*IF(ABS(M670)&lt;'Progetto del paramento slu'!$G$58,ABS(M670)*'Progetto del paramento slu'!$G$54,'Progetto del paramento slu'!$G$53)</f>
        <v>0</v>
      </c>
      <c r="H670" s="553">
        <f>-'Foglio deposito bis'!$F$51*(C670-sezione!$AO$29)*IF(ABS(N670)&lt;'Progetto del paramento slu'!$G$58,ABS(N670)*'Progetto del paramento slu'!$G$54,'Progetto del paramento slu'!$G$53)</f>
        <v>63826248.175043292</v>
      </c>
      <c r="I670" s="479">
        <f>-'Foglio deposito bis'!$F$52*(C670-sezione!$AP$29)*IF(ABS(O670)&lt;'Progetto del paramento slu'!$G$58,ABS(O670)*'Progetto del paramento slu'!$G$54,'Progetto del paramento slu'!$G$53)</f>
        <v>44551009.115094051</v>
      </c>
      <c r="J670" s="479">
        <f t="shared" si="49"/>
        <v>77291828.121162862</v>
      </c>
      <c r="K670" s="558">
        <f>'Progetto del paramento slu'!$G$60*(sezione!$AL$29-C670)/C670</f>
        <v>-1.6358682535269225E-3</v>
      </c>
      <c r="L670" s="558">
        <f>'Progetto del paramento slu'!$G$60*(sezione!$AM$29-C670)/C670</f>
        <v>3.4904940492740408E-3</v>
      </c>
      <c r="M670" s="559">
        <f>'Progetto del paramento slu'!$G$60*(sezione!$AN$29-C670)/C670</f>
        <v>8.6168563520750037E-3</v>
      </c>
      <c r="N670" s="559">
        <f>'Progetto del paramento slu'!$G$60*(sezione!$AO$29-C670)/C670</f>
        <v>1.2345119845021161E-2</v>
      </c>
      <c r="O670" s="559">
        <f>'Progetto del paramento slu'!$G$60*(sezione!$AP$29-C670)/C670</f>
        <v>8.6169493346080275E-3</v>
      </c>
      <c r="P670" s="553">
        <f>-'Progetto del paramento slu'!$G$47*'Progetto del paramento slu'!$G$41*IF(DATI!$G$218="dx",DATI!$E$61,DATI!$E$64*DATI!$E$63)*1000*C670*sezione!$AD$5</f>
        <v>-1058629.3612206881</v>
      </c>
      <c r="Q670" s="553">
        <f>'Foglio deposito bis'!$F$48*IF(ABS(K670)&lt;'Progetto del paramento slu'!$G$58,ABS(K670)*'Progetto del paramento slu'!$G$54,'Progetto del paramento slu'!$G$53)*IF(K670&lt;0,-1,1)</f>
        <v>0</v>
      </c>
      <c r="R670" s="553">
        <f>'Foglio deposito bis'!$F$49*IF(ABS(L670)&lt;'Progetto del paramento slu'!$G$58,ABS(L670)*'Progetto del paramento slu'!$G$54,'Progetto del paramento slu'!$G$53)*IF(L670&lt;0,-1,1)</f>
        <v>204886.47740803001</v>
      </c>
      <c r="S670" s="553">
        <f>'Foglio deposito bis'!$F$50*IF(ABS(M670)&lt;'Progetto del paramento slu'!$G$58,ABS(M670)*'Progetto del paramento slu'!$G$54,'Progetto del paramento slu'!$G$53)*IF(M670&lt;0,-1,1)</f>
        <v>0</v>
      </c>
      <c r="T670" s="553">
        <f>'Foglio deposito bis'!$F$51*IF(ABS(N670)&lt;'Progetto del paramento slu'!$G$58,ABS(N670)*'Progetto del paramento slu'!$G$54,'Progetto del paramento slu'!$G$53)*IF(N670&lt;0,-1,1)</f>
        <v>240946.49743184328</v>
      </c>
      <c r="U670" s="553">
        <f>'Foglio deposito bis'!$F$52*IF(ABS(O670)&lt;'Progetto del paramento slu'!$G$58,ABS(O670)*'Progetto del paramento slu'!$G$54,'Progetto del paramento slu'!$G$53)*IF(O670&lt;0,-1,1)</f>
        <v>240946.49743184328</v>
      </c>
      <c r="V670" s="479">
        <f t="shared" si="50"/>
        <v>-371849.88894897141</v>
      </c>
      <c r="W670" s="559"/>
      <c r="X670" s="559"/>
    </row>
    <row r="671" spans="1:24" x14ac:dyDescent="0.25">
      <c r="A671" s="553">
        <f t="shared" si="51"/>
        <v>383294.53069189773</v>
      </c>
      <c r="B671" s="3">
        <f t="shared" si="52"/>
        <v>18.699999999999957</v>
      </c>
      <c r="C671" s="553">
        <f>'Foglio deposito bis'!$E$155/sezione!$B$247*B671</f>
        <v>75.913901354480956</v>
      </c>
      <c r="D671" s="611">
        <f>-'Progetto del paramento slu'!$G$47*'Progetto del paramento slu'!$G$41*IF(DATI!$G$218="dx",DATI!$E$61,DATI!$E$64*DATI!$E$63)*1000*C671^2*sezione!$AD$5*(1-sezione!$AD$6)</f>
        <v>-47440359.504937045</v>
      </c>
      <c r="E671" s="553">
        <f>-'Foglio deposito bis'!$F$48*(C671-sezione!$AL$29)*IF(ABS(K671)&lt;'Progetto del paramento slu'!$G$58,ABS(K671)*'Progetto del paramento slu'!$G$54,'Progetto del paramento slu'!$G$53)</f>
        <v>0</v>
      </c>
      <c r="F671" s="553">
        <f>-'Foglio deposito bis'!$F$49*(C671-sezione!$AM$29)*IF(ABS(L671)&lt;'Progetto del paramento slu'!$G$58,ABS(L671)*'Progetto del paramento slu'!$G$54,'Progetto del paramento slu'!$G$53)</f>
        <v>15179239.77638422</v>
      </c>
      <c r="G671" s="553">
        <f>-'Foglio deposito bis'!$F$50*(C671-sezione!$AN$29)*IF(ABS(M671)&lt;'Progetto del paramento slu'!$G$58,ABS(M671)*'Progetto del paramento slu'!$G$54,'Progetto del paramento slu'!$G$53)</f>
        <v>0</v>
      </c>
      <c r="H671" s="553">
        <f>-'Foglio deposito bis'!$F$51*(C671-sezione!$AO$29)*IF(ABS(N671)&lt;'Progetto del paramento slu'!$G$58,ABS(N671)*'Progetto del paramento slu'!$G$54,'Progetto del paramento slu'!$G$53)</f>
        <v>63630620.48907806</v>
      </c>
      <c r="I671" s="479">
        <f>-'Foglio deposito bis'!$F$52*(C671-sezione!$AP$29)*IF(ABS(O671)&lt;'Progetto del paramento slu'!$G$58,ABS(O671)*'Progetto del paramento slu'!$G$54,'Progetto del paramento slu'!$G$53)</f>
        <v>44355381.429128826</v>
      </c>
      <c r="J671" s="479">
        <f t="shared" si="49"/>
        <v>75724882.189654052</v>
      </c>
      <c r="K671" s="558">
        <f>'Progetto del paramento slu'!$G$60*(sezione!$AL$29-C671)/C671</f>
        <v>-1.6558054914571157E-3</v>
      </c>
      <c r="L671" s="558">
        <f>'Progetto del paramento slu'!$G$60*(sezione!$AM$29-C671)/C671</f>
        <v>3.4157294070358158E-3</v>
      </c>
      <c r="M671" s="559">
        <f>'Progetto del paramento slu'!$G$60*(sezione!$AN$29-C671)/C671</f>
        <v>8.487264305528746E-3</v>
      </c>
      <c r="N671" s="559">
        <f>'Progetto del paramento slu'!$G$60*(sezione!$AO$29-C671)/C671</f>
        <v>1.2175653322614515E-2</v>
      </c>
      <c r="O671" s="559">
        <f>'Progetto del paramento slu'!$G$60*(sezione!$AP$29-C671)/C671</f>
        <v>8.4873562935961766E-3</v>
      </c>
      <c r="P671" s="553">
        <f>-'Progetto del paramento slu'!$G$47*'Progetto del paramento slu'!$G$41*IF(DATI!$G$218="dx",DATI!$E$61,DATI!$E$64*DATI!$E$63)*1000*C671*sezione!$AD$5</f>
        <v>-1070074.0029636144</v>
      </c>
      <c r="Q671" s="553">
        <f>'Foglio deposito bis'!$F$48*IF(ABS(K671)&lt;'Progetto del paramento slu'!$G$58,ABS(K671)*'Progetto del paramento slu'!$G$54,'Progetto del paramento slu'!$G$53)*IF(K671&lt;0,-1,1)</f>
        <v>0</v>
      </c>
      <c r="R671" s="553">
        <f>'Foglio deposito bis'!$F$49*IF(ABS(L671)&lt;'Progetto del paramento slu'!$G$58,ABS(L671)*'Progetto del paramento slu'!$G$54,'Progetto del paramento slu'!$G$53)*IF(L671&lt;0,-1,1)</f>
        <v>204886.47740803001</v>
      </c>
      <c r="S671" s="553">
        <f>'Foglio deposito bis'!$F$50*IF(ABS(M671)&lt;'Progetto del paramento slu'!$G$58,ABS(M671)*'Progetto del paramento slu'!$G$54,'Progetto del paramento slu'!$G$53)*IF(M671&lt;0,-1,1)</f>
        <v>0</v>
      </c>
      <c r="T671" s="553">
        <f>'Foglio deposito bis'!$F$51*IF(ABS(N671)&lt;'Progetto del paramento slu'!$G$58,ABS(N671)*'Progetto del paramento slu'!$G$54,'Progetto del paramento slu'!$G$53)*IF(N671&lt;0,-1,1)</f>
        <v>240946.49743184328</v>
      </c>
      <c r="U671" s="553">
        <f>'Foglio deposito bis'!$F$52*IF(ABS(O671)&lt;'Progetto del paramento slu'!$G$58,ABS(O671)*'Progetto del paramento slu'!$G$54,'Progetto del paramento slu'!$G$53)*IF(O671&lt;0,-1,1)</f>
        <v>240946.49743184328</v>
      </c>
      <c r="V671" s="479">
        <f t="shared" si="50"/>
        <v>-383294.53069189773</v>
      </c>
      <c r="W671" s="559"/>
      <c r="X671" s="559"/>
    </row>
    <row r="672" spans="1:24" x14ac:dyDescent="0.25">
      <c r="A672" s="553">
        <f t="shared" si="51"/>
        <v>394739.17243482429</v>
      </c>
      <c r="B672" s="3">
        <f t="shared" si="52"/>
        <v>18.899999999999956</v>
      </c>
      <c r="C672" s="553">
        <f>'Foglio deposito bis'!$E$155/sezione!$B$247*B672</f>
        <v>76.725814737951339</v>
      </c>
      <c r="D672" s="611">
        <f>-'Progetto del paramento slu'!$G$47*'Progetto del paramento slu'!$G$41*IF(DATI!$G$218="dx",DATI!$E$61,DATI!$E$64*DATI!$E$63)*1000*C672^2*sezione!$AD$5*(1-sezione!$AD$6)</f>
        <v>-48460553.114926256</v>
      </c>
      <c r="E672" s="553">
        <f>-'Foglio deposito bis'!$F$48*(C672-sezione!$AL$29)*IF(ABS(K672)&lt;'Progetto del paramento slu'!$G$58,ABS(K672)*'Progetto del paramento slu'!$G$54,'Progetto del paramento slu'!$G$53)</f>
        <v>0</v>
      </c>
      <c r="F672" s="553">
        <f>-'Foglio deposito bis'!$F$49*(C672-sezione!$AM$29)*IF(ABS(L672)&lt;'Progetto del paramento slu'!$G$58,ABS(L672)*'Progetto del paramento slu'!$G$54,'Progetto del paramento slu'!$G$53)</f>
        <v>15012889.703284539</v>
      </c>
      <c r="G672" s="553">
        <f>-'Foglio deposito bis'!$F$50*(C672-sezione!$AN$29)*IF(ABS(M672)&lt;'Progetto del paramento slu'!$G$58,ABS(M672)*'Progetto del paramento slu'!$G$54,'Progetto del paramento slu'!$G$53)</f>
        <v>0</v>
      </c>
      <c r="H672" s="553">
        <f>-'Foglio deposito bis'!$F$51*(C672-sezione!$AO$29)*IF(ABS(N672)&lt;'Progetto del paramento slu'!$G$58,ABS(N672)*'Progetto del paramento slu'!$G$54,'Progetto del paramento slu'!$G$53)</f>
        <v>63434992.803112842</v>
      </c>
      <c r="I672" s="479">
        <f>-'Foglio deposito bis'!$F$52*(C672-sezione!$AP$29)*IF(ABS(O672)&lt;'Progetto del paramento slu'!$G$58,ABS(O672)*'Progetto del paramento slu'!$G$54,'Progetto del paramento slu'!$G$53)</f>
        <v>44159753.743163601</v>
      </c>
      <c r="J672" s="479">
        <f t="shared" si="49"/>
        <v>74147083.134634733</v>
      </c>
      <c r="K672" s="558">
        <f>'Progetto del paramento slu'!$G$60*(sezione!$AL$29-C672)/C672</f>
        <v>-1.6753207772618026E-3</v>
      </c>
      <c r="L672" s="558">
        <f>'Progetto del paramento slu'!$G$60*(sezione!$AM$29-C672)/C672</f>
        <v>3.3425470852682417E-3</v>
      </c>
      <c r="M672" s="559">
        <f>'Progetto del paramento slu'!$G$60*(sezione!$AN$29-C672)/C672</f>
        <v>8.3604149477982843E-3</v>
      </c>
      <c r="N672" s="559">
        <f>'Progetto del paramento slu'!$G$60*(sezione!$AO$29-C672)/C672</f>
        <v>1.200977339327468E-2</v>
      </c>
      <c r="O672" s="559">
        <f>'Progetto del paramento slu'!$G$60*(sezione!$AP$29-C672)/C672</f>
        <v>8.3605059624470117E-3</v>
      </c>
      <c r="P672" s="553">
        <f>-'Progetto del paramento slu'!$G$47*'Progetto del paramento slu'!$G$41*IF(DATI!$G$218="dx",DATI!$E$61,DATI!$E$64*DATI!$E$63)*1000*C672*sezione!$AD$5</f>
        <v>-1081518.644706541</v>
      </c>
      <c r="Q672" s="553">
        <f>'Foglio deposito bis'!$F$48*IF(ABS(K672)&lt;'Progetto del paramento slu'!$G$58,ABS(K672)*'Progetto del paramento slu'!$G$54,'Progetto del paramento slu'!$G$53)*IF(K672&lt;0,-1,1)</f>
        <v>0</v>
      </c>
      <c r="R672" s="553">
        <f>'Foglio deposito bis'!$F$49*IF(ABS(L672)&lt;'Progetto del paramento slu'!$G$58,ABS(L672)*'Progetto del paramento slu'!$G$54,'Progetto del paramento slu'!$G$53)*IF(L672&lt;0,-1,1)</f>
        <v>204886.47740803001</v>
      </c>
      <c r="S672" s="553">
        <f>'Foglio deposito bis'!$F$50*IF(ABS(M672)&lt;'Progetto del paramento slu'!$G$58,ABS(M672)*'Progetto del paramento slu'!$G$54,'Progetto del paramento slu'!$G$53)*IF(M672&lt;0,-1,1)</f>
        <v>0</v>
      </c>
      <c r="T672" s="553">
        <f>'Foglio deposito bis'!$F$51*IF(ABS(N672)&lt;'Progetto del paramento slu'!$G$58,ABS(N672)*'Progetto del paramento slu'!$G$54,'Progetto del paramento slu'!$G$53)*IF(N672&lt;0,-1,1)</f>
        <v>240946.49743184328</v>
      </c>
      <c r="U672" s="553">
        <f>'Foglio deposito bis'!$F$52*IF(ABS(O672)&lt;'Progetto del paramento slu'!$G$58,ABS(O672)*'Progetto del paramento slu'!$G$54,'Progetto del paramento slu'!$G$53)*IF(O672&lt;0,-1,1)</f>
        <v>240946.49743184328</v>
      </c>
      <c r="V672" s="479">
        <f t="shared" si="50"/>
        <v>-394739.17243482429</v>
      </c>
      <c r="W672" s="559"/>
      <c r="X672" s="559"/>
    </row>
    <row r="673" spans="1:24" x14ac:dyDescent="0.25">
      <c r="A673" s="553">
        <f t="shared" si="51"/>
        <v>406183.81417775061</v>
      </c>
      <c r="B673" s="3">
        <f t="shared" si="52"/>
        <v>19.099999999999955</v>
      </c>
      <c r="C673" s="553">
        <f>'Foglio deposito bis'!$E$155/sezione!$B$247*B673</f>
        <v>77.537728121421722</v>
      </c>
      <c r="D673" s="611">
        <f>-'Progetto del paramento slu'!$G$47*'Progetto del paramento slu'!$G$41*IF(DATI!$G$218="dx",DATI!$E$61,DATI!$E$64*DATI!$E$63)*1000*C673^2*sezione!$AD$5*(1-sezione!$AD$6)</f>
        <v>-49491599.848425992</v>
      </c>
      <c r="E673" s="553">
        <f>-'Foglio deposito bis'!$F$48*(C673-sezione!$AL$29)*IF(ABS(K673)&lt;'Progetto del paramento slu'!$G$58,ABS(K673)*'Progetto del paramento slu'!$G$54,'Progetto del paramento slu'!$G$53)</f>
        <v>0</v>
      </c>
      <c r="F673" s="553">
        <f>-'Foglio deposito bis'!$F$49*(C673-sezione!$AM$29)*IF(ABS(L673)&lt;'Progetto del paramento slu'!$G$58,ABS(L673)*'Progetto del paramento slu'!$G$54,'Progetto del paramento slu'!$G$53)</f>
        <v>14846539.630184857</v>
      </c>
      <c r="G673" s="553">
        <f>-'Foglio deposito bis'!$F$50*(C673-sezione!$AN$29)*IF(ABS(M673)&lt;'Progetto del paramento slu'!$G$58,ABS(M673)*'Progetto del paramento slu'!$G$54,'Progetto del paramento slu'!$G$53)</f>
        <v>0</v>
      </c>
      <c r="H673" s="553">
        <f>-'Foglio deposito bis'!$F$51*(C673-sezione!$AO$29)*IF(ABS(N673)&lt;'Progetto del paramento slu'!$G$58,ABS(N673)*'Progetto del paramento slu'!$G$54,'Progetto del paramento slu'!$G$53)</f>
        <v>63239365.117147617</v>
      </c>
      <c r="I673" s="479">
        <f>-'Foglio deposito bis'!$F$52*(C673-sezione!$AP$29)*IF(ABS(O673)&lt;'Progetto del paramento slu'!$G$58,ABS(O673)*'Progetto del paramento slu'!$G$54,'Progetto del paramento slu'!$G$53)</f>
        <v>43964126.057198375</v>
      </c>
      <c r="J673" s="479">
        <f t="shared" si="49"/>
        <v>72558430.95610486</v>
      </c>
      <c r="K673" s="558">
        <f>'Progetto del paramento slu'!$G$60*(sezione!$AL$29-C673)/C673</f>
        <v>-1.6944273659815741E-3</v>
      </c>
      <c r="L673" s="558">
        <f>'Progetto del paramento slu'!$G$60*(sezione!$AM$29-C673)/C673</f>
        <v>3.2708973775690976E-3</v>
      </c>
      <c r="M673" s="559">
        <f>'Progetto del paramento slu'!$G$60*(sezione!$AN$29-C673)/C673</f>
        <v>8.2362221211197684E-3</v>
      </c>
      <c r="N673" s="559">
        <f>'Progetto del paramento slu'!$G$60*(sezione!$AO$29-C673)/C673</f>
        <v>1.1847367389156621E-2</v>
      </c>
      <c r="O673" s="559">
        <f>'Progetto del paramento slu'!$G$60*(sezione!$AP$29-C673)/C673</f>
        <v>8.2363121827355255E-3</v>
      </c>
      <c r="P673" s="553">
        <f>-'Progetto del paramento slu'!$G$47*'Progetto del paramento slu'!$G$41*IF(DATI!$G$218="dx",DATI!$E$61,DATI!$E$64*DATI!$E$63)*1000*C673*sezione!$AD$5</f>
        <v>-1092963.2864494673</v>
      </c>
      <c r="Q673" s="553">
        <f>'Foglio deposito bis'!$F$48*IF(ABS(K673)&lt;'Progetto del paramento slu'!$G$58,ABS(K673)*'Progetto del paramento slu'!$G$54,'Progetto del paramento slu'!$G$53)*IF(K673&lt;0,-1,1)</f>
        <v>0</v>
      </c>
      <c r="R673" s="553">
        <f>'Foglio deposito bis'!$F$49*IF(ABS(L673)&lt;'Progetto del paramento slu'!$G$58,ABS(L673)*'Progetto del paramento slu'!$G$54,'Progetto del paramento slu'!$G$53)*IF(L673&lt;0,-1,1)</f>
        <v>204886.47740803001</v>
      </c>
      <c r="S673" s="553">
        <f>'Foglio deposito bis'!$F$50*IF(ABS(M673)&lt;'Progetto del paramento slu'!$G$58,ABS(M673)*'Progetto del paramento slu'!$G$54,'Progetto del paramento slu'!$G$53)*IF(M673&lt;0,-1,1)</f>
        <v>0</v>
      </c>
      <c r="T673" s="553">
        <f>'Foglio deposito bis'!$F$51*IF(ABS(N673)&lt;'Progetto del paramento slu'!$G$58,ABS(N673)*'Progetto del paramento slu'!$G$54,'Progetto del paramento slu'!$G$53)*IF(N673&lt;0,-1,1)</f>
        <v>240946.49743184328</v>
      </c>
      <c r="U673" s="553">
        <f>'Foglio deposito bis'!$F$52*IF(ABS(O673)&lt;'Progetto del paramento slu'!$G$58,ABS(O673)*'Progetto del paramento slu'!$G$54,'Progetto del paramento slu'!$G$53)*IF(O673&lt;0,-1,1)</f>
        <v>240946.49743184328</v>
      </c>
      <c r="V673" s="479">
        <f t="shared" si="50"/>
        <v>-406183.81417775061</v>
      </c>
      <c r="W673" s="559"/>
      <c r="X673" s="559"/>
    </row>
    <row r="674" spans="1:24" x14ac:dyDescent="0.25">
      <c r="A674" s="553">
        <f t="shared" si="51"/>
        <v>417628.45592067693</v>
      </c>
      <c r="B674" s="3">
        <f t="shared" si="52"/>
        <v>19.299999999999955</v>
      </c>
      <c r="C674" s="553">
        <f>'Foglio deposito bis'!$E$155/sezione!$B$247*B674</f>
        <v>78.349641504892105</v>
      </c>
      <c r="D674" s="611">
        <f>-'Progetto del paramento slu'!$G$47*'Progetto del paramento slu'!$G$41*IF(DATI!$G$218="dx",DATI!$E$61,DATI!$E$64*DATI!$E$63)*1000*C674^2*sezione!$AD$5*(1-sezione!$AD$6)</f>
        <v>-50533499.705436252</v>
      </c>
      <c r="E674" s="553">
        <f>-'Foglio deposito bis'!$F$48*(C674-sezione!$AL$29)*IF(ABS(K674)&lt;'Progetto del paramento slu'!$G$58,ABS(K674)*'Progetto del paramento slu'!$G$54,'Progetto del paramento slu'!$G$53)</f>
        <v>0</v>
      </c>
      <c r="F674" s="553">
        <f>-'Foglio deposito bis'!$F$49*(C674-sezione!$AM$29)*IF(ABS(L674)&lt;'Progetto del paramento slu'!$G$58,ABS(L674)*'Progetto del paramento slu'!$G$54,'Progetto del paramento slu'!$G$53)</f>
        <v>14680189.557085173</v>
      </c>
      <c r="G674" s="553">
        <f>-'Foglio deposito bis'!$F$50*(C674-sezione!$AN$29)*IF(ABS(M674)&lt;'Progetto del paramento slu'!$G$58,ABS(M674)*'Progetto del paramento slu'!$G$54,'Progetto del paramento slu'!$G$53)</f>
        <v>0</v>
      </c>
      <c r="H674" s="553">
        <f>-'Foglio deposito bis'!$F$51*(C674-sezione!$AO$29)*IF(ABS(N674)&lt;'Progetto del paramento slu'!$G$58,ABS(N674)*'Progetto del paramento slu'!$G$54,'Progetto del paramento slu'!$G$53)</f>
        <v>63043737.431182377</v>
      </c>
      <c r="I674" s="479">
        <f>-'Foglio deposito bis'!$F$52*(C674-sezione!$AP$29)*IF(ABS(O674)&lt;'Progetto del paramento slu'!$G$58,ABS(O674)*'Progetto del paramento slu'!$G$54,'Progetto del paramento slu'!$G$53)</f>
        <v>43768498.371233143</v>
      </c>
      <c r="J674" s="479">
        <f t="shared" si="49"/>
        <v>70958925.654064447</v>
      </c>
      <c r="K674" s="558">
        <f>'Progetto del paramento slu'!$G$60*(sezione!$AL$29-C674)/C674</f>
        <v>-1.7131379632252882E-3</v>
      </c>
      <c r="L674" s="558">
        <f>'Progetto del paramento slu'!$G$60*(sezione!$AM$29-C674)/C674</f>
        <v>3.2007326379051692E-3</v>
      </c>
      <c r="M674" s="559">
        <f>'Progetto del paramento slu'!$G$60*(sezione!$AN$29-C674)/C674</f>
        <v>8.1146032390356278E-3</v>
      </c>
      <c r="N674" s="559">
        <f>'Progetto del paramento slu'!$G$60*(sezione!$AO$29-C674)/C674</f>
        <v>1.168832731258505E-2</v>
      </c>
      <c r="O674" s="559">
        <f>'Progetto del paramento slu'!$G$60*(sezione!$AP$29-C674)/C674</f>
        <v>8.1146923673703891E-3</v>
      </c>
      <c r="P674" s="553">
        <f>-'Progetto del paramento slu'!$G$47*'Progetto del paramento slu'!$G$41*IF(DATI!$G$218="dx",DATI!$E$61,DATI!$E$64*DATI!$E$63)*1000*C674*sezione!$AD$5</f>
        <v>-1104407.9281923936</v>
      </c>
      <c r="Q674" s="553">
        <f>'Foglio deposito bis'!$F$48*IF(ABS(K674)&lt;'Progetto del paramento slu'!$G$58,ABS(K674)*'Progetto del paramento slu'!$G$54,'Progetto del paramento slu'!$G$53)*IF(K674&lt;0,-1,1)</f>
        <v>0</v>
      </c>
      <c r="R674" s="553">
        <f>'Foglio deposito bis'!$F$49*IF(ABS(L674)&lt;'Progetto del paramento slu'!$G$58,ABS(L674)*'Progetto del paramento slu'!$G$54,'Progetto del paramento slu'!$G$53)*IF(L674&lt;0,-1,1)</f>
        <v>204886.47740803001</v>
      </c>
      <c r="S674" s="553">
        <f>'Foglio deposito bis'!$F$50*IF(ABS(M674)&lt;'Progetto del paramento slu'!$G$58,ABS(M674)*'Progetto del paramento slu'!$G$54,'Progetto del paramento slu'!$G$53)*IF(M674&lt;0,-1,1)</f>
        <v>0</v>
      </c>
      <c r="T674" s="553">
        <f>'Foglio deposito bis'!$F$51*IF(ABS(N674)&lt;'Progetto del paramento slu'!$G$58,ABS(N674)*'Progetto del paramento slu'!$G$54,'Progetto del paramento slu'!$G$53)*IF(N674&lt;0,-1,1)</f>
        <v>240946.49743184328</v>
      </c>
      <c r="U674" s="553">
        <f>'Foglio deposito bis'!$F$52*IF(ABS(O674)&lt;'Progetto del paramento slu'!$G$58,ABS(O674)*'Progetto del paramento slu'!$G$54,'Progetto del paramento slu'!$G$53)*IF(O674&lt;0,-1,1)</f>
        <v>240946.49743184328</v>
      </c>
      <c r="V674" s="479">
        <f t="shared" si="50"/>
        <v>-417628.45592067693</v>
      </c>
      <c r="W674" s="559"/>
      <c r="X674" s="559"/>
    </row>
    <row r="675" spans="1:24" x14ac:dyDescent="0.25">
      <c r="A675" s="553">
        <f t="shared" si="51"/>
        <v>429073.09766360326</v>
      </c>
      <c r="B675" s="3">
        <f t="shared" si="52"/>
        <v>19.499999999999954</v>
      </c>
      <c r="C675" s="553">
        <f>'Foglio deposito bis'!$E$155/sezione!$B$247*B675</f>
        <v>79.161554888362488</v>
      </c>
      <c r="D675" s="611">
        <f>-'Progetto del paramento slu'!$G$47*'Progetto del paramento slu'!$G$41*IF(DATI!$G$218="dx",DATI!$E$61,DATI!$E$64*DATI!$E$63)*1000*C675^2*sezione!$AD$5*(1-sezione!$AD$6)</f>
        <v>-51586252.685957022</v>
      </c>
      <c r="E675" s="553">
        <f>-'Foglio deposito bis'!$F$48*(C675-sezione!$AL$29)*IF(ABS(K675)&lt;'Progetto del paramento slu'!$G$58,ABS(K675)*'Progetto del paramento slu'!$G$54,'Progetto del paramento slu'!$G$53)</f>
        <v>0</v>
      </c>
      <c r="F675" s="553">
        <f>-'Foglio deposito bis'!$F$49*(C675-sezione!$AM$29)*IF(ABS(L675)&lt;'Progetto del paramento slu'!$G$58,ABS(L675)*'Progetto del paramento slu'!$G$54,'Progetto del paramento slu'!$G$53)</f>
        <v>14513839.483985493</v>
      </c>
      <c r="G675" s="553">
        <f>-'Foglio deposito bis'!$F$50*(C675-sezione!$AN$29)*IF(ABS(M675)&lt;'Progetto del paramento slu'!$G$58,ABS(M675)*'Progetto del paramento slu'!$G$54,'Progetto del paramento slu'!$G$53)</f>
        <v>0</v>
      </c>
      <c r="H675" s="553">
        <f>-'Foglio deposito bis'!$F$51*(C675-sezione!$AO$29)*IF(ABS(N675)&lt;'Progetto del paramento slu'!$G$58,ABS(N675)*'Progetto del paramento slu'!$G$54,'Progetto del paramento slu'!$G$53)</f>
        <v>62848109.745217152</v>
      </c>
      <c r="I675" s="479">
        <f>-'Foglio deposito bis'!$F$52*(C675-sezione!$AP$29)*IF(ABS(O675)&lt;'Progetto del paramento slu'!$G$58,ABS(O675)*'Progetto del paramento slu'!$G$54,'Progetto del paramento slu'!$G$53)</f>
        <v>43572870.685267918</v>
      </c>
      <c r="J675" s="479">
        <f t="shared" si="49"/>
        <v>69348567.228513539</v>
      </c>
      <c r="K675" s="558">
        <f>'Progetto del paramento slu'!$G$60*(sezione!$AL$29-C675)/C675</f>
        <v>-1.7314647533460546E-3</v>
      </c>
      <c r="L675" s="558">
        <f>'Progetto del paramento slu'!$G$60*(sezione!$AM$29-C675)/C675</f>
        <v>3.1320071749522957E-3</v>
      </c>
      <c r="M675" s="559">
        <f>'Progetto del paramento slu'!$G$60*(sezione!$AN$29-C675)/C675</f>
        <v>7.9954791032506457E-3</v>
      </c>
      <c r="N675" s="559">
        <f>'Progetto del paramento slu'!$G$60*(sezione!$AO$29-C675)/C675</f>
        <v>1.1532549596558537E-2</v>
      </c>
      <c r="O675" s="559">
        <f>'Progetto del paramento slu'!$G$60*(sezione!$AP$29-C675)/C675</f>
        <v>7.9955673174486423E-3</v>
      </c>
      <c r="P675" s="553">
        <f>-'Progetto del paramento slu'!$G$47*'Progetto del paramento slu'!$G$41*IF(DATI!$G$218="dx",DATI!$E$61,DATI!$E$64*DATI!$E$63)*1000*C675*sezione!$AD$5</f>
        <v>-1115852.5699353199</v>
      </c>
      <c r="Q675" s="553">
        <f>'Foglio deposito bis'!$F$48*IF(ABS(K675)&lt;'Progetto del paramento slu'!$G$58,ABS(K675)*'Progetto del paramento slu'!$G$54,'Progetto del paramento slu'!$G$53)*IF(K675&lt;0,-1,1)</f>
        <v>0</v>
      </c>
      <c r="R675" s="553">
        <f>'Foglio deposito bis'!$F$49*IF(ABS(L675)&lt;'Progetto del paramento slu'!$G$58,ABS(L675)*'Progetto del paramento slu'!$G$54,'Progetto del paramento slu'!$G$53)*IF(L675&lt;0,-1,1)</f>
        <v>204886.47740803001</v>
      </c>
      <c r="S675" s="553">
        <f>'Foglio deposito bis'!$F$50*IF(ABS(M675)&lt;'Progetto del paramento slu'!$G$58,ABS(M675)*'Progetto del paramento slu'!$G$54,'Progetto del paramento slu'!$G$53)*IF(M675&lt;0,-1,1)</f>
        <v>0</v>
      </c>
      <c r="T675" s="553">
        <f>'Foglio deposito bis'!$F$51*IF(ABS(N675)&lt;'Progetto del paramento slu'!$G$58,ABS(N675)*'Progetto del paramento slu'!$G$54,'Progetto del paramento slu'!$G$53)*IF(N675&lt;0,-1,1)</f>
        <v>240946.49743184328</v>
      </c>
      <c r="U675" s="553">
        <f>'Foglio deposito bis'!$F$52*IF(ABS(O675)&lt;'Progetto del paramento slu'!$G$58,ABS(O675)*'Progetto del paramento slu'!$G$54,'Progetto del paramento slu'!$G$53)*IF(O675&lt;0,-1,1)</f>
        <v>240946.49743184328</v>
      </c>
      <c r="V675" s="479">
        <f t="shared" si="50"/>
        <v>-429073.09766360326</v>
      </c>
      <c r="W675" s="559"/>
      <c r="X675" s="559"/>
    </row>
    <row r="676" spans="1:24" x14ac:dyDescent="0.25">
      <c r="A676" s="553">
        <f t="shared" si="51"/>
        <v>440517.73940652958</v>
      </c>
      <c r="B676" s="3">
        <f t="shared" si="52"/>
        <v>19.699999999999953</v>
      </c>
      <c r="C676" s="553">
        <f>'Foglio deposito bis'!$E$155/sezione!$B$247*B676</f>
        <v>79.973468271832871</v>
      </c>
      <c r="D676" s="611">
        <f>-'Progetto del paramento slu'!$G$47*'Progetto del paramento slu'!$G$41*IF(DATI!$G$218="dx",DATI!$E$61,DATI!$E$64*DATI!$E$63)*1000*C676^2*sezione!$AD$5*(1-sezione!$AD$6)</f>
        <v>-52649858.789988324</v>
      </c>
      <c r="E676" s="553">
        <f>-'Foglio deposito bis'!$F$48*(C676-sezione!$AL$29)*IF(ABS(K676)&lt;'Progetto del paramento slu'!$G$58,ABS(K676)*'Progetto del paramento slu'!$G$54,'Progetto del paramento slu'!$G$53)</f>
        <v>0</v>
      </c>
      <c r="F676" s="553">
        <f>-'Foglio deposito bis'!$F$49*(C676-sezione!$AM$29)*IF(ABS(L676)&lt;'Progetto del paramento slu'!$G$58,ABS(L676)*'Progetto del paramento slu'!$G$54,'Progetto del paramento slu'!$G$53)</f>
        <v>14347489.410885811</v>
      </c>
      <c r="G676" s="553">
        <f>-'Foglio deposito bis'!$F$50*(C676-sezione!$AN$29)*IF(ABS(M676)&lt;'Progetto del paramento slu'!$G$58,ABS(M676)*'Progetto del paramento slu'!$G$54,'Progetto del paramento slu'!$G$53)</f>
        <v>0</v>
      </c>
      <c r="H676" s="553">
        <f>-'Foglio deposito bis'!$F$51*(C676-sezione!$AO$29)*IF(ABS(N676)&lt;'Progetto del paramento slu'!$G$58,ABS(N676)*'Progetto del paramento slu'!$G$54,'Progetto del paramento slu'!$G$53)</f>
        <v>62652482.059251942</v>
      </c>
      <c r="I676" s="479">
        <f>-'Foglio deposito bis'!$F$52*(C676-sezione!$AP$29)*IF(ABS(O676)&lt;'Progetto del paramento slu'!$G$58,ABS(O676)*'Progetto del paramento slu'!$G$54,'Progetto del paramento slu'!$G$53)</f>
        <v>43377242.9993027</v>
      </c>
      <c r="J676" s="479">
        <f t="shared" si="49"/>
        <v>67727355.679452121</v>
      </c>
      <c r="K676" s="558">
        <f>'Progetto del paramento slu'!$G$60*(sezione!$AL$29-C676)/C676</f>
        <v>-1.7494194259009169E-3</v>
      </c>
      <c r="L676" s="558">
        <f>'Progetto del paramento slu'!$G$60*(sezione!$AM$29-C676)/C676</f>
        <v>3.0646771528715622E-3</v>
      </c>
      <c r="M676" s="559">
        <f>'Progetto del paramento slu'!$G$60*(sezione!$AN$29-C676)/C676</f>
        <v>7.8787737316440409E-3</v>
      </c>
      <c r="N676" s="559">
        <f>'Progetto del paramento slu'!$G$60*(sezione!$AO$29-C676)/C676</f>
        <v>1.1379934879842207E-2</v>
      </c>
      <c r="O676" s="559">
        <f>'Progetto del paramento slu'!$G$60*(sezione!$AP$29-C676)/C676</f>
        <v>7.8788610502664239E-3</v>
      </c>
      <c r="P676" s="553">
        <f>-'Progetto del paramento slu'!$G$47*'Progetto del paramento slu'!$G$41*IF(DATI!$G$218="dx",DATI!$E$61,DATI!$E$64*DATI!$E$63)*1000*C676*sezione!$AD$5</f>
        <v>-1127297.2116782463</v>
      </c>
      <c r="Q676" s="553">
        <f>'Foglio deposito bis'!$F$48*IF(ABS(K676)&lt;'Progetto del paramento slu'!$G$58,ABS(K676)*'Progetto del paramento slu'!$G$54,'Progetto del paramento slu'!$G$53)*IF(K676&lt;0,-1,1)</f>
        <v>0</v>
      </c>
      <c r="R676" s="553">
        <f>'Foglio deposito bis'!$F$49*IF(ABS(L676)&lt;'Progetto del paramento slu'!$G$58,ABS(L676)*'Progetto del paramento slu'!$G$54,'Progetto del paramento slu'!$G$53)*IF(L676&lt;0,-1,1)</f>
        <v>204886.47740803001</v>
      </c>
      <c r="S676" s="553">
        <f>'Foglio deposito bis'!$F$50*IF(ABS(M676)&lt;'Progetto del paramento slu'!$G$58,ABS(M676)*'Progetto del paramento slu'!$G$54,'Progetto del paramento slu'!$G$53)*IF(M676&lt;0,-1,1)</f>
        <v>0</v>
      </c>
      <c r="T676" s="553">
        <f>'Foglio deposito bis'!$F$51*IF(ABS(N676)&lt;'Progetto del paramento slu'!$G$58,ABS(N676)*'Progetto del paramento slu'!$G$54,'Progetto del paramento slu'!$G$53)*IF(N676&lt;0,-1,1)</f>
        <v>240946.49743184328</v>
      </c>
      <c r="U676" s="553">
        <f>'Foglio deposito bis'!$F$52*IF(ABS(O676)&lt;'Progetto del paramento slu'!$G$58,ABS(O676)*'Progetto del paramento slu'!$G$54,'Progetto del paramento slu'!$G$53)*IF(O676&lt;0,-1,1)</f>
        <v>240946.49743184328</v>
      </c>
      <c r="V676" s="479">
        <f t="shared" si="50"/>
        <v>-440517.73940652958</v>
      </c>
      <c r="W676" s="559"/>
      <c r="X676" s="559"/>
    </row>
    <row r="677" spans="1:24" x14ac:dyDescent="0.25">
      <c r="A677" s="553">
        <f t="shared" si="51"/>
        <v>451962.38114945614</v>
      </c>
      <c r="B677" s="3">
        <f t="shared" si="52"/>
        <v>19.899999999999952</v>
      </c>
      <c r="C677" s="553">
        <f>'Foglio deposito bis'!$E$155/sezione!$B$247*B677</f>
        <v>80.785381655303269</v>
      </c>
      <c r="D677" s="611">
        <f>-'Progetto del paramento slu'!$G$47*'Progetto del paramento slu'!$G$41*IF(DATI!$G$218="dx",DATI!$E$61,DATI!$E$64*DATI!$E$63)*1000*C677^2*sezione!$AD$5*(1-sezione!$AD$6)</f>
        <v>-53724318.017530173</v>
      </c>
      <c r="E677" s="553">
        <f>-'Foglio deposito bis'!$F$48*(C677-sezione!$AL$29)*IF(ABS(K677)&lt;'Progetto del paramento slu'!$G$58,ABS(K677)*'Progetto del paramento slu'!$G$54,'Progetto del paramento slu'!$G$53)</f>
        <v>0</v>
      </c>
      <c r="F677" s="553">
        <f>-'Foglio deposito bis'!$F$49*(C677-sezione!$AM$29)*IF(ABS(L677)&lt;'Progetto del paramento slu'!$G$58,ABS(L677)*'Progetto del paramento slu'!$G$54,'Progetto del paramento slu'!$G$53)</f>
        <v>14181139.337786127</v>
      </c>
      <c r="G677" s="553">
        <f>-'Foglio deposito bis'!$F$50*(C677-sezione!$AN$29)*IF(ABS(M677)&lt;'Progetto del paramento slu'!$G$58,ABS(M677)*'Progetto del paramento slu'!$G$54,'Progetto del paramento slu'!$G$53)</f>
        <v>0</v>
      </c>
      <c r="H677" s="553">
        <f>-'Foglio deposito bis'!$F$51*(C677-sezione!$AO$29)*IF(ABS(N677)&lt;'Progetto del paramento slu'!$G$58,ABS(N677)*'Progetto del paramento slu'!$G$54,'Progetto del paramento slu'!$G$53)</f>
        <v>62456854.373286709</v>
      </c>
      <c r="I677" s="479">
        <f>-'Foglio deposito bis'!$F$52*(C677-sezione!$AP$29)*IF(ABS(O677)&lt;'Progetto del paramento slu'!$G$58,ABS(O677)*'Progetto del paramento slu'!$G$54,'Progetto del paramento slu'!$G$53)</f>
        <v>43181615.313337468</v>
      </c>
      <c r="J677" s="479">
        <f t="shared" si="49"/>
        <v>66095291.006880127</v>
      </c>
      <c r="K677" s="558">
        <f>'Progetto del paramento slu'!$G$60*(sezione!$AL$29-C677)/C677</f>
        <v>-1.7670132005149781E-3</v>
      </c>
      <c r="L677" s="558">
        <f>'Progetto del paramento slu'!$G$60*(sezione!$AM$29-C677)/C677</f>
        <v>2.9987004980688314E-3</v>
      </c>
      <c r="M677" s="559">
        <f>'Progetto del paramento slu'!$G$60*(sezione!$AN$29-C677)/C677</f>
        <v>7.7644141966526411E-3</v>
      </c>
      <c r="N677" s="559">
        <f>'Progetto del paramento slu'!$G$60*(sezione!$AO$29-C677)/C677</f>
        <v>1.1230387795622687E-2</v>
      </c>
      <c r="O677" s="559">
        <f>'Progetto del paramento slu'!$G$60*(sezione!$AP$29-C677)/C677</f>
        <v>7.76450063770093E-3</v>
      </c>
      <c r="P677" s="553">
        <f>-'Progetto del paramento slu'!$G$47*'Progetto del paramento slu'!$G$41*IF(DATI!$G$218="dx",DATI!$E$61,DATI!$E$64*DATI!$E$63)*1000*C677*sezione!$AD$5</f>
        <v>-1138741.8534211728</v>
      </c>
      <c r="Q677" s="553">
        <f>'Foglio deposito bis'!$F$48*IF(ABS(K677)&lt;'Progetto del paramento slu'!$G$58,ABS(K677)*'Progetto del paramento slu'!$G$54,'Progetto del paramento slu'!$G$53)*IF(K677&lt;0,-1,1)</f>
        <v>0</v>
      </c>
      <c r="R677" s="553">
        <f>'Foglio deposito bis'!$F$49*IF(ABS(L677)&lt;'Progetto del paramento slu'!$G$58,ABS(L677)*'Progetto del paramento slu'!$G$54,'Progetto del paramento slu'!$G$53)*IF(L677&lt;0,-1,1)</f>
        <v>204886.47740803001</v>
      </c>
      <c r="S677" s="553">
        <f>'Foglio deposito bis'!$F$50*IF(ABS(M677)&lt;'Progetto del paramento slu'!$G$58,ABS(M677)*'Progetto del paramento slu'!$G$54,'Progetto del paramento slu'!$G$53)*IF(M677&lt;0,-1,1)</f>
        <v>0</v>
      </c>
      <c r="T677" s="553">
        <f>'Foglio deposito bis'!$F$51*IF(ABS(N677)&lt;'Progetto del paramento slu'!$G$58,ABS(N677)*'Progetto del paramento slu'!$G$54,'Progetto del paramento slu'!$G$53)*IF(N677&lt;0,-1,1)</f>
        <v>240946.49743184328</v>
      </c>
      <c r="U677" s="553">
        <f>'Foglio deposito bis'!$F$52*IF(ABS(O677)&lt;'Progetto del paramento slu'!$G$58,ABS(O677)*'Progetto del paramento slu'!$G$54,'Progetto del paramento slu'!$G$53)*IF(O677&lt;0,-1,1)</f>
        <v>240946.49743184328</v>
      </c>
      <c r="V677" s="479">
        <f t="shared" si="50"/>
        <v>-451962.38114945614</v>
      </c>
      <c r="W677" s="559"/>
      <c r="X677" s="559"/>
    </row>
    <row r="678" spans="1:24" x14ac:dyDescent="0.25">
      <c r="A678" s="553">
        <f t="shared" si="51"/>
        <v>463407.02289238246</v>
      </c>
      <c r="B678" s="3">
        <f t="shared" si="52"/>
        <v>20.099999999999952</v>
      </c>
      <c r="C678" s="553">
        <f>'Foglio deposito bis'!$E$155/sezione!$B$247*B678</f>
        <v>81.597295038773652</v>
      </c>
      <c r="D678" s="611">
        <f>-'Progetto del paramento slu'!$G$47*'Progetto del paramento slu'!$G$41*IF(DATI!$G$218="dx",DATI!$E$61,DATI!$E$64*DATI!$E$63)*1000*C678^2*sezione!$AD$5*(1-sezione!$AD$6)</f>
        <v>-54809630.368582517</v>
      </c>
      <c r="E678" s="553">
        <f>-'Foglio deposito bis'!$F$48*(C678-sezione!$AL$29)*IF(ABS(K678)&lt;'Progetto del paramento slu'!$G$58,ABS(K678)*'Progetto del paramento slu'!$G$54,'Progetto del paramento slu'!$G$53)</f>
        <v>0</v>
      </c>
      <c r="F678" s="553">
        <f>-'Foglio deposito bis'!$F$49*(C678-sezione!$AM$29)*IF(ABS(L678)&lt;'Progetto del paramento slu'!$G$58,ABS(L678)*'Progetto del paramento slu'!$G$54,'Progetto del paramento slu'!$G$53)</f>
        <v>14014789.264686445</v>
      </c>
      <c r="G678" s="553">
        <f>-'Foglio deposito bis'!$F$50*(C678-sezione!$AN$29)*IF(ABS(M678)&lt;'Progetto del paramento slu'!$G$58,ABS(M678)*'Progetto del paramento slu'!$G$54,'Progetto del paramento slu'!$G$53)</f>
        <v>0</v>
      </c>
      <c r="H678" s="553">
        <f>-'Foglio deposito bis'!$F$51*(C678-sezione!$AO$29)*IF(ABS(N678)&lt;'Progetto del paramento slu'!$G$58,ABS(N678)*'Progetto del paramento slu'!$G$54,'Progetto del paramento slu'!$G$53)</f>
        <v>62261226.687321477</v>
      </c>
      <c r="I678" s="479">
        <f>-'Foglio deposito bis'!$F$52*(C678-sezione!$AP$29)*IF(ABS(O678)&lt;'Progetto del paramento slu'!$G$58,ABS(O678)*'Progetto del paramento slu'!$G$54,'Progetto del paramento slu'!$G$53)</f>
        <v>42985987.627372235</v>
      </c>
      <c r="J678" s="479">
        <f t="shared" si="49"/>
        <v>64452373.210797638</v>
      </c>
      <c r="K678" s="558">
        <f>'Progetto del paramento slu'!$G$60*(sezione!$AL$29-C678)/C678</f>
        <v>-1.784256850261098E-3</v>
      </c>
      <c r="L678" s="558">
        <f>'Progetto del paramento slu'!$G$60*(sezione!$AM$29-C678)/C678</f>
        <v>2.9340368115208832E-3</v>
      </c>
      <c r="M678" s="559">
        <f>'Progetto del paramento slu'!$G$60*(sezione!$AN$29-C678)/C678</f>
        <v>7.6523304733028628E-3</v>
      </c>
      <c r="N678" s="559">
        <f>'Progetto del paramento slu'!$G$60*(sezione!$AO$29-C678)/C678</f>
        <v>1.1083816772780667E-2</v>
      </c>
      <c r="O678" s="559">
        <f>'Progetto del paramento slu'!$G$60*(sezione!$AP$29-C678)/C678</f>
        <v>7.6524160542412187E-3</v>
      </c>
      <c r="P678" s="553">
        <f>-'Progetto del paramento slu'!$G$47*'Progetto del paramento slu'!$G$41*IF(DATI!$G$218="dx",DATI!$E$61,DATI!$E$64*DATI!$E$63)*1000*C678*sezione!$AD$5</f>
        <v>-1150186.4951640991</v>
      </c>
      <c r="Q678" s="553">
        <f>'Foglio deposito bis'!$F$48*IF(ABS(K678)&lt;'Progetto del paramento slu'!$G$58,ABS(K678)*'Progetto del paramento slu'!$G$54,'Progetto del paramento slu'!$G$53)*IF(K678&lt;0,-1,1)</f>
        <v>0</v>
      </c>
      <c r="R678" s="553">
        <f>'Foglio deposito bis'!$F$49*IF(ABS(L678)&lt;'Progetto del paramento slu'!$G$58,ABS(L678)*'Progetto del paramento slu'!$G$54,'Progetto del paramento slu'!$G$53)*IF(L678&lt;0,-1,1)</f>
        <v>204886.47740803001</v>
      </c>
      <c r="S678" s="553">
        <f>'Foglio deposito bis'!$F$50*IF(ABS(M678)&lt;'Progetto del paramento slu'!$G$58,ABS(M678)*'Progetto del paramento slu'!$G$54,'Progetto del paramento slu'!$G$53)*IF(M678&lt;0,-1,1)</f>
        <v>0</v>
      </c>
      <c r="T678" s="553">
        <f>'Foglio deposito bis'!$F$51*IF(ABS(N678)&lt;'Progetto del paramento slu'!$G$58,ABS(N678)*'Progetto del paramento slu'!$G$54,'Progetto del paramento slu'!$G$53)*IF(N678&lt;0,-1,1)</f>
        <v>240946.49743184328</v>
      </c>
      <c r="U678" s="553">
        <f>'Foglio deposito bis'!$F$52*IF(ABS(O678)&lt;'Progetto del paramento slu'!$G$58,ABS(O678)*'Progetto del paramento slu'!$G$54,'Progetto del paramento slu'!$G$53)*IF(O678&lt;0,-1,1)</f>
        <v>240946.49743184328</v>
      </c>
      <c r="V678" s="479">
        <f t="shared" si="50"/>
        <v>-463407.02289238246</v>
      </c>
      <c r="W678" s="559"/>
      <c r="X678" s="559"/>
    </row>
    <row r="679" spans="1:24" x14ac:dyDescent="0.25">
      <c r="A679" s="553">
        <f t="shared" si="51"/>
        <v>474851.66463530879</v>
      </c>
      <c r="B679" s="3">
        <f t="shared" si="52"/>
        <v>20.299999999999951</v>
      </c>
      <c r="C679" s="553">
        <f>'Foglio deposito bis'!$E$155/sezione!$B$247*B679</f>
        <v>82.409208422244035</v>
      </c>
      <c r="D679" s="611">
        <f>-'Progetto del paramento slu'!$G$47*'Progetto del paramento slu'!$G$41*IF(DATI!$G$218="dx",DATI!$E$61,DATI!$E$64*DATI!$E$63)*1000*C679^2*sezione!$AD$5*(1-sezione!$AD$6)</f>
        <v>-55905795.843145393</v>
      </c>
      <c r="E679" s="553">
        <f>-'Foglio deposito bis'!$F$48*(C679-sezione!$AL$29)*IF(ABS(K679)&lt;'Progetto del paramento slu'!$G$58,ABS(K679)*'Progetto del paramento slu'!$G$54,'Progetto del paramento slu'!$G$53)</f>
        <v>0</v>
      </c>
      <c r="F679" s="553">
        <f>-'Foglio deposito bis'!$F$49*(C679-sezione!$AM$29)*IF(ABS(L679)&lt;'Progetto del paramento slu'!$G$58,ABS(L679)*'Progetto del paramento slu'!$G$54,'Progetto del paramento slu'!$G$53)</f>
        <v>13848439.191586765</v>
      </c>
      <c r="G679" s="553">
        <f>-'Foglio deposito bis'!$F$50*(C679-sezione!$AN$29)*IF(ABS(M679)&lt;'Progetto del paramento slu'!$G$58,ABS(M679)*'Progetto del paramento slu'!$G$54,'Progetto del paramento slu'!$G$53)</f>
        <v>0</v>
      </c>
      <c r="H679" s="553">
        <f>-'Foglio deposito bis'!$F$51*(C679-sezione!$AO$29)*IF(ABS(N679)&lt;'Progetto del paramento slu'!$G$58,ABS(N679)*'Progetto del paramento slu'!$G$54,'Progetto del paramento slu'!$G$53)</f>
        <v>62065599.001356252</v>
      </c>
      <c r="I679" s="479">
        <f>-'Foglio deposito bis'!$F$52*(C679-sezione!$AP$29)*IF(ABS(O679)&lt;'Progetto del paramento slu'!$G$58,ABS(O679)*'Progetto del paramento slu'!$G$54,'Progetto del paramento slu'!$G$53)</f>
        <v>42790359.941407017</v>
      </c>
      <c r="J679" s="479">
        <f t="shared" si="49"/>
        <v>62798602.291204639</v>
      </c>
      <c r="K679" s="558">
        <f>'Progetto del paramento slu'!$G$60*(sezione!$AL$29-C679)/C679</f>
        <v>-1.8011607236575401E-3</v>
      </c>
      <c r="L679" s="558">
        <f>'Progetto del paramento slu'!$G$60*(sezione!$AM$29-C679)/C679</f>
        <v>2.8706472862842242E-3</v>
      </c>
      <c r="M679" s="559">
        <f>'Progetto del paramento slu'!$G$60*(sezione!$AN$29-C679)/C679</f>
        <v>7.5424552962259882E-3</v>
      </c>
      <c r="N679" s="559">
        <f>'Progetto del paramento slu'!$G$60*(sezione!$AO$29-C679)/C679</f>
        <v>1.0940133848910908E-2</v>
      </c>
      <c r="O679" s="559">
        <f>'Progetto del paramento slu'!$G$60*(sezione!$AP$29-C679)/C679</f>
        <v>7.5425400340023898E-3</v>
      </c>
      <c r="P679" s="553">
        <f>-'Progetto del paramento slu'!$G$47*'Progetto del paramento slu'!$G$41*IF(DATI!$G$218="dx",DATI!$E$61,DATI!$E$64*DATI!$E$63)*1000*C679*sezione!$AD$5</f>
        <v>-1161631.1369070255</v>
      </c>
      <c r="Q679" s="553">
        <f>'Foglio deposito bis'!$F$48*IF(ABS(K679)&lt;'Progetto del paramento slu'!$G$58,ABS(K679)*'Progetto del paramento slu'!$G$54,'Progetto del paramento slu'!$G$53)*IF(K679&lt;0,-1,1)</f>
        <v>0</v>
      </c>
      <c r="R679" s="553">
        <f>'Foglio deposito bis'!$F$49*IF(ABS(L679)&lt;'Progetto del paramento slu'!$G$58,ABS(L679)*'Progetto del paramento slu'!$G$54,'Progetto del paramento slu'!$G$53)*IF(L679&lt;0,-1,1)</f>
        <v>204886.47740803001</v>
      </c>
      <c r="S679" s="553">
        <f>'Foglio deposito bis'!$F$50*IF(ABS(M679)&lt;'Progetto del paramento slu'!$G$58,ABS(M679)*'Progetto del paramento slu'!$G$54,'Progetto del paramento slu'!$G$53)*IF(M679&lt;0,-1,1)</f>
        <v>0</v>
      </c>
      <c r="T679" s="553">
        <f>'Foglio deposito bis'!$F$51*IF(ABS(N679)&lt;'Progetto del paramento slu'!$G$58,ABS(N679)*'Progetto del paramento slu'!$G$54,'Progetto del paramento slu'!$G$53)*IF(N679&lt;0,-1,1)</f>
        <v>240946.49743184328</v>
      </c>
      <c r="U679" s="553">
        <f>'Foglio deposito bis'!$F$52*IF(ABS(O679)&lt;'Progetto del paramento slu'!$G$58,ABS(O679)*'Progetto del paramento slu'!$G$54,'Progetto del paramento slu'!$G$53)*IF(O679&lt;0,-1,1)</f>
        <v>240946.49743184328</v>
      </c>
      <c r="V679" s="479">
        <f t="shared" si="50"/>
        <v>-474851.66463530879</v>
      </c>
      <c r="W679" s="559"/>
      <c r="X679" s="559"/>
    </row>
    <row r="680" spans="1:24" x14ac:dyDescent="0.25">
      <c r="A680" s="553">
        <f t="shared" si="51"/>
        <v>486296.30637823511</v>
      </c>
      <c r="B680" s="3">
        <f t="shared" si="52"/>
        <v>20.49999999999995</v>
      </c>
      <c r="C680" s="553">
        <f>'Foglio deposito bis'!$E$155/sezione!$B$247*B680</f>
        <v>83.221121805714418</v>
      </c>
      <c r="D680" s="611">
        <f>-'Progetto del paramento slu'!$G$47*'Progetto del paramento slu'!$G$41*IF(DATI!$G$218="dx",DATI!$E$61,DATI!$E$64*DATI!$E$63)*1000*C680^2*sezione!$AD$5*(1-sezione!$AD$6)</f>
        <v>-57012814.441218778</v>
      </c>
      <c r="E680" s="553">
        <f>-'Foglio deposito bis'!$F$48*(C680-sezione!$AL$29)*IF(ABS(K680)&lt;'Progetto del paramento slu'!$G$58,ABS(K680)*'Progetto del paramento slu'!$G$54,'Progetto del paramento slu'!$G$53)</f>
        <v>0</v>
      </c>
      <c r="F680" s="553">
        <f>-'Foglio deposito bis'!$F$49*(C680-sezione!$AM$29)*IF(ABS(L680)&lt;'Progetto del paramento slu'!$G$58,ABS(L680)*'Progetto del paramento slu'!$G$54,'Progetto del paramento slu'!$G$53)</f>
        <v>13682089.118487081</v>
      </c>
      <c r="G680" s="553">
        <f>-'Foglio deposito bis'!$F$50*(C680-sezione!$AN$29)*IF(ABS(M680)&lt;'Progetto del paramento slu'!$G$58,ABS(M680)*'Progetto del paramento slu'!$G$54,'Progetto del paramento slu'!$G$53)</f>
        <v>0</v>
      </c>
      <c r="H680" s="553">
        <f>-'Foglio deposito bis'!$F$51*(C680-sezione!$AO$29)*IF(ABS(N680)&lt;'Progetto del paramento slu'!$G$58,ABS(N680)*'Progetto del paramento slu'!$G$54,'Progetto del paramento slu'!$G$53)</f>
        <v>61869971.315391034</v>
      </c>
      <c r="I680" s="479">
        <f>-'Foglio deposito bis'!$F$52*(C680-sezione!$AP$29)*IF(ABS(O680)&lt;'Progetto del paramento slu'!$G$58,ABS(O680)*'Progetto del paramento slu'!$G$54,'Progetto del paramento slu'!$G$53)</f>
        <v>42594732.255441792</v>
      </c>
      <c r="J680" s="479">
        <f t="shared" si="49"/>
        <v>61133978.24810113</v>
      </c>
      <c r="K680" s="558">
        <f>'Progetto del paramento slu'!$G$60*(sezione!$AL$29-C680)/C680</f>
        <v>-1.8177347653779545E-3</v>
      </c>
      <c r="L680" s="558">
        <f>'Progetto del paramento slu'!$G$60*(sezione!$AM$29-C680)/C680</f>
        <v>2.8084946298326707E-3</v>
      </c>
      <c r="M680" s="559">
        <f>'Progetto del paramento slu'!$G$60*(sezione!$AN$29-C680)/C680</f>
        <v>7.4347240250432966E-3</v>
      </c>
      <c r="N680" s="559">
        <f>'Progetto del paramento slu'!$G$60*(sezione!$AO$29-C680)/C680</f>
        <v>1.0799254494287388E-2</v>
      </c>
      <c r="O680" s="559">
        <f>'Progetto del paramento slu'!$G$60*(sezione!$AP$29-C680)/C680</f>
        <v>7.4348079361096836E-3</v>
      </c>
      <c r="P680" s="553">
        <f>-'Progetto del paramento slu'!$G$47*'Progetto del paramento slu'!$G$41*IF(DATI!$G$218="dx",DATI!$E$61,DATI!$E$64*DATI!$E$63)*1000*C680*sezione!$AD$5</f>
        <v>-1173075.7786499518</v>
      </c>
      <c r="Q680" s="553">
        <f>'Foglio deposito bis'!$F$48*IF(ABS(K680)&lt;'Progetto del paramento slu'!$G$58,ABS(K680)*'Progetto del paramento slu'!$G$54,'Progetto del paramento slu'!$G$53)*IF(K680&lt;0,-1,1)</f>
        <v>0</v>
      </c>
      <c r="R680" s="553">
        <f>'Foglio deposito bis'!$F$49*IF(ABS(L680)&lt;'Progetto del paramento slu'!$G$58,ABS(L680)*'Progetto del paramento slu'!$G$54,'Progetto del paramento slu'!$G$53)*IF(L680&lt;0,-1,1)</f>
        <v>204886.47740803001</v>
      </c>
      <c r="S680" s="553">
        <f>'Foglio deposito bis'!$F$50*IF(ABS(M680)&lt;'Progetto del paramento slu'!$G$58,ABS(M680)*'Progetto del paramento slu'!$G$54,'Progetto del paramento slu'!$G$53)*IF(M680&lt;0,-1,1)</f>
        <v>0</v>
      </c>
      <c r="T680" s="553">
        <f>'Foglio deposito bis'!$F$51*IF(ABS(N680)&lt;'Progetto del paramento slu'!$G$58,ABS(N680)*'Progetto del paramento slu'!$G$54,'Progetto del paramento slu'!$G$53)*IF(N680&lt;0,-1,1)</f>
        <v>240946.49743184328</v>
      </c>
      <c r="U680" s="553">
        <f>'Foglio deposito bis'!$F$52*IF(ABS(O680)&lt;'Progetto del paramento slu'!$G$58,ABS(O680)*'Progetto del paramento slu'!$G$54,'Progetto del paramento slu'!$G$53)*IF(O680&lt;0,-1,1)</f>
        <v>240946.49743184328</v>
      </c>
      <c r="V680" s="479">
        <f t="shared" si="50"/>
        <v>-486296.30637823511</v>
      </c>
      <c r="W680" s="559"/>
      <c r="X680" s="559"/>
    </row>
    <row r="681" spans="1:24" x14ac:dyDescent="0.25">
      <c r="A681" s="553">
        <f t="shared" si="51"/>
        <v>497740.94812116143</v>
      </c>
      <c r="B681" s="3">
        <f t="shared" si="52"/>
        <v>20.69999999999995</v>
      </c>
      <c r="C681" s="553">
        <f>'Foglio deposito bis'!$E$155/sezione!$B$247*B681</f>
        <v>84.033035189184801</v>
      </c>
      <c r="D681" s="611">
        <f>-'Progetto del paramento slu'!$G$47*'Progetto del paramento slu'!$G$41*IF(DATI!$G$218="dx",DATI!$E$61,DATI!$E$64*DATI!$E$63)*1000*C681^2*sezione!$AD$5*(1-sezione!$AD$6)</f>
        <v>-58130686.162802704</v>
      </c>
      <c r="E681" s="553">
        <f>-'Foglio deposito bis'!$F$48*(C681-sezione!$AL$29)*IF(ABS(K681)&lt;'Progetto del paramento slu'!$G$58,ABS(K681)*'Progetto del paramento slu'!$G$54,'Progetto del paramento slu'!$G$53)</f>
        <v>0</v>
      </c>
      <c r="F681" s="553">
        <f>-'Foglio deposito bis'!$F$49*(C681-sezione!$AM$29)*IF(ABS(L681)&lt;'Progetto del paramento slu'!$G$58,ABS(L681)*'Progetto del paramento slu'!$G$54,'Progetto del paramento slu'!$G$53)</f>
        <v>13515739.045387398</v>
      </c>
      <c r="G681" s="553">
        <f>-'Foglio deposito bis'!$F$50*(C681-sezione!$AN$29)*IF(ABS(M681)&lt;'Progetto del paramento slu'!$G$58,ABS(M681)*'Progetto del paramento slu'!$G$54,'Progetto del paramento slu'!$G$53)</f>
        <v>0</v>
      </c>
      <c r="H681" s="553">
        <f>-'Foglio deposito bis'!$F$51*(C681-sezione!$AO$29)*IF(ABS(N681)&lt;'Progetto del paramento slu'!$G$58,ABS(N681)*'Progetto del paramento slu'!$G$54,'Progetto del paramento slu'!$G$53)</f>
        <v>61674343.629425794</v>
      </c>
      <c r="I681" s="479">
        <f>-'Foglio deposito bis'!$F$52*(C681-sezione!$AP$29)*IF(ABS(O681)&lt;'Progetto del paramento slu'!$G$58,ABS(O681)*'Progetto del paramento slu'!$G$54,'Progetto del paramento slu'!$G$53)</f>
        <v>42399104.56947656</v>
      </c>
      <c r="J681" s="479">
        <f t="shared" si="49"/>
        <v>59458501.081487045</v>
      </c>
      <c r="K681" s="558">
        <f>'Progetto del paramento slu'!$G$60*(sezione!$AL$29-C681)/C681</f>
        <v>-1.833988535760776E-3</v>
      </c>
      <c r="L681" s="558">
        <f>'Progetto del paramento slu'!$G$60*(sezione!$AM$29-C681)/C681</f>
        <v>2.74754299089709E-3</v>
      </c>
      <c r="M681" s="559">
        <f>'Progetto del paramento slu'!$G$60*(sezione!$AN$29-C681)/C681</f>
        <v>7.329074517554956E-3</v>
      </c>
      <c r="N681" s="559">
        <f>'Progetto del paramento slu'!$G$60*(sezione!$AO$29-C681)/C681</f>
        <v>1.0661097446033404E-2</v>
      </c>
      <c r="O681" s="559">
        <f>'Progetto del paramento slu'!$G$60*(sezione!$AP$29-C681)/C681</f>
        <v>7.3291576178864028E-3</v>
      </c>
      <c r="P681" s="553">
        <f>-'Progetto del paramento slu'!$G$47*'Progetto del paramento slu'!$G$41*IF(DATI!$G$218="dx",DATI!$E$61,DATI!$E$64*DATI!$E$63)*1000*C681*sezione!$AD$5</f>
        <v>-1184520.4203928781</v>
      </c>
      <c r="Q681" s="553">
        <f>'Foglio deposito bis'!$F$48*IF(ABS(K681)&lt;'Progetto del paramento slu'!$G$58,ABS(K681)*'Progetto del paramento slu'!$G$54,'Progetto del paramento slu'!$G$53)*IF(K681&lt;0,-1,1)</f>
        <v>0</v>
      </c>
      <c r="R681" s="553">
        <f>'Foglio deposito bis'!$F$49*IF(ABS(L681)&lt;'Progetto del paramento slu'!$G$58,ABS(L681)*'Progetto del paramento slu'!$G$54,'Progetto del paramento slu'!$G$53)*IF(L681&lt;0,-1,1)</f>
        <v>204886.47740803001</v>
      </c>
      <c r="S681" s="553">
        <f>'Foglio deposito bis'!$F$50*IF(ABS(M681)&lt;'Progetto del paramento slu'!$G$58,ABS(M681)*'Progetto del paramento slu'!$G$54,'Progetto del paramento slu'!$G$53)*IF(M681&lt;0,-1,1)</f>
        <v>0</v>
      </c>
      <c r="T681" s="553">
        <f>'Foglio deposito bis'!$F$51*IF(ABS(N681)&lt;'Progetto del paramento slu'!$G$58,ABS(N681)*'Progetto del paramento slu'!$G$54,'Progetto del paramento slu'!$G$53)*IF(N681&lt;0,-1,1)</f>
        <v>240946.49743184328</v>
      </c>
      <c r="U681" s="553">
        <f>'Foglio deposito bis'!$F$52*IF(ABS(O681)&lt;'Progetto del paramento slu'!$G$58,ABS(O681)*'Progetto del paramento slu'!$G$54,'Progetto del paramento slu'!$G$53)*IF(O681&lt;0,-1,1)</f>
        <v>240946.49743184328</v>
      </c>
      <c r="V681" s="479">
        <f t="shared" si="50"/>
        <v>-497740.94812116143</v>
      </c>
      <c r="W681" s="559"/>
      <c r="X681" s="559"/>
    </row>
    <row r="682" spans="1:24" x14ac:dyDescent="0.25">
      <c r="A682" s="553">
        <f t="shared" si="51"/>
        <v>509185.58986408776</v>
      </c>
      <c r="B682" s="3">
        <f t="shared" si="52"/>
        <v>20.899999999999949</v>
      </c>
      <c r="C682" s="553">
        <f>'Foglio deposito bis'!$E$155/sezione!$B$247*B682</f>
        <v>84.844948572655184</v>
      </c>
      <c r="D682" s="611">
        <f>-'Progetto del paramento slu'!$G$47*'Progetto del paramento slu'!$G$41*IF(DATI!$G$218="dx",DATI!$E$61,DATI!$E$64*DATI!$E$63)*1000*C682^2*sezione!$AD$5*(1-sezione!$AD$6)</f>
        <v>-59259411.007897146</v>
      </c>
      <c r="E682" s="553">
        <f>-'Foglio deposito bis'!$F$48*(C682-sezione!$AL$29)*IF(ABS(K682)&lt;'Progetto del paramento slu'!$G$58,ABS(K682)*'Progetto del paramento slu'!$G$54,'Progetto del paramento slu'!$G$53)</f>
        <v>0</v>
      </c>
      <c r="F682" s="553">
        <f>-'Foglio deposito bis'!$F$49*(C682-sezione!$AM$29)*IF(ABS(L682)&lt;'Progetto del paramento slu'!$G$58,ABS(L682)*'Progetto del paramento slu'!$G$54,'Progetto del paramento slu'!$G$53)</f>
        <v>13349388.972287718</v>
      </c>
      <c r="G682" s="553">
        <f>-'Foglio deposito bis'!$F$50*(C682-sezione!$AN$29)*IF(ABS(M682)&lt;'Progetto del paramento slu'!$G$58,ABS(M682)*'Progetto del paramento slu'!$G$54,'Progetto del paramento slu'!$G$53)</f>
        <v>0</v>
      </c>
      <c r="H682" s="553">
        <f>-'Foglio deposito bis'!$F$51*(C682-sezione!$AO$29)*IF(ABS(N682)&lt;'Progetto del paramento slu'!$G$58,ABS(N682)*'Progetto del paramento slu'!$G$54,'Progetto del paramento slu'!$G$53)</f>
        <v>61478715.943460569</v>
      </c>
      <c r="I682" s="479">
        <f>-'Foglio deposito bis'!$F$52*(C682-sezione!$AP$29)*IF(ABS(O682)&lt;'Progetto del paramento slu'!$G$58,ABS(O682)*'Progetto del paramento slu'!$G$54,'Progetto del paramento slu'!$G$53)</f>
        <v>42203476.883511335</v>
      </c>
      <c r="J682" s="479">
        <f t="shared" si="49"/>
        <v>57772170.791362479</v>
      </c>
      <c r="K682" s="558">
        <f>'Progetto del paramento slu'!$G$60*(sezione!$AL$29-C682)/C682</f>
        <v>-1.8499312291984722E-3</v>
      </c>
      <c r="L682" s="558">
        <f>'Progetto del paramento slu'!$G$60*(sezione!$AM$29-C682)/C682</f>
        <v>2.6877578905057302E-3</v>
      </c>
      <c r="M682" s="559">
        <f>'Progetto del paramento slu'!$G$60*(sezione!$AN$29-C682)/C682</f>
        <v>7.2254470102099322E-3</v>
      </c>
      <c r="N682" s="559">
        <f>'Progetto del paramento slu'!$G$60*(sezione!$AO$29-C682)/C682</f>
        <v>1.0525584551812989E-2</v>
      </c>
      <c r="O682" s="559">
        <f>'Progetto del paramento slu'!$G$60*(sezione!$AP$29-C682)/C682</f>
        <v>7.2255293153228959E-3</v>
      </c>
      <c r="P682" s="553">
        <f>-'Progetto del paramento slu'!$G$47*'Progetto del paramento slu'!$G$41*IF(DATI!$G$218="dx",DATI!$E$61,DATI!$E$64*DATI!$E$63)*1000*C682*sezione!$AD$5</f>
        <v>-1195965.0621358044</v>
      </c>
      <c r="Q682" s="553">
        <f>'Foglio deposito bis'!$F$48*IF(ABS(K682)&lt;'Progetto del paramento slu'!$G$58,ABS(K682)*'Progetto del paramento slu'!$G$54,'Progetto del paramento slu'!$G$53)*IF(K682&lt;0,-1,1)</f>
        <v>0</v>
      </c>
      <c r="R682" s="553">
        <f>'Foglio deposito bis'!$F$49*IF(ABS(L682)&lt;'Progetto del paramento slu'!$G$58,ABS(L682)*'Progetto del paramento slu'!$G$54,'Progetto del paramento slu'!$G$53)*IF(L682&lt;0,-1,1)</f>
        <v>204886.47740803001</v>
      </c>
      <c r="S682" s="553">
        <f>'Foglio deposito bis'!$F$50*IF(ABS(M682)&lt;'Progetto del paramento slu'!$G$58,ABS(M682)*'Progetto del paramento slu'!$G$54,'Progetto del paramento slu'!$G$53)*IF(M682&lt;0,-1,1)</f>
        <v>0</v>
      </c>
      <c r="T682" s="553">
        <f>'Foglio deposito bis'!$F$51*IF(ABS(N682)&lt;'Progetto del paramento slu'!$G$58,ABS(N682)*'Progetto del paramento slu'!$G$54,'Progetto del paramento slu'!$G$53)*IF(N682&lt;0,-1,1)</f>
        <v>240946.49743184328</v>
      </c>
      <c r="U682" s="553">
        <f>'Foglio deposito bis'!$F$52*IF(ABS(O682)&lt;'Progetto del paramento slu'!$G$58,ABS(O682)*'Progetto del paramento slu'!$G$54,'Progetto del paramento slu'!$G$53)*IF(O682&lt;0,-1,1)</f>
        <v>240946.49743184328</v>
      </c>
      <c r="V682" s="479">
        <f t="shared" si="50"/>
        <v>-509185.58986408776</v>
      </c>
      <c r="W682" s="559"/>
      <c r="X682" s="559"/>
    </row>
    <row r="683" spans="1:24" x14ac:dyDescent="0.25">
      <c r="A683" s="553">
        <f t="shared" si="51"/>
        <v>520630.23160701408</v>
      </c>
      <c r="B683" s="3">
        <f t="shared" si="52"/>
        <v>21.099999999999948</v>
      </c>
      <c r="C683" s="553">
        <f>'Foglio deposito bis'!$E$155/sezione!$B$247*B683</f>
        <v>85.656861956125567</v>
      </c>
      <c r="D683" s="611">
        <f>-'Progetto del paramento slu'!$G$47*'Progetto del paramento slu'!$G$41*IF(DATI!$G$218="dx",DATI!$E$61,DATI!$E$64*DATI!$E$63)*1000*C683^2*sezione!$AD$5*(1-sezione!$AD$6)</f>
        <v>-60398988.976502113</v>
      </c>
      <c r="E683" s="553">
        <f>-'Foglio deposito bis'!$F$48*(C683-sezione!$AL$29)*IF(ABS(K683)&lt;'Progetto del paramento slu'!$G$58,ABS(K683)*'Progetto del paramento slu'!$G$54,'Progetto del paramento slu'!$G$53)</f>
        <v>0</v>
      </c>
      <c r="F683" s="553">
        <f>-'Foglio deposito bis'!$F$49*(C683-sezione!$AM$29)*IF(ABS(L683)&lt;'Progetto del paramento slu'!$G$58,ABS(L683)*'Progetto del paramento slu'!$G$54,'Progetto del paramento slu'!$G$53)</f>
        <v>13183038.899188034</v>
      </c>
      <c r="G683" s="553">
        <f>-'Foglio deposito bis'!$F$50*(C683-sezione!$AN$29)*IF(ABS(M683)&lt;'Progetto del paramento slu'!$G$58,ABS(M683)*'Progetto del paramento slu'!$G$54,'Progetto del paramento slu'!$G$53)</f>
        <v>0</v>
      </c>
      <c r="H683" s="553">
        <f>-'Foglio deposito bis'!$F$51*(C683-sezione!$AO$29)*IF(ABS(N683)&lt;'Progetto del paramento slu'!$G$58,ABS(N683)*'Progetto del paramento slu'!$G$54,'Progetto del paramento slu'!$G$53)</f>
        <v>61283088.257495344</v>
      </c>
      <c r="I683" s="479">
        <f>-'Foglio deposito bis'!$F$52*(C683-sezione!$AP$29)*IF(ABS(O683)&lt;'Progetto del paramento slu'!$G$58,ABS(O683)*'Progetto del paramento slu'!$G$54,'Progetto del paramento slu'!$G$53)</f>
        <v>42007849.19754611</v>
      </c>
      <c r="J683" s="479">
        <f t="shared" si="49"/>
        <v>56074987.377727374</v>
      </c>
      <c r="K683" s="558">
        <f>'Progetto del paramento slu'!$G$60*(sezione!$AL$29-C683)/C683</f>
        <v>-1.865571691480951E-3</v>
      </c>
      <c r="L683" s="558">
        <f>'Progetto del paramento slu'!$G$60*(sezione!$AM$29-C683)/C683</f>
        <v>2.6291061569464341E-3</v>
      </c>
      <c r="M683" s="559">
        <f>'Progetto del paramento slu'!$G$60*(sezione!$AN$29-C683)/C683</f>
        <v>7.1237840053738196E-3</v>
      </c>
      <c r="N683" s="559">
        <f>'Progetto del paramento slu'!$G$60*(sezione!$AO$29-C683)/C683</f>
        <v>1.0392640622411919E-2</v>
      </c>
      <c r="O683" s="559">
        <f>'Progetto del paramento slu'!$G$60*(sezione!$AP$29-C683)/C683</f>
        <v>7.1238655303435322E-3</v>
      </c>
      <c r="P683" s="553">
        <f>-'Progetto del paramento slu'!$G$47*'Progetto del paramento slu'!$G$41*IF(DATI!$G$218="dx",DATI!$E$61,DATI!$E$64*DATI!$E$63)*1000*C683*sezione!$AD$5</f>
        <v>-1207409.7038787308</v>
      </c>
      <c r="Q683" s="553">
        <f>'Foglio deposito bis'!$F$48*IF(ABS(K683)&lt;'Progetto del paramento slu'!$G$58,ABS(K683)*'Progetto del paramento slu'!$G$54,'Progetto del paramento slu'!$G$53)*IF(K683&lt;0,-1,1)</f>
        <v>0</v>
      </c>
      <c r="R683" s="553">
        <f>'Foglio deposito bis'!$F$49*IF(ABS(L683)&lt;'Progetto del paramento slu'!$G$58,ABS(L683)*'Progetto del paramento slu'!$G$54,'Progetto del paramento slu'!$G$53)*IF(L683&lt;0,-1,1)</f>
        <v>204886.47740803001</v>
      </c>
      <c r="S683" s="553">
        <f>'Foglio deposito bis'!$F$50*IF(ABS(M683)&lt;'Progetto del paramento slu'!$G$58,ABS(M683)*'Progetto del paramento slu'!$G$54,'Progetto del paramento slu'!$G$53)*IF(M683&lt;0,-1,1)</f>
        <v>0</v>
      </c>
      <c r="T683" s="553">
        <f>'Foglio deposito bis'!$F$51*IF(ABS(N683)&lt;'Progetto del paramento slu'!$G$58,ABS(N683)*'Progetto del paramento slu'!$G$54,'Progetto del paramento slu'!$G$53)*IF(N683&lt;0,-1,1)</f>
        <v>240946.49743184328</v>
      </c>
      <c r="U683" s="553">
        <f>'Foglio deposito bis'!$F$52*IF(ABS(O683)&lt;'Progetto del paramento slu'!$G$58,ABS(O683)*'Progetto del paramento slu'!$G$54,'Progetto del paramento slu'!$G$53)*IF(O683&lt;0,-1,1)</f>
        <v>240946.49743184328</v>
      </c>
      <c r="V683" s="479">
        <f t="shared" si="50"/>
        <v>-520630.23160701408</v>
      </c>
      <c r="W683" s="559"/>
      <c r="X683" s="559"/>
    </row>
    <row r="684" spans="1:24" x14ac:dyDescent="0.25">
      <c r="A684" s="553">
        <f t="shared" si="51"/>
        <v>532074.8733499404</v>
      </c>
      <c r="B684" s="3">
        <f t="shared" si="52"/>
        <v>21.299999999999947</v>
      </c>
      <c r="C684" s="553">
        <f>'Foglio deposito bis'!$E$155/sezione!$B$247*B684</f>
        <v>86.46877533959595</v>
      </c>
      <c r="D684" s="611">
        <f>-'Progetto del paramento slu'!$G$47*'Progetto del paramento slu'!$G$41*IF(DATI!$G$218="dx",DATI!$E$61,DATI!$E$64*DATI!$E$63)*1000*C684^2*sezione!$AD$5*(1-sezione!$AD$6)</f>
        <v>-61549420.068617605</v>
      </c>
      <c r="E684" s="553">
        <f>-'Foglio deposito bis'!$F$48*(C684-sezione!$AL$29)*IF(ABS(K684)&lt;'Progetto del paramento slu'!$G$58,ABS(K684)*'Progetto del paramento slu'!$G$54,'Progetto del paramento slu'!$G$53)</f>
        <v>0</v>
      </c>
      <c r="F684" s="553">
        <f>-'Foglio deposito bis'!$F$49*(C684-sezione!$AM$29)*IF(ABS(L684)&lt;'Progetto del paramento slu'!$G$58,ABS(L684)*'Progetto del paramento slu'!$G$54,'Progetto del paramento slu'!$G$53)</f>
        <v>13016688.826088354</v>
      </c>
      <c r="G684" s="553">
        <f>-'Foglio deposito bis'!$F$50*(C684-sezione!$AN$29)*IF(ABS(M684)&lt;'Progetto del paramento slu'!$G$58,ABS(M684)*'Progetto del paramento slu'!$G$54,'Progetto del paramento slu'!$G$53)</f>
        <v>0</v>
      </c>
      <c r="H684" s="553">
        <f>-'Foglio deposito bis'!$F$51*(C684-sezione!$AO$29)*IF(ABS(N684)&lt;'Progetto del paramento slu'!$G$58,ABS(N684)*'Progetto del paramento slu'!$G$54,'Progetto del paramento slu'!$G$53)</f>
        <v>61087460.571530126</v>
      </c>
      <c r="I684" s="479">
        <f>-'Foglio deposito bis'!$F$52*(C684-sezione!$AP$29)*IF(ABS(O684)&lt;'Progetto del paramento slu'!$G$58,ABS(O684)*'Progetto del paramento slu'!$G$54,'Progetto del paramento slu'!$G$53)</f>
        <v>41812221.511580892</v>
      </c>
      <c r="J684" s="479">
        <f t="shared" si="49"/>
        <v>54366950.840581767</v>
      </c>
      <c r="K684" s="558">
        <f>'Progetto del paramento slu'!$G$60*(sezione!$AL$29-C684)/C684</f>
        <v>-1.8809184361618808E-3</v>
      </c>
      <c r="L684" s="558">
        <f>'Progetto del paramento slu'!$G$60*(sezione!$AM$29-C684)/C684</f>
        <v>2.5715558643929467E-3</v>
      </c>
      <c r="M684" s="559">
        <f>'Progetto del paramento slu'!$G$60*(sezione!$AN$29-C684)/C684</f>
        <v>7.0240301649477747E-3</v>
      </c>
      <c r="N684" s="559">
        <f>'Progetto del paramento slu'!$G$60*(sezione!$AO$29-C684)/C684</f>
        <v>1.0262193292624013E-2</v>
      </c>
      <c r="O684" s="559">
        <f>'Progetto del paramento slu'!$G$60*(sezione!$AP$29-C684)/C684</f>
        <v>7.0241109244248146E-3</v>
      </c>
      <c r="P684" s="553">
        <f>-'Progetto del paramento slu'!$G$47*'Progetto del paramento slu'!$G$41*IF(DATI!$G$218="dx",DATI!$E$61,DATI!$E$64*DATI!$E$63)*1000*C684*sezione!$AD$5</f>
        <v>-1218854.3456216571</v>
      </c>
      <c r="Q684" s="553">
        <f>'Foglio deposito bis'!$F$48*IF(ABS(K684)&lt;'Progetto del paramento slu'!$G$58,ABS(K684)*'Progetto del paramento slu'!$G$54,'Progetto del paramento slu'!$G$53)*IF(K684&lt;0,-1,1)</f>
        <v>0</v>
      </c>
      <c r="R684" s="553">
        <f>'Foglio deposito bis'!$F$49*IF(ABS(L684)&lt;'Progetto del paramento slu'!$G$58,ABS(L684)*'Progetto del paramento slu'!$G$54,'Progetto del paramento slu'!$G$53)*IF(L684&lt;0,-1,1)</f>
        <v>204886.47740803001</v>
      </c>
      <c r="S684" s="553">
        <f>'Foglio deposito bis'!$F$50*IF(ABS(M684)&lt;'Progetto del paramento slu'!$G$58,ABS(M684)*'Progetto del paramento slu'!$G$54,'Progetto del paramento slu'!$G$53)*IF(M684&lt;0,-1,1)</f>
        <v>0</v>
      </c>
      <c r="T684" s="553">
        <f>'Foglio deposito bis'!$F$51*IF(ABS(N684)&lt;'Progetto del paramento slu'!$G$58,ABS(N684)*'Progetto del paramento slu'!$G$54,'Progetto del paramento slu'!$G$53)*IF(N684&lt;0,-1,1)</f>
        <v>240946.49743184328</v>
      </c>
      <c r="U684" s="553">
        <f>'Foglio deposito bis'!$F$52*IF(ABS(O684)&lt;'Progetto del paramento slu'!$G$58,ABS(O684)*'Progetto del paramento slu'!$G$54,'Progetto del paramento slu'!$G$53)*IF(O684&lt;0,-1,1)</f>
        <v>240946.49743184328</v>
      </c>
      <c r="V684" s="479">
        <f t="shared" si="50"/>
        <v>-532074.8733499404</v>
      </c>
      <c r="W684" s="559"/>
      <c r="X684" s="559"/>
    </row>
    <row r="685" spans="1:24" x14ac:dyDescent="0.25">
      <c r="A685" s="553">
        <f t="shared" si="51"/>
        <v>543519.51509286696</v>
      </c>
      <c r="B685" s="3">
        <f t="shared" si="52"/>
        <v>21.499999999999947</v>
      </c>
      <c r="C685" s="553">
        <f>'Foglio deposito bis'!$E$155/sezione!$B$247*B685</f>
        <v>87.280688723066334</v>
      </c>
      <c r="D685" s="611">
        <f>-'Progetto del paramento slu'!$G$47*'Progetto del paramento slu'!$G$41*IF(DATI!$G$218="dx",DATI!$E$61,DATI!$E$64*DATI!$E$63)*1000*C685^2*sezione!$AD$5*(1-sezione!$AD$6)</f>
        <v>-62710704.284243613</v>
      </c>
      <c r="E685" s="553">
        <f>-'Foglio deposito bis'!$F$48*(C685-sezione!$AL$29)*IF(ABS(K685)&lt;'Progetto del paramento slu'!$G$58,ABS(K685)*'Progetto del paramento slu'!$G$54,'Progetto del paramento slu'!$G$53)</f>
        <v>0</v>
      </c>
      <c r="F685" s="553">
        <f>-'Foglio deposito bis'!$F$49*(C685-sezione!$AM$29)*IF(ABS(L685)&lt;'Progetto del paramento slu'!$G$58,ABS(L685)*'Progetto del paramento slu'!$G$54,'Progetto del paramento slu'!$G$53)</f>
        <v>12850338.752988672</v>
      </c>
      <c r="G685" s="553">
        <f>-'Foglio deposito bis'!$F$50*(C685-sezione!$AN$29)*IF(ABS(M685)&lt;'Progetto del paramento slu'!$G$58,ABS(M685)*'Progetto del paramento slu'!$G$54,'Progetto del paramento slu'!$G$53)</f>
        <v>0</v>
      </c>
      <c r="H685" s="553">
        <f>-'Foglio deposito bis'!$F$51*(C685-sezione!$AO$29)*IF(ABS(N685)&lt;'Progetto del paramento slu'!$G$58,ABS(N685)*'Progetto del paramento slu'!$G$54,'Progetto del paramento slu'!$G$53)</f>
        <v>60891832.885564901</v>
      </c>
      <c r="I685" s="479">
        <f>-'Foglio deposito bis'!$F$52*(C685-sezione!$AP$29)*IF(ABS(O685)&lt;'Progetto del paramento slu'!$G$58,ABS(O685)*'Progetto del paramento slu'!$G$54,'Progetto del paramento slu'!$G$53)</f>
        <v>41616593.825615659</v>
      </c>
      <c r="J685" s="479">
        <f t="shared" si="49"/>
        <v>52648061.179925621</v>
      </c>
      <c r="K685" s="558">
        <f>'Progetto del paramento slu'!$G$60*(sezione!$AL$29-C685)/C685</f>
        <v>-1.8959796600115379E-3</v>
      </c>
      <c r="L685" s="558">
        <f>'Progetto del paramento slu'!$G$60*(sezione!$AM$29-C685)/C685</f>
        <v>2.5150762749567334E-3</v>
      </c>
      <c r="M685" s="559">
        <f>'Progetto del paramento slu'!$G$60*(sezione!$AN$29-C685)/C685</f>
        <v>6.9261322099250042E-3</v>
      </c>
      <c r="N685" s="559">
        <f>'Progetto del paramento slu'!$G$60*(sezione!$AO$29-C685)/C685</f>
        <v>1.0134172889901929E-2</v>
      </c>
      <c r="O685" s="559">
        <f>'Progetto del paramento slu'!$G$60*(sezione!$AP$29-C685)/C685</f>
        <v>6.9262122181510946E-3</v>
      </c>
      <c r="P685" s="553">
        <f>-'Progetto del paramento slu'!$G$47*'Progetto del paramento slu'!$G$41*IF(DATI!$G$218="dx",DATI!$E$61,DATI!$E$64*DATI!$E$63)*1000*C685*sezione!$AD$5</f>
        <v>-1230298.9873645836</v>
      </c>
      <c r="Q685" s="553">
        <f>'Foglio deposito bis'!$F$48*IF(ABS(K685)&lt;'Progetto del paramento slu'!$G$58,ABS(K685)*'Progetto del paramento slu'!$G$54,'Progetto del paramento slu'!$G$53)*IF(K685&lt;0,-1,1)</f>
        <v>0</v>
      </c>
      <c r="R685" s="553">
        <f>'Foglio deposito bis'!$F$49*IF(ABS(L685)&lt;'Progetto del paramento slu'!$G$58,ABS(L685)*'Progetto del paramento slu'!$G$54,'Progetto del paramento slu'!$G$53)*IF(L685&lt;0,-1,1)</f>
        <v>204886.47740803001</v>
      </c>
      <c r="S685" s="553">
        <f>'Foglio deposito bis'!$F$50*IF(ABS(M685)&lt;'Progetto del paramento slu'!$G$58,ABS(M685)*'Progetto del paramento slu'!$G$54,'Progetto del paramento slu'!$G$53)*IF(M685&lt;0,-1,1)</f>
        <v>0</v>
      </c>
      <c r="T685" s="553">
        <f>'Foglio deposito bis'!$F$51*IF(ABS(N685)&lt;'Progetto del paramento slu'!$G$58,ABS(N685)*'Progetto del paramento slu'!$G$54,'Progetto del paramento slu'!$G$53)*IF(N685&lt;0,-1,1)</f>
        <v>240946.49743184328</v>
      </c>
      <c r="U685" s="553">
        <f>'Foglio deposito bis'!$F$52*IF(ABS(O685)&lt;'Progetto del paramento slu'!$G$58,ABS(O685)*'Progetto del paramento slu'!$G$54,'Progetto del paramento slu'!$G$53)*IF(O685&lt;0,-1,1)</f>
        <v>240946.49743184328</v>
      </c>
      <c r="V685" s="479">
        <f t="shared" si="50"/>
        <v>-543519.51509286696</v>
      </c>
      <c r="W685" s="559"/>
      <c r="X685" s="559"/>
    </row>
    <row r="686" spans="1:24" x14ac:dyDescent="0.25">
      <c r="A686" s="553">
        <f t="shared" si="51"/>
        <v>554964.15683579328</v>
      </c>
      <c r="B686" s="3">
        <f t="shared" si="52"/>
        <v>21.699999999999946</v>
      </c>
      <c r="C686" s="553">
        <f>'Foglio deposito bis'!$E$155/sezione!$B$247*B686</f>
        <v>88.092602106536717</v>
      </c>
      <c r="D686" s="611">
        <f>-'Progetto del paramento slu'!$G$47*'Progetto del paramento slu'!$G$41*IF(DATI!$G$218="dx",DATI!$E$61,DATI!$E$64*DATI!$E$63)*1000*C686^2*sezione!$AD$5*(1-sezione!$AD$6)</f>
        <v>-63882841.623380162</v>
      </c>
      <c r="E686" s="553">
        <f>-'Foglio deposito bis'!$F$48*(C686-sezione!$AL$29)*IF(ABS(K686)&lt;'Progetto del paramento slu'!$G$58,ABS(K686)*'Progetto del paramento slu'!$G$54,'Progetto del paramento slu'!$G$53)</f>
        <v>0</v>
      </c>
      <c r="F686" s="553">
        <f>-'Foglio deposito bis'!$F$49*(C686-sezione!$AM$29)*IF(ABS(L686)&lt;'Progetto del paramento slu'!$G$58,ABS(L686)*'Progetto del paramento slu'!$G$54,'Progetto del paramento slu'!$G$53)</f>
        <v>12683988.67988899</v>
      </c>
      <c r="G686" s="553">
        <f>-'Foglio deposito bis'!$F$50*(C686-sezione!$AN$29)*IF(ABS(M686)&lt;'Progetto del paramento slu'!$G$58,ABS(M686)*'Progetto del paramento slu'!$G$54,'Progetto del paramento slu'!$G$53)</f>
        <v>0</v>
      </c>
      <c r="H686" s="553">
        <f>-'Foglio deposito bis'!$F$51*(C686-sezione!$AO$29)*IF(ABS(N686)&lt;'Progetto del paramento slu'!$G$58,ABS(N686)*'Progetto del paramento slu'!$G$54,'Progetto del paramento slu'!$G$53)</f>
        <v>60696205.199599668</v>
      </c>
      <c r="I686" s="479">
        <f>-'Foglio deposito bis'!$F$52*(C686-sezione!$AP$29)*IF(ABS(O686)&lt;'Progetto del paramento slu'!$G$58,ABS(O686)*'Progetto del paramento slu'!$G$54,'Progetto del paramento slu'!$G$53)</f>
        <v>41420966.139650434</v>
      </c>
      <c r="J686" s="479">
        <f t="shared" si="49"/>
        <v>50918318.395758927</v>
      </c>
      <c r="K686" s="558">
        <f>'Progetto del paramento slu'!$G$60*(sezione!$AL$29-C686)/C686</f>
        <v>-1.910763257615118E-3</v>
      </c>
      <c r="L686" s="558">
        <f>'Progetto del paramento slu'!$G$60*(sezione!$AM$29-C686)/C686</f>
        <v>2.4596377839433076E-3</v>
      </c>
      <c r="M686" s="559">
        <f>'Progetto del paramento slu'!$G$60*(sezione!$AN$29-C686)/C686</f>
        <v>6.8300388255017313E-3</v>
      </c>
      <c r="N686" s="559">
        <f>'Progetto del paramento slu'!$G$60*(sezione!$AO$29-C686)/C686</f>
        <v>1.0008512310271495E-2</v>
      </c>
      <c r="O686" s="559">
        <f>'Progetto del paramento slu'!$G$60*(sezione!$AP$29-C686)/C686</f>
        <v>6.8301180963248167E-3</v>
      </c>
      <c r="P686" s="553">
        <f>-'Progetto del paramento slu'!$G$47*'Progetto del paramento slu'!$G$41*IF(DATI!$G$218="dx",DATI!$E$61,DATI!$E$64*DATI!$E$63)*1000*C686*sezione!$AD$5</f>
        <v>-1241743.62910751</v>
      </c>
      <c r="Q686" s="553">
        <f>'Foglio deposito bis'!$F$48*IF(ABS(K686)&lt;'Progetto del paramento slu'!$G$58,ABS(K686)*'Progetto del paramento slu'!$G$54,'Progetto del paramento slu'!$G$53)*IF(K686&lt;0,-1,1)</f>
        <v>0</v>
      </c>
      <c r="R686" s="553">
        <f>'Foglio deposito bis'!$F$49*IF(ABS(L686)&lt;'Progetto del paramento slu'!$G$58,ABS(L686)*'Progetto del paramento slu'!$G$54,'Progetto del paramento slu'!$G$53)*IF(L686&lt;0,-1,1)</f>
        <v>204886.47740803001</v>
      </c>
      <c r="S686" s="553">
        <f>'Foglio deposito bis'!$F$50*IF(ABS(M686)&lt;'Progetto del paramento slu'!$G$58,ABS(M686)*'Progetto del paramento slu'!$G$54,'Progetto del paramento slu'!$G$53)*IF(M686&lt;0,-1,1)</f>
        <v>0</v>
      </c>
      <c r="T686" s="553">
        <f>'Foglio deposito bis'!$F$51*IF(ABS(N686)&lt;'Progetto del paramento slu'!$G$58,ABS(N686)*'Progetto del paramento slu'!$G$54,'Progetto del paramento slu'!$G$53)*IF(N686&lt;0,-1,1)</f>
        <v>240946.49743184328</v>
      </c>
      <c r="U686" s="553">
        <f>'Foglio deposito bis'!$F$52*IF(ABS(O686)&lt;'Progetto del paramento slu'!$G$58,ABS(O686)*'Progetto del paramento slu'!$G$54,'Progetto del paramento slu'!$G$53)*IF(O686&lt;0,-1,1)</f>
        <v>240946.49743184328</v>
      </c>
      <c r="V686" s="479">
        <f t="shared" si="50"/>
        <v>-554964.15683579328</v>
      </c>
      <c r="W686" s="559"/>
      <c r="X686" s="559"/>
    </row>
    <row r="687" spans="1:24" x14ac:dyDescent="0.25">
      <c r="A687" s="553">
        <f t="shared" si="51"/>
        <v>566408.79857871938</v>
      </c>
      <c r="B687" s="3">
        <f t="shared" si="52"/>
        <v>21.899999999999945</v>
      </c>
      <c r="C687" s="553">
        <f>'Foglio deposito bis'!$E$155/sezione!$B$247*B687</f>
        <v>88.9045154900071</v>
      </c>
      <c r="D687" s="611">
        <f>-'Progetto del paramento slu'!$G$47*'Progetto del paramento slu'!$G$41*IF(DATI!$G$218="dx",DATI!$E$61,DATI!$E$64*DATI!$E$63)*1000*C687^2*sezione!$AD$5*(1-sezione!$AD$6)</f>
        <v>-65065832.086027212</v>
      </c>
      <c r="E687" s="553">
        <f>-'Foglio deposito bis'!$F$48*(C687-sezione!$AL$29)*IF(ABS(K687)&lt;'Progetto del paramento slu'!$G$58,ABS(K687)*'Progetto del paramento slu'!$G$54,'Progetto del paramento slu'!$G$53)</f>
        <v>0</v>
      </c>
      <c r="F687" s="553">
        <f>-'Foglio deposito bis'!$F$49*(C687-sezione!$AM$29)*IF(ABS(L687)&lt;'Progetto del paramento slu'!$G$58,ABS(L687)*'Progetto del paramento slu'!$G$54,'Progetto del paramento slu'!$G$53)</f>
        <v>12517638.606789308</v>
      </c>
      <c r="G687" s="553">
        <f>-'Foglio deposito bis'!$F$50*(C687-sezione!$AN$29)*IF(ABS(M687)&lt;'Progetto del paramento slu'!$G$58,ABS(M687)*'Progetto del paramento slu'!$G$54,'Progetto del paramento slu'!$G$53)</f>
        <v>0</v>
      </c>
      <c r="H687" s="553">
        <f>-'Foglio deposito bis'!$F$51*(C687-sezione!$AO$29)*IF(ABS(N687)&lt;'Progetto del paramento slu'!$G$58,ABS(N687)*'Progetto del paramento slu'!$G$54,'Progetto del paramento slu'!$G$53)</f>
        <v>60500577.513634451</v>
      </c>
      <c r="I687" s="479">
        <f>-'Foglio deposito bis'!$F$52*(C687-sezione!$AP$29)*IF(ABS(O687)&lt;'Progetto del paramento slu'!$G$58,ABS(O687)*'Progetto del paramento slu'!$G$54,'Progetto del paramento slu'!$G$53)</f>
        <v>41225338.453685202</v>
      </c>
      <c r="J687" s="479">
        <f t="shared" si="49"/>
        <v>49177722.488081746</v>
      </c>
      <c r="K687" s="558">
        <f>'Progetto del paramento slu'!$G$60*(sezione!$AL$29-C687)/C687</f>
        <v>-1.9252768351711446E-3</v>
      </c>
      <c r="L687" s="558">
        <f>'Progetto del paramento slu'!$G$60*(sezione!$AM$29-C687)/C687</f>
        <v>2.4052118681082086E-3</v>
      </c>
      <c r="M687" s="559">
        <f>'Progetto del paramento slu'!$G$60*(sezione!$AN$29-C687)/C687</f>
        <v>6.7357005713875621E-3</v>
      </c>
      <c r="N687" s="559">
        <f>'Progetto del paramento slu'!$G$60*(sezione!$AO$29-C687)/C687</f>
        <v>9.8851469010452723E-3</v>
      </c>
      <c r="O687" s="559">
        <f>'Progetto del paramento slu'!$G$60*(sezione!$AP$29-C687)/C687</f>
        <v>6.7357791182761882E-3</v>
      </c>
      <c r="P687" s="553">
        <f>-'Progetto del paramento slu'!$G$47*'Progetto del paramento slu'!$G$41*IF(DATI!$G$218="dx",DATI!$E$61,DATI!$E$64*DATI!$E$63)*1000*C687*sezione!$AD$5</f>
        <v>-1253188.2708504361</v>
      </c>
      <c r="Q687" s="553">
        <f>'Foglio deposito bis'!$F$48*IF(ABS(K687)&lt;'Progetto del paramento slu'!$G$58,ABS(K687)*'Progetto del paramento slu'!$G$54,'Progetto del paramento slu'!$G$53)*IF(K687&lt;0,-1,1)</f>
        <v>0</v>
      </c>
      <c r="R687" s="553">
        <f>'Foglio deposito bis'!$F$49*IF(ABS(L687)&lt;'Progetto del paramento slu'!$G$58,ABS(L687)*'Progetto del paramento slu'!$G$54,'Progetto del paramento slu'!$G$53)*IF(L687&lt;0,-1,1)</f>
        <v>204886.47740803001</v>
      </c>
      <c r="S687" s="553">
        <f>'Foglio deposito bis'!$F$50*IF(ABS(M687)&lt;'Progetto del paramento slu'!$G$58,ABS(M687)*'Progetto del paramento slu'!$G$54,'Progetto del paramento slu'!$G$53)*IF(M687&lt;0,-1,1)</f>
        <v>0</v>
      </c>
      <c r="T687" s="553">
        <f>'Foglio deposito bis'!$F$51*IF(ABS(N687)&lt;'Progetto del paramento slu'!$G$58,ABS(N687)*'Progetto del paramento slu'!$G$54,'Progetto del paramento slu'!$G$53)*IF(N687&lt;0,-1,1)</f>
        <v>240946.49743184328</v>
      </c>
      <c r="U687" s="553">
        <f>'Foglio deposito bis'!$F$52*IF(ABS(O687)&lt;'Progetto del paramento slu'!$G$58,ABS(O687)*'Progetto del paramento slu'!$G$54,'Progetto del paramento slu'!$G$53)*IF(O687&lt;0,-1,1)</f>
        <v>240946.49743184328</v>
      </c>
      <c r="V687" s="479">
        <f t="shared" si="50"/>
        <v>-566408.79857871938</v>
      </c>
      <c r="W687" s="559"/>
      <c r="X687" s="559"/>
    </row>
    <row r="688" spans="1:24" x14ac:dyDescent="0.25">
      <c r="A688" s="553">
        <f t="shared" si="51"/>
        <v>577853.4403216457</v>
      </c>
      <c r="B688" s="3">
        <f t="shared" si="52"/>
        <v>22.099999999999945</v>
      </c>
      <c r="C688" s="553">
        <f>'Foglio deposito bis'!$E$155/sezione!$B$247*B688</f>
        <v>89.716428873477483</v>
      </c>
      <c r="D688" s="611">
        <f>-'Progetto del paramento slu'!$G$47*'Progetto del paramento slu'!$G$41*IF(DATI!$G$218="dx",DATI!$E$61,DATI!$E$64*DATI!$E$63)*1000*C688^2*sezione!$AD$5*(1-sezione!$AD$6)</f>
        <v>-66259675.672184795</v>
      </c>
      <c r="E688" s="553">
        <f>-'Foglio deposito bis'!$F$48*(C688-sezione!$AL$29)*IF(ABS(K688)&lt;'Progetto del paramento slu'!$G$58,ABS(K688)*'Progetto del paramento slu'!$G$54,'Progetto del paramento slu'!$G$53)</f>
        <v>0</v>
      </c>
      <c r="F688" s="553">
        <f>-'Foglio deposito bis'!$F$49*(C688-sezione!$AM$29)*IF(ABS(L688)&lt;'Progetto del paramento slu'!$G$58,ABS(L688)*'Progetto del paramento slu'!$G$54,'Progetto del paramento slu'!$G$53)</f>
        <v>12351288.533689626</v>
      </c>
      <c r="G688" s="553">
        <f>-'Foglio deposito bis'!$F$50*(C688-sezione!$AN$29)*IF(ABS(M688)&lt;'Progetto del paramento slu'!$G$58,ABS(M688)*'Progetto del paramento slu'!$G$54,'Progetto del paramento slu'!$G$53)</f>
        <v>0</v>
      </c>
      <c r="H688" s="553">
        <f>-'Foglio deposito bis'!$F$51*(C688-sezione!$AO$29)*IF(ABS(N688)&lt;'Progetto del paramento slu'!$G$58,ABS(N688)*'Progetto del paramento slu'!$G$54,'Progetto del paramento slu'!$G$53)</f>
        <v>60304949.827669226</v>
      </c>
      <c r="I688" s="479">
        <f>-'Foglio deposito bis'!$F$52*(C688-sezione!$AP$29)*IF(ABS(O688)&lt;'Progetto del paramento slu'!$G$58,ABS(O688)*'Progetto del paramento slu'!$G$54,'Progetto del paramento slu'!$G$53)</f>
        <v>41029710.767719984</v>
      </c>
      <c r="J688" s="479">
        <f t="shared" si="49"/>
        <v>47426273.45689404</v>
      </c>
      <c r="K688" s="558">
        <f>'Progetto del paramento slu'!$G$60*(sezione!$AL$29-C688)/C688</f>
        <v>-1.9395277235406362E-3</v>
      </c>
      <c r="L688" s="558">
        <f>'Progetto del paramento slu'!$G$60*(sezione!$AM$29-C688)/C688</f>
        <v>2.351771036722614E-3</v>
      </c>
      <c r="M688" s="559">
        <f>'Progetto del paramento slu'!$G$60*(sezione!$AN$29-C688)/C688</f>
        <v>6.6430697969858659E-3</v>
      </c>
      <c r="N688" s="559">
        <f>'Progetto del paramento slu'!$G$60*(sezione!$AO$29-C688)/C688</f>
        <v>9.7640143499045928E-3</v>
      </c>
      <c r="O688" s="559">
        <f>'Progetto del paramento slu'!$G$60*(sezione!$AP$29-C688)/C688</f>
        <v>6.6431476330429222E-3</v>
      </c>
      <c r="P688" s="553">
        <f>-'Progetto del paramento slu'!$G$47*'Progetto del paramento slu'!$G$41*IF(DATI!$G$218="dx",DATI!$E$61,DATI!$E$64*DATI!$E$63)*1000*C688*sezione!$AD$5</f>
        <v>-1264632.9125933624</v>
      </c>
      <c r="Q688" s="553">
        <f>'Foglio deposito bis'!$F$48*IF(ABS(K688)&lt;'Progetto del paramento slu'!$G$58,ABS(K688)*'Progetto del paramento slu'!$G$54,'Progetto del paramento slu'!$G$53)*IF(K688&lt;0,-1,1)</f>
        <v>0</v>
      </c>
      <c r="R688" s="553">
        <f>'Foglio deposito bis'!$F$49*IF(ABS(L688)&lt;'Progetto del paramento slu'!$G$58,ABS(L688)*'Progetto del paramento slu'!$G$54,'Progetto del paramento slu'!$G$53)*IF(L688&lt;0,-1,1)</f>
        <v>204886.47740803001</v>
      </c>
      <c r="S688" s="553">
        <f>'Foglio deposito bis'!$F$50*IF(ABS(M688)&lt;'Progetto del paramento slu'!$G$58,ABS(M688)*'Progetto del paramento slu'!$G$54,'Progetto del paramento slu'!$G$53)*IF(M688&lt;0,-1,1)</f>
        <v>0</v>
      </c>
      <c r="T688" s="553">
        <f>'Foglio deposito bis'!$F$51*IF(ABS(N688)&lt;'Progetto del paramento slu'!$G$58,ABS(N688)*'Progetto del paramento slu'!$G$54,'Progetto del paramento slu'!$G$53)*IF(N688&lt;0,-1,1)</f>
        <v>240946.49743184328</v>
      </c>
      <c r="U688" s="553">
        <f>'Foglio deposito bis'!$F$52*IF(ABS(O688)&lt;'Progetto del paramento slu'!$G$58,ABS(O688)*'Progetto del paramento slu'!$G$54,'Progetto del paramento slu'!$G$53)*IF(O688&lt;0,-1,1)</f>
        <v>240946.49743184328</v>
      </c>
      <c r="V688" s="479">
        <f t="shared" si="50"/>
        <v>-577853.4403216457</v>
      </c>
      <c r="W688" s="559"/>
      <c r="X688" s="559"/>
    </row>
    <row r="689" spans="1:24" x14ac:dyDescent="0.25">
      <c r="A689" s="553">
        <f t="shared" si="51"/>
        <v>589298.08206457226</v>
      </c>
      <c r="B689" s="3">
        <f t="shared" si="52"/>
        <v>22.299999999999944</v>
      </c>
      <c r="C689" s="553">
        <f>'Foglio deposito bis'!$E$155/sezione!$B$247*B689</f>
        <v>90.528342256947866</v>
      </c>
      <c r="D689" s="611">
        <f>-'Progetto del paramento slu'!$G$47*'Progetto del paramento slu'!$G$41*IF(DATI!$G$218="dx",DATI!$E$61,DATI!$E$64*DATI!$E$63)*1000*C689^2*sezione!$AD$5*(1-sezione!$AD$6)</f>
        <v>-67464372.381852895</v>
      </c>
      <c r="E689" s="553">
        <f>-'Foglio deposito bis'!$F$48*(C689-sezione!$AL$29)*IF(ABS(K689)&lt;'Progetto del paramento slu'!$G$58,ABS(K689)*'Progetto del paramento slu'!$G$54,'Progetto del paramento slu'!$G$53)</f>
        <v>0</v>
      </c>
      <c r="F689" s="553">
        <f>-'Foglio deposito bis'!$F$49*(C689-sezione!$AM$29)*IF(ABS(L689)&lt;'Progetto del paramento slu'!$G$58,ABS(L689)*'Progetto del paramento slu'!$G$54,'Progetto del paramento slu'!$G$53)</f>
        <v>12184938.460589943</v>
      </c>
      <c r="G689" s="553">
        <f>-'Foglio deposito bis'!$F$50*(C689-sezione!$AN$29)*IF(ABS(M689)&lt;'Progetto del paramento slu'!$G$58,ABS(M689)*'Progetto del paramento slu'!$G$54,'Progetto del paramento slu'!$G$53)</f>
        <v>0</v>
      </c>
      <c r="H689" s="553">
        <f>-'Foglio deposito bis'!$F$51*(C689-sezione!$AO$29)*IF(ABS(N689)&lt;'Progetto del paramento slu'!$G$58,ABS(N689)*'Progetto del paramento slu'!$G$54,'Progetto del paramento slu'!$G$53)</f>
        <v>60109322.141704001</v>
      </c>
      <c r="I689" s="479">
        <f>-'Foglio deposito bis'!$F$52*(C689-sezione!$AP$29)*IF(ABS(O689)&lt;'Progetto del paramento slu'!$G$58,ABS(O689)*'Progetto del paramento slu'!$G$54,'Progetto del paramento slu'!$G$53)</f>
        <v>40834083.081754759</v>
      </c>
      <c r="J689" s="479">
        <f t="shared" si="49"/>
        <v>45663971.30219581</v>
      </c>
      <c r="K689" s="558">
        <f>'Progetto del paramento slu'!$G$60*(sezione!$AL$29-C689)/C689</f>
        <v>-1.9535229905940834E-3</v>
      </c>
      <c r="L689" s="558">
        <f>'Progetto del paramento slu'!$G$60*(sezione!$AM$29-C689)/C689</f>
        <v>2.2992887852721871E-3</v>
      </c>
      <c r="M689" s="559">
        <f>'Progetto del paramento slu'!$G$60*(sezione!$AN$29-C689)/C689</f>
        <v>6.5521005611384577E-3</v>
      </c>
      <c r="N689" s="559">
        <f>'Progetto del paramento slu'!$G$60*(sezione!$AO$29-C689)/C689</f>
        <v>9.645054579950291E-3</v>
      </c>
      <c r="O689" s="559">
        <f>'Progetto del paramento slu'!$G$60*(sezione!$AP$29-C689)/C689</f>
        <v>6.5521776991142849E-3</v>
      </c>
      <c r="P689" s="553">
        <f>-'Progetto del paramento slu'!$G$47*'Progetto del paramento slu'!$G$41*IF(DATI!$G$218="dx",DATI!$E$61,DATI!$E$64*DATI!$E$63)*1000*C689*sezione!$AD$5</f>
        <v>-1276077.5543362889</v>
      </c>
      <c r="Q689" s="553">
        <f>'Foglio deposito bis'!$F$48*IF(ABS(K689)&lt;'Progetto del paramento slu'!$G$58,ABS(K689)*'Progetto del paramento slu'!$G$54,'Progetto del paramento slu'!$G$53)*IF(K689&lt;0,-1,1)</f>
        <v>0</v>
      </c>
      <c r="R689" s="553">
        <f>'Foglio deposito bis'!$F$49*IF(ABS(L689)&lt;'Progetto del paramento slu'!$G$58,ABS(L689)*'Progetto del paramento slu'!$G$54,'Progetto del paramento slu'!$G$53)*IF(L689&lt;0,-1,1)</f>
        <v>204886.47740803001</v>
      </c>
      <c r="S689" s="553">
        <f>'Foglio deposito bis'!$F$50*IF(ABS(M689)&lt;'Progetto del paramento slu'!$G$58,ABS(M689)*'Progetto del paramento slu'!$G$54,'Progetto del paramento slu'!$G$53)*IF(M689&lt;0,-1,1)</f>
        <v>0</v>
      </c>
      <c r="T689" s="553">
        <f>'Foglio deposito bis'!$F$51*IF(ABS(N689)&lt;'Progetto del paramento slu'!$G$58,ABS(N689)*'Progetto del paramento slu'!$G$54,'Progetto del paramento slu'!$G$53)*IF(N689&lt;0,-1,1)</f>
        <v>240946.49743184328</v>
      </c>
      <c r="U689" s="553">
        <f>'Foglio deposito bis'!$F$52*IF(ABS(O689)&lt;'Progetto del paramento slu'!$G$58,ABS(O689)*'Progetto del paramento slu'!$G$54,'Progetto del paramento slu'!$G$53)*IF(O689&lt;0,-1,1)</f>
        <v>240946.49743184328</v>
      </c>
      <c r="V689" s="479">
        <f t="shared" si="50"/>
        <v>-589298.08206457226</v>
      </c>
      <c r="W689" s="559"/>
      <c r="X689" s="559"/>
    </row>
    <row r="690" spans="1:24" x14ac:dyDescent="0.25">
      <c r="A690" s="553">
        <f t="shared" si="51"/>
        <v>600742.72380749858</v>
      </c>
      <c r="B690" s="3">
        <f t="shared" si="52"/>
        <v>22.499999999999943</v>
      </c>
      <c r="C690" s="553">
        <f>'Foglio deposito bis'!$E$155/sezione!$B$247*B690</f>
        <v>91.340255640418249</v>
      </c>
      <c r="D690" s="611">
        <f>-'Progetto del paramento slu'!$G$47*'Progetto del paramento slu'!$G$41*IF(DATI!$G$218="dx",DATI!$E$61,DATI!$E$64*DATI!$E$63)*1000*C690^2*sezione!$AD$5*(1-sezione!$AD$6)</f>
        <v>-68679922.215031534</v>
      </c>
      <c r="E690" s="553">
        <f>-'Foglio deposito bis'!$F$48*(C690-sezione!$AL$29)*IF(ABS(K690)&lt;'Progetto del paramento slu'!$G$58,ABS(K690)*'Progetto del paramento slu'!$G$54,'Progetto del paramento slu'!$G$53)</f>
        <v>0</v>
      </c>
      <c r="F690" s="553">
        <f>-'Foglio deposito bis'!$F$49*(C690-sezione!$AM$29)*IF(ABS(L690)&lt;'Progetto del paramento slu'!$G$58,ABS(L690)*'Progetto del paramento slu'!$G$54,'Progetto del paramento slu'!$G$53)</f>
        <v>12018588.387490261</v>
      </c>
      <c r="G690" s="553">
        <f>-'Foglio deposito bis'!$F$50*(C690-sezione!$AN$29)*IF(ABS(M690)&lt;'Progetto del paramento slu'!$G$58,ABS(M690)*'Progetto del paramento slu'!$G$54,'Progetto del paramento slu'!$G$53)</f>
        <v>0</v>
      </c>
      <c r="H690" s="553">
        <f>-'Foglio deposito bis'!$F$51*(C690-sezione!$AO$29)*IF(ABS(N690)&lt;'Progetto del paramento slu'!$G$58,ABS(N690)*'Progetto del paramento slu'!$G$54,'Progetto del paramento slu'!$G$53)</f>
        <v>59913694.455738761</v>
      </c>
      <c r="I690" s="479">
        <f>-'Foglio deposito bis'!$F$52*(C690-sezione!$AP$29)*IF(ABS(O690)&lt;'Progetto del paramento slu'!$G$58,ABS(O690)*'Progetto del paramento slu'!$G$54,'Progetto del paramento slu'!$G$53)</f>
        <v>40638455.395789526</v>
      </c>
      <c r="J690" s="479">
        <f t="shared" si="49"/>
        <v>43890816.02398701</v>
      </c>
      <c r="K690" s="558">
        <f>'Progetto del paramento slu'!$G$60*(sezione!$AL$29-C690)/C690</f>
        <v>-1.967269452899914E-3</v>
      </c>
      <c r="L690" s="558">
        <f>'Progetto del paramento slu'!$G$60*(sezione!$AM$29-C690)/C690</f>
        <v>2.2477395516253234E-3</v>
      </c>
      <c r="M690" s="559">
        <f>'Progetto del paramento slu'!$G$60*(sezione!$AN$29-C690)/C690</f>
        <v>6.4627485561505596E-3</v>
      </c>
      <c r="N690" s="559">
        <f>'Progetto del paramento slu'!$G$60*(sezione!$AO$29-C690)/C690</f>
        <v>9.5282096503507326E-3</v>
      </c>
      <c r="O690" s="559">
        <f>'Progetto del paramento slu'!$G$60*(sezione!$AP$29-C690)/C690</f>
        <v>6.4628250084554908E-3</v>
      </c>
      <c r="P690" s="553">
        <f>-'Progetto del paramento slu'!$G$47*'Progetto del paramento slu'!$G$41*IF(DATI!$G$218="dx",DATI!$E$61,DATI!$E$64*DATI!$E$63)*1000*C690*sezione!$AD$5</f>
        <v>-1287522.1960792153</v>
      </c>
      <c r="Q690" s="553">
        <f>'Foglio deposito bis'!$F$48*IF(ABS(K690)&lt;'Progetto del paramento slu'!$G$58,ABS(K690)*'Progetto del paramento slu'!$G$54,'Progetto del paramento slu'!$G$53)*IF(K690&lt;0,-1,1)</f>
        <v>0</v>
      </c>
      <c r="R690" s="553">
        <f>'Foglio deposito bis'!$F$49*IF(ABS(L690)&lt;'Progetto del paramento slu'!$G$58,ABS(L690)*'Progetto del paramento slu'!$G$54,'Progetto del paramento slu'!$G$53)*IF(L690&lt;0,-1,1)</f>
        <v>204886.47740803001</v>
      </c>
      <c r="S690" s="553">
        <f>'Foglio deposito bis'!$F$50*IF(ABS(M690)&lt;'Progetto del paramento slu'!$G$58,ABS(M690)*'Progetto del paramento slu'!$G$54,'Progetto del paramento slu'!$G$53)*IF(M690&lt;0,-1,1)</f>
        <v>0</v>
      </c>
      <c r="T690" s="553">
        <f>'Foglio deposito bis'!$F$51*IF(ABS(N690)&lt;'Progetto del paramento slu'!$G$58,ABS(N690)*'Progetto del paramento slu'!$G$54,'Progetto del paramento slu'!$G$53)*IF(N690&lt;0,-1,1)</f>
        <v>240946.49743184328</v>
      </c>
      <c r="U690" s="553">
        <f>'Foglio deposito bis'!$F$52*IF(ABS(O690)&lt;'Progetto del paramento slu'!$G$58,ABS(O690)*'Progetto del paramento slu'!$G$54,'Progetto del paramento slu'!$G$53)*IF(O690&lt;0,-1,1)</f>
        <v>240946.49743184328</v>
      </c>
      <c r="V690" s="479">
        <f t="shared" si="50"/>
        <v>-600742.72380749858</v>
      </c>
      <c r="W690" s="559"/>
      <c r="X690" s="559"/>
    </row>
    <row r="691" spans="1:24" x14ac:dyDescent="0.25">
      <c r="A691" s="553">
        <f t="shared" si="51"/>
        <v>612187.3655504249</v>
      </c>
      <c r="B691" s="3">
        <f t="shared" si="52"/>
        <v>22.699999999999942</v>
      </c>
      <c r="C691" s="553">
        <f>'Foglio deposito bis'!$E$155/sezione!$B$247*B691</f>
        <v>92.152169023888632</v>
      </c>
      <c r="D691" s="611">
        <f>-'Progetto del paramento slu'!$G$47*'Progetto del paramento slu'!$G$41*IF(DATI!$G$218="dx",DATI!$E$61,DATI!$E$64*DATI!$E$63)*1000*C691^2*sezione!$AD$5*(1-sezione!$AD$6)</f>
        <v>-69906325.171720698</v>
      </c>
      <c r="E691" s="553">
        <f>-'Foglio deposito bis'!$F$48*(C691-sezione!$AL$29)*IF(ABS(K691)&lt;'Progetto del paramento slu'!$G$58,ABS(K691)*'Progetto del paramento slu'!$G$54,'Progetto del paramento slu'!$G$53)</f>
        <v>0</v>
      </c>
      <c r="F691" s="553">
        <f>-'Foglio deposito bis'!$F$49*(C691-sezione!$AM$29)*IF(ABS(L691)&lt;'Progetto del paramento slu'!$G$58,ABS(L691)*'Progetto del paramento slu'!$G$54,'Progetto del paramento slu'!$G$53)</f>
        <v>11852238.314390581</v>
      </c>
      <c r="G691" s="553">
        <f>-'Foglio deposito bis'!$F$50*(C691-sezione!$AN$29)*IF(ABS(M691)&lt;'Progetto del paramento slu'!$G$58,ABS(M691)*'Progetto del paramento slu'!$G$54,'Progetto del paramento slu'!$G$53)</f>
        <v>0</v>
      </c>
      <c r="H691" s="553">
        <f>-'Foglio deposito bis'!$F$51*(C691-sezione!$AO$29)*IF(ABS(N691)&lt;'Progetto del paramento slu'!$G$58,ABS(N691)*'Progetto del paramento slu'!$G$54,'Progetto del paramento slu'!$G$53)</f>
        <v>59718066.769773543</v>
      </c>
      <c r="I691" s="479">
        <f>-'Foglio deposito bis'!$F$52*(C691-sezione!$AP$29)*IF(ABS(O691)&lt;'Progetto del paramento slu'!$G$58,ABS(O691)*'Progetto del paramento slu'!$G$54,'Progetto del paramento slu'!$G$53)</f>
        <v>40442827.709824309</v>
      </c>
      <c r="J691" s="479">
        <f t="shared" si="49"/>
        <v>42106807.622267738</v>
      </c>
      <c r="K691" s="558">
        <f>'Progetto del paramento slu'!$G$60*(sezione!$AL$29-C691)/C691</f>
        <v>-1.9807736867950686E-3</v>
      </c>
      <c r="L691" s="558">
        <f>'Progetto del paramento slu'!$G$60*(sezione!$AM$29-C691)/C691</f>
        <v>2.1970986745184925E-3</v>
      </c>
      <c r="M691" s="559">
        <f>'Progetto del paramento slu'!$G$60*(sezione!$AN$29-C691)/C691</f>
        <v>6.3749710358320536E-3</v>
      </c>
      <c r="N691" s="559">
        <f>'Progetto del paramento slu'!$G$60*(sezione!$AO$29-C691)/C691</f>
        <v>9.4134236622419164E-3</v>
      </c>
      <c r="O691" s="559">
        <f>'Progetto del paramento slu'!$G$60*(sezione!$AP$29-C691)/C691</f>
        <v>6.3750468145483945E-3</v>
      </c>
      <c r="P691" s="553">
        <f>-'Progetto del paramento slu'!$G$47*'Progetto del paramento slu'!$G$41*IF(DATI!$G$218="dx",DATI!$E$61,DATI!$E$64*DATI!$E$63)*1000*C691*sezione!$AD$5</f>
        <v>-1298966.8378221416</v>
      </c>
      <c r="Q691" s="553">
        <f>'Foglio deposito bis'!$F$48*IF(ABS(K691)&lt;'Progetto del paramento slu'!$G$58,ABS(K691)*'Progetto del paramento slu'!$G$54,'Progetto del paramento slu'!$G$53)*IF(K691&lt;0,-1,1)</f>
        <v>0</v>
      </c>
      <c r="R691" s="553">
        <f>'Foglio deposito bis'!$F$49*IF(ABS(L691)&lt;'Progetto del paramento slu'!$G$58,ABS(L691)*'Progetto del paramento slu'!$G$54,'Progetto del paramento slu'!$G$53)*IF(L691&lt;0,-1,1)</f>
        <v>204886.47740803001</v>
      </c>
      <c r="S691" s="553">
        <f>'Foglio deposito bis'!$F$50*IF(ABS(M691)&lt;'Progetto del paramento slu'!$G$58,ABS(M691)*'Progetto del paramento slu'!$G$54,'Progetto del paramento slu'!$G$53)*IF(M691&lt;0,-1,1)</f>
        <v>0</v>
      </c>
      <c r="T691" s="553">
        <f>'Foglio deposito bis'!$F$51*IF(ABS(N691)&lt;'Progetto del paramento slu'!$G$58,ABS(N691)*'Progetto del paramento slu'!$G$54,'Progetto del paramento slu'!$G$53)*IF(N691&lt;0,-1,1)</f>
        <v>240946.49743184328</v>
      </c>
      <c r="U691" s="553">
        <f>'Foglio deposito bis'!$F$52*IF(ABS(O691)&lt;'Progetto del paramento slu'!$G$58,ABS(O691)*'Progetto del paramento slu'!$G$54,'Progetto del paramento slu'!$G$53)*IF(O691&lt;0,-1,1)</f>
        <v>240946.49743184328</v>
      </c>
      <c r="V691" s="479">
        <f t="shared" si="50"/>
        <v>-612187.3655504249</v>
      </c>
      <c r="W691" s="559"/>
      <c r="X691" s="559"/>
    </row>
    <row r="692" spans="1:24" x14ac:dyDescent="0.25">
      <c r="A692" s="553">
        <f t="shared" si="51"/>
        <v>623632.00729335099</v>
      </c>
      <c r="B692" s="3">
        <f t="shared" si="52"/>
        <v>22.899999999999942</v>
      </c>
      <c r="C692" s="553">
        <f>'Foglio deposito bis'!$E$155/sezione!$B$247*B692</f>
        <v>92.964082407359015</v>
      </c>
      <c r="D692" s="611">
        <f>-'Progetto del paramento slu'!$G$47*'Progetto del paramento slu'!$G$41*IF(DATI!$G$218="dx",DATI!$E$61,DATI!$E$64*DATI!$E$63)*1000*C692^2*sezione!$AD$5*(1-sezione!$AD$6)</f>
        <v>-71143581.251920372</v>
      </c>
      <c r="E692" s="553">
        <f>-'Foglio deposito bis'!$F$48*(C692-sezione!$AL$29)*IF(ABS(K692)&lt;'Progetto del paramento slu'!$G$58,ABS(K692)*'Progetto del paramento slu'!$G$54,'Progetto del paramento slu'!$G$53)</f>
        <v>0</v>
      </c>
      <c r="F692" s="553">
        <f>-'Foglio deposito bis'!$F$49*(C692-sezione!$AM$29)*IF(ABS(L692)&lt;'Progetto del paramento slu'!$G$58,ABS(L692)*'Progetto del paramento slu'!$G$54,'Progetto del paramento slu'!$G$53)</f>
        <v>11685888.241290899</v>
      </c>
      <c r="G692" s="553">
        <f>-'Foglio deposito bis'!$F$50*(C692-sezione!$AN$29)*IF(ABS(M692)&lt;'Progetto del paramento slu'!$G$58,ABS(M692)*'Progetto del paramento slu'!$G$54,'Progetto del paramento slu'!$G$53)</f>
        <v>0</v>
      </c>
      <c r="H692" s="553">
        <f>-'Foglio deposito bis'!$F$51*(C692-sezione!$AO$29)*IF(ABS(N692)&lt;'Progetto del paramento slu'!$G$58,ABS(N692)*'Progetto del paramento slu'!$G$54,'Progetto del paramento slu'!$G$53)</f>
        <v>59522439.083808318</v>
      </c>
      <c r="I692" s="479">
        <f>-'Foglio deposito bis'!$F$52*(C692-sezione!$AP$29)*IF(ABS(O692)&lt;'Progetto del paramento slu'!$G$58,ABS(O692)*'Progetto del paramento slu'!$G$54,'Progetto del paramento slu'!$G$53)</f>
        <v>40247200.023859084</v>
      </c>
      <c r="J692" s="479">
        <f t="shared" si="49"/>
        <v>40311946.097037926</v>
      </c>
      <c r="K692" s="558">
        <f>'Progetto del paramento slu'!$G$60*(sezione!$AL$29-C692)/C692</f>
        <v>-1.9940420388754611E-3</v>
      </c>
      <c r="L692" s="558">
        <f>'Progetto del paramento slu'!$G$60*(sezione!$AM$29-C692)/C692</f>
        <v>2.1473423542170207E-3</v>
      </c>
      <c r="M692" s="559">
        <f>'Progetto del paramento slu'!$G$60*(sezione!$AN$29-C692)/C692</f>
        <v>6.288726747309503E-3</v>
      </c>
      <c r="N692" s="559">
        <f>'Progetto del paramento slu'!$G$60*(sezione!$AO$29-C692)/C692</f>
        <v>9.3006426695585818E-3</v>
      </c>
      <c r="O692" s="559">
        <f>'Progetto del paramento slu'!$G$60*(sezione!$AP$29-C692)/C692</f>
        <v>6.288801864202994E-3</v>
      </c>
      <c r="P692" s="553">
        <f>-'Progetto del paramento slu'!$G$47*'Progetto del paramento slu'!$G$41*IF(DATI!$G$218="dx",DATI!$E$61,DATI!$E$64*DATI!$E$63)*1000*C692*sezione!$AD$5</f>
        <v>-1310411.4795650677</v>
      </c>
      <c r="Q692" s="553">
        <f>'Foglio deposito bis'!$F$48*IF(ABS(K692)&lt;'Progetto del paramento slu'!$G$58,ABS(K692)*'Progetto del paramento slu'!$G$54,'Progetto del paramento slu'!$G$53)*IF(K692&lt;0,-1,1)</f>
        <v>0</v>
      </c>
      <c r="R692" s="553">
        <f>'Foglio deposito bis'!$F$49*IF(ABS(L692)&lt;'Progetto del paramento slu'!$G$58,ABS(L692)*'Progetto del paramento slu'!$G$54,'Progetto del paramento slu'!$G$53)*IF(L692&lt;0,-1,1)</f>
        <v>204886.47740803001</v>
      </c>
      <c r="S692" s="553">
        <f>'Foglio deposito bis'!$F$50*IF(ABS(M692)&lt;'Progetto del paramento slu'!$G$58,ABS(M692)*'Progetto del paramento slu'!$G$54,'Progetto del paramento slu'!$G$53)*IF(M692&lt;0,-1,1)</f>
        <v>0</v>
      </c>
      <c r="T692" s="553">
        <f>'Foglio deposito bis'!$F$51*IF(ABS(N692)&lt;'Progetto del paramento slu'!$G$58,ABS(N692)*'Progetto del paramento slu'!$G$54,'Progetto del paramento slu'!$G$53)*IF(N692&lt;0,-1,1)</f>
        <v>240946.49743184328</v>
      </c>
      <c r="U692" s="553">
        <f>'Foglio deposito bis'!$F$52*IF(ABS(O692)&lt;'Progetto del paramento slu'!$G$58,ABS(O692)*'Progetto del paramento slu'!$G$54,'Progetto del paramento slu'!$G$53)*IF(O692&lt;0,-1,1)</f>
        <v>240946.49743184328</v>
      </c>
      <c r="V692" s="479">
        <f t="shared" si="50"/>
        <v>-623632.00729335099</v>
      </c>
      <c r="W692" s="559"/>
      <c r="X692" s="559"/>
    </row>
    <row r="693" spans="1:24" x14ac:dyDescent="0.25">
      <c r="A693" s="553">
        <f t="shared" si="51"/>
        <v>680855.21600798308</v>
      </c>
      <c r="B693" s="3">
        <f t="shared" ref="B693:B743" si="53">B692+1</f>
        <v>23.899999999999942</v>
      </c>
      <c r="C693" s="553">
        <f>'Foglio deposito bis'!$E$155/sezione!$B$247*B693</f>
        <v>97.023649324710945</v>
      </c>
      <c r="D693" s="611">
        <f>-'Progetto del paramento slu'!$G$47*'Progetto del paramento slu'!$G$41*IF(DATI!$G$218="dx",DATI!$E$61,DATI!$E$64*DATI!$E$63)*1000*C693^2*sezione!$AD$5*(1-sezione!$AD$6)</f>
        <v>-77492658.505576625</v>
      </c>
      <c r="E693" s="553">
        <f>-'Foglio deposito bis'!$F$48*(C693-sezione!$AL$29)*IF(ABS(K693)&lt;'Progetto del paramento slu'!$G$58,ABS(K693)*'Progetto del paramento slu'!$G$54,'Progetto del paramento slu'!$G$53)</f>
        <v>0</v>
      </c>
      <c r="F693" s="553">
        <f>-'Foglio deposito bis'!$F$49*(C693-sezione!$AM$29)*IF(ABS(L693)&lt;'Progetto del paramento slu'!$G$58,ABS(L693)*'Progetto del paramento slu'!$G$54,'Progetto del paramento slu'!$G$53)</f>
        <v>10854137.875792487</v>
      </c>
      <c r="G693" s="553">
        <f>-'Foglio deposito bis'!$F$50*(C693-sezione!$AN$29)*IF(ABS(M693)&lt;'Progetto del paramento slu'!$G$58,ABS(M693)*'Progetto del paramento slu'!$G$54,'Progetto del paramento slu'!$G$53)</f>
        <v>0</v>
      </c>
      <c r="H693" s="553">
        <f>-'Foglio deposito bis'!$F$51*(C693-sezione!$AO$29)*IF(ABS(N693)&lt;'Progetto del paramento slu'!$G$58,ABS(N693)*'Progetto del paramento slu'!$G$54,'Progetto del paramento slu'!$G$53)</f>
        <v>58544300.653982177</v>
      </c>
      <c r="I693" s="479">
        <f>-'Foglio deposito bis'!$F$52*(C693-sezione!$AP$29)*IF(ABS(O693)&lt;'Progetto del paramento slu'!$G$58,ABS(O693)*'Progetto del paramento slu'!$G$54,'Progetto del paramento slu'!$G$53)</f>
        <v>39269061.594032943</v>
      </c>
      <c r="J693" s="479">
        <f t="shared" ref="J693:J743" si="54">D693+E693+F693+G693+H693+I693</f>
        <v>31174841.618230984</v>
      </c>
      <c r="K693" s="558">
        <f>'Progetto del paramento slu'!$G$60*(sezione!$AL$29-C693)/C693</f>
        <v>-2.0570528322279521E-3</v>
      </c>
      <c r="L693" s="558">
        <f>'Progetto del paramento slu'!$G$60*(sezione!$AM$29-C693)/C693</f>
        <v>1.9110518791451785E-3</v>
      </c>
      <c r="M693" s="559">
        <f>'Progetto del paramento slu'!$G$60*(sezione!$AN$29-C693)/C693</f>
        <v>5.8791565905183087E-3</v>
      </c>
      <c r="N693" s="559">
        <f>'Progetto del paramento slu'!$G$60*(sezione!$AO$29-C693)/C693</f>
        <v>8.7650509260624038E-3</v>
      </c>
      <c r="O693" s="559">
        <f>'Progetto del paramento slu'!$G$60*(sezione!$AP$29-C693)/C693</f>
        <v>5.8792285644455452E-3</v>
      </c>
      <c r="P693" s="553">
        <f>-'Progetto del paramento slu'!$G$47*'Progetto del paramento slu'!$G$41*IF(DATI!$G$218="dx",DATI!$E$61,DATI!$E$64*DATI!$E$63)*1000*C693*sezione!$AD$5</f>
        <v>-1367634.6882796998</v>
      </c>
      <c r="Q693" s="553">
        <f>'Foglio deposito bis'!$F$48*IF(ABS(K693)&lt;'Progetto del paramento slu'!$G$58,ABS(K693)*'Progetto del paramento slu'!$G$54,'Progetto del paramento slu'!$G$53)*IF(K693&lt;0,-1,1)</f>
        <v>0</v>
      </c>
      <c r="R693" s="553">
        <f>'Foglio deposito bis'!$F$49*IF(ABS(L693)&lt;'Progetto del paramento slu'!$G$58,ABS(L693)*'Progetto del paramento slu'!$G$54,'Progetto del paramento slu'!$G$53)*IF(L693&lt;0,-1,1)</f>
        <v>204886.47740803001</v>
      </c>
      <c r="S693" s="553">
        <f>'Foglio deposito bis'!$F$50*IF(ABS(M693)&lt;'Progetto del paramento slu'!$G$58,ABS(M693)*'Progetto del paramento slu'!$G$54,'Progetto del paramento slu'!$G$53)*IF(M693&lt;0,-1,1)</f>
        <v>0</v>
      </c>
      <c r="T693" s="553">
        <f>'Foglio deposito bis'!$F$51*IF(ABS(N693)&lt;'Progetto del paramento slu'!$G$58,ABS(N693)*'Progetto del paramento slu'!$G$54,'Progetto del paramento slu'!$G$53)*IF(N693&lt;0,-1,1)</f>
        <v>240946.49743184328</v>
      </c>
      <c r="U693" s="553">
        <f>'Foglio deposito bis'!$F$52*IF(ABS(O693)&lt;'Progetto del paramento slu'!$G$58,ABS(O693)*'Progetto del paramento slu'!$G$54,'Progetto del paramento slu'!$G$53)*IF(O693&lt;0,-1,1)</f>
        <v>240946.49743184328</v>
      </c>
      <c r="V693" s="479">
        <f t="shared" ref="V693:V743" si="55">P693+Q693+R693+S693+T693+U693</f>
        <v>-680855.21600798308</v>
      </c>
      <c r="W693" s="559"/>
      <c r="X693" s="559"/>
    </row>
    <row r="694" spans="1:24" x14ac:dyDescent="0.25">
      <c r="A694" s="553">
        <f t="shared" ref="A694:A743" si="56">ABS(V694)</f>
        <v>760275.76269130711</v>
      </c>
      <c r="B694" s="3">
        <f t="shared" si="53"/>
        <v>24.899999999999942</v>
      </c>
      <c r="C694" s="553">
        <f>'Foglio deposito bis'!$E$155/sezione!$B$247*B694</f>
        <v>101.08321624206287</v>
      </c>
      <c r="D694" s="611">
        <f>-'Progetto del paramento slu'!$G$47*'Progetto del paramento slu'!$G$41*IF(DATI!$G$218="dx",DATI!$E$61,DATI!$E$64*DATI!$E$63)*1000*C694^2*sezione!$AD$5*(1-sezione!$AD$6)</f>
        <v>-84113063.846995965</v>
      </c>
      <c r="E694" s="553">
        <f>-'Foglio deposito bis'!$F$48*(C694-sezione!$AL$29)*IF(ABS(K694)&lt;'Progetto del paramento slu'!$G$58,ABS(K694)*'Progetto del paramento slu'!$G$54,'Progetto del paramento slu'!$G$53)</f>
        <v>0</v>
      </c>
      <c r="F694" s="553">
        <f>-'Foglio deposito bis'!$F$49*(C694-sezione!$AM$29)*IF(ABS(L694)&lt;'Progetto del paramento slu'!$G$58,ABS(L694)*'Progetto del paramento slu'!$G$54,'Progetto del paramento slu'!$G$53)</f>
        <v>8936565.1288777106</v>
      </c>
      <c r="G694" s="553">
        <f>-'Foglio deposito bis'!$F$50*(C694-sezione!$AN$29)*IF(ABS(M694)&lt;'Progetto del paramento slu'!$G$58,ABS(M694)*'Progetto del paramento slu'!$G$54,'Progetto del paramento slu'!$G$53)</f>
        <v>0</v>
      </c>
      <c r="H694" s="553">
        <f>-'Foglio deposito bis'!$F$51*(C694-sezione!$AO$29)*IF(ABS(N694)&lt;'Progetto del paramento slu'!$G$58,ABS(N694)*'Progetto del paramento slu'!$G$54,'Progetto del paramento slu'!$G$53)</f>
        <v>57566162.224156059</v>
      </c>
      <c r="I694" s="479">
        <f>-'Foglio deposito bis'!$F$52*(C694-sezione!$AP$29)*IF(ABS(O694)&lt;'Progetto del paramento slu'!$G$58,ABS(O694)*'Progetto del paramento slu'!$G$54,'Progetto del paramento slu'!$G$53)</f>
        <v>38290923.164206818</v>
      </c>
      <c r="J694" s="479">
        <f t="shared" si="54"/>
        <v>20680586.670244627</v>
      </c>
      <c r="K694" s="558">
        <f>'Progetto del paramento slu'!$G$60*(sezione!$AL$29-C694)/C694</f>
        <v>-2.1150025176806453E-3</v>
      </c>
      <c r="L694" s="558">
        <f>'Progetto del paramento slu'!$G$60*(sezione!$AM$29-C694)/C694</f>
        <v>1.6937405586975808E-3</v>
      </c>
      <c r="M694" s="559">
        <f>'Progetto del paramento slu'!$G$60*(sezione!$AN$29-C694)/C694</f>
        <v>5.5024836350758069E-3</v>
      </c>
      <c r="N694" s="559">
        <f>'Progetto del paramento slu'!$G$60*(sezione!$AO$29-C694)/C694</f>
        <v>8.2724785997145174E-3</v>
      </c>
      <c r="O694" s="559">
        <f>'Progetto del paramento slu'!$G$60*(sezione!$AP$29-C694)/C694</f>
        <v>5.5025527184838774E-3</v>
      </c>
      <c r="P694" s="553">
        <f>-'Progetto del paramento slu'!$G$47*'Progetto del paramento slu'!$G$41*IF(DATI!$G$218="dx",DATI!$E$61,DATI!$E$64*DATI!$E$63)*1000*C694*sezione!$AD$5</f>
        <v>-1424857.8969943316</v>
      </c>
      <c r="Q694" s="553">
        <f>'Foglio deposito bis'!$F$48*IF(ABS(K694)&lt;'Progetto del paramento slu'!$G$58,ABS(K694)*'Progetto del paramento slu'!$G$54,'Progetto del paramento slu'!$G$53)*IF(K694&lt;0,-1,1)</f>
        <v>0</v>
      </c>
      <c r="R694" s="553">
        <f>'Foglio deposito bis'!$F$49*IF(ABS(L694)&lt;'Progetto del paramento slu'!$G$58,ABS(L694)*'Progetto del paramento slu'!$G$54,'Progetto del paramento slu'!$G$53)*IF(L694&lt;0,-1,1)</f>
        <v>182689.1394393378</v>
      </c>
      <c r="S694" s="553">
        <f>'Foglio deposito bis'!$F$50*IF(ABS(M694)&lt;'Progetto del paramento slu'!$G$58,ABS(M694)*'Progetto del paramento slu'!$G$54,'Progetto del paramento slu'!$G$53)*IF(M694&lt;0,-1,1)</f>
        <v>0</v>
      </c>
      <c r="T694" s="553">
        <f>'Foglio deposito bis'!$F$51*IF(ABS(N694)&lt;'Progetto del paramento slu'!$G$58,ABS(N694)*'Progetto del paramento slu'!$G$54,'Progetto del paramento slu'!$G$53)*IF(N694&lt;0,-1,1)</f>
        <v>240946.49743184328</v>
      </c>
      <c r="U694" s="553">
        <f>'Foglio deposito bis'!$F$52*IF(ABS(O694)&lt;'Progetto del paramento slu'!$G$58,ABS(O694)*'Progetto del paramento slu'!$G$54,'Progetto del paramento slu'!$G$53)*IF(O694&lt;0,-1,1)</f>
        <v>240946.49743184328</v>
      </c>
      <c r="V694" s="479">
        <f t="shared" si="55"/>
        <v>-760275.76269130711</v>
      </c>
      <c r="W694" s="559"/>
      <c r="X694" s="559"/>
    </row>
    <row r="695" spans="1:24" x14ac:dyDescent="0.25">
      <c r="A695" s="553">
        <f t="shared" si="56"/>
        <v>839128.46394052287</v>
      </c>
      <c r="B695" s="3">
        <f t="shared" si="53"/>
        <v>25.899999999999942</v>
      </c>
      <c r="C695" s="553">
        <f>'Foglio deposito bis'!$E$155/sezione!$B$247*B695</f>
        <v>105.14278315941482</v>
      </c>
      <c r="D695" s="611">
        <f>-'Progetto del paramento slu'!$G$47*'Progetto del paramento slu'!$G$41*IF(DATI!$G$218="dx",DATI!$E$61,DATI!$E$64*DATI!$E$63)*1000*C695^2*sezione!$AD$5*(1-sezione!$AD$6)</f>
        <v>-91004797.276178434</v>
      </c>
      <c r="E695" s="553">
        <f>-'Foglio deposito bis'!$F$48*(C695-sezione!$AL$29)*IF(ABS(K695)&lt;'Progetto del paramento slu'!$G$58,ABS(K695)*'Progetto del paramento slu'!$G$54,'Progetto del paramento slu'!$G$53)</f>
        <v>0</v>
      </c>
      <c r="F695" s="553">
        <f>-'Foglio deposito bis'!$F$49*(C695-sezione!$AM$29)*IF(ABS(L695)&lt;'Progetto del paramento slu'!$G$58,ABS(L695)*'Progetto del paramento slu'!$G$54,'Progetto del paramento slu'!$G$53)</f>
        <v>7224687.5054746438</v>
      </c>
      <c r="G695" s="553">
        <f>-'Foglio deposito bis'!$F$50*(C695-sezione!$AN$29)*IF(ABS(M695)&lt;'Progetto del paramento slu'!$G$58,ABS(M695)*'Progetto del paramento slu'!$G$54,'Progetto del paramento slu'!$G$53)</f>
        <v>0</v>
      </c>
      <c r="H695" s="553">
        <f>-'Foglio deposito bis'!$F$51*(C695-sezione!$AO$29)*IF(ABS(N695)&lt;'Progetto del paramento slu'!$G$58,ABS(N695)*'Progetto del paramento slu'!$G$54,'Progetto del paramento slu'!$G$53)</f>
        <v>56588023.794329919</v>
      </c>
      <c r="I695" s="479">
        <f>-'Foglio deposito bis'!$F$52*(C695-sezione!$AP$29)*IF(ABS(O695)&lt;'Progetto del paramento slu'!$G$58,ABS(O695)*'Progetto del paramento slu'!$G$54,'Progetto del paramento slu'!$G$53)</f>
        <v>37312784.734380677</v>
      </c>
      <c r="J695" s="479">
        <f t="shared" si="54"/>
        <v>10120698.758006804</v>
      </c>
      <c r="K695" s="558">
        <f>'Progetto del paramento slu'!$G$60*(sezione!$AL$29-C695)/C695</f>
        <v>-2.168477323947802E-3</v>
      </c>
      <c r="L695" s="558">
        <f>'Progetto del paramento slu'!$G$60*(sezione!$AM$29-C695)/C695</f>
        <v>1.4932100351957426E-3</v>
      </c>
      <c r="M695" s="559">
        <f>'Progetto del paramento slu'!$G$60*(sezione!$AN$29-C695)/C695</f>
        <v>5.1548973943392872E-3</v>
      </c>
      <c r="N695" s="559">
        <f>'Progetto del paramento slu'!$G$60*(sezione!$AO$29-C695)/C695</f>
        <v>7.8179427464436842E-3</v>
      </c>
      <c r="O695" s="559">
        <f>'Progetto del paramento slu'!$G$60*(sezione!$AP$29-C695)/C695</f>
        <v>5.154963810434305E-3</v>
      </c>
      <c r="P695" s="553">
        <f>-'Progetto del paramento slu'!$G$47*'Progetto del paramento slu'!$G$41*IF(DATI!$G$218="dx",DATI!$E$61,DATI!$E$64*DATI!$E$63)*1000*C695*sezione!$AD$5</f>
        <v>-1482081.1057089637</v>
      </c>
      <c r="Q695" s="553">
        <f>'Foglio deposito bis'!$F$48*IF(ABS(K695)&lt;'Progetto del paramento slu'!$G$58,ABS(K695)*'Progetto del paramento slu'!$G$54,'Progetto del paramento slu'!$G$53)*IF(K695&lt;0,-1,1)</f>
        <v>0</v>
      </c>
      <c r="R695" s="553">
        <f>'Foglio deposito bis'!$F$49*IF(ABS(L695)&lt;'Progetto del paramento slu'!$G$58,ABS(L695)*'Progetto del paramento slu'!$G$54,'Progetto del paramento slu'!$G$53)*IF(L695&lt;0,-1,1)</f>
        <v>161059.64690475422</v>
      </c>
      <c r="S695" s="553">
        <f>'Foglio deposito bis'!$F$50*IF(ABS(M695)&lt;'Progetto del paramento slu'!$G$58,ABS(M695)*'Progetto del paramento slu'!$G$54,'Progetto del paramento slu'!$G$53)*IF(M695&lt;0,-1,1)</f>
        <v>0</v>
      </c>
      <c r="T695" s="553">
        <f>'Foglio deposito bis'!$F$51*IF(ABS(N695)&lt;'Progetto del paramento slu'!$G$58,ABS(N695)*'Progetto del paramento slu'!$G$54,'Progetto del paramento slu'!$G$53)*IF(N695&lt;0,-1,1)</f>
        <v>240946.49743184328</v>
      </c>
      <c r="U695" s="553">
        <f>'Foglio deposito bis'!$F$52*IF(ABS(O695)&lt;'Progetto del paramento slu'!$G$58,ABS(O695)*'Progetto del paramento slu'!$G$54,'Progetto del paramento slu'!$G$53)*IF(O695&lt;0,-1,1)</f>
        <v>240946.49743184328</v>
      </c>
      <c r="V695" s="479">
        <f t="shared" si="55"/>
        <v>-839128.46394052287</v>
      </c>
      <c r="W695" s="559"/>
      <c r="X695" s="559"/>
    </row>
    <row r="696" spans="1:24" x14ac:dyDescent="0.25">
      <c r="A696" s="553">
        <f t="shared" si="56"/>
        <v>916373.02448084718</v>
      </c>
      <c r="B696" s="3">
        <f t="shared" si="53"/>
        <v>26.899999999999942</v>
      </c>
      <c r="C696" s="553">
        <f>'Foglio deposito bis'!$E$155/sezione!$B$247*B696</f>
        <v>109.20235007676675</v>
      </c>
      <c r="D696" s="611">
        <f>-'Progetto del paramento slu'!$G$47*'Progetto del paramento slu'!$G$41*IF(DATI!$G$218="dx",DATI!$E$61,DATI!$E$64*DATI!$E$63)*1000*C696^2*sezione!$AD$5*(1-sezione!$AD$6)</f>
        <v>-98167858.79312396</v>
      </c>
      <c r="E696" s="553">
        <f>-'Foglio deposito bis'!$F$48*(C696-sezione!$AL$29)*IF(ABS(K696)&lt;'Progetto del paramento slu'!$G$58,ABS(K696)*'Progetto del paramento slu'!$G$54,'Progetto del paramento slu'!$G$53)</f>
        <v>0</v>
      </c>
      <c r="F696" s="553">
        <f>-'Foglio deposito bis'!$F$49*(C696-sezione!$AM$29)*IF(ABS(L696)&lt;'Progetto del paramento slu'!$G$58,ABS(L696)*'Progetto del paramento slu'!$G$54,'Progetto del paramento slu'!$G$53)</f>
        <v>5754030.9884052305</v>
      </c>
      <c r="G696" s="553">
        <f>-'Foglio deposito bis'!$F$50*(C696-sezione!$AN$29)*IF(ABS(M696)&lt;'Progetto del paramento slu'!$G$58,ABS(M696)*'Progetto del paramento slu'!$G$54,'Progetto del paramento slu'!$G$53)</f>
        <v>0</v>
      </c>
      <c r="H696" s="553">
        <f>-'Foglio deposito bis'!$F$51*(C696-sezione!$AO$29)*IF(ABS(N696)&lt;'Progetto del paramento slu'!$G$58,ABS(N696)*'Progetto del paramento slu'!$G$54,'Progetto del paramento slu'!$G$53)</f>
        <v>55609885.364503786</v>
      </c>
      <c r="I696" s="479">
        <f>-'Foglio deposito bis'!$F$52*(C696-sezione!$AP$29)*IF(ABS(O696)&lt;'Progetto del paramento slu'!$G$58,ABS(O696)*'Progetto del paramento slu'!$G$54,'Progetto del paramento slu'!$G$53)</f>
        <v>36334646.304554544</v>
      </c>
      <c r="J696" s="479">
        <f t="shared" si="54"/>
        <v>-469296.13566040248</v>
      </c>
      <c r="K696" s="558">
        <f>'Progetto del paramento slu'!$G$60*(sezione!$AL$29-C696)/C696</f>
        <v>-2.2179763081876607E-3</v>
      </c>
      <c r="L696" s="558">
        <f>'Progetto del paramento slu'!$G$60*(sezione!$AM$29-C696)/C696</f>
        <v>1.3075888442962724E-3</v>
      </c>
      <c r="M696" s="559">
        <f>'Progetto del paramento slu'!$G$60*(sezione!$AN$29-C696)/C696</f>
        <v>4.8331539967802059E-3</v>
      </c>
      <c r="N696" s="559">
        <f>'Progetto del paramento slu'!$G$60*(sezione!$AO$29-C696)/C696</f>
        <v>7.3972013804048838E-3</v>
      </c>
      <c r="O696" s="559">
        <f>'Progetto del paramento slu'!$G$60*(sezione!$AP$29-C696)/C696</f>
        <v>4.8332179438754074E-3</v>
      </c>
      <c r="P696" s="553">
        <f>-'Progetto del paramento slu'!$G$47*'Progetto del paramento slu'!$G$41*IF(DATI!$G$218="dx",DATI!$E$61,DATI!$E$64*DATI!$E$63)*1000*C696*sezione!$AD$5</f>
        <v>-1539304.3144235956</v>
      </c>
      <c r="Q696" s="553">
        <f>'Foglio deposito bis'!$F$48*IF(ABS(K696)&lt;'Progetto del paramento slu'!$G$58,ABS(K696)*'Progetto del paramento slu'!$G$54,'Progetto del paramento slu'!$G$53)*IF(K696&lt;0,-1,1)</f>
        <v>0</v>
      </c>
      <c r="R696" s="553">
        <f>'Foglio deposito bis'!$F$49*IF(ABS(L696)&lt;'Progetto del paramento slu'!$G$58,ABS(L696)*'Progetto del paramento slu'!$G$54,'Progetto del paramento slu'!$G$53)*IF(L696&lt;0,-1,1)</f>
        <v>141038.2950790617</v>
      </c>
      <c r="S696" s="553">
        <f>'Foglio deposito bis'!$F$50*IF(ABS(M696)&lt;'Progetto del paramento slu'!$G$58,ABS(M696)*'Progetto del paramento slu'!$G$54,'Progetto del paramento slu'!$G$53)*IF(M696&lt;0,-1,1)</f>
        <v>0</v>
      </c>
      <c r="T696" s="553">
        <f>'Foglio deposito bis'!$F$51*IF(ABS(N696)&lt;'Progetto del paramento slu'!$G$58,ABS(N696)*'Progetto del paramento slu'!$G$54,'Progetto del paramento slu'!$G$53)*IF(N696&lt;0,-1,1)</f>
        <v>240946.49743184328</v>
      </c>
      <c r="U696" s="553">
        <f>'Foglio deposito bis'!$F$52*IF(ABS(O696)&lt;'Progetto del paramento slu'!$G$58,ABS(O696)*'Progetto del paramento slu'!$G$54,'Progetto del paramento slu'!$G$53)*IF(O696&lt;0,-1,1)</f>
        <v>240946.49743184328</v>
      </c>
      <c r="V696" s="479">
        <f t="shared" si="55"/>
        <v>-916373.02448084718</v>
      </c>
      <c r="W696" s="559"/>
      <c r="X696" s="559"/>
    </row>
    <row r="697" spans="1:24" x14ac:dyDescent="0.25">
      <c r="A697" s="553">
        <f t="shared" si="56"/>
        <v>992182.36266807537</v>
      </c>
      <c r="B697" s="3">
        <f t="shared" si="53"/>
        <v>27.899999999999942</v>
      </c>
      <c r="C697" s="553">
        <f>'Foglio deposito bis'!$E$155/sezione!$B$247*B697</f>
        <v>113.26191699411868</v>
      </c>
      <c r="D697" s="611">
        <f>-'Progetto del paramento slu'!$G$47*'Progetto del paramento slu'!$G$41*IF(DATI!$G$218="dx",DATI!$E$61,DATI!$E$64*DATI!$E$63)*1000*C697^2*sezione!$AD$5*(1-sezione!$AD$6)</f>
        <v>-105602248.39783259</v>
      </c>
      <c r="E697" s="553">
        <f>-'Foglio deposito bis'!$F$48*(C697-sezione!$AL$29)*IF(ABS(K697)&lt;'Progetto del paramento slu'!$G$58,ABS(K697)*'Progetto del paramento slu'!$G$54,'Progetto del paramento slu'!$G$53)</f>
        <v>0</v>
      </c>
      <c r="F697" s="553">
        <f>-'Foglio deposito bis'!$F$49*(C697-sezione!$AM$29)*IF(ABS(L697)&lt;'Progetto del paramento slu'!$G$58,ABS(L697)*'Progetto del paramento slu'!$G$54,'Progetto del paramento slu'!$G$53)</f>
        <v>4498657.8243002528</v>
      </c>
      <c r="G697" s="553">
        <f>-'Foglio deposito bis'!$F$50*(C697-sezione!$AN$29)*IF(ABS(M697)&lt;'Progetto del paramento slu'!$G$58,ABS(M697)*'Progetto del paramento slu'!$G$54,'Progetto del paramento slu'!$G$53)</f>
        <v>0</v>
      </c>
      <c r="H697" s="553">
        <f>-'Foglio deposito bis'!$F$51*(C697-sezione!$AO$29)*IF(ABS(N697)&lt;'Progetto del paramento slu'!$G$58,ABS(N697)*'Progetto del paramento slu'!$G$54,'Progetto del paramento slu'!$G$53)</f>
        <v>54631746.934677653</v>
      </c>
      <c r="I697" s="479">
        <f>-'Foglio deposito bis'!$F$52*(C697-sezione!$AP$29)*IF(ABS(O697)&lt;'Progetto del paramento slu'!$G$58,ABS(O697)*'Progetto del paramento slu'!$G$54,'Progetto del paramento slu'!$G$53)</f>
        <v>35356507.874728411</v>
      </c>
      <c r="J697" s="479">
        <f t="shared" si="54"/>
        <v>-11115335.764126264</v>
      </c>
      <c r="K697" s="558">
        <f>'Progetto del paramento slu'!$G$60*(sezione!$AL$29-C697)/C697</f>
        <v>-2.2639269781450921E-3</v>
      </c>
      <c r="L697" s="558">
        <f>'Progetto del paramento slu'!$G$60*(sezione!$AM$29-C697)/C697</f>
        <v>1.1352738319559039E-3</v>
      </c>
      <c r="M697" s="559">
        <f>'Progetto del paramento slu'!$G$60*(sezione!$AN$29-C697)/C697</f>
        <v>4.5344746420569E-3</v>
      </c>
      <c r="N697" s="559">
        <f>'Progetto del paramento slu'!$G$60*(sezione!$AO$29-C697)/C697</f>
        <v>7.0066206857667158E-3</v>
      </c>
      <c r="O697" s="559">
        <f>'Progetto del paramento slu'!$G$60*(sezione!$AP$29-C697)/C697</f>
        <v>4.5345362971415219E-3</v>
      </c>
      <c r="P697" s="553">
        <f>-'Progetto del paramento slu'!$G$47*'Progetto del paramento slu'!$G$41*IF(DATI!$G$218="dx",DATI!$E$61,DATI!$E$64*DATI!$E$63)*1000*C697*sezione!$AD$5</f>
        <v>-1596527.5231382274</v>
      </c>
      <c r="Q697" s="553">
        <f>'Foglio deposito bis'!$F$48*IF(ABS(K697)&lt;'Progetto del paramento slu'!$G$58,ABS(K697)*'Progetto del paramento slu'!$G$54,'Progetto del paramento slu'!$G$53)*IF(K697&lt;0,-1,1)</f>
        <v>0</v>
      </c>
      <c r="R697" s="553">
        <f>'Foglio deposito bis'!$F$49*IF(ABS(L697)&lt;'Progetto del paramento slu'!$G$58,ABS(L697)*'Progetto del paramento slu'!$G$54,'Progetto del paramento slu'!$G$53)*IF(L697&lt;0,-1,1)</f>
        <v>122452.16560646544</v>
      </c>
      <c r="S697" s="553">
        <f>'Foglio deposito bis'!$F$50*IF(ABS(M697)&lt;'Progetto del paramento slu'!$G$58,ABS(M697)*'Progetto del paramento slu'!$G$54,'Progetto del paramento slu'!$G$53)*IF(M697&lt;0,-1,1)</f>
        <v>0</v>
      </c>
      <c r="T697" s="553">
        <f>'Foglio deposito bis'!$F$51*IF(ABS(N697)&lt;'Progetto del paramento slu'!$G$58,ABS(N697)*'Progetto del paramento slu'!$G$54,'Progetto del paramento slu'!$G$53)*IF(N697&lt;0,-1,1)</f>
        <v>240946.49743184328</v>
      </c>
      <c r="U697" s="553">
        <f>'Foglio deposito bis'!$F$52*IF(ABS(O697)&lt;'Progetto del paramento slu'!$G$58,ABS(O697)*'Progetto del paramento slu'!$G$54,'Progetto del paramento slu'!$G$53)*IF(O697&lt;0,-1,1)</f>
        <v>240946.49743184328</v>
      </c>
      <c r="V697" s="479">
        <f t="shared" si="55"/>
        <v>-992182.36266807537</v>
      </c>
      <c r="W697" s="559"/>
      <c r="X697" s="559"/>
    </row>
    <row r="698" spans="1:24" x14ac:dyDescent="0.25">
      <c r="A698" s="553">
        <f t="shared" si="56"/>
        <v>1066705.4635215597</v>
      </c>
      <c r="B698" s="3">
        <f t="shared" si="53"/>
        <v>28.899999999999942</v>
      </c>
      <c r="C698" s="553">
        <f>'Foglio deposito bis'!$E$155/sezione!$B$247*B698</f>
        <v>117.32148391147061</v>
      </c>
      <c r="D698" s="611">
        <f>-'Progetto del paramento slu'!$G$47*'Progetto del paramento slu'!$G$41*IF(DATI!$G$218="dx",DATI!$E$61,DATI!$E$64*DATI!$E$63)*1000*C698^2*sezione!$AD$5*(1-sezione!$AD$6)</f>
        <v>-113307966.09030429</v>
      </c>
      <c r="E698" s="553">
        <f>-'Foglio deposito bis'!$F$48*(C698-sezione!$AL$29)*IF(ABS(K698)&lt;'Progetto del paramento slu'!$G$58,ABS(K698)*'Progetto del paramento slu'!$G$54,'Progetto del paramento slu'!$G$53)</f>
        <v>0</v>
      </c>
      <c r="F698" s="553">
        <f>-'Foglio deposito bis'!$F$49*(C698-sezione!$AM$29)*IF(ABS(L698)&lt;'Progetto del paramento slu'!$G$58,ABS(L698)*'Progetto del paramento slu'!$G$54,'Progetto del paramento slu'!$G$53)</f>
        <v>3436220.2602568297</v>
      </c>
      <c r="G698" s="553">
        <f>-'Foglio deposito bis'!$F$50*(C698-sezione!$AN$29)*IF(ABS(M698)&lt;'Progetto del paramento slu'!$G$58,ABS(M698)*'Progetto del paramento slu'!$G$54,'Progetto del paramento slu'!$G$53)</f>
        <v>0</v>
      </c>
      <c r="H698" s="553">
        <f>-'Foglio deposito bis'!$F$51*(C698-sezione!$AO$29)*IF(ABS(N698)&lt;'Progetto del paramento slu'!$G$58,ABS(N698)*'Progetto del paramento slu'!$G$54,'Progetto del paramento slu'!$G$53)</f>
        <v>53653608.504851513</v>
      </c>
      <c r="I698" s="479">
        <f>-'Foglio deposito bis'!$F$52*(C698-sezione!$AP$29)*IF(ABS(O698)&lt;'Progetto del paramento slu'!$G$58,ABS(O698)*'Progetto del paramento slu'!$G$54,'Progetto del paramento slu'!$G$53)</f>
        <v>34378369.444902278</v>
      </c>
      <c r="J698" s="479">
        <f t="shared" si="54"/>
        <v>-21839767.880293667</v>
      </c>
      <c r="K698" s="558">
        <f>'Progetto del paramento slu'!$G$60*(sezione!$AL$29-C698)/C698</f>
        <v>-2.3066976709428403E-3</v>
      </c>
      <c r="L698" s="558">
        <f>'Progetto del paramento slu'!$G$60*(sezione!$AM$29-C698)/C698</f>
        <v>9.7488373396434997E-4</v>
      </c>
      <c r="M698" s="559">
        <f>'Progetto del paramento slu'!$G$60*(sezione!$AN$29-C698)/C698</f>
        <v>4.2564651388715402E-3</v>
      </c>
      <c r="N698" s="559">
        <f>'Progetto del paramento slu'!$G$60*(sezione!$AO$29-C698)/C698</f>
        <v>6.6430697969858598E-3</v>
      </c>
      <c r="O698" s="559">
        <f>'Progetto del paramento slu'!$G$60*(sezione!$AP$29-C698)/C698</f>
        <v>4.2565246605622302E-3</v>
      </c>
      <c r="P698" s="553">
        <f>-'Progetto del paramento slu'!$G$47*'Progetto del paramento slu'!$G$41*IF(DATI!$G$218="dx",DATI!$E$61,DATI!$E$64*DATI!$E$63)*1000*C698*sezione!$AD$5</f>
        <v>-1653750.7318528593</v>
      </c>
      <c r="Q698" s="553">
        <f>'Foglio deposito bis'!$F$48*IF(ABS(K698)&lt;'Progetto del paramento slu'!$G$58,ABS(K698)*'Progetto del paramento slu'!$G$54,'Progetto del paramento slu'!$G$53)*IF(K698&lt;0,-1,1)</f>
        <v>0</v>
      </c>
      <c r="R698" s="553">
        <f>'Foglio deposito bis'!$F$49*IF(ABS(L698)&lt;'Progetto del paramento slu'!$G$58,ABS(L698)*'Progetto del paramento slu'!$G$54,'Progetto del paramento slu'!$G$53)*IF(L698&lt;0,-1,1)</f>
        <v>105152.27346761286</v>
      </c>
      <c r="S698" s="553">
        <f>'Foglio deposito bis'!$F$50*IF(ABS(M698)&lt;'Progetto del paramento slu'!$G$58,ABS(M698)*'Progetto del paramento slu'!$G$54,'Progetto del paramento slu'!$G$53)*IF(M698&lt;0,-1,1)</f>
        <v>0</v>
      </c>
      <c r="T698" s="553">
        <f>'Foglio deposito bis'!$F$51*IF(ABS(N698)&lt;'Progetto del paramento slu'!$G$58,ABS(N698)*'Progetto del paramento slu'!$G$54,'Progetto del paramento slu'!$G$53)*IF(N698&lt;0,-1,1)</f>
        <v>240946.49743184328</v>
      </c>
      <c r="U698" s="553">
        <f>'Foglio deposito bis'!$F$52*IF(ABS(O698)&lt;'Progetto del paramento slu'!$G$58,ABS(O698)*'Progetto del paramento slu'!$G$54,'Progetto del paramento slu'!$G$53)*IF(O698&lt;0,-1,1)</f>
        <v>240946.49743184328</v>
      </c>
      <c r="V698" s="479">
        <f t="shared" si="55"/>
        <v>-1066705.4635215597</v>
      </c>
      <c r="W698" s="559"/>
      <c r="X698" s="559"/>
    </row>
    <row r="699" spans="1:24" x14ac:dyDescent="0.25">
      <c r="A699" s="553">
        <f t="shared" si="56"/>
        <v>1140071.3809543855</v>
      </c>
      <c r="B699" s="3">
        <f t="shared" si="53"/>
        <v>29.899999999999942</v>
      </c>
      <c r="C699" s="553">
        <f>'Foglio deposito bis'!$E$155/sezione!$B$247*B699</f>
        <v>121.38105082882254</v>
      </c>
      <c r="D699" s="611">
        <f>-'Progetto del paramento slu'!$G$47*'Progetto del paramento slu'!$G$41*IF(DATI!$G$218="dx",DATI!$E$61,DATI!$E$64*DATI!$E$63)*1000*C699^2*sezione!$AD$5*(1-sezione!$AD$6)</f>
        <v>-121285011.87053908</v>
      </c>
      <c r="E699" s="553">
        <f>-'Foglio deposito bis'!$F$48*(C699-sezione!$AL$29)*IF(ABS(K699)&lt;'Progetto del paramento slu'!$G$58,ABS(K699)*'Progetto del paramento slu'!$G$54,'Progetto del paramento slu'!$G$53)</f>
        <v>0</v>
      </c>
      <c r="F699" s="553">
        <f>-'Foglio deposito bis'!$F$49*(C699-sezione!$AM$29)*IF(ABS(L699)&lt;'Progetto del paramento slu'!$G$58,ABS(L699)*'Progetto del paramento slu'!$G$54,'Progetto del paramento slu'!$G$53)</f>
        <v>2547360.2093122606</v>
      </c>
      <c r="G699" s="553">
        <f>-'Foglio deposito bis'!$F$50*(C699-sezione!$AN$29)*IF(ABS(M699)&lt;'Progetto del paramento slu'!$G$58,ABS(M699)*'Progetto del paramento slu'!$G$54,'Progetto del paramento slu'!$G$53)</f>
        <v>0</v>
      </c>
      <c r="H699" s="553">
        <f>-'Foglio deposito bis'!$F$51*(C699-sezione!$AO$29)*IF(ABS(N699)&lt;'Progetto del paramento slu'!$G$58,ABS(N699)*'Progetto del paramento slu'!$G$54,'Progetto del paramento slu'!$G$53)</f>
        <v>52675470.07502538</v>
      </c>
      <c r="I699" s="479">
        <f>-'Foglio deposito bis'!$F$52*(C699-sezione!$AP$29)*IF(ABS(O699)&lt;'Progetto del paramento slu'!$G$58,ABS(O699)*'Progetto del paramento slu'!$G$54,'Progetto del paramento slu'!$G$53)</f>
        <v>33400231.015076149</v>
      </c>
      <c r="J699" s="479">
        <f t="shared" si="54"/>
        <v>-32661950.571125295</v>
      </c>
      <c r="K699" s="558">
        <f>'Progetto del paramento slu'!$G$60*(sezione!$AL$29-C699)/C699</f>
        <v>-2.3466074478343838E-3</v>
      </c>
      <c r="L699" s="558">
        <f>'Progetto del paramento slu'!$G$60*(sezione!$AM$29-C699)/C699</f>
        <v>8.2522207062106045E-4</v>
      </c>
      <c r="M699" s="559">
        <f>'Progetto del paramento slu'!$G$60*(sezione!$AN$29-C699)/C699</f>
        <v>3.9970515890765052E-3</v>
      </c>
      <c r="N699" s="559">
        <f>'Progetto del paramento slu'!$G$60*(sezione!$AO$29-C699)/C699</f>
        <v>6.3038366934077376E-3</v>
      </c>
      <c r="O699" s="559">
        <f>'Progetto del paramento slu'!$G$60*(sezione!$AP$29-C699)/C699</f>
        <v>3.9971091200751985E-3</v>
      </c>
      <c r="P699" s="553">
        <f>-'Progetto del paramento slu'!$G$47*'Progetto del paramento slu'!$G$41*IF(DATI!$G$218="dx",DATI!$E$61,DATI!$E$64*DATI!$E$63)*1000*C699*sezione!$AD$5</f>
        <v>-1710973.9405674913</v>
      </c>
      <c r="Q699" s="553">
        <f>'Foglio deposito bis'!$F$48*IF(ABS(K699)&lt;'Progetto del paramento slu'!$G$58,ABS(K699)*'Progetto del paramento slu'!$G$54,'Progetto del paramento slu'!$G$53)*IF(K699&lt;0,-1,1)</f>
        <v>0</v>
      </c>
      <c r="R699" s="553">
        <f>'Foglio deposito bis'!$F$49*IF(ABS(L699)&lt;'Progetto del paramento slu'!$G$58,ABS(L699)*'Progetto del paramento slu'!$G$54,'Progetto del paramento slu'!$G$53)*IF(L699&lt;0,-1,1)</f>
        <v>89009.564749419325</v>
      </c>
      <c r="S699" s="553">
        <f>'Foglio deposito bis'!$F$50*IF(ABS(M699)&lt;'Progetto del paramento slu'!$G$58,ABS(M699)*'Progetto del paramento slu'!$G$54,'Progetto del paramento slu'!$G$53)*IF(M699&lt;0,-1,1)</f>
        <v>0</v>
      </c>
      <c r="T699" s="553">
        <f>'Foglio deposito bis'!$F$51*IF(ABS(N699)&lt;'Progetto del paramento slu'!$G$58,ABS(N699)*'Progetto del paramento slu'!$G$54,'Progetto del paramento slu'!$G$53)*IF(N699&lt;0,-1,1)</f>
        <v>240946.49743184328</v>
      </c>
      <c r="U699" s="553">
        <f>'Foglio deposito bis'!$F$52*IF(ABS(O699)&lt;'Progetto del paramento slu'!$G$58,ABS(O699)*'Progetto del paramento slu'!$G$54,'Progetto del paramento slu'!$G$53)*IF(O699&lt;0,-1,1)</f>
        <v>240946.49743184328</v>
      </c>
      <c r="V699" s="479">
        <f t="shared" si="55"/>
        <v>-1140071.3809543855</v>
      </c>
      <c r="W699" s="559"/>
      <c r="X699" s="559"/>
    </row>
    <row r="700" spans="1:24" x14ac:dyDescent="0.25">
      <c r="A700" s="553">
        <f t="shared" si="56"/>
        <v>1212392.4628714705</v>
      </c>
      <c r="B700" s="3">
        <f t="shared" si="53"/>
        <v>30.899999999999942</v>
      </c>
      <c r="C700" s="553">
        <f>'Foglio deposito bis'!$E$155/sezione!$B$247*B700</f>
        <v>125.44061774617448</v>
      </c>
      <c r="D700" s="611">
        <f>-'Progetto del paramento slu'!$G$47*'Progetto del paramento slu'!$G$41*IF(DATI!$G$218="dx",DATI!$E$61,DATI!$E$64*DATI!$E$63)*1000*C700^2*sezione!$AD$5*(1-sezione!$AD$6)</f>
        <v>-129533385.73853697</v>
      </c>
      <c r="E700" s="553">
        <f>-'Foglio deposito bis'!$F$48*(C700-sezione!$AL$29)*IF(ABS(K700)&lt;'Progetto del paramento slu'!$G$58,ABS(K700)*'Progetto del paramento slu'!$G$54,'Progetto del paramento slu'!$G$53)</f>
        <v>0</v>
      </c>
      <c r="F700" s="553">
        <f>-'Foglio deposito bis'!$F$49*(C700-sezione!$AM$29)*IF(ABS(L700)&lt;'Progetto del paramento slu'!$G$58,ABS(L700)*'Progetto del paramento slu'!$G$54,'Progetto del paramento slu'!$G$53)</f>
        <v>1815225.4857287924</v>
      </c>
      <c r="G700" s="553">
        <f>-'Foglio deposito bis'!$F$50*(C700-sezione!$AN$29)*IF(ABS(M700)&lt;'Progetto del paramento slu'!$G$58,ABS(M700)*'Progetto del paramento slu'!$G$54,'Progetto del paramento slu'!$G$53)</f>
        <v>0</v>
      </c>
      <c r="H700" s="553">
        <f>-'Foglio deposito bis'!$F$51*(C700-sezione!$AO$29)*IF(ABS(N700)&lt;'Progetto del paramento slu'!$G$58,ABS(N700)*'Progetto del paramento slu'!$G$54,'Progetto del paramento slu'!$G$53)</f>
        <v>51697331.645199239</v>
      </c>
      <c r="I700" s="479">
        <f>-'Foglio deposito bis'!$F$52*(C700-sezione!$AP$29)*IF(ABS(O700)&lt;'Progetto del paramento slu'!$G$58,ABS(O700)*'Progetto del paramento slu'!$G$54,'Progetto del paramento slu'!$G$53)</f>
        <v>32422092.585250005</v>
      </c>
      <c r="J700" s="479">
        <f t="shared" si="54"/>
        <v>-43598736.022358939</v>
      </c>
      <c r="K700" s="558">
        <f>'Progetto del paramento slu'!$G$60*(sezione!$AL$29-C700)/C700</f>
        <v>-2.3839340676455687E-3</v>
      </c>
      <c r="L700" s="558">
        <f>'Progetto del paramento slu'!$G$60*(sezione!$AM$29-C700)/C700</f>
        <v>6.8524724632911612E-4</v>
      </c>
      <c r="M700" s="559">
        <f>'Progetto del paramento slu'!$G$60*(sezione!$AN$29-C700)/C700</f>
        <v>3.7544285603038009E-3</v>
      </c>
      <c r="N700" s="559">
        <f>'Progetto del paramento slu'!$G$60*(sezione!$AO$29-C700)/C700</f>
        <v>5.9865604250126632E-3</v>
      </c>
      <c r="O700" s="559">
        <f>'Progetto del paramento slu'!$G$60*(sezione!$AP$29-C700)/C700</f>
        <v>3.7544842294578765E-3</v>
      </c>
      <c r="P700" s="553">
        <f>-'Progetto del paramento slu'!$G$47*'Progetto del paramento slu'!$G$41*IF(DATI!$G$218="dx",DATI!$E$61,DATI!$E$64*DATI!$E$63)*1000*C700*sezione!$AD$5</f>
        <v>-1768197.1492821234</v>
      </c>
      <c r="Q700" s="553">
        <f>'Foglio deposito bis'!$F$48*IF(ABS(K700)&lt;'Progetto del paramento slu'!$G$58,ABS(K700)*'Progetto del paramento slu'!$G$54,'Progetto del paramento slu'!$G$53)*IF(K700&lt;0,-1,1)</f>
        <v>0</v>
      </c>
      <c r="R700" s="553">
        <f>'Foglio deposito bis'!$F$49*IF(ABS(L700)&lt;'Progetto del paramento slu'!$G$58,ABS(L700)*'Progetto del paramento slu'!$G$54,'Progetto del paramento slu'!$G$53)*IF(L700&lt;0,-1,1)</f>
        <v>73911.691546966409</v>
      </c>
      <c r="S700" s="553">
        <f>'Foglio deposito bis'!$F$50*IF(ABS(M700)&lt;'Progetto del paramento slu'!$G$58,ABS(M700)*'Progetto del paramento slu'!$G$54,'Progetto del paramento slu'!$G$53)*IF(M700&lt;0,-1,1)</f>
        <v>0</v>
      </c>
      <c r="T700" s="553">
        <f>'Foglio deposito bis'!$F$51*IF(ABS(N700)&lt;'Progetto del paramento slu'!$G$58,ABS(N700)*'Progetto del paramento slu'!$G$54,'Progetto del paramento slu'!$G$53)*IF(N700&lt;0,-1,1)</f>
        <v>240946.49743184328</v>
      </c>
      <c r="U700" s="553">
        <f>'Foglio deposito bis'!$F$52*IF(ABS(O700)&lt;'Progetto del paramento slu'!$G$58,ABS(O700)*'Progetto del paramento slu'!$G$54,'Progetto del paramento slu'!$G$53)*IF(O700&lt;0,-1,1)</f>
        <v>240946.49743184328</v>
      </c>
      <c r="V700" s="479">
        <f t="shared" si="55"/>
        <v>-1212392.4628714705</v>
      </c>
      <c r="W700" s="559"/>
      <c r="X700" s="559"/>
    </row>
    <row r="701" spans="1:24" x14ac:dyDescent="0.25">
      <c r="A701" s="553">
        <f t="shared" si="56"/>
        <v>1283766.9696661439</v>
      </c>
      <c r="B701" s="3">
        <f t="shared" si="53"/>
        <v>31.899999999999942</v>
      </c>
      <c r="C701" s="553">
        <f>'Foglio deposito bis'!$E$155/sezione!$B$247*B701</f>
        <v>129.5001846635264</v>
      </c>
      <c r="D701" s="611">
        <f>-'Progetto del paramento slu'!$G$47*'Progetto del paramento slu'!$G$41*IF(DATI!$G$218="dx",DATI!$E$61,DATI!$E$64*DATI!$E$63)*1000*C701^2*sezione!$AD$5*(1-sezione!$AD$6)</f>
        <v>-138053087.69429791</v>
      </c>
      <c r="E701" s="553">
        <f>-'Foglio deposito bis'!$F$48*(C701-sezione!$AL$29)*IF(ABS(K701)&lt;'Progetto del paramento slu'!$G$58,ABS(K701)*'Progetto del paramento slu'!$G$54,'Progetto del paramento slu'!$G$53)</f>
        <v>0</v>
      </c>
      <c r="F701" s="553">
        <f>-'Foglio deposito bis'!$F$49*(C701-sezione!$AM$29)*IF(ABS(L701)&lt;'Progetto del paramento slu'!$G$58,ABS(L701)*'Progetto del paramento slu'!$G$54,'Progetto del paramento slu'!$G$53)</f>
        <v>1225077.0305069545</v>
      </c>
      <c r="G701" s="553">
        <f>-'Foglio deposito bis'!$F$50*(C701-sezione!$AN$29)*IF(ABS(M701)&lt;'Progetto del paramento slu'!$G$58,ABS(M701)*'Progetto del paramento slu'!$G$54,'Progetto del paramento slu'!$G$53)</f>
        <v>0</v>
      </c>
      <c r="H701" s="553">
        <f>-'Foglio deposito bis'!$F$51*(C701-sezione!$AO$29)*IF(ABS(N701)&lt;'Progetto del paramento slu'!$G$58,ABS(N701)*'Progetto del paramento slu'!$G$54,'Progetto del paramento slu'!$G$53)</f>
        <v>50719193.215373121</v>
      </c>
      <c r="I701" s="479">
        <f>-'Foglio deposito bis'!$F$52*(C701-sezione!$AP$29)*IF(ABS(O701)&lt;'Progetto del paramento slu'!$G$58,ABS(O701)*'Progetto del paramento slu'!$G$54,'Progetto del paramento slu'!$G$53)</f>
        <v>31443954.155423883</v>
      </c>
      <c r="J701" s="479">
        <f t="shared" si="54"/>
        <v>-54664863.292993933</v>
      </c>
      <c r="K701" s="558">
        <f>'Progetto del paramento slu'!$G$60*(sezione!$AL$29-C701)/C701</f>
        <v>-2.4189204605093444E-3</v>
      </c>
      <c r="L701" s="558">
        <f>'Progetto del paramento slu'!$G$60*(sezione!$AM$29-C701)/C701</f>
        <v>5.5404827308995919E-4</v>
      </c>
      <c r="M701" s="559">
        <f>'Progetto del paramento slu'!$G$60*(sezione!$AN$29-C701)/C701</f>
        <v>3.5270170066892628E-3</v>
      </c>
      <c r="N701" s="559">
        <f>'Progetto del paramento slu'!$G$60*(sezione!$AO$29-C701)/C701</f>
        <v>5.6891760856705737E-3</v>
      </c>
      <c r="O701" s="559">
        <f>'Progetto del paramento slu'!$G$60*(sezione!$AP$29-C701)/C701</f>
        <v>3.5270709307287907E-3</v>
      </c>
      <c r="P701" s="553">
        <f>-'Progetto del paramento slu'!$G$47*'Progetto del paramento slu'!$G$41*IF(DATI!$G$218="dx",DATI!$E$61,DATI!$E$64*DATI!$E$63)*1000*C701*sezione!$AD$5</f>
        <v>-1825420.357996755</v>
      </c>
      <c r="Q701" s="553">
        <f>'Foglio deposito bis'!$F$48*IF(ABS(K701)&lt;'Progetto del paramento slu'!$G$58,ABS(K701)*'Progetto del paramento slu'!$G$54,'Progetto del paramento slu'!$G$53)*IF(K701&lt;0,-1,1)</f>
        <v>0</v>
      </c>
      <c r="R701" s="553">
        <f>'Foglio deposito bis'!$F$49*IF(ABS(L701)&lt;'Progetto del paramento slu'!$G$58,ABS(L701)*'Progetto del paramento slu'!$G$54,'Progetto del paramento slu'!$G$53)*IF(L701&lt;0,-1,1)</f>
        <v>59760.393466924434</v>
      </c>
      <c r="S701" s="553">
        <f>'Foglio deposito bis'!$F$50*IF(ABS(M701)&lt;'Progetto del paramento slu'!$G$58,ABS(M701)*'Progetto del paramento slu'!$G$54,'Progetto del paramento slu'!$G$53)*IF(M701&lt;0,-1,1)</f>
        <v>0</v>
      </c>
      <c r="T701" s="553">
        <f>'Foglio deposito bis'!$F$51*IF(ABS(N701)&lt;'Progetto del paramento slu'!$G$58,ABS(N701)*'Progetto del paramento slu'!$G$54,'Progetto del paramento slu'!$G$53)*IF(N701&lt;0,-1,1)</f>
        <v>240946.49743184328</v>
      </c>
      <c r="U701" s="553">
        <f>'Foglio deposito bis'!$F$52*IF(ABS(O701)&lt;'Progetto del paramento slu'!$G$58,ABS(O701)*'Progetto del paramento slu'!$G$54,'Progetto del paramento slu'!$G$53)*IF(O701&lt;0,-1,1)</f>
        <v>240946.49743184328</v>
      </c>
      <c r="V701" s="479">
        <f t="shared" si="55"/>
        <v>-1283766.9696661439</v>
      </c>
      <c r="W701" s="559"/>
      <c r="X701" s="559"/>
    </row>
    <row r="702" spans="1:24" x14ac:dyDescent="0.25">
      <c r="A702" s="553">
        <f t="shared" si="56"/>
        <v>1354281.2151793563</v>
      </c>
      <c r="B702" s="3">
        <f t="shared" si="53"/>
        <v>32.899999999999942</v>
      </c>
      <c r="C702" s="553">
        <f>'Foglio deposito bis'!$E$155/sezione!$B$247*B702</f>
        <v>133.55975158087833</v>
      </c>
      <c r="D702" s="611">
        <f>-'Progetto del paramento slu'!$G$47*'Progetto del paramento slu'!$G$41*IF(DATI!$G$218="dx",DATI!$E$61,DATI!$E$64*DATI!$E$63)*1000*C702^2*sezione!$AD$5*(1-sezione!$AD$6)</f>
        <v>-146844117.737822</v>
      </c>
      <c r="E702" s="553">
        <f>-'Foglio deposito bis'!$F$48*(C702-sezione!$AL$29)*IF(ABS(K702)&lt;'Progetto del paramento slu'!$G$58,ABS(K702)*'Progetto del paramento slu'!$G$54,'Progetto del paramento slu'!$G$53)</f>
        <v>0</v>
      </c>
      <c r="F702" s="553">
        <f>-'Foglio deposito bis'!$F$49*(C702-sezione!$AM$29)*IF(ABS(L702)&lt;'Progetto del paramento slu'!$G$58,ABS(L702)*'Progetto del paramento slu'!$G$54,'Progetto del paramento slu'!$G$53)</f>
        <v>763967.76750434248</v>
      </c>
      <c r="G702" s="553">
        <f>-'Foglio deposito bis'!$F$50*(C702-sezione!$AN$29)*IF(ABS(M702)&lt;'Progetto del paramento slu'!$G$58,ABS(M702)*'Progetto del paramento slu'!$G$54,'Progetto del paramento slu'!$G$53)</f>
        <v>0</v>
      </c>
      <c r="H702" s="553">
        <f>-'Foglio deposito bis'!$F$51*(C702-sezione!$AO$29)*IF(ABS(N702)&lt;'Progetto del paramento slu'!$G$58,ABS(N702)*'Progetto del paramento slu'!$G$54,'Progetto del paramento slu'!$G$53)</f>
        <v>49741054.785546988</v>
      </c>
      <c r="I702" s="479">
        <f>-'Foglio deposito bis'!$F$52*(C702-sezione!$AP$29)*IF(ABS(O702)&lt;'Progetto del paramento slu'!$G$58,ABS(O702)*'Progetto del paramento slu'!$G$54,'Progetto del paramento slu'!$G$53)</f>
        <v>30465815.72559775</v>
      </c>
      <c r="J702" s="479">
        <f t="shared" si="54"/>
        <v>-65873279.459172919</v>
      </c>
      <c r="K702" s="558">
        <f>'Progetto del paramento slu'!$G$60*(sezione!$AL$29-C702)/C702</f>
        <v>-2.4517800209801848E-3</v>
      </c>
      <c r="L702" s="558">
        <f>'Progetto del paramento slu'!$G$60*(sezione!$AM$29-C702)/C702</f>
        <v>4.3082492132430673E-4</v>
      </c>
      <c r="M702" s="559">
        <f>'Progetto del paramento slu'!$G$60*(sezione!$AN$29-C702)/C702</f>
        <v>3.3134298636287984E-3</v>
      </c>
      <c r="N702" s="559">
        <f>'Progetto del paramento slu'!$G$60*(sezione!$AO$29-C702)/C702</f>
        <v>5.4098698216684289E-3</v>
      </c>
      <c r="O702" s="559">
        <f>'Progetto del paramento slu'!$G$60*(sezione!$AP$29-C702)/C702</f>
        <v>3.3134821486397689E-3</v>
      </c>
      <c r="P702" s="553">
        <f>-'Progetto del paramento slu'!$G$47*'Progetto del paramento slu'!$G$41*IF(DATI!$G$218="dx",DATI!$E$61,DATI!$E$64*DATI!$E$63)*1000*C702*sezione!$AD$5</f>
        <v>-1882643.5667113869</v>
      </c>
      <c r="Q702" s="553">
        <f>'Foglio deposito bis'!$F$48*IF(ABS(K702)&lt;'Progetto del paramento slu'!$G$58,ABS(K702)*'Progetto del paramento slu'!$G$54,'Progetto del paramento slu'!$G$53)*IF(K702&lt;0,-1,1)</f>
        <v>0</v>
      </c>
      <c r="R702" s="553">
        <f>'Foglio deposito bis'!$F$49*IF(ABS(L702)&lt;'Progetto del paramento slu'!$G$58,ABS(L702)*'Progetto del paramento slu'!$G$54,'Progetto del paramento slu'!$G$53)*IF(L702&lt;0,-1,1)</f>
        <v>46469.356668343928</v>
      </c>
      <c r="S702" s="553">
        <f>'Foglio deposito bis'!$F$50*IF(ABS(M702)&lt;'Progetto del paramento slu'!$G$58,ABS(M702)*'Progetto del paramento slu'!$G$54,'Progetto del paramento slu'!$G$53)*IF(M702&lt;0,-1,1)</f>
        <v>0</v>
      </c>
      <c r="T702" s="553">
        <f>'Foglio deposito bis'!$F$51*IF(ABS(N702)&lt;'Progetto del paramento slu'!$G$58,ABS(N702)*'Progetto del paramento slu'!$G$54,'Progetto del paramento slu'!$G$53)*IF(N702&lt;0,-1,1)</f>
        <v>240946.49743184328</v>
      </c>
      <c r="U702" s="553">
        <f>'Foglio deposito bis'!$F$52*IF(ABS(O702)&lt;'Progetto del paramento slu'!$G$58,ABS(O702)*'Progetto del paramento slu'!$G$54,'Progetto del paramento slu'!$G$53)*IF(O702&lt;0,-1,1)</f>
        <v>240946.49743184328</v>
      </c>
      <c r="V702" s="479">
        <f t="shared" si="55"/>
        <v>-1354281.2151793563</v>
      </c>
      <c r="W702" s="559"/>
      <c r="X702" s="559"/>
    </row>
    <row r="703" spans="1:24" x14ac:dyDescent="0.25">
      <c r="A703" s="553">
        <f t="shared" si="56"/>
        <v>1424011.3287280512</v>
      </c>
      <c r="B703" s="3">
        <f t="shared" si="53"/>
        <v>33.899999999999942</v>
      </c>
      <c r="C703" s="553">
        <f>'Foglio deposito bis'!$E$155/sezione!$B$247*B703</f>
        <v>137.61931849823029</v>
      </c>
      <c r="D703" s="611">
        <f>-'Progetto del paramento slu'!$G$47*'Progetto del paramento slu'!$G$41*IF(DATI!$G$218="dx",DATI!$E$61,DATI!$E$64*DATI!$E$63)*1000*C703^2*sezione!$AD$5*(1-sezione!$AD$6)</f>
        <v>-155906475.86910921</v>
      </c>
      <c r="E703" s="553">
        <f>-'Foglio deposito bis'!$F$48*(C703-sezione!$AL$29)*IF(ABS(K703)&lt;'Progetto del paramento slu'!$G$58,ABS(K703)*'Progetto del paramento slu'!$G$54,'Progetto del paramento slu'!$G$53)</f>
        <v>0</v>
      </c>
      <c r="F703" s="553">
        <f>-'Foglio deposito bis'!$F$49*(C703-sezione!$AM$29)*IF(ABS(L703)&lt;'Progetto del paramento slu'!$G$58,ABS(L703)*'Progetto del paramento slu'!$G$54,'Progetto del paramento slu'!$G$53)</f>
        <v>420478.29917943227</v>
      </c>
      <c r="G703" s="553">
        <f>-'Foglio deposito bis'!$F$50*(C703-sezione!$AN$29)*IF(ABS(M703)&lt;'Progetto del paramento slu'!$G$58,ABS(M703)*'Progetto del paramento slu'!$G$54,'Progetto del paramento slu'!$G$53)</f>
        <v>0</v>
      </c>
      <c r="H703" s="553">
        <f>-'Foglio deposito bis'!$F$51*(C703-sezione!$AO$29)*IF(ABS(N703)&lt;'Progetto del paramento slu'!$G$58,ABS(N703)*'Progetto del paramento slu'!$G$54,'Progetto del paramento slu'!$G$53)</f>
        <v>48762916.355720848</v>
      </c>
      <c r="I703" s="479">
        <f>-'Foglio deposito bis'!$F$52*(C703-sezione!$AP$29)*IF(ABS(O703)&lt;'Progetto del paramento slu'!$G$58,ABS(O703)*'Progetto del paramento slu'!$G$54,'Progetto del paramento slu'!$G$53)</f>
        <v>29487677.29577161</v>
      </c>
      <c r="J703" s="479">
        <f t="shared" si="54"/>
        <v>-77235403.918437317</v>
      </c>
      <c r="K703" s="558">
        <f>'Progetto del paramento slu'!$G$60*(sezione!$AL$29-C703)/C703</f>
        <v>-2.482700964314103E-3</v>
      </c>
      <c r="L703" s="558">
        <f>'Progetto del paramento slu'!$G$60*(sezione!$AM$29-C703)/C703</f>
        <v>3.1487138382211389E-4</v>
      </c>
      <c r="M703" s="559">
        <f>'Progetto del paramento slu'!$G$60*(sezione!$AN$29-C703)/C703</f>
        <v>3.1124437319583306E-3</v>
      </c>
      <c r="N703" s="559">
        <f>'Progetto del paramento slu'!$G$60*(sezione!$AO$29-C703)/C703</f>
        <v>5.1470418033301253E-3</v>
      </c>
      <c r="O703" s="559">
        <f>'Progetto del paramento slu'!$G$60*(sezione!$AP$29-C703)/C703</f>
        <v>3.1124944746385944E-3</v>
      </c>
      <c r="P703" s="553">
        <f>-'Progetto del paramento slu'!$G$47*'Progetto del paramento slu'!$G$41*IF(DATI!$G$218="dx",DATI!$E$61,DATI!$E$64*DATI!$E$63)*1000*C703*sezione!$AD$5</f>
        <v>-1939866.7754260192</v>
      </c>
      <c r="Q703" s="553">
        <f>'Foglio deposito bis'!$F$48*IF(ABS(K703)&lt;'Progetto del paramento slu'!$G$58,ABS(K703)*'Progetto del paramento slu'!$G$54,'Progetto del paramento slu'!$G$53)*IF(K703&lt;0,-1,1)</f>
        <v>0</v>
      </c>
      <c r="R703" s="553">
        <f>'Foglio deposito bis'!$F$49*IF(ABS(L703)&lt;'Progetto del paramento slu'!$G$58,ABS(L703)*'Progetto del paramento slu'!$G$54,'Progetto del paramento slu'!$G$53)*IF(L703&lt;0,-1,1)</f>
        <v>33962.451834281375</v>
      </c>
      <c r="S703" s="553">
        <f>'Foglio deposito bis'!$F$50*IF(ABS(M703)&lt;'Progetto del paramento slu'!$G$58,ABS(M703)*'Progetto del paramento slu'!$G$54,'Progetto del paramento slu'!$G$53)*IF(M703&lt;0,-1,1)</f>
        <v>0</v>
      </c>
      <c r="T703" s="553">
        <f>'Foglio deposito bis'!$F$51*IF(ABS(N703)&lt;'Progetto del paramento slu'!$G$58,ABS(N703)*'Progetto del paramento slu'!$G$54,'Progetto del paramento slu'!$G$53)*IF(N703&lt;0,-1,1)</f>
        <v>240946.49743184328</v>
      </c>
      <c r="U703" s="553">
        <f>'Foglio deposito bis'!$F$52*IF(ABS(O703)&lt;'Progetto del paramento slu'!$G$58,ABS(O703)*'Progetto del paramento slu'!$G$54,'Progetto del paramento slu'!$G$53)*IF(O703&lt;0,-1,1)</f>
        <v>240946.49743184328</v>
      </c>
      <c r="V703" s="479">
        <f t="shared" si="55"/>
        <v>-1424011.3287280512</v>
      </c>
      <c r="W703" s="559"/>
      <c r="X703" s="559"/>
    </row>
    <row r="704" spans="1:24" x14ac:dyDescent="0.25">
      <c r="A704" s="553">
        <f t="shared" si="56"/>
        <v>1493024.7142060259</v>
      </c>
      <c r="B704" s="3">
        <f t="shared" si="53"/>
        <v>34.899999999999942</v>
      </c>
      <c r="C704" s="553">
        <f>'Foglio deposito bis'!$E$155/sezione!$B$247*B704</f>
        <v>141.67888541558222</v>
      </c>
      <c r="D704" s="611">
        <f>-'Progetto del paramento slu'!$G$47*'Progetto del paramento slu'!$G$41*IF(DATI!$G$218="dx",DATI!$E$61,DATI!$E$64*DATI!$E$63)*1000*C704^2*sezione!$AD$5*(1-sezione!$AD$6)</f>
        <v>-165240162.08815941</v>
      </c>
      <c r="E704" s="553">
        <f>-'Foglio deposito bis'!$F$48*(C704-sezione!$AL$29)*IF(ABS(K704)&lt;'Progetto del paramento slu'!$G$58,ABS(K704)*'Progetto del paramento slu'!$G$54,'Progetto del paramento slu'!$G$53)</f>
        <v>0</v>
      </c>
      <c r="F704" s="553">
        <f>-'Foglio deposito bis'!$F$49*(C704-sezione!$AM$29)*IF(ABS(L704)&lt;'Progetto del paramento slu'!$G$58,ABS(L704)*'Progetto del paramento slu'!$G$54,'Progetto del paramento slu'!$G$53)</f>
        <v>184498.04146251187</v>
      </c>
      <c r="G704" s="553">
        <f>-'Foglio deposito bis'!$F$50*(C704-sezione!$AN$29)*IF(ABS(M704)&lt;'Progetto del paramento slu'!$G$58,ABS(M704)*'Progetto del paramento slu'!$G$54,'Progetto del paramento slu'!$G$53)</f>
        <v>0</v>
      </c>
      <c r="H704" s="553">
        <f>-'Foglio deposito bis'!$F$51*(C704-sezione!$AO$29)*IF(ABS(N704)&lt;'Progetto del paramento slu'!$G$58,ABS(N704)*'Progetto del paramento slu'!$G$54,'Progetto del paramento slu'!$G$53)</f>
        <v>47784777.925894715</v>
      </c>
      <c r="I704" s="479">
        <f>-'Foglio deposito bis'!$F$52*(C704-sezione!$AP$29)*IF(ABS(O704)&lt;'Progetto del paramento slu'!$G$58,ABS(O704)*'Progetto del paramento slu'!$G$54,'Progetto del paramento slu'!$G$53)</f>
        <v>28509538.865945477</v>
      </c>
      <c r="J704" s="479">
        <f t="shared" si="54"/>
        <v>-88761347.254856721</v>
      </c>
      <c r="K704" s="558">
        <f>'Progetto del paramento slu'!$G$60*(sezione!$AL$29-C704)/C704</f>
        <v>-2.5118499338179969E-3</v>
      </c>
      <c r="L704" s="558">
        <f>'Progetto del paramento slu'!$G$60*(sezione!$AM$29-C704)/C704</f>
        <v>2.0556274818251164E-4</v>
      </c>
      <c r="M704" s="559">
        <f>'Progetto del paramento slu'!$G$60*(sezione!$AN$29-C704)/C704</f>
        <v>2.9229754301830202E-3</v>
      </c>
      <c r="N704" s="559">
        <f>'Progetto del paramento slu'!$G$60*(sezione!$AO$29-C704)/C704</f>
        <v>4.899275562547027E-3</v>
      </c>
      <c r="O704" s="559">
        <f>'Progetto del paramento slu'!$G$60*(sezione!$AP$29-C704)/C704</f>
        <v>2.923024718918291E-3</v>
      </c>
      <c r="P704" s="553">
        <f>-'Progetto del paramento slu'!$G$47*'Progetto del paramento slu'!$G$41*IF(DATI!$G$218="dx",DATI!$E$61,DATI!$E$64*DATI!$E$63)*1000*C704*sezione!$AD$5</f>
        <v>-1997089.9841406513</v>
      </c>
      <c r="Q704" s="553">
        <f>'Foglio deposito bis'!$F$48*IF(ABS(K704)&lt;'Progetto del paramento slu'!$G$58,ABS(K704)*'Progetto del paramento slu'!$G$54,'Progetto del paramento slu'!$G$53)*IF(K704&lt;0,-1,1)</f>
        <v>0</v>
      </c>
      <c r="R704" s="553">
        <f>'Foglio deposito bis'!$F$49*IF(ABS(L704)&lt;'Progetto del paramento slu'!$G$58,ABS(L704)*'Progetto del paramento slu'!$G$54,'Progetto del paramento slu'!$G$53)*IF(L704&lt;0,-1,1)</f>
        <v>22172.275070938816</v>
      </c>
      <c r="S704" s="553">
        <f>'Foglio deposito bis'!$F$50*IF(ABS(M704)&lt;'Progetto del paramento slu'!$G$58,ABS(M704)*'Progetto del paramento slu'!$G$54,'Progetto del paramento slu'!$G$53)*IF(M704&lt;0,-1,1)</f>
        <v>0</v>
      </c>
      <c r="T704" s="553">
        <f>'Foglio deposito bis'!$F$51*IF(ABS(N704)&lt;'Progetto del paramento slu'!$G$58,ABS(N704)*'Progetto del paramento slu'!$G$54,'Progetto del paramento slu'!$G$53)*IF(N704&lt;0,-1,1)</f>
        <v>240946.49743184328</v>
      </c>
      <c r="U704" s="553">
        <f>'Foglio deposito bis'!$F$52*IF(ABS(O704)&lt;'Progetto del paramento slu'!$G$58,ABS(O704)*'Progetto del paramento slu'!$G$54,'Progetto del paramento slu'!$G$53)*IF(O704&lt;0,-1,1)</f>
        <v>240946.49743184328</v>
      </c>
      <c r="V704" s="479">
        <f t="shared" si="55"/>
        <v>-1493024.7142060259</v>
      </c>
      <c r="W704" s="559"/>
      <c r="X704" s="559"/>
    </row>
    <row r="705" spans="1:24" x14ac:dyDescent="0.25">
      <c r="A705" s="553">
        <f t="shared" si="56"/>
        <v>1561381.2653239253</v>
      </c>
      <c r="B705" s="3">
        <f t="shared" si="53"/>
        <v>35.899999999999942</v>
      </c>
      <c r="C705" s="553">
        <f>'Foglio deposito bis'!$E$155/sezione!$B$247*B705</f>
        <v>145.73845233293414</v>
      </c>
      <c r="D705" s="611">
        <f>-'Progetto del paramento slu'!$G$47*'Progetto del paramento slu'!$G$41*IF(DATI!$G$218="dx",DATI!$E$61,DATI!$E$64*DATI!$E$63)*1000*C705^2*sezione!$AD$5*(1-sezione!$AD$6)</f>
        <v>-174845176.39497271</v>
      </c>
      <c r="E705" s="553">
        <f>-'Foglio deposito bis'!$F$48*(C705-sezione!$AL$29)*IF(ABS(K705)&lt;'Progetto del paramento slu'!$G$58,ABS(K705)*'Progetto del paramento slu'!$G$54,'Progetto del paramento slu'!$G$53)</f>
        <v>0</v>
      </c>
      <c r="F705" s="553">
        <f>-'Foglio deposito bis'!$F$49*(C705-sezione!$AM$29)*IF(ABS(L705)&lt;'Progetto del paramento slu'!$G$58,ABS(L705)*'Progetto del paramento slu'!$G$54,'Progetto del paramento slu'!$G$53)</f>
        <v>47042.937756810621</v>
      </c>
      <c r="G705" s="553">
        <f>-'Foglio deposito bis'!$F$50*(C705-sezione!$AN$29)*IF(ABS(M705)&lt;'Progetto del paramento slu'!$G$58,ABS(M705)*'Progetto del paramento slu'!$G$54,'Progetto del paramento slu'!$G$53)</f>
        <v>0</v>
      </c>
      <c r="H705" s="553">
        <f>-'Foglio deposito bis'!$F$51*(C705-sezione!$AO$29)*IF(ABS(N705)&lt;'Progetto del paramento slu'!$G$58,ABS(N705)*'Progetto del paramento slu'!$G$54,'Progetto del paramento slu'!$G$53)</f>
        <v>46806639.496068582</v>
      </c>
      <c r="I705" s="479">
        <f>-'Foglio deposito bis'!$F$52*(C705-sezione!$AP$29)*IF(ABS(O705)&lt;'Progetto del paramento slu'!$G$58,ABS(O705)*'Progetto del paramento slu'!$G$54,'Progetto del paramento slu'!$G$53)</f>
        <v>27531400.43611934</v>
      </c>
      <c r="J705" s="479">
        <f t="shared" si="54"/>
        <v>-100460093.52502799</v>
      </c>
      <c r="K705" s="558">
        <f>'Progetto del paramento slu'!$G$60*(sezione!$AL$29-C705)/C705</f>
        <v>-2.5393750052993898E-3</v>
      </c>
      <c r="L705" s="558">
        <f>'Progetto del paramento slu'!$G$60*(sezione!$AM$29-C705)/C705</f>
        <v>1.0234373012728839E-4</v>
      </c>
      <c r="M705" s="559">
        <f>'Progetto del paramento slu'!$G$60*(sezione!$AN$29-C705)/C705</f>
        <v>2.7440624655539663E-3</v>
      </c>
      <c r="N705" s="559">
        <f>'Progetto del paramento slu'!$G$60*(sezione!$AO$29-C705)/C705</f>
        <v>4.6653124549551877E-3</v>
      </c>
      <c r="O705" s="559">
        <f>'Progetto del paramento slu'!$G$60*(sezione!$AP$29-C705)/C705</f>
        <v>2.7441103813439648E-3</v>
      </c>
      <c r="P705" s="553">
        <f>-'Progetto del paramento slu'!$G$47*'Progetto del paramento slu'!$G$41*IF(DATI!$G$218="dx",DATI!$E$61,DATI!$E$64*DATI!$E$63)*1000*C705*sezione!$AD$5</f>
        <v>-2054313.1928552829</v>
      </c>
      <c r="Q705" s="553">
        <f>'Foglio deposito bis'!$F$48*IF(ABS(K705)&lt;'Progetto del paramento slu'!$G$58,ABS(K705)*'Progetto del paramento slu'!$G$54,'Progetto del paramento slu'!$G$53)*IF(K705&lt;0,-1,1)</f>
        <v>0</v>
      </c>
      <c r="R705" s="553">
        <f>'Foglio deposito bis'!$F$49*IF(ABS(L705)&lt;'Progetto del paramento slu'!$G$58,ABS(L705)*'Progetto del paramento slu'!$G$54,'Progetto del paramento slu'!$G$53)*IF(L705&lt;0,-1,1)</f>
        <v>11038.932667671052</v>
      </c>
      <c r="S705" s="553">
        <f>'Foglio deposito bis'!$F$50*IF(ABS(M705)&lt;'Progetto del paramento slu'!$G$58,ABS(M705)*'Progetto del paramento slu'!$G$54,'Progetto del paramento slu'!$G$53)*IF(M705&lt;0,-1,1)</f>
        <v>0</v>
      </c>
      <c r="T705" s="553">
        <f>'Foglio deposito bis'!$F$51*IF(ABS(N705)&lt;'Progetto del paramento slu'!$G$58,ABS(N705)*'Progetto del paramento slu'!$G$54,'Progetto del paramento slu'!$G$53)*IF(N705&lt;0,-1,1)</f>
        <v>240946.49743184328</v>
      </c>
      <c r="U705" s="553">
        <f>'Foglio deposito bis'!$F$52*IF(ABS(O705)&lt;'Progetto del paramento slu'!$G$58,ABS(O705)*'Progetto del paramento slu'!$G$54,'Progetto del paramento slu'!$G$53)*IF(O705&lt;0,-1,1)</f>
        <v>240946.49743184328</v>
      </c>
      <c r="V705" s="479">
        <f t="shared" si="55"/>
        <v>-1561381.2653239253</v>
      </c>
      <c r="W705" s="559"/>
      <c r="X705" s="559"/>
    </row>
    <row r="706" spans="1:24" x14ac:dyDescent="0.25">
      <c r="A706" s="553">
        <f t="shared" si="56"/>
        <v>1629134.3832492363</v>
      </c>
      <c r="B706" s="3">
        <f t="shared" si="53"/>
        <v>36.899999999999942</v>
      </c>
      <c r="C706" s="553">
        <f>'Foglio deposito bis'!$E$155/sezione!$B$247*B706</f>
        <v>149.79801925028607</v>
      </c>
      <c r="D706" s="611">
        <f>-'Progetto del paramento slu'!$G$47*'Progetto del paramento slu'!$G$41*IF(DATI!$G$218="dx",DATI!$E$61,DATI!$E$64*DATI!$E$63)*1000*C706^2*sezione!$AD$5*(1-sezione!$AD$6)</f>
        <v>-184721518.78954914</v>
      </c>
      <c r="E706" s="553">
        <f>-'Foglio deposito bis'!$F$48*(C706-sezione!$AL$29)*IF(ABS(K706)&lt;'Progetto del paramento slu'!$G$58,ABS(K706)*'Progetto del paramento slu'!$G$54,'Progetto del paramento slu'!$G$53)</f>
        <v>0</v>
      </c>
      <c r="F706" s="553">
        <f>-'Foglio deposito bis'!$F$49*(C706-sezione!$AM$29)*IF(ABS(L706)&lt;'Progetto del paramento slu'!$G$58,ABS(L706)*'Progetto del paramento slu'!$G$54,'Progetto del paramento slu'!$G$53)</f>
        <v>102.81293946528442</v>
      </c>
      <c r="G706" s="553">
        <f>-'Foglio deposito bis'!$F$50*(C706-sezione!$AN$29)*IF(ABS(M706)&lt;'Progetto del paramento slu'!$G$58,ABS(M706)*'Progetto del paramento slu'!$G$54,'Progetto del paramento slu'!$G$53)</f>
        <v>0</v>
      </c>
      <c r="H706" s="553">
        <f>-'Foglio deposito bis'!$F$51*(C706-sezione!$AO$29)*IF(ABS(N706)&lt;'Progetto del paramento slu'!$G$58,ABS(N706)*'Progetto del paramento slu'!$G$54,'Progetto del paramento slu'!$G$53)</f>
        <v>45828501.066242449</v>
      </c>
      <c r="I706" s="479">
        <f>-'Foglio deposito bis'!$F$52*(C706-sezione!$AP$29)*IF(ABS(O706)&lt;'Progetto del paramento slu'!$G$58,ABS(O706)*'Progetto del paramento slu'!$G$54,'Progetto del paramento slu'!$G$53)</f>
        <v>26553262.006293211</v>
      </c>
      <c r="J706" s="479">
        <f t="shared" si="54"/>
        <v>-112339652.90407401</v>
      </c>
      <c r="K706" s="558">
        <f>'Progetto del paramento slu'!$G$60*(sezione!$AL$29-C706)/C706</f>
        <v>-2.5654082029877533E-3</v>
      </c>
      <c r="L706" s="558">
        <f>'Progetto del paramento slu'!$G$60*(sezione!$AM$29-C706)/C706</f>
        <v>4.7192387959254604E-6</v>
      </c>
      <c r="M706" s="559">
        <f>'Progetto del paramento slu'!$G$60*(sezione!$AN$29-C706)/C706</f>
        <v>2.574846680579604E-3</v>
      </c>
      <c r="N706" s="559">
        <f>'Progetto del paramento slu'!$G$60*(sezione!$AO$29-C706)/C706</f>
        <v>4.4440302746040971E-3</v>
      </c>
      <c r="O706" s="559">
        <f>'Progetto del paramento slu'!$G$60*(sezione!$AP$29-C706)/C706</f>
        <v>2.5748932978387085E-3</v>
      </c>
      <c r="P706" s="553">
        <f>-'Progetto del paramento slu'!$G$47*'Progetto del paramento slu'!$G$41*IF(DATI!$G$218="dx",DATI!$E$61,DATI!$E$64*DATI!$E$63)*1000*C706*sezione!$AD$5</f>
        <v>-2111536.401569915</v>
      </c>
      <c r="Q706" s="553">
        <f>'Foglio deposito bis'!$F$48*IF(ABS(K706)&lt;'Progetto del paramento slu'!$G$58,ABS(K706)*'Progetto del paramento slu'!$G$54,'Progetto del paramento slu'!$G$53)*IF(K706&lt;0,-1,1)</f>
        <v>0</v>
      </c>
      <c r="R706" s="553">
        <f>'Foglio deposito bis'!$F$49*IF(ABS(L706)&lt;'Progetto del paramento slu'!$G$58,ABS(L706)*'Progetto del paramento slu'!$G$54,'Progetto del paramento slu'!$G$53)*IF(L706&lt;0,-1,1)</f>
        <v>509.02345699232762</v>
      </c>
      <c r="S706" s="553">
        <f>'Foglio deposito bis'!$F$50*IF(ABS(M706)&lt;'Progetto del paramento slu'!$G$58,ABS(M706)*'Progetto del paramento slu'!$G$54,'Progetto del paramento slu'!$G$53)*IF(M706&lt;0,-1,1)</f>
        <v>0</v>
      </c>
      <c r="T706" s="553">
        <f>'Foglio deposito bis'!$F$51*IF(ABS(N706)&lt;'Progetto del paramento slu'!$G$58,ABS(N706)*'Progetto del paramento slu'!$G$54,'Progetto del paramento slu'!$G$53)*IF(N706&lt;0,-1,1)</f>
        <v>240946.49743184328</v>
      </c>
      <c r="U706" s="553">
        <f>'Foglio deposito bis'!$F$52*IF(ABS(O706)&lt;'Progetto del paramento slu'!$G$58,ABS(O706)*'Progetto del paramento slu'!$G$54,'Progetto del paramento slu'!$G$53)*IF(O706&lt;0,-1,1)</f>
        <v>240946.49743184328</v>
      </c>
      <c r="V706" s="479">
        <f t="shared" si="55"/>
        <v>-1629134.3832492363</v>
      </c>
      <c r="W706" s="559"/>
      <c r="X706" s="559"/>
    </row>
    <row r="707" spans="1:24" x14ac:dyDescent="0.25">
      <c r="A707" s="553">
        <f t="shared" si="56"/>
        <v>1696331.8331423206</v>
      </c>
      <c r="B707" s="3">
        <f t="shared" si="53"/>
        <v>37.899999999999942</v>
      </c>
      <c r="C707" s="553">
        <f>'Foglio deposito bis'!$E$155/sezione!$B$247*B707</f>
        <v>153.857586167638</v>
      </c>
      <c r="D707" s="611">
        <f>-'Progetto del paramento slu'!$G$47*'Progetto del paramento slu'!$G$41*IF(DATI!$G$218="dx",DATI!$E$61,DATI!$E$64*DATI!$E$63)*1000*C707^2*sezione!$AD$5*(1-sezione!$AD$6)</f>
        <v>-194869189.27188864</v>
      </c>
      <c r="E707" s="553">
        <f>-'Foglio deposito bis'!$F$48*(C707-sezione!$AL$29)*IF(ABS(K707)&lt;'Progetto del paramento slu'!$G$58,ABS(K707)*'Progetto del paramento slu'!$G$54,'Progetto del paramento slu'!$G$53)</f>
        <v>0</v>
      </c>
      <c r="F707" s="553">
        <f>-'Foglio deposito bis'!$F$49*(C707-sezione!$AM$29)*IF(ABS(L707)&lt;'Progetto del paramento slu'!$G$58,ABS(L707)*'Progetto del paramento slu'!$G$54,'Progetto del paramento slu'!$G$53)</f>
        <v>-36512.892955988536</v>
      </c>
      <c r="G707" s="553">
        <f>-'Foglio deposito bis'!$F$50*(C707-sezione!$AN$29)*IF(ABS(M707)&lt;'Progetto del paramento slu'!$G$58,ABS(M707)*'Progetto del paramento slu'!$G$54,'Progetto del paramento slu'!$G$53)</f>
        <v>0</v>
      </c>
      <c r="H707" s="553">
        <f>-'Foglio deposito bis'!$F$51*(C707-sezione!$AO$29)*IF(ABS(N707)&lt;'Progetto del paramento slu'!$G$58,ABS(N707)*'Progetto del paramento slu'!$G$54,'Progetto del paramento slu'!$G$53)</f>
        <v>44850362.636416316</v>
      </c>
      <c r="I707" s="479">
        <f>-'Foglio deposito bis'!$F$52*(C707-sezione!$AP$29)*IF(ABS(O707)&lt;'Progetto del paramento slu'!$G$58,ABS(O707)*'Progetto del paramento slu'!$G$54,'Progetto del paramento slu'!$G$53)</f>
        <v>25575123.576467078</v>
      </c>
      <c r="J707" s="479">
        <f t="shared" si="54"/>
        <v>-124480215.95196123</v>
      </c>
      <c r="K707" s="558">
        <f>'Progetto del paramento slu'!$G$60*(sezione!$AL$29-C707)/C707</f>
        <v>-2.5900676171569416E-3</v>
      </c>
      <c r="L707" s="558">
        <f>'Progetto del paramento slu'!$G$60*(sezione!$AM$29-C707)/C707</f>
        <v>-8.7753564338531755E-5</v>
      </c>
      <c r="M707" s="559">
        <f>'Progetto del paramento slu'!$G$60*(sezione!$AN$29-C707)/C707</f>
        <v>2.4145604884798786E-3</v>
      </c>
      <c r="N707" s="559">
        <f>'Progetto del paramento slu'!$G$60*(sezione!$AO$29-C707)/C707</f>
        <v>4.2344252541659947E-3</v>
      </c>
      <c r="O707" s="559">
        <f>'Progetto del paramento slu'!$G$60*(sezione!$AP$29-C707)/C707</f>
        <v>2.4146058757321459E-3</v>
      </c>
      <c r="P707" s="553">
        <f>-'Progetto del paramento slu'!$G$47*'Progetto del paramento slu'!$G$41*IF(DATI!$G$218="dx",DATI!$E$61,DATI!$E$64*DATI!$E$63)*1000*C707*sezione!$AD$5</f>
        <v>-2168759.6102845469</v>
      </c>
      <c r="Q707" s="553">
        <f>'Foglio deposito bis'!$F$48*IF(ABS(K707)&lt;'Progetto del paramento slu'!$G$58,ABS(K707)*'Progetto del paramento slu'!$G$54,'Progetto del paramento slu'!$G$53)*IF(K707&lt;0,-1,1)</f>
        <v>0</v>
      </c>
      <c r="R707" s="553">
        <f>'Foglio deposito bis'!$F$49*IF(ABS(L707)&lt;'Progetto del paramento slu'!$G$58,ABS(L707)*'Progetto del paramento slu'!$G$54,'Progetto del paramento slu'!$G$53)*IF(L707&lt;0,-1,1)</f>
        <v>-9465.2177214606036</v>
      </c>
      <c r="S707" s="553">
        <f>'Foglio deposito bis'!$F$50*IF(ABS(M707)&lt;'Progetto del paramento slu'!$G$58,ABS(M707)*'Progetto del paramento slu'!$G$54,'Progetto del paramento slu'!$G$53)*IF(M707&lt;0,-1,1)</f>
        <v>0</v>
      </c>
      <c r="T707" s="553">
        <f>'Foglio deposito bis'!$F$51*IF(ABS(N707)&lt;'Progetto del paramento slu'!$G$58,ABS(N707)*'Progetto del paramento slu'!$G$54,'Progetto del paramento slu'!$G$53)*IF(N707&lt;0,-1,1)</f>
        <v>240946.49743184328</v>
      </c>
      <c r="U707" s="553">
        <f>'Foglio deposito bis'!$F$52*IF(ABS(O707)&lt;'Progetto del paramento slu'!$G$58,ABS(O707)*'Progetto del paramento slu'!$G$54,'Progetto del paramento slu'!$G$53)*IF(O707&lt;0,-1,1)</f>
        <v>240946.49743184328</v>
      </c>
      <c r="V707" s="479">
        <f t="shared" si="55"/>
        <v>-1696331.8331423206</v>
      </c>
      <c r="W707" s="559"/>
      <c r="X707" s="559"/>
    </row>
    <row r="708" spans="1:24" x14ac:dyDescent="0.25">
      <c r="A708" s="553">
        <f t="shared" si="56"/>
        <v>1763016.46857893</v>
      </c>
      <c r="B708" s="3">
        <f t="shared" si="53"/>
        <v>38.899999999999942</v>
      </c>
      <c r="C708" s="553">
        <f>'Foglio deposito bis'!$E$155/sezione!$B$247*B708</f>
        <v>157.91715308498993</v>
      </c>
      <c r="D708" s="611">
        <f>-'Progetto del paramento slu'!$G$47*'Progetto del paramento slu'!$G$41*IF(DATI!$G$218="dx",DATI!$E$61,DATI!$E$64*DATI!$E$63)*1000*C708^2*sezione!$AD$5*(1-sezione!$AD$6)</f>
        <v>-205288187.84199125</v>
      </c>
      <c r="E708" s="553">
        <f>-'Foglio deposito bis'!$F$48*(C708-sezione!$AL$29)*IF(ABS(K708)&lt;'Progetto del paramento slu'!$G$58,ABS(K708)*'Progetto del paramento slu'!$G$54,'Progetto del paramento slu'!$G$53)</f>
        <v>0</v>
      </c>
      <c r="F708" s="553">
        <f>-'Foglio deposito bis'!$F$49*(C708-sezione!$AM$29)*IF(ABS(L708)&lt;'Progetto del paramento slu'!$G$58,ABS(L708)*'Progetto del paramento slu'!$G$54,'Progetto del paramento slu'!$G$53)</f>
        <v>-149845.14144387122</v>
      </c>
      <c r="G708" s="553">
        <f>-'Foglio deposito bis'!$F$50*(C708-sezione!$AN$29)*IF(ABS(M708)&lt;'Progetto del paramento slu'!$G$58,ABS(M708)*'Progetto del paramento slu'!$G$54,'Progetto del paramento slu'!$G$53)</f>
        <v>0</v>
      </c>
      <c r="H708" s="553">
        <f>-'Foglio deposito bis'!$F$51*(C708-sezione!$AO$29)*IF(ABS(N708)&lt;'Progetto del paramento slu'!$G$58,ABS(N708)*'Progetto del paramento slu'!$G$54,'Progetto del paramento slu'!$G$53)</f>
        <v>43872224.206590183</v>
      </c>
      <c r="I708" s="479">
        <f>-'Foglio deposito bis'!$F$52*(C708-sezione!$AP$29)*IF(ABS(O708)&lt;'Progetto del paramento slu'!$G$58,ABS(O708)*'Progetto del paramento slu'!$G$54,'Progetto del paramento slu'!$G$53)</f>
        <v>24596985.146640945</v>
      </c>
      <c r="J708" s="479">
        <f t="shared" si="54"/>
        <v>-136968823.63020399</v>
      </c>
      <c r="K708" s="558">
        <f>'Progetto del paramento slu'!$G$60*(sezione!$AL$29-C708)/C708</f>
        <v>-2.613459195122059E-3</v>
      </c>
      <c r="L708" s="558">
        <f>'Progetto del paramento slu'!$G$60*(sezione!$AM$29-C708)/C708</f>
        <v>-1.7547198170772123E-4</v>
      </c>
      <c r="M708" s="559">
        <f>'Progetto del paramento slu'!$G$60*(sezione!$AN$29-C708)/C708</f>
        <v>2.2625152317066167E-3</v>
      </c>
      <c r="N708" s="559">
        <f>'Progetto del paramento slu'!$G$60*(sezione!$AO$29-C708)/C708</f>
        <v>4.0355968414624984E-3</v>
      </c>
      <c r="O708" s="559">
        <f>'Progetto del paramento slu'!$G$60*(sezione!$AP$29-C708)/C708</f>
        <v>2.2625594521914734E-3</v>
      </c>
      <c r="P708" s="553">
        <f>-'Progetto del paramento slu'!$G$47*'Progetto del paramento slu'!$G$41*IF(DATI!$G$218="dx",DATI!$E$61,DATI!$E$64*DATI!$E$63)*1000*C708*sezione!$AD$5</f>
        <v>-2225982.8189991787</v>
      </c>
      <c r="Q708" s="553">
        <f>'Foglio deposito bis'!$F$48*IF(ABS(K708)&lt;'Progetto del paramento slu'!$G$58,ABS(K708)*'Progetto del paramento slu'!$G$54,'Progetto del paramento slu'!$G$53)*IF(K708&lt;0,-1,1)</f>
        <v>0</v>
      </c>
      <c r="R708" s="553">
        <f>'Foglio deposito bis'!$F$49*IF(ABS(L708)&lt;'Progetto del paramento slu'!$G$58,ABS(L708)*'Progetto del paramento slu'!$G$54,'Progetto del paramento slu'!$G$53)*IF(L708&lt;0,-1,1)</f>
        <v>-18926.644443437803</v>
      </c>
      <c r="S708" s="553">
        <f>'Foglio deposito bis'!$F$50*IF(ABS(M708)&lt;'Progetto del paramento slu'!$G$58,ABS(M708)*'Progetto del paramento slu'!$G$54,'Progetto del paramento slu'!$G$53)*IF(M708&lt;0,-1,1)</f>
        <v>0</v>
      </c>
      <c r="T708" s="553">
        <f>'Foglio deposito bis'!$F$51*IF(ABS(N708)&lt;'Progetto del paramento slu'!$G$58,ABS(N708)*'Progetto del paramento slu'!$G$54,'Progetto del paramento slu'!$G$53)*IF(N708&lt;0,-1,1)</f>
        <v>240946.49743184328</v>
      </c>
      <c r="U708" s="553">
        <f>'Foglio deposito bis'!$F$52*IF(ABS(O708)&lt;'Progetto del paramento slu'!$G$58,ABS(O708)*'Progetto del paramento slu'!$G$54,'Progetto del paramento slu'!$G$53)*IF(O708&lt;0,-1,1)</f>
        <v>240946.49743184328</v>
      </c>
      <c r="V708" s="479">
        <f t="shared" si="55"/>
        <v>-1763016.46857893</v>
      </c>
      <c r="W708" s="559"/>
      <c r="X708" s="559"/>
    </row>
    <row r="709" spans="1:24" x14ac:dyDescent="0.25">
      <c r="A709" s="553">
        <f t="shared" si="56"/>
        <v>1829226.8470369936</v>
      </c>
      <c r="B709" s="3">
        <f t="shared" si="53"/>
        <v>39.899999999999942</v>
      </c>
      <c r="C709" s="553">
        <f>'Foglio deposito bis'!$E$155/sezione!$B$247*B709</f>
        <v>161.97672000234186</v>
      </c>
      <c r="D709" s="611">
        <f>-'Progetto del paramento slu'!$G$47*'Progetto del paramento slu'!$G$41*IF(DATI!$G$218="dx",DATI!$E$61,DATI!$E$64*DATI!$E$63)*1000*C709^2*sezione!$AD$5*(1-sezione!$AD$6)</f>
        <v>-215978514.49985695</v>
      </c>
      <c r="E709" s="553">
        <f>-'Foglio deposito bis'!$F$48*(C709-sezione!$AL$29)*IF(ABS(K709)&lt;'Progetto del paramento slu'!$G$58,ABS(K709)*'Progetto del paramento slu'!$G$54,'Progetto del paramento slu'!$G$53)</f>
        <v>0</v>
      </c>
      <c r="F709" s="553">
        <f>-'Foglio deposito bis'!$F$49*(C709-sezione!$AM$29)*IF(ABS(L709)&lt;'Progetto del paramento slu'!$G$58,ABS(L709)*'Progetto del paramento slu'!$G$54,'Progetto del paramento slu'!$G$53)</f>
        <v>-334315.93671353749</v>
      </c>
      <c r="G709" s="553">
        <f>-'Foglio deposito bis'!$F$50*(C709-sezione!$AN$29)*IF(ABS(M709)&lt;'Progetto del paramento slu'!$G$58,ABS(M709)*'Progetto del paramento slu'!$G$54,'Progetto del paramento slu'!$G$53)</f>
        <v>0</v>
      </c>
      <c r="H709" s="553">
        <f>-'Foglio deposito bis'!$F$51*(C709-sezione!$AO$29)*IF(ABS(N709)&lt;'Progetto del paramento slu'!$G$58,ABS(N709)*'Progetto del paramento slu'!$G$54,'Progetto del paramento slu'!$G$53)</f>
        <v>42894085.77676405</v>
      </c>
      <c r="I709" s="479">
        <f>-'Foglio deposito bis'!$F$52*(C709-sezione!$AP$29)*IF(ABS(O709)&lt;'Progetto del paramento slu'!$G$58,ABS(O709)*'Progetto del paramento slu'!$G$54,'Progetto del paramento slu'!$G$53)</f>
        <v>23618846.716814812</v>
      </c>
      <c r="J709" s="479">
        <f t="shared" si="54"/>
        <v>-149799897.94299161</v>
      </c>
      <c r="K709" s="558">
        <f>'Progetto del paramento slu'!$G$60*(sezione!$AL$29-C709)/C709</f>
        <v>-2.6356782629134859E-3</v>
      </c>
      <c r="L709" s="558">
        <f>'Progetto del paramento slu'!$G$60*(sezione!$AM$29-C709)/C709</f>
        <v>-2.5879348592557295E-4</v>
      </c>
      <c r="M709" s="559">
        <f>'Progetto del paramento slu'!$G$60*(sezione!$AN$29-C709)/C709</f>
        <v>2.1180912910623404E-3</v>
      </c>
      <c r="N709" s="559">
        <f>'Progetto del paramento slu'!$G$60*(sezione!$AO$29-C709)/C709</f>
        <v>3.8467347652353682E-3</v>
      </c>
      <c r="O709" s="559">
        <f>'Progetto del paramento slu'!$G$60*(sezione!$AP$29-C709)/C709</f>
        <v>2.1181344032643688E-3</v>
      </c>
      <c r="P709" s="553">
        <f>-'Progetto del paramento slu'!$G$47*'Progetto del paramento slu'!$G$41*IF(DATI!$G$218="dx",DATI!$E$61,DATI!$E$64*DATI!$E$63)*1000*C709*sezione!$AD$5</f>
        <v>-2283206.0277138106</v>
      </c>
      <c r="Q709" s="553">
        <f>'Foglio deposito bis'!$F$48*IF(ABS(K709)&lt;'Progetto del paramento slu'!$G$58,ABS(K709)*'Progetto del paramento slu'!$G$54,'Progetto del paramento slu'!$G$53)*IF(K709&lt;0,-1,1)</f>
        <v>0</v>
      </c>
      <c r="R709" s="553">
        <f>'Foglio deposito bis'!$F$49*IF(ABS(L709)&lt;'Progetto del paramento slu'!$G$58,ABS(L709)*'Progetto del paramento slu'!$G$54,'Progetto del paramento slu'!$G$53)*IF(L709&lt;0,-1,1)</f>
        <v>-27913.814186869789</v>
      </c>
      <c r="S709" s="553">
        <f>'Foglio deposito bis'!$F$50*IF(ABS(M709)&lt;'Progetto del paramento slu'!$G$58,ABS(M709)*'Progetto del paramento slu'!$G$54,'Progetto del paramento slu'!$G$53)*IF(M709&lt;0,-1,1)</f>
        <v>0</v>
      </c>
      <c r="T709" s="553">
        <f>'Foglio deposito bis'!$F$51*IF(ABS(N709)&lt;'Progetto del paramento slu'!$G$58,ABS(N709)*'Progetto del paramento slu'!$G$54,'Progetto del paramento slu'!$G$53)*IF(N709&lt;0,-1,1)</f>
        <v>240946.49743184328</v>
      </c>
      <c r="U709" s="553">
        <f>'Foglio deposito bis'!$F$52*IF(ABS(O709)&lt;'Progetto del paramento slu'!$G$58,ABS(O709)*'Progetto del paramento slu'!$G$54,'Progetto del paramento slu'!$G$53)*IF(O709&lt;0,-1,1)</f>
        <v>240946.49743184328</v>
      </c>
      <c r="V709" s="479">
        <f t="shared" si="55"/>
        <v>-1829226.8470369936</v>
      </c>
      <c r="W709" s="559"/>
      <c r="X709" s="559"/>
    </row>
    <row r="710" spans="1:24" x14ac:dyDescent="0.25">
      <c r="A710" s="553">
        <f t="shared" si="56"/>
        <v>1894997.7550919561</v>
      </c>
      <c r="B710" s="3">
        <f t="shared" si="53"/>
        <v>40.899999999999942</v>
      </c>
      <c r="C710" s="553">
        <f>'Foglio deposito bis'!$E$155/sezione!$B$247*B710</f>
        <v>166.03628691969379</v>
      </c>
      <c r="D710" s="611">
        <f>-'Progetto del paramento slu'!$G$47*'Progetto del paramento slu'!$G$41*IF(DATI!$G$218="dx",DATI!$E$61,DATI!$E$64*DATI!$E$63)*1000*C710^2*sezione!$AD$5*(1-sezione!$AD$6)</f>
        <v>-226940169.24548569</v>
      </c>
      <c r="E710" s="553">
        <f>-'Foglio deposito bis'!$F$48*(C710-sezione!$AL$29)*IF(ABS(K710)&lt;'Progetto del paramento slu'!$G$58,ABS(K710)*'Progetto del paramento slu'!$G$54,'Progetto del paramento slu'!$G$53)</f>
        <v>0</v>
      </c>
      <c r="F710" s="553">
        <f>-'Foglio deposito bis'!$F$49*(C710-sezione!$AM$29)*IF(ABS(L710)&lt;'Progetto del paramento slu'!$G$58,ABS(L710)*'Progetto del paramento slu'!$G$54,'Progetto del paramento slu'!$G$53)</f>
        <v>-584707.29244847491</v>
      </c>
      <c r="G710" s="553">
        <f>-'Foglio deposito bis'!$F$50*(C710-sezione!$AN$29)*IF(ABS(M710)&lt;'Progetto del paramento slu'!$G$58,ABS(M710)*'Progetto del paramento slu'!$G$54,'Progetto del paramento slu'!$G$53)</f>
        <v>0</v>
      </c>
      <c r="H710" s="553">
        <f>-'Foglio deposito bis'!$F$51*(C710-sezione!$AO$29)*IF(ABS(N710)&lt;'Progetto del paramento slu'!$G$58,ABS(N710)*'Progetto del paramento slu'!$G$54,'Progetto del paramento slu'!$G$53)</f>
        <v>41915947.346937917</v>
      </c>
      <c r="I710" s="479">
        <f>-'Foglio deposito bis'!$F$52*(C710-sezione!$AP$29)*IF(ABS(O710)&lt;'Progetto del paramento slu'!$G$58,ABS(O710)*'Progetto del paramento slu'!$G$54,'Progetto del paramento slu'!$G$53)</f>
        <v>22640708.286988679</v>
      </c>
      <c r="J710" s="479">
        <f t="shared" si="54"/>
        <v>-162968220.90400755</v>
      </c>
      <c r="K710" s="558">
        <f>'Progetto del paramento slu'!$G$60*(sezione!$AL$29-C710)/C710</f>
        <v>-2.6568108237224474E-3</v>
      </c>
      <c r="L710" s="558">
        <f>'Progetto del paramento slu'!$G$60*(sezione!$AM$29-C710)/C710</f>
        <v>-3.3804058895917755E-4</v>
      </c>
      <c r="M710" s="559">
        <f>'Progetto del paramento slu'!$G$60*(sezione!$AN$29-C710)/C710</f>
        <v>1.9807296458040921E-3</v>
      </c>
      <c r="N710" s="559">
        <f>'Progetto del paramento slu'!$G$60*(sezione!$AO$29-C710)/C710</f>
        <v>3.6671079983591971E-3</v>
      </c>
      <c r="O710" s="559">
        <f>'Progetto del paramento slu'!$G$60*(sezione!$AP$29-C710)/C710</f>
        <v>1.9807717039180515E-3</v>
      </c>
      <c r="P710" s="553">
        <f>-'Progetto del paramento slu'!$G$47*'Progetto del paramento slu'!$G$41*IF(DATI!$G$218="dx",DATI!$E$61,DATI!$E$64*DATI!$E$63)*1000*C710*sezione!$AD$5</f>
        <v>-2340429.2364284424</v>
      </c>
      <c r="Q710" s="553">
        <f>'Foglio deposito bis'!$F$48*IF(ABS(K710)&lt;'Progetto del paramento slu'!$G$58,ABS(K710)*'Progetto del paramento slu'!$G$54,'Progetto del paramento slu'!$G$53)*IF(K710&lt;0,-1,1)</f>
        <v>0</v>
      </c>
      <c r="R710" s="553">
        <f>'Foglio deposito bis'!$F$49*IF(ABS(L710)&lt;'Progetto del paramento slu'!$G$58,ABS(L710)*'Progetto del paramento slu'!$G$54,'Progetto del paramento slu'!$G$53)*IF(L710&lt;0,-1,1)</f>
        <v>-36461.513527199953</v>
      </c>
      <c r="S710" s="553">
        <f>'Foglio deposito bis'!$F$50*IF(ABS(M710)&lt;'Progetto del paramento slu'!$G$58,ABS(M710)*'Progetto del paramento slu'!$G$54,'Progetto del paramento slu'!$G$53)*IF(M710&lt;0,-1,1)</f>
        <v>0</v>
      </c>
      <c r="T710" s="553">
        <f>'Foglio deposito bis'!$F$51*IF(ABS(N710)&lt;'Progetto del paramento slu'!$G$58,ABS(N710)*'Progetto del paramento slu'!$G$54,'Progetto del paramento slu'!$G$53)*IF(N710&lt;0,-1,1)</f>
        <v>240946.49743184328</v>
      </c>
      <c r="U710" s="553">
        <f>'Foglio deposito bis'!$F$52*IF(ABS(O710)&lt;'Progetto del paramento slu'!$G$58,ABS(O710)*'Progetto del paramento slu'!$G$54,'Progetto del paramento slu'!$G$53)*IF(O710&lt;0,-1,1)</f>
        <v>240946.49743184328</v>
      </c>
      <c r="V710" s="479">
        <f t="shared" si="55"/>
        <v>-1894997.7550919561</v>
      </c>
      <c r="W710" s="559"/>
      <c r="X710" s="559"/>
    </row>
    <row r="711" spans="1:24" x14ac:dyDescent="0.25">
      <c r="A711" s="553">
        <f t="shared" si="56"/>
        <v>1966648.3588261849</v>
      </c>
      <c r="B711" s="3">
        <f t="shared" si="53"/>
        <v>41.899999999999942</v>
      </c>
      <c r="C711" s="553">
        <f>'Foglio deposito bis'!$E$155/sezione!$B$247*B711</f>
        <v>170.09585383704572</v>
      </c>
      <c r="D711" s="611">
        <f>-'Progetto del paramento slu'!$G$47*'Progetto del paramento slu'!$G$41*IF(DATI!$G$218="dx",DATI!$E$61,DATI!$E$64*DATI!$E$63)*1000*C711^2*sezione!$AD$5*(1-sezione!$AD$6)</f>
        <v>-238173152.07887757</v>
      </c>
      <c r="E711" s="553">
        <f>-'Foglio deposito bis'!$F$48*(C711-sezione!$AL$29)*IF(ABS(K711)&lt;'Progetto del paramento slu'!$G$58,ABS(K711)*'Progetto del paramento slu'!$G$54,'Progetto del paramento slu'!$G$53)</f>
        <v>0</v>
      </c>
      <c r="F711" s="553">
        <f>-'Foglio deposito bis'!$F$49*(C711-sezione!$AM$29)*IF(ABS(L711)&lt;'Progetto del paramento slu'!$G$58,ABS(L711)*'Progetto del paramento slu'!$G$54,'Progetto del paramento slu'!$G$53)</f>
        <v>-896299.35945069313</v>
      </c>
      <c r="G711" s="553">
        <f>-'Foglio deposito bis'!$F$50*(C711-sezione!$AN$29)*IF(ABS(M711)&lt;'Progetto del paramento slu'!$G$58,ABS(M711)*'Progetto del paramento slu'!$G$54,'Progetto del paramento slu'!$G$53)</f>
        <v>0</v>
      </c>
      <c r="H711" s="553">
        <f>-'Foglio deposito bis'!$F$51*(C711-sezione!$AO$29)*IF(ABS(N711)&lt;'Progetto del paramento slu'!$G$58,ABS(N711)*'Progetto del paramento slu'!$G$54,'Progetto del paramento slu'!$G$53)</f>
        <v>40937808.917111784</v>
      </c>
      <c r="I711" s="479">
        <f>-'Foglio deposito bis'!$F$52*(C711-sezione!$AP$29)*IF(ABS(O711)&lt;'Progetto del paramento slu'!$G$58,ABS(O711)*'Progetto del paramento slu'!$G$54,'Progetto del paramento slu'!$G$53)</f>
        <v>21097266.974308245</v>
      </c>
      <c r="J711" s="479">
        <f t="shared" si="54"/>
        <v>-177034375.54690823</v>
      </c>
      <c r="K711" s="558">
        <f>'Progetto del paramento slu'!$G$60*(sezione!$AL$29-C711)/C711</f>
        <v>-2.6769346704116491E-3</v>
      </c>
      <c r="L711" s="558">
        <f>'Progetto del paramento slu'!$G$60*(sezione!$AM$29-C711)/C711</f>
        <v>-4.1350501404368412E-4</v>
      </c>
      <c r="M711" s="559">
        <f>'Progetto del paramento slu'!$G$60*(sezione!$AN$29-C711)/C711</f>
        <v>1.849924642324281E-3</v>
      </c>
      <c r="N711" s="559">
        <f>'Progetto del paramento slu'!$G$60*(sezione!$AO$29-C711)/C711</f>
        <v>3.4960553015009827E-3</v>
      </c>
      <c r="O711" s="559">
        <f>'Progetto del paramento slu'!$G$60*(sezione!$AP$29-C711)/C711</f>
        <v>1.8499656966646375E-3</v>
      </c>
      <c r="P711" s="553">
        <f>-'Progetto del paramento slu'!$G$47*'Progetto del paramento slu'!$G$41*IF(DATI!$G$218="dx",DATI!$E$61,DATI!$E$64*DATI!$E$63)*1000*C711*sezione!$AD$5</f>
        <v>-2397652.4451430747</v>
      </c>
      <c r="Q711" s="553">
        <f>'Foglio deposito bis'!$F$48*IF(ABS(K711)&lt;'Progetto del paramento slu'!$G$58,ABS(K711)*'Progetto del paramento slu'!$G$54,'Progetto del paramento slu'!$G$53)*IF(K711&lt;0,-1,1)</f>
        <v>0</v>
      </c>
      <c r="R711" s="553">
        <f>'Foglio deposito bis'!$F$49*IF(ABS(L711)&lt;'Progetto del paramento slu'!$G$58,ABS(L711)*'Progetto del paramento slu'!$G$54,'Progetto del paramento slu'!$G$53)*IF(L711&lt;0,-1,1)</f>
        <v>-44601.208125748257</v>
      </c>
      <c r="S711" s="553">
        <f>'Foglio deposito bis'!$F$50*IF(ABS(M711)&lt;'Progetto del paramento slu'!$G$58,ABS(M711)*'Progetto del paramento slu'!$G$54,'Progetto del paramento slu'!$G$53)*IF(M711&lt;0,-1,1)</f>
        <v>0</v>
      </c>
      <c r="T711" s="553">
        <f>'Foglio deposito bis'!$F$51*IF(ABS(N711)&lt;'Progetto del paramento slu'!$G$58,ABS(N711)*'Progetto del paramento slu'!$G$54,'Progetto del paramento slu'!$G$53)*IF(N711&lt;0,-1,1)</f>
        <v>240946.49743184328</v>
      </c>
      <c r="U711" s="553">
        <f>'Foglio deposito bis'!$F$52*IF(ABS(O711)&lt;'Progetto del paramento slu'!$G$58,ABS(O711)*'Progetto del paramento slu'!$G$54,'Progetto del paramento slu'!$G$53)*IF(O711&lt;0,-1,1)</f>
        <v>234658.79701079501</v>
      </c>
      <c r="V711" s="479">
        <f t="shared" si="55"/>
        <v>-1966648.3588261849</v>
      </c>
      <c r="W711" s="559"/>
      <c r="X711" s="559"/>
    </row>
    <row r="712" spans="1:24" x14ac:dyDescent="0.25">
      <c r="A712" s="553">
        <f t="shared" si="56"/>
        <v>2047450.3464108889</v>
      </c>
      <c r="B712" s="3">
        <f t="shared" si="53"/>
        <v>42.899999999999942</v>
      </c>
      <c r="C712" s="553">
        <f>'Foglio deposito bis'!$E$155/sezione!$B$247*B712</f>
        <v>174.15542075439765</v>
      </c>
      <c r="D712" s="611">
        <f>-'Progetto del paramento slu'!$G$47*'Progetto del paramento slu'!$G$41*IF(DATI!$G$218="dx",DATI!$E$61,DATI!$E$64*DATI!$E$63)*1000*C712^2*sezione!$AD$5*(1-sezione!$AD$6)</f>
        <v>-249677463.00003251</v>
      </c>
      <c r="E712" s="553">
        <f>-'Foglio deposito bis'!$F$48*(C712-sezione!$AL$29)*IF(ABS(K712)&lt;'Progetto del paramento slu'!$G$58,ABS(K712)*'Progetto del paramento slu'!$G$54,'Progetto del paramento slu'!$G$53)</f>
        <v>0</v>
      </c>
      <c r="F712" s="553">
        <f>-'Foglio deposito bis'!$F$49*(C712-sezione!$AM$29)*IF(ABS(L712)&lt;'Progetto del paramento slu'!$G$58,ABS(L712)*'Progetto del paramento slu'!$G$54,'Progetto del paramento slu'!$G$53)</f>
        <v>-1264812.3677015009</v>
      </c>
      <c r="G712" s="553">
        <f>-'Foglio deposito bis'!$F$50*(C712-sezione!$AN$29)*IF(ABS(M712)&lt;'Progetto del paramento slu'!$G$58,ABS(M712)*'Progetto del paramento slu'!$G$54,'Progetto del paramento slu'!$G$53)</f>
        <v>0</v>
      </c>
      <c r="H712" s="553">
        <f>-'Foglio deposito bis'!$F$51*(C712-sezione!$AO$29)*IF(ABS(N712)&lt;'Progetto del paramento slu'!$G$58,ABS(N712)*'Progetto del paramento slu'!$G$54,'Progetto del paramento slu'!$G$53)</f>
        <v>39959670.487285659</v>
      </c>
      <c r="I712" s="479">
        <f>-'Foglio deposito bis'!$F$52*(C712-sezione!$AP$29)*IF(ABS(O712)&lt;'Progetto del paramento slu'!$G$58,ABS(O712)*'Progetto del paramento slu'!$G$54,'Progetto del paramento slu'!$G$53)</f>
        <v>18786684.935795885</v>
      </c>
      <c r="J712" s="479">
        <f t="shared" si="54"/>
        <v>-192195919.94465247</v>
      </c>
      <c r="K712" s="558">
        <f>'Progetto del paramento slu'!$G$60*(sezione!$AL$29-C712)/C712</f>
        <v>-2.6961203424300255E-3</v>
      </c>
      <c r="L712" s="558">
        <f>'Progetto del paramento slu'!$G$60*(sezione!$AM$29-C712)/C712</f>
        <v>-4.85451284112596E-4</v>
      </c>
      <c r="M712" s="559">
        <f>'Progetto del paramento slu'!$G$60*(sezione!$AN$29-C712)/C712</f>
        <v>1.7252177742048339E-3</v>
      </c>
      <c r="N712" s="559">
        <f>'Progetto del paramento slu'!$G$60*(sezione!$AO$29-C712)/C712</f>
        <v>3.3329770893447824E-3</v>
      </c>
      <c r="O712" s="559">
        <f>'Progetto del paramento slu'!$G$60*(sezione!$AP$29-C712)/C712</f>
        <v>1.7252578715675594E-3</v>
      </c>
      <c r="P712" s="553">
        <f>-'Progetto del paramento slu'!$G$47*'Progetto del paramento slu'!$G$41*IF(DATI!$G$218="dx",DATI!$E$61,DATI!$E$64*DATI!$E$63)*1000*C712*sezione!$AD$5</f>
        <v>-2454875.6538577061</v>
      </c>
      <c r="Q712" s="553">
        <f>'Foglio deposito bis'!$F$48*IF(ABS(K712)&lt;'Progetto del paramento slu'!$G$58,ABS(K712)*'Progetto del paramento slu'!$G$54,'Progetto del paramento slu'!$G$53)*IF(K712&lt;0,-1,1)</f>
        <v>0</v>
      </c>
      <c r="R712" s="553">
        <f>'Foglio deposito bis'!$F$49*IF(ABS(L712)&lt;'Progetto del paramento slu'!$G$58,ABS(L712)*'Progetto del paramento slu'!$G$54,'Progetto del paramento slu'!$G$53)*IF(L712&lt;0,-1,1)</f>
        <v>-52361.429782639301</v>
      </c>
      <c r="S712" s="553">
        <f>'Foglio deposito bis'!$F$50*IF(ABS(M712)&lt;'Progetto del paramento slu'!$G$58,ABS(M712)*'Progetto del paramento slu'!$G$54,'Progetto del paramento slu'!$G$53)*IF(M712&lt;0,-1,1)</f>
        <v>0</v>
      </c>
      <c r="T712" s="553">
        <f>'Foglio deposito bis'!$F$51*IF(ABS(N712)&lt;'Progetto del paramento slu'!$G$58,ABS(N712)*'Progetto del paramento slu'!$G$54,'Progetto del paramento slu'!$G$53)*IF(N712&lt;0,-1,1)</f>
        <v>240946.49743184328</v>
      </c>
      <c r="U712" s="553">
        <f>'Foglio deposito bis'!$F$52*IF(ABS(O712)&lt;'Progetto del paramento slu'!$G$58,ABS(O712)*'Progetto del paramento slu'!$G$54,'Progetto del paramento slu'!$G$53)*IF(O712&lt;0,-1,1)</f>
        <v>218840.23979761338</v>
      </c>
      <c r="V712" s="479">
        <f t="shared" si="55"/>
        <v>-2047450.3464108889</v>
      </c>
      <c r="W712" s="559"/>
      <c r="X712" s="559"/>
    </row>
    <row r="713" spans="1:24" x14ac:dyDescent="0.25">
      <c r="A713" s="553">
        <f t="shared" si="56"/>
        <v>2127178.1299468437</v>
      </c>
      <c r="B713" s="3">
        <f t="shared" si="53"/>
        <v>43.899999999999942</v>
      </c>
      <c r="C713" s="553">
        <f>'Foglio deposito bis'!$E$155/sezione!$B$247*B713</f>
        <v>178.21498767174958</v>
      </c>
      <c r="D713" s="611">
        <f>-'Progetto del paramento slu'!$G$47*'Progetto del paramento slu'!$G$41*IF(DATI!$G$218="dx",DATI!$E$61,DATI!$E$64*DATI!$E$63)*1000*C713^2*sezione!$AD$5*(1-sezione!$AD$6)</f>
        <v>-261453102.00895053</v>
      </c>
      <c r="E713" s="553">
        <f>-'Foglio deposito bis'!$F$48*(C713-sezione!$AL$29)*IF(ABS(K713)&lt;'Progetto del paramento slu'!$G$58,ABS(K713)*'Progetto del paramento slu'!$G$54,'Progetto del paramento slu'!$G$53)</f>
        <v>0</v>
      </c>
      <c r="F713" s="553">
        <f>-'Foglio deposito bis'!$F$49*(C713-sezione!$AM$29)*IF(ABS(L713)&lt;'Progetto del paramento slu'!$G$58,ABS(L713)*'Progetto del paramento slu'!$G$54,'Progetto del paramento slu'!$G$53)</f>
        <v>-1686356.5034481471</v>
      </c>
      <c r="G713" s="553">
        <f>-'Foglio deposito bis'!$F$50*(C713-sezione!$AN$29)*IF(ABS(M713)&lt;'Progetto del paramento slu'!$G$58,ABS(M713)*'Progetto del paramento slu'!$G$54,'Progetto del paramento slu'!$G$53)</f>
        <v>0</v>
      </c>
      <c r="H713" s="553">
        <f>-'Foglio deposito bis'!$F$51*(C713-sezione!$AO$29)*IF(ABS(N713)&lt;'Progetto del paramento slu'!$G$58,ABS(N713)*'Progetto del paramento slu'!$G$54,'Progetto del paramento slu'!$G$53)</f>
        <v>38981532.057459518</v>
      </c>
      <c r="I713" s="479">
        <f>-'Foglio deposito bis'!$F$52*(C713-sezione!$AP$29)*IF(ABS(O713)&lt;'Progetto del paramento slu'!$G$58,ABS(O713)*'Progetto del paramento slu'!$G$54,'Progetto del paramento slu'!$G$53)</f>
        <v>16663476.766827533</v>
      </c>
      <c r="J713" s="479">
        <f t="shared" si="54"/>
        <v>-207494449.68811166</v>
      </c>
      <c r="K713" s="558">
        <f>'Progetto del paramento slu'!$G$60*(sezione!$AL$29-C713)/C713</f>
        <v>-2.7144319519418702E-3</v>
      </c>
      <c r="L713" s="558">
        <f>'Progetto del paramento slu'!$G$60*(sezione!$AM$29-C713)/C713</f>
        <v>-5.5411981978201305E-4</v>
      </c>
      <c r="M713" s="559">
        <f>'Progetto del paramento slu'!$G$60*(sezione!$AN$29-C713)/C713</f>
        <v>1.6061923123778443E-3</v>
      </c>
      <c r="N713" s="559">
        <f>'Progetto del paramento slu'!$G$60*(sezione!$AO$29-C713)/C713</f>
        <v>3.1773284084941041E-3</v>
      </c>
      <c r="O713" s="559">
        <f>'Progetto del paramento slu'!$G$60*(sezione!$AP$29-C713)/C713</f>
        <v>1.6062314963610092E-3</v>
      </c>
      <c r="P713" s="553">
        <f>-'Progetto del paramento slu'!$G$47*'Progetto del paramento slu'!$G$41*IF(DATI!$G$218="dx",DATI!$E$61,DATI!$E$64*DATI!$E$63)*1000*C713*sezione!$AD$5</f>
        <v>-2512098.8625723384</v>
      </c>
      <c r="Q713" s="553">
        <f>'Foglio deposito bis'!$F$48*IF(ABS(K713)&lt;'Progetto del paramento slu'!$G$58,ABS(K713)*'Progetto del paramento slu'!$G$54,'Progetto del paramento slu'!$G$53)*IF(K713&lt;0,-1,1)</f>
        <v>0</v>
      </c>
      <c r="R713" s="553">
        <f>'Foglio deposito bis'!$F$49*IF(ABS(L713)&lt;'Progetto del paramento slu'!$G$58,ABS(L713)*'Progetto del paramento slu'!$G$54,'Progetto del paramento slu'!$G$53)*IF(L713&lt;0,-1,1)</f>
        <v>-59768.110589558084</v>
      </c>
      <c r="S713" s="553">
        <f>'Foglio deposito bis'!$F$50*IF(ABS(M713)&lt;'Progetto del paramento slu'!$G$58,ABS(M713)*'Progetto del paramento slu'!$G$54,'Progetto del paramento slu'!$G$53)*IF(M713&lt;0,-1,1)</f>
        <v>0</v>
      </c>
      <c r="T713" s="553">
        <f>'Foglio deposito bis'!$F$51*IF(ABS(N713)&lt;'Progetto del paramento slu'!$G$58,ABS(N713)*'Progetto del paramento slu'!$G$54,'Progetto del paramento slu'!$G$53)*IF(N713&lt;0,-1,1)</f>
        <v>240946.49743184328</v>
      </c>
      <c r="U713" s="553">
        <f>'Foglio deposito bis'!$F$52*IF(ABS(O713)&lt;'Progetto del paramento slu'!$G$58,ABS(O713)*'Progetto del paramento slu'!$G$54,'Progetto del paramento slu'!$G$53)*IF(O713&lt;0,-1,1)</f>
        <v>203742.34578321001</v>
      </c>
      <c r="V713" s="479">
        <f t="shared" si="55"/>
        <v>-2127178.1299468437</v>
      </c>
      <c r="W713" s="559"/>
      <c r="X713" s="559"/>
    </row>
    <row r="714" spans="1:24" x14ac:dyDescent="0.25">
      <c r="A714" s="553">
        <f t="shared" si="56"/>
        <v>2205903.4825330726</v>
      </c>
      <c r="B714" s="3">
        <f t="shared" si="53"/>
        <v>44.899999999999942</v>
      </c>
      <c r="C714" s="553">
        <f>'Foglio deposito bis'!$E$155/sezione!$B$247*B714</f>
        <v>182.27455458910154</v>
      </c>
      <c r="D714" s="611">
        <f>-'Progetto del paramento slu'!$G$47*'Progetto del paramento slu'!$G$41*IF(DATI!$G$218="dx",DATI!$E$61,DATI!$E$64*DATI!$E$63)*1000*C714^2*sezione!$AD$5*(1-sezione!$AD$6)</f>
        <v>-273500069.10563177</v>
      </c>
      <c r="E714" s="553">
        <f>-'Foglio deposito bis'!$F$48*(C714-sezione!$AL$29)*IF(ABS(K714)&lt;'Progetto del paramento slu'!$G$58,ABS(K714)*'Progetto del paramento slu'!$G$54,'Progetto del paramento slu'!$G$53)</f>
        <v>0</v>
      </c>
      <c r="F714" s="553">
        <f>-'Foglio deposito bis'!$F$49*(C714-sezione!$AM$29)*IF(ABS(L714)&lt;'Progetto del paramento slu'!$G$58,ABS(L714)*'Progetto del paramento slu'!$G$54,'Progetto del paramento slu'!$G$53)</f>
        <v>-2157388.4842298883</v>
      </c>
      <c r="G714" s="553">
        <f>-'Foglio deposito bis'!$F$50*(C714-sezione!$AN$29)*IF(ABS(M714)&lt;'Progetto del paramento slu'!$G$58,ABS(M714)*'Progetto del paramento slu'!$G$54,'Progetto del paramento slu'!$G$53)</f>
        <v>0</v>
      </c>
      <c r="H714" s="553">
        <f>-'Foglio deposito bis'!$F$51*(C714-sezione!$AO$29)*IF(ABS(N714)&lt;'Progetto del paramento slu'!$G$58,ABS(N714)*'Progetto del paramento slu'!$G$54,'Progetto del paramento slu'!$G$53)</f>
        <v>38003393.627633385</v>
      </c>
      <c r="I714" s="479">
        <f>-'Foglio deposito bis'!$F$52*(C714-sezione!$AP$29)*IF(ABS(O714)&lt;'Progetto del paramento slu'!$G$58,ABS(O714)*'Progetto del paramento slu'!$G$54,'Progetto del paramento slu'!$G$53)</f>
        <v>14715123.055184193</v>
      </c>
      <c r="J714" s="479">
        <f t="shared" si="54"/>
        <v>-222938940.90704405</v>
      </c>
      <c r="K714" s="558">
        <f>'Progetto del paramento slu'!$G$60*(sezione!$AL$29-C714)/C714</f>
        <v>-2.7319278995600917E-3</v>
      </c>
      <c r="L714" s="558">
        <f>'Progetto del paramento slu'!$G$60*(sezione!$AM$29-C714)/C714</f>
        <v>-6.1972962335034277E-4</v>
      </c>
      <c r="M714" s="559">
        <f>'Progetto del paramento slu'!$G$60*(sezione!$AN$29-C714)/C714</f>
        <v>1.4924686528594059E-3</v>
      </c>
      <c r="N714" s="559">
        <f>'Progetto del paramento slu'!$G$60*(sezione!$AO$29-C714)/C714</f>
        <v>3.0286128537392234E-3</v>
      </c>
      <c r="O714" s="559">
        <f>'Progetto del paramento slu'!$G$60*(sezione!$AP$29-C714)/C714</f>
        <v>1.4925069641480682E-3</v>
      </c>
      <c r="P714" s="553">
        <f>-'Progetto del paramento slu'!$G$47*'Progetto del paramento slu'!$G$41*IF(DATI!$G$218="dx",DATI!$E$61,DATI!$E$64*DATI!$E$63)*1000*C714*sezione!$AD$5</f>
        <v>-2569322.0712869703</v>
      </c>
      <c r="Q714" s="553">
        <f>'Foglio deposito bis'!$F$48*IF(ABS(K714)&lt;'Progetto del paramento slu'!$G$58,ABS(K714)*'Progetto del paramento slu'!$G$54,'Progetto del paramento slu'!$G$53)*IF(K714&lt;0,-1,1)</f>
        <v>0</v>
      </c>
      <c r="R714" s="553">
        <f>'Foglio deposito bis'!$F$49*IF(ABS(L714)&lt;'Progetto del paramento slu'!$G$58,ABS(L714)*'Progetto del paramento slu'!$G$54,'Progetto del paramento slu'!$G$53)*IF(L714&lt;0,-1,1)</f>
        <v>-66844.87242957628</v>
      </c>
      <c r="S714" s="553">
        <f>'Foglio deposito bis'!$F$50*IF(ABS(M714)&lt;'Progetto del paramento slu'!$G$58,ABS(M714)*'Progetto del paramento slu'!$G$54,'Progetto del paramento slu'!$G$53)*IF(M714&lt;0,-1,1)</f>
        <v>0</v>
      </c>
      <c r="T714" s="553">
        <f>'Foglio deposito bis'!$F$51*IF(ABS(N714)&lt;'Progetto del paramento slu'!$G$58,ABS(N714)*'Progetto del paramento slu'!$G$54,'Progetto del paramento slu'!$G$53)*IF(N714&lt;0,-1,1)</f>
        <v>240946.49743184328</v>
      </c>
      <c r="U714" s="553">
        <f>'Foglio deposito bis'!$F$52*IF(ABS(O714)&lt;'Progetto del paramento slu'!$G$58,ABS(O714)*'Progetto del paramento slu'!$G$54,'Progetto del paramento slu'!$G$53)*IF(O714&lt;0,-1,1)</f>
        <v>189316.96375163068</v>
      </c>
      <c r="V714" s="479">
        <f t="shared" si="55"/>
        <v>-2205903.4825330726</v>
      </c>
      <c r="W714" s="559"/>
      <c r="X714" s="559"/>
    </row>
    <row r="715" spans="1:24" x14ac:dyDescent="0.25">
      <c r="A715" s="553">
        <f t="shared" si="56"/>
        <v>2283691.9225323047</v>
      </c>
      <c r="B715" s="3">
        <f t="shared" si="53"/>
        <v>45.899999999999942</v>
      </c>
      <c r="C715" s="553">
        <f>'Foglio deposito bis'!$E$155/sezione!$B$247*B715</f>
        <v>186.33412150645347</v>
      </c>
      <c r="D715" s="611">
        <f>-'Progetto del paramento slu'!$G$47*'Progetto del paramento slu'!$G$41*IF(DATI!$G$218="dx",DATI!$E$61,DATI!$E$64*DATI!$E$63)*1000*C715^2*sezione!$AD$5*(1-sezione!$AD$6)</f>
        <v>-285818364.29007596</v>
      </c>
      <c r="E715" s="553">
        <f>-'Foglio deposito bis'!$F$48*(C715-sezione!$AL$29)*IF(ABS(K715)&lt;'Progetto del paramento slu'!$G$58,ABS(K715)*'Progetto del paramento slu'!$G$54,'Progetto del paramento slu'!$G$53)</f>
        <v>0</v>
      </c>
      <c r="F715" s="553">
        <f>-'Foglio deposito bis'!$F$49*(C715-sezione!$AM$29)*IF(ABS(L715)&lt;'Progetto del paramento slu'!$G$58,ABS(L715)*'Progetto del paramento slu'!$G$54,'Progetto del paramento slu'!$G$53)</f>
        <v>-2674673.8103712229</v>
      </c>
      <c r="G715" s="553">
        <f>-'Foglio deposito bis'!$F$50*(C715-sezione!$AN$29)*IF(ABS(M715)&lt;'Progetto del paramento slu'!$G$58,ABS(M715)*'Progetto del paramento slu'!$G$54,'Progetto del paramento slu'!$G$53)</f>
        <v>0</v>
      </c>
      <c r="H715" s="553">
        <f>-'Foglio deposito bis'!$F$51*(C715-sezione!$AO$29)*IF(ABS(N715)&lt;'Progetto del paramento slu'!$G$58,ABS(N715)*'Progetto del paramento slu'!$G$54,'Progetto del paramento slu'!$G$53)</f>
        <v>37025255.197807245</v>
      </c>
      <c r="I715" s="479">
        <f>-'Foglio deposito bis'!$F$52*(C715-sezione!$AP$29)*IF(ABS(O715)&lt;'Progetto del paramento slu'!$G$58,ABS(O715)*'Progetto del paramento slu'!$G$54,'Progetto del paramento slu'!$G$53)</f>
        <v>12930195.404962299</v>
      </c>
      <c r="J715" s="479">
        <f t="shared" si="54"/>
        <v>-238537587.49767762</v>
      </c>
      <c r="K715" s="558">
        <f>'Progetto del paramento slu'!$G$60*(sezione!$AL$29-C715)/C715</f>
        <v>-2.7486614965195662E-3</v>
      </c>
      <c r="L715" s="558">
        <f>'Progetto del paramento slu'!$G$60*(sezione!$AM$29-C715)/C715</f>
        <v>-6.8248061194837463E-4</v>
      </c>
      <c r="M715" s="559">
        <f>'Progetto del paramento slu'!$G$60*(sezione!$AN$29-C715)/C715</f>
        <v>1.3837002726228172E-3</v>
      </c>
      <c r="N715" s="559">
        <f>'Progetto del paramento slu'!$G$60*(sezione!$AO$29-C715)/C715</f>
        <v>2.8863772795836846E-3</v>
      </c>
      <c r="O715" s="559">
        <f>'Progetto del paramento slu'!$G$60*(sezione!$AP$29-C715)/C715</f>
        <v>1.3837377492428814E-3</v>
      </c>
      <c r="P715" s="553">
        <f>-'Progetto del paramento slu'!$G$47*'Progetto del paramento slu'!$G$41*IF(DATI!$G$218="dx",DATI!$E$61,DATI!$E$64*DATI!$E$63)*1000*C715*sezione!$AD$5</f>
        <v>-2626545.2800016026</v>
      </c>
      <c r="Q715" s="553">
        <f>'Foglio deposito bis'!$F$48*IF(ABS(K715)&lt;'Progetto del paramento slu'!$G$58,ABS(K715)*'Progetto del paramento slu'!$G$54,'Progetto del paramento slu'!$G$53)*IF(K715&lt;0,-1,1)</f>
        <v>0</v>
      </c>
      <c r="R715" s="553">
        <f>'Foglio deposito bis'!$F$49*IF(ABS(L715)&lt;'Progetto del paramento slu'!$G$58,ABS(L715)*'Progetto del paramento slu'!$G$54,'Progetto del paramento slu'!$G$53)*IF(L715&lt;0,-1,1)</f>
        <v>-73613.278633863811</v>
      </c>
      <c r="S715" s="553">
        <f>'Foglio deposito bis'!$F$50*IF(ABS(M715)&lt;'Progetto del paramento slu'!$G$58,ABS(M715)*'Progetto del paramento slu'!$G$54,'Progetto del paramento slu'!$G$53)*IF(M715&lt;0,-1,1)</f>
        <v>0</v>
      </c>
      <c r="T715" s="553">
        <f>'Foglio deposito bis'!$F$51*IF(ABS(N715)&lt;'Progetto del paramento slu'!$G$58,ABS(N715)*'Progetto del paramento slu'!$G$54,'Progetto del paramento slu'!$G$53)*IF(N715&lt;0,-1,1)</f>
        <v>240946.49743184328</v>
      </c>
      <c r="U715" s="553">
        <f>'Foglio deposito bis'!$F$52*IF(ABS(O715)&lt;'Progetto del paramento slu'!$G$58,ABS(O715)*'Progetto del paramento slu'!$G$54,'Progetto del paramento slu'!$G$53)*IF(O715&lt;0,-1,1)</f>
        <v>175520.13867131856</v>
      </c>
      <c r="V715" s="479">
        <f t="shared" si="55"/>
        <v>-2283691.9225323047</v>
      </c>
      <c r="W715" s="559"/>
      <c r="X715" s="559"/>
    </row>
    <row r="716" spans="1:24" x14ac:dyDescent="0.25">
      <c r="A716" s="553">
        <f t="shared" si="56"/>
        <v>2360603.3803872038</v>
      </c>
      <c r="B716" s="3">
        <f t="shared" si="53"/>
        <v>46.899999999999942</v>
      </c>
      <c r="C716" s="553">
        <f>'Foglio deposito bis'!$E$155/sezione!$B$247*B716</f>
        <v>190.3936884238054</v>
      </c>
      <c r="D716" s="611">
        <f>-'Progetto del paramento slu'!$G$47*'Progetto del paramento slu'!$G$41*IF(DATI!$G$218="dx",DATI!$E$61,DATI!$E$64*DATI!$E$63)*1000*C716^2*sezione!$AD$5*(1-sezione!$AD$6)</f>
        <v>-298407987.56228322</v>
      </c>
      <c r="E716" s="553">
        <f>-'Foglio deposito bis'!$F$48*(C716-sezione!$AL$29)*IF(ABS(K716)&lt;'Progetto del paramento slu'!$G$58,ABS(K716)*'Progetto del paramento slu'!$G$54,'Progetto del paramento slu'!$G$53)</f>
        <v>0</v>
      </c>
      <c r="F716" s="553">
        <f>-'Foglio deposito bis'!$F$49*(C716-sezione!$AM$29)*IF(ABS(L716)&lt;'Progetto del paramento slu'!$G$58,ABS(L716)*'Progetto del paramento slu'!$G$54,'Progetto del paramento slu'!$G$53)</f>
        <v>-3235253.8457084261</v>
      </c>
      <c r="G716" s="553">
        <f>-'Foglio deposito bis'!$F$50*(C716-sezione!$AN$29)*IF(ABS(M716)&lt;'Progetto del paramento slu'!$G$58,ABS(M716)*'Progetto del paramento slu'!$G$54,'Progetto del paramento slu'!$G$53)</f>
        <v>0</v>
      </c>
      <c r="H716" s="553">
        <f>-'Foglio deposito bis'!$F$51*(C716-sezione!$AO$29)*IF(ABS(N716)&lt;'Progetto del paramento slu'!$G$58,ABS(N716)*'Progetto del paramento slu'!$G$54,'Progetto del paramento slu'!$G$53)</f>
        <v>36047116.767981119</v>
      </c>
      <c r="I716" s="479">
        <f>-'Foglio deposito bis'!$F$52*(C716-sezione!$AP$29)*IF(ABS(O716)&lt;'Progetto del paramento slu'!$G$58,ABS(O716)*'Progetto del paramento slu'!$G$54,'Progetto del paramento slu'!$G$53)</f>
        <v>11298240.123533607</v>
      </c>
      <c r="J716" s="479">
        <f t="shared" si="54"/>
        <v>-254297884.51647693</v>
      </c>
      <c r="K716" s="558">
        <f>'Progetto del paramento slu'!$G$60*(sezione!$AL$29-C716)/C716</f>
        <v>-2.764681507254757E-3</v>
      </c>
      <c r="L716" s="558">
        <f>'Progetto del paramento slu'!$G$60*(sezione!$AM$29-C716)/C716</f>
        <v>-7.4255565220533888E-4</v>
      </c>
      <c r="M716" s="559">
        <f>'Progetto del paramento slu'!$G$60*(sezione!$AN$29-C716)/C716</f>
        <v>1.2795702028440793E-3</v>
      </c>
      <c r="N716" s="559">
        <f>'Progetto del paramento slu'!$G$60*(sezione!$AO$29-C716)/C716</f>
        <v>2.7502071883345651E-3</v>
      </c>
      <c r="O716" s="559">
        <f>'Progetto del paramento slu'!$G$60*(sezione!$AP$29-C716)/C716</f>
        <v>1.2796068803890886E-3</v>
      </c>
      <c r="P716" s="553">
        <f>-'Progetto del paramento slu'!$G$47*'Progetto del paramento slu'!$G$41*IF(DATI!$G$218="dx",DATI!$E$61,DATI!$E$64*DATI!$E$63)*1000*C716*sezione!$AD$5</f>
        <v>-2683768.4887162345</v>
      </c>
      <c r="Q716" s="553">
        <f>'Foglio deposito bis'!$F$48*IF(ABS(K716)&lt;'Progetto del paramento slu'!$G$58,ABS(K716)*'Progetto del paramento slu'!$G$54,'Progetto del paramento slu'!$G$53)*IF(K716&lt;0,-1,1)</f>
        <v>0</v>
      </c>
      <c r="R716" s="553">
        <f>'Foglio deposito bis'!$F$49*IF(ABS(L716)&lt;'Progetto del paramento slu'!$G$58,ABS(L716)*'Progetto del paramento slu'!$G$54,'Progetto del paramento slu'!$G$53)*IF(L716&lt;0,-1,1)</f>
        <v>-80093.05344351221</v>
      </c>
      <c r="S716" s="553">
        <f>'Foglio deposito bis'!$F$50*IF(ABS(M716)&lt;'Progetto del paramento slu'!$G$58,ABS(M716)*'Progetto del paramento slu'!$G$54,'Progetto del paramento slu'!$G$53)*IF(M716&lt;0,-1,1)</f>
        <v>0</v>
      </c>
      <c r="T716" s="553">
        <f>'Foglio deposito bis'!$F$51*IF(ABS(N716)&lt;'Progetto del paramento slu'!$G$58,ABS(N716)*'Progetto del paramento slu'!$G$54,'Progetto del paramento slu'!$G$53)*IF(N716&lt;0,-1,1)</f>
        <v>240946.49743184328</v>
      </c>
      <c r="U716" s="553">
        <f>'Foglio deposito bis'!$F$52*IF(ABS(O716)&lt;'Progetto del paramento slu'!$G$58,ABS(O716)*'Progetto del paramento slu'!$G$54,'Progetto del paramento slu'!$G$53)*IF(O716&lt;0,-1,1)</f>
        <v>162311.66434069996</v>
      </c>
      <c r="V716" s="479">
        <f t="shared" si="55"/>
        <v>-2360603.3803872038</v>
      </c>
      <c r="W716" s="559"/>
      <c r="X716" s="559"/>
    </row>
    <row r="717" spans="1:24" x14ac:dyDescent="0.25">
      <c r="A717" s="553">
        <f t="shared" si="56"/>
        <v>2436692.7819105671</v>
      </c>
      <c r="B717" s="3">
        <f t="shared" si="53"/>
        <v>47.899999999999942</v>
      </c>
      <c r="C717" s="553">
        <f>'Foglio deposito bis'!$E$155/sezione!$B$247*B717</f>
        <v>194.45325534115733</v>
      </c>
      <c r="D717" s="611">
        <f>-'Progetto del paramento slu'!$G$47*'Progetto del paramento slu'!$G$41*IF(DATI!$G$218="dx",DATI!$E$61,DATI!$E$64*DATI!$E$63)*1000*C717^2*sezione!$AD$5*(1-sezione!$AD$6)</f>
        <v>-311268938.92225367</v>
      </c>
      <c r="E717" s="553">
        <f>-'Foglio deposito bis'!$F$48*(C717-sezione!$AL$29)*IF(ABS(K717)&lt;'Progetto del paramento slu'!$G$58,ABS(K717)*'Progetto del paramento slu'!$G$54,'Progetto del paramento slu'!$G$53)</f>
        <v>0</v>
      </c>
      <c r="F717" s="553">
        <f>-'Foglio deposito bis'!$F$49*(C717-sezione!$AM$29)*IF(ABS(L717)&lt;'Progetto del paramento slu'!$G$58,ABS(L717)*'Progetto del paramento slu'!$G$54,'Progetto del paramento slu'!$G$53)</f>
        <v>-3836417.0218158704</v>
      </c>
      <c r="G717" s="553">
        <f>-'Foglio deposito bis'!$F$50*(C717-sezione!$AN$29)*IF(ABS(M717)&lt;'Progetto del paramento slu'!$G$58,ABS(M717)*'Progetto del paramento slu'!$G$54,'Progetto del paramento slu'!$G$53)</f>
        <v>0</v>
      </c>
      <c r="H717" s="553">
        <f>-'Foglio deposito bis'!$F$51*(C717-sezione!$AO$29)*IF(ABS(N717)&lt;'Progetto del paramento slu'!$G$58,ABS(N717)*'Progetto del paramento slu'!$G$54,'Progetto del paramento slu'!$G$53)</f>
        <v>35068978.338154987</v>
      </c>
      <c r="I717" s="479">
        <f>-'Foglio deposito bis'!$F$52*(C717-sezione!$AP$29)*IF(ABS(O717)&lt;'Progetto del paramento slu'!$G$58,ABS(O717)*'Progetto del paramento slu'!$G$54,'Progetto del paramento slu'!$G$53)</f>
        <v>9809676.477988299</v>
      </c>
      <c r="J717" s="479">
        <f t="shared" si="54"/>
        <v>-270226701.12792629</v>
      </c>
      <c r="K717" s="558">
        <f>'Progetto del paramento slu'!$G$60*(sezione!$AL$29-C717)/C717</f>
        <v>-2.7800326240135305E-3</v>
      </c>
      <c r="L717" s="558">
        <f>'Progetto del paramento slu'!$G$60*(sezione!$AM$29-C717)/C717</f>
        <v>-8.0012234005073899E-4</v>
      </c>
      <c r="M717" s="559">
        <f>'Progetto del paramento slu'!$G$60*(sezione!$AN$29-C717)/C717</f>
        <v>1.1797879439120525E-3</v>
      </c>
      <c r="N717" s="559">
        <f>'Progetto del paramento slu'!$G$60*(sezione!$AO$29-C717)/C717</f>
        <v>2.6197226958849917E-3</v>
      </c>
      <c r="O717" s="559">
        <f>'Progetto del paramento slu'!$G$60*(sezione!$AP$29-C717)/C717</f>
        <v>1.1798238557463102E-3</v>
      </c>
      <c r="P717" s="553">
        <f>-'Progetto del paramento slu'!$G$47*'Progetto del paramento slu'!$G$41*IF(DATI!$G$218="dx",DATI!$E$61,DATI!$E$64*DATI!$E$63)*1000*C717*sezione!$AD$5</f>
        <v>-2740991.6974308663</v>
      </c>
      <c r="Q717" s="553">
        <f>'Foglio deposito bis'!$F$48*IF(ABS(K717)&lt;'Progetto del paramento slu'!$G$58,ABS(K717)*'Progetto del paramento slu'!$G$54,'Progetto del paramento slu'!$G$53)*IF(K717&lt;0,-1,1)</f>
        <v>0</v>
      </c>
      <c r="R717" s="553">
        <f>'Foglio deposito bis'!$F$49*IF(ABS(L717)&lt;'Progetto del paramento slu'!$G$58,ABS(L717)*'Progetto del paramento slu'!$G$54,'Progetto del paramento slu'!$G$53)*IF(L717&lt;0,-1,1)</f>
        <v>-86302.273981359001</v>
      </c>
      <c r="S717" s="553">
        <f>'Foglio deposito bis'!$F$50*IF(ABS(M717)&lt;'Progetto del paramento slu'!$G$58,ABS(M717)*'Progetto del paramento slu'!$G$54,'Progetto del paramento slu'!$G$53)*IF(M717&lt;0,-1,1)</f>
        <v>0</v>
      </c>
      <c r="T717" s="553">
        <f>'Foglio deposito bis'!$F$51*IF(ABS(N717)&lt;'Progetto del paramento slu'!$G$58,ABS(N717)*'Progetto del paramento slu'!$G$54,'Progetto del paramento slu'!$G$53)*IF(N717&lt;0,-1,1)</f>
        <v>240946.49743184328</v>
      </c>
      <c r="U717" s="553">
        <f>'Foglio deposito bis'!$F$52*IF(ABS(O717)&lt;'Progetto del paramento slu'!$G$58,ABS(O717)*'Progetto del paramento slu'!$G$54,'Progetto del paramento slu'!$G$53)*IF(O717&lt;0,-1,1)</f>
        <v>149654.69206981486</v>
      </c>
      <c r="V717" s="479">
        <f t="shared" si="55"/>
        <v>-2436692.7819105671</v>
      </c>
      <c r="W717" s="559"/>
      <c r="X717" s="559"/>
    </row>
    <row r="718" spans="1:24" x14ac:dyDescent="0.25">
      <c r="A718" s="553">
        <f t="shared" si="56"/>
        <v>2512010.5600061715</v>
      </c>
      <c r="B718" s="3">
        <f t="shared" si="53"/>
        <v>48.899999999999942</v>
      </c>
      <c r="C718" s="553">
        <f>'Foglio deposito bis'!$E$155/sezione!$B$247*B718</f>
        <v>198.51282225850926</v>
      </c>
      <c r="D718" s="611">
        <f>-'Progetto del paramento slu'!$G$47*'Progetto del paramento slu'!$G$41*IF(DATI!$G$218="dx",DATI!$E$61,DATI!$E$64*DATI!$E$63)*1000*C718^2*sezione!$AD$5*(1-sezione!$AD$6)</f>
        <v>-324401218.36998713</v>
      </c>
      <c r="E718" s="553">
        <f>-'Foglio deposito bis'!$F$48*(C718-sezione!$AL$29)*IF(ABS(K718)&lt;'Progetto del paramento slu'!$G$58,ABS(K718)*'Progetto del paramento slu'!$G$54,'Progetto del paramento slu'!$G$53)</f>
        <v>0</v>
      </c>
      <c r="F718" s="553">
        <f>-'Foglio deposito bis'!$F$49*(C718-sezione!$AM$29)*IF(ABS(L718)&lt;'Progetto del paramento slu'!$G$58,ABS(L718)*'Progetto del paramento slu'!$G$54,'Progetto del paramento slu'!$G$53)</f>
        <v>-4475673.5754561173</v>
      </c>
      <c r="G718" s="553">
        <f>-'Foglio deposito bis'!$F$50*(C718-sezione!$AN$29)*IF(ABS(M718)&lt;'Progetto del paramento slu'!$G$58,ABS(M718)*'Progetto del paramento slu'!$G$54,'Progetto del paramento slu'!$G$53)</f>
        <v>0</v>
      </c>
      <c r="H718" s="553">
        <f>-'Foglio deposito bis'!$F$51*(C718-sezione!$AO$29)*IF(ABS(N718)&lt;'Progetto del paramento slu'!$G$58,ABS(N718)*'Progetto del paramento slu'!$G$54,'Progetto del paramento slu'!$G$53)</f>
        <v>34090839.908328846</v>
      </c>
      <c r="I718" s="479">
        <f>-'Foglio deposito bis'!$F$52*(C718-sezione!$AP$29)*IF(ABS(O718)&lt;'Progetto del paramento slu'!$G$58,ABS(O718)*'Progetto del paramento slu'!$G$54,'Progetto del paramento slu'!$G$53)</f>
        <v>8455707.4354501031</v>
      </c>
      <c r="J718" s="479">
        <f t="shared" si="54"/>
        <v>-286330344.60166436</v>
      </c>
      <c r="K718" s="558">
        <f>'Progetto del paramento slu'!$G$60*(sezione!$AL$29-C718)/C718</f>
        <v>-2.7947558832361577E-3</v>
      </c>
      <c r="L718" s="558">
        <f>'Progetto del paramento slu'!$G$60*(sezione!$AM$29-C718)/C718</f>
        <v>-8.5533456213559103E-4</v>
      </c>
      <c r="M718" s="559">
        <f>'Progetto del paramento slu'!$G$60*(sezione!$AN$29-C718)/C718</f>
        <v>1.0840867589649757E-3</v>
      </c>
      <c r="N718" s="559">
        <f>'Progetto del paramento slu'!$G$60*(sezione!$AO$29-C718)/C718</f>
        <v>2.4945749924926608E-3</v>
      </c>
      <c r="O718" s="559">
        <f>'Progetto del paramento slu'!$G$60*(sezione!$AP$29-C718)/C718</f>
        <v>1.0841219364058948E-3</v>
      </c>
      <c r="P718" s="553">
        <f>-'Progetto del paramento slu'!$G$47*'Progetto del paramento slu'!$G$41*IF(DATI!$G$218="dx",DATI!$E$61,DATI!$E$64*DATI!$E$63)*1000*C718*sezione!$AD$5</f>
        <v>-2798214.9061454982</v>
      </c>
      <c r="Q718" s="553">
        <f>'Foglio deposito bis'!$F$48*IF(ABS(K718)&lt;'Progetto del paramento slu'!$G$58,ABS(K718)*'Progetto del paramento slu'!$G$54,'Progetto del paramento slu'!$G$53)*IF(K718&lt;0,-1,1)</f>
        <v>0</v>
      </c>
      <c r="R718" s="553">
        <f>'Foglio deposito bis'!$F$49*IF(ABS(L718)&lt;'Progetto del paramento slu'!$G$58,ABS(L718)*'Progetto del paramento slu'!$G$54,'Progetto del paramento slu'!$G$53)*IF(L718&lt;0,-1,1)</f>
        <v>-92257.538668987123</v>
      </c>
      <c r="S718" s="553">
        <f>'Foglio deposito bis'!$F$50*IF(ABS(M718)&lt;'Progetto del paramento slu'!$G$58,ABS(M718)*'Progetto del paramento slu'!$G$54,'Progetto del paramento slu'!$G$53)*IF(M718&lt;0,-1,1)</f>
        <v>0</v>
      </c>
      <c r="T718" s="553">
        <f>'Foglio deposito bis'!$F$51*IF(ABS(N718)&lt;'Progetto del paramento slu'!$G$58,ABS(N718)*'Progetto del paramento slu'!$G$54,'Progetto del paramento slu'!$G$53)*IF(N718&lt;0,-1,1)</f>
        <v>240946.49743184328</v>
      </c>
      <c r="U718" s="553">
        <f>'Foglio deposito bis'!$F$52*IF(ABS(O718)&lt;'Progetto del paramento slu'!$G$58,ABS(O718)*'Progetto del paramento slu'!$G$54,'Progetto del paramento slu'!$G$53)*IF(O718&lt;0,-1,1)</f>
        <v>137515.38737647113</v>
      </c>
      <c r="V718" s="479">
        <f t="shared" si="55"/>
        <v>-2512010.5600061715</v>
      </c>
      <c r="W718" s="559"/>
      <c r="X718" s="559"/>
    </row>
    <row r="719" spans="1:24" x14ac:dyDescent="0.25">
      <c r="A719" s="553">
        <f t="shared" si="56"/>
        <v>2586603.1048600525</v>
      </c>
      <c r="B719" s="3">
        <f t="shared" si="53"/>
        <v>49.899999999999942</v>
      </c>
      <c r="C719" s="553">
        <f>'Foglio deposito bis'!$E$155/sezione!$B$247*B719</f>
        <v>202.57238917586119</v>
      </c>
      <c r="D719" s="611">
        <f>-'Progetto del paramento slu'!$G$47*'Progetto del paramento slu'!$G$41*IF(DATI!$G$218="dx",DATI!$E$61,DATI!$E$64*DATI!$E$63)*1000*C719^2*sezione!$AD$5*(1-sezione!$AD$6)</f>
        <v>-337804825.90548366</v>
      </c>
      <c r="E719" s="553">
        <f>-'Foglio deposito bis'!$F$48*(C719-sezione!$AL$29)*IF(ABS(K719)&lt;'Progetto del paramento slu'!$G$58,ABS(K719)*'Progetto del paramento slu'!$G$54,'Progetto del paramento slu'!$G$53)</f>
        <v>0</v>
      </c>
      <c r="F719" s="553">
        <f>-'Foglio deposito bis'!$F$49*(C719-sezione!$AM$29)*IF(ABS(L719)&lt;'Progetto del paramento slu'!$G$58,ABS(L719)*'Progetto del paramento slu'!$G$54,'Progetto del paramento slu'!$G$53)</f>
        <v>-5150733.3236111617</v>
      </c>
      <c r="G719" s="553">
        <f>-'Foglio deposito bis'!$F$50*(C719-sezione!$AN$29)*IF(ABS(M719)&lt;'Progetto del paramento slu'!$G$58,ABS(M719)*'Progetto del paramento slu'!$G$54,'Progetto del paramento slu'!$G$53)</f>
        <v>0</v>
      </c>
      <c r="H719" s="553">
        <f>-'Foglio deposito bis'!$F$51*(C719-sezione!$AO$29)*IF(ABS(N719)&lt;'Progetto del paramento slu'!$G$58,ABS(N719)*'Progetto del paramento slu'!$G$54,'Progetto del paramento slu'!$G$53)</f>
        <v>33112701.478502717</v>
      </c>
      <c r="I719" s="479">
        <f>-'Foglio deposito bis'!$F$52*(C719-sezione!$AP$29)*IF(ABS(O719)&lt;'Progetto del paramento slu'!$G$58,ABS(O719)*'Progetto del paramento slu'!$G$54,'Progetto del paramento slu'!$G$53)</f>
        <v>7228241.1360187912</v>
      </c>
      <c r="J719" s="479">
        <f t="shared" si="54"/>
        <v>-302614616.6145733</v>
      </c>
      <c r="K719" s="558">
        <f>'Progetto del paramento slu'!$G$60*(sezione!$AL$29-C719)/C719</f>
        <v>-2.8088890318686997E-3</v>
      </c>
      <c r="L719" s="558">
        <f>'Progetto del paramento slu'!$G$60*(sezione!$AM$29-C719)/C719</f>
        <v>-9.0833386950762323E-4</v>
      </c>
      <c r="M719" s="559">
        <f>'Progetto del paramento slu'!$G$60*(sezione!$AN$29-C719)/C719</f>
        <v>9.9222129285345324E-4</v>
      </c>
      <c r="N719" s="559">
        <f>'Progetto del paramento slu'!$G$60*(sezione!$AO$29-C719)/C719</f>
        <v>2.3744432291160538E-3</v>
      </c>
      <c r="O719" s="559">
        <f>'Progetto del paramento slu'!$G$60*(sezione!$AP$29-C719)/C719</f>
        <v>9.9225576533563628E-4</v>
      </c>
      <c r="P719" s="553">
        <f>-'Progetto del paramento slu'!$G$47*'Progetto del paramento slu'!$G$41*IF(DATI!$G$218="dx",DATI!$E$61,DATI!$E$64*DATI!$E$63)*1000*C719*sezione!$AD$5</f>
        <v>-2855438.11486013</v>
      </c>
      <c r="Q719" s="553">
        <f>'Foglio deposito bis'!$F$48*IF(ABS(K719)&lt;'Progetto del paramento slu'!$G$58,ABS(K719)*'Progetto del paramento slu'!$G$54,'Progetto del paramento slu'!$G$53)*IF(K719&lt;0,-1,1)</f>
        <v>0</v>
      </c>
      <c r="R719" s="553">
        <f>'Foglio deposito bis'!$F$49*IF(ABS(L719)&lt;'Progetto del paramento slu'!$G$58,ABS(L719)*'Progetto del paramento slu'!$G$54,'Progetto del paramento slu'!$G$53)*IF(L719&lt;0,-1,1)</f>
        <v>-97974.115393183238</v>
      </c>
      <c r="S719" s="553">
        <f>'Foglio deposito bis'!$F$50*IF(ABS(M719)&lt;'Progetto del paramento slu'!$G$58,ABS(M719)*'Progetto del paramento slu'!$G$54,'Progetto del paramento slu'!$G$53)*IF(M719&lt;0,-1,1)</f>
        <v>0</v>
      </c>
      <c r="T719" s="553">
        <f>'Foglio deposito bis'!$F$51*IF(ABS(N719)&lt;'Progetto del paramento slu'!$G$58,ABS(N719)*'Progetto del paramento slu'!$G$54,'Progetto del paramento slu'!$G$53)*IF(N719&lt;0,-1,1)</f>
        <v>240946.49743184328</v>
      </c>
      <c r="U719" s="553">
        <f>'Foglio deposito bis'!$F$52*IF(ABS(O719)&lt;'Progetto del paramento slu'!$G$58,ABS(O719)*'Progetto del paramento slu'!$G$54,'Progetto del paramento slu'!$G$53)*IF(O719&lt;0,-1,1)</f>
        <v>125862.62796141766</v>
      </c>
      <c r="V719" s="479">
        <f t="shared" si="55"/>
        <v>-2586603.1048600525</v>
      </c>
      <c r="W719" s="559"/>
      <c r="X719" s="559"/>
    </row>
    <row r="720" spans="1:24" x14ac:dyDescent="0.25">
      <c r="A720" s="553">
        <f t="shared" si="56"/>
        <v>2660513.1610640613</v>
      </c>
      <c r="B720" s="3">
        <f t="shared" si="53"/>
        <v>50.899999999999942</v>
      </c>
      <c r="C720" s="553">
        <f>'Foglio deposito bis'!$E$155/sezione!$B$247*B720</f>
        <v>206.63195609321312</v>
      </c>
      <c r="D720" s="611">
        <f>-'Progetto del paramento slu'!$G$47*'Progetto del paramento slu'!$G$41*IF(DATI!$G$218="dx",DATI!$E$61,DATI!$E$64*DATI!$E$63)*1000*C720^2*sezione!$AD$5*(1-sezione!$AD$6)</f>
        <v>-351479761.52874333</v>
      </c>
      <c r="E720" s="553">
        <f>-'Foglio deposito bis'!$F$48*(C720-sezione!$AL$29)*IF(ABS(K720)&lt;'Progetto del paramento slu'!$G$58,ABS(K720)*'Progetto del paramento slu'!$G$54,'Progetto del paramento slu'!$G$53)</f>
        <v>0</v>
      </c>
      <c r="F720" s="553">
        <f>-'Foglio deposito bis'!$F$49*(C720-sezione!$AM$29)*IF(ABS(L720)&lt;'Progetto del paramento slu'!$G$58,ABS(L720)*'Progetto del paramento slu'!$G$54,'Progetto del paramento slu'!$G$53)</f>
        <v>-5859486.0583528243</v>
      </c>
      <c r="G720" s="553">
        <f>-'Foglio deposito bis'!$F$50*(C720-sezione!$AN$29)*IF(ABS(M720)&lt;'Progetto del paramento slu'!$G$58,ABS(M720)*'Progetto del paramento slu'!$G$54,'Progetto del paramento slu'!$G$53)</f>
        <v>0</v>
      </c>
      <c r="H720" s="553">
        <f>-'Foglio deposito bis'!$F$51*(C720-sezione!$AO$29)*IF(ABS(N720)&lt;'Progetto del paramento slu'!$G$58,ABS(N720)*'Progetto del paramento slu'!$G$54,'Progetto del paramento slu'!$G$53)</f>
        <v>32134563.048676588</v>
      </c>
      <c r="I720" s="479">
        <f>-'Foglio deposito bis'!$F$52*(C720-sezione!$AP$29)*IF(ABS(O720)&lt;'Progetto del paramento slu'!$G$58,ABS(O720)*'Progetto del paramento slu'!$G$54,'Progetto del paramento slu'!$G$53)</f>
        <v>6119821.6223403197</v>
      </c>
      <c r="J720" s="479">
        <f t="shared" si="54"/>
        <v>-319084862.91607922</v>
      </c>
      <c r="K720" s="558">
        <f>'Progetto del paramento slu'!$G$60*(sezione!$AL$29-C720)/C720</f>
        <v>-2.8224668504960334E-3</v>
      </c>
      <c r="L720" s="558">
        <f>'Progetto del paramento slu'!$G$60*(sezione!$AM$29-C720)/C720</f>
        <v>-9.5925068936012577E-4</v>
      </c>
      <c r="M720" s="559">
        <f>'Progetto del paramento slu'!$G$60*(sezione!$AN$29-C720)/C720</f>
        <v>9.0396547177578213E-4</v>
      </c>
      <c r="N720" s="559">
        <f>'Progetto del paramento slu'!$G$60*(sezione!$AO$29-C720)/C720</f>
        <v>2.259031770783715E-3</v>
      </c>
      <c r="O720" s="559">
        <f>'Progetto del paramento slu'!$G$60*(sezione!$AP$29-C720)/C720</f>
        <v>9.039992669989832E-4</v>
      </c>
      <c r="P720" s="553">
        <f>-'Progetto del paramento slu'!$G$47*'Progetto del paramento slu'!$G$41*IF(DATI!$G$218="dx",DATI!$E$61,DATI!$E$64*DATI!$E$63)*1000*C720*sezione!$AD$5</f>
        <v>-2912661.3235747619</v>
      </c>
      <c r="Q720" s="553">
        <f>'Foglio deposito bis'!$F$48*IF(ABS(K720)&lt;'Progetto del paramento slu'!$G$58,ABS(K720)*'Progetto del paramento slu'!$G$54,'Progetto del paramento slu'!$G$53)*IF(K720&lt;0,-1,1)</f>
        <v>0</v>
      </c>
      <c r="R720" s="553">
        <f>'Foglio deposito bis'!$F$49*IF(ABS(L720)&lt;'Progetto del paramento slu'!$G$58,ABS(L720)*'Progetto del paramento slu'!$G$54,'Progetto del paramento slu'!$G$53)*IF(L720&lt;0,-1,1)</f>
        <v>-103466.07220680191</v>
      </c>
      <c r="S720" s="553">
        <f>'Foglio deposito bis'!$F$50*IF(ABS(M720)&lt;'Progetto del paramento slu'!$G$58,ABS(M720)*'Progetto del paramento slu'!$G$54,'Progetto del paramento slu'!$G$53)*IF(M720&lt;0,-1,1)</f>
        <v>0</v>
      </c>
      <c r="T720" s="553">
        <f>'Foglio deposito bis'!$F$51*IF(ABS(N720)&lt;'Progetto del paramento slu'!$G$58,ABS(N720)*'Progetto del paramento slu'!$G$54,'Progetto del paramento slu'!$G$53)*IF(N720&lt;0,-1,1)</f>
        <v>240946.49743184328</v>
      </c>
      <c r="U720" s="553">
        <f>'Foglio deposito bis'!$F$52*IF(ABS(O720)&lt;'Progetto del paramento slu'!$G$58,ABS(O720)*'Progetto del paramento slu'!$G$54,'Progetto del paramento slu'!$G$53)*IF(O720&lt;0,-1,1)</f>
        <v>114667.73728565905</v>
      </c>
      <c r="V720" s="479">
        <f t="shared" si="55"/>
        <v>-2660513.1610640613</v>
      </c>
      <c r="W720" s="559"/>
      <c r="X720" s="559"/>
    </row>
    <row r="721" spans="1:24" x14ac:dyDescent="0.25">
      <c r="A721" s="553">
        <f t="shared" si="56"/>
        <v>2733780.1788291736</v>
      </c>
      <c r="B721" s="3">
        <f t="shared" si="53"/>
        <v>51.899999999999942</v>
      </c>
      <c r="C721" s="553">
        <f>'Foglio deposito bis'!$E$155/sezione!$B$247*B721</f>
        <v>210.69152301056505</v>
      </c>
      <c r="D721" s="611">
        <f>-'Progetto del paramento slu'!$G$47*'Progetto del paramento slu'!$G$41*IF(DATI!$G$218="dx",DATI!$E$61,DATI!$E$64*DATI!$E$63)*1000*C721^2*sezione!$AD$5*(1-sezione!$AD$6)</f>
        <v>-365426025.23976606</v>
      </c>
      <c r="E721" s="553">
        <f>-'Foglio deposito bis'!$F$48*(C721-sezione!$AL$29)*IF(ABS(K721)&lt;'Progetto del paramento slu'!$G$58,ABS(K721)*'Progetto del paramento slu'!$G$54,'Progetto del paramento slu'!$G$53)</f>
        <v>0</v>
      </c>
      <c r="F721" s="553">
        <f>-'Foglio deposito bis'!$F$49*(C721-sezione!$AM$29)*IF(ABS(L721)&lt;'Progetto del paramento slu'!$G$58,ABS(L721)*'Progetto del paramento slu'!$G$54,'Progetto del paramento slu'!$G$53)</f>
        <v>-6599984.2082021097</v>
      </c>
      <c r="G721" s="553">
        <f>-'Foglio deposito bis'!$F$50*(C721-sezione!$AN$29)*IF(ABS(M721)&lt;'Progetto del paramento slu'!$G$58,ABS(M721)*'Progetto del paramento slu'!$G$54,'Progetto del paramento slu'!$G$53)</f>
        <v>0</v>
      </c>
      <c r="H721" s="553">
        <f>-'Foglio deposito bis'!$F$51*(C721-sezione!$AO$29)*IF(ABS(N721)&lt;'Progetto del paramento slu'!$G$58,ABS(N721)*'Progetto del paramento slu'!$G$54,'Progetto del paramento slu'!$G$53)</f>
        <v>31156424.618850451</v>
      </c>
      <c r="I721" s="479">
        <f>-'Foglio deposito bis'!$F$52*(C721-sezione!$AP$29)*IF(ABS(O721)&lt;'Progetto del paramento slu'!$G$58,ABS(O721)*'Progetto del paramento slu'!$G$54,'Progetto del paramento slu'!$G$53)</f>
        <v>5123567.5773191517</v>
      </c>
      <c r="J721" s="479">
        <f t="shared" si="54"/>
        <v>-335746017.25179857</v>
      </c>
      <c r="K721" s="558">
        <f>'Progetto del paramento slu'!$G$60*(sezione!$AL$29-C721)/C721</f>
        <v>-2.8355214391184609E-3</v>
      </c>
      <c r="L721" s="558">
        <f>'Progetto del paramento slu'!$G$60*(sezione!$AM$29-C721)/C721</f>
        <v>-1.0082053966942275E-3</v>
      </c>
      <c r="M721" s="559">
        <f>'Progetto del paramento slu'!$G$60*(sezione!$AN$29-C721)/C721</f>
        <v>8.1911064573000588E-4</v>
      </c>
      <c r="N721" s="559">
        <f>'Progetto del paramento slu'!$G$60*(sezione!$AO$29-C721)/C721</f>
        <v>2.1480677674930847E-3</v>
      </c>
      <c r="O721" s="559">
        <f>'Progetto del paramento slu'!$G$60*(sezione!$AP$29-C721)/C721</f>
        <v>8.1914378979283707E-4</v>
      </c>
      <c r="P721" s="553">
        <f>-'Progetto del paramento slu'!$G$47*'Progetto del paramento slu'!$G$41*IF(DATI!$G$218="dx",DATI!$E$61,DATI!$E$64*DATI!$E$63)*1000*C721*sezione!$AD$5</f>
        <v>-2969884.5322893937</v>
      </c>
      <c r="Q721" s="553">
        <f>'Foglio deposito bis'!$F$48*IF(ABS(K721)&lt;'Progetto del paramento slu'!$G$58,ABS(K721)*'Progetto del paramento slu'!$G$54,'Progetto del paramento slu'!$G$53)*IF(K721&lt;0,-1,1)</f>
        <v>0</v>
      </c>
      <c r="R721" s="553">
        <f>'Foglio deposito bis'!$F$49*IF(ABS(L721)&lt;'Progetto del paramento slu'!$G$58,ABS(L721)*'Progetto del paramento slu'!$G$54,'Progetto del paramento slu'!$G$53)*IF(L721&lt;0,-1,1)</f>
        <v>-108746.3929197031</v>
      </c>
      <c r="S721" s="553">
        <f>'Foglio deposito bis'!$F$50*IF(ABS(M721)&lt;'Progetto del paramento slu'!$G$58,ABS(M721)*'Progetto del paramento slu'!$G$54,'Progetto del paramento slu'!$G$53)*IF(M721&lt;0,-1,1)</f>
        <v>0</v>
      </c>
      <c r="T721" s="553">
        <f>'Foglio deposito bis'!$F$51*IF(ABS(N721)&lt;'Progetto del paramento slu'!$G$58,ABS(N721)*'Progetto del paramento slu'!$G$54,'Progetto del paramento slu'!$G$53)*IF(N721&lt;0,-1,1)</f>
        <v>240946.49743184328</v>
      </c>
      <c r="U721" s="553">
        <f>'Foglio deposito bis'!$F$52*IF(ABS(O721)&lt;'Progetto del paramento slu'!$G$58,ABS(O721)*'Progetto del paramento slu'!$G$54,'Progetto del paramento slu'!$G$53)*IF(O721&lt;0,-1,1)</f>
        <v>103904.24894807997</v>
      </c>
      <c r="V721" s="479">
        <f t="shared" si="55"/>
        <v>-2733780.1788291736</v>
      </c>
      <c r="W721" s="559"/>
      <c r="X721" s="559"/>
    </row>
    <row r="722" spans="1:24" x14ac:dyDescent="0.25">
      <c r="A722" s="553">
        <f t="shared" si="56"/>
        <v>2806440.6253636442</v>
      </c>
      <c r="B722" s="3">
        <f t="shared" si="53"/>
        <v>52.899999999999942</v>
      </c>
      <c r="C722" s="553">
        <f>'Foglio deposito bis'!$E$155/sezione!$B$247*B722</f>
        <v>214.75108992791698</v>
      </c>
      <c r="D722" s="611">
        <f>-'Progetto del paramento slu'!$G$47*'Progetto del paramento slu'!$G$41*IF(DATI!$G$218="dx",DATI!$E$61,DATI!$E$64*DATI!$E$63)*1000*C722^2*sezione!$AD$5*(1-sezione!$AD$6)</f>
        <v>-379643617.03855193</v>
      </c>
      <c r="E722" s="553">
        <f>-'Foglio deposito bis'!$F$48*(C722-sezione!$AL$29)*IF(ABS(K722)&lt;'Progetto del paramento slu'!$G$58,ABS(K722)*'Progetto del paramento slu'!$G$54,'Progetto del paramento slu'!$G$53)</f>
        <v>0</v>
      </c>
      <c r="F722" s="553">
        <f>-'Foglio deposito bis'!$F$49*(C722-sezione!$AM$29)*IF(ABS(L722)&lt;'Progetto del paramento slu'!$G$58,ABS(L722)*'Progetto del paramento slu'!$G$54,'Progetto del paramento slu'!$G$53)</f>
        <v>-7370427.4660640666</v>
      </c>
      <c r="G722" s="553">
        <f>-'Foglio deposito bis'!$F$50*(C722-sezione!$AN$29)*IF(ABS(M722)&lt;'Progetto del paramento slu'!$G$58,ABS(M722)*'Progetto del paramento slu'!$G$54,'Progetto del paramento slu'!$G$53)</f>
        <v>0</v>
      </c>
      <c r="H722" s="553">
        <f>-'Foglio deposito bis'!$F$51*(C722-sezione!$AO$29)*IF(ABS(N722)&lt;'Progetto del paramento slu'!$G$58,ABS(N722)*'Progetto del paramento slu'!$G$54,'Progetto del paramento slu'!$G$53)</f>
        <v>30178286.189024322</v>
      </c>
      <c r="I722" s="479">
        <f>-'Foglio deposito bis'!$F$52*(C722-sezione!$AP$29)*IF(ABS(O722)&lt;'Progetto del paramento slu'!$G$58,ABS(O722)*'Progetto del paramento slu'!$G$54,'Progetto del paramento slu'!$G$53)</f>
        <v>4233118.0102941915</v>
      </c>
      <c r="J722" s="479">
        <f t="shared" si="54"/>
        <v>-352602640.30529749</v>
      </c>
      <c r="K722" s="558">
        <f>'Progetto del paramento slu'!$G$60*(sezione!$AL$29-C722)/C722</f>
        <v>-2.8480824705150874E-3</v>
      </c>
      <c r="L722" s="558">
        <f>'Progetto del paramento slu'!$G$60*(sezione!$AM$29-C722)/C722</f>
        <v>-1.0553092644315766E-3</v>
      </c>
      <c r="M722" s="559">
        <f>'Progetto del paramento slu'!$G$60*(sezione!$AN$29-C722)/C722</f>
        <v>7.3746394165193389E-4</v>
      </c>
      <c r="N722" s="559">
        <f>'Progetto del paramento slu'!$G$60*(sezione!$AO$29-C722)/C722</f>
        <v>2.0412990006217595E-3</v>
      </c>
      <c r="O722" s="559">
        <f>'Progetto del paramento slu'!$G$60*(sezione!$AP$29-C722)/C722</f>
        <v>7.3749645917293462E-4</v>
      </c>
      <c r="P722" s="553">
        <f>-'Progetto del paramento slu'!$G$47*'Progetto del paramento slu'!$G$41*IF(DATI!$G$218="dx",DATI!$E$61,DATI!$E$64*DATI!$E$63)*1000*C722*sezione!$AD$5</f>
        <v>-3027107.7410040256</v>
      </c>
      <c r="Q722" s="553">
        <f>'Foglio deposito bis'!$F$48*IF(ABS(K722)&lt;'Progetto del paramento slu'!$G$58,ABS(K722)*'Progetto del paramento slu'!$G$54,'Progetto del paramento slu'!$G$53)*IF(K722&lt;0,-1,1)</f>
        <v>0</v>
      </c>
      <c r="R722" s="553">
        <f>'Foglio deposito bis'!$F$49*IF(ABS(L722)&lt;'Progetto del paramento slu'!$G$58,ABS(L722)*'Progetto del paramento slu'!$G$54,'Progetto del paramento slu'!$G$53)*IF(L722&lt;0,-1,1)</f>
        <v>-113827.07957918648</v>
      </c>
      <c r="S722" s="553">
        <f>'Foglio deposito bis'!$F$50*IF(ABS(M722)&lt;'Progetto del paramento slu'!$G$58,ABS(M722)*'Progetto del paramento slu'!$G$54,'Progetto del paramento slu'!$G$53)*IF(M722&lt;0,-1,1)</f>
        <v>0</v>
      </c>
      <c r="T722" s="553">
        <f>'Foglio deposito bis'!$F$51*IF(ABS(N722)&lt;'Progetto del paramento slu'!$G$58,ABS(N722)*'Progetto del paramento slu'!$G$54,'Progetto del paramento slu'!$G$53)*IF(N722&lt;0,-1,1)</f>
        <v>240946.49743184328</v>
      </c>
      <c r="U722" s="553">
        <f>'Foglio deposito bis'!$F$52*IF(ABS(O722)&lt;'Progetto del paramento slu'!$G$58,ABS(O722)*'Progetto del paramento slu'!$G$54,'Progetto del paramento slu'!$G$53)*IF(O722&lt;0,-1,1)</f>
        <v>93547.697787725047</v>
      </c>
      <c r="V722" s="479">
        <f t="shared" si="55"/>
        <v>-2806440.6253636442</v>
      </c>
      <c r="W722" s="559"/>
      <c r="X722" s="559"/>
    </row>
    <row r="723" spans="1:24" x14ac:dyDescent="0.25">
      <c r="A723" s="553">
        <f t="shared" si="56"/>
        <v>2878528.2615894005</v>
      </c>
      <c r="B723" s="3">
        <f t="shared" si="53"/>
        <v>53.899999999999942</v>
      </c>
      <c r="C723" s="553">
        <f>'Foglio deposito bis'!$E$155/sezione!$B$247*B723</f>
        <v>218.81065684526891</v>
      </c>
      <c r="D723" s="611">
        <f>-'Progetto del paramento slu'!$G$47*'Progetto del paramento slu'!$G$41*IF(DATI!$G$218="dx",DATI!$E$61,DATI!$E$64*DATI!$E$63)*1000*C723^2*sezione!$AD$5*(1-sezione!$AD$6)</f>
        <v>-394132536.92510086</v>
      </c>
      <c r="E723" s="553">
        <f>-'Foglio deposito bis'!$F$48*(C723-sezione!$AL$29)*IF(ABS(K723)&lt;'Progetto del paramento slu'!$G$58,ABS(K723)*'Progetto del paramento slu'!$G$54,'Progetto del paramento slu'!$G$53)</f>
        <v>0</v>
      </c>
      <c r="F723" s="553">
        <f>-'Foglio deposito bis'!$F$49*(C723-sezione!$AM$29)*IF(ABS(L723)&lt;'Progetto del paramento slu'!$G$58,ABS(L723)*'Progetto del paramento slu'!$G$54,'Progetto del paramento slu'!$G$53)</f>
        <v>-8169149.1283387328</v>
      </c>
      <c r="G723" s="553">
        <f>-'Foglio deposito bis'!$F$50*(C723-sezione!$AN$29)*IF(ABS(M723)&lt;'Progetto del paramento slu'!$G$58,ABS(M723)*'Progetto del paramento slu'!$G$54,'Progetto del paramento slu'!$G$53)</f>
        <v>0</v>
      </c>
      <c r="H723" s="553">
        <f>-'Foglio deposito bis'!$F$51*(C723-sezione!$AO$29)*IF(ABS(N723)&lt;'Progetto del paramento slu'!$G$58,ABS(N723)*'Progetto del paramento slu'!$G$54,'Progetto del paramento slu'!$G$53)</f>
        <v>29200147.759198189</v>
      </c>
      <c r="I723" s="479">
        <f>-'Foglio deposito bis'!$F$52*(C723-sezione!$AP$29)*IF(ABS(O723)&lt;'Progetto del paramento slu'!$G$58,ABS(O723)*'Progetto del paramento slu'!$G$54,'Progetto del paramento slu'!$G$53)</f>
        <v>3442583.989280493</v>
      </c>
      <c r="J723" s="479">
        <f t="shared" si="54"/>
        <v>-369658954.30496091</v>
      </c>
      <c r="K723" s="558">
        <f>'Progetto del paramento slu'!$G$60*(sezione!$AL$29-C723)/C723</f>
        <v>-2.86017741540349E-3</v>
      </c>
      <c r="L723" s="558">
        <f>'Progetto del paramento slu'!$G$60*(sezione!$AM$29-C723)/C723</f>
        <v>-1.1006653077630874E-3</v>
      </c>
      <c r="M723" s="559">
        <f>'Progetto del paramento slu'!$G$60*(sezione!$AN$29-C723)/C723</f>
        <v>6.5884679987731536E-4</v>
      </c>
      <c r="N723" s="559">
        <f>'Progetto del paramento slu'!$G$60*(sezione!$AO$29-C723)/C723</f>
        <v>1.9384919690703356E-3</v>
      </c>
      <c r="O723" s="559">
        <f>'Progetto del paramento slu'!$G$60*(sezione!$AP$29-C723)/C723</f>
        <v>6.5887871410479114E-4</v>
      </c>
      <c r="P723" s="553">
        <f>-'Progetto del paramento slu'!$G$47*'Progetto del paramento slu'!$G$41*IF(DATI!$G$218="dx",DATI!$E$61,DATI!$E$64*DATI!$E$63)*1000*C723*sezione!$AD$5</f>
        <v>-3084330.9497186579</v>
      </c>
      <c r="Q723" s="553">
        <f>'Foglio deposito bis'!$F$48*IF(ABS(K723)&lt;'Progetto del paramento slu'!$G$58,ABS(K723)*'Progetto del paramento slu'!$G$54,'Progetto del paramento slu'!$G$53)*IF(K723&lt;0,-1,1)</f>
        <v>0</v>
      </c>
      <c r="R723" s="553">
        <f>'Foglio deposito bis'!$F$49*IF(ABS(L723)&lt;'Progetto del paramento slu'!$G$58,ABS(L723)*'Progetto del paramento slu'!$G$54,'Progetto del paramento slu'!$G$53)*IF(L723&lt;0,-1,1)</f>
        <v>-118719.24354258514</v>
      </c>
      <c r="S723" s="553">
        <f>'Foglio deposito bis'!$F$50*IF(ABS(M723)&lt;'Progetto del paramento slu'!$G$58,ABS(M723)*'Progetto del paramento slu'!$G$54,'Progetto del paramento slu'!$G$53)*IF(M723&lt;0,-1,1)</f>
        <v>0</v>
      </c>
      <c r="T723" s="553">
        <f>'Foglio deposito bis'!$F$51*IF(ABS(N723)&lt;'Progetto del paramento slu'!$G$58,ABS(N723)*'Progetto del paramento slu'!$G$54,'Progetto del paramento slu'!$G$53)*IF(N723&lt;0,-1,1)</f>
        <v>240946.49743184328</v>
      </c>
      <c r="U723" s="553">
        <f>'Foglio deposito bis'!$F$52*IF(ABS(O723)&lt;'Progetto del paramento slu'!$G$58,ABS(O723)*'Progetto del paramento slu'!$G$54,'Progetto del paramento slu'!$G$53)*IF(O723&lt;0,-1,1)</f>
        <v>83575.434239999246</v>
      </c>
      <c r="V723" s="479">
        <f t="shared" si="55"/>
        <v>-2878528.2615894005</v>
      </c>
      <c r="W723" s="559"/>
      <c r="X723" s="559"/>
    </row>
    <row r="724" spans="1:24" x14ac:dyDescent="0.25">
      <c r="A724" s="553">
        <f t="shared" si="56"/>
        <v>2957698.4654892567</v>
      </c>
      <c r="B724" s="3">
        <f t="shared" si="53"/>
        <v>54.899999999999942</v>
      </c>
      <c r="C724" s="553">
        <f>'Foglio deposito bis'!$E$155/sezione!$B$247*B724</f>
        <v>222.87022376262087</v>
      </c>
      <c r="D724" s="611">
        <f>-'Progetto del paramento slu'!$G$47*'Progetto del paramento slu'!$G$41*IF(DATI!$G$218="dx",DATI!$E$61,DATI!$E$64*DATI!$E$63)*1000*C724^2*sezione!$AD$5*(1-sezione!$AD$6)</f>
        <v>-408892784.89941305</v>
      </c>
      <c r="E724" s="553">
        <f>-'Foglio deposito bis'!$F$48*(C724-sezione!$AL$29)*IF(ABS(K724)&lt;'Progetto del paramento slu'!$G$58,ABS(K724)*'Progetto del paramento slu'!$G$54,'Progetto del paramento slu'!$G$53)</f>
        <v>0</v>
      </c>
      <c r="F724" s="553">
        <f>-'Foglio deposito bis'!$F$49*(C724-sezione!$AM$29)*IF(ABS(L724)&lt;'Progetto del paramento slu'!$G$58,ABS(L724)*'Progetto del paramento slu'!$G$54,'Progetto del paramento slu'!$G$53)</f>
        <v>-8994603.9270254169</v>
      </c>
      <c r="G724" s="553">
        <f>-'Foglio deposito bis'!$F$50*(C724-sezione!$AN$29)*IF(ABS(M724)&lt;'Progetto del paramento slu'!$G$58,ABS(M724)*'Progetto del paramento slu'!$G$54,'Progetto del paramento slu'!$G$53)</f>
        <v>0</v>
      </c>
      <c r="H724" s="553">
        <f>-'Foglio deposito bis'!$F$51*(C724-sezione!$AO$29)*IF(ABS(N724)&lt;'Progetto del paramento slu'!$G$58,ABS(N724)*'Progetto del paramento slu'!$G$54,'Progetto del paramento slu'!$G$53)</f>
        <v>27329002.911215439</v>
      </c>
      <c r="I724" s="479">
        <f>-'Foglio deposito bis'!$F$52*(C724-sezione!$AP$29)*IF(ABS(O724)&lt;'Progetto del paramento slu'!$G$58,ABS(O724)*'Progetto del paramento slu'!$G$54,'Progetto del paramento slu'!$G$53)</f>
        <v>2746505.6483757957</v>
      </c>
      <c r="J724" s="479">
        <f t="shared" si="54"/>
        <v>-387811880.26684725</v>
      </c>
      <c r="K724" s="558">
        <f>'Progetto del paramento slu'!$G$60*(sezione!$AL$29-C724)/C724</f>
        <v>-2.8718317429917688E-3</v>
      </c>
      <c r="L724" s="558">
        <f>'Progetto del paramento slu'!$G$60*(sezione!$AM$29-C724)/C724</f>
        <v>-1.1443690362191333E-3</v>
      </c>
      <c r="M724" s="559">
        <f>'Progetto del paramento slu'!$G$60*(sezione!$AN$29-C724)/C724</f>
        <v>5.8309367055350218E-4</v>
      </c>
      <c r="N724" s="559">
        <f>'Progetto del paramento slu'!$G$60*(sezione!$AO$29-C724)/C724</f>
        <v>1.8394301845699645E-3</v>
      </c>
      <c r="O724" s="559">
        <f>'Progetto del paramento slu'!$G$60*(sezione!$AP$29-C724)/C724</f>
        <v>5.8312500346535895E-4</v>
      </c>
      <c r="P724" s="553">
        <f>-'Progetto del paramento slu'!$G$47*'Progetto del paramento slu'!$G$41*IF(DATI!$G$218="dx",DATI!$E$61,DATI!$E$64*DATI!$E$63)*1000*C724*sezione!$AD$5</f>
        <v>-3141554.1584332897</v>
      </c>
      <c r="Q724" s="553">
        <f>'Foglio deposito bis'!$F$48*IF(ABS(K724)&lt;'Progetto del paramento slu'!$G$58,ABS(K724)*'Progetto del paramento slu'!$G$54,'Progetto del paramento slu'!$G$53)*IF(K724&lt;0,-1,1)</f>
        <v>0</v>
      </c>
      <c r="R724" s="553">
        <f>'Foglio deposito bis'!$F$49*IF(ABS(L724)&lt;'Progetto del paramento slu'!$G$58,ABS(L724)*'Progetto del paramento slu'!$G$54,'Progetto del paramento slu'!$G$53)*IF(L724&lt;0,-1,1)</f>
        <v>-123433.18659657036</v>
      </c>
      <c r="S724" s="553">
        <f>'Foglio deposito bis'!$F$50*IF(ABS(M724)&lt;'Progetto del paramento slu'!$G$58,ABS(M724)*'Progetto del paramento slu'!$G$54,'Progetto del paramento slu'!$G$53)*IF(M724&lt;0,-1,1)</f>
        <v>0</v>
      </c>
      <c r="T724" s="553">
        <f>'Foglio deposito bis'!$F$51*IF(ABS(N724)&lt;'Progetto del paramento slu'!$G$58,ABS(N724)*'Progetto del paramento slu'!$G$54,'Progetto del paramento slu'!$G$53)*IF(N724&lt;0,-1,1)</f>
        <v>233322.42055879594</v>
      </c>
      <c r="U724" s="553">
        <f>'Foglio deposito bis'!$F$52*IF(ABS(O724)&lt;'Progetto del paramento slu'!$G$58,ABS(O724)*'Progetto del paramento slu'!$G$54,'Progetto del paramento slu'!$G$53)*IF(O724&lt;0,-1,1)</f>
        <v>73966.458981808013</v>
      </c>
      <c r="V724" s="479">
        <f t="shared" si="55"/>
        <v>-2957698.4654892567</v>
      </c>
      <c r="W724" s="559"/>
      <c r="X724" s="559"/>
    </row>
    <row r="725" spans="1:24" x14ac:dyDescent="0.25">
      <c r="A725" s="553">
        <f t="shared" si="56"/>
        <v>3040848.0610557632</v>
      </c>
      <c r="B725" s="3">
        <f t="shared" si="53"/>
        <v>55.899999999999942</v>
      </c>
      <c r="C725" s="553">
        <f>'Foglio deposito bis'!$E$155/sezione!$B$247*B725</f>
        <v>226.9297906799728</v>
      </c>
      <c r="D725" s="611">
        <f>-'Progetto del paramento slu'!$G$47*'Progetto del paramento slu'!$G$41*IF(DATI!$G$218="dx",DATI!$E$61,DATI!$E$64*DATI!$E$63)*1000*C725^2*sezione!$AD$5*(1-sezione!$AD$6)</f>
        <v>-423924360.96148813</v>
      </c>
      <c r="E725" s="553">
        <f>-'Foglio deposito bis'!$F$48*(C725-sezione!$AL$29)*IF(ABS(K725)&lt;'Progetto del paramento slu'!$G$58,ABS(K725)*'Progetto del paramento slu'!$G$54,'Progetto del paramento slu'!$G$53)</f>
        <v>0</v>
      </c>
      <c r="F725" s="553">
        <f>-'Foglio deposito bis'!$F$49*(C725-sezione!$AM$29)*IF(ABS(L725)&lt;'Progetto del paramento slu'!$G$58,ABS(L725)*'Progetto del paramento slu'!$G$54,'Progetto del paramento slu'!$G$53)</f>
        <v>-9845357.1678622887</v>
      </c>
      <c r="G725" s="553">
        <f>-'Foglio deposito bis'!$F$50*(C725-sezione!$AN$29)*IF(ABS(M725)&lt;'Progetto del paramento slu'!$G$58,ABS(M725)*'Progetto del paramento slu'!$G$54,'Progetto del paramento slu'!$G$53)</f>
        <v>0</v>
      </c>
      <c r="H725" s="553">
        <f>-'Foglio deposito bis'!$F$51*(C725-sezione!$AO$29)*IF(ABS(N725)&lt;'Progetto del paramento slu'!$G$58,ABS(N725)*'Progetto del paramento slu'!$G$54,'Progetto del paramento slu'!$G$53)</f>
        <v>25011865.725691512</v>
      </c>
      <c r="I725" s="479">
        <f>-'Foglio deposito bis'!$F$52*(C725-sezione!$AP$29)*IF(ABS(O725)&lt;'Progetto del paramento slu'!$G$58,ABS(O725)*'Progetto del paramento slu'!$G$54,'Progetto del paramento slu'!$G$53)</f>
        <v>2139813.8097567298</v>
      </c>
      <c r="J725" s="479">
        <f t="shared" si="54"/>
        <v>-406618038.59390217</v>
      </c>
      <c r="K725" s="558">
        <f>'Progetto del paramento slu'!$G$60*(sezione!$AL$29-C725)/C725</f>
        <v>-2.8830691000044386E-3</v>
      </c>
      <c r="L725" s="558">
        <f>'Progetto del paramento slu'!$G$60*(sezione!$AM$29-C725)/C725</f>
        <v>-1.1865091250166445E-3</v>
      </c>
      <c r="M725" s="559">
        <f>'Progetto del paramento slu'!$G$60*(sezione!$AN$29-C725)/C725</f>
        <v>5.1005084997114974E-4</v>
      </c>
      <c r="N725" s="559">
        <f>'Progetto del paramento slu'!$G$60*(sezione!$AO$29-C725)/C725</f>
        <v>1.7439126499622726E-3</v>
      </c>
      <c r="O725" s="559">
        <f>'Progetto del paramento slu'!$G$60*(sezione!$AP$29-C725)/C725</f>
        <v>5.1008162236579986E-4</v>
      </c>
      <c r="P725" s="553">
        <f>-'Progetto del paramento slu'!$G$47*'Progetto del paramento slu'!$G$41*IF(DATI!$G$218="dx",DATI!$E$61,DATI!$E$64*DATI!$E$63)*1000*C725*sezione!$AD$5</f>
        <v>-3198777.3671479221</v>
      </c>
      <c r="Q725" s="553">
        <f>'Foglio deposito bis'!$F$48*IF(ABS(K725)&lt;'Progetto del paramento slu'!$G$58,ABS(K725)*'Progetto del paramento slu'!$G$54,'Progetto del paramento slu'!$G$53)*IF(K725&lt;0,-1,1)</f>
        <v>0</v>
      </c>
      <c r="R725" s="553">
        <f>'Foglio deposito bis'!$F$49*IF(ABS(L725)&lt;'Progetto del paramento slu'!$G$58,ABS(L725)*'Progetto del paramento slu'!$G$54,'Progetto del paramento slu'!$G$53)*IF(L725&lt;0,-1,1)</f>
        <v>-127978.47336955433</v>
      </c>
      <c r="S725" s="553">
        <f>'Foglio deposito bis'!$F$50*IF(ABS(M725)&lt;'Progetto del paramento slu'!$G$58,ABS(M725)*'Progetto del paramento slu'!$G$54,'Progetto del paramento slu'!$G$53)*IF(M725&lt;0,-1,1)</f>
        <v>0</v>
      </c>
      <c r="T725" s="553">
        <f>'Foglio deposito bis'!$F$51*IF(ABS(N725)&lt;'Progetto del paramento slu'!$G$58,ABS(N725)*'Progetto del paramento slu'!$G$54,'Progetto del paramento slu'!$G$53)*IF(N725&lt;0,-1,1)</f>
        <v>221206.50413672987</v>
      </c>
      <c r="U725" s="553">
        <f>'Foglio deposito bis'!$F$52*IF(ABS(O725)&lt;'Progetto del paramento slu'!$G$58,ABS(O725)*'Progetto del paramento slu'!$G$54,'Progetto del paramento slu'!$G$53)*IF(O725&lt;0,-1,1)</f>
        <v>64701.275324983282</v>
      </c>
      <c r="V725" s="479">
        <f t="shared" si="55"/>
        <v>-3040848.0610557632</v>
      </c>
      <c r="W725" s="559"/>
      <c r="X725" s="559"/>
    </row>
    <row r="726" spans="1:24" x14ac:dyDescent="0.25">
      <c r="A726" s="553">
        <f t="shared" si="56"/>
        <v>3123086.3600721154</v>
      </c>
      <c r="B726" s="3">
        <f t="shared" si="53"/>
        <v>56.899999999999942</v>
      </c>
      <c r="C726" s="553">
        <f>'Foglio deposito bis'!$E$155/sezione!$B$247*B726</f>
        <v>230.98935759732473</v>
      </c>
      <c r="D726" s="611">
        <f>-'Progetto del paramento slu'!$G$47*'Progetto del paramento slu'!$G$41*IF(DATI!$G$218="dx",DATI!$E$61,DATI!$E$64*DATI!$E$63)*1000*C726^2*sezione!$AD$5*(1-sezione!$AD$6)</f>
        <v>-439227265.11132628</v>
      </c>
      <c r="E726" s="553">
        <f>-'Foglio deposito bis'!$F$48*(C726-sezione!$AL$29)*IF(ABS(K726)&lt;'Progetto del paramento slu'!$G$58,ABS(K726)*'Progetto del paramento slu'!$G$54,'Progetto del paramento slu'!$G$53)</f>
        <v>0</v>
      </c>
      <c r="F726" s="553">
        <f>-'Foglio deposito bis'!$F$49*(C726-sezione!$AM$29)*IF(ABS(L726)&lt;'Progetto del paramento slu'!$G$58,ABS(L726)*'Progetto del paramento slu'!$G$54,'Progetto del paramento slu'!$G$53)</f>
        <v>-10720075.013829127</v>
      </c>
      <c r="G726" s="553">
        <f>-'Foglio deposito bis'!$F$50*(C726-sezione!$AN$29)*IF(ABS(M726)&lt;'Progetto del paramento slu'!$G$58,ABS(M726)*'Progetto del paramento slu'!$G$54,'Progetto del paramento slu'!$G$53)</f>
        <v>0</v>
      </c>
      <c r="H726" s="553">
        <f>-'Foglio deposito bis'!$F$51*(C726-sezione!$AO$29)*IF(ABS(N726)&lt;'Progetto del paramento slu'!$G$58,ABS(N726)*'Progetto del paramento slu'!$G$54,'Progetto del paramento slu'!$G$53)</f>
        <v>22839523.323418994</v>
      </c>
      <c r="I726" s="479">
        <f>-'Foglio deposito bis'!$F$52*(C726-sezione!$AP$29)*IF(ABS(O726)&lt;'Progetto del paramento slu'!$G$58,ABS(O726)*'Progetto del paramento slu'!$G$54,'Progetto del paramento slu'!$G$53)</f>
        <v>1617795.6525646436</v>
      </c>
      <c r="J726" s="479">
        <f t="shared" si="54"/>
        <v>-425490021.14917177</v>
      </c>
      <c r="K726" s="558">
        <f>'Progetto del paramento slu'!$G$60*(sezione!$AL$29-C726)/C726</f>
        <v>-2.8939114708303711E-3</v>
      </c>
      <c r="L726" s="558">
        <f>'Progetto del paramento slu'!$G$60*(sezione!$AM$29-C726)/C726</f>
        <v>-1.2271680156138915E-3</v>
      </c>
      <c r="M726" s="559">
        <f>'Progetto del paramento slu'!$G$60*(sezione!$AN$29-C726)/C726</f>
        <v>4.3957543960258816E-4</v>
      </c>
      <c r="N726" s="559">
        <f>'Progetto del paramento slu'!$G$60*(sezione!$AO$29-C726)/C726</f>
        <v>1.6517524979418462E-3</v>
      </c>
      <c r="O726" s="559">
        <f>'Progetto del paramento slu'!$G$60*(sezione!$AP$29-C726)/C726</f>
        <v>4.3960567118186657E-4</v>
      </c>
      <c r="P726" s="553">
        <f>-'Progetto del paramento slu'!$G$47*'Progetto del paramento slu'!$G$41*IF(DATI!$G$218="dx",DATI!$E$61,DATI!$E$64*DATI!$E$63)*1000*C726*sezione!$AD$5</f>
        <v>-3256000.5758625534</v>
      </c>
      <c r="Q726" s="553">
        <f>'Foglio deposito bis'!$F$48*IF(ABS(K726)&lt;'Progetto del paramento slu'!$G$58,ABS(K726)*'Progetto del paramento slu'!$G$54,'Progetto del paramento slu'!$G$53)*IF(K726&lt;0,-1,1)</f>
        <v>0</v>
      </c>
      <c r="R726" s="553">
        <f>'Foglio deposito bis'!$F$49*IF(ABS(L726)&lt;'Progetto del paramento slu'!$G$58,ABS(L726)*'Progetto del paramento slu'!$G$54,'Progetto del paramento slu'!$G$53)*IF(L726&lt;0,-1,1)</f>
        <v>-132363.9961083385</v>
      </c>
      <c r="S726" s="553">
        <f>'Foglio deposito bis'!$F$50*IF(ABS(M726)&lt;'Progetto del paramento slu'!$G$58,ABS(M726)*'Progetto del paramento slu'!$G$54,'Progetto del paramento slu'!$G$53)*IF(M726&lt;0,-1,1)</f>
        <v>0</v>
      </c>
      <c r="T726" s="553">
        <f>'Foglio deposito bis'!$F$51*IF(ABS(N726)&lt;'Progetto del paramento slu'!$G$58,ABS(N726)*'Progetto del paramento slu'!$G$54,'Progetto del paramento slu'!$G$53)*IF(N726&lt;0,-1,1)</f>
        <v>209516.45472422685</v>
      </c>
      <c r="U726" s="553">
        <f>'Foglio deposito bis'!$F$52*IF(ABS(O726)&lt;'Progetto del paramento slu'!$G$58,ABS(O726)*'Progetto del paramento slu'!$G$54,'Progetto del paramento slu'!$G$53)*IF(O726&lt;0,-1,1)</f>
        <v>55761.757174549559</v>
      </c>
      <c r="V726" s="479">
        <f t="shared" si="55"/>
        <v>-3123086.3600721154</v>
      </c>
      <c r="W726" s="559"/>
      <c r="X726" s="559"/>
    </row>
    <row r="727" spans="1:24" x14ac:dyDescent="0.25">
      <c r="A727" s="553">
        <f t="shared" si="56"/>
        <v>3204460.579976147</v>
      </c>
      <c r="B727" s="3">
        <f t="shared" si="53"/>
        <v>57.899999999999942</v>
      </c>
      <c r="C727" s="553">
        <f>'Foglio deposito bis'!$E$155/sezione!$B$247*B727</f>
        <v>235.04892451467666</v>
      </c>
      <c r="D727" s="611">
        <f>-'Progetto del paramento slu'!$G$47*'Progetto del paramento slu'!$G$41*IF(DATI!$G$218="dx",DATI!$E$61,DATI!$E$64*DATI!$E$63)*1000*C727^2*sezione!$AD$5*(1-sezione!$AD$6)</f>
        <v>-454801497.34892756</v>
      </c>
      <c r="E727" s="553">
        <f>-'Foglio deposito bis'!$F$48*(C727-sezione!$AL$29)*IF(ABS(K727)&lt;'Progetto del paramento slu'!$G$58,ABS(K727)*'Progetto del paramento slu'!$G$54,'Progetto del paramento slu'!$G$53)</f>
        <v>0</v>
      </c>
      <c r="F727" s="553">
        <f>-'Foglio deposito bis'!$F$49*(C727-sezione!$AM$29)*IF(ABS(L727)&lt;'Progetto del paramento slu'!$G$58,ABS(L727)*'Progetto del paramento slu'!$G$54,'Progetto del paramento slu'!$G$53)</f>
        <v>-11617515.775540959</v>
      </c>
      <c r="G727" s="553">
        <f>-'Foglio deposito bis'!$F$50*(C727-sezione!$AN$29)*IF(ABS(M727)&lt;'Progetto del paramento slu'!$G$58,ABS(M727)*'Progetto del paramento slu'!$G$54,'Progetto del paramento slu'!$G$53)</f>
        <v>0</v>
      </c>
      <c r="H727" s="553">
        <f>-'Foglio deposito bis'!$F$51*(C727-sezione!$AO$29)*IF(ABS(N727)&lt;'Progetto del paramento slu'!$G$58,ABS(N727)*'Progetto del paramento slu'!$G$54,'Progetto del paramento slu'!$G$53)</f>
        <v>20804473.384022158</v>
      </c>
      <c r="I727" s="479">
        <f>-'Foglio deposito bis'!$F$52*(C727-sezione!$AP$29)*IF(ABS(O727)&lt;'Progetto del paramento slu'!$G$58,ABS(O727)*'Progetto del paramento slu'!$G$54,'Progetto del paramento slu'!$G$53)</f>
        <v>1176063.9394199015</v>
      </c>
      <c r="J727" s="479">
        <f t="shared" si="54"/>
        <v>-444438475.8010264</v>
      </c>
      <c r="K727" s="558">
        <f>'Progetto del paramento slu'!$G$60*(sezione!$AL$29-C727)/C727</f>
        <v>-2.904379321075097E-3</v>
      </c>
      <c r="L727" s="558">
        <f>'Progetto del paramento slu'!$G$60*(sezione!$AM$29-C727)/C727</f>
        <v>-1.2664224540316134E-3</v>
      </c>
      <c r="M727" s="559">
        <f>'Progetto del paramento slu'!$G$60*(sezione!$AN$29-C727)/C727</f>
        <v>3.7153441301186985E-4</v>
      </c>
      <c r="N727" s="559">
        <f>'Progetto del paramento slu'!$G$60*(sezione!$AO$29-C727)/C727</f>
        <v>1.5627757708616759E-3</v>
      </c>
      <c r="O727" s="559">
        <f>'Progetto del paramento slu'!$G$60*(sezione!$AP$29-C727)/C727</f>
        <v>3.7156412245679108E-4</v>
      </c>
      <c r="P727" s="553">
        <f>-'Progetto del paramento slu'!$G$47*'Progetto del paramento slu'!$G$41*IF(DATI!$G$218="dx",DATI!$E$61,DATI!$E$64*DATI!$E$63)*1000*C727*sezione!$AD$5</f>
        <v>-3313223.7845771858</v>
      </c>
      <c r="Q727" s="553">
        <f>'Foglio deposito bis'!$F$48*IF(ABS(K727)&lt;'Progetto del paramento slu'!$G$58,ABS(K727)*'Progetto del paramento slu'!$G$54,'Progetto del paramento slu'!$G$53)*IF(K727&lt;0,-1,1)</f>
        <v>0</v>
      </c>
      <c r="R727" s="553">
        <f>'Foglio deposito bis'!$F$49*IF(ABS(L727)&lt;'Progetto del paramento slu'!$G$58,ABS(L727)*'Progetto del paramento slu'!$G$54,'Progetto del paramento slu'!$G$53)*IF(L727&lt;0,-1,1)</f>
        <v>-136598.03274215604</v>
      </c>
      <c r="S727" s="553">
        <f>'Foglio deposito bis'!$F$50*IF(ABS(M727)&lt;'Progetto del paramento slu'!$G$58,ABS(M727)*'Progetto del paramento slu'!$G$54,'Progetto del paramento slu'!$G$53)*IF(M727&lt;0,-1,1)</f>
        <v>0</v>
      </c>
      <c r="T727" s="553">
        <f>'Foglio deposito bis'!$F$51*IF(ABS(N727)&lt;'Progetto del paramento slu'!$G$58,ABS(N727)*'Progetto del paramento slu'!$G$54,'Progetto del paramento slu'!$G$53)*IF(N727&lt;0,-1,1)</f>
        <v>198230.2066731228</v>
      </c>
      <c r="U727" s="553">
        <f>'Foglio deposito bis'!$F$52*IF(ABS(O727)&lt;'Progetto del paramento slu'!$G$58,ABS(O727)*'Progetto del paramento slu'!$G$54,'Progetto del paramento slu'!$G$53)*IF(O727&lt;0,-1,1)</f>
        <v>47131.03067007209</v>
      </c>
      <c r="V727" s="479">
        <f t="shared" si="55"/>
        <v>-3204460.579976147</v>
      </c>
      <c r="W727" s="559"/>
      <c r="X727" s="559"/>
    </row>
    <row r="728" spans="1:24" x14ac:dyDescent="0.25">
      <c r="A728" s="553">
        <f t="shared" si="56"/>
        <v>3285014.7315885164</v>
      </c>
      <c r="B728" s="3">
        <f t="shared" si="53"/>
        <v>58.899999999999942</v>
      </c>
      <c r="C728" s="553">
        <f>'Foglio deposito bis'!$E$155/sezione!$B$247*B728</f>
        <v>239.10849143202859</v>
      </c>
      <c r="D728" s="611">
        <f>-'Progetto del paramento slu'!$G$47*'Progetto del paramento slu'!$G$41*IF(DATI!$G$218="dx",DATI!$E$61,DATI!$E$64*DATI!$E$63)*1000*C728^2*sezione!$AD$5*(1-sezione!$AD$6)</f>
        <v>-470647057.67429185</v>
      </c>
      <c r="E728" s="553">
        <f>-'Foglio deposito bis'!$F$48*(C728-sezione!$AL$29)*IF(ABS(K728)&lt;'Progetto del paramento slu'!$G$58,ABS(K728)*'Progetto del paramento slu'!$G$54,'Progetto del paramento slu'!$G$53)</f>
        <v>0</v>
      </c>
      <c r="F728" s="553">
        <f>-'Foglio deposito bis'!$F$49*(C728-sezione!$AM$29)*IF(ABS(L728)&lt;'Progetto del paramento slu'!$G$58,ABS(L728)*'Progetto del paramento slu'!$G$54,'Progetto del paramento slu'!$G$53)</f>
        <v>-12536522.088868162</v>
      </c>
      <c r="G728" s="553">
        <f>-'Foglio deposito bis'!$F$50*(C728-sezione!$AN$29)*IF(ABS(M728)&lt;'Progetto del paramento slu'!$G$58,ABS(M728)*'Progetto del paramento slu'!$G$54,'Progetto del paramento slu'!$G$53)</f>
        <v>0</v>
      </c>
      <c r="H728" s="553">
        <f>-'Foglio deposito bis'!$F$51*(C728-sezione!$AO$29)*IF(ABS(N728)&lt;'Progetto del paramento slu'!$G$58,ABS(N728)*'Progetto del paramento slu'!$G$54,'Progetto del paramento slu'!$G$53)</f>
        <v>18899723.082566764</v>
      </c>
      <c r="I728" s="479">
        <f>-'Foglio deposito bis'!$F$52*(C728-sezione!$AP$29)*IF(ABS(O728)&lt;'Progetto del paramento slu'!$G$58,ABS(O728)*'Progetto del paramento slu'!$G$54,'Progetto del paramento slu'!$G$53)</f>
        <v>810529.37775642541</v>
      </c>
      <c r="J728" s="479">
        <f t="shared" si="54"/>
        <v>-463473327.30283684</v>
      </c>
      <c r="K728" s="558">
        <f>'Progetto del paramento slu'!$G$60*(sezione!$AL$29-C728)/C728</f>
        <v>-2.9144917264897815E-3</v>
      </c>
      <c r="L728" s="558">
        <f>'Progetto del paramento slu'!$G$60*(sezione!$AM$29-C728)/C728</f>
        <v>-1.3043439743366796E-3</v>
      </c>
      <c r="M728" s="559">
        <f>'Progetto del paramento slu'!$G$60*(sezione!$AN$29-C728)/C728</f>
        <v>3.0580377781642216E-4</v>
      </c>
      <c r="N728" s="559">
        <f>'Progetto del paramento slu'!$G$60*(sezione!$AO$29-C728)/C728</f>
        <v>1.4768203248368599E-3</v>
      </c>
      <c r="O728" s="559">
        <f>'Progetto del paramento slu'!$G$60*(sezione!$AP$29-C728)/C728</f>
        <v>3.0583298285650606E-4</v>
      </c>
      <c r="P728" s="553">
        <f>-'Progetto del paramento slu'!$G$47*'Progetto del paramento slu'!$G$41*IF(DATI!$G$218="dx",DATI!$E$61,DATI!$E$64*DATI!$E$63)*1000*C728*sezione!$AD$5</f>
        <v>-3370446.9932918171</v>
      </c>
      <c r="Q728" s="553">
        <f>'Foglio deposito bis'!$F$48*IF(ABS(K728)&lt;'Progetto del paramento slu'!$G$58,ABS(K728)*'Progetto del paramento slu'!$G$54,'Progetto del paramento slu'!$G$53)*IF(K728&lt;0,-1,1)</f>
        <v>0</v>
      </c>
      <c r="R728" s="553">
        <f>'Foglio deposito bis'!$F$49*IF(ABS(L728)&lt;'Progetto del paramento slu'!$G$58,ABS(L728)*'Progetto del paramento slu'!$G$54,'Progetto del paramento slu'!$G$53)*IF(L728&lt;0,-1,1)</f>
        <v>-140688.29903187111</v>
      </c>
      <c r="S728" s="553">
        <f>'Foglio deposito bis'!$F$50*IF(ABS(M728)&lt;'Progetto del paramento slu'!$G$58,ABS(M728)*'Progetto del paramento slu'!$G$54,'Progetto del paramento slu'!$G$53)*IF(M728&lt;0,-1,1)</f>
        <v>0</v>
      </c>
      <c r="T728" s="553">
        <f>'Foglio deposito bis'!$F$51*IF(ABS(N728)&lt;'Progetto del paramento slu'!$G$58,ABS(N728)*'Progetto del paramento slu'!$G$54,'Progetto del paramento slu'!$G$53)*IF(N728&lt;0,-1,1)</f>
        <v>187327.19285125835</v>
      </c>
      <c r="U728" s="553">
        <f>'Foglio deposito bis'!$F$52*IF(ABS(O728)&lt;'Progetto del paramento slu'!$G$58,ABS(O728)*'Progetto del paramento slu'!$G$54,'Progetto del paramento slu'!$G$53)*IF(O728&lt;0,-1,1)</f>
        <v>38793.367883913059</v>
      </c>
      <c r="V728" s="479">
        <f t="shared" si="55"/>
        <v>-3285014.7315885164</v>
      </c>
      <c r="W728" s="559"/>
      <c r="X728" s="559"/>
    </row>
    <row r="729" spans="1:24" x14ac:dyDescent="0.25">
      <c r="A729" s="553">
        <f t="shared" si="56"/>
        <v>3364789.8867769223</v>
      </c>
      <c r="B729" s="3">
        <f t="shared" si="53"/>
        <v>59.899999999999942</v>
      </c>
      <c r="C729" s="553">
        <f>'Foglio deposito bis'!$E$155/sezione!$B$247*B729</f>
        <v>243.16805834938052</v>
      </c>
      <c r="D729" s="611">
        <f>-'Progetto del paramento slu'!$G$47*'Progetto del paramento slu'!$G$41*IF(DATI!$G$218="dx",DATI!$E$61,DATI!$E$64*DATI!$E$63)*1000*C729^2*sezione!$AD$5*(1-sezione!$AD$6)</f>
        <v>-486763946.08741939</v>
      </c>
      <c r="E729" s="553">
        <f>-'Foglio deposito bis'!$F$48*(C729-sezione!$AL$29)*IF(ABS(K729)&lt;'Progetto del paramento slu'!$G$58,ABS(K729)*'Progetto del paramento slu'!$G$54,'Progetto del paramento slu'!$G$53)</f>
        <v>0</v>
      </c>
      <c r="F729" s="553">
        <f>-'Foglio deposito bis'!$F$49*(C729-sezione!$AM$29)*IF(ABS(L729)&lt;'Progetto del paramento slu'!$G$58,ABS(L729)*'Progetto del paramento slu'!$G$54,'Progetto del paramento slu'!$G$53)</f>
        <v>-13476013.876100447</v>
      </c>
      <c r="G729" s="553">
        <f>-'Foglio deposito bis'!$F$50*(C729-sezione!$AN$29)*IF(ABS(M729)&lt;'Progetto del paramento slu'!$G$58,ABS(M729)*'Progetto del paramento slu'!$G$54,'Progetto del paramento slu'!$G$53)</f>
        <v>0</v>
      </c>
      <c r="H729" s="553">
        <f>-'Foglio deposito bis'!$F$51*(C729-sezione!$AO$29)*IF(ABS(N729)&lt;'Progetto del paramento slu'!$G$58,ABS(N729)*'Progetto del paramento slu'!$G$54,'Progetto del paramento slu'!$G$53)</f>
        <v>17118746.560725186</v>
      </c>
      <c r="I729" s="479">
        <f>-'Foglio deposito bis'!$F$52*(C729-sezione!$AP$29)*IF(ABS(O729)&lt;'Progetto del paramento slu'!$G$58,ABS(O729)*'Progetto del paramento slu'!$G$54,'Progetto del paramento slu'!$G$53)</f>
        <v>517375.74963692244</v>
      </c>
      <c r="J729" s="479">
        <f t="shared" si="54"/>
        <v>-482603837.65315765</v>
      </c>
      <c r="K729" s="558">
        <f>'Progetto del paramento slu'!$G$60*(sezione!$AL$29-C729)/C729</f>
        <v>-2.9242664889857781E-3</v>
      </c>
      <c r="L729" s="558">
        <f>'Progetto del paramento slu'!$G$60*(sezione!$AM$29-C729)/C729</f>
        <v>-1.3409993336966682E-3</v>
      </c>
      <c r="M729" s="559">
        <f>'Progetto del paramento slu'!$G$60*(sezione!$AN$29-C729)/C729</f>
        <v>2.4226782159244179E-4</v>
      </c>
      <c r="N729" s="559">
        <f>'Progetto del paramento slu'!$G$60*(sezione!$AO$29-C729)/C729</f>
        <v>1.3937348436208854E-3</v>
      </c>
      <c r="O729" s="559">
        <f>'Progetto del paramento slu'!$G$60*(sezione!$AP$29-C729)/C729</f>
        <v>2.4229653906925213E-4</v>
      </c>
      <c r="P729" s="553">
        <f>-'Progetto del paramento slu'!$G$47*'Progetto del paramento slu'!$G$41*IF(DATI!$G$218="dx",DATI!$E$61,DATI!$E$64*DATI!$E$63)*1000*C729*sezione!$AD$5</f>
        <v>-3427670.202006449</v>
      </c>
      <c r="Q729" s="553">
        <f>'Foglio deposito bis'!$F$48*IF(ABS(K729)&lt;'Progetto del paramento slu'!$G$58,ABS(K729)*'Progetto del paramento slu'!$G$54,'Progetto del paramento slu'!$G$53)*IF(K729&lt;0,-1,1)</f>
        <v>0</v>
      </c>
      <c r="R729" s="553">
        <f>'Foglio deposito bis'!$F$49*IF(ABS(L729)&lt;'Progetto del paramento slu'!$G$58,ABS(L729)*'Progetto del paramento slu'!$G$54,'Progetto del paramento slu'!$G$53)*IF(L729&lt;0,-1,1)</f>
        <v>-144641.99549555226</v>
      </c>
      <c r="S729" s="553">
        <f>'Foglio deposito bis'!$F$50*IF(ABS(M729)&lt;'Progetto del paramento slu'!$G$58,ABS(M729)*'Progetto del paramento slu'!$G$54,'Progetto del paramento slu'!$G$53)*IF(M729&lt;0,-1,1)</f>
        <v>0</v>
      </c>
      <c r="T729" s="553">
        <f>'Foglio deposito bis'!$F$51*IF(ABS(N729)&lt;'Progetto del paramento slu'!$G$58,ABS(N729)*'Progetto del paramento slu'!$G$54,'Progetto del paramento slu'!$G$53)*IF(N729&lt;0,-1,1)</f>
        <v>176788.21955766977</v>
      </c>
      <c r="U729" s="553">
        <f>'Foglio deposito bis'!$F$52*IF(ABS(O729)&lt;'Progetto del paramento slu'!$G$58,ABS(O729)*'Progetto del paramento slu'!$G$54,'Progetto del paramento slu'!$G$53)*IF(O729&lt;0,-1,1)</f>
        <v>30734.09116740874</v>
      </c>
      <c r="V729" s="479">
        <f t="shared" si="55"/>
        <v>-3364789.8867769223</v>
      </c>
      <c r="W729" s="559"/>
      <c r="X729" s="559"/>
    </row>
    <row r="730" spans="1:24" x14ac:dyDescent="0.25">
      <c r="A730" s="553">
        <f t="shared" si="56"/>
        <v>3443824.4197494416</v>
      </c>
      <c r="B730" s="3">
        <f t="shared" si="53"/>
        <v>60.899999999999942</v>
      </c>
      <c r="C730" s="553">
        <f>'Foglio deposito bis'!$E$155/sezione!$B$247*B730</f>
        <v>247.22762526673245</v>
      </c>
      <c r="D730" s="611">
        <f>-'Progetto del paramento slu'!$G$47*'Progetto del paramento slu'!$G$41*IF(DATI!$G$218="dx",DATI!$E$61,DATI!$E$64*DATI!$E$63)*1000*C730^2*sezione!$AD$5*(1-sezione!$AD$6)</f>
        <v>-503152162.58830988</v>
      </c>
      <c r="E730" s="553">
        <f>-'Foglio deposito bis'!$F$48*(C730-sezione!$AL$29)*IF(ABS(K730)&lt;'Progetto del paramento slu'!$G$58,ABS(K730)*'Progetto del paramento slu'!$G$54,'Progetto del paramento slu'!$G$53)</f>
        <v>0</v>
      </c>
      <c r="F730" s="553">
        <f>-'Foglio deposito bis'!$F$49*(C730-sezione!$AM$29)*IF(ABS(L730)&lt;'Progetto del paramento slu'!$G$58,ABS(L730)*'Progetto del paramento slu'!$G$54,'Progetto del paramento slu'!$G$53)</f>
        <v>-14434982.000592249</v>
      </c>
      <c r="G730" s="553">
        <f>-'Foglio deposito bis'!$F$50*(C730-sezione!$AN$29)*IF(ABS(M730)&lt;'Progetto del paramento slu'!$G$58,ABS(M730)*'Progetto del paramento slu'!$G$54,'Progetto del paramento slu'!$G$53)</f>
        <v>0</v>
      </c>
      <c r="H730" s="553">
        <f>-'Foglio deposito bis'!$F$51*(C730-sezione!$AO$29)*IF(ABS(N730)&lt;'Progetto del paramento slu'!$G$58,ABS(N730)*'Progetto del paramento slu'!$G$54,'Progetto del paramento slu'!$G$53)</f>
        <v>15455446.587974584</v>
      </c>
      <c r="I730" s="479">
        <f>-'Foglio deposito bis'!$F$52*(C730-sezione!$AP$29)*IF(ABS(O730)&lt;'Progetto del paramento slu'!$G$58,ABS(O730)*'Progetto del paramento slu'!$G$54,'Progetto del paramento slu'!$G$53)</f>
        <v>293037.49183262588</v>
      </c>
      <c r="J730" s="479">
        <f t="shared" si="54"/>
        <v>-501838660.50909489</v>
      </c>
      <c r="K730" s="558">
        <f>'Progetto del paramento slu'!$G$60*(sezione!$AL$29-C730)/C730</f>
        <v>-2.9337202412191808E-3</v>
      </c>
      <c r="L730" s="558">
        <f>'Progetto del paramento slu'!$G$60*(sezione!$AM$29-C730)/C730</f>
        <v>-1.3764509045719282E-3</v>
      </c>
      <c r="M730" s="559">
        <f>'Progetto del paramento slu'!$G$60*(sezione!$AN$29-C730)/C730</f>
        <v>1.8081843207532451E-4</v>
      </c>
      <c r="N730" s="559">
        <f>'Progetto del paramento slu'!$G$60*(sezione!$AO$29-C730)/C730</f>
        <v>1.3133779496369629E-3</v>
      </c>
      <c r="O730" s="559">
        <f>'Progetto del paramento slu'!$G$60*(sezione!$AP$29-C730)/C730</f>
        <v>1.8084667800079147E-4</v>
      </c>
      <c r="P730" s="553">
        <f>-'Progetto del paramento slu'!$G$47*'Progetto del paramento slu'!$G$41*IF(DATI!$G$218="dx",DATI!$E$61,DATI!$E$64*DATI!$E$63)*1000*C730*sezione!$AD$5</f>
        <v>-3484893.4107210813</v>
      </c>
      <c r="Q730" s="553">
        <f>'Foglio deposito bis'!$F$48*IF(ABS(K730)&lt;'Progetto del paramento slu'!$G$58,ABS(K730)*'Progetto del paramento slu'!$G$54,'Progetto del paramento slu'!$G$53)*IF(K730&lt;0,-1,1)</f>
        <v>0</v>
      </c>
      <c r="R730" s="553">
        <f>'Foglio deposito bis'!$F$49*IF(ABS(L730)&lt;'Progetto del paramento slu'!$G$58,ABS(L730)*'Progetto del paramento slu'!$G$54,'Progetto del paramento slu'!$G$53)*IF(L730&lt;0,-1,1)</f>
        <v>-148465.84971083669</v>
      </c>
      <c r="S730" s="553">
        <f>'Foglio deposito bis'!$F$50*IF(ABS(M730)&lt;'Progetto del paramento slu'!$G$58,ABS(M730)*'Progetto del paramento slu'!$G$54,'Progetto del paramento slu'!$G$53)*IF(M730&lt;0,-1,1)</f>
        <v>0</v>
      </c>
      <c r="T730" s="553">
        <f>'Foglio deposito bis'!$F$51*IF(ABS(N730)&lt;'Progetto del paramento slu'!$G$58,ABS(N730)*'Progetto del paramento slu'!$G$54,'Progetto del paramento slu'!$G$53)*IF(N730&lt;0,-1,1)</f>
        <v>166595.35376140763</v>
      </c>
      <c r="U730" s="553">
        <f>'Foglio deposito bis'!$F$52*IF(ABS(O730)&lt;'Progetto del paramento slu'!$G$58,ABS(O730)*'Progetto del paramento slu'!$G$54,'Progetto del paramento slu'!$G$53)*IF(O730&lt;0,-1,1)</f>
        <v>22939.486921068772</v>
      </c>
      <c r="V730" s="479">
        <f t="shared" si="55"/>
        <v>-3443824.4197494416</v>
      </c>
      <c r="W730" s="559"/>
      <c r="X730" s="559"/>
    </row>
    <row r="731" spans="1:24" x14ac:dyDescent="0.25">
      <c r="A731" s="553">
        <f t="shared" si="56"/>
        <v>3522154.2249591849</v>
      </c>
      <c r="B731" s="3">
        <f t="shared" si="53"/>
        <v>61.899999999999942</v>
      </c>
      <c r="C731" s="553">
        <f>'Foglio deposito bis'!$E$155/sezione!$B$247*B731</f>
        <v>251.28719218408438</v>
      </c>
      <c r="D731" s="611">
        <f>-'Progetto del paramento slu'!$G$47*'Progetto del paramento slu'!$G$41*IF(DATI!$G$218="dx",DATI!$E$61,DATI!$E$64*DATI!$E$63)*1000*C731^2*sezione!$AD$5*(1-sezione!$AD$6)</f>
        <v>-519811707.17696351</v>
      </c>
      <c r="E731" s="553">
        <f>-'Foglio deposito bis'!$F$48*(C731-sezione!$AL$29)*IF(ABS(K731)&lt;'Progetto del paramento slu'!$G$58,ABS(K731)*'Progetto del paramento slu'!$G$54,'Progetto del paramento slu'!$G$53)</f>
        <v>0</v>
      </c>
      <c r="F731" s="553">
        <f>-'Foglio deposito bis'!$F$49*(C731-sezione!$AM$29)*IF(ABS(L731)&lt;'Progetto del paramento slu'!$G$58,ABS(L731)*'Progetto del paramento slu'!$G$54,'Progetto del paramento slu'!$G$53)</f>
        <v>-15412482.536466686</v>
      </c>
      <c r="G731" s="553">
        <f>-'Foglio deposito bis'!$F$50*(C731-sezione!$AN$29)*IF(ABS(M731)&lt;'Progetto del paramento slu'!$G$58,ABS(M731)*'Progetto del paramento slu'!$G$54,'Progetto del paramento slu'!$G$53)</f>
        <v>0</v>
      </c>
      <c r="H731" s="553">
        <f>-'Foglio deposito bis'!$F$51*(C731-sezione!$AO$29)*IF(ABS(N731)&lt;'Progetto del paramento slu'!$G$58,ABS(N731)*'Progetto del paramento slu'!$G$54,'Progetto del paramento slu'!$G$53)</f>
        <v>13904119.93899552</v>
      </c>
      <c r="I731" s="479">
        <f>-'Foglio deposito bis'!$F$52*(C731-sezione!$AP$29)*IF(ABS(O731)&lt;'Progetto del paramento slu'!$G$58,ABS(O731)*'Progetto del paramento slu'!$G$54,'Progetto del paramento slu'!$G$53)</f>
        <v>134179.44907785533</v>
      </c>
      <c r="J731" s="479">
        <f t="shared" si="54"/>
        <v>-521185890.32535678</v>
      </c>
      <c r="K731" s="558">
        <f>'Progetto del paramento slu'!$G$60*(sezione!$AL$29-C731)/C731</f>
        <v>-2.9428685410379345E-3</v>
      </c>
      <c r="L731" s="558">
        <f>'Progetto del paramento slu'!$G$60*(sezione!$AM$29-C731)/C731</f>
        <v>-1.4107570288922524E-3</v>
      </c>
      <c r="M731" s="559">
        <f>'Progetto del paramento slu'!$G$60*(sezione!$AN$29-C731)/C731</f>
        <v>1.213544832534291E-4</v>
      </c>
      <c r="N731" s="559">
        <f>'Progetto del paramento slu'!$G$60*(sezione!$AO$29-C731)/C731</f>
        <v>1.2356174011775613E-3</v>
      </c>
      <c r="O731" s="559">
        <f>'Progetto del paramento slu'!$G$60*(sezione!$AP$29-C731)/C731</f>
        <v>1.2138227286346042E-4</v>
      </c>
      <c r="P731" s="553">
        <f>-'Progetto del paramento slu'!$G$47*'Progetto del paramento slu'!$G$41*IF(DATI!$G$218="dx",DATI!$E$61,DATI!$E$64*DATI!$E$63)*1000*C731*sezione!$AD$5</f>
        <v>-3542116.6194357132</v>
      </c>
      <c r="Q731" s="553">
        <f>'Foglio deposito bis'!$F$48*IF(ABS(K731)&lt;'Progetto del paramento slu'!$G$58,ABS(K731)*'Progetto del paramento slu'!$G$54,'Progetto del paramento slu'!$G$53)*IF(K731&lt;0,-1,1)</f>
        <v>0</v>
      </c>
      <c r="R731" s="553">
        <f>'Foglio deposito bis'!$F$49*IF(ABS(L731)&lt;'Progetto del paramento slu'!$G$58,ABS(L731)*'Progetto del paramento slu'!$G$54,'Progetto del paramento slu'!$G$53)*IF(L731&lt;0,-1,1)</f>
        <v>-152166.15451690354</v>
      </c>
      <c r="S731" s="553">
        <f>'Foglio deposito bis'!$F$50*IF(ABS(M731)&lt;'Progetto del paramento slu'!$G$58,ABS(M731)*'Progetto del paramento slu'!$G$54,'Progetto del paramento slu'!$G$53)*IF(M731&lt;0,-1,1)</f>
        <v>0</v>
      </c>
      <c r="T731" s="553">
        <f>'Foglio deposito bis'!$F$51*IF(ABS(N731)&lt;'Progetto del paramento slu'!$G$58,ABS(N731)*'Progetto del paramento slu'!$G$54,'Progetto del paramento slu'!$G$53)*IF(N731&lt;0,-1,1)</f>
        <v>156731.8212703559</v>
      </c>
      <c r="U731" s="553">
        <f>'Foglio deposito bis'!$F$52*IF(ABS(O731)&lt;'Progetto del paramento slu'!$G$58,ABS(O731)*'Progetto del paramento slu'!$G$54,'Progetto del paramento slu'!$G$53)*IF(O731&lt;0,-1,1)</f>
        <v>15396.727723075815</v>
      </c>
      <c r="V731" s="479">
        <f t="shared" si="55"/>
        <v>-3522154.2249591849</v>
      </c>
      <c r="W731" s="559"/>
      <c r="X731" s="559"/>
    </row>
    <row r="732" spans="1:24" x14ac:dyDescent="0.25">
      <c r="A732" s="553">
        <f t="shared" si="56"/>
        <v>3599812.9142231373</v>
      </c>
      <c r="B732" s="3">
        <f t="shared" si="53"/>
        <v>62.899999999999942</v>
      </c>
      <c r="C732" s="553">
        <f>'Foglio deposito bis'!$E$155/sezione!$B$247*B732</f>
        <v>255.34675910143631</v>
      </c>
      <c r="D732" s="611">
        <f>-'Progetto del paramento slu'!$G$47*'Progetto del paramento slu'!$G$41*IF(DATI!$G$218="dx",DATI!$E$61,DATI!$E$64*DATI!$E$63)*1000*C732^2*sezione!$AD$5*(1-sezione!$AD$6)</f>
        <v>-536742579.85338026</v>
      </c>
      <c r="E732" s="553">
        <f>-'Foglio deposito bis'!$F$48*(C732-sezione!$AL$29)*IF(ABS(K732)&lt;'Progetto del paramento slu'!$G$58,ABS(K732)*'Progetto del paramento slu'!$G$54,'Progetto del paramento slu'!$G$53)</f>
        <v>0</v>
      </c>
      <c r="F732" s="553">
        <f>-'Foglio deposito bis'!$F$49*(C732-sezione!$AM$29)*IF(ABS(L732)&lt;'Progetto del paramento slu'!$G$58,ABS(L732)*'Progetto del paramento slu'!$G$54,'Progetto del paramento slu'!$G$53)</f>
        <v>-16407631.584929677</v>
      </c>
      <c r="G732" s="553">
        <f>-'Foglio deposito bis'!$F$50*(C732-sezione!$AN$29)*IF(ABS(M732)&lt;'Progetto del paramento slu'!$G$58,ABS(M732)*'Progetto del paramento slu'!$G$54,'Progetto del paramento slu'!$G$53)</f>
        <v>0</v>
      </c>
      <c r="H732" s="553">
        <f>-'Foglio deposito bis'!$F$51*(C732-sezione!$AO$29)*IF(ABS(N732)&lt;'Progetto del paramento slu'!$G$58,ABS(N732)*'Progetto del paramento slu'!$G$54,'Progetto del paramento slu'!$G$53)</f>
        <v>12459426.073703501</v>
      </c>
      <c r="I732" s="479">
        <f>-'Foglio deposito bis'!$F$52*(C732-sezione!$AP$29)*IF(ABS(O732)&lt;'Progetto del paramento slu'!$G$58,ABS(O732)*'Progetto del paramento slu'!$G$54,'Progetto del paramento slu'!$G$53)</f>
        <v>37678.558651647465</v>
      </c>
      <c r="J732" s="479">
        <f t="shared" si="54"/>
        <v>-540653106.80595469</v>
      </c>
      <c r="K732" s="558">
        <f>'Progetto del paramento slu'!$G$60*(sezione!$AL$29-C732)/C732</f>
        <v>-2.9517259569196842E-3</v>
      </c>
      <c r="L732" s="558">
        <f>'Progetto del paramento slu'!$G$60*(sezione!$AM$29-C732)/C732</f>
        <v>-1.4439723384488143E-3</v>
      </c>
      <c r="M732" s="559">
        <f>'Progetto del paramento slu'!$G$60*(sezione!$AN$29-C732)/C732</f>
        <v>6.3781280022055E-5</v>
      </c>
      <c r="N732" s="559">
        <f>'Progetto del paramento slu'!$G$60*(sezione!$AO$29-C732)/C732</f>
        <v>1.1603293661826873E-3</v>
      </c>
      <c r="O732" s="559">
        <f>'Progetto del paramento slu'!$G$60*(sezione!$AP$29-C732)/C732</f>
        <v>6.3808627825885514E-5</v>
      </c>
      <c r="P732" s="553">
        <f>-'Progetto del paramento slu'!$G$47*'Progetto del paramento slu'!$G$41*IF(DATI!$G$218="dx",DATI!$E$61,DATI!$E$64*DATI!$E$63)*1000*C732*sezione!$AD$5</f>
        <v>-3599339.8281503445</v>
      </c>
      <c r="Q732" s="553">
        <f>'Foglio deposito bis'!$F$48*IF(ABS(K732)&lt;'Progetto del paramento slu'!$G$58,ABS(K732)*'Progetto del paramento slu'!$G$54,'Progetto del paramento slu'!$G$53)*IF(K732&lt;0,-1,1)</f>
        <v>0</v>
      </c>
      <c r="R732" s="553">
        <f>'Foglio deposito bis'!$F$49*IF(ABS(L732)&lt;'Progetto del paramento slu'!$G$58,ABS(L732)*'Progetto del paramento slu'!$G$54,'Progetto del paramento slu'!$G$53)*IF(L732&lt;0,-1,1)</f>
        <v>-155748.80257237997</v>
      </c>
      <c r="S732" s="553">
        <f>'Foglio deposito bis'!$F$50*IF(ABS(M732)&lt;'Progetto del paramento slu'!$G$58,ABS(M732)*'Progetto del paramento slu'!$G$54,'Progetto del paramento slu'!$G$53)*IF(M732&lt;0,-1,1)</f>
        <v>0</v>
      </c>
      <c r="T732" s="553">
        <f>'Foglio deposito bis'!$F$51*IF(ABS(N732)&lt;'Progetto del paramento slu'!$G$58,ABS(N732)*'Progetto del paramento slu'!$G$54,'Progetto del paramento slu'!$G$53)*IF(N732&lt;0,-1,1)</f>
        <v>147181.9146136778</v>
      </c>
      <c r="U732" s="553">
        <f>'Foglio deposito bis'!$F$52*IF(ABS(O732)&lt;'Progetto del paramento slu'!$G$58,ABS(O732)*'Progetto del paramento slu'!$G$54,'Progetto del paramento slu'!$G$53)*IF(O732&lt;0,-1,1)</f>
        <v>8093.8018859093427</v>
      </c>
      <c r="V732" s="479">
        <f t="shared" si="55"/>
        <v>-3599812.9142231373</v>
      </c>
      <c r="W732" s="559"/>
      <c r="X732" s="559"/>
    </row>
    <row r="733" spans="1:24" x14ac:dyDescent="0.25">
      <c r="A733" s="553">
        <f t="shared" si="56"/>
        <v>3676831.9953321829</v>
      </c>
      <c r="B733" s="3">
        <f t="shared" si="53"/>
        <v>63.899999999999942</v>
      </c>
      <c r="C733" s="553">
        <f>'Foglio deposito bis'!$E$155/sezione!$B$247*B733</f>
        <v>259.40632601878826</v>
      </c>
      <c r="D733" s="611">
        <f>-'Progetto del paramento slu'!$G$47*'Progetto del paramento slu'!$G$41*IF(DATI!$G$218="dx",DATI!$E$61,DATI!$E$64*DATI!$E$63)*1000*C733^2*sezione!$AD$5*(1-sezione!$AD$6)</f>
        <v>-553944780.61756027</v>
      </c>
      <c r="E733" s="553">
        <f>-'Foglio deposito bis'!$F$48*(C733-sezione!$AL$29)*IF(ABS(K733)&lt;'Progetto del paramento slu'!$G$58,ABS(K733)*'Progetto del paramento slu'!$G$54,'Progetto del paramento slu'!$G$53)</f>
        <v>0</v>
      </c>
      <c r="F733" s="553">
        <f>-'Foglio deposito bis'!$F$49*(C733-sezione!$AM$29)*IF(ABS(L733)&lt;'Progetto del paramento slu'!$G$58,ABS(L733)*'Progetto del paramento slu'!$G$54,'Progetto del paramento slu'!$G$53)</f>
        <v>-17419600.577315107</v>
      </c>
      <c r="G733" s="553">
        <f>-'Foglio deposito bis'!$F$50*(C733-sezione!$AN$29)*IF(ABS(M733)&lt;'Progetto del paramento slu'!$G$58,ABS(M733)*'Progetto del paramento slu'!$G$54,'Progetto del paramento slu'!$G$53)</f>
        <v>0</v>
      </c>
      <c r="H733" s="553">
        <f>-'Foglio deposito bis'!$F$51*(C733-sezione!$AO$29)*IF(ABS(N733)&lt;'Progetto del paramento slu'!$G$58,ABS(N733)*'Progetto del paramento slu'!$G$54,'Progetto del paramento slu'!$G$53)</f>
        <v>11116358.758122601</v>
      </c>
      <c r="I733" s="479">
        <f>-'Foglio deposito bis'!$F$52*(C733-sezione!$AP$29)*IF(ABS(O733)&lt;'Progetto del paramento slu'!$G$58,ABS(O733)*'Progetto del paramento slu'!$G$54,'Progetto del paramento slu'!$G$53)</f>
        <v>607.2547169806262</v>
      </c>
      <c r="J733" s="479">
        <f t="shared" si="54"/>
        <v>-560247415.1820358</v>
      </c>
      <c r="K733" s="558">
        <f>'Progetto del paramento slu'!$G$60*(sezione!$AL$29-C733)/C733</f>
        <v>-2.9603061453872944E-3</v>
      </c>
      <c r="L733" s="558">
        <f>'Progetto del paramento slu'!$G$60*(sezione!$AM$29-C733)/C733</f>
        <v>-1.4761480452023545E-3</v>
      </c>
      <c r="M733" s="559">
        <f>'Progetto del paramento slu'!$G$60*(sezione!$AN$29-C733)/C733</f>
        <v>8.0100549825858259E-6</v>
      </c>
      <c r="N733" s="559">
        <f>'Progetto del paramento slu'!$G$60*(sezione!$AO$29-C733)/C733</f>
        <v>1.0873977642079969E-3</v>
      </c>
      <c r="O733" s="559">
        <f>'Progetto del paramento slu'!$G$60*(sezione!$AP$29-C733)/C733</f>
        <v>8.0369748082656232E-6</v>
      </c>
      <c r="P733" s="553">
        <f>-'Progetto del paramento slu'!$G$47*'Progetto del paramento slu'!$G$41*IF(DATI!$G$218="dx",DATI!$E$61,DATI!$E$64*DATI!$E$63)*1000*C733*sezione!$AD$5</f>
        <v>-3656563.0368649773</v>
      </c>
      <c r="Q733" s="553">
        <f>'Foglio deposito bis'!$F$48*IF(ABS(K733)&lt;'Progetto del paramento slu'!$G$58,ABS(K733)*'Progetto del paramento slu'!$G$54,'Progetto del paramento slu'!$G$53)*IF(K733&lt;0,-1,1)</f>
        <v>0</v>
      </c>
      <c r="R733" s="553">
        <f>'Foglio deposito bis'!$F$49*IF(ABS(L733)&lt;'Progetto del paramento slu'!$G$58,ABS(L733)*'Progetto del paramento slu'!$G$54,'Progetto del paramento slu'!$G$53)*IF(L733&lt;0,-1,1)</f>
        <v>-159219.3176683737</v>
      </c>
      <c r="S733" s="553">
        <f>'Foglio deposito bis'!$F$50*IF(ABS(M733)&lt;'Progetto del paramento slu'!$G$58,ABS(M733)*'Progetto del paramento slu'!$G$54,'Progetto del paramento slu'!$G$53)*IF(M733&lt;0,-1,1)</f>
        <v>0</v>
      </c>
      <c r="T733" s="553">
        <f>'Foglio deposito bis'!$F$51*IF(ABS(N733)&lt;'Progetto del paramento slu'!$G$58,ABS(N733)*'Progetto del paramento slu'!$G$54,'Progetto del paramento slu'!$G$53)*IF(N733&lt;0,-1,1)</f>
        <v>137930.90957379711</v>
      </c>
      <c r="U733" s="553">
        <f>'Foglio deposito bis'!$F$52*IF(ABS(O733)&lt;'Progetto del paramento slu'!$G$58,ABS(O733)*'Progetto del paramento slu'!$G$54,'Progetto del paramento slu'!$G$53)*IF(O733&lt;0,-1,1)</f>
        <v>1019.4496273708805</v>
      </c>
      <c r="V733" s="479">
        <f t="shared" si="55"/>
        <v>-3676831.9953321829</v>
      </c>
      <c r="W733" s="559"/>
      <c r="X733" s="559"/>
    </row>
    <row r="734" spans="1:24" x14ac:dyDescent="0.25">
      <c r="A734" s="553">
        <f t="shared" si="56"/>
        <v>3753241.0341486419</v>
      </c>
      <c r="B734" s="3">
        <f t="shared" si="53"/>
        <v>64.899999999999949</v>
      </c>
      <c r="C734" s="553">
        <f>'Foglio deposito bis'!$E$155/sezione!$B$247*B734</f>
        <v>263.46589293614022</v>
      </c>
      <c r="D734" s="611">
        <f>-'Progetto del paramento slu'!$G$47*'Progetto del paramento slu'!$G$41*IF(DATI!$G$218="dx",DATI!$E$61,DATI!$E$64*DATI!$E$63)*1000*C734^2*sezione!$AD$5*(1-sezione!$AD$6)</f>
        <v>-571418309.46950316</v>
      </c>
      <c r="E734" s="553">
        <f>-'Foglio deposito bis'!$F$48*(C734-sezione!$AL$29)*IF(ABS(K734)&lt;'Progetto del paramento slu'!$G$58,ABS(K734)*'Progetto del paramento slu'!$G$54,'Progetto del paramento slu'!$G$53)</f>
        <v>0</v>
      </c>
      <c r="F734" s="553">
        <f>-'Foglio deposito bis'!$F$49*(C734-sezione!$AM$29)*IF(ABS(L734)&lt;'Progetto del paramento slu'!$G$58,ABS(L734)*'Progetto del paramento slu'!$G$54,'Progetto del paramento slu'!$G$53)</f>
        <v>-18447612.012363054</v>
      </c>
      <c r="G734" s="553">
        <f>-'Foglio deposito bis'!$F$50*(C734-sezione!$AN$29)*IF(ABS(M734)&lt;'Progetto del paramento slu'!$G$58,ABS(M734)*'Progetto del paramento slu'!$G$54,'Progetto del paramento slu'!$G$53)</f>
        <v>0</v>
      </c>
      <c r="H734" s="553">
        <f>-'Foglio deposito bis'!$F$51*(C734-sezione!$AO$29)*IF(ABS(N734)&lt;'Progetto del paramento slu'!$G$58,ABS(N734)*'Progetto del paramento slu'!$G$54,'Progetto del paramento slu'!$G$53)</f>
        <v>9870220.3089071698</v>
      </c>
      <c r="I734" s="479">
        <f>-'Foglio deposito bis'!$F$52*(C734-sezione!$AP$29)*IF(ABS(O734)&lt;'Progetto del paramento slu'!$G$58,ABS(O734)*'Progetto del paramento slu'!$G$54,'Progetto del paramento slu'!$G$53)</f>
        <v>-20218.406927559419</v>
      </c>
      <c r="J734" s="479">
        <f t="shared" si="54"/>
        <v>-580015919.57988667</v>
      </c>
      <c r="K734" s="558">
        <f>'Progetto del paramento slu'!$G$60*(sezione!$AL$29-C734)/C734</f>
        <v>-2.9686219212673053E-3</v>
      </c>
      <c r="L734" s="558">
        <f>'Progetto del paramento slu'!$G$60*(sezione!$AM$29-C734)/C734</f>
        <v>-1.5073322047523953E-3</v>
      </c>
      <c r="M734" s="559">
        <f>'Progetto del paramento slu'!$G$60*(sezione!$AN$29-C734)/C734</f>
        <v>-4.6042488237485215E-5</v>
      </c>
      <c r="N734" s="559">
        <f>'Progetto del paramento slu'!$G$60*(sezione!$AO$29-C734)/C734</f>
        <v>1.016713669227904E-3</v>
      </c>
      <c r="O734" s="559">
        <f>'Progetto del paramento slu'!$G$60*(sezione!$AP$29-C734)/C734</f>
        <v>-4.6015983201107111E-5</v>
      </c>
      <c r="P734" s="553">
        <f>-'Progetto del paramento slu'!$G$47*'Progetto del paramento slu'!$G$41*IF(DATI!$G$218="dx",DATI!$E$61,DATI!$E$64*DATI!$E$63)*1000*C734*sezione!$AD$5</f>
        <v>-3713786.2455796096</v>
      </c>
      <c r="Q734" s="553">
        <f>'Foglio deposito bis'!$F$48*IF(ABS(K734)&lt;'Progetto del paramento slu'!$G$58,ABS(K734)*'Progetto del paramento slu'!$G$54,'Progetto del paramento slu'!$G$53)*IF(K734&lt;0,-1,1)</f>
        <v>0</v>
      </c>
      <c r="R734" s="553">
        <f>'Foglio deposito bis'!$F$49*IF(ABS(L734)&lt;'Progetto del paramento slu'!$G$58,ABS(L734)*'Progetto del paramento slu'!$G$54,'Progetto del paramento slu'!$G$53)*IF(L734&lt;0,-1,1)</f>
        <v>-162582.88314661713</v>
      </c>
      <c r="S734" s="553">
        <f>'Foglio deposito bis'!$F$50*IF(ABS(M734)&lt;'Progetto del paramento slu'!$G$58,ABS(M734)*'Progetto del paramento slu'!$G$54,'Progetto del paramento slu'!$G$53)*IF(M734&lt;0,-1,1)</f>
        <v>0</v>
      </c>
      <c r="T734" s="553">
        <f>'Foglio deposito bis'!$F$51*IF(ABS(N734)&lt;'Progetto del paramento slu'!$G$58,ABS(N734)*'Progetto del paramento slu'!$G$54,'Progetto del paramento slu'!$G$53)*IF(N734&lt;0,-1,1)</f>
        <v>128964.98943499131</v>
      </c>
      <c r="U734" s="553">
        <f>'Foglio deposito bis'!$F$52*IF(ABS(O734)&lt;'Progetto del paramento slu'!$G$58,ABS(O734)*'Progetto del paramento slu'!$G$54,'Progetto del paramento slu'!$G$53)*IF(O734&lt;0,-1,1)</f>
        <v>-5836.8948574067645</v>
      </c>
      <c r="V734" s="479">
        <f t="shared" si="55"/>
        <v>-3753241.0341486419</v>
      </c>
      <c r="W734" s="559"/>
      <c r="X734" s="559"/>
    </row>
    <row r="735" spans="1:24" x14ac:dyDescent="0.25">
      <c r="A735" s="553">
        <f t="shared" si="56"/>
        <v>3829067.8019453185</v>
      </c>
      <c r="B735" s="3">
        <f t="shared" si="53"/>
        <v>65.899999999999949</v>
      </c>
      <c r="C735" s="553">
        <f>'Foglio deposito bis'!$E$155/sezione!$B$247*B735</f>
        <v>267.52545985349212</v>
      </c>
      <c r="D735" s="611">
        <f>-'Progetto del paramento slu'!$G$47*'Progetto del paramento slu'!$G$41*IF(DATI!$G$218="dx",DATI!$E$61,DATI!$E$64*DATI!$E$63)*1000*C735^2*sezione!$AD$5*(1-sezione!$AD$6)</f>
        <v>-589163166.40920913</v>
      </c>
      <c r="E735" s="553">
        <f>-'Foglio deposito bis'!$F$48*(C735-sezione!$AL$29)*IF(ABS(K735)&lt;'Progetto del paramento slu'!$G$58,ABS(K735)*'Progetto del paramento slu'!$G$54,'Progetto del paramento slu'!$G$53)</f>
        <v>0</v>
      </c>
      <c r="F735" s="553">
        <f>-'Foglio deposito bis'!$F$49*(C735-sezione!$AM$29)*IF(ABS(L735)&lt;'Progetto del paramento slu'!$G$58,ABS(L735)*'Progetto del paramento slu'!$G$54,'Progetto del paramento slu'!$G$53)</f>
        <v>-19490935.58160634</v>
      </c>
      <c r="G735" s="553">
        <f>-'Foglio deposito bis'!$F$50*(C735-sezione!$AN$29)*IF(ABS(M735)&lt;'Progetto del paramento slu'!$G$58,ABS(M735)*'Progetto del paramento slu'!$G$54,'Progetto del paramento slu'!$G$53)</f>
        <v>0</v>
      </c>
      <c r="H735" s="553">
        <f>-'Foglio deposito bis'!$F$51*(C735-sezione!$AO$29)*IF(ABS(N735)&lt;'Progetto del paramento slu'!$G$58,ABS(N735)*'Progetto del paramento slu'!$G$54,'Progetto del paramento slu'!$G$53)</f>
        <v>8716598.1828235891</v>
      </c>
      <c r="I735" s="479">
        <f>-'Foglio deposito bis'!$F$52*(C735-sezione!$AP$29)*IF(ABS(O735)&lt;'Progetto del paramento slu'!$G$58,ABS(O735)*'Progetto del paramento slu'!$G$54,'Progetto del paramento slu'!$G$53)</f>
        <v>-93931.630329881125</v>
      </c>
      <c r="J735" s="479">
        <f t="shared" si="54"/>
        <v>-600031435.43832183</v>
      </c>
      <c r="K735" s="558">
        <f>'Progetto del paramento slu'!$G$60*(sezione!$AL$29-C735)/C735</f>
        <v>-2.9766853215515646E-3</v>
      </c>
      <c r="L735" s="558">
        <f>'Progetto del paramento slu'!$G$60*(sezione!$AM$29-C735)/C735</f>
        <v>-1.5375699558183679E-3</v>
      </c>
      <c r="M735" s="559">
        <f>'Progetto del paramento slu'!$G$60*(sezione!$AN$29-C735)/C735</f>
        <v>-9.8454590085170982E-5</v>
      </c>
      <c r="N735" s="559">
        <f>'Progetto del paramento slu'!$G$60*(sezione!$AO$29-C735)/C735</f>
        <v>9.4817476681169951E-4</v>
      </c>
      <c r="O735" s="559">
        <f>'Progetto del paramento slu'!$G$60*(sezione!$AP$29-C735)/C735</f>
        <v>-9.8428487249648384E-5</v>
      </c>
      <c r="P735" s="553">
        <f>-'Progetto del paramento slu'!$G$47*'Progetto del paramento slu'!$G$41*IF(DATI!$G$218="dx",DATI!$E$61,DATI!$E$64*DATI!$E$63)*1000*C735*sezione!$AD$5</f>
        <v>-3771009.4542942415</v>
      </c>
      <c r="Q735" s="553">
        <f>'Foglio deposito bis'!$F$48*IF(ABS(K735)&lt;'Progetto del paramento slu'!$G$58,ABS(K735)*'Progetto del paramento slu'!$G$54,'Progetto del paramento slu'!$G$53)*IF(K735&lt;0,-1,1)</f>
        <v>0</v>
      </c>
      <c r="R735" s="553">
        <f>'Foglio deposito bis'!$F$49*IF(ABS(L735)&lt;'Progetto del paramento slu'!$G$58,ABS(L735)*'Progetto del paramento slu'!$G$54,'Progetto del paramento slu'!$G$53)*IF(L735&lt;0,-1,1)</f>
        <v>-165844.36773022494</v>
      </c>
      <c r="S735" s="553">
        <f>'Foglio deposito bis'!$F$50*IF(ABS(M735)&lt;'Progetto del paramento slu'!$G$58,ABS(M735)*'Progetto del paramento slu'!$G$54,'Progetto del paramento slu'!$G$53)*IF(M735&lt;0,-1,1)</f>
        <v>0</v>
      </c>
      <c r="T735" s="553">
        <f>'Foglio deposito bis'!$F$51*IF(ABS(N735)&lt;'Progetto del paramento slu'!$G$58,ABS(N735)*'Progetto del paramento slu'!$G$54,'Progetto del paramento slu'!$G$53)*IF(N735&lt;0,-1,1)</f>
        <v>120271.17612892631</v>
      </c>
      <c r="U735" s="553">
        <f>'Foglio deposito bis'!$F$52*IF(ABS(O735)&lt;'Progetto del paramento slu'!$G$58,ABS(O735)*'Progetto del paramento slu'!$G$54,'Progetto del paramento slu'!$G$53)*IF(O735&lt;0,-1,1)</f>
        <v>-12485.156049778319</v>
      </c>
      <c r="V735" s="479">
        <f t="shared" si="55"/>
        <v>-3829067.8019453185</v>
      </c>
      <c r="W735" s="559"/>
      <c r="X735" s="559"/>
    </row>
    <row r="736" spans="1:24" x14ac:dyDescent="0.25">
      <c r="A736" s="553">
        <f t="shared" si="56"/>
        <v>3904338.409530275</v>
      </c>
      <c r="B736" s="3">
        <f t="shared" si="53"/>
        <v>66.899999999999949</v>
      </c>
      <c r="C736" s="553">
        <f>'Foglio deposito bis'!$E$155/sezione!$B$247*B736</f>
        <v>271.58502677084408</v>
      </c>
      <c r="D736" s="611">
        <f>-'Progetto del paramento slu'!$G$47*'Progetto del paramento slu'!$G$41*IF(DATI!$G$218="dx",DATI!$E$61,DATI!$E$64*DATI!$E$63)*1000*C736^2*sezione!$AD$5*(1-sezione!$AD$6)</f>
        <v>-607179351.43667829</v>
      </c>
      <c r="E736" s="553">
        <f>-'Foglio deposito bis'!$F$48*(C736-sezione!$AL$29)*IF(ABS(K736)&lt;'Progetto del paramento slu'!$G$58,ABS(K736)*'Progetto del paramento slu'!$G$54,'Progetto del paramento slu'!$G$53)</f>
        <v>0</v>
      </c>
      <c r="F736" s="553">
        <f>-'Foglio deposito bis'!$F$49*(C736-sezione!$AM$29)*IF(ABS(L736)&lt;'Progetto del paramento slu'!$G$58,ABS(L736)*'Progetto del paramento slu'!$G$54,'Progetto del paramento slu'!$G$53)</f>
        <v>-20548884.642255943</v>
      </c>
      <c r="G736" s="553">
        <f>-'Foglio deposito bis'!$F$50*(C736-sezione!$AN$29)*IF(ABS(M736)&lt;'Progetto del paramento slu'!$G$58,ABS(M736)*'Progetto del paramento slu'!$G$54,'Progetto del paramento slu'!$G$53)</f>
        <v>0</v>
      </c>
      <c r="H736" s="553">
        <f>-'Foglio deposito bis'!$F$51*(C736-sezione!$AO$29)*IF(ABS(N736)&lt;'Progetto del paramento slu'!$G$58,ABS(N736)*'Progetto del paramento slu'!$G$54,'Progetto del paramento slu'!$G$53)</f>
        <v>7651343.6658300431</v>
      </c>
      <c r="I736" s="479">
        <f>-'Foglio deposito bis'!$F$52*(C736-sezione!$AP$29)*IF(ABS(O736)&lt;'Progetto del paramento slu'!$G$58,ABS(O736)*'Progetto del paramento slu'!$G$54,'Progetto del paramento slu'!$G$53)</f>
        <v>-219320.82307678438</v>
      </c>
      <c r="J736" s="479">
        <f t="shared" si="54"/>
        <v>-620296213.2361809</v>
      </c>
      <c r="K736" s="558">
        <f>'Progetto del paramento slu'!$G$60*(sezione!$AL$29-C736)/C736</f>
        <v>-2.9845076635313618E-3</v>
      </c>
      <c r="L736" s="558">
        <f>'Progetto del paramento slu'!$G$60*(sezione!$AM$29-C736)/C736</f>
        <v>-1.5669037382426078E-3</v>
      </c>
      <c r="M736" s="559">
        <f>'Progetto del paramento slu'!$G$60*(sezione!$AN$29-C736)/C736</f>
        <v>-1.4929981295385339E-4</v>
      </c>
      <c r="N736" s="559">
        <f>'Progetto del paramento slu'!$G$60*(sezione!$AO$29-C736)/C736</f>
        <v>8.8168485998342257E-4</v>
      </c>
      <c r="O736" s="559">
        <f>'Progetto del paramento slu'!$G$60*(sezione!$AP$29-C736)/C736</f>
        <v>-1.4927410029524443E-4</v>
      </c>
      <c r="P736" s="553">
        <f>-'Progetto del paramento slu'!$G$47*'Progetto del paramento slu'!$G$41*IF(DATI!$G$218="dx",DATI!$E$61,DATI!$E$64*DATI!$E$63)*1000*C736*sezione!$AD$5</f>
        <v>-3828232.6630088738</v>
      </c>
      <c r="Q736" s="553">
        <f>'Foglio deposito bis'!$F$48*IF(ABS(K736)&lt;'Progetto del paramento slu'!$G$58,ABS(K736)*'Progetto del paramento slu'!$G$54,'Progetto del paramento slu'!$G$53)*IF(K736&lt;0,-1,1)</f>
        <v>0</v>
      </c>
      <c r="R736" s="553">
        <f>'Foglio deposito bis'!$F$49*IF(ABS(L736)&lt;'Progetto del paramento slu'!$G$58,ABS(L736)*'Progetto del paramento slu'!$G$54,'Progetto del paramento slu'!$G$53)*IF(L736&lt;0,-1,1)</f>
        <v>-169008.3490377907</v>
      </c>
      <c r="S736" s="553">
        <f>'Foglio deposito bis'!$F$50*IF(ABS(M736)&lt;'Progetto del paramento slu'!$G$58,ABS(M736)*'Progetto del paramento slu'!$G$54,'Progetto del paramento slu'!$G$53)*IF(M736&lt;0,-1,1)</f>
        <v>0</v>
      </c>
      <c r="T736" s="553">
        <f>'Foglio deposito bis'!$F$51*IF(ABS(N736)&lt;'Progetto del paramento slu'!$G$58,ABS(N736)*'Progetto del paramento slu'!$G$54,'Progetto del paramento slu'!$G$53)*IF(N736&lt;0,-1,1)</f>
        <v>111837.26755547899</v>
      </c>
      <c r="U736" s="553">
        <f>'Foglio deposito bis'!$F$52*IF(ABS(O736)&lt;'Progetto del paramento slu'!$G$58,ABS(O736)*'Progetto del paramento slu'!$G$54,'Progetto del paramento slu'!$G$53)*IF(O736&lt;0,-1,1)</f>
        <v>-18934.66503908953</v>
      </c>
      <c r="V736" s="479">
        <f t="shared" si="55"/>
        <v>-3904338.409530275</v>
      </c>
      <c r="W736" s="559"/>
      <c r="X736" s="559"/>
    </row>
    <row r="737" spans="1:24" x14ac:dyDescent="0.25">
      <c r="A737" s="553">
        <f t="shared" si="56"/>
        <v>3979077.4295196389</v>
      </c>
      <c r="B737" s="3">
        <f t="shared" si="53"/>
        <v>67.899999999999949</v>
      </c>
      <c r="C737" s="553">
        <f>'Foglio deposito bis'!$E$155/sezione!$B$247*B737</f>
        <v>275.64459368819598</v>
      </c>
      <c r="D737" s="611">
        <f>-'Progetto del paramento slu'!$G$47*'Progetto del paramento slu'!$G$41*IF(DATI!$G$218="dx",DATI!$E$61,DATI!$E$64*DATI!$E$63)*1000*C737^2*sezione!$AD$5*(1-sezione!$AD$6)</f>
        <v>-625466864.55191016</v>
      </c>
      <c r="E737" s="553">
        <f>-'Foglio deposito bis'!$F$48*(C737-sezione!$AL$29)*IF(ABS(K737)&lt;'Progetto del paramento slu'!$G$58,ABS(K737)*'Progetto del paramento slu'!$G$54,'Progetto del paramento slu'!$G$53)</f>
        <v>0</v>
      </c>
      <c r="F737" s="553">
        <f>-'Foglio deposito bis'!$F$49*(C737-sezione!$AM$29)*IF(ABS(L737)&lt;'Progetto del paramento slu'!$G$58,ABS(L737)*'Progetto del paramento slu'!$G$54,'Progetto del paramento slu'!$G$53)</f>
        <v>-21620813.001760758</v>
      </c>
      <c r="G737" s="553">
        <f>-'Foglio deposito bis'!$F$50*(C737-sezione!$AN$29)*IF(ABS(M737)&lt;'Progetto del paramento slu'!$G$58,ABS(M737)*'Progetto del paramento slu'!$G$54,'Progetto del paramento slu'!$G$53)</f>
        <v>0</v>
      </c>
      <c r="H737" s="553">
        <f>-'Foglio deposito bis'!$F$51*(C737-sezione!$AO$29)*IF(ABS(N737)&lt;'Progetto del paramento slu'!$G$58,ABS(N737)*'Progetto del paramento slu'!$G$54,'Progetto del paramento slu'!$G$53)</f>
        <v>6670552.4453010783</v>
      </c>
      <c r="I737" s="479">
        <f>-'Foglio deposito bis'!$F$52*(C737-sezione!$AP$29)*IF(ABS(O737)&lt;'Progetto del paramento slu'!$G$58,ABS(O737)*'Progetto del paramento slu'!$G$54,'Progetto del paramento slu'!$G$53)</f>
        <v>-394102.80537395435</v>
      </c>
      <c r="J737" s="479">
        <f t="shared" si="54"/>
        <v>-640811227.91374373</v>
      </c>
      <c r="K737" s="558">
        <f>'Progetto del paramento slu'!$G$60*(sezione!$AL$29-C737)/C737</f>
        <v>-2.9920995977945233E-3</v>
      </c>
      <c r="L737" s="558">
        <f>'Progetto del paramento slu'!$G$60*(sezione!$AM$29-C737)/C737</f>
        <v>-1.5953734917294616E-3</v>
      </c>
      <c r="M737" s="559">
        <f>'Progetto del paramento slu'!$G$60*(sezione!$AN$29-C737)/C737</f>
        <v>-1.9864738566440011E-4</v>
      </c>
      <c r="N737" s="559">
        <f>'Progetto del paramento slu'!$G$60*(sezione!$AO$29-C737)/C737</f>
        <v>8.1715341874655364E-4</v>
      </c>
      <c r="O737" s="559">
        <f>'Progetto del paramento slu'!$G$60*(sezione!$AP$29-C737)/C737</f>
        <v>-1.9862205169001221E-4</v>
      </c>
      <c r="P737" s="553">
        <f>-'Progetto del paramento slu'!$G$47*'Progetto del paramento slu'!$G$41*IF(DATI!$G$218="dx",DATI!$E$61,DATI!$E$64*DATI!$E$63)*1000*C737*sezione!$AD$5</f>
        <v>-3885455.8717235047</v>
      </c>
      <c r="Q737" s="553">
        <f>'Foglio deposito bis'!$F$48*IF(ABS(K737)&lt;'Progetto del paramento slu'!$G$58,ABS(K737)*'Progetto del paramento slu'!$G$54,'Progetto del paramento slu'!$G$53)*IF(K737&lt;0,-1,1)</f>
        <v>0</v>
      </c>
      <c r="R737" s="553">
        <f>'Foglio deposito bis'!$F$49*IF(ABS(L737)&lt;'Progetto del paramento slu'!$G$58,ABS(L737)*'Progetto del paramento slu'!$G$54,'Progetto del paramento slu'!$G$53)*IF(L737&lt;0,-1,1)</f>
        <v>-172079.13501965493</v>
      </c>
      <c r="S737" s="553">
        <f>'Foglio deposito bis'!$F$50*IF(ABS(M737)&lt;'Progetto del paramento slu'!$G$58,ABS(M737)*'Progetto del paramento slu'!$G$54,'Progetto del paramento slu'!$G$53)*IF(M737&lt;0,-1,1)</f>
        <v>0</v>
      </c>
      <c r="T737" s="553">
        <f>'Foglio deposito bis'!$F$51*IF(ABS(N737)&lt;'Progetto del paramento slu'!$G$58,ABS(N737)*'Progetto del paramento slu'!$G$54,'Progetto del paramento slu'!$G$53)*IF(N737&lt;0,-1,1)</f>
        <v>103651.78044222169</v>
      </c>
      <c r="U737" s="553">
        <f>'Foglio deposito bis'!$F$52*IF(ABS(O737)&lt;'Progetto del paramento slu'!$G$58,ABS(O737)*'Progetto del paramento slu'!$G$54,'Progetto del paramento slu'!$G$53)*IF(O737&lt;0,-1,1)</f>
        <v>-25194.203218700764</v>
      </c>
      <c r="V737" s="479">
        <f t="shared" si="55"/>
        <v>-3979077.4295196389</v>
      </c>
      <c r="W737" s="559"/>
      <c r="X737" s="559"/>
    </row>
    <row r="738" spans="1:24" x14ac:dyDescent="0.25">
      <c r="A738" s="553">
        <f t="shared" si="56"/>
        <v>4053308.0079625677</v>
      </c>
      <c r="B738" s="3">
        <f t="shared" si="53"/>
        <v>68.899999999999949</v>
      </c>
      <c r="C738" s="553">
        <f>'Foglio deposito bis'!$E$155/sezione!$B$247*B738</f>
        <v>279.70416060554794</v>
      </c>
      <c r="D738" s="611">
        <f>-'Progetto del paramento slu'!$G$47*'Progetto del paramento slu'!$G$41*IF(DATI!$G$218="dx",DATI!$E$61,DATI!$E$64*DATI!$E$63)*1000*C738^2*sezione!$AD$5*(1-sezione!$AD$6)</f>
        <v>-644025705.7549057</v>
      </c>
      <c r="E738" s="553">
        <f>-'Foglio deposito bis'!$F$48*(C738-sezione!$AL$29)*IF(ABS(K738)&lt;'Progetto del paramento slu'!$G$58,ABS(K738)*'Progetto del paramento slu'!$G$54,'Progetto del paramento slu'!$G$53)</f>
        <v>0</v>
      </c>
      <c r="F738" s="553">
        <f>-'Foglio deposito bis'!$F$49*(C738-sezione!$AM$29)*IF(ABS(L738)&lt;'Progetto del paramento slu'!$G$58,ABS(L738)*'Progetto del paramento slu'!$G$54,'Progetto del paramento slu'!$G$53)</f>
        <v>-22706111.982376762</v>
      </c>
      <c r="G738" s="553">
        <f>-'Foglio deposito bis'!$F$50*(C738-sezione!$AN$29)*IF(ABS(M738)&lt;'Progetto del paramento slu'!$G$58,ABS(M738)*'Progetto del paramento slu'!$G$54,'Progetto del paramento slu'!$G$53)</f>
        <v>0</v>
      </c>
      <c r="H738" s="553">
        <f>-'Foglio deposito bis'!$F$51*(C738-sezione!$AO$29)*IF(ABS(N738)&lt;'Progetto del paramento slu'!$G$58,ABS(N738)*'Progetto del paramento slu'!$G$54,'Progetto del paramento slu'!$G$53)</f>
        <v>5770546.8740756568</v>
      </c>
      <c r="I738" s="479">
        <f>-'Foglio deposito bis'!$F$52*(C738-sezione!$AP$29)*IF(ABS(O738)&lt;'Progetto del paramento slu'!$G$58,ABS(O738)*'Progetto del paramento slu'!$G$54,'Progetto del paramento slu'!$G$53)</f>
        <v>-616126.94777798792</v>
      </c>
      <c r="J738" s="479">
        <f t="shared" si="54"/>
        <v>-661577397.81098485</v>
      </c>
      <c r="K738" s="558">
        <f>'Progetto del paramento slu'!$G$60*(sezione!$AL$29-C738)/C738</f>
        <v>-2.9994711566073747E-3</v>
      </c>
      <c r="L738" s="558">
        <f>'Progetto del paramento slu'!$G$60*(sezione!$AM$29-C738)/C738</f>
        <v>-1.6230168372776555E-3</v>
      </c>
      <c r="M738" s="559">
        <f>'Progetto del paramento slu'!$G$60*(sezione!$AN$29-C738)/C738</f>
        <v>-2.4656251794793598E-4</v>
      </c>
      <c r="N738" s="559">
        <f>'Progetto del paramento slu'!$G$60*(sezione!$AO$29-C738)/C738</f>
        <v>7.5449516883731446E-4</v>
      </c>
      <c r="O738" s="559">
        <f>'Progetto del paramento slu'!$G$60*(sezione!$AP$29-C738)/C738</f>
        <v>-2.4653755166548409E-4</v>
      </c>
      <c r="P738" s="553">
        <f>-'Progetto del paramento slu'!$G$47*'Progetto del paramento slu'!$G$41*IF(DATI!$G$218="dx",DATI!$E$61,DATI!$E$64*DATI!$E$63)*1000*C738*sezione!$AD$5</f>
        <v>-3942679.0804381371</v>
      </c>
      <c r="Q738" s="553">
        <f>'Foglio deposito bis'!$F$48*IF(ABS(K738)&lt;'Progetto del paramento slu'!$G$58,ABS(K738)*'Progetto del paramento slu'!$G$54,'Progetto del paramento slu'!$G$53)*IF(K738&lt;0,-1,1)</f>
        <v>0</v>
      </c>
      <c r="R738" s="553">
        <f>'Foglio deposito bis'!$F$49*IF(ABS(L738)&lt;'Progetto del paramento slu'!$G$58,ABS(L738)*'Progetto del paramento slu'!$G$54,'Progetto del paramento slu'!$G$53)*IF(L738&lt;0,-1,1)</f>
        <v>-175060.78352744479</v>
      </c>
      <c r="S738" s="553">
        <f>'Foglio deposito bis'!$F$50*IF(ABS(M738)&lt;'Progetto del paramento slu'!$G$58,ABS(M738)*'Progetto del paramento slu'!$G$54,'Progetto del paramento slu'!$G$53)*IF(M738&lt;0,-1,1)</f>
        <v>0</v>
      </c>
      <c r="T738" s="553">
        <f>'Foglio deposito bis'!$F$51*IF(ABS(N738)&lt;'Progetto del paramento slu'!$G$58,ABS(N738)*'Progetto del paramento slu'!$G$54,'Progetto del paramento slu'!$G$53)*IF(N738&lt;0,-1,1)</f>
        <v>95703.898179857104</v>
      </c>
      <c r="U738" s="553">
        <f>'Foglio deposito bis'!$F$52*IF(ABS(O738)&lt;'Progetto del paramento slu'!$G$58,ABS(O738)*'Progetto del paramento slu'!$G$54,'Progetto del paramento slu'!$G$53)*IF(O738&lt;0,-1,1)</f>
        <v>-31272.042176842959</v>
      </c>
      <c r="V738" s="479">
        <f t="shared" si="55"/>
        <v>-4053308.0079625677</v>
      </c>
      <c r="W738" s="559"/>
      <c r="X738" s="559"/>
    </row>
    <row r="739" spans="1:24" x14ac:dyDescent="0.25">
      <c r="A739" s="553">
        <f t="shared" si="56"/>
        <v>4127051.9663846577</v>
      </c>
      <c r="B739" s="3">
        <f t="shared" si="53"/>
        <v>69.899999999999949</v>
      </c>
      <c r="C739" s="553">
        <f>'Foglio deposito bis'!$E$155/sezione!$B$247*B739</f>
        <v>283.76372752289984</v>
      </c>
      <c r="D739" s="611">
        <f>-'Progetto del paramento slu'!$G$47*'Progetto del paramento slu'!$G$41*IF(DATI!$G$218="dx",DATI!$E$61,DATI!$E$64*DATI!$E$63)*1000*C739^2*sezione!$AD$5*(1-sezione!$AD$6)</f>
        <v>-662855875.04566395</v>
      </c>
      <c r="E739" s="553">
        <f>-'Foglio deposito bis'!$F$48*(C739-sezione!$AL$29)*IF(ABS(K739)&lt;'Progetto del paramento slu'!$G$58,ABS(K739)*'Progetto del paramento slu'!$G$54,'Progetto del paramento slu'!$G$53)</f>
        <v>0</v>
      </c>
      <c r="F739" s="553">
        <f>-'Foglio deposito bis'!$F$49*(C739-sezione!$AM$29)*IF(ABS(L739)&lt;'Progetto del paramento slu'!$G$58,ABS(L739)*'Progetto del paramento slu'!$G$54,'Progetto del paramento slu'!$G$53)</f>
        <v>-23804207.737704288</v>
      </c>
      <c r="G739" s="553">
        <f>-'Foglio deposito bis'!$F$50*(C739-sezione!$AN$29)*IF(ABS(M739)&lt;'Progetto del paramento slu'!$G$58,ABS(M739)*'Progetto del paramento slu'!$G$54,'Progetto del paramento slu'!$G$53)</f>
        <v>0</v>
      </c>
      <c r="H739" s="553">
        <f>-'Foglio deposito bis'!$F$51*(C739-sezione!$AO$29)*IF(ABS(N739)&lt;'Progetto del paramento slu'!$G$58,ABS(N739)*'Progetto del paramento slu'!$G$54,'Progetto del paramento slu'!$G$53)</f>
        <v>4947859.7569047231</v>
      </c>
      <c r="I739" s="479">
        <f>-'Foglio deposito bis'!$F$52*(C739-sezione!$AP$29)*IF(ABS(O739)&lt;'Progetto del paramento slu'!$G$58,ABS(O739)*'Progetto del paramento slu'!$G$54,'Progetto del paramento slu'!$G$53)</f>
        <v>-883365.6897692713</v>
      </c>
      <c r="J739" s="479">
        <f t="shared" si="54"/>
        <v>-682595588.71623278</v>
      </c>
      <c r="K739" s="558">
        <f>'Progetto del paramento slu'!$G$60*(sezione!$AL$29-C739)/C739</f>
        <v>-3.0066317981437499E-3</v>
      </c>
      <c r="L739" s="558">
        <f>'Progetto del paramento slu'!$G$60*(sezione!$AM$29-C739)/C739</f>
        <v>-1.6498692430390622E-3</v>
      </c>
      <c r="M739" s="559">
        <f>'Progetto del paramento slu'!$G$60*(sezione!$AN$29-C739)/C739</f>
        <v>-2.9310668793437441E-4</v>
      </c>
      <c r="N739" s="559">
        <f>'Progetto del paramento slu'!$G$60*(sezione!$AO$29-C739)/C739</f>
        <v>6.9362971577812587E-4</v>
      </c>
      <c r="O739" s="559">
        <f>'Progetto del paramento slu'!$G$60*(sezione!$AP$29-C739)/C739</f>
        <v>-2.9308207882334521E-4</v>
      </c>
      <c r="P739" s="553">
        <f>-'Progetto del paramento slu'!$G$47*'Progetto del paramento slu'!$G$41*IF(DATI!$G$218="dx",DATI!$E$61,DATI!$E$64*DATI!$E$63)*1000*C739*sezione!$AD$5</f>
        <v>-3999902.2891527689</v>
      </c>
      <c r="Q739" s="553">
        <f>'Foglio deposito bis'!$F$48*IF(ABS(K739)&lt;'Progetto del paramento slu'!$G$58,ABS(K739)*'Progetto del paramento slu'!$G$54,'Progetto del paramento slu'!$G$53)*IF(K739&lt;0,-1,1)</f>
        <v>0</v>
      </c>
      <c r="R739" s="553">
        <f>'Foglio deposito bis'!$F$49*IF(ABS(L739)&lt;'Progetto del paramento slu'!$G$58,ABS(L739)*'Progetto del paramento slu'!$G$54,'Progetto del paramento slu'!$G$53)*IF(L739&lt;0,-1,1)</f>
        <v>-177957.12020382431</v>
      </c>
      <c r="S739" s="553">
        <f>'Foglio deposito bis'!$F$50*IF(ABS(M739)&lt;'Progetto del paramento slu'!$G$58,ABS(M739)*'Progetto del paramento slu'!$G$54,'Progetto del paramento slu'!$G$53)*IF(M739&lt;0,-1,1)</f>
        <v>0</v>
      </c>
      <c r="T739" s="553">
        <f>'Foglio deposito bis'!$F$51*IF(ABS(N739)&lt;'Progetto del paramento slu'!$G$58,ABS(N739)*'Progetto del paramento slu'!$G$54,'Progetto del paramento slu'!$G$53)*IF(N739&lt;0,-1,1)</f>
        <v>87983.423135299905</v>
      </c>
      <c r="U739" s="553">
        <f>'Foglio deposito bis'!$F$52*IF(ABS(O739)&lt;'Progetto del paramento slu'!$G$58,ABS(O739)*'Progetto del paramento slu'!$G$54,'Progetto del paramento slu'!$G$53)*IF(O739&lt;0,-1,1)</f>
        <v>-37175.980163364409</v>
      </c>
      <c r="V739" s="479">
        <f t="shared" si="55"/>
        <v>-4127051.9663846577</v>
      </c>
      <c r="W739" s="559"/>
      <c r="X739" s="559"/>
    </row>
    <row r="740" spans="1:24" x14ac:dyDescent="0.25">
      <c r="A740" s="553">
        <f t="shared" si="56"/>
        <v>4200329.8951958194</v>
      </c>
      <c r="B740" s="3">
        <f t="shared" si="53"/>
        <v>70.899999999999949</v>
      </c>
      <c r="C740" s="553">
        <f>'Foglio deposito bis'!$E$155/sezione!$B$247*B740</f>
        <v>287.8232944402518</v>
      </c>
      <c r="D740" s="611">
        <f>-'Progetto del paramento slu'!$G$47*'Progetto del paramento slu'!$G$41*IF(DATI!$G$218="dx",DATI!$E$61,DATI!$E$64*DATI!$E$63)*1000*C740^2*sezione!$AD$5*(1-sezione!$AD$6)</f>
        <v>-681957372.42418551</v>
      </c>
      <c r="E740" s="553">
        <f>-'Foglio deposito bis'!$F$48*(C740-sezione!$AL$29)*IF(ABS(K740)&lt;'Progetto del paramento slu'!$G$58,ABS(K740)*'Progetto del paramento slu'!$G$54,'Progetto del paramento slu'!$G$53)</f>
        <v>0</v>
      </c>
      <c r="F740" s="553">
        <f>-'Foglio deposito bis'!$F$49*(C740-sezione!$AM$29)*IF(ABS(L740)&lt;'Progetto del paramento slu'!$G$58,ABS(L740)*'Progetto del paramento slu'!$G$54,'Progetto del paramento slu'!$G$53)</f>
        <v>-24914558.796316933</v>
      </c>
      <c r="G740" s="553">
        <f>-'Foglio deposito bis'!$F$50*(C740-sezione!$AN$29)*IF(ABS(M740)&lt;'Progetto del paramento slu'!$G$58,ABS(M740)*'Progetto del paramento slu'!$G$54,'Progetto del paramento slu'!$G$53)</f>
        <v>0</v>
      </c>
      <c r="H740" s="553">
        <f>-'Foglio deposito bis'!$F$51*(C740-sezione!$AO$29)*IF(ABS(N740)&lt;'Progetto del paramento slu'!$G$58,ABS(N740)*'Progetto del paramento slu'!$G$54,'Progetto del paramento slu'!$G$53)</f>
        <v>4199219.5089904619</v>
      </c>
      <c r="I740" s="479">
        <f>-'Foglio deposito bis'!$F$52*(C740-sezione!$AP$29)*IF(ABS(O740)&lt;'Progetto del paramento slu'!$G$58,ABS(O740)*'Progetto del paramento slu'!$G$54,'Progetto del paramento slu'!$G$53)</f>
        <v>-1193905.8607023712</v>
      </c>
      <c r="J740" s="479">
        <f t="shared" si="54"/>
        <v>-703866617.57221448</v>
      </c>
      <c r="K740" s="558">
        <f>'Progetto del paramento slu'!$G$60*(sezione!$AL$29-C740)/C740</f>
        <v>-3.0135904469710596E-3</v>
      </c>
      <c r="L740" s="558">
        <f>'Progetto del paramento slu'!$G$60*(sezione!$AM$29-C740)/C740</f>
        <v>-1.6759641761414732E-3</v>
      </c>
      <c r="M740" s="559">
        <f>'Progetto del paramento slu'!$G$60*(sezione!$AN$29-C740)/C740</f>
        <v>-3.3833790531188706E-4</v>
      </c>
      <c r="N740" s="559">
        <f>'Progetto del paramento slu'!$G$60*(sezione!$AO$29-C740)/C740</f>
        <v>6.3448120074599383E-4</v>
      </c>
      <c r="O740" s="559">
        <f>'Progetto del paramento slu'!$G$60*(sezione!$AP$29-C740)/C740</f>
        <v>-3.3831364329692319E-4</v>
      </c>
      <c r="P740" s="553">
        <f>-'Progetto del paramento slu'!$G$47*'Progetto del paramento slu'!$G$41*IF(DATI!$G$218="dx",DATI!$E$61,DATI!$E$64*DATI!$E$63)*1000*C740*sezione!$AD$5</f>
        <v>-4057125.4978674012</v>
      </c>
      <c r="Q740" s="553">
        <f>'Foglio deposito bis'!$F$48*IF(ABS(K740)&lt;'Progetto del paramento slu'!$G$58,ABS(K740)*'Progetto del paramento slu'!$G$54,'Progetto del paramento slu'!$G$53)*IF(K740&lt;0,-1,1)</f>
        <v>0</v>
      </c>
      <c r="R740" s="553">
        <f>'Foglio deposito bis'!$F$49*IF(ABS(L740)&lt;'Progetto del paramento slu'!$G$58,ABS(L740)*'Progetto del paramento slu'!$G$54,'Progetto del paramento slu'!$G$53)*IF(L740&lt;0,-1,1)</f>
        <v>-180771.75485830315</v>
      </c>
      <c r="S740" s="553">
        <f>'Foglio deposito bis'!$F$50*IF(ABS(M740)&lt;'Progetto del paramento slu'!$G$58,ABS(M740)*'Progetto del paramento slu'!$G$54,'Progetto del paramento slu'!$G$53)*IF(M740&lt;0,-1,1)</f>
        <v>0</v>
      </c>
      <c r="T740" s="553">
        <f>'Foglio deposito bis'!$F$51*IF(ABS(N740)&lt;'Progetto del paramento slu'!$G$58,ABS(N740)*'Progetto del paramento slu'!$G$54,'Progetto del paramento slu'!$G$53)*IF(N740&lt;0,-1,1)</f>
        <v>80480.733000321052</v>
      </c>
      <c r="U740" s="553">
        <f>'Foglio deposito bis'!$F$52*IF(ABS(O740)&lt;'Progetto del paramento slu'!$G$58,ABS(O740)*'Progetto del paramento slu'!$G$54,'Progetto del paramento slu'!$G$53)*IF(O740&lt;0,-1,1)</f>
        <v>-42913.375470435407</v>
      </c>
      <c r="V740" s="479">
        <f t="shared" si="55"/>
        <v>-4200329.8951958194</v>
      </c>
      <c r="W740" s="559"/>
      <c r="X740" s="559"/>
    </row>
    <row r="741" spans="1:24" x14ac:dyDescent="0.25">
      <c r="A741" s="553">
        <f t="shared" si="56"/>
        <v>4273161.2393033206</v>
      </c>
      <c r="B741" s="3">
        <f t="shared" si="53"/>
        <v>71.899999999999949</v>
      </c>
      <c r="C741" s="553">
        <f>'Foglio deposito bis'!$E$155/sezione!$B$247*B741</f>
        <v>291.88286135760376</v>
      </c>
      <c r="D741" s="611">
        <f>-'Progetto del paramento slu'!$G$47*'Progetto del paramento slu'!$G$41*IF(DATI!$G$218="dx",DATI!$E$61,DATI!$E$64*DATI!$E$63)*1000*C741^2*sezione!$AD$5*(1-sezione!$AD$6)</f>
        <v>-701330197.89047027</v>
      </c>
      <c r="E741" s="553">
        <f>-'Foglio deposito bis'!$F$48*(C741-sezione!$AL$29)*IF(ABS(K741)&lt;'Progetto del paramento slu'!$G$58,ABS(K741)*'Progetto del paramento slu'!$G$54,'Progetto del paramento slu'!$G$53)</f>
        <v>0</v>
      </c>
      <c r="F741" s="553">
        <f>-'Foglio deposito bis'!$F$49*(C741-sezione!$AM$29)*IF(ABS(L741)&lt;'Progetto del paramento slu'!$G$58,ABS(L741)*'Progetto del paramento slu'!$G$54,'Progetto del paramento slu'!$G$53)</f>
        <v>-26036653.810372468</v>
      </c>
      <c r="G741" s="553">
        <f>-'Foglio deposito bis'!$F$50*(C741-sezione!$AN$29)*IF(ABS(M741)&lt;'Progetto del paramento slu'!$G$58,ABS(M741)*'Progetto del paramento slu'!$G$54,'Progetto del paramento slu'!$G$53)</f>
        <v>0</v>
      </c>
      <c r="H741" s="553">
        <f>-'Foglio deposito bis'!$F$51*(C741-sezione!$AO$29)*IF(ABS(N741)&lt;'Progetto del paramento slu'!$G$58,ABS(N741)*'Progetto del paramento slu'!$G$54,'Progetto del paramento slu'!$G$53)</f>
        <v>3521536.5530342786</v>
      </c>
      <c r="I741" s="479">
        <f>-'Foglio deposito bis'!$F$52*(C741-sezione!$AP$29)*IF(ABS(O741)&lt;'Progetto del paramento slu'!$G$58,ABS(O741)*'Progetto del paramento slu'!$G$54,'Progetto del paramento slu'!$G$53)</f>
        <v>-1545940.7250164291</v>
      </c>
      <c r="J741" s="479">
        <f t="shared" si="54"/>
        <v>-725391255.87282491</v>
      </c>
      <c r="K741" s="558">
        <f>'Progetto del paramento slu'!$G$60*(sezione!$AL$29-C741)/C741</f>
        <v>-3.0203555311578319E-3</v>
      </c>
      <c r="L741" s="558">
        <f>'Progetto del paramento slu'!$G$60*(sezione!$AM$29-C741)/C741</f>
        <v>-1.7013332418418703E-3</v>
      </c>
      <c r="M741" s="559">
        <f>'Progetto del paramento slu'!$G$60*(sezione!$AN$29-C741)/C741</f>
        <v>-3.8231095252590843E-4</v>
      </c>
      <c r="N741" s="559">
        <f>'Progetto del paramento slu'!$G$60*(sezione!$AO$29-C741)/C741</f>
        <v>5.7697798515842749E-4</v>
      </c>
      <c r="O741" s="559">
        <f>'Progetto del paramento slu'!$G$60*(sezione!$AP$29-C741)/C741</f>
        <v>-3.8228702795204279E-4</v>
      </c>
      <c r="P741" s="553">
        <f>-'Progetto del paramento slu'!$G$47*'Progetto del paramento slu'!$G$41*IF(DATI!$G$218="dx",DATI!$E$61,DATI!$E$64*DATI!$E$63)*1000*C741*sezione!$AD$5</f>
        <v>-4114348.7065820331</v>
      </c>
      <c r="Q741" s="553">
        <f>'Foglio deposito bis'!$F$48*IF(ABS(K741)&lt;'Progetto del paramento slu'!$G$58,ABS(K741)*'Progetto del paramento slu'!$G$54,'Progetto del paramento slu'!$G$53)*IF(K741&lt;0,-1,1)</f>
        <v>0</v>
      </c>
      <c r="R741" s="553">
        <f>'Foglio deposito bis'!$F$49*IF(ABS(L741)&lt;'Progetto del paramento slu'!$G$58,ABS(L741)*'Progetto del paramento slu'!$G$54,'Progetto del paramento slu'!$G$53)*IF(L741&lt;0,-1,1)</f>
        <v>-183508.09647649608</v>
      </c>
      <c r="S741" s="553">
        <f>'Foglio deposito bis'!$F$50*IF(ABS(M741)&lt;'Progetto del paramento slu'!$G$58,ABS(M741)*'Progetto del paramento slu'!$G$54,'Progetto del paramento slu'!$G$53)*IF(M741&lt;0,-1,1)</f>
        <v>0</v>
      </c>
      <c r="T741" s="553">
        <f>'Foglio deposito bis'!$F$51*IF(ABS(N741)&lt;'Progetto del paramento slu'!$G$58,ABS(N741)*'Progetto del paramento slu'!$G$54,'Progetto del paramento slu'!$G$53)*IF(N741&lt;0,-1,1)</f>
        <v>73186.740782865993</v>
      </c>
      <c r="U741" s="553">
        <f>'Foglio deposito bis'!$F$52*IF(ABS(O741)&lt;'Progetto del paramento slu'!$G$58,ABS(O741)*'Progetto del paramento slu'!$G$54,'Progetto del paramento slu'!$G$53)*IF(O741&lt;0,-1,1)</f>
        <v>-48491.177027657417</v>
      </c>
      <c r="V741" s="479">
        <f t="shared" si="55"/>
        <v>-4273161.2393033206</v>
      </c>
      <c r="W741" s="559"/>
      <c r="X741" s="559"/>
    </row>
    <row r="742" spans="1:24" x14ac:dyDescent="0.25">
      <c r="A742" s="553">
        <f t="shared" si="56"/>
        <v>4345564.3766785078</v>
      </c>
      <c r="B742" s="3">
        <f t="shared" si="53"/>
        <v>72.899999999999949</v>
      </c>
      <c r="C742" s="553">
        <f>'Foglio deposito bis'!$E$155/sezione!$B$247*B742</f>
        <v>295.94242827495566</v>
      </c>
      <c r="D742" s="611">
        <f>-'Progetto del paramento slu'!$G$47*'Progetto del paramento slu'!$G$41*IF(DATI!$G$218="dx",DATI!$E$61,DATI!$E$64*DATI!$E$63)*1000*C742^2*sezione!$AD$5*(1-sezione!$AD$6)</f>
        <v>-720974351.44451761</v>
      </c>
      <c r="E742" s="553">
        <f>-'Foglio deposito bis'!$F$48*(C742-sezione!$AL$29)*IF(ABS(K742)&lt;'Progetto del paramento slu'!$G$58,ABS(K742)*'Progetto del paramento slu'!$G$54,'Progetto del paramento slu'!$G$53)</f>
        <v>0</v>
      </c>
      <c r="F742" s="553">
        <f>-'Foglio deposito bis'!$F$49*(C742-sezione!$AM$29)*IF(ABS(L742)&lt;'Progetto del paramento slu'!$G$58,ABS(L742)*'Progetto del paramento slu'!$G$54,'Progetto del paramento slu'!$G$53)</f>
        <v>-27170009.489523433</v>
      </c>
      <c r="G742" s="553">
        <f>-'Foglio deposito bis'!$F$50*(C742-sezione!$AN$29)*IF(ABS(M742)&lt;'Progetto del paramento slu'!$G$58,ABS(M742)*'Progetto del paramento slu'!$G$54,'Progetto del paramento slu'!$G$53)</f>
        <v>0</v>
      </c>
      <c r="H742" s="553">
        <f>-'Foglio deposito bis'!$F$51*(C742-sezione!$AO$29)*IF(ABS(N742)&lt;'Progetto del paramento slu'!$G$58,ABS(N742)*'Progetto del paramento slu'!$G$54,'Progetto del paramento slu'!$G$53)</f>
        <v>2911890.8358691786</v>
      </c>
      <c r="I742" s="479">
        <f>-'Foglio deposito bis'!$F$52*(C742-sezione!$AP$29)*IF(ABS(O742)&lt;'Progetto del paramento slu'!$G$58,ABS(O742)*'Progetto del paramento slu'!$G$54,'Progetto del paramento slu'!$G$53)</f>
        <v>-1937762.6821607824</v>
      </c>
      <c r="J742" s="479">
        <f t="shared" si="54"/>
        <v>-747170232.78033257</v>
      </c>
      <c r="K742" s="558">
        <f>'Progetto del paramento slu'!$G$60*(sezione!$AL$29-C742)/C742</f>
        <v>-3.0269350163271351E-3</v>
      </c>
      <c r="L742" s="558">
        <f>'Progetto del paramento slu'!$G$60*(sezione!$AM$29-C742)/C742</f>
        <v>-1.7260063112267555E-3</v>
      </c>
      <c r="M742" s="559">
        <f>'Progetto del paramento slu'!$G$60*(sezione!$AN$29-C742)/C742</f>
        <v>-4.2507760612637581E-4</v>
      </c>
      <c r="N742" s="559">
        <f>'Progetto del paramento slu'!$G$60*(sezione!$AO$29-C742)/C742</f>
        <v>5.2105236121935481E-4</v>
      </c>
      <c r="O742" s="559">
        <f>'Progetto del paramento slu'!$G$60*(sezione!$AP$29-C742)/C742</f>
        <v>-4.2505400973596503E-4</v>
      </c>
      <c r="P742" s="553">
        <f>-'Progetto del paramento slu'!$G$47*'Progetto del paramento slu'!$G$41*IF(DATI!$G$218="dx",DATI!$E$61,DATI!$E$64*DATI!$E$63)*1000*C742*sezione!$AD$5</f>
        <v>-4171571.9152966645</v>
      </c>
      <c r="Q742" s="553">
        <f>'Foglio deposito bis'!$F$48*IF(ABS(K742)&lt;'Progetto del paramento slu'!$G$58,ABS(K742)*'Progetto del paramento slu'!$G$54,'Progetto del paramento slu'!$G$53)*IF(K742&lt;0,-1,1)</f>
        <v>0</v>
      </c>
      <c r="R742" s="553">
        <f>'Foglio deposito bis'!$F$49*IF(ABS(L742)&lt;'Progetto del paramento slu'!$G$58,ABS(L742)*'Progetto del paramento slu'!$G$54,'Progetto del paramento slu'!$G$53)*IF(L742&lt;0,-1,1)</f>
        <v>-186169.36699405269</v>
      </c>
      <c r="S742" s="553">
        <f>'Foglio deposito bis'!$F$50*IF(ABS(M742)&lt;'Progetto del paramento slu'!$G$58,ABS(M742)*'Progetto del paramento slu'!$G$54,'Progetto del paramento slu'!$G$53)*IF(M742&lt;0,-1,1)</f>
        <v>0</v>
      </c>
      <c r="T742" s="553">
        <f>'Foglio deposito bis'!$F$51*IF(ABS(N742)&lt;'Progetto del paramento slu'!$G$58,ABS(N742)*'Progetto del paramento slu'!$G$54,'Progetto del paramento slu'!$G$53)*IF(N742&lt;0,-1,1)</f>
        <v>66092.858091267131</v>
      </c>
      <c r="U742" s="553">
        <f>'Foglio deposito bis'!$F$52*IF(ABS(O742)&lt;'Progetto del paramento slu'!$G$58,ABS(O742)*'Progetto del paramento slu'!$G$54,'Progetto del paramento slu'!$G$53)*IF(O742&lt;0,-1,1)</f>
        <v>-53915.952479057072</v>
      </c>
      <c r="V742" s="479">
        <f t="shared" si="55"/>
        <v>-4345564.3766785078</v>
      </c>
      <c r="W742" s="559"/>
      <c r="X742" s="559"/>
    </row>
    <row r="743" spans="1:24" x14ac:dyDescent="0.25">
      <c r="A743" s="553">
        <f t="shared" si="56"/>
        <v>4417556.6905446136</v>
      </c>
      <c r="B743" s="3">
        <f t="shared" si="53"/>
        <v>73.899999999999949</v>
      </c>
      <c r="C743" s="553">
        <f>'Foglio deposito bis'!$E$155/sezione!$B$247*B743</f>
        <v>300.00199519230762</v>
      </c>
      <c r="D743" s="32">
        <f>-'Progetto del paramento slu'!$G$47*'Progetto del paramento slu'!$G$41*IF(DATI!$G$218="dx",DATI!$E$61,DATI!$E$64*DATI!$E$63)*1000*C743^2*sezione!$AD$5*(1-sezione!$AD$6)</f>
        <v>-740889833.08632839</v>
      </c>
      <c r="E743" s="553">
        <f>-'Foglio deposito bis'!$F$48*(C743-sezione!$AL$29)*IF(ABS(K743)&lt;'Progetto del paramento slu'!$G$58,ABS(K743)*'Progetto del paramento slu'!$G$54,'Progetto del paramento slu'!$G$53)</f>
        <v>0</v>
      </c>
      <c r="F743" s="553">
        <f>-'Foglio deposito bis'!$F$49*(C743-sezione!$AM$29)*IF(ABS(L743)&lt;'Progetto del paramento slu'!$G$58,ABS(L743)*'Progetto del paramento slu'!$G$54,'Progetto del paramento slu'!$G$53)</f>
        <v>-28314168.702575181</v>
      </c>
      <c r="G743" s="553">
        <f>-'Foglio deposito bis'!$F$50*(C743-sezione!$AN$29)*IF(ABS(M743)&lt;'Progetto del paramento slu'!$G$58,ABS(M743)*'Progetto del paramento slu'!$G$54,'Progetto del paramento slu'!$G$53)</f>
        <v>0</v>
      </c>
      <c r="H743" s="553">
        <f>-'Foglio deposito bis'!$F$51*(C743-sezione!$AO$29)*IF(ABS(N743)&lt;'Progetto del paramento slu'!$G$58,ABS(N743)*'Progetto del paramento slu'!$G$54,'Progetto del paramento slu'!$G$53)</f>
        <v>2367520.3586267666</v>
      </c>
      <c r="I743" s="479">
        <f>-'Foglio deposito bis'!$F$52*(C743-sezione!$AP$29)*IF(ABS(O743)&lt;'Progetto del paramento slu'!$G$58,ABS(O743)*'Progetto del paramento slu'!$G$54,'Progetto del paramento slu'!$G$53)</f>
        <v>-2367756.5592194637</v>
      </c>
      <c r="J743" s="479">
        <f t="shared" si="54"/>
        <v>-769204237.98949635</v>
      </c>
      <c r="K743" s="558">
        <f>'Progetto del paramento slu'!$G$60*(sezione!$AL$29-C743)/C743</f>
        <v>-3.0333364369451712E-3</v>
      </c>
      <c r="L743" s="558">
        <f>'Progetto del paramento slu'!$G$60*(sezione!$AM$29-C743)/C743</f>
        <v>-1.7500116385443909E-3</v>
      </c>
      <c r="M743" s="559">
        <f>'Progetto del paramento slu'!$G$60*(sezione!$AN$29-C743)/C743</f>
        <v>-4.6668684014361051E-4</v>
      </c>
      <c r="N743" s="559">
        <f>'Progetto del paramento slu'!$G$60*(sezione!$AO$29-C743)/C743</f>
        <v>4.6664028596604782E-4</v>
      </c>
      <c r="O743" s="559">
        <f>'Progetto del paramento slu'!$G$60*(sezione!$AP$29-C743)/C743</f>
        <v>-4.6666356305482919E-4</v>
      </c>
      <c r="P743" s="553">
        <f>-'Progetto del paramento slu'!$G$47*'Progetto del paramento slu'!$G$41*IF(DATI!$G$218="dx",DATI!$E$61,DATI!$E$64*DATI!$E$63)*1000*C743*sezione!$AD$5</f>
        <v>-4228795.1240112968</v>
      </c>
      <c r="Q743" s="553">
        <f>'Foglio deposito bis'!$F$48*IF(ABS(K743)&lt;'Progetto del paramento slu'!$G$58,ABS(K743)*'Progetto del paramento slu'!$G$54,'Progetto del paramento slu'!$G$53)*IF(K743&lt;0,-1,1)</f>
        <v>0</v>
      </c>
      <c r="R743" s="553">
        <f>'Foglio deposito bis'!$F$49*IF(ABS(L743)&lt;'Progetto del paramento slu'!$G$58,ABS(L743)*'Progetto del paramento slu'!$G$54,'Progetto del paramento slu'!$G$53)*IF(L743&lt;0,-1,1)</f>
        <v>-188758.61395227085</v>
      </c>
      <c r="S743" s="553">
        <f>'Foglio deposito bis'!$F$50*IF(ABS(M743)&lt;'Progetto del paramento slu'!$G$58,ABS(M743)*'Progetto del paramento slu'!$G$54,'Progetto del paramento slu'!$G$53)*IF(M743&lt;0,-1,1)</f>
        <v>0</v>
      </c>
      <c r="T743" s="553">
        <f>'Foglio deposito bis'!$F$51*IF(ABS(N743)&lt;'Progetto del paramento slu'!$G$58,ABS(N743)*'Progetto del paramento slu'!$G$54,'Progetto del paramento slu'!$G$53)*IF(N743&lt;0,-1,1)</f>
        <v>59190.961399440792</v>
      </c>
      <c r="U743" s="553">
        <f>'Foglio deposito bis'!$F$52*IF(ABS(O743)&lt;'Progetto del paramento slu'!$G$58,ABS(O743)*'Progetto del paramento slu'!$G$54,'Progetto del paramento slu'!$G$53)*IF(O743&lt;0,-1,1)</f>
        <v>-59193.913980486584</v>
      </c>
      <c r="V743" s="479">
        <f t="shared" si="55"/>
        <v>-4417556.6905446136</v>
      </c>
      <c r="W743" s="559"/>
      <c r="X743" s="559"/>
    </row>
    <row r="744" spans="1:24" x14ac:dyDescent="0.25">
      <c r="P744" s="553"/>
      <c r="Q744" s="553"/>
      <c r="R744" s="553"/>
      <c r="S744" s="553"/>
      <c r="T744" s="553"/>
      <c r="U744" s="553"/>
      <c r="V744" s="479"/>
    </row>
    <row r="745" spans="1:24" x14ac:dyDescent="0.25">
      <c r="P745" s="553"/>
      <c r="Q745" s="553"/>
      <c r="R745" s="553"/>
      <c r="S745" s="553"/>
      <c r="T745" s="553"/>
      <c r="U745" s="553"/>
      <c r="V745" s="479"/>
    </row>
    <row r="746" spans="1:24" ht="15.75" x14ac:dyDescent="0.25">
      <c r="A746" s="1035" t="s">
        <v>950</v>
      </c>
      <c r="B746" s="1036"/>
      <c r="C746" s="1036"/>
      <c r="D746" s="1036"/>
      <c r="E746" s="1036"/>
      <c r="F746" s="1036"/>
      <c r="G746" s="1036"/>
      <c r="H746" s="1036"/>
      <c r="I746" s="1036"/>
      <c r="J746" s="1036"/>
      <c r="K746" s="1036"/>
      <c r="L746" s="1036"/>
      <c r="M746" s="1036"/>
      <c r="N746" s="1036"/>
      <c r="O746" s="1037"/>
      <c r="P746" s="553"/>
      <c r="Q746" s="553"/>
      <c r="R746" s="553"/>
      <c r="S746" s="553"/>
      <c r="T746" s="553"/>
      <c r="U746" s="553"/>
      <c r="V746" s="479"/>
      <c r="W746" s="613"/>
      <c r="X746" s="613"/>
    </row>
    <row r="747" spans="1:24" x14ac:dyDescent="0.25">
      <c r="A747" s="541">
        <v>1</v>
      </c>
      <c r="B747" s="541">
        <v>2</v>
      </c>
      <c r="C747" s="541">
        <v>3</v>
      </c>
      <c r="D747" s="541">
        <v>4</v>
      </c>
      <c r="E747" s="541">
        <v>5</v>
      </c>
      <c r="F747" s="541">
        <v>6</v>
      </c>
      <c r="G747" s="541">
        <v>7</v>
      </c>
      <c r="H747" s="541">
        <v>8</v>
      </c>
      <c r="I747" s="541">
        <v>9</v>
      </c>
      <c r="J747" s="541">
        <v>10</v>
      </c>
      <c r="K747" s="541">
        <v>11</v>
      </c>
      <c r="L747" s="541">
        <v>12</v>
      </c>
      <c r="M747" s="541">
        <v>13</v>
      </c>
      <c r="N747" s="541">
        <v>14</v>
      </c>
      <c r="O747" s="541">
        <v>15</v>
      </c>
      <c r="P747" s="606">
        <v>4</v>
      </c>
      <c r="Q747" s="606">
        <v>5</v>
      </c>
      <c r="R747" s="606">
        <v>6</v>
      </c>
      <c r="S747" s="606">
        <v>7</v>
      </c>
      <c r="T747" s="606">
        <v>8</v>
      </c>
      <c r="U747" s="606">
        <v>9</v>
      </c>
      <c r="V747" s="606">
        <v>10</v>
      </c>
      <c r="W747" s="47"/>
      <c r="X747" s="47"/>
    </row>
    <row r="748" spans="1:24" x14ac:dyDescent="0.25">
      <c r="A748" s="561" t="s">
        <v>929</v>
      </c>
      <c r="B748" s="83" t="s">
        <v>917</v>
      </c>
      <c r="C748" s="541" t="s">
        <v>134</v>
      </c>
      <c r="D748" s="541" t="s">
        <v>911</v>
      </c>
      <c r="E748" s="541" t="s">
        <v>912</v>
      </c>
      <c r="F748" s="541" t="s">
        <v>913</v>
      </c>
      <c r="G748" s="541" t="s">
        <v>914</v>
      </c>
      <c r="H748" s="541" t="s">
        <v>915</v>
      </c>
      <c r="I748" s="541" t="s">
        <v>916</v>
      </c>
      <c r="J748" s="562" t="s">
        <v>910</v>
      </c>
      <c r="K748" s="561" t="s">
        <v>923</v>
      </c>
      <c r="L748" s="561" t="s">
        <v>924</v>
      </c>
      <c r="M748" s="561" t="s">
        <v>925</v>
      </c>
      <c r="N748" s="561" t="s">
        <v>926</v>
      </c>
      <c r="O748" s="561" t="s">
        <v>927</v>
      </c>
      <c r="P748" s="606" t="s">
        <v>293</v>
      </c>
      <c r="Q748" s="606" t="s">
        <v>968</v>
      </c>
      <c r="R748" s="606" t="s">
        <v>969</v>
      </c>
      <c r="S748" s="606" t="s">
        <v>970</v>
      </c>
      <c r="T748" s="606" t="s">
        <v>971</v>
      </c>
      <c r="U748" s="606" t="s">
        <v>972</v>
      </c>
      <c r="V748" s="607" t="s">
        <v>1021</v>
      </c>
      <c r="W748" s="58"/>
      <c r="X748" s="58"/>
    </row>
    <row r="749" spans="1:24" x14ac:dyDescent="0.25">
      <c r="A749" s="553">
        <f>ABS(V749)</f>
        <v>709176.02588659991</v>
      </c>
      <c r="B749" s="3">
        <v>0</v>
      </c>
      <c r="C749" s="42">
        <v>0.01</v>
      </c>
      <c r="D749" s="611">
        <f>-'Progetto del paramento slu'!$G$47*'Progetto del paramento slu'!$G$41*IF(DATI!$G$218="dx",DATI!$E$61,DATI!$E$64*DATI!$E$63)*1000*C749^2*sezione!$AD$5*(1-sezione!$AD$6)</f>
        <v>-0.82319997600000006</v>
      </c>
      <c r="E749" s="553">
        <f>-'Foglio deposito bis'!$F$58*(C749-sezione!$AL$30)*IF(ABS(K749)&lt;'Progetto del paramento slu'!$G$58,ABS(K749)*'Progetto del paramento slu'!$G$54,'Progetto del paramento slu'!$G$53)</f>
        <v>0</v>
      </c>
      <c r="F749" s="553">
        <f>-'Foglio deposito bis'!$F$59*(C749-sezione!$AM$30)*IF(ABS(L749)&lt;'Progetto del paramento slu'!$G$58,ABS(L749)*'Progetto del paramento slu'!$G$54,'Progetto del paramento slu'!$G$53)</f>
        <v>23048192.059822816</v>
      </c>
      <c r="G749" s="553">
        <f>-'Foglio deposito bis'!$F$60*(C749-sezione!$AN$30)*IF(ABS(M749)&lt;'Progetto del paramento slu'!$G$58,ABS(M749)*'Progetto del paramento slu'!$G$54,'Progetto del paramento slu'!$G$53)</f>
        <v>0</v>
      </c>
      <c r="H749" s="553">
        <f>-'Foglio deposito bis'!$F$61*(C749-sezione!$AO$30)*IF(ABS(N749)&lt;'Progetto del paramento slu'!$G$58,ABS(N749)*'Progetto del paramento slu'!$G$54,'Progetto del paramento slu'!$G$53)</f>
        <v>81919399.66185239</v>
      </c>
      <c r="I749" s="479">
        <f>-'Foglio deposito bis'!$F$62*(C749-sezione!$AP$30)*IF(ABS(O749)&lt;'Progetto del paramento slu'!$G$58,ABS(O749)*'Progetto del paramento slu'!$G$54,'Progetto del paramento slu'!$G$53)</f>
        <v>81821254.626234412</v>
      </c>
      <c r="J749" s="479">
        <f t="shared" ref="J749:J812" si="57">D749+E749+F749+G749+H749+I749</f>
        <v>186788845.52470964</v>
      </c>
      <c r="K749" s="558">
        <f>'Progetto del paramento slu'!$G$60*(sezione!$AL$30-C749)/C749</f>
        <v>13.996500000000001</v>
      </c>
      <c r="L749" s="558">
        <f>'Progetto del paramento slu'!$G$60*(sezione!$AM$30-C749)/C749</f>
        <v>52.496499999999997</v>
      </c>
      <c r="M749" s="559">
        <f>'Progetto del paramento slu'!$G$60*(sezione!$AN$30-C749)/C749</f>
        <v>90.996499999999997</v>
      </c>
      <c r="N749" s="559">
        <f>'Progetto del paramento slu'!$G$60*(sezione!$AO$30-C749)/C749</f>
        <v>118.99650000000001</v>
      </c>
      <c r="O749" s="559">
        <f>'Progetto del paramento slu'!$G$60*(sezione!$AP$30-C749)/C749</f>
        <v>90.997543269230746</v>
      </c>
      <c r="P749" s="553">
        <f>-'Progetto del paramento slu'!$G$47*'Progetto del paramento slu'!$G$41*IF(DATI!$G$218="dx",DATI!$E$61,DATI!$E$64*DATI!$E$63)*1000*C749*sezione!$AD$5</f>
        <v>-140.9589</v>
      </c>
      <c r="Q749" s="553">
        <f>'Foglio deposito bis'!$F$58*IF(ABS(K749)&lt;'Progetto del paramento slu'!$G$58,ABS(K749)*'Progetto del paramento slu'!$G$54,'Progetto del paramento slu'!$G$53)*IF(K749&lt;0,-1,1)</f>
        <v>0</v>
      </c>
      <c r="R749" s="553">
        <f>'Foglio deposito bis'!$F$59*IF(ABS(L749)&lt;'Progetto del paramento slu'!$G$58,ABS(L749)*'Progetto del paramento slu'!$G$54,'Progetto del paramento slu'!$G$53)*IF(L749&lt;0,-1,1)</f>
        <v>153664.85805602249</v>
      </c>
      <c r="S749" s="553">
        <f>'Foglio deposito bis'!$F$60*IF(ABS(M749)&lt;'Progetto del paramento slu'!$G$58,ABS(M749)*'Progetto del paramento slu'!$G$54,'Progetto del paramento slu'!$G$53)*IF(M749&lt;0,-1,1)</f>
        <v>0</v>
      </c>
      <c r="T749" s="553">
        <f>'Foglio deposito bis'!$F$61*IF(ABS(N749)&lt;'Progetto del paramento slu'!$G$58,ABS(N749)*'Progetto del paramento slu'!$G$54,'Progetto del paramento slu'!$G$53)*IF(N749&lt;0,-1,1)</f>
        <v>240946.49743184328</v>
      </c>
      <c r="U749" s="553">
        <f>'Foglio deposito bis'!$F$62*IF(ABS(O749)&lt;'Progetto del paramento slu'!$G$58,ABS(O749)*'Progetto del paramento slu'!$G$54,'Progetto del paramento slu'!$G$53)*IF(O749&lt;0,-1,1)</f>
        <v>314705.62929873407</v>
      </c>
      <c r="V749" s="479">
        <f t="shared" ref="V749" si="58">P749+Q749+R749+S749+T749+U749</f>
        <v>709176.02588659991</v>
      </c>
      <c r="W749" s="559"/>
      <c r="X749" s="559"/>
    </row>
    <row r="750" spans="1:24" x14ac:dyDescent="0.25">
      <c r="A750" s="553">
        <f t="shared" ref="A750:A813" si="59">ABS(V750)</f>
        <v>706455.81495128502</v>
      </c>
      <c r="B750" s="3">
        <f>B749+0.05</f>
        <v>0.05</v>
      </c>
      <c r="C750" s="553">
        <f>'Foglio deposito bis'!$E$156/sezione!$B$247*B750</f>
        <v>0.2029790126990737</v>
      </c>
      <c r="D750" s="611">
        <f>-'Progetto del paramento slu'!$G$47*'Progetto del paramento slu'!$G$41*IF(DATI!$G$218="dx",DATI!$E$61,DATI!$E$64*DATI!$E$63)*1000*C750^2*sezione!$AD$5*(1-sezione!$AD$6)</f>
        <v>-339.16233814855019</v>
      </c>
      <c r="E750" s="553">
        <f>-'Foglio deposito bis'!$F$58*(C750-sezione!$AL$30)*IF(ABS(K750)&lt;'Progetto del paramento slu'!$G$58,ABS(K750)*'Progetto del paramento slu'!$G$54,'Progetto del paramento slu'!$G$53)</f>
        <v>0</v>
      </c>
      <c r="F750" s="553">
        <f>-'Foglio deposito bis'!$F$59*(C750-sezione!$AM$30)*IF(ABS(L750)&lt;'Progetto del paramento slu'!$G$58,ABS(L750)*'Progetto del paramento slu'!$G$54,'Progetto del paramento slu'!$G$53)</f>
        <v>23018537.967228618</v>
      </c>
      <c r="G750" s="553">
        <f>-'Foglio deposito bis'!$F$60*(C750-sezione!$AN$30)*IF(ABS(M750)&lt;'Progetto del paramento slu'!$G$58,ABS(M750)*'Progetto del paramento slu'!$G$54,'Progetto del paramento slu'!$G$53)</f>
        <v>0</v>
      </c>
      <c r="H750" s="553">
        <f>-'Foglio deposito bis'!$F$61*(C750-sezione!$AO$30)*IF(ABS(N750)&lt;'Progetto del paramento slu'!$G$58,ABS(N750)*'Progetto del paramento slu'!$G$54,'Progetto del paramento slu'!$G$53)</f>
        <v>81872902.044664696</v>
      </c>
      <c r="I750" s="479">
        <f>-'Foglio deposito bis'!$F$62*(C750-sezione!$AP$30)*IF(ABS(O750)&lt;'Progetto del paramento slu'!$G$58,ABS(O750)*'Progetto del paramento slu'!$G$54,'Progetto del paramento slu'!$G$53)</f>
        <v>81760523.044601515</v>
      </c>
      <c r="J750" s="479">
        <f t="shared" si="57"/>
        <v>186651623.89415669</v>
      </c>
      <c r="K750" s="558">
        <f>'Progetto del paramento slu'!$G$60*(sezione!$AL$30-C750)/C750</f>
        <v>0.68622648028176603</v>
      </c>
      <c r="L750" s="558">
        <f>'Progetto del paramento slu'!$G$60*(sezione!$AM$30-C750)/C750</f>
        <v>2.5829743010566228</v>
      </c>
      <c r="M750" s="559">
        <f>'Progetto del paramento slu'!$G$60*(sezione!$AN$30-C750)/C750</f>
        <v>4.4797221218314798</v>
      </c>
      <c r="N750" s="559">
        <f>'Progetto del paramento slu'!$G$60*(sezione!$AO$30-C750)/C750</f>
        <v>5.8591750823950122</v>
      </c>
      <c r="O750" s="559">
        <f>'Progetto del paramento slu'!$G$60*(sezione!$AP$30-C750)/C750</f>
        <v>4.47977351971823</v>
      </c>
      <c r="P750" s="553">
        <f>-'Progetto del paramento slu'!$G$47*'Progetto del paramento slu'!$G$41*IF(DATI!$G$218="dx",DATI!$E$61,DATI!$E$64*DATI!$E$63)*1000*C750*sezione!$AD$5</f>
        <v>-2861.1698353147458</v>
      </c>
      <c r="Q750" s="553">
        <f>'Foglio deposito bis'!$F$58*IF(ABS(K750)&lt;'Progetto del paramento slu'!$G$58,ABS(K750)*'Progetto del paramento slu'!$G$54,'Progetto del paramento slu'!$G$53)*IF(K750&lt;0,-1,1)</f>
        <v>0</v>
      </c>
      <c r="R750" s="553">
        <f>'Foglio deposito bis'!$F$59*IF(ABS(L750)&lt;'Progetto del paramento slu'!$G$58,ABS(L750)*'Progetto del paramento slu'!$G$54,'Progetto del paramento slu'!$G$53)*IF(L750&lt;0,-1,1)</f>
        <v>153664.85805602249</v>
      </c>
      <c r="S750" s="553">
        <f>'Foglio deposito bis'!$F$60*IF(ABS(M750)&lt;'Progetto del paramento slu'!$G$58,ABS(M750)*'Progetto del paramento slu'!$G$54,'Progetto del paramento slu'!$G$53)*IF(M750&lt;0,-1,1)</f>
        <v>0</v>
      </c>
      <c r="T750" s="553">
        <f>'Foglio deposito bis'!$F$61*IF(ABS(N750)&lt;'Progetto del paramento slu'!$G$58,ABS(N750)*'Progetto del paramento slu'!$G$54,'Progetto del paramento slu'!$G$53)*IF(N750&lt;0,-1,1)</f>
        <v>240946.49743184328</v>
      </c>
      <c r="U750" s="553">
        <f>'Foglio deposito bis'!$F$62*IF(ABS(O750)&lt;'Progetto del paramento slu'!$G$58,ABS(O750)*'Progetto del paramento slu'!$G$54,'Progetto del paramento slu'!$G$53)*IF(O750&lt;0,-1,1)</f>
        <v>314705.62929873407</v>
      </c>
      <c r="V750" s="479">
        <f t="shared" ref="V750:V813" si="60">P750+Q750+R750+S750+T750+U750</f>
        <v>706455.81495128502</v>
      </c>
      <c r="W750" s="559"/>
      <c r="X750" s="559"/>
    </row>
    <row r="751" spans="1:24" x14ac:dyDescent="0.25">
      <c r="A751" s="553">
        <f t="shared" si="59"/>
        <v>703594.6451159704</v>
      </c>
      <c r="B751" s="3">
        <f t="shared" ref="B751:B814" si="61">B750+0.05</f>
        <v>0.1</v>
      </c>
      <c r="C751" s="553">
        <f>'Foglio deposito bis'!$E$156/sezione!$B$247*B751</f>
        <v>0.4059580253981474</v>
      </c>
      <c r="D751" s="611">
        <f>-'Progetto del paramento slu'!$G$47*'Progetto del paramento slu'!$G$41*IF(DATI!$G$218="dx",DATI!$E$61,DATI!$E$64*DATI!$E$63)*1000*C751^2*sezione!$AD$5*(1-sezione!$AD$6)</f>
        <v>-1356.6493525942008</v>
      </c>
      <c r="E751" s="553">
        <f>-'Foglio deposito bis'!$F$58*(C751-sezione!$AL$30)*IF(ABS(K751)&lt;'Progetto del paramento slu'!$G$58,ABS(K751)*'Progetto del paramento slu'!$G$54,'Progetto del paramento slu'!$G$53)</f>
        <v>0</v>
      </c>
      <c r="F751" s="553">
        <f>-'Foglio deposito bis'!$F$59*(C751-sezione!$AM$30)*IF(ABS(L751)&lt;'Progetto del paramento slu'!$G$58,ABS(L751)*'Progetto del paramento slu'!$G$54,'Progetto del paramento slu'!$G$53)</f>
        <v>22987347.226053864</v>
      </c>
      <c r="G751" s="553">
        <f>-'Foglio deposito bis'!$F$60*(C751-sezione!$AN$30)*IF(ABS(M751)&lt;'Progetto del paramento slu'!$G$58,ABS(M751)*'Progetto del paramento slu'!$G$54,'Progetto del paramento slu'!$G$53)</f>
        <v>0</v>
      </c>
      <c r="H751" s="553">
        <f>-'Foglio deposito bis'!$F$61*(C751-sezione!$AO$30)*IF(ABS(N751)&lt;'Progetto del paramento slu'!$G$58,ABS(N751)*'Progetto del paramento slu'!$G$54,'Progetto del paramento slu'!$G$53)</f>
        <v>81823994.962502688</v>
      </c>
      <c r="I751" s="479">
        <f>-'Foglio deposito bis'!$F$62*(C751-sezione!$AP$30)*IF(ABS(O751)&lt;'Progetto del paramento slu'!$G$58,ABS(O751)*'Progetto del paramento slu'!$G$54,'Progetto del paramento slu'!$G$53)</f>
        <v>81696644.406675607</v>
      </c>
      <c r="J751" s="479">
        <f t="shared" si="57"/>
        <v>186506629.94587958</v>
      </c>
      <c r="K751" s="558">
        <f>'Progetto del paramento slu'!$G$60*(sezione!$AL$30-C751)/C751</f>
        <v>0.34136324014088304</v>
      </c>
      <c r="L751" s="558">
        <f>'Progetto del paramento slu'!$G$60*(sezione!$AM$30-C751)/C751</f>
        <v>1.2897371505283115</v>
      </c>
      <c r="M751" s="559">
        <f>'Progetto del paramento slu'!$G$60*(sezione!$AN$30-C751)/C751</f>
        <v>2.23811106091574</v>
      </c>
      <c r="N751" s="559">
        <f>'Progetto del paramento slu'!$G$60*(sezione!$AO$30-C751)/C751</f>
        <v>2.9278375411975057</v>
      </c>
      <c r="O751" s="559">
        <f>'Progetto del paramento slu'!$G$60*(sezione!$AP$30-C751)/C751</f>
        <v>2.2381367598591151</v>
      </c>
      <c r="P751" s="553">
        <f>-'Progetto del paramento slu'!$G$47*'Progetto del paramento slu'!$G$41*IF(DATI!$G$218="dx",DATI!$E$61,DATI!$E$64*DATI!$E$63)*1000*C751*sezione!$AD$5</f>
        <v>-5722.3396706294916</v>
      </c>
      <c r="Q751" s="553">
        <f>'Foglio deposito bis'!$F$58*IF(ABS(K751)&lt;'Progetto del paramento slu'!$G$58,ABS(K751)*'Progetto del paramento slu'!$G$54,'Progetto del paramento slu'!$G$53)*IF(K751&lt;0,-1,1)</f>
        <v>0</v>
      </c>
      <c r="R751" s="553">
        <f>'Foglio deposito bis'!$F$59*IF(ABS(L751)&lt;'Progetto del paramento slu'!$G$58,ABS(L751)*'Progetto del paramento slu'!$G$54,'Progetto del paramento slu'!$G$53)*IF(L751&lt;0,-1,1)</f>
        <v>153664.85805602249</v>
      </c>
      <c r="S751" s="553">
        <f>'Foglio deposito bis'!$F$60*IF(ABS(M751)&lt;'Progetto del paramento slu'!$G$58,ABS(M751)*'Progetto del paramento slu'!$G$54,'Progetto del paramento slu'!$G$53)*IF(M751&lt;0,-1,1)</f>
        <v>0</v>
      </c>
      <c r="T751" s="553">
        <f>'Foglio deposito bis'!$F$61*IF(ABS(N751)&lt;'Progetto del paramento slu'!$G$58,ABS(N751)*'Progetto del paramento slu'!$G$54,'Progetto del paramento slu'!$G$53)*IF(N751&lt;0,-1,1)</f>
        <v>240946.49743184328</v>
      </c>
      <c r="U751" s="553">
        <f>'Foglio deposito bis'!$F$62*IF(ABS(O751)&lt;'Progetto del paramento slu'!$G$58,ABS(O751)*'Progetto del paramento slu'!$G$54,'Progetto del paramento slu'!$G$53)*IF(O751&lt;0,-1,1)</f>
        <v>314705.62929873407</v>
      </c>
      <c r="V751" s="479">
        <f t="shared" si="60"/>
        <v>703594.6451159704</v>
      </c>
      <c r="W751" s="559"/>
      <c r="X751" s="559"/>
    </row>
    <row r="752" spans="1:24" x14ac:dyDescent="0.25">
      <c r="A752" s="553">
        <f t="shared" si="59"/>
        <v>700733.47528065555</v>
      </c>
      <c r="B752" s="3">
        <f t="shared" si="61"/>
        <v>0.15000000000000002</v>
      </c>
      <c r="C752" s="553">
        <f>'Foglio deposito bis'!$E$156/sezione!$B$247*B752</f>
        <v>0.60893703809722111</v>
      </c>
      <c r="D752" s="611">
        <f>-'Progetto del paramento slu'!$G$47*'Progetto del paramento slu'!$G$41*IF(DATI!$G$218="dx",DATI!$E$61,DATI!$E$64*DATI!$E$63)*1000*C752^2*sezione!$AD$5*(1-sezione!$AD$6)</f>
        <v>-3052.4610433369512</v>
      </c>
      <c r="E752" s="553">
        <f>-'Foglio deposito bis'!$F$58*(C752-sezione!$AL$30)*IF(ABS(K752)&lt;'Progetto del paramento slu'!$G$58,ABS(K752)*'Progetto del paramento slu'!$G$54,'Progetto del paramento slu'!$G$53)</f>
        <v>0</v>
      </c>
      <c r="F752" s="553">
        <f>-'Foglio deposito bis'!$F$59*(C752-sezione!$AM$30)*IF(ABS(L752)&lt;'Progetto del paramento slu'!$G$58,ABS(L752)*'Progetto del paramento slu'!$G$54,'Progetto del paramento slu'!$G$53)</f>
        <v>22956156.48487911</v>
      </c>
      <c r="G752" s="553">
        <f>-'Foglio deposito bis'!$F$60*(C752-sezione!$AN$30)*IF(ABS(M752)&lt;'Progetto del paramento slu'!$G$58,ABS(M752)*'Progetto del paramento slu'!$G$54,'Progetto del paramento slu'!$G$53)</f>
        <v>0</v>
      </c>
      <c r="H752" s="553">
        <f>-'Foglio deposito bis'!$F$61*(C752-sezione!$AO$30)*IF(ABS(N752)&lt;'Progetto del paramento slu'!$G$58,ABS(N752)*'Progetto del paramento slu'!$G$54,'Progetto del paramento slu'!$G$53)</f>
        <v>81775087.880340666</v>
      </c>
      <c r="I752" s="479">
        <f>-'Foglio deposito bis'!$F$62*(C752-sezione!$AP$30)*IF(ABS(O752)&lt;'Progetto del paramento slu'!$G$58,ABS(O752)*'Progetto del paramento slu'!$G$54,'Progetto del paramento slu'!$G$53)</f>
        <v>81632765.768749714</v>
      </c>
      <c r="J752" s="479">
        <f t="shared" si="57"/>
        <v>186360957.67292616</v>
      </c>
      <c r="K752" s="558">
        <f>'Progetto del paramento slu'!$G$60*(sezione!$AL$30-C752)/C752</f>
        <v>0.22640882676058868</v>
      </c>
      <c r="L752" s="558">
        <f>'Progetto del paramento slu'!$G$60*(sezione!$AM$30-C752)/C752</f>
        <v>0.85865810035220769</v>
      </c>
      <c r="M752" s="559">
        <f>'Progetto del paramento slu'!$G$60*(sezione!$AN$30-C752)/C752</f>
        <v>1.4909073739438266</v>
      </c>
      <c r="N752" s="559">
        <f>'Progetto del paramento slu'!$G$60*(sezione!$AO$30-C752)/C752</f>
        <v>1.9507250274650039</v>
      </c>
      <c r="O752" s="559">
        <f>'Progetto del paramento slu'!$G$60*(sezione!$AP$30-C752)/C752</f>
        <v>1.4909245065727432</v>
      </c>
      <c r="P752" s="553">
        <f>-'Progetto del paramento slu'!$G$47*'Progetto del paramento slu'!$G$41*IF(DATI!$G$218="dx",DATI!$E$61,DATI!$E$64*DATI!$E$63)*1000*C752*sezione!$AD$5</f>
        <v>-8583.5095059442374</v>
      </c>
      <c r="Q752" s="553">
        <f>'Foglio deposito bis'!$F$58*IF(ABS(K752)&lt;'Progetto del paramento slu'!$G$58,ABS(K752)*'Progetto del paramento slu'!$G$54,'Progetto del paramento slu'!$G$53)*IF(K752&lt;0,-1,1)</f>
        <v>0</v>
      </c>
      <c r="R752" s="553">
        <f>'Foglio deposito bis'!$F$59*IF(ABS(L752)&lt;'Progetto del paramento slu'!$G$58,ABS(L752)*'Progetto del paramento slu'!$G$54,'Progetto del paramento slu'!$G$53)*IF(L752&lt;0,-1,1)</f>
        <v>153664.85805602249</v>
      </c>
      <c r="S752" s="553">
        <f>'Foglio deposito bis'!$F$60*IF(ABS(M752)&lt;'Progetto del paramento slu'!$G$58,ABS(M752)*'Progetto del paramento slu'!$G$54,'Progetto del paramento slu'!$G$53)*IF(M752&lt;0,-1,1)</f>
        <v>0</v>
      </c>
      <c r="T752" s="553">
        <f>'Foglio deposito bis'!$F$61*IF(ABS(N752)&lt;'Progetto del paramento slu'!$G$58,ABS(N752)*'Progetto del paramento slu'!$G$54,'Progetto del paramento slu'!$G$53)*IF(N752&lt;0,-1,1)</f>
        <v>240946.49743184328</v>
      </c>
      <c r="U752" s="553">
        <f>'Foglio deposito bis'!$F$62*IF(ABS(O752)&lt;'Progetto del paramento slu'!$G$58,ABS(O752)*'Progetto del paramento slu'!$G$54,'Progetto del paramento slu'!$G$53)*IF(O752&lt;0,-1,1)</f>
        <v>314705.62929873407</v>
      </c>
      <c r="V752" s="479">
        <f t="shared" si="60"/>
        <v>700733.47528065555</v>
      </c>
      <c r="W752" s="559"/>
      <c r="X752" s="559"/>
    </row>
    <row r="753" spans="1:24" x14ac:dyDescent="0.25">
      <c r="A753" s="553">
        <f t="shared" si="59"/>
        <v>697872.30544534093</v>
      </c>
      <c r="B753" s="3">
        <f t="shared" si="61"/>
        <v>0.2</v>
      </c>
      <c r="C753" s="553">
        <f>'Foglio deposito bis'!$E$156/sezione!$B$247*B753</f>
        <v>0.81191605079629481</v>
      </c>
      <c r="D753" s="611">
        <f>-'Progetto del paramento slu'!$G$47*'Progetto del paramento slu'!$G$41*IF(DATI!$G$218="dx",DATI!$E$61,DATI!$E$64*DATI!$E$63)*1000*C753^2*sezione!$AD$5*(1-sezione!$AD$6)</f>
        <v>-5426.5974103768031</v>
      </c>
      <c r="E753" s="553">
        <f>-'Foglio deposito bis'!$F$58*(C753-sezione!$AL$30)*IF(ABS(K753)&lt;'Progetto del paramento slu'!$G$58,ABS(K753)*'Progetto del paramento slu'!$G$54,'Progetto del paramento slu'!$G$53)</f>
        <v>0</v>
      </c>
      <c r="F753" s="553">
        <f>-'Foglio deposito bis'!$F$59*(C753-sezione!$AM$30)*IF(ABS(L753)&lt;'Progetto del paramento slu'!$G$58,ABS(L753)*'Progetto del paramento slu'!$G$54,'Progetto del paramento slu'!$G$53)</f>
        <v>22924965.743704353</v>
      </c>
      <c r="G753" s="553">
        <f>-'Foglio deposito bis'!$F$60*(C753-sezione!$AN$30)*IF(ABS(M753)&lt;'Progetto del paramento slu'!$G$58,ABS(M753)*'Progetto del paramento slu'!$G$54,'Progetto del paramento slu'!$G$53)</f>
        <v>0</v>
      </c>
      <c r="H753" s="553">
        <f>-'Foglio deposito bis'!$F$61*(C753-sezione!$AO$30)*IF(ABS(N753)&lt;'Progetto del paramento slu'!$G$58,ABS(N753)*'Progetto del paramento slu'!$G$54,'Progetto del paramento slu'!$G$53)</f>
        <v>81726180.798178658</v>
      </c>
      <c r="I753" s="479">
        <f>-'Foglio deposito bis'!$F$62*(C753-sezione!$AP$30)*IF(ABS(O753)&lt;'Progetto del paramento slu'!$G$58,ABS(O753)*'Progetto del paramento slu'!$G$54,'Progetto del paramento slu'!$G$53)</f>
        <v>81568887.130823806</v>
      </c>
      <c r="J753" s="479">
        <f t="shared" si="57"/>
        <v>186214607.07529646</v>
      </c>
      <c r="K753" s="558">
        <f>'Progetto del paramento slu'!$G$60*(sezione!$AL$30-C753)/C753</f>
        <v>0.16893162007044152</v>
      </c>
      <c r="L753" s="558">
        <f>'Progetto del paramento slu'!$G$60*(sezione!$AM$30-C753)/C753</f>
        <v>0.64311857526415572</v>
      </c>
      <c r="M753" s="559">
        <f>'Progetto del paramento slu'!$G$60*(sezione!$AN$30-C753)/C753</f>
        <v>1.1173055304578698</v>
      </c>
      <c r="N753" s="559">
        <f>'Progetto del paramento slu'!$G$60*(sezione!$AO$30-C753)/C753</f>
        <v>1.4621687705987529</v>
      </c>
      <c r="O753" s="559">
        <f>'Progetto del paramento slu'!$G$60*(sezione!$AP$30-C753)/C753</f>
        <v>1.1173183799295574</v>
      </c>
      <c r="P753" s="553">
        <f>-'Progetto del paramento slu'!$G$47*'Progetto del paramento slu'!$G$41*IF(DATI!$G$218="dx",DATI!$E$61,DATI!$E$64*DATI!$E$63)*1000*C753*sezione!$AD$5</f>
        <v>-11444.679341258983</v>
      </c>
      <c r="Q753" s="553">
        <f>'Foglio deposito bis'!$F$58*IF(ABS(K753)&lt;'Progetto del paramento slu'!$G$58,ABS(K753)*'Progetto del paramento slu'!$G$54,'Progetto del paramento slu'!$G$53)*IF(K753&lt;0,-1,1)</f>
        <v>0</v>
      </c>
      <c r="R753" s="553">
        <f>'Foglio deposito bis'!$F$59*IF(ABS(L753)&lt;'Progetto del paramento slu'!$G$58,ABS(L753)*'Progetto del paramento slu'!$G$54,'Progetto del paramento slu'!$G$53)*IF(L753&lt;0,-1,1)</f>
        <v>153664.85805602249</v>
      </c>
      <c r="S753" s="553">
        <f>'Foglio deposito bis'!$F$60*IF(ABS(M753)&lt;'Progetto del paramento slu'!$G$58,ABS(M753)*'Progetto del paramento slu'!$G$54,'Progetto del paramento slu'!$G$53)*IF(M753&lt;0,-1,1)</f>
        <v>0</v>
      </c>
      <c r="T753" s="553">
        <f>'Foglio deposito bis'!$F$61*IF(ABS(N753)&lt;'Progetto del paramento slu'!$G$58,ABS(N753)*'Progetto del paramento slu'!$G$54,'Progetto del paramento slu'!$G$53)*IF(N753&lt;0,-1,1)</f>
        <v>240946.49743184328</v>
      </c>
      <c r="U753" s="553">
        <f>'Foglio deposito bis'!$F$62*IF(ABS(O753)&lt;'Progetto del paramento slu'!$G$58,ABS(O753)*'Progetto del paramento slu'!$G$54,'Progetto del paramento slu'!$G$53)*IF(O753&lt;0,-1,1)</f>
        <v>314705.62929873407</v>
      </c>
      <c r="V753" s="479">
        <f t="shared" si="60"/>
        <v>697872.30544534093</v>
      </c>
      <c r="W753" s="559"/>
      <c r="X753" s="559"/>
    </row>
    <row r="754" spans="1:24" x14ac:dyDescent="0.25">
      <c r="A754" s="553">
        <f t="shared" si="59"/>
        <v>695011.13561002607</v>
      </c>
      <c r="B754" s="3">
        <f t="shared" si="61"/>
        <v>0.25</v>
      </c>
      <c r="C754" s="553">
        <f>'Foglio deposito bis'!$E$156/sezione!$B$247*B754</f>
        <v>1.0148950634953684</v>
      </c>
      <c r="D754" s="611">
        <f>-'Progetto del paramento slu'!$G$47*'Progetto del paramento slu'!$G$41*IF(DATI!$G$218="dx",DATI!$E$61,DATI!$E$64*DATI!$E$63)*1000*C754^2*sezione!$AD$5*(1-sezione!$AD$6)</f>
        <v>-8479.0584537137529</v>
      </c>
      <c r="E754" s="553">
        <f>-'Foglio deposito bis'!$F$58*(C754-sezione!$AL$30)*IF(ABS(K754)&lt;'Progetto del paramento slu'!$G$58,ABS(K754)*'Progetto del paramento slu'!$G$54,'Progetto del paramento slu'!$G$53)</f>
        <v>0</v>
      </c>
      <c r="F754" s="553">
        <f>-'Foglio deposito bis'!$F$59*(C754-sezione!$AM$30)*IF(ABS(L754)&lt;'Progetto del paramento slu'!$G$58,ABS(L754)*'Progetto del paramento slu'!$G$54,'Progetto del paramento slu'!$G$53)</f>
        <v>22893775.002529599</v>
      </c>
      <c r="G754" s="553">
        <f>-'Foglio deposito bis'!$F$60*(C754-sezione!$AN$30)*IF(ABS(M754)&lt;'Progetto del paramento slu'!$G$58,ABS(M754)*'Progetto del paramento slu'!$G$54,'Progetto del paramento slu'!$G$53)</f>
        <v>0</v>
      </c>
      <c r="H754" s="553">
        <f>-'Foglio deposito bis'!$F$61*(C754-sezione!$AO$30)*IF(ABS(N754)&lt;'Progetto del paramento slu'!$G$58,ABS(N754)*'Progetto del paramento slu'!$G$54,'Progetto del paramento slu'!$G$53)</f>
        <v>81677273.716016635</v>
      </c>
      <c r="I754" s="479">
        <f>-'Foglio deposito bis'!$F$62*(C754-sezione!$AP$30)*IF(ABS(O754)&lt;'Progetto del paramento slu'!$G$58,ABS(O754)*'Progetto del paramento slu'!$G$54,'Progetto del paramento slu'!$G$53)</f>
        <v>81505008.492897913</v>
      </c>
      <c r="J754" s="479">
        <f t="shared" si="57"/>
        <v>186067578.15299043</v>
      </c>
      <c r="K754" s="558">
        <f>'Progetto del paramento slu'!$G$60*(sezione!$AL$30-C754)/C754</f>
        <v>0.13444529605635325</v>
      </c>
      <c r="L754" s="558">
        <f>'Progetto del paramento slu'!$G$60*(sezione!$AM$30-C754)/C754</f>
        <v>0.51379486021132459</v>
      </c>
      <c r="M754" s="559">
        <f>'Progetto del paramento slu'!$G$60*(sezione!$AN$30-C754)/C754</f>
        <v>0.89314442436629593</v>
      </c>
      <c r="N754" s="559">
        <f>'Progetto del paramento slu'!$G$60*(sezione!$AO$30-C754)/C754</f>
        <v>1.1690350164790024</v>
      </c>
      <c r="O754" s="559">
        <f>'Progetto del paramento slu'!$G$60*(sezione!$AP$30-C754)/C754</f>
        <v>0.89315470394364604</v>
      </c>
      <c r="P754" s="553">
        <f>-'Progetto del paramento slu'!$G$47*'Progetto del paramento slu'!$G$41*IF(DATI!$G$218="dx",DATI!$E$61,DATI!$E$64*DATI!$E$63)*1000*C754*sezione!$AD$5</f>
        <v>-14305.849176573729</v>
      </c>
      <c r="Q754" s="553">
        <f>'Foglio deposito bis'!$F$58*IF(ABS(K754)&lt;'Progetto del paramento slu'!$G$58,ABS(K754)*'Progetto del paramento slu'!$G$54,'Progetto del paramento slu'!$G$53)*IF(K754&lt;0,-1,1)</f>
        <v>0</v>
      </c>
      <c r="R754" s="553">
        <f>'Foglio deposito bis'!$F$59*IF(ABS(L754)&lt;'Progetto del paramento slu'!$G$58,ABS(L754)*'Progetto del paramento slu'!$G$54,'Progetto del paramento slu'!$G$53)*IF(L754&lt;0,-1,1)</f>
        <v>153664.85805602249</v>
      </c>
      <c r="S754" s="553">
        <f>'Foglio deposito bis'!$F$60*IF(ABS(M754)&lt;'Progetto del paramento slu'!$G$58,ABS(M754)*'Progetto del paramento slu'!$G$54,'Progetto del paramento slu'!$G$53)*IF(M754&lt;0,-1,1)</f>
        <v>0</v>
      </c>
      <c r="T754" s="553">
        <f>'Foglio deposito bis'!$F$61*IF(ABS(N754)&lt;'Progetto del paramento slu'!$G$58,ABS(N754)*'Progetto del paramento slu'!$G$54,'Progetto del paramento slu'!$G$53)*IF(N754&lt;0,-1,1)</f>
        <v>240946.49743184328</v>
      </c>
      <c r="U754" s="553">
        <f>'Foglio deposito bis'!$F$62*IF(ABS(O754)&lt;'Progetto del paramento slu'!$G$58,ABS(O754)*'Progetto del paramento slu'!$G$54,'Progetto del paramento slu'!$G$53)*IF(O754&lt;0,-1,1)</f>
        <v>314705.62929873407</v>
      </c>
      <c r="V754" s="479">
        <f t="shared" si="60"/>
        <v>695011.13561002607</v>
      </c>
      <c r="W754" s="559"/>
      <c r="X754" s="559"/>
    </row>
    <row r="755" spans="1:24" x14ac:dyDescent="0.25">
      <c r="A755" s="553">
        <f t="shared" si="59"/>
        <v>692149.96577471145</v>
      </c>
      <c r="B755" s="3">
        <f t="shared" si="61"/>
        <v>0.3</v>
      </c>
      <c r="C755" s="553">
        <f>'Foglio deposito bis'!$E$156/sezione!$B$247*B755</f>
        <v>1.217874076194442</v>
      </c>
      <c r="D755" s="611">
        <f>-'Progetto del paramento slu'!$G$47*'Progetto del paramento slu'!$G$41*IF(DATI!$G$218="dx",DATI!$E$61,DATI!$E$64*DATI!$E$63)*1000*C755^2*sezione!$AD$5*(1-sezione!$AD$6)</f>
        <v>-12209.844173347801</v>
      </c>
      <c r="E755" s="553">
        <f>-'Foglio deposito bis'!$F$58*(C755-sezione!$AL$30)*IF(ABS(K755)&lt;'Progetto del paramento slu'!$G$58,ABS(K755)*'Progetto del paramento slu'!$G$54,'Progetto del paramento slu'!$G$53)</f>
        <v>0</v>
      </c>
      <c r="F755" s="553">
        <f>-'Foglio deposito bis'!$F$59*(C755-sezione!$AM$30)*IF(ABS(L755)&lt;'Progetto del paramento slu'!$G$58,ABS(L755)*'Progetto del paramento slu'!$G$54,'Progetto del paramento slu'!$G$53)</f>
        <v>22862584.261354845</v>
      </c>
      <c r="G755" s="553">
        <f>-'Foglio deposito bis'!$F$60*(C755-sezione!$AN$30)*IF(ABS(M755)&lt;'Progetto del paramento slu'!$G$58,ABS(M755)*'Progetto del paramento slu'!$G$54,'Progetto del paramento slu'!$G$53)</f>
        <v>0</v>
      </c>
      <c r="H755" s="553">
        <f>-'Foglio deposito bis'!$F$61*(C755-sezione!$AO$30)*IF(ABS(N755)&lt;'Progetto del paramento slu'!$G$58,ABS(N755)*'Progetto del paramento slu'!$G$54,'Progetto del paramento slu'!$G$53)</f>
        <v>81628366.633854613</v>
      </c>
      <c r="I755" s="479">
        <f>-'Foglio deposito bis'!$F$62*(C755-sezione!$AP$30)*IF(ABS(O755)&lt;'Progetto del paramento slu'!$G$58,ABS(O755)*'Progetto del paramento slu'!$G$54,'Progetto del paramento slu'!$G$53)</f>
        <v>81441129.85497202</v>
      </c>
      <c r="J755" s="479">
        <f t="shared" si="57"/>
        <v>185919870.90600812</v>
      </c>
      <c r="K755" s="558">
        <f>'Progetto del paramento slu'!$G$60*(sezione!$AL$30-C755)/C755</f>
        <v>0.11145441338029435</v>
      </c>
      <c r="L755" s="558">
        <f>'Progetto del paramento slu'!$G$60*(sezione!$AM$30-C755)/C755</f>
        <v>0.42757905017610381</v>
      </c>
      <c r="M755" s="559">
        <f>'Progetto del paramento slu'!$G$60*(sezione!$AN$30-C755)/C755</f>
        <v>0.74370368697191336</v>
      </c>
      <c r="N755" s="559">
        <f>'Progetto del paramento slu'!$G$60*(sezione!$AO$30-C755)/C755</f>
        <v>0.97361251373250213</v>
      </c>
      <c r="O755" s="559">
        <f>'Progetto del paramento slu'!$G$60*(sezione!$AP$30-C755)/C755</f>
        <v>0.7437122532863718</v>
      </c>
      <c r="P755" s="553">
        <f>-'Progetto del paramento slu'!$G$47*'Progetto del paramento slu'!$G$41*IF(DATI!$G$218="dx",DATI!$E$61,DATI!$E$64*DATI!$E$63)*1000*C755*sezione!$AD$5</f>
        <v>-17167.019011888471</v>
      </c>
      <c r="Q755" s="553">
        <f>'Foglio deposito bis'!$F$58*IF(ABS(K755)&lt;'Progetto del paramento slu'!$G$58,ABS(K755)*'Progetto del paramento slu'!$G$54,'Progetto del paramento slu'!$G$53)*IF(K755&lt;0,-1,1)</f>
        <v>0</v>
      </c>
      <c r="R755" s="553">
        <f>'Foglio deposito bis'!$F$59*IF(ABS(L755)&lt;'Progetto del paramento slu'!$G$58,ABS(L755)*'Progetto del paramento slu'!$G$54,'Progetto del paramento slu'!$G$53)*IF(L755&lt;0,-1,1)</f>
        <v>153664.85805602249</v>
      </c>
      <c r="S755" s="553">
        <f>'Foglio deposito bis'!$F$60*IF(ABS(M755)&lt;'Progetto del paramento slu'!$G$58,ABS(M755)*'Progetto del paramento slu'!$G$54,'Progetto del paramento slu'!$G$53)*IF(M755&lt;0,-1,1)</f>
        <v>0</v>
      </c>
      <c r="T755" s="553">
        <f>'Foglio deposito bis'!$F$61*IF(ABS(N755)&lt;'Progetto del paramento slu'!$G$58,ABS(N755)*'Progetto del paramento slu'!$G$54,'Progetto del paramento slu'!$G$53)*IF(N755&lt;0,-1,1)</f>
        <v>240946.49743184328</v>
      </c>
      <c r="U755" s="553">
        <f>'Foglio deposito bis'!$F$62*IF(ABS(O755)&lt;'Progetto del paramento slu'!$G$58,ABS(O755)*'Progetto del paramento slu'!$G$54,'Progetto del paramento slu'!$G$53)*IF(O755&lt;0,-1,1)</f>
        <v>314705.62929873407</v>
      </c>
      <c r="V755" s="479">
        <f t="shared" si="60"/>
        <v>692149.96577471145</v>
      </c>
      <c r="W755" s="559"/>
      <c r="X755" s="559"/>
    </row>
    <row r="756" spans="1:24" x14ac:dyDescent="0.25">
      <c r="A756" s="553">
        <f t="shared" si="59"/>
        <v>689288.7959393966</v>
      </c>
      <c r="B756" s="3">
        <f t="shared" si="61"/>
        <v>0.35</v>
      </c>
      <c r="C756" s="553">
        <f>'Foglio deposito bis'!$E$156/sezione!$B$247*B756</f>
        <v>1.4208530888935156</v>
      </c>
      <c r="D756" s="611">
        <f>-'Progetto del paramento slu'!$G$47*'Progetto del paramento slu'!$G$41*IF(DATI!$G$218="dx",DATI!$E$61,DATI!$E$64*DATI!$E$63)*1000*C756^2*sezione!$AD$5*(1-sezione!$AD$6)</f>
        <v>-16618.954569278947</v>
      </c>
      <c r="E756" s="553">
        <f>-'Foglio deposito bis'!$F$58*(C756-sezione!$AL$30)*IF(ABS(K756)&lt;'Progetto del paramento slu'!$G$58,ABS(K756)*'Progetto del paramento slu'!$G$54,'Progetto del paramento slu'!$G$53)</f>
        <v>0</v>
      </c>
      <c r="F756" s="553">
        <f>-'Foglio deposito bis'!$F$59*(C756-sezione!$AM$30)*IF(ABS(L756)&lt;'Progetto del paramento slu'!$G$58,ABS(L756)*'Progetto del paramento slu'!$G$54,'Progetto del paramento slu'!$G$53)</f>
        <v>22831393.520180091</v>
      </c>
      <c r="G756" s="553">
        <f>-'Foglio deposito bis'!$F$60*(C756-sezione!$AN$30)*IF(ABS(M756)&lt;'Progetto del paramento slu'!$G$58,ABS(M756)*'Progetto del paramento slu'!$G$54,'Progetto del paramento slu'!$G$53)</f>
        <v>0</v>
      </c>
      <c r="H756" s="553">
        <f>-'Foglio deposito bis'!$F$61*(C756-sezione!$AO$30)*IF(ABS(N756)&lt;'Progetto del paramento slu'!$G$58,ABS(N756)*'Progetto del paramento slu'!$G$54,'Progetto del paramento slu'!$G$53)</f>
        <v>81579459.551692605</v>
      </c>
      <c r="I756" s="479">
        <f>-'Foglio deposito bis'!$F$62*(C756-sezione!$AP$30)*IF(ABS(O756)&lt;'Progetto del paramento slu'!$G$58,ABS(O756)*'Progetto del paramento slu'!$G$54,'Progetto del paramento slu'!$G$53)</f>
        <v>81377251.217046127</v>
      </c>
      <c r="J756" s="479">
        <f t="shared" si="57"/>
        <v>185771485.33434954</v>
      </c>
      <c r="K756" s="558">
        <f>'Progetto del paramento slu'!$G$60*(sezione!$AL$30-C756)/C756</f>
        <v>9.50323543259666E-2</v>
      </c>
      <c r="L756" s="558">
        <f>'Progetto del paramento slu'!$G$60*(sezione!$AM$30-C756)/C756</f>
        <v>0.36599632872237475</v>
      </c>
      <c r="M756" s="559">
        <f>'Progetto del paramento slu'!$G$60*(sezione!$AN$30-C756)/C756</f>
        <v>0.63696030311878293</v>
      </c>
      <c r="N756" s="559">
        <f>'Progetto del paramento slu'!$G$60*(sezione!$AO$30-C756)/C756</f>
        <v>0.8340250117707162</v>
      </c>
      <c r="O756" s="559">
        <f>'Progetto del paramento slu'!$G$60*(sezione!$AP$30-C756)/C756</f>
        <v>0.63696764567403297</v>
      </c>
      <c r="P756" s="553">
        <f>-'Progetto del paramento slu'!$G$47*'Progetto del paramento slu'!$G$41*IF(DATI!$G$218="dx",DATI!$E$61,DATI!$E$64*DATI!$E$63)*1000*C756*sezione!$AD$5</f>
        <v>-20028.188847203219</v>
      </c>
      <c r="Q756" s="553">
        <f>'Foglio deposito bis'!$F$58*IF(ABS(K756)&lt;'Progetto del paramento slu'!$G$58,ABS(K756)*'Progetto del paramento slu'!$G$54,'Progetto del paramento slu'!$G$53)*IF(K756&lt;0,-1,1)</f>
        <v>0</v>
      </c>
      <c r="R756" s="553">
        <f>'Foglio deposito bis'!$F$59*IF(ABS(L756)&lt;'Progetto del paramento slu'!$G$58,ABS(L756)*'Progetto del paramento slu'!$G$54,'Progetto del paramento slu'!$G$53)*IF(L756&lt;0,-1,1)</f>
        <v>153664.85805602249</v>
      </c>
      <c r="S756" s="553">
        <f>'Foglio deposito bis'!$F$60*IF(ABS(M756)&lt;'Progetto del paramento slu'!$G$58,ABS(M756)*'Progetto del paramento slu'!$G$54,'Progetto del paramento slu'!$G$53)*IF(M756&lt;0,-1,1)</f>
        <v>0</v>
      </c>
      <c r="T756" s="553">
        <f>'Foglio deposito bis'!$F$61*IF(ABS(N756)&lt;'Progetto del paramento slu'!$G$58,ABS(N756)*'Progetto del paramento slu'!$G$54,'Progetto del paramento slu'!$G$53)*IF(N756&lt;0,-1,1)</f>
        <v>240946.49743184328</v>
      </c>
      <c r="U756" s="553">
        <f>'Foglio deposito bis'!$F$62*IF(ABS(O756)&lt;'Progetto del paramento slu'!$G$58,ABS(O756)*'Progetto del paramento slu'!$G$54,'Progetto del paramento slu'!$G$53)*IF(O756&lt;0,-1,1)</f>
        <v>314705.62929873407</v>
      </c>
      <c r="V756" s="479">
        <f t="shared" si="60"/>
        <v>689288.7959393966</v>
      </c>
      <c r="W756" s="559"/>
      <c r="X756" s="559"/>
    </row>
    <row r="757" spans="1:24" x14ac:dyDescent="0.25">
      <c r="A757" s="553">
        <f t="shared" si="59"/>
        <v>686427.62610408186</v>
      </c>
      <c r="B757" s="3">
        <f t="shared" si="61"/>
        <v>0.39999999999999997</v>
      </c>
      <c r="C757" s="553">
        <f>'Foglio deposito bis'!$E$156/sezione!$B$247*B757</f>
        <v>1.6238321015925894</v>
      </c>
      <c r="D757" s="611">
        <f>-'Progetto del paramento slu'!$G$47*'Progetto del paramento slu'!$G$41*IF(DATI!$G$218="dx",DATI!$E$61,DATI!$E$64*DATI!$E$63)*1000*C757^2*sezione!$AD$5*(1-sezione!$AD$6)</f>
        <v>-21706.389641507205</v>
      </c>
      <c r="E757" s="553">
        <f>-'Foglio deposito bis'!$F$58*(C757-sezione!$AL$30)*IF(ABS(K757)&lt;'Progetto del paramento slu'!$G$58,ABS(K757)*'Progetto del paramento slu'!$G$54,'Progetto del paramento slu'!$G$53)</f>
        <v>0</v>
      </c>
      <c r="F757" s="553">
        <f>-'Foglio deposito bis'!$F$59*(C757-sezione!$AM$30)*IF(ABS(L757)&lt;'Progetto del paramento slu'!$G$58,ABS(L757)*'Progetto del paramento slu'!$G$54,'Progetto del paramento slu'!$G$53)</f>
        <v>22800202.779005334</v>
      </c>
      <c r="G757" s="553">
        <f>-'Foglio deposito bis'!$F$60*(C757-sezione!$AN$30)*IF(ABS(M757)&lt;'Progetto del paramento slu'!$G$58,ABS(M757)*'Progetto del paramento slu'!$G$54,'Progetto del paramento slu'!$G$53)</f>
        <v>0</v>
      </c>
      <c r="H757" s="553">
        <f>-'Foglio deposito bis'!$F$61*(C757-sezione!$AO$30)*IF(ABS(N757)&lt;'Progetto del paramento slu'!$G$58,ABS(N757)*'Progetto del paramento slu'!$G$54,'Progetto del paramento slu'!$G$53)</f>
        <v>81530552.469530582</v>
      </c>
      <c r="I757" s="479">
        <f>-'Foglio deposito bis'!$F$62*(C757-sezione!$AP$30)*IF(ABS(O757)&lt;'Progetto del paramento slu'!$G$58,ABS(O757)*'Progetto del paramento slu'!$G$54,'Progetto del paramento slu'!$G$53)</f>
        <v>81313372.579120234</v>
      </c>
      <c r="J757" s="479">
        <f t="shared" si="57"/>
        <v>185622421.43801463</v>
      </c>
      <c r="K757" s="558">
        <f>'Progetto del paramento slu'!$G$60*(sezione!$AL$30-C757)/C757</f>
        <v>8.2715810035220771E-2</v>
      </c>
      <c r="L757" s="558">
        <f>'Progetto del paramento slu'!$G$60*(sezione!$AM$30-C757)/C757</f>
        <v>0.31980928763207783</v>
      </c>
      <c r="M757" s="559">
        <f>'Progetto del paramento slu'!$G$60*(sezione!$AN$30-C757)/C757</f>
        <v>0.556902765228935</v>
      </c>
      <c r="N757" s="559">
        <f>'Progetto del paramento slu'!$G$60*(sezione!$AO$30-C757)/C757</f>
        <v>0.72933438529937655</v>
      </c>
      <c r="O757" s="559">
        <f>'Progetto del paramento slu'!$G$60*(sezione!$AP$30-C757)/C757</f>
        <v>0.55690918996477878</v>
      </c>
      <c r="P757" s="553">
        <f>-'Progetto del paramento slu'!$G$47*'Progetto del paramento slu'!$G$41*IF(DATI!$G$218="dx",DATI!$E$61,DATI!$E$64*DATI!$E$63)*1000*C757*sezione!$AD$5</f>
        <v>-22889.358682517966</v>
      </c>
      <c r="Q757" s="553">
        <f>'Foglio deposito bis'!$F$58*IF(ABS(K757)&lt;'Progetto del paramento slu'!$G$58,ABS(K757)*'Progetto del paramento slu'!$G$54,'Progetto del paramento slu'!$G$53)*IF(K757&lt;0,-1,1)</f>
        <v>0</v>
      </c>
      <c r="R757" s="553">
        <f>'Foglio deposito bis'!$F$59*IF(ABS(L757)&lt;'Progetto del paramento slu'!$G$58,ABS(L757)*'Progetto del paramento slu'!$G$54,'Progetto del paramento slu'!$G$53)*IF(L757&lt;0,-1,1)</f>
        <v>153664.85805602249</v>
      </c>
      <c r="S757" s="553">
        <f>'Foglio deposito bis'!$F$60*IF(ABS(M757)&lt;'Progetto del paramento slu'!$G$58,ABS(M757)*'Progetto del paramento slu'!$G$54,'Progetto del paramento slu'!$G$53)*IF(M757&lt;0,-1,1)</f>
        <v>0</v>
      </c>
      <c r="T757" s="553">
        <f>'Foglio deposito bis'!$F$61*IF(ABS(N757)&lt;'Progetto del paramento slu'!$G$58,ABS(N757)*'Progetto del paramento slu'!$G$54,'Progetto del paramento slu'!$G$53)*IF(N757&lt;0,-1,1)</f>
        <v>240946.49743184328</v>
      </c>
      <c r="U757" s="553">
        <f>'Foglio deposito bis'!$F$62*IF(ABS(O757)&lt;'Progetto del paramento slu'!$G$58,ABS(O757)*'Progetto del paramento slu'!$G$54,'Progetto del paramento slu'!$G$53)*IF(O757&lt;0,-1,1)</f>
        <v>314705.62929873407</v>
      </c>
      <c r="V757" s="479">
        <f t="shared" si="60"/>
        <v>686427.62610408186</v>
      </c>
      <c r="W757" s="559"/>
      <c r="X757" s="559"/>
    </row>
    <row r="758" spans="1:24" x14ac:dyDescent="0.25">
      <c r="A758" s="553">
        <f t="shared" si="59"/>
        <v>683566.45626876713</v>
      </c>
      <c r="B758" s="3">
        <f t="shared" si="61"/>
        <v>0.44999999999999996</v>
      </c>
      <c r="C758" s="553">
        <f>'Foglio deposito bis'!$E$156/sezione!$B$247*B758</f>
        <v>1.826811114291663</v>
      </c>
      <c r="D758" s="611">
        <f>-'Progetto del paramento slu'!$G$47*'Progetto del paramento slu'!$G$41*IF(DATI!$G$218="dx",DATI!$E$61,DATI!$E$64*DATI!$E$63)*1000*C758^2*sezione!$AD$5*(1-sezione!$AD$6)</f>
        <v>-27472.149390032555</v>
      </c>
      <c r="E758" s="553">
        <f>-'Foglio deposito bis'!$F$58*(C758-sezione!$AL$30)*IF(ABS(K758)&lt;'Progetto del paramento slu'!$G$58,ABS(K758)*'Progetto del paramento slu'!$G$54,'Progetto del paramento slu'!$G$53)</f>
        <v>0</v>
      </c>
      <c r="F758" s="553">
        <f>-'Foglio deposito bis'!$F$59*(C758-sezione!$AM$30)*IF(ABS(L758)&lt;'Progetto del paramento slu'!$G$58,ABS(L758)*'Progetto del paramento slu'!$G$54,'Progetto del paramento slu'!$G$53)</f>
        <v>22769012.03783058</v>
      </c>
      <c r="G758" s="553">
        <f>-'Foglio deposito bis'!$F$60*(C758-sezione!$AN$30)*IF(ABS(M758)&lt;'Progetto del paramento slu'!$G$58,ABS(M758)*'Progetto del paramento slu'!$G$54,'Progetto del paramento slu'!$G$53)</f>
        <v>0</v>
      </c>
      <c r="H758" s="553">
        <f>-'Foglio deposito bis'!$F$61*(C758-sezione!$AO$30)*IF(ABS(N758)&lt;'Progetto del paramento slu'!$G$58,ABS(N758)*'Progetto del paramento slu'!$G$54,'Progetto del paramento slu'!$G$53)</f>
        <v>81481645.387368575</v>
      </c>
      <c r="I758" s="479">
        <f>-'Foglio deposito bis'!$F$62*(C758-sezione!$AP$30)*IF(ABS(O758)&lt;'Progetto del paramento slu'!$G$58,ABS(O758)*'Progetto del paramento slu'!$G$54,'Progetto del paramento slu'!$G$53)</f>
        <v>81249493.941194326</v>
      </c>
      <c r="J758" s="479">
        <f t="shared" si="57"/>
        <v>185472679.21700346</v>
      </c>
      <c r="K758" s="558">
        <f>'Progetto del paramento slu'!$G$60*(sezione!$AL$30-C758)/C758</f>
        <v>7.3136275586862906E-2</v>
      </c>
      <c r="L758" s="558">
        <f>'Progetto del paramento slu'!$G$60*(sezione!$AM$30-C758)/C758</f>
        <v>0.28388603345073588</v>
      </c>
      <c r="M758" s="559">
        <f>'Progetto del paramento slu'!$G$60*(sezione!$AN$30-C758)/C758</f>
        <v>0.49463579131460889</v>
      </c>
      <c r="N758" s="559">
        <f>'Progetto del paramento slu'!$G$60*(sezione!$AO$30-C758)/C758</f>
        <v>0.64790834248833462</v>
      </c>
      <c r="O758" s="559">
        <f>'Progetto del paramento slu'!$G$60*(sezione!$AP$30-C758)/C758</f>
        <v>0.49464150219091452</v>
      </c>
      <c r="P758" s="553">
        <f>-'Progetto del paramento slu'!$G$47*'Progetto del paramento slu'!$G$41*IF(DATI!$G$218="dx",DATI!$E$61,DATI!$E$64*DATI!$E$63)*1000*C758*sezione!$AD$5</f>
        <v>-25750.528517832707</v>
      </c>
      <c r="Q758" s="553">
        <f>'Foglio deposito bis'!$F$58*IF(ABS(K758)&lt;'Progetto del paramento slu'!$G$58,ABS(K758)*'Progetto del paramento slu'!$G$54,'Progetto del paramento slu'!$G$53)*IF(K758&lt;0,-1,1)</f>
        <v>0</v>
      </c>
      <c r="R758" s="553">
        <f>'Foglio deposito bis'!$F$59*IF(ABS(L758)&lt;'Progetto del paramento slu'!$G$58,ABS(L758)*'Progetto del paramento slu'!$G$54,'Progetto del paramento slu'!$G$53)*IF(L758&lt;0,-1,1)</f>
        <v>153664.85805602249</v>
      </c>
      <c r="S758" s="553">
        <f>'Foglio deposito bis'!$F$60*IF(ABS(M758)&lt;'Progetto del paramento slu'!$G$58,ABS(M758)*'Progetto del paramento slu'!$G$54,'Progetto del paramento slu'!$G$53)*IF(M758&lt;0,-1,1)</f>
        <v>0</v>
      </c>
      <c r="T758" s="553">
        <f>'Foglio deposito bis'!$F$61*IF(ABS(N758)&lt;'Progetto del paramento slu'!$G$58,ABS(N758)*'Progetto del paramento slu'!$G$54,'Progetto del paramento slu'!$G$53)*IF(N758&lt;0,-1,1)</f>
        <v>240946.49743184328</v>
      </c>
      <c r="U758" s="553">
        <f>'Foglio deposito bis'!$F$62*IF(ABS(O758)&lt;'Progetto del paramento slu'!$G$58,ABS(O758)*'Progetto del paramento slu'!$G$54,'Progetto del paramento slu'!$G$53)*IF(O758&lt;0,-1,1)</f>
        <v>314705.62929873407</v>
      </c>
      <c r="V758" s="479">
        <f t="shared" si="60"/>
        <v>683566.45626876713</v>
      </c>
      <c r="W758" s="559"/>
      <c r="X758" s="559"/>
    </row>
    <row r="759" spans="1:24" x14ac:dyDescent="0.25">
      <c r="A759" s="553">
        <f t="shared" si="59"/>
        <v>680705.28643345239</v>
      </c>
      <c r="B759" s="3">
        <f t="shared" si="61"/>
        <v>0.49999999999999994</v>
      </c>
      <c r="C759" s="553">
        <f>'Foglio deposito bis'!$E$156/sezione!$B$247*B759</f>
        <v>2.0297901269907364</v>
      </c>
      <c r="D759" s="611">
        <f>-'Progetto del paramento slu'!$G$47*'Progetto del paramento slu'!$G$41*IF(DATI!$G$218="dx",DATI!$E$61,DATI!$E$64*DATI!$E$63)*1000*C759^2*sezione!$AD$5*(1-sezione!$AD$6)</f>
        <v>-33916.233814854997</v>
      </c>
      <c r="E759" s="553">
        <f>-'Foglio deposito bis'!$F$58*(C759-sezione!$AL$30)*IF(ABS(K759)&lt;'Progetto del paramento slu'!$G$58,ABS(K759)*'Progetto del paramento slu'!$G$54,'Progetto del paramento slu'!$G$53)</f>
        <v>0</v>
      </c>
      <c r="F759" s="553">
        <f>-'Foglio deposito bis'!$F$59*(C759-sezione!$AM$30)*IF(ABS(L759)&lt;'Progetto del paramento slu'!$G$58,ABS(L759)*'Progetto del paramento slu'!$G$54,'Progetto del paramento slu'!$G$53)</f>
        <v>22737821.296655826</v>
      </c>
      <c r="G759" s="553">
        <f>-'Foglio deposito bis'!$F$60*(C759-sezione!$AN$30)*IF(ABS(M759)&lt;'Progetto del paramento slu'!$G$58,ABS(M759)*'Progetto del paramento slu'!$G$54,'Progetto del paramento slu'!$G$53)</f>
        <v>0</v>
      </c>
      <c r="H759" s="553">
        <f>-'Foglio deposito bis'!$F$61*(C759-sezione!$AO$30)*IF(ABS(N759)&lt;'Progetto del paramento slu'!$G$58,ABS(N759)*'Progetto del paramento slu'!$G$54,'Progetto del paramento slu'!$G$53)</f>
        <v>81432738.305206552</v>
      </c>
      <c r="I759" s="479">
        <f>-'Foglio deposito bis'!$F$62*(C759-sezione!$AP$30)*IF(ABS(O759)&lt;'Progetto del paramento slu'!$G$58,ABS(O759)*'Progetto del paramento slu'!$G$54,'Progetto del paramento slu'!$G$53)</f>
        <v>81185615.303268418</v>
      </c>
      <c r="J759" s="479">
        <f t="shared" si="57"/>
        <v>185322258.67131594</v>
      </c>
      <c r="K759" s="558">
        <f>'Progetto del paramento slu'!$G$60*(sezione!$AL$30-C759)/C759</f>
        <v>6.5472648028176636E-2</v>
      </c>
      <c r="L759" s="558">
        <f>'Progetto del paramento slu'!$G$60*(sezione!$AM$30-C759)/C759</f>
        <v>0.25514743010566232</v>
      </c>
      <c r="M759" s="559">
        <f>'Progetto del paramento slu'!$G$60*(sezione!$AN$30-C759)/C759</f>
        <v>0.4448222121831481</v>
      </c>
      <c r="N759" s="559">
        <f>'Progetto del paramento slu'!$G$60*(sezione!$AO$30-C759)/C759</f>
        <v>0.5827675082395013</v>
      </c>
      <c r="O759" s="559">
        <f>'Progetto del paramento slu'!$G$60*(sezione!$AP$30-C759)/C759</f>
        <v>0.44482735197182316</v>
      </c>
      <c r="P759" s="553">
        <f>-'Progetto del paramento slu'!$G$47*'Progetto del paramento slu'!$G$41*IF(DATI!$G$218="dx",DATI!$E$61,DATI!$E$64*DATI!$E$63)*1000*C759*sezione!$AD$5</f>
        <v>-28611.698353147451</v>
      </c>
      <c r="Q759" s="553">
        <f>'Foglio deposito bis'!$F$58*IF(ABS(K759)&lt;'Progetto del paramento slu'!$G$58,ABS(K759)*'Progetto del paramento slu'!$G$54,'Progetto del paramento slu'!$G$53)*IF(K759&lt;0,-1,1)</f>
        <v>0</v>
      </c>
      <c r="R759" s="553">
        <f>'Foglio deposito bis'!$F$59*IF(ABS(L759)&lt;'Progetto del paramento slu'!$G$58,ABS(L759)*'Progetto del paramento slu'!$G$54,'Progetto del paramento slu'!$G$53)*IF(L759&lt;0,-1,1)</f>
        <v>153664.85805602249</v>
      </c>
      <c r="S759" s="553">
        <f>'Foglio deposito bis'!$F$60*IF(ABS(M759)&lt;'Progetto del paramento slu'!$G$58,ABS(M759)*'Progetto del paramento slu'!$G$54,'Progetto del paramento slu'!$G$53)*IF(M759&lt;0,-1,1)</f>
        <v>0</v>
      </c>
      <c r="T759" s="553">
        <f>'Foglio deposito bis'!$F$61*IF(ABS(N759)&lt;'Progetto del paramento slu'!$G$58,ABS(N759)*'Progetto del paramento slu'!$G$54,'Progetto del paramento slu'!$G$53)*IF(N759&lt;0,-1,1)</f>
        <v>240946.49743184328</v>
      </c>
      <c r="U759" s="553">
        <f>'Foglio deposito bis'!$F$62*IF(ABS(O759)&lt;'Progetto del paramento slu'!$G$58,ABS(O759)*'Progetto del paramento slu'!$G$54,'Progetto del paramento slu'!$G$53)*IF(O759&lt;0,-1,1)</f>
        <v>314705.62929873407</v>
      </c>
      <c r="V759" s="479">
        <f t="shared" si="60"/>
        <v>680705.28643345239</v>
      </c>
      <c r="W759" s="559"/>
      <c r="X759" s="559"/>
    </row>
    <row r="760" spans="1:24" x14ac:dyDescent="0.25">
      <c r="A760" s="553">
        <f t="shared" si="59"/>
        <v>677844.11659813765</v>
      </c>
      <c r="B760" s="3">
        <f t="shared" si="61"/>
        <v>0.54999999999999993</v>
      </c>
      <c r="C760" s="553">
        <f>'Foglio deposito bis'!$E$156/sezione!$B$247*B760</f>
        <v>2.2327691396898102</v>
      </c>
      <c r="D760" s="611">
        <f>-'Progetto del paramento slu'!$G$47*'Progetto del paramento slu'!$G$41*IF(DATI!$G$218="dx",DATI!$E$61,DATI!$E$64*DATI!$E$63)*1000*C760^2*sezione!$AD$5*(1-sezione!$AD$6)</f>
        <v>-41038.642915974546</v>
      </c>
      <c r="E760" s="553">
        <f>-'Foglio deposito bis'!$F$58*(C760-sezione!$AL$30)*IF(ABS(K760)&lt;'Progetto del paramento slu'!$G$58,ABS(K760)*'Progetto del paramento slu'!$G$54,'Progetto del paramento slu'!$G$53)</f>
        <v>0</v>
      </c>
      <c r="F760" s="553">
        <f>-'Foglio deposito bis'!$F$59*(C760-sezione!$AM$30)*IF(ABS(L760)&lt;'Progetto del paramento slu'!$G$58,ABS(L760)*'Progetto del paramento slu'!$G$54,'Progetto del paramento slu'!$G$53)</f>
        <v>22706630.555481073</v>
      </c>
      <c r="G760" s="553">
        <f>-'Foglio deposito bis'!$F$60*(C760-sezione!$AN$30)*IF(ABS(M760)&lt;'Progetto del paramento slu'!$G$58,ABS(M760)*'Progetto del paramento slu'!$G$54,'Progetto del paramento slu'!$G$53)</f>
        <v>0</v>
      </c>
      <c r="H760" s="553">
        <f>-'Foglio deposito bis'!$F$61*(C760-sezione!$AO$30)*IF(ABS(N760)&lt;'Progetto del paramento slu'!$G$58,ABS(N760)*'Progetto del paramento slu'!$G$54,'Progetto del paramento slu'!$G$53)</f>
        <v>81383831.223044544</v>
      </c>
      <c r="I760" s="479">
        <f>-'Foglio deposito bis'!$F$62*(C760-sezione!$AP$30)*IF(ABS(O760)&lt;'Progetto del paramento slu'!$G$58,ABS(O760)*'Progetto del paramento slu'!$G$54,'Progetto del paramento slu'!$G$53)</f>
        <v>81121736.665342525</v>
      </c>
      <c r="J760" s="479">
        <f t="shared" si="57"/>
        <v>185171159.80095217</v>
      </c>
      <c r="K760" s="558">
        <f>'Progetto del paramento slu'!$G$60*(sezione!$AL$30-C760)/C760</f>
        <v>5.9202407298342398E-2</v>
      </c>
      <c r="L760" s="558">
        <f>'Progetto del paramento slu'!$G$60*(sezione!$AM$30-C760)/C760</f>
        <v>0.23163402736878394</v>
      </c>
      <c r="M760" s="559">
        <f>'Progetto del paramento slu'!$G$60*(sezione!$AN$30-C760)/C760</f>
        <v>0.40406564743922552</v>
      </c>
      <c r="N760" s="559">
        <f>'Progetto del paramento slu'!$G$60*(sezione!$AO$30-C760)/C760</f>
        <v>0.52947046203591019</v>
      </c>
      <c r="O760" s="559">
        <f>'Progetto del paramento slu'!$G$60*(sezione!$AP$30-C760)/C760</f>
        <v>0.40407031997438464</v>
      </c>
      <c r="P760" s="553">
        <f>-'Progetto del paramento slu'!$G$47*'Progetto del paramento slu'!$G$41*IF(DATI!$G$218="dx",DATI!$E$61,DATI!$E$64*DATI!$E$63)*1000*C760*sezione!$AD$5</f>
        <v>-31472.868188462202</v>
      </c>
      <c r="Q760" s="553">
        <f>'Foglio deposito bis'!$F$58*IF(ABS(K760)&lt;'Progetto del paramento slu'!$G$58,ABS(K760)*'Progetto del paramento slu'!$G$54,'Progetto del paramento slu'!$G$53)*IF(K760&lt;0,-1,1)</f>
        <v>0</v>
      </c>
      <c r="R760" s="553">
        <f>'Foglio deposito bis'!$F$59*IF(ABS(L760)&lt;'Progetto del paramento slu'!$G$58,ABS(L760)*'Progetto del paramento slu'!$G$54,'Progetto del paramento slu'!$G$53)*IF(L760&lt;0,-1,1)</f>
        <v>153664.85805602249</v>
      </c>
      <c r="S760" s="553">
        <f>'Foglio deposito bis'!$F$60*IF(ABS(M760)&lt;'Progetto del paramento slu'!$G$58,ABS(M760)*'Progetto del paramento slu'!$G$54,'Progetto del paramento slu'!$G$53)*IF(M760&lt;0,-1,1)</f>
        <v>0</v>
      </c>
      <c r="T760" s="553">
        <f>'Foglio deposito bis'!$F$61*IF(ABS(N760)&lt;'Progetto del paramento slu'!$G$58,ABS(N760)*'Progetto del paramento slu'!$G$54,'Progetto del paramento slu'!$G$53)*IF(N760&lt;0,-1,1)</f>
        <v>240946.49743184328</v>
      </c>
      <c r="U760" s="553">
        <f>'Foglio deposito bis'!$F$62*IF(ABS(O760)&lt;'Progetto del paramento slu'!$G$58,ABS(O760)*'Progetto del paramento slu'!$G$54,'Progetto del paramento slu'!$G$53)*IF(O760&lt;0,-1,1)</f>
        <v>314705.62929873407</v>
      </c>
      <c r="V760" s="479">
        <f t="shared" si="60"/>
        <v>677844.11659813765</v>
      </c>
      <c r="W760" s="559"/>
      <c r="X760" s="559"/>
    </row>
    <row r="761" spans="1:24" x14ac:dyDescent="0.25">
      <c r="A761" s="553">
        <f t="shared" si="59"/>
        <v>674982.94676282292</v>
      </c>
      <c r="B761" s="3">
        <f t="shared" si="61"/>
        <v>0.6</v>
      </c>
      <c r="C761" s="553">
        <f>'Foglio deposito bis'!$E$156/sezione!$B$247*B761</f>
        <v>2.435748152388884</v>
      </c>
      <c r="D761" s="611">
        <f>-'Progetto del paramento slu'!$G$47*'Progetto del paramento slu'!$G$41*IF(DATI!$G$218="dx",DATI!$E$61,DATI!$E$64*DATI!$E$63)*1000*C761^2*sezione!$AD$5*(1-sezione!$AD$6)</f>
        <v>-48839.376693391205</v>
      </c>
      <c r="E761" s="553">
        <f>-'Foglio deposito bis'!$F$58*(C761-sezione!$AL$30)*IF(ABS(K761)&lt;'Progetto del paramento slu'!$G$58,ABS(K761)*'Progetto del paramento slu'!$G$54,'Progetto del paramento slu'!$G$53)</f>
        <v>0</v>
      </c>
      <c r="F761" s="553">
        <f>-'Foglio deposito bis'!$F$59*(C761-sezione!$AM$30)*IF(ABS(L761)&lt;'Progetto del paramento slu'!$G$58,ABS(L761)*'Progetto del paramento slu'!$G$54,'Progetto del paramento slu'!$G$53)</f>
        <v>22675439.814306315</v>
      </c>
      <c r="G761" s="553">
        <f>-'Foglio deposito bis'!$F$60*(C761-sezione!$AN$30)*IF(ABS(M761)&lt;'Progetto del paramento slu'!$G$58,ABS(M761)*'Progetto del paramento slu'!$G$54,'Progetto del paramento slu'!$G$53)</f>
        <v>0</v>
      </c>
      <c r="H761" s="553">
        <f>-'Foglio deposito bis'!$F$61*(C761-sezione!$AO$30)*IF(ABS(N761)&lt;'Progetto del paramento slu'!$G$58,ABS(N761)*'Progetto del paramento slu'!$G$54,'Progetto del paramento slu'!$G$53)</f>
        <v>81334924.140882522</v>
      </c>
      <c r="I761" s="479">
        <f>-'Foglio deposito bis'!$F$62*(C761-sezione!$AP$30)*IF(ABS(O761)&lt;'Progetto del paramento slu'!$G$58,ABS(O761)*'Progetto del paramento slu'!$G$54,'Progetto del paramento slu'!$G$53)</f>
        <v>81057858.027416632</v>
      </c>
      <c r="J761" s="479">
        <f t="shared" si="57"/>
        <v>185019382.60591209</v>
      </c>
      <c r="K761" s="558">
        <f>'Progetto del paramento slu'!$G$60*(sezione!$AL$30-C761)/C761</f>
        <v>5.3977206690147182E-2</v>
      </c>
      <c r="L761" s="558">
        <f>'Progetto del paramento slu'!$G$60*(sezione!$AM$30-C761)/C761</f>
        <v>0.21203952508805193</v>
      </c>
      <c r="M761" s="559">
        <f>'Progetto del paramento slu'!$G$60*(sezione!$AN$30-C761)/C761</f>
        <v>0.37010184348595671</v>
      </c>
      <c r="N761" s="559">
        <f>'Progetto del paramento slu'!$G$60*(sezione!$AO$30-C761)/C761</f>
        <v>0.48505625686625103</v>
      </c>
      <c r="O761" s="559">
        <f>'Progetto del paramento slu'!$G$60*(sezione!$AP$30-C761)/C761</f>
        <v>0.37010612664318593</v>
      </c>
      <c r="P761" s="553">
        <f>-'Progetto del paramento slu'!$G$47*'Progetto del paramento slu'!$G$41*IF(DATI!$G$218="dx",DATI!$E$61,DATI!$E$64*DATI!$E$63)*1000*C761*sezione!$AD$5</f>
        <v>-34334.038023776942</v>
      </c>
      <c r="Q761" s="553">
        <f>'Foglio deposito bis'!$F$58*IF(ABS(K761)&lt;'Progetto del paramento slu'!$G$58,ABS(K761)*'Progetto del paramento slu'!$G$54,'Progetto del paramento slu'!$G$53)*IF(K761&lt;0,-1,1)</f>
        <v>0</v>
      </c>
      <c r="R761" s="553">
        <f>'Foglio deposito bis'!$F$59*IF(ABS(L761)&lt;'Progetto del paramento slu'!$G$58,ABS(L761)*'Progetto del paramento slu'!$G$54,'Progetto del paramento slu'!$G$53)*IF(L761&lt;0,-1,1)</f>
        <v>153664.85805602249</v>
      </c>
      <c r="S761" s="553">
        <f>'Foglio deposito bis'!$F$60*IF(ABS(M761)&lt;'Progetto del paramento slu'!$G$58,ABS(M761)*'Progetto del paramento slu'!$G$54,'Progetto del paramento slu'!$G$53)*IF(M761&lt;0,-1,1)</f>
        <v>0</v>
      </c>
      <c r="T761" s="553">
        <f>'Foglio deposito bis'!$F$61*IF(ABS(N761)&lt;'Progetto del paramento slu'!$G$58,ABS(N761)*'Progetto del paramento slu'!$G$54,'Progetto del paramento slu'!$G$53)*IF(N761&lt;0,-1,1)</f>
        <v>240946.49743184328</v>
      </c>
      <c r="U761" s="553">
        <f>'Foglio deposito bis'!$F$62*IF(ABS(O761)&lt;'Progetto del paramento slu'!$G$58,ABS(O761)*'Progetto del paramento slu'!$G$54,'Progetto del paramento slu'!$G$53)*IF(O761&lt;0,-1,1)</f>
        <v>314705.62929873407</v>
      </c>
      <c r="V761" s="479">
        <f t="shared" si="60"/>
        <v>674982.94676282292</v>
      </c>
      <c r="W761" s="559"/>
      <c r="X761" s="559"/>
    </row>
    <row r="762" spans="1:24" x14ac:dyDescent="0.25">
      <c r="A762" s="553">
        <f t="shared" si="59"/>
        <v>672121.77692750818</v>
      </c>
      <c r="B762" s="3">
        <f t="shared" si="61"/>
        <v>0.65</v>
      </c>
      <c r="C762" s="553">
        <f>'Foglio deposito bis'!$E$156/sezione!$B$247*B762</f>
        <v>2.6387271650879578</v>
      </c>
      <c r="D762" s="611">
        <f>-'Progetto del paramento slu'!$G$47*'Progetto del paramento slu'!$G$41*IF(DATI!$G$218="dx",DATI!$E$61,DATI!$E$64*DATI!$E$63)*1000*C762^2*sezione!$AD$5*(1-sezione!$AD$6)</f>
        <v>-57318.435147104959</v>
      </c>
      <c r="E762" s="553">
        <f>-'Foglio deposito bis'!$F$58*(C762-sezione!$AL$30)*IF(ABS(K762)&lt;'Progetto del paramento slu'!$G$58,ABS(K762)*'Progetto del paramento slu'!$G$54,'Progetto del paramento slu'!$G$53)</f>
        <v>0</v>
      </c>
      <c r="F762" s="553">
        <f>-'Foglio deposito bis'!$F$59*(C762-sezione!$AM$30)*IF(ABS(L762)&lt;'Progetto del paramento slu'!$G$58,ABS(L762)*'Progetto del paramento slu'!$G$54,'Progetto del paramento slu'!$G$53)</f>
        <v>22644249.073131561</v>
      </c>
      <c r="G762" s="553">
        <f>-'Foglio deposito bis'!$F$60*(C762-sezione!$AN$30)*IF(ABS(M762)&lt;'Progetto del paramento slu'!$G$58,ABS(M762)*'Progetto del paramento slu'!$G$54,'Progetto del paramento slu'!$G$53)</f>
        <v>0</v>
      </c>
      <c r="H762" s="553">
        <f>-'Foglio deposito bis'!$F$61*(C762-sezione!$AO$30)*IF(ABS(N762)&lt;'Progetto del paramento slu'!$G$58,ABS(N762)*'Progetto del paramento slu'!$G$54,'Progetto del paramento slu'!$G$53)</f>
        <v>81286017.058720514</v>
      </c>
      <c r="I762" s="479">
        <f>-'Foglio deposito bis'!$F$62*(C762-sezione!$AP$30)*IF(ABS(O762)&lt;'Progetto del paramento slu'!$G$58,ABS(O762)*'Progetto del paramento slu'!$G$54,'Progetto del paramento slu'!$G$53)</f>
        <v>80993979.389490739</v>
      </c>
      <c r="J762" s="479">
        <f t="shared" si="57"/>
        <v>184866927.08619571</v>
      </c>
      <c r="K762" s="558">
        <f>'Progetto del paramento slu'!$G$60*(sezione!$AL$30-C762)/C762</f>
        <v>4.9555883098597403E-2</v>
      </c>
      <c r="L762" s="558">
        <f>'Progetto del paramento slu'!$G$60*(sezione!$AM$30-C762)/C762</f>
        <v>0.19545956161974024</v>
      </c>
      <c r="M762" s="559">
        <f>'Progetto del paramento slu'!$G$60*(sezione!$AN$30-C762)/C762</f>
        <v>0.3413632401408831</v>
      </c>
      <c r="N762" s="559">
        <f>'Progetto del paramento slu'!$G$60*(sezione!$AO$30-C762)/C762</f>
        <v>0.44747500633807785</v>
      </c>
      <c r="O762" s="559">
        <f>'Progetto del paramento slu'!$G$60*(sezione!$AP$30-C762)/C762</f>
        <v>0.34136719382447922</v>
      </c>
      <c r="P762" s="553">
        <f>-'Progetto del paramento slu'!$G$47*'Progetto del paramento slu'!$G$41*IF(DATI!$G$218="dx",DATI!$E$61,DATI!$E$64*DATI!$E$63)*1000*C762*sezione!$AD$5</f>
        <v>-37195.207859091694</v>
      </c>
      <c r="Q762" s="553">
        <f>'Foglio deposito bis'!$F$58*IF(ABS(K762)&lt;'Progetto del paramento slu'!$G$58,ABS(K762)*'Progetto del paramento slu'!$G$54,'Progetto del paramento slu'!$G$53)*IF(K762&lt;0,-1,1)</f>
        <v>0</v>
      </c>
      <c r="R762" s="553">
        <f>'Foglio deposito bis'!$F$59*IF(ABS(L762)&lt;'Progetto del paramento slu'!$G$58,ABS(L762)*'Progetto del paramento slu'!$G$54,'Progetto del paramento slu'!$G$53)*IF(L762&lt;0,-1,1)</f>
        <v>153664.85805602249</v>
      </c>
      <c r="S762" s="553">
        <f>'Foglio deposito bis'!$F$60*IF(ABS(M762)&lt;'Progetto del paramento slu'!$G$58,ABS(M762)*'Progetto del paramento slu'!$G$54,'Progetto del paramento slu'!$G$53)*IF(M762&lt;0,-1,1)</f>
        <v>0</v>
      </c>
      <c r="T762" s="553">
        <f>'Foglio deposito bis'!$F$61*IF(ABS(N762)&lt;'Progetto del paramento slu'!$G$58,ABS(N762)*'Progetto del paramento slu'!$G$54,'Progetto del paramento slu'!$G$53)*IF(N762&lt;0,-1,1)</f>
        <v>240946.49743184328</v>
      </c>
      <c r="U762" s="553">
        <f>'Foglio deposito bis'!$F$62*IF(ABS(O762)&lt;'Progetto del paramento slu'!$G$58,ABS(O762)*'Progetto del paramento slu'!$G$54,'Progetto del paramento slu'!$G$53)*IF(O762&lt;0,-1,1)</f>
        <v>314705.62929873407</v>
      </c>
      <c r="V762" s="479">
        <f t="shared" si="60"/>
        <v>672121.77692750818</v>
      </c>
      <c r="W762" s="559"/>
      <c r="X762" s="559"/>
    </row>
    <row r="763" spans="1:24" x14ac:dyDescent="0.25">
      <c r="A763" s="553">
        <f t="shared" si="59"/>
        <v>669260.60709219333</v>
      </c>
      <c r="B763" s="3">
        <f t="shared" si="61"/>
        <v>0.70000000000000007</v>
      </c>
      <c r="C763" s="553">
        <f>'Foglio deposito bis'!$E$156/sezione!$B$247*B763</f>
        <v>2.8417061777870316</v>
      </c>
      <c r="D763" s="611">
        <f>-'Progetto del paramento slu'!$G$47*'Progetto del paramento slu'!$G$41*IF(DATI!$G$218="dx",DATI!$E$61,DATI!$E$64*DATI!$E$63)*1000*C763^2*sezione!$AD$5*(1-sezione!$AD$6)</f>
        <v>-66475.818277115832</v>
      </c>
      <c r="E763" s="553">
        <f>-'Foglio deposito bis'!$F$58*(C763-sezione!$AL$30)*IF(ABS(K763)&lt;'Progetto del paramento slu'!$G$58,ABS(K763)*'Progetto del paramento slu'!$G$54,'Progetto del paramento slu'!$G$53)</f>
        <v>0</v>
      </c>
      <c r="F763" s="553">
        <f>-'Foglio deposito bis'!$F$59*(C763-sezione!$AM$30)*IF(ABS(L763)&lt;'Progetto del paramento slu'!$G$58,ABS(L763)*'Progetto del paramento slu'!$G$54,'Progetto del paramento slu'!$G$53)</f>
        <v>22613058.331956808</v>
      </c>
      <c r="G763" s="553">
        <f>-'Foglio deposito bis'!$F$60*(C763-sezione!$AN$30)*IF(ABS(M763)&lt;'Progetto del paramento slu'!$G$58,ABS(M763)*'Progetto del paramento slu'!$G$54,'Progetto del paramento slu'!$G$53)</f>
        <v>0</v>
      </c>
      <c r="H763" s="553">
        <f>-'Foglio deposito bis'!$F$61*(C763-sezione!$AO$30)*IF(ABS(N763)&lt;'Progetto del paramento slu'!$G$58,ABS(N763)*'Progetto del paramento slu'!$G$54,'Progetto del paramento slu'!$G$53)</f>
        <v>81237109.976558492</v>
      </c>
      <c r="I763" s="479">
        <f>-'Foglio deposito bis'!$F$62*(C763-sezione!$AP$30)*IF(ABS(O763)&lt;'Progetto del paramento slu'!$G$58,ABS(O763)*'Progetto del paramento slu'!$G$54,'Progetto del paramento slu'!$G$53)</f>
        <v>80930100.751564831</v>
      </c>
      <c r="J763" s="479">
        <f t="shared" si="57"/>
        <v>184713793.24180302</v>
      </c>
      <c r="K763" s="558">
        <f>'Progetto del paramento slu'!$G$60*(sezione!$AL$30-C763)/C763</f>
        <v>4.5766177162983292E-2</v>
      </c>
      <c r="L763" s="558">
        <f>'Progetto del paramento slu'!$G$60*(sezione!$AM$30-C763)/C763</f>
        <v>0.18124816436118735</v>
      </c>
      <c r="M763" s="559">
        <f>'Progetto del paramento slu'!$G$60*(sezione!$AN$30-C763)/C763</f>
        <v>0.31673015155939144</v>
      </c>
      <c r="N763" s="559">
        <f>'Progetto del paramento slu'!$G$60*(sezione!$AO$30-C763)/C763</f>
        <v>0.41526250588535801</v>
      </c>
      <c r="O763" s="559">
        <f>'Progetto del paramento slu'!$G$60*(sezione!$AP$30-C763)/C763</f>
        <v>0.31673382283701645</v>
      </c>
      <c r="P763" s="553">
        <f>-'Progetto del paramento slu'!$G$47*'Progetto del paramento slu'!$G$41*IF(DATI!$G$218="dx",DATI!$E$61,DATI!$E$64*DATI!$E$63)*1000*C763*sezione!$AD$5</f>
        <v>-40056.377694406445</v>
      </c>
      <c r="Q763" s="553">
        <f>'Foglio deposito bis'!$F$58*IF(ABS(K763)&lt;'Progetto del paramento slu'!$G$58,ABS(K763)*'Progetto del paramento slu'!$G$54,'Progetto del paramento slu'!$G$53)*IF(K763&lt;0,-1,1)</f>
        <v>0</v>
      </c>
      <c r="R763" s="553">
        <f>'Foglio deposito bis'!$F$59*IF(ABS(L763)&lt;'Progetto del paramento slu'!$G$58,ABS(L763)*'Progetto del paramento slu'!$G$54,'Progetto del paramento slu'!$G$53)*IF(L763&lt;0,-1,1)</f>
        <v>153664.85805602249</v>
      </c>
      <c r="S763" s="553">
        <f>'Foglio deposito bis'!$F$60*IF(ABS(M763)&lt;'Progetto del paramento slu'!$G$58,ABS(M763)*'Progetto del paramento slu'!$G$54,'Progetto del paramento slu'!$G$53)*IF(M763&lt;0,-1,1)</f>
        <v>0</v>
      </c>
      <c r="T763" s="553">
        <f>'Foglio deposito bis'!$F$61*IF(ABS(N763)&lt;'Progetto del paramento slu'!$G$58,ABS(N763)*'Progetto del paramento slu'!$G$54,'Progetto del paramento slu'!$G$53)*IF(N763&lt;0,-1,1)</f>
        <v>240946.49743184328</v>
      </c>
      <c r="U763" s="553">
        <f>'Foglio deposito bis'!$F$62*IF(ABS(O763)&lt;'Progetto del paramento slu'!$G$58,ABS(O763)*'Progetto del paramento slu'!$G$54,'Progetto del paramento slu'!$G$53)*IF(O763&lt;0,-1,1)</f>
        <v>314705.62929873407</v>
      </c>
      <c r="V763" s="479">
        <f t="shared" si="60"/>
        <v>669260.60709219333</v>
      </c>
      <c r="W763" s="559"/>
      <c r="X763" s="559"/>
    </row>
    <row r="764" spans="1:24" x14ac:dyDescent="0.25">
      <c r="A764" s="553">
        <f t="shared" si="59"/>
        <v>666399.43725687871</v>
      </c>
      <c r="B764" s="3">
        <f t="shared" si="61"/>
        <v>0.75000000000000011</v>
      </c>
      <c r="C764" s="553">
        <f>'Foglio deposito bis'!$E$156/sezione!$B$247*B764</f>
        <v>3.0446851904861059</v>
      </c>
      <c r="D764" s="611">
        <f>-'Progetto del paramento slu'!$G$47*'Progetto del paramento slu'!$G$41*IF(DATI!$G$218="dx",DATI!$E$61,DATI!$E$64*DATI!$E$63)*1000*C764^2*sezione!$AD$5*(1-sezione!$AD$6)</f>
        <v>-76311.5260834238</v>
      </c>
      <c r="E764" s="553">
        <f>-'Foglio deposito bis'!$F$58*(C764-sezione!$AL$30)*IF(ABS(K764)&lt;'Progetto del paramento slu'!$G$58,ABS(K764)*'Progetto del paramento slu'!$G$54,'Progetto del paramento slu'!$G$53)</f>
        <v>0</v>
      </c>
      <c r="F764" s="553">
        <f>-'Foglio deposito bis'!$F$59*(C764-sezione!$AM$30)*IF(ABS(L764)&lt;'Progetto del paramento slu'!$G$58,ABS(L764)*'Progetto del paramento slu'!$G$54,'Progetto del paramento slu'!$G$53)</f>
        <v>22581867.590782054</v>
      </c>
      <c r="G764" s="553">
        <f>-'Foglio deposito bis'!$F$60*(C764-sezione!$AN$30)*IF(ABS(M764)&lt;'Progetto del paramento slu'!$G$58,ABS(M764)*'Progetto del paramento slu'!$G$54,'Progetto del paramento slu'!$G$53)</f>
        <v>0</v>
      </c>
      <c r="H764" s="553">
        <f>-'Foglio deposito bis'!$F$61*(C764-sezione!$AO$30)*IF(ABS(N764)&lt;'Progetto del paramento slu'!$G$58,ABS(N764)*'Progetto del paramento slu'!$G$54,'Progetto del paramento slu'!$G$53)</f>
        <v>81188202.894396484</v>
      </c>
      <c r="I764" s="479">
        <f>-'Foglio deposito bis'!$F$62*(C764-sezione!$AP$30)*IF(ABS(O764)&lt;'Progetto del paramento slu'!$G$58,ABS(O764)*'Progetto del paramento slu'!$G$54,'Progetto del paramento slu'!$G$53)</f>
        <v>80866222.113638937</v>
      </c>
      <c r="J764" s="479">
        <f t="shared" si="57"/>
        <v>184559981.07273406</v>
      </c>
      <c r="K764" s="558">
        <f>'Progetto del paramento slu'!$G$60*(sezione!$AL$30-C764)/C764</f>
        <v>4.2481765352117729E-2</v>
      </c>
      <c r="L764" s="558">
        <f>'Progetto del paramento slu'!$G$60*(sezione!$AM$30-C764)/C764</f>
        <v>0.16893162007044149</v>
      </c>
      <c r="M764" s="559">
        <f>'Progetto del paramento slu'!$G$60*(sezione!$AN$30-C764)/C764</f>
        <v>0.29538147478876525</v>
      </c>
      <c r="N764" s="559">
        <f>'Progetto del paramento slu'!$G$60*(sezione!$AO$30-C764)/C764</f>
        <v>0.38734500549300072</v>
      </c>
      <c r="O764" s="559">
        <f>'Progetto del paramento slu'!$G$60*(sezione!$AP$30-C764)/C764</f>
        <v>0.29538490131454859</v>
      </c>
      <c r="P764" s="553">
        <f>-'Progetto del paramento slu'!$G$47*'Progetto del paramento slu'!$G$41*IF(DATI!$G$218="dx",DATI!$E$61,DATI!$E$64*DATI!$E$63)*1000*C764*sezione!$AD$5</f>
        <v>-42917.547529721189</v>
      </c>
      <c r="Q764" s="553">
        <f>'Foglio deposito bis'!$F$58*IF(ABS(K764)&lt;'Progetto del paramento slu'!$G$58,ABS(K764)*'Progetto del paramento slu'!$G$54,'Progetto del paramento slu'!$G$53)*IF(K764&lt;0,-1,1)</f>
        <v>0</v>
      </c>
      <c r="R764" s="553">
        <f>'Foglio deposito bis'!$F$59*IF(ABS(L764)&lt;'Progetto del paramento slu'!$G$58,ABS(L764)*'Progetto del paramento slu'!$G$54,'Progetto del paramento slu'!$G$53)*IF(L764&lt;0,-1,1)</f>
        <v>153664.85805602249</v>
      </c>
      <c r="S764" s="553">
        <f>'Foglio deposito bis'!$F$60*IF(ABS(M764)&lt;'Progetto del paramento slu'!$G$58,ABS(M764)*'Progetto del paramento slu'!$G$54,'Progetto del paramento slu'!$G$53)*IF(M764&lt;0,-1,1)</f>
        <v>0</v>
      </c>
      <c r="T764" s="553">
        <f>'Foglio deposito bis'!$F$61*IF(ABS(N764)&lt;'Progetto del paramento slu'!$G$58,ABS(N764)*'Progetto del paramento slu'!$G$54,'Progetto del paramento slu'!$G$53)*IF(N764&lt;0,-1,1)</f>
        <v>240946.49743184328</v>
      </c>
      <c r="U764" s="553">
        <f>'Foglio deposito bis'!$F$62*IF(ABS(O764)&lt;'Progetto del paramento slu'!$G$58,ABS(O764)*'Progetto del paramento slu'!$G$54,'Progetto del paramento slu'!$G$53)*IF(O764&lt;0,-1,1)</f>
        <v>314705.62929873407</v>
      </c>
      <c r="V764" s="479">
        <f t="shared" si="60"/>
        <v>666399.43725687871</v>
      </c>
      <c r="W764" s="559"/>
      <c r="X764" s="559"/>
    </row>
    <row r="765" spans="1:24" x14ac:dyDescent="0.25">
      <c r="A765" s="553">
        <f t="shared" si="59"/>
        <v>663538.26742156385</v>
      </c>
      <c r="B765" s="3">
        <f t="shared" si="61"/>
        <v>0.80000000000000016</v>
      </c>
      <c r="C765" s="553">
        <f>'Foglio deposito bis'!$E$156/sezione!$B$247*B765</f>
        <v>3.2476642031851797</v>
      </c>
      <c r="D765" s="611">
        <f>-'Progetto del paramento slu'!$G$47*'Progetto del paramento slu'!$G$41*IF(DATI!$G$218="dx",DATI!$E$61,DATI!$E$64*DATI!$E$63)*1000*C765^2*sezione!$AD$5*(1-sezione!$AD$6)</f>
        <v>-86825.558566028878</v>
      </c>
      <c r="E765" s="553">
        <f>-'Foglio deposito bis'!$F$58*(C765-sezione!$AL$30)*IF(ABS(K765)&lt;'Progetto del paramento slu'!$G$58,ABS(K765)*'Progetto del paramento slu'!$G$54,'Progetto del paramento slu'!$G$53)</f>
        <v>0</v>
      </c>
      <c r="F765" s="553">
        <f>-'Foglio deposito bis'!$F$59*(C765-sezione!$AM$30)*IF(ABS(L765)&lt;'Progetto del paramento slu'!$G$58,ABS(L765)*'Progetto del paramento slu'!$G$54,'Progetto del paramento slu'!$G$53)</f>
        <v>22550676.8496073</v>
      </c>
      <c r="G765" s="553">
        <f>-'Foglio deposito bis'!$F$60*(C765-sezione!$AN$30)*IF(ABS(M765)&lt;'Progetto del paramento slu'!$G$58,ABS(M765)*'Progetto del paramento slu'!$G$54,'Progetto del paramento slu'!$G$53)</f>
        <v>0</v>
      </c>
      <c r="H765" s="553">
        <f>-'Foglio deposito bis'!$F$61*(C765-sezione!$AO$30)*IF(ABS(N765)&lt;'Progetto del paramento slu'!$G$58,ABS(N765)*'Progetto del paramento slu'!$G$54,'Progetto del paramento slu'!$G$53)</f>
        <v>81139295.812234461</v>
      </c>
      <c r="I765" s="479">
        <f>-'Foglio deposito bis'!$F$62*(C765-sezione!$AP$30)*IF(ABS(O765)&lt;'Progetto del paramento slu'!$G$58,ABS(O765)*'Progetto del paramento slu'!$G$54,'Progetto del paramento slu'!$G$53)</f>
        <v>80802343.47571303</v>
      </c>
      <c r="J765" s="479">
        <f t="shared" si="57"/>
        <v>184405490.57898876</v>
      </c>
      <c r="K765" s="558">
        <f>'Progetto del paramento slu'!$G$60*(sezione!$AL$30-C765)/C765</f>
        <v>3.9607905017610377E-2</v>
      </c>
      <c r="L765" s="558">
        <f>'Progetto del paramento slu'!$G$60*(sezione!$AM$30-C765)/C765</f>
        <v>0.15815464381603891</v>
      </c>
      <c r="M765" s="559">
        <f>'Progetto del paramento slu'!$G$60*(sezione!$AN$30-C765)/C765</f>
        <v>0.27670138261446742</v>
      </c>
      <c r="N765" s="559">
        <f>'Progetto del paramento slu'!$G$60*(sezione!$AO$30-C765)/C765</f>
        <v>0.36291719264968819</v>
      </c>
      <c r="O765" s="559">
        <f>'Progetto del paramento slu'!$G$60*(sezione!$AP$30-C765)/C765</f>
        <v>0.27670459498238931</v>
      </c>
      <c r="P765" s="553">
        <f>-'Progetto del paramento slu'!$G$47*'Progetto del paramento slu'!$G$41*IF(DATI!$G$218="dx",DATI!$E$61,DATI!$E$64*DATI!$E$63)*1000*C765*sezione!$AD$5</f>
        <v>-45778.71736503594</v>
      </c>
      <c r="Q765" s="553">
        <f>'Foglio deposito bis'!$F$58*IF(ABS(K765)&lt;'Progetto del paramento slu'!$G$58,ABS(K765)*'Progetto del paramento slu'!$G$54,'Progetto del paramento slu'!$G$53)*IF(K765&lt;0,-1,1)</f>
        <v>0</v>
      </c>
      <c r="R765" s="553">
        <f>'Foglio deposito bis'!$F$59*IF(ABS(L765)&lt;'Progetto del paramento slu'!$G$58,ABS(L765)*'Progetto del paramento slu'!$G$54,'Progetto del paramento slu'!$G$53)*IF(L765&lt;0,-1,1)</f>
        <v>153664.85805602249</v>
      </c>
      <c r="S765" s="553">
        <f>'Foglio deposito bis'!$F$60*IF(ABS(M765)&lt;'Progetto del paramento slu'!$G$58,ABS(M765)*'Progetto del paramento slu'!$G$54,'Progetto del paramento slu'!$G$53)*IF(M765&lt;0,-1,1)</f>
        <v>0</v>
      </c>
      <c r="T765" s="553">
        <f>'Foglio deposito bis'!$F$61*IF(ABS(N765)&lt;'Progetto del paramento slu'!$G$58,ABS(N765)*'Progetto del paramento slu'!$G$54,'Progetto del paramento slu'!$G$53)*IF(N765&lt;0,-1,1)</f>
        <v>240946.49743184328</v>
      </c>
      <c r="U765" s="553">
        <f>'Foglio deposito bis'!$F$62*IF(ABS(O765)&lt;'Progetto del paramento slu'!$G$58,ABS(O765)*'Progetto del paramento slu'!$G$54,'Progetto del paramento slu'!$G$53)*IF(O765&lt;0,-1,1)</f>
        <v>314705.62929873407</v>
      </c>
      <c r="V765" s="479">
        <f t="shared" si="60"/>
        <v>663538.26742156385</v>
      </c>
      <c r="W765" s="559"/>
      <c r="X765" s="559"/>
    </row>
    <row r="766" spans="1:24" x14ac:dyDescent="0.25">
      <c r="A766" s="553">
        <f t="shared" si="59"/>
        <v>660677.09758624923</v>
      </c>
      <c r="B766" s="3">
        <f t="shared" si="61"/>
        <v>0.8500000000000002</v>
      </c>
      <c r="C766" s="553">
        <f>'Foglio deposito bis'!$E$156/sezione!$B$247*B766</f>
        <v>3.4506432158842535</v>
      </c>
      <c r="D766" s="611">
        <f>-'Progetto del paramento slu'!$G$47*'Progetto del paramento slu'!$G$41*IF(DATI!$G$218="dx",DATI!$E$61,DATI!$E$64*DATI!$E$63)*1000*C766^2*sezione!$AD$5*(1-sezione!$AD$6)</f>
        <v>-98017.915724931037</v>
      </c>
      <c r="E766" s="553">
        <f>-'Foglio deposito bis'!$F$58*(C766-sezione!$AL$30)*IF(ABS(K766)&lt;'Progetto del paramento slu'!$G$58,ABS(K766)*'Progetto del paramento slu'!$G$54,'Progetto del paramento slu'!$G$53)</f>
        <v>0</v>
      </c>
      <c r="F766" s="553">
        <f>-'Foglio deposito bis'!$F$59*(C766-sezione!$AM$30)*IF(ABS(L766)&lt;'Progetto del paramento slu'!$G$58,ABS(L766)*'Progetto del paramento slu'!$G$54,'Progetto del paramento slu'!$G$53)</f>
        <v>22519486.108432546</v>
      </c>
      <c r="G766" s="553">
        <f>-'Foglio deposito bis'!$F$60*(C766-sezione!$AN$30)*IF(ABS(M766)&lt;'Progetto del paramento slu'!$G$58,ABS(M766)*'Progetto del paramento slu'!$G$54,'Progetto del paramento slu'!$G$53)</f>
        <v>0</v>
      </c>
      <c r="H766" s="553">
        <f>-'Foglio deposito bis'!$F$61*(C766-sezione!$AO$30)*IF(ABS(N766)&lt;'Progetto del paramento slu'!$G$58,ABS(N766)*'Progetto del paramento slu'!$G$54,'Progetto del paramento slu'!$G$53)</f>
        <v>81090388.730072454</v>
      </c>
      <c r="I766" s="479">
        <f>-'Foglio deposito bis'!$F$62*(C766-sezione!$AP$30)*IF(ABS(O766)&lt;'Progetto del paramento slu'!$G$58,ABS(O766)*'Progetto del paramento slu'!$G$54,'Progetto del paramento slu'!$G$53)</f>
        <v>80738464.837787136</v>
      </c>
      <c r="J766" s="479">
        <f t="shared" si="57"/>
        <v>184250321.76056719</v>
      </c>
      <c r="K766" s="558">
        <f>'Progetto del paramento slu'!$G$60*(sezione!$AL$30-C766)/C766</f>
        <v>3.7072145898927406E-2</v>
      </c>
      <c r="L766" s="558">
        <f>'Progetto del paramento slu'!$G$60*(sezione!$AM$30-C766)/C766</f>
        <v>0.1486455471209778</v>
      </c>
      <c r="M766" s="559">
        <f>'Progetto del paramento slu'!$G$60*(sezione!$AN$30-C766)/C766</f>
        <v>0.26021894834302811</v>
      </c>
      <c r="N766" s="559">
        <f>'Progetto del paramento slu'!$G$60*(sezione!$AO$30-C766)/C766</f>
        <v>0.34136324014088298</v>
      </c>
      <c r="O766" s="559">
        <f>'Progetto del paramento slu'!$G$60*(sezione!$AP$30-C766)/C766</f>
        <v>0.26022197174813111</v>
      </c>
      <c r="P766" s="553">
        <f>-'Progetto del paramento slu'!$G$47*'Progetto del paramento slu'!$G$41*IF(DATI!$G$218="dx",DATI!$E$61,DATI!$E$64*DATI!$E$63)*1000*C766*sezione!$AD$5</f>
        <v>-48639.887200350691</v>
      </c>
      <c r="Q766" s="553">
        <f>'Foglio deposito bis'!$F$58*IF(ABS(K766)&lt;'Progetto del paramento slu'!$G$58,ABS(K766)*'Progetto del paramento slu'!$G$54,'Progetto del paramento slu'!$G$53)*IF(K766&lt;0,-1,1)</f>
        <v>0</v>
      </c>
      <c r="R766" s="553">
        <f>'Foglio deposito bis'!$F$59*IF(ABS(L766)&lt;'Progetto del paramento slu'!$G$58,ABS(L766)*'Progetto del paramento slu'!$G$54,'Progetto del paramento slu'!$G$53)*IF(L766&lt;0,-1,1)</f>
        <v>153664.85805602249</v>
      </c>
      <c r="S766" s="553">
        <f>'Foglio deposito bis'!$F$60*IF(ABS(M766)&lt;'Progetto del paramento slu'!$G$58,ABS(M766)*'Progetto del paramento slu'!$G$54,'Progetto del paramento slu'!$G$53)*IF(M766&lt;0,-1,1)</f>
        <v>0</v>
      </c>
      <c r="T766" s="553">
        <f>'Foglio deposito bis'!$F$61*IF(ABS(N766)&lt;'Progetto del paramento slu'!$G$58,ABS(N766)*'Progetto del paramento slu'!$G$54,'Progetto del paramento slu'!$G$53)*IF(N766&lt;0,-1,1)</f>
        <v>240946.49743184328</v>
      </c>
      <c r="U766" s="553">
        <f>'Foglio deposito bis'!$F$62*IF(ABS(O766)&lt;'Progetto del paramento slu'!$G$58,ABS(O766)*'Progetto del paramento slu'!$G$54,'Progetto del paramento slu'!$G$53)*IF(O766&lt;0,-1,1)</f>
        <v>314705.62929873407</v>
      </c>
      <c r="V766" s="479">
        <f t="shared" si="60"/>
        <v>660677.09758624923</v>
      </c>
      <c r="W766" s="559"/>
      <c r="X766" s="559"/>
    </row>
    <row r="767" spans="1:24" x14ac:dyDescent="0.25">
      <c r="A767" s="553">
        <f t="shared" si="59"/>
        <v>657815.92775093438</v>
      </c>
      <c r="B767" s="3">
        <f t="shared" si="61"/>
        <v>0.90000000000000024</v>
      </c>
      <c r="C767" s="553">
        <f>'Foglio deposito bis'!$E$156/sezione!$B$247*B767</f>
        <v>3.6536222285833273</v>
      </c>
      <c r="D767" s="611">
        <f>-'Progetto del paramento slu'!$G$47*'Progetto del paramento slu'!$G$41*IF(DATI!$G$218="dx",DATI!$E$61,DATI!$E$64*DATI!$E$63)*1000*C767^2*sezione!$AD$5*(1-sezione!$AD$6)</f>
        <v>-109888.59756013029</v>
      </c>
      <c r="E767" s="553">
        <f>-'Foglio deposito bis'!$F$58*(C767-sezione!$AL$30)*IF(ABS(K767)&lt;'Progetto del paramento slu'!$G$58,ABS(K767)*'Progetto del paramento slu'!$G$54,'Progetto del paramento slu'!$G$53)</f>
        <v>0</v>
      </c>
      <c r="F767" s="553">
        <f>-'Foglio deposito bis'!$F$59*(C767-sezione!$AM$30)*IF(ABS(L767)&lt;'Progetto del paramento slu'!$G$58,ABS(L767)*'Progetto del paramento slu'!$G$54,'Progetto del paramento slu'!$G$53)</f>
        <v>22488295.367257793</v>
      </c>
      <c r="G767" s="553">
        <f>-'Foglio deposito bis'!$F$60*(C767-sezione!$AN$30)*IF(ABS(M767)&lt;'Progetto del paramento slu'!$G$58,ABS(M767)*'Progetto del paramento slu'!$G$54,'Progetto del paramento slu'!$G$53)</f>
        <v>0</v>
      </c>
      <c r="H767" s="553">
        <f>-'Foglio deposito bis'!$F$61*(C767-sezione!$AO$30)*IF(ABS(N767)&lt;'Progetto del paramento slu'!$G$58,ABS(N767)*'Progetto del paramento slu'!$G$54,'Progetto del paramento slu'!$G$53)</f>
        <v>81041481.647910431</v>
      </c>
      <c r="I767" s="479">
        <f>-'Foglio deposito bis'!$F$62*(C767-sezione!$AP$30)*IF(ABS(O767)&lt;'Progetto del paramento slu'!$G$58,ABS(O767)*'Progetto del paramento slu'!$G$54,'Progetto del paramento slu'!$G$53)</f>
        <v>80674586.199861243</v>
      </c>
      <c r="J767" s="479">
        <f t="shared" si="57"/>
        <v>184094474.61746934</v>
      </c>
      <c r="K767" s="558">
        <f>'Progetto del paramento slu'!$G$60*(sezione!$AL$30-C767)/C767</f>
        <v>3.4818137793431438E-2</v>
      </c>
      <c r="L767" s="558">
        <f>'Progetto del paramento slu'!$G$60*(sezione!$AM$30-C767)/C767</f>
        <v>0.14019301672536791</v>
      </c>
      <c r="M767" s="559">
        <f>'Progetto del paramento slu'!$G$60*(sezione!$AN$30-C767)/C767</f>
        <v>0.24556789565730433</v>
      </c>
      <c r="N767" s="559">
        <f>'Progetto del paramento slu'!$G$60*(sezione!$AO$30-C767)/C767</f>
        <v>0.32220417124416728</v>
      </c>
      <c r="O767" s="559">
        <f>'Progetto del paramento slu'!$G$60*(sezione!$AP$30-C767)/C767</f>
        <v>0.24557075109545717</v>
      </c>
      <c r="P767" s="553">
        <f>-'Progetto del paramento slu'!$G$47*'Progetto del paramento slu'!$G$41*IF(DATI!$G$218="dx",DATI!$E$61,DATI!$E$64*DATI!$E$63)*1000*C767*sezione!$AD$5</f>
        <v>-51501.057035665443</v>
      </c>
      <c r="Q767" s="553">
        <f>'Foglio deposito bis'!$F$58*IF(ABS(K767)&lt;'Progetto del paramento slu'!$G$58,ABS(K767)*'Progetto del paramento slu'!$G$54,'Progetto del paramento slu'!$G$53)*IF(K767&lt;0,-1,1)</f>
        <v>0</v>
      </c>
      <c r="R767" s="553">
        <f>'Foglio deposito bis'!$F$59*IF(ABS(L767)&lt;'Progetto del paramento slu'!$G$58,ABS(L767)*'Progetto del paramento slu'!$G$54,'Progetto del paramento slu'!$G$53)*IF(L767&lt;0,-1,1)</f>
        <v>153664.85805602249</v>
      </c>
      <c r="S767" s="553">
        <f>'Foglio deposito bis'!$F$60*IF(ABS(M767)&lt;'Progetto del paramento slu'!$G$58,ABS(M767)*'Progetto del paramento slu'!$G$54,'Progetto del paramento slu'!$G$53)*IF(M767&lt;0,-1,1)</f>
        <v>0</v>
      </c>
      <c r="T767" s="553">
        <f>'Foglio deposito bis'!$F$61*IF(ABS(N767)&lt;'Progetto del paramento slu'!$G$58,ABS(N767)*'Progetto del paramento slu'!$G$54,'Progetto del paramento slu'!$G$53)*IF(N767&lt;0,-1,1)</f>
        <v>240946.49743184328</v>
      </c>
      <c r="U767" s="553">
        <f>'Foglio deposito bis'!$F$62*IF(ABS(O767)&lt;'Progetto del paramento slu'!$G$58,ABS(O767)*'Progetto del paramento slu'!$G$54,'Progetto del paramento slu'!$G$53)*IF(O767&lt;0,-1,1)</f>
        <v>314705.62929873407</v>
      </c>
      <c r="V767" s="479">
        <f t="shared" si="60"/>
        <v>657815.92775093438</v>
      </c>
      <c r="W767" s="559"/>
      <c r="X767" s="559"/>
    </row>
    <row r="768" spans="1:24" x14ac:dyDescent="0.25">
      <c r="A768" s="553">
        <f t="shared" si="59"/>
        <v>654954.75791561964</v>
      </c>
      <c r="B768" s="3">
        <f t="shared" si="61"/>
        <v>0.95000000000000029</v>
      </c>
      <c r="C768" s="553">
        <f>'Foglio deposito bis'!$E$156/sezione!$B$247*B768</f>
        <v>3.8566012412824011</v>
      </c>
      <c r="D768" s="611">
        <f>-'Progetto del paramento slu'!$G$47*'Progetto del paramento slu'!$G$41*IF(DATI!$G$218="dx",DATI!$E$61,DATI!$E$64*DATI!$E$63)*1000*C768^2*sezione!$AD$5*(1-sezione!$AD$6)</f>
        <v>-122437.60407162666</v>
      </c>
      <c r="E768" s="553">
        <f>-'Foglio deposito bis'!$F$58*(C768-sezione!$AL$30)*IF(ABS(K768)&lt;'Progetto del paramento slu'!$G$58,ABS(K768)*'Progetto del paramento slu'!$G$54,'Progetto del paramento slu'!$G$53)</f>
        <v>0</v>
      </c>
      <c r="F768" s="553">
        <f>-'Foglio deposito bis'!$F$59*(C768-sezione!$AM$30)*IF(ABS(L768)&lt;'Progetto del paramento slu'!$G$58,ABS(L768)*'Progetto del paramento slu'!$G$54,'Progetto del paramento slu'!$G$53)</f>
        <v>22457104.626083035</v>
      </c>
      <c r="G768" s="553">
        <f>-'Foglio deposito bis'!$F$60*(C768-sezione!$AN$30)*IF(ABS(M768)&lt;'Progetto del paramento slu'!$G$58,ABS(M768)*'Progetto del paramento slu'!$G$54,'Progetto del paramento slu'!$G$53)</f>
        <v>0</v>
      </c>
      <c r="H768" s="553">
        <f>-'Foglio deposito bis'!$F$61*(C768-sezione!$AO$30)*IF(ABS(N768)&lt;'Progetto del paramento slu'!$G$58,ABS(N768)*'Progetto del paramento slu'!$G$54,'Progetto del paramento slu'!$G$53)</f>
        <v>80992574.565748423</v>
      </c>
      <c r="I768" s="479">
        <f>-'Foglio deposito bis'!$F$62*(C768-sezione!$AP$30)*IF(ABS(O768)&lt;'Progetto del paramento slu'!$G$58,ABS(O768)*'Progetto del paramento slu'!$G$54,'Progetto del paramento slu'!$G$53)</f>
        <v>80610707.56193535</v>
      </c>
      <c r="J768" s="479">
        <f t="shared" si="57"/>
        <v>183937949.14969516</v>
      </c>
      <c r="K768" s="558">
        <f>'Progetto del paramento slu'!$G$60*(sezione!$AL$30-C768)/C768</f>
        <v>3.2801393699040317E-2</v>
      </c>
      <c r="L768" s="558">
        <f>'Progetto del paramento slu'!$G$60*(sezione!$AM$30-C768)/C768</f>
        <v>0.13263022637140118</v>
      </c>
      <c r="M768" s="559">
        <f>'Progetto del paramento slu'!$G$60*(sezione!$AN$30-C768)/C768</f>
        <v>0.23245905904376202</v>
      </c>
      <c r="N768" s="559">
        <f>'Progetto del paramento slu'!$G$60*(sezione!$AO$30-C768)/C768</f>
        <v>0.30506184644184264</v>
      </c>
      <c r="O768" s="559">
        <f>'Progetto del paramento slu'!$G$60*(sezione!$AP$30-C768)/C768</f>
        <v>0.23246176419569625</v>
      </c>
      <c r="P768" s="553">
        <f>-'Progetto del paramento slu'!$G$47*'Progetto del paramento slu'!$G$41*IF(DATI!$G$218="dx",DATI!$E$61,DATI!$E$64*DATI!$E$63)*1000*C768*sezione!$AD$5</f>
        <v>-54362.226870980187</v>
      </c>
      <c r="Q768" s="553">
        <f>'Foglio deposito bis'!$F$58*IF(ABS(K768)&lt;'Progetto del paramento slu'!$G$58,ABS(K768)*'Progetto del paramento slu'!$G$54,'Progetto del paramento slu'!$G$53)*IF(K768&lt;0,-1,1)</f>
        <v>0</v>
      </c>
      <c r="R768" s="553">
        <f>'Foglio deposito bis'!$F$59*IF(ABS(L768)&lt;'Progetto del paramento slu'!$G$58,ABS(L768)*'Progetto del paramento slu'!$G$54,'Progetto del paramento slu'!$G$53)*IF(L768&lt;0,-1,1)</f>
        <v>153664.85805602249</v>
      </c>
      <c r="S768" s="553">
        <f>'Foglio deposito bis'!$F$60*IF(ABS(M768)&lt;'Progetto del paramento slu'!$G$58,ABS(M768)*'Progetto del paramento slu'!$G$54,'Progetto del paramento slu'!$G$53)*IF(M768&lt;0,-1,1)</f>
        <v>0</v>
      </c>
      <c r="T768" s="553">
        <f>'Foglio deposito bis'!$F$61*IF(ABS(N768)&lt;'Progetto del paramento slu'!$G$58,ABS(N768)*'Progetto del paramento slu'!$G$54,'Progetto del paramento slu'!$G$53)*IF(N768&lt;0,-1,1)</f>
        <v>240946.49743184328</v>
      </c>
      <c r="U768" s="553">
        <f>'Foglio deposito bis'!$F$62*IF(ABS(O768)&lt;'Progetto del paramento slu'!$G$58,ABS(O768)*'Progetto del paramento slu'!$G$54,'Progetto del paramento slu'!$G$53)*IF(O768&lt;0,-1,1)</f>
        <v>314705.62929873407</v>
      </c>
      <c r="V768" s="479">
        <f t="shared" si="60"/>
        <v>654954.75791561964</v>
      </c>
      <c r="W768" s="559"/>
      <c r="X768" s="559"/>
    </row>
    <row r="769" spans="1:24" x14ac:dyDescent="0.25">
      <c r="A769" s="553">
        <f t="shared" si="59"/>
        <v>652093.58808030491</v>
      </c>
      <c r="B769" s="3">
        <f t="shared" si="61"/>
        <v>1.0000000000000002</v>
      </c>
      <c r="C769" s="553">
        <f>'Foglio deposito bis'!$E$156/sezione!$B$247*B769</f>
        <v>4.0595802539814745</v>
      </c>
      <c r="D769" s="611">
        <f>-'Progetto del paramento slu'!$G$47*'Progetto del paramento slu'!$G$41*IF(DATI!$G$218="dx",DATI!$E$61,DATI!$E$64*DATI!$E$63)*1000*C769^2*sezione!$AD$5*(1-sezione!$AD$6)</f>
        <v>-135664.93525942013</v>
      </c>
      <c r="E769" s="553">
        <f>-'Foglio deposito bis'!$F$58*(C769-sezione!$AL$30)*IF(ABS(K769)&lt;'Progetto del paramento slu'!$G$58,ABS(K769)*'Progetto del paramento slu'!$G$54,'Progetto del paramento slu'!$G$53)</f>
        <v>0</v>
      </c>
      <c r="F769" s="553">
        <f>-'Foglio deposito bis'!$F$59*(C769-sezione!$AM$30)*IF(ABS(L769)&lt;'Progetto del paramento slu'!$G$58,ABS(L769)*'Progetto del paramento slu'!$G$54,'Progetto del paramento slu'!$G$53)</f>
        <v>22425913.884908281</v>
      </c>
      <c r="G769" s="553">
        <f>-'Foglio deposito bis'!$F$60*(C769-sezione!$AN$30)*IF(ABS(M769)&lt;'Progetto del paramento slu'!$G$58,ABS(M769)*'Progetto del paramento slu'!$G$54,'Progetto del paramento slu'!$G$53)</f>
        <v>0</v>
      </c>
      <c r="H769" s="553">
        <f>-'Foglio deposito bis'!$F$61*(C769-sezione!$AO$30)*IF(ABS(N769)&lt;'Progetto del paramento slu'!$G$58,ABS(N769)*'Progetto del paramento slu'!$G$54,'Progetto del paramento slu'!$G$53)</f>
        <v>80943667.483586401</v>
      </c>
      <c r="I769" s="479">
        <f>-'Foglio deposito bis'!$F$62*(C769-sezione!$AP$30)*IF(ABS(O769)&lt;'Progetto del paramento slu'!$G$58,ABS(O769)*'Progetto del paramento slu'!$G$54,'Progetto del paramento slu'!$G$53)</f>
        <v>80546828.924009457</v>
      </c>
      <c r="J769" s="479">
        <f t="shared" si="57"/>
        <v>183780745.35724473</v>
      </c>
      <c r="K769" s="558">
        <f>'Progetto del paramento slu'!$G$60*(sezione!$AL$30-C769)/C769</f>
        <v>3.0986324014088299E-2</v>
      </c>
      <c r="L769" s="558">
        <f>'Progetto del paramento slu'!$G$60*(sezione!$AM$30-C769)/C769</f>
        <v>0.12582371505283113</v>
      </c>
      <c r="M769" s="559">
        <f>'Progetto del paramento slu'!$G$60*(sezione!$AN$30-C769)/C769</f>
        <v>0.22066110609157397</v>
      </c>
      <c r="N769" s="559">
        <f>'Progetto del paramento slu'!$G$60*(sezione!$AO$30-C769)/C769</f>
        <v>0.28963375411975051</v>
      </c>
      <c r="O769" s="559">
        <f>'Progetto del paramento slu'!$G$60*(sezione!$AP$30-C769)/C769</f>
        <v>0.22066367598591149</v>
      </c>
      <c r="P769" s="553">
        <f>-'Progetto del paramento slu'!$G$47*'Progetto del paramento slu'!$G$41*IF(DATI!$G$218="dx",DATI!$E$61,DATI!$E$64*DATI!$E$63)*1000*C769*sezione!$AD$5</f>
        <v>-57223.396706294923</v>
      </c>
      <c r="Q769" s="553">
        <f>'Foglio deposito bis'!$F$58*IF(ABS(K769)&lt;'Progetto del paramento slu'!$G$58,ABS(K769)*'Progetto del paramento slu'!$G$54,'Progetto del paramento slu'!$G$53)*IF(K769&lt;0,-1,1)</f>
        <v>0</v>
      </c>
      <c r="R769" s="553">
        <f>'Foglio deposito bis'!$F$59*IF(ABS(L769)&lt;'Progetto del paramento slu'!$G$58,ABS(L769)*'Progetto del paramento slu'!$G$54,'Progetto del paramento slu'!$G$53)*IF(L769&lt;0,-1,1)</f>
        <v>153664.85805602249</v>
      </c>
      <c r="S769" s="553">
        <f>'Foglio deposito bis'!$F$60*IF(ABS(M769)&lt;'Progetto del paramento slu'!$G$58,ABS(M769)*'Progetto del paramento slu'!$G$54,'Progetto del paramento slu'!$G$53)*IF(M769&lt;0,-1,1)</f>
        <v>0</v>
      </c>
      <c r="T769" s="553">
        <f>'Foglio deposito bis'!$F$61*IF(ABS(N769)&lt;'Progetto del paramento slu'!$G$58,ABS(N769)*'Progetto del paramento slu'!$G$54,'Progetto del paramento slu'!$G$53)*IF(N769&lt;0,-1,1)</f>
        <v>240946.49743184328</v>
      </c>
      <c r="U769" s="553">
        <f>'Foglio deposito bis'!$F$62*IF(ABS(O769)&lt;'Progetto del paramento slu'!$G$58,ABS(O769)*'Progetto del paramento slu'!$G$54,'Progetto del paramento slu'!$G$53)*IF(O769&lt;0,-1,1)</f>
        <v>314705.62929873407</v>
      </c>
      <c r="V769" s="479">
        <f t="shared" si="60"/>
        <v>652093.58808030491</v>
      </c>
      <c r="W769" s="559"/>
      <c r="X769" s="559"/>
    </row>
    <row r="770" spans="1:24" x14ac:dyDescent="0.25">
      <c r="A770" s="553">
        <f t="shared" si="59"/>
        <v>649232.41824499017</v>
      </c>
      <c r="B770" s="3">
        <f t="shared" si="61"/>
        <v>1.0500000000000003</v>
      </c>
      <c r="C770" s="553">
        <f>'Foglio deposito bis'!$E$156/sezione!$B$247*B770</f>
        <v>4.2625592666805483</v>
      </c>
      <c r="D770" s="611">
        <f>-'Progetto del paramento slu'!$G$47*'Progetto del paramento slu'!$G$41*IF(DATI!$G$218="dx",DATI!$E$61,DATI!$E$64*DATI!$E$63)*1000*C770^2*sezione!$AD$5*(1-sezione!$AD$6)</f>
        <v>-149570.59112351065</v>
      </c>
      <c r="E770" s="553">
        <f>-'Foglio deposito bis'!$F$58*(C770-sezione!$AL$30)*IF(ABS(K770)&lt;'Progetto del paramento slu'!$G$58,ABS(K770)*'Progetto del paramento slu'!$G$54,'Progetto del paramento slu'!$G$53)</f>
        <v>0</v>
      </c>
      <c r="F770" s="553">
        <f>-'Foglio deposito bis'!$F$59*(C770-sezione!$AM$30)*IF(ABS(L770)&lt;'Progetto del paramento slu'!$G$58,ABS(L770)*'Progetto del paramento slu'!$G$54,'Progetto del paramento slu'!$G$53)</f>
        <v>22394723.143733528</v>
      </c>
      <c r="G770" s="553">
        <f>-'Foglio deposito bis'!$F$60*(C770-sezione!$AN$30)*IF(ABS(M770)&lt;'Progetto del paramento slu'!$G$58,ABS(M770)*'Progetto del paramento slu'!$G$54,'Progetto del paramento slu'!$G$53)</f>
        <v>0</v>
      </c>
      <c r="H770" s="553">
        <f>-'Foglio deposito bis'!$F$61*(C770-sezione!$AO$30)*IF(ABS(N770)&lt;'Progetto del paramento slu'!$G$58,ABS(N770)*'Progetto del paramento slu'!$G$54,'Progetto del paramento slu'!$G$53)</f>
        <v>80894760.401424393</v>
      </c>
      <c r="I770" s="479">
        <f>-'Foglio deposito bis'!$F$62*(C770-sezione!$AP$30)*IF(ABS(O770)&lt;'Progetto del paramento slu'!$G$58,ABS(O770)*'Progetto del paramento slu'!$G$54,'Progetto del paramento slu'!$G$53)</f>
        <v>80482950.286083549</v>
      </c>
      <c r="J770" s="479">
        <f t="shared" si="57"/>
        <v>183622863.24011797</v>
      </c>
      <c r="K770" s="558">
        <f>'Progetto del paramento slu'!$G$60*(sezione!$AL$30-C770)/C770</f>
        <v>2.9344118108655524E-2</v>
      </c>
      <c r="L770" s="558">
        <f>'Progetto del paramento slu'!$G$60*(sezione!$AM$30-C770)/C770</f>
        <v>0.11966544290745822</v>
      </c>
      <c r="M770" s="559">
        <f>'Progetto del paramento slu'!$G$60*(sezione!$AN$30-C770)/C770</f>
        <v>0.2099867677062609</v>
      </c>
      <c r="N770" s="559">
        <f>'Progetto del paramento slu'!$G$60*(sezione!$AO$30-C770)/C770</f>
        <v>0.27567500392357192</v>
      </c>
      <c r="O770" s="559">
        <f>'Progetto del paramento slu'!$G$60*(sezione!$AP$30-C770)/C770</f>
        <v>0.20998921522467762</v>
      </c>
      <c r="P770" s="553">
        <f>-'Progetto del paramento slu'!$G$47*'Progetto del paramento slu'!$G$41*IF(DATI!$G$218="dx",DATI!$E$61,DATI!$E$64*DATI!$E$63)*1000*C770*sezione!$AD$5</f>
        <v>-60084.566541609674</v>
      </c>
      <c r="Q770" s="553">
        <f>'Foglio deposito bis'!$F$58*IF(ABS(K770)&lt;'Progetto del paramento slu'!$G$58,ABS(K770)*'Progetto del paramento slu'!$G$54,'Progetto del paramento slu'!$G$53)*IF(K770&lt;0,-1,1)</f>
        <v>0</v>
      </c>
      <c r="R770" s="553">
        <f>'Foglio deposito bis'!$F$59*IF(ABS(L770)&lt;'Progetto del paramento slu'!$G$58,ABS(L770)*'Progetto del paramento slu'!$G$54,'Progetto del paramento slu'!$G$53)*IF(L770&lt;0,-1,1)</f>
        <v>153664.85805602249</v>
      </c>
      <c r="S770" s="553">
        <f>'Foglio deposito bis'!$F$60*IF(ABS(M770)&lt;'Progetto del paramento slu'!$G$58,ABS(M770)*'Progetto del paramento slu'!$G$54,'Progetto del paramento slu'!$G$53)*IF(M770&lt;0,-1,1)</f>
        <v>0</v>
      </c>
      <c r="T770" s="553">
        <f>'Foglio deposito bis'!$F$61*IF(ABS(N770)&lt;'Progetto del paramento slu'!$G$58,ABS(N770)*'Progetto del paramento slu'!$G$54,'Progetto del paramento slu'!$G$53)*IF(N770&lt;0,-1,1)</f>
        <v>240946.49743184328</v>
      </c>
      <c r="U770" s="553">
        <f>'Foglio deposito bis'!$F$62*IF(ABS(O770)&lt;'Progetto del paramento slu'!$G$58,ABS(O770)*'Progetto del paramento slu'!$G$54,'Progetto del paramento slu'!$G$53)*IF(O770&lt;0,-1,1)</f>
        <v>314705.62929873407</v>
      </c>
      <c r="V770" s="479">
        <f t="shared" si="60"/>
        <v>649232.41824499017</v>
      </c>
      <c r="W770" s="559"/>
      <c r="X770" s="559"/>
    </row>
    <row r="771" spans="1:24" x14ac:dyDescent="0.25">
      <c r="A771" s="553">
        <f t="shared" si="59"/>
        <v>646371.24840967543</v>
      </c>
      <c r="B771" s="3">
        <f t="shared" si="61"/>
        <v>1.1000000000000003</v>
      </c>
      <c r="C771" s="553">
        <f>'Foglio deposito bis'!$E$156/sezione!$B$247*B771</f>
        <v>4.4655382793796221</v>
      </c>
      <c r="D771" s="611">
        <f>-'Progetto del paramento slu'!$G$47*'Progetto del paramento slu'!$G$41*IF(DATI!$G$218="dx",DATI!$E$61,DATI!$E$64*DATI!$E$63)*1000*C771^2*sezione!$AD$5*(1-sezione!$AD$6)</f>
        <v>-164154.57166389836</v>
      </c>
      <c r="E771" s="553">
        <f>-'Foglio deposito bis'!$F$58*(C771-sezione!$AL$30)*IF(ABS(K771)&lt;'Progetto del paramento slu'!$G$58,ABS(K771)*'Progetto del paramento slu'!$G$54,'Progetto del paramento slu'!$G$53)</f>
        <v>0</v>
      </c>
      <c r="F771" s="553">
        <f>-'Foglio deposito bis'!$F$59*(C771-sezione!$AM$30)*IF(ABS(L771)&lt;'Progetto del paramento slu'!$G$58,ABS(L771)*'Progetto del paramento slu'!$G$54,'Progetto del paramento slu'!$G$53)</f>
        <v>22363532.40255877</v>
      </c>
      <c r="G771" s="553">
        <f>-'Foglio deposito bis'!$F$60*(C771-sezione!$AN$30)*IF(ABS(M771)&lt;'Progetto del paramento slu'!$G$58,ABS(M771)*'Progetto del paramento slu'!$G$54,'Progetto del paramento slu'!$G$53)</f>
        <v>0</v>
      </c>
      <c r="H771" s="553">
        <f>-'Foglio deposito bis'!$F$61*(C771-sezione!$AO$30)*IF(ABS(N771)&lt;'Progetto del paramento slu'!$G$58,ABS(N771)*'Progetto del paramento slu'!$G$54,'Progetto del paramento slu'!$G$53)</f>
        <v>80845853.31926237</v>
      </c>
      <c r="I771" s="479">
        <f>-'Foglio deposito bis'!$F$62*(C771-sezione!$AP$30)*IF(ABS(O771)&lt;'Progetto del paramento slu'!$G$58,ABS(O771)*'Progetto del paramento slu'!$G$54,'Progetto del paramento slu'!$G$53)</f>
        <v>80419071.648157656</v>
      </c>
      <c r="J771" s="479">
        <f t="shared" si="57"/>
        <v>183464302.7983149</v>
      </c>
      <c r="K771" s="558">
        <f>'Progetto del paramento slu'!$G$60*(sezione!$AL$30-C771)/C771</f>
        <v>2.785120364917118E-2</v>
      </c>
      <c r="L771" s="558">
        <f>'Progetto del paramento slu'!$G$60*(sezione!$AM$30-C771)/C771</f>
        <v>0.11406701368439194</v>
      </c>
      <c r="M771" s="559">
        <f>'Progetto del paramento slu'!$G$60*(sezione!$AN$30-C771)/C771</f>
        <v>0.20028282371961267</v>
      </c>
      <c r="N771" s="559">
        <f>'Progetto del paramento slu'!$G$60*(sezione!$AO$30-C771)/C771</f>
        <v>0.26298523101795501</v>
      </c>
      <c r="O771" s="559">
        <f>'Progetto del paramento slu'!$G$60*(sezione!$AP$30-C771)/C771</f>
        <v>0.20028515998719226</v>
      </c>
      <c r="P771" s="553">
        <f>-'Progetto del paramento slu'!$G$47*'Progetto del paramento slu'!$G$41*IF(DATI!$G$218="dx",DATI!$E$61,DATI!$E$64*DATI!$E$63)*1000*C771*sezione!$AD$5</f>
        <v>-62945.736376924426</v>
      </c>
      <c r="Q771" s="553">
        <f>'Foglio deposito bis'!$F$58*IF(ABS(K771)&lt;'Progetto del paramento slu'!$G$58,ABS(K771)*'Progetto del paramento slu'!$G$54,'Progetto del paramento slu'!$G$53)*IF(K771&lt;0,-1,1)</f>
        <v>0</v>
      </c>
      <c r="R771" s="553">
        <f>'Foglio deposito bis'!$F$59*IF(ABS(L771)&lt;'Progetto del paramento slu'!$G$58,ABS(L771)*'Progetto del paramento slu'!$G$54,'Progetto del paramento slu'!$G$53)*IF(L771&lt;0,-1,1)</f>
        <v>153664.85805602249</v>
      </c>
      <c r="S771" s="553">
        <f>'Foglio deposito bis'!$F$60*IF(ABS(M771)&lt;'Progetto del paramento slu'!$G$58,ABS(M771)*'Progetto del paramento slu'!$G$54,'Progetto del paramento slu'!$G$53)*IF(M771&lt;0,-1,1)</f>
        <v>0</v>
      </c>
      <c r="T771" s="553">
        <f>'Foglio deposito bis'!$F$61*IF(ABS(N771)&lt;'Progetto del paramento slu'!$G$58,ABS(N771)*'Progetto del paramento slu'!$G$54,'Progetto del paramento slu'!$G$53)*IF(N771&lt;0,-1,1)</f>
        <v>240946.49743184328</v>
      </c>
      <c r="U771" s="553">
        <f>'Foglio deposito bis'!$F$62*IF(ABS(O771)&lt;'Progetto del paramento slu'!$G$58,ABS(O771)*'Progetto del paramento slu'!$G$54,'Progetto del paramento slu'!$G$53)*IF(O771&lt;0,-1,1)</f>
        <v>314705.62929873407</v>
      </c>
      <c r="V771" s="479">
        <f t="shared" si="60"/>
        <v>646371.24840967543</v>
      </c>
      <c r="W771" s="559"/>
      <c r="X771" s="559"/>
    </row>
    <row r="772" spans="1:24" x14ac:dyDescent="0.25">
      <c r="A772" s="553">
        <f t="shared" si="59"/>
        <v>643510.07857436058</v>
      </c>
      <c r="B772" s="3">
        <f t="shared" si="61"/>
        <v>1.1500000000000004</v>
      </c>
      <c r="C772" s="553">
        <f>'Foglio deposito bis'!$E$156/sezione!$B$247*B772</f>
        <v>4.6685172920786959</v>
      </c>
      <c r="D772" s="611">
        <f>-'Progetto del paramento slu'!$G$47*'Progetto del paramento slu'!$G$41*IF(DATI!$G$218="dx",DATI!$E$61,DATI!$E$64*DATI!$E$63)*1000*C772^2*sezione!$AD$5*(1-sezione!$AD$6)</f>
        <v>-179416.87688058309</v>
      </c>
      <c r="E772" s="553">
        <f>-'Foglio deposito bis'!$F$58*(C772-sezione!$AL$30)*IF(ABS(K772)&lt;'Progetto del paramento slu'!$G$58,ABS(K772)*'Progetto del paramento slu'!$G$54,'Progetto del paramento slu'!$G$53)</f>
        <v>0</v>
      </c>
      <c r="F772" s="553">
        <f>-'Foglio deposito bis'!$F$59*(C772-sezione!$AM$30)*IF(ABS(L772)&lt;'Progetto del paramento slu'!$G$58,ABS(L772)*'Progetto del paramento slu'!$G$54,'Progetto del paramento slu'!$G$53)</f>
        <v>22332341.661384016</v>
      </c>
      <c r="G772" s="553">
        <f>-'Foglio deposito bis'!$F$60*(C772-sezione!$AN$30)*IF(ABS(M772)&lt;'Progetto del paramento slu'!$G$58,ABS(M772)*'Progetto del paramento slu'!$G$54,'Progetto del paramento slu'!$G$53)</f>
        <v>0</v>
      </c>
      <c r="H772" s="553">
        <f>-'Foglio deposito bis'!$F$61*(C772-sezione!$AO$30)*IF(ABS(N772)&lt;'Progetto del paramento slu'!$G$58,ABS(N772)*'Progetto del paramento slu'!$G$54,'Progetto del paramento slu'!$G$53)</f>
        <v>80796946.237100348</v>
      </c>
      <c r="I772" s="479">
        <f>-'Foglio deposito bis'!$F$62*(C772-sezione!$AP$30)*IF(ABS(O772)&lt;'Progetto del paramento slu'!$G$58,ABS(O772)*'Progetto del paramento slu'!$G$54,'Progetto del paramento slu'!$G$53)</f>
        <v>80355193.010231763</v>
      </c>
      <c r="J772" s="479">
        <f t="shared" si="57"/>
        <v>183305064.03183556</v>
      </c>
      <c r="K772" s="558">
        <f>'Progetto del paramento slu'!$G$60*(sezione!$AL$30-C772)/C772</f>
        <v>2.648810783833765E-2</v>
      </c>
      <c r="L772" s="558">
        <f>'Progetto del paramento slu'!$G$60*(sezione!$AM$30-C772)/C772</f>
        <v>0.10895540439376619</v>
      </c>
      <c r="M772" s="559">
        <f>'Progetto del paramento slu'!$G$60*(sezione!$AN$30-C772)/C772</f>
        <v>0.19142270094919472</v>
      </c>
      <c r="N772" s="559">
        <f>'Progetto del paramento slu'!$G$60*(sezione!$AO$30-C772)/C772</f>
        <v>0.25139891662586999</v>
      </c>
      <c r="O772" s="559">
        <f>'Progetto del paramento slu'!$G$60*(sezione!$AP$30-C772)/C772</f>
        <v>0.19142493563992302</v>
      </c>
      <c r="P772" s="553">
        <f>-'Progetto del paramento slu'!$G$47*'Progetto del paramento slu'!$G$41*IF(DATI!$G$218="dx",DATI!$E$61,DATI!$E$64*DATI!$E$63)*1000*C772*sezione!$AD$5</f>
        <v>-65806.906212239177</v>
      </c>
      <c r="Q772" s="553">
        <f>'Foglio deposito bis'!$F$58*IF(ABS(K772)&lt;'Progetto del paramento slu'!$G$58,ABS(K772)*'Progetto del paramento slu'!$G$54,'Progetto del paramento slu'!$G$53)*IF(K772&lt;0,-1,1)</f>
        <v>0</v>
      </c>
      <c r="R772" s="553">
        <f>'Foglio deposito bis'!$F$59*IF(ABS(L772)&lt;'Progetto del paramento slu'!$G$58,ABS(L772)*'Progetto del paramento slu'!$G$54,'Progetto del paramento slu'!$G$53)*IF(L772&lt;0,-1,1)</f>
        <v>153664.85805602249</v>
      </c>
      <c r="S772" s="553">
        <f>'Foglio deposito bis'!$F$60*IF(ABS(M772)&lt;'Progetto del paramento slu'!$G$58,ABS(M772)*'Progetto del paramento slu'!$G$54,'Progetto del paramento slu'!$G$53)*IF(M772&lt;0,-1,1)</f>
        <v>0</v>
      </c>
      <c r="T772" s="553">
        <f>'Foglio deposito bis'!$F$61*IF(ABS(N772)&lt;'Progetto del paramento slu'!$G$58,ABS(N772)*'Progetto del paramento slu'!$G$54,'Progetto del paramento slu'!$G$53)*IF(N772&lt;0,-1,1)</f>
        <v>240946.49743184328</v>
      </c>
      <c r="U772" s="553">
        <f>'Foglio deposito bis'!$F$62*IF(ABS(O772)&lt;'Progetto del paramento slu'!$G$58,ABS(O772)*'Progetto del paramento slu'!$G$54,'Progetto del paramento slu'!$G$53)*IF(O772&lt;0,-1,1)</f>
        <v>314705.62929873407</v>
      </c>
      <c r="V772" s="479">
        <f t="shared" si="60"/>
        <v>643510.07857436058</v>
      </c>
      <c r="W772" s="559"/>
      <c r="X772" s="559"/>
    </row>
    <row r="773" spans="1:24" x14ac:dyDescent="0.25">
      <c r="A773" s="553">
        <f t="shared" si="59"/>
        <v>640648.90873904596</v>
      </c>
      <c r="B773" s="3">
        <f t="shared" si="61"/>
        <v>1.2000000000000004</v>
      </c>
      <c r="C773" s="553">
        <f>'Foglio deposito bis'!$E$156/sezione!$B$247*B773</f>
        <v>4.8714963047777697</v>
      </c>
      <c r="D773" s="611">
        <f>-'Progetto del paramento slu'!$G$47*'Progetto del paramento slu'!$G$41*IF(DATI!$G$218="dx",DATI!$E$61,DATI!$E$64*DATI!$E$63)*1000*C773^2*sezione!$AD$5*(1-sezione!$AD$6)</f>
        <v>-195357.50677356499</v>
      </c>
      <c r="E773" s="553">
        <f>-'Foglio deposito bis'!$F$58*(C773-sezione!$AL$30)*IF(ABS(K773)&lt;'Progetto del paramento slu'!$G$58,ABS(K773)*'Progetto del paramento slu'!$G$54,'Progetto del paramento slu'!$G$53)</f>
        <v>0</v>
      </c>
      <c r="F773" s="553">
        <f>-'Foglio deposito bis'!$F$59*(C773-sezione!$AM$30)*IF(ABS(L773)&lt;'Progetto del paramento slu'!$G$58,ABS(L773)*'Progetto del paramento slu'!$G$54,'Progetto del paramento slu'!$G$53)</f>
        <v>22301150.920209259</v>
      </c>
      <c r="G773" s="553">
        <f>-'Foglio deposito bis'!$F$60*(C773-sezione!$AN$30)*IF(ABS(M773)&lt;'Progetto del paramento slu'!$G$58,ABS(M773)*'Progetto del paramento slu'!$G$54,'Progetto del paramento slu'!$G$53)</f>
        <v>0</v>
      </c>
      <c r="H773" s="553">
        <f>-'Foglio deposito bis'!$F$61*(C773-sezione!$AO$30)*IF(ABS(N773)&lt;'Progetto del paramento slu'!$G$58,ABS(N773)*'Progetto del paramento slu'!$G$54,'Progetto del paramento slu'!$G$53)</f>
        <v>80748039.154938325</v>
      </c>
      <c r="I773" s="479">
        <f>-'Foglio deposito bis'!$F$62*(C773-sezione!$AP$30)*IF(ABS(O773)&lt;'Progetto del paramento slu'!$G$58,ABS(O773)*'Progetto del paramento slu'!$G$54,'Progetto del paramento slu'!$G$53)</f>
        <v>80291314.372305855</v>
      </c>
      <c r="J773" s="479">
        <f t="shared" si="57"/>
        <v>183145146.94067988</v>
      </c>
      <c r="K773" s="558">
        <f>'Progetto del paramento slu'!$G$60*(sezione!$AL$30-C773)/C773</f>
        <v>2.5238603345073579E-2</v>
      </c>
      <c r="L773" s="558">
        <f>'Progetto del paramento slu'!$G$60*(sezione!$AM$30-C773)/C773</f>
        <v>0.10426976254402594</v>
      </c>
      <c r="M773" s="559">
        <f>'Progetto del paramento slu'!$G$60*(sezione!$AN$30-C773)/C773</f>
        <v>0.1833009217429783</v>
      </c>
      <c r="N773" s="559">
        <f>'Progetto del paramento slu'!$G$60*(sezione!$AO$30-C773)/C773</f>
        <v>0.2407781284331254</v>
      </c>
      <c r="O773" s="559">
        <f>'Progetto del paramento slu'!$G$60*(sezione!$AP$30-C773)/C773</f>
        <v>0.18330306332159288</v>
      </c>
      <c r="P773" s="553">
        <f>-'Progetto del paramento slu'!$G$47*'Progetto del paramento slu'!$G$41*IF(DATI!$G$218="dx",DATI!$E$61,DATI!$E$64*DATI!$E$63)*1000*C773*sezione!$AD$5</f>
        <v>-68668.076047553914</v>
      </c>
      <c r="Q773" s="553">
        <f>'Foglio deposito bis'!$F$58*IF(ABS(K773)&lt;'Progetto del paramento slu'!$G$58,ABS(K773)*'Progetto del paramento slu'!$G$54,'Progetto del paramento slu'!$G$53)*IF(K773&lt;0,-1,1)</f>
        <v>0</v>
      </c>
      <c r="R773" s="553">
        <f>'Foglio deposito bis'!$F$59*IF(ABS(L773)&lt;'Progetto del paramento slu'!$G$58,ABS(L773)*'Progetto del paramento slu'!$G$54,'Progetto del paramento slu'!$G$53)*IF(L773&lt;0,-1,1)</f>
        <v>153664.85805602249</v>
      </c>
      <c r="S773" s="553">
        <f>'Foglio deposito bis'!$F$60*IF(ABS(M773)&lt;'Progetto del paramento slu'!$G$58,ABS(M773)*'Progetto del paramento slu'!$G$54,'Progetto del paramento slu'!$G$53)*IF(M773&lt;0,-1,1)</f>
        <v>0</v>
      </c>
      <c r="T773" s="553">
        <f>'Foglio deposito bis'!$F$61*IF(ABS(N773)&lt;'Progetto del paramento slu'!$G$58,ABS(N773)*'Progetto del paramento slu'!$G$54,'Progetto del paramento slu'!$G$53)*IF(N773&lt;0,-1,1)</f>
        <v>240946.49743184328</v>
      </c>
      <c r="U773" s="553">
        <f>'Foglio deposito bis'!$F$62*IF(ABS(O773)&lt;'Progetto del paramento slu'!$G$58,ABS(O773)*'Progetto del paramento slu'!$G$54,'Progetto del paramento slu'!$G$53)*IF(O773&lt;0,-1,1)</f>
        <v>314705.62929873407</v>
      </c>
      <c r="V773" s="479">
        <f t="shared" si="60"/>
        <v>640648.90873904596</v>
      </c>
      <c r="W773" s="559"/>
      <c r="X773" s="559"/>
    </row>
    <row r="774" spans="1:24" x14ac:dyDescent="0.25">
      <c r="A774" s="553">
        <f t="shared" si="59"/>
        <v>637787.73890373111</v>
      </c>
      <c r="B774" s="3">
        <f t="shared" si="61"/>
        <v>1.2500000000000004</v>
      </c>
      <c r="C774" s="553">
        <f>'Foglio deposito bis'!$E$156/sezione!$B$247*B774</f>
        <v>5.0744753174768435</v>
      </c>
      <c r="D774" s="611">
        <f>-'Progetto del paramento slu'!$G$47*'Progetto del paramento slu'!$G$41*IF(DATI!$G$218="dx",DATI!$E$61,DATI!$E$64*DATI!$E$63)*1000*C774^2*sezione!$AD$5*(1-sezione!$AD$6)</f>
        <v>-211976.46134284395</v>
      </c>
      <c r="E774" s="553">
        <f>-'Foglio deposito bis'!$F$58*(C774-sezione!$AL$30)*IF(ABS(K774)&lt;'Progetto del paramento slu'!$G$58,ABS(K774)*'Progetto del paramento slu'!$G$54,'Progetto del paramento slu'!$G$53)</f>
        <v>0</v>
      </c>
      <c r="F774" s="553">
        <f>-'Foglio deposito bis'!$F$59*(C774-sezione!$AM$30)*IF(ABS(L774)&lt;'Progetto del paramento slu'!$G$58,ABS(L774)*'Progetto del paramento slu'!$G$54,'Progetto del paramento slu'!$G$53)</f>
        <v>22269960.179034505</v>
      </c>
      <c r="G774" s="553">
        <f>-'Foglio deposito bis'!$F$60*(C774-sezione!$AN$30)*IF(ABS(M774)&lt;'Progetto del paramento slu'!$G$58,ABS(M774)*'Progetto del paramento slu'!$G$54,'Progetto del paramento slu'!$G$53)</f>
        <v>0</v>
      </c>
      <c r="H774" s="553">
        <f>-'Foglio deposito bis'!$F$61*(C774-sezione!$AO$30)*IF(ABS(N774)&lt;'Progetto del paramento slu'!$G$58,ABS(N774)*'Progetto del paramento slu'!$G$54,'Progetto del paramento slu'!$G$53)</f>
        <v>80699132.072776318</v>
      </c>
      <c r="I774" s="479">
        <f>-'Foglio deposito bis'!$F$62*(C774-sezione!$AP$30)*IF(ABS(O774)&lt;'Progetto del paramento slu'!$G$58,ABS(O774)*'Progetto del paramento slu'!$G$54,'Progetto del paramento slu'!$G$53)</f>
        <v>80227435.734379962</v>
      </c>
      <c r="J774" s="479">
        <f t="shared" si="57"/>
        <v>182984551.52484792</v>
      </c>
      <c r="K774" s="558">
        <f>'Progetto del paramento slu'!$G$60*(sezione!$AL$30-C774)/C774</f>
        <v>2.4089059211270636E-2</v>
      </c>
      <c r="L774" s="558">
        <f>'Progetto del paramento slu'!$G$60*(sezione!$AM$30-C774)/C774</f>
        <v>9.9958972042264907E-2</v>
      </c>
      <c r="M774" s="559">
        <f>'Progetto del paramento slu'!$G$60*(sezione!$AN$30-C774)/C774</f>
        <v>0.17582888487325915</v>
      </c>
      <c r="N774" s="559">
        <f>'Progetto del paramento slu'!$G$60*(sezione!$AO$30-C774)/C774</f>
        <v>0.2310070032958004</v>
      </c>
      <c r="O774" s="559">
        <f>'Progetto del paramento slu'!$G$60*(sezione!$AP$30-C774)/C774</f>
        <v>0.17583094078872916</v>
      </c>
      <c r="P774" s="553">
        <f>-'Progetto del paramento slu'!$G$47*'Progetto del paramento slu'!$G$41*IF(DATI!$G$218="dx",DATI!$E$61,DATI!$E$64*DATI!$E$63)*1000*C774*sezione!$AD$5</f>
        <v>-71529.245882868665</v>
      </c>
      <c r="Q774" s="553">
        <f>'Foglio deposito bis'!$F$58*IF(ABS(K774)&lt;'Progetto del paramento slu'!$G$58,ABS(K774)*'Progetto del paramento slu'!$G$54,'Progetto del paramento slu'!$G$53)*IF(K774&lt;0,-1,1)</f>
        <v>0</v>
      </c>
      <c r="R774" s="553">
        <f>'Foglio deposito bis'!$F$59*IF(ABS(L774)&lt;'Progetto del paramento slu'!$G$58,ABS(L774)*'Progetto del paramento slu'!$G$54,'Progetto del paramento slu'!$G$53)*IF(L774&lt;0,-1,1)</f>
        <v>153664.85805602249</v>
      </c>
      <c r="S774" s="553">
        <f>'Foglio deposito bis'!$F$60*IF(ABS(M774)&lt;'Progetto del paramento slu'!$G$58,ABS(M774)*'Progetto del paramento slu'!$G$54,'Progetto del paramento slu'!$G$53)*IF(M774&lt;0,-1,1)</f>
        <v>0</v>
      </c>
      <c r="T774" s="553">
        <f>'Foglio deposito bis'!$F$61*IF(ABS(N774)&lt;'Progetto del paramento slu'!$G$58,ABS(N774)*'Progetto del paramento slu'!$G$54,'Progetto del paramento slu'!$G$53)*IF(N774&lt;0,-1,1)</f>
        <v>240946.49743184328</v>
      </c>
      <c r="U774" s="553">
        <f>'Foglio deposito bis'!$F$62*IF(ABS(O774)&lt;'Progetto del paramento slu'!$G$58,ABS(O774)*'Progetto del paramento slu'!$G$54,'Progetto del paramento slu'!$G$53)*IF(O774&lt;0,-1,1)</f>
        <v>314705.62929873407</v>
      </c>
      <c r="V774" s="479">
        <f t="shared" si="60"/>
        <v>637787.73890373111</v>
      </c>
      <c r="W774" s="559"/>
      <c r="X774" s="559"/>
    </row>
    <row r="775" spans="1:24" x14ac:dyDescent="0.25">
      <c r="A775" s="553">
        <f t="shared" si="59"/>
        <v>634926.56906841649</v>
      </c>
      <c r="B775" s="3">
        <f t="shared" si="61"/>
        <v>1.3000000000000005</v>
      </c>
      <c r="C775" s="553">
        <f>'Foglio deposito bis'!$E$156/sezione!$B$247*B775</f>
        <v>5.2774543301759174</v>
      </c>
      <c r="D775" s="611">
        <f>-'Progetto del paramento slu'!$G$47*'Progetto del paramento slu'!$G$41*IF(DATI!$G$218="dx",DATI!$E$61,DATI!$E$64*DATI!$E$63)*1000*C775^2*sezione!$AD$5*(1-sezione!$AD$6)</f>
        <v>-229273.74058842004</v>
      </c>
      <c r="E775" s="553">
        <f>-'Foglio deposito bis'!$F$58*(C775-sezione!$AL$30)*IF(ABS(K775)&lt;'Progetto del paramento slu'!$G$58,ABS(K775)*'Progetto del paramento slu'!$G$54,'Progetto del paramento slu'!$G$53)</f>
        <v>0</v>
      </c>
      <c r="F775" s="553">
        <f>-'Foglio deposito bis'!$F$59*(C775-sezione!$AM$30)*IF(ABS(L775)&lt;'Progetto del paramento slu'!$G$58,ABS(L775)*'Progetto del paramento slu'!$G$54,'Progetto del paramento slu'!$G$53)</f>
        <v>22238769.437859751</v>
      </c>
      <c r="G775" s="553">
        <f>-'Foglio deposito bis'!$F$60*(C775-sezione!$AN$30)*IF(ABS(M775)&lt;'Progetto del paramento slu'!$G$58,ABS(M775)*'Progetto del paramento slu'!$G$54,'Progetto del paramento slu'!$G$53)</f>
        <v>0</v>
      </c>
      <c r="H775" s="553">
        <f>-'Foglio deposito bis'!$F$61*(C775-sezione!$AO$30)*IF(ABS(N775)&lt;'Progetto del paramento slu'!$G$58,ABS(N775)*'Progetto del paramento slu'!$G$54,'Progetto del paramento slu'!$G$53)</f>
        <v>80650224.990614295</v>
      </c>
      <c r="I775" s="479">
        <f>-'Foglio deposito bis'!$F$62*(C775-sezione!$AP$30)*IF(ABS(O775)&lt;'Progetto del paramento slu'!$G$58,ABS(O775)*'Progetto del paramento slu'!$G$54,'Progetto del paramento slu'!$G$53)</f>
        <v>80163557.096454069</v>
      </c>
      <c r="J775" s="479">
        <f t="shared" si="57"/>
        <v>182823277.7843397</v>
      </c>
      <c r="K775" s="558">
        <f>'Progetto del paramento slu'!$G$60*(sezione!$AL$30-C775)/C775</f>
        <v>2.3027941549298693E-2</v>
      </c>
      <c r="L775" s="558">
        <f>'Progetto del paramento slu'!$G$60*(sezione!$AM$30-C775)/C775</f>
        <v>9.5979780809870102E-2</v>
      </c>
      <c r="M775" s="559">
        <f>'Progetto del paramento slu'!$G$60*(sezione!$AN$30-C775)/C775</f>
        <v>0.16893162007044146</v>
      </c>
      <c r="N775" s="559">
        <f>'Progetto del paramento slu'!$G$60*(sezione!$AO$30-C775)/C775</f>
        <v>0.22198750316903884</v>
      </c>
      <c r="O775" s="559">
        <f>'Progetto del paramento slu'!$G$60*(sezione!$AP$30-C775)/C775</f>
        <v>0.16893359691223958</v>
      </c>
      <c r="P775" s="553">
        <f>-'Progetto del paramento slu'!$G$47*'Progetto del paramento slu'!$G$41*IF(DATI!$G$218="dx",DATI!$E$61,DATI!$E$64*DATI!$E$63)*1000*C775*sezione!$AD$5</f>
        <v>-74390.415718183416</v>
      </c>
      <c r="Q775" s="553">
        <f>'Foglio deposito bis'!$F$58*IF(ABS(K775)&lt;'Progetto del paramento slu'!$G$58,ABS(K775)*'Progetto del paramento slu'!$G$54,'Progetto del paramento slu'!$G$53)*IF(K775&lt;0,-1,1)</f>
        <v>0</v>
      </c>
      <c r="R775" s="553">
        <f>'Foglio deposito bis'!$F$59*IF(ABS(L775)&lt;'Progetto del paramento slu'!$G$58,ABS(L775)*'Progetto del paramento slu'!$G$54,'Progetto del paramento slu'!$G$53)*IF(L775&lt;0,-1,1)</f>
        <v>153664.85805602249</v>
      </c>
      <c r="S775" s="553">
        <f>'Foglio deposito bis'!$F$60*IF(ABS(M775)&lt;'Progetto del paramento slu'!$G$58,ABS(M775)*'Progetto del paramento slu'!$G$54,'Progetto del paramento slu'!$G$53)*IF(M775&lt;0,-1,1)</f>
        <v>0</v>
      </c>
      <c r="T775" s="553">
        <f>'Foglio deposito bis'!$F$61*IF(ABS(N775)&lt;'Progetto del paramento slu'!$G$58,ABS(N775)*'Progetto del paramento slu'!$G$54,'Progetto del paramento slu'!$G$53)*IF(N775&lt;0,-1,1)</f>
        <v>240946.49743184328</v>
      </c>
      <c r="U775" s="553">
        <f>'Foglio deposito bis'!$F$62*IF(ABS(O775)&lt;'Progetto del paramento slu'!$G$58,ABS(O775)*'Progetto del paramento slu'!$G$54,'Progetto del paramento slu'!$G$53)*IF(O775&lt;0,-1,1)</f>
        <v>314705.62929873407</v>
      </c>
      <c r="V775" s="479">
        <f t="shared" si="60"/>
        <v>634926.56906841649</v>
      </c>
      <c r="W775" s="559"/>
      <c r="X775" s="559"/>
    </row>
    <row r="776" spans="1:24" x14ac:dyDescent="0.25">
      <c r="A776" s="553">
        <f t="shared" si="59"/>
        <v>632065.39923310163</v>
      </c>
      <c r="B776" s="3">
        <f t="shared" si="61"/>
        <v>1.3500000000000005</v>
      </c>
      <c r="C776" s="553">
        <f>'Foglio deposito bis'!$E$156/sezione!$B$247*B776</f>
        <v>5.4804333428749912</v>
      </c>
      <c r="D776" s="611">
        <f>-'Progetto del paramento slu'!$G$47*'Progetto del paramento slu'!$G$41*IF(DATI!$G$218="dx",DATI!$E$61,DATI!$E$64*DATI!$E$63)*1000*C776^2*sezione!$AD$5*(1-sezione!$AD$6)</f>
        <v>-247249.34451029319</v>
      </c>
      <c r="E776" s="553">
        <f>-'Foglio deposito bis'!$F$58*(C776-sezione!$AL$30)*IF(ABS(K776)&lt;'Progetto del paramento slu'!$G$58,ABS(K776)*'Progetto del paramento slu'!$G$54,'Progetto del paramento slu'!$G$53)</f>
        <v>0</v>
      </c>
      <c r="F776" s="553">
        <f>-'Foglio deposito bis'!$F$59*(C776-sezione!$AM$30)*IF(ABS(L776)&lt;'Progetto del paramento slu'!$G$58,ABS(L776)*'Progetto del paramento slu'!$G$54,'Progetto del paramento slu'!$G$53)</f>
        <v>22207578.696684998</v>
      </c>
      <c r="G776" s="553">
        <f>-'Foglio deposito bis'!$F$60*(C776-sezione!$AN$30)*IF(ABS(M776)&lt;'Progetto del paramento slu'!$G$58,ABS(M776)*'Progetto del paramento slu'!$G$54,'Progetto del paramento slu'!$G$53)</f>
        <v>0</v>
      </c>
      <c r="H776" s="553">
        <f>-'Foglio deposito bis'!$F$61*(C776-sezione!$AO$30)*IF(ABS(N776)&lt;'Progetto del paramento slu'!$G$58,ABS(N776)*'Progetto del paramento slu'!$G$54,'Progetto del paramento slu'!$G$53)</f>
        <v>80601317.908452287</v>
      </c>
      <c r="I776" s="479">
        <f>-'Foglio deposito bis'!$F$62*(C776-sezione!$AP$30)*IF(ABS(O776)&lt;'Progetto del paramento slu'!$G$58,ABS(O776)*'Progetto del paramento slu'!$G$54,'Progetto del paramento slu'!$G$53)</f>
        <v>80099678.458528176</v>
      </c>
      <c r="J776" s="479">
        <f t="shared" si="57"/>
        <v>182661325.71915516</v>
      </c>
      <c r="K776" s="558">
        <f>'Progetto del paramento slu'!$G$60*(sezione!$AL$30-C776)/C776</f>
        <v>2.2045425195620961E-2</v>
      </c>
      <c r="L776" s="558">
        <f>'Progetto del paramento slu'!$G$60*(sezione!$AM$30-C776)/C776</f>
        <v>9.2295344483578595E-2</v>
      </c>
      <c r="M776" s="559">
        <f>'Progetto del paramento slu'!$G$60*(sezione!$AN$30-C776)/C776</f>
        <v>0.16254526377153622</v>
      </c>
      <c r="N776" s="559">
        <f>'Progetto del paramento slu'!$G$60*(sezione!$AO$30-C776)/C776</f>
        <v>0.21363611416277817</v>
      </c>
      <c r="O776" s="559">
        <f>'Progetto del paramento slu'!$G$60*(sezione!$AP$30-C776)/C776</f>
        <v>0.16254716739697145</v>
      </c>
      <c r="P776" s="553">
        <f>-'Progetto del paramento slu'!$G$47*'Progetto del paramento slu'!$G$41*IF(DATI!$G$218="dx",DATI!$E$61,DATI!$E$64*DATI!$E$63)*1000*C776*sezione!$AD$5</f>
        <v>-77251.585553498153</v>
      </c>
      <c r="Q776" s="553">
        <f>'Foglio deposito bis'!$F$58*IF(ABS(K776)&lt;'Progetto del paramento slu'!$G$58,ABS(K776)*'Progetto del paramento slu'!$G$54,'Progetto del paramento slu'!$G$53)*IF(K776&lt;0,-1,1)</f>
        <v>0</v>
      </c>
      <c r="R776" s="553">
        <f>'Foglio deposito bis'!$F$59*IF(ABS(L776)&lt;'Progetto del paramento slu'!$G$58,ABS(L776)*'Progetto del paramento slu'!$G$54,'Progetto del paramento slu'!$G$53)*IF(L776&lt;0,-1,1)</f>
        <v>153664.85805602249</v>
      </c>
      <c r="S776" s="553">
        <f>'Foglio deposito bis'!$F$60*IF(ABS(M776)&lt;'Progetto del paramento slu'!$G$58,ABS(M776)*'Progetto del paramento slu'!$G$54,'Progetto del paramento slu'!$G$53)*IF(M776&lt;0,-1,1)</f>
        <v>0</v>
      </c>
      <c r="T776" s="553">
        <f>'Foglio deposito bis'!$F$61*IF(ABS(N776)&lt;'Progetto del paramento slu'!$G$58,ABS(N776)*'Progetto del paramento slu'!$G$54,'Progetto del paramento slu'!$G$53)*IF(N776&lt;0,-1,1)</f>
        <v>240946.49743184328</v>
      </c>
      <c r="U776" s="553">
        <f>'Foglio deposito bis'!$F$62*IF(ABS(O776)&lt;'Progetto del paramento slu'!$G$58,ABS(O776)*'Progetto del paramento slu'!$G$54,'Progetto del paramento slu'!$G$53)*IF(O776&lt;0,-1,1)</f>
        <v>314705.62929873407</v>
      </c>
      <c r="V776" s="479">
        <f t="shared" si="60"/>
        <v>632065.39923310163</v>
      </c>
      <c r="W776" s="559"/>
      <c r="X776" s="559"/>
    </row>
    <row r="777" spans="1:24" x14ac:dyDescent="0.25">
      <c r="A777" s="553">
        <f t="shared" si="59"/>
        <v>629204.22939778701</v>
      </c>
      <c r="B777" s="3">
        <f t="shared" si="61"/>
        <v>1.4000000000000006</v>
      </c>
      <c r="C777" s="553">
        <f>'Foglio deposito bis'!$E$156/sezione!$B$247*B777</f>
        <v>5.683412355574065</v>
      </c>
      <c r="D777" s="611">
        <f>-'Progetto del paramento slu'!$G$47*'Progetto del paramento slu'!$G$41*IF(DATI!$G$218="dx",DATI!$E$61,DATI!$E$64*DATI!$E$63)*1000*C777^2*sezione!$AD$5*(1-sezione!$AD$6)</f>
        <v>-265903.27310846339</v>
      </c>
      <c r="E777" s="553">
        <f>-'Foglio deposito bis'!$F$58*(C777-sezione!$AL$30)*IF(ABS(K777)&lt;'Progetto del paramento slu'!$G$58,ABS(K777)*'Progetto del paramento slu'!$G$54,'Progetto del paramento slu'!$G$53)</f>
        <v>0</v>
      </c>
      <c r="F777" s="553">
        <f>-'Foglio deposito bis'!$F$59*(C777-sezione!$AM$30)*IF(ABS(L777)&lt;'Progetto del paramento slu'!$G$58,ABS(L777)*'Progetto del paramento slu'!$G$54,'Progetto del paramento slu'!$G$53)</f>
        <v>22176387.95551024</v>
      </c>
      <c r="G777" s="553">
        <f>-'Foglio deposito bis'!$F$60*(C777-sezione!$AN$30)*IF(ABS(M777)&lt;'Progetto del paramento slu'!$G$58,ABS(M777)*'Progetto del paramento slu'!$G$54,'Progetto del paramento slu'!$G$53)</f>
        <v>0</v>
      </c>
      <c r="H777" s="553">
        <f>-'Foglio deposito bis'!$F$61*(C777-sezione!$AO$30)*IF(ABS(N777)&lt;'Progetto del paramento slu'!$G$58,ABS(N777)*'Progetto del paramento slu'!$G$54,'Progetto del paramento slu'!$G$53)</f>
        <v>80552410.826290265</v>
      </c>
      <c r="I777" s="479">
        <f>-'Foglio deposito bis'!$F$62*(C777-sezione!$AP$30)*IF(ABS(O777)&lt;'Progetto del paramento slu'!$G$58,ABS(O777)*'Progetto del paramento slu'!$G$54,'Progetto del paramento slu'!$G$53)</f>
        <v>80035799.820602268</v>
      </c>
      <c r="J777" s="479">
        <f t="shared" si="57"/>
        <v>182498695.32929432</v>
      </c>
      <c r="K777" s="558">
        <f>'Progetto del paramento slu'!$G$60*(sezione!$AL$30-C777)/C777</f>
        <v>2.1133088581491641E-2</v>
      </c>
      <c r="L777" s="558">
        <f>'Progetto del paramento slu'!$G$60*(sezione!$AM$30-C777)/C777</f>
        <v>8.8874082180593644E-2</v>
      </c>
      <c r="M777" s="559">
        <f>'Progetto del paramento slu'!$G$60*(sezione!$AN$30-C777)/C777</f>
        <v>0.15661507577969566</v>
      </c>
      <c r="N777" s="559">
        <f>'Progetto del paramento slu'!$G$60*(sezione!$AO$30-C777)/C777</f>
        <v>0.20588125294267892</v>
      </c>
      <c r="O777" s="559">
        <f>'Progetto del paramento slu'!$G$60*(sezione!$AP$30-C777)/C777</f>
        <v>0.15661691141850817</v>
      </c>
      <c r="P777" s="553">
        <f>-'Progetto del paramento slu'!$G$47*'Progetto del paramento slu'!$G$41*IF(DATI!$G$218="dx",DATI!$E$61,DATI!$E$64*DATI!$E$63)*1000*C777*sezione!$AD$5</f>
        <v>-80112.755388812904</v>
      </c>
      <c r="Q777" s="553">
        <f>'Foglio deposito bis'!$F$58*IF(ABS(K777)&lt;'Progetto del paramento slu'!$G$58,ABS(K777)*'Progetto del paramento slu'!$G$54,'Progetto del paramento slu'!$G$53)*IF(K777&lt;0,-1,1)</f>
        <v>0</v>
      </c>
      <c r="R777" s="553">
        <f>'Foglio deposito bis'!$F$59*IF(ABS(L777)&lt;'Progetto del paramento slu'!$G$58,ABS(L777)*'Progetto del paramento slu'!$G$54,'Progetto del paramento slu'!$G$53)*IF(L777&lt;0,-1,1)</f>
        <v>153664.85805602249</v>
      </c>
      <c r="S777" s="553">
        <f>'Foglio deposito bis'!$F$60*IF(ABS(M777)&lt;'Progetto del paramento slu'!$G$58,ABS(M777)*'Progetto del paramento slu'!$G$54,'Progetto del paramento slu'!$G$53)*IF(M777&lt;0,-1,1)</f>
        <v>0</v>
      </c>
      <c r="T777" s="553">
        <f>'Foglio deposito bis'!$F$61*IF(ABS(N777)&lt;'Progetto del paramento slu'!$G$58,ABS(N777)*'Progetto del paramento slu'!$G$54,'Progetto del paramento slu'!$G$53)*IF(N777&lt;0,-1,1)</f>
        <v>240946.49743184328</v>
      </c>
      <c r="U777" s="553">
        <f>'Foglio deposito bis'!$F$62*IF(ABS(O777)&lt;'Progetto del paramento slu'!$G$58,ABS(O777)*'Progetto del paramento slu'!$G$54,'Progetto del paramento slu'!$G$53)*IF(O777&lt;0,-1,1)</f>
        <v>314705.62929873407</v>
      </c>
      <c r="V777" s="479">
        <f t="shared" si="60"/>
        <v>629204.22939778701</v>
      </c>
      <c r="W777" s="559"/>
      <c r="X777" s="559"/>
    </row>
    <row r="778" spans="1:24" x14ac:dyDescent="0.25">
      <c r="A778" s="553">
        <f t="shared" si="59"/>
        <v>626343.05956247216</v>
      </c>
      <c r="B778" s="3">
        <f t="shared" si="61"/>
        <v>1.4500000000000006</v>
      </c>
      <c r="C778" s="553">
        <f>'Foglio deposito bis'!$E$156/sezione!$B$247*B778</f>
        <v>5.8863913682731388</v>
      </c>
      <c r="D778" s="611">
        <f>-'Progetto del paramento slu'!$G$47*'Progetto del paramento slu'!$G$41*IF(DATI!$G$218="dx",DATI!$E$61,DATI!$E$64*DATI!$E$63)*1000*C778^2*sezione!$AD$5*(1-sezione!$AD$6)</f>
        <v>-285235.52638293087</v>
      </c>
      <c r="E778" s="553">
        <f>-'Foglio deposito bis'!$F$58*(C778-sezione!$AL$30)*IF(ABS(K778)&lt;'Progetto del paramento slu'!$G$58,ABS(K778)*'Progetto del paramento slu'!$G$54,'Progetto del paramento slu'!$G$53)</f>
        <v>0</v>
      </c>
      <c r="F778" s="553">
        <f>-'Foglio deposito bis'!$F$59*(C778-sezione!$AM$30)*IF(ABS(L778)&lt;'Progetto del paramento slu'!$G$58,ABS(L778)*'Progetto del paramento slu'!$G$54,'Progetto del paramento slu'!$G$53)</f>
        <v>22145197.214335486</v>
      </c>
      <c r="G778" s="553">
        <f>-'Foglio deposito bis'!$F$60*(C778-sezione!$AN$30)*IF(ABS(M778)&lt;'Progetto del paramento slu'!$G$58,ABS(M778)*'Progetto del paramento slu'!$G$54,'Progetto del paramento slu'!$G$53)</f>
        <v>0</v>
      </c>
      <c r="H778" s="553">
        <f>-'Foglio deposito bis'!$F$61*(C778-sezione!$AO$30)*IF(ABS(N778)&lt;'Progetto del paramento slu'!$G$58,ABS(N778)*'Progetto del paramento slu'!$G$54,'Progetto del paramento slu'!$G$53)</f>
        <v>80503503.744128257</v>
      </c>
      <c r="I778" s="479">
        <f>-'Foglio deposito bis'!$F$62*(C778-sezione!$AP$30)*IF(ABS(O778)&lt;'Progetto del paramento slu'!$G$58,ABS(O778)*'Progetto del paramento slu'!$G$54,'Progetto del paramento slu'!$G$53)</f>
        <v>79971921.182676375</v>
      </c>
      <c r="J778" s="479">
        <f t="shared" si="57"/>
        <v>182335386.61475718</v>
      </c>
      <c r="K778" s="558">
        <f>'Progetto del paramento slu'!$G$60*(sezione!$AL$30-C778)/C778</f>
        <v>2.0283671733853998E-2</v>
      </c>
      <c r="L778" s="558">
        <f>'Progetto del paramento slu'!$G$60*(sezione!$AM$30-C778)/C778</f>
        <v>8.5688769001952478E-2</v>
      </c>
      <c r="M778" s="559">
        <f>'Progetto del paramento slu'!$G$60*(sezione!$AN$30-C778)/C778</f>
        <v>0.15109386627005097</v>
      </c>
      <c r="N778" s="559">
        <f>'Progetto del paramento slu'!$G$60*(sezione!$AO$30-C778)/C778</f>
        <v>0.19866120973775897</v>
      </c>
      <c r="O778" s="559">
        <f>'Progetto del paramento slu'!$G$60*(sezione!$AP$30-C778)/C778</f>
        <v>0.15109563861097342</v>
      </c>
      <c r="P778" s="553">
        <f>-'Progetto del paramento slu'!$G$47*'Progetto del paramento slu'!$G$41*IF(DATI!$G$218="dx",DATI!$E$61,DATI!$E$64*DATI!$E$63)*1000*C778*sezione!$AD$5</f>
        <v>-82973.925224127655</v>
      </c>
      <c r="Q778" s="553">
        <f>'Foglio deposito bis'!$F$58*IF(ABS(K778)&lt;'Progetto del paramento slu'!$G$58,ABS(K778)*'Progetto del paramento slu'!$G$54,'Progetto del paramento slu'!$G$53)*IF(K778&lt;0,-1,1)</f>
        <v>0</v>
      </c>
      <c r="R778" s="553">
        <f>'Foglio deposito bis'!$F$59*IF(ABS(L778)&lt;'Progetto del paramento slu'!$G$58,ABS(L778)*'Progetto del paramento slu'!$G$54,'Progetto del paramento slu'!$G$53)*IF(L778&lt;0,-1,1)</f>
        <v>153664.85805602249</v>
      </c>
      <c r="S778" s="553">
        <f>'Foglio deposito bis'!$F$60*IF(ABS(M778)&lt;'Progetto del paramento slu'!$G$58,ABS(M778)*'Progetto del paramento slu'!$G$54,'Progetto del paramento slu'!$G$53)*IF(M778&lt;0,-1,1)</f>
        <v>0</v>
      </c>
      <c r="T778" s="553">
        <f>'Foglio deposito bis'!$F$61*IF(ABS(N778)&lt;'Progetto del paramento slu'!$G$58,ABS(N778)*'Progetto del paramento slu'!$G$54,'Progetto del paramento slu'!$G$53)*IF(N778&lt;0,-1,1)</f>
        <v>240946.49743184328</v>
      </c>
      <c r="U778" s="553">
        <f>'Foglio deposito bis'!$F$62*IF(ABS(O778)&lt;'Progetto del paramento slu'!$G$58,ABS(O778)*'Progetto del paramento slu'!$G$54,'Progetto del paramento slu'!$G$53)*IF(O778&lt;0,-1,1)</f>
        <v>314705.62929873407</v>
      </c>
      <c r="V778" s="479">
        <f t="shared" si="60"/>
        <v>626343.05956247216</v>
      </c>
      <c r="W778" s="559"/>
      <c r="X778" s="559"/>
    </row>
    <row r="779" spans="1:24" x14ac:dyDescent="0.25">
      <c r="A779" s="553">
        <f t="shared" si="59"/>
        <v>623481.88972715742</v>
      </c>
      <c r="B779" s="3">
        <f t="shared" si="61"/>
        <v>1.5000000000000007</v>
      </c>
      <c r="C779" s="553">
        <f>'Foglio deposito bis'!$E$156/sezione!$B$247*B779</f>
        <v>6.0893703809722135</v>
      </c>
      <c r="D779" s="611">
        <f>-'Progetto del paramento slu'!$G$47*'Progetto del paramento slu'!$G$41*IF(DATI!$G$218="dx",DATI!$E$61,DATI!$E$64*DATI!$E$63)*1000*C779^2*sezione!$AD$5*(1-sezione!$AD$6)</f>
        <v>-305246.10433369537</v>
      </c>
      <c r="E779" s="553">
        <f>-'Foglio deposito bis'!$F$58*(C779-sezione!$AL$30)*IF(ABS(K779)&lt;'Progetto del paramento slu'!$G$58,ABS(K779)*'Progetto del paramento slu'!$G$54,'Progetto del paramento slu'!$G$53)</f>
        <v>0</v>
      </c>
      <c r="F779" s="553">
        <f>-'Foglio deposito bis'!$F$59*(C779-sezione!$AM$30)*IF(ABS(L779)&lt;'Progetto del paramento slu'!$G$58,ABS(L779)*'Progetto del paramento slu'!$G$54,'Progetto del paramento slu'!$G$53)</f>
        <v>22114006.473160733</v>
      </c>
      <c r="G779" s="553">
        <f>-'Foglio deposito bis'!$F$60*(C779-sezione!$AN$30)*IF(ABS(M779)&lt;'Progetto del paramento slu'!$G$58,ABS(M779)*'Progetto del paramento slu'!$G$54,'Progetto del paramento slu'!$G$53)</f>
        <v>0</v>
      </c>
      <c r="H779" s="553">
        <f>-'Foglio deposito bis'!$F$61*(C779-sezione!$AO$30)*IF(ABS(N779)&lt;'Progetto del paramento slu'!$G$58,ABS(N779)*'Progetto del paramento slu'!$G$54,'Progetto del paramento slu'!$G$53)</f>
        <v>80454596.661966234</v>
      </c>
      <c r="I779" s="479">
        <f>-'Foglio deposito bis'!$F$62*(C779-sezione!$AP$30)*IF(ABS(O779)&lt;'Progetto del paramento slu'!$G$58,ABS(O779)*'Progetto del paramento slu'!$G$54,'Progetto del paramento slu'!$G$53)</f>
        <v>79908042.544750467</v>
      </c>
      <c r="J779" s="479">
        <f t="shared" si="57"/>
        <v>182171399.57554376</v>
      </c>
      <c r="K779" s="558">
        <f>'Progetto del paramento slu'!$G$60*(sezione!$AL$30-C779)/C779</f>
        <v>1.9490882676058859E-2</v>
      </c>
      <c r="L779" s="558">
        <f>'Progetto del paramento slu'!$G$60*(sezione!$AM$30-C779)/C779</f>
        <v>8.2715810035220716E-2</v>
      </c>
      <c r="M779" s="559">
        <f>'Progetto del paramento slu'!$G$60*(sezione!$AN$30-C779)/C779</f>
        <v>0.1459407373943826</v>
      </c>
      <c r="N779" s="559">
        <f>'Progetto del paramento slu'!$G$60*(sezione!$AO$30-C779)/C779</f>
        <v>0.1919225027465003</v>
      </c>
      <c r="O779" s="559">
        <f>'Progetto del paramento slu'!$G$60*(sezione!$AP$30-C779)/C779</f>
        <v>0.14594245065727429</v>
      </c>
      <c r="P779" s="553">
        <f>-'Progetto del paramento slu'!$G$47*'Progetto del paramento slu'!$G$41*IF(DATI!$G$218="dx",DATI!$E$61,DATI!$E$64*DATI!$E$63)*1000*C779*sezione!$AD$5</f>
        <v>-85835.095059442421</v>
      </c>
      <c r="Q779" s="553">
        <f>'Foglio deposito bis'!$F$58*IF(ABS(K779)&lt;'Progetto del paramento slu'!$G$58,ABS(K779)*'Progetto del paramento slu'!$G$54,'Progetto del paramento slu'!$G$53)*IF(K779&lt;0,-1,1)</f>
        <v>0</v>
      </c>
      <c r="R779" s="553">
        <f>'Foglio deposito bis'!$F$59*IF(ABS(L779)&lt;'Progetto del paramento slu'!$G$58,ABS(L779)*'Progetto del paramento slu'!$G$54,'Progetto del paramento slu'!$G$53)*IF(L779&lt;0,-1,1)</f>
        <v>153664.85805602249</v>
      </c>
      <c r="S779" s="553">
        <f>'Foglio deposito bis'!$F$60*IF(ABS(M779)&lt;'Progetto del paramento slu'!$G$58,ABS(M779)*'Progetto del paramento slu'!$G$54,'Progetto del paramento slu'!$G$53)*IF(M779&lt;0,-1,1)</f>
        <v>0</v>
      </c>
      <c r="T779" s="553">
        <f>'Foglio deposito bis'!$F$61*IF(ABS(N779)&lt;'Progetto del paramento slu'!$G$58,ABS(N779)*'Progetto del paramento slu'!$G$54,'Progetto del paramento slu'!$G$53)*IF(N779&lt;0,-1,1)</f>
        <v>240946.49743184328</v>
      </c>
      <c r="U779" s="553">
        <f>'Foglio deposito bis'!$F$62*IF(ABS(O779)&lt;'Progetto del paramento slu'!$G$58,ABS(O779)*'Progetto del paramento slu'!$G$54,'Progetto del paramento slu'!$G$53)*IF(O779&lt;0,-1,1)</f>
        <v>314705.62929873407</v>
      </c>
      <c r="V779" s="479">
        <f t="shared" si="60"/>
        <v>623481.88972715742</v>
      </c>
      <c r="W779" s="559"/>
      <c r="X779" s="559"/>
    </row>
    <row r="780" spans="1:24" x14ac:dyDescent="0.25">
      <c r="A780" s="553">
        <f t="shared" si="59"/>
        <v>620620.71989184269</v>
      </c>
      <c r="B780" s="3">
        <f t="shared" si="61"/>
        <v>1.5500000000000007</v>
      </c>
      <c r="C780" s="553">
        <f>'Foglio deposito bis'!$E$156/sezione!$B$247*B780</f>
        <v>6.2923493936712873</v>
      </c>
      <c r="D780" s="611">
        <f>-'Progetto del paramento slu'!$G$47*'Progetto del paramento slu'!$G$41*IF(DATI!$G$218="dx",DATI!$E$61,DATI!$E$64*DATI!$E$63)*1000*C780^2*sezione!$AD$5*(1-sezione!$AD$6)</f>
        <v>-325935.00696075702</v>
      </c>
      <c r="E780" s="553">
        <f>-'Foglio deposito bis'!$F$58*(C780-sezione!$AL$30)*IF(ABS(K780)&lt;'Progetto del paramento slu'!$G$58,ABS(K780)*'Progetto del paramento slu'!$G$54,'Progetto del paramento slu'!$G$53)</f>
        <v>0</v>
      </c>
      <c r="F780" s="553">
        <f>-'Foglio deposito bis'!$F$59*(C780-sezione!$AM$30)*IF(ABS(L780)&lt;'Progetto del paramento slu'!$G$58,ABS(L780)*'Progetto del paramento slu'!$G$54,'Progetto del paramento slu'!$G$53)</f>
        <v>22082815.731985979</v>
      </c>
      <c r="G780" s="553">
        <f>-'Foglio deposito bis'!$F$60*(C780-sezione!$AN$30)*IF(ABS(M780)&lt;'Progetto del paramento slu'!$G$58,ABS(M780)*'Progetto del paramento slu'!$G$54,'Progetto del paramento slu'!$G$53)</f>
        <v>0</v>
      </c>
      <c r="H780" s="553">
        <f>-'Foglio deposito bis'!$F$61*(C780-sezione!$AO$30)*IF(ABS(N780)&lt;'Progetto del paramento slu'!$G$58,ABS(N780)*'Progetto del paramento slu'!$G$54,'Progetto del paramento slu'!$G$53)</f>
        <v>80405689.579804227</v>
      </c>
      <c r="I780" s="479">
        <f>-'Foglio deposito bis'!$F$62*(C780-sezione!$AP$30)*IF(ABS(O780)&lt;'Progetto del paramento slu'!$G$58,ABS(O780)*'Progetto del paramento slu'!$G$54,'Progetto del paramento slu'!$G$53)</f>
        <v>79844163.906824574</v>
      </c>
      <c r="J780" s="479">
        <f t="shared" si="57"/>
        <v>182006734.21165401</v>
      </c>
      <c r="K780" s="558">
        <f>'Progetto del paramento slu'!$G$60*(sezione!$AL$30-C780)/C780</f>
        <v>1.8749241299411801E-2</v>
      </c>
      <c r="L780" s="558">
        <f>'Progetto del paramento slu'!$G$60*(sezione!$AM$30-C780)/C780</f>
        <v>7.9934654872794247E-2</v>
      </c>
      <c r="M780" s="559">
        <f>'Progetto del paramento slu'!$G$60*(sezione!$AN$30-C780)/C780</f>
        <v>0.14112006844617669</v>
      </c>
      <c r="N780" s="559">
        <f>'Progetto del paramento slu'!$G$60*(sezione!$AO$30-C780)/C780</f>
        <v>0.18561855104500027</v>
      </c>
      <c r="O780" s="559">
        <f>'Progetto del paramento slu'!$G$60*(sezione!$AP$30-C780)/C780</f>
        <v>0.14112172644252349</v>
      </c>
      <c r="P780" s="553">
        <f>-'Progetto del paramento slu'!$G$47*'Progetto del paramento slu'!$G$41*IF(DATI!$G$218="dx",DATI!$E$61,DATI!$E$64*DATI!$E$63)*1000*C780*sezione!$AD$5</f>
        <v>-88696.264894757158</v>
      </c>
      <c r="Q780" s="553">
        <f>'Foglio deposito bis'!$F$58*IF(ABS(K780)&lt;'Progetto del paramento slu'!$G$58,ABS(K780)*'Progetto del paramento slu'!$G$54,'Progetto del paramento slu'!$G$53)*IF(K780&lt;0,-1,1)</f>
        <v>0</v>
      </c>
      <c r="R780" s="553">
        <f>'Foglio deposito bis'!$F$59*IF(ABS(L780)&lt;'Progetto del paramento slu'!$G$58,ABS(L780)*'Progetto del paramento slu'!$G$54,'Progetto del paramento slu'!$G$53)*IF(L780&lt;0,-1,1)</f>
        <v>153664.85805602249</v>
      </c>
      <c r="S780" s="553">
        <f>'Foglio deposito bis'!$F$60*IF(ABS(M780)&lt;'Progetto del paramento slu'!$G$58,ABS(M780)*'Progetto del paramento slu'!$G$54,'Progetto del paramento slu'!$G$53)*IF(M780&lt;0,-1,1)</f>
        <v>0</v>
      </c>
      <c r="T780" s="553">
        <f>'Foglio deposito bis'!$F$61*IF(ABS(N780)&lt;'Progetto del paramento slu'!$G$58,ABS(N780)*'Progetto del paramento slu'!$G$54,'Progetto del paramento slu'!$G$53)*IF(N780&lt;0,-1,1)</f>
        <v>240946.49743184328</v>
      </c>
      <c r="U780" s="553">
        <f>'Foglio deposito bis'!$F$62*IF(ABS(O780)&lt;'Progetto del paramento slu'!$G$58,ABS(O780)*'Progetto del paramento slu'!$G$54,'Progetto del paramento slu'!$G$53)*IF(O780&lt;0,-1,1)</f>
        <v>314705.62929873407</v>
      </c>
      <c r="V780" s="479">
        <f t="shared" si="60"/>
        <v>620620.71989184269</v>
      </c>
      <c r="W780" s="559"/>
      <c r="X780" s="559"/>
    </row>
    <row r="781" spans="1:24" x14ac:dyDescent="0.25">
      <c r="A781" s="553">
        <f t="shared" si="59"/>
        <v>617759.55005652795</v>
      </c>
      <c r="B781" s="3">
        <f t="shared" si="61"/>
        <v>1.6000000000000008</v>
      </c>
      <c r="C781" s="553">
        <f>'Foglio deposito bis'!$E$156/sezione!$B$247*B781</f>
        <v>6.4953284063703611</v>
      </c>
      <c r="D781" s="611">
        <f>-'Progetto del paramento slu'!$G$47*'Progetto del paramento slu'!$G$41*IF(DATI!$G$218="dx",DATI!$E$61,DATI!$E$64*DATI!$E$63)*1000*C781^2*sezione!$AD$5*(1-sezione!$AD$6)</f>
        <v>-347302.23426411569</v>
      </c>
      <c r="E781" s="553">
        <f>-'Foglio deposito bis'!$F$58*(C781-sezione!$AL$30)*IF(ABS(K781)&lt;'Progetto del paramento slu'!$G$58,ABS(K781)*'Progetto del paramento slu'!$G$54,'Progetto del paramento slu'!$G$53)</f>
        <v>0</v>
      </c>
      <c r="F781" s="553">
        <f>-'Foglio deposito bis'!$F$59*(C781-sezione!$AM$30)*IF(ABS(L781)&lt;'Progetto del paramento slu'!$G$58,ABS(L781)*'Progetto del paramento slu'!$G$54,'Progetto del paramento slu'!$G$53)</f>
        <v>22051624.990811221</v>
      </c>
      <c r="G781" s="553">
        <f>-'Foglio deposito bis'!$F$60*(C781-sezione!$AN$30)*IF(ABS(M781)&lt;'Progetto del paramento slu'!$G$58,ABS(M781)*'Progetto del paramento slu'!$G$54,'Progetto del paramento slu'!$G$53)</f>
        <v>0</v>
      </c>
      <c r="H781" s="553">
        <f>-'Foglio deposito bis'!$F$61*(C781-sezione!$AO$30)*IF(ABS(N781)&lt;'Progetto del paramento slu'!$G$58,ABS(N781)*'Progetto del paramento slu'!$G$54,'Progetto del paramento slu'!$G$53)</f>
        <v>80356782.497642234</v>
      </c>
      <c r="I781" s="479">
        <f>-'Foglio deposito bis'!$F$62*(C781-sezione!$AP$30)*IF(ABS(O781)&lt;'Progetto del paramento slu'!$G$58,ABS(O781)*'Progetto del paramento slu'!$G$54,'Progetto del paramento slu'!$G$53)</f>
        <v>79780285.268898681</v>
      </c>
      <c r="J781" s="479">
        <f t="shared" si="57"/>
        <v>181841390.52308804</v>
      </c>
      <c r="K781" s="558">
        <f>'Progetto del paramento slu'!$G$60*(sezione!$AL$30-C781)/C781</f>
        <v>1.805395250880518E-2</v>
      </c>
      <c r="L781" s="558">
        <f>'Progetto del paramento slu'!$G$60*(sezione!$AM$30-C781)/C781</f>
        <v>7.7327321908019428E-2</v>
      </c>
      <c r="M781" s="559">
        <f>'Progetto del paramento slu'!$G$60*(sezione!$AN$30-C781)/C781</f>
        <v>0.13660069130723368</v>
      </c>
      <c r="N781" s="559">
        <f>'Progetto del paramento slu'!$G$60*(sezione!$AO$30-C781)/C781</f>
        <v>0.17970859632484407</v>
      </c>
      <c r="O781" s="559">
        <f>'Progetto del paramento slu'!$G$60*(sezione!$AP$30-C781)/C781</f>
        <v>0.13660229749119465</v>
      </c>
      <c r="P781" s="553">
        <f>-'Progetto del paramento slu'!$G$47*'Progetto del paramento slu'!$G$41*IF(DATI!$G$218="dx",DATI!$E$61,DATI!$E$64*DATI!$E$63)*1000*C781*sezione!$AD$5</f>
        <v>-91557.434730071909</v>
      </c>
      <c r="Q781" s="553">
        <f>'Foglio deposito bis'!$F$58*IF(ABS(K781)&lt;'Progetto del paramento slu'!$G$58,ABS(K781)*'Progetto del paramento slu'!$G$54,'Progetto del paramento slu'!$G$53)*IF(K781&lt;0,-1,1)</f>
        <v>0</v>
      </c>
      <c r="R781" s="553">
        <f>'Foglio deposito bis'!$F$59*IF(ABS(L781)&lt;'Progetto del paramento slu'!$G$58,ABS(L781)*'Progetto del paramento slu'!$G$54,'Progetto del paramento slu'!$G$53)*IF(L781&lt;0,-1,1)</f>
        <v>153664.85805602249</v>
      </c>
      <c r="S781" s="553">
        <f>'Foglio deposito bis'!$F$60*IF(ABS(M781)&lt;'Progetto del paramento slu'!$G$58,ABS(M781)*'Progetto del paramento slu'!$G$54,'Progetto del paramento slu'!$G$53)*IF(M781&lt;0,-1,1)</f>
        <v>0</v>
      </c>
      <c r="T781" s="553">
        <f>'Foglio deposito bis'!$F$61*IF(ABS(N781)&lt;'Progetto del paramento slu'!$G$58,ABS(N781)*'Progetto del paramento slu'!$G$54,'Progetto del paramento slu'!$G$53)*IF(N781&lt;0,-1,1)</f>
        <v>240946.49743184328</v>
      </c>
      <c r="U781" s="553">
        <f>'Foglio deposito bis'!$F$62*IF(ABS(O781)&lt;'Progetto del paramento slu'!$G$58,ABS(O781)*'Progetto del paramento slu'!$G$54,'Progetto del paramento slu'!$G$53)*IF(O781&lt;0,-1,1)</f>
        <v>314705.62929873407</v>
      </c>
      <c r="V781" s="479">
        <f t="shared" si="60"/>
        <v>617759.55005652795</v>
      </c>
      <c r="W781" s="559"/>
      <c r="X781" s="559"/>
    </row>
    <row r="782" spans="1:24" x14ac:dyDescent="0.25">
      <c r="A782" s="553">
        <f t="shared" si="59"/>
        <v>614898.38022121321</v>
      </c>
      <c r="B782" s="3">
        <f t="shared" si="61"/>
        <v>1.6500000000000008</v>
      </c>
      <c r="C782" s="553">
        <f>'Foglio deposito bis'!$E$156/sezione!$B$247*B782</f>
        <v>6.6983074190694349</v>
      </c>
      <c r="D782" s="611">
        <f>-'Progetto del paramento slu'!$G$47*'Progetto del paramento slu'!$G$41*IF(DATI!$G$218="dx",DATI!$E$61,DATI!$E$64*DATI!$E$63)*1000*C782^2*sezione!$AD$5*(1-sezione!$AD$6)</f>
        <v>-369347.78624377144</v>
      </c>
      <c r="E782" s="553">
        <f>-'Foglio deposito bis'!$F$58*(C782-sezione!$AL$30)*IF(ABS(K782)&lt;'Progetto del paramento slu'!$G$58,ABS(K782)*'Progetto del paramento slu'!$G$54,'Progetto del paramento slu'!$G$53)</f>
        <v>0</v>
      </c>
      <c r="F782" s="553">
        <f>-'Foglio deposito bis'!$F$59*(C782-sezione!$AM$30)*IF(ABS(L782)&lt;'Progetto del paramento slu'!$G$58,ABS(L782)*'Progetto del paramento slu'!$G$54,'Progetto del paramento slu'!$G$53)</f>
        <v>22020434.249636468</v>
      </c>
      <c r="G782" s="553">
        <f>-'Foglio deposito bis'!$F$60*(C782-sezione!$AN$30)*IF(ABS(M782)&lt;'Progetto del paramento slu'!$G$58,ABS(M782)*'Progetto del paramento slu'!$G$54,'Progetto del paramento slu'!$G$53)</f>
        <v>0</v>
      </c>
      <c r="H782" s="553">
        <f>-'Foglio deposito bis'!$F$61*(C782-sezione!$AO$30)*IF(ABS(N782)&lt;'Progetto del paramento slu'!$G$58,ABS(N782)*'Progetto del paramento slu'!$G$54,'Progetto del paramento slu'!$G$53)</f>
        <v>80307875.415480196</v>
      </c>
      <c r="I782" s="479">
        <f>-'Foglio deposito bis'!$F$62*(C782-sezione!$AP$30)*IF(ABS(O782)&lt;'Progetto del paramento slu'!$G$58,ABS(O782)*'Progetto del paramento slu'!$G$54,'Progetto del paramento slu'!$G$53)</f>
        <v>79716406.630972788</v>
      </c>
      <c r="J782" s="479">
        <f t="shared" si="57"/>
        <v>181675368.50984567</v>
      </c>
      <c r="K782" s="558">
        <f>'Progetto del paramento slu'!$G$60*(sezione!$AL$30-C782)/C782</f>
        <v>1.740080243278078E-2</v>
      </c>
      <c r="L782" s="558">
        <f>'Progetto del paramento slu'!$G$60*(sezione!$AM$30-C782)/C782</f>
        <v>7.4878009122927927E-2</v>
      </c>
      <c r="M782" s="559">
        <f>'Progetto del paramento slu'!$G$60*(sezione!$AN$30-C782)/C782</f>
        <v>0.13235521581307508</v>
      </c>
      <c r="N782" s="559">
        <f>'Progetto del paramento slu'!$G$60*(sezione!$AO$30-C782)/C782</f>
        <v>0.17415682067863664</v>
      </c>
      <c r="O782" s="559">
        <f>'Progetto del paramento slu'!$G$60*(sezione!$AP$30-C782)/C782</f>
        <v>0.13235677332479481</v>
      </c>
      <c r="P782" s="553">
        <f>-'Progetto del paramento slu'!$G$47*'Progetto del paramento slu'!$G$41*IF(DATI!$G$218="dx",DATI!$E$61,DATI!$E$64*DATI!$E$63)*1000*C782*sezione!$AD$5</f>
        <v>-94418.60456538666</v>
      </c>
      <c r="Q782" s="553">
        <f>'Foglio deposito bis'!$F$58*IF(ABS(K782)&lt;'Progetto del paramento slu'!$G$58,ABS(K782)*'Progetto del paramento slu'!$G$54,'Progetto del paramento slu'!$G$53)*IF(K782&lt;0,-1,1)</f>
        <v>0</v>
      </c>
      <c r="R782" s="553">
        <f>'Foglio deposito bis'!$F$59*IF(ABS(L782)&lt;'Progetto del paramento slu'!$G$58,ABS(L782)*'Progetto del paramento slu'!$G$54,'Progetto del paramento slu'!$G$53)*IF(L782&lt;0,-1,1)</f>
        <v>153664.85805602249</v>
      </c>
      <c r="S782" s="553">
        <f>'Foglio deposito bis'!$F$60*IF(ABS(M782)&lt;'Progetto del paramento slu'!$G$58,ABS(M782)*'Progetto del paramento slu'!$G$54,'Progetto del paramento slu'!$G$53)*IF(M782&lt;0,-1,1)</f>
        <v>0</v>
      </c>
      <c r="T782" s="553">
        <f>'Foglio deposito bis'!$F$61*IF(ABS(N782)&lt;'Progetto del paramento slu'!$G$58,ABS(N782)*'Progetto del paramento slu'!$G$54,'Progetto del paramento slu'!$G$53)*IF(N782&lt;0,-1,1)</f>
        <v>240946.49743184328</v>
      </c>
      <c r="U782" s="553">
        <f>'Foglio deposito bis'!$F$62*IF(ABS(O782)&lt;'Progetto del paramento slu'!$G$58,ABS(O782)*'Progetto del paramento slu'!$G$54,'Progetto del paramento slu'!$G$53)*IF(O782&lt;0,-1,1)</f>
        <v>314705.62929873407</v>
      </c>
      <c r="V782" s="479">
        <f t="shared" si="60"/>
        <v>614898.38022121321</v>
      </c>
      <c r="W782" s="559"/>
      <c r="X782" s="559"/>
    </row>
    <row r="783" spans="1:24" x14ac:dyDescent="0.25">
      <c r="A783" s="553">
        <f t="shared" si="59"/>
        <v>612037.21038589836</v>
      </c>
      <c r="B783" s="3">
        <f t="shared" si="61"/>
        <v>1.7000000000000008</v>
      </c>
      <c r="C783" s="553">
        <f>'Foglio deposito bis'!$E$156/sezione!$B$247*B783</f>
        <v>6.9012864317685088</v>
      </c>
      <c r="D783" s="611">
        <f>-'Progetto del paramento slu'!$G$47*'Progetto del paramento slu'!$G$41*IF(DATI!$G$218="dx",DATI!$E$61,DATI!$E$64*DATI!$E$63)*1000*C783^2*sezione!$AD$5*(1-sezione!$AD$6)</f>
        <v>-392071.66289972432</v>
      </c>
      <c r="E783" s="553">
        <f>-'Foglio deposito bis'!$F$58*(C783-sezione!$AL$30)*IF(ABS(K783)&lt;'Progetto del paramento slu'!$G$58,ABS(K783)*'Progetto del paramento slu'!$G$54,'Progetto del paramento slu'!$G$53)</f>
        <v>0</v>
      </c>
      <c r="F783" s="553">
        <f>-'Foglio deposito bis'!$F$59*(C783-sezione!$AM$30)*IF(ABS(L783)&lt;'Progetto del paramento slu'!$G$58,ABS(L783)*'Progetto del paramento slu'!$G$54,'Progetto del paramento slu'!$G$53)</f>
        <v>21989243.508461714</v>
      </c>
      <c r="G783" s="553">
        <f>-'Foglio deposito bis'!$F$60*(C783-sezione!$AN$30)*IF(ABS(M783)&lt;'Progetto del paramento slu'!$G$58,ABS(M783)*'Progetto del paramento slu'!$G$54,'Progetto del paramento slu'!$G$53)</f>
        <v>0</v>
      </c>
      <c r="H783" s="553">
        <f>-'Foglio deposito bis'!$F$61*(C783-sezione!$AO$30)*IF(ABS(N783)&lt;'Progetto del paramento slu'!$G$58,ABS(N783)*'Progetto del paramento slu'!$G$54,'Progetto del paramento slu'!$G$53)</f>
        <v>80258968.333318189</v>
      </c>
      <c r="I783" s="479">
        <f>-'Foglio deposito bis'!$F$62*(C783-sezione!$AP$30)*IF(ABS(O783)&lt;'Progetto del paramento slu'!$G$58,ABS(O783)*'Progetto del paramento slu'!$G$54,'Progetto del paramento slu'!$G$53)</f>
        <v>79652527.99304688</v>
      </c>
      <c r="J783" s="479">
        <f t="shared" si="57"/>
        <v>181508668.17192706</v>
      </c>
      <c r="K783" s="558">
        <f>'Progetto del paramento slu'!$G$60*(sezione!$AL$30-C783)/C783</f>
        <v>1.6786072949463698E-2</v>
      </c>
      <c r="L783" s="558">
        <f>'Progetto del paramento slu'!$G$60*(sezione!$AM$30-C783)/C783</f>
        <v>7.2572773560488871E-2</v>
      </c>
      <c r="M783" s="559">
        <f>'Progetto del paramento slu'!$G$60*(sezione!$AN$30-C783)/C783</f>
        <v>0.12835947417151405</v>
      </c>
      <c r="N783" s="559">
        <f>'Progetto del paramento slu'!$G$60*(sezione!$AO$30-C783)/C783</f>
        <v>0.16893162007044146</v>
      </c>
      <c r="O783" s="559">
        <f>'Progetto del paramento slu'!$G$60*(sezione!$AP$30-C783)/C783</f>
        <v>0.12836098587406553</v>
      </c>
      <c r="P783" s="553">
        <f>-'Progetto del paramento slu'!$G$47*'Progetto del paramento slu'!$G$41*IF(DATI!$G$218="dx",DATI!$E$61,DATI!$E$64*DATI!$E$63)*1000*C783*sezione!$AD$5</f>
        <v>-97279.774400701397</v>
      </c>
      <c r="Q783" s="553">
        <f>'Foglio deposito bis'!$F$58*IF(ABS(K783)&lt;'Progetto del paramento slu'!$G$58,ABS(K783)*'Progetto del paramento slu'!$G$54,'Progetto del paramento slu'!$G$53)*IF(K783&lt;0,-1,1)</f>
        <v>0</v>
      </c>
      <c r="R783" s="553">
        <f>'Foglio deposito bis'!$F$59*IF(ABS(L783)&lt;'Progetto del paramento slu'!$G$58,ABS(L783)*'Progetto del paramento slu'!$G$54,'Progetto del paramento slu'!$G$53)*IF(L783&lt;0,-1,1)</f>
        <v>153664.85805602249</v>
      </c>
      <c r="S783" s="553">
        <f>'Foglio deposito bis'!$F$60*IF(ABS(M783)&lt;'Progetto del paramento slu'!$G$58,ABS(M783)*'Progetto del paramento slu'!$G$54,'Progetto del paramento slu'!$G$53)*IF(M783&lt;0,-1,1)</f>
        <v>0</v>
      </c>
      <c r="T783" s="553">
        <f>'Foglio deposito bis'!$F$61*IF(ABS(N783)&lt;'Progetto del paramento slu'!$G$58,ABS(N783)*'Progetto del paramento slu'!$G$54,'Progetto del paramento slu'!$G$53)*IF(N783&lt;0,-1,1)</f>
        <v>240946.49743184328</v>
      </c>
      <c r="U783" s="553">
        <f>'Foglio deposito bis'!$F$62*IF(ABS(O783)&lt;'Progetto del paramento slu'!$G$58,ABS(O783)*'Progetto del paramento slu'!$G$54,'Progetto del paramento slu'!$G$53)*IF(O783&lt;0,-1,1)</f>
        <v>314705.62929873407</v>
      </c>
      <c r="V783" s="479">
        <f t="shared" si="60"/>
        <v>612037.21038589836</v>
      </c>
      <c r="W783" s="559"/>
      <c r="X783" s="559"/>
    </row>
    <row r="784" spans="1:24" x14ac:dyDescent="0.25">
      <c r="A784" s="553">
        <f t="shared" si="59"/>
        <v>609176.04055058374</v>
      </c>
      <c r="B784" s="3">
        <f t="shared" si="61"/>
        <v>1.7500000000000009</v>
      </c>
      <c r="C784" s="553">
        <f>'Foglio deposito bis'!$E$156/sezione!$B$247*B784</f>
        <v>7.1042654444675826</v>
      </c>
      <c r="D784" s="611">
        <f>-'Progetto del paramento slu'!$G$47*'Progetto del paramento slu'!$G$41*IF(DATI!$G$218="dx",DATI!$E$61,DATI!$E$64*DATI!$E$63)*1000*C784^2*sezione!$AD$5*(1-sezione!$AD$6)</f>
        <v>-415473.86423197435</v>
      </c>
      <c r="E784" s="553">
        <f>-'Foglio deposito bis'!$F$58*(C784-sezione!$AL$30)*IF(ABS(K784)&lt;'Progetto del paramento slu'!$G$58,ABS(K784)*'Progetto del paramento slu'!$G$54,'Progetto del paramento slu'!$G$53)</f>
        <v>0</v>
      </c>
      <c r="F784" s="553">
        <f>-'Foglio deposito bis'!$F$59*(C784-sezione!$AM$30)*IF(ABS(L784)&lt;'Progetto del paramento slu'!$G$58,ABS(L784)*'Progetto del paramento slu'!$G$54,'Progetto del paramento slu'!$G$53)</f>
        <v>21958052.76728696</v>
      </c>
      <c r="G784" s="553">
        <f>-'Foglio deposito bis'!$F$60*(C784-sezione!$AN$30)*IF(ABS(M784)&lt;'Progetto del paramento slu'!$G$58,ABS(M784)*'Progetto del paramento slu'!$G$54,'Progetto del paramento slu'!$G$53)</f>
        <v>0</v>
      </c>
      <c r="H784" s="553">
        <f>-'Foglio deposito bis'!$F$61*(C784-sezione!$AO$30)*IF(ABS(N784)&lt;'Progetto del paramento slu'!$G$58,ABS(N784)*'Progetto del paramento slu'!$G$54,'Progetto del paramento slu'!$G$53)</f>
        <v>80210061.251156166</v>
      </c>
      <c r="I784" s="479">
        <f>-'Foglio deposito bis'!$F$62*(C784-sezione!$AP$30)*IF(ABS(O784)&lt;'Progetto del paramento slu'!$G$58,ABS(O784)*'Progetto del paramento slu'!$G$54,'Progetto del paramento slu'!$G$53)</f>
        <v>79588649.355120987</v>
      </c>
      <c r="J784" s="479">
        <f t="shared" si="57"/>
        <v>181341289.50933212</v>
      </c>
      <c r="K784" s="558">
        <f>'Progetto del paramento slu'!$G$60*(sezione!$AL$30-C784)/C784</f>
        <v>1.6206470865193306E-2</v>
      </c>
      <c r="L784" s="558">
        <f>'Progetto del paramento slu'!$G$60*(sezione!$AM$30-C784)/C784</f>
        <v>7.0399265744474901E-2</v>
      </c>
      <c r="M784" s="559">
        <f>'Progetto del paramento slu'!$G$60*(sezione!$AN$30-C784)/C784</f>
        <v>0.12459206062375651</v>
      </c>
      <c r="N784" s="559">
        <f>'Progetto del paramento slu'!$G$60*(sezione!$AO$30-C784)/C784</f>
        <v>0.16400500235414311</v>
      </c>
      <c r="O784" s="559">
        <f>'Progetto del paramento slu'!$G$60*(sezione!$AP$30-C784)/C784</f>
        <v>0.12459352913480651</v>
      </c>
      <c r="P784" s="553">
        <f>-'Progetto del paramento slu'!$G$47*'Progetto del paramento slu'!$G$41*IF(DATI!$G$218="dx",DATI!$E$61,DATI!$E$64*DATI!$E$63)*1000*C784*sezione!$AD$5</f>
        <v>-100140.94423601615</v>
      </c>
      <c r="Q784" s="553">
        <f>'Foglio deposito bis'!$F$58*IF(ABS(K784)&lt;'Progetto del paramento slu'!$G$58,ABS(K784)*'Progetto del paramento slu'!$G$54,'Progetto del paramento slu'!$G$53)*IF(K784&lt;0,-1,1)</f>
        <v>0</v>
      </c>
      <c r="R784" s="553">
        <f>'Foglio deposito bis'!$F$59*IF(ABS(L784)&lt;'Progetto del paramento slu'!$G$58,ABS(L784)*'Progetto del paramento slu'!$G$54,'Progetto del paramento slu'!$G$53)*IF(L784&lt;0,-1,1)</f>
        <v>153664.85805602249</v>
      </c>
      <c r="S784" s="553">
        <f>'Foglio deposito bis'!$F$60*IF(ABS(M784)&lt;'Progetto del paramento slu'!$G$58,ABS(M784)*'Progetto del paramento slu'!$G$54,'Progetto del paramento slu'!$G$53)*IF(M784&lt;0,-1,1)</f>
        <v>0</v>
      </c>
      <c r="T784" s="553">
        <f>'Foglio deposito bis'!$F$61*IF(ABS(N784)&lt;'Progetto del paramento slu'!$G$58,ABS(N784)*'Progetto del paramento slu'!$G$54,'Progetto del paramento slu'!$G$53)*IF(N784&lt;0,-1,1)</f>
        <v>240946.49743184328</v>
      </c>
      <c r="U784" s="553">
        <f>'Foglio deposito bis'!$F$62*IF(ABS(O784)&lt;'Progetto del paramento slu'!$G$58,ABS(O784)*'Progetto del paramento slu'!$G$54,'Progetto del paramento slu'!$G$53)*IF(O784&lt;0,-1,1)</f>
        <v>314705.62929873407</v>
      </c>
      <c r="V784" s="479">
        <f t="shared" si="60"/>
        <v>609176.04055058374</v>
      </c>
      <c r="W784" s="559"/>
      <c r="X784" s="559"/>
    </row>
    <row r="785" spans="1:24" x14ac:dyDescent="0.25">
      <c r="A785" s="553">
        <f t="shared" si="59"/>
        <v>606314.87071526889</v>
      </c>
      <c r="B785" s="3">
        <f t="shared" si="61"/>
        <v>1.8000000000000009</v>
      </c>
      <c r="C785" s="553">
        <f>'Foglio deposito bis'!$E$156/sezione!$B$247*B785</f>
        <v>7.3072444571666564</v>
      </c>
      <c r="D785" s="611">
        <f>-'Progetto del paramento slu'!$G$47*'Progetto del paramento slu'!$G$41*IF(DATI!$G$218="dx",DATI!$E$61,DATI!$E$64*DATI!$E$63)*1000*C785^2*sezione!$AD$5*(1-sezione!$AD$6)</f>
        <v>-439554.3902405214</v>
      </c>
      <c r="E785" s="553">
        <f>-'Foglio deposito bis'!$F$58*(C785-sezione!$AL$30)*IF(ABS(K785)&lt;'Progetto del paramento slu'!$G$58,ABS(K785)*'Progetto del paramento slu'!$G$54,'Progetto del paramento slu'!$G$53)</f>
        <v>0</v>
      </c>
      <c r="F785" s="553">
        <f>-'Foglio deposito bis'!$F$59*(C785-sezione!$AM$30)*IF(ABS(L785)&lt;'Progetto del paramento slu'!$G$58,ABS(L785)*'Progetto del paramento slu'!$G$54,'Progetto del paramento slu'!$G$53)</f>
        <v>21926862.026112203</v>
      </c>
      <c r="G785" s="553">
        <f>-'Foglio deposito bis'!$F$60*(C785-sezione!$AN$30)*IF(ABS(M785)&lt;'Progetto del paramento slu'!$G$58,ABS(M785)*'Progetto del paramento slu'!$G$54,'Progetto del paramento slu'!$G$53)</f>
        <v>0</v>
      </c>
      <c r="H785" s="553">
        <f>-'Foglio deposito bis'!$F$61*(C785-sezione!$AO$30)*IF(ABS(N785)&lt;'Progetto del paramento slu'!$G$58,ABS(N785)*'Progetto del paramento slu'!$G$54,'Progetto del paramento slu'!$G$53)</f>
        <v>80161154.168994159</v>
      </c>
      <c r="I785" s="479">
        <f>-'Foglio deposito bis'!$F$62*(C785-sezione!$AP$30)*IF(ABS(O785)&lt;'Progetto del paramento slu'!$G$58,ABS(O785)*'Progetto del paramento slu'!$G$54,'Progetto del paramento slu'!$G$53)</f>
        <v>79524770.717195079</v>
      </c>
      <c r="J785" s="479">
        <f t="shared" si="57"/>
        <v>181173232.52206093</v>
      </c>
      <c r="K785" s="558">
        <f>'Progetto del paramento slu'!$G$60*(sezione!$AL$30-C785)/C785</f>
        <v>1.5659068896715717E-2</v>
      </c>
      <c r="L785" s="558">
        <f>'Progetto del paramento slu'!$G$60*(sezione!$AM$30-C785)/C785</f>
        <v>6.8346508362683925E-2</v>
      </c>
      <c r="M785" s="559">
        <f>'Progetto del paramento slu'!$G$60*(sezione!$AN$30-C785)/C785</f>
        <v>0.12103394782865216</v>
      </c>
      <c r="N785" s="559">
        <f>'Progetto del paramento slu'!$G$60*(sezione!$AO$30-C785)/C785</f>
        <v>0.15935208562208361</v>
      </c>
      <c r="O785" s="559">
        <f>'Progetto del paramento slu'!$G$60*(sezione!$AP$30-C785)/C785</f>
        <v>0.12103537554772856</v>
      </c>
      <c r="P785" s="553">
        <f>-'Progetto del paramento slu'!$G$47*'Progetto del paramento slu'!$G$41*IF(DATI!$G$218="dx",DATI!$E$61,DATI!$E$64*DATI!$E$63)*1000*C785*sezione!$AD$5</f>
        <v>-103002.1140713309</v>
      </c>
      <c r="Q785" s="553">
        <f>'Foglio deposito bis'!$F$58*IF(ABS(K785)&lt;'Progetto del paramento slu'!$G$58,ABS(K785)*'Progetto del paramento slu'!$G$54,'Progetto del paramento slu'!$G$53)*IF(K785&lt;0,-1,1)</f>
        <v>0</v>
      </c>
      <c r="R785" s="553">
        <f>'Foglio deposito bis'!$F$59*IF(ABS(L785)&lt;'Progetto del paramento slu'!$G$58,ABS(L785)*'Progetto del paramento slu'!$G$54,'Progetto del paramento slu'!$G$53)*IF(L785&lt;0,-1,1)</f>
        <v>153664.85805602249</v>
      </c>
      <c r="S785" s="553">
        <f>'Foglio deposito bis'!$F$60*IF(ABS(M785)&lt;'Progetto del paramento slu'!$G$58,ABS(M785)*'Progetto del paramento slu'!$G$54,'Progetto del paramento slu'!$G$53)*IF(M785&lt;0,-1,1)</f>
        <v>0</v>
      </c>
      <c r="T785" s="553">
        <f>'Foglio deposito bis'!$F$61*IF(ABS(N785)&lt;'Progetto del paramento slu'!$G$58,ABS(N785)*'Progetto del paramento slu'!$G$54,'Progetto del paramento slu'!$G$53)*IF(N785&lt;0,-1,1)</f>
        <v>240946.49743184328</v>
      </c>
      <c r="U785" s="553">
        <f>'Foglio deposito bis'!$F$62*IF(ABS(O785)&lt;'Progetto del paramento slu'!$G$58,ABS(O785)*'Progetto del paramento slu'!$G$54,'Progetto del paramento slu'!$G$53)*IF(O785&lt;0,-1,1)</f>
        <v>314705.62929873407</v>
      </c>
      <c r="V785" s="479">
        <f t="shared" si="60"/>
        <v>606314.87071526889</v>
      </c>
      <c r="W785" s="559"/>
      <c r="X785" s="559"/>
    </row>
    <row r="786" spans="1:24" x14ac:dyDescent="0.25">
      <c r="A786" s="553">
        <f t="shared" si="59"/>
        <v>603453.70087995427</v>
      </c>
      <c r="B786" s="3">
        <f t="shared" si="61"/>
        <v>1.850000000000001</v>
      </c>
      <c r="C786" s="553">
        <f>'Foglio deposito bis'!$E$156/sezione!$B$247*B786</f>
        <v>7.5102234698657302</v>
      </c>
      <c r="D786" s="611">
        <f>-'Progetto del paramento slu'!$G$47*'Progetto del paramento slu'!$G$41*IF(DATI!$G$218="dx",DATI!$E$61,DATI!$E$64*DATI!$E$63)*1000*C786^2*sezione!$AD$5*(1-sezione!$AD$6)</f>
        <v>-464313.24092536554</v>
      </c>
      <c r="E786" s="553">
        <f>-'Foglio deposito bis'!$F$58*(C786-sezione!$AL$30)*IF(ABS(K786)&lt;'Progetto del paramento slu'!$G$58,ABS(K786)*'Progetto del paramento slu'!$G$54,'Progetto del paramento slu'!$G$53)</f>
        <v>0</v>
      </c>
      <c r="F786" s="553">
        <f>-'Foglio deposito bis'!$F$59*(C786-sezione!$AM$30)*IF(ABS(L786)&lt;'Progetto del paramento slu'!$G$58,ABS(L786)*'Progetto del paramento slu'!$G$54,'Progetto del paramento slu'!$G$53)</f>
        <v>21895671.284937445</v>
      </c>
      <c r="G786" s="553">
        <f>-'Foglio deposito bis'!$F$60*(C786-sezione!$AN$30)*IF(ABS(M786)&lt;'Progetto del paramento slu'!$G$58,ABS(M786)*'Progetto del paramento slu'!$G$54,'Progetto del paramento slu'!$G$53)</f>
        <v>0</v>
      </c>
      <c r="H786" s="553">
        <f>-'Foglio deposito bis'!$F$61*(C786-sezione!$AO$30)*IF(ABS(N786)&lt;'Progetto del paramento slu'!$G$58,ABS(N786)*'Progetto del paramento slu'!$G$54,'Progetto del paramento slu'!$G$53)</f>
        <v>80112247.086832136</v>
      </c>
      <c r="I786" s="479">
        <f>-'Foglio deposito bis'!$F$62*(C786-sezione!$AP$30)*IF(ABS(O786)&lt;'Progetto del paramento slu'!$G$58,ABS(O786)*'Progetto del paramento slu'!$G$54,'Progetto del paramento slu'!$G$53)</f>
        <v>79460892.079269186</v>
      </c>
      <c r="J786" s="479">
        <f t="shared" si="57"/>
        <v>181004497.21011341</v>
      </c>
      <c r="K786" s="558">
        <f>'Progetto del paramento slu'!$G$60*(sezione!$AL$30-C786)/C786</f>
        <v>1.5141256223831508E-2</v>
      </c>
      <c r="L786" s="558">
        <f>'Progetto del paramento slu'!$G$60*(sezione!$AM$30-C786)/C786</f>
        <v>6.640471083936815E-2</v>
      </c>
      <c r="M786" s="559">
        <f>'Progetto del paramento slu'!$G$60*(sezione!$AN$30-C786)/C786</f>
        <v>0.1176681654549048</v>
      </c>
      <c r="N786" s="559">
        <f>'Progetto del paramento slu'!$G$60*(sezione!$AO$30-C786)/C786</f>
        <v>0.15495067790256781</v>
      </c>
      <c r="O786" s="559">
        <f>'Progetto del paramento slu'!$G$60*(sezione!$AP$30-C786)/C786</f>
        <v>0.11766955458697913</v>
      </c>
      <c r="P786" s="553">
        <f>-'Progetto del paramento slu'!$G$47*'Progetto del paramento slu'!$G$41*IF(DATI!$G$218="dx",DATI!$E$61,DATI!$E$64*DATI!$E$63)*1000*C786*sezione!$AD$5</f>
        <v>-105863.28390664565</v>
      </c>
      <c r="Q786" s="553">
        <f>'Foglio deposito bis'!$F$58*IF(ABS(K786)&lt;'Progetto del paramento slu'!$G$58,ABS(K786)*'Progetto del paramento slu'!$G$54,'Progetto del paramento slu'!$G$53)*IF(K786&lt;0,-1,1)</f>
        <v>0</v>
      </c>
      <c r="R786" s="553">
        <f>'Foglio deposito bis'!$F$59*IF(ABS(L786)&lt;'Progetto del paramento slu'!$G$58,ABS(L786)*'Progetto del paramento slu'!$G$54,'Progetto del paramento slu'!$G$53)*IF(L786&lt;0,-1,1)</f>
        <v>153664.85805602249</v>
      </c>
      <c r="S786" s="553">
        <f>'Foglio deposito bis'!$F$60*IF(ABS(M786)&lt;'Progetto del paramento slu'!$G$58,ABS(M786)*'Progetto del paramento slu'!$G$54,'Progetto del paramento slu'!$G$53)*IF(M786&lt;0,-1,1)</f>
        <v>0</v>
      </c>
      <c r="T786" s="553">
        <f>'Foglio deposito bis'!$F$61*IF(ABS(N786)&lt;'Progetto del paramento slu'!$G$58,ABS(N786)*'Progetto del paramento slu'!$G$54,'Progetto del paramento slu'!$G$53)*IF(N786&lt;0,-1,1)</f>
        <v>240946.49743184328</v>
      </c>
      <c r="U786" s="553">
        <f>'Foglio deposito bis'!$F$62*IF(ABS(O786)&lt;'Progetto del paramento slu'!$G$58,ABS(O786)*'Progetto del paramento slu'!$G$54,'Progetto del paramento slu'!$G$53)*IF(O786&lt;0,-1,1)</f>
        <v>314705.62929873407</v>
      </c>
      <c r="V786" s="479">
        <f t="shared" si="60"/>
        <v>603453.70087995427</v>
      </c>
      <c r="W786" s="559"/>
      <c r="X786" s="559"/>
    </row>
    <row r="787" spans="1:24" x14ac:dyDescent="0.25">
      <c r="A787" s="553">
        <f t="shared" si="59"/>
        <v>600592.53104463941</v>
      </c>
      <c r="B787" s="3">
        <f t="shared" si="61"/>
        <v>1.900000000000001</v>
      </c>
      <c r="C787" s="553">
        <f>'Foglio deposito bis'!$E$156/sezione!$B$247*B787</f>
        <v>7.713202482564804</v>
      </c>
      <c r="D787" s="611">
        <f>-'Progetto del paramento slu'!$G$47*'Progetto del paramento slu'!$G$41*IF(DATI!$G$218="dx",DATI!$E$61,DATI!$E$64*DATI!$E$63)*1000*C787^2*sezione!$AD$5*(1-sezione!$AD$6)</f>
        <v>-489750.41628650681</v>
      </c>
      <c r="E787" s="553">
        <f>-'Foglio deposito bis'!$F$58*(C787-sezione!$AL$30)*IF(ABS(K787)&lt;'Progetto del paramento slu'!$G$58,ABS(K787)*'Progetto del paramento slu'!$G$54,'Progetto del paramento slu'!$G$53)</f>
        <v>0</v>
      </c>
      <c r="F787" s="553">
        <f>-'Foglio deposito bis'!$F$59*(C787-sezione!$AM$30)*IF(ABS(L787)&lt;'Progetto del paramento slu'!$G$58,ABS(L787)*'Progetto del paramento slu'!$G$54,'Progetto del paramento slu'!$G$53)</f>
        <v>21864480.543762691</v>
      </c>
      <c r="G787" s="553">
        <f>-'Foglio deposito bis'!$F$60*(C787-sezione!$AN$30)*IF(ABS(M787)&lt;'Progetto del paramento slu'!$G$58,ABS(M787)*'Progetto del paramento slu'!$G$54,'Progetto del paramento slu'!$G$53)</f>
        <v>0</v>
      </c>
      <c r="H787" s="553">
        <f>-'Foglio deposito bis'!$F$61*(C787-sezione!$AO$30)*IF(ABS(N787)&lt;'Progetto del paramento slu'!$G$58,ABS(N787)*'Progetto del paramento slu'!$G$54,'Progetto del paramento slu'!$G$53)</f>
        <v>80063340.004670128</v>
      </c>
      <c r="I787" s="479">
        <f>-'Foglio deposito bis'!$F$62*(C787-sezione!$AP$30)*IF(ABS(O787)&lt;'Progetto del paramento slu'!$G$58,ABS(O787)*'Progetto del paramento slu'!$G$54,'Progetto del paramento slu'!$G$53)</f>
        <v>79397013.441343293</v>
      </c>
      <c r="J787" s="479">
        <f t="shared" si="57"/>
        <v>180835083.57348961</v>
      </c>
      <c r="K787" s="558">
        <f>'Progetto del paramento slu'!$G$60*(sezione!$AL$30-C787)/C787</f>
        <v>1.4650696849520152E-2</v>
      </c>
      <c r="L787" s="558">
        <f>'Progetto del paramento slu'!$G$60*(sezione!$AM$30-C787)/C787</f>
        <v>6.4565113185700573E-2</v>
      </c>
      <c r="M787" s="559">
        <f>'Progetto del paramento slu'!$G$60*(sezione!$AN$30-C787)/C787</f>
        <v>0.11447952952188098</v>
      </c>
      <c r="N787" s="559">
        <f>'Progetto del paramento slu'!$G$60*(sezione!$AO$30-C787)/C787</f>
        <v>0.15078092322092132</v>
      </c>
      <c r="O787" s="559">
        <f>'Progetto del paramento slu'!$G$60*(sezione!$AP$30-C787)/C787</f>
        <v>0.11448088209784811</v>
      </c>
      <c r="P787" s="553">
        <f>-'Progetto del paramento slu'!$G$47*'Progetto del paramento slu'!$G$41*IF(DATI!$G$218="dx",DATI!$E$61,DATI!$E$64*DATI!$E$63)*1000*C787*sezione!$AD$5</f>
        <v>-108724.4537419604</v>
      </c>
      <c r="Q787" s="553">
        <f>'Foglio deposito bis'!$F$58*IF(ABS(K787)&lt;'Progetto del paramento slu'!$G$58,ABS(K787)*'Progetto del paramento slu'!$G$54,'Progetto del paramento slu'!$G$53)*IF(K787&lt;0,-1,1)</f>
        <v>0</v>
      </c>
      <c r="R787" s="553">
        <f>'Foglio deposito bis'!$F$59*IF(ABS(L787)&lt;'Progetto del paramento slu'!$G$58,ABS(L787)*'Progetto del paramento slu'!$G$54,'Progetto del paramento slu'!$G$53)*IF(L787&lt;0,-1,1)</f>
        <v>153664.85805602249</v>
      </c>
      <c r="S787" s="553">
        <f>'Foglio deposito bis'!$F$60*IF(ABS(M787)&lt;'Progetto del paramento slu'!$G$58,ABS(M787)*'Progetto del paramento slu'!$G$54,'Progetto del paramento slu'!$G$53)*IF(M787&lt;0,-1,1)</f>
        <v>0</v>
      </c>
      <c r="T787" s="553">
        <f>'Foglio deposito bis'!$F$61*IF(ABS(N787)&lt;'Progetto del paramento slu'!$G$58,ABS(N787)*'Progetto del paramento slu'!$G$54,'Progetto del paramento slu'!$G$53)*IF(N787&lt;0,-1,1)</f>
        <v>240946.49743184328</v>
      </c>
      <c r="U787" s="553">
        <f>'Foglio deposito bis'!$F$62*IF(ABS(O787)&lt;'Progetto del paramento slu'!$G$58,ABS(O787)*'Progetto del paramento slu'!$G$54,'Progetto del paramento slu'!$G$53)*IF(O787&lt;0,-1,1)</f>
        <v>314705.62929873407</v>
      </c>
      <c r="V787" s="479">
        <f t="shared" si="60"/>
        <v>600592.53104463941</v>
      </c>
      <c r="W787" s="559"/>
      <c r="X787" s="559"/>
    </row>
    <row r="788" spans="1:24" x14ac:dyDescent="0.25">
      <c r="A788" s="553">
        <f t="shared" si="59"/>
        <v>597731.36120932479</v>
      </c>
      <c r="B788" s="3">
        <f t="shared" si="61"/>
        <v>1.9500000000000011</v>
      </c>
      <c r="C788" s="553">
        <f>'Foglio deposito bis'!$E$156/sezione!$B$247*B788</f>
        <v>7.9161814952638778</v>
      </c>
      <c r="D788" s="611">
        <f>-'Progetto del paramento slu'!$G$47*'Progetto del paramento slu'!$G$41*IF(DATI!$G$218="dx",DATI!$E$61,DATI!$E$64*DATI!$E$63)*1000*C788^2*sezione!$AD$5*(1-sezione!$AD$6)</f>
        <v>-515865.91632394522</v>
      </c>
      <c r="E788" s="553">
        <f>-'Foglio deposito bis'!$F$58*(C788-sezione!$AL$30)*IF(ABS(K788)&lt;'Progetto del paramento slu'!$G$58,ABS(K788)*'Progetto del paramento slu'!$G$54,'Progetto del paramento slu'!$G$53)</f>
        <v>0</v>
      </c>
      <c r="F788" s="553">
        <f>-'Foglio deposito bis'!$F$59*(C788-sezione!$AM$30)*IF(ABS(L788)&lt;'Progetto del paramento slu'!$G$58,ABS(L788)*'Progetto del paramento slu'!$G$54,'Progetto del paramento slu'!$G$53)</f>
        <v>21833289.802587938</v>
      </c>
      <c r="G788" s="553">
        <f>-'Foglio deposito bis'!$F$60*(C788-sezione!$AN$30)*IF(ABS(M788)&lt;'Progetto del paramento slu'!$G$58,ABS(M788)*'Progetto del paramento slu'!$G$54,'Progetto del paramento slu'!$G$53)</f>
        <v>0</v>
      </c>
      <c r="H788" s="553">
        <f>-'Foglio deposito bis'!$F$61*(C788-sezione!$AO$30)*IF(ABS(N788)&lt;'Progetto del paramento slu'!$G$58,ABS(N788)*'Progetto del paramento slu'!$G$54,'Progetto del paramento slu'!$G$53)</f>
        <v>80014432.922508106</v>
      </c>
      <c r="I788" s="479">
        <f>-'Foglio deposito bis'!$F$62*(C788-sezione!$AP$30)*IF(ABS(O788)&lt;'Progetto del paramento slu'!$G$58,ABS(O788)*'Progetto del paramento slu'!$G$54,'Progetto del paramento slu'!$G$53)</f>
        <v>79333134.8034174</v>
      </c>
      <c r="J788" s="479">
        <f t="shared" si="57"/>
        <v>180664991.6121895</v>
      </c>
      <c r="K788" s="558">
        <f>'Progetto del paramento slu'!$G$60*(sezione!$AL$30-C788)/C788</f>
        <v>1.4185294366199122E-2</v>
      </c>
      <c r="L788" s="558">
        <f>'Progetto del paramento slu'!$G$60*(sezione!$AM$30-C788)/C788</f>
        <v>6.2819853873246706E-2</v>
      </c>
      <c r="M788" s="559">
        <f>'Progetto del paramento slu'!$G$60*(sezione!$AN$30-C788)/C788</f>
        <v>0.11145441338029428</v>
      </c>
      <c r="N788" s="559">
        <f>'Progetto del paramento slu'!$G$60*(sezione!$AO$30-C788)/C788</f>
        <v>0.14682500211269256</v>
      </c>
      <c r="O788" s="559">
        <f>'Progetto del paramento slu'!$G$60*(sezione!$AP$30-C788)/C788</f>
        <v>0.11145573127482636</v>
      </c>
      <c r="P788" s="553">
        <f>-'Progetto del paramento slu'!$G$47*'Progetto del paramento slu'!$G$41*IF(DATI!$G$218="dx",DATI!$E$61,DATI!$E$64*DATI!$E$63)*1000*C788*sezione!$AD$5</f>
        <v>-111585.62357727514</v>
      </c>
      <c r="Q788" s="553">
        <f>'Foglio deposito bis'!$F$58*IF(ABS(K788)&lt;'Progetto del paramento slu'!$G$58,ABS(K788)*'Progetto del paramento slu'!$G$54,'Progetto del paramento slu'!$G$53)*IF(K788&lt;0,-1,1)</f>
        <v>0</v>
      </c>
      <c r="R788" s="553">
        <f>'Foglio deposito bis'!$F$59*IF(ABS(L788)&lt;'Progetto del paramento slu'!$G$58,ABS(L788)*'Progetto del paramento slu'!$G$54,'Progetto del paramento slu'!$G$53)*IF(L788&lt;0,-1,1)</f>
        <v>153664.85805602249</v>
      </c>
      <c r="S788" s="553">
        <f>'Foglio deposito bis'!$F$60*IF(ABS(M788)&lt;'Progetto del paramento slu'!$G$58,ABS(M788)*'Progetto del paramento slu'!$G$54,'Progetto del paramento slu'!$G$53)*IF(M788&lt;0,-1,1)</f>
        <v>0</v>
      </c>
      <c r="T788" s="553">
        <f>'Foglio deposito bis'!$F$61*IF(ABS(N788)&lt;'Progetto del paramento slu'!$G$58,ABS(N788)*'Progetto del paramento slu'!$G$54,'Progetto del paramento slu'!$G$53)*IF(N788&lt;0,-1,1)</f>
        <v>240946.49743184328</v>
      </c>
      <c r="U788" s="553">
        <f>'Foglio deposito bis'!$F$62*IF(ABS(O788)&lt;'Progetto del paramento slu'!$G$58,ABS(O788)*'Progetto del paramento slu'!$G$54,'Progetto del paramento slu'!$G$53)*IF(O788&lt;0,-1,1)</f>
        <v>314705.62929873407</v>
      </c>
      <c r="V788" s="479">
        <f t="shared" si="60"/>
        <v>597731.36120932479</v>
      </c>
      <c r="W788" s="559"/>
      <c r="X788" s="559"/>
    </row>
    <row r="789" spans="1:24" x14ac:dyDescent="0.25">
      <c r="A789" s="553">
        <f t="shared" si="59"/>
        <v>594870.19137400994</v>
      </c>
      <c r="B789" s="3">
        <f t="shared" si="61"/>
        <v>2.0000000000000009</v>
      </c>
      <c r="C789" s="553">
        <f>'Foglio deposito bis'!$E$156/sezione!$B$247*B789</f>
        <v>8.1191605079629507</v>
      </c>
      <c r="D789" s="611">
        <f>-'Progetto del paramento slu'!$G$47*'Progetto del paramento slu'!$G$41*IF(DATI!$G$218="dx",DATI!$E$61,DATI!$E$64*DATI!$E$63)*1000*C789^2*sezione!$AD$5*(1-sezione!$AD$6)</f>
        <v>-542659.74103768065</v>
      </c>
      <c r="E789" s="553">
        <f>-'Foglio deposito bis'!$F$58*(C789-sezione!$AL$30)*IF(ABS(K789)&lt;'Progetto del paramento slu'!$G$58,ABS(K789)*'Progetto del paramento slu'!$G$54,'Progetto del paramento slu'!$G$53)</f>
        <v>0</v>
      </c>
      <c r="F789" s="553">
        <f>-'Foglio deposito bis'!$F$59*(C789-sezione!$AM$30)*IF(ABS(L789)&lt;'Progetto del paramento slu'!$G$58,ABS(L789)*'Progetto del paramento slu'!$G$54,'Progetto del paramento slu'!$G$53)</f>
        <v>21802099.061413184</v>
      </c>
      <c r="G789" s="553">
        <f>-'Foglio deposito bis'!$F$60*(C789-sezione!$AN$30)*IF(ABS(M789)&lt;'Progetto del paramento slu'!$G$58,ABS(M789)*'Progetto del paramento slu'!$G$54,'Progetto del paramento slu'!$G$53)</f>
        <v>0</v>
      </c>
      <c r="H789" s="553">
        <f>-'Foglio deposito bis'!$F$61*(C789-sezione!$AO$30)*IF(ABS(N789)&lt;'Progetto del paramento slu'!$G$58,ABS(N789)*'Progetto del paramento slu'!$G$54,'Progetto del paramento slu'!$G$53)</f>
        <v>79965525.840346098</v>
      </c>
      <c r="I789" s="479">
        <f>-'Foglio deposito bis'!$F$62*(C789-sezione!$AP$30)*IF(ABS(O789)&lt;'Progetto del paramento slu'!$G$58,ABS(O789)*'Progetto del paramento slu'!$G$54,'Progetto del paramento slu'!$G$53)</f>
        <v>79269256.165491492</v>
      </c>
      <c r="J789" s="479">
        <f t="shared" si="57"/>
        <v>180494221.32621309</v>
      </c>
      <c r="K789" s="558">
        <f>'Progetto del paramento slu'!$G$60*(sezione!$AL$30-C789)/C789</f>
        <v>1.3743162007044145E-2</v>
      </c>
      <c r="L789" s="558">
        <f>'Progetto del paramento slu'!$G$60*(sezione!$AM$30-C789)/C789</f>
        <v>6.116185752641555E-2</v>
      </c>
      <c r="M789" s="559">
        <f>'Progetto del paramento slu'!$G$60*(sezione!$AN$30-C789)/C789</f>
        <v>0.10858055304578694</v>
      </c>
      <c r="N789" s="559">
        <f>'Progetto del paramento slu'!$G$60*(sezione!$AO$30-C789)/C789</f>
        <v>0.14306687705987522</v>
      </c>
      <c r="O789" s="559">
        <f>'Progetto del paramento slu'!$G$60*(sezione!$AP$30-C789)/C789</f>
        <v>0.10858183799295572</v>
      </c>
      <c r="P789" s="553">
        <f>-'Progetto del paramento slu'!$G$47*'Progetto del paramento slu'!$G$41*IF(DATI!$G$218="dx",DATI!$E$61,DATI!$E$64*DATI!$E$63)*1000*C789*sezione!$AD$5</f>
        <v>-114446.79341258988</v>
      </c>
      <c r="Q789" s="553">
        <f>'Foglio deposito bis'!$F$58*IF(ABS(K789)&lt;'Progetto del paramento slu'!$G$58,ABS(K789)*'Progetto del paramento slu'!$G$54,'Progetto del paramento slu'!$G$53)*IF(K789&lt;0,-1,1)</f>
        <v>0</v>
      </c>
      <c r="R789" s="553">
        <f>'Foglio deposito bis'!$F$59*IF(ABS(L789)&lt;'Progetto del paramento slu'!$G$58,ABS(L789)*'Progetto del paramento slu'!$G$54,'Progetto del paramento slu'!$G$53)*IF(L789&lt;0,-1,1)</f>
        <v>153664.85805602249</v>
      </c>
      <c r="S789" s="553">
        <f>'Foglio deposito bis'!$F$60*IF(ABS(M789)&lt;'Progetto del paramento slu'!$G$58,ABS(M789)*'Progetto del paramento slu'!$G$54,'Progetto del paramento slu'!$G$53)*IF(M789&lt;0,-1,1)</f>
        <v>0</v>
      </c>
      <c r="T789" s="553">
        <f>'Foglio deposito bis'!$F$61*IF(ABS(N789)&lt;'Progetto del paramento slu'!$G$58,ABS(N789)*'Progetto del paramento slu'!$G$54,'Progetto del paramento slu'!$G$53)*IF(N789&lt;0,-1,1)</f>
        <v>240946.49743184328</v>
      </c>
      <c r="U789" s="553">
        <f>'Foglio deposito bis'!$F$62*IF(ABS(O789)&lt;'Progetto del paramento slu'!$G$58,ABS(O789)*'Progetto del paramento slu'!$G$54,'Progetto del paramento slu'!$G$53)*IF(O789&lt;0,-1,1)</f>
        <v>314705.62929873407</v>
      </c>
      <c r="V789" s="479">
        <f t="shared" si="60"/>
        <v>594870.19137400994</v>
      </c>
      <c r="W789" s="559"/>
      <c r="X789" s="559"/>
    </row>
    <row r="790" spans="1:24" x14ac:dyDescent="0.25">
      <c r="A790" s="553">
        <f t="shared" si="59"/>
        <v>592009.02153869532</v>
      </c>
      <c r="B790" s="3">
        <f t="shared" si="61"/>
        <v>2.0500000000000007</v>
      </c>
      <c r="C790" s="553">
        <f>'Foglio deposito bis'!$E$156/sezione!$B$247*B790</f>
        <v>8.3221395206620237</v>
      </c>
      <c r="D790" s="611">
        <f>-'Progetto del paramento slu'!$G$47*'Progetto del paramento slu'!$G$41*IF(DATI!$G$218="dx",DATI!$E$61,DATI!$E$64*DATI!$E$63)*1000*C790^2*sezione!$AD$5*(1-sezione!$AD$6)</f>
        <v>-570131.89042771317</v>
      </c>
      <c r="E790" s="553">
        <f>-'Foglio deposito bis'!$F$58*(C790-sezione!$AL$30)*IF(ABS(K790)&lt;'Progetto del paramento slu'!$G$58,ABS(K790)*'Progetto del paramento slu'!$G$54,'Progetto del paramento slu'!$G$53)</f>
        <v>0</v>
      </c>
      <c r="F790" s="553">
        <f>-'Foglio deposito bis'!$F$59*(C790-sezione!$AM$30)*IF(ABS(L790)&lt;'Progetto del paramento slu'!$G$58,ABS(L790)*'Progetto del paramento slu'!$G$54,'Progetto del paramento slu'!$G$53)</f>
        <v>21770908.320238426</v>
      </c>
      <c r="G790" s="553">
        <f>-'Foglio deposito bis'!$F$60*(C790-sezione!$AN$30)*IF(ABS(M790)&lt;'Progetto del paramento slu'!$G$58,ABS(M790)*'Progetto del paramento slu'!$G$54,'Progetto del paramento slu'!$G$53)</f>
        <v>0</v>
      </c>
      <c r="H790" s="553">
        <f>-'Foglio deposito bis'!$F$61*(C790-sezione!$AO$30)*IF(ABS(N790)&lt;'Progetto del paramento slu'!$G$58,ABS(N790)*'Progetto del paramento slu'!$G$54,'Progetto del paramento slu'!$G$53)</f>
        <v>79916618.758184075</v>
      </c>
      <c r="I790" s="479">
        <f>-'Foglio deposito bis'!$F$62*(C790-sezione!$AP$30)*IF(ABS(O790)&lt;'Progetto del paramento slu'!$G$58,ABS(O790)*'Progetto del paramento slu'!$G$54,'Progetto del paramento slu'!$G$53)</f>
        <v>79205377.527565584</v>
      </c>
      <c r="J790" s="479">
        <f t="shared" si="57"/>
        <v>180322772.71556038</v>
      </c>
      <c r="K790" s="558">
        <f>'Progetto del paramento slu'!$G$60*(sezione!$AL$30-C790)/C790</f>
        <v>1.3322597080043071E-2</v>
      </c>
      <c r="L790" s="558">
        <f>'Progetto del paramento slu'!$G$60*(sezione!$AM$30-C790)/C790</f>
        <v>5.9584739050161512E-2</v>
      </c>
      <c r="M790" s="559">
        <f>'Progetto del paramento slu'!$G$60*(sezione!$AN$30-C790)/C790</f>
        <v>0.10584688102027996</v>
      </c>
      <c r="N790" s="559">
        <f>'Progetto del paramento slu'!$G$60*(sezione!$AO$30-C790)/C790</f>
        <v>0.1394920751803661</v>
      </c>
      <c r="O790" s="559">
        <f>'Progetto del paramento slu'!$G$60*(sezione!$AP$30-C790)/C790</f>
        <v>0.10584813462727388</v>
      </c>
      <c r="P790" s="553">
        <f>-'Progetto del paramento slu'!$G$47*'Progetto del paramento slu'!$G$41*IF(DATI!$G$218="dx",DATI!$E$61,DATI!$E$64*DATI!$E$63)*1000*C790*sezione!$AD$5</f>
        <v>-117307.96324790461</v>
      </c>
      <c r="Q790" s="553">
        <f>'Foglio deposito bis'!$F$58*IF(ABS(K790)&lt;'Progetto del paramento slu'!$G$58,ABS(K790)*'Progetto del paramento slu'!$G$54,'Progetto del paramento slu'!$G$53)*IF(K790&lt;0,-1,1)</f>
        <v>0</v>
      </c>
      <c r="R790" s="553">
        <f>'Foglio deposito bis'!$F$59*IF(ABS(L790)&lt;'Progetto del paramento slu'!$G$58,ABS(L790)*'Progetto del paramento slu'!$G$54,'Progetto del paramento slu'!$G$53)*IF(L790&lt;0,-1,1)</f>
        <v>153664.85805602249</v>
      </c>
      <c r="S790" s="553">
        <f>'Foglio deposito bis'!$F$60*IF(ABS(M790)&lt;'Progetto del paramento slu'!$G$58,ABS(M790)*'Progetto del paramento slu'!$G$54,'Progetto del paramento slu'!$G$53)*IF(M790&lt;0,-1,1)</f>
        <v>0</v>
      </c>
      <c r="T790" s="553">
        <f>'Foglio deposito bis'!$F$61*IF(ABS(N790)&lt;'Progetto del paramento slu'!$G$58,ABS(N790)*'Progetto del paramento slu'!$G$54,'Progetto del paramento slu'!$G$53)*IF(N790&lt;0,-1,1)</f>
        <v>240946.49743184328</v>
      </c>
      <c r="U790" s="553">
        <f>'Foglio deposito bis'!$F$62*IF(ABS(O790)&lt;'Progetto del paramento slu'!$G$58,ABS(O790)*'Progetto del paramento slu'!$G$54,'Progetto del paramento slu'!$G$53)*IF(O790&lt;0,-1,1)</f>
        <v>314705.62929873407</v>
      </c>
      <c r="V790" s="479">
        <f t="shared" si="60"/>
        <v>592009.02153869532</v>
      </c>
      <c r="W790" s="559"/>
      <c r="X790" s="559"/>
    </row>
    <row r="791" spans="1:24" x14ac:dyDescent="0.25">
      <c r="A791" s="553">
        <f t="shared" si="59"/>
        <v>589147.85170338047</v>
      </c>
      <c r="B791" s="3">
        <f t="shared" si="61"/>
        <v>2.1000000000000005</v>
      </c>
      <c r="C791" s="553">
        <f>'Foglio deposito bis'!$E$156/sezione!$B$247*B791</f>
        <v>8.5251185333610966</v>
      </c>
      <c r="D791" s="611">
        <f>-'Progetto del paramento slu'!$G$47*'Progetto del paramento slu'!$G$41*IF(DATI!$G$218="dx",DATI!$E$61,DATI!$E$64*DATI!$E$63)*1000*C791^2*sezione!$AD$5*(1-sezione!$AD$6)</f>
        <v>-598282.36449404259</v>
      </c>
      <c r="E791" s="553">
        <f>-'Foglio deposito bis'!$F$58*(C791-sezione!$AL$30)*IF(ABS(K791)&lt;'Progetto del paramento slu'!$G$58,ABS(K791)*'Progetto del paramento slu'!$G$54,'Progetto del paramento slu'!$G$53)</f>
        <v>0</v>
      </c>
      <c r="F791" s="553">
        <f>-'Foglio deposito bis'!$F$59*(C791-sezione!$AM$30)*IF(ABS(L791)&lt;'Progetto del paramento slu'!$G$58,ABS(L791)*'Progetto del paramento slu'!$G$54,'Progetto del paramento slu'!$G$53)</f>
        <v>21739717.579063673</v>
      </c>
      <c r="G791" s="553">
        <f>-'Foglio deposito bis'!$F$60*(C791-sezione!$AN$30)*IF(ABS(M791)&lt;'Progetto del paramento slu'!$G$58,ABS(M791)*'Progetto del paramento slu'!$G$54,'Progetto del paramento slu'!$G$53)</f>
        <v>0</v>
      </c>
      <c r="H791" s="553">
        <f>-'Foglio deposito bis'!$F$61*(C791-sezione!$AO$30)*IF(ABS(N791)&lt;'Progetto del paramento slu'!$G$58,ABS(N791)*'Progetto del paramento slu'!$G$54,'Progetto del paramento slu'!$G$53)</f>
        <v>79867711.676022068</v>
      </c>
      <c r="I791" s="479">
        <f>-'Foglio deposito bis'!$F$62*(C791-sezione!$AP$30)*IF(ABS(O791)&lt;'Progetto del paramento slu'!$G$58,ABS(O791)*'Progetto del paramento slu'!$G$54,'Progetto del paramento slu'!$G$53)</f>
        <v>79141498.889639691</v>
      </c>
      <c r="J791" s="479">
        <f t="shared" si="57"/>
        <v>180150645.78023139</v>
      </c>
      <c r="K791" s="558">
        <f>'Progetto del paramento slu'!$G$60*(sezione!$AL$30-C791)/C791</f>
        <v>1.2922059054327761E-2</v>
      </c>
      <c r="L791" s="558">
        <f>'Progetto del paramento slu'!$G$60*(sezione!$AM$30-C791)/C791</f>
        <v>5.80827214537291E-2</v>
      </c>
      <c r="M791" s="559">
        <f>'Progetto del paramento slu'!$G$60*(sezione!$AN$30-C791)/C791</f>
        <v>0.10324338385313045</v>
      </c>
      <c r="N791" s="559">
        <f>'Progetto del paramento slu'!$G$60*(sezione!$AO$30-C791)/C791</f>
        <v>0.13608750196178596</v>
      </c>
      <c r="O791" s="559">
        <f>'Progetto del paramento slu'!$G$60*(sezione!$AP$30-C791)/C791</f>
        <v>0.10324460761233879</v>
      </c>
      <c r="P791" s="553">
        <f>-'Progetto del paramento slu'!$G$47*'Progetto del paramento slu'!$G$41*IF(DATI!$G$218="dx",DATI!$E$61,DATI!$E$64*DATI!$E$63)*1000*C791*sezione!$AD$5</f>
        <v>-120169.13308321935</v>
      </c>
      <c r="Q791" s="553">
        <f>'Foglio deposito bis'!$F$58*IF(ABS(K791)&lt;'Progetto del paramento slu'!$G$58,ABS(K791)*'Progetto del paramento slu'!$G$54,'Progetto del paramento slu'!$G$53)*IF(K791&lt;0,-1,1)</f>
        <v>0</v>
      </c>
      <c r="R791" s="553">
        <f>'Foglio deposito bis'!$F$59*IF(ABS(L791)&lt;'Progetto del paramento slu'!$G$58,ABS(L791)*'Progetto del paramento slu'!$G$54,'Progetto del paramento slu'!$G$53)*IF(L791&lt;0,-1,1)</f>
        <v>153664.85805602249</v>
      </c>
      <c r="S791" s="553">
        <f>'Foglio deposito bis'!$F$60*IF(ABS(M791)&lt;'Progetto del paramento slu'!$G$58,ABS(M791)*'Progetto del paramento slu'!$G$54,'Progetto del paramento slu'!$G$53)*IF(M791&lt;0,-1,1)</f>
        <v>0</v>
      </c>
      <c r="T791" s="553">
        <f>'Foglio deposito bis'!$F$61*IF(ABS(N791)&lt;'Progetto del paramento slu'!$G$58,ABS(N791)*'Progetto del paramento slu'!$G$54,'Progetto del paramento slu'!$G$53)*IF(N791&lt;0,-1,1)</f>
        <v>240946.49743184328</v>
      </c>
      <c r="U791" s="553">
        <f>'Foglio deposito bis'!$F$62*IF(ABS(O791)&lt;'Progetto del paramento slu'!$G$58,ABS(O791)*'Progetto del paramento slu'!$G$54,'Progetto del paramento slu'!$G$53)*IF(O791&lt;0,-1,1)</f>
        <v>314705.62929873407</v>
      </c>
      <c r="V791" s="479">
        <f t="shared" si="60"/>
        <v>589147.85170338047</v>
      </c>
      <c r="W791" s="559"/>
      <c r="X791" s="559"/>
    </row>
    <row r="792" spans="1:24" x14ac:dyDescent="0.25">
      <c r="A792" s="553">
        <f t="shared" si="59"/>
        <v>586286.68186806585</v>
      </c>
      <c r="B792" s="3">
        <f t="shared" si="61"/>
        <v>2.1500000000000004</v>
      </c>
      <c r="C792" s="553">
        <f>'Foglio deposito bis'!$E$156/sezione!$B$247*B792</f>
        <v>8.7280975460601695</v>
      </c>
      <c r="D792" s="611">
        <f>-'Progetto del paramento slu'!$G$47*'Progetto del paramento slu'!$G$41*IF(DATI!$G$218="dx",DATI!$E$61,DATI!$E$64*DATI!$E$63)*1000*C792^2*sezione!$AD$5*(1-sezione!$AD$6)</f>
        <v>-627111.16323666938</v>
      </c>
      <c r="E792" s="553">
        <f>-'Foglio deposito bis'!$F$58*(C792-sezione!$AL$30)*IF(ABS(K792)&lt;'Progetto del paramento slu'!$G$58,ABS(K792)*'Progetto del paramento slu'!$G$54,'Progetto del paramento slu'!$G$53)</f>
        <v>0</v>
      </c>
      <c r="F792" s="553">
        <f>-'Foglio deposito bis'!$F$59*(C792-sezione!$AM$30)*IF(ABS(L792)&lt;'Progetto del paramento slu'!$G$58,ABS(L792)*'Progetto del paramento slu'!$G$54,'Progetto del paramento slu'!$G$53)</f>
        <v>21708526.837888923</v>
      </c>
      <c r="G792" s="553">
        <f>-'Foglio deposito bis'!$F$60*(C792-sezione!$AN$30)*IF(ABS(M792)&lt;'Progetto del paramento slu'!$G$58,ABS(M792)*'Progetto del paramento slu'!$G$54,'Progetto del paramento slu'!$G$53)</f>
        <v>0</v>
      </c>
      <c r="H792" s="553">
        <f>-'Foglio deposito bis'!$F$61*(C792-sezione!$AO$30)*IF(ABS(N792)&lt;'Progetto del paramento slu'!$G$58,ABS(N792)*'Progetto del paramento slu'!$G$54,'Progetto del paramento slu'!$G$53)</f>
        <v>79818804.593860045</v>
      </c>
      <c r="I792" s="479">
        <f>-'Foglio deposito bis'!$F$62*(C792-sezione!$AP$30)*IF(ABS(O792)&lt;'Progetto del paramento slu'!$G$58,ABS(O792)*'Progetto del paramento slu'!$G$54,'Progetto del paramento slu'!$G$53)</f>
        <v>79077620.251713812</v>
      </c>
      <c r="J792" s="479">
        <f t="shared" si="57"/>
        <v>179977840.52022612</v>
      </c>
      <c r="K792" s="558">
        <f>'Progetto del paramento slu'!$G$60*(sezione!$AL$30-C792)/C792</f>
        <v>1.2540150704227118E-2</v>
      </c>
      <c r="L792" s="558">
        <f>'Progetto del paramento slu'!$G$60*(sezione!$AM$30-C792)/C792</f>
        <v>5.6650565140851698E-2</v>
      </c>
      <c r="M792" s="559">
        <f>'Progetto del paramento slu'!$G$60*(sezione!$AN$30-C792)/C792</f>
        <v>0.10076097957747628</v>
      </c>
      <c r="N792" s="559">
        <f>'Progetto del paramento slu'!$G$60*(sezione!$AO$30-C792)/C792</f>
        <v>0.13284128098593051</v>
      </c>
      <c r="O792" s="559">
        <f>'Progetto del paramento slu'!$G$60*(sezione!$AP$30-C792)/C792</f>
        <v>0.10076217487716815</v>
      </c>
      <c r="P792" s="553">
        <f>-'Progetto del paramento slu'!$G$47*'Progetto del paramento slu'!$G$41*IF(DATI!$G$218="dx",DATI!$E$61,DATI!$E$64*DATI!$E$63)*1000*C792*sezione!$AD$5</f>
        <v>-123030.30291853409</v>
      </c>
      <c r="Q792" s="553">
        <f>'Foglio deposito bis'!$F$58*IF(ABS(K792)&lt;'Progetto del paramento slu'!$G$58,ABS(K792)*'Progetto del paramento slu'!$G$54,'Progetto del paramento slu'!$G$53)*IF(K792&lt;0,-1,1)</f>
        <v>0</v>
      </c>
      <c r="R792" s="553">
        <f>'Foglio deposito bis'!$F$59*IF(ABS(L792)&lt;'Progetto del paramento slu'!$G$58,ABS(L792)*'Progetto del paramento slu'!$G$54,'Progetto del paramento slu'!$G$53)*IF(L792&lt;0,-1,1)</f>
        <v>153664.85805602249</v>
      </c>
      <c r="S792" s="553">
        <f>'Foglio deposito bis'!$F$60*IF(ABS(M792)&lt;'Progetto del paramento slu'!$G$58,ABS(M792)*'Progetto del paramento slu'!$G$54,'Progetto del paramento slu'!$G$53)*IF(M792&lt;0,-1,1)</f>
        <v>0</v>
      </c>
      <c r="T792" s="553">
        <f>'Foglio deposito bis'!$F$61*IF(ABS(N792)&lt;'Progetto del paramento slu'!$G$58,ABS(N792)*'Progetto del paramento slu'!$G$54,'Progetto del paramento slu'!$G$53)*IF(N792&lt;0,-1,1)</f>
        <v>240946.49743184328</v>
      </c>
      <c r="U792" s="553">
        <f>'Foglio deposito bis'!$F$62*IF(ABS(O792)&lt;'Progetto del paramento slu'!$G$58,ABS(O792)*'Progetto del paramento slu'!$G$54,'Progetto del paramento slu'!$G$53)*IF(O792&lt;0,-1,1)</f>
        <v>314705.62929873407</v>
      </c>
      <c r="V792" s="479">
        <f t="shared" si="60"/>
        <v>586286.68186806585</v>
      </c>
      <c r="W792" s="559"/>
      <c r="X792" s="559"/>
    </row>
    <row r="793" spans="1:24" x14ac:dyDescent="0.25">
      <c r="A793" s="553">
        <f t="shared" si="59"/>
        <v>583425.51203275099</v>
      </c>
      <c r="B793" s="3">
        <f t="shared" si="61"/>
        <v>2.2000000000000002</v>
      </c>
      <c r="C793" s="553">
        <f>'Foglio deposito bis'!$E$156/sezione!$B$247*B793</f>
        <v>8.9310765587592424</v>
      </c>
      <c r="D793" s="611">
        <f>-'Progetto del paramento slu'!$G$47*'Progetto del paramento slu'!$G$41*IF(DATI!$G$218="dx",DATI!$E$61,DATI!$E$64*DATI!$E$63)*1000*C793^2*sezione!$AD$5*(1-sezione!$AD$6)</f>
        <v>-656618.28665559296</v>
      </c>
      <c r="E793" s="553">
        <f>-'Foglio deposito bis'!$F$58*(C793-sezione!$AL$30)*IF(ABS(K793)&lt;'Progetto del paramento slu'!$G$58,ABS(K793)*'Progetto del paramento slu'!$G$54,'Progetto del paramento slu'!$G$53)</f>
        <v>0</v>
      </c>
      <c r="F793" s="553">
        <f>-'Foglio deposito bis'!$F$59*(C793-sezione!$AM$30)*IF(ABS(L793)&lt;'Progetto del paramento slu'!$G$58,ABS(L793)*'Progetto del paramento slu'!$G$54,'Progetto del paramento slu'!$G$53)</f>
        <v>21677336.096714165</v>
      </c>
      <c r="G793" s="553">
        <f>-'Foglio deposito bis'!$F$60*(C793-sezione!$AN$30)*IF(ABS(M793)&lt;'Progetto del paramento slu'!$G$58,ABS(M793)*'Progetto del paramento slu'!$G$54,'Progetto del paramento slu'!$G$53)</f>
        <v>0</v>
      </c>
      <c r="H793" s="553">
        <f>-'Foglio deposito bis'!$F$61*(C793-sezione!$AO$30)*IF(ABS(N793)&lt;'Progetto del paramento slu'!$G$58,ABS(N793)*'Progetto del paramento slu'!$G$54,'Progetto del paramento slu'!$G$53)</f>
        <v>79769897.511698037</v>
      </c>
      <c r="I793" s="479">
        <f>-'Foglio deposito bis'!$F$62*(C793-sezione!$AP$30)*IF(ABS(O793)&lt;'Progetto del paramento slu'!$G$58,ABS(O793)*'Progetto del paramento slu'!$G$54,'Progetto del paramento slu'!$G$53)</f>
        <v>79013741.613787919</v>
      </c>
      <c r="J793" s="479">
        <f t="shared" si="57"/>
        <v>179804356.93554452</v>
      </c>
      <c r="K793" s="558">
        <f>'Progetto del paramento slu'!$G$60*(sezione!$AL$30-C793)/C793</f>
        <v>1.2175601824585592E-2</v>
      </c>
      <c r="L793" s="558">
        <f>'Progetto del paramento slu'!$G$60*(sezione!$AM$30-C793)/C793</f>
        <v>5.5283506842195983E-2</v>
      </c>
      <c r="M793" s="559">
        <f>'Progetto del paramento slu'!$G$60*(sezione!$AN$30-C793)/C793</f>
        <v>9.8391411859806363E-2</v>
      </c>
      <c r="N793" s="559">
        <f>'Progetto del paramento slu'!$G$60*(sezione!$AO$30-C793)/C793</f>
        <v>0.12974261550897753</v>
      </c>
      <c r="O793" s="559">
        <f>'Progetto del paramento slu'!$G$60*(sezione!$AP$30-C793)/C793</f>
        <v>9.8392579993596158E-2</v>
      </c>
      <c r="P793" s="553">
        <f>-'Progetto del paramento slu'!$G$47*'Progetto del paramento slu'!$G$41*IF(DATI!$G$218="dx",DATI!$E$61,DATI!$E$64*DATI!$E$63)*1000*C793*sezione!$AD$5</f>
        <v>-125891.47275384882</v>
      </c>
      <c r="Q793" s="553">
        <f>'Foglio deposito bis'!$F$58*IF(ABS(K793)&lt;'Progetto del paramento slu'!$G$58,ABS(K793)*'Progetto del paramento slu'!$G$54,'Progetto del paramento slu'!$G$53)*IF(K793&lt;0,-1,1)</f>
        <v>0</v>
      </c>
      <c r="R793" s="553">
        <f>'Foglio deposito bis'!$F$59*IF(ABS(L793)&lt;'Progetto del paramento slu'!$G$58,ABS(L793)*'Progetto del paramento slu'!$G$54,'Progetto del paramento slu'!$G$53)*IF(L793&lt;0,-1,1)</f>
        <v>153664.85805602249</v>
      </c>
      <c r="S793" s="553">
        <f>'Foglio deposito bis'!$F$60*IF(ABS(M793)&lt;'Progetto del paramento slu'!$G$58,ABS(M793)*'Progetto del paramento slu'!$G$54,'Progetto del paramento slu'!$G$53)*IF(M793&lt;0,-1,1)</f>
        <v>0</v>
      </c>
      <c r="T793" s="553">
        <f>'Foglio deposito bis'!$F$61*IF(ABS(N793)&lt;'Progetto del paramento slu'!$G$58,ABS(N793)*'Progetto del paramento slu'!$G$54,'Progetto del paramento slu'!$G$53)*IF(N793&lt;0,-1,1)</f>
        <v>240946.49743184328</v>
      </c>
      <c r="U793" s="553">
        <f>'Foglio deposito bis'!$F$62*IF(ABS(O793)&lt;'Progetto del paramento slu'!$G$58,ABS(O793)*'Progetto del paramento slu'!$G$54,'Progetto del paramento slu'!$G$53)*IF(O793&lt;0,-1,1)</f>
        <v>314705.62929873407</v>
      </c>
      <c r="V793" s="479">
        <f t="shared" si="60"/>
        <v>583425.51203275099</v>
      </c>
      <c r="W793" s="559"/>
      <c r="X793" s="559"/>
    </row>
    <row r="794" spans="1:24" x14ac:dyDescent="0.25">
      <c r="A794" s="553">
        <f t="shared" si="59"/>
        <v>580564.34219743637</v>
      </c>
      <c r="B794" s="3">
        <f t="shared" si="61"/>
        <v>2.25</v>
      </c>
      <c r="C794" s="553">
        <f>'Foglio deposito bis'!$E$156/sezione!$B$247*B794</f>
        <v>9.1340555714583154</v>
      </c>
      <c r="D794" s="611">
        <f>-'Progetto del paramento slu'!$G$47*'Progetto del paramento slu'!$G$41*IF(DATI!$G$218="dx",DATI!$E$61,DATI!$E$64*DATI!$E$63)*1000*C794^2*sezione!$AD$5*(1-sezione!$AD$6)</f>
        <v>-686803.7347508138</v>
      </c>
      <c r="E794" s="553">
        <f>-'Foglio deposito bis'!$F$58*(C794-sezione!$AL$30)*IF(ABS(K794)&lt;'Progetto del paramento slu'!$G$58,ABS(K794)*'Progetto del paramento slu'!$G$54,'Progetto del paramento slu'!$G$53)</f>
        <v>0</v>
      </c>
      <c r="F794" s="553">
        <f>-'Foglio deposito bis'!$F$59*(C794-sezione!$AM$30)*IF(ABS(L794)&lt;'Progetto del paramento slu'!$G$58,ABS(L794)*'Progetto del paramento slu'!$G$54,'Progetto del paramento slu'!$G$53)</f>
        <v>21646145.355539411</v>
      </c>
      <c r="G794" s="553">
        <f>-'Foglio deposito bis'!$F$60*(C794-sezione!$AN$30)*IF(ABS(M794)&lt;'Progetto del paramento slu'!$G$58,ABS(M794)*'Progetto del paramento slu'!$G$54,'Progetto del paramento slu'!$G$53)</f>
        <v>0</v>
      </c>
      <c r="H794" s="553">
        <f>-'Foglio deposito bis'!$F$61*(C794-sezione!$AO$30)*IF(ABS(N794)&lt;'Progetto del paramento slu'!$G$58,ABS(N794)*'Progetto del paramento slu'!$G$54,'Progetto del paramento slu'!$G$53)</f>
        <v>79720990.429536015</v>
      </c>
      <c r="I794" s="479">
        <f>-'Foglio deposito bis'!$F$62*(C794-sezione!$AP$30)*IF(ABS(O794)&lt;'Progetto del paramento slu'!$G$58,ABS(O794)*'Progetto del paramento slu'!$G$54,'Progetto del paramento slu'!$G$53)</f>
        <v>78949862.975862011</v>
      </c>
      <c r="J794" s="479">
        <f t="shared" si="57"/>
        <v>179630195.02618665</v>
      </c>
      <c r="K794" s="558">
        <f>'Progetto del paramento slu'!$G$60*(sezione!$AL$30-C794)/C794</f>
        <v>1.182725511737258E-2</v>
      </c>
      <c r="L794" s="558">
        <f>'Progetto del paramento slu'!$G$60*(sezione!$AM$30-C794)/C794</f>
        <v>5.3977206690147182E-2</v>
      </c>
      <c r="M794" s="559">
        <f>'Progetto del paramento slu'!$G$60*(sezione!$AN$30-C794)/C794</f>
        <v>9.6127158262921786E-2</v>
      </c>
      <c r="N794" s="559">
        <f>'Progetto del paramento slu'!$G$60*(sezione!$AO$30-C794)/C794</f>
        <v>0.12678166849766695</v>
      </c>
      <c r="O794" s="559">
        <f>'Progetto del paramento slu'!$G$60*(sezione!$AP$30-C794)/C794</f>
        <v>9.6128300438182906E-2</v>
      </c>
      <c r="P794" s="553">
        <f>-'Progetto del paramento slu'!$G$47*'Progetto del paramento slu'!$G$41*IF(DATI!$G$218="dx",DATI!$E$61,DATI!$E$64*DATI!$E$63)*1000*C794*sezione!$AD$5</f>
        <v>-128752.64258916356</v>
      </c>
      <c r="Q794" s="553">
        <f>'Foglio deposito bis'!$F$58*IF(ABS(K794)&lt;'Progetto del paramento slu'!$G$58,ABS(K794)*'Progetto del paramento slu'!$G$54,'Progetto del paramento slu'!$G$53)*IF(K794&lt;0,-1,1)</f>
        <v>0</v>
      </c>
      <c r="R794" s="553">
        <f>'Foglio deposito bis'!$F$59*IF(ABS(L794)&lt;'Progetto del paramento slu'!$G$58,ABS(L794)*'Progetto del paramento slu'!$G$54,'Progetto del paramento slu'!$G$53)*IF(L794&lt;0,-1,1)</f>
        <v>153664.85805602249</v>
      </c>
      <c r="S794" s="553">
        <f>'Foglio deposito bis'!$F$60*IF(ABS(M794)&lt;'Progetto del paramento slu'!$G$58,ABS(M794)*'Progetto del paramento slu'!$G$54,'Progetto del paramento slu'!$G$53)*IF(M794&lt;0,-1,1)</f>
        <v>0</v>
      </c>
      <c r="T794" s="553">
        <f>'Foglio deposito bis'!$F$61*IF(ABS(N794)&lt;'Progetto del paramento slu'!$G$58,ABS(N794)*'Progetto del paramento slu'!$G$54,'Progetto del paramento slu'!$G$53)*IF(N794&lt;0,-1,1)</f>
        <v>240946.49743184328</v>
      </c>
      <c r="U794" s="553">
        <f>'Foglio deposito bis'!$F$62*IF(ABS(O794)&lt;'Progetto del paramento slu'!$G$58,ABS(O794)*'Progetto del paramento slu'!$G$54,'Progetto del paramento slu'!$G$53)*IF(O794&lt;0,-1,1)</f>
        <v>314705.62929873407</v>
      </c>
      <c r="V794" s="479">
        <f t="shared" si="60"/>
        <v>580564.34219743637</v>
      </c>
      <c r="W794" s="559"/>
      <c r="X794" s="559"/>
    </row>
    <row r="795" spans="1:24" x14ac:dyDescent="0.25">
      <c r="A795" s="553">
        <f t="shared" si="59"/>
        <v>577703.17236212152</v>
      </c>
      <c r="B795" s="3">
        <f t="shared" si="61"/>
        <v>2.2999999999999998</v>
      </c>
      <c r="C795" s="553">
        <f>'Foglio deposito bis'!$E$156/sezione!$B$247*B795</f>
        <v>9.3370345841573883</v>
      </c>
      <c r="D795" s="611">
        <f>-'Progetto del paramento slu'!$G$47*'Progetto del paramento slu'!$G$41*IF(DATI!$G$218="dx",DATI!$E$61,DATI!$E$64*DATI!$E$63)*1000*C795^2*sezione!$AD$5*(1-sezione!$AD$6)</f>
        <v>-717667.5075223319</v>
      </c>
      <c r="E795" s="553">
        <f>-'Foglio deposito bis'!$F$58*(C795-sezione!$AL$30)*IF(ABS(K795)&lt;'Progetto del paramento slu'!$G$58,ABS(K795)*'Progetto del paramento slu'!$G$54,'Progetto del paramento slu'!$G$53)</f>
        <v>0</v>
      </c>
      <c r="F795" s="553">
        <f>-'Foglio deposito bis'!$F$59*(C795-sezione!$AM$30)*IF(ABS(L795)&lt;'Progetto del paramento slu'!$G$58,ABS(L795)*'Progetto del paramento slu'!$G$54,'Progetto del paramento slu'!$G$53)</f>
        <v>21614954.614364658</v>
      </c>
      <c r="G795" s="553">
        <f>-'Foglio deposito bis'!$F$60*(C795-sezione!$AN$30)*IF(ABS(M795)&lt;'Progetto del paramento slu'!$G$58,ABS(M795)*'Progetto del paramento slu'!$G$54,'Progetto del paramento slu'!$G$53)</f>
        <v>0</v>
      </c>
      <c r="H795" s="553">
        <f>-'Foglio deposito bis'!$F$61*(C795-sezione!$AO$30)*IF(ABS(N795)&lt;'Progetto del paramento slu'!$G$58,ABS(N795)*'Progetto del paramento slu'!$G$54,'Progetto del paramento slu'!$G$53)</f>
        <v>79672083.347374007</v>
      </c>
      <c r="I795" s="479">
        <f>-'Foglio deposito bis'!$F$62*(C795-sezione!$AP$30)*IF(ABS(O795)&lt;'Progetto del paramento slu'!$G$58,ABS(O795)*'Progetto del paramento slu'!$G$54,'Progetto del paramento slu'!$G$53)</f>
        <v>78885984.337936103</v>
      </c>
      <c r="J795" s="479">
        <f t="shared" si="57"/>
        <v>179455354.79215243</v>
      </c>
      <c r="K795" s="558">
        <f>'Progetto del paramento slu'!$G$60*(sezione!$AL$30-C795)/C795</f>
        <v>1.149405391916883E-2</v>
      </c>
      <c r="L795" s="558">
        <f>'Progetto del paramento slu'!$G$60*(sezione!$AM$30-C795)/C795</f>
        <v>5.2727702196883115E-2</v>
      </c>
      <c r="M795" s="559">
        <f>'Progetto del paramento slu'!$G$60*(sezione!$AN$30-C795)/C795</f>
        <v>9.3961350474597402E-2</v>
      </c>
      <c r="N795" s="559">
        <f>'Progetto del paramento slu'!$G$60*(sezione!$AO$30-C795)/C795</f>
        <v>0.12394945831293507</v>
      </c>
      <c r="O795" s="559">
        <f>'Progetto del paramento slu'!$G$60*(sezione!$AP$30-C795)/C795</f>
        <v>9.3962467819961537E-2</v>
      </c>
      <c r="P795" s="553">
        <f>-'Progetto del paramento slu'!$G$47*'Progetto del paramento slu'!$G$41*IF(DATI!$G$218="dx",DATI!$E$61,DATI!$E$64*DATI!$E$63)*1000*C795*sezione!$AD$5</f>
        <v>-131613.81242447827</v>
      </c>
      <c r="Q795" s="553">
        <f>'Foglio deposito bis'!$F$58*IF(ABS(K795)&lt;'Progetto del paramento slu'!$G$58,ABS(K795)*'Progetto del paramento slu'!$G$54,'Progetto del paramento slu'!$G$53)*IF(K795&lt;0,-1,1)</f>
        <v>0</v>
      </c>
      <c r="R795" s="553">
        <f>'Foglio deposito bis'!$F$59*IF(ABS(L795)&lt;'Progetto del paramento slu'!$G$58,ABS(L795)*'Progetto del paramento slu'!$G$54,'Progetto del paramento slu'!$G$53)*IF(L795&lt;0,-1,1)</f>
        <v>153664.85805602249</v>
      </c>
      <c r="S795" s="553">
        <f>'Foglio deposito bis'!$F$60*IF(ABS(M795)&lt;'Progetto del paramento slu'!$G$58,ABS(M795)*'Progetto del paramento slu'!$G$54,'Progetto del paramento slu'!$G$53)*IF(M795&lt;0,-1,1)</f>
        <v>0</v>
      </c>
      <c r="T795" s="553">
        <f>'Foglio deposito bis'!$F$61*IF(ABS(N795)&lt;'Progetto del paramento slu'!$G$58,ABS(N795)*'Progetto del paramento slu'!$G$54,'Progetto del paramento slu'!$G$53)*IF(N795&lt;0,-1,1)</f>
        <v>240946.49743184328</v>
      </c>
      <c r="U795" s="553">
        <f>'Foglio deposito bis'!$F$62*IF(ABS(O795)&lt;'Progetto del paramento slu'!$G$58,ABS(O795)*'Progetto del paramento slu'!$G$54,'Progetto del paramento slu'!$G$53)*IF(O795&lt;0,-1,1)</f>
        <v>314705.62929873407</v>
      </c>
      <c r="V795" s="479">
        <f t="shared" si="60"/>
        <v>577703.17236212152</v>
      </c>
      <c r="W795" s="559"/>
      <c r="X795" s="559"/>
    </row>
    <row r="796" spans="1:24" x14ac:dyDescent="0.25">
      <c r="A796" s="553">
        <f t="shared" si="59"/>
        <v>574842.0025268069</v>
      </c>
      <c r="B796" s="3">
        <f t="shared" si="61"/>
        <v>2.3499999999999996</v>
      </c>
      <c r="C796" s="553">
        <f>'Foglio deposito bis'!$E$156/sezione!$B$247*B796</f>
        <v>9.5400135968564612</v>
      </c>
      <c r="D796" s="611">
        <f>-'Progetto del paramento slu'!$G$47*'Progetto del paramento slu'!$G$41*IF(DATI!$G$218="dx",DATI!$E$61,DATI!$E$64*DATI!$E$63)*1000*C796^2*sezione!$AD$5*(1-sezione!$AD$6)</f>
        <v>-749209.6049701469</v>
      </c>
      <c r="E796" s="553">
        <f>-'Foglio deposito bis'!$F$58*(C796-sezione!$AL$30)*IF(ABS(K796)&lt;'Progetto del paramento slu'!$G$58,ABS(K796)*'Progetto del paramento slu'!$G$54,'Progetto del paramento slu'!$G$53)</f>
        <v>0</v>
      </c>
      <c r="F796" s="553">
        <f>-'Foglio deposito bis'!$F$59*(C796-sezione!$AM$30)*IF(ABS(L796)&lt;'Progetto del paramento slu'!$G$58,ABS(L796)*'Progetto del paramento slu'!$G$54,'Progetto del paramento slu'!$G$53)</f>
        <v>21583763.873189904</v>
      </c>
      <c r="G796" s="553">
        <f>-'Foglio deposito bis'!$F$60*(C796-sezione!$AN$30)*IF(ABS(M796)&lt;'Progetto del paramento slu'!$G$58,ABS(M796)*'Progetto del paramento slu'!$G$54,'Progetto del paramento slu'!$G$53)</f>
        <v>0</v>
      </c>
      <c r="H796" s="553">
        <f>-'Foglio deposito bis'!$F$61*(C796-sezione!$AO$30)*IF(ABS(N796)&lt;'Progetto del paramento slu'!$G$58,ABS(N796)*'Progetto del paramento slu'!$G$54,'Progetto del paramento slu'!$G$53)</f>
        <v>79623176.265211985</v>
      </c>
      <c r="I796" s="479">
        <f>-'Foglio deposito bis'!$F$62*(C796-sezione!$AP$30)*IF(ABS(O796)&lt;'Progetto del paramento slu'!$G$58,ABS(O796)*'Progetto del paramento slu'!$G$54,'Progetto del paramento slu'!$G$53)</f>
        <v>78822105.70001021</v>
      </c>
      <c r="J796" s="479">
        <f t="shared" si="57"/>
        <v>179279836.23344195</v>
      </c>
      <c r="K796" s="558">
        <f>'Progetto del paramento slu'!$G$60*(sezione!$AL$30-C796)/C796</f>
        <v>1.117503149535673E-2</v>
      </c>
      <c r="L796" s="558">
        <f>'Progetto del paramento slu'!$G$60*(sezione!$AM$30-C796)/C796</f>
        <v>5.1531368107587738E-2</v>
      </c>
      <c r="M796" s="559">
        <f>'Progetto del paramento slu'!$G$60*(sezione!$AN$30-C796)/C796</f>
        <v>9.1887704719818747E-2</v>
      </c>
      <c r="N796" s="559">
        <f>'Progetto del paramento slu'!$G$60*(sezione!$AO$30-C796)/C796</f>
        <v>0.12123776771053221</v>
      </c>
      <c r="O796" s="559">
        <f>'Progetto del paramento slu'!$G$60*(sezione!$AP$30-C796)/C796</f>
        <v>9.1888798291877266E-2</v>
      </c>
      <c r="P796" s="553">
        <f>-'Progetto del paramento slu'!$G$47*'Progetto del paramento slu'!$G$41*IF(DATI!$G$218="dx",DATI!$E$61,DATI!$E$64*DATI!$E$63)*1000*C796*sezione!$AD$5</f>
        <v>-134474.982259793</v>
      </c>
      <c r="Q796" s="553">
        <f>'Foglio deposito bis'!$F$58*IF(ABS(K796)&lt;'Progetto del paramento slu'!$G$58,ABS(K796)*'Progetto del paramento slu'!$G$54,'Progetto del paramento slu'!$G$53)*IF(K796&lt;0,-1,1)</f>
        <v>0</v>
      </c>
      <c r="R796" s="553">
        <f>'Foglio deposito bis'!$F$59*IF(ABS(L796)&lt;'Progetto del paramento slu'!$G$58,ABS(L796)*'Progetto del paramento slu'!$G$54,'Progetto del paramento slu'!$G$53)*IF(L796&lt;0,-1,1)</f>
        <v>153664.85805602249</v>
      </c>
      <c r="S796" s="553">
        <f>'Foglio deposito bis'!$F$60*IF(ABS(M796)&lt;'Progetto del paramento slu'!$G$58,ABS(M796)*'Progetto del paramento slu'!$G$54,'Progetto del paramento slu'!$G$53)*IF(M796&lt;0,-1,1)</f>
        <v>0</v>
      </c>
      <c r="T796" s="553">
        <f>'Foglio deposito bis'!$F$61*IF(ABS(N796)&lt;'Progetto del paramento slu'!$G$58,ABS(N796)*'Progetto del paramento slu'!$G$54,'Progetto del paramento slu'!$G$53)*IF(N796&lt;0,-1,1)</f>
        <v>240946.49743184328</v>
      </c>
      <c r="U796" s="553">
        <f>'Foglio deposito bis'!$F$62*IF(ABS(O796)&lt;'Progetto del paramento slu'!$G$58,ABS(O796)*'Progetto del paramento slu'!$G$54,'Progetto del paramento slu'!$G$53)*IF(O796&lt;0,-1,1)</f>
        <v>314705.62929873407</v>
      </c>
      <c r="V796" s="479">
        <f t="shared" si="60"/>
        <v>574842.0025268069</v>
      </c>
      <c r="W796" s="559"/>
      <c r="X796" s="559"/>
    </row>
    <row r="797" spans="1:24" x14ac:dyDescent="0.25">
      <c r="A797" s="553">
        <f t="shared" si="59"/>
        <v>571980.83269149205</v>
      </c>
      <c r="B797" s="3">
        <f t="shared" si="61"/>
        <v>2.3999999999999995</v>
      </c>
      <c r="C797" s="553">
        <f>'Foglio deposito bis'!$E$156/sezione!$B$247*B797</f>
        <v>9.7429926095555341</v>
      </c>
      <c r="D797" s="611">
        <f>-'Progetto del paramento slu'!$G$47*'Progetto del paramento slu'!$G$41*IF(DATI!$G$218="dx",DATI!$E$61,DATI!$E$64*DATI!$E$63)*1000*C797^2*sezione!$AD$5*(1-sezione!$AD$6)</f>
        <v>-781430.02709425904</v>
      </c>
      <c r="E797" s="553">
        <f>-'Foglio deposito bis'!$F$58*(C797-sezione!$AL$30)*IF(ABS(K797)&lt;'Progetto del paramento slu'!$G$58,ABS(K797)*'Progetto del paramento slu'!$G$54,'Progetto del paramento slu'!$G$53)</f>
        <v>0</v>
      </c>
      <c r="F797" s="553">
        <f>-'Foglio deposito bis'!$F$59*(C797-sezione!$AM$30)*IF(ABS(L797)&lt;'Progetto del paramento slu'!$G$58,ABS(L797)*'Progetto del paramento slu'!$G$54,'Progetto del paramento slu'!$G$53)</f>
        <v>21552573.132015146</v>
      </c>
      <c r="G797" s="553">
        <f>-'Foglio deposito bis'!$F$60*(C797-sezione!$AN$30)*IF(ABS(M797)&lt;'Progetto del paramento slu'!$G$58,ABS(M797)*'Progetto del paramento slu'!$G$54,'Progetto del paramento slu'!$G$53)</f>
        <v>0</v>
      </c>
      <c r="H797" s="553">
        <f>-'Foglio deposito bis'!$F$61*(C797-sezione!$AO$30)*IF(ABS(N797)&lt;'Progetto del paramento slu'!$G$58,ABS(N797)*'Progetto del paramento slu'!$G$54,'Progetto del paramento slu'!$G$53)</f>
        <v>79574269.183049977</v>
      </c>
      <c r="I797" s="479">
        <f>-'Foglio deposito bis'!$F$62*(C797-sezione!$AP$30)*IF(ABS(O797)&lt;'Progetto del paramento slu'!$G$58,ABS(O797)*'Progetto del paramento slu'!$G$54,'Progetto del paramento slu'!$G$53)</f>
        <v>78758227.062084317</v>
      </c>
      <c r="J797" s="479">
        <f t="shared" si="57"/>
        <v>179103639.35005519</v>
      </c>
      <c r="K797" s="558">
        <f>'Progetto del paramento slu'!$G$60*(sezione!$AL$30-C797)/C797</f>
        <v>1.0869301672536798E-2</v>
      </c>
      <c r="L797" s="558">
        <f>'Progetto del paramento slu'!$G$60*(sezione!$AM$30-C797)/C797</f>
        <v>5.0384881272012995E-2</v>
      </c>
      <c r="M797" s="559">
        <f>'Progetto del paramento slu'!$G$60*(sezione!$AN$30-C797)/C797</f>
        <v>8.9900460871489188E-2</v>
      </c>
      <c r="N797" s="559">
        <f>'Progetto del paramento slu'!$G$60*(sezione!$AO$30-C797)/C797</f>
        <v>0.11863906421656278</v>
      </c>
      <c r="O797" s="559">
        <f>'Progetto del paramento slu'!$G$60*(sezione!$AP$30-C797)/C797</f>
        <v>8.9901531660796494E-2</v>
      </c>
      <c r="P797" s="553">
        <f>-'Progetto del paramento slu'!$G$47*'Progetto del paramento slu'!$G$41*IF(DATI!$G$218="dx",DATI!$E$61,DATI!$E$64*DATI!$E$63)*1000*C797*sezione!$AD$5</f>
        <v>-137336.15209510774</v>
      </c>
      <c r="Q797" s="553">
        <f>'Foglio deposito bis'!$F$58*IF(ABS(K797)&lt;'Progetto del paramento slu'!$G$58,ABS(K797)*'Progetto del paramento slu'!$G$54,'Progetto del paramento slu'!$G$53)*IF(K797&lt;0,-1,1)</f>
        <v>0</v>
      </c>
      <c r="R797" s="553">
        <f>'Foglio deposito bis'!$F$59*IF(ABS(L797)&lt;'Progetto del paramento slu'!$G$58,ABS(L797)*'Progetto del paramento slu'!$G$54,'Progetto del paramento slu'!$G$53)*IF(L797&lt;0,-1,1)</f>
        <v>153664.85805602249</v>
      </c>
      <c r="S797" s="553">
        <f>'Foglio deposito bis'!$F$60*IF(ABS(M797)&lt;'Progetto del paramento slu'!$G$58,ABS(M797)*'Progetto del paramento slu'!$G$54,'Progetto del paramento slu'!$G$53)*IF(M797&lt;0,-1,1)</f>
        <v>0</v>
      </c>
      <c r="T797" s="553">
        <f>'Foglio deposito bis'!$F$61*IF(ABS(N797)&lt;'Progetto del paramento slu'!$G$58,ABS(N797)*'Progetto del paramento slu'!$G$54,'Progetto del paramento slu'!$G$53)*IF(N797&lt;0,-1,1)</f>
        <v>240946.49743184328</v>
      </c>
      <c r="U797" s="553">
        <f>'Foglio deposito bis'!$F$62*IF(ABS(O797)&lt;'Progetto del paramento slu'!$G$58,ABS(O797)*'Progetto del paramento slu'!$G$54,'Progetto del paramento slu'!$G$53)*IF(O797&lt;0,-1,1)</f>
        <v>314705.62929873407</v>
      </c>
      <c r="V797" s="479">
        <f t="shared" si="60"/>
        <v>571980.83269149205</v>
      </c>
      <c r="W797" s="559"/>
      <c r="X797" s="559"/>
    </row>
    <row r="798" spans="1:24" x14ac:dyDescent="0.25">
      <c r="A798" s="553">
        <f t="shared" si="59"/>
        <v>569119.66285617743</v>
      </c>
      <c r="B798" s="3">
        <f t="shared" si="61"/>
        <v>2.4499999999999993</v>
      </c>
      <c r="C798" s="553">
        <f>'Foglio deposito bis'!$E$156/sezione!$B$247*B798</f>
        <v>9.9459716222546071</v>
      </c>
      <c r="D798" s="611">
        <f>-'Progetto del paramento slu'!$G$47*'Progetto del paramento slu'!$G$41*IF(DATI!$G$218="dx",DATI!$E$61,DATI!$E$64*DATI!$E$63)*1000*C798^2*sezione!$AD$5*(1-sezione!$AD$6)</f>
        <v>-814328.77389466832</v>
      </c>
      <c r="E798" s="553">
        <f>-'Foglio deposito bis'!$F$58*(C798-sezione!$AL$30)*IF(ABS(K798)&lt;'Progetto del paramento slu'!$G$58,ABS(K798)*'Progetto del paramento slu'!$G$54,'Progetto del paramento slu'!$G$53)</f>
        <v>0</v>
      </c>
      <c r="F798" s="553">
        <f>-'Foglio deposito bis'!$F$59*(C798-sezione!$AM$30)*IF(ABS(L798)&lt;'Progetto del paramento slu'!$G$58,ABS(L798)*'Progetto del paramento slu'!$G$54,'Progetto del paramento slu'!$G$53)</f>
        <v>21521382.390840393</v>
      </c>
      <c r="G798" s="553">
        <f>-'Foglio deposito bis'!$F$60*(C798-sezione!$AN$30)*IF(ABS(M798)&lt;'Progetto del paramento slu'!$G$58,ABS(M798)*'Progetto del paramento slu'!$G$54,'Progetto del paramento slu'!$G$53)</f>
        <v>0</v>
      </c>
      <c r="H798" s="553">
        <f>-'Foglio deposito bis'!$F$61*(C798-sezione!$AO$30)*IF(ABS(N798)&lt;'Progetto del paramento slu'!$G$58,ABS(N798)*'Progetto del paramento slu'!$G$54,'Progetto del paramento slu'!$G$53)</f>
        <v>79525362.100887954</v>
      </c>
      <c r="I798" s="479">
        <f>-'Foglio deposito bis'!$F$62*(C798-sezione!$AP$30)*IF(ABS(O798)&lt;'Progetto del paramento slu'!$G$58,ABS(O798)*'Progetto del paramento slu'!$G$54,'Progetto del paramento slu'!$G$53)</f>
        <v>78694348.424158424</v>
      </c>
      <c r="J798" s="479">
        <f t="shared" si="57"/>
        <v>178926764.14199209</v>
      </c>
      <c r="K798" s="558">
        <f>'Progetto del paramento slu'!$G$60*(sezione!$AL$30-C798)/C798</f>
        <v>1.0576050617995231E-2</v>
      </c>
      <c r="L798" s="558">
        <f>'Progetto del paramento slu'!$G$60*(sezione!$AM$30-C798)/C798</f>
        <v>4.9285189817482124E-2</v>
      </c>
      <c r="M798" s="559">
        <f>'Progetto del paramento slu'!$G$60*(sezione!$AN$30-C798)/C798</f>
        <v>8.7994329016969006E-2</v>
      </c>
      <c r="N798" s="559">
        <f>'Progetto del paramento slu'!$G$60*(sezione!$AO$30-C798)/C798</f>
        <v>0.11614643025295948</v>
      </c>
      <c r="O798" s="559">
        <f>'Progetto del paramento slu'!$G$60*(sezione!$AP$30-C798)/C798</f>
        <v>8.7995377953433304E-2</v>
      </c>
      <c r="P798" s="553">
        <f>-'Progetto del paramento slu'!$G$47*'Progetto del paramento slu'!$G$41*IF(DATI!$G$218="dx",DATI!$E$61,DATI!$E$64*DATI!$E$63)*1000*C798*sezione!$AD$5</f>
        <v>-140197.32193042248</v>
      </c>
      <c r="Q798" s="553">
        <f>'Foglio deposito bis'!$F$58*IF(ABS(K798)&lt;'Progetto del paramento slu'!$G$58,ABS(K798)*'Progetto del paramento slu'!$G$54,'Progetto del paramento slu'!$G$53)*IF(K798&lt;0,-1,1)</f>
        <v>0</v>
      </c>
      <c r="R798" s="553">
        <f>'Foglio deposito bis'!$F$59*IF(ABS(L798)&lt;'Progetto del paramento slu'!$G$58,ABS(L798)*'Progetto del paramento slu'!$G$54,'Progetto del paramento slu'!$G$53)*IF(L798&lt;0,-1,1)</f>
        <v>153664.85805602249</v>
      </c>
      <c r="S798" s="553">
        <f>'Foglio deposito bis'!$F$60*IF(ABS(M798)&lt;'Progetto del paramento slu'!$G$58,ABS(M798)*'Progetto del paramento slu'!$G$54,'Progetto del paramento slu'!$G$53)*IF(M798&lt;0,-1,1)</f>
        <v>0</v>
      </c>
      <c r="T798" s="553">
        <f>'Foglio deposito bis'!$F$61*IF(ABS(N798)&lt;'Progetto del paramento slu'!$G$58,ABS(N798)*'Progetto del paramento slu'!$G$54,'Progetto del paramento slu'!$G$53)*IF(N798&lt;0,-1,1)</f>
        <v>240946.49743184328</v>
      </c>
      <c r="U798" s="553">
        <f>'Foglio deposito bis'!$F$62*IF(ABS(O798)&lt;'Progetto del paramento slu'!$G$58,ABS(O798)*'Progetto del paramento slu'!$G$54,'Progetto del paramento slu'!$G$53)*IF(O798&lt;0,-1,1)</f>
        <v>314705.62929873407</v>
      </c>
      <c r="V798" s="479">
        <f t="shared" si="60"/>
        <v>569119.66285617743</v>
      </c>
      <c r="W798" s="559"/>
      <c r="X798" s="559"/>
    </row>
    <row r="799" spans="1:24" x14ac:dyDescent="0.25">
      <c r="A799" s="553">
        <f t="shared" si="59"/>
        <v>566258.49302086257</v>
      </c>
      <c r="B799" s="3">
        <f t="shared" si="61"/>
        <v>2.4999999999999991</v>
      </c>
      <c r="C799" s="553">
        <f>'Foglio deposito bis'!$E$156/sezione!$B$247*B799</f>
        <v>10.14895063495368</v>
      </c>
      <c r="D799" s="611">
        <f>-'Progetto del paramento slu'!$G$47*'Progetto del paramento slu'!$G$41*IF(DATI!$G$218="dx",DATI!$E$61,DATI!$E$64*DATI!$E$63)*1000*C799^2*sezione!$AD$5*(1-sezione!$AD$6)</f>
        <v>-847905.84537137451</v>
      </c>
      <c r="E799" s="553">
        <f>-'Foglio deposito bis'!$F$58*(C799-sezione!$AL$30)*IF(ABS(K799)&lt;'Progetto del paramento slu'!$G$58,ABS(K799)*'Progetto del paramento slu'!$G$54,'Progetto del paramento slu'!$G$53)</f>
        <v>0</v>
      </c>
      <c r="F799" s="553">
        <f>-'Foglio deposito bis'!$F$59*(C799-sezione!$AM$30)*IF(ABS(L799)&lt;'Progetto del paramento slu'!$G$58,ABS(L799)*'Progetto del paramento slu'!$G$54,'Progetto del paramento slu'!$G$53)</f>
        <v>21490191.649665639</v>
      </c>
      <c r="G799" s="553">
        <f>-'Foglio deposito bis'!$F$60*(C799-sezione!$AN$30)*IF(ABS(M799)&lt;'Progetto del paramento slu'!$G$58,ABS(M799)*'Progetto del paramento slu'!$G$54,'Progetto del paramento slu'!$G$53)</f>
        <v>0</v>
      </c>
      <c r="H799" s="553">
        <f>-'Foglio deposito bis'!$F$61*(C799-sezione!$AO$30)*IF(ABS(N799)&lt;'Progetto del paramento slu'!$G$58,ABS(N799)*'Progetto del paramento slu'!$G$54,'Progetto del paramento slu'!$G$53)</f>
        <v>79476455.018725947</v>
      </c>
      <c r="I799" s="479">
        <f>-'Foglio deposito bis'!$F$62*(C799-sezione!$AP$30)*IF(ABS(O799)&lt;'Progetto del paramento slu'!$G$58,ABS(O799)*'Progetto del paramento slu'!$G$54,'Progetto del paramento slu'!$G$53)</f>
        <v>78630469.786232531</v>
      </c>
      <c r="J799" s="479">
        <f t="shared" si="57"/>
        <v>178749210.60925275</v>
      </c>
      <c r="K799" s="558">
        <f>'Progetto del paramento slu'!$G$60*(sezione!$AL$30-C799)/C799</f>
        <v>1.0294529605635329E-2</v>
      </c>
      <c r="L799" s="558">
        <f>'Progetto del paramento slu'!$G$60*(sezione!$AM$30-C799)/C799</f>
        <v>4.8229486021132487E-2</v>
      </c>
      <c r="M799" s="559">
        <f>'Progetto del paramento slu'!$G$60*(sezione!$AN$30-C799)/C799</f>
        <v>8.6164442436629629E-2</v>
      </c>
      <c r="N799" s="559">
        <f>'Progetto del paramento slu'!$G$60*(sezione!$AO$30-C799)/C799</f>
        <v>0.1137535016479003</v>
      </c>
      <c r="O799" s="559">
        <f>'Progetto del paramento slu'!$G$60*(sezione!$AP$30-C799)/C799</f>
        <v>8.6165470394364646E-2</v>
      </c>
      <c r="P799" s="553">
        <f>-'Progetto del paramento slu'!$G$47*'Progetto del paramento slu'!$G$41*IF(DATI!$G$218="dx",DATI!$E$61,DATI!$E$64*DATI!$E$63)*1000*C799*sezione!$AD$5</f>
        <v>-143058.49176573721</v>
      </c>
      <c r="Q799" s="553">
        <f>'Foglio deposito bis'!$F$58*IF(ABS(K799)&lt;'Progetto del paramento slu'!$G$58,ABS(K799)*'Progetto del paramento slu'!$G$54,'Progetto del paramento slu'!$G$53)*IF(K799&lt;0,-1,1)</f>
        <v>0</v>
      </c>
      <c r="R799" s="553">
        <f>'Foglio deposito bis'!$F$59*IF(ABS(L799)&lt;'Progetto del paramento slu'!$G$58,ABS(L799)*'Progetto del paramento slu'!$G$54,'Progetto del paramento slu'!$G$53)*IF(L799&lt;0,-1,1)</f>
        <v>153664.85805602249</v>
      </c>
      <c r="S799" s="553">
        <f>'Foglio deposito bis'!$F$60*IF(ABS(M799)&lt;'Progetto del paramento slu'!$G$58,ABS(M799)*'Progetto del paramento slu'!$G$54,'Progetto del paramento slu'!$G$53)*IF(M799&lt;0,-1,1)</f>
        <v>0</v>
      </c>
      <c r="T799" s="553">
        <f>'Foglio deposito bis'!$F$61*IF(ABS(N799)&lt;'Progetto del paramento slu'!$G$58,ABS(N799)*'Progetto del paramento slu'!$G$54,'Progetto del paramento slu'!$G$53)*IF(N799&lt;0,-1,1)</f>
        <v>240946.49743184328</v>
      </c>
      <c r="U799" s="553">
        <f>'Foglio deposito bis'!$F$62*IF(ABS(O799)&lt;'Progetto del paramento slu'!$G$58,ABS(O799)*'Progetto del paramento slu'!$G$54,'Progetto del paramento slu'!$G$53)*IF(O799&lt;0,-1,1)</f>
        <v>314705.62929873407</v>
      </c>
      <c r="V799" s="479">
        <f t="shared" si="60"/>
        <v>566258.49302086257</v>
      </c>
      <c r="W799" s="559"/>
      <c r="X799" s="559"/>
    </row>
    <row r="800" spans="1:24" x14ac:dyDescent="0.25">
      <c r="A800" s="553">
        <f t="shared" si="59"/>
        <v>563397.32318554784</v>
      </c>
      <c r="B800" s="3">
        <f t="shared" si="61"/>
        <v>2.5499999999999989</v>
      </c>
      <c r="C800" s="553">
        <f>'Foglio deposito bis'!$E$156/sezione!$B$247*B800</f>
        <v>10.351929647652753</v>
      </c>
      <c r="D800" s="611">
        <f>-'Progetto del paramento slu'!$G$47*'Progetto del paramento slu'!$G$41*IF(DATI!$G$218="dx",DATI!$E$61,DATI!$E$64*DATI!$E$63)*1000*C800^2*sezione!$AD$5*(1-sezione!$AD$6)</f>
        <v>-882161.24152437795</v>
      </c>
      <c r="E800" s="553">
        <f>-'Foglio deposito bis'!$F$58*(C800-sezione!$AL$30)*IF(ABS(K800)&lt;'Progetto del paramento slu'!$G$58,ABS(K800)*'Progetto del paramento slu'!$G$54,'Progetto del paramento slu'!$G$53)</f>
        <v>0</v>
      </c>
      <c r="F800" s="553">
        <f>-'Foglio deposito bis'!$F$59*(C800-sezione!$AM$30)*IF(ABS(L800)&lt;'Progetto del paramento slu'!$G$58,ABS(L800)*'Progetto del paramento slu'!$G$54,'Progetto del paramento slu'!$G$53)</f>
        <v>21459000.908490885</v>
      </c>
      <c r="G800" s="553">
        <f>-'Foglio deposito bis'!$F$60*(C800-sezione!$AN$30)*IF(ABS(M800)&lt;'Progetto del paramento slu'!$G$58,ABS(M800)*'Progetto del paramento slu'!$G$54,'Progetto del paramento slu'!$G$53)</f>
        <v>0</v>
      </c>
      <c r="H800" s="553">
        <f>-'Foglio deposito bis'!$F$61*(C800-sezione!$AO$30)*IF(ABS(N800)&lt;'Progetto del paramento slu'!$G$58,ABS(N800)*'Progetto del paramento slu'!$G$54,'Progetto del paramento slu'!$G$53)</f>
        <v>79427547.936563924</v>
      </c>
      <c r="I800" s="479">
        <f>-'Foglio deposito bis'!$F$62*(C800-sezione!$AP$30)*IF(ABS(O800)&lt;'Progetto del paramento slu'!$G$58,ABS(O800)*'Progetto del paramento slu'!$G$54,'Progetto del paramento slu'!$G$53)</f>
        <v>78566591.148306623</v>
      </c>
      <c r="J800" s="479">
        <f t="shared" si="57"/>
        <v>178570978.75183707</v>
      </c>
      <c r="K800" s="558">
        <f>'Progetto del paramento slu'!$G$60*(sezione!$AL$30-C800)/C800</f>
        <v>1.0024048632975813E-2</v>
      </c>
      <c r="L800" s="558">
        <f>'Progetto del paramento slu'!$G$60*(sezione!$AM$30-C800)/C800</f>
        <v>4.7215182373659299E-2</v>
      </c>
      <c r="M800" s="559">
        <f>'Progetto del paramento slu'!$G$60*(sezione!$AN$30-C800)/C800</f>
        <v>8.440631611434278E-2</v>
      </c>
      <c r="N800" s="559">
        <f>'Progetto del paramento slu'!$G$60*(sezione!$AO$30-C800)/C800</f>
        <v>0.11145441338029442</v>
      </c>
      <c r="O800" s="559">
        <f>'Progetto del paramento slu'!$G$60*(sezione!$AP$30-C800)/C800</f>
        <v>8.4407323916043775E-2</v>
      </c>
      <c r="P800" s="553">
        <f>-'Progetto del paramento slu'!$G$47*'Progetto del paramento slu'!$G$41*IF(DATI!$G$218="dx",DATI!$E$61,DATI!$E$64*DATI!$E$63)*1000*C800*sezione!$AD$5</f>
        <v>-145919.66160105198</v>
      </c>
      <c r="Q800" s="553">
        <f>'Foglio deposito bis'!$F$58*IF(ABS(K800)&lt;'Progetto del paramento slu'!$G$58,ABS(K800)*'Progetto del paramento slu'!$G$54,'Progetto del paramento slu'!$G$53)*IF(K800&lt;0,-1,1)</f>
        <v>0</v>
      </c>
      <c r="R800" s="553">
        <f>'Foglio deposito bis'!$F$59*IF(ABS(L800)&lt;'Progetto del paramento slu'!$G$58,ABS(L800)*'Progetto del paramento slu'!$G$54,'Progetto del paramento slu'!$G$53)*IF(L800&lt;0,-1,1)</f>
        <v>153664.85805602249</v>
      </c>
      <c r="S800" s="553">
        <f>'Foglio deposito bis'!$F$60*IF(ABS(M800)&lt;'Progetto del paramento slu'!$G$58,ABS(M800)*'Progetto del paramento slu'!$G$54,'Progetto del paramento slu'!$G$53)*IF(M800&lt;0,-1,1)</f>
        <v>0</v>
      </c>
      <c r="T800" s="553">
        <f>'Foglio deposito bis'!$F$61*IF(ABS(N800)&lt;'Progetto del paramento slu'!$G$58,ABS(N800)*'Progetto del paramento slu'!$G$54,'Progetto del paramento slu'!$G$53)*IF(N800&lt;0,-1,1)</f>
        <v>240946.49743184328</v>
      </c>
      <c r="U800" s="553">
        <f>'Foglio deposito bis'!$F$62*IF(ABS(O800)&lt;'Progetto del paramento slu'!$G$58,ABS(O800)*'Progetto del paramento slu'!$G$54,'Progetto del paramento slu'!$G$53)*IF(O800&lt;0,-1,1)</f>
        <v>314705.62929873407</v>
      </c>
      <c r="V800" s="479">
        <f t="shared" si="60"/>
        <v>563397.32318554784</v>
      </c>
      <c r="W800" s="559"/>
      <c r="X800" s="559"/>
    </row>
    <row r="801" spans="1:24" x14ac:dyDescent="0.25">
      <c r="A801" s="553">
        <f t="shared" si="59"/>
        <v>560536.1533502331</v>
      </c>
      <c r="B801" s="3">
        <f t="shared" si="61"/>
        <v>2.5999999999999988</v>
      </c>
      <c r="C801" s="553">
        <f>'Foglio deposito bis'!$E$156/sezione!$B$247*B801</f>
        <v>10.554908660351826</v>
      </c>
      <c r="D801" s="611">
        <f>-'Progetto del paramento slu'!$G$47*'Progetto del paramento slu'!$G$41*IF(DATI!$G$218="dx",DATI!$E$61,DATI!$E$64*DATI!$E$63)*1000*C801^2*sezione!$AD$5*(1-sezione!$AD$6)</f>
        <v>-917094.96235367842</v>
      </c>
      <c r="E801" s="553">
        <f>-'Foglio deposito bis'!$F$58*(C801-sezione!$AL$30)*IF(ABS(K801)&lt;'Progetto del paramento slu'!$G$58,ABS(K801)*'Progetto del paramento slu'!$G$54,'Progetto del paramento slu'!$G$53)</f>
        <v>0</v>
      </c>
      <c r="F801" s="553">
        <f>-'Foglio deposito bis'!$F$59*(C801-sezione!$AM$30)*IF(ABS(L801)&lt;'Progetto del paramento slu'!$G$58,ABS(L801)*'Progetto del paramento slu'!$G$54,'Progetto del paramento slu'!$G$53)</f>
        <v>21427810.167316128</v>
      </c>
      <c r="G801" s="553">
        <f>-'Foglio deposito bis'!$F$60*(C801-sezione!$AN$30)*IF(ABS(M801)&lt;'Progetto del paramento slu'!$G$58,ABS(M801)*'Progetto del paramento slu'!$G$54,'Progetto del paramento slu'!$G$53)</f>
        <v>0</v>
      </c>
      <c r="H801" s="553">
        <f>-'Foglio deposito bis'!$F$61*(C801-sezione!$AO$30)*IF(ABS(N801)&lt;'Progetto del paramento slu'!$G$58,ABS(N801)*'Progetto del paramento slu'!$G$54,'Progetto del paramento slu'!$G$53)</f>
        <v>79378640.854401916</v>
      </c>
      <c r="I801" s="479">
        <f>-'Foglio deposito bis'!$F$62*(C801-sezione!$AP$30)*IF(ABS(O801)&lt;'Progetto del paramento slu'!$G$58,ABS(O801)*'Progetto del paramento slu'!$G$54,'Progetto del paramento slu'!$G$53)</f>
        <v>78502712.51038073</v>
      </c>
      <c r="J801" s="479">
        <f t="shared" si="57"/>
        <v>178392068.56974509</v>
      </c>
      <c r="K801" s="558">
        <f>'Progetto del paramento slu'!$G$60*(sezione!$AL$30-C801)/C801</f>
        <v>9.7639707746493554E-3</v>
      </c>
      <c r="L801" s="558">
        <f>'Progetto del paramento slu'!$G$60*(sezione!$AM$30-C801)/C801</f>
        <v>4.6239890404935084E-2</v>
      </c>
      <c r="M801" s="559">
        <f>'Progetto del paramento slu'!$G$60*(sezione!$AN$30-C801)/C801</f>
        <v>8.2715810035220813E-2</v>
      </c>
      <c r="N801" s="559">
        <f>'Progetto del paramento slu'!$G$60*(sezione!$AO$30-C801)/C801</f>
        <v>0.10924375158451953</v>
      </c>
      <c r="O801" s="559">
        <f>'Progetto del paramento slu'!$G$60*(sezione!$AP$30-C801)/C801</f>
        <v>8.2716798456119872E-2</v>
      </c>
      <c r="P801" s="553">
        <f>-'Progetto del paramento slu'!$G$47*'Progetto del paramento slu'!$G$41*IF(DATI!$G$218="dx",DATI!$E$61,DATI!$E$64*DATI!$E$63)*1000*C801*sezione!$AD$5</f>
        <v>-148780.83143636672</v>
      </c>
      <c r="Q801" s="553">
        <f>'Foglio deposito bis'!$F$58*IF(ABS(K801)&lt;'Progetto del paramento slu'!$G$58,ABS(K801)*'Progetto del paramento slu'!$G$54,'Progetto del paramento slu'!$G$53)*IF(K801&lt;0,-1,1)</f>
        <v>0</v>
      </c>
      <c r="R801" s="553">
        <f>'Foglio deposito bis'!$F$59*IF(ABS(L801)&lt;'Progetto del paramento slu'!$G$58,ABS(L801)*'Progetto del paramento slu'!$G$54,'Progetto del paramento slu'!$G$53)*IF(L801&lt;0,-1,1)</f>
        <v>153664.85805602249</v>
      </c>
      <c r="S801" s="553">
        <f>'Foglio deposito bis'!$F$60*IF(ABS(M801)&lt;'Progetto del paramento slu'!$G$58,ABS(M801)*'Progetto del paramento slu'!$G$54,'Progetto del paramento slu'!$G$53)*IF(M801&lt;0,-1,1)</f>
        <v>0</v>
      </c>
      <c r="T801" s="553">
        <f>'Foglio deposito bis'!$F$61*IF(ABS(N801)&lt;'Progetto del paramento slu'!$G$58,ABS(N801)*'Progetto del paramento slu'!$G$54,'Progetto del paramento slu'!$G$53)*IF(N801&lt;0,-1,1)</f>
        <v>240946.49743184328</v>
      </c>
      <c r="U801" s="553">
        <f>'Foglio deposito bis'!$F$62*IF(ABS(O801)&lt;'Progetto del paramento slu'!$G$58,ABS(O801)*'Progetto del paramento slu'!$G$54,'Progetto del paramento slu'!$G$53)*IF(O801&lt;0,-1,1)</f>
        <v>314705.62929873407</v>
      </c>
      <c r="V801" s="479">
        <f t="shared" si="60"/>
        <v>560536.1533502331</v>
      </c>
      <c r="W801" s="559"/>
      <c r="X801" s="559"/>
    </row>
    <row r="802" spans="1:24" x14ac:dyDescent="0.25">
      <c r="A802" s="553">
        <f t="shared" si="59"/>
        <v>557674.98351491836</v>
      </c>
      <c r="B802" s="3">
        <f t="shared" si="61"/>
        <v>2.6499999999999986</v>
      </c>
      <c r="C802" s="553">
        <f>'Foglio deposito bis'!$E$156/sezione!$B$247*B802</f>
        <v>10.757887673050899</v>
      </c>
      <c r="D802" s="611">
        <f>-'Progetto del paramento slu'!$G$47*'Progetto del paramento slu'!$G$41*IF(DATI!$G$218="dx",DATI!$E$61,DATI!$E$64*DATI!$E$63)*1000*C802^2*sezione!$AD$5*(1-sezione!$AD$6)</f>
        <v>-952707.00785927614</v>
      </c>
      <c r="E802" s="553">
        <f>-'Foglio deposito bis'!$F$58*(C802-sezione!$AL$30)*IF(ABS(K802)&lt;'Progetto del paramento slu'!$G$58,ABS(K802)*'Progetto del paramento slu'!$G$54,'Progetto del paramento slu'!$G$53)</f>
        <v>0</v>
      </c>
      <c r="F802" s="553">
        <f>-'Foglio deposito bis'!$F$59*(C802-sezione!$AM$30)*IF(ABS(L802)&lt;'Progetto del paramento slu'!$G$58,ABS(L802)*'Progetto del paramento slu'!$G$54,'Progetto del paramento slu'!$G$53)</f>
        <v>21396619.426141374</v>
      </c>
      <c r="G802" s="553">
        <f>-'Foglio deposito bis'!$F$60*(C802-sezione!$AN$30)*IF(ABS(M802)&lt;'Progetto del paramento slu'!$G$58,ABS(M802)*'Progetto del paramento slu'!$G$54,'Progetto del paramento slu'!$G$53)</f>
        <v>0</v>
      </c>
      <c r="H802" s="553">
        <f>-'Foglio deposito bis'!$F$61*(C802-sezione!$AO$30)*IF(ABS(N802)&lt;'Progetto del paramento slu'!$G$58,ABS(N802)*'Progetto del paramento slu'!$G$54,'Progetto del paramento slu'!$G$53)</f>
        <v>79329733.772239894</v>
      </c>
      <c r="I802" s="479">
        <f>-'Foglio deposito bis'!$F$62*(C802-sezione!$AP$30)*IF(ABS(O802)&lt;'Progetto del paramento slu'!$G$58,ABS(O802)*'Progetto del paramento slu'!$G$54,'Progetto del paramento slu'!$G$53)</f>
        <v>78438833.872454822</v>
      </c>
      <c r="J802" s="479">
        <f t="shared" si="57"/>
        <v>178212480.06297681</v>
      </c>
      <c r="K802" s="558">
        <f>'Progetto del paramento slu'!$G$60*(sezione!$AL$30-C802)/C802</f>
        <v>9.5137071751276708E-3</v>
      </c>
      <c r="L802" s="558">
        <f>'Progetto del paramento slu'!$G$60*(sezione!$AM$30-C802)/C802</f>
        <v>4.5301401906728767E-2</v>
      </c>
      <c r="M802" s="559">
        <f>'Progetto del paramento slu'!$G$60*(sezione!$AN$30-C802)/C802</f>
        <v>8.1089096638329861E-2</v>
      </c>
      <c r="N802" s="559">
        <f>'Progetto del paramento slu'!$G$60*(sezione!$AO$30-C802)/C802</f>
        <v>0.1071165109885852</v>
      </c>
      <c r="O802" s="559">
        <f>'Progetto del paramento slu'!$G$60*(sezione!$AP$30-C802)/C802</f>
        <v>8.1090066409777992E-2</v>
      </c>
      <c r="P802" s="553">
        <f>-'Progetto del paramento slu'!$G$47*'Progetto del paramento slu'!$G$41*IF(DATI!$G$218="dx",DATI!$E$61,DATI!$E$64*DATI!$E$63)*1000*C802*sezione!$AD$5</f>
        <v>-151642.00127168145</v>
      </c>
      <c r="Q802" s="553">
        <f>'Foglio deposito bis'!$F$58*IF(ABS(K802)&lt;'Progetto del paramento slu'!$G$58,ABS(K802)*'Progetto del paramento slu'!$G$54,'Progetto del paramento slu'!$G$53)*IF(K802&lt;0,-1,1)</f>
        <v>0</v>
      </c>
      <c r="R802" s="553">
        <f>'Foglio deposito bis'!$F$59*IF(ABS(L802)&lt;'Progetto del paramento slu'!$G$58,ABS(L802)*'Progetto del paramento slu'!$G$54,'Progetto del paramento slu'!$G$53)*IF(L802&lt;0,-1,1)</f>
        <v>153664.85805602249</v>
      </c>
      <c r="S802" s="553">
        <f>'Foglio deposito bis'!$F$60*IF(ABS(M802)&lt;'Progetto del paramento slu'!$G$58,ABS(M802)*'Progetto del paramento slu'!$G$54,'Progetto del paramento slu'!$G$53)*IF(M802&lt;0,-1,1)</f>
        <v>0</v>
      </c>
      <c r="T802" s="553">
        <f>'Foglio deposito bis'!$F$61*IF(ABS(N802)&lt;'Progetto del paramento slu'!$G$58,ABS(N802)*'Progetto del paramento slu'!$G$54,'Progetto del paramento slu'!$G$53)*IF(N802&lt;0,-1,1)</f>
        <v>240946.49743184328</v>
      </c>
      <c r="U802" s="553">
        <f>'Foglio deposito bis'!$F$62*IF(ABS(O802)&lt;'Progetto del paramento slu'!$G$58,ABS(O802)*'Progetto del paramento slu'!$G$54,'Progetto del paramento slu'!$G$53)*IF(O802&lt;0,-1,1)</f>
        <v>314705.62929873407</v>
      </c>
      <c r="V802" s="479">
        <f t="shared" si="60"/>
        <v>557674.98351491836</v>
      </c>
      <c r="W802" s="559"/>
      <c r="X802" s="559"/>
    </row>
    <row r="803" spans="1:24" x14ac:dyDescent="0.25">
      <c r="A803" s="553">
        <f t="shared" si="59"/>
        <v>554813.81367960363</v>
      </c>
      <c r="B803" s="3">
        <f t="shared" si="61"/>
        <v>2.6999999999999984</v>
      </c>
      <c r="C803" s="553">
        <f>'Foglio deposito bis'!$E$156/sezione!$B$247*B803</f>
        <v>10.960866685749972</v>
      </c>
      <c r="D803" s="611">
        <f>-'Progetto del paramento slu'!$G$47*'Progetto del paramento slu'!$G$41*IF(DATI!$G$218="dx",DATI!$E$61,DATI!$E$64*DATI!$E$63)*1000*C803^2*sezione!$AD$5*(1-sezione!$AD$6)</f>
        <v>-988997.37804117089</v>
      </c>
      <c r="E803" s="553">
        <f>-'Foglio deposito bis'!$F$58*(C803-sezione!$AL$30)*IF(ABS(K803)&lt;'Progetto del paramento slu'!$G$58,ABS(K803)*'Progetto del paramento slu'!$G$54,'Progetto del paramento slu'!$G$53)</f>
        <v>0</v>
      </c>
      <c r="F803" s="553">
        <f>-'Foglio deposito bis'!$F$59*(C803-sezione!$AM$30)*IF(ABS(L803)&lt;'Progetto del paramento slu'!$G$58,ABS(L803)*'Progetto del paramento slu'!$G$54,'Progetto del paramento slu'!$G$53)</f>
        <v>21365428.68496662</v>
      </c>
      <c r="G803" s="553">
        <f>-'Foglio deposito bis'!$F$60*(C803-sezione!$AN$30)*IF(ABS(M803)&lt;'Progetto del paramento slu'!$G$58,ABS(M803)*'Progetto del paramento slu'!$G$54,'Progetto del paramento slu'!$G$53)</f>
        <v>0</v>
      </c>
      <c r="H803" s="553">
        <f>-'Foglio deposito bis'!$F$61*(C803-sezione!$AO$30)*IF(ABS(N803)&lt;'Progetto del paramento slu'!$G$58,ABS(N803)*'Progetto del paramento slu'!$G$54,'Progetto del paramento slu'!$G$53)</f>
        <v>79280826.690077871</v>
      </c>
      <c r="I803" s="479">
        <f>-'Foglio deposito bis'!$F$62*(C803-sezione!$AP$30)*IF(ABS(O803)&lt;'Progetto del paramento slu'!$G$58,ABS(O803)*'Progetto del paramento slu'!$G$54,'Progetto del paramento slu'!$G$53)</f>
        <v>78374955.234528929</v>
      </c>
      <c r="J803" s="479">
        <f t="shared" si="57"/>
        <v>178032213.23153225</v>
      </c>
      <c r="K803" s="558">
        <f>'Progetto del paramento slu'!$G$60*(sezione!$AL$30-C803)/C803</f>
        <v>9.2727125978104927E-3</v>
      </c>
      <c r="L803" s="558">
        <f>'Progetto del paramento slu'!$G$60*(sezione!$AM$30-C803)/C803</f>
        <v>4.4397672241789345E-2</v>
      </c>
      <c r="M803" s="559">
        <f>'Progetto del paramento slu'!$G$60*(sezione!$AN$30-C803)/C803</f>
        <v>7.9522631885768205E-2</v>
      </c>
      <c r="N803" s="559">
        <f>'Progetto del paramento slu'!$G$60*(sezione!$AO$30-C803)/C803</f>
        <v>0.10506805708138918</v>
      </c>
      <c r="O803" s="559">
        <f>'Progetto del paramento slu'!$G$60*(sezione!$AP$30-C803)/C803</f>
        <v>7.9523583698485806E-2</v>
      </c>
      <c r="P803" s="553">
        <f>-'Progetto del paramento slu'!$G$47*'Progetto del paramento slu'!$G$41*IF(DATI!$G$218="dx",DATI!$E$61,DATI!$E$64*DATI!$E$63)*1000*C803*sezione!$AD$5</f>
        <v>-154503.17110699619</v>
      </c>
      <c r="Q803" s="553">
        <f>'Foglio deposito bis'!$F$58*IF(ABS(K803)&lt;'Progetto del paramento slu'!$G$58,ABS(K803)*'Progetto del paramento slu'!$G$54,'Progetto del paramento slu'!$G$53)*IF(K803&lt;0,-1,1)</f>
        <v>0</v>
      </c>
      <c r="R803" s="553">
        <f>'Foglio deposito bis'!$F$59*IF(ABS(L803)&lt;'Progetto del paramento slu'!$G$58,ABS(L803)*'Progetto del paramento slu'!$G$54,'Progetto del paramento slu'!$G$53)*IF(L803&lt;0,-1,1)</f>
        <v>153664.85805602249</v>
      </c>
      <c r="S803" s="553">
        <f>'Foglio deposito bis'!$F$60*IF(ABS(M803)&lt;'Progetto del paramento slu'!$G$58,ABS(M803)*'Progetto del paramento slu'!$G$54,'Progetto del paramento slu'!$G$53)*IF(M803&lt;0,-1,1)</f>
        <v>0</v>
      </c>
      <c r="T803" s="553">
        <f>'Foglio deposito bis'!$F$61*IF(ABS(N803)&lt;'Progetto del paramento slu'!$G$58,ABS(N803)*'Progetto del paramento slu'!$G$54,'Progetto del paramento slu'!$G$53)*IF(N803&lt;0,-1,1)</f>
        <v>240946.49743184328</v>
      </c>
      <c r="U803" s="553">
        <f>'Foglio deposito bis'!$F$62*IF(ABS(O803)&lt;'Progetto del paramento slu'!$G$58,ABS(O803)*'Progetto del paramento slu'!$G$54,'Progetto del paramento slu'!$G$53)*IF(O803&lt;0,-1,1)</f>
        <v>314705.62929873407</v>
      </c>
      <c r="V803" s="479">
        <f t="shared" si="60"/>
        <v>554813.81367960363</v>
      </c>
      <c r="W803" s="559"/>
      <c r="X803" s="559"/>
    </row>
    <row r="804" spans="1:24" x14ac:dyDescent="0.25">
      <c r="A804" s="553">
        <f t="shared" si="59"/>
        <v>551952.64384428889</v>
      </c>
      <c r="B804" s="3">
        <f t="shared" si="61"/>
        <v>2.7499999999999982</v>
      </c>
      <c r="C804" s="553">
        <f>'Foglio deposito bis'!$E$156/sezione!$B$247*B804</f>
        <v>11.163845698449045</v>
      </c>
      <c r="D804" s="611">
        <f>-'Progetto del paramento slu'!$G$47*'Progetto del paramento slu'!$G$41*IF(DATI!$G$218="dx",DATI!$E$61,DATI!$E$64*DATI!$E$63)*1000*C804^2*sezione!$AD$5*(1-sezione!$AD$6)</f>
        <v>-1025966.0728993627</v>
      </c>
      <c r="E804" s="553">
        <f>-'Foglio deposito bis'!$F$58*(C804-sezione!$AL$30)*IF(ABS(K804)&lt;'Progetto del paramento slu'!$G$58,ABS(K804)*'Progetto del paramento slu'!$G$54,'Progetto del paramento slu'!$G$53)</f>
        <v>0</v>
      </c>
      <c r="F804" s="553">
        <f>-'Foglio deposito bis'!$F$59*(C804-sezione!$AM$30)*IF(ABS(L804)&lt;'Progetto del paramento slu'!$G$58,ABS(L804)*'Progetto del paramento slu'!$G$54,'Progetto del paramento slu'!$G$53)</f>
        <v>21334237.943791866</v>
      </c>
      <c r="G804" s="553">
        <f>-'Foglio deposito bis'!$F$60*(C804-sezione!$AN$30)*IF(ABS(M804)&lt;'Progetto del paramento slu'!$G$58,ABS(M804)*'Progetto del paramento slu'!$G$54,'Progetto del paramento slu'!$G$53)</f>
        <v>0</v>
      </c>
      <c r="H804" s="553">
        <f>-'Foglio deposito bis'!$F$61*(C804-sezione!$AO$30)*IF(ABS(N804)&lt;'Progetto del paramento slu'!$G$58,ABS(N804)*'Progetto del paramento slu'!$G$54,'Progetto del paramento slu'!$G$53)</f>
        <v>79231919.607915863</v>
      </c>
      <c r="I804" s="479">
        <f>-'Foglio deposito bis'!$F$62*(C804-sezione!$AP$30)*IF(ABS(O804)&lt;'Progetto del paramento slu'!$G$58,ABS(O804)*'Progetto del paramento slu'!$G$54,'Progetto del paramento slu'!$G$53)</f>
        <v>78311076.596603036</v>
      </c>
      <c r="J804" s="479">
        <f t="shared" si="57"/>
        <v>177851268.07541141</v>
      </c>
      <c r="K804" s="558">
        <f>'Progetto del paramento slu'!$G$60*(sezione!$AL$30-C804)/C804</f>
        <v>9.0404814596684851E-3</v>
      </c>
      <c r="L804" s="558">
        <f>'Progetto del paramento slu'!$G$60*(sezione!$AM$30-C804)/C804</f>
        <v>4.3526805473756813E-2</v>
      </c>
      <c r="M804" s="559">
        <f>'Progetto del paramento slu'!$G$60*(sezione!$AN$30-C804)/C804</f>
        <v>7.801312948784514E-2</v>
      </c>
      <c r="N804" s="559">
        <f>'Progetto del paramento slu'!$G$60*(sezione!$AO$30-C804)/C804</f>
        <v>0.10309409240718211</v>
      </c>
      <c r="O804" s="559">
        <f>'Progetto del paramento slu'!$G$60*(sezione!$AP$30-C804)/C804</f>
        <v>7.8014063994876981E-2</v>
      </c>
      <c r="P804" s="553">
        <f>-'Progetto del paramento slu'!$G$47*'Progetto del paramento slu'!$G$41*IF(DATI!$G$218="dx",DATI!$E$61,DATI!$E$64*DATI!$E$63)*1000*C804*sezione!$AD$5</f>
        <v>-157364.34094231093</v>
      </c>
      <c r="Q804" s="553">
        <f>'Foglio deposito bis'!$F$58*IF(ABS(K804)&lt;'Progetto del paramento slu'!$G$58,ABS(K804)*'Progetto del paramento slu'!$G$54,'Progetto del paramento slu'!$G$53)*IF(K804&lt;0,-1,1)</f>
        <v>0</v>
      </c>
      <c r="R804" s="553">
        <f>'Foglio deposito bis'!$F$59*IF(ABS(L804)&lt;'Progetto del paramento slu'!$G$58,ABS(L804)*'Progetto del paramento slu'!$G$54,'Progetto del paramento slu'!$G$53)*IF(L804&lt;0,-1,1)</f>
        <v>153664.85805602249</v>
      </c>
      <c r="S804" s="553">
        <f>'Foglio deposito bis'!$F$60*IF(ABS(M804)&lt;'Progetto del paramento slu'!$G$58,ABS(M804)*'Progetto del paramento slu'!$G$54,'Progetto del paramento slu'!$G$53)*IF(M804&lt;0,-1,1)</f>
        <v>0</v>
      </c>
      <c r="T804" s="553">
        <f>'Foglio deposito bis'!$F$61*IF(ABS(N804)&lt;'Progetto del paramento slu'!$G$58,ABS(N804)*'Progetto del paramento slu'!$G$54,'Progetto del paramento slu'!$G$53)*IF(N804&lt;0,-1,1)</f>
        <v>240946.49743184328</v>
      </c>
      <c r="U804" s="553">
        <f>'Foglio deposito bis'!$F$62*IF(ABS(O804)&lt;'Progetto del paramento slu'!$G$58,ABS(O804)*'Progetto del paramento slu'!$G$54,'Progetto del paramento slu'!$G$53)*IF(O804&lt;0,-1,1)</f>
        <v>314705.62929873407</v>
      </c>
      <c r="V804" s="479">
        <f t="shared" si="60"/>
        <v>551952.64384428889</v>
      </c>
      <c r="W804" s="559"/>
      <c r="X804" s="559"/>
    </row>
    <row r="805" spans="1:24" x14ac:dyDescent="0.25">
      <c r="A805" s="553">
        <f t="shared" si="59"/>
        <v>549091.47400897415</v>
      </c>
      <c r="B805" s="3">
        <f t="shared" si="61"/>
        <v>2.799999999999998</v>
      </c>
      <c r="C805" s="553">
        <f>'Foglio deposito bis'!$E$156/sezione!$B$247*B805</f>
        <v>11.366824711148118</v>
      </c>
      <c r="D805" s="611">
        <f>-'Progetto del paramento slu'!$G$47*'Progetto del paramento slu'!$G$41*IF(DATI!$G$218="dx",DATI!$E$61,DATI!$E$64*DATI!$E$63)*1000*C805^2*sezione!$AD$5*(1-sezione!$AD$6)</f>
        <v>-1063613.0924338514</v>
      </c>
      <c r="E805" s="553">
        <f>-'Foglio deposito bis'!$F$58*(C805-sezione!$AL$30)*IF(ABS(K805)&lt;'Progetto del paramento slu'!$G$58,ABS(K805)*'Progetto del paramento slu'!$G$54,'Progetto del paramento slu'!$G$53)</f>
        <v>0</v>
      </c>
      <c r="F805" s="553">
        <f>-'Foglio deposito bis'!$F$59*(C805-sezione!$AM$30)*IF(ABS(L805)&lt;'Progetto del paramento slu'!$G$58,ABS(L805)*'Progetto del paramento slu'!$G$54,'Progetto del paramento slu'!$G$53)</f>
        <v>21303047.202617109</v>
      </c>
      <c r="G805" s="553">
        <f>-'Foglio deposito bis'!$F$60*(C805-sezione!$AN$30)*IF(ABS(M805)&lt;'Progetto del paramento slu'!$G$58,ABS(M805)*'Progetto del paramento slu'!$G$54,'Progetto del paramento slu'!$G$53)</f>
        <v>0</v>
      </c>
      <c r="H805" s="553">
        <f>-'Foglio deposito bis'!$F$61*(C805-sezione!$AO$30)*IF(ABS(N805)&lt;'Progetto del paramento slu'!$G$58,ABS(N805)*'Progetto del paramento slu'!$G$54,'Progetto del paramento slu'!$G$53)</f>
        <v>79183012.525753841</v>
      </c>
      <c r="I805" s="479">
        <f>-'Foglio deposito bis'!$F$62*(C805-sezione!$AP$30)*IF(ABS(O805)&lt;'Progetto del paramento slu'!$G$58,ABS(O805)*'Progetto del paramento slu'!$G$54,'Progetto del paramento slu'!$G$53)</f>
        <v>78247197.958677128</v>
      </c>
      <c r="J805" s="479">
        <f t="shared" si="57"/>
        <v>177669644.59461421</v>
      </c>
      <c r="K805" s="558">
        <f>'Progetto del paramento slu'!$G$60*(sezione!$AL$30-C805)/C805</f>
        <v>8.8165442907458327E-3</v>
      </c>
      <c r="L805" s="558">
        <f>'Progetto del paramento slu'!$G$60*(sezione!$AM$30-C805)/C805</f>
        <v>4.2687041090296876E-2</v>
      </c>
      <c r="M805" s="559">
        <f>'Progetto del paramento slu'!$G$60*(sezione!$AN$30-C805)/C805</f>
        <v>7.6557537889847913E-2</v>
      </c>
      <c r="N805" s="559">
        <f>'Progetto del paramento slu'!$G$60*(sezione!$AO$30-C805)/C805</f>
        <v>0.10119062647133958</v>
      </c>
      <c r="O805" s="559">
        <f>'Progetto del paramento slu'!$G$60*(sezione!$AP$30-C805)/C805</f>
        <v>7.6558455709254167E-2</v>
      </c>
      <c r="P805" s="553">
        <f>-'Progetto del paramento slu'!$G$47*'Progetto del paramento slu'!$G$41*IF(DATI!$G$218="dx",DATI!$E$61,DATI!$E$64*DATI!$E$63)*1000*C805*sezione!$AD$5</f>
        <v>-160225.51077762563</v>
      </c>
      <c r="Q805" s="553">
        <f>'Foglio deposito bis'!$F$58*IF(ABS(K805)&lt;'Progetto del paramento slu'!$G$58,ABS(K805)*'Progetto del paramento slu'!$G$54,'Progetto del paramento slu'!$G$53)*IF(K805&lt;0,-1,1)</f>
        <v>0</v>
      </c>
      <c r="R805" s="553">
        <f>'Foglio deposito bis'!$F$59*IF(ABS(L805)&lt;'Progetto del paramento slu'!$G$58,ABS(L805)*'Progetto del paramento slu'!$G$54,'Progetto del paramento slu'!$G$53)*IF(L805&lt;0,-1,1)</f>
        <v>153664.85805602249</v>
      </c>
      <c r="S805" s="553">
        <f>'Foglio deposito bis'!$F$60*IF(ABS(M805)&lt;'Progetto del paramento slu'!$G$58,ABS(M805)*'Progetto del paramento slu'!$G$54,'Progetto del paramento slu'!$G$53)*IF(M805&lt;0,-1,1)</f>
        <v>0</v>
      </c>
      <c r="T805" s="553">
        <f>'Foglio deposito bis'!$F$61*IF(ABS(N805)&lt;'Progetto del paramento slu'!$G$58,ABS(N805)*'Progetto del paramento slu'!$G$54,'Progetto del paramento slu'!$G$53)*IF(N805&lt;0,-1,1)</f>
        <v>240946.49743184328</v>
      </c>
      <c r="U805" s="553">
        <f>'Foglio deposito bis'!$F$62*IF(ABS(O805)&lt;'Progetto del paramento slu'!$G$58,ABS(O805)*'Progetto del paramento slu'!$G$54,'Progetto del paramento slu'!$G$53)*IF(O805&lt;0,-1,1)</f>
        <v>314705.62929873407</v>
      </c>
      <c r="V805" s="479">
        <f t="shared" si="60"/>
        <v>549091.47400897415</v>
      </c>
      <c r="W805" s="559"/>
      <c r="X805" s="559"/>
    </row>
    <row r="806" spans="1:24" x14ac:dyDescent="0.25">
      <c r="A806" s="553">
        <f t="shared" si="59"/>
        <v>546230.30417365953</v>
      </c>
      <c r="B806" s="3">
        <f t="shared" si="61"/>
        <v>2.8499999999999979</v>
      </c>
      <c r="C806" s="553">
        <f>'Foglio deposito bis'!$E$156/sezione!$B$247*B806</f>
        <v>11.56980372384719</v>
      </c>
      <c r="D806" s="611">
        <f>-'Progetto del paramento slu'!$G$47*'Progetto del paramento slu'!$G$41*IF(DATI!$G$218="dx",DATI!$E$61,DATI!$E$64*DATI!$E$63)*1000*C806^2*sezione!$AD$5*(1-sezione!$AD$6)</f>
        <v>-1101938.4366446375</v>
      </c>
      <c r="E806" s="553">
        <f>-'Foglio deposito bis'!$F$58*(C806-sezione!$AL$30)*IF(ABS(K806)&lt;'Progetto del paramento slu'!$G$58,ABS(K806)*'Progetto del paramento slu'!$G$54,'Progetto del paramento slu'!$G$53)</f>
        <v>0</v>
      </c>
      <c r="F806" s="553">
        <f>-'Foglio deposito bis'!$F$59*(C806-sezione!$AM$30)*IF(ABS(L806)&lt;'Progetto del paramento slu'!$G$58,ABS(L806)*'Progetto del paramento slu'!$G$54,'Progetto del paramento slu'!$G$53)</f>
        <v>21271856.461442351</v>
      </c>
      <c r="G806" s="553">
        <f>-'Foglio deposito bis'!$F$60*(C806-sezione!$AN$30)*IF(ABS(M806)&lt;'Progetto del paramento slu'!$G$58,ABS(M806)*'Progetto del paramento slu'!$G$54,'Progetto del paramento slu'!$G$53)</f>
        <v>0</v>
      </c>
      <c r="H806" s="553">
        <f>-'Foglio deposito bis'!$F$61*(C806-sezione!$AO$30)*IF(ABS(N806)&lt;'Progetto del paramento slu'!$G$58,ABS(N806)*'Progetto del paramento slu'!$G$54,'Progetto del paramento slu'!$G$53)</f>
        <v>79134105.443591833</v>
      </c>
      <c r="I806" s="479">
        <f>-'Foglio deposito bis'!$F$62*(C806-sezione!$AP$30)*IF(ABS(O806)&lt;'Progetto del paramento slu'!$G$58,ABS(O806)*'Progetto del paramento slu'!$G$54,'Progetto del paramento slu'!$G$53)</f>
        <v>78183319.320751235</v>
      </c>
      <c r="J806" s="479">
        <f t="shared" si="57"/>
        <v>177487342.78914076</v>
      </c>
      <c r="K806" s="558">
        <f>'Progetto del paramento slu'!$G$60*(sezione!$AL$30-C806)/C806</f>
        <v>8.6004645663467841E-3</v>
      </c>
      <c r="L806" s="558">
        <f>'Progetto del paramento slu'!$G$60*(sezione!$AM$30-C806)/C806</f>
        <v>4.1876742123800437E-2</v>
      </c>
      <c r="M806" s="559">
        <f>'Progetto del paramento slu'!$G$60*(sezione!$AN$30-C806)/C806</f>
        <v>7.5153019681254096E-2</v>
      </c>
      <c r="N806" s="559">
        <f>'Progetto del paramento slu'!$G$60*(sezione!$AO$30-C806)/C806</f>
        <v>9.9353948813947657E-2</v>
      </c>
      <c r="O806" s="559">
        <f>'Progetto del paramento slu'!$G$60*(sezione!$AP$30-C806)/C806</f>
        <v>7.5153921398565499E-2</v>
      </c>
      <c r="P806" s="553">
        <f>-'Progetto del paramento slu'!$G$47*'Progetto del paramento slu'!$G$41*IF(DATI!$G$218="dx",DATI!$E$61,DATI!$E$64*DATI!$E$63)*1000*C806*sezione!$AD$5</f>
        <v>-163086.68061294037</v>
      </c>
      <c r="Q806" s="553">
        <f>'Foglio deposito bis'!$F$58*IF(ABS(K806)&lt;'Progetto del paramento slu'!$G$58,ABS(K806)*'Progetto del paramento slu'!$G$54,'Progetto del paramento slu'!$G$53)*IF(K806&lt;0,-1,1)</f>
        <v>0</v>
      </c>
      <c r="R806" s="553">
        <f>'Foglio deposito bis'!$F$59*IF(ABS(L806)&lt;'Progetto del paramento slu'!$G$58,ABS(L806)*'Progetto del paramento slu'!$G$54,'Progetto del paramento slu'!$G$53)*IF(L806&lt;0,-1,1)</f>
        <v>153664.85805602249</v>
      </c>
      <c r="S806" s="553">
        <f>'Foglio deposito bis'!$F$60*IF(ABS(M806)&lt;'Progetto del paramento slu'!$G$58,ABS(M806)*'Progetto del paramento slu'!$G$54,'Progetto del paramento slu'!$G$53)*IF(M806&lt;0,-1,1)</f>
        <v>0</v>
      </c>
      <c r="T806" s="553">
        <f>'Foglio deposito bis'!$F$61*IF(ABS(N806)&lt;'Progetto del paramento slu'!$G$58,ABS(N806)*'Progetto del paramento slu'!$G$54,'Progetto del paramento slu'!$G$53)*IF(N806&lt;0,-1,1)</f>
        <v>240946.49743184328</v>
      </c>
      <c r="U806" s="553">
        <f>'Foglio deposito bis'!$F$62*IF(ABS(O806)&lt;'Progetto del paramento slu'!$G$58,ABS(O806)*'Progetto del paramento slu'!$G$54,'Progetto del paramento slu'!$G$53)*IF(O806&lt;0,-1,1)</f>
        <v>314705.62929873407</v>
      </c>
      <c r="V806" s="479">
        <f t="shared" si="60"/>
        <v>546230.30417365953</v>
      </c>
      <c r="W806" s="559"/>
      <c r="X806" s="559"/>
    </row>
    <row r="807" spans="1:24" x14ac:dyDescent="0.25">
      <c r="A807" s="553">
        <f t="shared" si="59"/>
        <v>543369.13433834468</v>
      </c>
      <c r="B807" s="3">
        <f t="shared" si="61"/>
        <v>2.8999999999999977</v>
      </c>
      <c r="C807" s="553">
        <f>'Foglio deposito bis'!$E$156/sezione!$B$247*B807</f>
        <v>11.772782736546263</v>
      </c>
      <c r="D807" s="611">
        <f>-'Progetto del paramento slu'!$G$47*'Progetto del paramento slu'!$G$41*IF(DATI!$G$218="dx",DATI!$E$61,DATI!$E$64*DATI!$E$63)*1000*C807^2*sezione!$AD$5*(1-sezione!$AD$6)</f>
        <v>-1140942.1055317207</v>
      </c>
      <c r="E807" s="553">
        <f>-'Foglio deposito bis'!$F$58*(C807-sezione!$AL$30)*IF(ABS(K807)&lt;'Progetto del paramento slu'!$G$58,ABS(K807)*'Progetto del paramento slu'!$G$54,'Progetto del paramento slu'!$G$53)</f>
        <v>0</v>
      </c>
      <c r="F807" s="553">
        <f>-'Foglio deposito bis'!$F$59*(C807-sezione!$AM$30)*IF(ABS(L807)&lt;'Progetto del paramento slu'!$G$58,ABS(L807)*'Progetto del paramento slu'!$G$54,'Progetto del paramento slu'!$G$53)</f>
        <v>21240665.720267598</v>
      </c>
      <c r="G807" s="553">
        <f>-'Foglio deposito bis'!$F$60*(C807-sezione!$AN$30)*IF(ABS(M807)&lt;'Progetto del paramento slu'!$G$58,ABS(M807)*'Progetto del paramento slu'!$G$54,'Progetto del paramento slu'!$G$53)</f>
        <v>0</v>
      </c>
      <c r="H807" s="553">
        <f>-'Foglio deposito bis'!$F$61*(C807-sezione!$AO$30)*IF(ABS(N807)&lt;'Progetto del paramento slu'!$G$58,ABS(N807)*'Progetto del paramento slu'!$G$54,'Progetto del paramento slu'!$G$53)</f>
        <v>79085198.361429811</v>
      </c>
      <c r="I807" s="479">
        <f>-'Foglio deposito bis'!$F$62*(C807-sezione!$AP$30)*IF(ABS(O807)&lt;'Progetto del paramento slu'!$G$58,ABS(O807)*'Progetto del paramento slu'!$G$54,'Progetto del paramento slu'!$G$53)</f>
        <v>78119440.682825342</v>
      </c>
      <c r="J807" s="479">
        <f t="shared" si="57"/>
        <v>177304362.65899104</v>
      </c>
      <c r="K807" s="558">
        <f>'Progetto del paramento slu'!$G$60*(sezione!$AL$30-C807)/C807</f>
        <v>8.3918358669270131E-3</v>
      </c>
      <c r="L807" s="558">
        <f>'Progetto del paramento slu'!$G$60*(sezione!$AM$30-C807)/C807</f>
        <v>4.1094384500976293E-2</v>
      </c>
      <c r="M807" s="559">
        <f>'Progetto del paramento slu'!$G$60*(sezione!$AN$30-C807)/C807</f>
        <v>7.3796933135025583E-2</v>
      </c>
      <c r="N807" s="559">
        <f>'Progetto del paramento slu'!$G$60*(sezione!$AO$30-C807)/C807</f>
        <v>9.7580604868879608E-2</v>
      </c>
      <c r="O807" s="559">
        <f>'Progetto del paramento slu'!$G$60*(sezione!$AP$30-C807)/C807</f>
        <v>7.3797819305486789E-2</v>
      </c>
      <c r="P807" s="553">
        <f>-'Progetto del paramento slu'!$G$47*'Progetto del paramento slu'!$G$41*IF(DATI!$G$218="dx",DATI!$E$61,DATI!$E$64*DATI!$E$63)*1000*C807*sezione!$AD$5</f>
        <v>-165947.85044825511</v>
      </c>
      <c r="Q807" s="553">
        <f>'Foglio deposito bis'!$F$58*IF(ABS(K807)&lt;'Progetto del paramento slu'!$G$58,ABS(K807)*'Progetto del paramento slu'!$G$54,'Progetto del paramento slu'!$G$53)*IF(K807&lt;0,-1,1)</f>
        <v>0</v>
      </c>
      <c r="R807" s="553">
        <f>'Foglio deposito bis'!$F$59*IF(ABS(L807)&lt;'Progetto del paramento slu'!$G$58,ABS(L807)*'Progetto del paramento slu'!$G$54,'Progetto del paramento slu'!$G$53)*IF(L807&lt;0,-1,1)</f>
        <v>153664.85805602249</v>
      </c>
      <c r="S807" s="553">
        <f>'Foglio deposito bis'!$F$60*IF(ABS(M807)&lt;'Progetto del paramento slu'!$G$58,ABS(M807)*'Progetto del paramento slu'!$G$54,'Progetto del paramento slu'!$G$53)*IF(M807&lt;0,-1,1)</f>
        <v>0</v>
      </c>
      <c r="T807" s="553">
        <f>'Foglio deposito bis'!$F$61*IF(ABS(N807)&lt;'Progetto del paramento slu'!$G$58,ABS(N807)*'Progetto del paramento slu'!$G$54,'Progetto del paramento slu'!$G$53)*IF(N807&lt;0,-1,1)</f>
        <v>240946.49743184328</v>
      </c>
      <c r="U807" s="553">
        <f>'Foglio deposito bis'!$F$62*IF(ABS(O807)&lt;'Progetto del paramento slu'!$G$58,ABS(O807)*'Progetto del paramento slu'!$G$54,'Progetto del paramento slu'!$G$53)*IF(O807&lt;0,-1,1)</f>
        <v>314705.62929873407</v>
      </c>
      <c r="V807" s="479">
        <f t="shared" si="60"/>
        <v>543369.13433834468</v>
      </c>
      <c r="W807" s="559"/>
      <c r="X807" s="559"/>
    </row>
    <row r="808" spans="1:24" x14ac:dyDescent="0.25">
      <c r="A808" s="553">
        <f t="shared" si="59"/>
        <v>540507.96450303006</v>
      </c>
      <c r="B808" s="3">
        <f t="shared" si="61"/>
        <v>2.9499999999999975</v>
      </c>
      <c r="C808" s="553">
        <f>'Foglio deposito bis'!$E$156/sezione!$B$247*B808</f>
        <v>11.975761749245336</v>
      </c>
      <c r="D808" s="611">
        <f>-'Progetto del paramento slu'!$G$47*'Progetto del paramento slu'!$G$41*IF(DATI!$G$218="dx",DATI!$E$61,DATI!$E$64*DATI!$E$63)*1000*C808^2*sezione!$AD$5*(1-sezione!$AD$6)</f>
        <v>-1180624.0990951008</v>
      </c>
      <c r="E808" s="553">
        <f>-'Foglio deposito bis'!$F$58*(C808-sezione!$AL$30)*IF(ABS(K808)&lt;'Progetto del paramento slu'!$G$58,ABS(K808)*'Progetto del paramento slu'!$G$54,'Progetto del paramento slu'!$G$53)</f>
        <v>0</v>
      </c>
      <c r="F808" s="553">
        <f>-'Foglio deposito bis'!$F$59*(C808-sezione!$AM$30)*IF(ABS(L808)&lt;'Progetto del paramento slu'!$G$58,ABS(L808)*'Progetto del paramento slu'!$G$54,'Progetto del paramento slu'!$G$53)</f>
        <v>21209474.979092844</v>
      </c>
      <c r="G808" s="553">
        <f>-'Foglio deposito bis'!$F$60*(C808-sezione!$AN$30)*IF(ABS(M808)&lt;'Progetto del paramento slu'!$G$58,ABS(M808)*'Progetto del paramento slu'!$G$54,'Progetto del paramento slu'!$G$53)</f>
        <v>0</v>
      </c>
      <c r="H808" s="553">
        <f>-'Foglio deposito bis'!$F$61*(C808-sezione!$AO$30)*IF(ABS(N808)&lt;'Progetto del paramento slu'!$G$58,ABS(N808)*'Progetto del paramento slu'!$G$54,'Progetto del paramento slu'!$G$53)</f>
        <v>79036291.279267803</v>
      </c>
      <c r="I808" s="479">
        <f>-'Foglio deposito bis'!$F$62*(C808-sezione!$AP$30)*IF(ABS(O808)&lt;'Progetto del paramento slu'!$G$58,ABS(O808)*'Progetto del paramento slu'!$G$54,'Progetto del paramento slu'!$G$53)</f>
        <v>78055562.044899434</v>
      </c>
      <c r="J808" s="479">
        <f t="shared" si="57"/>
        <v>177120704.20416498</v>
      </c>
      <c r="K808" s="558">
        <f>'Progetto del paramento slu'!$G$60*(sezione!$AL$30-C808)/C808</f>
        <v>8.1902793268096071E-3</v>
      </c>
      <c r="L808" s="558">
        <f>'Progetto del paramento slu'!$G$60*(sezione!$AM$30-C808)/C808</f>
        <v>4.0338547475536023E-2</v>
      </c>
      <c r="M808" s="559">
        <f>'Progetto del paramento slu'!$G$60*(sezione!$AN$30-C808)/C808</f>
        <v>7.248681562426243E-2</v>
      </c>
      <c r="N808" s="559">
        <f>'Progetto del paramento slu'!$G$60*(sezione!$AO$30-C808)/C808</f>
        <v>9.586737427788164E-2</v>
      </c>
      <c r="O808" s="559">
        <f>'Progetto del paramento slu'!$G$60*(sezione!$AP$30-C808)/C808</f>
        <v>7.2487686774885332E-2</v>
      </c>
      <c r="P808" s="553">
        <f>-'Progetto del paramento slu'!$G$47*'Progetto del paramento slu'!$G$41*IF(DATI!$G$218="dx",DATI!$E$61,DATI!$E$64*DATI!$E$63)*1000*C808*sezione!$AD$5</f>
        <v>-168809.02028356984</v>
      </c>
      <c r="Q808" s="553">
        <f>'Foglio deposito bis'!$F$58*IF(ABS(K808)&lt;'Progetto del paramento slu'!$G$58,ABS(K808)*'Progetto del paramento slu'!$G$54,'Progetto del paramento slu'!$G$53)*IF(K808&lt;0,-1,1)</f>
        <v>0</v>
      </c>
      <c r="R808" s="553">
        <f>'Foglio deposito bis'!$F$59*IF(ABS(L808)&lt;'Progetto del paramento slu'!$G$58,ABS(L808)*'Progetto del paramento slu'!$G$54,'Progetto del paramento slu'!$G$53)*IF(L808&lt;0,-1,1)</f>
        <v>153664.85805602249</v>
      </c>
      <c r="S808" s="553">
        <f>'Foglio deposito bis'!$F$60*IF(ABS(M808)&lt;'Progetto del paramento slu'!$G$58,ABS(M808)*'Progetto del paramento slu'!$G$54,'Progetto del paramento slu'!$G$53)*IF(M808&lt;0,-1,1)</f>
        <v>0</v>
      </c>
      <c r="T808" s="553">
        <f>'Foglio deposito bis'!$F$61*IF(ABS(N808)&lt;'Progetto del paramento slu'!$G$58,ABS(N808)*'Progetto del paramento slu'!$G$54,'Progetto del paramento slu'!$G$53)*IF(N808&lt;0,-1,1)</f>
        <v>240946.49743184328</v>
      </c>
      <c r="U808" s="553">
        <f>'Foglio deposito bis'!$F$62*IF(ABS(O808)&lt;'Progetto del paramento slu'!$G$58,ABS(O808)*'Progetto del paramento slu'!$G$54,'Progetto del paramento slu'!$G$53)*IF(O808&lt;0,-1,1)</f>
        <v>314705.62929873407</v>
      </c>
      <c r="V808" s="479">
        <f t="shared" si="60"/>
        <v>540507.96450303006</v>
      </c>
      <c r="W808" s="559"/>
      <c r="X808" s="559"/>
    </row>
    <row r="809" spans="1:24" x14ac:dyDescent="0.25">
      <c r="A809" s="553">
        <f t="shared" si="59"/>
        <v>537646.79466771521</v>
      </c>
      <c r="B809" s="3">
        <f t="shared" si="61"/>
        <v>2.9999999999999973</v>
      </c>
      <c r="C809" s="553">
        <f>'Foglio deposito bis'!$E$156/sezione!$B$247*B809</f>
        <v>12.178740761944409</v>
      </c>
      <c r="D809" s="611">
        <f>-'Progetto del paramento slu'!$G$47*'Progetto del paramento slu'!$G$41*IF(DATI!$G$218="dx",DATI!$E$61,DATI!$E$64*DATI!$E$63)*1000*C809^2*sezione!$AD$5*(1-sezione!$AD$6)</f>
        <v>-1220984.417334778</v>
      </c>
      <c r="E809" s="553">
        <f>-'Foglio deposito bis'!$F$58*(C809-sezione!$AL$30)*IF(ABS(K809)&lt;'Progetto del paramento slu'!$G$58,ABS(K809)*'Progetto del paramento slu'!$G$54,'Progetto del paramento slu'!$G$53)</f>
        <v>0</v>
      </c>
      <c r="F809" s="553">
        <f>-'Foglio deposito bis'!$F$59*(C809-sezione!$AM$30)*IF(ABS(L809)&lt;'Progetto del paramento slu'!$G$58,ABS(L809)*'Progetto del paramento slu'!$G$54,'Progetto del paramento slu'!$G$53)</f>
        <v>21178284.237918094</v>
      </c>
      <c r="G809" s="553">
        <f>-'Foglio deposito bis'!$F$60*(C809-sezione!$AN$30)*IF(ABS(M809)&lt;'Progetto del paramento slu'!$G$58,ABS(M809)*'Progetto del paramento slu'!$G$54,'Progetto del paramento slu'!$G$53)</f>
        <v>0</v>
      </c>
      <c r="H809" s="553">
        <f>-'Foglio deposito bis'!$F$61*(C809-sezione!$AO$30)*IF(ABS(N809)&lt;'Progetto del paramento slu'!$G$58,ABS(N809)*'Progetto del paramento slu'!$G$54,'Progetto del paramento slu'!$G$53)</f>
        <v>78987384.19710578</v>
      </c>
      <c r="I809" s="479">
        <f>-'Foglio deposito bis'!$F$62*(C809-sezione!$AP$30)*IF(ABS(O809)&lt;'Progetto del paramento slu'!$G$58,ABS(O809)*'Progetto del paramento slu'!$G$54,'Progetto del paramento slu'!$G$53)</f>
        <v>77991683.406973556</v>
      </c>
      <c r="J809" s="479">
        <f t="shared" si="57"/>
        <v>176936367.42466265</v>
      </c>
      <c r="K809" s="558">
        <f>'Progetto del paramento slu'!$G$60*(sezione!$AL$30-C809)/C809</f>
        <v>7.9954413380294454E-3</v>
      </c>
      <c r="L809" s="558">
        <f>'Progetto del paramento slu'!$G$60*(sezione!$AM$30-C809)/C809</f>
        <v>3.9607905017610433E-2</v>
      </c>
      <c r="M809" s="559">
        <f>'Progetto del paramento slu'!$G$60*(sezione!$AN$30-C809)/C809</f>
        <v>7.1220368697191408E-2</v>
      </c>
      <c r="N809" s="559">
        <f>'Progetto del paramento slu'!$G$60*(sezione!$AO$30-C809)/C809</f>
        <v>9.4211251373250302E-2</v>
      </c>
      <c r="O809" s="559">
        <f>'Progetto del paramento slu'!$G$60*(sezione!$AP$30-C809)/C809</f>
        <v>7.1221225328637255E-2</v>
      </c>
      <c r="P809" s="553">
        <f>-'Progetto del paramento slu'!$G$47*'Progetto del paramento slu'!$G$41*IF(DATI!$G$218="dx",DATI!$E$61,DATI!$E$64*DATI!$E$63)*1000*C809*sezione!$AD$5</f>
        <v>-171670.19011888458</v>
      </c>
      <c r="Q809" s="553">
        <f>'Foglio deposito bis'!$F$58*IF(ABS(K809)&lt;'Progetto del paramento slu'!$G$58,ABS(K809)*'Progetto del paramento slu'!$G$54,'Progetto del paramento slu'!$G$53)*IF(K809&lt;0,-1,1)</f>
        <v>0</v>
      </c>
      <c r="R809" s="553">
        <f>'Foglio deposito bis'!$F$59*IF(ABS(L809)&lt;'Progetto del paramento slu'!$G$58,ABS(L809)*'Progetto del paramento slu'!$G$54,'Progetto del paramento slu'!$G$53)*IF(L809&lt;0,-1,1)</f>
        <v>153664.85805602249</v>
      </c>
      <c r="S809" s="553">
        <f>'Foglio deposito bis'!$F$60*IF(ABS(M809)&lt;'Progetto del paramento slu'!$G$58,ABS(M809)*'Progetto del paramento slu'!$G$54,'Progetto del paramento slu'!$G$53)*IF(M809&lt;0,-1,1)</f>
        <v>0</v>
      </c>
      <c r="T809" s="553">
        <f>'Foglio deposito bis'!$F$61*IF(ABS(N809)&lt;'Progetto del paramento slu'!$G$58,ABS(N809)*'Progetto del paramento slu'!$G$54,'Progetto del paramento slu'!$G$53)*IF(N809&lt;0,-1,1)</f>
        <v>240946.49743184328</v>
      </c>
      <c r="U809" s="553">
        <f>'Foglio deposito bis'!$F$62*IF(ABS(O809)&lt;'Progetto del paramento slu'!$G$58,ABS(O809)*'Progetto del paramento slu'!$G$54,'Progetto del paramento slu'!$G$53)*IF(O809&lt;0,-1,1)</f>
        <v>314705.62929873407</v>
      </c>
      <c r="V809" s="479">
        <f t="shared" si="60"/>
        <v>537646.79466771521</v>
      </c>
      <c r="W809" s="559"/>
      <c r="X809" s="559"/>
    </row>
    <row r="810" spans="1:24" x14ac:dyDescent="0.25">
      <c r="A810" s="553">
        <f t="shared" si="59"/>
        <v>534785.62483240059</v>
      </c>
      <c r="B810" s="3">
        <f t="shared" si="61"/>
        <v>3.0499999999999972</v>
      </c>
      <c r="C810" s="553">
        <f>'Foglio deposito bis'!$E$156/sezione!$B$247*B810</f>
        <v>12.381719774643482</v>
      </c>
      <c r="D810" s="611">
        <f>-'Progetto del paramento slu'!$G$47*'Progetto del paramento slu'!$G$41*IF(DATI!$G$218="dx",DATI!$E$61,DATI!$E$64*DATI!$E$63)*1000*C810^2*sezione!$AD$5*(1-sezione!$AD$6)</f>
        <v>-1262023.0602507524</v>
      </c>
      <c r="E810" s="553">
        <f>-'Foglio deposito bis'!$F$58*(C810-sezione!$AL$30)*IF(ABS(K810)&lt;'Progetto del paramento slu'!$G$58,ABS(K810)*'Progetto del paramento slu'!$G$54,'Progetto del paramento slu'!$G$53)</f>
        <v>0</v>
      </c>
      <c r="F810" s="553">
        <f>-'Foglio deposito bis'!$F$59*(C810-sezione!$AM$30)*IF(ABS(L810)&lt;'Progetto del paramento slu'!$G$58,ABS(L810)*'Progetto del paramento slu'!$G$54,'Progetto del paramento slu'!$G$53)</f>
        <v>21147093.49674334</v>
      </c>
      <c r="G810" s="553">
        <f>-'Foglio deposito bis'!$F$60*(C810-sezione!$AN$30)*IF(ABS(M810)&lt;'Progetto del paramento slu'!$G$58,ABS(M810)*'Progetto del paramento slu'!$G$54,'Progetto del paramento slu'!$G$53)</f>
        <v>0</v>
      </c>
      <c r="H810" s="553">
        <f>-'Foglio deposito bis'!$F$61*(C810-sezione!$AO$30)*IF(ABS(N810)&lt;'Progetto del paramento slu'!$G$58,ABS(N810)*'Progetto del paramento slu'!$G$54,'Progetto del paramento slu'!$G$53)</f>
        <v>78938477.114943773</v>
      </c>
      <c r="I810" s="479">
        <f>-'Foglio deposito bis'!$F$62*(C810-sezione!$AP$30)*IF(ABS(O810)&lt;'Progetto del paramento slu'!$G$58,ABS(O810)*'Progetto del paramento slu'!$G$54,'Progetto del paramento slu'!$G$53)</f>
        <v>77927804.769047648</v>
      </c>
      <c r="J810" s="479">
        <f t="shared" si="57"/>
        <v>176751352.32048401</v>
      </c>
      <c r="K810" s="558">
        <f>'Progetto del paramento slu'!$G$60*(sezione!$AL$30-C810)/C810</f>
        <v>7.8069914800289646E-3</v>
      </c>
      <c r="L810" s="558">
        <f>'Progetto del paramento slu'!$G$60*(sezione!$AM$30-C810)/C810</f>
        <v>3.890121805010862E-2</v>
      </c>
      <c r="M810" s="559">
        <f>'Progetto del paramento slu'!$G$60*(sezione!$AN$30-C810)/C810</f>
        <v>6.9995444620188266E-2</v>
      </c>
      <c r="N810" s="559">
        <f>'Progetto del paramento slu'!$G$60*(sezione!$AO$30-C810)/C810</f>
        <v>9.2609427580246192E-2</v>
      </c>
      <c r="O810" s="559">
        <f>'Progetto del paramento slu'!$G$60*(sezione!$AP$30-C810)/C810</f>
        <v>6.9996287208495656E-2</v>
      </c>
      <c r="P810" s="553">
        <f>-'Progetto del paramento slu'!$G$47*'Progetto del paramento slu'!$G$41*IF(DATI!$G$218="dx",DATI!$E$61,DATI!$E$64*DATI!$E$63)*1000*C810*sezione!$AD$5</f>
        <v>-174531.35995419932</v>
      </c>
      <c r="Q810" s="553">
        <f>'Foglio deposito bis'!$F$58*IF(ABS(K810)&lt;'Progetto del paramento slu'!$G$58,ABS(K810)*'Progetto del paramento slu'!$G$54,'Progetto del paramento slu'!$G$53)*IF(K810&lt;0,-1,1)</f>
        <v>0</v>
      </c>
      <c r="R810" s="553">
        <f>'Foglio deposito bis'!$F$59*IF(ABS(L810)&lt;'Progetto del paramento slu'!$G$58,ABS(L810)*'Progetto del paramento slu'!$G$54,'Progetto del paramento slu'!$G$53)*IF(L810&lt;0,-1,1)</f>
        <v>153664.85805602249</v>
      </c>
      <c r="S810" s="553">
        <f>'Foglio deposito bis'!$F$60*IF(ABS(M810)&lt;'Progetto del paramento slu'!$G$58,ABS(M810)*'Progetto del paramento slu'!$G$54,'Progetto del paramento slu'!$G$53)*IF(M810&lt;0,-1,1)</f>
        <v>0</v>
      </c>
      <c r="T810" s="553">
        <f>'Foglio deposito bis'!$F$61*IF(ABS(N810)&lt;'Progetto del paramento slu'!$G$58,ABS(N810)*'Progetto del paramento slu'!$G$54,'Progetto del paramento slu'!$G$53)*IF(N810&lt;0,-1,1)</f>
        <v>240946.49743184328</v>
      </c>
      <c r="U810" s="553">
        <f>'Foglio deposito bis'!$F$62*IF(ABS(O810)&lt;'Progetto del paramento slu'!$G$58,ABS(O810)*'Progetto del paramento slu'!$G$54,'Progetto del paramento slu'!$G$53)*IF(O810&lt;0,-1,1)</f>
        <v>314705.62929873407</v>
      </c>
      <c r="V810" s="479">
        <f t="shared" si="60"/>
        <v>534785.62483240059</v>
      </c>
      <c r="W810" s="559"/>
      <c r="X810" s="559"/>
    </row>
    <row r="811" spans="1:24" x14ac:dyDescent="0.25">
      <c r="A811" s="553">
        <f t="shared" si="59"/>
        <v>531924.45499708573</v>
      </c>
      <c r="B811" s="3">
        <f t="shared" si="61"/>
        <v>3.099999999999997</v>
      </c>
      <c r="C811" s="553">
        <f>'Foglio deposito bis'!$E$156/sezione!$B$247*B811</f>
        <v>12.584698787342555</v>
      </c>
      <c r="D811" s="611">
        <f>-'Progetto del paramento slu'!$G$47*'Progetto del paramento slu'!$G$41*IF(DATI!$G$218="dx",DATI!$E$61,DATI!$E$64*DATI!$E$63)*1000*C811^2*sezione!$AD$5*(1-sezione!$AD$6)</f>
        <v>-1303740.0278430239</v>
      </c>
      <c r="E811" s="553">
        <f>-'Foglio deposito bis'!$F$58*(C811-sezione!$AL$30)*IF(ABS(K811)&lt;'Progetto del paramento slu'!$G$58,ABS(K811)*'Progetto del paramento slu'!$G$54,'Progetto del paramento slu'!$G$53)</f>
        <v>0</v>
      </c>
      <c r="F811" s="553">
        <f>-'Foglio deposito bis'!$F$59*(C811-sezione!$AM$30)*IF(ABS(L811)&lt;'Progetto del paramento slu'!$G$58,ABS(L811)*'Progetto del paramento slu'!$G$54,'Progetto del paramento slu'!$G$53)</f>
        <v>21115902.755568586</v>
      </c>
      <c r="G811" s="553">
        <f>-'Foglio deposito bis'!$F$60*(C811-sezione!$AN$30)*IF(ABS(M811)&lt;'Progetto del paramento slu'!$G$58,ABS(M811)*'Progetto del paramento slu'!$G$54,'Progetto del paramento slu'!$G$53)</f>
        <v>0</v>
      </c>
      <c r="H811" s="553">
        <f>-'Foglio deposito bis'!$F$61*(C811-sezione!$AO$30)*IF(ABS(N811)&lt;'Progetto del paramento slu'!$G$58,ABS(N811)*'Progetto del paramento slu'!$G$54,'Progetto del paramento slu'!$G$53)</f>
        <v>78889570.03278175</v>
      </c>
      <c r="I811" s="479">
        <f>-'Foglio deposito bis'!$F$62*(C811-sezione!$AP$30)*IF(ABS(O811)&lt;'Progetto del paramento slu'!$G$58,ABS(O811)*'Progetto del paramento slu'!$G$54,'Progetto del paramento slu'!$G$53)</f>
        <v>77863926.131121755</v>
      </c>
      <c r="J811" s="479">
        <f t="shared" si="57"/>
        <v>176565658.89162907</v>
      </c>
      <c r="K811" s="558">
        <f>'Progetto del paramento slu'!$G$60*(sezione!$AL$30-C811)/C811</f>
        <v>7.624620649705917E-3</v>
      </c>
      <c r="L811" s="558">
        <f>'Progetto del paramento slu'!$G$60*(sezione!$AM$30-C811)/C811</f>
        <v>3.8217327436397192E-2</v>
      </c>
      <c r="M811" s="559">
        <f>'Progetto del paramento slu'!$G$60*(sezione!$AN$30-C811)/C811</f>
        <v>6.8810034223088457E-2</v>
      </c>
      <c r="N811" s="559">
        <f>'Progetto del paramento slu'!$G$60*(sezione!$AO$30-C811)/C811</f>
        <v>9.1059275522500302E-2</v>
      </c>
      <c r="O811" s="559">
        <f>'Progetto del paramento slu'!$G$60*(sezione!$AP$30-C811)/C811</f>
        <v>6.8810863221261856E-2</v>
      </c>
      <c r="P811" s="553">
        <f>-'Progetto del paramento slu'!$G$47*'Progetto del paramento slu'!$G$41*IF(DATI!$G$218="dx",DATI!$E$61,DATI!$E$64*DATI!$E$63)*1000*C811*sezione!$AD$5</f>
        <v>-177392.52978951405</v>
      </c>
      <c r="Q811" s="553">
        <f>'Foglio deposito bis'!$F$58*IF(ABS(K811)&lt;'Progetto del paramento slu'!$G$58,ABS(K811)*'Progetto del paramento slu'!$G$54,'Progetto del paramento slu'!$G$53)*IF(K811&lt;0,-1,1)</f>
        <v>0</v>
      </c>
      <c r="R811" s="553">
        <f>'Foglio deposito bis'!$F$59*IF(ABS(L811)&lt;'Progetto del paramento slu'!$G$58,ABS(L811)*'Progetto del paramento slu'!$G$54,'Progetto del paramento slu'!$G$53)*IF(L811&lt;0,-1,1)</f>
        <v>153664.85805602249</v>
      </c>
      <c r="S811" s="553">
        <f>'Foglio deposito bis'!$F$60*IF(ABS(M811)&lt;'Progetto del paramento slu'!$G$58,ABS(M811)*'Progetto del paramento slu'!$G$54,'Progetto del paramento slu'!$G$53)*IF(M811&lt;0,-1,1)</f>
        <v>0</v>
      </c>
      <c r="T811" s="553">
        <f>'Foglio deposito bis'!$F$61*IF(ABS(N811)&lt;'Progetto del paramento slu'!$G$58,ABS(N811)*'Progetto del paramento slu'!$G$54,'Progetto del paramento slu'!$G$53)*IF(N811&lt;0,-1,1)</f>
        <v>240946.49743184328</v>
      </c>
      <c r="U811" s="553">
        <f>'Foglio deposito bis'!$F$62*IF(ABS(O811)&lt;'Progetto del paramento slu'!$G$58,ABS(O811)*'Progetto del paramento slu'!$G$54,'Progetto del paramento slu'!$G$53)*IF(O811&lt;0,-1,1)</f>
        <v>314705.62929873407</v>
      </c>
      <c r="V811" s="479">
        <f t="shared" si="60"/>
        <v>531924.45499708573</v>
      </c>
      <c r="W811" s="559"/>
      <c r="X811" s="559"/>
    </row>
    <row r="812" spans="1:24" x14ac:dyDescent="0.25">
      <c r="A812" s="553">
        <f t="shared" si="59"/>
        <v>529063.28516177111</v>
      </c>
      <c r="B812" s="3">
        <f t="shared" si="61"/>
        <v>3.1499999999999968</v>
      </c>
      <c r="C812" s="553">
        <f>'Foglio deposito bis'!$E$156/sezione!$B$247*B812</f>
        <v>12.787677800041628</v>
      </c>
      <c r="D812" s="611">
        <f>-'Progetto del paramento slu'!$G$47*'Progetto del paramento slu'!$G$41*IF(DATI!$G$218="dx",DATI!$E$61,DATI!$E$64*DATI!$E$63)*1000*C812^2*sezione!$AD$5*(1-sezione!$AD$6)</f>
        <v>-1346135.3201115925</v>
      </c>
      <c r="E812" s="553">
        <f>-'Foglio deposito bis'!$F$58*(C812-sezione!$AL$30)*IF(ABS(K812)&lt;'Progetto del paramento slu'!$G$58,ABS(K812)*'Progetto del paramento slu'!$G$54,'Progetto del paramento slu'!$G$53)</f>
        <v>0</v>
      </c>
      <c r="F812" s="553">
        <f>-'Foglio deposito bis'!$F$59*(C812-sezione!$AM$30)*IF(ABS(L812)&lt;'Progetto del paramento slu'!$G$58,ABS(L812)*'Progetto del paramento slu'!$G$54,'Progetto del paramento slu'!$G$53)</f>
        <v>21084712.014393829</v>
      </c>
      <c r="G812" s="553">
        <f>-'Foglio deposito bis'!$F$60*(C812-sezione!$AN$30)*IF(ABS(M812)&lt;'Progetto del paramento slu'!$G$58,ABS(M812)*'Progetto del paramento slu'!$G$54,'Progetto del paramento slu'!$G$53)</f>
        <v>0</v>
      </c>
      <c r="H812" s="553">
        <f>-'Foglio deposito bis'!$F$61*(C812-sezione!$AO$30)*IF(ABS(N812)&lt;'Progetto del paramento slu'!$G$58,ABS(N812)*'Progetto del paramento slu'!$G$54,'Progetto del paramento slu'!$G$53)</f>
        <v>78840662.950619742</v>
      </c>
      <c r="I812" s="479">
        <f>-'Foglio deposito bis'!$F$62*(C812-sezione!$AP$30)*IF(ABS(O812)&lt;'Progetto del paramento slu'!$G$58,ABS(O812)*'Progetto del paramento slu'!$G$54,'Progetto del paramento slu'!$G$53)</f>
        <v>77800047.493195862</v>
      </c>
      <c r="J812" s="479">
        <f t="shared" si="57"/>
        <v>176379287.13809782</v>
      </c>
      <c r="K812" s="558">
        <f>'Progetto del paramento slu'!$G$60*(sezione!$AL$30-C812)/C812</f>
        <v>7.4480393695518562E-3</v>
      </c>
      <c r="L812" s="558">
        <f>'Progetto del paramento slu'!$G$60*(sezione!$AM$30-C812)/C812</f>
        <v>3.7555147635819457E-2</v>
      </c>
      <c r="M812" s="559">
        <f>'Progetto del paramento slu'!$G$60*(sezione!$AN$30-C812)/C812</f>
        <v>6.7662255902087062E-2</v>
      </c>
      <c r="N812" s="559">
        <f>'Progetto del paramento slu'!$G$60*(sezione!$AO$30-C812)/C812</f>
        <v>8.955833464119077E-2</v>
      </c>
      <c r="O812" s="559">
        <f>'Progetto del paramento slu'!$G$60*(sezione!$AP$30-C812)/C812</f>
        <v>6.7663071741559291E-2</v>
      </c>
      <c r="P812" s="553">
        <f>-'Progetto del paramento slu'!$G$47*'Progetto del paramento slu'!$G$41*IF(DATI!$G$218="dx",DATI!$E$61,DATI!$E$64*DATI!$E$63)*1000*C812*sezione!$AD$5</f>
        <v>-180253.69962482879</v>
      </c>
      <c r="Q812" s="553">
        <f>'Foglio deposito bis'!$F$58*IF(ABS(K812)&lt;'Progetto del paramento slu'!$G$58,ABS(K812)*'Progetto del paramento slu'!$G$54,'Progetto del paramento slu'!$G$53)*IF(K812&lt;0,-1,1)</f>
        <v>0</v>
      </c>
      <c r="R812" s="553">
        <f>'Foglio deposito bis'!$F$59*IF(ABS(L812)&lt;'Progetto del paramento slu'!$G$58,ABS(L812)*'Progetto del paramento slu'!$G$54,'Progetto del paramento slu'!$G$53)*IF(L812&lt;0,-1,1)</f>
        <v>153664.85805602249</v>
      </c>
      <c r="S812" s="553">
        <f>'Foglio deposito bis'!$F$60*IF(ABS(M812)&lt;'Progetto del paramento slu'!$G$58,ABS(M812)*'Progetto del paramento slu'!$G$54,'Progetto del paramento slu'!$G$53)*IF(M812&lt;0,-1,1)</f>
        <v>0</v>
      </c>
      <c r="T812" s="553">
        <f>'Foglio deposito bis'!$F$61*IF(ABS(N812)&lt;'Progetto del paramento slu'!$G$58,ABS(N812)*'Progetto del paramento slu'!$G$54,'Progetto del paramento slu'!$G$53)*IF(N812&lt;0,-1,1)</f>
        <v>240946.49743184328</v>
      </c>
      <c r="U812" s="553">
        <f>'Foglio deposito bis'!$F$62*IF(ABS(O812)&lt;'Progetto del paramento slu'!$G$58,ABS(O812)*'Progetto del paramento slu'!$G$54,'Progetto del paramento slu'!$G$53)*IF(O812&lt;0,-1,1)</f>
        <v>314705.62929873407</v>
      </c>
      <c r="V812" s="479">
        <f t="shared" si="60"/>
        <v>529063.28516177111</v>
      </c>
      <c r="W812" s="559"/>
      <c r="X812" s="559"/>
    </row>
    <row r="813" spans="1:24" x14ac:dyDescent="0.25">
      <c r="A813" s="553">
        <f t="shared" si="59"/>
        <v>526202.11532645626</v>
      </c>
      <c r="B813" s="3">
        <f t="shared" si="61"/>
        <v>3.1999999999999966</v>
      </c>
      <c r="C813" s="553">
        <f>'Foglio deposito bis'!$E$156/sezione!$B$247*B813</f>
        <v>12.990656812740701</v>
      </c>
      <c r="D813" s="611">
        <f>-'Progetto del paramento slu'!$G$47*'Progetto del paramento slu'!$G$41*IF(DATI!$G$218="dx",DATI!$E$61,DATI!$E$64*DATI!$E$63)*1000*C813^2*sezione!$AD$5*(1-sezione!$AD$6)</f>
        <v>-1389208.9370564581</v>
      </c>
      <c r="E813" s="553">
        <f>-'Foglio deposito bis'!$F$58*(C813-sezione!$AL$30)*IF(ABS(K813)&lt;'Progetto del paramento slu'!$G$58,ABS(K813)*'Progetto del paramento slu'!$G$54,'Progetto del paramento slu'!$G$53)</f>
        <v>0</v>
      </c>
      <c r="F813" s="553">
        <f>-'Foglio deposito bis'!$F$59*(C813-sezione!$AM$30)*IF(ABS(L813)&lt;'Progetto del paramento slu'!$G$58,ABS(L813)*'Progetto del paramento slu'!$G$54,'Progetto del paramento slu'!$G$53)</f>
        <v>21053521.273219071</v>
      </c>
      <c r="G813" s="553">
        <f>-'Foglio deposito bis'!$F$60*(C813-sezione!$AN$30)*IF(ABS(M813)&lt;'Progetto del paramento slu'!$G$58,ABS(M813)*'Progetto del paramento slu'!$G$54,'Progetto del paramento slu'!$G$53)</f>
        <v>0</v>
      </c>
      <c r="H813" s="553">
        <f>-'Foglio deposito bis'!$F$61*(C813-sezione!$AO$30)*IF(ABS(N813)&lt;'Progetto del paramento slu'!$G$58,ABS(N813)*'Progetto del paramento slu'!$G$54,'Progetto del paramento slu'!$G$53)</f>
        <v>78791755.86845772</v>
      </c>
      <c r="I813" s="479">
        <f>-'Foglio deposito bis'!$F$62*(C813-sezione!$AP$30)*IF(ABS(O813)&lt;'Progetto del paramento slu'!$G$58,ABS(O813)*'Progetto del paramento slu'!$G$54,'Progetto del paramento slu'!$G$53)</f>
        <v>77736168.855269969</v>
      </c>
      <c r="J813" s="479">
        <f t="shared" ref="J813:J876" si="62">D813+E813+F813+G813+H813+I813</f>
        <v>176192237.0598903</v>
      </c>
      <c r="K813" s="558">
        <f>'Progetto del paramento slu'!$G$60*(sezione!$AL$30-C813)/C813</f>
        <v>7.2769762544026076E-3</v>
      </c>
      <c r="L813" s="558">
        <f>'Progetto del paramento slu'!$G$60*(sezione!$AM$30-C813)/C813</f>
        <v>3.6913660954009782E-2</v>
      </c>
      <c r="M813" s="559">
        <f>'Progetto del paramento slu'!$G$60*(sezione!$AN$30-C813)/C813</f>
        <v>6.6550345653616949E-2</v>
      </c>
      <c r="N813" s="559">
        <f>'Progetto del paramento slu'!$G$60*(sezione!$AO$30-C813)/C813</f>
        <v>8.8104298162422157E-2</v>
      </c>
      <c r="O813" s="559">
        <f>'Progetto del paramento slu'!$G$60*(sezione!$AP$30-C813)/C813</f>
        <v>6.6551148745597435E-2</v>
      </c>
      <c r="P813" s="553">
        <f>-'Progetto del paramento slu'!$G$47*'Progetto del paramento slu'!$G$41*IF(DATI!$G$218="dx",DATI!$E$61,DATI!$E$64*DATI!$E$63)*1000*C813*sezione!$AD$5</f>
        <v>-183114.86946014353</v>
      </c>
      <c r="Q813" s="553">
        <f>'Foglio deposito bis'!$F$58*IF(ABS(K813)&lt;'Progetto del paramento slu'!$G$58,ABS(K813)*'Progetto del paramento slu'!$G$54,'Progetto del paramento slu'!$G$53)*IF(K813&lt;0,-1,1)</f>
        <v>0</v>
      </c>
      <c r="R813" s="553">
        <f>'Foglio deposito bis'!$F$59*IF(ABS(L813)&lt;'Progetto del paramento slu'!$G$58,ABS(L813)*'Progetto del paramento slu'!$G$54,'Progetto del paramento slu'!$G$53)*IF(L813&lt;0,-1,1)</f>
        <v>153664.85805602249</v>
      </c>
      <c r="S813" s="553">
        <f>'Foglio deposito bis'!$F$60*IF(ABS(M813)&lt;'Progetto del paramento slu'!$G$58,ABS(M813)*'Progetto del paramento slu'!$G$54,'Progetto del paramento slu'!$G$53)*IF(M813&lt;0,-1,1)</f>
        <v>0</v>
      </c>
      <c r="T813" s="553">
        <f>'Foglio deposito bis'!$F$61*IF(ABS(N813)&lt;'Progetto del paramento slu'!$G$58,ABS(N813)*'Progetto del paramento slu'!$G$54,'Progetto del paramento slu'!$G$53)*IF(N813&lt;0,-1,1)</f>
        <v>240946.49743184328</v>
      </c>
      <c r="U813" s="553">
        <f>'Foglio deposito bis'!$F$62*IF(ABS(O813)&lt;'Progetto del paramento slu'!$G$58,ABS(O813)*'Progetto del paramento slu'!$G$54,'Progetto del paramento slu'!$G$53)*IF(O813&lt;0,-1,1)</f>
        <v>314705.62929873407</v>
      </c>
      <c r="V813" s="479">
        <f t="shared" si="60"/>
        <v>526202.11532645626</v>
      </c>
      <c r="W813" s="559"/>
      <c r="X813" s="559"/>
    </row>
    <row r="814" spans="1:24" x14ac:dyDescent="0.25">
      <c r="A814" s="553">
        <f t="shared" ref="A814:A877" si="63">ABS(V814)</f>
        <v>523340.94549114152</v>
      </c>
      <c r="B814" s="3">
        <f t="shared" si="61"/>
        <v>3.2499999999999964</v>
      </c>
      <c r="C814" s="553">
        <f>'Foglio deposito bis'!$E$156/sezione!$B$247*B814</f>
        <v>13.193635825439776</v>
      </c>
      <c r="D814" s="611">
        <f>-'Progetto del paramento slu'!$G$47*'Progetto del paramento slu'!$G$41*IF(DATI!$G$218="dx",DATI!$E$61,DATI!$E$64*DATI!$E$63)*1000*C814^2*sezione!$AD$5*(1-sezione!$AD$6)</f>
        <v>-1432960.8786776213</v>
      </c>
      <c r="E814" s="553">
        <f>-'Foglio deposito bis'!$F$58*(C814-sezione!$AL$30)*IF(ABS(K814)&lt;'Progetto del paramento slu'!$G$58,ABS(K814)*'Progetto del paramento slu'!$G$54,'Progetto del paramento slu'!$G$53)</f>
        <v>0</v>
      </c>
      <c r="F814" s="553">
        <f>-'Foglio deposito bis'!$F$59*(C814-sezione!$AM$30)*IF(ABS(L814)&lt;'Progetto del paramento slu'!$G$58,ABS(L814)*'Progetto del paramento slu'!$G$54,'Progetto del paramento slu'!$G$53)</f>
        <v>21022330.532044318</v>
      </c>
      <c r="G814" s="553">
        <f>-'Foglio deposito bis'!$F$60*(C814-sezione!$AN$30)*IF(ABS(M814)&lt;'Progetto del paramento slu'!$G$58,ABS(M814)*'Progetto del paramento slu'!$G$54,'Progetto del paramento slu'!$G$53)</f>
        <v>0</v>
      </c>
      <c r="H814" s="553">
        <f>-'Foglio deposito bis'!$F$61*(C814-sezione!$AO$30)*IF(ABS(N814)&lt;'Progetto del paramento slu'!$G$58,ABS(N814)*'Progetto del paramento slu'!$G$54,'Progetto del paramento slu'!$G$53)</f>
        <v>78742848.786295712</v>
      </c>
      <c r="I814" s="479">
        <f>-'Foglio deposito bis'!$F$62*(C814-sezione!$AP$30)*IF(ABS(O814)&lt;'Progetto del paramento slu'!$G$58,ABS(O814)*'Progetto del paramento slu'!$G$54,'Progetto del paramento slu'!$G$53)</f>
        <v>77672290.217344061</v>
      </c>
      <c r="J814" s="479">
        <f t="shared" si="62"/>
        <v>176004508.65700647</v>
      </c>
      <c r="K814" s="558">
        <f>'Progetto del paramento slu'!$G$60*(sezione!$AL$30-C814)/C814</f>
        <v>7.1111766197194896E-3</v>
      </c>
      <c r="L814" s="558">
        <f>'Progetto del paramento slu'!$G$60*(sezione!$AM$30-C814)/C814</f>
        <v>3.6291912323948093E-2</v>
      </c>
      <c r="M814" s="559">
        <f>'Progetto del paramento slu'!$G$60*(sezione!$AN$30-C814)/C814</f>
        <v>6.5472648028176691E-2</v>
      </c>
      <c r="N814" s="559">
        <f>'Progetto del paramento slu'!$G$60*(sezione!$AO$30-C814)/C814</f>
        <v>8.669500126761566E-2</v>
      </c>
      <c r="O814" s="559">
        <f>'Progetto del paramento slu'!$G$60*(sezione!$AP$30-C814)/C814</f>
        <v>6.5473438764895933E-2</v>
      </c>
      <c r="P814" s="553">
        <f>-'Progetto del paramento slu'!$G$47*'Progetto del paramento slu'!$G$41*IF(DATI!$G$218="dx",DATI!$E$61,DATI!$E$64*DATI!$E$63)*1000*C814*sezione!$AD$5</f>
        <v>-185976.03929545829</v>
      </c>
      <c r="Q814" s="553">
        <f>'Foglio deposito bis'!$F$58*IF(ABS(K814)&lt;'Progetto del paramento slu'!$G$58,ABS(K814)*'Progetto del paramento slu'!$G$54,'Progetto del paramento slu'!$G$53)*IF(K814&lt;0,-1,1)</f>
        <v>0</v>
      </c>
      <c r="R814" s="553">
        <f>'Foglio deposito bis'!$F$59*IF(ABS(L814)&lt;'Progetto del paramento slu'!$G$58,ABS(L814)*'Progetto del paramento slu'!$G$54,'Progetto del paramento slu'!$G$53)*IF(L814&lt;0,-1,1)</f>
        <v>153664.85805602249</v>
      </c>
      <c r="S814" s="553">
        <f>'Foglio deposito bis'!$F$60*IF(ABS(M814)&lt;'Progetto del paramento slu'!$G$58,ABS(M814)*'Progetto del paramento slu'!$G$54,'Progetto del paramento slu'!$G$53)*IF(M814&lt;0,-1,1)</f>
        <v>0</v>
      </c>
      <c r="T814" s="553">
        <f>'Foglio deposito bis'!$F$61*IF(ABS(N814)&lt;'Progetto del paramento slu'!$G$58,ABS(N814)*'Progetto del paramento slu'!$G$54,'Progetto del paramento slu'!$G$53)*IF(N814&lt;0,-1,1)</f>
        <v>240946.49743184328</v>
      </c>
      <c r="U814" s="553">
        <f>'Foglio deposito bis'!$F$62*IF(ABS(O814)&lt;'Progetto del paramento slu'!$G$58,ABS(O814)*'Progetto del paramento slu'!$G$54,'Progetto del paramento slu'!$G$53)*IF(O814&lt;0,-1,1)</f>
        <v>314705.62929873407</v>
      </c>
      <c r="V814" s="479">
        <f t="shared" ref="V814:V877" si="64">P814+Q814+R814+S814+T814+U814</f>
        <v>523340.94549114152</v>
      </c>
      <c r="W814" s="559"/>
      <c r="X814" s="559"/>
    </row>
    <row r="815" spans="1:24" x14ac:dyDescent="0.25">
      <c r="A815" s="553">
        <f t="shared" si="63"/>
        <v>520479.77565582684</v>
      </c>
      <c r="B815" s="3">
        <f t="shared" ref="B815:B851" si="65">B814+0.05</f>
        <v>3.2999999999999963</v>
      </c>
      <c r="C815" s="553">
        <f>'Foglio deposito bis'!$E$156/sezione!$B$247*B815</f>
        <v>13.396614838138849</v>
      </c>
      <c r="D815" s="611">
        <f>-'Progetto del paramento slu'!$G$47*'Progetto del paramento slu'!$G$41*IF(DATI!$G$218="dx",DATI!$E$61,DATI!$E$64*DATI!$E$63)*1000*C815^2*sezione!$AD$5*(1-sezione!$AD$6)</f>
        <v>-1477391.1449750811</v>
      </c>
      <c r="E815" s="553">
        <f>-'Foglio deposito bis'!$F$58*(C815-sezione!$AL$30)*IF(ABS(K815)&lt;'Progetto del paramento slu'!$G$58,ABS(K815)*'Progetto del paramento slu'!$G$54,'Progetto del paramento slu'!$G$53)</f>
        <v>0</v>
      </c>
      <c r="F815" s="553">
        <f>-'Foglio deposito bis'!$F$59*(C815-sezione!$AM$30)*IF(ABS(L815)&lt;'Progetto del paramento slu'!$G$58,ABS(L815)*'Progetto del paramento slu'!$G$54,'Progetto del paramento slu'!$G$53)</f>
        <v>20991139.790869564</v>
      </c>
      <c r="G815" s="553">
        <f>-'Foglio deposito bis'!$F$60*(C815-sezione!$AN$30)*IF(ABS(M815)&lt;'Progetto del paramento slu'!$G$58,ABS(M815)*'Progetto del paramento slu'!$G$54,'Progetto del paramento slu'!$G$53)</f>
        <v>0</v>
      </c>
      <c r="H815" s="553">
        <f>-'Foglio deposito bis'!$F$61*(C815-sezione!$AO$30)*IF(ABS(N815)&lt;'Progetto del paramento slu'!$G$58,ABS(N815)*'Progetto del paramento slu'!$G$54,'Progetto del paramento slu'!$G$53)</f>
        <v>78693941.704133689</v>
      </c>
      <c r="I815" s="479">
        <f>-'Foglio deposito bis'!$F$62*(C815-sezione!$AP$30)*IF(ABS(O815)&lt;'Progetto del paramento slu'!$G$58,ABS(O815)*'Progetto del paramento slu'!$G$54,'Progetto del paramento slu'!$G$53)</f>
        <v>77608411.579418153</v>
      </c>
      <c r="J815" s="479">
        <f t="shared" si="62"/>
        <v>175816101.92944634</v>
      </c>
      <c r="K815" s="558">
        <f>'Progetto del paramento slu'!$G$60*(sezione!$AL$30-C815)/C815</f>
        <v>6.9504012163904066E-3</v>
      </c>
      <c r="L815" s="558">
        <f>'Progetto del paramento slu'!$G$60*(sezione!$AM$30-C815)/C815</f>
        <v>3.5689004561464031E-2</v>
      </c>
      <c r="M815" s="559">
        <f>'Progetto del paramento slu'!$G$60*(sezione!$AN$30-C815)/C815</f>
        <v>6.4427607906537648E-2</v>
      </c>
      <c r="N815" s="559">
        <f>'Progetto del paramento slu'!$G$60*(sezione!$AO$30-C815)/C815</f>
        <v>8.5328410339318456E-2</v>
      </c>
      <c r="O815" s="559">
        <f>'Progetto del paramento slu'!$G$60*(sezione!$AP$30-C815)/C815</f>
        <v>6.4428386662397502E-2</v>
      </c>
      <c r="P815" s="553">
        <f>-'Progetto del paramento slu'!$G$47*'Progetto del paramento slu'!$G$41*IF(DATI!$G$218="dx",DATI!$E$61,DATI!$E$64*DATI!$E$63)*1000*C815*sezione!$AD$5</f>
        <v>-188837.209130773</v>
      </c>
      <c r="Q815" s="553">
        <f>'Foglio deposito bis'!$F$58*IF(ABS(K815)&lt;'Progetto del paramento slu'!$G$58,ABS(K815)*'Progetto del paramento slu'!$G$54,'Progetto del paramento slu'!$G$53)*IF(K815&lt;0,-1,1)</f>
        <v>0</v>
      </c>
      <c r="R815" s="553">
        <f>'Foglio deposito bis'!$F$59*IF(ABS(L815)&lt;'Progetto del paramento slu'!$G$58,ABS(L815)*'Progetto del paramento slu'!$G$54,'Progetto del paramento slu'!$G$53)*IF(L815&lt;0,-1,1)</f>
        <v>153664.85805602249</v>
      </c>
      <c r="S815" s="553">
        <f>'Foglio deposito bis'!$F$60*IF(ABS(M815)&lt;'Progetto del paramento slu'!$G$58,ABS(M815)*'Progetto del paramento slu'!$G$54,'Progetto del paramento slu'!$G$53)*IF(M815&lt;0,-1,1)</f>
        <v>0</v>
      </c>
      <c r="T815" s="553">
        <f>'Foglio deposito bis'!$F$61*IF(ABS(N815)&lt;'Progetto del paramento slu'!$G$58,ABS(N815)*'Progetto del paramento slu'!$G$54,'Progetto del paramento slu'!$G$53)*IF(N815&lt;0,-1,1)</f>
        <v>240946.49743184328</v>
      </c>
      <c r="U815" s="553">
        <f>'Foglio deposito bis'!$F$62*IF(ABS(O815)&lt;'Progetto del paramento slu'!$G$58,ABS(O815)*'Progetto del paramento slu'!$G$54,'Progetto del paramento slu'!$G$53)*IF(O815&lt;0,-1,1)</f>
        <v>314705.62929873407</v>
      </c>
      <c r="V815" s="479">
        <f t="shared" si="64"/>
        <v>520479.77565582684</v>
      </c>
      <c r="W815" s="559"/>
      <c r="X815" s="559"/>
    </row>
    <row r="816" spans="1:24" x14ac:dyDescent="0.25">
      <c r="A816" s="553">
        <f t="shared" si="63"/>
        <v>517618.60582051211</v>
      </c>
      <c r="B816" s="3">
        <f t="shared" si="65"/>
        <v>3.3499999999999961</v>
      </c>
      <c r="C816" s="553">
        <f>'Foglio deposito bis'!$E$156/sezione!$B$247*B816</f>
        <v>13.599593850837921</v>
      </c>
      <c r="D816" s="611">
        <f>-'Progetto del paramento slu'!$G$47*'Progetto del paramento slu'!$G$41*IF(DATI!$G$218="dx",DATI!$E$61,DATI!$E$64*DATI!$E$63)*1000*C816^2*sezione!$AD$5*(1-sezione!$AD$6)</f>
        <v>-1522499.7359488381</v>
      </c>
      <c r="E816" s="553">
        <f>-'Foglio deposito bis'!$F$58*(C816-sezione!$AL$30)*IF(ABS(K816)&lt;'Progetto del paramento slu'!$G$58,ABS(K816)*'Progetto del paramento slu'!$G$54,'Progetto del paramento slu'!$G$53)</f>
        <v>0</v>
      </c>
      <c r="F816" s="553">
        <f>-'Foglio deposito bis'!$F$59*(C816-sezione!$AM$30)*IF(ABS(L816)&lt;'Progetto del paramento slu'!$G$58,ABS(L816)*'Progetto del paramento slu'!$G$54,'Progetto del paramento slu'!$G$53)</f>
        <v>20959949.04969481</v>
      </c>
      <c r="G816" s="553">
        <f>-'Foglio deposito bis'!$F$60*(C816-sezione!$AN$30)*IF(ABS(M816)&lt;'Progetto del paramento slu'!$G$58,ABS(M816)*'Progetto del paramento slu'!$G$54,'Progetto del paramento slu'!$G$53)</f>
        <v>0</v>
      </c>
      <c r="H816" s="553">
        <f>-'Foglio deposito bis'!$F$61*(C816-sezione!$AO$30)*IF(ABS(N816)&lt;'Progetto del paramento slu'!$G$58,ABS(N816)*'Progetto del paramento slu'!$G$54,'Progetto del paramento slu'!$G$53)</f>
        <v>78645034.621971682</v>
      </c>
      <c r="I816" s="479">
        <f>-'Foglio deposito bis'!$F$62*(C816-sezione!$AP$30)*IF(ABS(O816)&lt;'Progetto del paramento slu'!$G$58,ABS(O816)*'Progetto del paramento slu'!$G$54,'Progetto del paramento slu'!$G$53)</f>
        <v>77544532.94149226</v>
      </c>
      <c r="J816" s="479">
        <f t="shared" si="62"/>
        <v>175627016.8772099</v>
      </c>
      <c r="K816" s="558">
        <f>'Progetto del paramento slu'!$G$60*(sezione!$AL$30-C816)/C816</f>
        <v>6.7944250788323432E-3</v>
      </c>
      <c r="L816" s="558">
        <f>'Progetto del paramento slu'!$G$60*(sezione!$AM$30-C816)/C816</f>
        <v>3.510409404562128E-2</v>
      </c>
      <c r="M816" s="559">
        <f>'Progetto del paramento slu'!$G$60*(sezione!$AN$30-C816)/C816</f>
        <v>6.3413763012410224E-2</v>
      </c>
      <c r="N816" s="559">
        <f>'Progetto del paramento slu'!$G$60*(sezione!$AO$30-C816)/C816</f>
        <v>8.4002613170074902E-2</v>
      </c>
      <c r="O816" s="559">
        <f>'Progetto del paramento slu'!$G$60*(sezione!$AP$30-C816)/C816</f>
        <v>6.341453014504829E-2</v>
      </c>
      <c r="P816" s="553">
        <f>-'Progetto del paramento slu'!$G$47*'Progetto del paramento slu'!$G$41*IF(DATI!$G$218="dx",DATI!$E$61,DATI!$E$64*DATI!$E$63)*1000*C816*sezione!$AD$5</f>
        <v>-191698.37896608774</v>
      </c>
      <c r="Q816" s="553">
        <f>'Foglio deposito bis'!$F$58*IF(ABS(K816)&lt;'Progetto del paramento slu'!$G$58,ABS(K816)*'Progetto del paramento slu'!$G$54,'Progetto del paramento slu'!$G$53)*IF(K816&lt;0,-1,1)</f>
        <v>0</v>
      </c>
      <c r="R816" s="553">
        <f>'Foglio deposito bis'!$F$59*IF(ABS(L816)&lt;'Progetto del paramento slu'!$G$58,ABS(L816)*'Progetto del paramento slu'!$G$54,'Progetto del paramento slu'!$G$53)*IF(L816&lt;0,-1,1)</f>
        <v>153664.85805602249</v>
      </c>
      <c r="S816" s="553">
        <f>'Foglio deposito bis'!$F$60*IF(ABS(M816)&lt;'Progetto del paramento slu'!$G$58,ABS(M816)*'Progetto del paramento slu'!$G$54,'Progetto del paramento slu'!$G$53)*IF(M816&lt;0,-1,1)</f>
        <v>0</v>
      </c>
      <c r="T816" s="553">
        <f>'Foglio deposito bis'!$F$61*IF(ABS(N816)&lt;'Progetto del paramento slu'!$G$58,ABS(N816)*'Progetto del paramento slu'!$G$54,'Progetto del paramento slu'!$G$53)*IF(N816&lt;0,-1,1)</f>
        <v>240946.49743184328</v>
      </c>
      <c r="U816" s="553">
        <f>'Foglio deposito bis'!$F$62*IF(ABS(O816)&lt;'Progetto del paramento slu'!$G$58,ABS(O816)*'Progetto del paramento slu'!$G$54,'Progetto del paramento slu'!$G$53)*IF(O816&lt;0,-1,1)</f>
        <v>314705.62929873407</v>
      </c>
      <c r="V816" s="479">
        <f t="shared" si="64"/>
        <v>517618.60582051211</v>
      </c>
      <c r="W816" s="559"/>
      <c r="X816" s="559"/>
    </row>
    <row r="817" spans="1:24" x14ac:dyDescent="0.25">
      <c r="A817" s="553">
        <f t="shared" si="63"/>
        <v>514757.43598519737</v>
      </c>
      <c r="B817" s="3">
        <f t="shared" si="65"/>
        <v>3.3999999999999959</v>
      </c>
      <c r="C817" s="553">
        <f>'Foglio deposito bis'!$E$156/sezione!$B$247*B817</f>
        <v>13.802572863536994</v>
      </c>
      <c r="D817" s="611">
        <f>-'Progetto del paramento slu'!$G$47*'Progetto del paramento slu'!$G$41*IF(DATI!$G$218="dx",DATI!$E$61,DATI!$E$64*DATI!$E$63)*1000*C817^2*sezione!$AD$5*(1-sezione!$AD$6)</f>
        <v>-1568286.6515988919</v>
      </c>
      <c r="E817" s="553">
        <f>-'Foglio deposito bis'!$F$58*(C817-sezione!$AL$30)*IF(ABS(K817)&lt;'Progetto del paramento slu'!$G$58,ABS(K817)*'Progetto del paramento slu'!$G$54,'Progetto del paramento slu'!$G$53)</f>
        <v>0</v>
      </c>
      <c r="F817" s="553">
        <f>-'Foglio deposito bis'!$F$59*(C817-sezione!$AM$30)*IF(ABS(L817)&lt;'Progetto del paramento slu'!$G$58,ABS(L817)*'Progetto del paramento slu'!$G$54,'Progetto del paramento slu'!$G$53)</f>
        <v>20928758.308520053</v>
      </c>
      <c r="G817" s="553">
        <f>-'Foglio deposito bis'!$F$60*(C817-sezione!$AN$30)*IF(ABS(M817)&lt;'Progetto del paramento slu'!$G$58,ABS(M817)*'Progetto del paramento slu'!$G$54,'Progetto del paramento slu'!$G$53)</f>
        <v>0</v>
      </c>
      <c r="H817" s="553">
        <f>-'Foglio deposito bis'!$F$61*(C817-sezione!$AO$30)*IF(ABS(N817)&lt;'Progetto del paramento slu'!$G$58,ABS(N817)*'Progetto del paramento slu'!$G$54,'Progetto del paramento slu'!$G$53)</f>
        <v>78596127.539809674</v>
      </c>
      <c r="I817" s="479">
        <f>-'Foglio deposito bis'!$F$62*(C817-sezione!$AP$30)*IF(ABS(O817)&lt;'Progetto del paramento slu'!$G$58,ABS(O817)*'Progetto del paramento slu'!$G$54,'Progetto del paramento slu'!$G$53)</f>
        <v>77480654.303566366</v>
      </c>
      <c r="J817" s="479">
        <f t="shared" si="62"/>
        <v>175437253.50029719</v>
      </c>
      <c r="K817" s="558">
        <f>'Progetto del paramento slu'!$G$60*(sezione!$AL$30-C817)/C817</f>
        <v>6.6430364747318673E-3</v>
      </c>
      <c r="L817" s="558">
        <f>'Progetto del paramento slu'!$G$60*(sezione!$AM$30-C817)/C817</f>
        <v>3.4536386780244496E-2</v>
      </c>
      <c r="M817" s="559">
        <f>'Progetto del paramento slu'!$G$60*(sezione!$AN$30-C817)/C817</f>
        <v>6.2429737085757137E-2</v>
      </c>
      <c r="N817" s="559">
        <f>'Progetto del paramento slu'!$G$60*(sezione!$AO$30-C817)/C817</f>
        <v>8.2715810035220869E-2</v>
      </c>
      <c r="O817" s="559">
        <f>'Progetto del paramento slu'!$G$60*(sezione!$AP$30-C817)/C817</f>
        <v>6.2430492937032879E-2</v>
      </c>
      <c r="P817" s="553">
        <f>-'Progetto del paramento slu'!$G$47*'Progetto del paramento slu'!$G$41*IF(DATI!$G$218="dx",DATI!$E$61,DATI!$E$64*DATI!$E$63)*1000*C817*sezione!$AD$5</f>
        <v>-194559.54880140247</v>
      </c>
      <c r="Q817" s="553">
        <f>'Foglio deposito bis'!$F$58*IF(ABS(K817)&lt;'Progetto del paramento slu'!$G$58,ABS(K817)*'Progetto del paramento slu'!$G$54,'Progetto del paramento slu'!$G$53)*IF(K817&lt;0,-1,1)</f>
        <v>0</v>
      </c>
      <c r="R817" s="553">
        <f>'Foglio deposito bis'!$F$59*IF(ABS(L817)&lt;'Progetto del paramento slu'!$G$58,ABS(L817)*'Progetto del paramento slu'!$G$54,'Progetto del paramento slu'!$G$53)*IF(L817&lt;0,-1,1)</f>
        <v>153664.85805602249</v>
      </c>
      <c r="S817" s="553">
        <f>'Foglio deposito bis'!$F$60*IF(ABS(M817)&lt;'Progetto del paramento slu'!$G$58,ABS(M817)*'Progetto del paramento slu'!$G$54,'Progetto del paramento slu'!$G$53)*IF(M817&lt;0,-1,1)</f>
        <v>0</v>
      </c>
      <c r="T817" s="553">
        <f>'Foglio deposito bis'!$F$61*IF(ABS(N817)&lt;'Progetto del paramento slu'!$G$58,ABS(N817)*'Progetto del paramento slu'!$G$54,'Progetto del paramento slu'!$G$53)*IF(N817&lt;0,-1,1)</f>
        <v>240946.49743184328</v>
      </c>
      <c r="U817" s="553">
        <f>'Foglio deposito bis'!$F$62*IF(ABS(O817)&lt;'Progetto del paramento slu'!$G$58,ABS(O817)*'Progetto del paramento slu'!$G$54,'Progetto del paramento slu'!$G$53)*IF(O817&lt;0,-1,1)</f>
        <v>314705.62929873407</v>
      </c>
      <c r="V817" s="479">
        <f t="shared" si="64"/>
        <v>514757.43598519737</v>
      </c>
      <c r="W817" s="559"/>
      <c r="X817" s="559"/>
    </row>
    <row r="818" spans="1:24" x14ac:dyDescent="0.25">
      <c r="A818" s="553">
        <f t="shared" si="63"/>
        <v>511896.26614988263</v>
      </c>
      <c r="B818" s="3">
        <f t="shared" si="65"/>
        <v>3.4499999999999957</v>
      </c>
      <c r="C818" s="553">
        <f>'Foglio deposito bis'!$E$156/sezione!$B$247*B818</f>
        <v>14.005551876236067</v>
      </c>
      <c r="D818" s="611">
        <f>-'Progetto del paramento slu'!$G$47*'Progetto del paramento slu'!$G$41*IF(DATI!$G$218="dx",DATI!$E$61,DATI!$E$64*DATI!$E$63)*1000*C818^2*sezione!$AD$5*(1-sezione!$AD$6)</f>
        <v>-1614751.891925243</v>
      </c>
      <c r="E818" s="553">
        <f>-'Foglio deposito bis'!$F$58*(C818-sezione!$AL$30)*IF(ABS(K818)&lt;'Progetto del paramento slu'!$G$58,ABS(K818)*'Progetto del paramento slu'!$G$54,'Progetto del paramento slu'!$G$53)</f>
        <v>0</v>
      </c>
      <c r="F818" s="553">
        <f>-'Foglio deposito bis'!$F$59*(C818-sezione!$AM$30)*IF(ABS(L818)&lt;'Progetto del paramento slu'!$G$58,ABS(L818)*'Progetto del paramento slu'!$G$54,'Progetto del paramento slu'!$G$53)</f>
        <v>20897567.567345299</v>
      </c>
      <c r="G818" s="553">
        <f>-'Foglio deposito bis'!$F$60*(C818-sezione!$AN$30)*IF(ABS(M818)&lt;'Progetto del paramento slu'!$G$58,ABS(M818)*'Progetto del paramento slu'!$G$54,'Progetto del paramento slu'!$G$53)</f>
        <v>0</v>
      </c>
      <c r="H818" s="553">
        <f>-'Foglio deposito bis'!$F$61*(C818-sezione!$AO$30)*IF(ABS(N818)&lt;'Progetto del paramento slu'!$G$58,ABS(N818)*'Progetto del paramento slu'!$G$54,'Progetto del paramento slu'!$G$53)</f>
        <v>78547220.457647651</v>
      </c>
      <c r="I818" s="479">
        <f>-'Foglio deposito bis'!$F$62*(C818-sezione!$AP$30)*IF(ABS(O818)&lt;'Progetto del paramento slu'!$G$58,ABS(O818)*'Progetto del paramento slu'!$G$54,'Progetto del paramento slu'!$G$53)</f>
        <v>77416775.665640473</v>
      </c>
      <c r="J818" s="479">
        <f t="shared" si="62"/>
        <v>175246811.7987082</v>
      </c>
      <c r="K818" s="558">
        <f>'Progetto del paramento slu'!$G$60*(sezione!$AL$30-C818)/C818</f>
        <v>6.496035946112564E-3</v>
      </c>
      <c r="L818" s="558">
        <f>'Progetto del paramento slu'!$G$60*(sezione!$AM$30-C818)/C818</f>
        <v>3.3985134797922117E-2</v>
      </c>
      <c r="M818" s="559">
        <f>'Progetto del paramento slu'!$G$60*(sezione!$AN$30-C818)/C818</f>
        <v>6.1474233649731667E-2</v>
      </c>
      <c r="N818" s="559">
        <f>'Progetto del paramento slu'!$G$60*(sezione!$AO$30-C818)/C818</f>
        <v>8.1466305541956816E-2</v>
      </c>
      <c r="O818" s="559">
        <f>'Progetto del paramento slu'!$G$60*(sezione!$AP$30-C818)/C818</f>
        <v>6.14749785466411E-2</v>
      </c>
      <c r="P818" s="553">
        <f>-'Progetto del paramento slu'!$G$47*'Progetto del paramento slu'!$G$41*IF(DATI!$G$218="dx",DATI!$E$61,DATI!$E$64*DATI!$E$63)*1000*C818*sezione!$AD$5</f>
        <v>-197420.71863671721</v>
      </c>
      <c r="Q818" s="553">
        <f>'Foglio deposito bis'!$F$58*IF(ABS(K818)&lt;'Progetto del paramento slu'!$G$58,ABS(K818)*'Progetto del paramento slu'!$G$54,'Progetto del paramento slu'!$G$53)*IF(K818&lt;0,-1,1)</f>
        <v>0</v>
      </c>
      <c r="R818" s="553">
        <f>'Foglio deposito bis'!$F$59*IF(ABS(L818)&lt;'Progetto del paramento slu'!$G$58,ABS(L818)*'Progetto del paramento slu'!$G$54,'Progetto del paramento slu'!$G$53)*IF(L818&lt;0,-1,1)</f>
        <v>153664.85805602249</v>
      </c>
      <c r="S818" s="553">
        <f>'Foglio deposito bis'!$F$60*IF(ABS(M818)&lt;'Progetto del paramento slu'!$G$58,ABS(M818)*'Progetto del paramento slu'!$G$54,'Progetto del paramento slu'!$G$53)*IF(M818&lt;0,-1,1)</f>
        <v>0</v>
      </c>
      <c r="T818" s="553">
        <f>'Foglio deposito bis'!$F$61*IF(ABS(N818)&lt;'Progetto del paramento slu'!$G$58,ABS(N818)*'Progetto del paramento slu'!$G$54,'Progetto del paramento slu'!$G$53)*IF(N818&lt;0,-1,1)</f>
        <v>240946.49743184328</v>
      </c>
      <c r="U818" s="553">
        <f>'Foglio deposito bis'!$F$62*IF(ABS(O818)&lt;'Progetto del paramento slu'!$G$58,ABS(O818)*'Progetto del paramento slu'!$G$54,'Progetto del paramento slu'!$G$53)*IF(O818&lt;0,-1,1)</f>
        <v>314705.62929873407</v>
      </c>
      <c r="V818" s="479">
        <f t="shared" si="64"/>
        <v>511896.26614988263</v>
      </c>
      <c r="W818" s="559"/>
      <c r="X818" s="559"/>
    </row>
    <row r="819" spans="1:24" x14ac:dyDescent="0.25">
      <c r="A819" s="553">
        <f t="shared" si="63"/>
        <v>509035.0963145679</v>
      </c>
      <c r="B819" s="3">
        <f t="shared" si="65"/>
        <v>3.4999999999999956</v>
      </c>
      <c r="C819" s="553">
        <f>'Foglio deposito bis'!$E$156/sezione!$B$247*B819</f>
        <v>14.20853088893514</v>
      </c>
      <c r="D819" s="611">
        <f>-'Progetto del paramento slu'!$G$47*'Progetto del paramento slu'!$G$41*IF(DATI!$G$218="dx",DATI!$E$61,DATI!$E$64*DATI!$E$63)*1000*C819^2*sezione!$AD$5*(1-sezione!$AD$6)</f>
        <v>-1661895.4569278914</v>
      </c>
      <c r="E819" s="553">
        <f>-'Foglio deposito bis'!$F$58*(C819-sezione!$AL$30)*IF(ABS(K819)&lt;'Progetto del paramento slu'!$G$58,ABS(K819)*'Progetto del paramento slu'!$G$54,'Progetto del paramento slu'!$G$53)</f>
        <v>0</v>
      </c>
      <c r="F819" s="553">
        <f>-'Foglio deposito bis'!$F$59*(C819-sezione!$AM$30)*IF(ABS(L819)&lt;'Progetto del paramento slu'!$G$58,ABS(L819)*'Progetto del paramento slu'!$G$54,'Progetto del paramento slu'!$G$53)</f>
        <v>20866376.826170545</v>
      </c>
      <c r="G819" s="553">
        <f>-'Foglio deposito bis'!$F$60*(C819-sezione!$AN$30)*IF(ABS(M819)&lt;'Progetto del paramento slu'!$G$58,ABS(M819)*'Progetto del paramento slu'!$G$54,'Progetto del paramento slu'!$G$53)</f>
        <v>0</v>
      </c>
      <c r="H819" s="553">
        <f>-'Foglio deposito bis'!$F$61*(C819-sezione!$AO$30)*IF(ABS(N819)&lt;'Progetto del paramento slu'!$G$58,ABS(N819)*'Progetto del paramento slu'!$G$54,'Progetto del paramento slu'!$G$53)</f>
        <v>78498313.375485644</v>
      </c>
      <c r="I819" s="479">
        <f>-'Foglio deposito bis'!$F$62*(C819-sezione!$AP$30)*IF(ABS(O819)&lt;'Progetto del paramento slu'!$G$58,ABS(O819)*'Progetto del paramento slu'!$G$54,'Progetto del paramento slu'!$G$53)</f>
        <v>77352897.02771458</v>
      </c>
      <c r="J819" s="479">
        <f t="shared" si="62"/>
        <v>175055691.77244288</v>
      </c>
      <c r="K819" s="558">
        <f>'Progetto del paramento slu'!$G$60*(sezione!$AL$30-C819)/C819</f>
        <v>6.3532354325966708E-3</v>
      </c>
      <c r="L819" s="558">
        <f>'Progetto del paramento slu'!$G$60*(sezione!$AM$30-C819)/C819</f>
        <v>3.3449632872237518E-2</v>
      </c>
      <c r="M819" s="559">
        <f>'Progetto del paramento slu'!$G$60*(sezione!$AN$30-C819)/C819</f>
        <v>6.0546030311878357E-2</v>
      </c>
      <c r="N819" s="559">
        <f>'Progetto del paramento slu'!$G$60*(sezione!$AO$30-C819)/C819</f>
        <v>8.0252501177071708E-2</v>
      </c>
      <c r="O819" s="559">
        <f>'Progetto del paramento slu'!$G$60*(sezione!$AP$30-C819)/C819</f>
        <v>6.054676456740337E-2</v>
      </c>
      <c r="P819" s="553">
        <f>-'Progetto del paramento slu'!$G$47*'Progetto del paramento slu'!$G$41*IF(DATI!$G$218="dx",DATI!$E$61,DATI!$E$64*DATI!$E$63)*1000*C819*sezione!$AD$5</f>
        <v>-200281.88847203195</v>
      </c>
      <c r="Q819" s="553">
        <f>'Foglio deposito bis'!$F$58*IF(ABS(K819)&lt;'Progetto del paramento slu'!$G$58,ABS(K819)*'Progetto del paramento slu'!$G$54,'Progetto del paramento slu'!$G$53)*IF(K819&lt;0,-1,1)</f>
        <v>0</v>
      </c>
      <c r="R819" s="553">
        <f>'Foglio deposito bis'!$F$59*IF(ABS(L819)&lt;'Progetto del paramento slu'!$G$58,ABS(L819)*'Progetto del paramento slu'!$G$54,'Progetto del paramento slu'!$G$53)*IF(L819&lt;0,-1,1)</f>
        <v>153664.85805602249</v>
      </c>
      <c r="S819" s="553">
        <f>'Foglio deposito bis'!$F$60*IF(ABS(M819)&lt;'Progetto del paramento slu'!$G$58,ABS(M819)*'Progetto del paramento slu'!$G$54,'Progetto del paramento slu'!$G$53)*IF(M819&lt;0,-1,1)</f>
        <v>0</v>
      </c>
      <c r="T819" s="553">
        <f>'Foglio deposito bis'!$F$61*IF(ABS(N819)&lt;'Progetto del paramento slu'!$G$58,ABS(N819)*'Progetto del paramento slu'!$G$54,'Progetto del paramento slu'!$G$53)*IF(N819&lt;0,-1,1)</f>
        <v>240946.49743184328</v>
      </c>
      <c r="U819" s="553">
        <f>'Foglio deposito bis'!$F$62*IF(ABS(O819)&lt;'Progetto del paramento slu'!$G$58,ABS(O819)*'Progetto del paramento slu'!$G$54,'Progetto del paramento slu'!$G$53)*IF(O819&lt;0,-1,1)</f>
        <v>314705.62929873407</v>
      </c>
      <c r="V819" s="479">
        <f t="shared" si="64"/>
        <v>509035.0963145679</v>
      </c>
      <c r="W819" s="559"/>
      <c r="X819" s="559"/>
    </row>
    <row r="820" spans="1:24" x14ac:dyDescent="0.25">
      <c r="A820" s="553">
        <f t="shared" si="63"/>
        <v>506173.92647925316</v>
      </c>
      <c r="B820" s="3">
        <f t="shared" si="65"/>
        <v>3.5499999999999954</v>
      </c>
      <c r="C820" s="553">
        <f>'Foglio deposito bis'!$E$156/sezione!$B$247*B820</f>
        <v>14.411509901634213</v>
      </c>
      <c r="D820" s="611">
        <f>-'Progetto del paramento slu'!$G$47*'Progetto del paramento slu'!$G$41*IF(DATI!$G$218="dx",DATI!$E$61,DATI!$E$64*DATI!$E$63)*1000*C820^2*sezione!$AD$5*(1-sezione!$AD$6)</f>
        <v>-1709717.3466068367</v>
      </c>
      <c r="E820" s="553">
        <f>-'Foglio deposito bis'!$F$58*(C820-sezione!$AL$30)*IF(ABS(K820)&lt;'Progetto del paramento slu'!$G$58,ABS(K820)*'Progetto del paramento slu'!$G$54,'Progetto del paramento slu'!$G$53)</f>
        <v>0</v>
      </c>
      <c r="F820" s="553">
        <f>-'Foglio deposito bis'!$F$59*(C820-sezione!$AM$30)*IF(ABS(L820)&lt;'Progetto del paramento slu'!$G$58,ABS(L820)*'Progetto del paramento slu'!$G$54,'Progetto del paramento slu'!$G$53)</f>
        <v>20835186.084995791</v>
      </c>
      <c r="G820" s="553">
        <f>-'Foglio deposito bis'!$F$60*(C820-sezione!$AN$30)*IF(ABS(M820)&lt;'Progetto del paramento slu'!$G$58,ABS(M820)*'Progetto del paramento slu'!$G$54,'Progetto del paramento slu'!$G$53)</f>
        <v>0</v>
      </c>
      <c r="H820" s="553">
        <f>-'Foglio deposito bis'!$F$61*(C820-sezione!$AO$30)*IF(ABS(N820)&lt;'Progetto del paramento slu'!$G$58,ABS(N820)*'Progetto del paramento slu'!$G$54,'Progetto del paramento slu'!$G$53)</f>
        <v>78449406.293323621</v>
      </c>
      <c r="I820" s="479">
        <f>-'Foglio deposito bis'!$F$62*(C820-sezione!$AP$30)*IF(ABS(O820)&lt;'Progetto del paramento slu'!$G$58,ABS(O820)*'Progetto del paramento slu'!$G$54,'Progetto del paramento slu'!$G$53)</f>
        <v>77289018.389788672</v>
      </c>
      <c r="J820" s="479">
        <f t="shared" si="62"/>
        <v>174863893.42150125</v>
      </c>
      <c r="K820" s="558">
        <f>'Progetto del paramento slu'!$G$60*(sezione!$AL$30-C820)/C820</f>
        <v>6.2144574687572817E-3</v>
      </c>
      <c r="L820" s="558">
        <f>'Progetto del paramento slu'!$G$60*(sezione!$AM$30-C820)/C820</f>
        <v>3.292921550783981E-2</v>
      </c>
      <c r="M820" s="559">
        <f>'Progetto del paramento slu'!$G$60*(sezione!$AN$30-C820)/C820</f>
        <v>5.964397354692233E-2</v>
      </c>
      <c r="N820" s="559">
        <f>'Progetto del paramento slu'!$G$60*(sezione!$AO$30-C820)/C820</f>
        <v>7.9072888484436915E-2</v>
      </c>
      <c r="O820" s="559">
        <f>'Progetto del paramento slu'!$G$60*(sezione!$AP$30-C820)/C820</f>
        <v>5.9644697460820226E-2</v>
      </c>
      <c r="P820" s="553">
        <f>-'Progetto del paramento slu'!$G$47*'Progetto del paramento slu'!$G$41*IF(DATI!$G$218="dx",DATI!$E$61,DATI!$E$64*DATI!$E$63)*1000*C820*sezione!$AD$5</f>
        <v>-203143.05830734668</v>
      </c>
      <c r="Q820" s="553">
        <f>'Foglio deposito bis'!$F$58*IF(ABS(K820)&lt;'Progetto del paramento slu'!$G$58,ABS(K820)*'Progetto del paramento slu'!$G$54,'Progetto del paramento slu'!$G$53)*IF(K820&lt;0,-1,1)</f>
        <v>0</v>
      </c>
      <c r="R820" s="553">
        <f>'Foglio deposito bis'!$F$59*IF(ABS(L820)&lt;'Progetto del paramento slu'!$G$58,ABS(L820)*'Progetto del paramento slu'!$G$54,'Progetto del paramento slu'!$G$53)*IF(L820&lt;0,-1,1)</f>
        <v>153664.85805602249</v>
      </c>
      <c r="S820" s="553">
        <f>'Foglio deposito bis'!$F$60*IF(ABS(M820)&lt;'Progetto del paramento slu'!$G$58,ABS(M820)*'Progetto del paramento slu'!$G$54,'Progetto del paramento slu'!$G$53)*IF(M820&lt;0,-1,1)</f>
        <v>0</v>
      </c>
      <c r="T820" s="553">
        <f>'Foglio deposito bis'!$F$61*IF(ABS(N820)&lt;'Progetto del paramento slu'!$G$58,ABS(N820)*'Progetto del paramento slu'!$G$54,'Progetto del paramento slu'!$G$53)*IF(N820&lt;0,-1,1)</f>
        <v>240946.49743184328</v>
      </c>
      <c r="U820" s="553">
        <f>'Foglio deposito bis'!$F$62*IF(ABS(O820)&lt;'Progetto del paramento slu'!$G$58,ABS(O820)*'Progetto del paramento slu'!$G$54,'Progetto del paramento slu'!$G$53)*IF(O820&lt;0,-1,1)</f>
        <v>314705.62929873407</v>
      </c>
      <c r="V820" s="479">
        <f t="shared" si="64"/>
        <v>506173.92647925316</v>
      </c>
      <c r="W820" s="559"/>
      <c r="X820" s="559"/>
    </row>
    <row r="821" spans="1:24" x14ac:dyDescent="0.25">
      <c r="A821" s="553">
        <f t="shared" si="63"/>
        <v>503312.75664393842</v>
      </c>
      <c r="B821" s="3">
        <f t="shared" si="65"/>
        <v>3.5999999999999952</v>
      </c>
      <c r="C821" s="553">
        <f>'Foglio deposito bis'!$E$156/sezione!$B$247*B821</f>
        <v>14.614488914333286</v>
      </c>
      <c r="D821" s="611">
        <f>-'Progetto del paramento slu'!$G$47*'Progetto del paramento slu'!$G$41*IF(DATI!$G$218="dx",DATI!$E$61,DATI!$E$64*DATI!$E$63)*1000*C821^2*sezione!$AD$5*(1-sezione!$AD$6)</f>
        <v>-1758217.5609620791</v>
      </c>
      <c r="E821" s="553">
        <f>-'Foglio deposito bis'!$F$58*(C821-sezione!$AL$30)*IF(ABS(K821)&lt;'Progetto del paramento slu'!$G$58,ABS(K821)*'Progetto del paramento slu'!$G$54,'Progetto del paramento slu'!$G$53)</f>
        <v>0</v>
      </c>
      <c r="F821" s="553">
        <f>-'Foglio deposito bis'!$F$59*(C821-sezione!$AM$30)*IF(ABS(L821)&lt;'Progetto del paramento slu'!$G$58,ABS(L821)*'Progetto del paramento slu'!$G$54,'Progetto del paramento slu'!$G$53)</f>
        <v>20803995.343821034</v>
      </c>
      <c r="G821" s="553">
        <f>-'Foglio deposito bis'!$F$60*(C821-sezione!$AN$30)*IF(ABS(M821)&lt;'Progetto del paramento slu'!$G$58,ABS(M821)*'Progetto del paramento slu'!$G$54,'Progetto del paramento slu'!$G$53)</f>
        <v>0</v>
      </c>
      <c r="H821" s="553">
        <f>-'Foglio deposito bis'!$F$61*(C821-sezione!$AO$30)*IF(ABS(N821)&lt;'Progetto del paramento slu'!$G$58,ABS(N821)*'Progetto del paramento slu'!$G$54,'Progetto del paramento slu'!$G$53)</f>
        <v>78400499.211161613</v>
      </c>
      <c r="I821" s="479">
        <f>-'Foglio deposito bis'!$F$62*(C821-sezione!$AP$30)*IF(ABS(O821)&lt;'Progetto del paramento slu'!$G$58,ABS(O821)*'Progetto del paramento slu'!$G$54,'Progetto del paramento slu'!$G$53)</f>
        <v>77225139.751862764</v>
      </c>
      <c r="J821" s="479">
        <f t="shared" si="62"/>
        <v>174671416.74588335</v>
      </c>
      <c r="K821" s="558">
        <f>'Progetto del paramento slu'!$G$60*(sezione!$AL$30-C821)/C821</f>
        <v>6.0795344483578753E-3</v>
      </c>
      <c r="L821" s="558">
        <f>'Progetto del paramento slu'!$G$60*(sezione!$AM$30-C821)/C821</f>
        <v>3.242325418134203E-2</v>
      </c>
      <c r="M821" s="559">
        <f>'Progetto del paramento slu'!$G$60*(sezione!$AN$30-C821)/C821</f>
        <v>5.8766973914326184E-2</v>
      </c>
      <c r="N821" s="559">
        <f>'Progetto del paramento slu'!$G$60*(sezione!$AO$30-C821)/C821</f>
        <v>7.7926042811041943E-2</v>
      </c>
      <c r="O821" s="559">
        <f>'Progetto del paramento slu'!$G$60*(sezione!$AP$30-C821)/C821</f>
        <v>5.8767687773864395E-2</v>
      </c>
      <c r="P821" s="553">
        <f>-'Progetto del paramento slu'!$G$47*'Progetto del paramento slu'!$G$41*IF(DATI!$G$218="dx",DATI!$E$61,DATI!$E$64*DATI!$E$63)*1000*C821*sezione!$AD$5</f>
        <v>-206004.22814266142</v>
      </c>
      <c r="Q821" s="553">
        <f>'Foglio deposito bis'!$F$58*IF(ABS(K821)&lt;'Progetto del paramento slu'!$G$58,ABS(K821)*'Progetto del paramento slu'!$G$54,'Progetto del paramento slu'!$G$53)*IF(K821&lt;0,-1,1)</f>
        <v>0</v>
      </c>
      <c r="R821" s="553">
        <f>'Foglio deposito bis'!$F$59*IF(ABS(L821)&lt;'Progetto del paramento slu'!$G$58,ABS(L821)*'Progetto del paramento slu'!$G$54,'Progetto del paramento slu'!$G$53)*IF(L821&lt;0,-1,1)</f>
        <v>153664.85805602249</v>
      </c>
      <c r="S821" s="553">
        <f>'Foglio deposito bis'!$F$60*IF(ABS(M821)&lt;'Progetto del paramento slu'!$G$58,ABS(M821)*'Progetto del paramento slu'!$G$54,'Progetto del paramento slu'!$G$53)*IF(M821&lt;0,-1,1)</f>
        <v>0</v>
      </c>
      <c r="T821" s="553">
        <f>'Foglio deposito bis'!$F$61*IF(ABS(N821)&lt;'Progetto del paramento slu'!$G$58,ABS(N821)*'Progetto del paramento slu'!$G$54,'Progetto del paramento slu'!$G$53)*IF(N821&lt;0,-1,1)</f>
        <v>240946.49743184328</v>
      </c>
      <c r="U821" s="553">
        <f>'Foglio deposito bis'!$F$62*IF(ABS(O821)&lt;'Progetto del paramento slu'!$G$58,ABS(O821)*'Progetto del paramento slu'!$G$54,'Progetto del paramento slu'!$G$53)*IF(O821&lt;0,-1,1)</f>
        <v>314705.62929873407</v>
      </c>
      <c r="V821" s="479">
        <f t="shared" si="64"/>
        <v>503312.75664393842</v>
      </c>
      <c r="W821" s="559"/>
      <c r="X821" s="559"/>
    </row>
    <row r="822" spans="1:24" x14ac:dyDescent="0.25">
      <c r="A822" s="553">
        <f t="shared" si="63"/>
        <v>500451.58680862369</v>
      </c>
      <c r="B822" s="3">
        <f t="shared" si="65"/>
        <v>3.649999999999995</v>
      </c>
      <c r="C822" s="553">
        <f>'Foglio deposito bis'!$E$156/sezione!$B$247*B822</f>
        <v>14.817467927032359</v>
      </c>
      <c r="D822" s="611">
        <f>-'Progetto del paramento slu'!$G$47*'Progetto del paramento slu'!$G$41*IF(DATI!$G$218="dx",DATI!$E$61,DATI!$E$64*DATI!$E$63)*1000*C822^2*sezione!$AD$5*(1-sezione!$AD$6)</f>
        <v>-1807396.0999936189</v>
      </c>
      <c r="E822" s="553">
        <f>-'Foglio deposito bis'!$F$58*(C822-sezione!$AL$30)*IF(ABS(K822)&lt;'Progetto del paramento slu'!$G$58,ABS(K822)*'Progetto del paramento slu'!$G$54,'Progetto del paramento slu'!$G$53)</f>
        <v>0</v>
      </c>
      <c r="F822" s="553">
        <f>-'Foglio deposito bis'!$F$59*(C822-sezione!$AM$30)*IF(ABS(L822)&lt;'Progetto del paramento slu'!$G$58,ABS(L822)*'Progetto del paramento slu'!$G$54,'Progetto del paramento slu'!$G$53)</f>
        <v>20772804.60264628</v>
      </c>
      <c r="G822" s="553">
        <f>-'Foglio deposito bis'!$F$60*(C822-sezione!$AN$30)*IF(ABS(M822)&lt;'Progetto del paramento slu'!$G$58,ABS(M822)*'Progetto del paramento slu'!$G$54,'Progetto del paramento slu'!$G$53)</f>
        <v>0</v>
      </c>
      <c r="H822" s="553">
        <f>-'Foglio deposito bis'!$F$61*(C822-sezione!$AO$30)*IF(ABS(N822)&lt;'Progetto del paramento slu'!$G$58,ABS(N822)*'Progetto del paramento slu'!$G$54,'Progetto del paramento slu'!$G$53)</f>
        <v>78351592.128999591</v>
      </c>
      <c r="I822" s="479">
        <f>-'Foglio deposito bis'!$F$62*(C822-sezione!$AP$30)*IF(ABS(O822)&lt;'Progetto del paramento slu'!$G$58,ABS(O822)*'Progetto del paramento slu'!$G$54,'Progetto del paramento slu'!$G$53)</f>
        <v>77161261.113936871</v>
      </c>
      <c r="J822" s="479">
        <f t="shared" si="62"/>
        <v>174478261.74558914</v>
      </c>
      <c r="K822" s="558">
        <f>'Progetto del paramento slu'!$G$60*(sezione!$AL$30-C822)/C822</f>
        <v>5.9483079490653019E-3</v>
      </c>
      <c r="L822" s="558">
        <f>'Progetto del paramento slu'!$G$60*(sezione!$AM$30-C822)/C822</f>
        <v>3.1931154808994881E-2</v>
      </c>
      <c r="M822" s="559">
        <f>'Progetto del paramento slu'!$G$60*(sezione!$AN$30-C822)/C822</f>
        <v>5.7914001668924464E-2</v>
      </c>
      <c r="N822" s="559">
        <f>'Progetto del paramento slu'!$G$60*(sezione!$AO$30-C822)/C822</f>
        <v>7.6810617567055067E-2</v>
      </c>
      <c r="O822" s="559">
        <f>'Progetto del paramento slu'!$G$60*(sezione!$AP$30-C822)/C822</f>
        <v>5.7914705749564879E-2</v>
      </c>
      <c r="P822" s="553">
        <f>-'Progetto del paramento slu'!$G$47*'Progetto del paramento slu'!$G$41*IF(DATI!$G$218="dx",DATI!$E$61,DATI!$E$64*DATI!$E$63)*1000*C822*sezione!$AD$5</f>
        <v>-208865.39797797616</v>
      </c>
      <c r="Q822" s="553">
        <f>'Foglio deposito bis'!$F$58*IF(ABS(K822)&lt;'Progetto del paramento slu'!$G$58,ABS(K822)*'Progetto del paramento slu'!$G$54,'Progetto del paramento slu'!$G$53)*IF(K822&lt;0,-1,1)</f>
        <v>0</v>
      </c>
      <c r="R822" s="553">
        <f>'Foglio deposito bis'!$F$59*IF(ABS(L822)&lt;'Progetto del paramento slu'!$G$58,ABS(L822)*'Progetto del paramento slu'!$G$54,'Progetto del paramento slu'!$G$53)*IF(L822&lt;0,-1,1)</f>
        <v>153664.85805602249</v>
      </c>
      <c r="S822" s="553">
        <f>'Foglio deposito bis'!$F$60*IF(ABS(M822)&lt;'Progetto del paramento slu'!$G$58,ABS(M822)*'Progetto del paramento slu'!$G$54,'Progetto del paramento slu'!$G$53)*IF(M822&lt;0,-1,1)</f>
        <v>0</v>
      </c>
      <c r="T822" s="553">
        <f>'Foglio deposito bis'!$F$61*IF(ABS(N822)&lt;'Progetto del paramento slu'!$G$58,ABS(N822)*'Progetto del paramento slu'!$G$54,'Progetto del paramento slu'!$G$53)*IF(N822&lt;0,-1,1)</f>
        <v>240946.49743184328</v>
      </c>
      <c r="U822" s="553">
        <f>'Foglio deposito bis'!$F$62*IF(ABS(O822)&lt;'Progetto del paramento slu'!$G$58,ABS(O822)*'Progetto del paramento slu'!$G$54,'Progetto del paramento slu'!$G$53)*IF(O822&lt;0,-1,1)</f>
        <v>314705.62929873407</v>
      </c>
      <c r="V822" s="479">
        <f t="shared" si="64"/>
        <v>500451.58680862369</v>
      </c>
      <c r="W822" s="559"/>
      <c r="X822" s="559"/>
    </row>
    <row r="823" spans="1:24" x14ac:dyDescent="0.25">
      <c r="A823" s="553">
        <f t="shared" si="63"/>
        <v>497590.41697330895</v>
      </c>
      <c r="B823" s="3">
        <f t="shared" si="65"/>
        <v>3.6999999999999948</v>
      </c>
      <c r="C823" s="553">
        <f>'Foglio deposito bis'!$E$156/sezione!$B$247*B823</f>
        <v>15.020446939731432</v>
      </c>
      <c r="D823" s="611">
        <f>-'Progetto del paramento slu'!$G$47*'Progetto del paramento slu'!$G$41*IF(DATI!$G$218="dx",DATI!$E$61,DATI!$E$64*DATI!$E$63)*1000*C823^2*sezione!$AD$5*(1-sezione!$AD$6)</f>
        <v>-1857252.9637014554</v>
      </c>
      <c r="E823" s="553">
        <f>-'Foglio deposito bis'!$F$58*(C823-sezione!$AL$30)*IF(ABS(K823)&lt;'Progetto del paramento slu'!$G$58,ABS(K823)*'Progetto del paramento slu'!$G$54,'Progetto del paramento slu'!$G$53)</f>
        <v>0</v>
      </c>
      <c r="F823" s="553">
        <f>-'Foglio deposito bis'!$F$59*(C823-sezione!$AM$30)*IF(ABS(L823)&lt;'Progetto del paramento slu'!$G$58,ABS(L823)*'Progetto del paramento slu'!$G$54,'Progetto del paramento slu'!$G$53)</f>
        <v>20741613.861471526</v>
      </c>
      <c r="G823" s="553">
        <f>-'Foglio deposito bis'!$F$60*(C823-sezione!$AN$30)*IF(ABS(M823)&lt;'Progetto del paramento slu'!$G$58,ABS(M823)*'Progetto del paramento slu'!$G$54,'Progetto del paramento slu'!$G$53)</f>
        <v>0</v>
      </c>
      <c r="H823" s="553">
        <f>-'Foglio deposito bis'!$F$61*(C823-sezione!$AO$30)*IF(ABS(N823)&lt;'Progetto del paramento slu'!$G$58,ABS(N823)*'Progetto del paramento slu'!$G$54,'Progetto del paramento slu'!$G$53)</f>
        <v>78302685.046837583</v>
      </c>
      <c r="I823" s="479">
        <f>-'Foglio deposito bis'!$F$62*(C823-sezione!$AP$30)*IF(ABS(O823)&lt;'Progetto del paramento slu'!$G$58,ABS(O823)*'Progetto del paramento slu'!$G$54,'Progetto del paramento slu'!$G$53)</f>
        <v>77097382.476010978</v>
      </c>
      <c r="J823" s="479">
        <f t="shared" si="62"/>
        <v>174284428.42061862</v>
      </c>
      <c r="K823" s="558">
        <f>'Progetto del paramento slu'!$G$60*(sezione!$AL$30-C823)/C823</f>
        <v>5.8206281119157714E-3</v>
      </c>
      <c r="L823" s="558">
        <f>'Progetto del paramento slu'!$G$60*(sezione!$AM$30-C823)/C823</f>
        <v>3.1452355419684143E-2</v>
      </c>
      <c r="M823" s="559">
        <f>'Progetto del paramento slu'!$G$60*(sezione!$AN$30-C823)/C823</f>
        <v>5.7084082727452509E-2</v>
      </c>
      <c r="N823" s="559">
        <f>'Progetto del paramento slu'!$G$60*(sezione!$AO$30-C823)/C823</f>
        <v>7.5725338951284069E-2</v>
      </c>
      <c r="O823" s="559">
        <f>'Progetto del paramento slu'!$G$60*(sezione!$AP$30-C823)/C823</f>
        <v>5.7084777293489687E-2</v>
      </c>
      <c r="P823" s="553">
        <f>-'Progetto del paramento slu'!$G$47*'Progetto del paramento slu'!$G$41*IF(DATI!$G$218="dx",DATI!$E$61,DATI!$E$64*DATI!$E$63)*1000*C823*sezione!$AD$5</f>
        <v>-211726.56781329089</v>
      </c>
      <c r="Q823" s="553">
        <f>'Foglio deposito bis'!$F$58*IF(ABS(K823)&lt;'Progetto del paramento slu'!$G$58,ABS(K823)*'Progetto del paramento slu'!$G$54,'Progetto del paramento slu'!$G$53)*IF(K823&lt;0,-1,1)</f>
        <v>0</v>
      </c>
      <c r="R823" s="553">
        <f>'Foglio deposito bis'!$F$59*IF(ABS(L823)&lt;'Progetto del paramento slu'!$G$58,ABS(L823)*'Progetto del paramento slu'!$G$54,'Progetto del paramento slu'!$G$53)*IF(L823&lt;0,-1,1)</f>
        <v>153664.85805602249</v>
      </c>
      <c r="S823" s="553">
        <f>'Foglio deposito bis'!$F$60*IF(ABS(M823)&lt;'Progetto del paramento slu'!$G$58,ABS(M823)*'Progetto del paramento slu'!$G$54,'Progetto del paramento slu'!$G$53)*IF(M823&lt;0,-1,1)</f>
        <v>0</v>
      </c>
      <c r="T823" s="553">
        <f>'Foglio deposito bis'!$F$61*IF(ABS(N823)&lt;'Progetto del paramento slu'!$G$58,ABS(N823)*'Progetto del paramento slu'!$G$54,'Progetto del paramento slu'!$G$53)*IF(N823&lt;0,-1,1)</f>
        <v>240946.49743184328</v>
      </c>
      <c r="U823" s="553">
        <f>'Foglio deposito bis'!$F$62*IF(ABS(O823)&lt;'Progetto del paramento slu'!$G$58,ABS(O823)*'Progetto del paramento slu'!$G$54,'Progetto del paramento slu'!$G$53)*IF(O823&lt;0,-1,1)</f>
        <v>314705.62929873407</v>
      </c>
      <c r="V823" s="479">
        <f t="shared" si="64"/>
        <v>497590.41697330895</v>
      </c>
      <c r="W823" s="559"/>
      <c r="X823" s="559"/>
    </row>
    <row r="824" spans="1:24" x14ac:dyDescent="0.25">
      <c r="A824" s="553">
        <f t="shared" si="63"/>
        <v>494729.24713799421</v>
      </c>
      <c r="B824" s="3">
        <f t="shared" si="65"/>
        <v>3.7499999999999947</v>
      </c>
      <c r="C824" s="553">
        <f>'Foglio deposito bis'!$E$156/sezione!$B$247*B824</f>
        <v>15.223425952430505</v>
      </c>
      <c r="D824" s="611">
        <f>-'Progetto del paramento slu'!$G$47*'Progetto del paramento slu'!$G$41*IF(DATI!$G$218="dx",DATI!$E$61,DATI!$E$64*DATI!$E$63)*1000*C824^2*sezione!$AD$5*(1-sezione!$AD$6)</f>
        <v>-1907788.1520855892</v>
      </c>
      <c r="E824" s="553">
        <f>-'Foglio deposito bis'!$F$58*(C824-sezione!$AL$30)*IF(ABS(K824)&lt;'Progetto del paramento slu'!$G$58,ABS(K824)*'Progetto del paramento slu'!$G$54,'Progetto del paramento slu'!$G$53)</f>
        <v>0</v>
      </c>
      <c r="F824" s="553">
        <f>-'Foglio deposito bis'!$F$59*(C824-sezione!$AM$30)*IF(ABS(L824)&lt;'Progetto del paramento slu'!$G$58,ABS(L824)*'Progetto del paramento slu'!$G$54,'Progetto del paramento slu'!$G$53)</f>
        <v>20710423.120296773</v>
      </c>
      <c r="G824" s="553">
        <f>-'Foglio deposito bis'!$F$60*(C824-sezione!$AN$30)*IF(ABS(M824)&lt;'Progetto del paramento slu'!$G$58,ABS(M824)*'Progetto del paramento slu'!$G$54,'Progetto del paramento slu'!$G$53)</f>
        <v>0</v>
      </c>
      <c r="H824" s="553">
        <f>-'Foglio deposito bis'!$F$61*(C824-sezione!$AO$30)*IF(ABS(N824)&lt;'Progetto del paramento slu'!$G$58,ABS(N824)*'Progetto del paramento slu'!$G$54,'Progetto del paramento slu'!$G$53)</f>
        <v>78253777.964675561</v>
      </c>
      <c r="I824" s="479">
        <f>-'Foglio deposito bis'!$F$62*(C824-sezione!$AP$30)*IF(ABS(O824)&lt;'Progetto del paramento slu'!$G$58,ABS(O824)*'Progetto del paramento slu'!$G$54,'Progetto del paramento slu'!$G$53)</f>
        <v>77033503.838085085</v>
      </c>
      <c r="J824" s="479">
        <f t="shared" si="62"/>
        <v>174089916.77097183</v>
      </c>
      <c r="K824" s="558">
        <f>'Progetto del paramento slu'!$G$60*(sezione!$AL$30-C824)/C824</f>
        <v>5.6963530704235614E-3</v>
      </c>
      <c r="L824" s="558">
        <f>'Progetto del paramento slu'!$G$60*(sezione!$AM$30-C824)/C824</f>
        <v>3.0986324014088351E-2</v>
      </c>
      <c r="M824" s="559">
        <f>'Progetto del paramento slu'!$G$60*(sezione!$AN$30-C824)/C824</f>
        <v>5.6276294957753145E-2</v>
      </c>
      <c r="N824" s="559">
        <f>'Progetto del paramento slu'!$G$60*(sezione!$AO$30-C824)/C824</f>
        <v>7.4669001098600266E-2</v>
      </c>
      <c r="O824" s="559">
        <f>'Progetto del paramento slu'!$G$60*(sezione!$AP$30-C824)/C824</f>
        <v>5.6276980262909823E-2</v>
      </c>
      <c r="P824" s="553">
        <f>-'Progetto del paramento slu'!$G$47*'Progetto del paramento slu'!$G$41*IF(DATI!$G$218="dx",DATI!$E$61,DATI!$E$64*DATI!$E$63)*1000*C824*sezione!$AD$5</f>
        <v>-214587.73764860563</v>
      </c>
      <c r="Q824" s="553">
        <f>'Foglio deposito bis'!$F$58*IF(ABS(K824)&lt;'Progetto del paramento slu'!$G$58,ABS(K824)*'Progetto del paramento slu'!$G$54,'Progetto del paramento slu'!$G$53)*IF(K824&lt;0,-1,1)</f>
        <v>0</v>
      </c>
      <c r="R824" s="553">
        <f>'Foglio deposito bis'!$F$59*IF(ABS(L824)&lt;'Progetto del paramento slu'!$G$58,ABS(L824)*'Progetto del paramento slu'!$G$54,'Progetto del paramento slu'!$G$53)*IF(L824&lt;0,-1,1)</f>
        <v>153664.85805602249</v>
      </c>
      <c r="S824" s="553">
        <f>'Foglio deposito bis'!$F$60*IF(ABS(M824)&lt;'Progetto del paramento slu'!$G$58,ABS(M824)*'Progetto del paramento slu'!$G$54,'Progetto del paramento slu'!$G$53)*IF(M824&lt;0,-1,1)</f>
        <v>0</v>
      </c>
      <c r="T824" s="553">
        <f>'Foglio deposito bis'!$F$61*IF(ABS(N824)&lt;'Progetto del paramento slu'!$G$58,ABS(N824)*'Progetto del paramento slu'!$G$54,'Progetto del paramento slu'!$G$53)*IF(N824&lt;0,-1,1)</f>
        <v>240946.49743184328</v>
      </c>
      <c r="U824" s="553">
        <f>'Foglio deposito bis'!$F$62*IF(ABS(O824)&lt;'Progetto del paramento slu'!$G$58,ABS(O824)*'Progetto del paramento slu'!$G$54,'Progetto del paramento slu'!$G$53)*IF(O824&lt;0,-1,1)</f>
        <v>314705.62929873407</v>
      </c>
      <c r="V824" s="479">
        <f t="shared" si="64"/>
        <v>494729.24713799421</v>
      </c>
      <c r="W824" s="559"/>
      <c r="X824" s="559"/>
    </row>
    <row r="825" spans="1:24" x14ac:dyDescent="0.25">
      <c r="A825" s="553">
        <f t="shared" si="63"/>
        <v>491868.07730267948</v>
      </c>
      <c r="B825" s="3">
        <f t="shared" si="65"/>
        <v>3.7999999999999945</v>
      </c>
      <c r="C825" s="553">
        <f>'Foglio deposito bis'!$E$156/sezione!$B$247*B825</f>
        <v>15.426404965129578</v>
      </c>
      <c r="D825" s="611">
        <f>-'Progetto del paramento slu'!$G$47*'Progetto del paramento slu'!$G$41*IF(DATI!$G$218="dx",DATI!$E$61,DATI!$E$64*DATI!$E$63)*1000*C825^2*sezione!$AD$5*(1-sezione!$AD$6)</f>
        <v>-1959001.6651460198</v>
      </c>
      <c r="E825" s="553">
        <f>-'Foglio deposito bis'!$F$58*(C825-sezione!$AL$30)*IF(ABS(K825)&lt;'Progetto del paramento slu'!$G$58,ABS(K825)*'Progetto del paramento slu'!$G$54,'Progetto del paramento slu'!$G$53)</f>
        <v>0</v>
      </c>
      <c r="F825" s="553">
        <f>-'Foglio deposito bis'!$F$59*(C825-sezione!$AM$30)*IF(ABS(L825)&lt;'Progetto del paramento slu'!$G$58,ABS(L825)*'Progetto del paramento slu'!$G$54,'Progetto del paramento slu'!$G$53)</f>
        <v>20679232.379122019</v>
      </c>
      <c r="G825" s="553">
        <f>-'Foglio deposito bis'!$F$60*(C825-sezione!$AN$30)*IF(ABS(M825)&lt;'Progetto del paramento slu'!$G$58,ABS(M825)*'Progetto del paramento slu'!$G$54,'Progetto del paramento slu'!$G$53)</f>
        <v>0</v>
      </c>
      <c r="H825" s="553">
        <f>-'Foglio deposito bis'!$F$61*(C825-sezione!$AO$30)*IF(ABS(N825)&lt;'Progetto del paramento slu'!$G$58,ABS(N825)*'Progetto del paramento slu'!$G$54,'Progetto del paramento slu'!$G$53)</f>
        <v>78204870.882513553</v>
      </c>
      <c r="I825" s="479">
        <f>-'Foglio deposito bis'!$F$62*(C825-sezione!$AP$30)*IF(ABS(O825)&lt;'Progetto del paramento slu'!$G$58,ABS(O825)*'Progetto del paramento slu'!$G$54,'Progetto del paramento slu'!$G$53)</f>
        <v>76969625.200159192</v>
      </c>
      <c r="J825" s="479">
        <f t="shared" si="62"/>
        <v>173894726.79664874</v>
      </c>
      <c r="K825" s="558">
        <f>'Progetto del paramento slu'!$G$60*(sezione!$AL$30-C825)/C825</f>
        <v>5.5753484247600942E-3</v>
      </c>
      <c r="L825" s="558">
        <f>'Progetto del paramento slu'!$G$60*(sezione!$AM$30-C825)/C825</f>
        <v>3.0532556592850358E-2</v>
      </c>
      <c r="M825" s="559">
        <f>'Progetto del paramento slu'!$G$60*(sezione!$AN$30-C825)/C825</f>
        <v>5.5489764760940613E-2</v>
      </c>
      <c r="N825" s="559">
        <f>'Progetto del paramento slu'!$G$60*(sezione!$AO$30-C825)/C825</f>
        <v>7.3640461610460797E-2</v>
      </c>
      <c r="O825" s="559">
        <f>'Progetto del paramento slu'!$G$60*(sezione!$AP$30-C825)/C825</f>
        <v>5.5490441048924172E-2</v>
      </c>
      <c r="P825" s="553">
        <f>-'Progetto del paramento slu'!$G$47*'Progetto del paramento slu'!$G$41*IF(DATI!$G$218="dx",DATI!$E$61,DATI!$E$64*DATI!$E$63)*1000*C825*sezione!$AD$5</f>
        <v>-217448.90748392037</v>
      </c>
      <c r="Q825" s="553">
        <f>'Foglio deposito bis'!$F$58*IF(ABS(K825)&lt;'Progetto del paramento slu'!$G$58,ABS(K825)*'Progetto del paramento slu'!$G$54,'Progetto del paramento slu'!$G$53)*IF(K825&lt;0,-1,1)</f>
        <v>0</v>
      </c>
      <c r="R825" s="553">
        <f>'Foglio deposito bis'!$F$59*IF(ABS(L825)&lt;'Progetto del paramento slu'!$G$58,ABS(L825)*'Progetto del paramento slu'!$G$54,'Progetto del paramento slu'!$G$53)*IF(L825&lt;0,-1,1)</f>
        <v>153664.85805602249</v>
      </c>
      <c r="S825" s="553">
        <f>'Foglio deposito bis'!$F$60*IF(ABS(M825)&lt;'Progetto del paramento slu'!$G$58,ABS(M825)*'Progetto del paramento slu'!$G$54,'Progetto del paramento slu'!$G$53)*IF(M825&lt;0,-1,1)</f>
        <v>0</v>
      </c>
      <c r="T825" s="553">
        <f>'Foglio deposito bis'!$F$61*IF(ABS(N825)&lt;'Progetto del paramento slu'!$G$58,ABS(N825)*'Progetto del paramento slu'!$G$54,'Progetto del paramento slu'!$G$53)*IF(N825&lt;0,-1,1)</f>
        <v>240946.49743184328</v>
      </c>
      <c r="U825" s="553">
        <f>'Foglio deposito bis'!$F$62*IF(ABS(O825)&lt;'Progetto del paramento slu'!$G$58,ABS(O825)*'Progetto del paramento slu'!$G$54,'Progetto del paramento slu'!$G$53)*IF(O825&lt;0,-1,1)</f>
        <v>314705.62929873407</v>
      </c>
      <c r="V825" s="479">
        <f t="shared" si="64"/>
        <v>491868.07730267948</v>
      </c>
      <c r="W825" s="559"/>
      <c r="X825" s="559"/>
    </row>
    <row r="826" spans="1:24" x14ac:dyDescent="0.25">
      <c r="A826" s="553">
        <f t="shared" si="63"/>
        <v>489006.90746736474</v>
      </c>
      <c r="B826" s="3">
        <f t="shared" si="65"/>
        <v>3.8499999999999943</v>
      </c>
      <c r="C826" s="553">
        <f>'Foglio deposito bis'!$E$156/sezione!$B$247*B826</f>
        <v>15.629383977828651</v>
      </c>
      <c r="D826" s="611">
        <f>-'Progetto del paramento slu'!$G$47*'Progetto del paramento slu'!$G$41*IF(DATI!$G$218="dx",DATI!$E$61,DATI!$E$64*DATI!$E$63)*1000*C826^2*sezione!$AD$5*(1-sezione!$AD$6)</f>
        <v>-2010893.5028827477</v>
      </c>
      <c r="E826" s="553">
        <f>-'Foglio deposito bis'!$F$58*(C826-sezione!$AL$30)*IF(ABS(K826)&lt;'Progetto del paramento slu'!$G$58,ABS(K826)*'Progetto del paramento slu'!$G$54,'Progetto del paramento slu'!$G$53)</f>
        <v>0</v>
      </c>
      <c r="F826" s="553">
        <f>-'Foglio deposito bis'!$F$59*(C826-sezione!$AM$30)*IF(ABS(L826)&lt;'Progetto del paramento slu'!$G$58,ABS(L826)*'Progetto del paramento slu'!$G$54,'Progetto del paramento slu'!$G$53)</f>
        <v>20648041.637947265</v>
      </c>
      <c r="G826" s="553">
        <f>-'Foglio deposito bis'!$F$60*(C826-sezione!$AN$30)*IF(ABS(M826)&lt;'Progetto del paramento slu'!$G$58,ABS(M826)*'Progetto del paramento slu'!$G$54,'Progetto del paramento slu'!$G$53)</f>
        <v>0</v>
      </c>
      <c r="H826" s="553">
        <f>-'Foglio deposito bis'!$F$61*(C826-sezione!$AO$30)*IF(ABS(N826)&lt;'Progetto del paramento slu'!$G$58,ABS(N826)*'Progetto del paramento slu'!$G$54,'Progetto del paramento slu'!$G$53)</f>
        <v>78155963.80035153</v>
      </c>
      <c r="I826" s="479">
        <f>-'Foglio deposito bis'!$F$62*(C826-sezione!$AP$30)*IF(ABS(O826)&lt;'Progetto del paramento slu'!$G$58,ABS(O826)*'Progetto del paramento slu'!$G$54,'Progetto del paramento slu'!$G$53)</f>
        <v>76905746.562233284</v>
      </c>
      <c r="J826" s="479">
        <f t="shared" si="62"/>
        <v>173698858.49764931</v>
      </c>
      <c r="K826" s="558">
        <f>'Progetto del paramento slu'!$G$60*(sezione!$AL$30-C826)/C826</f>
        <v>5.4574867569060666E-3</v>
      </c>
      <c r="L826" s="558">
        <f>'Progetto del paramento slu'!$G$60*(sezione!$AM$30-C826)/C826</f>
        <v>3.0090575338397752E-2</v>
      </c>
      <c r="M826" s="559">
        <f>'Progetto del paramento slu'!$G$60*(sezione!$AN$30-C826)/C826</f>
        <v>5.4723663919889441E-2</v>
      </c>
      <c r="N826" s="559">
        <f>'Progetto del paramento slu'!$G$60*(sezione!$AO$30-C826)/C826</f>
        <v>7.2638637433701567E-2</v>
      </c>
      <c r="O826" s="559">
        <f>'Progetto del paramento slu'!$G$60*(sezione!$AP$30-C826)/C826</f>
        <v>5.4724331424912169E-2</v>
      </c>
      <c r="P826" s="553">
        <f>-'Progetto del paramento slu'!$G$47*'Progetto del paramento slu'!$G$41*IF(DATI!$G$218="dx",DATI!$E$61,DATI!$E$64*DATI!$E$63)*1000*C826*sezione!$AD$5</f>
        <v>-220310.0773192351</v>
      </c>
      <c r="Q826" s="553">
        <f>'Foglio deposito bis'!$F$58*IF(ABS(K826)&lt;'Progetto del paramento slu'!$G$58,ABS(K826)*'Progetto del paramento slu'!$G$54,'Progetto del paramento slu'!$G$53)*IF(K826&lt;0,-1,1)</f>
        <v>0</v>
      </c>
      <c r="R826" s="553">
        <f>'Foglio deposito bis'!$F$59*IF(ABS(L826)&lt;'Progetto del paramento slu'!$G$58,ABS(L826)*'Progetto del paramento slu'!$G$54,'Progetto del paramento slu'!$G$53)*IF(L826&lt;0,-1,1)</f>
        <v>153664.85805602249</v>
      </c>
      <c r="S826" s="553">
        <f>'Foglio deposito bis'!$F$60*IF(ABS(M826)&lt;'Progetto del paramento slu'!$G$58,ABS(M826)*'Progetto del paramento slu'!$G$54,'Progetto del paramento slu'!$G$53)*IF(M826&lt;0,-1,1)</f>
        <v>0</v>
      </c>
      <c r="T826" s="553">
        <f>'Foglio deposito bis'!$F$61*IF(ABS(N826)&lt;'Progetto del paramento slu'!$G$58,ABS(N826)*'Progetto del paramento slu'!$G$54,'Progetto del paramento slu'!$G$53)*IF(N826&lt;0,-1,1)</f>
        <v>240946.49743184328</v>
      </c>
      <c r="U826" s="553">
        <f>'Foglio deposito bis'!$F$62*IF(ABS(O826)&lt;'Progetto del paramento slu'!$G$58,ABS(O826)*'Progetto del paramento slu'!$G$54,'Progetto del paramento slu'!$G$53)*IF(O826&lt;0,-1,1)</f>
        <v>314705.62929873407</v>
      </c>
      <c r="V826" s="479">
        <f t="shared" si="64"/>
        <v>489006.90746736474</v>
      </c>
      <c r="W826" s="559"/>
      <c r="X826" s="559"/>
    </row>
    <row r="827" spans="1:24" x14ac:dyDescent="0.25">
      <c r="A827" s="553">
        <f t="shared" si="63"/>
        <v>486145.73763205</v>
      </c>
      <c r="B827" s="3">
        <f t="shared" si="65"/>
        <v>3.8999999999999941</v>
      </c>
      <c r="C827" s="553">
        <f>'Foglio deposito bis'!$E$156/sezione!$B$247*B827</f>
        <v>15.832362990527724</v>
      </c>
      <c r="D827" s="611">
        <f>-'Progetto del paramento slu'!$G$47*'Progetto del paramento slu'!$G$41*IF(DATI!$G$218="dx",DATI!$E$61,DATI!$E$64*DATI!$E$63)*1000*C827^2*sezione!$AD$5*(1-sezione!$AD$6)</f>
        <v>-2063463.665295773</v>
      </c>
      <c r="E827" s="553">
        <f>-'Foglio deposito bis'!$F$58*(C827-sezione!$AL$30)*IF(ABS(K827)&lt;'Progetto del paramento slu'!$G$58,ABS(K827)*'Progetto del paramento slu'!$G$54,'Progetto del paramento slu'!$G$53)</f>
        <v>0</v>
      </c>
      <c r="F827" s="553">
        <f>-'Foglio deposito bis'!$F$59*(C827-sezione!$AM$30)*IF(ABS(L827)&lt;'Progetto del paramento slu'!$G$58,ABS(L827)*'Progetto del paramento slu'!$G$54,'Progetto del paramento slu'!$G$53)</f>
        <v>20616850.896772511</v>
      </c>
      <c r="G827" s="553">
        <f>-'Foglio deposito bis'!$F$60*(C827-sezione!$AN$30)*IF(ABS(M827)&lt;'Progetto del paramento slu'!$G$58,ABS(M827)*'Progetto del paramento slu'!$G$54,'Progetto del paramento slu'!$G$53)</f>
        <v>0</v>
      </c>
      <c r="H827" s="553">
        <f>-'Foglio deposito bis'!$F$61*(C827-sezione!$AO$30)*IF(ABS(N827)&lt;'Progetto del paramento slu'!$G$58,ABS(N827)*'Progetto del paramento slu'!$G$54,'Progetto del paramento slu'!$G$53)</f>
        <v>78107056.718189523</v>
      </c>
      <c r="I827" s="479">
        <f>-'Foglio deposito bis'!$F$62*(C827-sezione!$AP$30)*IF(ABS(O827)&lt;'Progetto del paramento slu'!$G$58,ABS(O827)*'Progetto del paramento slu'!$G$54,'Progetto del paramento slu'!$G$53)</f>
        <v>76841867.924307391</v>
      </c>
      <c r="J827" s="479">
        <f t="shared" si="62"/>
        <v>173502311.87397367</v>
      </c>
      <c r="K827" s="558">
        <f>'Progetto del paramento slu'!$G$60*(sezione!$AL$30-C827)/C827</f>
        <v>5.3426471830995787E-3</v>
      </c>
      <c r="L827" s="558">
        <f>'Progetto del paramento slu'!$G$60*(sezione!$AM$30-C827)/C827</f>
        <v>2.9659926936623424E-2</v>
      </c>
      <c r="M827" s="559">
        <f>'Progetto del paramento slu'!$G$60*(sezione!$AN$30-C827)/C827</f>
        <v>5.3977206690147266E-2</v>
      </c>
      <c r="N827" s="559">
        <f>'Progetto del paramento slu'!$G$60*(sezione!$AO$30-C827)/C827</f>
        <v>7.1662501056346431E-2</v>
      </c>
      <c r="O827" s="559">
        <f>'Progetto del paramento slu'!$G$60*(sezione!$AP$30-C827)/C827</f>
        <v>5.3977865637413296E-2</v>
      </c>
      <c r="P827" s="553">
        <f>-'Progetto del paramento slu'!$G$47*'Progetto del paramento slu'!$G$41*IF(DATI!$G$218="dx",DATI!$E$61,DATI!$E$64*DATI!$E$63)*1000*C827*sezione!$AD$5</f>
        <v>-223171.24715454984</v>
      </c>
      <c r="Q827" s="553">
        <f>'Foglio deposito bis'!$F$58*IF(ABS(K827)&lt;'Progetto del paramento slu'!$G$58,ABS(K827)*'Progetto del paramento slu'!$G$54,'Progetto del paramento slu'!$G$53)*IF(K827&lt;0,-1,1)</f>
        <v>0</v>
      </c>
      <c r="R827" s="553">
        <f>'Foglio deposito bis'!$F$59*IF(ABS(L827)&lt;'Progetto del paramento slu'!$G$58,ABS(L827)*'Progetto del paramento slu'!$G$54,'Progetto del paramento slu'!$G$53)*IF(L827&lt;0,-1,1)</f>
        <v>153664.85805602249</v>
      </c>
      <c r="S827" s="553">
        <f>'Foglio deposito bis'!$F$60*IF(ABS(M827)&lt;'Progetto del paramento slu'!$G$58,ABS(M827)*'Progetto del paramento slu'!$G$54,'Progetto del paramento slu'!$G$53)*IF(M827&lt;0,-1,1)</f>
        <v>0</v>
      </c>
      <c r="T827" s="553">
        <f>'Foglio deposito bis'!$F$61*IF(ABS(N827)&lt;'Progetto del paramento slu'!$G$58,ABS(N827)*'Progetto del paramento slu'!$G$54,'Progetto del paramento slu'!$G$53)*IF(N827&lt;0,-1,1)</f>
        <v>240946.49743184328</v>
      </c>
      <c r="U827" s="553">
        <f>'Foglio deposito bis'!$F$62*IF(ABS(O827)&lt;'Progetto del paramento slu'!$G$58,ABS(O827)*'Progetto del paramento slu'!$G$54,'Progetto del paramento slu'!$G$53)*IF(O827&lt;0,-1,1)</f>
        <v>314705.62929873407</v>
      </c>
      <c r="V827" s="479">
        <f t="shared" si="64"/>
        <v>486145.73763205</v>
      </c>
      <c r="W827" s="559"/>
      <c r="X827" s="559"/>
    </row>
    <row r="828" spans="1:24" x14ac:dyDescent="0.25">
      <c r="A828" s="553">
        <f t="shared" si="63"/>
        <v>483284.56779673533</v>
      </c>
      <c r="B828" s="3">
        <f t="shared" si="65"/>
        <v>3.949999999999994</v>
      </c>
      <c r="C828" s="553">
        <f>'Foglio deposito bis'!$E$156/sezione!$B$247*B828</f>
        <v>16.035342003226795</v>
      </c>
      <c r="D828" s="611">
        <f>-'Progetto del paramento slu'!$G$47*'Progetto del paramento slu'!$G$41*IF(DATI!$G$218="dx",DATI!$E$61,DATI!$E$64*DATI!$E$63)*1000*C828^2*sezione!$AD$5*(1-sezione!$AD$6)</f>
        <v>-2116712.1523850942</v>
      </c>
      <c r="E828" s="553">
        <f>-'Foglio deposito bis'!$F$58*(C828-sezione!$AL$30)*IF(ABS(K828)&lt;'Progetto del paramento slu'!$G$58,ABS(K828)*'Progetto del paramento slu'!$G$54,'Progetto del paramento slu'!$G$53)</f>
        <v>0</v>
      </c>
      <c r="F828" s="553">
        <f>-'Foglio deposito bis'!$F$59*(C828-sezione!$AM$30)*IF(ABS(L828)&lt;'Progetto del paramento slu'!$G$58,ABS(L828)*'Progetto del paramento slu'!$G$54,'Progetto del paramento slu'!$G$53)</f>
        <v>20585660.155597754</v>
      </c>
      <c r="G828" s="553">
        <f>-'Foglio deposito bis'!$F$60*(C828-sezione!$AN$30)*IF(ABS(M828)&lt;'Progetto del paramento slu'!$G$58,ABS(M828)*'Progetto del paramento slu'!$G$54,'Progetto del paramento slu'!$G$53)</f>
        <v>0</v>
      </c>
      <c r="H828" s="553">
        <f>-'Foglio deposito bis'!$F$61*(C828-sezione!$AO$30)*IF(ABS(N828)&lt;'Progetto del paramento slu'!$G$58,ABS(N828)*'Progetto del paramento slu'!$G$54,'Progetto del paramento slu'!$G$53)</f>
        <v>78058149.6360275</v>
      </c>
      <c r="I828" s="479">
        <f>-'Foglio deposito bis'!$F$62*(C828-sezione!$AP$30)*IF(ABS(O828)&lt;'Progetto del paramento slu'!$G$58,ABS(O828)*'Progetto del paramento slu'!$G$54,'Progetto del paramento slu'!$G$53)</f>
        <v>76777989.286381498</v>
      </c>
      <c r="J828" s="479">
        <f t="shared" si="62"/>
        <v>173305086.92562166</v>
      </c>
      <c r="K828" s="558">
        <f>'Progetto del paramento slu'!$G$60*(sezione!$AL$30-C828)/C828</f>
        <v>5.2307149402755345E-3</v>
      </c>
      <c r="L828" s="558">
        <f>'Progetto del paramento slu'!$G$60*(sezione!$AM$30-C828)/C828</f>
        <v>2.9240181026033256E-2</v>
      </c>
      <c r="M828" s="559">
        <f>'Progetto del paramento slu'!$G$60*(sezione!$AN$30-C828)/C828</f>
        <v>5.3249647111790983E-2</v>
      </c>
      <c r="N828" s="559">
        <f>'Progetto del paramento slu'!$G$60*(sezione!$AO$30-C828)/C828</f>
        <v>7.071107699234204E-2</v>
      </c>
      <c r="O828" s="559">
        <f>'Progetto del paramento slu'!$G$60*(sezione!$AP$30-C828)/C828</f>
        <v>5.325029771795238E-2</v>
      </c>
      <c r="P828" s="553">
        <f>-'Progetto del paramento slu'!$G$47*'Progetto del paramento slu'!$G$41*IF(DATI!$G$218="dx",DATI!$E$61,DATI!$E$64*DATI!$E$63)*1000*C828*sezione!$AD$5</f>
        <v>-226032.41698986455</v>
      </c>
      <c r="Q828" s="553">
        <f>'Foglio deposito bis'!$F$58*IF(ABS(K828)&lt;'Progetto del paramento slu'!$G$58,ABS(K828)*'Progetto del paramento slu'!$G$54,'Progetto del paramento slu'!$G$53)*IF(K828&lt;0,-1,1)</f>
        <v>0</v>
      </c>
      <c r="R828" s="553">
        <f>'Foglio deposito bis'!$F$59*IF(ABS(L828)&lt;'Progetto del paramento slu'!$G$58,ABS(L828)*'Progetto del paramento slu'!$G$54,'Progetto del paramento slu'!$G$53)*IF(L828&lt;0,-1,1)</f>
        <v>153664.85805602249</v>
      </c>
      <c r="S828" s="553">
        <f>'Foglio deposito bis'!$F$60*IF(ABS(M828)&lt;'Progetto del paramento slu'!$G$58,ABS(M828)*'Progetto del paramento slu'!$G$54,'Progetto del paramento slu'!$G$53)*IF(M828&lt;0,-1,1)</f>
        <v>0</v>
      </c>
      <c r="T828" s="553">
        <f>'Foglio deposito bis'!$F$61*IF(ABS(N828)&lt;'Progetto del paramento slu'!$G$58,ABS(N828)*'Progetto del paramento slu'!$G$54,'Progetto del paramento slu'!$G$53)*IF(N828&lt;0,-1,1)</f>
        <v>240946.49743184328</v>
      </c>
      <c r="U828" s="553">
        <f>'Foglio deposito bis'!$F$62*IF(ABS(O828)&lt;'Progetto del paramento slu'!$G$58,ABS(O828)*'Progetto del paramento slu'!$G$54,'Progetto del paramento slu'!$G$53)*IF(O828&lt;0,-1,1)</f>
        <v>314705.62929873407</v>
      </c>
      <c r="V828" s="479">
        <f t="shared" si="64"/>
        <v>483284.56779673533</v>
      </c>
      <c r="W828" s="559"/>
      <c r="X828" s="559"/>
    </row>
    <row r="829" spans="1:24" x14ac:dyDescent="0.25">
      <c r="A829" s="553">
        <f t="shared" si="63"/>
        <v>480423.39796142059</v>
      </c>
      <c r="B829" s="3">
        <f t="shared" si="65"/>
        <v>3.9999999999999938</v>
      </c>
      <c r="C829" s="553">
        <f>'Foglio deposito bis'!$E$156/sezione!$B$247*B829</f>
        <v>16.23832101592587</v>
      </c>
      <c r="D829" s="611">
        <f>-'Progetto del paramento slu'!$G$47*'Progetto del paramento slu'!$G$41*IF(DATI!$G$218="dx",DATI!$E$61,DATI!$E$64*DATI!$E$63)*1000*C829^2*sezione!$AD$5*(1-sezione!$AD$6)</f>
        <v>-2170638.9641507133</v>
      </c>
      <c r="E829" s="553">
        <f>-'Foglio deposito bis'!$F$58*(C829-sezione!$AL$30)*IF(ABS(K829)&lt;'Progetto del paramento slu'!$G$58,ABS(K829)*'Progetto del paramento slu'!$G$54,'Progetto del paramento slu'!$G$53)</f>
        <v>0</v>
      </c>
      <c r="F829" s="553">
        <f>-'Foglio deposito bis'!$F$59*(C829-sezione!$AM$30)*IF(ABS(L829)&lt;'Progetto del paramento slu'!$G$58,ABS(L829)*'Progetto del paramento slu'!$G$54,'Progetto del paramento slu'!$G$53)</f>
        <v>20554469.414423</v>
      </c>
      <c r="G829" s="553">
        <f>-'Foglio deposito bis'!$F$60*(C829-sezione!$AN$30)*IF(ABS(M829)&lt;'Progetto del paramento slu'!$G$58,ABS(M829)*'Progetto del paramento slu'!$G$54,'Progetto del paramento slu'!$G$53)</f>
        <v>0</v>
      </c>
      <c r="H829" s="553">
        <f>-'Foglio deposito bis'!$F$61*(C829-sezione!$AO$30)*IF(ABS(N829)&lt;'Progetto del paramento slu'!$G$58,ABS(N829)*'Progetto del paramento slu'!$G$54,'Progetto del paramento slu'!$G$53)</f>
        <v>78009242.553865492</v>
      </c>
      <c r="I829" s="479">
        <f>-'Foglio deposito bis'!$F$62*(C829-sezione!$AP$30)*IF(ABS(O829)&lt;'Progetto del paramento slu'!$G$58,ABS(O829)*'Progetto del paramento slu'!$G$54,'Progetto del paramento slu'!$G$53)</f>
        <v>76714110.648455605</v>
      </c>
      <c r="J829" s="479">
        <f t="shared" si="62"/>
        <v>173107183.65259337</v>
      </c>
      <c r="K829" s="558">
        <f>'Progetto del paramento slu'!$G$60*(sezione!$AL$30-C829)/C829</f>
        <v>5.1215810035220898E-3</v>
      </c>
      <c r="L829" s="558">
        <f>'Progetto del paramento slu'!$G$60*(sezione!$AM$30-C829)/C829</f>
        <v>2.8830928763207839E-2</v>
      </c>
      <c r="M829" s="559">
        <f>'Progetto del paramento slu'!$G$60*(sezione!$AN$30-C829)/C829</f>
        <v>5.2540276522893586E-2</v>
      </c>
      <c r="N829" s="559">
        <f>'Progetto del paramento slu'!$G$60*(sezione!$AO$30-C829)/C829</f>
        <v>6.9783438529937777E-2</v>
      </c>
      <c r="O829" s="559">
        <f>'Progetto del paramento slu'!$G$60*(sezione!$AP$30-C829)/C829</f>
        <v>5.2540918996477969E-2</v>
      </c>
      <c r="P829" s="553">
        <f>-'Progetto del paramento slu'!$G$47*'Progetto del paramento slu'!$G$41*IF(DATI!$G$218="dx",DATI!$E$61,DATI!$E$64*DATI!$E$63)*1000*C829*sezione!$AD$5</f>
        <v>-228893.58682517929</v>
      </c>
      <c r="Q829" s="553">
        <f>'Foglio deposito bis'!$F$58*IF(ABS(K829)&lt;'Progetto del paramento slu'!$G$58,ABS(K829)*'Progetto del paramento slu'!$G$54,'Progetto del paramento slu'!$G$53)*IF(K829&lt;0,-1,1)</f>
        <v>0</v>
      </c>
      <c r="R829" s="553">
        <f>'Foglio deposito bis'!$F$59*IF(ABS(L829)&lt;'Progetto del paramento slu'!$G$58,ABS(L829)*'Progetto del paramento slu'!$G$54,'Progetto del paramento slu'!$G$53)*IF(L829&lt;0,-1,1)</f>
        <v>153664.85805602249</v>
      </c>
      <c r="S829" s="553">
        <f>'Foglio deposito bis'!$F$60*IF(ABS(M829)&lt;'Progetto del paramento slu'!$G$58,ABS(M829)*'Progetto del paramento slu'!$G$54,'Progetto del paramento slu'!$G$53)*IF(M829&lt;0,-1,1)</f>
        <v>0</v>
      </c>
      <c r="T829" s="553">
        <f>'Foglio deposito bis'!$F$61*IF(ABS(N829)&lt;'Progetto del paramento slu'!$G$58,ABS(N829)*'Progetto del paramento slu'!$G$54,'Progetto del paramento slu'!$G$53)*IF(N829&lt;0,-1,1)</f>
        <v>240946.49743184328</v>
      </c>
      <c r="U829" s="553">
        <f>'Foglio deposito bis'!$F$62*IF(ABS(O829)&lt;'Progetto del paramento slu'!$G$58,ABS(O829)*'Progetto del paramento slu'!$G$54,'Progetto del paramento slu'!$G$53)*IF(O829&lt;0,-1,1)</f>
        <v>314705.62929873407</v>
      </c>
      <c r="V829" s="479">
        <f t="shared" si="64"/>
        <v>480423.39796142059</v>
      </c>
      <c r="W829" s="559"/>
      <c r="X829" s="559"/>
    </row>
    <row r="830" spans="1:24" x14ac:dyDescent="0.25">
      <c r="A830" s="553">
        <f t="shared" si="63"/>
        <v>477562.22812610585</v>
      </c>
      <c r="B830" s="3">
        <f t="shared" si="65"/>
        <v>4.0499999999999936</v>
      </c>
      <c r="C830" s="553">
        <f>'Foglio deposito bis'!$E$156/sezione!$B$247*B830</f>
        <v>16.441300028624941</v>
      </c>
      <c r="D830" s="611">
        <f>-'Progetto del paramento slu'!$G$47*'Progetto del paramento slu'!$G$41*IF(DATI!$G$218="dx",DATI!$E$61,DATI!$E$64*DATI!$E$63)*1000*C830^2*sezione!$AD$5*(1-sezione!$AD$6)</f>
        <v>-2225244.10059263</v>
      </c>
      <c r="E830" s="553">
        <f>-'Foglio deposito bis'!$F$58*(C830-sezione!$AL$30)*IF(ABS(K830)&lt;'Progetto del paramento slu'!$G$58,ABS(K830)*'Progetto del paramento slu'!$G$54,'Progetto del paramento slu'!$G$53)</f>
        <v>0</v>
      </c>
      <c r="F830" s="553">
        <f>-'Foglio deposito bis'!$F$59*(C830-sezione!$AM$30)*IF(ABS(L830)&lt;'Progetto del paramento slu'!$G$58,ABS(L830)*'Progetto del paramento slu'!$G$54,'Progetto del paramento slu'!$G$53)</f>
        <v>20523278.673248246</v>
      </c>
      <c r="G830" s="553">
        <f>-'Foglio deposito bis'!$F$60*(C830-sezione!$AN$30)*IF(ABS(M830)&lt;'Progetto del paramento slu'!$G$58,ABS(M830)*'Progetto del paramento slu'!$G$54,'Progetto del paramento slu'!$G$53)</f>
        <v>0</v>
      </c>
      <c r="H830" s="553">
        <f>-'Foglio deposito bis'!$F$61*(C830-sezione!$AO$30)*IF(ABS(N830)&lt;'Progetto del paramento slu'!$G$58,ABS(N830)*'Progetto del paramento slu'!$G$54,'Progetto del paramento slu'!$G$53)</f>
        <v>77960335.47170347</v>
      </c>
      <c r="I830" s="479">
        <f>-'Foglio deposito bis'!$F$62*(C830-sezione!$AP$30)*IF(ABS(O830)&lt;'Progetto del paramento slu'!$G$58,ABS(O830)*'Progetto del paramento slu'!$G$54,'Progetto del paramento slu'!$G$53)</f>
        <v>76650232.010529697</v>
      </c>
      <c r="J830" s="479">
        <f t="shared" si="62"/>
        <v>172908602.05488878</v>
      </c>
      <c r="K830" s="558">
        <f>'Progetto del paramento slu'!$G$60*(sezione!$AL$30-C830)/C830</f>
        <v>5.01514173187367E-3</v>
      </c>
      <c r="L830" s="558">
        <f>'Progetto del paramento slu'!$G$60*(sezione!$AM$30-C830)/C830</f>
        <v>2.8431781494526267E-2</v>
      </c>
      <c r="M830" s="559">
        <f>'Progetto del paramento slu'!$G$60*(sezione!$AN$30-C830)/C830</f>
        <v>5.1848421257178853E-2</v>
      </c>
      <c r="N830" s="559">
        <f>'Progetto del paramento slu'!$G$60*(sezione!$AO$30-C830)/C830</f>
        <v>6.8878704720926193E-2</v>
      </c>
      <c r="O830" s="559">
        <f>'Progetto del paramento slu'!$G$60*(sezione!$AP$30-C830)/C830</f>
        <v>5.1849055798990594E-2</v>
      </c>
      <c r="P830" s="553">
        <f>-'Progetto del paramento slu'!$G$47*'Progetto del paramento slu'!$G$41*IF(DATI!$G$218="dx",DATI!$E$61,DATI!$E$64*DATI!$E$63)*1000*C830*sezione!$AD$5</f>
        <v>-231754.75666049402</v>
      </c>
      <c r="Q830" s="553">
        <f>'Foglio deposito bis'!$F$58*IF(ABS(K830)&lt;'Progetto del paramento slu'!$G$58,ABS(K830)*'Progetto del paramento slu'!$G$54,'Progetto del paramento slu'!$G$53)*IF(K830&lt;0,-1,1)</f>
        <v>0</v>
      </c>
      <c r="R830" s="553">
        <f>'Foglio deposito bis'!$F$59*IF(ABS(L830)&lt;'Progetto del paramento slu'!$G$58,ABS(L830)*'Progetto del paramento slu'!$G$54,'Progetto del paramento slu'!$G$53)*IF(L830&lt;0,-1,1)</f>
        <v>153664.85805602249</v>
      </c>
      <c r="S830" s="553">
        <f>'Foglio deposito bis'!$F$60*IF(ABS(M830)&lt;'Progetto del paramento slu'!$G$58,ABS(M830)*'Progetto del paramento slu'!$G$54,'Progetto del paramento slu'!$G$53)*IF(M830&lt;0,-1,1)</f>
        <v>0</v>
      </c>
      <c r="T830" s="553">
        <f>'Foglio deposito bis'!$F$61*IF(ABS(N830)&lt;'Progetto del paramento slu'!$G$58,ABS(N830)*'Progetto del paramento slu'!$G$54,'Progetto del paramento slu'!$G$53)*IF(N830&lt;0,-1,1)</f>
        <v>240946.49743184328</v>
      </c>
      <c r="U830" s="553">
        <f>'Foglio deposito bis'!$F$62*IF(ABS(O830)&lt;'Progetto del paramento slu'!$G$58,ABS(O830)*'Progetto del paramento slu'!$G$54,'Progetto del paramento slu'!$G$53)*IF(O830&lt;0,-1,1)</f>
        <v>314705.62929873407</v>
      </c>
      <c r="V830" s="479">
        <f t="shared" si="64"/>
        <v>477562.22812610585</v>
      </c>
      <c r="W830" s="559"/>
      <c r="X830" s="559"/>
    </row>
    <row r="831" spans="1:24" x14ac:dyDescent="0.25">
      <c r="A831" s="553">
        <f t="shared" si="63"/>
        <v>474701.05829079112</v>
      </c>
      <c r="B831" s="3">
        <f t="shared" si="65"/>
        <v>4.0999999999999934</v>
      </c>
      <c r="C831" s="553">
        <f>'Foglio deposito bis'!$E$156/sezione!$B$247*B831</f>
        <v>16.644279041324015</v>
      </c>
      <c r="D831" s="611">
        <f>-'Progetto del paramento slu'!$G$47*'Progetto del paramento slu'!$G$41*IF(DATI!$G$218="dx",DATI!$E$61,DATI!$E$64*DATI!$E$63)*1000*C831^2*sezione!$AD$5*(1-sezione!$AD$6)</f>
        <v>-2280527.5617108434</v>
      </c>
      <c r="E831" s="553">
        <f>-'Foglio deposito bis'!$F$58*(C831-sezione!$AL$30)*IF(ABS(K831)&lt;'Progetto del paramento slu'!$G$58,ABS(K831)*'Progetto del paramento slu'!$G$54,'Progetto del paramento slu'!$G$53)</f>
        <v>0</v>
      </c>
      <c r="F831" s="553">
        <f>-'Foglio deposito bis'!$F$59*(C831-sezione!$AM$30)*IF(ABS(L831)&lt;'Progetto del paramento slu'!$G$58,ABS(L831)*'Progetto del paramento slu'!$G$54,'Progetto del paramento slu'!$G$53)</f>
        <v>20492087.932073493</v>
      </c>
      <c r="G831" s="553">
        <f>-'Foglio deposito bis'!$F$60*(C831-sezione!$AN$30)*IF(ABS(M831)&lt;'Progetto del paramento slu'!$G$58,ABS(M831)*'Progetto del paramento slu'!$G$54,'Progetto del paramento slu'!$G$53)</f>
        <v>0</v>
      </c>
      <c r="H831" s="553">
        <f>-'Foglio deposito bis'!$F$61*(C831-sezione!$AO$30)*IF(ABS(N831)&lt;'Progetto del paramento slu'!$G$58,ABS(N831)*'Progetto del paramento slu'!$G$54,'Progetto del paramento slu'!$G$53)</f>
        <v>77911428.389541462</v>
      </c>
      <c r="I831" s="479">
        <f>-'Foglio deposito bis'!$F$62*(C831-sezione!$AP$30)*IF(ABS(O831)&lt;'Progetto del paramento slu'!$G$58,ABS(O831)*'Progetto del paramento slu'!$G$54,'Progetto del paramento slu'!$G$53)</f>
        <v>76586353.372603804</v>
      </c>
      <c r="J831" s="479">
        <f t="shared" si="62"/>
        <v>172709342.13250792</v>
      </c>
      <c r="K831" s="558">
        <f>'Progetto del paramento slu'!$G$60*(sezione!$AL$30-C831)/C831</f>
        <v>4.9112985400215515E-3</v>
      </c>
      <c r="L831" s="558">
        <f>'Progetto del paramento slu'!$G$60*(sezione!$AM$30-C831)/C831</f>
        <v>2.804236952508082E-2</v>
      </c>
      <c r="M831" s="559">
        <f>'Progetto del paramento slu'!$G$60*(sezione!$AN$30-C831)/C831</f>
        <v>5.1173440510140084E-2</v>
      </c>
      <c r="N831" s="559">
        <f>'Progetto del paramento slu'!$G$60*(sezione!$AO$30-C831)/C831</f>
        <v>6.7996037590183203E-2</v>
      </c>
      <c r="O831" s="559">
        <f>'Progetto del paramento slu'!$G$60*(sezione!$AP$30-C831)/C831</f>
        <v>5.1174067313637044E-2</v>
      </c>
      <c r="P831" s="553">
        <f>-'Progetto del paramento slu'!$G$47*'Progetto del paramento slu'!$G$41*IF(DATI!$G$218="dx",DATI!$E$61,DATI!$E$64*DATI!$E$63)*1000*C831*sezione!$AD$5</f>
        <v>-234615.92649580876</v>
      </c>
      <c r="Q831" s="553">
        <f>'Foglio deposito bis'!$F$58*IF(ABS(K831)&lt;'Progetto del paramento slu'!$G$58,ABS(K831)*'Progetto del paramento slu'!$G$54,'Progetto del paramento slu'!$G$53)*IF(K831&lt;0,-1,1)</f>
        <v>0</v>
      </c>
      <c r="R831" s="553">
        <f>'Foglio deposito bis'!$F$59*IF(ABS(L831)&lt;'Progetto del paramento slu'!$G$58,ABS(L831)*'Progetto del paramento slu'!$G$54,'Progetto del paramento slu'!$G$53)*IF(L831&lt;0,-1,1)</f>
        <v>153664.85805602249</v>
      </c>
      <c r="S831" s="553">
        <f>'Foglio deposito bis'!$F$60*IF(ABS(M831)&lt;'Progetto del paramento slu'!$G$58,ABS(M831)*'Progetto del paramento slu'!$G$54,'Progetto del paramento slu'!$G$53)*IF(M831&lt;0,-1,1)</f>
        <v>0</v>
      </c>
      <c r="T831" s="553">
        <f>'Foglio deposito bis'!$F$61*IF(ABS(N831)&lt;'Progetto del paramento slu'!$G$58,ABS(N831)*'Progetto del paramento slu'!$G$54,'Progetto del paramento slu'!$G$53)*IF(N831&lt;0,-1,1)</f>
        <v>240946.49743184328</v>
      </c>
      <c r="U831" s="553">
        <f>'Foglio deposito bis'!$F$62*IF(ABS(O831)&lt;'Progetto del paramento slu'!$G$58,ABS(O831)*'Progetto del paramento slu'!$G$54,'Progetto del paramento slu'!$G$53)*IF(O831&lt;0,-1,1)</f>
        <v>314705.62929873407</v>
      </c>
      <c r="V831" s="479">
        <f t="shared" si="64"/>
        <v>474701.05829079112</v>
      </c>
      <c r="W831" s="559"/>
      <c r="X831" s="559"/>
    </row>
    <row r="832" spans="1:24" x14ac:dyDescent="0.25">
      <c r="A832" s="553">
        <f t="shared" si="63"/>
        <v>471839.88845547638</v>
      </c>
      <c r="B832" s="3">
        <f t="shared" si="65"/>
        <v>4.1499999999999932</v>
      </c>
      <c r="C832" s="553">
        <f>'Foglio deposito bis'!$E$156/sezione!$B$247*B832</f>
        <v>16.847258054023087</v>
      </c>
      <c r="D832" s="611">
        <f>-'Progetto del paramento slu'!$G$47*'Progetto del paramento slu'!$G$41*IF(DATI!$G$218="dx",DATI!$E$61,DATI!$E$64*DATI!$E$63)*1000*C832^2*sezione!$AD$5*(1-sezione!$AD$6)</f>
        <v>-2336489.3475053539</v>
      </c>
      <c r="E832" s="553">
        <f>-'Foglio deposito bis'!$F$58*(C832-sezione!$AL$30)*IF(ABS(K832)&lt;'Progetto del paramento slu'!$G$58,ABS(K832)*'Progetto del paramento slu'!$G$54,'Progetto del paramento slu'!$G$53)</f>
        <v>0</v>
      </c>
      <c r="F832" s="553">
        <f>-'Foglio deposito bis'!$F$59*(C832-sezione!$AM$30)*IF(ABS(L832)&lt;'Progetto del paramento slu'!$G$58,ABS(L832)*'Progetto del paramento slu'!$G$54,'Progetto del paramento slu'!$G$53)</f>
        <v>20460897.190898735</v>
      </c>
      <c r="G832" s="553">
        <f>-'Foglio deposito bis'!$F$60*(C832-sezione!$AN$30)*IF(ABS(M832)&lt;'Progetto del paramento slu'!$G$58,ABS(M832)*'Progetto del paramento slu'!$G$54,'Progetto del paramento slu'!$G$53)</f>
        <v>0</v>
      </c>
      <c r="H832" s="553">
        <f>-'Foglio deposito bis'!$F$61*(C832-sezione!$AO$30)*IF(ABS(N832)&lt;'Progetto del paramento slu'!$G$58,ABS(N832)*'Progetto del paramento slu'!$G$54,'Progetto del paramento slu'!$G$53)</f>
        <v>77862521.307379439</v>
      </c>
      <c r="I832" s="479">
        <f>-'Foglio deposito bis'!$F$62*(C832-sezione!$AP$30)*IF(ABS(O832)&lt;'Progetto del paramento slu'!$G$58,ABS(O832)*'Progetto del paramento slu'!$G$54,'Progetto del paramento slu'!$G$53)</f>
        <v>76522474.734677896</v>
      </c>
      <c r="J832" s="479">
        <f t="shared" si="62"/>
        <v>172509403.88545072</v>
      </c>
      <c r="K832" s="558">
        <f>'Progetto del paramento slu'!$G$60*(sezione!$AL$30-C832)/C832</f>
        <v>4.8099575937562327E-3</v>
      </c>
      <c r="L832" s="558">
        <f>'Progetto del paramento slu'!$G$60*(sezione!$AM$30-C832)/C832</f>
        <v>2.7662340976585872E-2</v>
      </c>
      <c r="M832" s="559">
        <f>'Progetto del paramento slu'!$G$60*(sezione!$AN$30-C832)/C832</f>
        <v>5.0514724359415515E-2</v>
      </c>
      <c r="N832" s="559">
        <f>'Progetto del paramento slu'!$G$60*(sezione!$AO$30-C832)/C832</f>
        <v>6.7134639546927985E-2</v>
      </c>
      <c r="O832" s="559">
        <f>'Progetto del paramento slu'!$G$60*(sezione!$AP$30-C832)/C832</f>
        <v>5.0515343611063114E-2</v>
      </c>
      <c r="P832" s="553">
        <f>-'Progetto del paramento slu'!$G$47*'Progetto del paramento slu'!$G$41*IF(DATI!$G$218="dx",DATI!$E$61,DATI!$E$64*DATI!$E$63)*1000*C832*sezione!$AD$5</f>
        <v>-237477.0963311235</v>
      </c>
      <c r="Q832" s="553">
        <f>'Foglio deposito bis'!$F$58*IF(ABS(K832)&lt;'Progetto del paramento slu'!$G$58,ABS(K832)*'Progetto del paramento slu'!$G$54,'Progetto del paramento slu'!$G$53)*IF(K832&lt;0,-1,1)</f>
        <v>0</v>
      </c>
      <c r="R832" s="553">
        <f>'Foglio deposito bis'!$F$59*IF(ABS(L832)&lt;'Progetto del paramento slu'!$G$58,ABS(L832)*'Progetto del paramento slu'!$G$54,'Progetto del paramento slu'!$G$53)*IF(L832&lt;0,-1,1)</f>
        <v>153664.85805602249</v>
      </c>
      <c r="S832" s="553">
        <f>'Foglio deposito bis'!$F$60*IF(ABS(M832)&lt;'Progetto del paramento slu'!$G$58,ABS(M832)*'Progetto del paramento slu'!$G$54,'Progetto del paramento slu'!$G$53)*IF(M832&lt;0,-1,1)</f>
        <v>0</v>
      </c>
      <c r="T832" s="553">
        <f>'Foglio deposito bis'!$F$61*IF(ABS(N832)&lt;'Progetto del paramento slu'!$G$58,ABS(N832)*'Progetto del paramento slu'!$G$54,'Progetto del paramento slu'!$G$53)*IF(N832&lt;0,-1,1)</f>
        <v>240946.49743184328</v>
      </c>
      <c r="U832" s="553">
        <f>'Foglio deposito bis'!$F$62*IF(ABS(O832)&lt;'Progetto del paramento slu'!$G$58,ABS(O832)*'Progetto del paramento slu'!$G$54,'Progetto del paramento slu'!$G$53)*IF(O832&lt;0,-1,1)</f>
        <v>314705.62929873407</v>
      </c>
      <c r="V832" s="479">
        <f t="shared" si="64"/>
        <v>471839.88845547638</v>
      </c>
      <c r="W832" s="559"/>
      <c r="X832" s="559"/>
    </row>
    <row r="833" spans="1:24" x14ac:dyDescent="0.25">
      <c r="A833" s="553">
        <f t="shared" si="63"/>
        <v>468978.71862016164</v>
      </c>
      <c r="B833" s="3">
        <f t="shared" si="65"/>
        <v>4.1999999999999931</v>
      </c>
      <c r="C833" s="553">
        <f>'Foglio deposito bis'!$E$156/sezione!$B$247*B833</f>
        <v>17.050237066722161</v>
      </c>
      <c r="D833" s="611">
        <f>-'Progetto del paramento slu'!$G$47*'Progetto del paramento slu'!$G$41*IF(DATI!$G$218="dx",DATI!$E$61,DATI!$E$64*DATI!$E$63)*1000*C833^2*sezione!$AD$5*(1-sezione!$AD$6)</f>
        <v>-2393129.4579761615</v>
      </c>
      <c r="E833" s="553">
        <f>-'Foglio deposito bis'!$F$58*(C833-sezione!$AL$30)*IF(ABS(K833)&lt;'Progetto del paramento slu'!$G$58,ABS(K833)*'Progetto del paramento slu'!$G$54,'Progetto del paramento slu'!$G$53)</f>
        <v>0</v>
      </c>
      <c r="F833" s="553">
        <f>-'Foglio deposito bis'!$F$59*(C833-sezione!$AM$30)*IF(ABS(L833)&lt;'Progetto del paramento slu'!$G$58,ABS(L833)*'Progetto del paramento slu'!$G$54,'Progetto del paramento slu'!$G$53)</f>
        <v>20429706.449723981</v>
      </c>
      <c r="G833" s="553">
        <f>-'Foglio deposito bis'!$F$60*(C833-sezione!$AN$30)*IF(ABS(M833)&lt;'Progetto del paramento slu'!$G$58,ABS(M833)*'Progetto del paramento slu'!$G$54,'Progetto del paramento slu'!$G$53)</f>
        <v>0</v>
      </c>
      <c r="H833" s="553">
        <f>-'Foglio deposito bis'!$F$61*(C833-sezione!$AO$30)*IF(ABS(N833)&lt;'Progetto del paramento slu'!$G$58,ABS(N833)*'Progetto del paramento slu'!$G$54,'Progetto del paramento slu'!$G$53)</f>
        <v>77813614.225217432</v>
      </c>
      <c r="I833" s="479">
        <f>-'Foglio deposito bis'!$F$62*(C833-sezione!$AP$30)*IF(ABS(O833)&lt;'Progetto del paramento slu'!$G$58,ABS(O833)*'Progetto del paramento slu'!$G$54,'Progetto del paramento slu'!$G$53)</f>
        <v>76458596.096752003</v>
      </c>
      <c r="J833" s="479">
        <f t="shared" si="62"/>
        <v>172308787.31371725</v>
      </c>
      <c r="K833" s="558">
        <f>'Progetto del paramento slu'!$G$60*(sezione!$AL$30-C833)/C833</f>
        <v>4.7110295271638961E-3</v>
      </c>
      <c r="L833" s="558">
        <f>'Progetto del paramento slu'!$G$60*(sezione!$AM$30-C833)/C833</f>
        <v>2.7291360726864611E-2</v>
      </c>
      <c r="M833" s="559">
        <f>'Progetto del paramento slu'!$G$60*(sezione!$AN$30-C833)/C833</f>
        <v>4.9871691926565327E-2</v>
      </c>
      <c r="N833" s="559">
        <f>'Progetto del paramento slu'!$G$60*(sezione!$AO$30-C833)/C833</f>
        <v>6.6293750980893115E-2</v>
      </c>
      <c r="O833" s="559">
        <f>'Progetto del paramento slu'!$G$60*(sezione!$AP$30-C833)/C833</f>
        <v>4.9872303806169499E-2</v>
      </c>
      <c r="P833" s="553">
        <f>-'Progetto del paramento slu'!$G$47*'Progetto del paramento slu'!$G$41*IF(DATI!$G$218="dx",DATI!$E$61,DATI!$E$64*DATI!$E$63)*1000*C833*sezione!$AD$5</f>
        <v>-240338.26616643823</v>
      </c>
      <c r="Q833" s="553">
        <f>'Foglio deposito bis'!$F$58*IF(ABS(K833)&lt;'Progetto del paramento slu'!$G$58,ABS(K833)*'Progetto del paramento slu'!$G$54,'Progetto del paramento slu'!$G$53)*IF(K833&lt;0,-1,1)</f>
        <v>0</v>
      </c>
      <c r="R833" s="553">
        <f>'Foglio deposito bis'!$F$59*IF(ABS(L833)&lt;'Progetto del paramento slu'!$G$58,ABS(L833)*'Progetto del paramento slu'!$G$54,'Progetto del paramento slu'!$G$53)*IF(L833&lt;0,-1,1)</f>
        <v>153664.85805602249</v>
      </c>
      <c r="S833" s="553">
        <f>'Foglio deposito bis'!$F$60*IF(ABS(M833)&lt;'Progetto del paramento slu'!$G$58,ABS(M833)*'Progetto del paramento slu'!$G$54,'Progetto del paramento slu'!$G$53)*IF(M833&lt;0,-1,1)</f>
        <v>0</v>
      </c>
      <c r="T833" s="553">
        <f>'Foglio deposito bis'!$F$61*IF(ABS(N833)&lt;'Progetto del paramento slu'!$G$58,ABS(N833)*'Progetto del paramento slu'!$G$54,'Progetto del paramento slu'!$G$53)*IF(N833&lt;0,-1,1)</f>
        <v>240946.49743184328</v>
      </c>
      <c r="U833" s="553">
        <f>'Foglio deposito bis'!$F$62*IF(ABS(O833)&lt;'Progetto del paramento slu'!$G$58,ABS(O833)*'Progetto del paramento slu'!$G$54,'Progetto del paramento slu'!$G$53)*IF(O833&lt;0,-1,1)</f>
        <v>314705.62929873407</v>
      </c>
      <c r="V833" s="479">
        <f t="shared" si="64"/>
        <v>468978.71862016164</v>
      </c>
      <c r="W833" s="559"/>
      <c r="X833" s="559"/>
    </row>
    <row r="834" spans="1:24" x14ac:dyDescent="0.25">
      <c r="A834" s="553">
        <f t="shared" si="63"/>
        <v>466117.54878484691</v>
      </c>
      <c r="B834" s="3">
        <f t="shared" si="65"/>
        <v>4.2499999999999929</v>
      </c>
      <c r="C834" s="553">
        <f>'Foglio deposito bis'!$E$156/sezione!$B$247*B834</f>
        <v>17.253216079421232</v>
      </c>
      <c r="D834" s="611">
        <f>-'Progetto del paramento slu'!$G$47*'Progetto del paramento slu'!$G$41*IF(DATI!$G$218="dx",DATI!$E$61,DATI!$E$64*DATI!$E$63)*1000*C834^2*sezione!$AD$5*(1-sezione!$AD$6)</f>
        <v>-2450447.8931232658</v>
      </c>
      <c r="E834" s="553">
        <f>-'Foglio deposito bis'!$F$58*(C834-sezione!$AL$30)*IF(ABS(K834)&lt;'Progetto del paramento slu'!$G$58,ABS(K834)*'Progetto del paramento slu'!$G$54,'Progetto del paramento slu'!$G$53)</f>
        <v>0</v>
      </c>
      <c r="F834" s="553">
        <f>-'Foglio deposito bis'!$F$59*(C834-sezione!$AM$30)*IF(ABS(L834)&lt;'Progetto del paramento slu'!$G$58,ABS(L834)*'Progetto del paramento slu'!$G$54,'Progetto del paramento slu'!$G$53)</f>
        <v>20398515.708549224</v>
      </c>
      <c r="G834" s="553">
        <f>-'Foglio deposito bis'!$F$60*(C834-sezione!$AN$30)*IF(ABS(M834)&lt;'Progetto del paramento slu'!$G$58,ABS(M834)*'Progetto del paramento slu'!$G$54,'Progetto del paramento slu'!$G$53)</f>
        <v>0</v>
      </c>
      <c r="H834" s="553">
        <f>-'Foglio deposito bis'!$F$61*(C834-sezione!$AO$30)*IF(ABS(N834)&lt;'Progetto del paramento slu'!$G$58,ABS(N834)*'Progetto del paramento slu'!$G$54,'Progetto del paramento slu'!$G$53)</f>
        <v>77764707.143055409</v>
      </c>
      <c r="I834" s="479">
        <f>-'Foglio deposito bis'!$F$62*(C834-sezione!$AP$30)*IF(ABS(O834)&lt;'Progetto del paramento slu'!$G$58,ABS(O834)*'Progetto del paramento slu'!$G$54,'Progetto del paramento slu'!$G$53)</f>
        <v>76394717.45882611</v>
      </c>
      <c r="J834" s="479">
        <f t="shared" si="62"/>
        <v>172107492.4173075</v>
      </c>
      <c r="K834" s="558">
        <f>'Progetto del paramento slu'!$G$60*(sezione!$AL$30-C834)/C834</f>
        <v>4.6144291797854987E-3</v>
      </c>
      <c r="L834" s="558">
        <f>'Progetto del paramento slu'!$G$60*(sezione!$AM$30-C834)/C834</f>
        <v>2.6929109424195619E-2</v>
      </c>
      <c r="M834" s="559">
        <f>'Progetto del paramento slu'!$G$60*(sezione!$AN$30-C834)/C834</f>
        <v>4.9243789668605736E-2</v>
      </c>
      <c r="N834" s="559">
        <f>'Progetto del paramento slu'!$G$60*(sezione!$AO$30-C834)/C834</f>
        <v>6.5472648028176733E-2</v>
      </c>
      <c r="O834" s="559">
        <f>'Progetto del paramento slu'!$G$60*(sezione!$AP$30-C834)/C834</f>
        <v>4.9244394349626339E-2</v>
      </c>
      <c r="P834" s="553">
        <f>-'Progetto del paramento slu'!$G$47*'Progetto del paramento slu'!$G$41*IF(DATI!$G$218="dx",DATI!$E$61,DATI!$E$64*DATI!$E$63)*1000*C834*sezione!$AD$5</f>
        <v>-243199.43600175297</v>
      </c>
      <c r="Q834" s="553">
        <f>'Foglio deposito bis'!$F$58*IF(ABS(K834)&lt;'Progetto del paramento slu'!$G$58,ABS(K834)*'Progetto del paramento slu'!$G$54,'Progetto del paramento slu'!$G$53)*IF(K834&lt;0,-1,1)</f>
        <v>0</v>
      </c>
      <c r="R834" s="553">
        <f>'Foglio deposito bis'!$F$59*IF(ABS(L834)&lt;'Progetto del paramento slu'!$G$58,ABS(L834)*'Progetto del paramento slu'!$G$54,'Progetto del paramento slu'!$G$53)*IF(L834&lt;0,-1,1)</f>
        <v>153664.85805602249</v>
      </c>
      <c r="S834" s="553">
        <f>'Foglio deposito bis'!$F$60*IF(ABS(M834)&lt;'Progetto del paramento slu'!$G$58,ABS(M834)*'Progetto del paramento slu'!$G$54,'Progetto del paramento slu'!$G$53)*IF(M834&lt;0,-1,1)</f>
        <v>0</v>
      </c>
      <c r="T834" s="553">
        <f>'Foglio deposito bis'!$F$61*IF(ABS(N834)&lt;'Progetto del paramento slu'!$G$58,ABS(N834)*'Progetto del paramento slu'!$G$54,'Progetto del paramento slu'!$G$53)*IF(N834&lt;0,-1,1)</f>
        <v>240946.49743184328</v>
      </c>
      <c r="U834" s="553">
        <f>'Foglio deposito bis'!$F$62*IF(ABS(O834)&lt;'Progetto del paramento slu'!$G$58,ABS(O834)*'Progetto del paramento slu'!$G$54,'Progetto del paramento slu'!$G$53)*IF(O834&lt;0,-1,1)</f>
        <v>314705.62929873407</v>
      </c>
      <c r="V834" s="479">
        <f t="shared" si="64"/>
        <v>466117.54878484691</v>
      </c>
      <c r="W834" s="559"/>
      <c r="X834" s="559"/>
    </row>
    <row r="835" spans="1:24" x14ac:dyDescent="0.25">
      <c r="A835" s="553">
        <f t="shared" si="63"/>
        <v>463256.37894953217</v>
      </c>
      <c r="B835" s="3">
        <f t="shared" si="65"/>
        <v>4.2999999999999927</v>
      </c>
      <c r="C835" s="553">
        <f>'Foglio deposito bis'!$E$156/sezione!$B$247*B835</f>
        <v>17.456195092120307</v>
      </c>
      <c r="D835" s="611">
        <f>-'Progetto del paramento slu'!$G$47*'Progetto del paramento slu'!$G$41*IF(DATI!$G$218="dx",DATI!$E$61,DATI!$E$64*DATI!$E$63)*1000*C835^2*sezione!$AD$5*(1-sezione!$AD$6)</f>
        <v>-2508444.6529466682</v>
      </c>
      <c r="E835" s="553">
        <f>-'Foglio deposito bis'!$F$58*(C835-sezione!$AL$30)*IF(ABS(K835)&lt;'Progetto del paramento slu'!$G$58,ABS(K835)*'Progetto del paramento slu'!$G$54,'Progetto del paramento slu'!$G$53)</f>
        <v>0</v>
      </c>
      <c r="F835" s="553">
        <f>-'Foglio deposito bis'!$F$59*(C835-sezione!$AM$30)*IF(ABS(L835)&lt;'Progetto del paramento slu'!$G$58,ABS(L835)*'Progetto del paramento slu'!$G$54,'Progetto del paramento slu'!$G$53)</f>
        <v>20367324.96737447</v>
      </c>
      <c r="G835" s="553">
        <f>-'Foglio deposito bis'!$F$60*(C835-sezione!$AN$30)*IF(ABS(M835)&lt;'Progetto del paramento slu'!$G$58,ABS(M835)*'Progetto del paramento slu'!$G$54,'Progetto del paramento slu'!$G$53)</f>
        <v>0</v>
      </c>
      <c r="H835" s="553">
        <f>-'Foglio deposito bis'!$F$61*(C835-sezione!$AO$30)*IF(ABS(N835)&lt;'Progetto del paramento slu'!$G$58,ABS(N835)*'Progetto del paramento slu'!$G$54,'Progetto del paramento slu'!$G$53)</f>
        <v>77715800.060893402</v>
      </c>
      <c r="I835" s="479">
        <f>-'Foglio deposito bis'!$F$62*(C835-sezione!$AP$30)*IF(ABS(O835)&lt;'Progetto del paramento slu'!$G$58,ABS(O835)*'Progetto del paramento slu'!$G$54,'Progetto del paramento slu'!$G$53)</f>
        <v>76330838.820900217</v>
      </c>
      <c r="J835" s="479">
        <f t="shared" si="62"/>
        <v>171905519.19622141</v>
      </c>
      <c r="K835" s="558">
        <f>'Progetto del paramento slu'!$G$60*(sezione!$AL$30-C835)/C835</f>
        <v>4.5200753521135728E-3</v>
      </c>
      <c r="L835" s="558">
        <f>'Progetto del paramento slu'!$G$60*(sezione!$AM$30-C835)/C835</f>
        <v>2.65752825704259E-2</v>
      </c>
      <c r="M835" s="559">
        <f>'Progetto del paramento slu'!$G$60*(sezione!$AN$30-C835)/C835</f>
        <v>4.8630489788738226E-2</v>
      </c>
      <c r="N835" s="559">
        <f>'Progetto del paramento slu'!$G$60*(sezione!$AO$30-C835)/C835</f>
        <v>6.4670640492965364E-2</v>
      </c>
      <c r="O835" s="559">
        <f>'Progetto del paramento slu'!$G$60*(sezione!$AP$30-C835)/C835</f>
        <v>4.8631087438584165E-2</v>
      </c>
      <c r="P835" s="553">
        <f>-'Progetto del paramento slu'!$G$47*'Progetto del paramento slu'!$G$41*IF(DATI!$G$218="dx",DATI!$E$61,DATI!$E$64*DATI!$E$63)*1000*C835*sezione!$AD$5</f>
        <v>-246060.60583706771</v>
      </c>
      <c r="Q835" s="553">
        <f>'Foglio deposito bis'!$F$58*IF(ABS(K835)&lt;'Progetto del paramento slu'!$G$58,ABS(K835)*'Progetto del paramento slu'!$G$54,'Progetto del paramento slu'!$G$53)*IF(K835&lt;0,-1,1)</f>
        <v>0</v>
      </c>
      <c r="R835" s="553">
        <f>'Foglio deposito bis'!$F$59*IF(ABS(L835)&lt;'Progetto del paramento slu'!$G$58,ABS(L835)*'Progetto del paramento slu'!$G$54,'Progetto del paramento slu'!$G$53)*IF(L835&lt;0,-1,1)</f>
        <v>153664.85805602249</v>
      </c>
      <c r="S835" s="553">
        <f>'Foglio deposito bis'!$F$60*IF(ABS(M835)&lt;'Progetto del paramento slu'!$G$58,ABS(M835)*'Progetto del paramento slu'!$G$54,'Progetto del paramento slu'!$G$53)*IF(M835&lt;0,-1,1)</f>
        <v>0</v>
      </c>
      <c r="T835" s="553">
        <f>'Foglio deposito bis'!$F$61*IF(ABS(N835)&lt;'Progetto del paramento slu'!$G$58,ABS(N835)*'Progetto del paramento slu'!$G$54,'Progetto del paramento slu'!$G$53)*IF(N835&lt;0,-1,1)</f>
        <v>240946.49743184328</v>
      </c>
      <c r="U835" s="553">
        <f>'Foglio deposito bis'!$F$62*IF(ABS(O835)&lt;'Progetto del paramento slu'!$G$58,ABS(O835)*'Progetto del paramento slu'!$G$54,'Progetto del paramento slu'!$G$53)*IF(O835&lt;0,-1,1)</f>
        <v>314705.62929873407</v>
      </c>
      <c r="V835" s="479">
        <f t="shared" si="64"/>
        <v>463256.37894953217</v>
      </c>
      <c r="W835" s="559"/>
      <c r="X835" s="559"/>
    </row>
    <row r="836" spans="1:24" x14ac:dyDescent="0.25">
      <c r="A836" s="553">
        <f t="shared" si="63"/>
        <v>460395.20911421743</v>
      </c>
      <c r="B836" s="3">
        <f t="shared" si="65"/>
        <v>4.3499999999999925</v>
      </c>
      <c r="C836" s="553">
        <f>'Foglio deposito bis'!$E$156/sezione!$B$247*B836</f>
        <v>17.659174104819378</v>
      </c>
      <c r="D836" s="611">
        <f>-'Progetto del paramento slu'!$G$47*'Progetto del paramento slu'!$G$41*IF(DATI!$G$218="dx",DATI!$E$61,DATI!$E$64*DATI!$E$63)*1000*C836^2*sezione!$AD$5*(1-sezione!$AD$6)</f>
        <v>-2567119.7374463663</v>
      </c>
      <c r="E836" s="553">
        <f>-'Foglio deposito bis'!$F$58*(C836-sezione!$AL$30)*IF(ABS(K836)&lt;'Progetto del paramento slu'!$G$58,ABS(K836)*'Progetto del paramento slu'!$G$54,'Progetto del paramento slu'!$G$53)</f>
        <v>0</v>
      </c>
      <c r="F836" s="553">
        <f>-'Foglio deposito bis'!$F$59*(C836-sezione!$AM$30)*IF(ABS(L836)&lt;'Progetto del paramento slu'!$G$58,ABS(L836)*'Progetto del paramento slu'!$G$54,'Progetto del paramento slu'!$G$53)</f>
        <v>20336134.226199716</v>
      </c>
      <c r="G836" s="553">
        <f>-'Foglio deposito bis'!$F$60*(C836-sezione!$AN$30)*IF(ABS(M836)&lt;'Progetto del paramento slu'!$G$58,ABS(M836)*'Progetto del paramento slu'!$G$54,'Progetto del paramento slu'!$G$53)</f>
        <v>0</v>
      </c>
      <c r="H836" s="553">
        <f>-'Foglio deposito bis'!$F$61*(C836-sezione!$AO$30)*IF(ABS(N836)&lt;'Progetto del paramento slu'!$G$58,ABS(N836)*'Progetto del paramento slu'!$G$54,'Progetto del paramento slu'!$G$53)</f>
        <v>77666892.978731379</v>
      </c>
      <c r="I836" s="479">
        <f>-'Foglio deposito bis'!$F$62*(C836-sezione!$AP$30)*IF(ABS(O836)&lt;'Progetto del paramento slu'!$G$58,ABS(O836)*'Progetto del paramento slu'!$G$54,'Progetto del paramento slu'!$G$53)</f>
        <v>76266960.182974309</v>
      </c>
      <c r="J836" s="479">
        <f t="shared" si="62"/>
        <v>171702867.65045905</v>
      </c>
      <c r="K836" s="558">
        <f>'Progetto del paramento slu'!$G$60*(sezione!$AL$30-C836)/C836</f>
        <v>4.4278905779513494E-3</v>
      </c>
      <c r="L836" s="558">
        <f>'Progetto del paramento slu'!$G$60*(sezione!$AM$30-C836)/C836</f>
        <v>2.622958966731756E-2</v>
      </c>
      <c r="M836" s="559">
        <f>'Progetto del paramento slu'!$G$60*(sezione!$AN$30-C836)/C836</f>
        <v>4.803128875668377E-2</v>
      </c>
      <c r="N836" s="559">
        <f>'Progetto del paramento slu'!$G$60*(sezione!$AO$30-C836)/C836</f>
        <v>6.3887069912586469E-2</v>
      </c>
      <c r="O836" s="559">
        <f>'Progetto del paramento slu'!$G$60*(sezione!$AP$30-C836)/C836</f>
        <v>4.803187953699125E-2</v>
      </c>
      <c r="P836" s="553">
        <f>-'Progetto del paramento slu'!$G$47*'Progetto del paramento slu'!$G$41*IF(DATI!$G$218="dx",DATI!$E$61,DATI!$E$64*DATI!$E$63)*1000*C836*sezione!$AD$5</f>
        <v>-248921.77567238244</v>
      </c>
      <c r="Q836" s="553">
        <f>'Foglio deposito bis'!$F$58*IF(ABS(K836)&lt;'Progetto del paramento slu'!$G$58,ABS(K836)*'Progetto del paramento slu'!$G$54,'Progetto del paramento slu'!$G$53)*IF(K836&lt;0,-1,1)</f>
        <v>0</v>
      </c>
      <c r="R836" s="553">
        <f>'Foglio deposito bis'!$F$59*IF(ABS(L836)&lt;'Progetto del paramento slu'!$G$58,ABS(L836)*'Progetto del paramento slu'!$G$54,'Progetto del paramento slu'!$G$53)*IF(L836&lt;0,-1,1)</f>
        <v>153664.85805602249</v>
      </c>
      <c r="S836" s="553">
        <f>'Foglio deposito bis'!$F$60*IF(ABS(M836)&lt;'Progetto del paramento slu'!$G$58,ABS(M836)*'Progetto del paramento slu'!$G$54,'Progetto del paramento slu'!$G$53)*IF(M836&lt;0,-1,1)</f>
        <v>0</v>
      </c>
      <c r="T836" s="553">
        <f>'Foglio deposito bis'!$F$61*IF(ABS(N836)&lt;'Progetto del paramento slu'!$G$58,ABS(N836)*'Progetto del paramento slu'!$G$54,'Progetto del paramento slu'!$G$53)*IF(N836&lt;0,-1,1)</f>
        <v>240946.49743184328</v>
      </c>
      <c r="U836" s="553">
        <f>'Foglio deposito bis'!$F$62*IF(ABS(O836)&lt;'Progetto del paramento slu'!$G$58,ABS(O836)*'Progetto del paramento slu'!$G$54,'Progetto del paramento slu'!$G$53)*IF(O836&lt;0,-1,1)</f>
        <v>314705.62929873407</v>
      </c>
      <c r="V836" s="479">
        <f t="shared" si="64"/>
        <v>460395.20911421743</v>
      </c>
      <c r="W836" s="559"/>
      <c r="X836" s="559"/>
    </row>
    <row r="837" spans="1:24" x14ac:dyDescent="0.25">
      <c r="A837" s="553">
        <f t="shared" si="63"/>
        <v>457534.0392789027</v>
      </c>
      <c r="B837" s="3">
        <f t="shared" si="65"/>
        <v>4.3999999999999924</v>
      </c>
      <c r="C837" s="553">
        <f>'Foglio deposito bis'!$E$156/sezione!$B$247*B837</f>
        <v>17.862153117518453</v>
      </c>
      <c r="D837" s="611">
        <f>-'Progetto del paramento slu'!$G$47*'Progetto del paramento slu'!$G$41*IF(DATI!$G$218="dx",DATI!$E$61,DATI!$E$64*DATI!$E$63)*1000*C837^2*sezione!$AD$5*(1-sezione!$AD$6)</f>
        <v>-2626473.1466223625</v>
      </c>
      <c r="E837" s="553">
        <f>-'Foglio deposito bis'!$F$58*(C837-sezione!$AL$30)*IF(ABS(K837)&lt;'Progetto del paramento slu'!$G$58,ABS(K837)*'Progetto del paramento slu'!$G$54,'Progetto del paramento slu'!$G$53)</f>
        <v>0</v>
      </c>
      <c r="F837" s="553">
        <f>-'Foglio deposito bis'!$F$59*(C837-sezione!$AM$30)*IF(ABS(L837)&lt;'Progetto del paramento slu'!$G$58,ABS(L837)*'Progetto del paramento slu'!$G$54,'Progetto del paramento slu'!$G$53)</f>
        <v>20304943.485024959</v>
      </c>
      <c r="G837" s="553">
        <f>-'Foglio deposito bis'!$F$60*(C837-sezione!$AN$30)*IF(ABS(M837)&lt;'Progetto del paramento slu'!$G$58,ABS(M837)*'Progetto del paramento slu'!$G$54,'Progetto del paramento slu'!$G$53)</f>
        <v>0</v>
      </c>
      <c r="H837" s="553">
        <f>-'Foglio deposito bis'!$F$61*(C837-sezione!$AO$30)*IF(ABS(N837)&lt;'Progetto del paramento slu'!$G$58,ABS(N837)*'Progetto del paramento slu'!$G$54,'Progetto del paramento slu'!$G$53)</f>
        <v>77617985.896569371</v>
      </c>
      <c r="I837" s="479">
        <f>-'Foglio deposito bis'!$F$62*(C837-sezione!$AP$30)*IF(ABS(O837)&lt;'Progetto del paramento slu'!$G$58,ABS(O837)*'Progetto del paramento slu'!$G$54,'Progetto del paramento slu'!$G$53)</f>
        <v>76203081.545048416</v>
      </c>
      <c r="J837" s="479">
        <f t="shared" si="62"/>
        <v>171499537.78002039</v>
      </c>
      <c r="K837" s="558">
        <f>'Progetto del paramento slu'!$G$60*(sezione!$AL$30-C837)/C837</f>
        <v>4.3378009122928109E-3</v>
      </c>
      <c r="L837" s="558">
        <f>'Progetto del paramento slu'!$G$60*(sezione!$AM$30-C837)/C837</f>
        <v>2.5891753421098038E-2</v>
      </c>
      <c r="M837" s="559">
        <f>'Progetto del paramento slu'!$G$60*(sezione!$AN$30-C837)/C837</f>
        <v>4.744570592990327E-2</v>
      </c>
      <c r="N837" s="559">
        <f>'Progetto del paramento slu'!$G$60*(sezione!$AO$30-C837)/C837</f>
        <v>6.312130775448889E-2</v>
      </c>
      <c r="O837" s="559">
        <f>'Progetto del paramento slu'!$G$60*(sezione!$AP$30-C837)/C837</f>
        <v>4.7446289996798161E-2</v>
      </c>
      <c r="P837" s="553">
        <f>-'Progetto del paramento slu'!$G$47*'Progetto del paramento slu'!$G$41*IF(DATI!$G$218="dx",DATI!$E$61,DATI!$E$64*DATI!$E$63)*1000*C837*sezione!$AD$5</f>
        <v>-251782.94550769718</v>
      </c>
      <c r="Q837" s="553">
        <f>'Foglio deposito bis'!$F$58*IF(ABS(K837)&lt;'Progetto del paramento slu'!$G$58,ABS(K837)*'Progetto del paramento slu'!$G$54,'Progetto del paramento slu'!$G$53)*IF(K837&lt;0,-1,1)</f>
        <v>0</v>
      </c>
      <c r="R837" s="553">
        <f>'Foglio deposito bis'!$F$59*IF(ABS(L837)&lt;'Progetto del paramento slu'!$G$58,ABS(L837)*'Progetto del paramento slu'!$G$54,'Progetto del paramento slu'!$G$53)*IF(L837&lt;0,-1,1)</f>
        <v>153664.85805602249</v>
      </c>
      <c r="S837" s="553">
        <f>'Foglio deposito bis'!$F$60*IF(ABS(M837)&lt;'Progetto del paramento slu'!$G$58,ABS(M837)*'Progetto del paramento slu'!$G$54,'Progetto del paramento slu'!$G$53)*IF(M837&lt;0,-1,1)</f>
        <v>0</v>
      </c>
      <c r="T837" s="553">
        <f>'Foglio deposito bis'!$F$61*IF(ABS(N837)&lt;'Progetto del paramento slu'!$G$58,ABS(N837)*'Progetto del paramento slu'!$G$54,'Progetto del paramento slu'!$G$53)*IF(N837&lt;0,-1,1)</f>
        <v>240946.49743184328</v>
      </c>
      <c r="U837" s="553">
        <f>'Foglio deposito bis'!$F$62*IF(ABS(O837)&lt;'Progetto del paramento slu'!$G$58,ABS(O837)*'Progetto del paramento slu'!$G$54,'Progetto del paramento slu'!$G$53)*IF(O837&lt;0,-1,1)</f>
        <v>314705.62929873407</v>
      </c>
      <c r="V837" s="479">
        <f t="shared" si="64"/>
        <v>457534.0392789027</v>
      </c>
      <c r="W837" s="559"/>
      <c r="X837" s="559"/>
    </row>
    <row r="838" spans="1:24" x14ac:dyDescent="0.25">
      <c r="A838" s="553">
        <f t="shared" si="63"/>
        <v>454672.86944358796</v>
      </c>
      <c r="B838" s="3">
        <f t="shared" si="65"/>
        <v>4.4499999999999922</v>
      </c>
      <c r="C838" s="553">
        <f>'Foglio deposito bis'!$E$156/sezione!$B$247*B838</f>
        <v>18.065132130217524</v>
      </c>
      <c r="D838" s="611">
        <f>-'Progetto del paramento slu'!$G$47*'Progetto del paramento slu'!$G$41*IF(DATI!$G$218="dx",DATI!$E$61,DATI!$E$64*DATI!$E$63)*1000*C838^2*sezione!$AD$5*(1-sezione!$AD$6)</f>
        <v>-2686504.880474655</v>
      </c>
      <c r="E838" s="553">
        <f>-'Foglio deposito bis'!$F$58*(C838-sezione!$AL$30)*IF(ABS(K838)&lt;'Progetto del paramento slu'!$G$58,ABS(K838)*'Progetto del paramento slu'!$G$54,'Progetto del paramento slu'!$G$53)</f>
        <v>0</v>
      </c>
      <c r="F838" s="553">
        <f>-'Foglio deposito bis'!$F$59*(C838-sezione!$AM$30)*IF(ABS(L838)&lt;'Progetto del paramento slu'!$G$58,ABS(L838)*'Progetto del paramento slu'!$G$54,'Progetto del paramento slu'!$G$53)</f>
        <v>20273752.743850205</v>
      </c>
      <c r="G838" s="553">
        <f>-'Foglio deposito bis'!$F$60*(C838-sezione!$AN$30)*IF(ABS(M838)&lt;'Progetto del paramento slu'!$G$58,ABS(M838)*'Progetto del paramento slu'!$G$54,'Progetto del paramento slu'!$G$53)</f>
        <v>0</v>
      </c>
      <c r="H838" s="553">
        <f>-'Foglio deposito bis'!$F$61*(C838-sezione!$AO$30)*IF(ABS(N838)&lt;'Progetto del paramento slu'!$G$58,ABS(N838)*'Progetto del paramento slu'!$G$54,'Progetto del paramento slu'!$G$53)</f>
        <v>77569078.814407349</v>
      </c>
      <c r="I838" s="479">
        <f>-'Foglio deposito bis'!$F$62*(C838-sezione!$AP$30)*IF(ABS(O838)&lt;'Progetto del paramento slu'!$G$58,ABS(O838)*'Progetto del paramento slu'!$G$54,'Progetto del paramento slu'!$G$53)</f>
        <v>76139202.907122523</v>
      </c>
      <c r="J838" s="479">
        <f t="shared" si="62"/>
        <v>171295529.58490542</v>
      </c>
      <c r="K838" s="558">
        <f>'Progetto del paramento slu'!$G$60*(sezione!$AL$30-C838)/C838</f>
        <v>4.249735733503005E-3</v>
      </c>
      <c r="L838" s="558">
        <f>'Progetto del paramento slu'!$G$60*(sezione!$AM$30-C838)/C838</f>
        <v>2.5561509000636265E-2</v>
      </c>
      <c r="M838" s="559">
        <f>'Progetto del paramento slu'!$G$60*(sezione!$AN$30-C838)/C838</f>
        <v>4.6873282267769531E-2</v>
      </c>
      <c r="N838" s="559">
        <f>'Progetto del paramento slu'!$G$60*(sezione!$AO$30-C838)/C838</f>
        <v>6.2372753734775542E-2</v>
      </c>
      <c r="O838" s="559">
        <f>'Progetto del paramento slu'!$G$60*(sezione!$AP$30-C838)/C838</f>
        <v>4.6873859772115042E-2</v>
      </c>
      <c r="P838" s="553">
        <f>-'Progetto del paramento slu'!$G$47*'Progetto del paramento slu'!$G$41*IF(DATI!$G$218="dx",DATI!$E$61,DATI!$E$64*DATI!$E$63)*1000*C838*sezione!$AD$5</f>
        <v>-254644.11534301186</v>
      </c>
      <c r="Q838" s="553">
        <f>'Foglio deposito bis'!$F$58*IF(ABS(K838)&lt;'Progetto del paramento slu'!$G$58,ABS(K838)*'Progetto del paramento slu'!$G$54,'Progetto del paramento slu'!$G$53)*IF(K838&lt;0,-1,1)</f>
        <v>0</v>
      </c>
      <c r="R838" s="553">
        <f>'Foglio deposito bis'!$F$59*IF(ABS(L838)&lt;'Progetto del paramento slu'!$G$58,ABS(L838)*'Progetto del paramento slu'!$G$54,'Progetto del paramento slu'!$G$53)*IF(L838&lt;0,-1,1)</f>
        <v>153664.85805602249</v>
      </c>
      <c r="S838" s="553">
        <f>'Foglio deposito bis'!$F$60*IF(ABS(M838)&lt;'Progetto del paramento slu'!$G$58,ABS(M838)*'Progetto del paramento slu'!$G$54,'Progetto del paramento slu'!$G$53)*IF(M838&lt;0,-1,1)</f>
        <v>0</v>
      </c>
      <c r="T838" s="553">
        <f>'Foglio deposito bis'!$F$61*IF(ABS(N838)&lt;'Progetto del paramento slu'!$G$58,ABS(N838)*'Progetto del paramento slu'!$G$54,'Progetto del paramento slu'!$G$53)*IF(N838&lt;0,-1,1)</f>
        <v>240946.49743184328</v>
      </c>
      <c r="U838" s="553">
        <f>'Foglio deposito bis'!$F$62*IF(ABS(O838)&lt;'Progetto del paramento slu'!$G$58,ABS(O838)*'Progetto del paramento slu'!$G$54,'Progetto del paramento slu'!$G$53)*IF(O838&lt;0,-1,1)</f>
        <v>314705.62929873407</v>
      </c>
      <c r="V838" s="479">
        <f t="shared" si="64"/>
        <v>454672.86944358796</v>
      </c>
      <c r="W838" s="559"/>
      <c r="X838" s="559"/>
    </row>
    <row r="839" spans="1:24" x14ac:dyDescent="0.25">
      <c r="A839" s="553">
        <f t="shared" si="63"/>
        <v>451811.69960827322</v>
      </c>
      <c r="B839" s="3">
        <f t="shared" si="65"/>
        <v>4.499999999999992</v>
      </c>
      <c r="C839" s="553">
        <f>'Foglio deposito bis'!$E$156/sezione!$B$247*B839</f>
        <v>18.268111142916599</v>
      </c>
      <c r="D839" s="611">
        <f>-'Progetto del paramento slu'!$G$47*'Progetto del paramento slu'!$G$41*IF(DATI!$G$218="dx",DATI!$E$61,DATI!$E$64*DATI!$E$63)*1000*C839^2*sezione!$AD$5*(1-sezione!$AD$6)</f>
        <v>-2747214.9390032459</v>
      </c>
      <c r="E839" s="553">
        <f>-'Foglio deposito bis'!$F$58*(C839-sezione!$AL$30)*IF(ABS(K839)&lt;'Progetto del paramento slu'!$G$58,ABS(K839)*'Progetto del paramento slu'!$G$54,'Progetto del paramento slu'!$G$53)</f>
        <v>0</v>
      </c>
      <c r="F839" s="553">
        <f>-'Foglio deposito bis'!$F$59*(C839-sezione!$AM$30)*IF(ABS(L839)&lt;'Progetto del paramento slu'!$G$58,ABS(L839)*'Progetto del paramento slu'!$G$54,'Progetto del paramento slu'!$G$53)</f>
        <v>20242562.002675451</v>
      </c>
      <c r="G839" s="553">
        <f>-'Foglio deposito bis'!$F$60*(C839-sezione!$AN$30)*IF(ABS(M839)&lt;'Progetto del paramento slu'!$G$58,ABS(M839)*'Progetto del paramento slu'!$G$54,'Progetto del paramento slu'!$G$53)</f>
        <v>0</v>
      </c>
      <c r="H839" s="553">
        <f>-'Foglio deposito bis'!$F$61*(C839-sezione!$AO$30)*IF(ABS(N839)&lt;'Progetto del paramento slu'!$G$58,ABS(N839)*'Progetto del paramento slu'!$G$54,'Progetto del paramento slu'!$G$53)</f>
        <v>77520171.732245341</v>
      </c>
      <c r="I839" s="479">
        <f>-'Foglio deposito bis'!$F$62*(C839-sezione!$AP$30)*IF(ABS(O839)&lt;'Progetto del paramento slu'!$G$58,ABS(O839)*'Progetto del paramento slu'!$G$54,'Progetto del paramento slu'!$G$53)</f>
        <v>76075324.269196615</v>
      </c>
      <c r="J839" s="479">
        <f t="shared" si="62"/>
        <v>171090843.06511414</v>
      </c>
      <c r="K839" s="558">
        <f>'Progetto del paramento slu'!$G$60*(sezione!$AL$30-C839)/C839</f>
        <v>4.1636275586863043E-3</v>
      </c>
      <c r="L839" s="558">
        <f>'Progetto del paramento slu'!$G$60*(sezione!$AM$30-C839)/C839</f>
        <v>2.5238603345073638E-2</v>
      </c>
      <c r="M839" s="559">
        <f>'Progetto del paramento slu'!$G$60*(sezione!$AN$30-C839)/C839</f>
        <v>4.6313579131460975E-2</v>
      </c>
      <c r="N839" s="559">
        <f>'Progetto del paramento slu'!$G$60*(sezione!$AO$30-C839)/C839</f>
        <v>6.1640834248833584E-2</v>
      </c>
      <c r="O839" s="559">
        <f>'Progetto del paramento slu'!$G$60*(sezione!$AP$30-C839)/C839</f>
        <v>4.6314150219091535E-2</v>
      </c>
      <c r="P839" s="553">
        <f>-'Progetto del paramento slu'!$G$47*'Progetto del paramento slu'!$G$41*IF(DATI!$G$218="dx",DATI!$E$61,DATI!$E$64*DATI!$E$63)*1000*C839*sezione!$AD$5</f>
        <v>-257505.28517832665</v>
      </c>
      <c r="Q839" s="553">
        <f>'Foglio deposito bis'!$F$58*IF(ABS(K839)&lt;'Progetto del paramento slu'!$G$58,ABS(K839)*'Progetto del paramento slu'!$G$54,'Progetto del paramento slu'!$G$53)*IF(K839&lt;0,-1,1)</f>
        <v>0</v>
      </c>
      <c r="R839" s="553">
        <f>'Foglio deposito bis'!$F$59*IF(ABS(L839)&lt;'Progetto del paramento slu'!$G$58,ABS(L839)*'Progetto del paramento slu'!$G$54,'Progetto del paramento slu'!$G$53)*IF(L839&lt;0,-1,1)</f>
        <v>153664.85805602249</v>
      </c>
      <c r="S839" s="553">
        <f>'Foglio deposito bis'!$F$60*IF(ABS(M839)&lt;'Progetto del paramento slu'!$G$58,ABS(M839)*'Progetto del paramento slu'!$G$54,'Progetto del paramento slu'!$G$53)*IF(M839&lt;0,-1,1)</f>
        <v>0</v>
      </c>
      <c r="T839" s="553">
        <f>'Foglio deposito bis'!$F$61*IF(ABS(N839)&lt;'Progetto del paramento slu'!$G$58,ABS(N839)*'Progetto del paramento slu'!$G$54,'Progetto del paramento slu'!$G$53)*IF(N839&lt;0,-1,1)</f>
        <v>240946.49743184328</v>
      </c>
      <c r="U839" s="553">
        <f>'Foglio deposito bis'!$F$62*IF(ABS(O839)&lt;'Progetto del paramento slu'!$G$58,ABS(O839)*'Progetto del paramento slu'!$G$54,'Progetto del paramento slu'!$G$53)*IF(O839&lt;0,-1,1)</f>
        <v>314705.62929873407</v>
      </c>
      <c r="V839" s="479">
        <f t="shared" si="64"/>
        <v>451811.69960827322</v>
      </c>
      <c r="W839" s="559"/>
      <c r="X839" s="559"/>
    </row>
    <row r="840" spans="1:24" x14ac:dyDescent="0.25">
      <c r="A840" s="553">
        <f t="shared" si="63"/>
        <v>448950.52977295849</v>
      </c>
      <c r="B840" s="3">
        <f t="shared" si="65"/>
        <v>4.5499999999999918</v>
      </c>
      <c r="C840" s="553">
        <f>'Foglio deposito bis'!$E$156/sezione!$B$247*B840</f>
        <v>18.471090155615673</v>
      </c>
      <c r="D840" s="611">
        <f>-'Progetto del paramento slu'!$G$47*'Progetto del paramento slu'!$G$41*IF(DATI!$G$218="dx",DATI!$E$61,DATI!$E$64*DATI!$E$63)*1000*C840^2*sezione!$AD$5*(1-sezione!$AD$6)</f>
        <v>-2808603.322208134</v>
      </c>
      <c r="E840" s="553">
        <f>-'Foglio deposito bis'!$F$58*(C840-sezione!$AL$30)*IF(ABS(K840)&lt;'Progetto del paramento slu'!$G$58,ABS(K840)*'Progetto del paramento slu'!$G$54,'Progetto del paramento slu'!$G$53)</f>
        <v>0</v>
      </c>
      <c r="F840" s="553">
        <f>-'Foglio deposito bis'!$F$59*(C840-sezione!$AM$30)*IF(ABS(L840)&lt;'Progetto del paramento slu'!$G$58,ABS(L840)*'Progetto del paramento slu'!$G$54,'Progetto del paramento slu'!$G$53)</f>
        <v>20211371.261500694</v>
      </c>
      <c r="G840" s="553">
        <f>-'Foglio deposito bis'!$F$60*(C840-sezione!$AN$30)*IF(ABS(M840)&lt;'Progetto del paramento slu'!$G$58,ABS(M840)*'Progetto del paramento slu'!$G$54,'Progetto del paramento slu'!$G$53)</f>
        <v>0</v>
      </c>
      <c r="H840" s="553">
        <f>-'Foglio deposito bis'!$F$61*(C840-sezione!$AO$30)*IF(ABS(N840)&lt;'Progetto del paramento slu'!$G$58,ABS(N840)*'Progetto del paramento slu'!$G$54,'Progetto del paramento slu'!$G$53)</f>
        <v>77471264.650083303</v>
      </c>
      <c r="I840" s="479">
        <f>-'Foglio deposito bis'!$F$62*(C840-sezione!$AP$30)*IF(ABS(O840)&lt;'Progetto del paramento slu'!$G$58,ABS(O840)*'Progetto del paramento slu'!$G$54,'Progetto del paramento slu'!$G$53)</f>
        <v>76011445.631270722</v>
      </c>
      <c r="J840" s="479">
        <f t="shared" si="62"/>
        <v>170885478.22064659</v>
      </c>
      <c r="K840" s="558">
        <f>'Progetto del paramento slu'!$G$60*(sezione!$AL$30-C840)/C840</f>
        <v>4.0794118712282118E-3</v>
      </c>
      <c r="L840" s="558">
        <f>'Progetto del paramento slu'!$G$60*(sezione!$AM$30-C840)/C840</f>
        <v>2.4922794517105794E-2</v>
      </c>
      <c r="M840" s="559">
        <f>'Progetto del paramento slu'!$G$60*(sezione!$AN$30-C840)/C840</f>
        <v>4.5766177162983375E-2</v>
      </c>
      <c r="N840" s="559">
        <f>'Progetto del paramento slu'!$G$60*(sezione!$AO$30-C840)/C840</f>
        <v>6.0925000905439806E-2</v>
      </c>
      <c r="O840" s="559">
        <f>'Progetto del paramento slu'!$G$60*(sezione!$AP$30-C840)/C840</f>
        <v>4.5766741974925688E-2</v>
      </c>
      <c r="P840" s="553">
        <f>-'Progetto del paramento slu'!$G$47*'Progetto del paramento slu'!$G$41*IF(DATI!$G$218="dx",DATI!$E$61,DATI!$E$64*DATI!$E$63)*1000*C840*sezione!$AD$5</f>
        <v>-260366.45501364139</v>
      </c>
      <c r="Q840" s="553">
        <f>'Foglio deposito bis'!$F$58*IF(ABS(K840)&lt;'Progetto del paramento slu'!$G$58,ABS(K840)*'Progetto del paramento slu'!$G$54,'Progetto del paramento slu'!$G$53)*IF(K840&lt;0,-1,1)</f>
        <v>0</v>
      </c>
      <c r="R840" s="553">
        <f>'Foglio deposito bis'!$F$59*IF(ABS(L840)&lt;'Progetto del paramento slu'!$G$58,ABS(L840)*'Progetto del paramento slu'!$G$54,'Progetto del paramento slu'!$G$53)*IF(L840&lt;0,-1,1)</f>
        <v>153664.85805602249</v>
      </c>
      <c r="S840" s="553">
        <f>'Foglio deposito bis'!$F$60*IF(ABS(M840)&lt;'Progetto del paramento slu'!$G$58,ABS(M840)*'Progetto del paramento slu'!$G$54,'Progetto del paramento slu'!$G$53)*IF(M840&lt;0,-1,1)</f>
        <v>0</v>
      </c>
      <c r="T840" s="553">
        <f>'Foglio deposito bis'!$F$61*IF(ABS(N840)&lt;'Progetto del paramento slu'!$G$58,ABS(N840)*'Progetto del paramento slu'!$G$54,'Progetto del paramento slu'!$G$53)*IF(N840&lt;0,-1,1)</f>
        <v>240946.49743184328</v>
      </c>
      <c r="U840" s="553">
        <f>'Foglio deposito bis'!$F$62*IF(ABS(O840)&lt;'Progetto del paramento slu'!$G$58,ABS(O840)*'Progetto del paramento slu'!$G$54,'Progetto del paramento slu'!$G$53)*IF(O840&lt;0,-1,1)</f>
        <v>314705.62929873407</v>
      </c>
      <c r="V840" s="479">
        <f t="shared" si="64"/>
        <v>448950.52977295849</v>
      </c>
      <c r="W840" s="559"/>
      <c r="X840" s="559"/>
    </row>
    <row r="841" spans="1:24" x14ac:dyDescent="0.25">
      <c r="A841" s="553">
        <f t="shared" si="63"/>
        <v>446089.35993764375</v>
      </c>
      <c r="B841" s="3">
        <f t="shared" si="65"/>
        <v>4.5999999999999917</v>
      </c>
      <c r="C841" s="553">
        <f>'Foglio deposito bis'!$E$156/sezione!$B$247*B841</f>
        <v>18.674069168314745</v>
      </c>
      <c r="D841" s="611">
        <f>-'Progetto del paramento slu'!$G$47*'Progetto del paramento slu'!$G$41*IF(DATI!$G$218="dx",DATI!$E$61,DATI!$E$64*DATI!$E$63)*1000*C841^2*sezione!$AD$5*(1-sezione!$AD$6)</f>
        <v>-2870670.0300893174</v>
      </c>
      <c r="E841" s="553">
        <f>-'Foglio deposito bis'!$F$58*(C841-sezione!$AL$30)*IF(ABS(K841)&lt;'Progetto del paramento slu'!$G$58,ABS(K841)*'Progetto del paramento slu'!$G$54,'Progetto del paramento slu'!$G$53)</f>
        <v>0</v>
      </c>
      <c r="F841" s="553">
        <f>-'Foglio deposito bis'!$F$59*(C841-sezione!$AM$30)*IF(ABS(L841)&lt;'Progetto del paramento slu'!$G$58,ABS(L841)*'Progetto del paramento slu'!$G$54,'Progetto del paramento slu'!$G$53)</f>
        <v>20180180.52032594</v>
      </c>
      <c r="G841" s="553">
        <f>-'Foglio deposito bis'!$F$60*(C841-sezione!$AN$30)*IF(ABS(M841)&lt;'Progetto del paramento slu'!$G$58,ABS(M841)*'Progetto del paramento slu'!$G$54,'Progetto del paramento slu'!$G$53)</f>
        <v>0</v>
      </c>
      <c r="H841" s="553">
        <f>-'Foglio deposito bis'!$F$61*(C841-sezione!$AO$30)*IF(ABS(N841)&lt;'Progetto del paramento slu'!$G$58,ABS(N841)*'Progetto del paramento slu'!$G$54,'Progetto del paramento slu'!$G$53)</f>
        <v>77422357.567921296</v>
      </c>
      <c r="I841" s="479">
        <f>-'Foglio deposito bis'!$F$62*(C841-sezione!$AP$30)*IF(ABS(O841)&lt;'Progetto del paramento slu'!$G$58,ABS(O841)*'Progetto del paramento slu'!$G$54,'Progetto del paramento slu'!$G$53)</f>
        <v>75947566.993344814</v>
      </c>
      <c r="J841" s="479">
        <f t="shared" si="62"/>
        <v>170679435.05150273</v>
      </c>
      <c r="K841" s="558">
        <f>'Progetto del paramento slu'!$G$60*(sezione!$AL$30-C841)/C841</f>
        <v>3.9970269595844283E-3</v>
      </c>
      <c r="L841" s="558">
        <f>'Progetto del paramento slu'!$G$60*(sezione!$AM$30-C841)/C841</f>
        <v>2.4613851098441605E-2</v>
      </c>
      <c r="M841" s="559">
        <f>'Progetto del paramento slu'!$G$60*(sezione!$AN$30-C841)/C841</f>
        <v>4.5230675237298776E-2</v>
      </c>
      <c r="N841" s="559">
        <f>'Progetto del paramento slu'!$G$60*(sezione!$AO$30-C841)/C841</f>
        <v>6.0224729156467635E-2</v>
      </c>
      <c r="O841" s="559">
        <f>'Progetto del paramento slu'!$G$60*(sezione!$AP$30-C841)/C841</f>
        <v>4.523123390998085E-2</v>
      </c>
      <c r="P841" s="553">
        <f>-'Progetto del paramento slu'!$G$47*'Progetto del paramento slu'!$G$41*IF(DATI!$G$218="dx",DATI!$E$61,DATI!$E$64*DATI!$E$63)*1000*C841*sezione!$AD$5</f>
        <v>-263227.62484895613</v>
      </c>
      <c r="Q841" s="553">
        <f>'Foglio deposito bis'!$F$58*IF(ABS(K841)&lt;'Progetto del paramento slu'!$G$58,ABS(K841)*'Progetto del paramento slu'!$G$54,'Progetto del paramento slu'!$G$53)*IF(K841&lt;0,-1,1)</f>
        <v>0</v>
      </c>
      <c r="R841" s="553">
        <f>'Foglio deposito bis'!$F$59*IF(ABS(L841)&lt;'Progetto del paramento slu'!$G$58,ABS(L841)*'Progetto del paramento slu'!$G$54,'Progetto del paramento slu'!$G$53)*IF(L841&lt;0,-1,1)</f>
        <v>153664.85805602249</v>
      </c>
      <c r="S841" s="553">
        <f>'Foglio deposito bis'!$F$60*IF(ABS(M841)&lt;'Progetto del paramento slu'!$G$58,ABS(M841)*'Progetto del paramento slu'!$G$54,'Progetto del paramento slu'!$G$53)*IF(M841&lt;0,-1,1)</f>
        <v>0</v>
      </c>
      <c r="T841" s="553">
        <f>'Foglio deposito bis'!$F$61*IF(ABS(N841)&lt;'Progetto del paramento slu'!$G$58,ABS(N841)*'Progetto del paramento slu'!$G$54,'Progetto del paramento slu'!$G$53)*IF(N841&lt;0,-1,1)</f>
        <v>240946.49743184328</v>
      </c>
      <c r="U841" s="553">
        <f>'Foglio deposito bis'!$F$62*IF(ABS(O841)&lt;'Progetto del paramento slu'!$G$58,ABS(O841)*'Progetto del paramento slu'!$G$54,'Progetto del paramento slu'!$G$53)*IF(O841&lt;0,-1,1)</f>
        <v>314705.62929873407</v>
      </c>
      <c r="V841" s="479">
        <f t="shared" si="64"/>
        <v>446089.35993764375</v>
      </c>
      <c r="W841" s="559"/>
      <c r="X841" s="559"/>
    </row>
    <row r="842" spans="1:24" x14ac:dyDescent="0.25">
      <c r="A842" s="553">
        <f t="shared" si="63"/>
        <v>443228.19010232901</v>
      </c>
      <c r="B842" s="3">
        <f t="shared" si="65"/>
        <v>4.6499999999999915</v>
      </c>
      <c r="C842" s="553">
        <f>'Foglio deposito bis'!$E$156/sezione!$B$247*B842</f>
        <v>18.877048181013819</v>
      </c>
      <c r="D842" s="611">
        <f>-'Progetto del paramento slu'!$G$47*'Progetto del paramento slu'!$G$41*IF(DATI!$G$218="dx",DATI!$E$61,DATI!$E$64*DATI!$E$63)*1000*C842^2*sezione!$AD$5*(1-sezione!$AD$6)</f>
        <v>-2933415.0626467993</v>
      </c>
      <c r="E842" s="553">
        <f>-'Foglio deposito bis'!$F$58*(C842-sezione!$AL$30)*IF(ABS(K842)&lt;'Progetto del paramento slu'!$G$58,ABS(K842)*'Progetto del paramento slu'!$G$54,'Progetto del paramento slu'!$G$53)</f>
        <v>0</v>
      </c>
      <c r="F842" s="553">
        <f>-'Foglio deposito bis'!$F$59*(C842-sezione!$AM$30)*IF(ABS(L842)&lt;'Progetto del paramento slu'!$G$58,ABS(L842)*'Progetto del paramento slu'!$G$54,'Progetto del paramento slu'!$G$53)</f>
        <v>20148989.779151186</v>
      </c>
      <c r="G842" s="553">
        <f>-'Foglio deposito bis'!$F$60*(C842-sezione!$AN$30)*IF(ABS(M842)&lt;'Progetto del paramento slu'!$G$58,ABS(M842)*'Progetto del paramento slu'!$G$54,'Progetto del paramento slu'!$G$53)</f>
        <v>0</v>
      </c>
      <c r="H842" s="553">
        <f>-'Foglio deposito bis'!$F$61*(C842-sezione!$AO$30)*IF(ABS(N842)&lt;'Progetto del paramento slu'!$G$58,ABS(N842)*'Progetto del paramento slu'!$G$54,'Progetto del paramento slu'!$G$53)</f>
        <v>77373450.485759273</v>
      </c>
      <c r="I842" s="479">
        <f>-'Foglio deposito bis'!$F$62*(C842-sezione!$AP$30)*IF(ABS(O842)&lt;'Progetto del paramento slu'!$G$58,ABS(O842)*'Progetto del paramento slu'!$G$54,'Progetto del paramento slu'!$G$53)</f>
        <v>75883688.355418921</v>
      </c>
      <c r="J842" s="479">
        <f t="shared" si="62"/>
        <v>170472713.55768257</v>
      </c>
      <c r="K842" s="558">
        <f>'Progetto del paramento slu'!$G$60*(sezione!$AL$30-C842)/C842</f>
        <v>3.9164137664706167E-3</v>
      </c>
      <c r="L842" s="558">
        <f>'Progetto del paramento slu'!$G$60*(sezione!$AM$30-C842)/C842</f>
        <v>2.4311551624264811E-2</v>
      </c>
      <c r="M842" s="559">
        <f>'Progetto del paramento slu'!$G$60*(sezione!$AN$30-C842)/C842</f>
        <v>4.4706689482059005E-2</v>
      </c>
      <c r="N842" s="559">
        <f>'Progetto del paramento slu'!$G$60*(sezione!$AO$30-C842)/C842</f>
        <v>5.9539517015000244E-2</v>
      </c>
      <c r="O842" s="559">
        <f>'Progetto del paramento slu'!$G$60*(sezione!$AP$30-C842)/C842</f>
        <v>4.4707242147507938E-2</v>
      </c>
      <c r="P842" s="553">
        <f>-'Progetto del paramento slu'!$G$47*'Progetto del paramento slu'!$G$41*IF(DATI!$G$218="dx",DATI!$E$61,DATI!$E$64*DATI!$E$63)*1000*C842*sezione!$AD$5</f>
        <v>-266088.79468427086</v>
      </c>
      <c r="Q842" s="553">
        <f>'Foglio deposito bis'!$F$58*IF(ABS(K842)&lt;'Progetto del paramento slu'!$G$58,ABS(K842)*'Progetto del paramento slu'!$G$54,'Progetto del paramento slu'!$G$53)*IF(K842&lt;0,-1,1)</f>
        <v>0</v>
      </c>
      <c r="R842" s="553">
        <f>'Foglio deposito bis'!$F$59*IF(ABS(L842)&lt;'Progetto del paramento slu'!$G$58,ABS(L842)*'Progetto del paramento slu'!$G$54,'Progetto del paramento slu'!$G$53)*IF(L842&lt;0,-1,1)</f>
        <v>153664.85805602249</v>
      </c>
      <c r="S842" s="553">
        <f>'Foglio deposito bis'!$F$60*IF(ABS(M842)&lt;'Progetto del paramento slu'!$G$58,ABS(M842)*'Progetto del paramento slu'!$G$54,'Progetto del paramento slu'!$G$53)*IF(M842&lt;0,-1,1)</f>
        <v>0</v>
      </c>
      <c r="T842" s="553">
        <f>'Foglio deposito bis'!$F$61*IF(ABS(N842)&lt;'Progetto del paramento slu'!$G$58,ABS(N842)*'Progetto del paramento slu'!$G$54,'Progetto del paramento slu'!$G$53)*IF(N842&lt;0,-1,1)</f>
        <v>240946.49743184328</v>
      </c>
      <c r="U842" s="553">
        <f>'Foglio deposito bis'!$F$62*IF(ABS(O842)&lt;'Progetto del paramento slu'!$G$58,ABS(O842)*'Progetto del paramento slu'!$G$54,'Progetto del paramento slu'!$G$53)*IF(O842&lt;0,-1,1)</f>
        <v>314705.62929873407</v>
      </c>
      <c r="V842" s="479">
        <f t="shared" si="64"/>
        <v>443228.19010232901</v>
      </c>
      <c r="W842" s="559"/>
      <c r="X842" s="559"/>
    </row>
    <row r="843" spans="1:24" x14ac:dyDescent="0.25">
      <c r="A843" s="553">
        <f t="shared" si="63"/>
        <v>440367.02026701428</v>
      </c>
      <c r="B843" s="3">
        <f t="shared" si="65"/>
        <v>4.6999999999999913</v>
      </c>
      <c r="C843" s="553">
        <f>'Foglio deposito bis'!$E$156/sezione!$B$247*B843</f>
        <v>19.08002719371289</v>
      </c>
      <c r="D843" s="611">
        <f>-'Progetto del paramento slu'!$G$47*'Progetto del paramento slu'!$G$41*IF(DATI!$G$218="dx",DATI!$E$61,DATI!$E$64*DATI!$E$63)*1000*C843^2*sezione!$AD$5*(1-sezione!$AD$6)</f>
        <v>-2996838.4198805774</v>
      </c>
      <c r="E843" s="553">
        <f>-'Foglio deposito bis'!$F$58*(C843-sezione!$AL$30)*IF(ABS(K843)&lt;'Progetto del paramento slu'!$G$58,ABS(K843)*'Progetto del paramento slu'!$G$54,'Progetto del paramento slu'!$G$53)</f>
        <v>0</v>
      </c>
      <c r="F843" s="553">
        <f>-'Foglio deposito bis'!$F$59*(C843-sezione!$AM$30)*IF(ABS(L843)&lt;'Progetto del paramento slu'!$G$58,ABS(L843)*'Progetto del paramento slu'!$G$54,'Progetto del paramento slu'!$G$53)</f>
        <v>20117799.037976436</v>
      </c>
      <c r="G843" s="553">
        <f>-'Foglio deposito bis'!$F$60*(C843-sezione!$AN$30)*IF(ABS(M843)&lt;'Progetto del paramento slu'!$G$58,ABS(M843)*'Progetto del paramento slu'!$G$54,'Progetto del paramento slu'!$G$53)</f>
        <v>0</v>
      </c>
      <c r="H843" s="553">
        <f>-'Foglio deposito bis'!$F$61*(C843-sezione!$AO$30)*IF(ABS(N843)&lt;'Progetto del paramento slu'!$G$58,ABS(N843)*'Progetto del paramento slu'!$G$54,'Progetto del paramento slu'!$G$53)</f>
        <v>77324543.403597265</v>
      </c>
      <c r="I843" s="479">
        <f>-'Foglio deposito bis'!$F$62*(C843-sezione!$AP$30)*IF(ABS(O843)&lt;'Progetto del paramento slu'!$G$58,ABS(O843)*'Progetto del paramento slu'!$G$54,'Progetto del paramento slu'!$G$53)</f>
        <v>75819809.717493042</v>
      </c>
      <c r="J843" s="479">
        <f t="shared" si="62"/>
        <v>170265313.73918617</v>
      </c>
      <c r="K843" s="558">
        <f>'Progetto del paramento slu'!$G$60*(sezione!$AL$30-C843)/C843</f>
        <v>3.8375157476783768E-3</v>
      </c>
      <c r="L843" s="558">
        <f>'Progetto del paramento slu'!$G$60*(sezione!$AM$30-C843)/C843</f>
        <v>2.4015684053793916E-2</v>
      </c>
      <c r="M843" s="559">
        <f>'Progetto del paramento slu'!$G$60*(sezione!$AN$30-C843)/C843</f>
        <v>4.4193852359909448E-2</v>
      </c>
      <c r="N843" s="559">
        <f>'Progetto del paramento slu'!$G$60*(sezione!$AO$30-C843)/C843</f>
        <v>5.8868883855266202E-2</v>
      </c>
      <c r="O843" s="559">
        <f>'Progetto del paramento slu'!$G$60*(sezione!$AP$30-C843)/C843</f>
        <v>4.4194399145938715E-2</v>
      </c>
      <c r="P843" s="553">
        <f>-'Progetto del paramento slu'!$G$47*'Progetto del paramento slu'!$G$41*IF(DATI!$G$218="dx",DATI!$E$61,DATI!$E$64*DATI!$E$63)*1000*C843*sezione!$AD$5</f>
        <v>-268949.9645195856</v>
      </c>
      <c r="Q843" s="553">
        <f>'Foglio deposito bis'!$F$58*IF(ABS(K843)&lt;'Progetto del paramento slu'!$G$58,ABS(K843)*'Progetto del paramento slu'!$G$54,'Progetto del paramento slu'!$G$53)*IF(K843&lt;0,-1,1)</f>
        <v>0</v>
      </c>
      <c r="R843" s="553">
        <f>'Foglio deposito bis'!$F$59*IF(ABS(L843)&lt;'Progetto del paramento slu'!$G$58,ABS(L843)*'Progetto del paramento slu'!$G$54,'Progetto del paramento slu'!$G$53)*IF(L843&lt;0,-1,1)</f>
        <v>153664.85805602249</v>
      </c>
      <c r="S843" s="553">
        <f>'Foglio deposito bis'!$F$60*IF(ABS(M843)&lt;'Progetto del paramento slu'!$G$58,ABS(M843)*'Progetto del paramento slu'!$G$54,'Progetto del paramento slu'!$G$53)*IF(M843&lt;0,-1,1)</f>
        <v>0</v>
      </c>
      <c r="T843" s="553">
        <f>'Foglio deposito bis'!$F$61*IF(ABS(N843)&lt;'Progetto del paramento slu'!$G$58,ABS(N843)*'Progetto del paramento slu'!$G$54,'Progetto del paramento slu'!$G$53)*IF(N843&lt;0,-1,1)</f>
        <v>240946.49743184328</v>
      </c>
      <c r="U843" s="553">
        <f>'Foglio deposito bis'!$F$62*IF(ABS(O843)&lt;'Progetto del paramento slu'!$G$58,ABS(O843)*'Progetto del paramento slu'!$G$54,'Progetto del paramento slu'!$G$53)*IF(O843&lt;0,-1,1)</f>
        <v>314705.62929873407</v>
      </c>
      <c r="V843" s="479">
        <f t="shared" si="64"/>
        <v>440367.02026701428</v>
      </c>
      <c r="W843" s="559"/>
      <c r="X843" s="559"/>
    </row>
    <row r="844" spans="1:24" x14ac:dyDescent="0.25">
      <c r="A844" s="553">
        <f t="shared" si="63"/>
        <v>437505.85043169954</v>
      </c>
      <c r="B844" s="3">
        <f t="shared" si="65"/>
        <v>4.7499999999999911</v>
      </c>
      <c r="C844" s="553">
        <f>'Foglio deposito bis'!$E$156/sezione!$B$247*B844</f>
        <v>19.283006206411965</v>
      </c>
      <c r="D844" s="611">
        <f>-'Progetto del paramento slu'!$G$47*'Progetto del paramento slu'!$G$41*IF(DATI!$G$218="dx",DATI!$E$61,DATI!$E$64*DATI!$E$63)*1000*C844^2*sezione!$AD$5*(1-sezione!$AD$6)</f>
        <v>-3060940.1017906535</v>
      </c>
      <c r="E844" s="553">
        <f>-'Foglio deposito bis'!$F$58*(C844-sezione!$AL$30)*IF(ABS(K844)&lt;'Progetto del paramento slu'!$G$58,ABS(K844)*'Progetto del paramento slu'!$G$54,'Progetto del paramento slu'!$G$53)</f>
        <v>0</v>
      </c>
      <c r="F844" s="553">
        <f>-'Foglio deposito bis'!$F$59*(C844-sezione!$AM$30)*IF(ABS(L844)&lt;'Progetto del paramento slu'!$G$58,ABS(L844)*'Progetto del paramento slu'!$G$54,'Progetto del paramento slu'!$G$53)</f>
        <v>20086608.296801679</v>
      </c>
      <c r="G844" s="553">
        <f>-'Foglio deposito bis'!$F$60*(C844-sezione!$AN$30)*IF(ABS(M844)&lt;'Progetto del paramento slu'!$G$58,ABS(M844)*'Progetto del paramento slu'!$G$54,'Progetto del paramento slu'!$G$53)</f>
        <v>0</v>
      </c>
      <c r="H844" s="553">
        <f>-'Foglio deposito bis'!$F$61*(C844-sezione!$AO$30)*IF(ABS(N844)&lt;'Progetto del paramento slu'!$G$58,ABS(N844)*'Progetto del paramento slu'!$G$54,'Progetto del paramento slu'!$G$53)</f>
        <v>77275636.321435243</v>
      </c>
      <c r="I844" s="479">
        <f>-'Foglio deposito bis'!$F$62*(C844-sezione!$AP$30)*IF(ABS(O844)&lt;'Progetto del paramento slu'!$G$58,ABS(O844)*'Progetto del paramento slu'!$G$54,'Progetto del paramento slu'!$G$53)</f>
        <v>75755931.079567134</v>
      </c>
      <c r="J844" s="479">
        <f t="shared" si="62"/>
        <v>170057235.5960134</v>
      </c>
      <c r="K844" s="558">
        <f>'Progetto del paramento slu'!$G$60*(sezione!$AL$30-C844)/C844</f>
        <v>3.7602787398080774E-3</v>
      </c>
      <c r="L844" s="558">
        <f>'Progetto del paramento slu'!$G$60*(sezione!$AM$30-C844)/C844</f>
        <v>2.3726045274280294E-2</v>
      </c>
      <c r="M844" s="559">
        <f>'Progetto del paramento slu'!$G$60*(sezione!$AN$30-C844)/C844</f>
        <v>4.3691811808752506E-2</v>
      </c>
      <c r="N844" s="559">
        <f>'Progetto del paramento slu'!$G$60*(sezione!$AO$30-C844)/C844</f>
        <v>5.8212369288368648E-2</v>
      </c>
      <c r="O844" s="559">
        <f>'Progetto del paramento slu'!$G$60*(sezione!$AP$30-C844)/C844</f>
        <v>4.3692352839139359E-2</v>
      </c>
      <c r="P844" s="553">
        <f>-'Progetto del paramento slu'!$G$47*'Progetto del paramento slu'!$G$41*IF(DATI!$G$218="dx",DATI!$E$61,DATI!$E$64*DATI!$E$63)*1000*C844*sezione!$AD$5</f>
        <v>-271811.13435490034</v>
      </c>
      <c r="Q844" s="553">
        <f>'Foglio deposito bis'!$F$58*IF(ABS(K844)&lt;'Progetto del paramento slu'!$G$58,ABS(K844)*'Progetto del paramento slu'!$G$54,'Progetto del paramento slu'!$G$53)*IF(K844&lt;0,-1,1)</f>
        <v>0</v>
      </c>
      <c r="R844" s="553">
        <f>'Foglio deposito bis'!$F$59*IF(ABS(L844)&lt;'Progetto del paramento slu'!$G$58,ABS(L844)*'Progetto del paramento slu'!$G$54,'Progetto del paramento slu'!$G$53)*IF(L844&lt;0,-1,1)</f>
        <v>153664.85805602249</v>
      </c>
      <c r="S844" s="553">
        <f>'Foglio deposito bis'!$F$60*IF(ABS(M844)&lt;'Progetto del paramento slu'!$G$58,ABS(M844)*'Progetto del paramento slu'!$G$54,'Progetto del paramento slu'!$G$53)*IF(M844&lt;0,-1,1)</f>
        <v>0</v>
      </c>
      <c r="T844" s="553">
        <f>'Foglio deposito bis'!$F$61*IF(ABS(N844)&lt;'Progetto del paramento slu'!$G$58,ABS(N844)*'Progetto del paramento slu'!$G$54,'Progetto del paramento slu'!$G$53)*IF(N844&lt;0,-1,1)</f>
        <v>240946.49743184328</v>
      </c>
      <c r="U844" s="553">
        <f>'Foglio deposito bis'!$F$62*IF(ABS(O844)&lt;'Progetto del paramento slu'!$G$58,ABS(O844)*'Progetto del paramento slu'!$G$54,'Progetto del paramento slu'!$G$53)*IF(O844&lt;0,-1,1)</f>
        <v>314705.62929873407</v>
      </c>
      <c r="V844" s="479">
        <f t="shared" si="64"/>
        <v>437505.85043169954</v>
      </c>
      <c r="W844" s="559"/>
      <c r="X844" s="559"/>
    </row>
    <row r="845" spans="1:24" x14ac:dyDescent="0.25">
      <c r="A845" s="553">
        <f t="shared" si="63"/>
        <v>434644.6805963848</v>
      </c>
      <c r="B845" s="3">
        <f t="shared" si="65"/>
        <v>4.7999999999999909</v>
      </c>
      <c r="C845" s="553">
        <f>'Foglio deposito bis'!$E$156/sezione!$B$247*B845</f>
        <v>19.485985219111036</v>
      </c>
      <c r="D845" s="611">
        <f>-'Progetto del paramento slu'!$G$47*'Progetto del paramento slu'!$G$41*IF(DATI!$G$218="dx",DATI!$E$61,DATI!$E$64*DATI!$E$63)*1000*C845^2*sezione!$AD$5*(1-sezione!$AD$6)</f>
        <v>-3125720.1083770264</v>
      </c>
      <c r="E845" s="553">
        <f>-'Foglio deposito bis'!$F$58*(C845-sezione!$AL$30)*IF(ABS(K845)&lt;'Progetto del paramento slu'!$G$58,ABS(K845)*'Progetto del paramento slu'!$G$54,'Progetto del paramento slu'!$G$53)</f>
        <v>0</v>
      </c>
      <c r="F845" s="553">
        <f>-'Foglio deposito bis'!$F$59*(C845-sezione!$AM$30)*IF(ABS(L845)&lt;'Progetto del paramento slu'!$G$58,ABS(L845)*'Progetto del paramento slu'!$G$54,'Progetto del paramento slu'!$G$53)</f>
        <v>20055417.555626925</v>
      </c>
      <c r="G845" s="553">
        <f>-'Foglio deposito bis'!$F$60*(C845-sezione!$AN$30)*IF(ABS(M845)&lt;'Progetto del paramento slu'!$G$58,ABS(M845)*'Progetto del paramento slu'!$G$54,'Progetto del paramento slu'!$G$53)</f>
        <v>0</v>
      </c>
      <c r="H845" s="553">
        <f>-'Foglio deposito bis'!$F$61*(C845-sezione!$AO$30)*IF(ABS(N845)&lt;'Progetto del paramento slu'!$G$58,ABS(N845)*'Progetto del paramento slu'!$G$54,'Progetto del paramento slu'!$G$53)</f>
        <v>77226729.239273235</v>
      </c>
      <c r="I845" s="479">
        <f>-'Foglio deposito bis'!$F$62*(C845-sezione!$AP$30)*IF(ABS(O845)&lt;'Progetto del paramento slu'!$G$58,ABS(O845)*'Progetto del paramento slu'!$G$54,'Progetto del paramento slu'!$G$53)</f>
        <v>75692052.441641241</v>
      </c>
      <c r="J845" s="479">
        <f t="shared" si="62"/>
        <v>169848479.12816438</v>
      </c>
      <c r="K845" s="558">
        <f>'Progetto del paramento slu'!$G$60*(sezione!$AL$30-C845)/C845</f>
        <v>3.6846508362684111E-3</v>
      </c>
      <c r="L845" s="558">
        <f>'Progetto del paramento slu'!$G$60*(sezione!$AM$30-C845)/C845</f>
        <v>2.3442440636006544E-2</v>
      </c>
      <c r="M845" s="559">
        <f>'Progetto del paramento slu'!$G$60*(sezione!$AN$30-C845)/C845</f>
        <v>4.3200230435744676E-2</v>
      </c>
      <c r="N845" s="559">
        <f>'Progetto del paramento slu'!$G$60*(sezione!$AO$30-C845)/C845</f>
        <v>5.7569532108281488E-2</v>
      </c>
      <c r="O845" s="559">
        <f>'Progetto del paramento slu'!$G$60*(sezione!$AP$30-C845)/C845</f>
        <v>4.3200765830398329E-2</v>
      </c>
      <c r="P845" s="553">
        <f>-'Progetto del paramento slu'!$G$47*'Progetto del paramento slu'!$G$41*IF(DATI!$G$218="dx",DATI!$E$61,DATI!$E$64*DATI!$E$63)*1000*C845*sezione!$AD$5</f>
        <v>-274672.30419021507</v>
      </c>
      <c r="Q845" s="553">
        <f>'Foglio deposito bis'!$F$58*IF(ABS(K845)&lt;'Progetto del paramento slu'!$G$58,ABS(K845)*'Progetto del paramento slu'!$G$54,'Progetto del paramento slu'!$G$53)*IF(K845&lt;0,-1,1)</f>
        <v>0</v>
      </c>
      <c r="R845" s="553">
        <f>'Foglio deposito bis'!$F$59*IF(ABS(L845)&lt;'Progetto del paramento slu'!$G$58,ABS(L845)*'Progetto del paramento slu'!$G$54,'Progetto del paramento slu'!$G$53)*IF(L845&lt;0,-1,1)</f>
        <v>153664.85805602249</v>
      </c>
      <c r="S845" s="553">
        <f>'Foglio deposito bis'!$F$60*IF(ABS(M845)&lt;'Progetto del paramento slu'!$G$58,ABS(M845)*'Progetto del paramento slu'!$G$54,'Progetto del paramento slu'!$G$53)*IF(M845&lt;0,-1,1)</f>
        <v>0</v>
      </c>
      <c r="T845" s="553">
        <f>'Foglio deposito bis'!$F$61*IF(ABS(N845)&lt;'Progetto del paramento slu'!$G$58,ABS(N845)*'Progetto del paramento slu'!$G$54,'Progetto del paramento slu'!$G$53)*IF(N845&lt;0,-1,1)</f>
        <v>240946.49743184328</v>
      </c>
      <c r="U845" s="553">
        <f>'Foglio deposito bis'!$F$62*IF(ABS(O845)&lt;'Progetto del paramento slu'!$G$58,ABS(O845)*'Progetto del paramento slu'!$G$54,'Progetto del paramento slu'!$G$53)*IF(O845&lt;0,-1,1)</f>
        <v>314705.62929873407</v>
      </c>
      <c r="V845" s="479">
        <f t="shared" si="64"/>
        <v>434644.6805963848</v>
      </c>
      <c r="W845" s="559"/>
      <c r="X845" s="559"/>
    </row>
    <row r="846" spans="1:24" x14ac:dyDescent="0.25">
      <c r="A846" s="553">
        <f t="shared" si="63"/>
        <v>431783.51076107007</v>
      </c>
      <c r="B846" s="3">
        <f t="shared" si="65"/>
        <v>4.8499999999999908</v>
      </c>
      <c r="C846" s="553">
        <f>'Foglio deposito bis'!$E$156/sezione!$B$247*B846</f>
        <v>19.688964231810111</v>
      </c>
      <c r="D846" s="611">
        <f>-'Progetto del paramento slu'!$G$47*'Progetto del paramento slu'!$G$41*IF(DATI!$G$218="dx",DATI!$E$61,DATI!$E$64*DATI!$E$63)*1000*C846^2*sezione!$AD$5*(1-sezione!$AD$6)</f>
        <v>-3191178.4396396959</v>
      </c>
      <c r="E846" s="553">
        <f>-'Foglio deposito bis'!$F$58*(C846-sezione!$AL$30)*IF(ABS(K846)&lt;'Progetto del paramento slu'!$G$58,ABS(K846)*'Progetto del paramento slu'!$G$54,'Progetto del paramento slu'!$G$53)</f>
        <v>0</v>
      </c>
      <c r="F846" s="553">
        <f>-'Foglio deposito bis'!$F$59*(C846-sezione!$AM$30)*IF(ABS(L846)&lt;'Progetto del paramento slu'!$G$58,ABS(L846)*'Progetto del paramento slu'!$G$54,'Progetto del paramento slu'!$G$53)</f>
        <v>20024226.814452171</v>
      </c>
      <c r="G846" s="553">
        <f>-'Foglio deposito bis'!$F$60*(C846-sezione!$AN$30)*IF(ABS(M846)&lt;'Progetto del paramento slu'!$G$58,ABS(M846)*'Progetto del paramento slu'!$G$54,'Progetto del paramento slu'!$G$53)</f>
        <v>0</v>
      </c>
      <c r="H846" s="553">
        <f>-'Foglio deposito bis'!$F$61*(C846-sezione!$AO$30)*IF(ABS(N846)&lt;'Progetto del paramento slu'!$G$58,ABS(N846)*'Progetto del paramento slu'!$G$54,'Progetto del paramento slu'!$G$53)</f>
        <v>77177822.157111213</v>
      </c>
      <c r="I846" s="479">
        <f>-'Foglio deposito bis'!$F$62*(C846-sezione!$AP$30)*IF(ABS(O846)&lt;'Progetto del paramento slu'!$G$58,ABS(O846)*'Progetto del paramento slu'!$G$54,'Progetto del paramento slu'!$G$53)</f>
        <v>75628173.803715333</v>
      </c>
      <c r="J846" s="479">
        <f t="shared" si="62"/>
        <v>169639044.335639</v>
      </c>
      <c r="K846" s="558">
        <f>'Progetto del paramento slu'!$G$60*(sezione!$AL$30-C846)/C846</f>
        <v>3.6105822709460557E-3</v>
      </c>
      <c r="L846" s="558">
        <f>'Progetto del paramento slu'!$G$60*(sezione!$AM$30-C846)/C846</f>
        <v>2.316468351604771E-2</v>
      </c>
      <c r="M846" s="559">
        <f>'Progetto del paramento slu'!$G$60*(sezione!$AN$30-C846)/C846</f>
        <v>4.2718784761149362E-2</v>
      </c>
      <c r="N846" s="559">
        <f>'Progetto del paramento slu'!$G$60*(sezione!$AO$30-C846)/C846</f>
        <v>5.6939949303041464E-2</v>
      </c>
      <c r="O846" s="559">
        <f>'Progetto del paramento slu'!$G$60*(sezione!$AP$30-C846)/C846</f>
        <v>4.271931463627051E-2</v>
      </c>
      <c r="P846" s="553">
        <f>-'Progetto del paramento slu'!$G$47*'Progetto del paramento slu'!$G$41*IF(DATI!$G$218="dx",DATI!$E$61,DATI!$E$64*DATI!$E$63)*1000*C846*sezione!$AD$5</f>
        <v>-277533.47402552981</v>
      </c>
      <c r="Q846" s="553">
        <f>'Foglio deposito bis'!$F$58*IF(ABS(K846)&lt;'Progetto del paramento slu'!$G$58,ABS(K846)*'Progetto del paramento slu'!$G$54,'Progetto del paramento slu'!$G$53)*IF(K846&lt;0,-1,1)</f>
        <v>0</v>
      </c>
      <c r="R846" s="553">
        <f>'Foglio deposito bis'!$F$59*IF(ABS(L846)&lt;'Progetto del paramento slu'!$G$58,ABS(L846)*'Progetto del paramento slu'!$G$54,'Progetto del paramento slu'!$G$53)*IF(L846&lt;0,-1,1)</f>
        <v>153664.85805602249</v>
      </c>
      <c r="S846" s="553">
        <f>'Foglio deposito bis'!$F$60*IF(ABS(M846)&lt;'Progetto del paramento slu'!$G$58,ABS(M846)*'Progetto del paramento slu'!$G$54,'Progetto del paramento slu'!$G$53)*IF(M846&lt;0,-1,1)</f>
        <v>0</v>
      </c>
      <c r="T846" s="553">
        <f>'Foglio deposito bis'!$F$61*IF(ABS(N846)&lt;'Progetto del paramento slu'!$G$58,ABS(N846)*'Progetto del paramento slu'!$G$54,'Progetto del paramento slu'!$G$53)*IF(N846&lt;0,-1,1)</f>
        <v>240946.49743184328</v>
      </c>
      <c r="U846" s="553">
        <f>'Foglio deposito bis'!$F$62*IF(ABS(O846)&lt;'Progetto del paramento slu'!$G$58,ABS(O846)*'Progetto del paramento slu'!$G$54,'Progetto del paramento slu'!$G$53)*IF(O846&lt;0,-1,1)</f>
        <v>314705.62929873407</v>
      </c>
      <c r="V846" s="479">
        <f t="shared" si="64"/>
        <v>431783.51076107007</v>
      </c>
      <c r="W846" s="559"/>
      <c r="X846" s="559"/>
    </row>
    <row r="847" spans="1:24" x14ac:dyDescent="0.25">
      <c r="A847" s="553">
        <f t="shared" si="63"/>
        <v>428922.34092575533</v>
      </c>
      <c r="B847" s="3">
        <f t="shared" si="65"/>
        <v>4.8999999999999906</v>
      </c>
      <c r="C847" s="553">
        <f>'Foglio deposito bis'!$E$156/sezione!$B$247*B847</f>
        <v>19.891943244509182</v>
      </c>
      <c r="D847" s="611">
        <f>-'Progetto del paramento slu'!$G$47*'Progetto del paramento slu'!$G$41*IF(DATI!$G$218="dx",DATI!$E$61,DATI!$E$64*DATI!$E$63)*1000*C847^2*sezione!$AD$5*(1-sezione!$AD$6)</f>
        <v>-3257315.0955786626</v>
      </c>
      <c r="E847" s="553">
        <f>-'Foglio deposito bis'!$F$58*(C847-sezione!$AL$30)*IF(ABS(K847)&lt;'Progetto del paramento slu'!$G$58,ABS(K847)*'Progetto del paramento slu'!$G$54,'Progetto del paramento slu'!$G$53)</f>
        <v>0</v>
      </c>
      <c r="F847" s="553">
        <f>-'Foglio deposito bis'!$F$59*(C847-sezione!$AM$30)*IF(ABS(L847)&lt;'Progetto del paramento slu'!$G$58,ABS(L847)*'Progetto del paramento slu'!$G$54,'Progetto del paramento slu'!$G$53)</f>
        <v>19993036.073277418</v>
      </c>
      <c r="G847" s="553">
        <f>-'Foglio deposito bis'!$F$60*(C847-sezione!$AN$30)*IF(ABS(M847)&lt;'Progetto del paramento slu'!$G$58,ABS(M847)*'Progetto del paramento slu'!$G$54,'Progetto del paramento slu'!$G$53)</f>
        <v>0</v>
      </c>
      <c r="H847" s="553">
        <f>-'Foglio deposito bis'!$F$61*(C847-sezione!$AO$30)*IF(ABS(N847)&lt;'Progetto del paramento slu'!$G$58,ABS(N847)*'Progetto del paramento slu'!$G$54,'Progetto del paramento slu'!$G$53)</f>
        <v>77128915.074949205</v>
      </c>
      <c r="I847" s="479">
        <f>-'Foglio deposito bis'!$F$62*(C847-sezione!$AP$30)*IF(ABS(O847)&lt;'Progetto del paramento slu'!$G$58,ABS(O847)*'Progetto del paramento slu'!$G$54,'Progetto del paramento slu'!$G$53)</f>
        <v>75564295.16578944</v>
      </c>
      <c r="J847" s="479">
        <f t="shared" si="62"/>
        <v>169428931.2184374</v>
      </c>
      <c r="K847" s="558">
        <f>'Progetto del paramento slu'!$G$60*(sezione!$AL$30-C847)/C847</f>
        <v>3.5380253089976272E-3</v>
      </c>
      <c r="L847" s="558">
        <f>'Progetto del paramento slu'!$G$60*(sezione!$AM$30-C847)/C847</f>
        <v>2.2892594908741102E-2</v>
      </c>
      <c r="M847" s="559">
        <f>'Progetto del paramento slu'!$G$60*(sezione!$AN$30-C847)/C847</f>
        <v>4.2247164508484578E-2</v>
      </c>
      <c r="N847" s="559">
        <f>'Progetto del paramento slu'!$G$60*(sezione!$AO$30-C847)/C847</f>
        <v>5.6323215126479829E-2</v>
      </c>
      <c r="O847" s="559">
        <f>'Progetto del paramento slu'!$G$60*(sezione!$AP$30-C847)/C847</f>
        <v>4.2247688976716727E-2</v>
      </c>
      <c r="P847" s="553">
        <f>-'Progetto del paramento slu'!$G$47*'Progetto del paramento slu'!$G$41*IF(DATI!$G$218="dx",DATI!$E$61,DATI!$E$64*DATI!$E$63)*1000*C847*sezione!$AD$5</f>
        <v>-280394.64386084455</v>
      </c>
      <c r="Q847" s="553">
        <f>'Foglio deposito bis'!$F$58*IF(ABS(K847)&lt;'Progetto del paramento slu'!$G$58,ABS(K847)*'Progetto del paramento slu'!$G$54,'Progetto del paramento slu'!$G$53)*IF(K847&lt;0,-1,1)</f>
        <v>0</v>
      </c>
      <c r="R847" s="553">
        <f>'Foglio deposito bis'!$F$59*IF(ABS(L847)&lt;'Progetto del paramento slu'!$G$58,ABS(L847)*'Progetto del paramento slu'!$G$54,'Progetto del paramento slu'!$G$53)*IF(L847&lt;0,-1,1)</f>
        <v>153664.85805602249</v>
      </c>
      <c r="S847" s="553">
        <f>'Foglio deposito bis'!$F$60*IF(ABS(M847)&lt;'Progetto del paramento slu'!$G$58,ABS(M847)*'Progetto del paramento slu'!$G$54,'Progetto del paramento slu'!$G$53)*IF(M847&lt;0,-1,1)</f>
        <v>0</v>
      </c>
      <c r="T847" s="553">
        <f>'Foglio deposito bis'!$F$61*IF(ABS(N847)&lt;'Progetto del paramento slu'!$G$58,ABS(N847)*'Progetto del paramento slu'!$G$54,'Progetto del paramento slu'!$G$53)*IF(N847&lt;0,-1,1)</f>
        <v>240946.49743184328</v>
      </c>
      <c r="U847" s="553">
        <f>'Foglio deposito bis'!$F$62*IF(ABS(O847)&lt;'Progetto del paramento slu'!$G$58,ABS(O847)*'Progetto del paramento slu'!$G$54,'Progetto del paramento slu'!$G$53)*IF(O847&lt;0,-1,1)</f>
        <v>314705.62929873407</v>
      </c>
      <c r="V847" s="479">
        <f t="shared" si="64"/>
        <v>428922.34092575533</v>
      </c>
      <c r="W847" s="559"/>
      <c r="X847" s="559"/>
    </row>
    <row r="848" spans="1:24" x14ac:dyDescent="0.25">
      <c r="A848" s="553">
        <f t="shared" si="63"/>
        <v>426061.17109044059</v>
      </c>
      <c r="B848" s="3">
        <f t="shared" si="65"/>
        <v>4.9499999999999904</v>
      </c>
      <c r="C848" s="553">
        <f>'Foglio deposito bis'!$E$156/sezione!$B$247*B848</f>
        <v>20.094922257208257</v>
      </c>
      <c r="D848" s="611">
        <f>-'Progetto del paramento slu'!$G$47*'Progetto del paramento slu'!$G$41*IF(DATI!$G$218="dx",DATI!$E$61,DATI!$E$64*DATI!$E$63)*1000*C848^2*sezione!$AD$5*(1-sezione!$AD$6)</f>
        <v>-3324130.0761939273</v>
      </c>
      <c r="E848" s="553">
        <f>-'Foglio deposito bis'!$F$58*(C848-sezione!$AL$30)*IF(ABS(K848)&lt;'Progetto del paramento slu'!$G$58,ABS(K848)*'Progetto del paramento slu'!$G$54,'Progetto del paramento slu'!$G$53)</f>
        <v>0</v>
      </c>
      <c r="F848" s="553">
        <f>-'Foglio deposito bis'!$F$59*(C848-sezione!$AM$30)*IF(ABS(L848)&lt;'Progetto del paramento slu'!$G$58,ABS(L848)*'Progetto del paramento slu'!$G$54,'Progetto del paramento slu'!$G$53)</f>
        <v>19961845.33210266</v>
      </c>
      <c r="G848" s="553">
        <f>-'Foglio deposito bis'!$F$60*(C848-sezione!$AN$30)*IF(ABS(M848)&lt;'Progetto del paramento slu'!$G$58,ABS(M848)*'Progetto del paramento slu'!$G$54,'Progetto del paramento slu'!$G$53)</f>
        <v>0</v>
      </c>
      <c r="H848" s="553">
        <f>-'Foglio deposito bis'!$F$61*(C848-sezione!$AO$30)*IF(ABS(N848)&lt;'Progetto del paramento slu'!$G$58,ABS(N848)*'Progetto del paramento slu'!$G$54,'Progetto del paramento slu'!$G$53)</f>
        <v>77080007.992787182</v>
      </c>
      <c r="I848" s="479">
        <f>-'Foglio deposito bis'!$F$62*(C848-sezione!$AP$30)*IF(ABS(O848)&lt;'Progetto del paramento slu'!$G$58,ABS(O848)*'Progetto del paramento slu'!$G$54,'Progetto del paramento slu'!$G$53)</f>
        <v>75500416.527863547</v>
      </c>
      <c r="J848" s="479">
        <f t="shared" si="62"/>
        <v>169218139.77655947</v>
      </c>
      <c r="K848" s="558">
        <f>'Progetto del paramento slu'!$G$60*(sezione!$AL$30-C848)/C848</f>
        <v>3.4669341442602765E-3</v>
      </c>
      <c r="L848" s="558">
        <f>'Progetto del paramento slu'!$G$60*(sezione!$AM$30-C848)/C848</f>
        <v>2.2626003040976037E-2</v>
      </c>
      <c r="M848" s="559">
        <f>'Progetto del paramento slu'!$G$60*(sezione!$AN$30-C848)/C848</f>
        <v>4.1785071937691806E-2</v>
      </c>
      <c r="N848" s="559">
        <f>'Progetto del paramento slu'!$G$60*(sezione!$AO$30-C848)/C848</f>
        <v>5.5718940226212349E-2</v>
      </c>
      <c r="O848" s="559">
        <f>'Progetto del paramento slu'!$G$60*(sezione!$AP$30-C848)/C848</f>
        <v>4.178559110826504E-2</v>
      </c>
      <c r="P848" s="553">
        <f>-'Progetto del paramento slu'!$G$47*'Progetto del paramento slu'!$G$41*IF(DATI!$G$218="dx",DATI!$E$61,DATI!$E$64*DATI!$E$63)*1000*C848*sezione!$AD$5</f>
        <v>-283255.81369615928</v>
      </c>
      <c r="Q848" s="553">
        <f>'Foglio deposito bis'!$F$58*IF(ABS(K848)&lt;'Progetto del paramento slu'!$G$58,ABS(K848)*'Progetto del paramento slu'!$G$54,'Progetto del paramento slu'!$G$53)*IF(K848&lt;0,-1,1)</f>
        <v>0</v>
      </c>
      <c r="R848" s="553">
        <f>'Foglio deposito bis'!$F$59*IF(ABS(L848)&lt;'Progetto del paramento slu'!$G$58,ABS(L848)*'Progetto del paramento slu'!$G$54,'Progetto del paramento slu'!$G$53)*IF(L848&lt;0,-1,1)</f>
        <v>153664.85805602249</v>
      </c>
      <c r="S848" s="553">
        <f>'Foglio deposito bis'!$F$60*IF(ABS(M848)&lt;'Progetto del paramento slu'!$G$58,ABS(M848)*'Progetto del paramento slu'!$G$54,'Progetto del paramento slu'!$G$53)*IF(M848&lt;0,-1,1)</f>
        <v>0</v>
      </c>
      <c r="T848" s="553">
        <f>'Foglio deposito bis'!$F$61*IF(ABS(N848)&lt;'Progetto del paramento slu'!$G$58,ABS(N848)*'Progetto del paramento slu'!$G$54,'Progetto del paramento slu'!$G$53)*IF(N848&lt;0,-1,1)</f>
        <v>240946.49743184328</v>
      </c>
      <c r="U848" s="553">
        <f>'Foglio deposito bis'!$F$62*IF(ABS(O848)&lt;'Progetto del paramento slu'!$G$58,ABS(O848)*'Progetto del paramento slu'!$G$54,'Progetto del paramento slu'!$G$53)*IF(O848&lt;0,-1,1)</f>
        <v>314705.62929873407</v>
      </c>
      <c r="V848" s="479">
        <f t="shared" si="64"/>
        <v>426061.17109044059</v>
      </c>
      <c r="W848" s="559"/>
      <c r="X848" s="559"/>
    </row>
    <row r="849" spans="1:24" x14ac:dyDescent="0.25">
      <c r="A849" s="553">
        <f t="shared" si="63"/>
        <v>423200.00125512586</v>
      </c>
      <c r="B849" s="3">
        <f t="shared" si="65"/>
        <v>4.9999999999999902</v>
      </c>
      <c r="C849" s="553">
        <f>'Foglio deposito bis'!$E$156/sezione!$B$247*B849</f>
        <v>20.297901269907328</v>
      </c>
      <c r="D849" s="611">
        <f>-'Progetto del paramento slu'!$G$47*'Progetto del paramento slu'!$G$41*IF(DATI!$G$218="dx",DATI!$E$61,DATI!$E$64*DATI!$E$63)*1000*C849^2*sezione!$AD$5*(1-sezione!$AD$6)</f>
        <v>-3391623.3814854873</v>
      </c>
      <c r="E849" s="553">
        <f>-'Foglio deposito bis'!$F$58*(C849-sezione!$AL$30)*IF(ABS(K849)&lt;'Progetto del paramento slu'!$G$58,ABS(K849)*'Progetto del paramento slu'!$G$54,'Progetto del paramento slu'!$G$53)</f>
        <v>0</v>
      </c>
      <c r="F849" s="553">
        <f>-'Foglio deposito bis'!$F$59*(C849-sezione!$AM$30)*IF(ABS(L849)&lt;'Progetto del paramento slu'!$G$58,ABS(L849)*'Progetto del paramento slu'!$G$54,'Progetto del paramento slu'!$G$53)</f>
        <v>19930654.590927906</v>
      </c>
      <c r="G849" s="553">
        <f>-'Foglio deposito bis'!$F$60*(C849-sezione!$AN$30)*IF(ABS(M849)&lt;'Progetto del paramento slu'!$G$58,ABS(M849)*'Progetto del paramento slu'!$G$54,'Progetto del paramento slu'!$G$53)</f>
        <v>0</v>
      </c>
      <c r="H849" s="553">
        <f>-'Foglio deposito bis'!$F$61*(C849-sezione!$AO$30)*IF(ABS(N849)&lt;'Progetto del paramento slu'!$G$58,ABS(N849)*'Progetto del paramento slu'!$G$54,'Progetto del paramento slu'!$G$53)</f>
        <v>77031100.910625175</v>
      </c>
      <c r="I849" s="479">
        <f>-'Foglio deposito bis'!$F$62*(C849-sezione!$AP$30)*IF(ABS(O849)&lt;'Progetto del paramento slu'!$G$58,ABS(O849)*'Progetto del paramento slu'!$G$54,'Progetto del paramento slu'!$G$53)</f>
        <v>75436537.889937654</v>
      </c>
      <c r="J849" s="479">
        <f t="shared" si="62"/>
        <v>169006670.01000524</v>
      </c>
      <c r="K849" s="558">
        <f>'Progetto del paramento slu'!$G$60*(sezione!$AL$30-C849)/C849</f>
        <v>3.3972648028176753E-3</v>
      </c>
      <c r="L849" s="558">
        <f>'Progetto del paramento slu'!$G$60*(sezione!$AM$30-C849)/C849</f>
        <v>2.236474301056628E-2</v>
      </c>
      <c r="M849" s="559">
        <f>'Progetto del paramento slu'!$G$60*(sezione!$AN$30-C849)/C849</f>
        <v>4.1332221218314889E-2</v>
      </c>
      <c r="N849" s="559">
        <f>'Progetto del paramento slu'!$G$60*(sezione!$AO$30-C849)/C849</f>
        <v>5.5126750823950237E-2</v>
      </c>
      <c r="O849" s="559">
        <f>'Progetto del paramento slu'!$G$60*(sezione!$AP$30-C849)/C849</f>
        <v>4.1332735197182391E-2</v>
      </c>
      <c r="P849" s="553">
        <f>-'Progetto del paramento slu'!$G$47*'Progetto del paramento slu'!$G$41*IF(DATI!$G$218="dx",DATI!$E$61,DATI!$E$64*DATI!$E$63)*1000*C849*sezione!$AD$5</f>
        <v>-286116.98353147396</v>
      </c>
      <c r="Q849" s="553">
        <f>'Foglio deposito bis'!$F$58*IF(ABS(K849)&lt;'Progetto del paramento slu'!$G$58,ABS(K849)*'Progetto del paramento slu'!$G$54,'Progetto del paramento slu'!$G$53)*IF(K849&lt;0,-1,1)</f>
        <v>0</v>
      </c>
      <c r="R849" s="553">
        <f>'Foglio deposito bis'!$F$59*IF(ABS(L849)&lt;'Progetto del paramento slu'!$G$58,ABS(L849)*'Progetto del paramento slu'!$G$54,'Progetto del paramento slu'!$G$53)*IF(L849&lt;0,-1,1)</f>
        <v>153664.85805602249</v>
      </c>
      <c r="S849" s="553">
        <f>'Foglio deposito bis'!$F$60*IF(ABS(M849)&lt;'Progetto del paramento slu'!$G$58,ABS(M849)*'Progetto del paramento slu'!$G$54,'Progetto del paramento slu'!$G$53)*IF(M849&lt;0,-1,1)</f>
        <v>0</v>
      </c>
      <c r="T849" s="553">
        <f>'Foglio deposito bis'!$F$61*IF(ABS(N849)&lt;'Progetto del paramento slu'!$G$58,ABS(N849)*'Progetto del paramento slu'!$G$54,'Progetto del paramento slu'!$G$53)*IF(N849&lt;0,-1,1)</f>
        <v>240946.49743184328</v>
      </c>
      <c r="U849" s="553">
        <f>'Foglio deposito bis'!$F$62*IF(ABS(O849)&lt;'Progetto del paramento slu'!$G$58,ABS(O849)*'Progetto del paramento slu'!$G$54,'Progetto del paramento slu'!$G$53)*IF(O849&lt;0,-1,1)</f>
        <v>314705.62929873407</v>
      </c>
      <c r="V849" s="479">
        <f t="shared" si="64"/>
        <v>423200.00125512586</v>
      </c>
      <c r="W849" s="559"/>
      <c r="X849" s="559"/>
    </row>
    <row r="850" spans="1:24" x14ac:dyDescent="0.25">
      <c r="A850" s="553">
        <f t="shared" si="63"/>
        <v>420338.83141981112</v>
      </c>
      <c r="B850" s="3">
        <f t="shared" si="65"/>
        <v>5.0499999999999901</v>
      </c>
      <c r="C850" s="553">
        <f>'Foglio deposito bis'!$E$156/sezione!$B$247*B850</f>
        <v>20.500880282606403</v>
      </c>
      <c r="D850" s="611">
        <f>-'Progetto del paramento slu'!$G$47*'Progetto del paramento slu'!$G$41*IF(DATI!$G$218="dx",DATI!$E$61,DATI!$E$64*DATI!$E$63)*1000*C850^2*sezione!$AD$5*(1-sezione!$AD$6)</f>
        <v>-3459795.0114533468</v>
      </c>
      <c r="E850" s="553">
        <f>-'Foglio deposito bis'!$F$58*(C850-sezione!$AL$30)*IF(ABS(K850)&lt;'Progetto del paramento slu'!$G$58,ABS(K850)*'Progetto del paramento slu'!$G$54,'Progetto del paramento slu'!$G$53)</f>
        <v>0</v>
      </c>
      <c r="F850" s="553">
        <f>-'Foglio deposito bis'!$F$59*(C850-sezione!$AM$30)*IF(ABS(L850)&lt;'Progetto del paramento slu'!$G$58,ABS(L850)*'Progetto del paramento slu'!$G$54,'Progetto del paramento slu'!$G$53)</f>
        <v>19899463.849753153</v>
      </c>
      <c r="G850" s="553">
        <f>-'Foglio deposito bis'!$F$60*(C850-sezione!$AN$30)*IF(ABS(M850)&lt;'Progetto del paramento slu'!$G$58,ABS(M850)*'Progetto del paramento slu'!$G$54,'Progetto del paramento slu'!$G$53)</f>
        <v>0</v>
      </c>
      <c r="H850" s="553">
        <f>-'Foglio deposito bis'!$F$61*(C850-sezione!$AO$30)*IF(ABS(N850)&lt;'Progetto del paramento slu'!$G$58,ABS(N850)*'Progetto del paramento slu'!$G$54,'Progetto del paramento slu'!$G$53)</f>
        <v>76982193.828463152</v>
      </c>
      <c r="I850" s="479">
        <f>-'Foglio deposito bis'!$F$62*(C850-sezione!$AP$30)*IF(ABS(O850)&lt;'Progetto del paramento slu'!$G$58,ABS(O850)*'Progetto del paramento slu'!$G$54,'Progetto del paramento slu'!$G$53)</f>
        <v>75372659.252011761</v>
      </c>
      <c r="J850" s="479">
        <f t="shared" si="62"/>
        <v>168794521.91877472</v>
      </c>
      <c r="K850" s="558">
        <f>'Progetto del paramento slu'!$G$60*(sezione!$AL$30-C850)/C850</f>
        <v>3.3289750522947272E-3</v>
      </c>
      <c r="L850" s="558">
        <f>'Progetto del paramento slu'!$G$60*(sezione!$AM$30-C850)/C850</f>
        <v>2.2108656446105227E-2</v>
      </c>
      <c r="M850" s="559">
        <f>'Progetto del paramento slu'!$G$60*(sezione!$AN$30-C850)/C850</f>
        <v>4.0888337839915724E-2</v>
      </c>
      <c r="N850" s="559">
        <f>'Progetto del paramento slu'!$G$60*(sezione!$AO$30-C850)/C850</f>
        <v>5.4546287944505174E-2</v>
      </c>
      <c r="O850" s="559">
        <f>'Progetto del paramento slu'!$G$60*(sezione!$AP$30-C850)/C850</f>
        <v>4.0888846729883556E-2</v>
      </c>
      <c r="P850" s="553">
        <f>-'Progetto del paramento slu'!$G$47*'Progetto del paramento slu'!$G$41*IF(DATI!$G$218="dx",DATI!$E$61,DATI!$E$64*DATI!$E$63)*1000*C850*sezione!$AD$5</f>
        <v>-288978.15336678876</v>
      </c>
      <c r="Q850" s="553">
        <f>'Foglio deposito bis'!$F$58*IF(ABS(K850)&lt;'Progetto del paramento slu'!$G$58,ABS(K850)*'Progetto del paramento slu'!$G$54,'Progetto del paramento slu'!$G$53)*IF(K850&lt;0,-1,1)</f>
        <v>0</v>
      </c>
      <c r="R850" s="553">
        <f>'Foglio deposito bis'!$F$59*IF(ABS(L850)&lt;'Progetto del paramento slu'!$G$58,ABS(L850)*'Progetto del paramento slu'!$G$54,'Progetto del paramento slu'!$G$53)*IF(L850&lt;0,-1,1)</f>
        <v>153664.85805602249</v>
      </c>
      <c r="S850" s="553">
        <f>'Foglio deposito bis'!$F$60*IF(ABS(M850)&lt;'Progetto del paramento slu'!$G$58,ABS(M850)*'Progetto del paramento slu'!$G$54,'Progetto del paramento slu'!$G$53)*IF(M850&lt;0,-1,1)</f>
        <v>0</v>
      </c>
      <c r="T850" s="553">
        <f>'Foglio deposito bis'!$F$61*IF(ABS(N850)&lt;'Progetto del paramento slu'!$G$58,ABS(N850)*'Progetto del paramento slu'!$G$54,'Progetto del paramento slu'!$G$53)*IF(N850&lt;0,-1,1)</f>
        <v>240946.49743184328</v>
      </c>
      <c r="U850" s="553">
        <f>'Foglio deposito bis'!$F$62*IF(ABS(O850)&lt;'Progetto del paramento slu'!$G$58,ABS(O850)*'Progetto del paramento slu'!$G$54,'Progetto del paramento slu'!$G$53)*IF(O850&lt;0,-1,1)</f>
        <v>314705.62929873407</v>
      </c>
      <c r="V850" s="479">
        <f t="shared" si="64"/>
        <v>420338.83141981112</v>
      </c>
      <c r="W850" s="559"/>
      <c r="X850" s="559"/>
    </row>
    <row r="851" spans="1:24" x14ac:dyDescent="0.25">
      <c r="A851" s="553">
        <f t="shared" si="63"/>
        <v>417477.66158449638</v>
      </c>
      <c r="B851" s="3">
        <f t="shared" si="65"/>
        <v>5.0999999999999899</v>
      </c>
      <c r="C851" s="553">
        <f>'Foglio deposito bis'!$E$156/sezione!$B$247*B851</f>
        <v>20.703859295305474</v>
      </c>
      <c r="D851" s="611">
        <f>-'Progetto del paramento slu'!$G$47*'Progetto del paramento slu'!$G$41*IF(DATI!$G$218="dx",DATI!$E$61,DATI!$E$64*DATI!$E$63)*1000*C851^2*sezione!$AD$5*(1-sezione!$AD$6)</f>
        <v>-3528644.9660975011</v>
      </c>
      <c r="E851" s="553">
        <f>-'Foglio deposito bis'!$F$58*(C851-sezione!$AL$30)*IF(ABS(K851)&lt;'Progetto del paramento slu'!$G$58,ABS(K851)*'Progetto del paramento slu'!$G$54,'Progetto del paramento slu'!$G$53)</f>
        <v>0</v>
      </c>
      <c r="F851" s="553">
        <f>-'Foglio deposito bis'!$F$59*(C851-sezione!$AM$30)*IF(ABS(L851)&lt;'Progetto del paramento slu'!$G$58,ABS(L851)*'Progetto del paramento slu'!$G$54,'Progetto del paramento slu'!$G$53)</f>
        <v>19868273.108578395</v>
      </c>
      <c r="G851" s="553">
        <f>-'Foglio deposito bis'!$F$60*(C851-sezione!$AN$30)*IF(ABS(M851)&lt;'Progetto del paramento slu'!$G$58,ABS(M851)*'Progetto del paramento slu'!$G$54,'Progetto del paramento slu'!$G$53)</f>
        <v>0</v>
      </c>
      <c r="H851" s="553">
        <f>-'Foglio deposito bis'!$F$61*(C851-sezione!$AO$30)*IF(ABS(N851)&lt;'Progetto del paramento slu'!$G$58,ABS(N851)*'Progetto del paramento slu'!$G$54,'Progetto del paramento slu'!$G$53)</f>
        <v>76933286.746301144</v>
      </c>
      <c r="I851" s="479">
        <f>-'Foglio deposito bis'!$F$62*(C851-sezione!$AP$30)*IF(ABS(O851)&lt;'Progetto del paramento slu'!$G$58,ABS(O851)*'Progetto del paramento slu'!$G$54,'Progetto del paramento slu'!$G$53)</f>
        <v>75308780.614085853</v>
      </c>
      <c r="J851" s="479">
        <f t="shared" si="62"/>
        <v>168581695.50286788</v>
      </c>
      <c r="K851" s="558">
        <f>'Progetto del paramento slu'!$G$60*(sezione!$AL$30-C851)/C851</f>
        <v>3.2620243164879167E-3</v>
      </c>
      <c r="L851" s="558">
        <f>'Progetto del paramento slu'!$G$60*(sezione!$AM$30-C851)/C851</f>
        <v>2.185759118682969E-2</v>
      </c>
      <c r="M851" s="559">
        <f>'Progetto del paramento slu'!$G$60*(sezione!$AN$30-C851)/C851</f>
        <v>4.0453158057171458E-2</v>
      </c>
      <c r="N851" s="559">
        <f>'Progetto del paramento slu'!$G$60*(sezione!$AO$30-C851)/C851</f>
        <v>5.39772066901473E-2</v>
      </c>
      <c r="O851" s="559">
        <f>'Progetto del paramento slu'!$G$60*(sezione!$AP$30-C851)/C851</f>
        <v>4.0453661958021955E-2</v>
      </c>
      <c r="P851" s="553">
        <f>-'Progetto del paramento slu'!$G$47*'Progetto del paramento slu'!$G$41*IF(DATI!$G$218="dx",DATI!$E$61,DATI!$E$64*DATI!$E$63)*1000*C851*sezione!$AD$5</f>
        <v>-291839.32320210343</v>
      </c>
      <c r="Q851" s="553">
        <f>'Foglio deposito bis'!$F$58*IF(ABS(K851)&lt;'Progetto del paramento slu'!$G$58,ABS(K851)*'Progetto del paramento slu'!$G$54,'Progetto del paramento slu'!$G$53)*IF(K851&lt;0,-1,1)</f>
        <v>0</v>
      </c>
      <c r="R851" s="553">
        <f>'Foglio deposito bis'!$F$59*IF(ABS(L851)&lt;'Progetto del paramento slu'!$G$58,ABS(L851)*'Progetto del paramento slu'!$G$54,'Progetto del paramento slu'!$G$53)*IF(L851&lt;0,-1,1)</f>
        <v>153664.85805602249</v>
      </c>
      <c r="S851" s="553">
        <f>'Foglio deposito bis'!$F$60*IF(ABS(M851)&lt;'Progetto del paramento slu'!$G$58,ABS(M851)*'Progetto del paramento slu'!$G$54,'Progetto del paramento slu'!$G$53)*IF(M851&lt;0,-1,1)</f>
        <v>0</v>
      </c>
      <c r="T851" s="553">
        <f>'Foglio deposito bis'!$F$61*IF(ABS(N851)&lt;'Progetto del paramento slu'!$G$58,ABS(N851)*'Progetto del paramento slu'!$G$54,'Progetto del paramento slu'!$G$53)*IF(N851&lt;0,-1,1)</f>
        <v>240946.49743184328</v>
      </c>
      <c r="U851" s="553">
        <f>'Foglio deposito bis'!$F$62*IF(ABS(O851)&lt;'Progetto del paramento slu'!$G$58,ABS(O851)*'Progetto del paramento slu'!$G$54,'Progetto del paramento slu'!$G$53)*IF(O851&lt;0,-1,1)</f>
        <v>314705.62929873407</v>
      </c>
      <c r="V851" s="479">
        <f t="shared" si="64"/>
        <v>417477.66158449638</v>
      </c>
      <c r="W851" s="559"/>
      <c r="X851" s="559"/>
    </row>
    <row r="852" spans="1:24" x14ac:dyDescent="0.25">
      <c r="A852" s="553">
        <f t="shared" si="63"/>
        <v>406032.98224323743</v>
      </c>
      <c r="B852" s="3">
        <f>B851+0.2</f>
        <v>5.2999999999999901</v>
      </c>
      <c r="C852" s="553">
        <f>'Foglio deposito bis'!$E$156/sezione!$B$247*B852</f>
        <v>21.515775346101769</v>
      </c>
      <c r="D852" s="611">
        <f>-'Progetto del paramento slu'!$G$47*'Progetto del paramento slu'!$G$41*IF(DATI!$G$218="dx",DATI!$E$61,DATI!$E$64*DATI!$E$63)*1000*C852^2*sezione!$AD$5*(1-sezione!$AD$6)</f>
        <v>-3810828.0314370948</v>
      </c>
      <c r="E852" s="553">
        <f>-'Foglio deposito bis'!$F$58*(C852-sezione!$AL$30)*IF(ABS(K852)&lt;'Progetto del paramento slu'!$G$58,ABS(K852)*'Progetto del paramento slu'!$G$54,'Progetto del paramento slu'!$G$53)</f>
        <v>0</v>
      </c>
      <c r="F852" s="553">
        <f>-'Foglio deposito bis'!$F$59*(C852-sezione!$AM$30)*IF(ABS(L852)&lt;'Progetto del paramento slu'!$G$58,ABS(L852)*'Progetto del paramento slu'!$G$54,'Progetto del paramento slu'!$G$53)</f>
        <v>19743510.143879376</v>
      </c>
      <c r="G852" s="553">
        <f>-'Foglio deposito bis'!$F$60*(C852-sezione!$AN$30)*IF(ABS(M852)&lt;'Progetto del paramento slu'!$G$58,ABS(M852)*'Progetto del paramento slu'!$G$54,'Progetto del paramento slu'!$G$53)</f>
        <v>0</v>
      </c>
      <c r="H852" s="553">
        <f>-'Foglio deposito bis'!$F$61*(C852-sezione!$AO$30)*IF(ABS(N852)&lt;'Progetto del paramento slu'!$G$58,ABS(N852)*'Progetto del paramento slu'!$G$54,'Progetto del paramento slu'!$G$53)</f>
        <v>76737658.417653084</v>
      </c>
      <c r="I852" s="479">
        <f>-'Foglio deposito bis'!$F$62*(C852-sezione!$AP$30)*IF(ABS(O852)&lt;'Progetto del paramento slu'!$G$58,ABS(O852)*'Progetto del paramento slu'!$G$54,'Progetto del paramento slu'!$G$53)</f>
        <v>75053266.062382266</v>
      </c>
      <c r="J852" s="479">
        <f t="shared" si="62"/>
        <v>167723606.59247762</v>
      </c>
      <c r="K852" s="558">
        <f>'Progetto del paramento slu'!$G$60*(sezione!$AL$30-C852)/C852</f>
        <v>3.0068535875638438E-3</v>
      </c>
      <c r="L852" s="558">
        <f>'Progetto del paramento slu'!$G$60*(sezione!$AM$30-C852)/C852</f>
        <v>2.0900700953364413E-2</v>
      </c>
      <c r="M852" s="559">
        <f>'Progetto del paramento slu'!$G$60*(sezione!$AN$30-C852)/C852</f>
        <v>3.8794548319164984E-2</v>
      </c>
      <c r="N852" s="559">
        <f>'Progetto del paramento slu'!$G$60*(sezione!$AO$30-C852)/C852</f>
        <v>5.1808255494292674E-2</v>
      </c>
      <c r="O852" s="559">
        <f>'Progetto del paramento slu'!$G$60*(sezione!$AP$30-C852)/C852</f>
        <v>3.879503320488905E-2</v>
      </c>
      <c r="P852" s="553">
        <f>-'Progetto del paramento slu'!$G$47*'Progetto del paramento slu'!$G$41*IF(DATI!$G$218="dx",DATI!$E$61,DATI!$E$64*DATI!$E$63)*1000*C852*sezione!$AD$5</f>
        <v>-303284.00254336244</v>
      </c>
      <c r="Q852" s="553">
        <f>'Foglio deposito bis'!$F$58*IF(ABS(K852)&lt;'Progetto del paramento slu'!$G$58,ABS(K852)*'Progetto del paramento slu'!$G$54,'Progetto del paramento slu'!$G$53)*IF(K852&lt;0,-1,1)</f>
        <v>0</v>
      </c>
      <c r="R852" s="553">
        <f>'Foglio deposito bis'!$F$59*IF(ABS(L852)&lt;'Progetto del paramento slu'!$G$58,ABS(L852)*'Progetto del paramento slu'!$G$54,'Progetto del paramento slu'!$G$53)*IF(L852&lt;0,-1,1)</f>
        <v>153664.85805602249</v>
      </c>
      <c r="S852" s="553">
        <f>'Foglio deposito bis'!$F$60*IF(ABS(M852)&lt;'Progetto del paramento slu'!$G$58,ABS(M852)*'Progetto del paramento slu'!$G$54,'Progetto del paramento slu'!$G$53)*IF(M852&lt;0,-1,1)</f>
        <v>0</v>
      </c>
      <c r="T852" s="553">
        <f>'Foglio deposito bis'!$F$61*IF(ABS(N852)&lt;'Progetto del paramento slu'!$G$58,ABS(N852)*'Progetto del paramento slu'!$G$54,'Progetto del paramento slu'!$G$53)*IF(N852&lt;0,-1,1)</f>
        <v>240946.49743184328</v>
      </c>
      <c r="U852" s="553">
        <f>'Foglio deposito bis'!$F$62*IF(ABS(O852)&lt;'Progetto del paramento slu'!$G$58,ABS(O852)*'Progetto del paramento slu'!$G$54,'Progetto del paramento slu'!$G$53)*IF(O852&lt;0,-1,1)</f>
        <v>314705.62929873407</v>
      </c>
      <c r="V852" s="479">
        <f t="shared" si="64"/>
        <v>406032.98224323743</v>
      </c>
      <c r="W852" s="559"/>
      <c r="X852" s="559"/>
    </row>
    <row r="853" spans="1:24" x14ac:dyDescent="0.25">
      <c r="A853" s="553">
        <f t="shared" si="63"/>
        <v>394588.30290197837</v>
      </c>
      <c r="B853" s="3">
        <f t="shared" ref="B853:B916" si="66">B852+0.2</f>
        <v>5.4999999999999902</v>
      </c>
      <c r="C853" s="553">
        <f>'Foglio deposito bis'!$E$156/sezione!$B$247*B853</f>
        <v>22.327691396898064</v>
      </c>
      <c r="D853" s="611">
        <f>-'Progetto del paramento slu'!$G$47*'Progetto del paramento slu'!$G$41*IF(DATI!$G$218="dx",DATI!$E$61,DATI!$E$64*DATI!$E$63)*1000*C853^2*sezione!$AD$5*(1-sezione!$AD$6)</f>
        <v>-4103864.2915974408</v>
      </c>
      <c r="E853" s="553">
        <f>-'Foglio deposito bis'!$F$58*(C853-sezione!$AL$30)*IF(ABS(K853)&lt;'Progetto del paramento slu'!$G$58,ABS(K853)*'Progetto del paramento slu'!$G$54,'Progetto del paramento slu'!$G$53)</f>
        <v>0</v>
      </c>
      <c r="F853" s="553">
        <f>-'Foglio deposito bis'!$F$59*(C853-sezione!$AM$30)*IF(ABS(L853)&lt;'Progetto del paramento slu'!$G$58,ABS(L853)*'Progetto del paramento slu'!$G$54,'Progetto del paramento slu'!$G$53)</f>
        <v>19618747.179180358</v>
      </c>
      <c r="G853" s="553">
        <f>-'Foglio deposito bis'!$F$60*(C853-sezione!$AN$30)*IF(ABS(M853)&lt;'Progetto del paramento slu'!$G$58,ABS(M853)*'Progetto del paramento slu'!$G$54,'Progetto del paramento slu'!$G$53)</f>
        <v>0</v>
      </c>
      <c r="H853" s="553">
        <f>-'Foglio deposito bis'!$F$61*(C853-sezione!$AO$30)*IF(ABS(N853)&lt;'Progetto del paramento slu'!$G$58,ABS(N853)*'Progetto del paramento slu'!$G$54,'Progetto del paramento slu'!$G$53)</f>
        <v>76542030.089005023</v>
      </c>
      <c r="I853" s="479">
        <f>-'Foglio deposito bis'!$F$62*(C853-sezione!$AP$30)*IF(ABS(O853)&lt;'Progetto del paramento slu'!$G$58,ABS(O853)*'Progetto del paramento slu'!$G$54,'Progetto del paramento slu'!$G$53)</f>
        <v>74797751.510678664</v>
      </c>
      <c r="J853" s="479">
        <f t="shared" si="62"/>
        <v>166854664.4872666</v>
      </c>
      <c r="K853" s="558">
        <f>'Progetto del paramento slu'!$G$60*(sezione!$AL$30-C853)/C853</f>
        <v>2.7702407298342488E-3</v>
      </c>
      <c r="L853" s="558">
        <f>'Progetto del paramento slu'!$G$60*(sezione!$AM$30-C853)/C853</f>
        <v>2.0013402736878433E-2</v>
      </c>
      <c r="M853" s="559">
        <f>'Progetto del paramento slu'!$G$60*(sezione!$AN$30-C853)/C853</f>
        <v>3.7256564743922617E-2</v>
      </c>
      <c r="N853" s="559">
        <f>'Progetto del paramento slu'!$G$60*(sezione!$AO$30-C853)/C853</f>
        <v>4.9797046203591121E-2</v>
      </c>
      <c r="O853" s="559">
        <f>'Progetto del paramento slu'!$G$60*(sezione!$AP$30-C853)/C853</f>
        <v>3.7257031997438531E-2</v>
      </c>
      <c r="P853" s="553">
        <f>-'Progetto del paramento slu'!$G$47*'Progetto del paramento slu'!$G$41*IF(DATI!$G$218="dx",DATI!$E$61,DATI!$E$64*DATI!$E$63)*1000*C853*sezione!$AD$5</f>
        <v>-314728.68188462144</v>
      </c>
      <c r="Q853" s="553">
        <f>'Foglio deposito bis'!$F$58*IF(ABS(K853)&lt;'Progetto del paramento slu'!$G$58,ABS(K853)*'Progetto del paramento slu'!$G$54,'Progetto del paramento slu'!$G$53)*IF(K853&lt;0,-1,1)</f>
        <v>0</v>
      </c>
      <c r="R853" s="553">
        <f>'Foglio deposito bis'!$F$59*IF(ABS(L853)&lt;'Progetto del paramento slu'!$G$58,ABS(L853)*'Progetto del paramento slu'!$G$54,'Progetto del paramento slu'!$G$53)*IF(L853&lt;0,-1,1)</f>
        <v>153664.85805602249</v>
      </c>
      <c r="S853" s="553">
        <f>'Foglio deposito bis'!$F$60*IF(ABS(M853)&lt;'Progetto del paramento slu'!$G$58,ABS(M853)*'Progetto del paramento slu'!$G$54,'Progetto del paramento slu'!$G$53)*IF(M853&lt;0,-1,1)</f>
        <v>0</v>
      </c>
      <c r="T853" s="553">
        <f>'Foglio deposito bis'!$F$61*IF(ABS(N853)&lt;'Progetto del paramento slu'!$G$58,ABS(N853)*'Progetto del paramento slu'!$G$54,'Progetto del paramento slu'!$G$53)*IF(N853&lt;0,-1,1)</f>
        <v>240946.49743184328</v>
      </c>
      <c r="U853" s="553">
        <f>'Foglio deposito bis'!$F$62*IF(ABS(O853)&lt;'Progetto del paramento slu'!$G$58,ABS(O853)*'Progetto del paramento slu'!$G$54,'Progetto del paramento slu'!$G$53)*IF(O853&lt;0,-1,1)</f>
        <v>314705.62929873407</v>
      </c>
      <c r="V853" s="479">
        <f t="shared" si="64"/>
        <v>394588.30290197837</v>
      </c>
      <c r="W853" s="559"/>
      <c r="X853" s="559"/>
    </row>
    <row r="854" spans="1:24" x14ac:dyDescent="0.25">
      <c r="A854" s="553">
        <f t="shared" si="63"/>
        <v>383143.62356071942</v>
      </c>
      <c r="B854" s="3">
        <f t="shared" si="66"/>
        <v>5.6999999999999904</v>
      </c>
      <c r="C854" s="553">
        <f>'Foglio deposito bis'!$E$156/sezione!$B$247*B854</f>
        <v>23.13960744769436</v>
      </c>
      <c r="D854" s="611">
        <f>-'Progetto del paramento slu'!$G$47*'Progetto del paramento slu'!$G$41*IF(DATI!$G$218="dx",DATI!$E$61,DATI!$E$64*DATI!$E$63)*1000*C854^2*sezione!$AD$5*(1-sezione!$AD$6)</f>
        <v>-4407753.7465785416</v>
      </c>
      <c r="E854" s="553">
        <f>-'Foglio deposito bis'!$F$58*(C854-sezione!$AL$30)*IF(ABS(K854)&lt;'Progetto del paramento slu'!$G$58,ABS(K854)*'Progetto del paramento slu'!$G$54,'Progetto del paramento slu'!$G$53)</f>
        <v>0</v>
      </c>
      <c r="F854" s="553">
        <f>-'Foglio deposito bis'!$F$59*(C854-sezione!$AM$30)*IF(ABS(L854)&lt;'Progetto del paramento slu'!$G$58,ABS(L854)*'Progetto del paramento slu'!$G$54,'Progetto del paramento slu'!$G$53)</f>
        <v>19493984.214481339</v>
      </c>
      <c r="G854" s="553">
        <f>-'Foglio deposito bis'!$F$60*(C854-sezione!$AN$30)*IF(ABS(M854)&lt;'Progetto del paramento slu'!$G$58,ABS(M854)*'Progetto del paramento slu'!$G$54,'Progetto del paramento slu'!$G$53)</f>
        <v>0</v>
      </c>
      <c r="H854" s="553">
        <f>-'Foglio deposito bis'!$F$61*(C854-sezione!$AO$30)*IF(ABS(N854)&lt;'Progetto del paramento slu'!$G$58,ABS(N854)*'Progetto del paramento slu'!$G$54,'Progetto del paramento slu'!$G$53)</f>
        <v>76346401.760356963</v>
      </c>
      <c r="I854" s="479">
        <f>-'Foglio deposito bis'!$F$62*(C854-sezione!$AP$30)*IF(ABS(O854)&lt;'Progetto del paramento slu'!$G$58,ABS(O854)*'Progetto del paramento slu'!$G$54,'Progetto del paramento slu'!$G$53)</f>
        <v>74542236.958975077</v>
      </c>
      <c r="J854" s="479">
        <f t="shared" si="62"/>
        <v>165974869.18723482</v>
      </c>
      <c r="K854" s="558">
        <f>'Progetto del paramento slu'!$G$60*(sezione!$AL$30-C854)/C854</f>
        <v>2.5502322831733979E-3</v>
      </c>
      <c r="L854" s="558">
        <f>'Progetto del paramento slu'!$G$60*(sezione!$AM$30-C854)/C854</f>
        <v>1.9188371061900241E-2</v>
      </c>
      <c r="M854" s="559">
        <f>'Progetto del paramento slu'!$G$60*(sezione!$AN$30-C854)/C854</f>
        <v>3.5826509840627088E-2</v>
      </c>
      <c r="N854" s="559">
        <f>'Progetto del paramento slu'!$G$60*(sezione!$AO$30-C854)/C854</f>
        <v>4.7926974406973882E-2</v>
      </c>
      <c r="O854" s="559">
        <f>'Progetto del paramento slu'!$G$60*(sezione!$AP$30-C854)/C854</f>
        <v>3.5826960699282796E-2</v>
      </c>
      <c r="P854" s="553">
        <f>-'Progetto del paramento slu'!$G$47*'Progetto del paramento slu'!$G$41*IF(DATI!$G$218="dx",DATI!$E$61,DATI!$E$64*DATI!$E$63)*1000*C854*sezione!$AD$5</f>
        <v>-326173.36122588045</v>
      </c>
      <c r="Q854" s="553">
        <f>'Foglio deposito bis'!$F$58*IF(ABS(K854)&lt;'Progetto del paramento slu'!$G$58,ABS(K854)*'Progetto del paramento slu'!$G$54,'Progetto del paramento slu'!$G$53)*IF(K854&lt;0,-1,1)</f>
        <v>0</v>
      </c>
      <c r="R854" s="553">
        <f>'Foglio deposito bis'!$F$59*IF(ABS(L854)&lt;'Progetto del paramento slu'!$G$58,ABS(L854)*'Progetto del paramento slu'!$G$54,'Progetto del paramento slu'!$G$53)*IF(L854&lt;0,-1,1)</f>
        <v>153664.85805602249</v>
      </c>
      <c r="S854" s="553">
        <f>'Foglio deposito bis'!$F$60*IF(ABS(M854)&lt;'Progetto del paramento slu'!$G$58,ABS(M854)*'Progetto del paramento slu'!$G$54,'Progetto del paramento slu'!$G$53)*IF(M854&lt;0,-1,1)</f>
        <v>0</v>
      </c>
      <c r="T854" s="553">
        <f>'Foglio deposito bis'!$F$61*IF(ABS(N854)&lt;'Progetto del paramento slu'!$G$58,ABS(N854)*'Progetto del paramento slu'!$G$54,'Progetto del paramento slu'!$G$53)*IF(N854&lt;0,-1,1)</f>
        <v>240946.49743184328</v>
      </c>
      <c r="U854" s="553">
        <f>'Foglio deposito bis'!$F$62*IF(ABS(O854)&lt;'Progetto del paramento slu'!$G$58,ABS(O854)*'Progetto del paramento slu'!$G$54,'Progetto del paramento slu'!$G$53)*IF(O854&lt;0,-1,1)</f>
        <v>314705.62929873407</v>
      </c>
      <c r="V854" s="479">
        <f t="shared" si="64"/>
        <v>383143.62356071942</v>
      </c>
      <c r="W854" s="559"/>
      <c r="X854" s="559"/>
    </row>
    <row r="855" spans="1:24" x14ac:dyDescent="0.25">
      <c r="A855" s="553">
        <f t="shared" si="63"/>
        <v>371698.94421946036</v>
      </c>
      <c r="B855" s="3">
        <f t="shared" si="66"/>
        <v>5.8999999999999906</v>
      </c>
      <c r="C855" s="553">
        <f>'Foglio deposito bis'!$E$156/sezione!$B$247*B855</f>
        <v>23.951523498490655</v>
      </c>
      <c r="D855" s="611">
        <f>-'Progetto del paramento slu'!$G$47*'Progetto del paramento slu'!$G$41*IF(DATI!$G$218="dx",DATI!$E$61,DATI!$E$64*DATI!$E$63)*1000*C855^2*sezione!$AD$5*(1-sezione!$AD$6)</f>
        <v>-4722496.3963803966</v>
      </c>
      <c r="E855" s="553">
        <f>-'Foglio deposito bis'!$F$58*(C855-sezione!$AL$30)*IF(ABS(K855)&lt;'Progetto del paramento slu'!$G$58,ABS(K855)*'Progetto del paramento slu'!$G$54,'Progetto del paramento slu'!$G$53)</f>
        <v>0</v>
      </c>
      <c r="F855" s="553">
        <f>-'Foglio deposito bis'!$F$59*(C855-sezione!$AM$30)*IF(ABS(L855)&lt;'Progetto del paramento slu'!$G$58,ABS(L855)*'Progetto del paramento slu'!$G$54,'Progetto del paramento slu'!$G$53)</f>
        <v>19369221.24978232</v>
      </c>
      <c r="G855" s="553">
        <f>-'Foglio deposito bis'!$F$60*(C855-sezione!$AN$30)*IF(ABS(M855)&lt;'Progetto del paramento slu'!$G$58,ABS(M855)*'Progetto del paramento slu'!$G$54,'Progetto del paramento slu'!$G$53)</f>
        <v>0</v>
      </c>
      <c r="H855" s="553">
        <f>-'Foglio deposito bis'!$F$61*(C855-sezione!$AO$30)*IF(ABS(N855)&lt;'Progetto del paramento slu'!$G$58,ABS(N855)*'Progetto del paramento slu'!$G$54,'Progetto del paramento slu'!$G$53)</f>
        <v>76150773.431708902</v>
      </c>
      <c r="I855" s="479">
        <f>-'Foglio deposito bis'!$F$62*(C855-sezione!$AP$30)*IF(ABS(O855)&lt;'Progetto del paramento slu'!$G$58,ABS(O855)*'Progetto del paramento slu'!$G$54,'Progetto del paramento slu'!$G$53)</f>
        <v>74286722.40727149</v>
      </c>
      <c r="J855" s="479">
        <f t="shared" si="62"/>
        <v>165084220.69238234</v>
      </c>
      <c r="K855" s="558">
        <f>'Progetto del paramento slu'!$G$60*(sezione!$AL$30-C855)/C855</f>
        <v>2.3451396634048076E-3</v>
      </c>
      <c r="L855" s="558">
        <f>'Progetto del paramento slu'!$G$60*(sezione!$AM$30-C855)/C855</f>
        <v>1.8419273737768027E-2</v>
      </c>
      <c r="M855" s="559">
        <f>'Progetto del paramento slu'!$G$60*(sezione!$AN$30-C855)/C855</f>
        <v>3.4493407812131248E-2</v>
      </c>
      <c r="N855" s="559">
        <f>'Progetto del paramento slu'!$G$60*(sezione!$AO$30-C855)/C855</f>
        <v>4.6183687138940867E-2</v>
      </c>
      <c r="O855" s="559">
        <f>'Progetto del paramento slu'!$G$60*(sezione!$AP$30-C855)/C855</f>
        <v>3.4493843387442699E-2</v>
      </c>
      <c r="P855" s="553">
        <f>-'Progetto del paramento slu'!$G$47*'Progetto del paramento slu'!$G$41*IF(DATI!$G$218="dx",DATI!$E$61,DATI!$E$64*DATI!$E$63)*1000*C855*sezione!$AD$5</f>
        <v>-337618.04056713945</v>
      </c>
      <c r="Q855" s="553">
        <f>'Foglio deposito bis'!$F$58*IF(ABS(K855)&lt;'Progetto del paramento slu'!$G$58,ABS(K855)*'Progetto del paramento slu'!$G$54,'Progetto del paramento slu'!$G$53)*IF(K855&lt;0,-1,1)</f>
        <v>0</v>
      </c>
      <c r="R855" s="553">
        <f>'Foglio deposito bis'!$F$59*IF(ABS(L855)&lt;'Progetto del paramento slu'!$G$58,ABS(L855)*'Progetto del paramento slu'!$G$54,'Progetto del paramento slu'!$G$53)*IF(L855&lt;0,-1,1)</f>
        <v>153664.85805602249</v>
      </c>
      <c r="S855" s="553">
        <f>'Foglio deposito bis'!$F$60*IF(ABS(M855)&lt;'Progetto del paramento slu'!$G$58,ABS(M855)*'Progetto del paramento slu'!$G$54,'Progetto del paramento slu'!$G$53)*IF(M855&lt;0,-1,1)</f>
        <v>0</v>
      </c>
      <c r="T855" s="553">
        <f>'Foglio deposito bis'!$F$61*IF(ABS(N855)&lt;'Progetto del paramento slu'!$G$58,ABS(N855)*'Progetto del paramento slu'!$G$54,'Progetto del paramento slu'!$G$53)*IF(N855&lt;0,-1,1)</f>
        <v>240946.49743184328</v>
      </c>
      <c r="U855" s="553">
        <f>'Foglio deposito bis'!$F$62*IF(ABS(O855)&lt;'Progetto del paramento slu'!$G$58,ABS(O855)*'Progetto del paramento slu'!$G$54,'Progetto del paramento slu'!$G$53)*IF(O855&lt;0,-1,1)</f>
        <v>314705.62929873407</v>
      </c>
      <c r="V855" s="479">
        <f t="shared" si="64"/>
        <v>371698.94421946036</v>
      </c>
      <c r="W855" s="559"/>
      <c r="X855" s="559"/>
    </row>
    <row r="856" spans="1:24" x14ac:dyDescent="0.25">
      <c r="A856" s="553">
        <f t="shared" si="63"/>
        <v>360254.26487820141</v>
      </c>
      <c r="B856" s="3">
        <f t="shared" si="66"/>
        <v>6.0999999999999908</v>
      </c>
      <c r="C856" s="553">
        <f>'Foglio deposito bis'!$E$156/sezione!$B$247*B856</f>
        <v>24.76343954928695</v>
      </c>
      <c r="D856" s="611">
        <f>-'Progetto del paramento slu'!$G$47*'Progetto del paramento slu'!$G$41*IF(DATI!$G$218="dx",DATI!$E$61,DATI!$E$64*DATI!$E$63)*1000*C856^2*sezione!$AD$5*(1-sezione!$AD$6)</f>
        <v>-5048092.2410030039</v>
      </c>
      <c r="E856" s="553">
        <f>-'Foglio deposito bis'!$F$58*(C856-sezione!$AL$30)*IF(ABS(K856)&lt;'Progetto del paramento slu'!$G$58,ABS(K856)*'Progetto del paramento slu'!$G$54,'Progetto del paramento slu'!$G$53)</f>
        <v>0</v>
      </c>
      <c r="F856" s="553">
        <f>-'Foglio deposito bis'!$F$59*(C856-sezione!$AM$30)*IF(ABS(L856)&lt;'Progetto del paramento slu'!$G$58,ABS(L856)*'Progetto del paramento slu'!$G$54,'Progetto del paramento slu'!$G$53)</f>
        <v>19244458.285083301</v>
      </c>
      <c r="G856" s="553">
        <f>-'Foglio deposito bis'!$F$60*(C856-sezione!$AN$30)*IF(ABS(M856)&lt;'Progetto del paramento slu'!$G$58,ABS(M856)*'Progetto del paramento slu'!$G$54,'Progetto del paramento slu'!$G$53)</f>
        <v>0</v>
      </c>
      <c r="H856" s="553">
        <f>-'Foglio deposito bis'!$F$61*(C856-sezione!$AO$30)*IF(ABS(N856)&lt;'Progetto del paramento slu'!$G$58,ABS(N856)*'Progetto del paramento slu'!$G$54,'Progetto del paramento slu'!$G$53)</f>
        <v>75955145.103060842</v>
      </c>
      <c r="I856" s="479">
        <f>-'Foglio deposito bis'!$F$62*(C856-sezione!$AP$30)*IF(ABS(O856)&lt;'Progetto del paramento slu'!$G$58,ABS(O856)*'Progetto del paramento slu'!$G$54,'Progetto del paramento slu'!$G$53)</f>
        <v>74031207.855567902</v>
      </c>
      <c r="J856" s="479">
        <f t="shared" si="62"/>
        <v>164182719.00270903</v>
      </c>
      <c r="K856" s="558">
        <f>'Progetto del paramento slu'!$G$60*(sezione!$AL$30-C856)/C856</f>
        <v>2.1534957400144855E-3</v>
      </c>
      <c r="L856" s="558">
        <f>'Progetto del paramento slu'!$G$60*(sezione!$AM$30-C856)/C856</f>
        <v>1.7700609025054322E-2</v>
      </c>
      <c r="M856" s="559">
        <f>'Progetto del paramento slu'!$G$60*(sezione!$AN$30-C856)/C856</f>
        <v>3.3247722310094159E-2</v>
      </c>
      <c r="N856" s="559">
        <f>'Progetto del paramento slu'!$G$60*(sezione!$AO$30-C856)/C856</f>
        <v>4.4554713790123129E-2</v>
      </c>
      <c r="O856" s="559">
        <f>'Progetto del paramento slu'!$G$60*(sezione!$AP$30-C856)/C856</f>
        <v>3.3248143604247847E-2</v>
      </c>
      <c r="P856" s="553">
        <f>-'Progetto del paramento slu'!$G$47*'Progetto del paramento slu'!$G$41*IF(DATI!$G$218="dx",DATI!$E$61,DATI!$E$64*DATI!$E$63)*1000*C856*sezione!$AD$5</f>
        <v>-349062.71990839846</v>
      </c>
      <c r="Q856" s="553">
        <f>'Foglio deposito bis'!$F$58*IF(ABS(K856)&lt;'Progetto del paramento slu'!$G$58,ABS(K856)*'Progetto del paramento slu'!$G$54,'Progetto del paramento slu'!$G$53)*IF(K856&lt;0,-1,1)</f>
        <v>0</v>
      </c>
      <c r="R856" s="553">
        <f>'Foglio deposito bis'!$F$59*IF(ABS(L856)&lt;'Progetto del paramento slu'!$G$58,ABS(L856)*'Progetto del paramento slu'!$G$54,'Progetto del paramento slu'!$G$53)*IF(L856&lt;0,-1,1)</f>
        <v>153664.85805602249</v>
      </c>
      <c r="S856" s="553">
        <f>'Foglio deposito bis'!$F$60*IF(ABS(M856)&lt;'Progetto del paramento slu'!$G$58,ABS(M856)*'Progetto del paramento slu'!$G$54,'Progetto del paramento slu'!$G$53)*IF(M856&lt;0,-1,1)</f>
        <v>0</v>
      </c>
      <c r="T856" s="553">
        <f>'Foglio deposito bis'!$F$61*IF(ABS(N856)&lt;'Progetto del paramento slu'!$G$58,ABS(N856)*'Progetto del paramento slu'!$G$54,'Progetto del paramento slu'!$G$53)*IF(N856&lt;0,-1,1)</f>
        <v>240946.49743184328</v>
      </c>
      <c r="U856" s="553">
        <f>'Foglio deposito bis'!$F$62*IF(ABS(O856)&lt;'Progetto del paramento slu'!$G$58,ABS(O856)*'Progetto del paramento slu'!$G$54,'Progetto del paramento slu'!$G$53)*IF(O856&lt;0,-1,1)</f>
        <v>314705.62929873407</v>
      </c>
      <c r="V856" s="479">
        <f t="shared" si="64"/>
        <v>360254.26487820141</v>
      </c>
      <c r="W856" s="559"/>
      <c r="X856" s="559"/>
    </row>
    <row r="857" spans="1:24" x14ac:dyDescent="0.25">
      <c r="A857" s="553">
        <f t="shared" si="63"/>
        <v>348809.58553694247</v>
      </c>
      <c r="B857" s="3">
        <f t="shared" si="66"/>
        <v>6.2999999999999909</v>
      </c>
      <c r="C857" s="553">
        <f>'Foglio deposito bis'!$E$156/sezione!$B$247*B857</f>
        <v>25.575355600083245</v>
      </c>
      <c r="D857" s="611">
        <f>-'Progetto del paramento slu'!$G$47*'Progetto del paramento slu'!$G$41*IF(DATI!$G$218="dx",DATI!$E$61,DATI!$E$64*DATI!$E$63)*1000*C857^2*sezione!$AD$5*(1-sezione!$AD$6)</f>
        <v>-5384541.2804463645</v>
      </c>
      <c r="E857" s="553">
        <f>-'Foglio deposito bis'!$F$58*(C857-sezione!$AL$30)*IF(ABS(K857)&lt;'Progetto del paramento slu'!$G$58,ABS(K857)*'Progetto del paramento slu'!$G$54,'Progetto del paramento slu'!$G$53)</f>
        <v>0</v>
      </c>
      <c r="F857" s="553">
        <f>-'Foglio deposito bis'!$F$59*(C857-sezione!$AM$30)*IF(ABS(L857)&lt;'Progetto del paramento slu'!$G$58,ABS(L857)*'Progetto del paramento slu'!$G$54,'Progetto del paramento slu'!$G$53)</f>
        <v>19119695.320384283</v>
      </c>
      <c r="G857" s="553">
        <f>-'Foglio deposito bis'!$F$60*(C857-sezione!$AN$30)*IF(ABS(M857)&lt;'Progetto del paramento slu'!$G$58,ABS(M857)*'Progetto del paramento slu'!$G$54,'Progetto del paramento slu'!$G$53)</f>
        <v>0</v>
      </c>
      <c r="H857" s="553">
        <f>-'Foglio deposito bis'!$F$61*(C857-sezione!$AO$30)*IF(ABS(N857)&lt;'Progetto del paramento slu'!$G$58,ABS(N857)*'Progetto del paramento slu'!$G$54,'Progetto del paramento slu'!$G$53)</f>
        <v>75759516.774412781</v>
      </c>
      <c r="I857" s="479">
        <f>-'Foglio deposito bis'!$F$62*(C857-sezione!$AP$30)*IF(ABS(O857)&lt;'Progetto del paramento slu'!$G$58,ABS(O857)*'Progetto del paramento slu'!$G$54,'Progetto del paramento slu'!$G$53)</f>
        <v>73775693.303864315</v>
      </c>
      <c r="J857" s="479">
        <f t="shared" si="62"/>
        <v>163270364.11821502</v>
      </c>
      <c r="K857" s="558">
        <f>'Progetto del paramento slu'!$G$60*(sezione!$AL$30-C857)/C857</f>
        <v>1.97401968477593E-3</v>
      </c>
      <c r="L857" s="558">
        <f>'Progetto del paramento slu'!$G$60*(sezione!$AM$30-C857)/C857</f>
        <v>1.7027573817909737E-2</v>
      </c>
      <c r="M857" s="559">
        <f>'Progetto del paramento slu'!$G$60*(sezione!$AN$30-C857)/C857</f>
        <v>3.2081127951043543E-2</v>
      </c>
      <c r="N857" s="559">
        <f>'Progetto del paramento slu'!$G$60*(sezione!$AO$30-C857)/C857</f>
        <v>4.3029167320595405E-2</v>
      </c>
      <c r="O857" s="559">
        <f>'Progetto del paramento slu'!$G$60*(sezione!$AP$30-C857)/C857</f>
        <v>3.2081535870779665E-2</v>
      </c>
      <c r="P857" s="553">
        <f>-'Progetto del paramento slu'!$G$47*'Progetto del paramento slu'!$G$41*IF(DATI!$G$218="dx",DATI!$E$61,DATI!$E$64*DATI!$E$63)*1000*C857*sezione!$AD$5</f>
        <v>-360507.39924965741</v>
      </c>
      <c r="Q857" s="553">
        <f>'Foglio deposito bis'!$F$58*IF(ABS(K857)&lt;'Progetto del paramento slu'!$G$58,ABS(K857)*'Progetto del paramento slu'!$G$54,'Progetto del paramento slu'!$G$53)*IF(K857&lt;0,-1,1)</f>
        <v>0</v>
      </c>
      <c r="R857" s="553">
        <f>'Foglio deposito bis'!$F$59*IF(ABS(L857)&lt;'Progetto del paramento slu'!$G$58,ABS(L857)*'Progetto del paramento slu'!$G$54,'Progetto del paramento slu'!$G$53)*IF(L857&lt;0,-1,1)</f>
        <v>153664.85805602249</v>
      </c>
      <c r="S857" s="553">
        <f>'Foglio deposito bis'!$F$60*IF(ABS(M857)&lt;'Progetto del paramento slu'!$G$58,ABS(M857)*'Progetto del paramento slu'!$G$54,'Progetto del paramento slu'!$G$53)*IF(M857&lt;0,-1,1)</f>
        <v>0</v>
      </c>
      <c r="T857" s="553">
        <f>'Foglio deposito bis'!$F$61*IF(ABS(N857)&lt;'Progetto del paramento slu'!$G$58,ABS(N857)*'Progetto del paramento slu'!$G$54,'Progetto del paramento slu'!$G$53)*IF(N857&lt;0,-1,1)</f>
        <v>240946.49743184328</v>
      </c>
      <c r="U857" s="553">
        <f>'Foglio deposito bis'!$F$62*IF(ABS(O857)&lt;'Progetto del paramento slu'!$G$58,ABS(O857)*'Progetto del paramento slu'!$G$54,'Progetto del paramento slu'!$G$53)*IF(O857&lt;0,-1,1)</f>
        <v>314705.62929873407</v>
      </c>
      <c r="V857" s="479">
        <f t="shared" si="64"/>
        <v>348809.58553694247</v>
      </c>
      <c r="W857" s="559"/>
      <c r="X857" s="559"/>
    </row>
    <row r="858" spans="1:24" x14ac:dyDescent="0.25">
      <c r="A858" s="553">
        <f t="shared" si="63"/>
        <v>337364.9061956834</v>
      </c>
      <c r="B858" s="3">
        <f t="shared" si="66"/>
        <v>6.4999999999999911</v>
      </c>
      <c r="C858" s="553">
        <f>'Foglio deposito bis'!$E$156/sezione!$B$247*B858</f>
        <v>26.387271650879541</v>
      </c>
      <c r="D858" s="611">
        <f>-'Progetto del paramento slu'!$G$47*'Progetto del paramento slu'!$G$41*IF(DATI!$G$218="dx",DATI!$E$61,DATI!$E$64*DATI!$E$63)*1000*C858^2*sezione!$AD$5*(1-sezione!$AD$6)</f>
        <v>-5731843.5147104803</v>
      </c>
      <c r="E858" s="553">
        <f>-'Foglio deposito bis'!$F$58*(C858-sezione!$AL$30)*IF(ABS(K858)&lt;'Progetto del paramento slu'!$G$58,ABS(K858)*'Progetto del paramento slu'!$G$54,'Progetto del paramento slu'!$G$53)</f>
        <v>0</v>
      </c>
      <c r="F858" s="553">
        <f>-'Foglio deposito bis'!$F$59*(C858-sezione!$AM$30)*IF(ABS(L858)&lt;'Progetto del paramento slu'!$G$58,ABS(L858)*'Progetto del paramento slu'!$G$54,'Progetto del paramento slu'!$G$53)</f>
        <v>18994932.355685264</v>
      </c>
      <c r="G858" s="553">
        <f>-'Foglio deposito bis'!$F$60*(C858-sezione!$AN$30)*IF(ABS(M858)&lt;'Progetto del paramento slu'!$G$58,ABS(M858)*'Progetto del paramento slu'!$G$54,'Progetto del paramento slu'!$G$53)</f>
        <v>0</v>
      </c>
      <c r="H858" s="553">
        <f>-'Foglio deposito bis'!$F$61*(C858-sezione!$AO$30)*IF(ABS(N858)&lt;'Progetto del paramento slu'!$G$58,ABS(N858)*'Progetto del paramento slu'!$G$54,'Progetto del paramento slu'!$G$53)</f>
        <v>75563888.44576472</v>
      </c>
      <c r="I858" s="479">
        <f>-'Foglio deposito bis'!$F$62*(C858-sezione!$AP$30)*IF(ABS(O858)&lt;'Progetto del paramento slu'!$G$58,ABS(O858)*'Progetto del paramento slu'!$G$54,'Progetto del paramento slu'!$G$53)</f>
        <v>73520178.752160713</v>
      </c>
      <c r="J858" s="479">
        <f t="shared" si="62"/>
        <v>162347156.0389002</v>
      </c>
      <c r="K858" s="558">
        <f>'Progetto del paramento slu'!$G$60*(sezione!$AL$30-C858)/C858</f>
        <v>1.8055883098597471E-3</v>
      </c>
      <c r="L858" s="558">
        <f>'Progetto del paramento slu'!$G$60*(sezione!$AM$30-C858)/C858</f>
        <v>1.6395956161974052E-2</v>
      </c>
      <c r="M858" s="559">
        <f>'Progetto del paramento slu'!$G$60*(sezione!$AN$30-C858)/C858</f>
        <v>3.0986324014088358E-2</v>
      </c>
      <c r="N858" s="559">
        <f>'Progetto del paramento slu'!$G$60*(sezione!$AO$30-C858)/C858</f>
        <v>4.1597500633807849E-2</v>
      </c>
      <c r="O858" s="559">
        <f>'Progetto del paramento slu'!$G$60*(sezione!$AP$30-C858)/C858</f>
        <v>3.0986719382447979E-2</v>
      </c>
      <c r="P858" s="553">
        <f>-'Progetto del paramento slu'!$G$47*'Progetto del paramento slu'!$G$41*IF(DATI!$G$218="dx",DATI!$E$61,DATI!$E$64*DATI!$E$63)*1000*C858*sezione!$AD$5</f>
        <v>-371952.07859091641</v>
      </c>
      <c r="Q858" s="553">
        <f>'Foglio deposito bis'!$F$58*IF(ABS(K858)&lt;'Progetto del paramento slu'!$G$58,ABS(K858)*'Progetto del paramento slu'!$G$54,'Progetto del paramento slu'!$G$53)*IF(K858&lt;0,-1,1)</f>
        <v>0</v>
      </c>
      <c r="R858" s="553">
        <f>'Foglio deposito bis'!$F$59*IF(ABS(L858)&lt;'Progetto del paramento slu'!$G$58,ABS(L858)*'Progetto del paramento slu'!$G$54,'Progetto del paramento slu'!$G$53)*IF(L858&lt;0,-1,1)</f>
        <v>153664.85805602249</v>
      </c>
      <c r="S858" s="553">
        <f>'Foglio deposito bis'!$F$60*IF(ABS(M858)&lt;'Progetto del paramento slu'!$G$58,ABS(M858)*'Progetto del paramento slu'!$G$54,'Progetto del paramento slu'!$G$53)*IF(M858&lt;0,-1,1)</f>
        <v>0</v>
      </c>
      <c r="T858" s="553">
        <f>'Foglio deposito bis'!$F$61*IF(ABS(N858)&lt;'Progetto del paramento slu'!$G$58,ABS(N858)*'Progetto del paramento slu'!$G$54,'Progetto del paramento slu'!$G$53)*IF(N858&lt;0,-1,1)</f>
        <v>240946.49743184328</v>
      </c>
      <c r="U858" s="553">
        <f>'Foglio deposito bis'!$F$62*IF(ABS(O858)&lt;'Progetto del paramento slu'!$G$58,ABS(O858)*'Progetto del paramento slu'!$G$54,'Progetto del paramento slu'!$G$53)*IF(O858&lt;0,-1,1)</f>
        <v>314705.62929873407</v>
      </c>
      <c r="V858" s="479">
        <f t="shared" si="64"/>
        <v>337364.9061956834</v>
      </c>
      <c r="W858" s="559"/>
      <c r="X858" s="559"/>
    </row>
    <row r="859" spans="1:24" x14ac:dyDescent="0.25">
      <c r="A859" s="553">
        <f t="shared" si="63"/>
        <v>325920.22685442446</v>
      </c>
      <c r="B859" s="3">
        <f t="shared" si="66"/>
        <v>6.6999999999999913</v>
      </c>
      <c r="C859" s="553">
        <f>'Foglio deposito bis'!$E$156/sezione!$B$247*B859</f>
        <v>27.199187701675839</v>
      </c>
      <c r="D859" s="611">
        <f>-'Progetto del paramento slu'!$G$47*'Progetto del paramento slu'!$G$41*IF(DATI!$G$218="dx",DATI!$E$61,DATI!$E$64*DATI!$E$63)*1000*C859^2*sezione!$AD$5*(1-sezione!$AD$6)</f>
        <v>-6089998.9437953494</v>
      </c>
      <c r="E859" s="553">
        <f>-'Foglio deposito bis'!$F$58*(C859-sezione!$AL$30)*IF(ABS(K859)&lt;'Progetto del paramento slu'!$G$58,ABS(K859)*'Progetto del paramento slu'!$G$54,'Progetto del paramento slu'!$G$53)</f>
        <v>0</v>
      </c>
      <c r="F859" s="553">
        <f>-'Foglio deposito bis'!$F$59*(C859-sezione!$AM$30)*IF(ABS(L859)&lt;'Progetto del paramento slu'!$G$58,ABS(L859)*'Progetto del paramento slu'!$G$54,'Progetto del paramento slu'!$G$53)</f>
        <v>18870169.390986245</v>
      </c>
      <c r="G859" s="553">
        <f>-'Foglio deposito bis'!$F$60*(C859-sezione!$AN$30)*IF(ABS(M859)&lt;'Progetto del paramento slu'!$G$58,ABS(M859)*'Progetto del paramento slu'!$G$54,'Progetto del paramento slu'!$G$53)</f>
        <v>0</v>
      </c>
      <c r="H859" s="553">
        <f>-'Foglio deposito bis'!$F$61*(C859-sezione!$AO$30)*IF(ABS(N859)&lt;'Progetto del paramento slu'!$G$58,ABS(N859)*'Progetto del paramento slu'!$G$54,'Progetto del paramento slu'!$G$53)</f>
        <v>75368260.11711666</v>
      </c>
      <c r="I859" s="479">
        <f>-'Foglio deposito bis'!$F$62*(C859-sezione!$AP$30)*IF(ABS(O859)&lt;'Progetto del paramento slu'!$G$58,ABS(O859)*'Progetto del paramento slu'!$G$54,'Progetto del paramento slu'!$G$53)</f>
        <v>73264664.200457111</v>
      </c>
      <c r="J859" s="479">
        <f t="shared" si="62"/>
        <v>161413094.76476467</v>
      </c>
      <c r="K859" s="558">
        <f>'Progetto del paramento slu'!$G$60*(sezione!$AL$30-C859)/C859</f>
        <v>1.6472125394161718E-3</v>
      </c>
      <c r="L859" s="558">
        <f>'Progetto del paramento slu'!$G$60*(sezione!$AM$30-C859)/C859</f>
        <v>1.5802047022810645E-2</v>
      </c>
      <c r="M859" s="559">
        <f>'Progetto del paramento slu'!$G$60*(sezione!$AN$30-C859)/C859</f>
        <v>2.9956881506205114E-2</v>
      </c>
      <c r="N859" s="559">
        <f>'Progetto del paramento slu'!$G$60*(sezione!$AO$30-C859)/C859</f>
        <v>4.0251306585037457E-2</v>
      </c>
      <c r="O859" s="559">
        <f>'Progetto del paramento slu'!$G$60*(sezione!$AP$30-C859)/C859</f>
        <v>2.995726507252415E-2</v>
      </c>
      <c r="P859" s="553">
        <f>-'Progetto del paramento slu'!$G$47*'Progetto del paramento slu'!$G$41*IF(DATI!$G$218="dx",DATI!$E$61,DATI!$E$64*DATI!$E$63)*1000*C859*sezione!$AD$5</f>
        <v>-383396.75793217542</v>
      </c>
      <c r="Q859" s="553">
        <f>'Foglio deposito bis'!$F$58*IF(ABS(K859)&lt;'Progetto del paramento slu'!$G$58,ABS(K859)*'Progetto del paramento slu'!$G$54,'Progetto del paramento slu'!$G$53)*IF(K859&lt;0,-1,1)</f>
        <v>0</v>
      </c>
      <c r="R859" s="553">
        <f>'Foglio deposito bis'!$F$59*IF(ABS(L859)&lt;'Progetto del paramento slu'!$G$58,ABS(L859)*'Progetto del paramento slu'!$G$54,'Progetto del paramento slu'!$G$53)*IF(L859&lt;0,-1,1)</f>
        <v>153664.85805602249</v>
      </c>
      <c r="S859" s="553">
        <f>'Foglio deposito bis'!$F$60*IF(ABS(M859)&lt;'Progetto del paramento slu'!$G$58,ABS(M859)*'Progetto del paramento slu'!$G$54,'Progetto del paramento slu'!$G$53)*IF(M859&lt;0,-1,1)</f>
        <v>0</v>
      </c>
      <c r="T859" s="553">
        <f>'Foglio deposito bis'!$F$61*IF(ABS(N859)&lt;'Progetto del paramento slu'!$G$58,ABS(N859)*'Progetto del paramento slu'!$G$54,'Progetto del paramento slu'!$G$53)*IF(N859&lt;0,-1,1)</f>
        <v>240946.49743184328</v>
      </c>
      <c r="U859" s="553">
        <f>'Foglio deposito bis'!$F$62*IF(ABS(O859)&lt;'Progetto del paramento slu'!$G$58,ABS(O859)*'Progetto del paramento slu'!$G$54,'Progetto del paramento slu'!$G$53)*IF(O859&lt;0,-1,1)</f>
        <v>314705.62929873407</v>
      </c>
      <c r="V859" s="479">
        <f t="shared" si="64"/>
        <v>325920.22685442446</v>
      </c>
      <c r="W859" s="559"/>
      <c r="X859" s="559"/>
    </row>
    <row r="860" spans="1:24" x14ac:dyDescent="0.25">
      <c r="A860" s="553">
        <f t="shared" si="63"/>
        <v>314475.54751316539</v>
      </c>
      <c r="B860" s="3">
        <f t="shared" si="66"/>
        <v>6.8999999999999915</v>
      </c>
      <c r="C860" s="553">
        <f>'Foglio deposito bis'!$E$156/sezione!$B$247*B860</f>
        <v>28.011103752472135</v>
      </c>
      <c r="D860" s="611">
        <f>-'Progetto del paramento slu'!$G$47*'Progetto del paramento slu'!$G$41*IF(DATI!$G$218="dx",DATI!$E$61,DATI!$E$64*DATI!$E$63)*1000*C860^2*sezione!$AD$5*(1-sezione!$AD$6)</f>
        <v>-6459007.5677009718</v>
      </c>
      <c r="E860" s="553">
        <f>-'Foglio deposito bis'!$F$58*(C860-sezione!$AL$30)*IF(ABS(K860)&lt;'Progetto del paramento slu'!$G$58,ABS(K860)*'Progetto del paramento slu'!$G$54,'Progetto del paramento slu'!$G$53)</f>
        <v>0</v>
      </c>
      <c r="F860" s="553">
        <f>-'Foglio deposito bis'!$F$59*(C860-sezione!$AM$30)*IF(ABS(L860)&lt;'Progetto del paramento slu'!$G$58,ABS(L860)*'Progetto del paramento slu'!$G$54,'Progetto del paramento slu'!$G$53)</f>
        <v>18745406.426287226</v>
      </c>
      <c r="G860" s="553">
        <f>-'Foglio deposito bis'!$F$60*(C860-sezione!$AN$30)*IF(ABS(M860)&lt;'Progetto del paramento slu'!$G$58,ABS(M860)*'Progetto del paramento slu'!$G$54,'Progetto del paramento slu'!$G$53)</f>
        <v>0</v>
      </c>
      <c r="H860" s="553">
        <f>-'Foglio deposito bis'!$F$61*(C860-sezione!$AO$30)*IF(ABS(N860)&lt;'Progetto del paramento slu'!$G$58,ABS(N860)*'Progetto del paramento slu'!$G$54,'Progetto del paramento slu'!$G$53)</f>
        <v>75172631.788468599</v>
      </c>
      <c r="I860" s="479">
        <f>-'Foglio deposito bis'!$F$62*(C860-sezione!$AP$30)*IF(ABS(O860)&lt;'Progetto del paramento slu'!$G$58,ABS(O860)*'Progetto del paramento slu'!$G$54,'Progetto del paramento slu'!$G$53)</f>
        <v>73009149.648753539</v>
      </c>
      <c r="J860" s="479">
        <f t="shared" si="62"/>
        <v>160468180.29580837</v>
      </c>
      <c r="K860" s="558">
        <f>'Progetto del paramento slu'!$G$60*(sezione!$AL$30-C860)/C860</f>
        <v>1.4980179730562824E-3</v>
      </c>
      <c r="L860" s="558">
        <f>'Progetto del paramento slu'!$G$60*(sezione!$AM$30-C860)/C860</f>
        <v>1.5242567398961057E-2</v>
      </c>
      <c r="M860" s="559">
        <f>'Progetto del paramento slu'!$G$60*(sezione!$AN$30-C860)/C860</f>
        <v>2.8987116824865836E-2</v>
      </c>
      <c r="N860" s="559">
        <f>'Progetto del paramento slu'!$G$60*(sezione!$AO$30-C860)/C860</f>
        <v>3.8983152770978399E-2</v>
      </c>
      <c r="O860" s="559">
        <f>'Progetto del paramento slu'!$G$60*(sezione!$AP$30-C860)/C860</f>
        <v>2.8987489273320548E-2</v>
      </c>
      <c r="P860" s="553">
        <f>-'Progetto del paramento slu'!$G$47*'Progetto del paramento slu'!$G$41*IF(DATI!$G$218="dx",DATI!$E$61,DATI!$E$64*DATI!$E$63)*1000*C860*sezione!$AD$5</f>
        <v>-394841.43727343442</v>
      </c>
      <c r="Q860" s="553">
        <f>'Foglio deposito bis'!$F$58*IF(ABS(K860)&lt;'Progetto del paramento slu'!$G$58,ABS(K860)*'Progetto del paramento slu'!$G$54,'Progetto del paramento slu'!$G$53)*IF(K860&lt;0,-1,1)</f>
        <v>0</v>
      </c>
      <c r="R860" s="553">
        <f>'Foglio deposito bis'!$F$59*IF(ABS(L860)&lt;'Progetto del paramento slu'!$G$58,ABS(L860)*'Progetto del paramento slu'!$G$54,'Progetto del paramento slu'!$G$53)*IF(L860&lt;0,-1,1)</f>
        <v>153664.85805602249</v>
      </c>
      <c r="S860" s="553">
        <f>'Foglio deposito bis'!$F$60*IF(ABS(M860)&lt;'Progetto del paramento slu'!$G$58,ABS(M860)*'Progetto del paramento slu'!$G$54,'Progetto del paramento slu'!$G$53)*IF(M860&lt;0,-1,1)</f>
        <v>0</v>
      </c>
      <c r="T860" s="553">
        <f>'Foglio deposito bis'!$F$61*IF(ABS(N860)&lt;'Progetto del paramento slu'!$G$58,ABS(N860)*'Progetto del paramento slu'!$G$54,'Progetto del paramento slu'!$G$53)*IF(N860&lt;0,-1,1)</f>
        <v>240946.49743184328</v>
      </c>
      <c r="U860" s="553">
        <f>'Foglio deposito bis'!$F$62*IF(ABS(O860)&lt;'Progetto del paramento slu'!$G$58,ABS(O860)*'Progetto del paramento slu'!$G$54,'Progetto del paramento slu'!$G$53)*IF(O860&lt;0,-1,1)</f>
        <v>314705.62929873407</v>
      </c>
      <c r="V860" s="479">
        <f t="shared" si="64"/>
        <v>314475.54751316539</v>
      </c>
      <c r="W860" s="559"/>
      <c r="X860" s="559"/>
    </row>
    <row r="861" spans="1:24" x14ac:dyDescent="0.25">
      <c r="A861" s="553">
        <f t="shared" si="63"/>
        <v>303030.86817190645</v>
      </c>
      <c r="B861" s="3">
        <f t="shared" si="66"/>
        <v>7.0999999999999917</v>
      </c>
      <c r="C861" s="553">
        <f>'Foglio deposito bis'!$E$156/sezione!$B$247*B861</f>
        <v>28.82301980326843</v>
      </c>
      <c r="D861" s="611">
        <f>-'Progetto del paramento slu'!$G$47*'Progetto del paramento slu'!$G$41*IF(DATI!$G$218="dx",DATI!$E$61,DATI!$E$64*DATI!$E$63)*1000*C861^2*sezione!$AD$5*(1-sezione!$AD$6)</f>
        <v>-6838869.3864273485</v>
      </c>
      <c r="E861" s="553">
        <f>-'Foglio deposito bis'!$F$58*(C861-sezione!$AL$30)*IF(ABS(K861)&lt;'Progetto del paramento slu'!$G$58,ABS(K861)*'Progetto del paramento slu'!$G$54,'Progetto del paramento slu'!$G$53)</f>
        <v>0</v>
      </c>
      <c r="F861" s="553">
        <f>-'Foglio deposito bis'!$F$59*(C861-sezione!$AM$30)*IF(ABS(L861)&lt;'Progetto del paramento slu'!$G$58,ABS(L861)*'Progetto del paramento slu'!$G$54,'Progetto del paramento slu'!$G$53)</f>
        <v>18620643.461588204</v>
      </c>
      <c r="G861" s="553">
        <f>-'Foglio deposito bis'!$F$60*(C861-sezione!$AN$30)*IF(ABS(M861)&lt;'Progetto del paramento slu'!$G$58,ABS(M861)*'Progetto del paramento slu'!$G$54,'Progetto del paramento slu'!$G$53)</f>
        <v>0</v>
      </c>
      <c r="H861" s="553">
        <f>-'Foglio deposito bis'!$F$61*(C861-sezione!$AO$30)*IF(ABS(N861)&lt;'Progetto del paramento slu'!$G$58,ABS(N861)*'Progetto del paramento slu'!$G$54,'Progetto del paramento slu'!$G$53)</f>
        <v>74977003.459820524</v>
      </c>
      <c r="I861" s="479">
        <f>-'Foglio deposito bis'!$F$62*(C861-sezione!$AP$30)*IF(ABS(O861)&lt;'Progetto del paramento slu'!$G$58,ABS(O861)*'Progetto del paramento slu'!$G$54,'Progetto del paramento slu'!$G$53)</f>
        <v>72753635.097049937</v>
      </c>
      <c r="J861" s="479">
        <f t="shared" si="62"/>
        <v>159512412.63203132</v>
      </c>
      <c r="K861" s="558">
        <f>'Progetto del paramento slu'!$G$60*(sezione!$AL$30-C861)/C861</f>
        <v>1.3572287343786404E-3</v>
      </c>
      <c r="L861" s="558">
        <f>'Progetto del paramento slu'!$G$60*(sezione!$AM$30-C861)/C861</f>
        <v>1.4714607753919902E-2</v>
      </c>
      <c r="M861" s="559">
        <f>'Progetto del paramento slu'!$G$60*(sezione!$AN$30-C861)/C861</f>
        <v>2.8071986773461163E-2</v>
      </c>
      <c r="N861" s="559">
        <f>'Progetto del paramento slu'!$G$60*(sezione!$AO$30-C861)/C861</f>
        <v>3.7786444242218442E-2</v>
      </c>
      <c r="O861" s="559">
        <f>'Progetto del paramento slu'!$G$60*(sezione!$AP$30-C861)/C861</f>
        <v>2.8072348730410108E-2</v>
      </c>
      <c r="P861" s="553">
        <f>-'Progetto del paramento slu'!$G$47*'Progetto del paramento slu'!$G$41*IF(DATI!$G$218="dx",DATI!$E$61,DATI!$E$64*DATI!$E$63)*1000*C861*sezione!$AD$5</f>
        <v>-406286.11661469343</v>
      </c>
      <c r="Q861" s="553">
        <f>'Foglio deposito bis'!$F$58*IF(ABS(K861)&lt;'Progetto del paramento slu'!$G$58,ABS(K861)*'Progetto del paramento slu'!$G$54,'Progetto del paramento slu'!$G$53)*IF(K861&lt;0,-1,1)</f>
        <v>0</v>
      </c>
      <c r="R861" s="553">
        <f>'Foglio deposito bis'!$F$59*IF(ABS(L861)&lt;'Progetto del paramento slu'!$G$58,ABS(L861)*'Progetto del paramento slu'!$G$54,'Progetto del paramento slu'!$G$53)*IF(L861&lt;0,-1,1)</f>
        <v>153664.85805602249</v>
      </c>
      <c r="S861" s="553">
        <f>'Foglio deposito bis'!$F$60*IF(ABS(M861)&lt;'Progetto del paramento slu'!$G$58,ABS(M861)*'Progetto del paramento slu'!$G$54,'Progetto del paramento slu'!$G$53)*IF(M861&lt;0,-1,1)</f>
        <v>0</v>
      </c>
      <c r="T861" s="553">
        <f>'Foglio deposito bis'!$F$61*IF(ABS(N861)&lt;'Progetto del paramento slu'!$G$58,ABS(N861)*'Progetto del paramento slu'!$G$54,'Progetto del paramento slu'!$G$53)*IF(N861&lt;0,-1,1)</f>
        <v>240946.49743184328</v>
      </c>
      <c r="U861" s="553">
        <f>'Foglio deposito bis'!$F$62*IF(ABS(O861)&lt;'Progetto del paramento slu'!$G$58,ABS(O861)*'Progetto del paramento slu'!$G$54,'Progetto del paramento slu'!$G$53)*IF(O861&lt;0,-1,1)</f>
        <v>314705.62929873407</v>
      </c>
      <c r="V861" s="479">
        <f t="shared" si="64"/>
        <v>303030.86817190645</v>
      </c>
      <c r="W861" s="559"/>
      <c r="X861" s="559"/>
    </row>
    <row r="862" spans="1:24" x14ac:dyDescent="0.25">
      <c r="A862" s="553">
        <f t="shared" si="63"/>
        <v>291586.18883064738</v>
      </c>
      <c r="B862" s="3">
        <f t="shared" si="66"/>
        <v>7.2999999999999918</v>
      </c>
      <c r="C862" s="553">
        <f>'Foglio deposito bis'!$E$156/sezione!$B$247*B862</f>
        <v>29.634935854064725</v>
      </c>
      <c r="D862" s="611">
        <f>-'Progetto del paramento slu'!$G$47*'Progetto del paramento slu'!$G$41*IF(DATI!$G$218="dx",DATI!$E$61,DATI!$E$64*DATI!$E$63)*1000*C862^2*sezione!$AD$5*(1-sezione!$AD$6)</f>
        <v>-7229584.3999744775</v>
      </c>
      <c r="E862" s="553">
        <f>-'Foglio deposito bis'!$F$58*(C862-sezione!$AL$30)*IF(ABS(K862)&lt;'Progetto del paramento slu'!$G$58,ABS(K862)*'Progetto del paramento slu'!$G$54,'Progetto del paramento slu'!$G$53)</f>
        <v>0</v>
      </c>
      <c r="F862" s="553">
        <f>-'Foglio deposito bis'!$F$59*(C862-sezione!$AM$30)*IF(ABS(L862)&lt;'Progetto del paramento slu'!$G$58,ABS(L862)*'Progetto del paramento slu'!$G$54,'Progetto del paramento slu'!$G$53)</f>
        <v>18495880.496889189</v>
      </c>
      <c r="G862" s="553">
        <f>-'Foglio deposito bis'!$F$60*(C862-sezione!$AN$30)*IF(ABS(M862)&lt;'Progetto del paramento slu'!$G$58,ABS(M862)*'Progetto del paramento slu'!$G$54,'Progetto del paramento slu'!$G$53)</f>
        <v>0</v>
      </c>
      <c r="H862" s="553">
        <f>-'Foglio deposito bis'!$F$61*(C862-sezione!$AO$30)*IF(ABS(N862)&lt;'Progetto del paramento slu'!$G$58,ABS(N862)*'Progetto del paramento slu'!$G$54,'Progetto del paramento slu'!$G$53)</f>
        <v>74781375.131172463</v>
      </c>
      <c r="I862" s="479">
        <f>-'Foglio deposito bis'!$F$62*(C862-sezione!$AP$30)*IF(ABS(O862)&lt;'Progetto del paramento slu'!$G$58,ABS(O862)*'Progetto del paramento slu'!$G$54,'Progetto del paramento slu'!$G$53)</f>
        <v>72498120.545346349</v>
      </c>
      <c r="J862" s="479">
        <f t="shared" si="62"/>
        <v>158545791.77343351</v>
      </c>
      <c r="K862" s="558">
        <f>'Progetto del paramento slu'!$G$60*(sezione!$AL$30-C862)/C862</f>
        <v>1.2241539745326499E-3</v>
      </c>
      <c r="L862" s="558">
        <f>'Progetto del paramento slu'!$G$60*(sezione!$AM$30-C862)/C862</f>
        <v>1.4215577404497439E-2</v>
      </c>
      <c r="M862" s="559">
        <f>'Progetto del paramento slu'!$G$60*(sezione!$AN$30-C862)/C862</f>
        <v>2.7207000834462224E-2</v>
      </c>
      <c r="N862" s="559">
        <f>'Progetto del paramento slu'!$G$60*(sezione!$AO$30-C862)/C862</f>
        <v>3.6655308783527525E-2</v>
      </c>
      <c r="O862" s="559">
        <f>'Progetto del paramento slu'!$G$60*(sezione!$AP$30-C862)/C862</f>
        <v>2.7207352874782431E-2</v>
      </c>
      <c r="P862" s="553">
        <f>-'Progetto del paramento slu'!$G$47*'Progetto del paramento slu'!$G$41*IF(DATI!$G$218="dx",DATI!$E$61,DATI!$E$64*DATI!$E$63)*1000*C862*sezione!$AD$5</f>
        <v>-417730.79595595243</v>
      </c>
      <c r="Q862" s="553">
        <f>'Foglio deposito bis'!$F$58*IF(ABS(K862)&lt;'Progetto del paramento slu'!$G$58,ABS(K862)*'Progetto del paramento slu'!$G$54,'Progetto del paramento slu'!$G$53)*IF(K862&lt;0,-1,1)</f>
        <v>0</v>
      </c>
      <c r="R862" s="553">
        <f>'Foglio deposito bis'!$F$59*IF(ABS(L862)&lt;'Progetto del paramento slu'!$G$58,ABS(L862)*'Progetto del paramento slu'!$G$54,'Progetto del paramento slu'!$G$53)*IF(L862&lt;0,-1,1)</f>
        <v>153664.85805602249</v>
      </c>
      <c r="S862" s="553">
        <f>'Foglio deposito bis'!$F$60*IF(ABS(M862)&lt;'Progetto del paramento slu'!$G$58,ABS(M862)*'Progetto del paramento slu'!$G$54,'Progetto del paramento slu'!$G$53)*IF(M862&lt;0,-1,1)</f>
        <v>0</v>
      </c>
      <c r="T862" s="553">
        <f>'Foglio deposito bis'!$F$61*IF(ABS(N862)&lt;'Progetto del paramento slu'!$G$58,ABS(N862)*'Progetto del paramento slu'!$G$54,'Progetto del paramento slu'!$G$53)*IF(N862&lt;0,-1,1)</f>
        <v>240946.49743184328</v>
      </c>
      <c r="U862" s="553">
        <f>'Foglio deposito bis'!$F$62*IF(ABS(O862)&lt;'Progetto del paramento slu'!$G$58,ABS(O862)*'Progetto del paramento slu'!$G$54,'Progetto del paramento slu'!$G$53)*IF(O862&lt;0,-1,1)</f>
        <v>314705.62929873407</v>
      </c>
      <c r="V862" s="479">
        <f t="shared" si="64"/>
        <v>291586.18883064738</v>
      </c>
      <c r="W862" s="559"/>
      <c r="X862" s="559"/>
    </row>
    <row r="863" spans="1:24" x14ac:dyDescent="0.25">
      <c r="A863" s="553">
        <f t="shared" si="63"/>
        <v>280141.50948938844</v>
      </c>
      <c r="B863" s="3">
        <f t="shared" si="66"/>
        <v>7.499999999999992</v>
      </c>
      <c r="C863" s="553">
        <f>'Foglio deposito bis'!$E$156/sezione!$B$247*B863</f>
        <v>30.44685190486102</v>
      </c>
      <c r="D863" s="611">
        <f>-'Progetto del paramento slu'!$G$47*'Progetto del paramento slu'!$G$41*IF(DATI!$G$218="dx",DATI!$E$61,DATI!$E$64*DATI!$E$63)*1000*C863^2*sezione!$AD$5*(1-sezione!$AD$6)</f>
        <v>-7631152.6083423607</v>
      </c>
      <c r="E863" s="553">
        <f>-'Foglio deposito bis'!$F$58*(C863-sezione!$AL$30)*IF(ABS(K863)&lt;'Progetto del paramento slu'!$G$58,ABS(K863)*'Progetto del paramento slu'!$G$54,'Progetto del paramento slu'!$G$53)</f>
        <v>0</v>
      </c>
      <c r="F863" s="553">
        <f>-'Foglio deposito bis'!$F$59*(C863-sezione!$AM$30)*IF(ABS(L863)&lt;'Progetto del paramento slu'!$G$58,ABS(L863)*'Progetto del paramento slu'!$G$54,'Progetto del paramento slu'!$G$53)</f>
        <v>18371117.53219017</v>
      </c>
      <c r="G863" s="553">
        <f>-'Foglio deposito bis'!$F$60*(C863-sezione!$AN$30)*IF(ABS(M863)&lt;'Progetto del paramento slu'!$G$58,ABS(M863)*'Progetto del paramento slu'!$G$54,'Progetto del paramento slu'!$G$53)</f>
        <v>0</v>
      </c>
      <c r="H863" s="553">
        <f>-'Foglio deposito bis'!$F$61*(C863-sezione!$AO$30)*IF(ABS(N863)&lt;'Progetto del paramento slu'!$G$58,ABS(N863)*'Progetto del paramento slu'!$G$54,'Progetto del paramento slu'!$G$53)</f>
        <v>74585746.802524388</v>
      </c>
      <c r="I863" s="479">
        <f>-'Foglio deposito bis'!$F$62*(C863-sezione!$AP$30)*IF(ABS(O863)&lt;'Progetto del paramento slu'!$G$58,ABS(O863)*'Progetto del paramento slu'!$G$54,'Progetto del paramento slu'!$G$53)</f>
        <v>72242605.993642747</v>
      </c>
      <c r="J863" s="479">
        <f t="shared" si="62"/>
        <v>157568317.72001493</v>
      </c>
      <c r="K863" s="558">
        <f>'Progetto del paramento slu'!$G$60*(sezione!$AL$30-C863)/C863</f>
        <v>1.0981765352117789E-3</v>
      </c>
      <c r="L863" s="558">
        <f>'Progetto del paramento slu'!$G$60*(sezione!$AM$30-C863)/C863</f>
        <v>1.3743162007044172E-2</v>
      </c>
      <c r="M863" s="559">
        <f>'Progetto del paramento slu'!$G$60*(sezione!$AN$30-C863)/C863</f>
        <v>2.6388147478876561E-2</v>
      </c>
      <c r="N863" s="559">
        <f>'Progetto del paramento slu'!$G$60*(sezione!$AO$30-C863)/C863</f>
        <v>3.5584500549300117E-2</v>
      </c>
      <c r="O863" s="559">
        <f>'Progetto del paramento slu'!$G$60*(sezione!$AP$30-C863)/C863</f>
        <v>2.63884901314549E-2</v>
      </c>
      <c r="P863" s="553">
        <f>-'Progetto del paramento slu'!$G$47*'Progetto del paramento slu'!$G$41*IF(DATI!$G$218="dx",DATI!$E$61,DATI!$E$64*DATI!$E$63)*1000*C863*sezione!$AD$5</f>
        <v>-429175.47529721138</v>
      </c>
      <c r="Q863" s="553">
        <f>'Foglio deposito bis'!$F$58*IF(ABS(K863)&lt;'Progetto del paramento slu'!$G$58,ABS(K863)*'Progetto del paramento slu'!$G$54,'Progetto del paramento slu'!$G$53)*IF(K863&lt;0,-1,1)</f>
        <v>0</v>
      </c>
      <c r="R863" s="553">
        <f>'Foglio deposito bis'!$F$59*IF(ABS(L863)&lt;'Progetto del paramento slu'!$G$58,ABS(L863)*'Progetto del paramento slu'!$G$54,'Progetto del paramento slu'!$G$53)*IF(L863&lt;0,-1,1)</f>
        <v>153664.85805602249</v>
      </c>
      <c r="S863" s="553">
        <f>'Foglio deposito bis'!$F$60*IF(ABS(M863)&lt;'Progetto del paramento slu'!$G$58,ABS(M863)*'Progetto del paramento slu'!$G$54,'Progetto del paramento slu'!$G$53)*IF(M863&lt;0,-1,1)</f>
        <v>0</v>
      </c>
      <c r="T863" s="553">
        <f>'Foglio deposito bis'!$F$61*IF(ABS(N863)&lt;'Progetto del paramento slu'!$G$58,ABS(N863)*'Progetto del paramento slu'!$G$54,'Progetto del paramento slu'!$G$53)*IF(N863&lt;0,-1,1)</f>
        <v>240946.49743184328</v>
      </c>
      <c r="U863" s="553">
        <f>'Foglio deposito bis'!$F$62*IF(ABS(O863)&lt;'Progetto del paramento slu'!$G$58,ABS(O863)*'Progetto del paramento slu'!$G$54,'Progetto del paramento slu'!$G$53)*IF(O863&lt;0,-1,1)</f>
        <v>314705.62929873407</v>
      </c>
      <c r="V863" s="479">
        <f t="shared" si="64"/>
        <v>280141.50948938844</v>
      </c>
      <c r="W863" s="559"/>
      <c r="X863" s="559"/>
    </row>
    <row r="864" spans="1:24" x14ac:dyDescent="0.25">
      <c r="A864" s="553">
        <f t="shared" si="63"/>
        <v>268696.83014812937</v>
      </c>
      <c r="B864" s="3">
        <f t="shared" si="66"/>
        <v>7.6999999999999922</v>
      </c>
      <c r="C864" s="553">
        <f>'Foglio deposito bis'!$E$156/sezione!$B$247*B864</f>
        <v>31.258767955657316</v>
      </c>
      <c r="D864" s="611">
        <f>-'Progetto del paramento slu'!$G$47*'Progetto del paramento slu'!$G$41*IF(DATI!$G$218="dx",DATI!$E$61,DATI!$E$64*DATI!$E$63)*1000*C864^2*sezione!$AD$5*(1-sezione!$AD$6)</f>
        <v>-8043574.0115309982</v>
      </c>
      <c r="E864" s="553">
        <f>-'Foglio deposito bis'!$F$58*(C864-sezione!$AL$30)*IF(ABS(K864)&lt;'Progetto del paramento slu'!$G$58,ABS(K864)*'Progetto del paramento slu'!$G$54,'Progetto del paramento slu'!$G$53)</f>
        <v>0</v>
      </c>
      <c r="F864" s="553">
        <f>-'Foglio deposito bis'!$F$59*(C864-sezione!$AM$30)*IF(ABS(L864)&lt;'Progetto del paramento slu'!$G$58,ABS(L864)*'Progetto del paramento slu'!$G$54,'Progetto del paramento slu'!$G$53)</f>
        <v>18246354.567491148</v>
      </c>
      <c r="G864" s="553">
        <f>-'Foglio deposito bis'!$F$60*(C864-sezione!$AN$30)*IF(ABS(M864)&lt;'Progetto del paramento slu'!$G$58,ABS(M864)*'Progetto del paramento slu'!$G$54,'Progetto del paramento slu'!$G$53)</f>
        <v>0</v>
      </c>
      <c r="H864" s="553">
        <f>-'Foglio deposito bis'!$F$61*(C864-sezione!$AO$30)*IF(ABS(N864)&lt;'Progetto del paramento slu'!$G$58,ABS(N864)*'Progetto del paramento slu'!$G$54,'Progetto del paramento slu'!$G$53)</f>
        <v>74390118.473876327</v>
      </c>
      <c r="I864" s="479">
        <f>-'Foglio deposito bis'!$F$62*(C864-sezione!$AP$30)*IF(ABS(O864)&lt;'Progetto del paramento slu'!$G$58,ABS(O864)*'Progetto del paramento slu'!$G$54,'Progetto del paramento slu'!$G$53)</f>
        <v>71987091.441939175</v>
      </c>
      <c r="J864" s="479">
        <f t="shared" si="62"/>
        <v>156579990.47177565</v>
      </c>
      <c r="K864" s="558">
        <f>'Progetto del paramento slu'!$G$60*(sezione!$AL$30-C864)/C864</f>
        <v>9.787433784530313E-4</v>
      </c>
      <c r="L864" s="558">
        <f>'Progetto del paramento slu'!$G$60*(sezione!$AM$30-C864)/C864</f>
        <v>1.3295287669198866E-2</v>
      </c>
      <c r="M864" s="559">
        <f>'Progetto del paramento slu'!$G$60*(sezione!$AN$30-C864)/C864</f>
        <v>2.5611831959944705E-2</v>
      </c>
      <c r="N864" s="559">
        <f>'Progetto del paramento slu'!$G$60*(sezione!$AO$30-C864)/C864</f>
        <v>3.4569318716850761E-2</v>
      </c>
      <c r="O864" s="559">
        <f>'Progetto del paramento slu'!$G$60*(sezione!$AP$30-C864)/C864</f>
        <v>2.5612165712456073E-2</v>
      </c>
      <c r="P864" s="553">
        <f>-'Progetto del paramento slu'!$G$47*'Progetto del paramento slu'!$G$41*IF(DATI!$G$218="dx",DATI!$E$61,DATI!$E$64*DATI!$E$63)*1000*C864*sezione!$AD$5</f>
        <v>-440620.15463847044</v>
      </c>
      <c r="Q864" s="553">
        <f>'Foglio deposito bis'!$F$58*IF(ABS(K864)&lt;'Progetto del paramento slu'!$G$58,ABS(K864)*'Progetto del paramento slu'!$G$54,'Progetto del paramento slu'!$G$53)*IF(K864&lt;0,-1,1)</f>
        <v>0</v>
      </c>
      <c r="R864" s="553">
        <f>'Foglio deposito bis'!$F$59*IF(ABS(L864)&lt;'Progetto del paramento slu'!$G$58,ABS(L864)*'Progetto del paramento slu'!$G$54,'Progetto del paramento slu'!$G$53)*IF(L864&lt;0,-1,1)</f>
        <v>153664.85805602249</v>
      </c>
      <c r="S864" s="553">
        <f>'Foglio deposito bis'!$F$60*IF(ABS(M864)&lt;'Progetto del paramento slu'!$G$58,ABS(M864)*'Progetto del paramento slu'!$G$54,'Progetto del paramento slu'!$G$53)*IF(M864&lt;0,-1,1)</f>
        <v>0</v>
      </c>
      <c r="T864" s="553">
        <f>'Foglio deposito bis'!$F$61*IF(ABS(N864)&lt;'Progetto del paramento slu'!$G$58,ABS(N864)*'Progetto del paramento slu'!$G$54,'Progetto del paramento slu'!$G$53)*IF(N864&lt;0,-1,1)</f>
        <v>240946.49743184328</v>
      </c>
      <c r="U864" s="553">
        <f>'Foglio deposito bis'!$F$62*IF(ABS(O864)&lt;'Progetto del paramento slu'!$G$58,ABS(O864)*'Progetto del paramento slu'!$G$54,'Progetto del paramento slu'!$G$53)*IF(O864&lt;0,-1,1)</f>
        <v>314705.62929873407</v>
      </c>
      <c r="V864" s="479">
        <f t="shared" si="64"/>
        <v>268696.83014812937</v>
      </c>
      <c r="W864" s="559"/>
      <c r="X864" s="559"/>
    </row>
    <row r="865" spans="1:24" x14ac:dyDescent="0.25">
      <c r="A865" s="553">
        <f t="shared" si="63"/>
        <v>257252.15080687046</v>
      </c>
      <c r="B865" s="3">
        <f t="shared" si="66"/>
        <v>7.8999999999999924</v>
      </c>
      <c r="C865" s="553">
        <f>'Foglio deposito bis'!$E$156/sezione!$B$247*B865</f>
        <v>32.070684006453611</v>
      </c>
      <c r="D865" s="611">
        <f>-'Progetto del paramento slu'!$G$47*'Progetto del paramento slu'!$G$41*IF(DATI!$G$218="dx",DATI!$E$61,DATI!$E$64*DATI!$E$63)*1000*C865^2*sezione!$AD$5*(1-sezione!$AD$6)</f>
        <v>-8466848.609540388</v>
      </c>
      <c r="E865" s="553">
        <f>-'Foglio deposito bis'!$F$58*(C865-sezione!$AL$30)*IF(ABS(K865)&lt;'Progetto del paramento slu'!$G$58,ABS(K865)*'Progetto del paramento slu'!$G$54,'Progetto del paramento slu'!$G$53)</f>
        <v>0</v>
      </c>
      <c r="F865" s="553">
        <f>-'Foglio deposito bis'!$F$59*(C865-sezione!$AM$30)*IF(ABS(L865)&lt;'Progetto del paramento slu'!$G$58,ABS(L865)*'Progetto del paramento slu'!$G$54,'Progetto del paramento slu'!$G$53)</f>
        <v>18121591.602792133</v>
      </c>
      <c r="G865" s="553">
        <f>-'Foglio deposito bis'!$F$60*(C865-sezione!$AN$30)*IF(ABS(M865)&lt;'Progetto del paramento slu'!$G$58,ABS(M865)*'Progetto del paramento slu'!$G$54,'Progetto del paramento slu'!$G$53)</f>
        <v>0</v>
      </c>
      <c r="H865" s="553">
        <f>-'Foglio deposito bis'!$F$61*(C865-sezione!$AO$30)*IF(ABS(N865)&lt;'Progetto del paramento slu'!$G$58,ABS(N865)*'Progetto del paramento slu'!$G$54,'Progetto del paramento slu'!$G$53)</f>
        <v>74194490.145228267</v>
      </c>
      <c r="I865" s="479">
        <f>-'Foglio deposito bis'!$F$62*(C865-sezione!$AP$30)*IF(ABS(O865)&lt;'Progetto del paramento slu'!$G$58,ABS(O865)*'Progetto del paramento slu'!$G$54,'Progetto del paramento slu'!$G$53)</f>
        <v>71731576.890235588</v>
      </c>
      <c r="J865" s="479">
        <f t="shared" si="62"/>
        <v>155580810.02871561</v>
      </c>
      <c r="K865" s="558">
        <f>'Progetto del paramento slu'!$G$60*(sezione!$AL$30-C865)/C865</f>
        <v>8.6535747013776452E-4</v>
      </c>
      <c r="L865" s="558">
        <f>'Progetto del paramento slu'!$G$60*(sezione!$AM$30-C865)/C865</f>
        <v>1.2870090513016618E-2</v>
      </c>
      <c r="M865" s="559">
        <f>'Progetto del paramento slu'!$G$60*(sezione!$AN$30-C865)/C865</f>
        <v>2.4874823555895469E-2</v>
      </c>
      <c r="N865" s="559">
        <f>'Progetto del paramento slu'!$G$60*(sezione!$AO$30-C865)/C865</f>
        <v>3.3605538496170997E-2</v>
      </c>
      <c r="O865" s="559">
        <f>'Progetto del paramento slu'!$G$60*(sezione!$AP$30-C865)/C865</f>
        <v>2.4875148858976171E-2</v>
      </c>
      <c r="P865" s="553">
        <f>-'Progetto del paramento slu'!$G$47*'Progetto del paramento slu'!$G$41*IF(DATI!$G$218="dx",DATI!$E$61,DATI!$E$64*DATI!$E$63)*1000*C865*sezione!$AD$5</f>
        <v>-452064.83397972939</v>
      </c>
      <c r="Q865" s="553">
        <f>'Foglio deposito bis'!$F$58*IF(ABS(K865)&lt;'Progetto del paramento slu'!$G$58,ABS(K865)*'Progetto del paramento slu'!$G$54,'Progetto del paramento slu'!$G$53)*IF(K865&lt;0,-1,1)</f>
        <v>0</v>
      </c>
      <c r="R865" s="553">
        <f>'Foglio deposito bis'!$F$59*IF(ABS(L865)&lt;'Progetto del paramento slu'!$G$58,ABS(L865)*'Progetto del paramento slu'!$G$54,'Progetto del paramento slu'!$G$53)*IF(L865&lt;0,-1,1)</f>
        <v>153664.85805602249</v>
      </c>
      <c r="S865" s="553">
        <f>'Foglio deposito bis'!$F$60*IF(ABS(M865)&lt;'Progetto del paramento slu'!$G$58,ABS(M865)*'Progetto del paramento slu'!$G$54,'Progetto del paramento slu'!$G$53)*IF(M865&lt;0,-1,1)</f>
        <v>0</v>
      </c>
      <c r="T865" s="553">
        <f>'Foglio deposito bis'!$F$61*IF(ABS(N865)&lt;'Progetto del paramento slu'!$G$58,ABS(N865)*'Progetto del paramento slu'!$G$54,'Progetto del paramento slu'!$G$53)*IF(N865&lt;0,-1,1)</f>
        <v>240946.49743184328</v>
      </c>
      <c r="U865" s="553">
        <f>'Foglio deposito bis'!$F$62*IF(ABS(O865)&lt;'Progetto del paramento slu'!$G$58,ABS(O865)*'Progetto del paramento slu'!$G$54,'Progetto del paramento slu'!$G$53)*IF(O865&lt;0,-1,1)</f>
        <v>314705.62929873407</v>
      </c>
      <c r="V865" s="479">
        <f t="shared" si="64"/>
        <v>257252.15080687046</v>
      </c>
      <c r="W865" s="559"/>
      <c r="X865" s="559"/>
    </row>
    <row r="866" spans="1:24" x14ac:dyDescent="0.25">
      <c r="A866" s="553">
        <f t="shared" si="63"/>
        <v>245807.47146561151</v>
      </c>
      <c r="B866" s="3">
        <f t="shared" si="66"/>
        <v>8.0999999999999925</v>
      </c>
      <c r="C866" s="553">
        <f>'Foglio deposito bis'!$E$156/sezione!$B$247*B866</f>
        <v>32.882600057249903</v>
      </c>
      <c r="D866" s="611">
        <f>-'Progetto del paramento slu'!$G$47*'Progetto del paramento slu'!$G$41*IF(DATI!$G$218="dx",DATI!$E$61,DATI!$E$64*DATI!$E$63)*1000*C866^2*sezione!$AD$5*(1-sezione!$AD$6)</f>
        <v>-8900976.4023705311</v>
      </c>
      <c r="E866" s="553">
        <f>-'Foglio deposito bis'!$F$58*(C866-sezione!$AL$30)*IF(ABS(K866)&lt;'Progetto del paramento slu'!$G$58,ABS(K866)*'Progetto del paramento slu'!$G$54,'Progetto del paramento slu'!$G$53)</f>
        <v>0</v>
      </c>
      <c r="F866" s="553">
        <f>-'Foglio deposito bis'!$F$59*(C866-sezione!$AM$30)*IF(ABS(L866)&lt;'Progetto del paramento slu'!$G$58,ABS(L866)*'Progetto del paramento slu'!$G$54,'Progetto del paramento slu'!$G$53)</f>
        <v>17996828.63809311</v>
      </c>
      <c r="G866" s="553">
        <f>-'Foglio deposito bis'!$F$60*(C866-sezione!$AN$30)*IF(ABS(M866)&lt;'Progetto del paramento slu'!$G$58,ABS(M866)*'Progetto del paramento slu'!$G$54,'Progetto del paramento slu'!$G$53)</f>
        <v>0</v>
      </c>
      <c r="H866" s="553">
        <f>-'Foglio deposito bis'!$F$61*(C866-sezione!$AO$30)*IF(ABS(N866)&lt;'Progetto del paramento slu'!$G$58,ABS(N866)*'Progetto del paramento slu'!$G$54,'Progetto del paramento slu'!$G$53)</f>
        <v>73998861.816580221</v>
      </c>
      <c r="I866" s="479">
        <f>-'Foglio deposito bis'!$F$62*(C866-sezione!$AP$30)*IF(ABS(O866)&lt;'Progetto del paramento slu'!$G$58,ABS(O866)*'Progetto del paramento slu'!$G$54,'Progetto del paramento slu'!$G$53)</f>
        <v>71476062.338531986</v>
      </c>
      <c r="J866" s="479">
        <f t="shared" si="62"/>
        <v>154570776.39083481</v>
      </c>
      <c r="K866" s="558">
        <f>'Progetto del paramento slu'!$G$60*(sezione!$AL$30-C866)/C866</f>
        <v>7.5757086593683238E-4</v>
      </c>
      <c r="L866" s="558">
        <f>'Progetto del paramento slu'!$G$60*(sezione!$AM$30-C866)/C866</f>
        <v>1.2465890747263121E-2</v>
      </c>
      <c r="M866" s="559">
        <f>'Progetto del paramento slu'!$G$60*(sezione!$AN$30-C866)/C866</f>
        <v>2.4174210628589411E-2</v>
      </c>
      <c r="N866" s="559">
        <f>'Progetto del paramento slu'!$G$60*(sezione!$AO$30-C866)/C866</f>
        <v>3.2689352360463081E-2</v>
      </c>
      <c r="O866" s="559">
        <f>'Progetto del paramento slu'!$G$60*(sezione!$AP$30-C866)/C866</f>
        <v>2.4174527899495282E-2</v>
      </c>
      <c r="P866" s="553">
        <f>-'Progetto del paramento slu'!$G$47*'Progetto del paramento slu'!$G$41*IF(DATI!$G$218="dx",DATI!$E$61,DATI!$E$64*DATI!$E$63)*1000*C866*sezione!$AD$5</f>
        <v>-463509.51332098834</v>
      </c>
      <c r="Q866" s="553">
        <f>'Foglio deposito bis'!$F$58*IF(ABS(K866)&lt;'Progetto del paramento slu'!$G$58,ABS(K866)*'Progetto del paramento slu'!$G$54,'Progetto del paramento slu'!$G$53)*IF(K866&lt;0,-1,1)</f>
        <v>0</v>
      </c>
      <c r="R866" s="553">
        <f>'Foglio deposito bis'!$F$59*IF(ABS(L866)&lt;'Progetto del paramento slu'!$G$58,ABS(L866)*'Progetto del paramento slu'!$G$54,'Progetto del paramento slu'!$G$53)*IF(L866&lt;0,-1,1)</f>
        <v>153664.85805602249</v>
      </c>
      <c r="S866" s="553">
        <f>'Foglio deposito bis'!$F$60*IF(ABS(M866)&lt;'Progetto del paramento slu'!$G$58,ABS(M866)*'Progetto del paramento slu'!$G$54,'Progetto del paramento slu'!$G$53)*IF(M866&lt;0,-1,1)</f>
        <v>0</v>
      </c>
      <c r="T866" s="553">
        <f>'Foglio deposito bis'!$F$61*IF(ABS(N866)&lt;'Progetto del paramento slu'!$G$58,ABS(N866)*'Progetto del paramento slu'!$G$54,'Progetto del paramento slu'!$G$53)*IF(N866&lt;0,-1,1)</f>
        <v>240946.49743184328</v>
      </c>
      <c r="U866" s="553">
        <f>'Foglio deposito bis'!$F$62*IF(ABS(O866)&lt;'Progetto del paramento slu'!$G$58,ABS(O866)*'Progetto del paramento slu'!$G$54,'Progetto del paramento slu'!$G$53)*IF(O866&lt;0,-1,1)</f>
        <v>314705.62929873407</v>
      </c>
      <c r="V866" s="479">
        <f t="shared" si="64"/>
        <v>245807.47146561151</v>
      </c>
      <c r="W866" s="559"/>
      <c r="X866" s="559"/>
    </row>
    <row r="867" spans="1:24" x14ac:dyDescent="0.25">
      <c r="A867" s="553">
        <f t="shared" si="63"/>
        <v>234362.79212435256</v>
      </c>
      <c r="B867" s="3">
        <f t="shared" si="66"/>
        <v>8.2999999999999918</v>
      </c>
      <c r="C867" s="553">
        <f>'Foglio deposito bis'!$E$156/sezione!$B$247*B867</f>
        <v>33.694516108046194</v>
      </c>
      <c r="D867" s="611">
        <f>-'Progetto del paramento slu'!$G$47*'Progetto del paramento slu'!$G$41*IF(DATI!$G$218="dx",DATI!$E$61,DATI!$E$64*DATI!$E$63)*1000*C867^2*sezione!$AD$5*(1-sezione!$AD$6)</f>
        <v>-9345957.3900214247</v>
      </c>
      <c r="E867" s="553">
        <f>-'Foglio deposito bis'!$F$58*(C867-sezione!$AL$30)*IF(ABS(K867)&lt;'Progetto del paramento slu'!$G$58,ABS(K867)*'Progetto del paramento slu'!$G$54,'Progetto del paramento slu'!$G$53)</f>
        <v>0</v>
      </c>
      <c r="F867" s="553">
        <f>-'Foglio deposito bis'!$F$59*(C867-sezione!$AM$30)*IF(ABS(L867)&lt;'Progetto del paramento slu'!$G$58,ABS(L867)*'Progetto del paramento slu'!$G$54,'Progetto del paramento slu'!$G$53)</f>
        <v>17872065.673394091</v>
      </c>
      <c r="G867" s="553">
        <f>-'Foglio deposito bis'!$F$60*(C867-sezione!$AN$30)*IF(ABS(M867)&lt;'Progetto del paramento slu'!$G$58,ABS(M867)*'Progetto del paramento slu'!$G$54,'Progetto del paramento slu'!$G$53)</f>
        <v>0</v>
      </c>
      <c r="H867" s="553">
        <f>-'Foglio deposito bis'!$F$61*(C867-sezione!$AO$30)*IF(ABS(N867)&lt;'Progetto del paramento slu'!$G$58,ABS(N867)*'Progetto del paramento slu'!$G$54,'Progetto del paramento slu'!$G$53)</f>
        <v>73803233.48793216</v>
      </c>
      <c r="I867" s="479">
        <f>-'Foglio deposito bis'!$F$62*(C867-sezione!$AP$30)*IF(ABS(O867)&lt;'Progetto del paramento slu'!$G$58,ABS(O867)*'Progetto del paramento slu'!$G$54,'Progetto del paramento slu'!$G$53)</f>
        <v>71220547.786828384</v>
      </c>
      <c r="J867" s="479">
        <f t="shared" si="62"/>
        <v>153549889.55813321</v>
      </c>
      <c r="K867" s="558">
        <f>'Progetto del paramento slu'!$G$60*(sezione!$AL$30-C867)/C867</f>
        <v>6.5497879687811381E-4</v>
      </c>
      <c r="L867" s="558">
        <f>'Progetto del paramento slu'!$G$60*(sezione!$AM$30-C867)/C867</f>
        <v>1.2081170488292926E-2</v>
      </c>
      <c r="M867" s="559">
        <f>'Progetto del paramento slu'!$G$60*(sezione!$AN$30-C867)/C867</f>
        <v>2.3507362179707742E-2</v>
      </c>
      <c r="N867" s="559">
        <f>'Progetto del paramento slu'!$G$60*(sezione!$AO$30-C867)/C867</f>
        <v>3.181731977346397E-2</v>
      </c>
      <c r="O867" s="559">
        <f>'Progetto del paramento slu'!$G$60*(sezione!$AP$30-C867)/C867</f>
        <v>2.3507671805531538E-2</v>
      </c>
      <c r="P867" s="553">
        <f>-'Progetto del paramento slu'!$G$47*'Progetto del paramento slu'!$G$41*IF(DATI!$G$218="dx",DATI!$E$61,DATI!$E$64*DATI!$E$63)*1000*C867*sezione!$AD$5</f>
        <v>-474954.19266224728</v>
      </c>
      <c r="Q867" s="553">
        <f>'Foglio deposito bis'!$F$58*IF(ABS(K867)&lt;'Progetto del paramento slu'!$G$58,ABS(K867)*'Progetto del paramento slu'!$G$54,'Progetto del paramento slu'!$G$53)*IF(K867&lt;0,-1,1)</f>
        <v>0</v>
      </c>
      <c r="R867" s="553">
        <f>'Foglio deposito bis'!$F$59*IF(ABS(L867)&lt;'Progetto del paramento slu'!$G$58,ABS(L867)*'Progetto del paramento slu'!$G$54,'Progetto del paramento slu'!$G$53)*IF(L867&lt;0,-1,1)</f>
        <v>153664.85805602249</v>
      </c>
      <c r="S867" s="553">
        <f>'Foglio deposito bis'!$F$60*IF(ABS(M867)&lt;'Progetto del paramento slu'!$G$58,ABS(M867)*'Progetto del paramento slu'!$G$54,'Progetto del paramento slu'!$G$53)*IF(M867&lt;0,-1,1)</f>
        <v>0</v>
      </c>
      <c r="T867" s="553">
        <f>'Foglio deposito bis'!$F$61*IF(ABS(N867)&lt;'Progetto del paramento slu'!$G$58,ABS(N867)*'Progetto del paramento slu'!$G$54,'Progetto del paramento slu'!$G$53)*IF(N867&lt;0,-1,1)</f>
        <v>240946.49743184328</v>
      </c>
      <c r="U867" s="553">
        <f>'Foglio deposito bis'!$F$62*IF(ABS(O867)&lt;'Progetto del paramento slu'!$G$58,ABS(O867)*'Progetto del paramento slu'!$G$54,'Progetto del paramento slu'!$G$53)*IF(O867&lt;0,-1,1)</f>
        <v>314705.62929873407</v>
      </c>
      <c r="V867" s="479">
        <f t="shared" si="64"/>
        <v>234362.79212435256</v>
      </c>
      <c r="W867" s="559"/>
      <c r="X867" s="559"/>
    </row>
    <row r="868" spans="1:24" x14ac:dyDescent="0.25">
      <c r="A868" s="553">
        <f t="shared" si="63"/>
        <v>222918.11278309362</v>
      </c>
      <c r="B868" s="3">
        <f t="shared" si="66"/>
        <v>8.4999999999999911</v>
      </c>
      <c r="C868" s="553">
        <f>'Foglio deposito bis'!$E$156/sezione!$B$247*B868</f>
        <v>34.506432158842486</v>
      </c>
      <c r="D868" s="611">
        <f>-'Progetto del paramento slu'!$G$47*'Progetto del paramento slu'!$G$41*IF(DATI!$G$218="dx",DATI!$E$61,DATI!$E$64*DATI!$E$63)*1000*C868^2*sezione!$AD$5*(1-sezione!$AD$6)</f>
        <v>-9801791.5724930763</v>
      </c>
      <c r="E868" s="553">
        <f>-'Foglio deposito bis'!$F$58*(C868-sezione!$AL$30)*IF(ABS(K868)&lt;'Progetto del paramento slu'!$G$58,ABS(K868)*'Progetto del paramento slu'!$G$54,'Progetto del paramento slu'!$G$53)</f>
        <v>0</v>
      </c>
      <c r="F868" s="553">
        <f>-'Foglio deposito bis'!$F$59*(C868-sezione!$AM$30)*IF(ABS(L868)&lt;'Progetto del paramento slu'!$G$58,ABS(L868)*'Progetto del paramento slu'!$G$54,'Progetto del paramento slu'!$G$53)</f>
        <v>17747302.708695076</v>
      </c>
      <c r="G868" s="553">
        <f>-'Foglio deposito bis'!$F$60*(C868-sezione!$AN$30)*IF(ABS(M868)&lt;'Progetto del paramento slu'!$G$58,ABS(M868)*'Progetto del paramento slu'!$G$54,'Progetto del paramento slu'!$G$53)</f>
        <v>0</v>
      </c>
      <c r="H868" s="553">
        <f>-'Foglio deposito bis'!$F$61*(C868-sezione!$AO$30)*IF(ABS(N868)&lt;'Progetto del paramento slu'!$G$58,ABS(N868)*'Progetto del paramento slu'!$G$54,'Progetto del paramento slu'!$G$53)</f>
        <v>73607605.1592841</v>
      </c>
      <c r="I868" s="479">
        <f>-'Foglio deposito bis'!$F$62*(C868-sezione!$AP$30)*IF(ABS(O868)&lt;'Progetto del paramento slu'!$G$58,ABS(O868)*'Progetto del paramento slu'!$G$54,'Progetto del paramento slu'!$G$53)</f>
        <v>70965033.235124812</v>
      </c>
      <c r="J868" s="479">
        <f t="shared" si="62"/>
        <v>152518149.53061092</v>
      </c>
      <c r="K868" s="558">
        <f>'Progetto del paramento slu'!$G$60*(sezione!$AL$30-C868)/C868</f>
        <v>5.5721458989274662E-4</v>
      </c>
      <c r="L868" s="558">
        <f>'Progetto del paramento slu'!$G$60*(sezione!$AM$30-C868)/C868</f>
        <v>1.1714554712097799E-2</v>
      </c>
      <c r="M868" s="559">
        <f>'Progetto del paramento slu'!$G$60*(sezione!$AN$30-C868)/C868</f>
        <v>2.2871894834302856E-2</v>
      </c>
      <c r="N868" s="559">
        <f>'Progetto del paramento slu'!$G$60*(sezione!$AO$30-C868)/C868</f>
        <v>3.0986324014088344E-2</v>
      </c>
      <c r="O868" s="559">
        <f>'Progetto del paramento slu'!$G$60*(sezione!$AP$30-C868)/C868</f>
        <v>2.2872197174813154E-2</v>
      </c>
      <c r="P868" s="553">
        <f>-'Progetto del paramento slu'!$G$47*'Progetto del paramento slu'!$G$41*IF(DATI!$G$218="dx",DATI!$E$61,DATI!$E$64*DATI!$E$63)*1000*C868*sezione!$AD$5</f>
        <v>-486398.87200350623</v>
      </c>
      <c r="Q868" s="553">
        <f>'Foglio deposito bis'!$F$58*IF(ABS(K868)&lt;'Progetto del paramento slu'!$G$58,ABS(K868)*'Progetto del paramento slu'!$G$54,'Progetto del paramento slu'!$G$53)*IF(K868&lt;0,-1,1)</f>
        <v>0</v>
      </c>
      <c r="R868" s="553">
        <f>'Foglio deposito bis'!$F$59*IF(ABS(L868)&lt;'Progetto del paramento slu'!$G$58,ABS(L868)*'Progetto del paramento slu'!$G$54,'Progetto del paramento slu'!$G$53)*IF(L868&lt;0,-1,1)</f>
        <v>153664.85805602249</v>
      </c>
      <c r="S868" s="553">
        <f>'Foglio deposito bis'!$F$60*IF(ABS(M868)&lt;'Progetto del paramento slu'!$G$58,ABS(M868)*'Progetto del paramento slu'!$G$54,'Progetto del paramento slu'!$G$53)*IF(M868&lt;0,-1,1)</f>
        <v>0</v>
      </c>
      <c r="T868" s="553">
        <f>'Foglio deposito bis'!$F$61*IF(ABS(N868)&lt;'Progetto del paramento slu'!$G$58,ABS(N868)*'Progetto del paramento slu'!$G$54,'Progetto del paramento slu'!$G$53)*IF(N868&lt;0,-1,1)</f>
        <v>240946.49743184328</v>
      </c>
      <c r="U868" s="553">
        <f>'Foglio deposito bis'!$F$62*IF(ABS(O868)&lt;'Progetto del paramento slu'!$G$58,ABS(O868)*'Progetto del paramento slu'!$G$54,'Progetto del paramento slu'!$G$53)*IF(O868&lt;0,-1,1)</f>
        <v>314705.62929873407</v>
      </c>
      <c r="V868" s="479">
        <f t="shared" si="64"/>
        <v>222918.11278309362</v>
      </c>
      <c r="W868" s="559"/>
      <c r="X868" s="559"/>
    </row>
    <row r="869" spans="1:24" x14ac:dyDescent="0.25">
      <c r="A869" s="553">
        <f t="shared" si="63"/>
        <v>211473.43344183455</v>
      </c>
      <c r="B869" s="3">
        <f t="shared" si="66"/>
        <v>8.6999999999999904</v>
      </c>
      <c r="C869" s="553">
        <f>'Foglio deposito bis'!$E$156/sezione!$B$247*B869</f>
        <v>35.318348209638785</v>
      </c>
      <c r="D869" s="611">
        <f>-'Progetto del paramento slu'!$G$47*'Progetto del paramento slu'!$G$41*IF(DATI!$G$218="dx",DATI!$E$61,DATI!$E$64*DATI!$E$63)*1000*C869^2*sezione!$AD$5*(1-sezione!$AD$6)</f>
        <v>-10268478.949785482</v>
      </c>
      <c r="E869" s="553">
        <f>-'Foglio deposito bis'!$F$58*(C869-sezione!$AL$30)*IF(ABS(K869)&lt;'Progetto del paramento slu'!$G$58,ABS(K869)*'Progetto del paramento slu'!$G$54,'Progetto del paramento slu'!$G$53)</f>
        <v>0</v>
      </c>
      <c r="F869" s="553">
        <f>-'Foglio deposito bis'!$F$59*(C869-sezione!$AM$30)*IF(ABS(L869)&lt;'Progetto del paramento slu'!$G$58,ABS(L869)*'Progetto del paramento slu'!$G$54,'Progetto del paramento slu'!$G$53)</f>
        <v>17622539.743996054</v>
      </c>
      <c r="G869" s="553">
        <f>-'Foglio deposito bis'!$F$60*(C869-sezione!$AN$30)*IF(ABS(M869)&lt;'Progetto del paramento slu'!$G$58,ABS(M869)*'Progetto del paramento slu'!$G$54,'Progetto del paramento slu'!$G$53)</f>
        <v>0</v>
      </c>
      <c r="H869" s="553">
        <f>-'Foglio deposito bis'!$F$61*(C869-sezione!$AO$30)*IF(ABS(N869)&lt;'Progetto del paramento slu'!$G$58,ABS(N869)*'Progetto del paramento slu'!$G$54,'Progetto del paramento slu'!$G$53)</f>
        <v>73411976.830636039</v>
      </c>
      <c r="I869" s="479">
        <f>-'Foglio deposito bis'!$F$62*(C869-sezione!$AP$30)*IF(ABS(O869)&lt;'Progetto del paramento slu'!$G$58,ABS(O869)*'Progetto del paramento slu'!$G$54,'Progetto del paramento slu'!$G$53)</f>
        <v>70709518.683421224</v>
      </c>
      <c r="J869" s="479">
        <f t="shared" si="62"/>
        <v>151475556.30826783</v>
      </c>
      <c r="K869" s="558">
        <f>'Progetto del paramento slu'!$G$60*(sezione!$AL$30-C869)/C869</f>
        <v>4.6394528897567141E-4</v>
      </c>
      <c r="L869" s="558">
        <f>'Progetto del paramento slu'!$G$60*(sezione!$AM$30-C869)/C869</f>
        <v>1.1364794833658768E-2</v>
      </c>
      <c r="M869" s="559">
        <f>'Progetto del paramento slu'!$G$60*(sezione!$AN$30-C869)/C869</f>
        <v>2.2265644378341866E-2</v>
      </c>
      <c r="N869" s="559">
        <f>'Progetto del paramento slu'!$G$60*(sezione!$AO$30-C869)/C869</f>
        <v>3.0193534956293209E-2</v>
      </c>
      <c r="O869" s="559">
        <f>'Progetto del paramento slu'!$G$60*(sezione!$AP$30-C869)/C869</f>
        <v>2.2265939768495602E-2</v>
      </c>
      <c r="P869" s="553">
        <f>-'Progetto del paramento slu'!$G$47*'Progetto del paramento slu'!$G$41*IF(DATI!$G$218="dx",DATI!$E$61,DATI!$E$64*DATI!$E$63)*1000*C869*sezione!$AD$5</f>
        <v>-497843.55134476529</v>
      </c>
      <c r="Q869" s="553">
        <f>'Foglio deposito bis'!$F$58*IF(ABS(K869)&lt;'Progetto del paramento slu'!$G$58,ABS(K869)*'Progetto del paramento slu'!$G$54,'Progetto del paramento slu'!$G$53)*IF(K869&lt;0,-1,1)</f>
        <v>0</v>
      </c>
      <c r="R869" s="553">
        <f>'Foglio deposito bis'!$F$59*IF(ABS(L869)&lt;'Progetto del paramento slu'!$G$58,ABS(L869)*'Progetto del paramento slu'!$G$54,'Progetto del paramento slu'!$G$53)*IF(L869&lt;0,-1,1)</f>
        <v>153664.85805602249</v>
      </c>
      <c r="S869" s="553">
        <f>'Foglio deposito bis'!$F$60*IF(ABS(M869)&lt;'Progetto del paramento slu'!$G$58,ABS(M869)*'Progetto del paramento slu'!$G$54,'Progetto del paramento slu'!$G$53)*IF(M869&lt;0,-1,1)</f>
        <v>0</v>
      </c>
      <c r="T869" s="553">
        <f>'Foglio deposito bis'!$F$61*IF(ABS(N869)&lt;'Progetto del paramento slu'!$G$58,ABS(N869)*'Progetto del paramento slu'!$G$54,'Progetto del paramento slu'!$G$53)*IF(N869&lt;0,-1,1)</f>
        <v>240946.49743184328</v>
      </c>
      <c r="U869" s="553">
        <f>'Foglio deposito bis'!$F$62*IF(ABS(O869)&lt;'Progetto del paramento slu'!$G$58,ABS(O869)*'Progetto del paramento slu'!$G$54,'Progetto del paramento slu'!$G$53)*IF(O869&lt;0,-1,1)</f>
        <v>314705.62929873407</v>
      </c>
      <c r="V869" s="479">
        <f t="shared" si="64"/>
        <v>211473.43344183455</v>
      </c>
      <c r="W869" s="559"/>
      <c r="X869" s="559"/>
    </row>
    <row r="870" spans="1:24" x14ac:dyDescent="0.25">
      <c r="A870" s="553">
        <f t="shared" si="63"/>
        <v>200028.75410057561</v>
      </c>
      <c r="B870" s="3">
        <f t="shared" si="66"/>
        <v>8.8999999999999897</v>
      </c>
      <c r="C870" s="553">
        <f>'Foglio deposito bis'!$E$156/sezione!$B$247*B870</f>
        <v>36.130264260435077</v>
      </c>
      <c r="D870" s="611">
        <f>-'Progetto del paramento slu'!$G$47*'Progetto del paramento slu'!$G$41*IF(DATI!$G$218="dx",DATI!$E$61,DATI!$E$64*DATI!$E$63)*1000*C870^2*sezione!$AD$5*(1-sezione!$AD$6)</f>
        <v>-10746019.521898638</v>
      </c>
      <c r="E870" s="553">
        <f>-'Foglio deposito bis'!$F$58*(C870-sezione!$AL$30)*IF(ABS(K870)&lt;'Progetto del paramento slu'!$G$58,ABS(K870)*'Progetto del paramento slu'!$G$54,'Progetto del paramento slu'!$G$53)</f>
        <v>0</v>
      </c>
      <c r="F870" s="553">
        <f>-'Foglio deposito bis'!$F$59*(C870-sezione!$AM$30)*IF(ABS(L870)&lt;'Progetto del paramento slu'!$G$58,ABS(L870)*'Progetto del paramento slu'!$G$54,'Progetto del paramento slu'!$G$53)</f>
        <v>17497776.779297039</v>
      </c>
      <c r="G870" s="553">
        <f>-'Foglio deposito bis'!$F$60*(C870-sezione!$AN$30)*IF(ABS(M870)&lt;'Progetto del paramento slu'!$G$58,ABS(M870)*'Progetto del paramento slu'!$G$54,'Progetto del paramento slu'!$G$53)</f>
        <v>0</v>
      </c>
      <c r="H870" s="553">
        <f>-'Foglio deposito bis'!$F$61*(C870-sezione!$AO$30)*IF(ABS(N870)&lt;'Progetto del paramento slu'!$G$58,ABS(N870)*'Progetto del paramento slu'!$G$54,'Progetto del paramento slu'!$G$53)</f>
        <v>73216348.501987979</v>
      </c>
      <c r="I870" s="479">
        <f>-'Foglio deposito bis'!$F$62*(C870-sezione!$AP$30)*IF(ABS(O870)&lt;'Progetto del paramento slu'!$G$58,ABS(O870)*'Progetto del paramento slu'!$G$54,'Progetto del paramento slu'!$G$53)</f>
        <v>70454004.131717622</v>
      </c>
      <c r="J870" s="479">
        <f t="shared" si="62"/>
        <v>150422109.89110398</v>
      </c>
      <c r="K870" s="558">
        <f>'Progetto del paramento slu'!$G$60*(sezione!$AL$30-C870)/C870</f>
        <v>3.7486786675149927E-4</v>
      </c>
      <c r="L870" s="558">
        <f>'Progetto del paramento slu'!$G$60*(sezione!$AM$30-C870)/C870</f>
        <v>1.1030754500318124E-2</v>
      </c>
      <c r="M870" s="559">
        <f>'Progetto del paramento slu'!$G$60*(sezione!$AN$30-C870)/C870</f>
        <v>2.1686641133884747E-2</v>
      </c>
      <c r="N870" s="559">
        <f>'Progetto del paramento slu'!$G$60*(sezione!$AO$30-C870)/C870</f>
        <v>2.9436376867387745E-2</v>
      </c>
      <c r="O870" s="559">
        <f>'Progetto del paramento slu'!$G$60*(sezione!$AP$30-C870)/C870</f>
        <v>2.1686929886057502E-2</v>
      </c>
      <c r="P870" s="553">
        <f>-'Progetto del paramento slu'!$G$47*'Progetto del paramento slu'!$G$41*IF(DATI!$G$218="dx",DATI!$E$61,DATI!$E$64*DATI!$E$63)*1000*C870*sezione!$AD$5</f>
        <v>-509288.23068602424</v>
      </c>
      <c r="Q870" s="553">
        <f>'Foglio deposito bis'!$F$58*IF(ABS(K870)&lt;'Progetto del paramento slu'!$G$58,ABS(K870)*'Progetto del paramento slu'!$G$54,'Progetto del paramento slu'!$G$53)*IF(K870&lt;0,-1,1)</f>
        <v>0</v>
      </c>
      <c r="R870" s="553">
        <f>'Foglio deposito bis'!$F$59*IF(ABS(L870)&lt;'Progetto del paramento slu'!$G$58,ABS(L870)*'Progetto del paramento slu'!$G$54,'Progetto del paramento slu'!$G$53)*IF(L870&lt;0,-1,1)</f>
        <v>153664.85805602249</v>
      </c>
      <c r="S870" s="553">
        <f>'Foglio deposito bis'!$F$60*IF(ABS(M870)&lt;'Progetto del paramento slu'!$G$58,ABS(M870)*'Progetto del paramento slu'!$G$54,'Progetto del paramento slu'!$G$53)*IF(M870&lt;0,-1,1)</f>
        <v>0</v>
      </c>
      <c r="T870" s="553">
        <f>'Foglio deposito bis'!$F$61*IF(ABS(N870)&lt;'Progetto del paramento slu'!$G$58,ABS(N870)*'Progetto del paramento slu'!$G$54,'Progetto del paramento slu'!$G$53)*IF(N870&lt;0,-1,1)</f>
        <v>240946.49743184328</v>
      </c>
      <c r="U870" s="553">
        <f>'Foglio deposito bis'!$F$62*IF(ABS(O870)&lt;'Progetto del paramento slu'!$G$58,ABS(O870)*'Progetto del paramento slu'!$G$54,'Progetto del paramento slu'!$G$53)*IF(O870&lt;0,-1,1)</f>
        <v>314705.62929873407</v>
      </c>
      <c r="V870" s="479">
        <f t="shared" si="64"/>
        <v>200028.75410057561</v>
      </c>
      <c r="W870" s="559"/>
      <c r="X870" s="559"/>
    </row>
    <row r="871" spans="1:24" x14ac:dyDescent="0.25">
      <c r="A871" s="553">
        <f t="shared" si="63"/>
        <v>188584.07475931666</v>
      </c>
      <c r="B871" s="3">
        <f t="shared" si="66"/>
        <v>9.099999999999989</v>
      </c>
      <c r="C871" s="553">
        <f>'Foglio deposito bis'!$E$156/sezione!$B$247*B871</f>
        <v>36.942180311231368</v>
      </c>
      <c r="D871" s="611">
        <f>-'Progetto del paramento slu'!$G$47*'Progetto del paramento slu'!$G$41*IF(DATI!$G$218="dx",DATI!$E$61,DATI!$E$64*DATI!$E$63)*1000*C871^2*sezione!$AD$5*(1-sezione!$AD$6)</f>
        <v>-11234413.288832549</v>
      </c>
      <c r="E871" s="553">
        <f>-'Foglio deposito bis'!$F$58*(C871-sezione!$AL$30)*IF(ABS(K871)&lt;'Progetto del paramento slu'!$G$58,ABS(K871)*'Progetto del paramento slu'!$G$54,'Progetto del paramento slu'!$G$53)</f>
        <v>0</v>
      </c>
      <c r="F871" s="553">
        <f>-'Foglio deposito bis'!$F$59*(C871-sezione!$AM$30)*IF(ABS(L871)&lt;'Progetto del paramento slu'!$G$58,ABS(L871)*'Progetto del paramento slu'!$G$54,'Progetto del paramento slu'!$G$53)</f>
        <v>17373013.814598016</v>
      </c>
      <c r="G871" s="553">
        <f>-'Foglio deposito bis'!$F$60*(C871-sezione!$AN$30)*IF(ABS(M871)&lt;'Progetto del paramento slu'!$G$58,ABS(M871)*'Progetto del paramento slu'!$G$54,'Progetto del paramento slu'!$G$53)</f>
        <v>0</v>
      </c>
      <c r="H871" s="553">
        <f>-'Foglio deposito bis'!$F$61*(C871-sezione!$AO$30)*IF(ABS(N871)&lt;'Progetto del paramento slu'!$G$58,ABS(N871)*'Progetto del paramento slu'!$G$54,'Progetto del paramento slu'!$G$53)</f>
        <v>73020720.173339918</v>
      </c>
      <c r="I871" s="479">
        <f>-'Foglio deposito bis'!$F$62*(C871-sezione!$AP$30)*IF(ABS(O871)&lt;'Progetto del paramento slu'!$G$58,ABS(O871)*'Progetto del paramento slu'!$G$54,'Progetto del paramento slu'!$G$53)</f>
        <v>70198489.580014035</v>
      </c>
      <c r="J871" s="479">
        <f t="shared" si="62"/>
        <v>149357810.27911943</v>
      </c>
      <c r="K871" s="558">
        <f>'Progetto del paramento slu'!$G$60*(sezione!$AL$30-C871)/C871</f>
        <v>2.897059356141039E-4</v>
      </c>
      <c r="L871" s="558">
        <f>'Progetto del paramento slu'!$G$60*(sezione!$AM$30-C871)/C871</f>
        <v>1.071139725855289E-2</v>
      </c>
      <c r="M871" s="559">
        <f>'Progetto del paramento slu'!$G$60*(sezione!$AN$30-C871)/C871</f>
        <v>2.1133088581491676E-2</v>
      </c>
      <c r="N871" s="559">
        <f>'Progetto del paramento slu'!$G$60*(sezione!$AO$30-C871)/C871</f>
        <v>2.8712500452719884E-2</v>
      </c>
      <c r="O871" s="559">
        <f>'Progetto del paramento slu'!$G$60*(sezione!$AP$30-C871)/C871</f>
        <v>2.1133370987462832E-2</v>
      </c>
      <c r="P871" s="553">
        <f>-'Progetto del paramento slu'!$G$47*'Progetto del paramento slu'!$G$41*IF(DATI!$G$218="dx",DATI!$E$61,DATI!$E$64*DATI!$E$63)*1000*C871*sezione!$AD$5</f>
        <v>-520732.91002728319</v>
      </c>
      <c r="Q871" s="553">
        <f>'Foglio deposito bis'!$F$58*IF(ABS(K871)&lt;'Progetto del paramento slu'!$G$58,ABS(K871)*'Progetto del paramento slu'!$G$54,'Progetto del paramento slu'!$G$53)*IF(K871&lt;0,-1,1)</f>
        <v>0</v>
      </c>
      <c r="R871" s="553">
        <f>'Foglio deposito bis'!$F$59*IF(ABS(L871)&lt;'Progetto del paramento slu'!$G$58,ABS(L871)*'Progetto del paramento slu'!$G$54,'Progetto del paramento slu'!$G$53)*IF(L871&lt;0,-1,1)</f>
        <v>153664.85805602249</v>
      </c>
      <c r="S871" s="553">
        <f>'Foglio deposito bis'!$F$60*IF(ABS(M871)&lt;'Progetto del paramento slu'!$G$58,ABS(M871)*'Progetto del paramento slu'!$G$54,'Progetto del paramento slu'!$G$53)*IF(M871&lt;0,-1,1)</f>
        <v>0</v>
      </c>
      <c r="T871" s="553">
        <f>'Foglio deposito bis'!$F$61*IF(ABS(N871)&lt;'Progetto del paramento slu'!$G$58,ABS(N871)*'Progetto del paramento slu'!$G$54,'Progetto del paramento slu'!$G$53)*IF(N871&lt;0,-1,1)</f>
        <v>240946.49743184328</v>
      </c>
      <c r="U871" s="553">
        <f>'Foglio deposito bis'!$F$62*IF(ABS(O871)&lt;'Progetto del paramento slu'!$G$58,ABS(O871)*'Progetto del paramento slu'!$G$54,'Progetto del paramento slu'!$G$53)*IF(O871&lt;0,-1,1)</f>
        <v>314705.62929873407</v>
      </c>
      <c r="V871" s="479">
        <f t="shared" si="64"/>
        <v>188584.07475931666</v>
      </c>
      <c r="W871" s="559"/>
      <c r="X871" s="559"/>
    </row>
    <row r="872" spans="1:24" x14ac:dyDescent="0.25">
      <c r="A872" s="553">
        <f t="shared" si="63"/>
        <v>177139.39541805777</v>
      </c>
      <c r="B872" s="3">
        <f t="shared" si="66"/>
        <v>9.2999999999999883</v>
      </c>
      <c r="C872" s="553">
        <f>'Foglio deposito bis'!$E$156/sezione!$B$247*B872</f>
        <v>37.75409636202766</v>
      </c>
      <c r="D872" s="611">
        <f>-'Progetto del paramento slu'!$G$47*'Progetto del paramento slu'!$G$41*IF(DATI!$G$218="dx",DATI!$E$61,DATI!$E$64*DATI!$E$63)*1000*C872^2*sezione!$AD$5*(1-sezione!$AD$6)</f>
        <v>-11733660.250587212</v>
      </c>
      <c r="E872" s="553">
        <f>-'Foglio deposito bis'!$F$58*(C872-sezione!$AL$30)*IF(ABS(K872)&lt;'Progetto del paramento slu'!$G$58,ABS(K872)*'Progetto del paramento slu'!$G$54,'Progetto del paramento slu'!$G$53)</f>
        <v>0</v>
      </c>
      <c r="F872" s="553">
        <f>-'Foglio deposito bis'!$F$59*(C872-sezione!$AM$30)*IF(ABS(L872)&lt;'Progetto del paramento slu'!$G$58,ABS(L872)*'Progetto del paramento slu'!$G$54,'Progetto del paramento slu'!$G$53)</f>
        <v>17248250.849898998</v>
      </c>
      <c r="G872" s="553">
        <f>-'Foglio deposito bis'!$F$60*(C872-sezione!$AN$30)*IF(ABS(M872)&lt;'Progetto del paramento slu'!$G$58,ABS(M872)*'Progetto del paramento slu'!$G$54,'Progetto del paramento slu'!$G$53)</f>
        <v>0</v>
      </c>
      <c r="H872" s="553">
        <f>-'Foglio deposito bis'!$F$61*(C872-sezione!$AO$30)*IF(ABS(N872)&lt;'Progetto del paramento slu'!$G$58,ABS(N872)*'Progetto del paramento slu'!$G$54,'Progetto del paramento slu'!$G$53)</f>
        <v>72825091.844691858</v>
      </c>
      <c r="I872" s="479">
        <f>-'Foglio deposito bis'!$F$62*(C872-sezione!$AP$30)*IF(ABS(O872)&lt;'Progetto del paramento slu'!$G$58,ABS(O872)*'Progetto del paramento slu'!$G$54,'Progetto del paramento slu'!$G$53)</f>
        <v>69942975.028310433</v>
      </c>
      <c r="J872" s="479">
        <f t="shared" si="62"/>
        <v>148282657.47231406</v>
      </c>
      <c r="K872" s="558">
        <f>'Progetto del paramento slu'!$G$60*(sezione!$AL$30-C872)/C872</f>
        <v>2.0820688323530616E-4</v>
      </c>
      <c r="L872" s="558">
        <f>'Progetto del paramento slu'!$G$60*(sezione!$AM$30-C872)/C872</f>
        <v>1.0405775812132397E-2</v>
      </c>
      <c r="M872" s="559">
        <f>'Progetto del paramento slu'!$G$60*(sezione!$AN$30-C872)/C872</f>
        <v>2.060334474102949E-2</v>
      </c>
      <c r="N872" s="559">
        <f>'Progetto del paramento slu'!$G$60*(sezione!$AO$30-C872)/C872</f>
        <v>2.8019758507500103E-2</v>
      </c>
      <c r="O872" s="559">
        <f>'Progetto del paramento slu'!$G$60*(sezione!$AP$30-C872)/C872</f>
        <v>2.0603621073753953E-2</v>
      </c>
      <c r="P872" s="553">
        <f>-'Progetto del paramento slu'!$G$47*'Progetto del paramento slu'!$G$41*IF(DATI!$G$218="dx",DATI!$E$61,DATI!$E$64*DATI!$E$63)*1000*C872*sezione!$AD$5</f>
        <v>-532177.58936854207</v>
      </c>
      <c r="Q872" s="553">
        <f>'Foglio deposito bis'!$F$58*IF(ABS(K872)&lt;'Progetto del paramento slu'!$G$58,ABS(K872)*'Progetto del paramento slu'!$G$54,'Progetto del paramento slu'!$G$53)*IF(K872&lt;0,-1,1)</f>
        <v>0</v>
      </c>
      <c r="R872" s="553">
        <f>'Foglio deposito bis'!$F$59*IF(ABS(L872)&lt;'Progetto del paramento slu'!$G$58,ABS(L872)*'Progetto del paramento slu'!$G$54,'Progetto del paramento slu'!$G$53)*IF(L872&lt;0,-1,1)</f>
        <v>153664.85805602249</v>
      </c>
      <c r="S872" s="553">
        <f>'Foglio deposito bis'!$F$60*IF(ABS(M872)&lt;'Progetto del paramento slu'!$G$58,ABS(M872)*'Progetto del paramento slu'!$G$54,'Progetto del paramento slu'!$G$53)*IF(M872&lt;0,-1,1)</f>
        <v>0</v>
      </c>
      <c r="T872" s="553">
        <f>'Foglio deposito bis'!$F$61*IF(ABS(N872)&lt;'Progetto del paramento slu'!$G$58,ABS(N872)*'Progetto del paramento slu'!$G$54,'Progetto del paramento slu'!$G$53)*IF(N872&lt;0,-1,1)</f>
        <v>240946.49743184328</v>
      </c>
      <c r="U872" s="553">
        <f>'Foglio deposito bis'!$F$62*IF(ABS(O872)&lt;'Progetto del paramento slu'!$G$58,ABS(O872)*'Progetto del paramento slu'!$G$54,'Progetto del paramento slu'!$G$53)*IF(O872&lt;0,-1,1)</f>
        <v>314705.62929873407</v>
      </c>
      <c r="V872" s="479">
        <f t="shared" si="64"/>
        <v>177139.39541805777</v>
      </c>
      <c r="W872" s="559"/>
      <c r="X872" s="559"/>
    </row>
    <row r="873" spans="1:24" x14ac:dyDescent="0.25">
      <c r="A873" s="553">
        <f t="shared" si="63"/>
        <v>165694.71607679882</v>
      </c>
      <c r="B873" s="3">
        <f t="shared" si="66"/>
        <v>9.4999999999999876</v>
      </c>
      <c r="C873" s="553">
        <f>'Foglio deposito bis'!$E$156/sezione!$B$247*B873</f>
        <v>38.566012412823952</v>
      </c>
      <c r="D873" s="611">
        <f>-'Progetto del paramento slu'!$G$47*'Progetto del paramento slu'!$G$41*IF(DATI!$G$218="dx",DATI!$E$61,DATI!$E$64*DATI!$E$63)*1000*C873^2*sezione!$AD$5*(1-sezione!$AD$6)</f>
        <v>-12243760.407162631</v>
      </c>
      <c r="E873" s="553">
        <f>-'Foglio deposito bis'!$F$58*(C873-sezione!$AL$30)*IF(ABS(K873)&lt;'Progetto del paramento slu'!$G$58,ABS(K873)*'Progetto del paramento slu'!$G$54,'Progetto del paramento slu'!$G$53)</f>
        <v>0</v>
      </c>
      <c r="F873" s="553">
        <f>-'Foglio deposito bis'!$F$59*(C873-sezione!$AM$30)*IF(ABS(L873)&lt;'Progetto del paramento slu'!$G$58,ABS(L873)*'Progetto del paramento slu'!$G$54,'Progetto del paramento slu'!$G$53)</f>
        <v>17123487.885199983</v>
      </c>
      <c r="G873" s="553">
        <f>-'Foglio deposito bis'!$F$60*(C873-sezione!$AN$30)*IF(ABS(M873)&lt;'Progetto del paramento slu'!$G$58,ABS(M873)*'Progetto del paramento slu'!$G$54,'Progetto del paramento slu'!$G$53)</f>
        <v>0</v>
      </c>
      <c r="H873" s="553">
        <f>-'Foglio deposito bis'!$F$61*(C873-sezione!$AO$30)*IF(ABS(N873)&lt;'Progetto del paramento slu'!$G$58,ABS(N873)*'Progetto del paramento slu'!$G$54,'Progetto del paramento slu'!$G$53)</f>
        <v>72629463.516043782</v>
      </c>
      <c r="I873" s="479">
        <f>-'Foglio deposito bis'!$F$62*(C873-sezione!$AP$30)*IF(ABS(O873)&lt;'Progetto del paramento slu'!$G$58,ABS(O873)*'Progetto del paramento slu'!$G$54,'Progetto del paramento slu'!$G$53)</f>
        <v>69687460.476606861</v>
      </c>
      <c r="J873" s="479">
        <f t="shared" si="62"/>
        <v>147196651.47068799</v>
      </c>
      <c r="K873" s="558">
        <f>'Progetto del paramento slu'!$G$60*(sezione!$AL$30-C873)/C873</f>
        <v>1.3013936990403674E-4</v>
      </c>
      <c r="L873" s="558">
        <f>'Progetto del paramento slu'!$G$60*(sezione!$AM$30-C873)/C873</f>
        <v>1.0113022637140139E-2</v>
      </c>
      <c r="M873" s="559">
        <f>'Progetto del paramento slu'!$G$60*(sezione!$AN$30-C873)/C873</f>
        <v>2.0095905904376238E-2</v>
      </c>
      <c r="N873" s="559">
        <f>'Progetto del paramento slu'!$G$60*(sezione!$AO$30-C873)/C873</f>
        <v>2.7356184644184316E-2</v>
      </c>
      <c r="O873" s="559">
        <f>'Progetto del paramento slu'!$G$60*(sezione!$AP$30-C873)/C873</f>
        <v>2.0096176419569664E-2</v>
      </c>
      <c r="P873" s="553">
        <f>-'Progetto del paramento slu'!$G$47*'Progetto del paramento slu'!$G$41*IF(DATI!$G$218="dx",DATI!$E$61,DATI!$E$64*DATI!$E$63)*1000*C873*sezione!$AD$5</f>
        <v>-543622.26870980102</v>
      </c>
      <c r="Q873" s="553">
        <f>'Foglio deposito bis'!$F$58*IF(ABS(K873)&lt;'Progetto del paramento slu'!$G$58,ABS(K873)*'Progetto del paramento slu'!$G$54,'Progetto del paramento slu'!$G$53)*IF(K873&lt;0,-1,1)</f>
        <v>0</v>
      </c>
      <c r="R873" s="553">
        <f>'Foglio deposito bis'!$F$59*IF(ABS(L873)&lt;'Progetto del paramento slu'!$G$58,ABS(L873)*'Progetto del paramento slu'!$G$54,'Progetto del paramento slu'!$G$53)*IF(L873&lt;0,-1,1)</f>
        <v>153664.85805602249</v>
      </c>
      <c r="S873" s="553">
        <f>'Foglio deposito bis'!$F$60*IF(ABS(M873)&lt;'Progetto del paramento slu'!$G$58,ABS(M873)*'Progetto del paramento slu'!$G$54,'Progetto del paramento slu'!$G$53)*IF(M873&lt;0,-1,1)</f>
        <v>0</v>
      </c>
      <c r="T873" s="553">
        <f>'Foglio deposito bis'!$F$61*IF(ABS(N873)&lt;'Progetto del paramento slu'!$G$58,ABS(N873)*'Progetto del paramento slu'!$G$54,'Progetto del paramento slu'!$G$53)*IF(N873&lt;0,-1,1)</f>
        <v>240946.49743184328</v>
      </c>
      <c r="U873" s="553">
        <f>'Foglio deposito bis'!$F$62*IF(ABS(O873)&lt;'Progetto del paramento slu'!$G$58,ABS(O873)*'Progetto del paramento slu'!$G$54,'Progetto del paramento slu'!$G$53)*IF(O873&lt;0,-1,1)</f>
        <v>314705.62929873407</v>
      </c>
      <c r="V873" s="479">
        <f t="shared" si="64"/>
        <v>165694.71607679882</v>
      </c>
      <c r="W873" s="559"/>
      <c r="X873" s="559"/>
    </row>
    <row r="874" spans="1:24" x14ac:dyDescent="0.25">
      <c r="A874" s="553">
        <f t="shared" si="63"/>
        <v>154250.03673553988</v>
      </c>
      <c r="B874" s="3">
        <f t="shared" si="66"/>
        <v>9.6999999999999869</v>
      </c>
      <c r="C874" s="553">
        <f>'Foglio deposito bis'!$E$156/sezione!$B$247*B874</f>
        <v>39.377928463620243</v>
      </c>
      <c r="D874" s="611">
        <f>-'Progetto del paramento slu'!$G$47*'Progetto del paramento slu'!$G$41*IF(DATI!$G$218="dx",DATI!$E$61,DATI!$E$64*DATI!$E$63)*1000*C874^2*sezione!$AD$5*(1-sezione!$AD$6)</f>
        <v>-12764713.7585588</v>
      </c>
      <c r="E874" s="553">
        <f>-'Foglio deposito bis'!$F$58*(C874-sezione!$AL$30)*IF(ABS(K874)&lt;'Progetto del paramento slu'!$G$58,ABS(K874)*'Progetto del paramento slu'!$G$54,'Progetto del paramento slu'!$G$53)</f>
        <v>0</v>
      </c>
      <c r="F874" s="553">
        <f>-'Foglio deposito bis'!$F$59*(C874-sezione!$AM$30)*IF(ABS(L874)&lt;'Progetto del paramento slu'!$G$58,ABS(L874)*'Progetto del paramento slu'!$G$54,'Progetto del paramento slu'!$G$53)</f>
        <v>16998724.920500964</v>
      </c>
      <c r="G874" s="553">
        <f>-'Foglio deposito bis'!$F$60*(C874-sezione!$AN$30)*IF(ABS(M874)&lt;'Progetto del paramento slu'!$G$58,ABS(M874)*'Progetto del paramento slu'!$G$54,'Progetto del paramento slu'!$G$53)</f>
        <v>0</v>
      </c>
      <c r="H874" s="553">
        <f>-'Foglio deposito bis'!$F$61*(C874-sezione!$AO$30)*IF(ABS(N874)&lt;'Progetto del paramento slu'!$G$58,ABS(N874)*'Progetto del paramento slu'!$G$54,'Progetto del paramento slu'!$G$53)</f>
        <v>72433835.187395722</v>
      </c>
      <c r="I874" s="479">
        <f>-'Foglio deposito bis'!$F$62*(C874-sezione!$AP$30)*IF(ABS(O874)&lt;'Progetto del paramento slu'!$G$58,ABS(O874)*'Progetto del paramento slu'!$G$54,'Progetto del paramento slu'!$G$53)</f>
        <v>69431945.924903274</v>
      </c>
      <c r="J874" s="479">
        <f t="shared" si="62"/>
        <v>146099792.27424115</v>
      </c>
      <c r="K874" s="558">
        <f>'Progetto del paramento slu'!$G$60*(sezione!$AL$30-C874)/C874</f>
        <v>5.5291135473025867E-5</v>
      </c>
      <c r="L874" s="558">
        <f>'Progetto del paramento slu'!$G$60*(sezione!$AM$30-C874)/C874</f>
        <v>9.8323417580238482E-3</v>
      </c>
      <c r="M874" s="559">
        <f>'Progetto del paramento slu'!$G$60*(sezione!$AN$30-C874)/C874</f>
        <v>1.9609392380574669E-2</v>
      </c>
      <c r="N874" s="559">
        <f>'Progetto del paramento slu'!$G$60*(sezione!$AO$30-C874)/C874</f>
        <v>2.6719974651520716E-2</v>
      </c>
      <c r="O874" s="559">
        <f>'Progetto del paramento slu'!$G$60*(sezione!$AP$30-C874)/C874</f>
        <v>1.9609657318135239E-2</v>
      </c>
      <c r="P874" s="553">
        <f>-'Progetto del paramento slu'!$G$47*'Progetto del paramento slu'!$G$41*IF(DATI!$G$218="dx",DATI!$E$61,DATI!$E$64*DATI!$E$63)*1000*C874*sezione!$AD$5</f>
        <v>-555066.94805105997</v>
      </c>
      <c r="Q874" s="553">
        <f>'Foglio deposito bis'!$F$58*IF(ABS(K874)&lt;'Progetto del paramento slu'!$G$58,ABS(K874)*'Progetto del paramento slu'!$G$54,'Progetto del paramento slu'!$G$53)*IF(K874&lt;0,-1,1)</f>
        <v>0</v>
      </c>
      <c r="R874" s="553">
        <f>'Foglio deposito bis'!$F$59*IF(ABS(L874)&lt;'Progetto del paramento slu'!$G$58,ABS(L874)*'Progetto del paramento slu'!$G$54,'Progetto del paramento slu'!$G$53)*IF(L874&lt;0,-1,1)</f>
        <v>153664.85805602249</v>
      </c>
      <c r="S874" s="553">
        <f>'Foglio deposito bis'!$F$60*IF(ABS(M874)&lt;'Progetto del paramento slu'!$G$58,ABS(M874)*'Progetto del paramento slu'!$G$54,'Progetto del paramento slu'!$G$53)*IF(M874&lt;0,-1,1)</f>
        <v>0</v>
      </c>
      <c r="T874" s="553">
        <f>'Foglio deposito bis'!$F$61*IF(ABS(N874)&lt;'Progetto del paramento slu'!$G$58,ABS(N874)*'Progetto del paramento slu'!$G$54,'Progetto del paramento slu'!$G$53)*IF(N874&lt;0,-1,1)</f>
        <v>240946.49743184328</v>
      </c>
      <c r="U874" s="553">
        <f>'Foglio deposito bis'!$F$62*IF(ABS(O874)&lt;'Progetto del paramento slu'!$G$58,ABS(O874)*'Progetto del paramento slu'!$G$54,'Progetto del paramento slu'!$G$53)*IF(O874&lt;0,-1,1)</f>
        <v>314705.62929873407</v>
      </c>
      <c r="V874" s="479">
        <f t="shared" si="64"/>
        <v>154250.03673553988</v>
      </c>
      <c r="W874" s="559"/>
      <c r="X874" s="559"/>
    </row>
    <row r="875" spans="1:24" x14ac:dyDescent="0.25">
      <c r="A875" s="553">
        <f t="shared" si="63"/>
        <v>142805.35739428093</v>
      </c>
      <c r="B875" s="3">
        <f t="shared" si="66"/>
        <v>9.8999999999999861</v>
      </c>
      <c r="C875" s="553">
        <f>'Foglio deposito bis'!$E$156/sezione!$B$247*B875</f>
        <v>40.189844514416535</v>
      </c>
      <c r="D875" s="611">
        <f>-'Progetto del paramento slu'!$G$47*'Progetto del paramento slu'!$G$41*IF(DATI!$G$218="dx",DATI!$E$61,DATI!$E$64*DATI!$E$63)*1000*C875^2*sezione!$AD$5*(1-sezione!$AD$6)</f>
        <v>-13296520.304775722</v>
      </c>
      <c r="E875" s="553">
        <f>-'Foglio deposito bis'!$F$58*(C875-sezione!$AL$30)*IF(ABS(K875)&lt;'Progetto del paramento slu'!$G$58,ABS(K875)*'Progetto del paramento slu'!$G$54,'Progetto del paramento slu'!$G$53)</f>
        <v>0</v>
      </c>
      <c r="F875" s="553">
        <f>-'Foglio deposito bis'!$F$59*(C875-sezione!$AM$30)*IF(ABS(L875)&lt;'Progetto del paramento slu'!$G$58,ABS(L875)*'Progetto del paramento slu'!$G$54,'Progetto del paramento slu'!$G$53)</f>
        <v>16873961.955801945</v>
      </c>
      <c r="G875" s="553">
        <f>-'Foglio deposito bis'!$F$60*(C875-sezione!$AN$30)*IF(ABS(M875)&lt;'Progetto del paramento slu'!$G$58,ABS(M875)*'Progetto del paramento slu'!$G$54,'Progetto del paramento slu'!$G$53)</f>
        <v>0</v>
      </c>
      <c r="H875" s="553">
        <f>-'Foglio deposito bis'!$F$61*(C875-sezione!$AO$30)*IF(ABS(N875)&lt;'Progetto del paramento slu'!$G$58,ABS(N875)*'Progetto del paramento slu'!$G$54,'Progetto del paramento slu'!$G$53)</f>
        <v>72238206.858747661</v>
      </c>
      <c r="I875" s="479">
        <f>-'Foglio deposito bis'!$F$62*(C875-sezione!$AP$30)*IF(ABS(O875)&lt;'Progetto del paramento slu'!$G$58,ABS(O875)*'Progetto del paramento slu'!$G$54,'Progetto del paramento slu'!$G$53)</f>
        <v>69176431.373199672</v>
      </c>
      <c r="J875" s="479">
        <f t="shared" si="62"/>
        <v>144992079.88297355</v>
      </c>
      <c r="K875" s="558">
        <f>'Progetto del paramento slu'!$G$60*(sezione!$AL$30-C875)/C875</f>
        <v>-1.6532927869863371E-5</v>
      </c>
      <c r="L875" s="558">
        <f>'Progetto del paramento slu'!$G$60*(sezione!$AM$30-C875)/C875</f>
        <v>9.5630015204880119E-3</v>
      </c>
      <c r="M875" s="559">
        <f>'Progetto del paramento slu'!$G$60*(sezione!$AN$30-C875)/C875</f>
        <v>1.9142535968845891E-2</v>
      </c>
      <c r="N875" s="559">
        <f>'Progetto del paramento slu'!$G$60*(sezione!$AO$30-C875)/C875</f>
        <v>2.6109470113106159E-2</v>
      </c>
      <c r="O875" s="559">
        <f>'Progetto del paramento slu'!$G$60*(sezione!$AP$30-C875)/C875</f>
        <v>1.9142795554132508E-2</v>
      </c>
      <c r="P875" s="553">
        <f>-'Progetto del paramento slu'!$G$47*'Progetto del paramento slu'!$G$41*IF(DATI!$G$218="dx",DATI!$E$61,DATI!$E$64*DATI!$E$63)*1000*C875*sezione!$AD$5</f>
        <v>-566511.62739231891</v>
      </c>
      <c r="Q875" s="553">
        <f>'Foglio deposito bis'!$F$58*IF(ABS(K875)&lt;'Progetto del paramento slu'!$G$58,ABS(K875)*'Progetto del paramento slu'!$G$54,'Progetto del paramento slu'!$G$53)*IF(K875&lt;0,-1,1)</f>
        <v>0</v>
      </c>
      <c r="R875" s="553">
        <f>'Foglio deposito bis'!$F$59*IF(ABS(L875)&lt;'Progetto del paramento slu'!$G$58,ABS(L875)*'Progetto del paramento slu'!$G$54,'Progetto del paramento slu'!$G$53)*IF(L875&lt;0,-1,1)</f>
        <v>153664.85805602249</v>
      </c>
      <c r="S875" s="553">
        <f>'Foglio deposito bis'!$F$60*IF(ABS(M875)&lt;'Progetto del paramento slu'!$G$58,ABS(M875)*'Progetto del paramento slu'!$G$54,'Progetto del paramento slu'!$G$53)*IF(M875&lt;0,-1,1)</f>
        <v>0</v>
      </c>
      <c r="T875" s="553">
        <f>'Foglio deposito bis'!$F$61*IF(ABS(N875)&lt;'Progetto del paramento slu'!$G$58,ABS(N875)*'Progetto del paramento slu'!$G$54,'Progetto del paramento slu'!$G$53)*IF(N875&lt;0,-1,1)</f>
        <v>240946.49743184328</v>
      </c>
      <c r="U875" s="553">
        <f>'Foglio deposito bis'!$F$62*IF(ABS(O875)&lt;'Progetto del paramento slu'!$G$58,ABS(O875)*'Progetto del paramento slu'!$G$54,'Progetto del paramento slu'!$G$53)*IF(O875&lt;0,-1,1)</f>
        <v>314705.62929873407</v>
      </c>
      <c r="V875" s="479">
        <f t="shared" si="64"/>
        <v>142805.35739428093</v>
      </c>
      <c r="W875" s="559"/>
      <c r="X875" s="559"/>
    </row>
    <row r="876" spans="1:24" x14ac:dyDescent="0.25">
      <c r="A876" s="553">
        <f t="shared" si="63"/>
        <v>131360.67805302198</v>
      </c>
      <c r="B876" s="3">
        <f t="shared" si="66"/>
        <v>10.099999999999985</v>
      </c>
      <c r="C876" s="553">
        <f>'Foglio deposito bis'!$E$156/sezione!$B$247*B876</f>
        <v>41.001760565212827</v>
      </c>
      <c r="D876" s="611">
        <f>-'Progetto del paramento slu'!$G$47*'Progetto del paramento slu'!$G$41*IF(DATI!$G$218="dx",DATI!$E$61,DATI!$E$64*DATI!$E$63)*1000*C876^2*sezione!$AD$5*(1-sezione!$AD$6)</f>
        <v>-13839180.045813402</v>
      </c>
      <c r="E876" s="553">
        <f>-'Foglio deposito bis'!$F$58*(C876-sezione!$AL$30)*IF(ABS(K876)&lt;'Progetto del paramento slu'!$G$58,ABS(K876)*'Progetto del paramento slu'!$G$54,'Progetto del paramento slu'!$G$53)</f>
        <v>0</v>
      </c>
      <c r="F876" s="553">
        <f>-'Foglio deposito bis'!$F$59*(C876-sezione!$AM$30)*IF(ABS(L876)&lt;'Progetto del paramento slu'!$G$58,ABS(L876)*'Progetto del paramento slu'!$G$54,'Progetto del paramento slu'!$G$53)</f>
        <v>16749198.991102925</v>
      </c>
      <c r="G876" s="553">
        <f>-'Foglio deposito bis'!$F$60*(C876-sezione!$AN$30)*IF(ABS(M876)&lt;'Progetto del paramento slu'!$G$58,ABS(M876)*'Progetto del paramento slu'!$G$54,'Progetto del paramento slu'!$G$53)</f>
        <v>0</v>
      </c>
      <c r="H876" s="553">
        <f>-'Foglio deposito bis'!$F$61*(C876-sezione!$AO$30)*IF(ABS(N876)&lt;'Progetto del paramento slu'!$G$58,ABS(N876)*'Progetto del paramento slu'!$G$54,'Progetto del paramento slu'!$G$53)</f>
        <v>72042578.530099615</v>
      </c>
      <c r="I876" s="479">
        <f>-'Foglio deposito bis'!$F$62*(C876-sezione!$AP$30)*IF(ABS(O876)&lt;'Progetto del paramento slu'!$G$58,ABS(O876)*'Progetto del paramento slu'!$G$54,'Progetto del paramento slu'!$G$53)</f>
        <v>68920916.821496084</v>
      </c>
      <c r="J876" s="479">
        <f t="shared" si="62"/>
        <v>143873514.29688522</v>
      </c>
      <c r="K876" s="558">
        <f>'Progetto del paramento slu'!$G$60*(sezione!$AL$30-C876)/C876</f>
        <v>-8.5512473852638202E-5</v>
      </c>
      <c r="L876" s="558">
        <f>'Progetto del paramento slu'!$G$60*(sezione!$AM$30-C876)/C876</f>
        <v>9.3043282230526065E-3</v>
      </c>
      <c r="M876" s="559">
        <f>'Progetto del paramento slu'!$G$60*(sezione!$AN$30-C876)/C876</f>
        <v>1.869416891995785E-2</v>
      </c>
      <c r="N876" s="559">
        <f>'Progetto del paramento slu'!$G$60*(sezione!$AO$30-C876)/C876</f>
        <v>2.5523143972252579E-2</v>
      </c>
      <c r="O876" s="559">
        <f>'Progetto del paramento slu'!$G$60*(sezione!$AP$30-C876)/C876</f>
        <v>1.8694423364941766E-2</v>
      </c>
      <c r="P876" s="553">
        <f>-'Progetto del paramento slu'!$G$47*'Progetto del paramento slu'!$G$41*IF(DATI!$G$218="dx",DATI!$E$61,DATI!$E$64*DATI!$E$63)*1000*C876*sezione!$AD$5</f>
        <v>-577956.30673357786</v>
      </c>
      <c r="Q876" s="553">
        <f>'Foglio deposito bis'!$F$58*IF(ABS(K876)&lt;'Progetto del paramento slu'!$G$58,ABS(K876)*'Progetto del paramento slu'!$G$54,'Progetto del paramento slu'!$G$53)*IF(K876&lt;0,-1,1)</f>
        <v>0</v>
      </c>
      <c r="R876" s="553">
        <f>'Foglio deposito bis'!$F$59*IF(ABS(L876)&lt;'Progetto del paramento slu'!$G$58,ABS(L876)*'Progetto del paramento slu'!$G$54,'Progetto del paramento slu'!$G$53)*IF(L876&lt;0,-1,1)</f>
        <v>153664.85805602249</v>
      </c>
      <c r="S876" s="553">
        <f>'Foglio deposito bis'!$F$60*IF(ABS(M876)&lt;'Progetto del paramento slu'!$G$58,ABS(M876)*'Progetto del paramento slu'!$G$54,'Progetto del paramento slu'!$G$53)*IF(M876&lt;0,-1,1)</f>
        <v>0</v>
      </c>
      <c r="T876" s="553">
        <f>'Foglio deposito bis'!$F$61*IF(ABS(N876)&lt;'Progetto del paramento slu'!$G$58,ABS(N876)*'Progetto del paramento slu'!$G$54,'Progetto del paramento slu'!$G$53)*IF(N876&lt;0,-1,1)</f>
        <v>240946.49743184328</v>
      </c>
      <c r="U876" s="553">
        <f>'Foglio deposito bis'!$F$62*IF(ABS(O876)&lt;'Progetto del paramento slu'!$G$58,ABS(O876)*'Progetto del paramento slu'!$G$54,'Progetto del paramento slu'!$G$53)*IF(O876&lt;0,-1,1)</f>
        <v>314705.62929873407</v>
      </c>
      <c r="V876" s="479">
        <f t="shared" si="64"/>
        <v>131360.67805302198</v>
      </c>
      <c r="W876" s="559"/>
      <c r="X876" s="559"/>
    </row>
    <row r="877" spans="1:24" x14ac:dyDescent="0.25">
      <c r="A877" s="553">
        <f t="shared" si="63"/>
        <v>119915.99871176304</v>
      </c>
      <c r="B877" s="3">
        <f t="shared" si="66"/>
        <v>10.299999999999985</v>
      </c>
      <c r="C877" s="553">
        <f>'Foglio deposito bis'!$E$156/sezione!$B$247*B877</f>
        <v>41.813676616009118</v>
      </c>
      <c r="D877" s="611">
        <f>-'Progetto del paramento slu'!$G$47*'Progetto del paramento slu'!$G$41*IF(DATI!$G$218="dx",DATI!$E$61,DATI!$E$64*DATI!$E$63)*1000*C877^2*sezione!$AD$5*(1-sezione!$AD$6)</f>
        <v>-14392692.981671831</v>
      </c>
      <c r="E877" s="553">
        <f>-'Foglio deposito bis'!$F$58*(C877-sezione!$AL$30)*IF(ABS(K877)&lt;'Progetto del paramento slu'!$G$58,ABS(K877)*'Progetto del paramento slu'!$G$54,'Progetto del paramento slu'!$G$53)</f>
        <v>0</v>
      </c>
      <c r="F877" s="553">
        <f>-'Foglio deposito bis'!$F$59*(C877-sezione!$AM$30)*IF(ABS(L877)&lt;'Progetto del paramento slu'!$G$58,ABS(L877)*'Progetto del paramento slu'!$G$54,'Progetto del paramento slu'!$G$53)</f>
        <v>16624436.026403906</v>
      </c>
      <c r="G877" s="553">
        <f>-'Foglio deposito bis'!$F$60*(C877-sezione!$AN$30)*IF(ABS(M877)&lt;'Progetto del paramento slu'!$G$58,ABS(M877)*'Progetto del paramento slu'!$G$54,'Progetto del paramento slu'!$G$53)</f>
        <v>0</v>
      </c>
      <c r="H877" s="553">
        <f>-'Foglio deposito bis'!$F$61*(C877-sezione!$AO$30)*IF(ABS(N877)&lt;'Progetto del paramento slu'!$G$58,ABS(N877)*'Progetto del paramento slu'!$G$54,'Progetto del paramento slu'!$G$53)</f>
        <v>71846950.201451555</v>
      </c>
      <c r="I877" s="479">
        <f>-'Foglio deposito bis'!$F$62*(C877-sezione!$AP$30)*IF(ABS(O877)&lt;'Progetto del paramento slu'!$G$58,ABS(O877)*'Progetto del paramento slu'!$G$54,'Progetto del paramento slu'!$G$53)</f>
        <v>68665402.269792497</v>
      </c>
      <c r="J877" s="479">
        <f t="shared" ref="J877:J940" si="67">D877+E877+F877+G877+H877+I877</f>
        <v>142744095.51597613</v>
      </c>
      <c r="K877" s="558">
        <f>'Progetto del paramento slu'!$G$60*(sezione!$AL$30-C877)/C877</f>
        <v>-1.518132025156936E-4</v>
      </c>
      <c r="L877" s="558">
        <f>'Progetto del paramento slu'!$G$60*(sezione!$AM$30-C877)/C877</f>
        <v>9.0557004905661501E-3</v>
      </c>
      <c r="M877" s="559">
        <f>'Progetto del paramento slu'!$G$60*(sezione!$AN$30-C877)/C877</f>
        <v>1.8263214183647992E-2</v>
      </c>
      <c r="N877" s="559">
        <f>'Progetto del paramento slu'!$G$60*(sezione!$AO$30-C877)/C877</f>
        <v>2.4959587778616607E-2</v>
      </c>
      <c r="O877" s="559">
        <f>'Progetto del paramento slu'!$G$60*(sezione!$AP$30-C877)/C877</f>
        <v>1.8263463687952605E-2</v>
      </c>
      <c r="P877" s="553">
        <f>-'Progetto del paramento slu'!$G$47*'Progetto del paramento slu'!$G$41*IF(DATI!$G$218="dx",DATI!$E$61,DATI!$E$64*DATI!$E$63)*1000*C877*sezione!$AD$5</f>
        <v>-589400.98607483681</v>
      </c>
      <c r="Q877" s="553">
        <f>'Foglio deposito bis'!$F$58*IF(ABS(K877)&lt;'Progetto del paramento slu'!$G$58,ABS(K877)*'Progetto del paramento slu'!$G$54,'Progetto del paramento slu'!$G$53)*IF(K877&lt;0,-1,1)</f>
        <v>0</v>
      </c>
      <c r="R877" s="553">
        <f>'Foglio deposito bis'!$F$59*IF(ABS(L877)&lt;'Progetto del paramento slu'!$G$58,ABS(L877)*'Progetto del paramento slu'!$G$54,'Progetto del paramento slu'!$G$53)*IF(L877&lt;0,-1,1)</f>
        <v>153664.85805602249</v>
      </c>
      <c r="S877" s="553">
        <f>'Foglio deposito bis'!$F$60*IF(ABS(M877)&lt;'Progetto del paramento slu'!$G$58,ABS(M877)*'Progetto del paramento slu'!$G$54,'Progetto del paramento slu'!$G$53)*IF(M877&lt;0,-1,1)</f>
        <v>0</v>
      </c>
      <c r="T877" s="553">
        <f>'Foglio deposito bis'!$F$61*IF(ABS(N877)&lt;'Progetto del paramento slu'!$G$58,ABS(N877)*'Progetto del paramento slu'!$G$54,'Progetto del paramento slu'!$G$53)*IF(N877&lt;0,-1,1)</f>
        <v>240946.49743184328</v>
      </c>
      <c r="U877" s="553">
        <f>'Foglio deposito bis'!$F$62*IF(ABS(O877)&lt;'Progetto del paramento slu'!$G$58,ABS(O877)*'Progetto del paramento slu'!$G$54,'Progetto del paramento slu'!$G$53)*IF(O877&lt;0,-1,1)</f>
        <v>314705.62929873407</v>
      </c>
      <c r="V877" s="479">
        <f t="shared" si="64"/>
        <v>119915.99871176304</v>
      </c>
      <c r="W877" s="559"/>
      <c r="X877" s="559"/>
    </row>
    <row r="878" spans="1:24" x14ac:dyDescent="0.25">
      <c r="A878" s="553">
        <f t="shared" ref="A878:A941" si="68">ABS(V878)</f>
        <v>108471.31937050409</v>
      </c>
      <c r="B878" s="3">
        <f t="shared" si="66"/>
        <v>10.499999999999984</v>
      </c>
      <c r="C878" s="553">
        <f>'Foglio deposito bis'!$E$156/sezione!$B$247*B878</f>
        <v>42.62559266680541</v>
      </c>
      <c r="D878" s="611">
        <f>-'Progetto del paramento slu'!$G$47*'Progetto del paramento slu'!$G$41*IF(DATI!$G$218="dx",DATI!$E$61,DATI!$E$64*DATI!$E$63)*1000*C878^2*sezione!$AD$5*(1-sezione!$AD$6)</f>
        <v>-14957059.112351017</v>
      </c>
      <c r="E878" s="553">
        <f>-'Foglio deposito bis'!$F$58*(C878-sezione!$AL$30)*IF(ABS(K878)&lt;'Progetto del paramento slu'!$G$58,ABS(K878)*'Progetto del paramento slu'!$G$54,'Progetto del paramento slu'!$G$53)</f>
        <v>0</v>
      </c>
      <c r="F878" s="553">
        <f>-'Foglio deposito bis'!$F$59*(C878-sezione!$AM$30)*IF(ABS(L878)&lt;'Progetto del paramento slu'!$G$58,ABS(L878)*'Progetto del paramento slu'!$G$54,'Progetto del paramento slu'!$G$53)</f>
        <v>16499673.061704887</v>
      </c>
      <c r="G878" s="553">
        <f>-'Foglio deposito bis'!$F$60*(C878-sezione!$AN$30)*IF(ABS(M878)&lt;'Progetto del paramento slu'!$G$58,ABS(M878)*'Progetto del paramento slu'!$G$54,'Progetto del paramento slu'!$G$53)</f>
        <v>0</v>
      </c>
      <c r="H878" s="553">
        <f>-'Foglio deposito bis'!$F$61*(C878-sezione!$AO$30)*IF(ABS(N878)&lt;'Progetto del paramento slu'!$G$58,ABS(N878)*'Progetto del paramento slu'!$G$54,'Progetto del paramento slu'!$G$53)</f>
        <v>71651321.872803494</v>
      </c>
      <c r="I878" s="479">
        <f>-'Foglio deposito bis'!$F$62*(C878-sezione!$AP$30)*IF(ABS(O878)&lt;'Progetto del paramento slu'!$G$58,ABS(O878)*'Progetto del paramento slu'!$G$54,'Progetto del paramento slu'!$G$53)</f>
        <v>68409887.71808891</v>
      </c>
      <c r="J878" s="479">
        <f t="shared" si="67"/>
        <v>141603823.54024628</v>
      </c>
      <c r="K878" s="558">
        <f>'Progetto del paramento slu'!$G$60*(sezione!$AL$30-C878)/C878</f>
        <v>-2.1558818913444214E-4</v>
      </c>
      <c r="L878" s="558">
        <f>'Progetto del paramento slu'!$G$60*(sezione!$AM$30-C878)/C878</f>
        <v>8.8165442907458431E-3</v>
      </c>
      <c r="M878" s="559">
        <f>'Progetto del paramento slu'!$G$60*(sezione!$AN$30-C878)/C878</f>
        <v>1.7848676770626126E-2</v>
      </c>
      <c r="N878" s="559">
        <f>'Progetto del paramento slu'!$G$60*(sezione!$AO$30-C878)/C878</f>
        <v>2.4417500392357246E-2</v>
      </c>
      <c r="O878" s="559">
        <f>'Progetto del paramento slu'!$G$60*(sezione!$AP$30-C878)/C878</f>
        <v>1.7848921522467795E-2</v>
      </c>
      <c r="P878" s="553">
        <f>-'Progetto del paramento slu'!$G$47*'Progetto del paramento slu'!$G$41*IF(DATI!$G$218="dx",DATI!$E$61,DATI!$E$64*DATI!$E$63)*1000*C878*sezione!$AD$5</f>
        <v>-600845.66541609576</v>
      </c>
      <c r="Q878" s="553">
        <f>'Foglio deposito bis'!$F$58*IF(ABS(K878)&lt;'Progetto del paramento slu'!$G$58,ABS(K878)*'Progetto del paramento slu'!$G$54,'Progetto del paramento slu'!$G$53)*IF(K878&lt;0,-1,1)</f>
        <v>0</v>
      </c>
      <c r="R878" s="553">
        <f>'Foglio deposito bis'!$F$59*IF(ABS(L878)&lt;'Progetto del paramento slu'!$G$58,ABS(L878)*'Progetto del paramento slu'!$G$54,'Progetto del paramento slu'!$G$53)*IF(L878&lt;0,-1,1)</f>
        <v>153664.85805602249</v>
      </c>
      <c r="S878" s="553">
        <f>'Foglio deposito bis'!$F$60*IF(ABS(M878)&lt;'Progetto del paramento slu'!$G$58,ABS(M878)*'Progetto del paramento slu'!$G$54,'Progetto del paramento slu'!$G$53)*IF(M878&lt;0,-1,1)</f>
        <v>0</v>
      </c>
      <c r="T878" s="553">
        <f>'Foglio deposito bis'!$F$61*IF(ABS(N878)&lt;'Progetto del paramento slu'!$G$58,ABS(N878)*'Progetto del paramento slu'!$G$54,'Progetto del paramento slu'!$G$53)*IF(N878&lt;0,-1,1)</f>
        <v>240946.49743184328</v>
      </c>
      <c r="U878" s="553">
        <f>'Foglio deposito bis'!$F$62*IF(ABS(O878)&lt;'Progetto del paramento slu'!$G$58,ABS(O878)*'Progetto del paramento slu'!$G$54,'Progetto del paramento slu'!$G$53)*IF(O878&lt;0,-1,1)</f>
        <v>314705.62929873407</v>
      </c>
      <c r="V878" s="479">
        <f t="shared" ref="V878:V941" si="69">P878+Q878+R878+S878+T878+U878</f>
        <v>108471.31937050409</v>
      </c>
      <c r="W878" s="559"/>
      <c r="X878" s="559"/>
    </row>
    <row r="879" spans="1:24" x14ac:dyDescent="0.25">
      <c r="A879" s="553">
        <f t="shared" si="68"/>
        <v>97026.640029245144</v>
      </c>
      <c r="B879" s="3">
        <f t="shared" si="66"/>
        <v>10.699999999999983</v>
      </c>
      <c r="C879" s="553">
        <f>'Foglio deposito bis'!$E$156/sezione!$B$247*B879</f>
        <v>43.437508717601702</v>
      </c>
      <c r="D879" s="611">
        <f>-'Progetto del paramento slu'!$G$47*'Progetto del paramento slu'!$G$41*IF(DATI!$G$218="dx",DATI!$E$61,DATI!$E$64*DATI!$E$63)*1000*C879^2*sezione!$AD$5*(1-sezione!$AD$6)</f>
        <v>-15532278.437850952</v>
      </c>
      <c r="E879" s="553">
        <f>-'Foglio deposito bis'!$F$58*(C879-sezione!$AL$30)*IF(ABS(K879)&lt;'Progetto del paramento slu'!$G$58,ABS(K879)*'Progetto del paramento slu'!$G$54,'Progetto del paramento slu'!$G$53)</f>
        <v>0</v>
      </c>
      <c r="F879" s="553">
        <f>-'Foglio deposito bis'!$F$59*(C879-sezione!$AM$30)*IF(ABS(L879)&lt;'Progetto del paramento slu'!$G$58,ABS(L879)*'Progetto del paramento slu'!$G$54,'Progetto del paramento slu'!$G$53)</f>
        <v>16374910.097005868</v>
      </c>
      <c r="G879" s="553">
        <f>-'Foglio deposito bis'!$F$60*(C879-sezione!$AN$30)*IF(ABS(M879)&lt;'Progetto del paramento slu'!$G$58,ABS(M879)*'Progetto del paramento slu'!$G$54,'Progetto del paramento slu'!$G$53)</f>
        <v>0</v>
      </c>
      <c r="H879" s="553">
        <f>-'Foglio deposito bis'!$F$61*(C879-sezione!$AO$30)*IF(ABS(N879)&lt;'Progetto del paramento slu'!$G$58,ABS(N879)*'Progetto del paramento slu'!$G$54,'Progetto del paramento slu'!$G$53)</f>
        <v>71455693.544155434</v>
      </c>
      <c r="I879" s="479">
        <f>-'Foglio deposito bis'!$F$62*(C879-sezione!$AP$30)*IF(ABS(O879)&lt;'Progetto del paramento slu'!$G$58,ABS(O879)*'Progetto del paramento slu'!$G$54,'Progetto del paramento slu'!$G$53)</f>
        <v>68154373.166385323</v>
      </c>
      <c r="J879" s="479">
        <f t="shared" si="67"/>
        <v>140452698.36969566</v>
      </c>
      <c r="K879" s="558">
        <f>'Progetto del paramento slu'!$G$60*(sezione!$AL$30-C879)/C879</f>
        <v>-2.7697906410389174E-4</v>
      </c>
      <c r="L879" s="558">
        <f>'Progetto del paramento slu'!$G$60*(sezione!$AM$30-C879)/C879</f>
        <v>8.5863285096104067E-3</v>
      </c>
      <c r="M879" s="559">
        <f>'Progetto del paramento slu'!$G$60*(sezione!$AN$30-C879)/C879</f>
        <v>1.7449636083324706E-2</v>
      </c>
      <c r="N879" s="559">
        <f>'Progetto del paramento slu'!$G$60*(sezione!$AO$30-C879)/C879</f>
        <v>2.389567795511692E-2</v>
      </c>
      <c r="O879" s="559">
        <f>'Progetto del paramento slu'!$G$60*(sezione!$AP$30-C879)/C879</f>
        <v>1.7449876260365597E-2</v>
      </c>
      <c r="P879" s="553">
        <f>-'Progetto del paramento slu'!$G$47*'Progetto del paramento slu'!$G$41*IF(DATI!$G$218="dx",DATI!$E$61,DATI!$E$64*DATI!$E$63)*1000*C879*sezione!$AD$5</f>
        <v>-612290.3447573547</v>
      </c>
      <c r="Q879" s="553">
        <f>'Foglio deposito bis'!$F$58*IF(ABS(K879)&lt;'Progetto del paramento slu'!$G$58,ABS(K879)*'Progetto del paramento slu'!$G$54,'Progetto del paramento slu'!$G$53)*IF(K879&lt;0,-1,1)</f>
        <v>0</v>
      </c>
      <c r="R879" s="553">
        <f>'Foglio deposito bis'!$F$59*IF(ABS(L879)&lt;'Progetto del paramento slu'!$G$58,ABS(L879)*'Progetto del paramento slu'!$G$54,'Progetto del paramento slu'!$G$53)*IF(L879&lt;0,-1,1)</f>
        <v>153664.85805602249</v>
      </c>
      <c r="S879" s="553">
        <f>'Foglio deposito bis'!$F$60*IF(ABS(M879)&lt;'Progetto del paramento slu'!$G$58,ABS(M879)*'Progetto del paramento slu'!$G$54,'Progetto del paramento slu'!$G$53)*IF(M879&lt;0,-1,1)</f>
        <v>0</v>
      </c>
      <c r="T879" s="553">
        <f>'Foglio deposito bis'!$F$61*IF(ABS(N879)&lt;'Progetto del paramento slu'!$G$58,ABS(N879)*'Progetto del paramento slu'!$G$54,'Progetto del paramento slu'!$G$53)*IF(N879&lt;0,-1,1)</f>
        <v>240946.49743184328</v>
      </c>
      <c r="U879" s="553">
        <f>'Foglio deposito bis'!$F$62*IF(ABS(O879)&lt;'Progetto del paramento slu'!$G$58,ABS(O879)*'Progetto del paramento slu'!$G$54,'Progetto del paramento slu'!$G$53)*IF(O879&lt;0,-1,1)</f>
        <v>314705.62929873407</v>
      </c>
      <c r="V879" s="479">
        <f t="shared" si="69"/>
        <v>97026.640029245144</v>
      </c>
      <c r="W879" s="559"/>
      <c r="X879" s="559"/>
    </row>
    <row r="880" spans="1:24" x14ac:dyDescent="0.25">
      <c r="A880" s="553">
        <f t="shared" si="68"/>
        <v>85581.960687986197</v>
      </c>
      <c r="B880" s="3">
        <f t="shared" si="66"/>
        <v>10.899999999999983</v>
      </c>
      <c r="C880" s="553">
        <f>'Foglio deposito bis'!$E$156/sezione!$B$247*B880</f>
        <v>44.249424768397994</v>
      </c>
      <c r="D880" s="611">
        <f>-'Progetto del paramento slu'!$G$47*'Progetto del paramento slu'!$G$41*IF(DATI!$G$218="dx",DATI!$E$61,DATI!$E$64*DATI!$E$63)*1000*C880^2*sezione!$AD$5*(1-sezione!$AD$6)</f>
        <v>-16118350.958171645</v>
      </c>
      <c r="E880" s="553">
        <f>-'Foglio deposito bis'!$F$58*(C880-sezione!$AL$30)*IF(ABS(K880)&lt;'Progetto del paramento slu'!$G$58,ABS(K880)*'Progetto del paramento slu'!$G$54,'Progetto del paramento slu'!$G$53)</f>
        <v>0</v>
      </c>
      <c r="F880" s="553">
        <f>-'Foglio deposito bis'!$F$59*(C880-sezione!$AM$30)*IF(ABS(L880)&lt;'Progetto del paramento slu'!$G$58,ABS(L880)*'Progetto del paramento slu'!$G$54,'Progetto del paramento slu'!$G$53)</f>
        <v>16250147.13230685</v>
      </c>
      <c r="G880" s="553">
        <f>-'Foglio deposito bis'!$F$60*(C880-sezione!$AN$30)*IF(ABS(M880)&lt;'Progetto del paramento slu'!$G$58,ABS(M880)*'Progetto del paramento slu'!$G$54,'Progetto del paramento slu'!$G$53)</f>
        <v>0</v>
      </c>
      <c r="H880" s="553">
        <f>-'Foglio deposito bis'!$F$61*(C880-sezione!$AO$30)*IF(ABS(N880)&lt;'Progetto del paramento slu'!$G$58,ABS(N880)*'Progetto del paramento slu'!$G$54,'Progetto del paramento slu'!$G$53)</f>
        <v>71260065.215507358</v>
      </c>
      <c r="I880" s="479">
        <f>-'Foglio deposito bis'!$F$62*(C880-sezione!$AP$30)*IF(ABS(O880)&lt;'Progetto del paramento slu'!$G$58,ABS(O880)*'Progetto del paramento slu'!$G$54,'Progetto del paramento slu'!$G$53)</f>
        <v>67898858.614681721</v>
      </c>
      <c r="J880" s="479">
        <f t="shared" si="67"/>
        <v>139290720.00432429</v>
      </c>
      <c r="K880" s="558">
        <f>'Progetto del paramento slu'!$G$60*(sezione!$AL$30-C880)/C880</f>
        <v>-3.3611706292767341E-4</v>
      </c>
      <c r="L880" s="558">
        <f>'Progetto del paramento slu'!$G$60*(sezione!$AM$30-C880)/C880</f>
        <v>8.3645610140212247E-3</v>
      </c>
      <c r="M880" s="559">
        <f>'Progetto del paramento slu'!$G$60*(sezione!$AN$30-C880)/C880</f>
        <v>1.7065239090970123E-2</v>
      </c>
      <c r="N880" s="559">
        <f>'Progetto del paramento slu'!$G$60*(sezione!$AO$30-C880)/C880</f>
        <v>2.3393004965114775E-2</v>
      </c>
      <c r="O880" s="559">
        <f>'Progetto del paramento slu'!$G$60*(sezione!$AP$30-C880)/C880</f>
        <v>1.706547486109283E-2</v>
      </c>
      <c r="P880" s="553">
        <f>-'Progetto del paramento slu'!$G$47*'Progetto del paramento slu'!$G$41*IF(DATI!$G$218="dx",DATI!$E$61,DATI!$E$64*DATI!$E$63)*1000*C880*sezione!$AD$5</f>
        <v>-623735.02409861365</v>
      </c>
      <c r="Q880" s="553">
        <f>'Foglio deposito bis'!$F$58*IF(ABS(K880)&lt;'Progetto del paramento slu'!$G$58,ABS(K880)*'Progetto del paramento slu'!$G$54,'Progetto del paramento slu'!$G$53)*IF(K880&lt;0,-1,1)</f>
        <v>0</v>
      </c>
      <c r="R880" s="553">
        <f>'Foglio deposito bis'!$F$59*IF(ABS(L880)&lt;'Progetto del paramento slu'!$G$58,ABS(L880)*'Progetto del paramento slu'!$G$54,'Progetto del paramento slu'!$G$53)*IF(L880&lt;0,-1,1)</f>
        <v>153664.85805602249</v>
      </c>
      <c r="S880" s="553">
        <f>'Foglio deposito bis'!$F$60*IF(ABS(M880)&lt;'Progetto del paramento slu'!$G$58,ABS(M880)*'Progetto del paramento slu'!$G$54,'Progetto del paramento slu'!$G$53)*IF(M880&lt;0,-1,1)</f>
        <v>0</v>
      </c>
      <c r="T880" s="553">
        <f>'Foglio deposito bis'!$F$61*IF(ABS(N880)&lt;'Progetto del paramento slu'!$G$58,ABS(N880)*'Progetto del paramento slu'!$G$54,'Progetto del paramento slu'!$G$53)*IF(N880&lt;0,-1,1)</f>
        <v>240946.49743184328</v>
      </c>
      <c r="U880" s="553">
        <f>'Foglio deposito bis'!$F$62*IF(ABS(O880)&lt;'Progetto del paramento slu'!$G$58,ABS(O880)*'Progetto del paramento slu'!$G$54,'Progetto del paramento slu'!$G$53)*IF(O880&lt;0,-1,1)</f>
        <v>314705.62929873407</v>
      </c>
      <c r="V880" s="479">
        <f t="shared" si="69"/>
        <v>85581.960687986197</v>
      </c>
      <c r="W880" s="559"/>
      <c r="X880" s="559"/>
    </row>
    <row r="881" spans="1:24" x14ac:dyDescent="0.25">
      <c r="A881" s="553">
        <f t="shared" si="68"/>
        <v>74137.28134672725</v>
      </c>
      <c r="B881" s="3">
        <f t="shared" si="66"/>
        <v>11.099999999999982</v>
      </c>
      <c r="C881" s="553">
        <f>'Foglio deposito bis'!$E$156/sezione!$B$247*B881</f>
        <v>45.061340819194285</v>
      </c>
      <c r="D881" s="611">
        <f>-'Progetto del paramento slu'!$G$47*'Progetto del paramento slu'!$G$41*IF(DATI!$G$218="dx",DATI!$E$61,DATI!$E$64*DATI!$E$63)*1000*C881^2*sezione!$AD$5*(1-sezione!$AD$6)</f>
        <v>-16715276.673313089</v>
      </c>
      <c r="E881" s="553">
        <f>-'Foglio deposito bis'!$F$58*(C881-sezione!$AL$30)*IF(ABS(K881)&lt;'Progetto del paramento slu'!$G$58,ABS(K881)*'Progetto del paramento slu'!$G$54,'Progetto del paramento slu'!$G$53)</f>
        <v>0</v>
      </c>
      <c r="F881" s="553">
        <f>-'Foglio deposito bis'!$F$59*(C881-sezione!$AM$30)*IF(ABS(L881)&lt;'Progetto del paramento slu'!$G$58,ABS(L881)*'Progetto del paramento slu'!$G$54,'Progetto del paramento slu'!$G$53)</f>
        <v>16125384.167607831</v>
      </c>
      <c r="G881" s="553">
        <f>-'Foglio deposito bis'!$F$60*(C881-sezione!$AN$30)*IF(ABS(M881)&lt;'Progetto del paramento slu'!$G$58,ABS(M881)*'Progetto del paramento slu'!$G$54,'Progetto del paramento slu'!$G$53)</f>
        <v>0</v>
      </c>
      <c r="H881" s="553">
        <f>-'Foglio deposito bis'!$F$61*(C881-sezione!$AO$30)*IF(ABS(N881)&lt;'Progetto del paramento slu'!$G$58,ABS(N881)*'Progetto del paramento slu'!$G$54,'Progetto del paramento slu'!$G$53)</f>
        <v>71064436.886859298</v>
      </c>
      <c r="I881" s="479">
        <f>-'Foglio deposito bis'!$F$62*(C881-sezione!$AP$30)*IF(ABS(O881)&lt;'Progetto del paramento slu'!$G$58,ABS(O881)*'Progetto del paramento slu'!$G$54,'Progetto del paramento slu'!$G$53)</f>
        <v>67643344.062978134</v>
      </c>
      <c r="J881" s="479">
        <f t="shared" si="67"/>
        <v>138117888.44413218</v>
      </c>
      <c r="K881" s="558">
        <f>'Progetto del paramento slu'!$G$60*(sezione!$AL$30-C881)/C881</f>
        <v>-3.9312396269474223E-4</v>
      </c>
      <c r="L881" s="558">
        <f>'Progetto del paramento slu'!$G$60*(sezione!$AM$30-C881)/C881</f>
        <v>8.1507851398947163E-3</v>
      </c>
      <c r="M881" s="559">
        <f>'Progetto del paramento slu'!$G$60*(sezione!$AN$30-C881)/C881</f>
        <v>1.6694694242484175E-2</v>
      </c>
      <c r="N881" s="559">
        <f>'Progetto del paramento slu'!$G$60*(sezione!$AO$30-C881)/C881</f>
        <v>2.290844631709469E-2</v>
      </c>
      <c r="O881" s="559">
        <f>'Progetto del paramento slu'!$G$60*(sezione!$AP$30-C881)/C881</f>
        <v>1.6694925764496566E-2</v>
      </c>
      <c r="P881" s="553">
        <f>-'Progetto del paramento slu'!$G$47*'Progetto del paramento slu'!$G$41*IF(DATI!$G$218="dx",DATI!$E$61,DATI!$E$64*DATI!$E$63)*1000*C881*sezione!$AD$5</f>
        <v>-635179.7034398726</v>
      </c>
      <c r="Q881" s="553">
        <f>'Foglio deposito bis'!$F$58*IF(ABS(K881)&lt;'Progetto del paramento slu'!$G$58,ABS(K881)*'Progetto del paramento slu'!$G$54,'Progetto del paramento slu'!$G$53)*IF(K881&lt;0,-1,1)</f>
        <v>0</v>
      </c>
      <c r="R881" s="553">
        <f>'Foglio deposito bis'!$F$59*IF(ABS(L881)&lt;'Progetto del paramento slu'!$G$58,ABS(L881)*'Progetto del paramento slu'!$G$54,'Progetto del paramento slu'!$G$53)*IF(L881&lt;0,-1,1)</f>
        <v>153664.85805602249</v>
      </c>
      <c r="S881" s="553">
        <f>'Foglio deposito bis'!$F$60*IF(ABS(M881)&lt;'Progetto del paramento slu'!$G$58,ABS(M881)*'Progetto del paramento slu'!$G$54,'Progetto del paramento slu'!$G$53)*IF(M881&lt;0,-1,1)</f>
        <v>0</v>
      </c>
      <c r="T881" s="553">
        <f>'Foglio deposito bis'!$F$61*IF(ABS(N881)&lt;'Progetto del paramento slu'!$G$58,ABS(N881)*'Progetto del paramento slu'!$G$54,'Progetto del paramento slu'!$G$53)*IF(N881&lt;0,-1,1)</f>
        <v>240946.49743184328</v>
      </c>
      <c r="U881" s="553">
        <f>'Foglio deposito bis'!$F$62*IF(ABS(O881)&lt;'Progetto del paramento slu'!$G$58,ABS(O881)*'Progetto del paramento slu'!$G$54,'Progetto del paramento slu'!$G$53)*IF(O881&lt;0,-1,1)</f>
        <v>314705.62929873407</v>
      </c>
      <c r="V881" s="479">
        <f t="shared" si="69"/>
        <v>74137.28134672725</v>
      </c>
      <c r="W881" s="559"/>
      <c r="X881" s="559"/>
    </row>
    <row r="882" spans="1:24" x14ac:dyDescent="0.25">
      <c r="A882" s="553">
        <f t="shared" si="68"/>
        <v>62692.602005468303</v>
      </c>
      <c r="B882" s="3">
        <f t="shared" si="66"/>
        <v>11.299999999999981</v>
      </c>
      <c r="C882" s="553">
        <f>'Foglio deposito bis'!$E$156/sezione!$B$247*B882</f>
        <v>45.873256869990577</v>
      </c>
      <c r="D882" s="611">
        <f>-'Progetto del paramento slu'!$G$47*'Progetto del paramento slu'!$G$41*IF(DATI!$G$218="dx",DATI!$E$61,DATI!$E$64*DATI!$E$63)*1000*C882^2*sezione!$AD$5*(1-sezione!$AD$6)</f>
        <v>-17323055.583275288</v>
      </c>
      <c r="E882" s="553">
        <f>-'Foglio deposito bis'!$F$58*(C882-sezione!$AL$30)*IF(ABS(K882)&lt;'Progetto del paramento slu'!$G$58,ABS(K882)*'Progetto del paramento slu'!$G$54,'Progetto del paramento slu'!$G$53)</f>
        <v>0</v>
      </c>
      <c r="F882" s="553">
        <f>-'Foglio deposito bis'!$F$59*(C882-sezione!$AM$30)*IF(ABS(L882)&lt;'Progetto del paramento slu'!$G$58,ABS(L882)*'Progetto del paramento slu'!$G$54,'Progetto del paramento slu'!$G$53)</f>
        <v>16000621.202908816</v>
      </c>
      <c r="G882" s="553">
        <f>-'Foglio deposito bis'!$F$60*(C882-sezione!$AN$30)*IF(ABS(M882)&lt;'Progetto del paramento slu'!$G$58,ABS(M882)*'Progetto del paramento slu'!$G$54,'Progetto del paramento slu'!$G$53)</f>
        <v>0</v>
      </c>
      <c r="H882" s="553">
        <f>-'Foglio deposito bis'!$F$61*(C882-sezione!$AO$30)*IF(ABS(N882)&lt;'Progetto del paramento slu'!$G$58,ABS(N882)*'Progetto del paramento slu'!$G$54,'Progetto del paramento slu'!$G$53)</f>
        <v>70868808.558211237</v>
      </c>
      <c r="I882" s="479">
        <f>-'Foglio deposito bis'!$F$62*(C882-sezione!$AP$30)*IF(ABS(O882)&lt;'Progetto del paramento slu'!$G$58,ABS(O882)*'Progetto del paramento slu'!$G$54,'Progetto del paramento slu'!$G$53)</f>
        <v>67387829.511274546</v>
      </c>
      <c r="J882" s="479">
        <f t="shared" si="67"/>
        <v>136934203.68911931</v>
      </c>
      <c r="K882" s="558">
        <f>'Progetto del paramento slu'!$G$60*(sezione!$AL$30-C882)/C882</f>
        <v>-4.4811291910722454E-4</v>
      </c>
      <c r="L882" s="558">
        <f>'Progetto del paramento slu'!$G$60*(sezione!$AM$30-C882)/C882</f>
        <v>7.9445765533479092E-3</v>
      </c>
      <c r="M882" s="559">
        <f>'Progetto del paramento slu'!$G$60*(sezione!$AN$30-C882)/C882</f>
        <v>1.6337266025803043E-2</v>
      </c>
      <c r="N882" s="559">
        <f>'Progetto del paramento slu'!$G$60*(sezione!$AO$30-C882)/C882</f>
        <v>2.2441040187588589E-2</v>
      </c>
      <c r="O882" s="559">
        <f>'Progetto del paramento slu'!$G$60*(sezione!$AP$30-C882)/C882</f>
        <v>1.63374934500807E-2</v>
      </c>
      <c r="P882" s="553">
        <f>-'Progetto del paramento slu'!$G$47*'Progetto del paramento slu'!$G$41*IF(DATI!$G$218="dx",DATI!$E$61,DATI!$E$64*DATI!$E$63)*1000*C882*sezione!$AD$5</f>
        <v>-646624.38278113154</v>
      </c>
      <c r="Q882" s="553">
        <f>'Foglio deposito bis'!$F$58*IF(ABS(K882)&lt;'Progetto del paramento slu'!$G$58,ABS(K882)*'Progetto del paramento slu'!$G$54,'Progetto del paramento slu'!$G$53)*IF(K882&lt;0,-1,1)</f>
        <v>0</v>
      </c>
      <c r="R882" s="553">
        <f>'Foglio deposito bis'!$F$59*IF(ABS(L882)&lt;'Progetto del paramento slu'!$G$58,ABS(L882)*'Progetto del paramento slu'!$G$54,'Progetto del paramento slu'!$G$53)*IF(L882&lt;0,-1,1)</f>
        <v>153664.85805602249</v>
      </c>
      <c r="S882" s="553">
        <f>'Foglio deposito bis'!$F$60*IF(ABS(M882)&lt;'Progetto del paramento slu'!$G$58,ABS(M882)*'Progetto del paramento slu'!$G$54,'Progetto del paramento slu'!$G$53)*IF(M882&lt;0,-1,1)</f>
        <v>0</v>
      </c>
      <c r="T882" s="553">
        <f>'Foglio deposito bis'!$F$61*IF(ABS(N882)&lt;'Progetto del paramento slu'!$G$58,ABS(N882)*'Progetto del paramento slu'!$G$54,'Progetto del paramento slu'!$G$53)*IF(N882&lt;0,-1,1)</f>
        <v>240946.49743184328</v>
      </c>
      <c r="U882" s="553">
        <f>'Foglio deposito bis'!$F$62*IF(ABS(O882)&lt;'Progetto del paramento slu'!$G$58,ABS(O882)*'Progetto del paramento slu'!$G$54,'Progetto del paramento slu'!$G$53)*IF(O882&lt;0,-1,1)</f>
        <v>314705.62929873407</v>
      </c>
      <c r="V882" s="479">
        <f t="shared" si="69"/>
        <v>62692.602005468303</v>
      </c>
      <c r="W882" s="559"/>
      <c r="X882" s="559"/>
    </row>
    <row r="883" spans="1:24" x14ac:dyDescent="0.25">
      <c r="A883" s="553">
        <f t="shared" si="68"/>
        <v>51247.922664209444</v>
      </c>
      <c r="B883" s="3">
        <f t="shared" si="66"/>
        <v>11.49999999999998</v>
      </c>
      <c r="C883" s="553">
        <f>'Foglio deposito bis'!$E$156/sezione!$B$247*B883</f>
        <v>46.685172920786869</v>
      </c>
      <c r="D883" s="611">
        <f>-'Progetto del paramento slu'!$G$47*'Progetto del paramento slu'!$G$41*IF(DATI!$G$218="dx",DATI!$E$61,DATI!$E$64*DATI!$E$63)*1000*C883^2*sezione!$AD$5*(1-sezione!$AD$6)</f>
        <v>-17941687.688058238</v>
      </c>
      <c r="E883" s="553">
        <f>-'Foglio deposito bis'!$F$58*(C883-sezione!$AL$30)*IF(ABS(K883)&lt;'Progetto del paramento slu'!$G$58,ABS(K883)*'Progetto del paramento slu'!$G$54,'Progetto del paramento slu'!$G$53)</f>
        <v>0</v>
      </c>
      <c r="F883" s="553">
        <f>-'Foglio deposito bis'!$F$59*(C883-sezione!$AM$30)*IF(ABS(L883)&lt;'Progetto del paramento slu'!$G$58,ABS(L883)*'Progetto del paramento slu'!$G$54,'Progetto del paramento slu'!$G$53)</f>
        <v>15875858.238209797</v>
      </c>
      <c r="G883" s="553">
        <f>-'Foglio deposito bis'!$F$60*(C883-sezione!$AN$30)*IF(ABS(M883)&lt;'Progetto del paramento slu'!$G$58,ABS(M883)*'Progetto del paramento slu'!$G$54,'Progetto del paramento slu'!$G$53)</f>
        <v>0</v>
      </c>
      <c r="H883" s="553">
        <f>-'Foglio deposito bis'!$F$61*(C883-sezione!$AO$30)*IF(ABS(N883)&lt;'Progetto del paramento slu'!$G$58,ABS(N883)*'Progetto del paramento slu'!$G$54,'Progetto del paramento slu'!$G$53)</f>
        <v>70673180.229563177</v>
      </c>
      <c r="I883" s="479">
        <f>-'Foglio deposito bis'!$F$62*(C883-sezione!$AP$30)*IF(ABS(O883)&lt;'Progetto del paramento slu'!$G$58,ABS(O883)*'Progetto del paramento slu'!$G$54,'Progetto del paramento slu'!$G$53)</f>
        <v>67132314.959570959</v>
      </c>
      <c r="J883" s="479">
        <f t="shared" si="67"/>
        <v>135739665.73928571</v>
      </c>
      <c r="K883" s="558">
        <f>'Progetto del paramento slu'!$G$60*(sezione!$AL$30-C883)/C883</f>
        <v>-5.0118921616622921E-4</v>
      </c>
      <c r="L883" s="558">
        <f>'Progetto del paramento slu'!$G$60*(sezione!$AM$30-C883)/C883</f>
        <v>7.7455404393766405E-3</v>
      </c>
      <c r="M883" s="559">
        <f>'Progetto del paramento slu'!$G$60*(sezione!$AN$30-C883)/C883</f>
        <v>1.5992270094919509E-2</v>
      </c>
      <c r="N883" s="559">
        <f>'Progetto del paramento slu'!$G$60*(sezione!$AO$30-C883)/C883</f>
        <v>2.1989891662587056E-2</v>
      </c>
      <c r="O883" s="559">
        <f>'Progetto del paramento slu'!$G$60*(sezione!$AP$30-C883)/C883</f>
        <v>1.5992493563992339E-2</v>
      </c>
      <c r="P883" s="553">
        <f>-'Progetto del paramento slu'!$G$47*'Progetto del paramento slu'!$G$41*IF(DATI!$G$218="dx",DATI!$E$61,DATI!$E$64*DATI!$E$63)*1000*C883*sezione!$AD$5</f>
        <v>-658069.06212239037</v>
      </c>
      <c r="Q883" s="553">
        <f>'Foglio deposito bis'!$F$58*IF(ABS(K883)&lt;'Progetto del paramento slu'!$G$58,ABS(K883)*'Progetto del paramento slu'!$G$54,'Progetto del paramento slu'!$G$53)*IF(K883&lt;0,-1,1)</f>
        <v>0</v>
      </c>
      <c r="R883" s="553">
        <f>'Foglio deposito bis'!$F$59*IF(ABS(L883)&lt;'Progetto del paramento slu'!$G$58,ABS(L883)*'Progetto del paramento slu'!$G$54,'Progetto del paramento slu'!$G$53)*IF(L883&lt;0,-1,1)</f>
        <v>153664.85805602249</v>
      </c>
      <c r="S883" s="553">
        <f>'Foglio deposito bis'!$F$60*IF(ABS(M883)&lt;'Progetto del paramento slu'!$G$58,ABS(M883)*'Progetto del paramento slu'!$G$54,'Progetto del paramento slu'!$G$53)*IF(M883&lt;0,-1,1)</f>
        <v>0</v>
      </c>
      <c r="T883" s="553">
        <f>'Foglio deposito bis'!$F$61*IF(ABS(N883)&lt;'Progetto del paramento slu'!$G$58,ABS(N883)*'Progetto del paramento slu'!$G$54,'Progetto del paramento slu'!$G$53)*IF(N883&lt;0,-1,1)</f>
        <v>240946.49743184328</v>
      </c>
      <c r="U883" s="553">
        <f>'Foglio deposito bis'!$F$62*IF(ABS(O883)&lt;'Progetto del paramento slu'!$G$58,ABS(O883)*'Progetto del paramento slu'!$G$54,'Progetto del paramento slu'!$G$53)*IF(O883&lt;0,-1,1)</f>
        <v>314705.62929873407</v>
      </c>
      <c r="V883" s="479">
        <f t="shared" si="69"/>
        <v>51247.922664209444</v>
      </c>
      <c r="W883" s="559"/>
      <c r="X883" s="559"/>
    </row>
    <row r="884" spans="1:24" x14ac:dyDescent="0.25">
      <c r="A884" s="553">
        <f t="shared" si="68"/>
        <v>39803.243322950497</v>
      </c>
      <c r="B884" s="3">
        <f t="shared" si="66"/>
        <v>11.69999999999998</v>
      </c>
      <c r="C884" s="553">
        <f>'Foglio deposito bis'!$E$156/sezione!$B$247*B884</f>
        <v>47.49708897158316</v>
      </c>
      <c r="D884" s="611">
        <f>-'Progetto del paramento slu'!$G$47*'Progetto del paramento slu'!$G$41*IF(DATI!$G$218="dx",DATI!$E$61,DATI!$E$64*DATI!$E$63)*1000*C884^2*sezione!$AD$5*(1-sezione!$AD$6)</f>
        <v>-18571172.987661947</v>
      </c>
      <c r="E884" s="553">
        <f>-'Foglio deposito bis'!$F$58*(C884-sezione!$AL$30)*IF(ABS(K884)&lt;'Progetto del paramento slu'!$G$58,ABS(K884)*'Progetto del paramento slu'!$G$54,'Progetto del paramento slu'!$G$53)</f>
        <v>0</v>
      </c>
      <c r="F884" s="553">
        <f>-'Foglio deposito bis'!$F$59*(C884-sezione!$AM$30)*IF(ABS(L884)&lt;'Progetto del paramento slu'!$G$58,ABS(L884)*'Progetto del paramento slu'!$G$54,'Progetto del paramento slu'!$G$53)</f>
        <v>15751095.273510775</v>
      </c>
      <c r="G884" s="553">
        <f>-'Foglio deposito bis'!$F$60*(C884-sezione!$AN$30)*IF(ABS(M884)&lt;'Progetto del paramento slu'!$G$58,ABS(M884)*'Progetto del paramento slu'!$G$54,'Progetto del paramento slu'!$G$53)</f>
        <v>0</v>
      </c>
      <c r="H884" s="553">
        <f>-'Foglio deposito bis'!$F$61*(C884-sezione!$AO$30)*IF(ABS(N884)&lt;'Progetto del paramento slu'!$G$58,ABS(N884)*'Progetto del paramento slu'!$G$54,'Progetto del paramento slu'!$G$53)</f>
        <v>70477551.900915116</v>
      </c>
      <c r="I884" s="479">
        <f>-'Foglio deposito bis'!$F$62*(C884-sezione!$AP$30)*IF(ABS(O884)&lt;'Progetto del paramento slu'!$G$58,ABS(O884)*'Progetto del paramento slu'!$G$54,'Progetto del paramento slu'!$G$53)</f>
        <v>66876800.407867357</v>
      </c>
      <c r="J884" s="479">
        <f t="shared" si="67"/>
        <v>134534274.59463131</v>
      </c>
      <c r="K884" s="558">
        <f>'Progetto del paramento slu'!$G$60*(sezione!$AL$30-C884)/C884</f>
        <v>-5.5245093896680634E-4</v>
      </c>
      <c r="L884" s="558">
        <f>'Progetto del paramento slu'!$G$60*(sezione!$AM$30-C884)/C884</f>
        <v>7.5533089788744753E-3</v>
      </c>
      <c r="M884" s="559">
        <f>'Progetto del paramento slu'!$G$60*(sezione!$AN$30-C884)/C884</f>
        <v>1.5659068896715759E-2</v>
      </c>
      <c r="N884" s="559">
        <f>'Progetto del paramento slu'!$G$60*(sezione!$AO$30-C884)/C884</f>
        <v>2.1554167018782145E-2</v>
      </c>
      <c r="O884" s="559">
        <f>'Progetto del paramento slu'!$G$60*(sezione!$AP$30-C884)/C884</f>
        <v>1.5659288545804437E-2</v>
      </c>
      <c r="P884" s="553">
        <f>-'Progetto del paramento slu'!$G$47*'Progetto del paramento slu'!$G$41*IF(DATI!$G$218="dx",DATI!$E$61,DATI!$E$64*DATI!$E$63)*1000*C884*sezione!$AD$5</f>
        <v>-669513.74146364932</v>
      </c>
      <c r="Q884" s="553">
        <f>'Foglio deposito bis'!$F$58*IF(ABS(K884)&lt;'Progetto del paramento slu'!$G$58,ABS(K884)*'Progetto del paramento slu'!$G$54,'Progetto del paramento slu'!$G$53)*IF(K884&lt;0,-1,1)</f>
        <v>0</v>
      </c>
      <c r="R884" s="553">
        <f>'Foglio deposito bis'!$F$59*IF(ABS(L884)&lt;'Progetto del paramento slu'!$G$58,ABS(L884)*'Progetto del paramento slu'!$G$54,'Progetto del paramento slu'!$G$53)*IF(L884&lt;0,-1,1)</f>
        <v>153664.85805602249</v>
      </c>
      <c r="S884" s="553">
        <f>'Foglio deposito bis'!$F$60*IF(ABS(M884)&lt;'Progetto del paramento slu'!$G$58,ABS(M884)*'Progetto del paramento slu'!$G$54,'Progetto del paramento slu'!$G$53)*IF(M884&lt;0,-1,1)</f>
        <v>0</v>
      </c>
      <c r="T884" s="553">
        <f>'Foglio deposito bis'!$F$61*IF(ABS(N884)&lt;'Progetto del paramento slu'!$G$58,ABS(N884)*'Progetto del paramento slu'!$G$54,'Progetto del paramento slu'!$G$53)*IF(N884&lt;0,-1,1)</f>
        <v>240946.49743184328</v>
      </c>
      <c r="U884" s="553">
        <f>'Foglio deposito bis'!$F$62*IF(ABS(O884)&lt;'Progetto del paramento slu'!$G$58,ABS(O884)*'Progetto del paramento slu'!$G$54,'Progetto del paramento slu'!$G$53)*IF(O884&lt;0,-1,1)</f>
        <v>314705.62929873407</v>
      </c>
      <c r="V884" s="479">
        <f t="shared" si="69"/>
        <v>39803.243322950497</v>
      </c>
      <c r="W884" s="559"/>
      <c r="X884" s="559"/>
    </row>
    <row r="885" spans="1:24" x14ac:dyDescent="0.25">
      <c r="A885" s="553">
        <f t="shared" si="68"/>
        <v>28358.563981691666</v>
      </c>
      <c r="B885" s="3">
        <f t="shared" si="66"/>
        <v>11.899999999999979</v>
      </c>
      <c r="C885" s="553">
        <f>'Foglio deposito bis'!$E$156/sezione!$B$247*B885</f>
        <v>48.309005022379452</v>
      </c>
      <c r="D885" s="611">
        <f>-'Progetto del paramento slu'!$G$47*'Progetto del paramento slu'!$G$41*IF(DATI!$G$218="dx",DATI!$E$61,DATI!$E$64*DATI!$E$63)*1000*C885^2*sezione!$AD$5*(1-sezione!$AD$6)</f>
        <v>-19211511.482086405</v>
      </c>
      <c r="E885" s="553">
        <f>-'Foglio deposito bis'!$F$58*(C885-sezione!$AL$30)*IF(ABS(K885)&lt;'Progetto del paramento slu'!$G$58,ABS(K885)*'Progetto del paramento slu'!$G$54,'Progetto del paramento slu'!$G$53)</f>
        <v>0</v>
      </c>
      <c r="F885" s="553">
        <f>-'Foglio deposito bis'!$F$59*(C885-sezione!$AM$30)*IF(ABS(L885)&lt;'Progetto del paramento slu'!$G$58,ABS(L885)*'Progetto del paramento slu'!$G$54,'Progetto del paramento slu'!$G$53)</f>
        <v>15626332.30881176</v>
      </c>
      <c r="G885" s="553">
        <f>-'Foglio deposito bis'!$F$60*(C885-sezione!$AN$30)*IF(ABS(M885)&lt;'Progetto del paramento slu'!$G$58,ABS(M885)*'Progetto del paramento slu'!$G$54,'Progetto del paramento slu'!$G$53)</f>
        <v>0</v>
      </c>
      <c r="H885" s="553">
        <f>-'Foglio deposito bis'!$F$61*(C885-sezione!$AO$30)*IF(ABS(N885)&lt;'Progetto del paramento slu'!$G$58,ABS(N885)*'Progetto del paramento slu'!$G$54,'Progetto del paramento slu'!$G$53)</f>
        <v>70281923.572267056</v>
      </c>
      <c r="I885" s="479">
        <f>-'Foglio deposito bis'!$F$62*(C885-sezione!$AP$30)*IF(ABS(O885)&lt;'Progetto del paramento slu'!$G$58,ABS(O885)*'Progetto del paramento slu'!$G$54,'Progetto del paramento slu'!$G$53)</f>
        <v>66621285.856163785</v>
      </c>
      <c r="J885" s="479">
        <f t="shared" si="67"/>
        <v>133318030.25515619</v>
      </c>
      <c r="K885" s="558">
        <f>'Progetto del paramento slu'!$G$60*(sezione!$AL$30-C885)/C885</f>
        <v>-6.0198957864803643E-4</v>
      </c>
      <c r="L885" s="558">
        <f>'Progetto del paramento slu'!$G$60*(sezione!$AM$30-C885)/C885</f>
        <v>7.3675390800698633E-3</v>
      </c>
      <c r="M885" s="559">
        <f>'Progetto del paramento slu'!$G$60*(sezione!$AN$30-C885)/C885</f>
        <v>1.5337067738787765E-2</v>
      </c>
      <c r="N885" s="559">
        <f>'Progetto del paramento slu'!$G$60*(sezione!$AO$30-C885)/C885</f>
        <v>2.1133088581491689E-2</v>
      </c>
      <c r="O885" s="559">
        <f>'Progetto del paramento slu'!$G$60*(sezione!$AP$30-C885)/C885</f>
        <v>1.5337283696295119E-2</v>
      </c>
      <c r="P885" s="553">
        <f>-'Progetto del paramento slu'!$G$47*'Progetto del paramento slu'!$G$41*IF(DATI!$G$218="dx",DATI!$E$61,DATI!$E$64*DATI!$E$63)*1000*C885*sezione!$AD$5</f>
        <v>-680958.42080490827</v>
      </c>
      <c r="Q885" s="553">
        <f>'Foglio deposito bis'!$F$58*IF(ABS(K885)&lt;'Progetto del paramento slu'!$G$58,ABS(K885)*'Progetto del paramento slu'!$G$54,'Progetto del paramento slu'!$G$53)*IF(K885&lt;0,-1,1)</f>
        <v>0</v>
      </c>
      <c r="R885" s="553">
        <f>'Foglio deposito bis'!$F$59*IF(ABS(L885)&lt;'Progetto del paramento slu'!$G$58,ABS(L885)*'Progetto del paramento slu'!$G$54,'Progetto del paramento slu'!$G$53)*IF(L885&lt;0,-1,1)</f>
        <v>153664.85805602249</v>
      </c>
      <c r="S885" s="553">
        <f>'Foglio deposito bis'!$F$60*IF(ABS(M885)&lt;'Progetto del paramento slu'!$G$58,ABS(M885)*'Progetto del paramento slu'!$G$54,'Progetto del paramento slu'!$G$53)*IF(M885&lt;0,-1,1)</f>
        <v>0</v>
      </c>
      <c r="T885" s="553">
        <f>'Foglio deposito bis'!$F$61*IF(ABS(N885)&lt;'Progetto del paramento slu'!$G$58,ABS(N885)*'Progetto del paramento slu'!$G$54,'Progetto del paramento slu'!$G$53)*IF(N885&lt;0,-1,1)</f>
        <v>240946.49743184328</v>
      </c>
      <c r="U885" s="553">
        <f>'Foglio deposito bis'!$F$62*IF(ABS(O885)&lt;'Progetto del paramento slu'!$G$58,ABS(O885)*'Progetto del paramento slu'!$G$54,'Progetto del paramento slu'!$G$53)*IF(O885&lt;0,-1,1)</f>
        <v>314705.62929873407</v>
      </c>
      <c r="V885" s="479">
        <f t="shared" si="69"/>
        <v>28358.563981691666</v>
      </c>
      <c r="W885" s="559"/>
      <c r="X885" s="559"/>
    </row>
    <row r="886" spans="1:24" x14ac:dyDescent="0.25">
      <c r="A886" s="553">
        <f t="shared" si="68"/>
        <v>16913.88464043272</v>
      </c>
      <c r="B886" s="3">
        <f t="shared" si="66"/>
        <v>12.099999999999978</v>
      </c>
      <c r="C886" s="553">
        <f>'Foglio deposito bis'!$E$156/sezione!$B$247*B886</f>
        <v>49.120921073175744</v>
      </c>
      <c r="D886" s="611">
        <f>-'Progetto del paramento slu'!$G$47*'Progetto del paramento slu'!$G$41*IF(DATI!$G$218="dx",DATI!$E$61,DATI!$E$64*DATI!$E$63)*1000*C886^2*sezione!$AD$5*(1-sezione!$AD$6)</f>
        <v>-19862703.171331618</v>
      </c>
      <c r="E886" s="553">
        <f>-'Foglio deposito bis'!$F$58*(C886-sezione!$AL$30)*IF(ABS(K886)&lt;'Progetto del paramento slu'!$G$58,ABS(K886)*'Progetto del paramento slu'!$G$54,'Progetto del paramento slu'!$G$53)</f>
        <v>0</v>
      </c>
      <c r="F886" s="553">
        <f>-'Foglio deposito bis'!$F$59*(C886-sezione!$AM$30)*IF(ABS(L886)&lt;'Progetto del paramento slu'!$G$58,ABS(L886)*'Progetto del paramento slu'!$G$54,'Progetto del paramento slu'!$G$53)</f>
        <v>15501569.344112741</v>
      </c>
      <c r="G886" s="553">
        <f>-'Foglio deposito bis'!$F$60*(C886-sezione!$AN$30)*IF(ABS(M886)&lt;'Progetto del paramento slu'!$G$58,ABS(M886)*'Progetto del paramento slu'!$G$54,'Progetto del paramento slu'!$G$53)</f>
        <v>0</v>
      </c>
      <c r="H886" s="553">
        <f>-'Foglio deposito bis'!$F$61*(C886-sezione!$AO$30)*IF(ABS(N886)&lt;'Progetto del paramento slu'!$G$58,ABS(N886)*'Progetto del paramento slu'!$G$54,'Progetto del paramento slu'!$G$53)</f>
        <v>70086295.243618995</v>
      </c>
      <c r="I886" s="479">
        <f>-'Foglio deposito bis'!$F$62*(C886-sezione!$AP$30)*IF(ABS(O886)&lt;'Progetto del paramento slu'!$G$58,ABS(O886)*'Progetto del paramento slu'!$G$54,'Progetto del paramento slu'!$G$53)</f>
        <v>66365771.30446019</v>
      </c>
      <c r="J886" s="479">
        <f t="shared" si="67"/>
        <v>132090932.7208603</v>
      </c>
      <c r="K886" s="558">
        <f>'Progetto del paramento slu'!$G$60*(sezione!$AL$30-C886)/C886</f>
        <v>-6.4989057734806874E-4</v>
      </c>
      <c r="L886" s="558">
        <f>'Progetto del paramento slu'!$G$60*(sezione!$AM$30-C886)/C886</f>
        <v>7.1879103349447434E-3</v>
      </c>
      <c r="M886" s="559">
        <f>'Progetto del paramento slu'!$G$60*(sezione!$AN$30-C886)/C886</f>
        <v>1.5025711247237552E-2</v>
      </c>
      <c r="N886" s="559">
        <f>'Progetto del paramento slu'!$G$60*(sezione!$AO$30-C886)/C886</f>
        <v>2.0725930092541416E-2</v>
      </c>
      <c r="O886" s="559">
        <f>'Progetto del paramento slu'!$G$60*(sezione!$AP$30-C886)/C886</f>
        <v>1.5025923635199332E-2</v>
      </c>
      <c r="P886" s="553">
        <f>-'Progetto del paramento slu'!$G$47*'Progetto del paramento slu'!$G$41*IF(DATI!$G$218="dx",DATI!$E$61,DATI!$E$64*DATI!$E$63)*1000*C886*sezione!$AD$5</f>
        <v>-692403.10014616721</v>
      </c>
      <c r="Q886" s="553">
        <f>'Foglio deposito bis'!$F$58*IF(ABS(K886)&lt;'Progetto del paramento slu'!$G$58,ABS(K886)*'Progetto del paramento slu'!$G$54,'Progetto del paramento slu'!$G$53)*IF(K886&lt;0,-1,1)</f>
        <v>0</v>
      </c>
      <c r="R886" s="553">
        <f>'Foglio deposito bis'!$F$59*IF(ABS(L886)&lt;'Progetto del paramento slu'!$G$58,ABS(L886)*'Progetto del paramento slu'!$G$54,'Progetto del paramento slu'!$G$53)*IF(L886&lt;0,-1,1)</f>
        <v>153664.85805602249</v>
      </c>
      <c r="S886" s="553">
        <f>'Foglio deposito bis'!$F$60*IF(ABS(M886)&lt;'Progetto del paramento slu'!$G$58,ABS(M886)*'Progetto del paramento slu'!$G$54,'Progetto del paramento slu'!$G$53)*IF(M886&lt;0,-1,1)</f>
        <v>0</v>
      </c>
      <c r="T886" s="553">
        <f>'Foglio deposito bis'!$F$61*IF(ABS(N886)&lt;'Progetto del paramento slu'!$G$58,ABS(N886)*'Progetto del paramento slu'!$G$54,'Progetto del paramento slu'!$G$53)*IF(N886&lt;0,-1,1)</f>
        <v>240946.49743184328</v>
      </c>
      <c r="U886" s="553">
        <f>'Foglio deposito bis'!$F$62*IF(ABS(O886)&lt;'Progetto del paramento slu'!$G$58,ABS(O886)*'Progetto del paramento slu'!$G$54,'Progetto del paramento slu'!$G$53)*IF(O886&lt;0,-1,1)</f>
        <v>314705.62929873407</v>
      </c>
      <c r="V886" s="479">
        <f t="shared" si="69"/>
        <v>16913.88464043272</v>
      </c>
      <c r="W886" s="559"/>
      <c r="X886" s="559"/>
    </row>
    <row r="887" spans="1:24" x14ac:dyDescent="0.25">
      <c r="A887" s="553">
        <f t="shared" si="68"/>
        <v>5469.2052991737728</v>
      </c>
      <c r="B887" s="3">
        <f t="shared" si="66"/>
        <v>12.299999999999978</v>
      </c>
      <c r="C887" s="553">
        <f>'Foglio deposito bis'!$E$156/sezione!$B$247*B887</f>
        <v>49.932837123972035</v>
      </c>
      <c r="D887" s="611">
        <f>-'Progetto del paramento slu'!$G$47*'Progetto del paramento slu'!$G$41*IF(DATI!$G$218="dx",DATI!$E$61,DATI!$E$64*DATI!$E$63)*1000*C887^2*sezione!$AD$5*(1-sezione!$AD$6)</f>
        <v>-20524748.055397581</v>
      </c>
      <c r="E887" s="553">
        <f>-'Foglio deposito bis'!$F$58*(C887-sezione!$AL$30)*IF(ABS(K887)&lt;'Progetto del paramento slu'!$G$58,ABS(K887)*'Progetto del paramento slu'!$G$54,'Progetto del paramento slu'!$G$53)</f>
        <v>0</v>
      </c>
      <c r="F887" s="553">
        <f>-'Foglio deposito bis'!$F$59*(C887-sezione!$AM$30)*IF(ABS(L887)&lt;'Progetto del paramento slu'!$G$58,ABS(L887)*'Progetto del paramento slu'!$G$54,'Progetto del paramento slu'!$G$53)</f>
        <v>15376806.379413722</v>
      </c>
      <c r="G887" s="553">
        <f>-'Foglio deposito bis'!$F$60*(C887-sezione!$AN$30)*IF(ABS(M887)&lt;'Progetto del paramento slu'!$G$58,ABS(M887)*'Progetto del paramento slu'!$G$54,'Progetto del paramento slu'!$G$53)</f>
        <v>0</v>
      </c>
      <c r="H887" s="553">
        <f>-'Foglio deposito bis'!$F$61*(C887-sezione!$AO$30)*IF(ABS(N887)&lt;'Progetto del paramento slu'!$G$58,ABS(N887)*'Progetto del paramento slu'!$G$54,'Progetto del paramento slu'!$G$53)</f>
        <v>69890666.914970934</v>
      </c>
      <c r="I887" s="479">
        <f>-'Foglio deposito bis'!$F$62*(C887-sezione!$AP$30)*IF(ABS(O887)&lt;'Progetto del paramento slu'!$G$58,ABS(O887)*'Progetto del paramento slu'!$G$54,'Progetto del paramento slu'!$G$53)</f>
        <v>66110256.752756588</v>
      </c>
      <c r="J887" s="479">
        <f t="shared" si="67"/>
        <v>130852981.99174365</v>
      </c>
      <c r="K887" s="558">
        <f>'Progetto del paramento slu'!$G$60*(sezione!$AL$30-C887)/C887</f>
        <v>-6.962338199928155E-4</v>
      </c>
      <c r="L887" s="558">
        <f>'Progetto del paramento slu'!$G$60*(sezione!$AM$30-C887)/C887</f>
        <v>7.0141231750269423E-3</v>
      </c>
      <c r="M887" s="559">
        <f>'Progetto del paramento slu'!$G$60*(sezione!$AN$30-C887)/C887</f>
        <v>1.4724480170046699E-2</v>
      </c>
      <c r="N887" s="559">
        <f>'Progetto del paramento slu'!$G$60*(sezione!$AO$30-C887)/C887</f>
        <v>2.0332012530061068E-2</v>
      </c>
      <c r="O887" s="559">
        <f>'Progetto del paramento slu'!$G$60*(sezione!$AP$30-C887)/C887</f>
        <v>1.4724689104545685E-2</v>
      </c>
      <c r="P887" s="553">
        <f>-'Progetto del paramento slu'!$G$47*'Progetto del paramento slu'!$G$41*IF(DATI!$G$218="dx",DATI!$E$61,DATI!$E$64*DATI!$E$63)*1000*C887*sezione!$AD$5</f>
        <v>-703847.77948742616</v>
      </c>
      <c r="Q887" s="553">
        <f>'Foglio deposito bis'!$F$58*IF(ABS(K887)&lt;'Progetto del paramento slu'!$G$58,ABS(K887)*'Progetto del paramento slu'!$G$54,'Progetto del paramento slu'!$G$53)*IF(K887&lt;0,-1,1)</f>
        <v>0</v>
      </c>
      <c r="R887" s="553">
        <f>'Foglio deposito bis'!$F$59*IF(ABS(L887)&lt;'Progetto del paramento slu'!$G$58,ABS(L887)*'Progetto del paramento slu'!$G$54,'Progetto del paramento slu'!$G$53)*IF(L887&lt;0,-1,1)</f>
        <v>153664.85805602249</v>
      </c>
      <c r="S887" s="553">
        <f>'Foglio deposito bis'!$F$60*IF(ABS(M887)&lt;'Progetto del paramento slu'!$G$58,ABS(M887)*'Progetto del paramento slu'!$G$54,'Progetto del paramento slu'!$G$53)*IF(M887&lt;0,-1,1)</f>
        <v>0</v>
      </c>
      <c r="T887" s="553">
        <f>'Foglio deposito bis'!$F$61*IF(ABS(N887)&lt;'Progetto del paramento slu'!$G$58,ABS(N887)*'Progetto del paramento slu'!$G$54,'Progetto del paramento slu'!$G$53)*IF(N887&lt;0,-1,1)</f>
        <v>240946.49743184328</v>
      </c>
      <c r="U887" s="553">
        <f>'Foglio deposito bis'!$F$62*IF(ABS(O887)&lt;'Progetto del paramento slu'!$G$58,ABS(O887)*'Progetto del paramento slu'!$G$54,'Progetto del paramento slu'!$G$53)*IF(O887&lt;0,-1,1)</f>
        <v>314705.62929873407</v>
      </c>
      <c r="V887" s="479">
        <f t="shared" si="69"/>
        <v>5469.2052991737728</v>
      </c>
      <c r="W887" s="559"/>
      <c r="X887" s="559"/>
    </row>
    <row r="888" spans="1:24" x14ac:dyDescent="0.25">
      <c r="A888" s="553">
        <f t="shared" si="68"/>
        <v>5975.474042085174</v>
      </c>
      <c r="B888" s="3">
        <f t="shared" si="66"/>
        <v>12.499999999999977</v>
      </c>
      <c r="C888" s="553">
        <f>'Foglio deposito bis'!$E$156/sezione!$B$247*B888</f>
        <v>50.744753174768327</v>
      </c>
      <c r="D888" s="611">
        <f>-'Progetto del paramento slu'!$G$47*'Progetto del paramento slu'!$G$41*IF(DATI!$G$218="dx",DATI!$E$61,DATI!$E$64*DATI!$E$63)*1000*C888^2*sezione!$AD$5*(1-sezione!$AD$6)</f>
        <v>-21197646.134284299</v>
      </c>
      <c r="E888" s="553">
        <f>-'Foglio deposito bis'!$F$58*(C888-sezione!$AL$30)*IF(ABS(K888)&lt;'Progetto del paramento slu'!$G$58,ABS(K888)*'Progetto del paramento slu'!$G$54,'Progetto del paramento slu'!$G$53)</f>
        <v>0</v>
      </c>
      <c r="F888" s="553">
        <f>-'Foglio deposito bis'!$F$59*(C888-sezione!$AM$30)*IF(ABS(L888)&lt;'Progetto del paramento slu'!$G$58,ABS(L888)*'Progetto del paramento slu'!$G$54,'Progetto del paramento slu'!$G$53)</f>
        <v>15252043.414714703</v>
      </c>
      <c r="G888" s="553">
        <f>-'Foglio deposito bis'!$F$60*(C888-sezione!$AN$30)*IF(ABS(M888)&lt;'Progetto del paramento slu'!$G$58,ABS(M888)*'Progetto del paramento slu'!$G$54,'Progetto del paramento slu'!$G$53)</f>
        <v>0</v>
      </c>
      <c r="H888" s="553">
        <f>-'Foglio deposito bis'!$F$61*(C888-sezione!$AO$30)*IF(ABS(N888)&lt;'Progetto del paramento slu'!$G$58,ABS(N888)*'Progetto del paramento slu'!$G$54,'Progetto del paramento slu'!$G$53)</f>
        <v>69695038.586322874</v>
      </c>
      <c r="I888" s="479">
        <f>-'Foglio deposito bis'!$F$62*(C888-sezione!$AP$30)*IF(ABS(O888)&lt;'Progetto del paramento slu'!$G$58,ABS(O888)*'Progetto del paramento slu'!$G$54,'Progetto del paramento slu'!$G$53)</f>
        <v>65854742.201053008</v>
      </c>
      <c r="J888" s="479">
        <f t="shared" si="67"/>
        <v>129604178.06780629</v>
      </c>
      <c r="K888" s="558">
        <f>'Progetto del paramento slu'!$G$60*(sezione!$AL$30-C888)/C888</f>
        <v>-7.4109407887293041E-4</v>
      </c>
      <c r="L888" s="558">
        <f>'Progetto del paramento slu'!$G$60*(sezione!$AM$30-C888)/C888</f>
        <v>6.8458972042265099E-3</v>
      </c>
      <c r="M888" s="559">
        <f>'Progetto del paramento slu'!$G$60*(sezione!$AN$30-C888)/C888</f>
        <v>1.4432888487325954E-2</v>
      </c>
      <c r="N888" s="559">
        <f>'Progetto del paramento slu'!$G$60*(sezione!$AO$30-C888)/C888</f>
        <v>1.9950700329580094E-2</v>
      </c>
      <c r="O888" s="559">
        <f>'Progetto del paramento slu'!$G$60*(sezione!$AP$30-C888)/C888</f>
        <v>1.4433094078872954E-2</v>
      </c>
      <c r="P888" s="553">
        <f>-'Progetto del paramento slu'!$G$47*'Progetto del paramento slu'!$G$41*IF(DATI!$G$218="dx",DATI!$E$61,DATI!$E$64*DATI!$E$63)*1000*C888*sezione!$AD$5</f>
        <v>-715292.45882868511</v>
      </c>
      <c r="Q888" s="553">
        <f>'Foglio deposito bis'!$F$58*IF(ABS(K888)&lt;'Progetto del paramento slu'!$G$58,ABS(K888)*'Progetto del paramento slu'!$G$54,'Progetto del paramento slu'!$G$53)*IF(K888&lt;0,-1,1)</f>
        <v>0</v>
      </c>
      <c r="R888" s="553">
        <f>'Foglio deposito bis'!$F$59*IF(ABS(L888)&lt;'Progetto del paramento slu'!$G$58,ABS(L888)*'Progetto del paramento slu'!$G$54,'Progetto del paramento slu'!$G$53)*IF(L888&lt;0,-1,1)</f>
        <v>153664.85805602249</v>
      </c>
      <c r="S888" s="553">
        <f>'Foglio deposito bis'!$F$60*IF(ABS(M888)&lt;'Progetto del paramento slu'!$G$58,ABS(M888)*'Progetto del paramento slu'!$G$54,'Progetto del paramento slu'!$G$53)*IF(M888&lt;0,-1,1)</f>
        <v>0</v>
      </c>
      <c r="T888" s="553">
        <f>'Foglio deposito bis'!$F$61*IF(ABS(N888)&lt;'Progetto del paramento slu'!$G$58,ABS(N888)*'Progetto del paramento slu'!$G$54,'Progetto del paramento slu'!$G$53)*IF(N888&lt;0,-1,1)</f>
        <v>240946.49743184328</v>
      </c>
      <c r="U888" s="553">
        <f>'Foglio deposito bis'!$F$62*IF(ABS(O888)&lt;'Progetto del paramento slu'!$G$58,ABS(O888)*'Progetto del paramento slu'!$G$54,'Progetto del paramento slu'!$G$53)*IF(O888&lt;0,-1,1)</f>
        <v>314705.62929873407</v>
      </c>
      <c r="V888" s="479">
        <f t="shared" si="69"/>
        <v>-5975.474042085174</v>
      </c>
      <c r="W888" s="559"/>
      <c r="X888" s="559"/>
    </row>
    <row r="889" spans="1:24" x14ac:dyDescent="0.25">
      <c r="A889" s="553">
        <f t="shared" si="68"/>
        <v>17420.153383344121</v>
      </c>
      <c r="B889" s="3">
        <f t="shared" si="66"/>
        <v>12.699999999999976</v>
      </c>
      <c r="C889" s="553">
        <f>'Foglio deposito bis'!$E$156/sezione!$B$247*B889</f>
        <v>51.556669225564619</v>
      </c>
      <c r="D889" s="611">
        <f>-'Progetto del paramento slu'!$G$47*'Progetto del paramento slu'!$G$41*IF(DATI!$G$218="dx",DATI!$E$61,DATI!$E$64*DATI!$E$63)*1000*C889^2*sezione!$AD$5*(1-sezione!$AD$6)</f>
        <v>-21881397.407991778</v>
      </c>
      <c r="E889" s="553">
        <f>-'Foglio deposito bis'!$F$58*(C889-sezione!$AL$30)*IF(ABS(K889)&lt;'Progetto del paramento slu'!$G$58,ABS(K889)*'Progetto del paramento slu'!$G$54,'Progetto del paramento slu'!$G$53)</f>
        <v>0</v>
      </c>
      <c r="F889" s="553">
        <f>-'Foglio deposito bis'!$F$59*(C889-sezione!$AM$30)*IF(ABS(L889)&lt;'Progetto del paramento slu'!$G$58,ABS(L889)*'Progetto del paramento slu'!$G$54,'Progetto del paramento slu'!$G$53)</f>
        <v>15127280.450015685</v>
      </c>
      <c r="G889" s="553">
        <f>-'Foglio deposito bis'!$F$60*(C889-sezione!$AN$30)*IF(ABS(M889)&lt;'Progetto del paramento slu'!$G$58,ABS(M889)*'Progetto del paramento slu'!$G$54,'Progetto del paramento slu'!$G$53)</f>
        <v>0</v>
      </c>
      <c r="H889" s="553">
        <f>-'Foglio deposito bis'!$F$61*(C889-sezione!$AO$30)*IF(ABS(N889)&lt;'Progetto del paramento slu'!$G$58,ABS(N889)*'Progetto del paramento slu'!$G$54,'Progetto del paramento slu'!$G$53)</f>
        <v>69499410.257674813</v>
      </c>
      <c r="I889" s="479">
        <f>-'Foglio deposito bis'!$F$62*(C889-sezione!$AP$30)*IF(ABS(O889)&lt;'Progetto del paramento slu'!$G$58,ABS(O889)*'Progetto del paramento slu'!$G$54,'Progetto del paramento slu'!$G$53)</f>
        <v>65599227.649349406</v>
      </c>
      <c r="J889" s="479">
        <f t="shared" si="67"/>
        <v>128344520.94904813</v>
      </c>
      <c r="K889" s="558">
        <f>'Progetto del paramento slu'!$G$60*(sezione!$AL$30-C889)/C889</f>
        <v>-7.845414162135141E-4</v>
      </c>
      <c r="L889" s="558">
        <f>'Progetto del paramento slu'!$G$60*(sezione!$AM$30-C889)/C889</f>
        <v>6.6829696891993222E-3</v>
      </c>
      <c r="M889" s="559">
        <f>'Progetto del paramento slu'!$G$60*(sezione!$AN$30-C889)/C889</f>
        <v>1.4150480794612157E-2</v>
      </c>
      <c r="N889" s="559">
        <f>'Progetto del paramento slu'!$G$60*(sezione!$AO$30-C889)/C889</f>
        <v>1.9581397962185131E-2</v>
      </c>
      <c r="O889" s="559">
        <f>'Progetto del paramento slu'!$G$60*(sezione!$AP$30-C889)/C889</f>
        <v>1.4150683148497002E-2</v>
      </c>
      <c r="P889" s="553">
        <f>-'Progetto del paramento slu'!$G$47*'Progetto del paramento slu'!$G$41*IF(DATI!$G$218="dx",DATI!$E$61,DATI!$E$64*DATI!$E$63)*1000*C889*sezione!$AD$5</f>
        <v>-726737.13816994405</v>
      </c>
      <c r="Q889" s="553">
        <f>'Foglio deposito bis'!$F$58*IF(ABS(K889)&lt;'Progetto del paramento slu'!$G$58,ABS(K889)*'Progetto del paramento slu'!$G$54,'Progetto del paramento slu'!$G$53)*IF(K889&lt;0,-1,1)</f>
        <v>0</v>
      </c>
      <c r="R889" s="553">
        <f>'Foglio deposito bis'!$F$59*IF(ABS(L889)&lt;'Progetto del paramento slu'!$G$58,ABS(L889)*'Progetto del paramento slu'!$G$54,'Progetto del paramento slu'!$G$53)*IF(L889&lt;0,-1,1)</f>
        <v>153664.85805602249</v>
      </c>
      <c r="S889" s="553">
        <f>'Foglio deposito bis'!$F$60*IF(ABS(M889)&lt;'Progetto del paramento slu'!$G$58,ABS(M889)*'Progetto del paramento slu'!$G$54,'Progetto del paramento slu'!$G$53)*IF(M889&lt;0,-1,1)</f>
        <v>0</v>
      </c>
      <c r="T889" s="553">
        <f>'Foglio deposito bis'!$F$61*IF(ABS(N889)&lt;'Progetto del paramento slu'!$G$58,ABS(N889)*'Progetto del paramento slu'!$G$54,'Progetto del paramento slu'!$G$53)*IF(N889&lt;0,-1,1)</f>
        <v>240946.49743184328</v>
      </c>
      <c r="U889" s="553">
        <f>'Foglio deposito bis'!$F$62*IF(ABS(O889)&lt;'Progetto del paramento slu'!$G$58,ABS(O889)*'Progetto del paramento slu'!$G$54,'Progetto del paramento slu'!$G$53)*IF(O889&lt;0,-1,1)</f>
        <v>314705.62929873407</v>
      </c>
      <c r="V889" s="479">
        <f t="shared" si="69"/>
        <v>-17420.153383344121</v>
      </c>
      <c r="W889" s="559"/>
      <c r="X889" s="559"/>
    </row>
    <row r="890" spans="1:24" x14ac:dyDescent="0.25">
      <c r="A890" s="553">
        <f t="shared" si="68"/>
        <v>28864.832724603068</v>
      </c>
      <c r="B890" s="3">
        <f t="shared" si="66"/>
        <v>12.899999999999975</v>
      </c>
      <c r="C890" s="553">
        <f>'Foglio deposito bis'!$E$156/sezione!$B$247*B890</f>
        <v>52.368585276360911</v>
      </c>
      <c r="D890" s="611">
        <f>-'Progetto del paramento slu'!$G$47*'Progetto del paramento slu'!$G$41*IF(DATI!$G$218="dx",DATI!$E$61,DATI!$E$64*DATI!$E$63)*1000*C890^2*sezione!$AD$5*(1-sezione!$AD$6)</f>
        <v>-22576001.876520004</v>
      </c>
      <c r="E890" s="553">
        <f>-'Foglio deposito bis'!$F$58*(C890-sezione!$AL$30)*IF(ABS(K890)&lt;'Progetto del paramento slu'!$G$58,ABS(K890)*'Progetto del paramento slu'!$G$54,'Progetto del paramento slu'!$G$53)</f>
        <v>0</v>
      </c>
      <c r="F890" s="553">
        <f>-'Foglio deposito bis'!$F$59*(C890-sezione!$AM$30)*IF(ABS(L890)&lt;'Progetto del paramento slu'!$G$58,ABS(L890)*'Progetto del paramento slu'!$G$54,'Progetto del paramento slu'!$G$53)</f>
        <v>15002517.485316668</v>
      </c>
      <c r="G890" s="553">
        <f>-'Foglio deposito bis'!$F$60*(C890-sezione!$AN$30)*IF(ABS(M890)&lt;'Progetto del paramento slu'!$G$58,ABS(M890)*'Progetto del paramento slu'!$G$54,'Progetto del paramento slu'!$G$53)</f>
        <v>0</v>
      </c>
      <c r="H890" s="553">
        <f>-'Foglio deposito bis'!$F$61*(C890-sezione!$AO$30)*IF(ABS(N890)&lt;'Progetto del paramento slu'!$G$58,ABS(N890)*'Progetto del paramento slu'!$G$54,'Progetto del paramento slu'!$G$53)</f>
        <v>69303781.929026753</v>
      </c>
      <c r="I890" s="479">
        <f>-'Foglio deposito bis'!$F$62*(C890-sezione!$AP$30)*IF(ABS(O890)&lt;'Progetto del paramento slu'!$G$58,ABS(O890)*'Progetto del paramento slu'!$G$54,'Progetto del paramento slu'!$G$53)</f>
        <v>65343713.097645827</v>
      </c>
      <c r="J890" s="479">
        <f t="shared" si="67"/>
        <v>127074010.63546924</v>
      </c>
      <c r="K890" s="558">
        <f>'Progetto del paramento slu'!$G$60*(sezione!$AL$30-C890)/C890</f>
        <v>-8.2664154929547513E-4</v>
      </c>
      <c r="L890" s="558">
        <f>'Progetto del paramento slu'!$G$60*(sezione!$AM$30-C890)/C890</f>
        <v>6.5250941901419694E-3</v>
      </c>
      <c r="M890" s="559">
        <f>'Progetto del paramento slu'!$G$60*(sezione!$AN$30-C890)/C890</f>
        <v>1.3876829929579414E-2</v>
      </c>
      <c r="N890" s="559">
        <f>'Progetto del paramento slu'!$G$60*(sezione!$AO$30-C890)/C890</f>
        <v>1.922354683098846E-2</v>
      </c>
      <c r="O890" s="559">
        <f>'Progetto del paramento slu'!$G$60*(sezione!$AP$30-C890)/C890</f>
        <v>1.3877029146194727E-2</v>
      </c>
      <c r="P890" s="553">
        <f>-'Progetto del paramento slu'!$G$47*'Progetto del paramento slu'!$G$41*IF(DATI!$G$218="dx",DATI!$E$61,DATI!$E$64*DATI!$E$63)*1000*C890*sezione!$AD$5</f>
        <v>-738181.817511203</v>
      </c>
      <c r="Q890" s="553">
        <f>'Foglio deposito bis'!$F$58*IF(ABS(K890)&lt;'Progetto del paramento slu'!$G$58,ABS(K890)*'Progetto del paramento slu'!$G$54,'Progetto del paramento slu'!$G$53)*IF(K890&lt;0,-1,1)</f>
        <v>0</v>
      </c>
      <c r="R890" s="553">
        <f>'Foglio deposito bis'!$F$59*IF(ABS(L890)&lt;'Progetto del paramento slu'!$G$58,ABS(L890)*'Progetto del paramento slu'!$G$54,'Progetto del paramento slu'!$G$53)*IF(L890&lt;0,-1,1)</f>
        <v>153664.85805602249</v>
      </c>
      <c r="S890" s="553">
        <f>'Foglio deposito bis'!$F$60*IF(ABS(M890)&lt;'Progetto del paramento slu'!$G$58,ABS(M890)*'Progetto del paramento slu'!$G$54,'Progetto del paramento slu'!$G$53)*IF(M890&lt;0,-1,1)</f>
        <v>0</v>
      </c>
      <c r="T890" s="553">
        <f>'Foglio deposito bis'!$F$61*IF(ABS(N890)&lt;'Progetto del paramento slu'!$G$58,ABS(N890)*'Progetto del paramento slu'!$G$54,'Progetto del paramento slu'!$G$53)*IF(N890&lt;0,-1,1)</f>
        <v>240946.49743184328</v>
      </c>
      <c r="U890" s="553">
        <f>'Foglio deposito bis'!$F$62*IF(ABS(O890)&lt;'Progetto del paramento slu'!$G$58,ABS(O890)*'Progetto del paramento slu'!$G$54,'Progetto del paramento slu'!$G$53)*IF(O890&lt;0,-1,1)</f>
        <v>314705.62929873407</v>
      </c>
      <c r="V890" s="479">
        <f t="shared" si="69"/>
        <v>-28864.832724603068</v>
      </c>
      <c r="W890" s="559"/>
      <c r="X890" s="559"/>
    </row>
    <row r="891" spans="1:24" x14ac:dyDescent="0.25">
      <c r="A891" s="553">
        <f t="shared" si="68"/>
        <v>40309.512065862014</v>
      </c>
      <c r="B891" s="3">
        <f t="shared" si="66"/>
        <v>13.099999999999975</v>
      </c>
      <c r="C891" s="553">
        <f>'Foglio deposito bis'!$E$156/sezione!$B$247*B891</f>
        <v>53.180501327157202</v>
      </c>
      <c r="D891" s="611">
        <f>-'Progetto del paramento slu'!$G$47*'Progetto del paramento slu'!$G$41*IF(DATI!$G$218="dx",DATI!$E$61,DATI!$E$64*DATI!$E$63)*1000*C891^2*sezione!$AD$5*(1-sezione!$AD$6)</f>
        <v>-23281459.539868984</v>
      </c>
      <c r="E891" s="553">
        <f>-'Foglio deposito bis'!$F$58*(C891-sezione!$AL$30)*IF(ABS(K891)&lt;'Progetto del paramento slu'!$G$58,ABS(K891)*'Progetto del paramento slu'!$G$54,'Progetto del paramento slu'!$G$53)</f>
        <v>0</v>
      </c>
      <c r="F891" s="553">
        <f>-'Foglio deposito bis'!$F$59*(C891-sezione!$AM$30)*IF(ABS(L891)&lt;'Progetto del paramento slu'!$G$58,ABS(L891)*'Progetto del paramento slu'!$G$54,'Progetto del paramento slu'!$G$53)</f>
        <v>14877754.520617647</v>
      </c>
      <c r="G891" s="553">
        <f>-'Foglio deposito bis'!$F$60*(C891-sezione!$AN$30)*IF(ABS(M891)&lt;'Progetto del paramento slu'!$G$58,ABS(M891)*'Progetto del paramento slu'!$G$54,'Progetto del paramento slu'!$G$53)</f>
        <v>0</v>
      </c>
      <c r="H891" s="553">
        <f>-'Foglio deposito bis'!$F$61*(C891-sezione!$AO$30)*IF(ABS(N891)&lt;'Progetto del paramento slu'!$G$58,ABS(N891)*'Progetto del paramento slu'!$G$54,'Progetto del paramento slu'!$G$53)</f>
        <v>69108153.600378692</v>
      </c>
      <c r="I891" s="479">
        <f>-'Foglio deposito bis'!$F$62*(C891-sezione!$AP$30)*IF(ABS(O891)&lt;'Progetto del paramento slu'!$G$58,ABS(O891)*'Progetto del paramento slu'!$G$54,'Progetto del paramento slu'!$G$53)</f>
        <v>65088198.545942239</v>
      </c>
      <c r="J891" s="479">
        <f t="shared" si="67"/>
        <v>125792647.12706959</v>
      </c>
      <c r="K891" s="558">
        <f>'Progetto del paramento slu'!$G$60*(sezione!$AL$30-C891)/C891</f>
        <v>-8.674561821306586E-4</v>
      </c>
      <c r="L891" s="558">
        <f>'Progetto del paramento slu'!$G$60*(sezione!$AM$30-C891)/C891</f>
        <v>6.3720393170100306E-3</v>
      </c>
      <c r="M891" s="559">
        <f>'Progetto del paramento slu'!$G$60*(sezione!$AN$30-C891)/C891</f>
        <v>1.3611534816150718E-2</v>
      </c>
      <c r="N891" s="559">
        <f>'Progetto del paramento slu'!$G$60*(sezione!$AO$30-C891)/C891</f>
        <v>1.88766224518894E-2</v>
      </c>
      <c r="O891" s="559">
        <f>'Progetto del paramento slu'!$G$60*(sezione!$AP$30-C891)/C891</f>
        <v>1.3611730991290989E-2</v>
      </c>
      <c r="P891" s="553">
        <f>-'Progetto del paramento slu'!$G$47*'Progetto del paramento slu'!$G$41*IF(DATI!$G$218="dx",DATI!$E$61,DATI!$E$64*DATI!$E$63)*1000*C891*sezione!$AD$5</f>
        <v>-749626.49685246195</v>
      </c>
      <c r="Q891" s="553">
        <f>'Foglio deposito bis'!$F$58*IF(ABS(K891)&lt;'Progetto del paramento slu'!$G$58,ABS(K891)*'Progetto del paramento slu'!$G$54,'Progetto del paramento slu'!$G$53)*IF(K891&lt;0,-1,1)</f>
        <v>0</v>
      </c>
      <c r="R891" s="553">
        <f>'Foglio deposito bis'!$F$59*IF(ABS(L891)&lt;'Progetto del paramento slu'!$G$58,ABS(L891)*'Progetto del paramento slu'!$G$54,'Progetto del paramento slu'!$G$53)*IF(L891&lt;0,-1,1)</f>
        <v>153664.85805602249</v>
      </c>
      <c r="S891" s="553">
        <f>'Foglio deposito bis'!$F$60*IF(ABS(M891)&lt;'Progetto del paramento slu'!$G$58,ABS(M891)*'Progetto del paramento slu'!$G$54,'Progetto del paramento slu'!$G$53)*IF(M891&lt;0,-1,1)</f>
        <v>0</v>
      </c>
      <c r="T891" s="553">
        <f>'Foglio deposito bis'!$F$61*IF(ABS(N891)&lt;'Progetto del paramento slu'!$G$58,ABS(N891)*'Progetto del paramento slu'!$G$54,'Progetto del paramento slu'!$G$53)*IF(N891&lt;0,-1,1)</f>
        <v>240946.49743184328</v>
      </c>
      <c r="U891" s="553">
        <f>'Foglio deposito bis'!$F$62*IF(ABS(O891)&lt;'Progetto del paramento slu'!$G$58,ABS(O891)*'Progetto del paramento slu'!$G$54,'Progetto del paramento slu'!$G$53)*IF(O891&lt;0,-1,1)</f>
        <v>314705.62929873407</v>
      </c>
      <c r="V891" s="479">
        <f t="shared" si="69"/>
        <v>-40309.512065862014</v>
      </c>
      <c r="W891" s="559"/>
      <c r="X891" s="559"/>
    </row>
    <row r="892" spans="1:24" x14ac:dyDescent="0.25">
      <c r="A892" s="553">
        <f t="shared" si="68"/>
        <v>51754.191407120961</v>
      </c>
      <c r="B892" s="3">
        <f t="shared" si="66"/>
        <v>13.299999999999974</v>
      </c>
      <c r="C892" s="553">
        <f>'Foglio deposito bis'!$E$156/sezione!$B$247*B892</f>
        <v>53.992417377953494</v>
      </c>
      <c r="D892" s="611">
        <f>-'Progetto del paramento slu'!$G$47*'Progetto del paramento slu'!$G$41*IF(DATI!$G$218="dx",DATI!$E$61,DATI!$E$64*DATI!$E$63)*1000*C892^2*sezione!$AD$5*(1-sezione!$AD$6)</f>
        <v>-23997770.398038715</v>
      </c>
      <c r="E892" s="553">
        <f>-'Foglio deposito bis'!$F$58*(C892-sezione!$AL$30)*IF(ABS(K892)&lt;'Progetto del paramento slu'!$G$58,ABS(K892)*'Progetto del paramento slu'!$G$54,'Progetto del paramento slu'!$G$53)</f>
        <v>0</v>
      </c>
      <c r="F892" s="553">
        <f>-'Foglio deposito bis'!$F$59*(C892-sezione!$AM$30)*IF(ABS(L892)&lt;'Progetto del paramento slu'!$G$58,ABS(L892)*'Progetto del paramento slu'!$G$54,'Progetto del paramento slu'!$G$53)</f>
        <v>14752991.555918626</v>
      </c>
      <c r="G892" s="553">
        <f>-'Foglio deposito bis'!$F$60*(C892-sezione!$AN$30)*IF(ABS(M892)&lt;'Progetto del paramento slu'!$G$58,ABS(M892)*'Progetto del paramento slu'!$G$54,'Progetto del paramento slu'!$G$53)</f>
        <v>0</v>
      </c>
      <c r="H892" s="553">
        <f>-'Foglio deposito bis'!$F$61*(C892-sezione!$AO$30)*IF(ABS(N892)&lt;'Progetto del paramento slu'!$G$58,ABS(N892)*'Progetto del paramento slu'!$G$54,'Progetto del paramento slu'!$G$53)</f>
        <v>68912525.271730632</v>
      </c>
      <c r="I892" s="479">
        <f>-'Foglio deposito bis'!$F$62*(C892-sezione!$AP$30)*IF(ABS(O892)&lt;'Progetto del paramento slu'!$G$58,ABS(O892)*'Progetto del paramento slu'!$G$54,'Progetto del paramento slu'!$G$53)</f>
        <v>64832683.994238645</v>
      </c>
      <c r="J892" s="479">
        <f t="shared" si="67"/>
        <v>124500430.4238492</v>
      </c>
      <c r="K892" s="558">
        <f>'Progetto del paramento slu'!$G$60*(sezione!$AL$30-C892)/C892</f>
        <v>-9.0704330721140059E-4</v>
      </c>
      <c r="L892" s="558">
        <f>'Progetto del paramento slu'!$G$60*(sezione!$AM$30-C892)/C892</f>
        <v>6.223587597957248E-3</v>
      </c>
      <c r="M892" s="559">
        <f>'Progetto del paramento slu'!$G$60*(sezione!$AN$30-C892)/C892</f>
        <v>1.3354218503125896E-2</v>
      </c>
      <c r="N892" s="559">
        <f>'Progetto del paramento slu'!$G$60*(sezione!$AO$30-C892)/C892</f>
        <v>1.8540131888703099E-2</v>
      </c>
      <c r="O892" s="559">
        <f>'Progetto del paramento slu'!$G$60*(sezione!$AP$30-C892)/C892</f>
        <v>1.3354411728264057E-2</v>
      </c>
      <c r="P892" s="553">
        <f>-'Progetto del paramento slu'!$G$47*'Progetto del paramento slu'!$G$41*IF(DATI!$G$218="dx",DATI!$E$61,DATI!$E$64*DATI!$E$63)*1000*C892*sezione!$AD$5</f>
        <v>-761071.17619372078</v>
      </c>
      <c r="Q892" s="553">
        <f>'Foglio deposito bis'!$F$58*IF(ABS(K892)&lt;'Progetto del paramento slu'!$G$58,ABS(K892)*'Progetto del paramento slu'!$G$54,'Progetto del paramento slu'!$G$53)*IF(K892&lt;0,-1,1)</f>
        <v>0</v>
      </c>
      <c r="R892" s="553">
        <f>'Foglio deposito bis'!$F$59*IF(ABS(L892)&lt;'Progetto del paramento slu'!$G$58,ABS(L892)*'Progetto del paramento slu'!$G$54,'Progetto del paramento slu'!$G$53)*IF(L892&lt;0,-1,1)</f>
        <v>153664.85805602249</v>
      </c>
      <c r="S892" s="553">
        <f>'Foglio deposito bis'!$F$60*IF(ABS(M892)&lt;'Progetto del paramento slu'!$G$58,ABS(M892)*'Progetto del paramento slu'!$G$54,'Progetto del paramento slu'!$G$53)*IF(M892&lt;0,-1,1)</f>
        <v>0</v>
      </c>
      <c r="T892" s="553">
        <f>'Foglio deposito bis'!$F$61*IF(ABS(N892)&lt;'Progetto del paramento slu'!$G$58,ABS(N892)*'Progetto del paramento slu'!$G$54,'Progetto del paramento slu'!$G$53)*IF(N892&lt;0,-1,1)</f>
        <v>240946.49743184328</v>
      </c>
      <c r="U892" s="553">
        <f>'Foglio deposito bis'!$F$62*IF(ABS(O892)&lt;'Progetto del paramento slu'!$G$58,ABS(O892)*'Progetto del paramento slu'!$G$54,'Progetto del paramento slu'!$G$53)*IF(O892&lt;0,-1,1)</f>
        <v>314705.62929873407</v>
      </c>
      <c r="V892" s="479">
        <f t="shared" si="69"/>
        <v>-51754.191407120961</v>
      </c>
      <c r="W892" s="559"/>
      <c r="X892" s="559"/>
    </row>
    <row r="893" spans="1:24" x14ac:dyDescent="0.25">
      <c r="A893" s="553">
        <f t="shared" si="68"/>
        <v>63198.870748379908</v>
      </c>
      <c r="B893" s="3">
        <f t="shared" si="66"/>
        <v>13.499999999999973</v>
      </c>
      <c r="C893" s="553">
        <f>'Foglio deposito bis'!$E$156/sezione!$B$247*B893</f>
        <v>54.804333428749786</v>
      </c>
      <c r="D893" s="611">
        <f>-'Progetto del paramento slu'!$G$47*'Progetto del paramento slu'!$G$41*IF(DATI!$G$218="dx",DATI!$E$61,DATI!$E$64*DATI!$E$63)*1000*C893^2*sezione!$AD$5*(1-sezione!$AD$6)</f>
        <v>-24724934.451029208</v>
      </c>
      <c r="E893" s="553">
        <f>-'Foglio deposito bis'!$F$58*(C893-sezione!$AL$30)*IF(ABS(K893)&lt;'Progetto del paramento slu'!$G$58,ABS(K893)*'Progetto del paramento slu'!$G$54,'Progetto del paramento slu'!$G$53)</f>
        <v>0</v>
      </c>
      <c r="F893" s="553">
        <f>-'Foglio deposito bis'!$F$59*(C893-sezione!$AM$30)*IF(ABS(L893)&lt;'Progetto del paramento slu'!$G$58,ABS(L893)*'Progetto del paramento slu'!$G$54,'Progetto del paramento slu'!$G$53)</f>
        <v>14628228.591219608</v>
      </c>
      <c r="G893" s="553">
        <f>-'Foglio deposito bis'!$F$60*(C893-sezione!$AN$30)*IF(ABS(M893)&lt;'Progetto del paramento slu'!$G$58,ABS(M893)*'Progetto del paramento slu'!$G$54,'Progetto del paramento slu'!$G$53)</f>
        <v>0</v>
      </c>
      <c r="H893" s="553">
        <f>-'Foglio deposito bis'!$F$61*(C893-sezione!$AO$30)*IF(ABS(N893)&lt;'Progetto del paramento slu'!$G$58,ABS(N893)*'Progetto del paramento slu'!$G$54,'Progetto del paramento slu'!$G$53)</f>
        <v>68716896.943082571</v>
      </c>
      <c r="I893" s="479">
        <f>-'Foglio deposito bis'!$F$62*(C893-sezione!$AP$30)*IF(ABS(O893)&lt;'Progetto del paramento slu'!$G$58,ABS(O893)*'Progetto del paramento slu'!$G$54,'Progetto del paramento slu'!$G$53)</f>
        <v>64577169.442535058</v>
      </c>
      <c r="J893" s="479">
        <f t="shared" si="67"/>
        <v>123197360.52580804</v>
      </c>
      <c r="K893" s="558">
        <f>'Progetto del paramento slu'!$G$60*(sezione!$AL$30-C893)/C893</f>
        <v>-9.4545748043789826E-4</v>
      </c>
      <c r="L893" s="558">
        <f>'Progetto del paramento slu'!$G$60*(sezione!$AM$30-C893)/C893</f>
        <v>6.0795344483578814E-3</v>
      </c>
      <c r="M893" s="559">
        <f>'Progetto del paramento slu'!$G$60*(sezione!$AN$30-C893)/C893</f>
        <v>1.3104526377153664E-2</v>
      </c>
      <c r="N893" s="559">
        <f>'Progetto del paramento slu'!$G$60*(sezione!$AO$30-C893)/C893</f>
        <v>1.8213611416277867E-2</v>
      </c>
      <c r="O893" s="559">
        <f>'Progetto del paramento slu'!$G$60*(sezione!$AP$30-C893)/C893</f>
        <v>1.3104716739697183E-2</v>
      </c>
      <c r="P893" s="553">
        <f>-'Progetto del paramento slu'!$G$47*'Progetto del paramento slu'!$G$41*IF(DATI!$G$218="dx",DATI!$E$61,DATI!$E$64*DATI!$E$63)*1000*C893*sezione!$AD$5</f>
        <v>-772515.85553497972</v>
      </c>
      <c r="Q893" s="553">
        <f>'Foglio deposito bis'!$F$58*IF(ABS(K893)&lt;'Progetto del paramento slu'!$G$58,ABS(K893)*'Progetto del paramento slu'!$G$54,'Progetto del paramento slu'!$G$53)*IF(K893&lt;0,-1,1)</f>
        <v>0</v>
      </c>
      <c r="R893" s="553">
        <f>'Foglio deposito bis'!$F$59*IF(ABS(L893)&lt;'Progetto del paramento slu'!$G$58,ABS(L893)*'Progetto del paramento slu'!$G$54,'Progetto del paramento slu'!$G$53)*IF(L893&lt;0,-1,1)</f>
        <v>153664.85805602249</v>
      </c>
      <c r="S893" s="553">
        <f>'Foglio deposito bis'!$F$60*IF(ABS(M893)&lt;'Progetto del paramento slu'!$G$58,ABS(M893)*'Progetto del paramento slu'!$G$54,'Progetto del paramento slu'!$G$53)*IF(M893&lt;0,-1,1)</f>
        <v>0</v>
      </c>
      <c r="T893" s="553">
        <f>'Foglio deposito bis'!$F$61*IF(ABS(N893)&lt;'Progetto del paramento slu'!$G$58,ABS(N893)*'Progetto del paramento slu'!$G$54,'Progetto del paramento slu'!$G$53)*IF(N893&lt;0,-1,1)</f>
        <v>240946.49743184328</v>
      </c>
      <c r="U893" s="553">
        <f>'Foglio deposito bis'!$F$62*IF(ABS(O893)&lt;'Progetto del paramento slu'!$G$58,ABS(O893)*'Progetto del paramento slu'!$G$54,'Progetto del paramento slu'!$G$53)*IF(O893&lt;0,-1,1)</f>
        <v>314705.62929873407</v>
      </c>
      <c r="V893" s="479">
        <f t="shared" si="69"/>
        <v>-63198.870748379908</v>
      </c>
      <c r="W893" s="559"/>
      <c r="X893" s="559"/>
    </row>
    <row r="894" spans="1:24" x14ac:dyDescent="0.25">
      <c r="A894" s="553">
        <f t="shared" si="68"/>
        <v>74643.550089638855</v>
      </c>
      <c r="B894" s="3">
        <f t="shared" si="66"/>
        <v>13.699999999999973</v>
      </c>
      <c r="C894" s="553">
        <f>'Foglio deposito bis'!$E$156/sezione!$B$247*B894</f>
        <v>55.616249479546077</v>
      </c>
      <c r="D894" s="611">
        <f>-'Progetto del paramento slu'!$G$47*'Progetto del paramento slu'!$G$41*IF(DATI!$G$218="dx",DATI!$E$61,DATI!$E$64*DATI!$E$63)*1000*C894^2*sezione!$AD$5*(1-sezione!$AD$6)</f>
        <v>-25462951.698840447</v>
      </c>
      <c r="E894" s="553">
        <f>-'Foglio deposito bis'!$F$58*(C894-sezione!$AL$30)*IF(ABS(K894)&lt;'Progetto del paramento slu'!$G$58,ABS(K894)*'Progetto del paramento slu'!$G$54,'Progetto del paramento slu'!$G$53)</f>
        <v>0</v>
      </c>
      <c r="F894" s="553">
        <f>-'Foglio deposito bis'!$F$59*(C894-sezione!$AM$30)*IF(ABS(L894)&lt;'Progetto del paramento slu'!$G$58,ABS(L894)*'Progetto del paramento slu'!$G$54,'Progetto del paramento slu'!$G$53)</f>
        <v>14503465.626520593</v>
      </c>
      <c r="G894" s="553">
        <f>-'Foglio deposito bis'!$F$60*(C894-sezione!$AN$30)*IF(ABS(M894)&lt;'Progetto del paramento slu'!$G$58,ABS(M894)*'Progetto del paramento slu'!$G$54,'Progetto del paramento slu'!$G$53)</f>
        <v>0</v>
      </c>
      <c r="H894" s="553">
        <f>-'Foglio deposito bis'!$F$61*(C894-sezione!$AO$30)*IF(ABS(N894)&lt;'Progetto del paramento slu'!$G$58,ABS(N894)*'Progetto del paramento slu'!$G$54,'Progetto del paramento slu'!$G$53)</f>
        <v>68521268.61443451</v>
      </c>
      <c r="I894" s="479">
        <f>-'Foglio deposito bis'!$F$62*(C894-sezione!$AP$30)*IF(ABS(O894)&lt;'Progetto del paramento slu'!$G$58,ABS(O894)*'Progetto del paramento slu'!$G$54,'Progetto del paramento slu'!$G$53)</f>
        <v>64321654.89083147</v>
      </c>
      <c r="J894" s="479">
        <f t="shared" si="67"/>
        <v>121883437.43294613</v>
      </c>
      <c r="K894" s="558">
        <f>'Progetto del paramento slu'!$G$60*(sezione!$AL$30-C894)/C894</f>
        <v>-9.8275007196435213E-4</v>
      </c>
      <c r="L894" s="558">
        <f>'Progetto del paramento slu'!$G$60*(sezione!$AM$30-C894)/C894</f>
        <v>5.9396872301336803E-3</v>
      </c>
      <c r="M894" s="559">
        <f>'Progetto del paramento slu'!$G$60*(sezione!$AN$30-C894)/C894</f>
        <v>1.2862124532231711E-2</v>
      </c>
      <c r="N894" s="559">
        <f>'Progetto del paramento slu'!$G$60*(sezione!$AO$30-C894)/C894</f>
        <v>1.7896624388303008E-2</v>
      </c>
      <c r="O894" s="559">
        <f>'Progetto del paramento slu'!$G$60*(sezione!$AP$30-C894)/C894</f>
        <v>1.2862312115759998E-2</v>
      </c>
      <c r="P894" s="553">
        <f>-'Progetto del paramento slu'!$G$47*'Progetto del paramento slu'!$G$41*IF(DATI!$G$218="dx",DATI!$E$61,DATI!$E$64*DATI!$E$63)*1000*C894*sezione!$AD$5</f>
        <v>-783960.53487623867</v>
      </c>
      <c r="Q894" s="553">
        <f>'Foglio deposito bis'!$F$58*IF(ABS(K894)&lt;'Progetto del paramento slu'!$G$58,ABS(K894)*'Progetto del paramento slu'!$G$54,'Progetto del paramento slu'!$G$53)*IF(K894&lt;0,-1,1)</f>
        <v>0</v>
      </c>
      <c r="R894" s="553">
        <f>'Foglio deposito bis'!$F$59*IF(ABS(L894)&lt;'Progetto del paramento slu'!$G$58,ABS(L894)*'Progetto del paramento slu'!$G$54,'Progetto del paramento slu'!$G$53)*IF(L894&lt;0,-1,1)</f>
        <v>153664.85805602249</v>
      </c>
      <c r="S894" s="553">
        <f>'Foglio deposito bis'!$F$60*IF(ABS(M894)&lt;'Progetto del paramento slu'!$G$58,ABS(M894)*'Progetto del paramento slu'!$G$54,'Progetto del paramento slu'!$G$53)*IF(M894&lt;0,-1,1)</f>
        <v>0</v>
      </c>
      <c r="T894" s="553">
        <f>'Foglio deposito bis'!$F$61*IF(ABS(N894)&lt;'Progetto del paramento slu'!$G$58,ABS(N894)*'Progetto del paramento slu'!$G$54,'Progetto del paramento slu'!$G$53)*IF(N894&lt;0,-1,1)</f>
        <v>240946.49743184328</v>
      </c>
      <c r="U894" s="553">
        <f>'Foglio deposito bis'!$F$62*IF(ABS(O894)&lt;'Progetto del paramento slu'!$G$58,ABS(O894)*'Progetto del paramento slu'!$G$54,'Progetto del paramento slu'!$G$53)*IF(O894&lt;0,-1,1)</f>
        <v>314705.62929873407</v>
      </c>
      <c r="V894" s="479">
        <f t="shared" si="69"/>
        <v>-74643.550089638855</v>
      </c>
      <c r="W894" s="559"/>
      <c r="X894" s="559"/>
    </row>
    <row r="895" spans="1:24" x14ac:dyDescent="0.25">
      <c r="A895" s="553">
        <f t="shared" si="68"/>
        <v>86088.229430897802</v>
      </c>
      <c r="B895" s="3">
        <f t="shared" si="66"/>
        <v>13.899999999999972</v>
      </c>
      <c r="C895" s="553">
        <f>'Foglio deposito bis'!$E$156/sezione!$B$247*B895</f>
        <v>56.428165530342369</v>
      </c>
      <c r="D895" s="611">
        <f>-'Progetto del paramento slu'!$G$47*'Progetto del paramento slu'!$G$41*IF(DATI!$G$218="dx",DATI!$E$61,DATI!$E$64*DATI!$E$63)*1000*C895^2*sezione!$AD$5*(1-sezione!$AD$6)</f>
        <v>-26211822.14147244</v>
      </c>
      <c r="E895" s="553">
        <f>-'Foglio deposito bis'!$F$58*(C895-sezione!$AL$30)*IF(ABS(K895)&lt;'Progetto del paramento slu'!$G$58,ABS(K895)*'Progetto del paramento slu'!$G$54,'Progetto del paramento slu'!$G$53)</f>
        <v>0</v>
      </c>
      <c r="F895" s="553">
        <f>-'Foglio deposito bis'!$F$59*(C895-sezione!$AM$30)*IF(ABS(L895)&lt;'Progetto del paramento slu'!$G$58,ABS(L895)*'Progetto del paramento slu'!$G$54,'Progetto del paramento slu'!$G$53)</f>
        <v>14378702.661821574</v>
      </c>
      <c r="G895" s="553">
        <f>-'Foglio deposito bis'!$F$60*(C895-sezione!$AN$30)*IF(ABS(M895)&lt;'Progetto del paramento slu'!$G$58,ABS(M895)*'Progetto del paramento slu'!$G$54,'Progetto del paramento slu'!$G$53)</f>
        <v>0</v>
      </c>
      <c r="H895" s="553">
        <f>-'Foglio deposito bis'!$F$61*(C895-sezione!$AO$30)*IF(ABS(N895)&lt;'Progetto del paramento slu'!$G$58,ABS(N895)*'Progetto del paramento slu'!$G$54,'Progetto del paramento slu'!$G$53)</f>
        <v>68325640.28578645</v>
      </c>
      <c r="I895" s="479">
        <f>-'Foglio deposito bis'!$F$62*(C895-sezione!$AP$30)*IF(ABS(O895)&lt;'Progetto del paramento slu'!$G$58,ABS(O895)*'Progetto del paramento slu'!$G$54,'Progetto del paramento slu'!$G$53)</f>
        <v>64066140.339127876</v>
      </c>
      <c r="J895" s="479">
        <f t="shared" si="67"/>
        <v>120558661.14526346</v>
      </c>
      <c r="K895" s="558">
        <f>'Progetto del paramento slu'!$G$60*(sezione!$AL$30-C895)/C895</f>
        <v>-1.0189694953893255E-3</v>
      </c>
      <c r="L895" s="558">
        <f>'Progetto del paramento slu'!$G$60*(sezione!$AM$30-C895)/C895</f>
        <v>5.80386439229003E-3</v>
      </c>
      <c r="M895" s="559">
        <f>'Progetto del paramento slu'!$G$60*(sezione!$AN$30-C895)/C895</f>
        <v>1.2626698279969385E-2</v>
      </c>
      <c r="N895" s="559">
        <f>'Progetto del paramento slu'!$G$60*(sezione!$AO$30-C895)/C895</f>
        <v>1.7588759289190736E-2</v>
      </c>
      <c r="O895" s="559">
        <f>'Progetto del paramento slu'!$G$60*(sezione!$AP$30-C895)/C895</f>
        <v>1.26268831644541E-2</v>
      </c>
      <c r="P895" s="553">
        <f>-'Progetto del paramento slu'!$G$47*'Progetto del paramento slu'!$G$41*IF(DATI!$G$218="dx",DATI!$E$61,DATI!$E$64*DATI!$E$63)*1000*C895*sezione!$AD$5</f>
        <v>-795405.21421749773</v>
      </c>
      <c r="Q895" s="553">
        <f>'Foglio deposito bis'!$F$58*IF(ABS(K895)&lt;'Progetto del paramento slu'!$G$58,ABS(K895)*'Progetto del paramento slu'!$G$54,'Progetto del paramento slu'!$G$53)*IF(K895&lt;0,-1,1)</f>
        <v>0</v>
      </c>
      <c r="R895" s="553">
        <f>'Foglio deposito bis'!$F$59*IF(ABS(L895)&lt;'Progetto del paramento slu'!$G$58,ABS(L895)*'Progetto del paramento slu'!$G$54,'Progetto del paramento slu'!$G$53)*IF(L895&lt;0,-1,1)</f>
        <v>153664.85805602249</v>
      </c>
      <c r="S895" s="553">
        <f>'Foglio deposito bis'!$F$60*IF(ABS(M895)&lt;'Progetto del paramento slu'!$G$58,ABS(M895)*'Progetto del paramento slu'!$G$54,'Progetto del paramento slu'!$G$53)*IF(M895&lt;0,-1,1)</f>
        <v>0</v>
      </c>
      <c r="T895" s="553">
        <f>'Foglio deposito bis'!$F$61*IF(ABS(N895)&lt;'Progetto del paramento slu'!$G$58,ABS(N895)*'Progetto del paramento slu'!$G$54,'Progetto del paramento slu'!$G$53)*IF(N895&lt;0,-1,1)</f>
        <v>240946.49743184328</v>
      </c>
      <c r="U895" s="553">
        <f>'Foglio deposito bis'!$F$62*IF(ABS(O895)&lt;'Progetto del paramento slu'!$G$58,ABS(O895)*'Progetto del paramento slu'!$G$54,'Progetto del paramento slu'!$G$53)*IF(O895&lt;0,-1,1)</f>
        <v>314705.62929873407</v>
      </c>
      <c r="V895" s="479">
        <f t="shared" si="69"/>
        <v>-86088.229430897802</v>
      </c>
      <c r="W895" s="559"/>
      <c r="X895" s="559"/>
    </row>
    <row r="896" spans="1:24" x14ac:dyDescent="0.25">
      <c r="A896" s="553">
        <f t="shared" si="68"/>
        <v>97532.908772156748</v>
      </c>
      <c r="B896" s="3">
        <f t="shared" si="66"/>
        <v>14.099999999999971</v>
      </c>
      <c r="C896" s="553">
        <f>'Foglio deposito bis'!$E$156/sezione!$B$247*B896</f>
        <v>57.240081581138661</v>
      </c>
      <c r="D896" s="611">
        <f>-'Progetto del paramento slu'!$G$47*'Progetto del paramento slu'!$G$41*IF(DATI!$G$218="dx",DATI!$E$61,DATI!$E$64*DATI!$E$63)*1000*C896^2*sezione!$AD$5*(1-sezione!$AD$6)</f>
        <v>-26971545.778925188</v>
      </c>
      <c r="E896" s="553">
        <f>-'Foglio deposito bis'!$F$58*(C896-sezione!$AL$30)*IF(ABS(K896)&lt;'Progetto del paramento slu'!$G$58,ABS(K896)*'Progetto del paramento slu'!$G$54,'Progetto del paramento slu'!$G$53)</f>
        <v>0</v>
      </c>
      <c r="F896" s="553">
        <f>-'Foglio deposito bis'!$F$59*(C896-sezione!$AM$30)*IF(ABS(L896)&lt;'Progetto del paramento slu'!$G$58,ABS(L896)*'Progetto del paramento slu'!$G$54,'Progetto del paramento slu'!$G$53)</f>
        <v>14253939.697122552</v>
      </c>
      <c r="G896" s="553">
        <f>-'Foglio deposito bis'!$F$60*(C896-sezione!$AN$30)*IF(ABS(M896)&lt;'Progetto del paramento slu'!$G$58,ABS(M896)*'Progetto del paramento slu'!$G$54,'Progetto del paramento slu'!$G$53)</f>
        <v>0</v>
      </c>
      <c r="H896" s="553">
        <f>-'Foglio deposito bis'!$F$61*(C896-sezione!$AO$30)*IF(ABS(N896)&lt;'Progetto del paramento slu'!$G$58,ABS(N896)*'Progetto del paramento slu'!$G$54,'Progetto del paramento slu'!$G$53)</f>
        <v>68130011.957138389</v>
      </c>
      <c r="I896" s="479">
        <f>-'Foglio deposito bis'!$F$62*(C896-sezione!$AP$30)*IF(ABS(O896)&lt;'Progetto del paramento slu'!$G$58,ABS(O896)*'Progetto del paramento slu'!$G$54,'Progetto del paramento slu'!$G$53)</f>
        <v>63810625.787424281</v>
      </c>
      <c r="J896" s="479">
        <f t="shared" si="67"/>
        <v>119223031.66276003</v>
      </c>
      <c r="K896" s="558">
        <f>'Progetto del paramento slu'!$G$60*(sezione!$AL$30-C896)/C896</f>
        <v>-1.0541614174405408E-3</v>
      </c>
      <c r="L896" s="558">
        <f>'Progetto del paramento slu'!$G$60*(sezione!$AM$30-C896)/C896</f>
        <v>5.6718946845979723E-3</v>
      </c>
      <c r="M896" s="559">
        <f>'Progetto del paramento slu'!$G$60*(sezione!$AN$30-C896)/C896</f>
        <v>1.2397950786636486E-2</v>
      </c>
      <c r="N896" s="559">
        <f>'Progetto del paramento slu'!$G$60*(sezione!$AO$30-C896)/C896</f>
        <v>1.7289627951755406E-2</v>
      </c>
      <c r="O896" s="559">
        <f>'Progetto del paramento slu'!$G$60*(sezione!$AP$30-C896)/C896</f>
        <v>1.2398133048646238E-2</v>
      </c>
      <c r="P896" s="553">
        <f>-'Progetto del paramento slu'!$G$47*'Progetto del paramento slu'!$G$41*IF(DATI!$G$218="dx",DATI!$E$61,DATI!$E$64*DATI!$E$63)*1000*C896*sezione!$AD$5</f>
        <v>-806849.89355875668</v>
      </c>
      <c r="Q896" s="553">
        <f>'Foglio deposito bis'!$F$58*IF(ABS(K896)&lt;'Progetto del paramento slu'!$G$58,ABS(K896)*'Progetto del paramento slu'!$G$54,'Progetto del paramento slu'!$G$53)*IF(K896&lt;0,-1,1)</f>
        <v>0</v>
      </c>
      <c r="R896" s="553">
        <f>'Foglio deposito bis'!$F$59*IF(ABS(L896)&lt;'Progetto del paramento slu'!$G$58,ABS(L896)*'Progetto del paramento slu'!$G$54,'Progetto del paramento slu'!$G$53)*IF(L896&lt;0,-1,1)</f>
        <v>153664.85805602249</v>
      </c>
      <c r="S896" s="553">
        <f>'Foglio deposito bis'!$F$60*IF(ABS(M896)&lt;'Progetto del paramento slu'!$G$58,ABS(M896)*'Progetto del paramento slu'!$G$54,'Progetto del paramento slu'!$G$53)*IF(M896&lt;0,-1,1)</f>
        <v>0</v>
      </c>
      <c r="T896" s="553">
        <f>'Foglio deposito bis'!$F$61*IF(ABS(N896)&lt;'Progetto del paramento slu'!$G$58,ABS(N896)*'Progetto del paramento slu'!$G$54,'Progetto del paramento slu'!$G$53)*IF(N896&lt;0,-1,1)</f>
        <v>240946.49743184328</v>
      </c>
      <c r="U896" s="553">
        <f>'Foglio deposito bis'!$F$62*IF(ABS(O896)&lt;'Progetto del paramento slu'!$G$58,ABS(O896)*'Progetto del paramento slu'!$G$54,'Progetto del paramento slu'!$G$53)*IF(O896&lt;0,-1,1)</f>
        <v>314705.62929873407</v>
      </c>
      <c r="V896" s="479">
        <f t="shared" si="69"/>
        <v>-97532.908772156748</v>
      </c>
      <c r="W896" s="559"/>
      <c r="X896" s="559"/>
    </row>
    <row r="897" spans="1:24" x14ac:dyDescent="0.25">
      <c r="A897" s="553">
        <f t="shared" si="68"/>
        <v>108977.5881134157</v>
      </c>
      <c r="B897" s="3">
        <f t="shared" si="66"/>
        <v>14.299999999999971</v>
      </c>
      <c r="C897" s="553">
        <f>'Foglio deposito bis'!$E$156/sezione!$B$247*B897</f>
        <v>58.051997631934952</v>
      </c>
      <c r="D897" s="611">
        <f>-'Progetto del paramento slu'!$G$47*'Progetto del paramento slu'!$G$41*IF(DATI!$G$218="dx",DATI!$E$61,DATI!$E$64*DATI!$E$63)*1000*C897^2*sezione!$AD$5*(1-sezione!$AD$6)</f>
        <v>-27742122.61119869</v>
      </c>
      <c r="E897" s="553">
        <f>-'Foglio deposito bis'!$F$58*(C897-sezione!$AL$30)*IF(ABS(K897)&lt;'Progetto del paramento slu'!$G$58,ABS(K897)*'Progetto del paramento slu'!$G$54,'Progetto del paramento slu'!$G$53)</f>
        <v>0</v>
      </c>
      <c r="F897" s="553">
        <f>-'Foglio deposito bis'!$F$59*(C897-sezione!$AM$30)*IF(ABS(L897)&lt;'Progetto del paramento slu'!$G$58,ABS(L897)*'Progetto del paramento slu'!$G$54,'Progetto del paramento slu'!$G$53)</f>
        <v>14129176.732423536</v>
      </c>
      <c r="G897" s="553">
        <f>-'Foglio deposito bis'!$F$60*(C897-sezione!$AN$30)*IF(ABS(M897)&lt;'Progetto del paramento slu'!$G$58,ABS(M897)*'Progetto del paramento slu'!$G$54,'Progetto del paramento slu'!$G$53)</f>
        <v>0</v>
      </c>
      <c r="H897" s="553">
        <f>-'Foglio deposito bis'!$F$61*(C897-sezione!$AO$30)*IF(ABS(N897)&lt;'Progetto del paramento slu'!$G$58,ABS(N897)*'Progetto del paramento slu'!$G$54,'Progetto del paramento slu'!$G$53)</f>
        <v>67934383.628490314</v>
      </c>
      <c r="I897" s="479">
        <f>-'Foglio deposito bis'!$F$62*(C897-sezione!$AP$30)*IF(ABS(O897)&lt;'Progetto del paramento slu'!$G$58,ABS(O897)*'Progetto del paramento slu'!$G$54,'Progetto del paramento slu'!$G$53)</f>
        <v>63555111.235720694</v>
      </c>
      <c r="J897" s="479">
        <f t="shared" si="67"/>
        <v>117876548.98543586</v>
      </c>
      <c r="K897" s="558">
        <f>'Progetto del paramento slu'!$G$60*(sezione!$AL$30-C897)/C897</f>
        <v>-1.0883689500637496E-3</v>
      </c>
      <c r="L897" s="558">
        <f>'Progetto del paramento slu'!$G$60*(sezione!$AM$30-C897)/C897</f>
        <v>5.5436164372609379E-3</v>
      </c>
      <c r="M897" s="559">
        <f>'Progetto del paramento slu'!$G$60*(sezione!$AN$30-C897)/C897</f>
        <v>1.2175601824585625E-2</v>
      </c>
      <c r="N897" s="559">
        <f>'Progetto del paramento slu'!$G$60*(sezione!$AO$30-C897)/C897</f>
        <v>1.6998863924458128E-2</v>
      </c>
      <c r="O897" s="559">
        <f>'Progetto del paramento slu'!$G$60*(sezione!$AP$30-C897)/C897</f>
        <v>1.2175781537476362E-2</v>
      </c>
      <c r="P897" s="553">
        <f>-'Progetto del paramento slu'!$G$47*'Progetto del paramento slu'!$G$41*IF(DATI!$G$218="dx",DATI!$E$61,DATI!$E$64*DATI!$E$63)*1000*C897*sezione!$AD$5</f>
        <v>-818294.57290001563</v>
      </c>
      <c r="Q897" s="553">
        <f>'Foglio deposito bis'!$F$58*IF(ABS(K897)&lt;'Progetto del paramento slu'!$G$58,ABS(K897)*'Progetto del paramento slu'!$G$54,'Progetto del paramento slu'!$G$53)*IF(K897&lt;0,-1,1)</f>
        <v>0</v>
      </c>
      <c r="R897" s="553">
        <f>'Foglio deposito bis'!$F$59*IF(ABS(L897)&lt;'Progetto del paramento slu'!$G$58,ABS(L897)*'Progetto del paramento slu'!$G$54,'Progetto del paramento slu'!$G$53)*IF(L897&lt;0,-1,1)</f>
        <v>153664.85805602249</v>
      </c>
      <c r="S897" s="553">
        <f>'Foglio deposito bis'!$F$60*IF(ABS(M897)&lt;'Progetto del paramento slu'!$G$58,ABS(M897)*'Progetto del paramento slu'!$G$54,'Progetto del paramento slu'!$G$53)*IF(M897&lt;0,-1,1)</f>
        <v>0</v>
      </c>
      <c r="T897" s="553">
        <f>'Foglio deposito bis'!$F$61*IF(ABS(N897)&lt;'Progetto del paramento slu'!$G$58,ABS(N897)*'Progetto del paramento slu'!$G$54,'Progetto del paramento slu'!$G$53)*IF(N897&lt;0,-1,1)</f>
        <v>240946.49743184328</v>
      </c>
      <c r="U897" s="553">
        <f>'Foglio deposito bis'!$F$62*IF(ABS(O897)&lt;'Progetto del paramento slu'!$G$58,ABS(O897)*'Progetto del paramento slu'!$G$54,'Progetto del paramento slu'!$G$53)*IF(O897&lt;0,-1,1)</f>
        <v>314705.62929873407</v>
      </c>
      <c r="V897" s="479">
        <f t="shared" si="69"/>
        <v>-108977.5881134157</v>
      </c>
      <c r="W897" s="559"/>
      <c r="X897" s="559"/>
    </row>
    <row r="898" spans="1:24" x14ac:dyDescent="0.25">
      <c r="A898" s="553">
        <f t="shared" si="68"/>
        <v>120422.26745467464</v>
      </c>
      <c r="B898" s="3">
        <f t="shared" si="66"/>
        <v>14.49999999999997</v>
      </c>
      <c r="C898" s="553">
        <f>'Foglio deposito bis'!$E$156/sezione!$B$247*B898</f>
        <v>58.863913682731244</v>
      </c>
      <c r="D898" s="611">
        <f>-'Progetto del paramento slu'!$G$47*'Progetto del paramento slu'!$G$41*IF(DATI!$G$218="dx",DATI!$E$61,DATI!$E$64*DATI!$E$63)*1000*C898^2*sezione!$AD$5*(1-sezione!$AD$6)</f>
        <v>-28523552.638292946</v>
      </c>
      <c r="E898" s="553">
        <f>-'Foglio deposito bis'!$F$58*(C898-sezione!$AL$30)*IF(ABS(K898)&lt;'Progetto del paramento slu'!$G$58,ABS(K898)*'Progetto del paramento slu'!$G$54,'Progetto del paramento slu'!$G$53)</f>
        <v>0</v>
      </c>
      <c r="F898" s="553">
        <f>-'Foglio deposito bis'!$F$59*(C898-sezione!$AM$30)*IF(ABS(L898)&lt;'Progetto del paramento slu'!$G$58,ABS(L898)*'Progetto del paramento slu'!$G$54,'Progetto del paramento slu'!$G$53)</f>
        <v>14004413.767724518</v>
      </c>
      <c r="G898" s="553">
        <f>-'Foglio deposito bis'!$F$60*(C898-sezione!$AN$30)*IF(ABS(M898)&lt;'Progetto del paramento slu'!$G$58,ABS(M898)*'Progetto del paramento slu'!$G$54,'Progetto del paramento slu'!$G$53)</f>
        <v>0</v>
      </c>
      <c r="H898" s="553">
        <f>-'Foglio deposito bis'!$F$61*(C898-sezione!$AO$30)*IF(ABS(N898)&lt;'Progetto del paramento slu'!$G$58,ABS(N898)*'Progetto del paramento slu'!$G$54,'Progetto del paramento slu'!$G$53)</f>
        <v>67738755.299842253</v>
      </c>
      <c r="I898" s="479">
        <f>-'Foglio deposito bis'!$F$62*(C898-sezione!$AP$30)*IF(ABS(O898)&lt;'Progetto del paramento slu'!$G$58,ABS(O898)*'Progetto del paramento slu'!$G$54,'Progetto del paramento slu'!$G$53)</f>
        <v>63299596.684017107</v>
      </c>
      <c r="J898" s="479">
        <f t="shared" si="67"/>
        <v>116519213.11329094</v>
      </c>
      <c r="K898" s="558">
        <f>'Progetto del paramento slu'!$G$60*(sezione!$AL$30-C898)/C898</f>
        <v>-1.1216328266145945E-3</v>
      </c>
      <c r="L898" s="558">
        <f>'Progetto del paramento slu'!$G$60*(sezione!$AM$30-C898)/C898</f>
        <v>5.4188769001952712E-3</v>
      </c>
      <c r="M898" s="559">
        <f>'Progetto del paramento slu'!$G$60*(sezione!$AN$30-C898)/C898</f>
        <v>1.1959386627005136E-2</v>
      </c>
      <c r="N898" s="559">
        <f>'Progetto del paramento slu'!$G$60*(sezione!$AO$30-C898)/C898</f>
        <v>1.6716120973775946E-2</v>
      </c>
      <c r="O898" s="559">
        <f>'Progetto del paramento slu'!$G$60*(sezione!$AP$30-C898)/C898</f>
        <v>1.1959563861097379E-2</v>
      </c>
      <c r="P898" s="553">
        <f>-'Progetto del paramento slu'!$G$47*'Progetto del paramento slu'!$G$41*IF(DATI!$G$218="dx",DATI!$E$61,DATI!$E$64*DATI!$E$63)*1000*C898*sezione!$AD$5</f>
        <v>-829739.25224127457</v>
      </c>
      <c r="Q898" s="553">
        <f>'Foglio deposito bis'!$F$58*IF(ABS(K898)&lt;'Progetto del paramento slu'!$G$58,ABS(K898)*'Progetto del paramento slu'!$G$54,'Progetto del paramento slu'!$G$53)*IF(K898&lt;0,-1,1)</f>
        <v>0</v>
      </c>
      <c r="R898" s="553">
        <f>'Foglio deposito bis'!$F$59*IF(ABS(L898)&lt;'Progetto del paramento slu'!$G$58,ABS(L898)*'Progetto del paramento slu'!$G$54,'Progetto del paramento slu'!$G$53)*IF(L898&lt;0,-1,1)</f>
        <v>153664.85805602249</v>
      </c>
      <c r="S898" s="553">
        <f>'Foglio deposito bis'!$F$60*IF(ABS(M898)&lt;'Progetto del paramento slu'!$G$58,ABS(M898)*'Progetto del paramento slu'!$G$54,'Progetto del paramento slu'!$G$53)*IF(M898&lt;0,-1,1)</f>
        <v>0</v>
      </c>
      <c r="T898" s="553">
        <f>'Foglio deposito bis'!$F$61*IF(ABS(N898)&lt;'Progetto del paramento slu'!$G$58,ABS(N898)*'Progetto del paramento slu'!$G$54,'Progetto del paramento slu'!$G$53)*IF(N898&lt;0,-1,1)</f>
        <v>240946.49743184328</v>
      </c>
      <c r="U898" s="553">
        <f>'Foglio deposito bis'!$F$62*IF(ABS(O898)&lt;'Progetto del paramento slu'!$G$58,ABS(O898)*'Progetto del paramento slu'!$G$54,'Progetto del paramento slu'!$G$53)*IF(O898&lt;0,-1,1)</f>
        <v>314705.62929873407</v>
      </c>
      <c r="V898" s="479">
        <f t="shared" si="69"/>
        <v>-120422.26745467464</v>
      </c>
      <c r="W898" s="559"/>
      <c r="X898" s="559"/>
    </row>
    <row r="899" spans="1:24" x14ac:dyDescent="0.25">
      <c r="A899" s="553">
        <f t="shared" si="68"/>
        <v>131866.94679593359</v>
      </c>
      <c r="B899" s="3">
        <f t="shared" si="66"/>
        <v>14.699999999999969</v>
      </c>
      <c r="C899" s="553">
        <f>'Foglio deposito bis'!$E$156/sezione!$B$247*B899</f>
        <v>59.675829733527536</v>
      </c>
      <c r="D899" s="611">
        <f>-'Progetto del paramento slu'!$G$47*'Progetto del paramento slu'!$G$41*IF(DATI!$G$218="dx",DATI!$E$61,DATI!$E$64*DATI!$E$63)*1000*C899^2*sezione!$AD$5*(1-sezione!$AD$6)</f>
        <v>-29315835.860207956</v>
      </c>
      <c r="E899" s="553">
        <f>-'Foglio deposito bis'!$F$58*(C899-sezione!$AL$30)*IF(ABS(K899)&lt;'Progetto del paramento slu'!$G$58,ABS(K899)*'Progetto del paramento slu'!$G$54,'Progetto del paramento slu'!$G$53)</f>
        <v>0</v>
      </c>
      <c r="F899" s="553">
        <f>-'Foglio deposito bis'!$F$59*(C899-sezione!$AM$30)*IF(ABS(L899)&lt;'Progetto del paramento slu'!$G$58,ABS(L899)*'Progetto del paramento slu'!$G$54,'Progetto del paramento slu'!$G$53)</f>
        <v>13879650.803025499</v>
      </c>
      <c r="G899" s="553">
        <f>-'Foglio deposito bis'!$F$60*(C899-sezione!$AN$30)*IF(ABS(M899)&lt;'Progetto del paramento slu'!$G$58,ABS(M899)*'Progetto del paramento slu'!$G$54,'Progetto del paramento slu'!$G$53)</f>
        <v>0</v>
      </c>
      <c r="H899" s="553">
        <f>-'Foglio deposito bis'!$F$61*(C899-sezione!$AO$30)*IF(ABS(N899)&lt;'Progetto del paramento slu'!$G$58,ABS(N899)*'Progetto del paramento slu'!$G$54,'Progetto del paramento slu'!$G$53)</f>
        <v>67543126.971194208</v>
      </c>
      <c r="I899" s="479">
        <f>-'Foglio deposito bis'!$F$62*(C899-sezione!$AP$30)*IF(ABS(O899)&lt;'Progetto del paramento slu'!$G$58,ABS(O899)*'Progetto del paramento slu'!$G$54,'Progetto del paramento slu'!$G$53)</f>
        <v>63044082.132313512</v>
      </c>
      <c r="J899" s="479">
        <f t="shared" si="67"/>
        <v>115151024.04632527</v>
      </c>
      <c r="K899" s="558">
        <f>'Progetto del paramento slu'!$G$60*(sezione!$AL$30-C899)/C899</f>
        <v>-1.1539915636674574E-3</v>
      </c>
      <c r="L899" s="558">
        <f>'Progetto del paramento slu'!$G$60*(sezione!$AM$30-C899)/C899</f>
        <v>5.2975316362470362E-3</v>
      </c>
      <c r="M899" s="559">
        <f>'Progetto del paramento slu'!$G$60*(sezione!$AN$30-C899)/C899</f>
        <v>1.1749054836161527E-2</v>
      </c>
      <c r="N899" s="559">
        <f>'Progetto del paramento slu'!$G$60*(sezione!$AO$30-C899)/C899</f>
        <v>1.6441071708826617E-2</v>
      </c>
      <c r="O899" s="559">
        <f>'Progetto del paramento slu'!$G$60*(sezione!$AP$30-C899)/C899</f>
        <v>1.1749229658905578E-2</v>
      </c>
      <c r="P899" s="553">
        <f>-'Progetto del paramento slu'!$G$47*'Progetto del paramento slu'!$G$41*IF(DATI!$G$218="dx",DATI!$E$61,DATI!$E$64*DATI!$E$63)*1000*C899*sezione!$AD$5</f>
        <v>-841183.93158253352</v>
      </c>
      <c r="Q899" s="553">
        <f>'Foglio deposito bis'!$F$58*IF(ABS(K899)&lt;'Progetto del paramento slu'!$G$58,ABS(K899)*'Progetto del paramento slu'!$G$54,'Progetto del paramento slu'!$G$53)*IF(K899&lt;0,-1,1)</f>
        <v>0</v>
      </c>
      <c r="R899" s="553">
        <f>'Foglio deposito bis'!$F$59*IF(ABS(L899)&lt;'Progetto del paramento slu'!$G$58,ABS(L899)*'Progetto del paramento slu'!$G$54,'Progetto del paramento slu'!$G$53)*IF(L899&lt;0,-1,1)</f>
        <v>153664.85805602249</v>
      </c>
      <c r="S899" s="553">
        <f>'Foglio deposito bis'!$F$60*IF(ABS(M899)&lt;'Progetto del paramento slu'!$G$58,ABS(M899)*'Progetto del paramento slu'!$G$54,'Progetto del paramento slu'!$G$53)*IF(M899&lt;0,-1,1)</f>
        <v>0</v>
      </c>
      <c r="T899" s="553">
        <f>'Foglio deposito bis'!$F$61*IF(ABS(N899)&lt;'Progetto del paramento slu'!$G$58,ABS(N899)*'Progetto del paramento slu'!$G$54,'Progetto del paramento slu'!$G$53)*IF(N899&lt;0,-1,1)</f>
        <v>240946.49743184328</v>
      </c>
      <c r="U899" s="553">
        <f>'Foglio deposito bis'!$F$62*IF(ABS(O899)&lt;'Progetto del paramento slu'!$G$58,ABS(O899)*'Progetto del paramento slu'!$G$54,'Progetto del paramento slu'!$G$53)*IF(O899&lt;0,-1,1)</f>
        <v>314705.62929873407</v>
      </c>
      <c r="V899" s="479">
        <f t="shared" si="69"/>
        <v>-131866.94679593359</v>
      </c>
      <c r="W899" s="559"/>
      <c r="X899" s="559"/>
    </row>
    <row r="900" spans="1:24" x14ac:dyDescent="0.25">
      <c r="A900" s="553">
        <f t="shared" si="68"/>
        <v>143311.62613719254</v>
      </c>
      <c r="B900" s="3">
        <f t="shared" si="66"/>
        <v>14.899999999999968</v>
      </c>
      <c r="C900" s="553">
        <f>'Foglio deposito bis'!$E$156/sezione!$B$247*B900</f>
        <v>60.487745784323828</v>
      </c>
      <c r="D900" s="611">
        <f>-'Progetto del paramento slu'!$G$47*'Progetto del paramento slu'!$G$41*IF(DATI!$G$218="dx",DATI!$E$61,DATI!$E$64*DATI!$E$63)*1000*C900^2*sezione!$AD$5*(1-sezione!$AD$6)</f>
        <v>-30118972.276943713</v>
      </c>
      <c r="E900" s="553">
        <f>-'Foglio deposito bis'!$F$58*(C900-sezione!$AL$30)*IF(ABS(K900)&lt;'Progetto del paramento slu'!$G$58,ABS(K900)*'Progetto del paramento slu'!$G$54,'Progetto del paramento slu'!$G$53)</f>
        <v>0</v>
      </c>
      <c r="F900" s="553">
        <f>-'Foglio deposito bis'!$F$59*(C900-sezione!$AM$30)*IF(ABS(L900)&lt;'Progetto del paramento slu'!$G$58,ABS(L900)*'Progetto del paramento slu'!$G$54,'Progetto del paramento slu'!$G$53)</f>
        <v>13754887.83832648</v>
      </c>
      <c r="G900" s="553">
        <f>-'Foglio deposito bis'!$F$60*(C900-sezione!$AN$30)*IF(ABS(M900)&lt;'Progetto del paramento slu'!$G$58,ABS(M900)*'Progetto del paramento slu'!$G$54,'Progetto del paramento slu'!$G$53)</f>
        <v>0</v>
      </c>
      <c r="H900" s="553">
        <f>-'Foglio deposito bis'!$F$61*(C900-sezione!$AO$30)*IF(ABS(N900)&lt;'Progetto del paramento slu'!$G$58,ABS(N900)*'Progetto del paramento slu'!$G$54,'Progetto del paramento slu'!$G$53)</f>
        <v>67347498.642546147</v>
      </c>
      <c r="I900" s="479">
        <f>-'Foglio deposito bis'!$F$62*(C900-sezione!$AP$30)*IF(ABS(O900)&lt;'Progetto del paramento slu'!$G$58,ABS(O900)*'Progetto del paramento slu'!$G$54,'Progetto del paramento slu'!$G$53)</f>
        <v>62788567.580609925</v>
      </c>
      <c r="J900" s="479">
        <f t="shared" si="67"/>
        <v>113771981.78453884</v>
      </c>
      <c r="K900" s="558">
        <f>'Progetto del paramento slu'!$G$60*(sezione!$AL$30-C900)/C900</f>
        <v>-1.1854816097927262E-3</v>
      </c>
      <c r="L900" s="558">
        <f>'Progetto del paramento slu'!$G$60*(sezione!$AM$30-C900)/C900</f>
        <v>5.1794439632772762E-3</v>
      </c>
      <c r="M900" s="559">
        <f>'Progetto del paramento slu'!$G$60*(sezione!$AN$30-C900)/C900</f>
        <v>1.154436953634728E-2</v>
      </c>
      <c r="N900" s="559">
        <f>'Progetto del paramento slu'!$G$60*(sezione!$AO$30-C900)/C900</f>
        <v>1.617340631676183E-2</v>
      </c>
      <c r="O900" s="559">
        <f>'Progetto del paramento slu'!$G$60*(sezione!$AP$30-C900)/C900</f>
        <v>1.1544542012477316E-2</v>
      </c>
      <c r="P900" s="553">
        <f>-'Progetto del paramento slu'!$G$47*'Progetto del paramento slu'!$G$41*IF(DATI!$G$218="dx",DATI!$E$61,DATI!$E$64*DATI!$E$63)*1000*C900*sezione!$AD$5</f>
        <v>-852628.61092379247</v>
      </c>
      <c r="Q900" s="553">
        <f>'Foglio deposito bis'!$F$58*IF(ABS(K900)&lt;'Progetto del paramento slu'!$G$58,ABS(K900)*'Progetto del paramento slu'!$G$54,'Progetto del paramento slu'!$G$53)*IF(K900&lt;0,-1,1)</f>
        <v>0</v>
      </c>
      <c r="R900" s="553">
        <f>'Foglio deposito bis'!$F$59*IF(ABS(L900)&lt;'Progetto del paramento slu'!$G$58,ABS(L900)*'Progetto del paramento slu'!$G$54,'Progetto del paramento slu'!$G$53)*IF(L900&lt;0,-1,1)</f>
        <v>153664.85805602249</v>
      </c>
      <c r="S900" s="553">
        <f>'Foglio deposito bis'!$F$60*IF(ABS(M900)&lt;'Progetto del paramento slu'!$G$58,ABS(M900)*'Progetto del paramento slu'!$G$54,'Progetto del paramento slu'!$G$53)*IF(M900&lt;0,-1,1)</f>
        <v>0</v>
      </c>
      <c r="T900" s="553">
        <f>'Foglio deposito bis'!$F$61*IF(ABS(N900)&lt;'Progetto del paramento slu'!$G$58,ABS(N900)*'Progetto del paramento slu'!$G$54,'Progetto del paramento slu'!$G$53)*IF(N900&lt;0,-1,1)</f>
        <v>240946.49743184328</v>
      </c>
      <c r="U900" s="553">
        <f>'Foglio deposito bis'!$F$62*IF(ABS(O900)&lt;'Progetto del paramento slu'!$G$58,ABS(O900)*'Progetto del paramento slu'!$G$54,'Progetto del paramento slu'!$G$53)*IF(O900&lt;0,-1,1)</f>
        <v>314705.62929873407</v>
      </c>
      <c r="V900" s="479">
        <f t="shared" si="69"/>
        <v>-143311.62613719254</v>
      </c>
      <c r="W900" s="559"/>
      <c r="X900" s="559"/>
    </row>
    <row r="901" spans="1:24" x14ac:dyDescent="0.25">
      <c r="A901" s="553">
        <f t="shared" si="68"/>
        <v>154756.30547845148</v>
      </c>
      <c r="B901" s="3">
        <f t="shared" si="66"/>
        <v>15.099999999999968</v>
      </c>
      <c r="C901" s="553">
        <f>'Foglio deposito bis'!$E$156/sezione!$B$247*B901</f>
        <v>61.299661835120119</v>
      </c>
      <c r="D901" s="611">
        <f>-'Progetto del paramento slu'!$G$47*'Progetto del paramento slu'!$G$41*IF(DATI!$G$218="dx",DATI!$E$61,DATI!$E$64*DATI!$E$63)*1000*C901^2*sezione!$AD$5*(1-sezione!$AD$6)</f>
        <v>-30932961.888500232</v>
      </c>
      <c r="E901" s="553">
        <f>-'Foglio deposito bis'!$F$58*(C901-sezione!$AL$30)*IF(ABS(K901)&lt;'Progetto del paramento slu'!$G$58,ABS(K901)*'Progetto del paramento slu'!$G$54,'Progetto del paramento slu'!$G$53)</f>
        <v>0</v>
      </c>
      <c r="F901" s="553">
        <f>-'Foglio deposito bis'!$F$59*(C901-sezione!$AM$30)*IF(ABS(L901)&lt;'Progetto del paramento slu'!$G$58,ABS(L901)*'Progetto del paramento slu'!$G$54,'Progetto del paramento slu'!$G$53)</f>
        <v>13630124.873627461</v>
      </c>
      <c r="G901" s="553">
        <f>-'Foglio deposito bis'!$F$60*(C901-sezione!$AN$30)*IF(ABS(M901)&lt;'Progetto del paramento slu'!$G$58,ABS(M901)*'Progetto del paramento slu'!$G$54,'Progetto del paramento slu'!$G$53)</f>
        <v>0</v>
      </c>
      <c r="H901" s="553">
        <f>-'Foglio deposito bis'!$F$61*(C901-sezione!$AO$30)*IF(ABS(N901)&lt;'Progetto del paramento slu'!$G$58,ABS(N901)*'Progetto del paramento slu'!$G$54,'Progetto del paramento slu'!$G$53)</f>
        <v>67151870.313898087</v>
      </c>
      <c r="I901" s="479">
        <f>-'Foglio deposito bis'!$F$62*(C901-sezione!$AP$30)*IF(ABS(O901)&lt;'Progetto del paramento slu'!$G$58,ABS(O901)*'Progetto del paramento slu'!$G$54,'Progetto del paramento slu'!$G$53)</f>
        <v>62533053.028906338</v>
      </c>
      <c r="J901" s="479">
        <f t="shared" si="67"/>
        <v>112382086.32793164</v>
      </c>
      <c r="K901" s="558">
        <f>'Progetto del paramento slu'!$G$60*(sezione!$AL$30-C901)/C901</f>
        <v>-1.2161374825107034E-3</v>
      </c>
      <c r="L901" s="558">
        <f>'Progetto del paramento slu'!$G$60*(sezione!$AM$30-C901)/C901</f>
        <v>5.064484440584863E-3</v>
      </c>
      <c r="M901" s="559">
        <f>'Progetto del paramento slu'!$G$60*(sezione!$AN$30-C901)/C901</f>
        <v>1.134510636368043E-2</v>
      </c>
      <c r="N901" s="559">
        <f>'Progetto del paramento slu'!$G$60*(sezione!$AO$30-C901)/C901</f>
        <v>1.5912831398659021E-2</v>
      </c>
      <c r="O901" s="559">
        <f>'Progetto del paramento slu'!$G$60*(sezione!$AP$30-C901)/C901</f>
        <v>1.1345276555358412E-2</v>
      </c>
      <c r="P901" s="553">
        <f>-'Progetto del paramento slu'!$G$47*'Progetto del paramento slu'!$G$41*IF(DATI!$G$218="dx",DATI!$E$61,DATI!$E$64*DATI!$E$63)*1000*C901*sezione!$AD$5</f>
        <v>-864073.29026505142</v>
      </c>
      <c r="Q901" s="553">
        <f>'Foglio deposito bis'!$F$58*IF(ABS(K901)&lt;'Progetto del paramento slu'!$G$58,ABS(K901)*'Progetto del paramento slu'!$G$54,'Progetto del paramento slu'!$G$53)*IF(K901&lt;0,-1,1)</f>
        <v>0</v>
      </c>
      <c r="R901" s="553">
        <f>'Foglio deposito bis'!$F$59*IF(ABS(L901)&lt;'Progetto del paramento slu'!$G$58,ABS(L901)*'Progetto del paramento slu'!$G$54,'Progetto del paramento slu'!$G$53)*IF(L901&lt;0,-1,1)</f>
        <v>153664.85805602249</v>
      </c>
      <c r="S901" s="553">
        <f>'Foglio deposito bis'!$F$60*IF(ABS(M901)&lt;'Progetto del paramento slu'!$G$58,ABS(M901)*'Progetto del paramento slu'!$G$54,'Progetto del paramento slu'!$G$53)*IF(M901&lt;0,-1,1)</f>
        <v>0</v>
      </c>
      <c r="T901" s="553">
        <f>'Foglio deposito bis'!$F$61*IF(ABS(N901)&lt;'Progetto del paramento slu'!$G$58,ABS(N901)*'Progetto del paramento slu'!$G$54,'Progetto del paramento slu'!$G$53)*IF(N901&lt;0,-1,1)</f>
        <v>240946.49743184328</v>
      </c>
      <c r="U901" s="553">
        <f>'Foglio deposito bis'!$F$62*IF(ABS(O901)&lt;'Progetto del paramento slu'!$G$58,ABS(O901)*'Progetto del paramento slu'!$G$54,'Progetto del paramento slu'!$G$53)*IF(O901&lt;0,-1,1)</f>
        <v>314705.62929873407</v>
      </c>
      <c r="V901" s="479">
        <f t="shared" si="69"/>
        <v>-154756.30547845148</v>
      </c>
      <c r="W901" s="559"/>
      <c r="X901" s="559"/>
    </row>
    <row r="902" spans="1:24" x14ac:dyDescent="0.25">
      <c r="A902" s="553">
        <f t="shared" si="68"/>
        <v>166200.98481971043</v>
      </c>
      <c r="B902" s="3">
        <f t="shared" si="66"/>
        <v>15.299999999999967</v>
      </c>
      <c r="C902" s="553">
        <f>'Foglio deposito bis'!$E$156/sezione!$B$247*B902</f>
        <v>62.111577885916411</v>
      </c>
      <c r="D902" s="611">
        <f>-'Progetto del paramento slu'!$G$47*'Progetto del paramento slu'!$G$41*IF(DATI!$G$218="dx",DATI!$E$61,DATI!$E$64*DATI!$E$63)*1000*C902^2*sezione!$AD$5*(1-sezione!$AD$6)</f>
        <v>-31757804.694877498</v>
      </c>
      <c r="E902" s="553">
        <f>-'Foglio deposito bis'!$F$58*(C902-sezione!$AL$30)*IF(ABS(K902)&lt;'Progetto del paramento slu'!$G$58,ABS(K902)*'Progetto del paramento slu'!$G$54,'Progetto del paramento slu'!$G$53)</f>
        <v>0</v>
      </c>
      <c r="F902" s="553">
        <f>-'Foglio deposito bis'!$F$59*(C902-sezione!$AM$30)*IF(ABS(L902)&lt;'Progetto del paramento slu'!$G$58,ABS(L902)*'Progetto del paramento slu'!$G$54,'Progetto del paramento slu'!$G$53)</f>
        <v>13505361.908928445</v>
      </c>
      <c r="G902" s="553">
        <f>-'Foglio deposito bis'!$F$60*(C902-sezione!$AN$30)*IF(ABS(M902)&lt;'Progetto del paramento slu'!$G$58,ABS(M902)*'Progetto del paramento slu'!$G$54,'Progetto del paramento slu'!$G$53)</f>
        <v>0</v>
      </c>
      <c r="H902" s="553">
        <f>-'Foglio deposito bis'!$F$61*(C902-sezione!$AO$30)*IF(ABS(N902)&lt;'Progetto del paramento slu'!$G$58,ABS(N902)*'Progetto del paramento slu'!$G$54,'Progetto del paramento slu'!$G$53)</f>
        <v>66956241.985250019</v>
      </c>
      <c r="I902" s="479">
        <f>-'Foglio deposito bis'!$F$62*(C902-sezione!$AP$30)*IF(ABS(O902)&lt;'Progetto del paramento slu'!$G$58,ABS(O902)*'Progetto del paramento slu'!$G$54,'Progetto del paramento slu'!$G$53)</f>
        <v>62277538.477202743</v>
      </c>
      <c r="J902" s="479">
        <f t="shared" si="67"/>
        <v>110981337.67650372</v>
      </c>
      <c r="K902" s="558">
        <f>'Progetto del paramento slu'!$G$60*(sezione!$AL$30-C902)/C902</f>
        <v>-1.2459918945040274E-3</v>
      </c>
      <c r="L902" s="558">
        <f>'Progetto del paramento slu'!$G$60*(sezione!$AM$30-C902)/C902</f>
        <v>4.9525303956098983E-3</v>
      </c>
      <c r="M902" s="559">
        <f>'Progetto del paramento slu'!$G$60*(sezione!$AN$30-C902)/C902</f>
        <v>1.1151052685723823E-2</v>
      </c>
      <c r="N902" s="559">
        <f>'Progetto del paramento slu'!$G$60*(sezione!$AO$30-C902)/C902</f>
        <v>1.5659068896715769E-2</v>
      </c>
      <c r="O902" s="559">
        <f>'Progetto del paramento slu'!$G$60*(sezione!$AP$30-C902)/C902</f>
        <v>1.1151220652673988E-2</v>
      </c>
      <c r="P902" s="553">
        <f>-'Progetto del paramento slu'!$G$47*'Progetto del paramento slu'!$G$41*IF(DATI!$G$218="dx",DATI!$E$61,DATI!$E$64*DATI!$E$63)*1000*C902*sezione!$AD$5</f>
        <v>-875517.96960631036</v>
      </c>
      <c r="Q902" s="553">
        <f>'Foglio deposito bis'!$F$58*IF(ABS(K902)&lt;'Progetto del paramento slu'!$G$58,ABS(K902)*'Progetto del paramento slu'!$G$54,'Progetto del paramento slu'!$G$53)*IF(K902&lt;0,-1,1)</f>
        <v>0</v>
      </c>
      <c r="R902" s="553">
        <f>'Foglio deposito bis'!$F$59*IF(ABS(L902)&lt;'Progetto del paramento slu'!$G$58,ABS(L902)*'Progetto del paramento slu'!$G$54,'Progetto del paramento slu'!$G$53)*IF(L902&lt;0,-1,1)</f>
        <v>153664.85805602249</v>
      </c>
      <c r="S902" s="553">
        <f>'Foglio deposito bis'!$F$60*IF(ABS(M902)&lt;'Progetto del paramento slu'!$G$58,ABS(M902)*'Progetto del paramento slu'!$G$54,'Progetto del paramento slu'!$G$53)*IF(M902&lt;0,-1,1)</f>
        <v>0</v>
      </c>
      <c r="T902" s="553">
        <f>'Foglio deposito bis'!$F$61*IF(ABS(N902)&lt;'Progetto del paramento slu'!$G$58,ABS(N902)*'Progetto del paramento slu'!$G$54,'Progetto del paramento slu'!$G$53)*IF(N902&lt;0,-1,1)</f>
        <v>240946.49743184328</v>
      </c>
      <c r="U902" s="553">
        <f>'Foglio deposito bis'!$F$62*IF(ABS(O902)&lt;'Progetto del paramento slu'!$G$58,ABS(O902)*'Progetto del paramento slu'!$G$54,'Progetto del paramento slu'!$G$53)*IF(O902&lt;0,-1,1)</f>
        <v>314705.62929873407</v>
      </c>
      <c r="V902" s="479">
        <f t="shared" si="69"/>
        <v>-166200.98481971043</v>
      </c>
      <c r="W902" s="559"/>
      <c r="X902" s="559"/>
    </row>
    <row r="903" spans="1:24" x14ac:dyDescent="0.25">
      <c r="A903" s="553">
        <f t="shared" si="68"/>
        <v>177645.66416096938</v>
      </c>
      <c r="B903" s="3">
        <f t="shared" si="66"/>
        <v>15.499999999999966</v>
      </c>
      <c r="C903" s="553">
        <f>'Foglio deposito bis'!$E$156/sezione!$B$247*B903</f>
        <v>62.923493936712703</v>
      </c>
      <c r="D903" s="611">
        <f>-'Progetto del paramento slu'!$G$47*'Progetto del paramento slu'!$G$41*IF(DATI!$G$218="dx",DATI!$E$61,DATI!$E$64*DATI!$E$63)*1000*C903^2*sezione!$AD$5*(1-sezione!$AD$6)</f>
        <v>-32593500.696075518</v>
      </c>
      <c r="E903" s="553">
        <f>-'Foglio deposito bis'!$F$58*(C903-sezione!$AL$30)*IF(ABS(K903)&lt;'Progetto del paramento slu'!$G$58,ABS(K903)*'Progetto del paramento slu'!$G$54,'Progetto del paramento slu'!$G$53)</f>
        <v>0</v>
      </c>
      <c r="F903" s="553">
        <f>-'Foglio deposito bis'!$F$59*(C903-sezione!$AM$30)*IF(ABS(L903)&lt;'Progetto del paramento slu'!$G$58,ABS(L903)*'Progetto del paramento slu'!$G$54,'Progetto del paramento slu'!$G$53)</f>
        <v>13380598.944229424</v>
      </c>
      <c r="G903" s="553">
        <f>-'Foglio deposito bis'!$F$60*(C903-sezione!$AN$30)*IF(ABS(M903)&lt;'Progetto del paramento slu'!$G$58,ABS(M903)*'Progetto del paramento slu'!$G$54,'Progetto del paramento slu'!$G$53)</f>
        <v>0</v>
      </c>
      <c r="H903" s="553">
        <f>-'Foglio deposito bis'!$F$61*(C903-sezione!$AO$30)*IF(ABS(N903)&lt;'Progetto del paramento slu'!$G$58,ABS(N903)*'Progetto del paramento slu'!$G$54,'Progetto del paramento slu'!$G$53)</f>
        <v>66760613.656601958</v>
      </c>
      <c r="I903" s="479">
        <f>-'Foglio deposito bis'!$F$62*(C903-sezione!$AP$30)*IF(ABS(O903)&lt;'Progetto del paramento slu'!$G$58,ABS(O903)*'Progetto del paramento slu'!$G$54,'Progetto del paramento slu'!$G$53)</f>
        <v>62022023.925499156</v>
      </c>
      <c r="J903" s="479">
        <f t="shared" si="67"/>
        <v>109569735.83025502</v>
      </c>
      <c r="K903" s="558">
        <f>'Progetto del paramento slu'!$G$60*(sezione!$AL$30-C903)/C903</f>
        <v>-1.2750758700588141E-3</v>
      </c>
      <c r="L903" s="558">
        <f>'Progetto del paramento slu'!$G$60*(sezione!$AM$30-C903)/C903</f>
        <v>4.8434654872794476E-3</v>
      </c>
      <c r="M903" s="559">
        <f>'Progetto del paramento slu'!$G$60*(sezione!$AN$30-C903)/C903</f>
        <v>1.0962006844617709E-2</v>
      </c>
      <c r="N903" s="559">
        <f>'Progetto del paramento slu'!$G$60*(sezione!$AO$30-C903)/C903</f>
        <v>1.5411855104500081E-2</v>
      </c>
      <c r="O903" s="559">
        <f>'Progetto del paramento slu'!$G$60*(sezione!$AP$30-C903)/C903</f>
        <v>1.0962172644252388E-2</v>
      </c>
      <c r="P903" s="553">
        <f>-'Progetto del paramento slu'!$G$47*'Progetto del paramento slu'!$G$41*IF(DATI!$G$218="dx",DATI!$E$61,DATI!$E$64*DATI!$E$63)*1000*C903*sezione!$AD$5</f>
        <v>-886962.64894756931</v>
      </c>
      <c r="Q903" s="553">
        <f>'Foglio deposito bis'!$F$58*IF(ABS(K903)&lt;'Progetto del paramento slu'!$G$58,ABS(K903)*'Progetto del paramento slu'!$G$54,'Progetto del paramento slu'!$G$53)*IF(K903&lt;0,-1,1)</f>
        <v>0</v>
      </c>
      <c r="R903" s="553">
        <f>'Foglio deposito bis'!$F$59*IF(ABS(L903)&lt;'Progetto del paramento slu'!$G$58,ABS(L903)*'Progetto del paramento slu'!$G$54,'Progetto del paramento slu'!$G$53)*IF(L903&lt;0,-1,1)</f>
        <v>153664.85805602249</v>
      </c>
      <c r="S903" s="553">
        <f>'Foglio deposito bis'!$F$60*IF(ABS(M903)&lt;'Progetto del paramento slu'!$G$58,ABS(M903)*'Progetto del paramento slu'!$G$54,'Progetto del paramento slu'!$G$53)*IF(M903&lt;0,-1,1)</f>
        <v>0</v>
      </c>
      <c r="T903" s="553">
        <f>'Foglio deposito bis'!$F$61*IF(ABS(N903)&lt;'Progetto del paramento slu'!$G$58,ABS(N903)*'Progetto del paramento slu'!$G$54,'Progetto del paramento slu'!$G$53)*IF(N903&lt;0,-1,1)</f>
        <v>240946.49743184328</v>
      </c>
      <c r="U903" s="553">
        <f>'Foglio deposito bis'!$F$62*IF(ABS(O903)&lt;'Progetto del paramento slu'!$G$58,ABS(O903)*'Progetto del paramento slu'!$G$54,'Progetto del paramento slu'!$G$53)*IF(O903&lt;0,-1,1)</f>
        <v>314705.62929873407</v>
      </c>
      <c r="V903" s="479">
        <f t="shared" si="69"/>
        <v>-177645.66416096938</v>
      </c>
      <c r="W903" s="559"/>
      <c r="X903" s="559"/>
    </row>
    <row r="904" spans="1:24" x14ac:dyDescent="0.25">
      <c r="A904" s="553">
        <f t="shared" si="68"/>
        <v>189090.34350222832</v>
      </c>
      <c r="B904" s="3">
        <f t="shared" si="66"/>
        <v>15.699999999999966</v>
      </c>
      <c r="C904" s="553">
        <f>'Foglio deposito bis'!$E$156/sezione!$B$247*B904</f>
        <v>63.735409987508994</v>
      </c>
      <c r="D904" s="611">
        <f>-'Progetto del paramento slu'!$G$47*'Progetto del paramento slu'!$G$41*IF(DATI!$G$218="dx",DATI!$E$61,DATI!$E$64*DATI!$E$63)*1000*C904^2*sezione!$AD$5*(1-sezione!$AD$6)</f>
        <v>-33440049.892094295</v>
      </c>
      <c r="E904" s="553">
        <f>-'Foglio deposito bis'!$F$58*(C904-sezione!$AL$30)*IF(ABS(K904)&lt;'Progetto del paramento slu'!$G$58,ABS(K904)*'Progetto del paramento slu'!$G$54,'Progetto del paramento slu'!$G$53)</f>
        <v>0</v>
      </c>
      <c r="F904" s="553">
        <f>-'Foglio deposito bis'!$F$59*(C904-sezione!$AM$30)*IF(ABS(L904)&lt;'Progetto del paramento slu'!$G$58,ABS(L904)*'Progetto del paramento slu'!$G$54,'Progetto del paramento slu'!$G$53)</f>
        <v>13255835.979530405</v>
      </c>
      <c r="G904" s="553">
        <f>-'Foglio deposito bis'!$F$60*(C904-sezione!$AN$30)*IF(ABS(M904)&lt;'Progetto del paramento slu'!$G$58,ABS(M904)*'Progetto del paramento slu'!$G$54,'Progetto del paramento slu'!$G$53)</f>
        <v>0</v>
      </c>
      <c r="H904" s="553">
        <f>-'Foglio deposito bis'!$F$61*(C904-sezione!$AO$30)*IF(ABS(N904)&lt;'Progetto del paramento slu'!$G$58,ABS(N904)*'Progetto del paramento slu'!$G$54,'Progetto del paramento slu'!$G$53)</f>
        <v>66564985.327953897</v>
      </c>
      <c r="I904" s="479">
        <f>-'Foglio deposito bis'!$F$62*(C904-sezione!$AP$30)*IF(ABS(O904)&lt;'Progetto del paramento slu'!$G$58,ABS(O904)*'Progetto del paramento slu'!$G$54,'Progetto del paramento slu'!$G$53)</f>
        <v>61766509.373795561</v>
      </c>
      <c r="J904" s="479">
        <f t="shared" si="67"/>
        <v>108147280.78918557</v>
      </c>
      <c r="K904" s="558">
        <f>'Progetto del paramento slu'!$G$60*(sezione!$AL$30-C904)/C904</f>
        <v>-1.3034188526058355E-3</v>
      </c>
      <c r="L904" s="558">
        <f>'Progetto del paramento slu'!$G$60*(sezione!$AM$30-C904)/C904</f>
        <v>4.7371793027281162E-3</v>
      </c>
      <c r="M904" s="559">
        <f>'Progetto del paramento slu'!$G$60*(sezione!$AN$30-C904)/C904</f>
        <v>1.077777745806207E-2</v>
      </c>
      <c r="N904" s="559">
        <f>'Progetto del paramento slu'!$G$60*(sezione!$AO$30-C904)/C904</f>
        <v>1.5170939752850398E-2</v>
      </c>
      <c r="O904" s="559">
        <f>'Progetto del paramento slu'!$G$60*(sezione!$AP$30-C904)/C904</f>
        <v>1.0777941145599492E-2</v>
      </c>
      <c r="P904" s="553">
        <f>-'Progetto del paramento slu'!$G$47*'Progetto del paramento slu'!$G$41*IF(DATI!$G$218="dx",DATI!$E$61,DATI!$E$64*DATI!$E$63)*1000*C904*sezione!$AD$5</f>
        <v>-898407.32828882826</v>
      </c>
      <c r="Q904" s="553">
        <f>'Foglio deposito bis'!$F$58*IF(ABS(K904)&lt;'Progetto del paramento slu'!$G$58,ABS(K904)*'Progetto del paramento slu'!$G$54,'Progetto del paramento slu'!$G$53)*IF(K904&lt;0,-1,1)</f>
        <v>0</v>
      </c>
      <c r="R904" s="553">
        <f>'Foglio deposito bis'!$F$59*IF(ABS(L904)&lt;'Progetto del paramento slu'!$G$58,ABS(L904)*'Progetto del paramento slu'!$G$54,'Progetto del paramento slu'!$G$53)*IF(L904&lt;0,-1,1)</f>
        <v>153664.85805602249</v>
      </c>
      <c r="S904" s="553">
        <f>'Foglio deposito bis'!$F$60*IF(ABS(M904)&lt;'Progetto del paramento slu'!$G$58,ABS(M904)*'Progetto del paramento slu'!$G$54,'Progetto del paramento slu'!$G$53)*IF(M904&lt;0,-1,1)</f>
        <v>0</v>
      </c>
      <c r="T904" s="553">
        <f>'Foglio deposito bis'!$F$61*IF(ABS(N904)&lt;'Progetto del paramento slu'!$G$58,ABS(N904)*'Progetto del paramento slu'!$G$54,'Progetto del paramento slu'!$G$53)*IF(N904&lt;0,-1,1)</f>
        <v>240946.49743184328</v>
      </c>
      <c r="U904" s="553">
        <f>'Foglio deposito bis'!$F$62*IF(ABS(O904)&lt;'Progetto del paramento slu'!$G$58,ABS(O904)*'Progetto del paramento slu'!$G$54,'Progetto del paramento slu'!$G$53)*IF(O904&lt;0,-1,1)</f>
        <v>314705.62929873407</v>
      </c>
      <c r="V904" s="479">
        <f t="shared" si="69"/>
        <v>-189090.34350222832</v>
      </c>
      <c r="W904" s="559"/>
      <c r="X904" s="559"/>
    </row>
    <row r="905" spans="1:24" x14ac:dyDescent="0.25">
      <c r="A905" s="553">
        <f t="shared" si="68"/>
        <v>200535.02284348727</v>
      </c>
      <c r="B905" s="3">
        <f t="shared" si="66"/>
        <v>15.899999999999965</v>
      </c>
      <c r="C905" s="553">
        <f>'Foglio deposito bis'!$E$156/sezione!$B$247*B905</f>
        <v>64.547326038305286</v>
      </c>
      <c r="D905" s="611">
        <f>-'Progetto del paramento slu'!$G$47*'Progetto del paramento slu'!$G$41*IF(DATI!$G$218="dx",DATI!$E$61,DATI!$E$64*DATI!$E$63)*1000*C905^2*sezione!$AD$5*(1-sezione!$AD$6)</f>
        <v>-34297452.282933824</v>
      </c>
      <c r="E905" s="553">
        <f>-'Foglio deposito bis'!$F$58*(C905-sezione!$AL$30)*IF(ABS(K905)&lt;'Progetto del paramento slu'!$G$58,ABS(K905)*'Progetto del paramento slu'!$G$54,'Progetto del paramento slu'!$G$53)</f>
        <v>0</v>
      </c>
      <c r="F905" s="553">
        <f>-'Foglio deposito bis'!$F$59*(C905-sezione!$AM$30)*IF(ABS(L905)&lt;'Progetto del paramento slu'!$G$58,ABS(L905)*'Progetto del paramento slu'!$G$54,'Progetto del paramento slu'!$G$53)</f>
        <v>13131073.014831388</v>
      </c>
      <c r="G905" s="553">
        <f>-'Foglio deposito bis'!$F$60*(C905-sezione!$AN$30)*IF(ABS(M905)&lt;'Progetto del paramento slu'!$G$58,ABS(M905)*'Progetto del paramento slu'!$G$54,'Progetto del paramento slu'!$G$53)</f>
        <v>0</v>
      </c>
      <c r="H905" s="553">
        <f>-'Foglio deposito bis'!$F$61*(C905-sezione!$AO$30)*IF(ABS(N905)&lt;'Progetto del paramento slu'!$G$58,ABS(N905)*'Progetto del paramento slu'!$G$54,'Progetto del paramento slu'!$G$53)</f>
        <v>66369356.999305837</v>
      </c>
      <c r="I905" s="479">
        <f>-'Foglio deposito bis'!$F$62*(C905-sezione!$AP$30)*IF(ABS(O905)&lt;'Progetto del paramento slu'!$G$58,ABS(O905)*'Progetto del paramento slu'!$G$54,'Progetto del paramento slu'!$G$53)</f>
        <v>61510994.822091974</v>
      </c>
      <c r="J905" s="479">
        <f t="shared" si="67"/>
        <v>106713972.55329537</v>
      </c>
      <c r="K905" s="558">
        <f>'Progetto del paramento slu'!$G$60*(sezione!$AL$30-C905)/C905</f>
        <v>-1.3310488041453849E-3</v>
      </c>
      <c r="L905" s="558">
        <f>'Progetto del paramento slu'!$G$60*(sezione!$AM$30-C905)/C905</f>
        <v>4.6335669844548072E-3</v>
      </c>
      <c r="M905" s="559">
        <f>'Progetto del paramento slu'!$G$60*(sezione!$AN$30-C905)/C905</f>
        <v>1.0598182773054998E-2</v>
      </c>
      <c r="N905" s="559">
        <f>'Progetto del paramento slu'!$G$60*(sezione!$AO$30-C905)/C905</f>
        <v>1.493608516476423E-2</v>
      </c>
      <c r="O905" s="559">
        <f>'Progetto del paramento slu'!$G$60*(sezione!$AP$30-C905)/C905</f>
        <v>1.0598344401629687E-2</v>
      </c>
      <c r="P905" s="553">
        <f>-'Progetto del paramento slu'!$G$47*'Progetto del paramento slu'!$G$41*IF(DATI!$G$218="dx",DATI!$E$61,DATI!$E$64*DATI!$E$63)*1000*C905*sezione!$AD$5</f>
        <v>-909852.0076300872</v>
      </c>
      <c r="Q905" s="553">
        <f>'Foglio deposito bis'!$F$58*IF(ABS(K905)&lt;'Progetto del paramento slu'!$G$58,ABS(K905)*'Progetto del paramento slu'!$G$54,'Progetto del paramento slu'!$G$53)*IF(K905&lt;0,-1,1)</f>
        <v>0</v>
      </c>
      <c r="R905" s="553">
        <f>'Foglio deposito bis'!$F$59*IF(ABS(L905)&lt;'Progetto del paramento slu'!$G$58,ABS(L905)*'Progetto del paramento slu'!$G$54,'Progetto del paramento slu'!$G$53)*IF(L905&lt;0,-1,1)</f>
        <v>153664.85805602249</v>
      </c>
      <c r="S905" s="553">
        <f>'Foglio deposito bis'!$F$60*IF(ABS(M905)&lt;'Progetto del paramento slu'!$G$58,ABS(M905)*'Progetto del paramento slu'!$G$54,'Progetto del paramento slu'!$G$53)*IF(M905&lt;0,-1,1)</f>
        <v>0</v>
      </c>
      <c r="T905" s="553">
        <f>'Foglio deposito bis'!$F$61*IF(ABS(N905)&lt;'Progetto del paramento slu'!$G$58,ABS(N905)*'Progetto del paramento slu'!$G$54,'Progetto del paramento slu'!$G$53)*IF(N905&lt;0,-1,1)</f>
        <v>240946.49743184328</v>
      </c>
      <c r="U905" s="553">
        <f>'Foglio deposito bis'!$F$62*IF(ABS(O905)&lt;'Progetto del paramento slu'!$G$58,ABS(O905)*'Progetto del paramento slu'!$G$54,'Progetto del paramento slu'!$G$53)*IF(O905&lt;0,-1,1)</f>
        <v>314705.62929873407</v>
      </c>
      <c r="V905" s="479">
        <f t="shared" si="69"/>
        <v>-200535.02284348727</v>
      </c>
      <c r="W905" s="559"/>
      <c r="X905" s="559"/>
    </row>
    <row r="906" spans="1:24" x14ac:dyDescent="0.25">
      <c r="A906" s="553">
        <f t="shared" si="68"/>
        <v>211979.70218474622</v>
      </c>
      <c r="B906" s="3">
        <f t="shared" si="66"/>
        <v>16.099999999999966</v>
      </c>
      <c r="C906" s="553">
        <f>'Foglio deposito bis'!$E$156/sezione!$B$247*B906</f>
        <v>65.359242089101585</v>
      </c>
      <c r="D906" s="611">
        <f>-'Progetto del paramento slu'!$G$47*'Progetto del paramento slu'!$G$41*IF(DATI!$G$218="dx",DATI!$E$61,DATI!$E$64*DATI!$E$63)*1000*C906^2*sezione!$AD$5*(1-sezione!$AD$6)</f>
        <v>-35165707.868594117</v>
      </c>
      <c r="E906" s="553">
        <f>-'Foglio deposito bis'!$F$58*(C906-sezione!$AL$30)*IF(ABS(K906)&lt;'Progetto del paramento slu'!$G$58,ABS(K906)*'Progetto del paramento slu'!$G$54,'Progetto del paramento slu'!$G$53)</f>
        <v>0</v>
      </c>
      <c r="F906" s="553">
        <f>-'Foglio deposito bis'!$F$59*(C906-sezione!$AM$30)*IF(ABS(L906)&lt;'Progetto del paramento slu'!$G$58,ABS(L906)*'Progetto del paramento slu'!$G$54,'Progetto del paramento slu'!$G$53)</f>
        <v>13006310.050132368</v>
      </c>
      <c r="G906" s="553">
        <f>-'Foglio deposito bis'!$F$60*(C906-sezione!$AN$30)*IF(ABS(M906)&lt;'Progetto del paramento slu'!$G$58,ABS(M906)*'Progetto del paramento slu'!$G$54,'Progetto del paramento slu'!$G$53)</f>
        <v>0</v>
      </c>
      <c r="H906" s="553">
        <f>-'Foglio deposito bis'!$F$61*(C906-sezione!$AO$30)*IF(ABS(N906)&lt;'Progetto del paramento slu'!$G$58,ABS(N906)*'Progetto del paramento slu'!$G$54,'Progetto del paramento slu'!$G$53)</f>
        <v>66173728.670657769</v>
      </c>
      <c r="I906" s="479">
        <f>-'Foglio deposito bis'!$F$62*(C906-sezione!$AP$30)*IF(ABS(O906)&lt;'Progetto del paramento slu'!$G$58,ABS(O906)*'Progetto del paramento slu'!$G$54,'Progetto del paramento slu'!$G$53)</f>
        <v>61255480.27038838</v>
      </c>
      <c r="J906" s="479">
        <f t="shared" si="67"/>
        <v>105269811.1225844</v>
      </c>
      <c r="K906" s="558">
        <f>'Progetto del paramento slu'!$G$60*(sezione!$AL$30-C906)/C906</f>
        <v>-1.3579922972615914E-3</v>
      </c>
      <c r="L906" s="558">
        <f>'Progetto del paramento slu'!$G$60*(sezione!$AM$30-C906)/C906</f>
        <v>4.5325288852690335E-3</v>
      </c>
      <c r="M906" s="559">
        <f>'Progetto del paramento slu'!$G$60*(sezione!$AN$30-C906)/C906</f>
        <v>1.0423050067799656E-2</v>
      </c>
      <c r="N906" s="559">
        <f>'Progetto del paramento slu'!$G$60*(sezione!$AO$30-C906)/C906</f>
        <v>1.4707065473276474E-2</v>
      </c>
      <c r="O906" s="559">
        <f>'Progetto del paramento slu'!$G$60*(sezione!$AP$30-C906)/C906</f>
        <v>1.0423209688565964E-2</v>
      </c>
      <c r="P906" s="553">
        <f>-'Progetto del paramento slu'!$G$47*'Progetto del paramento slu'!$G$41*IF(DATI!$G$218="dx",DATI!$E$61,DATI!$E$64*DATI!$E$63)*1000*C906*sezione!$AD$5</f>
        <v>-921296.68697134615</v>
      </c>
      <c r="Q906" s="553">
        <f>'Foglio deposito bis'!$F$58*IF(ABS(K906)&lt;'Progetto del paramento slu'!$G$58,ABS(K906)*'Progetto del paramento slu'!$G$54,'Progetto del paramento slu'!$G$53)*IF(K906&lt;0,-1,1)</f>
        <v>0</v>
      </c>
      <c r="R906" s="553">
        <f>'Foglio deposito bis'!$F$59*IF(ABS(L906)&lt;'Progetto del paramento slu'!$G$58,ABS(L906)*'Progetto del paramento slu'!$G$54,'Progetto del paramento slu'!$G$53)*IF(L906&lt;0,-1,1)</f>
        <v>153664.85805602249</v>
      </c>
      <c r="S906" s="553">
        <f>'Foglio deposito bis'!$F$60*IF(ABS(M906)&lt;'Progetto del paramento slu'!$G$58,ABS(M906)*'Progetto del paramento slu'!$G$54,'Progetto del paramento slu'!$G$53)*IF(M906&lt;0,-1,1)</f>
        <v>0</v>
      </c>
      <c r="T906" s="553">
        <f>'Foglio deposito bis'!$F$61*IF(ABS(N906)&lt;'Progetto del paramento slu'!$G$58,ABS(N906)*'Progetto del paramento slu'!$G$54,'Progetto del paramento slu'!$G$53)*IF(N906&lt;0,-1,1)</f>
        <v>240946.49743184328</v>
      </c>
      <c r="U906" s="553">
        <f>'Foglio deposito bis'!$F$62*IF(ABS(O906)&lt;'Progetto del paramento slu'!$G$58,ABS(O906)*'Progetto del paramento slu'!$G$54,'Progetto del paramento slu'!$G$53)*IF(O906&lt;0,-1,1)</f>
        <v>314705.62929873407</v>
      </c>
      <c r="V906" s="479">
        <f t="shared" si="69"/>
        <v>-211979.70218474622</v>
      </c>
      <c r="W906" s="559"/>
      <c r="X906" s="559"/>
    </row>
    <row r="907" spans="1:24" x14ac:dyDescent="0.25">
      <c r="A907" s="553">
        <f t="shared" si="68"/>
        <v>223424.3815260054</v>
      </c>
      <c r="B907" s="3">
        <f t="shared" si="66"/>
        <v>16.299999999999965</v>
      </c>
      <c r="C907" s="553">
        <f>'Foglio deposito bis'!$E$156/sezione!$B$247*B907</f>
        <v>66.171158139897884</v>
      </c>
      <c r="D907" s="611">
        <f>-'Progetto del paramento slu'!$G$47*'Progetto del paramento slu'!$G$41*IF(DATI!$G$218="dx",DATI!$E$61,DATI!$E$64*DATI!$E$63)*1000*C907^2*sezione!$AD$5*(1-sezione!$AD$6)</f>
        <v>-36044816.649075158</v>
      </c>
      <c r="E907" s="553">
        <f>-'Foglio deposito bis'!$F$58*(C907-sezione!$AL$30)*IF(ABS(K907)&lt;'Progetto del paramento slu'!$G$58,ABS(K907)*'Progetto del paramento slu'!$G$54,'Progetto del paramento slu'!$G$53)</f>
        <v>0</v>
      </c>
      <c r="F907" s="553">
        <f>-'Foglio deposito bis'!$F$59*(C907-sezione!$AM$30)*IF(ABS(L907)&lt;'Progetto del paramento slu'!$G$58,ABS(L907)*'Progetto del paramento slu'!$G$54,'Progetto del paramento slu'!$G$53)</f>
        <v>12881547.085433349</v>
      </c>
      <c r="G907" s="553">
        <f>-'Foglio deposito bis'!$F$60*(C907-sezione!$AN$30)*IF(ABS(M907)&lt;'Progetto del paramento slu'!$G$58,ABS(M907)*'Progetto del paramento slu'!$G$54,'Progetto del paramento slu'!$G$53)</f>
        <v>0</v>
      </c>
      <c r="H907" s="553">
        <f>-'Foglio deposito bis'!$F$61*(C907-sezione!$AO$30)*IF(ABS(N907)&lt;'Progetto del paramento slu'!$G$58,ABS(N907)*'Progetto del paramento slu'!$G$54,'Progetto del paramento slu'!$G$53)</f>
        <v>65978100.342009708</v>
      </c>
      <c r="I907" s="479">
        <f>-'Foglio deposito bis'!$F$62*(C907-sezione!$AP$30)*IF(ABS(O907)&lt;'Progetto del paramento slu'!$G$58,ABS(O907)*'Progetto del paramento slu'!$G$54,'Progetto del paramento slu'!$G$53)</f>
        <v>60999965.718684785</v>
      </c>
      <c r="J907" s="479">
        <f t="shared" si="67"/>
        <v>103814796.49705268</v>
      </c>
      <c r="K907" s="558">
        <f>'Progetto del paramento slu'!$G$60*(sezione!$AL$30-C907)/C907</f>
        <v>-1.3842746003626762E-3</v>
      </c>
      <c r="L907" s="558">
        <f>'Progetto del paramento slu'!$G$60*(sezione!$AM$30-C907)/C907</f>
        <v>4.4339702486399643E-3</v>
      </c>
      <c r="M907" s="559">
        <f>'Progetto del paramento slu'!$G$60*(sezione!$AN$30-C907)/C907</f>
        <v>1.0252215097642603E-2</v>
      </c>
      <c r="N907" s="559">
        <f>'Progetto del paramento slu'!$G$60*(sezione!$AO$30-C907)/C907</f>
        <v>1.448366589691725E-2</v>
      </c>
      <c r="O907" s="559">
        <f>'Progetto del paramento slu'!$G$60*(sezione!$AP$30-C907)/C907</f>
        <v>1.0252372759871901E-2</v>
      </c>
      <c r="P907" s="553">
        <f>-'Progetto del paramento slu'!$G$47*'Progetto del paramento slu'!$G$41*IF(DATI!$G$218="dx",DATI!$E$61,DATI!$E$64*DATI!$E$63)*1000*C907*sezione!$AD$5</f>
        <v>-932741.36631260521</v>
      </c>
      <c r="Q907" s="553">
        <f>'Foglio deposito bis'!$F$58*IF(ABS(K907)&lt;'Progetto del paramento slu'!$G$58,ABS(K907)*'Progetto del paramento slu'!$G$54,'Progetto del paramento slu'!$G$53)*IF(K907&lt;0,-1,1)</f>
        <v>0</v>
      </c>
      <c r="R907" s="553">
        <f>'Foglio deposito bis'!$F$59*IF(ABS(L907)&lt;'Progetto del paramento slu'!$G$58,ABS(L907)*'Progetto del paramento slu'!$G$54,'Progetto del paramento slu'!$G$53)*IF(L907&lt;0,-1,1)</f>
        <v>153664.85805602249</v>
      </c>
      <c r="S907" s="553">
        <f>'Foglio deposito bis'!$F$60*IF(ABS(M907)&lt;'Progetto del paramento slu'!$G$58,ABS(M907)*'Progetto del paramento slu'!$G$54,'Progetto del paramento slu'!$G$53)*IF(M907&lt;0,-1,1)</f>
        <v>0</v>
      </c>
      <c r="T907" s="553">
        <f>'Foglio deposito bis'!$F$61*IF(ABS(N907)&lt;'Progetto del paramento slu'!$G$58,ABS(N907)*'Progetto del paramento slu'!$G$54,'Progetto del paramento slu'!$G$53)*IF(N907&lt;0,-1,1)</f>
        <v>240946.49743184328</v>
      </c>
      <c r="U907" s="553">
        <f>'Foglio deposito bis'!$F$62*IF(ABS(O907)&lt;'Progetto del paramento slu'!$G$58,ABS(O907)*'Progetto del paramento slu'!$G$54,'Progetto del paramento slu'!$G$53)*IF(O907&lt;0,-1,1)</f>
        <v>314705.62929873407</v>
      </c>
      <c r="V907" s="479">
        <f t="shared" si="69"/>
        <v>-223424.3815260054</v>
      </c>
      <c r="W907" s="559"/>
      <c r="X907" s="559"/>
    </row>
    <row r="908" spans="1:24" x14ac:dyDescent="0.25">
      <c r="A908" s="553">
        <f t="shared" si="68"/>
        <v>234869.06086726411</v>
      </c>
      <c r="B908" s="3">
        <f t="shared" si="66"/>
        <v>16.499999999999964</v>
      </c>
      <c r="C908" s="553">
        <f>'Foglio deposito bis'!$E$156/sezione!$B$247*B908</f>
        <v>66.983074190694168</v>
      </c>
      <c r="D908" s="611">
        <f>-'Progetto del paramento slu'!$G$47*'Progetto del paramento slu'!$G$41*IF(DATI!$G$218="dx",DATI!$E$61,DATI!$E$64*DATI!$E$63)*1000*C908^2*sezione!$AD$5*(1-sezione!$AD$6)</f>
        <v>-36934778.624376945</v>
      </c>
      <c r="E908" s="553">
        <f>-'Foglio deposito bis'!$F$58*(C908-sezione!$AL$30)*IF(ABS(K908)&lt;'Progetto del paramento slu'!$G$58,ABS(K908)*'Progetto del paramento slu'!$G$54,'Progetto del paramento slu'!$G$53)</f>
        <v>0</v>
      </c>
      <c r="F908" s="553">
        <f>-'Foglio deposito bis'!$F$59*(C908-sezione!$AM$30)*IF(ABS(L908)&lt;'Progetto del paramento slu'!$G$58,ABS(L908)*'Progetto del paramento slu'!$G$54,'Progetto del paramento slu'!$G$53)</f>
        <v>12756784.120734332</v>
      </c>
      <c r="G908" s="553">
        <f>-'Foglio deposito bis'!$F$60*(C908-sezione!$AN$30)*IF(ABS(M908)&lt;'Progetto del paramento slu'!$G$58,ABS(M908)*'Progetto del paramento slu'!$G$54,'Progetto del paramento slu'!$G$53)</f>
        <v>0</v>
      </c>
      <c r="H908" s="553">
        <f>-'Foglio deposito bis'!$F$61*(C908-sezione!$AO$30)*IF(ABS(N908)&lt;'Progetto del paramento slu'!$G$58,ABS(N908)*'Progetto del paramento slu'!$G$54,'Progetto del paramento slu'!$G$53)</f>
        <v>65782472.013361648</v>
      </c>
      <c r="I908" s="479">
        <f>-'Foglio deposito bis'!$F$62*(C908-sezione!$AP$30)*IF(ABS(O908)&lt;'Progetto del paramento slu'!$G$58,ABS(O908)*'Progetto del paramento slu'!$G$54,'Progetto del paramento slu'!$G$53)</f>
        <v>60744451.166981205</v>
      </c>
      <c r="J908" s="479">
        <f t="shared" si="67"/>
        <v>102348928.67670023</v>
      </c>
      <c r="K908" s="558">
        <f>'Progetto del paramento slu'!$G$60*(sezione!$AL$30-C908)/C908</f>
        <v>-1.4099197567219164E-3</v>
      </c>
      <c r="L908" s="558">
        <f>'Progetto del paramento slu'!$G$60*(sezione!$AM$30-C908)/C908</f>
        <v>4.3378009122928144E-3</v>
      </c>
      <c r="M908" s="559">
        <f>'Progetto del paramento slu'!$G$60*(sezione!$AN$30-C908)/C908</f>
        <v>1.0085521581307544E-2</v>
      </c>
      <c r="N908" s="559">
        <f>'Progetto del paramento slu'!$G$60*(sezione!$AO$30-C908)/C908</f>
        <v>1.4265682067863711E-2</v>
      </c>
      <c r="O908" s="559">
        <f>'Progetto del paramento slu'!$G$60*(sezione!$AP$30-C908)/C908</f>
        <v>1.0085677332479517E-2</v>
      </c>
      <c r="P908" s="553">
        <f>-'Progetto del paramento slu'!$G$47*'Progetto del paramento slu'!$G$41*IF(DATI!$G$218="dx",DATI!$E$61,DATI!$E$64*DATI!$E$63)*1000*C908*sezione!$AD$5</f>
        <v>-944186.04565386404</v>
      </c>
      <c r="Q908" s="553">
        <f>'Foglio deposito bis'!$F$58*IF(ABS(K908)&lt;'Progetto del paramento slu'!$G$58,ABS(K908)*'Progetto del paramento slu'!$G$54,'Progetto del paramento slu'!$G$53)*IF(K908&lt;0,-1,1)</f>
        <v>0</v>
      </c>
      <c r="R908" s="553">
        <f>'Foglio deposito bis'!$F$59*IF(ABS(L908)&lt;'Progetto del paramento slu'!$G$58,ABS(L908)*'Progetto del paramento slu'!$G$54,'Progetto del paramento slu'!$G$53)*IF(L908&lt;0,-1,1)</f>
        <v>153664.85805602249</v>
      </c>
      <c r="S908" s="553">
        <f>'Foglio deposito bis'!$F$60*IF(ABS(M908)&lt;'Progetto del paramento slu'!$G$58,ABS(M908)*'Progetto del paramento slu'!$G$54,'Progetto del paramento slu'!$G$53)*IF(M908&lt;0,-1,1)</f>
        <v>0</v>
      </c>
      <c r="T908" s="553">
        <f>'Foglio deposito bis'!$F$61*IF(ABS(N908)&lt;'Progetto del paramento slu'!$G$58,ABS(N908)*'Progetto del paramento slu'!$G$54,'Progetto del paramento slu'!$G$53)*IF(N908&lt;0,-1,1)</f>
        <v>240946.49743184328</v>
      </c>
      <c r="U908" s="553">
        <f>'Foglio deposito bis'!$F$62*IF(ABS(O908)&lt;'Progetto del paramento slu'!$G$58,ABS(O908)*'Progetto del paramento slu'!$G$54,'Progetto del paramento slu'!$G$53)*IF(O908&lt;0,-1,1)</f>
        <v>314705.62929873407</v>
      </c>
      <c r="V908" s="479">
        <f t="shared" si="69"/>
        <v>-234869.06086726411</v>
      </c>
      <c r="W908" s="559"/>
      <c r="X908" s="559"/>
    </row>
    <row r="909" spans="1:24" x14ac:dyDescent="0.25">
      <c r="A909" s="553">
        <f t="shared" si="68"/>
        <v>246313.74020852306</v>
      </c>
      <c r="B909" s="3">
        <f t="shared" si="66"/>
        <v>16.699999999999964</v>
      </c>
      <c r="C909" s="553">
        <f>'Foglio deposito bis'!$E$156/sezione!$B$247*B909</f>
        <v>67.794990241490467</v>
      </c>
      <c r="D909" s="611">
        <f>-'Progetto del paramento slu'!$G$47*'Progetto del paramento slu'!$G$41*IF(DATI!$G$218="dx",DATI!$E$61,DATI!$E$64*DATI!$E$63)*1000*C909^2*sezione!$AD$5*(1-sezione!$AD$6)</f>
        <v>-37835593.794499502</v>
      </c>
      <c r="E909" s="553">
        <f>-'Foglio deposito bis'!$F$58*(C909-sezione!$AL$30)*IF(ABS(K909)&lt;'Progetto del paramento slu'!$G$58,ABS(K909)*'Progetto del paramento slu'!$G$54,'Progetto del paramento slu'!$G$53)</f>
        <v>0</v>
      </c>
      <c r="F909" s="553">
        <f>-'Foglio deposito bis'!$F$59*(C909-sezione!$AM$30)*IF(ABS(L909)&lt;'Progetto del paramento slu'!$G$58,ABS(L909)*'Progetto del paramento slu'!$G$54,'Progetto del paramento slu'!$G$53)</f>
        <v>12632021.156035312</v>
      </c>
      <c r="G909" s="553">
        <f>-'Foglio deposito bis'!$F$60*(C909-sezione!$AN$30)*IF(ABS(M909)&lt;'Progetto del paramento slu'!$G$58,ABS(M909)*'Progetto del paramento slu'!$G$54,'Progetto del paramento slu'!$G$53)</f>
        <v>0</v>
      </c>
      <c r="H909" s="553">
        <f>-'Foglio deposito bis'!$F$61*(C909-sezione!$AO$30)*IF(ABS(N909)&lt;'Progetto del paramento slu'!$G$58,ABS(N909)*'Progetto del paramento slu'!$G$54,'Progetto del paramento slu'!$G$53)</f>
        <v>65586843.684713587</v>
      </c>
      <c r="I909" s="479">
        <f>-'Foglio deposito bis'!$F$62*(C909-sezione!$AP$30)*IF(ABS(O909)&lt;'Progetto del paramento slu'!$G$58,ABS(O909)*'Progetto del paramento slu'!$G$54,'Progetto del paramento slu'!$G$53)</f>
        <v>60488936.615277611</v>
      </c>
      <c r="J909" s="479">
        <f t="shared" si="67"/>
        <v>100872207.66152701</v>
      </c>
      <c r="K909" s="558">
        <f>'Progetto del paramento slu'!$G$60*(sezione!$AL$30-C909)/C909</f>
        <v>-1.4349506578390191E-3</v>
      </c>
      <c r="L909" s="558">
        <f>'Progetto del paramento slu'!$G$60*(sezione!$AM$30-C909)/C909</f>
        <v>4.2439350331036777E-3</v>
      </c>
      <c r="M909" s="559">
        <f>'Progetto del paramento slu'!$G$60*(sezione!$AN$30-C909)/C909</f>
        <v>9.9228207240463755E-3</v>
      </c>
      <c r="N909" s="559">
        <f>'Progetto del paramento slu'!$G$60*(sezione!$AO$30-C909)/C909</f>
        <v>1.4052919408368336E-2</v>
      </c>
      <c r="O909" s="559">
        <f>'Progetto del paramento slu'!$G$60*(sezione!$AP$30-C909)/C909</f>
        <v>9.9229746099348502E-3</v>
      </c>
      <c r="P909" s="553">
        <f>-'Progetto del paramento slu'!$G$47*'Progetto del paramento slu'!$G$41*IF(DATI!$G$218="dx",DATI!$E$61,DATI!$E$64*DATI!$E$63)*1000*C909*sezione!$AD$5</f>
        <v>-955630.72499512299</v>
      </c>
      <c r="Q909" s="553">
        <f>'Foglio deposito bis'!$F$58*IF(ABS(K909)&lt;'Progetto del paramento slu'!$G$58,ABS(K909)*'Progetto del paramento slu'!$G$54,'Progetto del paramento slu'!$G$53)*IF(K909&lt;0,-1,1)</f>
        <v>0</v>
      </c>
      <c r="R909" s="553">
        <f>'Foglio deposito bis'!$F$59*IF(ABS(L909)&lt;'Progetto del paramento slu'!$G$58,ABS(L909)*'Progetto del paramento slu'!$G$54,'Progetto del paramento slu'!$G$53)*IF(L909&lt;0,-1,1)</f>
        <v>153664.85805602249</v>
      </c>
      <c r="S909" s="553">
        <f>'Foglio deposito bis'!$F$60*IF(ABS(M909)&lt;'Progetto del paramento slu'!$G$58,ABS(M909)*'Progetto del paramento slu'!$G$54,'Progetto del paramento slu'!$G$53)*IF(M909&lt;0,-1,1)</f>
        <v>0</v>
      </c>
      <c r="T909" s="553">
        <f>'Foglio deposito bis'!$F$61*IF(ABS(N909)&lt;'Progetto del paramento slu'!$G$58,ABS(N909)*'Progetto del paramento slu'!$G$54,'Progetto del paramento slu'!$G$53)*IF(N909&lt;0,-1,1)</f>
        <v>240946.49743184328</v>
      </c>
      <c r="U909" s="553">
        <f>'Foglio deposito bis'!$F$62*IF(ABS(O909)&lt;'Progetto del paramento slu'!$G$58,ABS(O909)*'Progetto del paramento slu'!$G$54,'Progetto del paramento slu'!$G$53)*IF(O909&lt;0,-1,1)</f>
        <v>314705.62929873407</v>
      </c>
      <c r="V909" s="479">
        <f t="shared" si="69"/>
        <v>-246313.74020852306</v>
      </c>
      <c r="W909" s="559"/>
      <c r="X909" s="559"/>
    </row>
    <row r="910" spans="1:24" x14ac:dyDescent="0.25">
      <c r="A910" s="553">
        <f t="shared" si="68"/>
        <v>257758.419549782</v>
      </c>
      <c r="B910" s="3">
        <f t="shared" si="66"/>
        <v>16.899999999999963</v>
      </c>
      <c r="C910" s="553">
        <f>'Foglio deposito bis'!$E$156/sezione!$B$247*B910</f>
        <v>68.606906292286752</v>
      </c>
      <c r="D910" s="611">
        <f>-'Progetto del paramento slu'!$G$47*'Progetto del paramento slu'!$G$41*IF(DATI!$G$218="dx",DATI!$E$61,DATI!$E$64*DATI!$E$63)*1000*C910^2*sezione!$AD$5*(1-sezione!$AD$6)</f>
        <v>-38747262.15944279</v>
      </c>
      <c r="E910" s="553">
        <f>-'Foglio deposito bis'!$F$58*(C910-sezione!$AL$30)*IF(ABS(K910)&lt;'Progetto del paramento slu'!$G$58,ABS(K910)*'Progetto del paramento slu'!$G$54,'Progetto del paramento slu'!$G$53)</f>
        <v>0</v>
      </c>
      <c r="F910" s="553">
        <f>-'Foglio deposito bis'!$F$59*(C910-sezione!$AM$30)*IF(ABS(L910)&lt;'Progetto del paramento slu'!$G$58,ABS(L910)*'Progetto del paramento slu'!$G$54,'Progetto del paramento slu'!$G$53)</f>
        <v>12507258.191336295</v>
      </c>
      <c r="G910" s="553">
        <f>-'Foglio deposito bis'!$F$60*(C910-sezione!$AN$30)*IF(ABS(M910)&lt;'Progetto del paramento slu'!$G$58,ABS(M910)*'Progetto del paramento slu'!$G$54,'Progetto del paramento slu'!$G$53)</f>
        <v>0</v>
      </c>
      <c r="H910" s="553">
        <f>-'Foglio deposito bis'!$F$61*(C910-sezione!$AO$30)*IF(ABS(N910)&lt;'Progetto del paramento slu'!$G$58,ABS(N910)*'Progetto del paramento slu'!$G$54,'Progetto del paramento slu'!$G$53)</f>
        <v>65391215.356065534</v>
      </c>
      <c r="I910" s="479">
        <f>-'Foglio deposito bis'!$F$62*(C910-sezione!$AP$30)*IF(ABS(O910)&lt;'Progetto del paramento slu'!$G$58,ABS(O910)*'Progetto del paramento slu'!$G$54,'Progetto del paramento slu'!$G$53)</f>
        <v>60233422.063574024</v>
      </c>
      <c r="J910" s="479">
        <f t="shared" si="67"/>
        <v>99384633.451533064</v>
      </c>
      <c r="K910" s="558">
        <f>'Progetto del paramento slu'!$G$60*(sezione!$AL$30-C910)/C910</f>
        <v>-1.4593891115924035E-3</v>
      </c>
      <c r="L910" s="558">
        <f>'Progetto del paramento slu'!$G$60*(sezione!$AM$30-C910)/C910</f>
        <v>4.1522908315284879E-3</v>
      </c>
      <c r="M910" s="559">
        <f>'Progetto del paramento slu'!$G$60*(sezione!$AN$30-C910)/C910</f>
        <v>9.7639707746493779E-3</v>
      </c>
      <c r="N910" s="559">
        <f>'Progetto del paramento slu'!$G$60*(sezione!$AO$30-C910)/C910</f>
        <v>1.3845192551464573E-2</v>
      </c>
      <c r="O910" s="559">
        <f>'Progetto del paramento slu'!$G$60*(sezione!$AP$30-C910)/C910</f>
        <v>9.7641228394030801E-3</v>
      </c>
      <c r="P910" s="553">
        <f>-'Progetto del paramento slu'!$G$47*'Progetto del paramento slu'!$G$41*IF(DATI!$G$218="dx",DATI!$E$61,DATI!$E$64*DATI!$E$63)*1000*C910*sezione!$AD$5</f>
        <v>-967075.40433638194</v>
      </c>
      <c r="Q910" s="553">
        <f>'Foglio deposito bis'!$F$58*IF(ABS(K910)&lt;'Progetto del paramento slu'!$G$58,ABS(K910)*'Progetto del paramento slu'!$G$54,'Progetto del paramento slu'!$G$53)*IF(K910&lt;0,-1,1)</f>
        <v>0</v>
      </c>
      <c r="R910" s="553">
        <f>'Foglio deposito bis'!$F$59*IF(ABS(L910)&lt;'Progetto del paramento slu'!$G$58,ABS(L910)*'Progetto del paramento slu'!$G$54,'Progetto del paramento slu'!$G$53)*IF(L910&lt;0,-1,1)</f>
        <v>153664.85805602249</v>
      </c>
      <c r="S910" s="553">
        <f>'Foglio deposito bis'!$F$60*IF(ABS(M910)&lt;'Progetto del paramento slu'!$G$58,ABS(M910)*'Progetto del paramento slu'!$G$54,'Progetto del paramento slu'!$G$53)*IF(M910&lt;0,-1,1)</f>
        <v>0</v>
      </c>
      <c r="T910" s="553">
        <f>'Foglio deposito bis'!$F$61*IF(ABS(N910)&lt;'Progetto del paramento slu'!$G$58,ABS(N910)*'Progetto del paramento slu'!$G$54,'Progetto del paramento slu'!$G$53)*IF(N910&lt;0,-1,1)</f>
        <v>240946.49743184328</v>
      </c>
      <c r="U910" s="553">
        <f>'Foglio deposito bis'!$F$62*IF(ABS(O910)&lt;'Progetto del paramento slu'!$G$58,ABS(O910)*'Progetto del paramento slu'!$G$54,'Progetto del paramento slu'!$G$53)*IF(O910&lt;0,-1,1)</f>
        <v>314705.62929873407</v>
      </c>
      <c r="V910" s="479">
        <f t="shared" si="69"/>
        <v>-257758.419549782</v>
      </c>
      <c r="W910" s="559"/>
      <c r="X910" s="559"/>
    </row>
    <row r="911" spans="1:24" x14ac:dyDescent="0.25">
      <c r="A911" s="553">
        <f t="shared" si="68"/>
        <v>269203.09889104095</v>
      </c>
      <c r="B911" s="3">
        <f t="shared" si="66"/>
        <v>17.099999999999962</v>
      </c>
      <c r="C911" s="553">
        <f>'Foglio deposito bis'!$E$156/sezione!$B$247*B911</f>
        <v>69.41882234308305</v>
      </c>
      <c r="D911" s="611">
        <f>-'Progetto del paramento slu'!$G$47*'Progetto del paramento slu'!$G$41*IF(DATI!$G$218="dx",DATI!$E$61,DATI!$E$64*DATI!$E$63)*1000*C911^2*sezione!$AD$5*(1-sezione!$AD$6)</f>
        <v>-39669783.719206847</v>
      </c>
      <c r="E911" s="553">
        <f>-'Foglio deposito bis'!$F$58*(C911-sezione!$AL$30)*IF(ABS(K911)&lt;'Progetto del paramento slu'!$G$58,ABS(K911)*'Progetto del paramento slu'!$G$54,'Progetto del paramento slu'!$G$53)</f>
        <v>0</v>
      </c>
      <c r="F911" s="553">
        <f>-'Foglio deposito bis'!$F$59*(C911-sezione!$AM$30)*IF(ABS(L911)&lt;'Progetto del paramento slu'!$G$58,ABS(L911)*'Progetto del paramento slu'!$G$54,'Progetto del paramento slu'!$G$53)</f>
        <v>12382495.226637276</v>
      </c>
      <c r="G911" s="553">
        <f>-'Foglio deposito bis'!$F$60*(C911-sezione!$AN$30)*IF(ABS(M911)&lt;'Progetto del paramento slu'!$G$58,ABS(M911)*'Progetto del paramento slu'!$G$54,'Progetto del paramento slu'!$G$53)</f>
        <v>0</v>
      </c>
      <c r="H911" s="553">
        <f>-'Foglio deposito bis'!$F$61*(C911-sezione!$AO$30)*IF(ABS(N911)&lt;'Progetto del paramento slu'!$G$58,ABS(N911)*'Progetto del paramento slu'!$G$54,'Progetto del paramento slu'!$G$53)</f>
        <v>65195587.027417473</v>
      </c>
      <c r="I911" s="479">
        <f>-'Foglio deposito bis'!$F$62*(C911-sezione!$AP$30)*IF(ABS(O911)&lt;'Progetto del paramento slu'!$G$58,ABS(O911)*'Progetto del paramento slu'!$G$54,'Progetto del paramento slu'!$G$53)</f>
        <v>59977907.511870444</v>
      </c>
      <c r="J911" s="479">
        <f t="shared" si="67"/>
        <v>97886206.046718344</v>
      </c>
      <c r="K911" s="558">
        <f>'Progetto del paramento slu'!$G$60*(sezione!$AL$30-C911)/C911</f>
        <v>-1.4832559056088665E-3</v>
      </c>
      <c r="L911" s="558">
        <f>'Progetto del paramento slu'!$G$60*(sezione!$AM$30-C911)/C911</f>
        <v>4.0627903539667502E-3</v>
      </c>
      <c r="M911" s="559">
        <f>'Progetto del paramento slu'!$G$60*(sezione!$AN$30-C911)/C911</f>
        <v>9.608836613542367E-3</v>
      </c>
      <c r="N911" s="559">
        <f>'Progetto del paramento slu'!$G$60*(sezione!$AO$30-C911)/C911</f>
        <v>1.3642324802324635E-2</v>
      </c>
      <c r="O911" s="559">
        <f>'Progetto del paramento slu'!$G$60*(sezione!$AP$30-C911)/C911</f>
        <v>9.6089868997609375E-3</v>
      </c>
      <c r="P911" s="553">
        <f>-'Progetto del paramento slu'!$G$47*'Progetto del paramento slu'!$G$41*IF(DATI!$G$218="dx",DATI!$E$61,DATI!$E$64*DATI!$E$63)*1000*C911*sezione!$AD$5</f>
        <v>-978520.08367764088</v>
      </c>
      <c r="Q911" s="553">
        <f>'Foglio deposito bis'!$F$58*IF(ABS(K911)&lt;'Progetto del paramento slu'!$G$58,ABS(K911)*'Progetto del paramento slu'!$G$54,'Progetto del paramento slu'!$G$53)*IF(K911&lt;0,-1,1)</f>
        <v>0</v>
      </c>
      <c r="R911" s="553">
        <f>'Foglio deposito bis'!$F$59*IF(ABS(L911)&lt;'Progetto del paramento slu'!$G$58,ABS(L911)*'Progetto del paramento slu'!$G$54,'Progetto del paramento slu'!$G$53)*IF(L911&lt;0,-1,1)</f>
        <v>153664.85805602249</v>
      </c>
      <c r="S911" s="553">
        <f>'Foglio deposito bis'!$F$60*IF(ABS(M911)&lt;'Progetto del paramento slu'!$G$58,ABS(M911)*'Progetto del paramento slu'!$G$54,'Progetto del paramento slu'!$G$53)*IF(M911&lt;0,-1,1)</f>
        <v>0</v>
      </c>
      <c r="T911" s="553">
        <f>'Foglio deposito bis'!$F$61*IF(ABS(N911)&lt;'Progetto del paramento slu'!$G$58,ABS(N911)*'Progetto del paramento slu'!$G$54,'Progetto del paramento slu'!$G$53)*IF(N911&lt;0,-1,1)</f>
        <v>240946.49743184328</v>
      </c>
      <c r="U911" s="553">
        <f>'Foglio deposito bis'!$F$62*IF(ABS(O911)&lt;'Progetto del paramento slu'!$G$58,ABS(O911)*'Progetto del paramento slu'!$G$54,'Progetto del paramento slu'!$G$53)*IF(O911&lt;0,-1,1)</f>
        <v>314705.62929873407</v>
      </c>
      <c r="V911" s="479">
        <f t="shared" si="69"/>
        <v>-269203.09889104095</v>
      </c>
      <c r="W911" s="559"/>
      <c r="X911" s="559"/>
    </row>
    <row r="912" spans="1:24" x14ac:dyDescent="0.25">
      <c r="A912" s="553">
        <f t="shared" si="68"/>
        <v>280647.7782322999</v>
      </c>
      <c r="B912" s="3">
        <f t="shared" si="66"/>
        <v>17.299999999999962</v>
      </c>
      <c r="C912" s="553">
        <f>'Foglio deposito bis'!$E$156/sezione!$B$247*B912</f>
        <v>70.230738393879335</v>
      </c>
      <c r="D912" s="611">
        <f>-'Progetto del paramento slu'!$G$47*'Progetto del paramento slu'!$G$41*IF(DATI!$G$218="dx",DATI!$E$61,DATI!$E$64*DATI!$E$63)*1000*C912^2*sezione!$AD$5*(1-sezione!$AD$6)</f>
        <v>-40603158.473791644</v>
      </c>
      <c r="E912" s="553">
        <f>-'Foglio deposito bis'!$F$58*(C912-sezione!$AL$30)*IF(ABS(K912)&lt;'Progetto del paramento slu'!$G$58,ABS(K912)*'Progetto del paramento slu'!$G$54,'Progetto del paramento slu'!$G$53)</f>
        <v>0</v>
      </c>
      <c r="F912" s="553">
        <f>-'Foglio deposito bis'!$F$59*(C912-sezione!$AM$30)*IF(ABS(L912)&lt;'Progetto del paramento slu'!$G$58,ABS(L912)*'Progetto del paramento slu'!$G$54,'Progetto del paramento slu'!$G$53)</f>
        <v>12257732.261938257</v>
      </c>
      <c r="G912" s="553">
        <f>-'Foglio deposito bis'!$F$60*(C912-sezione!$AN$30)*IF(ABS(M912)&lt;'Progetto del paramento slu'!$G$58,ABS(M912)*'Progetto del paramento slu'!$G$54,'Progetto del paramento slu'!$G$53)</f>
        <v>0</v>
      </c>
      <c r="H912" s="553">
        <f>-'Foglio deposito bis'!$F$61*(C912-sezione!$AO$30)*IF(ABS(N912)&lt;'Progetto del paramento slu'!$G$58,ABS(N912)*'Progetto del paramento slu'!$G$54,'Progetto del paramento slu'!$G$53)</f>
        <v>64999958.698769413</v>
      </c>
      <c r="I912" s="479">
        <f>-'Foglio deposito bis'!$F$62*(C912-sezione!$AP$30)*IF(ABS(O912)&lt;'Progetto del paramento slu'!$G$58,ABS(O912)*'Progetto del paramento slu'!$G$54,'Progetto del paramento slu'!$G$53)</f>
        <v>59722392.960166842</v>
      </c>
      <c r="J912" s="479">
        <f t="shared" si="67"/>
        <v>96376925.447082877</v>
      </c>
      <c r="K912" s="558">
        <f>'Progetto del paramento slu'!$G$60*(sezione!$AL$30-C912)/C912</f>
        <v>-1.5065708662376658E-3</v>
      </c>
      <c r="L912" s="558">
        <f>'Progetto del paramento slu'!$G$60*(sezione!$AM$30-C912)/C912</f>
        <v>3.9753592516087542E-3</v>
      </c>
      <c r="M912" s="559">
        <f>'Progetto del paramento slu'!$G$60*(sezione!$AN$30-C912)/C912</f>
        <v>9.4572893694551737E-3</v>
      </c>
      <c r="N912" s="559">
        <f>'Progetto del paramento slu'!$G$60*(sezione!$AO$30-C912)/C912</f>
        <v>1.3444147636979842E-2</v>
      </c>
      <c r="O912" s="559">
        <f>'Progetto del paramento slu'!$G$60*(sezione!$AP$30-C912)/C912</f>
        <v>9.4574379182608102E-3</v>
      </c>
      <c r="P912" s="553">
        <f>-'Progetto del paramento slu'!$G$47*'Progetto del paramento slu'!$G$41*IF(DATI!$G$218="dx",DATI!$E$61,DATI!$E$64*DATI!$E$63)*1000*C912*sezione!$AD$5</f>
        <v>-989964.76301889983</v>
      </c>
      <c r="Q912" s="553">
        <f>'Foglio deposito bis'!$F$58*IF(ABS(K912)&lt;'Progetto del paramento slu'!$G$58,ABS(K912)*'Progetto del paramento slu'!$G$54,'Progetto del paramento slu'!$G$53)*IF(K912&lt;0,-1,1)</f>
        <v>0</v>
      </c>
      <c r="R912" s="553">
        <f>'Foglio deposito bis'!$F$59*IF(ABS(L912)&lt;'Progetto del paramento slu'!$G$58,ABS(L912)*'Progetto del paramento slu'!$G$54,'Progetto del paramento slu'!$G$53)*IF(L912&lt;0,-1,1)</f>
        <v>153664.85805602249</v>
      </c>
      <c r="S912" s="553">
        <f>'Foglio deposito bis'!$F$60*IF(ABS(M912)&lt;'Progetto del paramento slu'!$G$58,ABS(M912)*'Progetto del paramento slu'!$G$54,'Progetto del paramento slu'!$G$53)*IF(M912&lt;0,-1,1)</f>
        <v>0</v>
      </c>
      <c r="T912" s="553">
        <f>'Foglio deposito bis'!$F$61*IF(ABS(N912)&lt;'Progetto del paramento slu'!$G$58,ABS(N912)*'Progetto del paramento slu'!$G$54,'Progetto del paramento slu'!$G$53)*IF(N912&lt;0,-1,1)</f>
        <v>240946.49743184328</v>
      </c>
      <c r="U912" s="553">
        <f>'Foglio deposito bis'!$F$62*IF(ABS(O912)&lt;'Progetto del paramento slu'!$G$58,ABS(O912)*'Progetto del paramento slu'!$G$54,'Progetto del paramento slu'!$G$53)*IF(O912&lt;0,-1,1)</f>
        <v>314705.62929873407</v>
      </c>
      <c r="V912" s="479">
        <f t="shared" si="69"/>
        <v>-280647.7782322999</v>
      </c>
      <c r="W912" s="559"/>
      <c r="X912" s="559"/>
    </row>
    <row r="913" spans="1:24" x14ac:dyDescent="0.25">
      <c r="A913" s="553">
        <f t="shared" si="68"/>
        <v>292092.45757355884</v>
      </c>
      <c r="B913" s="3">
        <f t="shared" si="66"/>
        <v>17.499999999999961</v>
      </c>
      <c r="C913" s="553">
        <f>'Foglio deposito bis'!$E$156/sezione!$B$247*B913</f>
        <v>71.042654444675634</v>
      </c>
      <c r="D913" s="611">
        <f>-'Progetto del paramento slu'!$G$47*'Progetto del paramento slu'!$G$41*IF(DATI!$G$218="dx",DATI!$E$61,DATI!$E$64*DATI!$E$63)*1000*C913^2*sezione!$AD$5*(1-sezione!$AD$6)</f>
        <v>-41547386.423197202</v>
      </c>
      <c r="E913" s="553">
        <f>-'Foglio deposito bis'!$F$58*(C913-sezione!$AL$30)*IF(ABS(K913)&lt;'Progetto del paramento slu'!$G$58,ABS(K913)*'Progetto del paramento slu'!$G$54,'Progetto del paramento slu'!$G$53)</f>
        <v>0</v>
      </c>
      <c r="F913" s="553">
        <f>-'Foglio deposito bis'!$F$59*(C913-sezione!$AM$30)*IF(ABS(L913)&lt;'Progetto del paramento slu'!$G$58,ABS(L913)*'Progetto del paramento slu'!$G$54,'Progetto del paramento slu'!$G$53)</f>
        <v>12132969.297239238</v>
      </c>
      <c r="G913" s="553">
        <f>-'Foglio deposito bis'!$F$60*(C913-sezione!$AN$30)*IF(ABS(M913)&lt;'Progetto del paramento slu'!$G$58,ABS(M913)*'Progetto del paramento slu'!$G$54,'Progetto del paramento slu'!$G$53)</f>
        <v>0</v>
      </c>
      <c r="H913" s="553">
        <f>-'Foglio deposito bis'!$F$61*(C913-sezione!$AO$30)*IF(ABS(N913)&lt;'Progetto del paramento slu'!$G$58,ABS(N913)*'Progetto del paramento slu'!$G$54,'Progetto del paramento slu'!$G$53)</f>
        <v>64804330.370121352</v>
      </c>
      <c r="I913" s="479">
        <f>-'Foglio deposito bis'!$F$62*(C913-sezione!$AP$30)*IF(ABS(O913)&lt;'Progetto del paramento slu'!$G$58,ABS(O913)*'Progetto del paramento slu'!$G$54,'Progetto del paramento slu'!$G$53)</f>
        <v>59466878.408463247</v>
      </c>
      <c r="J913" s="479">
        <f t="shared" si="67"/>
        <v>94856791.652626634</v>
      </c>
      <c r="K913" s="558">
        <f>'Progetto del paramento slu'!$G$60*(sezione!$AL$30-C913)/C913</f>
        <v>-1.5293529134806638E-3</v>
      </c>
      <c r="L913" s="558">
        <f>'Progetto del paramento slu'!$G$60*(sezione!$AM$30-C913)/C913</f>
        <v>3.8899265744475101E-3</v>
      </c>
      <c r="M913" s="559">
        <f>'Progetto del paramento slu'!$G$60*(sezione!$AN$30-C913)/C913</f>
        <v>9.3092060623756849E-3</v>
      </c>
      <c r="N913" s="559">
        <f>'Progetto del paramento slu'!$G$60*(sezione!$AO$30-C913)/C913</f>
        <v>1.3250500235414357E-2</v>
      </c>
      <c r="O913" s="559">
        <f>'Progetto del paramento slu'!$G$60*(sezione!$AP$30-C913)/C913</f>
        <v>9.3093529134806868E-3</v>
      </c>
      <c r="P913" s="553">
        <f>-'Progetto del paramento slu'!$G$47*'Progetto del paramento slu'!$G$41*IF(DATI!$G$218="dx",DATI!$E$61,DATI!$E$64*DATI!$E$63)*1000*C913*sezione!$AD$5</f>
        <v>-1001409.4423601588</v>
      </c>
      <c r="Q913" s="553">
        <f>'Foglio deposito bis'!$F$58*IF(ABS(K913)&lt;'Progetto del paramento slu'!$G$58,ABS(K913)*'Progetto del paramento slu'!$G$54,'Progetto del paramento slu'!$G$53)*IF(K913&lt;0,-1,1)</f>
        <v>0</v>
      </c>
      <c r="R913" s="553">
        <f>'Foglio deposito bis'!$F$59*IF(ABS(L913)&lt;'Progetto del paramento slu'!$G$58,ABS(L913)*'Progetto del paramento slu'!$G$54,'Progetto del paramento slu'!$G$53)*IF(L913&lt;0,-1,1)</f>
        <v>153664.85805602249</v>
      </c>
      <c r="S913" s="553">
        <f>'Foglio deposito bis'!$F$60*IF(ABS(M913)&lt;'Progetto del paramento slu'!$G$58,ABS(M913)*'Progetto del paramento slu'!$G$54,'Progetto del paramento slu'!$G$53)*IF(M913&lt;0,-1,1)</f>
        <v>0</v>
      </c>
      <c r="T913" s="553">
        <f>'Foglio deposito bis'!$F$61*IF(ABS(N913)&lt;'Progetto del paramento slu'!$G$58,ABS(N913)*'Progetto del paramento slu'!$G$54,'Progetto del paramento slu'!$G$53)*IF(N913&lt;0,-1,1)</f>
        <v>240946.49743184328</v>
      </c>
      <c r="U913" s="553">
        <f>'Foglio deposito bis'!$F$62*IF(ABS(O913)&lt;'Progetto del paramento slu'!$G$58,ABS(O913)*'Progetto del paramento slu'!$G$54,'Progetto del paramento slu'!$G$53)*IF(O913&lt;0,-1,1)</f>
        <v>314705.62929873407</v>
      </c>
      <c r="V913" s="479">
        <f t="shared" si="69"/>
        <v>-292092.45757355884</v>
      </c>
      <c r="W913" s="559"/>
      <c r="X913" s="559"/>
    </row>
    <row r="914" spans="1:24" x14ac:dyDescent="0.25">
      <c r="A914" s="553">
        <f t="shared" si="68"/>
        <v>303537.13691481779</v>
      </c>
      <c r="B914" s="3">
        <f t="shared" si="66"/>
        <v>17.69999999999996</v>
      </c>
      <c r="C914" s="553">
        <f>'Foglio deposito bis'!$E$156/sezione!$B$247*B914</f>
        <v>71.854570495471918</v>
      </c>
      <c r="D914" s="611">
        <f>-'Progetto del paramento slu'!$G$47*'Progetto del paramento slu'!$G$41*IF(DATI!$G$218="dx",DATI!$E$61,DATI!$E$64*DATI!$E$63)*1000*C914^2*sezione!$AD$5*(1-sezione!$AD$6)</f>
        <v>-42502467.567423515</v>
      </c>
      <c r="E914" s="553">
        <f>-'Foglio deposito bis'!$F$58*(C914-sezione!$AL$30)*IF(ABS(K914)&lt;'Progetto del paramento slu'!$G$58,ABS(K914)*'Progetto del paramento slu'!$G$54,'Progetto del paramento slu'!$G$53)</f>
        <v>0</v>
      </c>
      <c r="F914" s="553">
        <f>-'Foglio deposito bis'!$F$59*(C914-sezione!$AM$30)*IF(ABS(L914)&lt;'Progetto del paramento slu'!$G$58,ABS(L914)*'Progetto del paramento slu'!$G$54,'Progetto del paramento slu'!$G$53)</f>
        <v>12008206.33254022</v>
      </c>
      <c r="G914" s="553">
        <f>-'Foglio deposito bis'!$F$60*(C914-sezione!$AN$30)*IF(ABS(M914)&lt;'Progetto del paramento slu'!$G$58,ABS(M914)*'Progetto del paramento slu'!$G$54,'Progetto del paramento slu'!$G$53)</f>
        <v>0</v>
      </c>
      <c r="H914" s="553">
        <f>-'Foglio deposito bis'!$F$61*(C914-sezione!$AO$30)*IF(ABS(N914)&lt;'Progetto del paramento slu'!$G$58,ABS(N914)*'Progetto del paramento slu'!$G$54,'Progetto del paramento slu'!$G$53)</f>
        <v>64608702.041473277</v>
      </c>
      <c r="I914" s="479">
        <f>-'Foglio deposito bis'!$F$62*(C914-sezione!$AP$30)*IF(ABS(O914)&lt;'Progetto del paramento slu'!$G$58,ABS(O914)*'Progetto del paramento slu'!$G$54,'Progetto del paramento slu'!$G$53)</f>
        <v>59211363.85675966</v>
      </c>
      <c r="J914" s="479">
        <f t="shared" si="67"/>
        <v>93325804.663349643</v>
      </c>
      <c r="K914" s="558">
        <f>'Progetto del paramento slu'!$G$60*(sezione!$AL$30-C914)/C914</f>
        <v>-1.5516201121983965E-3</v>
      </c>
      <c r="L914" s="558">
        <f>'Progetto del paramento slu'!$G$60*(sezione!$AM$30-C914)/C914</f>
        <v>3.8064245792560143E-3</v>
      </c>
      <c r="M914" s="559">
        <f>'Progetto del paramento slu'!$G$60*(sezione!$AN$30-C914)/C914</f>
        <v>9.1644692707104243E-3</v>
      </c>
      <c r="N914" s="559">
        <f>'Progetto del paramento slu'!$G$60*(sezione!$AO$30-C914)/C914</f>
        <v>1.3061229046313632E-2</v>
      </c>
      <c r="O914" s="559">
        <f>'Progetto del paramento slu'!$G$60*(sezione!$AP$30-C914)/C914</f>
        <v>9.1646144624809057E-3</v>
      </c>
      <c r="P914" s="553">
        <f>-'Progetto del paramento slu'!$G$47*'Progetto del paramento slu'!$G$41*IF(DATI!$G$218="dx",DATI!$E$61,DATI!$E$64*DATI!$E$63)*1000*C914*sezione!$AD$5</f>
        <v>-1012854.1217014177</v>
      </c>
      <c r="Q914" s="553">
        <f>'Foglio deposito bis'!$F$58*IF(ABS(K914)&lt;'Progetto del paramento slu'!$G$58,ABS(K914)*'Progetto del paramento slu'!$G$54,'Progetto del paramento slu'!$G$53)*IF(K914&lt;0,-1,1)</f>
        <v>0</v>
      </c>
      <c r="R914" s="553">
        <f>'Foglio deposito bis'!$F$59*IF(ABS(L914)&lt;'Progetto del paramento slu'!$G$58,ABS(L914)*'Progetto del paramento slu'!$G$54,'Progetto del paramento slu'!$G$53)*IF(L914&lt;0,-1,1)</f>
        <v>153664.85805602249</v>
      </c>
      <c r="S914" s="553">
        <f>'Foglio deposito bis'!$F$60*IF(ABS(M914)&lt;'Progetto del paramento slu'!$G$58,ABS(M914)*'Progetto del paramento slu'!$G$54,'Progetto del paramento slu'!$G$53)*IF(M914&lt;0,-1,1)</f>
        <v>0</v>
      </c>
      <c r="T914" s="553">
        <f>'Foglio deposito bis'!$F$61*IF(ABS(N914)&lt;'Progetto del paramento slu'!$G$58,ABS(N914)*'Progetto del paramento slu'!$G$54,'Progetto del paramento slu'!$G$53)*IF(N914&lt;0,-1,1)</f>
        <v>240946.49743184328</v>
      </c>
      <c r="U914" s="553">
        <f>'Foglio deposito bis'!$F$62*IF(ABS(O914)&lt;'Progetto del paramento slu'!$G$58,ABS(O914)*'Progetto del paramento slu'!$G$54,'Progetto del paramento slu'!$G$53)*IF(O914&lt;0,-1,1)</f>
        <v>314705.62929873407</v>
      </c>
      <c r="V914" s="479">
        <f t="shared" si="69"/>
        <v>-303537.13691481779</v>
      </c>
      <c r="W914" s="559"/>
      <c r="X914" s="559"/>
    </row>
    <row r="915" spans="1:24" x14ac:dyDescent="0.25">
      <c r="A915" s="553">
        <f t="shared" si="68"/>
        <v>314981.81625607674</v>
      </c>
      <c r="B915" s="3">
        <f t="shared" si="66"/>
        <v>17.899999999999959</v>
      </c>
      <c r="C915" s="553">
        <f>'Foglio deposito bis'!$E$156/sezione!$B$247*B915</f>
        <v>72.666486546268217</v>
      </c>
      <c r="D915" s="611">
        <f>-'Progetto del paramento slu'!$G$47*'Progetto del paramento slu'!$G$41*IF(DATI!$G$218="dx",DATI!$E$61,DATI!$E$64*DATI!$E$63)*1000*C915^2*sezione!$AD$5*(1-sezione!$AD$6)</f>
        <v>-43468401.906470574</v>
      </c>
      <c r="E915" s="553">
        <f>-'Foglio deposito bis'!$F$58*(C915-sezione!$AL$30)*IF(ABS(K915)&lt;'Progetto del paramento slu'!$G$58,ABS(K915)*'Progetto del paramento slu'!$G$54,'Progetto del paramento slu'!$G$53)</f>
        <v>0</v>
      </c>
      <c r="F915" s="553">
        <f>-'Foglio deposito bis'!$F$59*(C915-sezione!$AM$30)*IF(ABS(L915)&lt;'Progetto del paramento slu'!$G$58,ABS(L915)*'Progetto del paramento slu'!$G$54,'Progetto del paramento slu'!$G$53)</f>
        <v>11883443.367841201</v>
      </c>
      <c r="G915" s="553">
        <f>-'Foglio deposito bis'!$F$60*(C915-sezione!$AN$30)*IF(ABS(M915)&lt;'Progetto del paramento slu'!$G$58,ABS(M915)*'Progetto del paramento slu'!$G$54,'Progetto del paramento slu'!$G$53)</f>
        <v>0</v>
      </c>
      <c r="H915" s="553">
        <f>-'Foglio deposito bis'!$F$61*(C915-sezione!$AO$30)*IF(ABS(N915)&lt;'Progetto del paramento slu'!$G$58,ABS(N915)*'Progetto del paramento slu'!$G$54,'Progetto del paramento slu'!$G$53)</f>
        <v>64413073.712825216</v>
      </c>
      <c r="I915" s="479">
        <f>-'Foglio deposito bis'!$F$62*(C915-sezione!$AP$30)*IF(ABS(O915)&lt;'Progetto del paramento slu'!$G$58,ABS(O915)*'Progetto del paramento slu'!$G$54,'Progetto del paramento slu'!$G$53)</f>
        <v>58955849.305056065</v>
      </c>
      <c r="J915" s="479">
        <f t="shared" si="67"/>
        <v>91783964.479251906</v>
      </c>
      <c r="K915" s="558">
        <f>'Progetto del paramento slu'!$G$60*(sezione!$AL$30-C915)/C915</f>
        <v>-1.5733897198833306E-3</v>
      </c>
      <c r="L915" s="558">
        <f>'Progetto del paramento slu'!$G$60*(sezione!$AM$30-C915)/C915</f>
        <v>3.7247885504375104E-3</v>
      </c>
      <c r="M915" s="559">
        <f>'Progetto del paramento slu'!$G$60*(sezione!$AN$30-C915)/C915</f>
        <v>9.0229668207583505E-3</v>
      </c>
      <c r="N915" s="559">
        <f>'Progetto del paramento slu'!$G$60*(sezione!$AO$30-C915)/C915</f>
        <v>1.2876187380991689E-2</v>
      </c>
      <c r="O915" s="559">
        <f>'Progetto del paramento slu'!$G$60*(sezione!$AP$30-C915)/C915</f>
        <v>9.0231103902744143E-3</v>
      </c>
      <c r="P915" s="553">
        <f>-'Progetto del paramento slu'!$G$47*'Progetto del paramento slu'!$G$41*IF(DATI!$G$218="dx",DATI!$E$61,DATI!$E$64*DATI!$E$63)*1000*C915*sezione!$AD$5</f>
        <v>-1024298.8010426767</v>
      </c>
      <c r="Q915" s="553">
        <f>'Foglio deposito bis'!$F$58*IF(ABS(K915)&lt;'Progetto del paramento slu'!$G$58,ABS(K915)*'Progetto del paramento slu'!$G$54,'Progetto del paramento slu'!$G$53)*IF(K915&lt;0,-1,1)</f>
        <v>0</v>
      </c>
      <c r="R915" s="553">
        <f>'Foglio deposito bis'!$F$59*IF(ABS(L915)&lt;'Progetto del paramento slu'!$G$58,ABS(L915)*'Progetto del paramento slu'!$G$54,'Progetto del paramento slu'!$G$53)*IF(L915&lt;0,-1,1)</f>
        <v>153664.85805602249</v>
      </c>
      <c r="S915" s="553">
        <f>'Foglio deposito bis'!$F$60*IF(ABS(M915)&lt;'Progetto del paramento slu'!$G$58,ABS(M915)*'Progetto del paramento slu'!$G$54,'Progetto del paramento slu'!$G$53)*IF(M915&lt;0,-1,1)</f>
        <v>0</v>
      </c>
      <c r="T915" s="553">
        <f>'Foglio deposito bis'!$F$61*IF(ABS(N915)&lt;'Progetto del paramento slu'!$G$58,ABS(N915)*'Progetto del paramento slu'!$G$54,'Progetto del paramento slu'!$G$53)*IF(N915&lt;0,-1,1)</f>
        <v>240946.49743184328</v>
      </c>
      <c r="U915" s="553">
        <f>'Foglio deposito bis'!$F$62*IF(ABS(O915)&lt;'Progetto del paramento slu'!$G$58,ABS(O915)*'Progetto del paramento slu'!$G$54,'Progetto del paramento slu'!$G$53)*IF(O915&lt;0,-1,1)</f>
        <v>314705.62929873407</v>
      </c>
      <c r="V915" s="479">
        <f t="shared" si="69"/>
        <v>-314981.81625607674</v>
      </c>
      <c r="W915" s="559"/>
      <c r="X915" s="559"/>
    </row>
    <row r="916" spans="1:24" x14ac:dyDescent="0.25">
      <c r="A916" s="553">
        <f t="shared" si="68"/>
        <v>326426.49559733568</v>
      </c>
      <c r="B916" s="3">
        <f t="shared" si="66"/>
        <v>18.099999999999959</v>
      </c>
      <c r="C916" s="553">
        <f>'Foglio deposito bis'!$E$156/sezione!$B$247*B916</f>
        <v>73.478402597064502</v>
      </c>
      <c r="D916" s="611">
        <f>-'Progetto del paramento slu'!$G$47*'Progetto del paramento slu'!$G$41*IF(DATI!$G$218="dx",DATI!$E$61,DATI!$E$64*DATI!$E$63)*1000*C916^2*sezione!$AD$5*(1-sezione!$AD$6)</f>
        <v>-44445189.440338396</v>
      </c>
      <c r="E916" s="553">
        <f>-'Foglio deposito bis'!$F$58*(C916-sezione!$AL$30)*IF(ABS(K916)&lt;'Progetto del paramento slu'!$G$58,ABS(K916)*'Progetto del paramento slu'!$G$54,'Progetto del paramento slu'!$G$53)</f>
        <v>0</v>
      </c>
      <c r="F916" s="553">
        <f>-'Foglio deposito bis'!$F$59*(C916-sezione!$AM$30)*IF(ABS(L916)&lt;'Progetto del paramento slu'!$G$58,ABS(L916)*'Progetto del paramento slu'!$G$54,'Progetto del paramento slu'!$G$53)</f>
        <v>11758680.403142182</v>
      </c>
      <c r="G916" s="553">
        <f>-'Foglio deposito bis'!$F$60*(C916-sezione!$AN$30)*IF(ABS(M916)&lt;'Progetto del paramento slu'!$G$58,ABS(M916)*'Progetto del paramento slu'!$G$54,'Progetto del paramento slu'!$G$53)</f>
        <v>0</v>
      </c>
      <c r="H916" s="553">
        <f>-'Foglio deposito bis'!$F$61*(C916-sezione!$AO$30)*IF(ABS(N916)&lt;'Progetto del paramento slu'!$G$58,ABS(N916)*'Progetto del paramento slu'!$G$54,'Progetto del paramento slu'!$G$53)</f>
        <v>64217445.384177163</v>
      </c>
      <c r="I916" s="479">
        <f>-'Foglio deposito bis'!$F$62*(C916-sezione!$AP$30)*IF(ABS(O916)&lt;'Progetto del paramento slu'!$G$58,ABS(O916)*'Progetto del paramento slu'!$G$54,'Progetto del paramento slu'!$G$53)</f>
        <v>58700334.753352478</v>
      </c>
      <c r="J916" s="479">
        <f t="shared" si="67"/>
        <v>90231271.100333422</v>
      </c>
      <c r="K916" s="558">
        <f>'Progetto del paramento slu'!$G$60*(sezione!$AL$30-C916)/C916</f>
        <v>-1.594678231265835E-3</v>
      </c>
      <c r="L916" s="558">
        <f>'Progetto del paramento slu'!$G$60*(sezione!$AM$30-C916)/C916</f>
        <v>3.644956632753119E-3</v>
      </c>
      <c r="M916" s="559">
        <f>'Progetto del paramento slu'!$G$60*(sezione!$AN$30-C916)/C916</f>
        <v>8.8845914967720721E-3</v>
      </c>
      <c r="N916" s="559">
        <f>'Progetto del paramento slu'!$G$60*(sezione!$AO$30-C916)/C916</f>
        <v>1.2695235034240405E-2</v>
      </c>
      <c r="O916" s="559">
        <f>'Progetto del paramento slu'!$G$60*(sezione!$AP$30-C916)/C916</f>
        <v>8.8847334798846447E-3</v>
      </c>
      <c r="P916" s="553">
        <f>-'Progetto del paramento slu'!$G$47*'Progetto del paramento slu'!$G$41*IF(DATI!$G$218="dx",DATI!$E$61,DATI!$E$64*DATI!$E$63)*1000*C916*sezione!$AD$5</f>
        <v>-1035743.4803839356</v>
      </c>
      <c r="Q916" s="553">
        <f>'Foglio deposito bis'!$F$58*IF(ABS(K916)&lt;'Progetto del paramento slu'!$G$58,ABS(K916)*'Progetto del paramento slu'!$G$54,'Progetto del paramento slu'!$G$53)*IF(K916&lt;0,-1,1)</f>
        <v>0</v>
      </c>
      <c r="R916" s="553">
        <f>'Foglio deposito bis'!$F$59*IF(ABS(L916)&lt;'Progetto del paramento slu'!$G$58,ABS(L916)*'Progetto del paramento slu'!$G$54,'Progetto del paramento slu'!$G$53)*IF(L916&lt;0,-1,1)</f>
        <v>153664.85805602249</v>
      </c>
      <c r="S916" s="553">
        <f>'Foglio deposito bis'!$F$60*IF(ABS(M916)&lt;'Progetto del paramento slu'!$G$58,ABS(M916)*'Progetto del paramento slu'!$G$54,'Progetto del paramento slu'!$G$53)*IF(M916&lt;0,-1,1)</f>
        <v>0</v>
      </c>
      <c r="T916" s="553">
        <f>'Foglio deposito bis'!$F$61*IF(ABS(N916)&lt;'Progetto del paramento slu'!$G$58,ABS(N916)*'Progetto del paramento slu'!$G$54,'Progetto del paramento slu'!$G$53)*IF(N916&lt;0,-1,1)</f>
        <v>240946.49743184328</v>
      </c>
      <c r="U916" s="553">
        <f>'Foglio deposito bis'!$F$62*IF(ABS(O916)&lt;'Progetto del paramento slu'!$G$58,ABS(O916)*'Progetto del paramento slu'!$G$54,'Progetto del paramento slu'!$G$53)*IF(O916&lt;0,-1,1)</f>
        <v>314705.62929873407</v>
      </c>
      <c r="V916" s="479">
        <f t="shared" si="69"/>
        <v>-326426.49559733568</v>
      </c>
      <c r="W916" s="559"/>
      <c r="X916" s="559"/>
    </row>
    <row r="917" spans="1:24" x14ac:dyDescent="0.25">
      <c r="A917" s="553">
        <f t="shared" si="68"/>
        <v>337871.17493859463</v>
      </c>
      <c r="B917" s="3">
        <f t="shared" ref="B917:B940" si="70">B916+0.2</f>
        <v>18.299999999999958</v>
      </c>
      <c r="C917" s="553">
        <f>'Foglio deposito bis'!$E$156/sezione!$B$247*B917</f>
        <v>74.290318647860801</v>
      </c>
      <c r="D917" s="611">
        <f>-'Progetto del paramento slu'!$G$47*'Progetto del paramento slu'!$G$41*IF(DATI!$G$218="dx",DATI!$E$61,DATI!$E$64*DATI!$E$63)*1000*C917^2*sezione!$AD$5*(1-sezione!$AD$6)</f>
        <v>-45432830.169026971</v>
      </c>
      <c r="E917" s="553">
        <f>-'Foglio deposito bis'!$F$58*(C917-sezione!$AL$30)*IF(ABS(K917)&lt;'Progetto del paramento slu'!$G$58,ABS(K917)*'Progetto del paramento slu'!$G$54,'Progetto del paramento slu'!$G$53)</f>
        <v>0</v>
      </c>
      <c r="F917" s="553">
        <f>-'Foglio deposito bis'!$F$59*(C917-sezione!$AM$30)*IF(ABS(L917)&lt;'Progetto del paramento slu'!$G$58,ABS(L917)*'Progetto del paramento slu'!$G$54,'Progetto del paramento slu'!$G$53)</f>
        <v>11633917.438443163</v>
      </c>
      <c r="G917" s="553">
        <f>-'Foglio deposito bis'!$F$60*(C917-sezione!$AN$30)*IF(ABS(M917)&lt;'Progetto del paramento slu'!$G$58,ABS(M917)*'Progetto del paramento slu'!$G$54,'Progetto del paramento slu'!$G$53)</f>
        <v>0</v>
      </c>
      <c r="H917" s="553">
        <f>-'Foglio deposito bis'!$F$61*(C917-sezione!$AO$30)*IF(ABS(N917)&lt;'Progetto del paramento slu'!$G$58,ABS(N917)*'Progetto del paramento slu'!$G$54,'Progetto del paramento slu'!$G$53)</f>
        <v>64021817.055529103</v>
      </c>
      <c r="I917" s="479">
        <f>-'Foglio deposito bis'!$F$62*(C917-sezione!$AP$30)*IF(ABS(O917)&lt;'Progetto del paramento slu'!$G$58,ABS(O917)*'Progetto del paramento slu'!$G$54,'Progetto del paramento slu'!$G$53)</f>
        <v>58444820.201648898</v>
      </c>
      <c r="J917" s="479">
        <f t="shared" si="67"/>
        <v>88667724.526594192</v>
      </c>
      <c r="K917" s="558">
        <f>'Progetto del paramento slu'!$G$60*(sezione!$AL$30-C917)/C917</f>
        <v>-1.6155014199951705E-3</v>
      </c>
      <c r="L917" s="558">
        <f>'Progetto del paramento slu'!$G$60*(sezione!$AM$30-C917)/C917</f>
        <v>3.5668696750181111E-3</v>
      </c>
      <c r="M917" s="559">
        <f>'Progetto del paramento slu'!$G$60*(sezione!$AN$30-C917)/C917</f>
        <v>8.7492407700313947E-3</v>
      </c>
      <c r="N917" s="559">
        <f>'Progetto del paramento slu'!$G$60*(sezione!$AO$30-C917)/C917</f>
        <v>1.2518237930041054E-2</v>
      </c>
      <c r="O917" s="559">
        <f>'Progetto del paramento slu'!$G$60*(sezione!$AP$30-C917)/C917</f>
        <v>8.7493812014159573E-3</v>
      </c>
      <c r="P917" s="553">
        <f>-'Progetto del paramento slu'!$G$47*'Progetto del paramento slu'!$G$41*IF(DATI!$G$218="dx",DATI!$E$61,DATI!$E$64*DATI!$E$63)*1000*C917*sezione!$AD$5</f>
        <v>-1047188.1597251946</v>
      </c>
      <c r="Q917" s="553">
        <f>'Foglio deposito bis'!$F$58*IF(ABS(K917)&lt;'Progetto del paramento slu'!$G$58,ABS(K917)*'Progetto del paramento slu'!$G$54,'Progetto del paramento slu'!$G$53)*IF(K917&lt;0,-1,1)</f>
        <v>0</v>
      </c>
      <c r="R917" s="553">
        <f>'Foglio deposito bis'!$F$59*IF(ABS(L917)&lt;'Progetto del paramento slu'!$G$58,ABS(L917)*'Progetto del paramento slu'!$G$54,'Progetto del paramento slu'!$G$53)*IF(L917&lt;0,-1,1)</f>
        <v>153664.85805602249</v>
      </c>
      <c r="S917" s="553">
        <f>'Foglio deposito bis'!$F$60*IF(ABS(M917)&lt;'Progetto del paramento slu'!$G$58,ABS(M917)*'Progetto del paramento slu'!$G$54,'Progetto del paramento slu'!$G$53)*IF(M917&lt;0,-1,1)</f>
        <v>0</v>
      </c>
      <c r="T917" s="553">
        <f>'Foglio deposito bis'!$F$61*IF(ABS(N917)&lt;'Progetto del paramento slu'!$G$58,ABS(N917)*'Progetto del paramento slu'!$G$54,'Progetto del paramento slu'!$G$53)*IF(N917&lt;0,-1,1)</f>
        <v>240946.49743184328</v>
      </c>
      <c r="U917" s="553">
        <f>'Foglio deposito bis'!$F$62*IF(ABS(O917)&lt;'Progetto del paramento slu'!$G$58,ABS(O917)*'Progetto del paramento slu'!$G$54,'Progetto del paramento slu'!$G$53)*IF(O917&lt;0,-1,1)</f>
        <v>314705.62929873407</v>
      </c>
      <c r="V917" s="479">
        <f t="shared" si="69"/>
        <v>-337871.17493859463</v>
      </c>
      <c r="W917" s="559"/>
      <c r="X917" s="559"/>
    </row>
    <row r="918" spans="1:24" x14ac:dyDescent="0.25">
      <c r="A918" s="553">
        <f t="shared" si="68"/>
        <v>349315.85427985335</v>
      </c>
      <c r="B918" s="3">
        <f t="shared" si="70"/>
        <v>18.499999999999957</v>
      </c>
      <c r="C918" s="553">
        <f>'Foglio deposito bis'!$E$156/sezione!$B$247*B918</f>
        <v>75.102234698657085</v>
      </c>
      <c r="D918" s="611">
        <f>-'Progetto del paramento slu'!$G$47*'Progetto del paramento slu'!$G$41*IF(DATI!$G$218="dx",DATI!$E$61,DATI!$E$64*DATI!$E$63)*1000*C918^2*sezione!$AD$5*(1-sezione!$AD$6)</f>
        <v>-46431324.092536286</v>
      </c>
      <c r="E918" s="553">
        <f>-'Foglio deposito bis'!$F$58*(C918-sezione!$AL$30)*IF(ABS(K918)&lt;'Progetto del paramento slu'!$G$58,ABS(K918)*'Progetto del paramento slu'!$G$54,'Progetto del paramento slu'!$G$53)</f>
        <v>0</v>
      </c>
      <c r="F918" s="553">
        <f>-'Foglio deposito bis'!$F$59*(C918-sezione!$AM$30)*IF(ABS(L918)&lt;'Progetto del paramento slu'!$G$58,ABS(L918)*'Progetto del paramento slu'!$G$54,'Progetto del paramento slu'!$G$53)</f>
        <v>11509154.473744147</v>
      </c>
      <c r="G918" s="553">
        <f>-'Foglio deposito bis'!$F$60*(C918-sezione!$AN$30)*IF(ABS(M918)&lt;'Progetto del paramento slu'!$G$58,ABS(M918)*'Progetto del paramento slu'!$G$54,'Progetto del paramento slu'!$G$53)</f>
        <v>0</v>
      </c>
      <c r="H918" s="553">
        <f>-'Foglio deposito bis'!$F$61*(C918-sezione!$AO$30)*IF(ABS(N918)&lt;'Progetto del paramento slu'!$G$58,ABS(N918)*'Progetto del paramento slu'!$G$54,'Progetto del paramento slu'!$G$53)</f>
        <v>63826188.726881042</v>
      </c>
      <c r="I918" s="479">
        <f>-'Foglio deposito bis'!$F$62*(C918-sezione!$AP$30)*IF(ABS(O918)&lt;'Progetto del paramento slu'!$G$58,ABS(O918)*'Progetto del paramento slu'!$G$54,'Progetto del paramento slu'!$G$53)</f>
        <v>58189305.649945311</v>
      </c>
      <c r="J918" s="479">
        <f t="shared" si="67"/>
        <v>87093324.758034214</v>
      </c>
      <c r="K918" s="558">
        <f>'Progetto del paramento slu'!$G$60*(sezione!$AL$30-C918)/C918</f>
        <v>-1.6358743776168439E-3</v>
      </c>
      <c r="L918" s="558">
        <f>'Progetto del paramento slu'!$G$60*(sezione!$AM$30-C918)/C918</f>
        <v>3.4904710839368355E-3</v>
      </c>
      <c r="M918" s="559">
        <f>'Progetto del paramento slu'!$G$60*(sezione!$AN$30-C918)/C918</f>
        <v>8.616816545490515E-3</v>
      </c>
      <c r="N918" s="559">
        <f>'Progetto del paramento slu'!$G$60*(sezione!$AO$30-C918)/C918</f>
        <v>1.2345067790256828E-2</v>
      </c>
      <c r="O918" s="559">
        <f>'Progetto del paramento slu'!$G$60*(sezione!$AP$30-C918)/C918</f>
        <v>8.6169554586979502E-3</v>
      </c>
      <c r="P918" s="553">
        <f>-'Progetto del paramento slu'!$G$47*'Progetto del paramento slu'!$G$41*IF(DATI!$G$218="dx",DATI!$E$61,DATI!$E$64*DATI!$E$63)*1000*C918*sezione!$AD$5</f>
        <v>-1058632.8390664533</v>
      </c>
      <c r="Q918" s="553">
        <f>'Foglio deposito bis'!$F$58*IF(ABS(K918)&lt;'Progetto del paramento slu'!$G$58,ABS(K918)*'Progetto del paramento slu'!$G$54,'Progetto del paramento slu'!$G$53)*IF(K918&lt;0,-1,1)</f>
        <v>0</v>
      </c>
      <c r="R918" s="553">
        <f>'Foglio deposito bis'!$F$59*IF(ABS(L918)&lt;'Progetto del paramento slu'!$G$58,ABS(L918)*'Progetto del paramento slu'!$G$54,'Progetto del paramento slu'!$G$53)*IF(L918&lt;0,-1,1)</f>
        <v>153664.85805602249</v>
      </c>
      <c r="S918" s="553">
        <f>'Foglio deposito bis'!$F$60*IF(ABS(M918)&lt;'Progetto del paramento slu'!$G$58,ABS(M918)*'Progetto del paramento slu'!$G$54,'Progetto del paramento slu'!$G$53)*IF(M918&lt;0,-1,1)</f>
        <v>0</v>
      </c>
      <c r="T918" s="553">
        <f>'Foglio deposito bis'!$F$61*IF(ABS(N918)&lt;'Progetto del paramento slu'!$G$58,ABS(N918)*'Progetto del paramento slu'!$G$54,'Progetto del paramento slu'!$G$53)*IF(N918&lt;0,-1,1)</f>
        <v>240946.49743184328</v>
      </c>
      <c r="U918" s="553">
        <f>'Foglio deposito bis'!$F$62*IF(ABS(O918)&lt;'Progetto del paramento slu'!$G$58,ABS(O918)*'Progetto del paramento slu'!$G$54,'Progetto del paramento slu'!$G$53)*IF(O918&lt;0,-1,1)</f>
        <v>314705.62929873407</v>
      </c>
      <c r="V918" s="479">
        <f t="shared" si="69"/>
        <v>-349315.85427985335</v>
      </c>
      <c r="W918" s="559"/>
      <c r="X918" s="559"/>
    </row>
    <row r="919" spans="1:24" x14ac:dyDescent="0.25">
      <c r="A919" s="553">
        <f t="shared" si="68"/>
        <v>360760.53362111252</v>
      </c>
      <c r="B919" s="3">
        <f t="shared" si="70"/>
        <v>18.699999999999957</v>
      </c>
      <c r="C919" s="553">
        <f>'Foglio deposito bis'!$E$156/sezione!$B$247*B919</f>
        <v>75.914150749453384</v>
      </c>
      <c r="D919" s="611">
        <f>-'Progetto del paramento slu'!$G$47*'Progetto del paramento slu'!$G$41*IF(DATI!$G$218="dx",DATI!$E$61,DATI!$E$64*DATI!$E$63)*1000*C919^2*sezione!$AD$5*(1-sezione!$AD$6)</f>
        <v>-47440671.210866384</v>
      </c>
      <c r="E919" s="553">
        <f>-'Foglio deposito bis'!$F$58*(C919-sezione!$AL$30)*IF(ABS(K919)&lt;'Progetto del paramento slu'!$G$58,ABS(K919)*'Progetto del paramento slu'!$G$54,'Progetto del paramento slu'!$G$53)</f>
        <v>0</v>
      </c>
      <c r="F919" s="553">
        <f>-'Foglio deposito bis'!$F$59*(C919-sezione!$AM$30)*IF(ABS(L919)&lt;'Progetto del paramento slu'!$G$58,ABS(L919)*'Progetto del paramento slu'!$G$54,'Progetto del paramento slu'!$G$53)</f>
        <v>11384391.509045126</v>
      </c>
      <c r="G919" s="553">
        <f>-'Foglio deposito bis'!$F$60*(C919-sezione!$AN$30)*IF(ABS(M919)&lt;'Progetto del paramento slu'!$G$58,ABS(M919)*'Progetto del paramento slu'!$G$54,'Progetto del paramento slu'!$G$53)</f>
        <v>0</v>
      </c>
      <c r="H919" s="553">
        <f>-'Foglio deposito bis'!$F$61*(C919-sezione!$AO$30)*IF(ABS(N919)&lt;'Progetto del paramento slu'!$G$58,ABS(N919)*'Progetto del paramento slu'!$G$54,'Progetto del paramento slu'!$G$53)</f>
        <v>63630560.398232982</v>
      </c>
      <c r="I919" s="479">
        <f>-'Foglio deposito bis'!$F$62*(C919-sezione!$AP$30)*IF(ABS(O919)&lt;'Progetto del paramento slu'!$G$58,ABS(O919)*'Progetto del paramento slu'!$G$54,'Progetto del paramento slu'!$G$53)</f>
        <v>57933791.098241709</v>
      </c>
      <c r="J919" s="479">
        <f t="shared" si="67"/>
        <v>85508071.794653431</v>
      </c>
      <c r="K919" s="558">
        <f>'Progetto del paramento slu'!$G$60*(sezione!$AL$30-C919)/C919</f>
        <v>-1.6558115500487495E-3</v>
      </c>
      <c r="L919" s="558">
        <f>'Progetto del paramento slu'!$G$60*(sezione!$AM$30-C919)/C919</f>
        <v>3.4157066873171898E-3</v>
      </c>
      <c r="M919" s="559">
        <f>'Progetto del paramento slu'!$G$60*(sezione!$AN$30-C919)/C919</f>
        <v>8.4872249246831302E-3</v>
      </c>
      <c r="N919" s="559">
        <f>'Progetto del paramento slu'!$G$60*(sezione!$AO$30-C919)/C919</f>
        <v>1.217560182458563E-2</v>
      </c>
      <c r="O919" s="559">
        <f>'Progetto del paramento slu'!$G$60*(sezione!$AP$30-C919)/C919</f>
        <v>8.4873623521878102E-3</v>
      </c>
      <c r="P919" s="553">
        <f>-'Progetto del paramento slu'!$G$47*'Progetto del paramento slu'!$G$41*IF(DATI!$G$218="dx",DATI!$E$61,DATI!$E$64*DATI!$E$63)*1000*C919*sezione!$AD$5</f>
        <v>-1070077.5184077125</v>
      </c>
      <c r="Q919" s="553">
        <f>'Foglio deposito bis'!$F$58*IF(ABS(K919)&lt;'Progetto del paramento slu'!$G$58,ABS(K919)*'Progetto del paramento slu'!$G$54,'Progetto del paramento slu'!$G$53)*IF(K919&lt;0,-1,1)</f>
        <v>0</v>
      </c>
      <c r="R919" s="553">
        <f>'Foglio deposito bis'!$F$59*IF(ABS(L919)&lt;'Progetto del paramento slu'!$G$58,ABS(L919)*'Progetto del paramento slu'!$G$54,'Progetto del paramento slu'!$G$53)*IF(L919&lt;0,-1,1)</f>
        <v>153664.85805602249</v>
      </c>
      <c r="S919" s="553">
        <f>'Foglio deposito bis'!$F$60*IF(ABS(M919)&lt;'Progetto del paramento slu'!$G$58,ABS(M919)*'Progetto del paramento slu'!$G$54,'Progetto del paramento slu'!$G$53)*IF(M919&lt;0,-1,1)</f>
        <v>0</v>
      </c>
      <c r="T919" s="553">
        <f>'Foglio deposito bis'!$F$61*IF(ABS(N919)&lt;'Progetto del paramento slu'!$G$58,ABS(N919)*'Progetto del paramento slu'!$G$54,'Progetto del paramento slu'!$G$53)*IF(N919&lt;0,-1,1)</f>
        <v>240946.49743184328</v>
      </c>
      <c r="U919" s="553">
        <f>'Foglio deposito bis'!$F$62*IF(ABS(O919)&lt;'Progetto del paramento slu'!$G$58,ABS(O919)*'Progetto del paramento slu'!$G$54,'Progetto del paramento slu'!$G$53)*IF(O919&lt;0,-1,1)</f>
        <v>314705.62929873407</v>
      </c>
      <c r="V919" s="479">
        <f t="shared" si="69"/>
        <v>-360760.53362111252</v>
      </c>
      <c r="W919" s="559"/>
      <c r="X919" s="559"/>
    </row>
    <row r="920" spans="1:24" x14ac:dyDescent="0.25">
      <c r="A920" s="553">
        <f t="shared" si="68"/>
        <v>372205.21296237124</v>
      </c>
      <c r="B920" s="3">
        <f t="shared" si="70"/>
        <v>18.899999999999956</v>
      </c>
      <c r="C920" s="553">
        <f>'Foglio deposito bis'!$E$156/sezione!$B$247*B920</f>
        <v>76.726066800249669</v>
      </c>
      <c r="D920" s="611">
        <f>-'Progetto del paramento slu'!$G$47*'Progetto del paramento slu'!$G$41*IF(DATI!$G$218="dx",DATI!$E$61,DATI!$E$64*DATI!$E$63)*1000*C920^2*sezione!$AD$5*(1-sezione!$AD$6)</f>
        <v>-48460871.5240172</v>
      </c>
      <c r="E920" s="553">
        <f>-'Foglio deposito bis'!$F$58*(C920-sezione!$AL$30)*IF(ABS(K920)&lt;'Progetto del paramento slu'!$G$58,ABS(K920)*'Progetto del paramento slu'!$G$54,'Progetto del paramento slu'!$G$53)</f>
        <v>0</v>
      </c>
      <c r="F920" s="553">
        <f>-'Foglio deposito bis'!$F$59*(C920-sezione!$AM$30)*IF(ABS(L920)&lt;'Progetto del paramento slu'!$G$58,ABS(L920)*'Progetto del paramento slu'!$G$54,'Progetto del paramento slu'!$G$53)</f>
        <v>11259628.544346109</v>
      </c>
      <c r="G920" s="553">
        <f>-'Foglio deposito bis'!$F$60*(C920-sezione!$AN$30)*IF(ABS(M920)&lt;'Progetto del paramento slu'!$G$58,ABS(M920)*'Progetto del paramento slu'!$G$54,'Progetto del paramento slu'!$G$53)</f>
        <v>0</v>
      </c>
      <c r="H920" s="553">
        <f>-'Foglio deposito bis'!$F$61*(C920-sezione!$AO$30)*IF(ABS(N920)&lt;'Progetto del paramento slu'!$G$58,ABS(N920)*'Progetto del paramento slu'!$G$54,'Progetto del paramento slu'!$G$53)</f>
        <v>63434932.069584921</v>
      </c>
      <c r="I920" s="479">
        <f>-'Foglio deposito bis'!$F$62*(C920-sezione!$AP$30)*IF(ABS(O920)&lt;'Progetto del paramento slu'!$G$58,ABS(O920)*'Progetto del paramento slu'!$G$54,'Progetto del paramento slu'!$G$53)</f>
        <v>57678276.546538129</v>
      </c>
      <c r="J920" s="479">
        <f t="shared" si="67"/>
        <v>83911965.63645196</v>
      </c>
      <c r="K920" s="558">
        <f>'Progetto del paramento slu'!$G$60*(sezione!$AL$30-C920)/C920</f>
        <v>-1.6753267717413551E-3</v>
      </c>
      <c r="L920" s="558">
        <f>'Progetto del paramento slu'!$G$60*(sezione!$AM$30-C920)/C920</f>
        <v>3.3425246059699183E-3</v>
      </c>
      <c r="M920" s="559">
        <f>'Progetto del paramento slu'!$G$60*(sezione!$AN$30-C920)/C920</f>
        <v>8.3603759836811918E-3</v>
      </c>
      <c r="N920" s="559">
        <f>'Progetto del paramento slu'!$G$60*(sezione!$AO$30-C920)/C920</f>
        <v>1.2009722440198482E-2</v>
      </c>
      <c r="O920" s="559">
        <f>'Progetto del paramento slu'!$G$60*(sezione!$AP$30-C920)/C920</f>
        <v>8.3605119569265633E-3</v>
      </c>
      <c r="P920" s="553">
        <f>-'Progetto del paramento slu'!$G$47*'Progetto del paramento slu'!$G$41*IF(DATI!$G$218="dx",DATI!$E$61,DATI!$E$64*DATI!$E$63)*1000*C920*sezione!$AD$5</f>
        <v>-1081522.1977489712</v>
      </c>
      <c r="Q920" s="553">
        <f>'Foglio deposito bis'!$F$58*IF(ABS(K920)&lt;'Progetto del paramento slu'!$G$58,ABS(K920)*'Progetto del paramento slu'!$G$54,'Progetto del paramento slu'!$G$53)*IF(K920&lt;0,-1,1)</f>
        <v>0</v>
      </c>
      <c r="R920" s="553">
        <f>'Foglio deposito bis'!$F$59*IF(ABS(L920)&lt;'Progetto del paramento slu'!$G$58,ABS(L920)*'Progetto del paramento slu'!$G$54,'Progetto del paramento slu'!$G$53)*IF(L920&lt;0,-1,1)</f>
        <v>153664.85805602249</v>
      </c>
      <c r="S920" s="553">
        <f>'Foglio deposito bis'!$F$60*IF(ABS(M920)&lt;'Progetto del paramento slu'!$G$58,ABS(M920)*'Progetto del paramento slu'!$G$54,'Progetto del paramento slu'!$G$53)*IF(M920&lt;0,-1,1)</f>
        <v>0</v>
      </c>
      <c r="T920" s="553">
        <f>'Foglio deposito bis'!$F$61*IF(ABS(N920)&lt;'Progetto del paramento slu'!$G$58,ABS(N920)*'Progetto del paramento slu'!$G$54,'Progetto del paramento slu'!$G$53)*IF(N920&lt;0,-1,1)</f>
        <v>240946.49743184328</v>
      </c>
      <c r="U920" s="553">
        <f>'Foglio deposito bis'!$F$62*IF(ABS(O920)&lt;'Progetto del paramento slu'!$G$58,ABS(O920)*'Progetto del paramento slu'!$G$54,'Progetto del paramento slu'!$G$53)*IF(O920&lt;0,-1,1)</f>
        <v>314705.62929873407</v>
      </c>
      <c r="V920" s="479">
        <f t="shared" si="69"/>
        <v>-372205.21296237124</v>
      </c>
      <c r="W920" s="559"/>
      <c r="X920" s="559"/>
    </row>
    <row r="921" spans="1:24" x14ac:dyDescent="0.25">
      <c r="A921" s="553">
        <f t="shared" si="68"/>
        <v>383649.89230363042</v>
      </c>
      <c r="B921" s="3">
        <f t="shared" si="70"/>
        <v>19.099999999999955</v>
      </c>
      <c r="C921" s="553">
        <f>'Foglio deposito bis'!$E$156/sezione!$B$247*B921</f>
        <v>77.537982851045967</v>
      </c>
      <c r="D921" s="611">
        <f>-'Progetto del paramento slu'!$G$47*'Progetto del paramento slu'!$G$41*IF(DATI!$G$218="dx",DATI!$E$61,DATI!$E$64*DATI!$E$63)*1000*C921^2*sezione!$AD$5*(1-sezione!$AD$6)</f>
        <v>-49491925.0319888</v>
      </c>
      <c r="E921" s="553">
        <f>-'Foglio deposito bis'!$F$58*(C921-sezione!$AL$30)*IF(ABS(K921)&lt;'Progetto del paramento slu'!$G$58,ABS(K921)*'Progetto del paramento slu'!$G$54,'Progetto del paramento slu'!$G$53)</f>
        <v>0</v>
      </c>
      <c r="F921" s="553">
        <f>-'Foglio deposito bis'!$F$59*(C921-sezione!$AM$30)*IF(ABS(L921)&lt;'Progetto del paramento slu'!$G$58,ABS(L921)*'Progetto del paramento slu'!$G$54,'Progetto del paramento slu'!$G$53)</f>
        <v>11134865.579647088</v>
      </c>
      <c r="G921" s="553">
        <f>-'Foglio deposito bis'!$F$60*(C921-sezione!$AN$30)*IF(ABS(M921)&lt;'Progetto del paramento slu'!$G$58,ABS(M921)*'Progetto del paramento slu'!$G$54,'Progetto del paramento slu'!$G$53)</f>
        <v>0</v>
      </c>
      <c r="H921" s="553">
        <f>-'Foglio deposito bis'!$F$61*(C921-sezione!$AO$30)*IF(ABS(N921)&lt;'Progetto del paramento slu'!$G$58,ABS(N921)*'Progetto del paramento slu'!$G$54,'Progetto del paramento slu'!$G$53)</f>
        <v>63239303.740936853</v>
      </c>
      <c r="I921" s="479">
        <f>-'Foglio deposito bis'!$F$62*(C921-sezione!$AP$30)*IF(ABS(O921)&lt;'Progetto del paramento slu'!$G$58,ABS(O921)*'Progetto del paramento slu'!$G$54,'Progetto del paramento slu'!$G$53)</f>
        <v>57422761.994834527</v>
      </c>
      <c r="J921" s="479">
        <f t="shared" si="67"/>
        <v>82305006.283429667</v>
      </c>
      <c r="K921" s="558">
        <f>'Progetto del paramento slu'!$G$60*(sezione!$AL$30-C921)/C921</f>
        <v>-1.6944332976917074E-3</v>
      </c>
      <c r="L921" s="558">
        <f>'Progetto del paramento slu'!$G$60*(sezione!$AM$30-C921)/C921</f>
        <v>3.2708751336560965E-3</v>
      </c>
      <c r="M921" s="559">
        <f>'Progetto del paramento slu'!$G$60*(sezione!$AN$30-C921)/C921</f>
        <v>8.2361835650039007E-3</v>
      </c>
      <c r="N921" s="559">
        <f>'Progetto del paramento slu'!$G$60*(sezione!$AO$30-C921)/C921</f>
        <v>1.1847316969620486E-2</v>
      </c>
      <c r="O921" s="559">
        <f>'Progetto del paramento slu'!$G$60*(sezione!$AP$30-C921)/C921</f>
        <v>8.2363181144456572E-3</v>
      </c>
      <c r="P921" s="553">
        <f>-'Progetto del paramento slu'!$G$47*'Progetto del paramento slu'!$G$41*IF(DATI!$G$218="dx",DATI!$E$61,DATI!$E$64*DATI!$E$63)*1000*C921*sezione!$AD$5</f>
        <v>-1092966.8770902304</v>
      </c>
      <c r="Q921" s="553">
        <f>'Foglio deposito bis'!$F$58*IF(ABS(K921)&lt;'Progetto del paramento slu'!$G$58,ABS(K921)*'Progetto del paramento slu'!$G$54,'Progetto del paramento slu'!$G$53)*IF(K921&lt;0,-1,1)</f>
        <v>0</v>
      </c>
      <c r="R921" s="553">
        <f>'Foglio deposito bis'!$F$59*IF(ABS(L921)&lt;'Progetto del paramento slu'!$G$58,ABS(L921)*'Progetto del paramento slu'!$G$54,'Progetto del paramento slu'!$G$53)*IF(L921&lt;0,-1,1)</f>
        <v>153664.85805602249</v>
      </c>
      <c r="S921" s="553">
        <f>'Foglio deposito bis'!$F$60*IF(ABS(M921)&lt;'Progetto del paramento slu'!$G$58,ABS(M921)*'Progetto del paramento slu'!$G$54,'Progetto del paramento slu'!$G$53)*IF(M921&lt;0,-1,1)</f>
        <v>0</v>
      </c>
      <c r="T921" s="553">
        <f>'Foglio deposito bis'!$F$61*IF(ABS(N921)&lt;'Progetto del paramento slu'!$G$58,ABS(N921)*'Progetto del paramento slu'!$G$54,'Progetto del paramento slu'!$G$53)*IF(N921&lt;0,-1,1)</f>
        <v>240946.49743184328</v>
      </c>
      <c r="U921" s="553">
        <f>'Foglio deposito bis'!$F$62*IF(ABS(O921)&lt;'Progetto del paramento slu'!$G$58,ABS(O921)*'Progetto del paramento slu'!$G$54,'Progetto del paramento slu'!$G$53)*IF(O921&lt;0,-1,1)</f>
        <v>314705.62929873407</v>
      </c>
      <c r="V921" s="479">
        <f t="shared" si="69"/>
        <v>-383649.89230363042</v>
      </c>
      <c r="W921" s="559"/>
      <c r="X921" s="559"/>
    </row>
    <row r="922" spans="1:24" x14ac:dyDescent="0.25">
      <c r="A922" s="553">
        <f t="shared" si="68"/>
        <v>395094.57164488913</v>
      </c>
      <c r="B922" s="3">
        <f t="shared" si="70"/>
        <v>19.299999999999955</v>
      </c>
      <c r="C922" s="553">
        <f>'Foglio deposito bis'!$E$156/sezione!$B$247*B922</f>
        <v>78.349898901842252</v>
      </c>
      <c r="D922" s="611">
        <f>-'Progetto del paramento slu'!$G$47*'Progetto del paramento slu'!$G$41*IF(DATI!$G$218="dx",DATI!$E$61,DATI!$E$64*DATI!$E$63)*1000*C922^2*sezione!$AD$5*(1-sezione!$AD$6)</f>
        <v>-50533831.734781124</v>
      </c>
      <c r="E922" s="553">
        <f>-'Foglio deposito bis'!$F$58*(C922-sezione!$AL$30)*IF(ABS(K922)&lt;'Progetto del paramento slu'!$G$58,ABS(K922)*'Progetto del paramento slu'!$G$54,'Progetto del paramento slu'!$G$53)</f>
        <v>0</v>
      </c>
      <c r="F922" s="553">
        <f>-'Foglio deposito bis'!$F$59*(C922-sezione!$AM$30)*IF(ABS(L922)&lt;'Progetto del paramento slu'!$G$58,ABS(L922)*'Progetto del paramento slu'!$G$54,'Progetto del paramento slu'!$G$53)</f>
        <v>11010102.614948072</v>
      </c>
      <c r="G922" s="553">
        <f>-'Foglio deposito bis'!$F$60*(C922-sezione!$AN$30)*IF(ABS(M922)&lt;'Progetto del paramento slu'!$G$58,ABS(M922)*'Progetto del paramento slu'!$G$54,'Progetto del paramento slu'!$G$53)</f>
        <v>0</v>
      </c>
      <c r="H922" s="553">
        <f>-'Foglio deposito bis'!$F$61*(C922-sezione!$AO$30)*IF(ABS(N922)&lt;'Progetto del paramento slu'!$G$58,ABS(N922)*'Progetto del paramento slu'!$G$54,'Progetto del paramento slu'!$G$53)</f>
        <v>63043675.412288792</v>
      </c>
      <c r="I922" s="479">
        <f>-'Foglio deposito bis'!$F$62*(C922-sezione!$AP$30)*IF(ABS(O922)&lt;'Progetto del paramento slu'!$G$58,ABS(O922)*'Progetto del paramento slu'!$G$54,'Progetto del paramento slu'!$G$53)</f>
        <v>57167247.443130948</v>
      </c>
      <c r="J922" s="479">
        <f t="shared" si="67"/>
        <v>80687193.735586688</v>
      </c>
      <c r="K922" s="558">
        <f>'Progetto del paramento slu'!$G$60*(sezione!$AL$30-C922)/C922</f>
        <v>-1.713143833466923E-3</v>
      </c>
      <c r="L922" s="558">
        <f>'Progetto del paramento slu'!$G$60*(sezione!$AM$30-C922)/C922</f>
        <v>3.2007106244990391E-3</v>
      </c>
      <c r="M922" s="559">
        <f>'Progetto del paramento slu'!$G$60*(sezione!$AN$30-C922)/C922</f>
        <v>8.1145650824650008E-3</v>
      </c>
      <c r="N922" s="559">
        <f>'Progetto del paramento slu'!$G$60*(sezione!$AO$30-C922)/C922</f>
        <v>1.1688277415531157E-2</v>
      </c>
      <c r="O922" s="559">
        <f>'Progetto del paramento slu'!$G$60*(sezione!$AP$30-C922)/C922</f>
        <v>8.1146982376120221E-3</v>
      </c>
      <c r="P922" s="553">
        <f>-'Progetto del paramento slu'!$G$47*'Progetto del paramento slu'!$G$41*IF(DATI!$G$218="dx",DATI!$E$61,DATI!$E$64*DATI!$E$63)*1000*C922*sezione!$AD$5</f>
        <v>-1104411.5564314891</v>
      </c>
      <c r="Q922" s="553">
        <f>'Foglio deposito bis'!$F$58*IF(ABS(K922)&lt;'Progetto del paramento slu'!$G$58,ABS(K922)*'Progetto del paramento slu'!$G$54,'Progetto del paramento slu'!$G$53)*IF(K922&lt;0,-1,1)</f>
        <v>0</v>
      </c>
      <c r="R922" s="553">
        <f>'Foglio deposito bis'!$F$59*IF(ABS(L922)&lt;'Progetto del paramento slu'!$G$58,ABS(L922)*'Progetto del paramento slu'!$G$54,'Progetto del paramento slu'!$G$53)*IF(L922&lt;0,-1,1)</f>
        <v>153664.85805602249</v>
      </c>
      <c r="S922" s="553">
        <f>'Foglio deposito bis'!$F$60*IF(ABS(M922)&lt;'Progetto del paramento slu'!$G$58,ABS(M922)*'Progetto del paramento slu'!$G$54,'Progetto del paramento slu'!$G$53)*IF(M922&lt;0,-1,1)</f>
        <v>0</v>
      </c>
      <c r="T922" s="553">
        <f>'Foglio deposito bis'!$F$61*IF(ABS(N922)&lt;'Progetto del paramento slu'!$G$58,ABS(N922)*'Progetto del paramento slu'!$G$54,'Progetto del paramento slu'!$G$53)*IF(N922&lt;0,-1,1)</f>
        <v>240946.49743184328</v>
      </c>
      <c r="U922" s="553">
        <f>'Foglio deposito bis'!$F$62*IF(ABS(O922)&lt;'Progetto del paramento slu'!$G$58,ABS(O922)*'Progetto del paramento slu'!$G$54,'Progetto del paramento slu'!$G$53)*IF(O922&lt;0,-1,1)</f>
        <v>314705.62929873407</v>
      </c>
      <c r="V922" s="479">
        <f t="shared" si="69"/>
        <v>-395094.57164488913</v>
      </c>
      <c r="W922" s="559"/>
      <c r="X922" s="559"/>
    </row>
    <row r="923" spans="1:24" x14ac:dyDescent="0.25">
      <c r="A923" s="553">
        <f t="shared" si="68"/>
        <v>406539.25098614831</v>
      </c>
      <c r="B923" s="3">
        <f t="shared" si="70"/>
        <v>19.499999999999954</v>
      </c>
      <c r="C923" s="553">
        <f>'Foglio deposito bis'!$E$156/sezione!$B$247*B923</f>
        <v>79.161814952638551</v>
      </c>
      <c r="D923" s="611">
        <f>-'Progetto del paramento slu'!$G$47*'Progetto del paramento slu'!$G$41*IF(DATI!$G$218="dx",DATI!$E$61,DATI!$E$64*DATI!$E$63)*1000*C923^2*sezione!$AD$5*(1-sezione!$AD$6)</f>
        <v>-51586591.632394232</v>
      </c>
      <c r="E923" s="553">
        <f>-'Foglio deposito bis'!$F$58*(C923-sezione!$AL$30)*IF(ABS(K923)&lt;'Progetto del paramento slu'!$G$58,ABS(K923)*'Progetto del paramento slu'!$G$54,'Progetto del paramento slu'!$G$53)</f>
        <v>0</v>
      </c>
      <c r="F923" s="553">
        <f>-'Foglio deposito bis'!$F$59*(C923-sezione!$AM$30)*IF(ABS(L923)&lt;'Progetto del paramento slu'!$G$58,ABS(L923)*'Progetto del paramento slu'!$G$54,'Progetto del paramento slu'!$G$53)</f>
        <v>10885339.650249053</v>
      </c>
      <c r="G923" s="553">
        <f>-'Foglio deposito bis'!$F$60*(C923-sezione!$AN$30)*IF(ABS(M923)&lt;'Progetto del paramento slu'!$G$58,ABS(M923)*'Progetto del paramento slu'!$G$54,'Progetto del paramento slu'!$G$53)</f>
        <v>0</v>
      </c>
      <c r="H923" s="553">
        <f>-'Foglio deposito bis'!$F$61*(C923-sezione!$AO$30)*IF(ABS(N923)&lt;'Progetto del paramento slu'!$G$58,ABS(N923)*'Progetto del paramento slu'!$G$54,'Progetto del paramento slu'!$G$53)</f>
        <v>62848047.083640732</v>
      </c>
      <c r="I923" s="479">
        <f>-'Foglio deposito bis'!$F$62*(C923-sezione!$AP$30)*IF(ABS(O923)&lt;'Progetto del paramento slu'!$G$58,ABS(O923)*'Progetto del paramento slu'!$G$54,'Progetto del paramento slu'!$G$53)</f>
        <v>56911732.891427346</v>
      </c>
      <c r="J923" s="479">
        <f t="shared" si="67"/>
        <v>79058527.992922902</v>
      </c>
      <c r="K923" s="558">
        <f>'Progetto del paramento slu'!$G$60*(sezione!$AL$30-C923)/C923</f>
        <v>-1.7314705633800825E-3</v>
      </c>
      <c r="L923" s="558">
        <f>'Progetto del paramento slu'!$G$60*(sezione!$AM$30-C923)/C923</f>
        <v>3.13198538732469E-3</v>
      </c>
      <c r="M923" s="559">
        <f>'Progetto del paramento slu'!$G$60*(sezione!$AN$30-C923)/C923</f>
        <v>7.995441338029461E-3</v>
      </c>
      <c r="N923" s="559">
        <f>'Progetto del paramento slu'!$G$60*(sezione!$AO$30-C923)/C923</f>
        <v>1.1532500211269297E-2</v>
      </c>
      <c r="O923" s="559">
        <f>'Progetto del paramento slu'!$G$60*(sezione!$AP$30-C923)/C923</f>
        <v>7.9955731274826691E-3</v>
      </c>
      <c r="P923" s="553">
        <f>-'Progetto del paramento slu'!$G$47*'Progetto del paramento slu'!$G$41*IF(DATI!$G$218="dx",DATI!$E$61,DATI!$E$64*DATI!$E$63)*1000*C923*sezione!$AD$5</f>
        <v>-1115856.2357727482</v>
      </c>
      <c r="Q923" s="553">
        <f>'Foglio deposito bis'!$F$58*IF(ABS(K923)&lt;'Progetto del paramento slu'!$G$58,ABS(K923)*'Progetto del paramento slu'!$G$54,'Progetto del paramento slu'!$G$53)*IF(K923&lt;0,-1,1)</f>
        <v>0</v>
      </c>
      <c r="R923" s="553">
        <f>'Foglio deposito bis'!$F$59*IF(ABS(L923)&lt;'Progetto del paramento slu'!$G$58,ABS(L923)*'Progetto del paramento slu'!$G$54,'Progetto del paramento slu'!$G$53)*IF(L923&lt;0,-1,1)</f>
        <v>153664.85805602249</v>
      </c>
      <c r="S923" s="553">
        <f>'Foglio deposito bis'!$F$60*IF(ABS(M923)&lt;'Progetto del paramento slu'!$G$58,ABS(M923)*'Progetto del paramento slu'!$G$54,'Progetto del paramento slu'!$G$53)*IF(M923&lt;0,-1,1)</f>
        <v>0</v>
      </c>
      <c r="T923" s="553">
        <f>'Foglio deposito bis'!$F$61*IF(ABS(N923)&lt;'Progetto del paramento slu'!$G$58,ABS(N923)*'Progetto del paramento slu'!$G$54,'Progetto del paramento slu'!$G$53)*IF(N923&lt;0,-1,1)</f>
        <v>240946.49743184328</v>
      </c>
      <c r="U923" s="553">
        <f>'Foglio deposito bis'!$F$62*IF(ABS(O923)&lt;'Progetto del paramento slu'!$G$58,ABS(O923)*'Progetto del paramento slu'!$G$54,'Progetto del paramento slu'!$G$53)*IF(O923&lt;0,-1,1)</f>
        <v>314705.62929873407</v>
      </c>
      <c r="V923" s="479">
        <f t="shared" si="69"/>
        <v>-406539.25098614831</v>
      </c>
      <c r="W923" s="559"/>
      <c r="X923" s="559"/>
    </row>
    <row r="924" spans="1:24" x14ac:dyDescent="0.25">
      <c r="A924" s="553">
        <f t="shared" si="68"/>
        <v>417983.93032740703</v>
      </c>
      <c r="B924" s="3">
        <f t="shared" si="70"/>
        <v>19.699999999999953</v>
      </c>
      <c r="C924" s="553">
        <f>'Foglio deposito bis'!$E$156/sezione!$B$247*B924</f>
        <v>79.973731003434835</v>
      </c>
      <c r="D924" s="611">
        <f>-'Progetto del paramento slu'!$G$47*'Progetto del paramento slu'!$G$41*IF(DATI!$G$218="dx",DATI!$E$61,DATI!$E$64*DATI!$E$63)*1000*C924^2*sezione!$AD$5*(1-sezione!$AD$6)</f>
        <v>-52650204.724828064</v>
      </c>
      <c r="E924" s="553">
        <f>-'Foglio deposito bis'!$F$58*(C924-sezione!$AL$30)*IF(ABS(K924)&lt;'Progetto del paramento slu'!$G$58,ABS(K924)*'Progetto del paramento slu'!$G$54,'Progetto del paramento slu'!$G$53)</f>
        <v>0</v>
      </c>
      <c r="F924" s="553">
        <f>-'Foglio deposito bis'!$F$59*(C924-sezione!$AM$30)*IF(ABS(L924)&lt;'Progetto del paramento slu'!$G$58,ABS(L924)*'Progetto del paramento slu'!$G$54,'Progetto del paramento slu'!$G$53)</f>
        <v>10760576.685550036</v>
      </c>
      <c r="G924" s="553">
        <f>-'Foglio deposito bis'!$F$60*(C924-sezione!$AN$30)*IF(ABS(M924)&lt;'Progetto del paramento slu'!$G$58,ABS(M924)*'Progetto del paramento slu'!$G$54,'Progetto del paramento slu'!$G$53)</f>
        <v>0</v>
      </c>
      <c r="H924" s="553">
        <f>-'Foglio deposito bis'!$F$61*(C924-sezione!$AO$30)*IF(ABS(N924)&lt;'Progetto del paramento slu'!$G$58,ABS(N924)*'Progetto del paramento slu'!$G$54,'Progetto del paramento slu'!$G$53)</f>
        <v>62652418.754992671</v>
      </c>
      <c r="I924" s="479">
        <f>-'Foglio deposito bis'!$F$62*(C924-sezione!$AP$30)*IF(ABS(O924)&lt;'Progetto del paramento slu'!$G$58,ABS(O924)*'Progetto del paramento slu'!$G$54,'Progetto del paramento slu'!$G$53)</f>
        <v>56656218.339723766</v>
      </c>
      <c r="J924" s="479">
        <f t="shared" si="67"/>
        <v>77419009.055438399</v>
      </c>
      <c r="K924" s="558">
        <f>'Progetto del paramento slu'!$G$60*(sezione!$AL$30-C924)/C924</f>
        <v>-1.7494251769498278E-3</v>
      </c>
      <c r="L924" s="558">
        <f>'Progetto del paramento slu'!$G$60*(sezione!$AM$30-C924)/C924</f>
        <v>3.0646555864381453E-3</v>
      </c>
      <c r="M924" s="559">
        <f>'Progetto del paramento slu'!$G$60*(sezione!$AN$30-C924)/C924</f>
        <v>7.8787363498261185E-3</v>
      </c>
      <c r="N924" s="559">
        <f>'Progetto del paramento slu'!$G$60*(sezione!$AO$30-C924)/C924</f>
        <v>1.1379885995926462E-2</v>
      </c>
      <c r="O924" s="559">
        <f>'Progetto del paramento slu'!$G$60*(sezione!$AP$30-C924)/C924</f>
        <v>7.8788668013153335E-3</v>
      </c>
      <c r="P924" s="553">
        <f>-'Progetto del paramento slu'!$G$47*'Progetto del paramento slu'!$G$41*IF(DATI!$G$218="dx",DATI!$E$61,DATI!$E$64*DATI!$E$63)*1000*C924*sezione!$AD$5</f>
        <v>-1127300.915114007</v>
      </c>
      <c r="Q924" s="553">
        <f>'Foglio deposito bis'!$F$58*IF(ABS(K924)&lt;'Progetto del paramento slu'!$G$58,ABS(K924)*'Progetto del paramento slu'!$G$54,'Progetto del paramento slu'!$G$53)*IF(K924&lt;0,-1,1)</f>
        <v>0</v>
      </c>
      <c r="R924" s="553">
        <f>'Foglio deposito bis'!$F$59*IF(ABS(L924)&lt;'Progetto del paramento slu'!$G$58,ABS(L924)*'Progetto del paramento slu'!$G$54,'Progetto del paramento slu'!$G$53)*IF(L924&lt;0,-1,1)</f>
        <v>153664.85805602249</v>
      </c>
      <c r="S924" s="553">
        <f>'Foglio deposito bis'!$F$60*IF(ABS(M924)&lt;'Progetto del paramento slu'!$G$58,ABS(M924)*'Progetto del paramento slu'!$G$54,'Progetto del paramento slu'!$G$53)*IF(M924&lt;0,-1,1)</f>
        <v>0</v>
      </c>
      <c r="T924" s="553">
        <f>'Foglio deposito bis'!$F$61*IF(ABS(N924)&lt;'Progetto del paramento slu'!$G$58,ABS(N924)*'Progetto del paramento slu'!$G$54,'Progetto del paramento slu'!$G$53)*IF(N924&lt;0,-1,1)</f>
        <v>240946.49743184328</v>
      </c>
      <c r="U924" s="553">
        <f>'Foglio deposito bis'!$F$62*IF(ABS(O924)&lt;'Progetto del paramento slu'!$G$58,ABS(O924)*'Progetto del paramento slu'!$G$54,'Progetto del paramento slu'!$G$53)*IF(O924&lt;0,-1,1)</f>
        <v>314705.62929873407</v>
      </c>
      <c r="V924" s="479">
        <f t="shared" si="69"/>
        <v>-417983.93032740703</v>
      </c>
      <c r="W924" s="559"/>
      <c r="X924" s="559"/>
    </row>
    <row r="925" spans="1:24" x14ac:dyDescent="0.25">
      <c r="A925" s="553">
        <f t="shared" si="68"/>
        <v>429428.60966866621</v>
      </c>
      <c r="B925" s="3">
        <f t="shared" si="70"/>
        <v>19.899999999999952</v>
      </c>
      <c r="C925" s="553">
        <f>'Foglio deposito bis'!$E$156/sezione!$B$247*B925</f>
        <v>80.785647054231134</v>
      </c>
      <c r="D925" s="611">
        <f>-'Progetto del paramento slu'!$G$47*'Progetto del paramento slu'!$G$41*IF(DATI!$G$218="dx",DATI!$E$61,DATI!$E$64*DATI!$E$63)*1000*C925^2*sezione!$AD$5*(1-sezione!$AD$6)</f>
        <v>-53724671.012082681</v>
      </c>
      <c r="E925" s="553">
        <f>-'Foglio deposito bis'!$F$58*(C925-sezione!$AL$30)*IF(ABS(K925)&lt;'Progetto del paramento slu'!$G$58,ABS(K925)*'Progetto del paramento slu'!$G$54,'Progetto del paramento slu'!$G$53)</f>
        <v>0</v>
      </c>
      <c r="F925" s="553">
        <f>-'Foglio deposito bis'!$F$59*(C925-sezione!$AM$30)*IF(ABS(L925)&lt;'Progetto del paramento slu'!$G$58,ABS(L925)*'Progetto del paramento slu'!$G$54,'Progetto del paramento slu'!$G$53)</f>
        <v>10635813.720851015</v>
      </c>
      <c r="G925" s="553">
        <f>-'Foglio deposito bis'!$F$60*(C925-sezione!$AN$30)*IF(ABS(M925)&lt;'Progetto del paramento slu'!$G$58,ABS(M925)*'Progetto del paramento slu'!$G$54,'Progetto del paramento slu'!$G$53)</f>
        <v>0</v>
      </c>
      <c r="H925" s="553">
        <f>-'Foglio deposito bis'!$F$61*(C925-sezione!$AO$30)*IF(ABS(N925)&lt;'Progetto del paramento slu'!$G$58,ABS(N925)*'Progetto del paramento slu'!$G$54,'Progetto del paramento slu'!$G$53)</f>
        <v>62456790.426344611</v>
      </c>
      <c r="I925" s="479">
        <f>-'Foglio deposito bis'!$F$62*(C925-sezione!$AP$30)*IF(ABS(O925)&lt;'Progetto del paramento slu'!$G$58,ABS(O925)*'Progetto del paramento slu'!$G$54,'Progetto del paramento slu'!$G$53)</f>
        <v>56400703.788020179</v>
      </c>
      <c r="J925" s="479">
        <f t="shared" si="67"/>
        <v>75768636.923133135</v>
      </c>
      <c r="K925" s="558">
        <f>'Progetto del paramento slu'!$G$60*(sezione!$AL$30-C925)/C925</f>
        <v>-1.7670188937644025E-3</v>
      </c>
      <c r="L925" s="558">
        <f>'Progetto del paramento slu'!$G$60*(sezione!$AM$30-C925)/C925</f>
        <v>2.9986791483834906E-3</v>
      </c>
      <c r="M925" s="559">
        <f>'Progetto del paramento slu'!$G$60*(sezione!$AN$30-C925)/C925</f>
        <v>7.7643771905313835E-3</v>
      </c>
      <c r="N925" s="559">
        <f>'Progetto del paramento slu'!$G$60*(sezione!$AO$30-C925)/C925</f>
        <v>1.1230339403002578E-2</v>
      </c>
      <c r="O925" s="559">
        <f>'Progetto del paramento slu'!$G$60*(sezione!$AP$30-C925)/C925</f>
        <v>7.7645063309503539E-3</v>
      </c>
      <c r="P925" s="553">
        <f>-'Progetto del paramento slu'!$G$47*'Progetto del paramento slu'!$G$41*IF(DATI!$G$218="dx",DATI!$E$61,DATI!$E$64*DATI!$E$63)*1000*C925*sezione!$AD$5</f>
        <v>-1138745.5944552661</v>
      </c>
      <c r="Q925" s="553">
        <f>'Foglio deposito bis'!$F$58*IF(ABS(K925)&lt;'Progetto del paramento slu'!$G$58,ABS(K925)*'Progetto del paramento slu'!$G$54,'Progetto del paramento slu'!$G$53)*IF(K925&lt;0,-1,1)</f>
        <v>0</v>
      </c>
      <c r="R925" s="553">
        <f>'Foglio deposito bis'!$F$59*IF(ABS(L925)&lt;'Progetto del paramento slu'!$G$58,ABS(L925)*'Progetto del paramento slu'!$G$54,'Progetto del paramento slu'!$G$53)*IF(L925&lt;0,-1,1)</f>
        <v>153664.85805602249</v>
      </c>
      <c r="S925" s="553">
        <f>'Foglio deposito bis'!$F$60*IF(ABS(M925)&lt;'Progetto del paramento slu'!$G$58,ABS(M925)*'Progetto del paramento slu'!$G$54,'Progetto del paramento slu'!$G$53)*IF(M925&lt;0,-1,1)</f>
        <v>0</v>
      </c>
      <c r="T925" s="553">
        <f>'Foglio deposito bis'!$F$61*IF(ABS(N925)&lt;'Progetto del paramento slu'!$G$58,ABS(N925)*'Progetto del paramento slu'!$G$54,'Progetto del paramento slu'!$G$53)*IF(N925&lt;0,-1,1)</f>
        <v>240946.49743184328</v>
      </c>
      <c r="U925" s="553">
        <f>'Foglio deposito bis'!$F$62*IF(ABS(O925)&lt;'Progetto del paramento slu'!$G$58,ABS(O925)*'Progetto del paramento slu'!$G$54,'Progetto del paramento slu'!$G$53)*IF(O925&lt;0,-1,1)</f>
        <v>314705.62929873407</v>
      </c>
      <c r="V925" s="479">
        <f t="shared" si="69"/>
        <v>-429428.60966866621</v>
      </c>
      <c r="W925" s="559"/>
      <c r="X925" s="559"/>
    </row>
    <row r="926" spans="1:24" x14ac:dyDescent="0.25">
      <c r="A926" s="553">
        <f t="shared" si="68"/>
        <v>440873.28900992492</v>
      </c>
      <c r="B926" s="3">
        <f t="shared" si="70"/>
        <v>20.099999999999952</v>
      </c>
      <c r="C926" s="553">
        <f>'Foglio deposito bis'!$E$156/sezione!$B$247*B926</f>
        <v>81.597563105027419</v>
      </c>
      <c r="D926" s="611">
        <f>-'Progetto del paramento slu'!$G$47*'Progetto del paramento slu'!$G$41*IF(DATI!$G$218="dx",DATI!$E$61,DATI!$E$64*DATI!$E$63)*1000*C926^2*sezione!$AD$5*(1-sezione!$AD$6)</f>
        <v>-54809990.494158015</v>
      </c>
      <c r="E926" s="553">
        <f>-'Foglio deposito bis'!$F$58*(C926-sezione!$AL$30)*IF(ABS(K926)&lt;'Progetto del paramento slu'!$G$58,ABS(K926)*'Progetto del paramento slu'!$G$54,'Progetto del paramento slu'!$G$53)</f>
        <v>0</v>
      </c>
      <c r="F926" s="553">
        <f>-'Foglio deposito bis'!$F$59*(C926-sezione!$AM$30)*IF(ABS(L926)&lt;'Progetto del paramento slu'!$G$58,ABS(L926)*'Progetto del paramento slu'!$G$54,'Progetto del paramento slu'!$G$53)</f>
        <v>10511050.756151998</v>
      </c>
      <c r="G926" s="553">
        <f>-'Foglio deposito bis'!$F$60*(C926-sezione!$AN$30)*IF(ABS(M926)&lt;'Progetto del paramento slu'!$G$58,ABS(M926)*'Progetto del paramento slu'!$G$54,'Progetto del paramento slu'!$G$53)</f>
        <v>0</v>
      </c>
      <c r="H926" s="553">
        <f>-'Foglio deposito bis'!$F$61*(C926-sezione!$AO$30)*IF(ABS(N926)&lt;'Progetto del paramento slu'!$G$58,ABS(N926)*'Progetto del paramento slu'!$G$54,'Progetto del paramento slu'!$G$53)</f>
        <v>62261162.097696558</v>
      </c>
      <c r="I926" s="479">
        <f>-'Foglio deposito bis'!$F$62*(C926-sezione!$AP$30)*IF(ABS(O926)&lt;'Progetto del paramento slu'!$G$58,ABS(O926)*'Progetto del paramento slu'!$G$54,'Progetto del paramento slu'!$G$53)</f>
        <v>56145189.236316592</v>
      </c>
      <c r="J926" s="479">
        <f t="shared" si="67"/>
        <v>74107411.596007138</v>
      </c>
      <c r="K926" s="558">
        <f>'Progetto del paramento slu'!$G$60*(sezione!$AL$30-C926)/C926</f>
        <v>-1.7842624868612742E-3</v>
      </c>
      <c r="L926" s="558">
        <f>'Progetto del paramento slu'!$G$60*(sezione!$AM$30-C926)/C926</f>
        <v>2.9340156742702224E-3</v>
      </c>
      <c r="M926" s="559">
        <f>'Progetto del paramento slu'!$G$60*(sezione!$AN$30-C926)/C926</f>
        <v>7.6522938354017193E-3</v>
      </c>
      <c r="N926" s="559">
        <f>'Progetto del paramento slu'!$G$60*(sezione!$AO$30-C926)/C926</f>
        <v>1.1083768861679172E-2</v>
      </c>
      <c r="O926" s="559">
        <f>'Progetto del paramento slu'!$G$60*(sezione!$AP$30-C926)/C926</f>
        <v>7.6524216908413975E-3</v>
      </c>
      <c r="P926" s="553">
        <f>-'Progetto del paramento slu'!$G$47*'Progetto del paramento slu'!$G$41*IF(DATI!$G$218="dx",DATI!$E$61,DATI!$E$64*DATI!$E$63)*1000*C926*sezione!$AD$5</f>
        <v>-1150190.2737965249</v>
      </c>
      <c r="Q926" s="553">
        <f>'Foglio deposito bis'!$F$58*IF(ABS(K926)&lt;'Progetto del paramento slu'!$G$58,ABS(K926)*'Progetto del paramento slu'!$G$54,'Progetto del paramento slu'!$G$53)*IF(K926&lt;0,-1,1)</f>
        <v>0</v>
      </c>
      <c r="R926" s="553">
        <f>'Foglio deposito bis'!$F$59*IF(ABS(L926)&lt;'Progetto del paramento slu'!$G$58,ABS(L926)*'Progetto del paramento slu'!$G$54,'Progetto del paramento slu'!$G$53)*IF(L926&lt;0,-1,1)</f>
        <v>153664.85805602249</v>
      </c>
      <c r="S926" s="553">
        <f>'Foglio deposito bis'!$F$60*IF(ABS(M926)&lt;'Progetto del paramento slu'!$G$58,ABS(M926)*'Progetto del paramento slu'!$G$54,'Progetto del paramento slu'!$G$53)*IF(M926&lt;0,-1,1)</f>
        <v>0</v>
      </c>
      <c r="T926" s="553">
        <f>'Foglio deposito bis'!$F$61*IF(ABS(N926)&lt;'Progetto del paramento slu'!$G$58,ABS(N926)*'Progetto del paramento slu'!$G$54,'Progetto del paramento slu'!$G$53)*IF(N926&lt;0,-1,1)</f>
        <v>240946.49743184328</v>
      </c>
      <c r="U926" s="553">
        <f>'Foglio deposito bis'!$F$62*IF(ABS(O926)&lt;'Progetto del paramento slu'!$G$58,ABS(O926)*'Progetto del paramento slu'!$G$54,'Progetto del paramento slu'!$G$53)*IF(O926&lt;0,-1,1)</f>
        <v>314705.62929873407</v>
      </c>
      <c r="V926" s="479">
        <f t="shared" si="69"/>
        <v>-440873.28900992492</v>
      </c>
      <c r="W926" s="559"/>
      <c r="X926" s="559"/>
    </row>
    <row r="927" spans="1:24" x14ac:dyDescent="0.25">
      <c r="A927" s="553">
        <f t="shared" si="68"/>
        <v>452317.96835118387</v>
      </c>
      <c r="B927" s="3">
        <f t="shared" si="70"/>
        <v>20.299999999999951</v>
      </c>
      <c r="C927" s="553">
        <f>'Foglio deposito bis'!$E$156/sezione!$B$247*B927</f>
        <v>82.409479155823718</v>
      </c>
      <c r="D927" s="611">
        <f>-'Progetto del paramento slu'!$G$47*'Progetto del paramento slu'!$G$41*IF(DATI!$G$218="dx",DATI!$E$61,DATI!$E$64*DATI!$E$63)*1000*C927^2*sezione!$AD$5*(1-sezione!$AD$6)</f>
        <v>-55906163.171054132</v>
      </c>
      <c r="E927" s="553">
        <f>-'Foglio deposito bis'!$F$58*(C927-sezione!$AL$30)*IF(ABS(K927)&lt;'Progetto del paramento slu'!$G$58,ABS(K927)*'Progetto del paramento slu'!$G$54,'Progetto del paramento slu'!$G$53)</f>
        <v>0</v>
      </c>
      <c r="F927" s="553">
        <f>-'Foglio deposito bis'!$F$59*(C927-sezione!$AM$30)*IF(ABS(L927)&lt;'Progetto del paramento slu'!$G$58,ABS(L927)*'Progetto del paramento slu'!$G$54,'Progetto del paramento slu'!$G$53)</f>
        <v>10386287.791452978</v>
      </c>
      <c r="G927" s="553">
        <f>-'Foglio deposito bis'!$F$60*(C927-sezione!$AN$30)*IF(ABS(M927)&lt;'Progetto del paramento slu'!$G$58,ABS(M927)*'Progetto del paramento slu'!$G$54,'Progetto del paramento slu'!$G$53)</f>
        <v>0</v>
      </c>
      <c r="H927" s="553">
        <f>-'Foglio deposito bis'!$F$61*(C927-sezione!$AO$30)*IF(ABS(N927)&lt;'Progetto del paramento slu'!$G$58,ABS(N927)*'Progetto del paramento slu'!$G$54,'Progetto del paramento slu'!$G$53)</f>
        <v>62065533.769048497</v>
      </c>
      <c r="I927" s="479">
        <f>-'Foglio deposito bis'!$F$62*(C927-sezione!$AP$30)*IF(ABS(O927)&lt;'Progetto del paramento slu'!$G$58,ABS(O927)*'Progetto del paramento slu'!$G$54,'Progetto del paramento slu'!$G$53)</f>
        <v>55889674.684612997</v>
      </c>
      <c r="J927" s="479">
        <f t="shared" si="67"/>
        <v>72435333.074060351</v>
      </c>
      <c r="K927" s="558">
        <f>'Progetto del paramento slu'!$G$60*(sezione!$AL$30-C927)/C927</f>
        <v>-1.8011663047247098E-3</v>
      </c>
      <c r="L927" s="558">
        <f>'Progetto del paramento slu'!$G$60*(sezione!$AM$30-C927)/C927</f>
        <v>2.8706263572823381E-3</v>
      </c>
      <c r="M927" s="559">
        <f>'Progetto del paramento slu'!$G$60*(sezione!$AN$30-C927)/C927</f>
        <v>7.5424190192893868E-3</v>
      </c>
      <c r="N927" s="559">
        <f>'Progetto del paramento slu'!$G$60*(sezione!$AO$30-C927)/C927</f>
        <v>1.0940086409839967E-2</v>
      </c>
      <c r="O927" s="559">
        <f>'Progetto del paramento slu'!$G$60*(sezione!$AP$30-C927)/C927</f>
        <v>7.5425456150695607E-3</v>
      </c>
      <c r="P927" s="553">
        <f>-'Progetto del paramento slu'!$G$47*'Progetto del paramento slu'!$G$41*IF(DATI!$G$218="dx",DATI!$E$61,DATI!$E$64*DATI!$E$63)*1000*C927*sezione!$AD$5</f>
        <v>-1161634.9531377838</v>
      </c>
      <c r="Q927" s="553">
        <f>'Foglio deposito bis'!$F$58*IF(ABS(K927)&lt;'Progetto del paramento slu'!$G$58,ABS(K927)*'Progetto del paramento slu'!$G$54,'Progetto del paramento slu'!$G$53)*IF(K927&lt;0,-1,1)</f>
        <v>0</v>
      </c>
      <c r="R927" s="553">
        <f>'Foglio deposito bis'!$F$59*IF(ABS(L927)&lt;'Progetto del paramento slu'!$G$58,ABS(L927)*'Progetto del paramento slu'!$G$54,'Progetto del paramento slu'!$G$53)*IF(L927&lt;0,-1,1)</f>
        <v>153664.85805602249</v>
      </c>
      <c r="S927" s="553">
        <f>'Foglio deposito bis'!$F$60*IF(ABS(M927)&lt;'Progetto del paramento slu'!$G$58,ABS(M927)*'Progetto del paramento slu'!$G$54,'Progetto del paramento slu'!$G$53)*IF(M927&lt;0,-1,1)</f>
        <v>0</v>
      </c>
      <c r="T927" s="553">
        <f>'Foglio deposito bis'!$F$61*IF(ABS(N927)&lt;'Progetto del paramento slu'!$G$58,ABS(N927)*'Progetto del paramento slu'!$G$54,'Progetto del paramento slu'!$G$53)*IF(N927&lt;0,-1,1)</f>
        <v>240946.49743184328</v>
      </c>
      <c r="U927" s="553">
        <f>'Foglio deposito bis'!$F$62*IF(ABS(O927)&lt;'Progetto del paramento slu'!$G$58,ABS(O927)*'Progetto del paramento slu'!$G$54,'Progetto del paramento slu'!$G$53)*IF(O927&lt;0,-1,1)</f>
        <v>314705.62929873407</v>
      </c>
      <c r="V927" s="479">
        <f t="shared" si="69"/>
        <v>-452317.96835118387</v>
      </c>
      <c r="W927" s="559"/>
      <c r="X927" s="559"/>
    </row>
    <row r="928" spans="1:24" x14ac:dyDescent="0.25">
      <c r="A928" s="553">
        <f t="shared" si="68"/>
        <v>463762.64769244281</v>
      </c>
      <c r="B928" s="3">
        <f t="shared" si="70"/>
        <v>20.49999999999995</v>
      </c>
      <c r="C928" s="553">
        <f>'Foglio deposito bis'!$E$156/sezione!$B$247*B928</f>
        <v>83.221395206620002</v>
      </c>
      <c r="D928" s="611">
        <f>-'Progetto del paramento slu'!$G$47*'Progetto del paramento slu'!$G$41*IF(DATI!$G$218="dx",DATI!$E$61,DATI!$E$64*DATI!$E$63)*1000*C928^2*sezione!$AD$5*(1-sezione!$AD$6)</f>
        <v>-57013189.042770989</v>
      </c>
      <c r="E928" s="553">
        <f>-'Foglio deposito bis'!$F$58*(C928-sezione!$AL$30)*IF(ABS(K928)&lt;'Progetto del paramento slu'!$G$58,ABS(K928)*'Progetto del paramento slu'!$G$54,'Progetto del paramento slu'!$G$53)</f>
        <v>0</v>
      </c>
      <c r="F928" s="553">
        <f>-'Foglio deposito bis'!$F$59*(C928-sezione!$AM$30)*IF(ABS(L928)&lt;'Progetto del paramento slu'!$G$58,ABS(L928)*'Progetto del paramento slu'!$G$54,'Progetto del paramento slu'!$G$53)</f>
        <v>10261524.826753961</v>
      </c>
      <c r="G928" s="553">
        <f>-'Foglio deposito bis'!$F$60*(C928-sezione!$AN$30)*IF(ABS(M928)&lt;'Progetto del paramento slu'!$G$58,ABS(M928)*'Progetto del paramento slu'!$G$54,'Progetto del paramento slu'!$G$53)</f>
        <v>0</v>
      </c>
      <c r="H928" s="553">
        <f>-'Foglio deposito bis'!$F$61*(C928-sezione!$AO$30)*IF(ABS(N928)&lt;'Progetto del paramento slu'!$G$58,ABS(N928)*'Progetto del paramento slu'!$G$54,'Progetto del paramento slu'!$G$53)</f>
        <v>61869905.440400437</v>
      </c>
      <c r="I928" s="479">
        <f>-'Foglio deposito bis'!$F$62*(C928-sezione!$AP$30)*IF(ABS(O928)&lt;'Progetto del paramento slu'!$G$58,ABS(O928)*'Progetto del paramento slu'!$G$54,'Progetto del paramento slu'!$G$53)</f>
        <v>55634160.13290941</v>
      </c>
      <c r="J928" s="479">
        <f t="shared" si="67"/>
        <v>70752401.357292816</v>
      </c>
      <c r="K928" s="558">
        <f>'Progetto del paramento slu'!$G$60*(sezione!$AL$30-C928)/C928</f>
        <v>-1.8177402919956882E-3</v>
      </c>
      <c r="L928" s="558">
        <f>'Progetto del paramento slu'!$G$60*(sezione!$AM$30-C928)/C928</f>
        <v>2.8084739050161693E-3</v>
      </c>
      <c r="M928" s="559">
        <f>'Progetto del paramento slu'!$G$60*(sezione!$AN$30-C928)/C928</f>
        <v>7.4346881020280267E-3</v>
      </c>
      <c r="N928" s="559">
        <f>'Progetto del paramento slu'!$G$60*(sezione!$AO$30-C928)/C928</f>
        <v>1.079920751803665E-2</v>
      </c>
      <c r="O928" s="559">
        <f>'Progetto del paramento slu'!$G$60*(sezione!$AP$30-C928)/C928</f>
        <v>7.4348134627274182E-3</v>
      </c>
      <c r="P928" s="553">
        <f>-'Progetto del paramento slu'!$G$47*'Progetto del paramento slu'!$G$41*IF(DATI!$G$218="dx",DATI!$E$61,DATI!$E$64*DATI!$E$63)*1000*C928*sezione!$AD$5</f>
        <v>-1173079.6324790427</v>
      </c>
      <c r="Q928" s="553">
        <f>'Foglio deposito bis'!$F$58*IF(ABS(K928)&lt;'Progetto del paramento slu'!$G$58,ABS(K928)*'Progetto del paramento slu'!$G$54,'Progetto del paramento slu'!$G$53)*IF(K928&lt;0,-1,1)</f>
        <v>0</v>
      </c>
      <c r="R928" s="553">
        <f>'Foglio deposito bis'!$F$59*IF(ABS(L928)&lt;'Progetto del paramento slu'!$G$58,ABS(L928)*'Progetto del paramento slu'!$G$54,'Progetto del paramento slu'!$G$53)*IF(L928&lt;0,-1,1)</f>
        <v>153664.85805602249</v>
      </c>
      <c r="S928" s="553">
        <f>'Foglio deposito bis'!$F$60*IF(ABS(M928)&lt;'Progetto del paramento slu'!$G$58,ABS(M928)*'Progetto del paramento slu'!$G$54,'Progetto del paramento slu'!$G$53)*IF(M928&lt;0,-1,1)</f>
        <v>0</v>
      </c>
      <c r="T928" s="553">
        <f>'Foglio deposito bis'!$F$61*IF(ABS(N928)&lt;'Progetto del paramento slu'!$G$58,ABS(N928)*'Progetto del paramento slu'!$G$54,'Progetto del paramento slu'!$G$53)*IF(N928&lt;0,-1,1)</f>
        <v>240946.49743184328</v>
      </c>
      <c r="U928" s="553">
        <f>'Foglio deposito bis'!$F$62*IF(ABS(O928)&lt;'Progetto del paramento slu'!$G$58,ABS(O928)*'Progetto del paramento slu'!$G$54,'Progetto del paramento slu'!$G$53)*IF(O928&lt;0,-1,1)</f>
        <v>314705.62929873407</v>
      </c>
      <c r="V928" s="479">
        <f t="shared" si="69"/>
        <v>-463762.64769244281</v>
      </c>
      <c r="W928" s="559"/>
      <c r="X928" s="559"/>
    </row>
    <row r="929" spans="1:24" x14ac:dyDescent="0.25">
      <c r="A929" s="553">
        <f t="shared" si="68"/>
        <v>475207.32703370176</v>
      </c>
      <c r="B929" s="3">
        <f t="shared" si="70"/>
        <v>20.69999999999995</v>
      </c>
      <c r="C929" s="553">
        <f>'Foglio deposito bis'!$E$156/sezione!$B$247*B929</f>
        <v>84.033311257416301</v>
      </c>
      <c r="D929" s="611">
        <f>-'Progetto del paramento slu'!$G$47*'Progetto del paramento slu'!$G$41*IF(DATI!$G$218="dx",DATI!$E$61,DATI!$E$64*DATI!$E$63)*1000*C929^2*sezione!$AD$5*(1-sezione!$AD$6)</f>
        <v>-58131068.109308608</v>
      </c>
      <c r="E929" s="553">
        <f>-'Foglio deposito bis'!$F$58*(C929-sezione!$AL$30)*IF(ABS(K929)&lt;'Progetto del paramento slu'!$G$58,ABS(K929)*'Progetto del paramento slu'!$G$54,'Progetto del paramento slu'!$G$53)</f>
        <v>0</v>
      </c>
      <c r="F929" s="553">
        <f>-'Foglio deposito bis'!$F$59*(C929-sezione!$AM$30)*IF(ABS(L929)&lt;'Progetto del paramento slu'!$G$58,ABS(L929)*'Progetto del paramento slu'!$G$54,'Progetto del paramento slu'!$G$53)</f>
        <v>10136761.862054942</v>
      </c>
      <c r="G929" s="553">
        <f>-'Foglio deposito bis'!$F$60*(C929-sezione!$AN$30)*IF(ABS(M929)&lt;'Progetto del paramento slu'!$G$58,ABS(M929)*'Progetto del paramento slu'!$G$54,'Progetto del paramento slu'!$G$53)</f>
        <v>0</v>
      </c>
      <c r="H929" s="553">
        <f>-'Foglio deposito bis'!$F$61*(C929-sezione!$AO$30)*IF(ABS(N929)&lt;'Progetto del paramento slu'!$G$58,ABS(N929)*'Progetto del paramento slu'!$G$54,'Progetto del paramento slu'!$G$53)</f>
        <v>61674277.111752376</v>
      </c>
      <c r="I929" s="479">
        <f>-'Foglio deposito bis'!$F$62*(C929-sezione!$AP$30)*IF(ABS(O929)&lt;'Progetto del paramento slu'!$G$58,ABS(O929)*'Progetto del paramento slu'!$G$54,'Progetto del paramento slu'!$G$53)</f>
        <v>55378645.581205815</v>
      </c>
      <c r="J929" s="479">
        <f t="shared" si="67"/>
        <v>69058616.44570452</v>
      </c>
      <c r="K929" s="558">
        <f>'Progetto del paramento slu'!$G$60*(sezione!$AL$30-C929)/C929</f>
        <v>-1.833994008981237E-3</v>
      </c>
      <c r="L929" s="558">
        <f>'Progetto del paramento slu'!$G$60*(sezione!$AM$30-C929)/C929</f>
        <v>2.7475224663203604E-3</v>
      </c>
      <c r="M929" s="559">
        <f>'Progetto del paramento slu'!$G$60*(sezione!$AN$30-C929)/C929</f>
        <v>7.3290389416219579E-3</v>
      </c>
      <c r="N929" s="559">
        <f>'Progetto del paramento slu'!$G$60*(sezione!$AO$30-C929)/C929</f>
        <v>1.0661050923659484E-2</v>
      </c>
      <c r="O929" s="559">
        <f>'Progetto del paramento slu'!$G$60*(sezione!$AP$30-C929)/C929</f>
        <v>7.329163091106863E-3</v>
      </c>
      <c r="P929" s="553">
        <f>-'Progetto del paramento slu'!$G$47*'Progetto del paramento slu'!$G$41*IF(DATI!$G$218="dx",DATI!$E$61,DATI!$E$64*DATI!$E$63)*1000*C929*sezione!$AD$5</f>
        <v>-1184524.3118203017</v>
      </c>
      <c r="Q929" s="553">
        <f>'Foglio deposito bis'!$F$58*IF(ABS(K929)&lt;'Progetto del paramento slu'!$G$58,ABS(K929)*'Progetto del paramento slu'!$G$54,'Progetto del paramento slu'!$G$53)*IF(K929&lt;0,-1,1)</f>
        <v>0</v>
      </c>
      <c r="R929" s="553">
        <f>'Foglio deposito bis'!$F$59*IF(ABS(L929)&lt;'Progetto del paramento slu'!$G$58,ABS(L929)*'Progetto del paramento slu'!$G$54,'Progetto del paramento slu'!$G$53)*IF(L929&lt;0,-1,1)</f>
        <v>153664.85805602249</v>
      </c>
      <c r="S929" s="553">
        <f>'Foglio deposito bis'!$F$60*IF(ABS(M929)&lt;'Progetto del paramento slu'!$G$58,ABS(M929)*'Progetto del paramento slu'!$G$54,'Progetto del paramento slu'!$G$53)*IF(M929&lt;0,-1,1)</f>
        <v>0</v>
      </c>
      <c r="T929" s="553">
        <f>'Foglio deposito bis'!$F$61*IF(ABS(N929)&lt;'Progetto del paramento slu'!$G$58,ABS(N929)*'Progetto del paramento slu'!$G$54,'Progetto del paramento slu'!$G$53)*IF(N929&lt;0,-1,1)</f>
        <v>240946.49743184328</v>
      </c>
      <c r="U929" s="553">
        <f>'Foglio deposito bis'!$F$62*IF(ABS(O929)&lt;'Progetto del paramento slu'!$G$58,ABS(O929)*'Progetto del paramento slu'!$G$54,'Progetto del paramento slu'!$G$53)*IF(O929&lt;0,-1,1)</f>
        <v>314705.62929873407</v>
      </c>
      <c r="V929" s="479">
        <f t="shared" si="69"/>
        <v>-475207.32703370176</v>
      </c>
      <c r="W929" s="559"/>
      <c r="X929" s="559"/>
    </row>
    <row r="930" spans="1:24" x14ac:dyDescent="0.25">
      <c r="A930" s="553">
        <f t="shared" si="68"/>
        <v>486652.00637496071</v>
      </c>
      <c r="B930" s="3">
        <f t="shared" si="70"/>
        <v>20.899999999999949</v>
      </c>
      <c r="C930" s="553">
        <f>'Foglio deposito bis'!$E$156/sezione!$B$247*B930</f>
        <v>84.845227308212586</v>
      </c>
      <c r="D930" s="611">
        <f>-'Progetto del paramento slu'!$G$47*'Progetto del paramento slu'!$G$41*IF(DATI!$G$218="dx",DATI!$E$61,DATI!$E$64*DATI!$E$63)*1000*C930^2*sezione!$AD$5*(1-sezione!$AD$6)</f>
        <v>-59259800.370666966</v>
      </c>
      <c r="E930" s="553">
        <f>-'Foglio deposito bis'!$F$58*(C930-sezione!$AL$30)*IF(ABS(K930)&lt;'Progetto del paramento slu'!$G$58,ABS(K930)*'Progetto del paramento slu'!$G$54,'Progetto del paramento slu'!$G$53)</f>
        <v>0</v>
      </c>
      <c r="F930" s="553">
        <f>-'Foglio deposito bis'!$F$59*(C930-sezione!$AM$30)*IF(ABS(L930)&lt;'Progetto del paramento slu'!$G$58,ABS(L930)*'Progetto del paramento slu'!$G$54,'Progetto del paramento slu'!$G$53)</f>
        <v>10011998.897355923</v>
      </c>
      <c r="G930" s="553">
        <f>-'Foglio deposito bis'!$F$60*(C930-sezione!$AN$30)*IF(ABS(M930)&lt;'Progetto del paramento slu'!$G$58,ABS(M930)*'Progetto del paramento slu'!$G$54,'Progetto del paramento slu'!$G$53)</f>
        <v>0</v>
      </c>
      <c r="H930" s="553">
        <f>-'Foglio deposito bis'!$F$61*(C930-sezione!$AO$30)*IF(ABS(N930)&lt;'Progetto del paramento slu'!$G$58,ABS(N930)*'Progetto del paramento slu'!$G$54,'Progetto del paramento slu'!$G$53)</f>
        <v>61478648.783104315</v>
      </c>
      <c r="I930" s="479">
        <f>-'Foglio deposito bis'!$F$62*(C930-sezione!$AP$30)*IF(ABS(O930)&lt;'Progetto del paramento slu'!$G$58,ABS(O930)*'Progetto del paramento slu'!$G$54,'Progetto del paramento slu'!$G$53)</f>
        <v>55123131.02950222</v>
      </c>
      <c r="J930" s="479">
        <f t="shared" si="67"/>
        <v>67353978.339295492</v>
      </c>
      <c r="K930" s="558">
        <f>'Progetto del paramento slu'!$G$60*(sezione!$AL$30-C930)/C930</f>
        <v>-1.8499366500436176E-3</v>
      </c>
      <c r="L930" s="558">
        <f>'Progetto del paramento slu'!$G$60*(sezione!$AM$30-C930)/C930</f>
        <v>2.6877375623364343E-3</v>
      </c>
      <c r="M930" s="559">
        <f>'Progetto del paramento slu'!$G$60*(sezione!$AN$30-C930)/C930</f>
        <v>7.2254117747164856E-3</v>
      </c>
      <c r="N930" s="559">
        <f>'Progetto del paramento slu'!$G$60*(sezione!$AO$30-C930)/C930</f>
        <v>1.0525538474629252E-2</v>
      </c>
      <c r="O930" s="559">
        <f>'Progetto del paramento slu'!$G$60*(sezione!$AP$30-C930)/C930</f>
        <v>7.2255347361680411E-3</v>
      </c>
      <c r="P930" s="553">
        <f>-'Progetto del paramento slu'!$G$47*'Progetto del paramento slu'!$G$41*IF(DATI!$G$218="dx",DATI!$E$61,DATI!$E$64*DATI!$E$63)*1000*C930*sezione!$AD$5</f>
        <v>-1195968.9911615606</v>
      </c>
      <c r="Q930" s="553">
        <f>'Foglio deposito bis'!$F$58*IF(ABS(K930)&lt;'Progetto del paramento slu'!$G$58,ABS(K930)*'Progetto del paramento slu'!$G$54,'Progetto del paramento slu'!$G$53)*IF(K930&lt;0,-1,1)</f>
        <v>0</v>
      </c>
      <c r="R930" s="553">
        <f>'Foglio deposito bis'!$F$59*IF(ABS(L930)&lt;'Progetto del paramento slu'!$G$58,ABS(L930)*'Progetto del paramento slu'!$G$54,'Progetto del paramento slu'!$G$53)*IF(L930&lt;0,-1,1)</f>
        <v>153664.85805602249</v>
      </c>
      <c r="S930" s="553">
        <f>'Foglio deposito bis'!$F$60*IF(ABS(M930)&lt;'Progetto del paramento slu'!$G$58,ABS(M930)*'Progetto del paramento slu'!$G$54,'Progetto del paramento slu'!$G$53)*IF(M930&lt;0,-1,1)</f>
        <v>0</v>
      </c>
      <c r="T930" s="553">
        <f>'Foglio deposito bis'!$F$61*IF(ABS(N930)&lt;'Progetto del paramento slu'!$G$58,ABS(N930)*'Progetto del paramento slu'!$G$54,'Progetto del paramento slu'!$G$53)*IF(N930&lt;0,-1,1)</f>
        <v>240946.49743184328</v>
      </c>
      <c r="U930" s="553">
        <f>'Foglio deposito bis'!$F$62*IF(ABS(O930)&lt;'Progetto del paramento slu'!$G$58,ABS(O930)*'Progetto del paramento slu'!$G$54,'Progetto del paramento slu'!$G$53)*IF(O930&lt;0,-1,1)</f>
        <v>314705.62929873407</v>
      </c>
      <c r="V930" s="479">
        <f t="shared" si="69"/>
        <v>-486652.00637496071</v>
      </c>
      <c r="W930" s="559"/>
      <c r="X930" s="559"/>
    </row>
    <row r="931" spans="1:24" x14ac:dyDescent="0.25">
      <c r="A931" s="553">
        <f t="shared" si="68"/>
        <v>498096.68571621965</v>
      </c>
      <c r="B931" s="3">
        <f t="shared" si="70"/>
        <v>21.099999999999948</v>
      </c>
      <c r="C931" s="553">
        <f>'Foglio deposito bis'!$E$156/sezione!$B$247*B931</f>
        <v>85.657143359008884</v>
      </c>
      <c r="D931" s="611">
        <f>-'Progetto del paramento slu'!$G$47*'Progetto del paramento slu'!$G$41*IF(DATI!$G$218="dx",DATI!$E$61,DATI!$E$64*DATI!$E$63)*1000*C931^2*sezione!$AD$5*(1-sezione!$AD$6)</f>
        <v>-60399385.8268461</v>
      </c>
      <c r="E931" s="553">
        <f>-'Foglio deposito bis'!$F$58*(C931-sezione!$AL$30)*IF(ABS(K931)&lt;'Progetto del paramento slu'!$G$58,ABS(K931)*'Progetto del paramento slu'!$G$54,'Progetto del paramento slu'!$G$53)</f>
        <v>0</v>
      </c>
      <c r="F931" s="553">
        <f>-'Foglio deposito bis'!$F$59*(C931-sezione!$AM$30)*IF(ABS(L931)&lt;'Progetto del paramento slu'!$G$58,ABS(L931)*'Progetto del paramento slu'!$G$54,'Progetto del paramento slu'!$G$53)</f>
        <v>9887235.9326569047</v>
      </c>
      <c r="G931" s="553">
        <f>-'Foglio deposito bis'!$F$60*(C931-sezione!$AN$30)*IF(ABS(M931)&lt;'Progetto del paramento slu'!$G$58,ABS(M931)*'Progetto del paramento slu'!$G$54,'Progetto del paramento slu'!$G$53)</f>
        <v>0</v>
      </c>
      <c r="H931" s="553">
        <f>-'Foglio deposito bis'!$F$61*(C931-sezione!$AO$30)*IF(ABS(N931)&lt;'Progetto del paramento slu'!$G$58,ABS(N931)*'Progetto del paramento slu'!$G$54,'Progetto del paramento slu'!$G$53)</f>
        <v>61283020.45445624</v>
      </c>
      <c r="I931" s="479">
        <f>-'Foglio deposito bis'!$F$62*(C931-sezione!$AP$30)*IF(ABS(O931)&lt;'Progetto del paramento slu'!$G$58,ABS(O931)*'Progetto del paramento slu'!$G$54,'Progetto del paramento slu'!$G$53)</f>
        <v>54867616.477798633</v>
      </c>
      <c r="J931" s="479">
        <f t="shared" si="67"/>
        <v>65638487.038065679</v>
      </c>
      <c r="K931" s="558">
        <f>'Progetto del paramento slu'!$G$60*(sezione!$AL$30-C931)/C931</f>
        <v>-1.8655770609436783E-3</v>
      </c>
      <c r="L931" s="558">
        <f>'Progetto del paramento slu'!$G$60*(sezione!$AM$30-C931)/C931</f>
        <v>2.6290860214612066E-3</v>
      </c>
      <c r="M931" s="559">
        <f>'Progetto del paramento slu'!$G$60*(sezione!$AN$30-C931)/C931</f>
        <v>7.1237491038660906E-3</v>
      </c>
      <c r="N931" s="559">
        <f>'Progetto del paramento slu'!$G$60*(sezione!$AO$30-C931)/C931</f>
        <v>1.0392594981978734E-2</v>
      </c>
      <c r="O931" s="559">
        <f>'Progetto del paramento slu'!$G$60*(sezione!$AP$30-C931)/C931</f>
        <v>7.123870899806259E-3</v>
      </c>
      <c r="P931" s="553">
        <f>-'Progetto del paramento slu'!$G$47*'Progetto del paramento slu'!$G$41*IF(DATI!$G$218="dx",DATI!$E$61,DATI!$E$64*DATI!$E$63)*1000*C931*sezione!$AD$5</f>
        <v>-1207413.6705028196</v>
      </c>
      <c r="Q931" s="553">
        <f>'Foglio deposito bis'!$F$58*IF(ABS(K931)&lt;'Progetto del paramento slu'!$G$58,ABS(K931)*'Progetto del paramento slu'!$G$54,'Progetto del paramento slu'!$G$53)*IF(K931&lt;0,-1,1)</f>
        <v>0</v>
      </c>
      <c r="R931" s="553">
        <f>'Foglio deposito bis'!$F$59*IF(ABS(L931)&lt;'Progetto del paramento slu'!$G$58,ABS(L931)*'Progetto del paramento slu'!$G$54,'Progetto del paramento slu'!$G$53)*IF(L931&lt;0,-1,1)</f>
        <v>153664.85805602249</v>
      </c>
      <c r="S931" s="553">
        <f>'Foglio deposito bis'!$F$60*IF(ABS(M931)&lt;'Progetto del paramento slu'!$G$58,ABS(M931)*'Progetto del paramento slu'!$G$54,'Progetto del paramento slu'!$G$53)*IF(M931&lt;0,-1,1)</f>
        <v>0</v>
      </c>
      <c r="T931" s="553">
        <f>'Foglio deposito bis'!$F$61*IF(ABS(N931)&lt;'Progetto del paramento slu'!$G$58,ABS(N931)*'Progetto del paramento slu'!$G$54,'Progetto del paramento slu'!$G$53)*IF(N931&lt;0,-1,1)</f>
        <v>240946.49743184328</v>
      </c>
      <c r="U931" s="553">
        <f>'Foglio deposito bis'!$F$62*IF(ABS(O931)&lt;'Progetto del paramento slu'!$G$58,ABS(O931)*'Progetto del paramento slu'!$G$54,'Progetto del paramento slu'!$G$53)*IF(O931&lt;0,-1,1)</f>
        <v>314705.62929873407</v>
      </c>
      <c r="V931" s="479">
        <f t="shared" si="69"/>
        <v>-498096.68571621965</v>
      </c>
      <c r="W931" s="559"/>
      <c r="X931" s="559"/>
    </row>
    <row r="932" spans="1:24" x14ac:dyDescent="0.25">
      <c r="A932" s="553">
        <f t="shared" si="68"/>
        <v>509541.3650574786</v>
      </c>
      <c r="B932" s="3">
        <f t="shared" si="70"/>
        <v>21.299999999999947</v>
      </c>
      <c r="C932" s="553">
        <f>'Foglio deposito bis'!$E$156/sezione!$B$247*B932</f>
        <v>86.469059409805169</v>
      </c>
      <c r="D932" s="611">
        <f>-'Progetto del paramento slu'!$G$47*'Progetto del paramento slu'!$G$41*IF(DATI!$G$218="dx",DATI!$E$61,DATI!$E$64*DATI!$E$63)*1000*C932^2*sezione!$AD$5*(1-sezione!$AD$6)</f>
        <v>-61549824.477845967</v>
      </c>
      <c r="E932" s="553">
        <f>-'Foglio deposito bis'!$F$58*(C932-sezione!$AL$30)*IF(ABS(K932)&lt;'Progetto del paramento slu'!$G$58,ABS(K932)*'Progetto del paramento slu'!$G$54,'Progetto del paramento slu'!$G$53)</f>
        <v>0</v>
      </c>
      <c r="F932" s="553">
        <f>-'Foglio deposito bis'!$F$59*(C932-sezione!$AM$30)*IF(ABS(L932)&lt;'Progetto del paramento slu'!$G$58,ABS(L932)*'Progetto del paramento slu'!$G$54,'Progetto del paramento slu'!$G$53)</f>
        <v>9762472.9679578859</v>
      </c>
      <c r="G932" s="553">
        <f>-'Foglio deposito bis'!$F$60*(C932-sezione!$AN$30)*IF(ABS(M932)&lt;'Progetto del paramento slu'!$G$58,ABS(M932)*'Progetto del paramento slu'!$G$54,'Progetto del paramento slu'!$G$53)</f>
        <v>0</v>
      </c>
      <c r="H932" s="553">
        <f>-'Foglio deposito bis'!$F$61*(C932-sezione!$AO$30)*IF(ABS(N932)&lt;'Progetto del paramento slu'!$G$58,ABS(N932)*'Progetto del paramento slu'!$G$54,'Progetto del paramento slu'!$G$53)</f>
        <v>61087392.125808187</v>
      </c>
      <c r="I932" s="479">
        <f>-'Foglio deposito bis'!$F$62*(C932-sezione!$AP$30)*IF(ABS(O932)&lt;'Progetto del paramento slu'!$G$58,ABS(O932)*'Progetto del paramento slu'!$G$54,'Progetto del paramento slu'!$G$53)</f>
        <v>54612101.926095046</v>
      </c>
      <c r="J932" s="479">
        <f t="shared" si="67"/>
        <v>63912142.54201515</v>
      </c>
      <c r="K932" s="558">
        <f>'Progetto del paramento slu'!$G$60*(sezione!$AL$30-C932)/C932</f>
        <v>-1.8809237552071176E-3</v>
      </c>
      <c r="L932" s="558">
        <f>'Progetto del paramento slu'!$G$60*(sezione!$AM$30-C932)/C932</f>
        <v>2.5715359179733087E-3</v>
      </c>
      <c r="M932" s="559">
        <f>'Progetto del paramento slu'!$G$60*(sezione!$AN$30-C932)/C932</f>
        <v>7.0239955911537352E-3</v>
      </c>
      <c r="N932" s="559">
        <f>'Progetto del paramento slu'!$G$60*(sezione!$AO$30-C932)/C932</f>
        <v>1.0262148080739501E-2</v>
      </c>
      <c r="O932" s="559">
        <f>'Progetto del paramento slu'!$G$60*(sezione!$AP$30-C932)/C932</f>
        <v>7.0241162434700518E-3</v>
      </c>
      <c r="P932" s="553">
        <f>-'Progetto del paramento slu'!$G$47*'Progetto del paramento slu'!$G$41*IF(DATI!$G$218="dx",DATI!$E$61,DATI!$E$64*DATI!$E$63)*1000*C932*sezione!$AD$5</f>
        <v>-1218858.3498440785</v>
      </c>
      <c r="Q932" s="553">
        <f>'Foglio deposito bis'!$F$58*IF(ABS(K932)&lt;'Progetto del paramento slu'!$G$58,ABS(K932)*'Progetto del paramento slu'!$G$54,'Progetto del paramento slu'!$G$53)*IF(K932&lt;0,-1,1)</f>
        <v>0</v>
      </c>
      <c r="R932" s="553">
        <f>'Foglio deposito bis'!$F$59*IF(ABS(L932)&lt;'Progetto del paramento slu'!$G$58,ABS(L932)*'Progetto del paramento slu'!$G$54,'Progetto del paramento slu'!$G$53)*IF(L932&lt;0,-1,1)</f>
        <v>153664.85805602249</v>
      </c>
      <c r="S932" s="553">
        <f>'Foglio deposito bis'!$F$60*IF(ABS(M932)&lt;'Progetto del paramento slu'!$G$58,ABS(M932)*'Progetto del paramento slu'!$G$54,'Progetto del paramento slu'!$G$53)*IF(M932&lt;0,-1,1)</f>
        <v>0</v>
      </c>
      <c r="T932" s="553">
        <f>'Foglio deposito bis'!$F$61*IF(ABS(N932)&lt;'Progetto del paramento slu'!$G$58,ABS(N932)*'Progetto del paramento slu'!$G$54,'Progetto del paramento slu'!$G$53)*IF(N932&lt;0,-1,1)</f>
        <v>240946.49743184328</v>
      </c>
      <c r="U932" s="553">
        <f>'Foglio deposito bis'!$F$62*IF(ABS(O932)&lt;'Progetto del paramento slu'!$G$58,ABS(O932)*'Progetto del paramento slu'!$G$54,'Progetto del paramento slu'!$G$53)*IF(O932&lt;0,-1,1)</f>
        <v>314705.62929873407</v>
      </c>
      <c r="V932" s="479">
        <f t="shared" si="69"/>
        <v>-509541.3650574786</v>
      </c>
      <c r="W932" s="559"/>
      <c r="X932" s="559"/>
    </row>
    <row r="933" spans="1:24" x14ac:dyDescent="0.25">
      <c r="A933" s="553">
        <f t="shared" si="68"/>
        <v>520986.04439873755</v>
      </c>
      <c r="B933" s="3">
        <f t="shared" si="70"/>
        <v>21.499999999999947</v>
      </c>
      <c r="C933" s="553">
        <f>'Foglio deposito bis'!$E$156/sezione!$B$247*B933</f>
        <v>87.280975460601468</v>
      </c>
      <c r="D933" s="611">
        <f>-'Progetto del paramento slu'!$G$47*'Progetto del paramento slu'!$G$41*IF(DATI!$G$218="dx",DATI!$E$61,DATI!$E$64*DATI!$E$63)*1000*C933^2*sezione!$AD$5*(1-sezione!$AD$6)</f>
        <v>-62711116.32366661</v>
      </c>
      <c r="E933" s="553">
        <f>-'Foglio deposito bis'!$F$58*(C933-sezione!$AL$30)*IF(ABS(K933)&lt;'Progetto del paramento slu'!$G$58,ABS(K933)*'Progetto del paramento slu'!$G$54,'Progetto del paramento slu'!$G$53)</f>
        <v>0</v>
      </c>
      <c r="F933" s="553">
        <f>-'Foglio deposito bis'!$F$59*(C933-sezione!$AM$30)*IF(ABS(L933)&lt;'Progetto del paramento slu'!$G$58,ABS(L933)*'Progetto del paramento slu'!$G$54,'Progetto del paramento slu'!$G$53)</f>
        <v>9637710.0032588672</v>
      </c>
      <c r="G933" s="553">
        <f>-'Foglio deposito bis'!$F$60*(C933-sezione!$AN$30)*IF(ABS(M933)&lt;'Progetto del paramento slu'!$G$58,ABS(M933)*'Progetto del paramento slu'!$G$54,'Progetto del paramento slu'!$G$53)</f>
        <v>0</v>
      </c>
      <c r="H933" s="553">
        <f>-'Foglio deposito bis'!$F$61*(C933-sezione!$AO$30)*IF(ABS(N933)&lt;'Progetto del paramento slu'!$G$58,ABS(N933)*'Progetto del paramento slu'!$G$54,'Progetto del paramento slu'!$G$53)</f>
        <v>60891763.797160126</v>
      </c>
      <c r="I933" s="479">
        <f>-'Foglio deposito bis'!$F$62*(C933-sezione!$AP$30)*IF(ABS(O933)&lt;'Progetto del paramento slu'!$G$58,ABS(O933)*'Progetto del paramento slu'!$G$54,'Progetto del paramento slu'!$G$53)</f>
        <v>54356587.374391451</v>
      </c>
      <c r="J933" s="479">
        <f t="shared" si="67"/>
        <v>62174944.851143837</v>
      </c>
      <c r="K933" s="558">
        <f>'Progetto del paramento slu'!$G$60*(sezione!$AL$30-C933)/C933</f>
        <v>-1.8959849295772844E-3</v>
      </c>
      <c r="L933" s="558">
        <f>'Progetto del paramento slu'!$G$60*(sezione!$AM$30-C933)/C933</f>
        <v>2.5150565140851845E-3</v>
      </c>
      <c r="M933" s="559">
        <f>'Progetto del paramento slu'!$G$60*(sezione!$AN$30-C933)/C933</f>
        <v>6.9260979577476537E-3</v>
      </c>
      <c r="N933" s="559">
        <f>'Progetto del paramento slu'!$G$60*(sezione!$AO$30-C933)/C933</f>
        <v>1.0134128098593084E-2</v>
      </c>
      <c r="O933" s="559">
        <f>'Progetto del paramento slu'!$G$60*(sezione!$AP$30-C933)/C933</f>
        <v>6.9262174877168401E-3</v>
      </c>
      <c r="P933" s="553">
        <f>-'Progetto del paramento slu'!$G$47*'Progetto del paramento slu'!$G$41*IF(DATI!$G$218="dx",DATI!$E$61,DATI!$E$64*DATI!$E$63)*1000*C933*sezione!$AD$5</f>
        <v>-1230303.0291853375</v>
      </c>
      <c r="Q933" s="553">
        <f>'Foglio deposito bis'!$F$58*IF(ABS(K933)&lt;'Progetto del paramento slu'!$G$58,ABS(K933)*'Progetto del paramento slu'!$G$54,'Progetto del paramento slu'!$G$53)*IF(K933&lt;0,-1,1)</f>
        <v>0</v>
      </c>
      <c r="R933" s="553">
        <f>'Foglio deposito bis'!$F$59*IF(ABS(L933)&lt;'Progetto del paramento slu'!$G$58,ABS(L933)*'Progetto del paramento slu'!$G$54,'Progetto del paramento slu'!$G$53)*IF(L933&lt;0,-1,1)</f>
        <v>153664.85805602249</v>
      </c>
      <c r="S933" s="553">
        <f>'Foglio deposito bis'!$F$60*IF(ABS(M933)&lt;'Progetto del paramento slu'!$G$58,ABS(M933)*'Progetto del paramento slu'!$G$54,'Progetto del paramento slu'!$G$53)*IF(M933&lt;0,-1,1)</f>
        <v>0</v>
      </c>
      <c r="T933" s="553">
        <f>'Foglio deposito bis'!$F$61*IF(ABS(N933)&lt;'Progetto del paramento slu'!$G$58,ABS(N933)*'Progetto del paramento slu'!$G$54,'Progetto del paramento slu'!$G$53)*IF(N933&lt;0,-1,1)</f>
        <v>240946.49743184328</v>
      </c>
      <c r="U933" s="553">
        <f>'Foglio deposito bis'!$F$62*IF(ABS(O933)&lt;'Progetto del paramento slu'!$G$58,ABS(O933)*'Progetto del paramento slu'!$G$54,'Progetto del paramento slu'!$G$53)*IF(O933&lt;0,-1,1)</f>
        <v>314705.62929873407</v>
      </c>
      <c r="V933" s="479">
        <f t="shared" si="69"/>
        <v>-520986.04439873755</v>
      </c>
      <c r="W933" s="559"/>
      <c r="X933" s="559"/>
    </row>
    <row r="934" spans="1:24" x14ac:dyDescent="0.25">
      <c r="A934" s="553">
        <f t="shared" si="68"/>
        <v>532430.72373999655</v>
      </c>
      <c r="B934" s="3">
        <f t="shared" si="70"/>
        <v>21.699999999999946</v>
      </c>
      <c r="C934" s="553">
        <f>'Foglio deposito bis'!$E$156/sezione!$B$247*B934</f>
        <v>88.092891511397752</v>
      </c>
      <c r="D934" s="611">
        <f>-'Progetto del paramento slu'!$G$47*'Progetto del paramento slu'!$G$41*IF(DATI!$G$218="dx",DATI!$E$61,DATI!$E$64*DATI!$E$63)*1000*C934^2*sezione!$AD$5*(1-sezione!$AD$6)</f>
        <v>-63883261.364307977</v>
      </c>
      <c r="E934" s="553">
        <f>-'Foglio deposito bis'!$F$58*(C934-sezione!$AL$30)*IF(ABS(K934)&lt;'Progetto del paramento slu'!$G$58,ABS(K934)*'Progetto del paramento slu'!$G$54,'Progetto del paramento slu'!$G$53)</f>
        <v>0</v>
      </c>
      <c r="F934" s="553">
        <f>-'Foglio deposito bis'!$F$59*(C934-sezione!$AM$30)*IF(ABS(L934)&lt;'Progetto del paramento slu'!$G$58,ABS(L934)*'Progetto del paramento slu'!$G$54,'Progetto del paramento slu'!$G$53)</f>
        <v>9512947.0385598484</v>
      </c>
      <c r="G934" s="553">
        <f>-'Foglio deposito bis'!$F$60*(C934-sezione!$AN$30)*IF(ABS(M934)&lt;'Progetto del paramento slu'!$G$58,ABS(M934)*'Progetto del paramento slu'!$G$54,'Progetto del paramento slu'!$G$53)</f>
        <v>0</v>
      </c>
      <c r="H934" s="553">
        <f>-'Foglio deposito bis'!$F$61*(C934-sezione!$AO$30)*IF(ABS(N934)&lt;'Progetto del paramento slu'!$G$58,ABS(N934)*'Progetto del paramento slu'!$G$54,'Progetto del paramento slu'!$G$53)</f>
        <v>60696135.468512066</v>
      </c>
      <c r="I934" s="479">
        <f>-'Foglio deposito bis'!$F$62*(C934-sezione!$AP$30)*IF(ABS(O934)&lt;'Progetto del paramento slu'!$G$58,ABS(O934)*'Progetto del paramento slu'!$G$54,'Progetto del paramento slu'!$G$53)</f>
        <v>54101072.822687879</v>
      </c>
      <c r="J934" s="479">
        <f t="shared" si="67"/>
        <v>60426893.965451814</v>
      </c>
      <c r="K934" s="558">
        <f>'Progetto del paramento slu'!$G$60*(sezione!$AL$30-C934)/C934</f>
        <v>-1.9107684786134381E-3</v>
      </c>
      <c r="L934" s="558">
        <f>'Progetto del paramento slu'!$G$60*(sezione!$AM$30-C934)/C934</f>
        <v>2.4596182051996075E-3</v>
      </c>
      <c r="M934" s="559">
        <f>'Progetto del paramento slu'!$G$60*(sezione!$AN$30-C934)/C934</f>
        <v>6.8300048890126532E-3</v>
      </c>
      <c r="N934" s="559">
        <f>'Progetto del paramento slu'!$G$60*(sezione!$AO$30-C934)/C934</f>
        <v>1.0008467931785777E-2</v>
      </c>
      <c r="O934" s="559">
        <f>'Progetto del paramento slu'!$G$60*(sezione!$AP$30-C934)/C934</f>
        <v>6.8301233173231387E-3</v>
      </c>
      <c r="P934" s="553">
        <f>-'Progetto del paramento slu'!$G$47*'Progetto del paramento slu'!$G$41*IF(DATI!$G$218="dx",DATI!$E$61,DATI!$E$64*DATI!$E$63)*1000*C934*sezione!$AD$5</f>
        <v>-1241747.7085265964</v>
      </c>
      <c r="Q934" s="553">
        <f>'Foglio deposito bis'!$F$58*IF(ABS(K934)&lt;'Progetto del paramento slu'!$G$58,ABS(K934)*'Progetto del paramento slu'!$G$54,'Progetto del paramento slu'!$G$53)*IF(K934&lt;0,-1,1)</f>
        <v>0</v>
      </c>
      <c r="R934" s="553">
        <f>'Foglio deposito bis'!$F$59*IF(ABS(L934)&lt;'Progetto del paramento slu'!$G$58,ABS(L934)*'Progetto del paramento slu'!$G$54,'Progetto del paramento slu'!$G$53)*IF(L934&lt;0,-1,1)</f>
        <v>153664.85805602249</v>
      </c>
      <c r="S934" s="553">
        <f>'Foglio deposito bis'!$F$60*IF(ABS(M934)&lt;'Progetto del paramento slu'!$G$58,ABS(M934)*'Progetto del paramento slu'!$G$54,'Progetto del paramento slu'!$G$53)*IF(M934&lt;0,-1,1)</f>
        <v>0</v>
      </c>
      <c r="T934" s="553">
        <f>'Foglio deposito bis'!$F$61*IF(ABS(N934)&lt;'Progetto del paramento slu'!$G$58,ABS(N934)*'Progetto del paramento slu'!$G$54,'Progetto del paramento slu'!$G$53)*IF(N934&lt;0,-1,1)</f>
        <v>240946.49743184328</v>
      </c>
      <c r="U934" s="553">
        <f>'Foglio deposito bis'!$F$62*IF(ABS(O934)&lt;'Progetto del paramento slu'!$G$58,ABS(O934)*'Progetto del paramento slu'!$G$54,'Progetto del paramento slu'!$G$53)*IF(O934&lt;0,-1,1)</f>
        <v>314705.62929873407</v>
      </c>
      <c r="V934" s="479">
        <f t="shared" si="69"/>
        <v>-532430.72373999655</v>
      </c>
      <c r="W934" s="559"/>
      <c r="X934" s="559"/>
    </row>
    <row r="935" spans="1:24" x14ac:dyDescent="0.25">
      <c r="A935" s="553">
        <f t="shared" si="68"/>
        <v>543875.4030812555</v>
      </c>
      <c r="B935" s="3">
        <f t="shared" si="70"/>
        <v>21.899999999999945</v>
      </c>
      <c r="C935" s="553">
        <f>'Foglio deposito bis'!$E$156/sezione!$B$247*B935</f>
        <v>88.904807562194051</v>
      </c>
      <c r="D935" s="611">
        <f>-'Progetto del paramento slu'!$G$47*'Progetto del paramento slu'!$G$41*IF(DATI!$G$218="dx",DATI!$E$61,DATI!$E$64*DATI!$E$63)*1000*C935^2*sezione!$AD$5*(1-sezione!$AD$6)</f>
        <v>-65066259.599770121</v>
      </c>
      <c r="E935" s="553">
        <f>-'Foglio deposito bis'!$F$58*(C935-sezione!$AL$30)*IF(ABS(K935)&lt;'Progetto del paramento slu'!$G$58,ABS(K935)*'Progetto del paramento slu'!$G$54,'Progetto del paramento slu'!$G$53)</f>
        <v>0</v>
      </c>
      <c r="F935" s="553">
        <f>-'Foglio deposito bis'!$F$59*(C935-sezione!$AM$30)*IF(ABS(L935)&lt;'Progetto del paramento slu'!$G$58,ABS(L935)*'Progetto del paramento slu'!$G$54,'Progetto del paramento slu'!$G$53)</f>
        <v>9388184.0738608297</v>
      </c>
      <c r="G935" s="553">
        <f>-'Foglio deposito bis'!$F$60*(C935-sezione!$AN$30)*IF(ABS(M935)&lt;'Progetto del paramento slu'!$G$58,ABS(M935)*'Progetto del paramento slu'!$G$54,'Progetto del paramento slu'!$G$53)</f>
        <v>0</v>
      </c>
      <c r="H935" s="553">
        <f>-'Foglio deposito bis'!$F$61*(C935-sezione!$AO$30)*IF(ABS(N935)&lt;'Progetto del paramento slu'!$G$58,ABS(N935)*'Progetto del paramento slu'!$G$54,'Progetto del paramento slu'!$G$53)</f>
        <v>60500507.139864005</v>
      </c>
      <c r="I935" s="479">
        <f>-'Foglio deposito bis'!$F$62*(C935-sezione!$AP$30)*IF(ABS(O935)&lt;'Progetto del paramento slu'!$G$58,ABS(O935)*'Progetto del paramento slu'!$G$54,'Progetto del paramento slu'!$G$53)</f>
        <v>53845558.270984277</v>
      </c>
      <c r="J935" s="479">
        <f t="shared" si="67"/>
        <v>58667989.884938993</v>
      </c>
      <c r="K935" s="558">
        <f>'Progetto del paramento slu'!$G$60*(sezione!$AL$30-C935)/C935</f>
        <v>-1.9252820084891147E-3</v>
      </c>
      <c r="L935" s="558">
        <f>'Progetto del paramento slu'!$G$60*(sezione!$AM$30-C935)/C935</f>
        <v>2.4051924681658204E-3</v>
      </c>
      <c r="M935" s="559">
        <f>'Progetto del paramento slu'!$G$60*(sezione!$AN$30-C935)/C935</f>
        <v>6.7356669448207568E-3</v>
      </c>
      <c r="N935" s="559">
        <f>'Progetto del paramento slu'!$G$60*(sezione!$AO$30-C935)/C935</f>
        <v>9.8851029278425283E-3</v>
      </c>
      <c r="O935" s="559">
        <f>'Progetto del paramento slu'!$G$60*(sezione!$AP$30-C935)/C935</f>
        <v>6.7357842915941593E-3</v>
      </c>
      <c r="P935" s="553">
        <f>-'Progetto del paramento slu'!$G$47*'Progetto del paramento slu'!$G$41*IF(DATI!$G$218="dx",DATI!$E$61,DATI!$E$64*DATI!$E$63)*1000*C935*sezione!$AD$5</f>
        <v>-1253192.3878678554</v>
      </c>
      <c r="Q935" s="553">
        <f>'Foglio deposito bis'!$F$58*IF(ABS(K935)&lt;'Progetto del paramento slu'!$G$58,ABS(K935)*'Progetto del paramento slu'!$G$54,'Progetto del paramento slu'!$G$53)*IF(K935&lt;0,-1,1)</f>
        <v>0</v>
      </c>
      <c r="R935" s="553">
        <f>'Foglio deposito bis'!$F$59*IF(ABS(L935)&lt;'Progetto del paramento slu'!$G$58,ABS(L935)*'Progetto del paramento slu'!$G$54,'Progetto del paramento slu'!$G$53)*IF(L935&lt;0,-1,1)</f>
        <v>153664.85805602249</v>
      </c>
      <c r="S935" s="553">
        <f>'Foglio deposito bis'!$F$60*IF(ABS(M935)&lt;'Progetto del paramento slu'!$G$58,ABS(M935)*'Progetto del paramento slu'!$G$54,'Progetto del paramento slu'!$G$53)*IF(M935&lt;0,-1,1)</f>
        <v>0</v>
      </c>
      <c r="T935" s="553">
        <f>'Foglio deposito bis'!$F$61*IF(ABS(N935)&lt;'Progetto del paramento slu'!$G$58,ABS(N935)*'Progetto del paramento slu'!$G$54,'Progetto del paramento slu'!$G$53)*IF(N935&lt;0,-1,1)</f>
        <v>240946.49743184328</v>
      </c>
      <c r="U935" s="553">
        <f>'Foglio deposito bis'!$F$62*IF(ABS(O935)&lt;'Progetto del paramento slu'!$G$58,ABS(O935)*'Progetto del paramento slu'!$G$54,'Progetto del paramento slu'!$G$53)*IF(O935&lt;0,-1,1)</f>
        <v>314705.62929873407</v>
      </c>
      <c r="V935" s="479">
        <f t="shared" si="69"/>
        <v>-543875.4030812555</v>
      </c>
      <c r="W935" s="559"/>
      <c r="X935" s="559"/>
    </row>
    <row r="936" spans="1:24" x14ac:dyDescent="0.25">
      <c r="A936" s="553">
        <f t="shared" si="68"/>
        <v>555320.08242251445</v>
      </c>
      <c r="B936" s="3">
        <f t="shared" si="70"/>
        <v>22.099999999999945</v>
      </c>
      <c r="C936" s="553">
        <f>'Foglio deposito bis'!$E$156/sezione!$B$247*B936</f>
        <v>89.716723612990336</v>
      </c>
      <c r="D936" s="611">
        <f>-'Progetto del paramento slu'!$G$47*'Progetto del paramento slu'!$G$41*IF(DATI!$G$218="dx",DATI!$E$61,DATI!$E$64*DATI!$E$63)*1000*C936^2*sezione!$AD$5*(1-sezione!$AD$6)</f>
        <v>-66260111.030053005</v>
      </c>
      <c r="E936" s="553">
        <f>-'Foglio deposito bis'!$F$58*(C936-sezione!$AL$30)*IF(ABS(K936)&lt;'Progetto del paramento slu'!$G$58,ABS(K936)*'Progetto del paramento slu'!$G$54,'Progetto del paramento slu'!$G$53)</f>
        <v>0</v>
      </c>
      <c r="F936" s="553">
        <f>-'Foglio deposito bis'!$F$59*(C936-sezione!$AM$30)*IF(ABS(L936)&lt;'Progetto del paramento slu'!$G$58,ABS(L936)*'Progetto del paramento slu'!$G$54,'Progetto del paramento slu'!$G$53)</f>
        <v>9263421.1091618128</v>
      </c>
      <c r="G936" s="553">
        <f>-'Foglio deposito bis'!$F$60*(C936-sezione!$AN$30)*IF(ABS(M936)&lt;'Progetto del paramento slu'!$G$58,ABS(M936)*'Progetto del paramento slu'!$G$54,'Progetto del paramento slu'!$G$53)</f>
        <v>0</v>
      </c>
      <c r="H936" s="553">
        <f>-'Foglio deposito bis'!$F$61*(C936-sezione!$AO$30)*IF(ABS(N936)&lt;'Progetto del paramento slu'!$G$58,ABS(N936)*'Progetto del paramento slu'!$G$54,'Progetto del paramento slu'!$G$53)</f>
        <v>60304878.811215945</v>
      </c>
      <c r="I936" s="479">
        <f>-'Foglio deposito bis'!$F$62*(C936-sezione!$AP$30)*IF(ABS(O936)&lt;'Progetto del paramento slu'!$G$58,ABS(O936)*'Progetto del paramento slu'!$G$54,'Progetto del paramento slu'!$G$53)</f>
        <v>53590043.719280683</v>
      </c>
      <c r="J936" s="479">
        <f t="shared" si="67"/>
        <v>56898232.609605432</v>
      </c>
      <c r="K936" s="558">
        <f>'Progetto del paramento slu'!$G$60*(sezione!$AL$30-C936)/C936</f>
        <v>-1.9395328500412491E-3</v>
      </c>
      <c r="L936" s="558">
        <f>'Progetto del paramento slu'!$G$60*(sezione!$AM$30-C936)/C936</f>
        <v>2.351751812345316E-3</v>
      </c>
      <c r="M936" s="559">
        <f>'Progetto del paramento slu'!$G$60*(sezione!$AN$30-C936)/C936</f>
        <v>6.6430364747318803E-3</v>
      </c>
      <c r="N936" s="559">
        <f>'Progetto del paramento slu'!$G$60*(sezione!$AO$30-C936)/C936</f>
        <v>9.7639707746493831E-3</v>
      </c>
      <c r="O936" s="559">
        <f>'Progetto del paramento slu'!$G$60*(sezione!$AP$30-C936)/C936</f>
        <v>6.6431527595435342E-3</v>
      </c>
      <c r="P936" s="553">
        <f>-'Progetto del paramento slu'!$G$47*'Progetto del paramento slu'!$G$41*IF(DATI!$G$218="dx",DATI!$E$61,DATI!$E$64*DATI!$E$63)*1000*C936*sezione!$AD$5</f>
        <v>-1264637.0672091143</v>
      </c>
      <c r="Q936" s="553">
        <f>'Foglio deposito bis'!$F$58*IF(ABS(K936)&lt;'Progetto del paramento slu'!$G$58,ABS(K936)*'Progetto del paramento slu'!$G$54,'Progetto del paramento slu'!$G$53)*IF(K936&lt;0,-1,1)</f>
        <v>0</v>
      </c>
      <c r="R936" s="553">
        <f>'Foglio deposito bis'!$F$59*IF(ABS(L936)&lt;'Progetto del paramento slu'!$G$58,ABS(L936)*'Progetto del paramento slu'!$G$54,'Progetto del paramento slu'!$G$53)*IF(L936&lt;0,-1,1)</f>
        <v>153664.85805602249</v>
      </c>
      <c r="S936" s="553">
        <f>'Foglio deposito bis'!$F$60*IF(ABS(M936)&lt;'Progetto del paramento slu'!$G$58,ABS(M936)*'Progetto del paramento slu'!$G$54,'Progetto del paramento slu'!$G$53)*IF(M936&lt;0,-1,1)</f>
        <v>0</v>
      </c>
      <c r="T936" s="553">
        <f>'Foglio deposito bis'!$F$61*IF(ABS(N936)&lt;'Progetto del paramento slu'!$G$58,ABS(N936)*'Progetto del paramento slu'!$G$54,'Progetto del paramento slu'!$G$53)*IF(N936&lt;0,-1,1)</f>
        <v>240946.49743184328</v>
      </c>
      <c r="U936" s="553">
        <f>'Foglio deposito bis'!$F$62*IF(ABS(O936)&lt;'Progetto del paramento slu'!$G$58,ABS(O936)*'Progetto del paramento slu'!$G$54,'Progetto del paramento slu'!$G$53)*IF(O936&lt;0,-1,1)</f>
        <v>314705.62929873407</v>
      </c>
      <c r="V936" s="479">
        <f t="shared" si="69"/>
        <v>-555320.08242251445</v>
      </c>
      <c r="W936" s="559"/>
      <c r="X936" s="559"/>
    </row>
    <row r="937" spans="1:24" x14ac:dyDescent="0.25">
      <c r="A937" s="553">
        <f t="shared" si="68"/>
        <v>566764.76176377363</v>
      </c>
      <c r="B937" s="3">
        <f t="shared" si="70"/>
        <v>22.299999999999944</v>
      </c>
      <c r="C937" s="553">
        <f>'Foglio deposito bis'!$E$156/sezione!$B$247*B937</f>
        <v>90.528639663786635</v>
      </c>
      <c r="D937" s="611">
        <f>-'Progetto del paramento slu'!$G$47*'Progetto del paramento slu'!$G$41*IF(DATI!$G$218="dx",DATI!$E$61,DATI!$E$64*DATI!$E$63)*1000*C937^2*sezione!$AD$5*(1-sezione!$AD$6)</f>
        <v>-67464815.655156657</v>
      </c>
      <c r="E937" s="553">
        <f>-'Foglio deposito bis'!$F$58*(C937-sezione!$AL$30)*IF(ABS(K937)&lt;'Progetto del paramento slu'!$G$58,ABS(K937)*'Progetto del paramento slu'!$G$54,'Progetto del paramento slu'!$G$53)</f>
        <v>0</v>
      </c>
      <c r="F937" s="553">
        <f>-'Foglio deposito bis'!$F$59*(C937-sezione!$AM$30)*IF(ABS(L937)&lt;'Progetto del paramento slu'!$G$58,ABS(L937)*'Progetto del paramento slu'!$G$54,'Progetto del paramento slu'!$G$53)</f>
        <v>9138658.1444627922</v>
      </c>
      <c r="G937" s="553">
        <f>-'Foglio deposito bis'!$F$60*(C937-sezione!$AN$30)*IF(ABS(M937)&lt;'Progetto del paramento slu'!$G$58,ABS(M937)*'Progetto del paramento slu'!$G$54,'Progetto del paramento slu'!$G$53)</f>
        <v>0</v>
      </c>
      <c r="H937" s="553">
        <f>-'Foglio deposito bis'!$F$61*(C937-sezione!$AO$30)*IF(ABS(N937)&lt;'Progetto del paramento slu'!$G$58,ABS(N937)*'Progetto del paramento slu'!$G$54,'Progetto del paramento slu'!$G$53)</f>
        <v>60109250.482567877</v>
      </c>
      <c r="I937" s="479">
        <f>-'Foglio deposito bis'!$F$62*(C937-sezione!$AP$30)*IF(ABS(O937)&lt;'Progetto del paramento slu'!$G$58,ABS(O937)*'Progetto del paramento slu'!$G$54,'Progetto del paramento slu'!$G$53)</f>
        <v>53334529.167577095</v>
      </c>
      <c r="J937" s="479">
        <f t="shared" si="67"/>
        <v>55117622.139451109</v>
      </c>
      <c r="K937" s="558">
        <f>'Progetto del paramento slu'!$G$60*(sezione!$AL$30-C937)/C937</f>
        <v>-1.9535280711171126E-3</v>
      </c>
      <c r="L937" s="558">
        <f>'Progetto del paramento slu'!$G$60*(sezione!$AM$30-C937)/C937</f>
        <v>2.2992697333108283E-3</v>
      </c>
      <c r="M937" s="559">
        <f>'Progetto del paramento slu'!$G$60*(sezione!$AN$30-C937)/C937</f>
        <v>6.5520675377387693E-3</v>
      </c>
      <c r="N937" s="559">
        <f>'Progetto del paramento slu'!$G$60*(sezione!$AO$30-C937)/C937</f>
        <v>9.6450113955045443E-3</v>
      </c>
      <c r="O937" s="559">
        <f>'Progetto del paramento slu'!$G$60*(sezione!$AP$30-C937)/C937</f>
        <v>6.5521827796373141E-3</v>
      </c>
      <c r="P937" s="553">
        <f>-'Progetto del paramento slu'!$G$47*'Progetto del paramento slu'!$G$41*IF(DATI!$G$218="dx",DATI!$E$61,DATI!$E$64*DATI!$E$63)*1000*C937*sezione!$AD$5</f>
        <v>-1276081.7465503735</v>
      </c>
      <c r="Q937" s="553">
        <f>'Foglio deposito bis'!$F$58*IF(ABS(K937)&lt;'Progetto del paramento slu'!$G$58,ABS(K937)*'Progetto del paramento slu'!$G$54,'Progetto del paramento slu'!$G$53)*IF(K937&lt;0,-1,1)</f>
        <v>0</v>
      </c>
      <c r="R937" s="553">
        <f>'Foglio deposito bis'!$F$59*IF(ABS(L937)&lt;'Progetto del paramento slu'!$G$58,ABS(L937)*'Progetto del paramento slu'!$G$54,'Progetto del paramento slu'!$G$53)*IF(L937&lt;0,-1,1)</f>
        <v>153664.85805602249</v>
      </c>
      <c r="S937" s="553">
        <f>'Foglio deposito bis'!$F$60*IF(ABS(M937)&lt;'Progetto del paramento slu'!$G$58,ABS(M937)*'Progetto del paramento slu'!$G$54,'Progetto del paramento slu'!$G$53)*IF(M937&lt;0,-1,1)</f>
        <v>0</v>
      </c>
      <c r="T937" s="553">
        <f>'Foglio deposito bis'!$F$61*IF(ABS(N937)&lt;'Progetto del paramento slu'!$G$58,ABS(N937)*'Progetto del paramento slu'!$G$54,'Progetto del paramento slu'!$G$53)*IF(N937&lt;0,-1,1)</f>
        <v>240946.49743184328</v>
      </c>
      <c r="U937" s="553">
        <f>'Foglio deposito bis'!$F$62*IF(ABS(O937)&lt;'Progetto del paramento slu'!$G$58,ABS(O937)*'Progetto del paramento slu'!$G$54,'Progetto del paramento slu'!$G$53)*IF(O937&lt;0,-1,1)</f>
        <v>314705.62929873407</v>
      </c>
      <c r="V937" s="479">
        <f t="shared" si="69"/>
        <v>-566764.76176377363</v>
      </c>
      <c r="W937" s="559"/>
      <c r="X937" s="559"/>
    </row>
    <row r="938" spans="1:24" x14ac:dyDescent="0.25">
      <c r="A938" s="553">
        <f t="shared" si="68"/>
        <v>578209.44110503234</v>
      </c>
      <c r="B938" s="3">
        <f t="shared" si="70"/>
        <v>22.499999999999943</v>
      </c>
      <c r="C938" s="553">
        <f>'Foglio deposito bis'!$E$156/sezione!$B$247*B938</f>
        <v>91.340555714582919</v>
      </c>
      <c r="D938" s="611">
        <f>-'Progetto del paramento slu'!$G$47*'Progetto del paramento slu'!$G$41*IF(DATI!$G$218="dx",DATI!$E$61,DATI!$E$64*DATI!$E$63)*1000*C938^2*sezione!$AD$5*(1-sezione!$AD$6)</f>
        <v>-68680373.475081041</v>
      </c>
      <c r="E938" s="553">
        <f>-'Foglio deposito bis'!$F$58*(C938-sezione!$AL$30)*IF(ABS(K938)&lt;'Progetto del paramento slu'!$G$58,ABS(K938)*'Progetto del paramento slu'!$G$54,'Progetto del paramento slu'!$G$53)</f>
        <v>0</v>
      </c>
      <c r="F938" s="553">
        <f>-'Foglio deposito bis'!$F$59*(C938-sezione!$AM$30)*IF(ABS(L938)&lt;'Progetto del paramento slu'!$G$58,ABS(L938)*'Progetto del paramento slu'!$G$54,'Progetto del paramento slu'!$G$53)</f>
        <v>9013895.1797637753</v>
      </c>
      <c r="G938" s="553">
        <f>-'Foglio deposito bis'!$F$60*(C938-sezione!$AN$30)*IF(ABS(M938)&lt;'Progetto del paramento slu'!$G$58,ABS(M938)*'Progetto del paramento slu'!$G$54,'Progetto del paramento slu'!$G$53)</f>
        <v>0</v>
      </c>
      <c r="H938" s="553">
        <f>-'Foglio deposito bis'!$F$61*(C938-sezione!$AO$30)*IF(ABS(N938)&lt;'Progetto del paramento slu'!$G$58,ABS(N938)*'Progetto del paramento slu'!$G$54,'Progetto del paramento slu'!$G$53)</f>
        <v>59913622.153919816</v>
      </c>
      <c r="I938" s="479">
        <f>-'Foglio deposito bis'!$F$62*(C938-sezione!$AP$30)*IF(ABS(O938)&lt;'Progetto del paramento slu'!$G$58,ABS(O938)*'Progetto del paramento slu'!$G$54,'Progetto del paramento slu'!$G$53)</f>
        <v>53079014.615873501</v>
      </c>
      <c r="J938" s="479">
        <f t="shared" si="67"/>
        <v>53326158.474476054</v>
      </c>
      <c r="K938" s="558">
        <f>'Progetto del paramento slu'!$G$60*(sezione!$AL$30-C938)/C938</f>
        <v>-1.9672744882627377E-3</v>
      </c>
      <c r="L938" s="558">
        <f>'Progetto del paramento slu'!$G$60*(sezione!$AM$30-C938)/C938</f>
        <v>2.2477206690147329E-3</v>
      </c>
      <c r="M938" s="559">
        <f>'Progetto del paramento slu'!$G$60*(sezione!$AN$30-C938)/C938</f>
        <v>6.462715826292203E-3</v>
      </c>
      <c r="N938" s="559">
        <f>'Progetto del paramento slu'!$G$60*(sezione!$AO$30-C938)/C938</f>
        <v>9.5281668497667268E-3</v>
      </c>
      <c r="O938" s="559">
        <f>'Progetto del paramento slu'!$G$60*(sezione!$AP$30-C938)/C938</f>
        <v>6.4628300438183146E-3</v>
      </c>
      <c r="P938" s="553">
        <f>-'Progetto del paramento slu'!$G$47*'Progetto del paramento slu'!$G$41*IF(DATI!$G$218="dx",DATI!$E$61,DATI!$E$64*DATI!$E$63)*1000*C938*sezione!$AD$5</f>
        <v>-1287526.4258916322</v>
      </c>
      <c r="Q938" s="553">
        <f>'Foglio deposito bis'!$F$58*IF(ABS(K938)&lt;'Progetto del paramento slu'!$G$58,ABS(K938)*'Progetto del paramento slu'!$G$54,'Progetto del paramento slu'!$G$53)*IF(K938&lt;0,-1,1)</f>
        <v>0</v>
      </c>
      <c r="R938" s="553">
        <f>'Foglio deposito bis'!$F$59*IF(ABS(L938)&lt;'Progetto del paramento slu'!$G$58,ABS(L938)*'Progetto del paramento slu'!$G$54,'Progetto del paramento slu'!$G$53)*IF(L938&lt;0,-1,1)</f>
        <v>153664.85805602249</v>
      </c>
      <c r="S938" s="553">
        <f>'Foglio deposito bis'!$F$60*IF(ABS(M938)&lt;'Progetto del paramento slu'!$G$58,ABS(M938)*'Progetto del paramento slu'!$G$54,'Progetto del paramento slu'!$G$53)*IF(M938&lt;0,-1,1)</f>
        <v>0</v>
      </c>
      <c r="T938" s="553">
        <f>'Foglio deposito bis'!$F$61*IF(ABS(N938)&lt;'Progetto del paramento slu'!$G$58,ABS(N938)*'Progetto del paramento slu'!$G$54,'Progetto del paramento slu'!$G$53)*IF(N938&lt;0,-1,1)</f>
        <v>240946.49743184328</v>
      </c>
      <c r="U938" s="553">
        <f>'Foglio deposito bis'!$F$62*IF(ABS(O938)&lt;'Progetto del paramento slu'!$G$58,ABS(O938)*'Progetto del paramento slu'!$G$54,'Progetto del paramento slu'!$G$53)*IF(O938&lt;0,-1,1)</f>
        <v>314705.62929873407</v>
      </c>
      <c r="V938" s="479">
        <f t="shared" si="69"/>
        <v>-578209.44110503234</v>
      </c>
      <c r="W938" s="559"/>
      <c r="X938" s="559"/>
    </row>
    <row r="939" spans="1:24" x14ac:dyDescent="0.25">
      <c r="A939" s="553">
        <f t="shared" si="68"/>
        <v>589654.12044629152</v>
      </c>
      <c r="B939" s="3">
        <f t="shared" si="70"/>
        <v>22.699999999999942</v>
      </c>
      <c r="C939" s="553">
        <f>'Foglio deposito bis'!$E$156/sezione!$B$247*B939</f>
        <v>92.152471765379218</v>
      </c>
      <c r="D939" s="611">
        <f>-'Progetto del paramento slu'!$G$47*'Progetto del paramento slu'!$G$41*IF(DATI!$G$218="dx",DATI!$E$61,DATI!$E$64*DATI!$E$63)*1000*C939^2*sezione!$AD$5*(1-sezione!$AD$6)</f>
        <v>-69906784.489826202</v>
      </c>
      <c r="E939" s="553">
        <f>-'Foglio deposito bis'!$F$58*(C939-sezione!$AL$30)*IF(ABS(K939)&lt;'Progetto del paramento slu'!$G$58,ABS(K939)*'Progetto del paramento slu'!$G$54,'Progetto del paramento slu'!$G$53)</f>
        <v>0</v>
      </c>
      <c r="F939" s="553">
        <f>-'Foglio deposito bis'!$F$59*(C939-sezione!$AM$30)*IF(ABS(L939)&lt;'Progetto del paramento slu'!$G$58,ABS(L939)*'Progetto del paramento slu'!$G$54,'Progetto del paramento slu'!$G$53)</f>
        <v>8889132.2150647566</v>
      </c>
      <c r="G939" s="553">
        <f>-'Foglio deposito bis'!$F$60*(C939-sezione!$AN$30)*IF(ABS(M939)&lt;'Progetto del paramento slu'!$G$58,ABS(M939)*'Progetto del paramento slu'!$G$54,'Progetto del paramento slu'!$G$53)</f>
        <v>0</v>
      </c>
      <c r="H939" s="553">
        <f>-'Foglio deposito bis'!$F$61*(C939-sezione!$AO$30)*IF(ABS(N939)&lt;'Progetto del paramento slu'!$G$58,ABS(N939)*'Progetto del paramento slu'!$G$54,'Progetto del paramento slu'!$G$53)</f>
        <v>59717993.825271755</v>
      </c>
      <c r="I939" s="479">
        <f>-'Foglio deposito bis'!$F$62*(C939-sezione!$AP$30)*IF(ABS(O939)&lt;'Progetto del paramento slu'!$G$58,ABS(O939)*'Progetto del paramento slu'!$G$54,'Progetto del paramento slu'!$G$53)</f>
        <v>52823500.064169914</v>
      </c>
      <c r="J939" s="479">
        <f t="shared" si="67"/>
        <v>51523841.614680223</v>
      </c>
      <c r="K939" s="558">
        <f>'Progetto del paramento slu'!$G$60*(sezione!$AL$30-C939)/C939</f>
        <v>-1.9807786777934632E-3</v>
      </c>
      <c r="L939" s="558">
        <f>'Progetto del paramento slu'!$G$60*(sezione!$AM$30-C939)/C939</f>
        <v>2.1970799582745142E-3</v>
      </c>
      <c r="M939" s="559">
        <f>'Progetto del paramento slu'!$G$60*(sezione!$AN$30-C939)/C939</f>
        <v>6.3749385943424912E-3</v>
      </c>
      <c r="N939" s="559">
        <f>'Progetto del paramento slu'!$G$60*(sezione!$AO$30-C939)/C939</f>
        <v>9.4133812387555658E-3</v>
      </c>
      <c r="O939" s="559">
        <f>'Progetto del paramento slu'!$G$60*(sezione!$AP$30-C939)/C939</f>
        <v>6.3750518055467878E-3</v>
      </c>
      <c r="P939" s="553">
        <f>-'Progetto del paramento slu'!$G$47*'Progetto del paramento slu'!$G$41*IF(DATI!$G$218="dx",DATI!$E$61,DATI!$E$64*DATI!$E$63)*1000*C939*sezione!$AD$5</f>
        <v>-1298971.1052328914</v>
      </c>
      <c r="Q939" s="553">
        <f>'Foglio deposito bis'!$F$58*IF(ABS(K939)&lt;'Progetto del paramento slu'!$G$58,ABS(K939)*'Progetto del paramento slu'!$G$54,'Progetto del paramento slu'!$G$53)*IF(K939&lt;0,-1,1)</f>
        <v>0</v>
      </c>
      <c r="R939" s="553">
        <f>'Foglio deposito bis'!$F$59*IF(ABS(L939)&lt;'Progetto del paramento slu'!$G$58,ABS(L939)*'Progetto del paramento slu'!$G$54,'Progetto del paramento slu'!$G$53)*IF(L939&lt;0,-1,1)</f>
        <v>153664.85805602249</v>
      </c>
      <c r="S939" s="553">
        <f>'Foglio deposito bis'!$F$60*IF(ABS(M939)&lt;'Progetto del paramento slu'!$G$58,ABS(M939)*'Progetto del paramento slu'!$G$54,'Progetto del paramento slu'!$G$53)*IF(M939&lt;0,-1,1)</f>
        <v>0</v>
      </c>
      <c r="T939" s="553">
        <f>'Foglio deposito bis'!$F$61*IF(ABS(N939)&lt;'Progetto del paramento slu'!$G$58,ABS(N939)*'Progetto del paramento slu'!$G$54,'Progetto del paramento slu'!$G$53)*IF(N939&lt;0,-1,1)</f>
        <v>240946.49743184328</v>
      </c>
      <c r="U939" s="553">
        <f>'Foglio deposito bis'!$F$62*IF(ABS(O939)&lt;'Progetto del paramento slu'!$G$58,ABS(O939)*'Progetto del paramento slu'!$G$54,'Progetto del paramento slu'!$G$53)*IF(O939&lt;0,-1,1)</f>
        <v>314705.62929873407</v>
      </c>
      <c r="V939" s="479">
        <f t="shared" si="69"/>
        <v>-589654.12044629152</v>
      </c>
      <c r="W939" s="559"/>
      <c r="X939" s="559"/>
    </row>
    <row r="940" spans="1:24" x14ac:dyDescent="0.25">
      <c r="A940" s="553">
        <f t="shared" si="68"/>
        <v>601098.79978755023</v>
      </c>
      <c r="B940" s="3">
        <f t="shared" si="70"/>
        <v>22.899999999999942</v>
      </c>
      <c r="C940" s="553">
        <f>'Foglio deposito bis'!$E$156/sezione!$B$247*B940</f>
        <v>92.964387816175503</v>
      </c>
      <c r="D940" s="611">
        <f>-'Progetto del paramento slu'!$G$47*'Progetto del paramento slu'!$G$41*IF(DATI!$G$218="dx",DATI!$E$61,DATI!$E$64*DATI!$E$63)*1000*C940^2*sezione!$AD$5*(1-sezione!$AD$6)</f>
        <v>-71144048.699392095</v>
      </c>
      <c r="E940" s="553">
        <f>-'Foglio deposito bis'!$F$58*(C940-sezione!$AL$30)*IF(ABS(K940)&lt;'Progetto del paramento slu'!$G$58,ABS(K940)*'Progetto del paramento slu'!$G$54,'Progetto del paramento slu'!$G$53)</f>
        <v>0</v>
      </c>
      <c r="F940" s="553">
        <f>-'Foglio deposito bis'!$F$59*(C940-sezione!$AM$30)*IF(ABS(L940)&lt;'Progetto del paramento slu'!$G$58,ABS(L940)*'Progetto del paramento slu'!$G$54,'Progetto del paramento slu'!$G$53)</f>
        <v>8764369.2503657397</v>
      </c>
      <c r="G940" s="553">
        <f>-'Foglio deposito bis'!$F$60*(C940-sezione!$AN$30)*IF(ABS(M940)&lt;'Progetto del paramento slu'!$G$58,ABS(M940)*'Progetto del paramento slu'!$G$54,'Progetto del paramento slu'!$G$53)</f>
        <v>0</v>
      </c>
      <c r="H940" s="553">
        <f>-'Foglio deposito bis'!$F$61*(C940-sezione!$AO$30)*IF(ABS(N940)&lt;'Progetto del paramento slu'!$G$58,ABS(N940)*'Progetto del paramento slu'!$G$54,'Progetto del paramento slu'!$G$53)</f>
        <v>59522365.496623695</v>
      </c>
      <c r="I940" s="479">
        <f>-'Foglio deposito bis'!$F$62*(C940-sezione!$AP$30)*IF(ABS(O940)&lt;'Progetto del paramento slu'!$G$58,ABS(O940)*'Progetto del paramento slu'!$G$54,'Progetto del paramento slu'!$G$53)</f>
        <v>52567985.512466326</v>
      </c>
      <c r="J940" s="479">
        <f t="shared" si="67"/>
        <v>49710671.560063668</v>
      </c>
      <c r="K940" s="558">
        <f>'Progetto del paramento slu'!$G$60*(sezione!$AL$30-C940)/C940</f>
        <v>-1.9940469862843495E-3</v>
      </c>
      <c r="L940" s="558">
        <f>'Progetto del paramento slu'!$G$60*(sezione!$AM$30-C940)/C940</f>
        <v>2.1473238014336894E-3</v>
      </c>
      <c r="M940" s="559">
        <f>'Progetto del paramento slu'!$G$60*(sezione!$AN$30-C940)/C940</f>
        <v>6.2886945891517283E-3</v>
      </c>
      <c r="N940" s="559">
        <f>'Progetto del paramento slu'!$G$60*(sezione!$AO$30-C940)/C940</f>
        <v>9.3006006165830303E-3</v>
      </c>
      <c r="O940" s="559">
        <f>'Progetto del paramento slu'!$G$60*(sezione!$AP$30-C940)/C940</f>
        <v>6.2888068116118828E-3</v>
      </c>
      <c r="P940" s="553">
        <f>-'Progetto del paramento slu'!$G$47*'Progetto del paramento slu'!$G$41*IF(DATI!$G$218="dx",DATI!$E$61,DATI!$E$64*DATI!$E$63)*1000*C940*sezione!$AD$5</f>
        <v>-1310415.7845741501</v>
      </c>
      <c r="Q940" s="553">
        <f>'Foglio deposito bis'!$F$58*IF(ABS(K940)&lt;'Progetto del paramento slu'!$G$58,ABS(K940)*'Progetto del paramento slu'!$G$54,'Progetto del paramento slu'!$G$53)*IF(K940&lt;0,-1,1)</f>
        <v>0</v>
      </c>
      <c r="R940" s="553">
        <f>'Foglio deposito bis'!$F$59*IF(ABS(L940)&lt;'Progetto del paramento slu'!$G$58,ABS(L940)*'Progetto del paramento slu'!$G$54,'Progetto del paramento slu'!$G$53)*IF(L940&lt;0,-1,1)</f>
        <v>153664.85805602249</v>
      </c>
      <c r="S940" s="553">
        <f>'Foglio deposito bis'!$F$60*IF(ABS(M940)&lt;'Progetto del paramento slu'!$G$58,ABS(M940)*'Progetto del paramento slu'!$G$54,'Progetto del paramento slu'!$G$53)*IF(M940&lt;0,-1,1)</f>
        <v>0</v>
      </c>
      <c r="T940" s="553">
        <f>'Foglio deposito bis'!$F$61*IF(ABS(N940)&lt;'Progetto del paramento slu'!$G$58,ABS(N940)*'Progetto del paramento slu'!$G$54,'Progetto del paramento slu'!$G$53)*IF(N940&lt;0,-1,1)</f>
        <v>240946.49743184328</v>
      </c>
      <c r="U940" s="553">
        <f>'Foglio deposito bis'!$F$62*IF(ABS(O940)&lt;'Progetto del paramento slu'!$G$58,ABS(O940)*'Progetto del paramento slu'!$G$54,'Progetto del paramento slu'!$G$53)*IF(O940&lt;0,-1,1)</f>
        <v>314705.62929873407</v>
      </c>
      <c r="V940" s="479">
        <f t="shared" si="69"/>
        <v>-601098.79978755023</v>
      </c>
      <c r="W940" s="559"/>
      <c r="X940" s="559"/>
    </row>
    <row r="941" spans="1:24" x14ac:dyDescent="0.25">
      <c r="A941" s="553">
        <f t="shared" si="68"/>
        <v>658322.1964938452</v>
      </c>
      <c r="B941" s="3">
        <f t="shared" ref="B941:B991" si="71">B940+1</f>
        <v>23.899999999999942</v>
      </c>
      <c r="C941" s="553">
        <f>'Foglio deposito bis'!$E$156/sezione!$B$247*B941</f>
        <v>97.023968070156982</v>
      </c>
      <c r="D941" s="611">
        <f>-'Progetto del paramento slu'!$G$47*'Progetto del paramento slu'!$G$41*IF(DATI!$G$218="dx",DATI!$E$61,DATI!$E$64*DATI!$E$63)*1000*C941^2*sezione!$AD$5*(1-sezione!$AD$6)</f>
        <v>-77493167.66953294</v>
      </c>
      <c r="E941" s="553">
        <f>-'Foglio deposito bis'!$F$58*(C941-sezione!$AL$30)*IF(ABS(K941)&lt;'Progetto del paramento slu'!$G$58,ABS(K941)*'Progetto del paramento slu'!$G$54,'Progetto del paramento slu'!$G$53)</f>
        <v>0</v>
      </c>
      <c r="F941" s="553">
        <f>-'Foglio deposito bis'!$F$59*(C941-sezione!$AM$30)*IF(ABS(L941)&lt;'Progetto del paramento slu'!$G$58,ABS(L941)*'Progetto del paramento slu'!$G$54,'Progetto del paramento slu'!$G$53)</f>
        <v>8140554.4268706422</v>
      </c>
      <c r="G941" s="553">
        <f>-'Foglio deposito bis'!$F$60*(C941-sezione!$AN$30)*IF(ABS(M941)&lt;'Progetto del paramento slu'!$G$58,ABS(M941)*'Progetto del paramento slu'!$G$54,'Progetto del paramento slu'!$G$53)</f>
        <v>0</v>
      </c>
      <c r="H941" s="553">
        <f>-'Foglio deposito bis'!$F$61*(C941-sezione!$AO$30)*IF(ABS(N941)&lt;'Progetto del paramento slu'!$G$58,ABS(N941)*'Progetto del paramento slu'!$G$54,'Progetto del paramento slu'!$G$53)</f>
        <v>58544223.8533834</v>
      </c>
      <c r="I941" s="479">
        <f>-'Foglio deposito bis'!$F$62*(C941-sezione!$AP$30)*IF(ABS(O941)&lt;'Progetto del paramento slu'!$G$58,ABS(O941)*'Progetto del paramento slu'!$G$54,'Progetto del paramento slu'!$G$53)</f>
        <v>51290412.753948383</v>
      </c>
      <c r="J941" s="479">
        <f t="shared" ref="J941:J991" si="72">D941+E941+F941+G941+H941+I941</f>
        <v>40482023.364669487</v>
      </c>
      <c r="K941" s="558">
        <f>'Progetto del paramento slu'!$G$60*(sezione!$AL$30-C941)/C941</f>
        <v>-2.0570575726322846E-3</v>
      </c>
      <c r="L941" s="558">
        <f>'Progetto del paramento slu'!$G$60*(sezione!$AM$30-C941)/C941</f>
        <v>1.9110341026289314E-3</v>
      </c>
      <c r="M941" s="559">
        <f>'Progetto del paramento slu'!$G$60*(sezione!$AN$30-C941)/C941</f>
        <v>5.8791257778901488E-3</v>
      </c>
      <c r="N941" s="559">
        <f>'Progetto del paramento slu'!$G$60*(sezione!$AO$30-C941)/C941</f>
        <v>8.7650106326255788E-3</v>
      </c>
      <c r="O941" s="559">
        <f>'Progetto del paramento slu'!$G$60*(sezione!$AP$30-C941)/C941</f>
        <v>5.8792333048498782E-3</v>
      </c>
      <c r="P941" s="553">
        <f>-'Progetto del paramento slu'!$G$47*'Progetto del paramento slu'!$G$41*IF(DATI!$G$218="dx",DATI!$E$61,DATI!$E$64*DATI!$E$63)*1000*C941*sezione!$AD$5</f>
        <v>-1367639.1812804451</v>
      </c>
      <c r="Q941" s="553">
        <f>'Foglio deposito bis'!$F$58*IF(ABS(K941)&lt;'Progetto del paramento slu'!$G$58,ABS(K941)*'Progetto del paramento slu'!$G$54,'Progetto del paramento slu'!$G$53)*IF(K941&lt;0,-1,1)</f>
        <v>0</v>
      </c>
      <c r="R941" s="553">
        <f>'Foglio deposito bis'!$F$59*IF(ABS(L941)&lt;'Progetto del paramento slu'!$G$58,ABS(L941)*'Progetto del paramento slu'!$G$54,'Progetto del paramento slu'!$G$53)*IF(L941&lt;0,-1,1)</f>
        <v>153664.85805602249</v>
      </c>
      <c r="S941" s="553">
        <f>'Foglio deposito bis'!$F$60*IF(ABS(M941)&lt;'Progetto del paramento slu'!$G$58,ABS(M941)*'Progetto del paramento slu'!$G$54,'Progetto del paramento slu'!$G$53)*IF(M941&lt;0,-1,1)</f>
        <v>0</v>
      </c>
      <c r="T941" s="553">
        <f>'Foglio deposito bis'!$F$61*IF(ABS(N941)&lt;'Progetto del paramento slu'!$G$58,ABS(N941)*'Progetto del paramento slu'!$G$54,'Progetto del paramento slu'!$G$53)*IF(N941&lt;0,-1,1)</f>
        <v>240946.49743184328</v>
      </c>
      <c r="U941" s="553">
        <f>'Foglio deposito bis'!$F$62*IF(ABS(O941)&lt;'Progetto del paramento slu'!$G$58,ABS(O941)*'Progetto del paramento slu'!$G$54,'Progetto del paramento slu'!$G$53)*IF(O941&lt;0,-1,1)</f>
        <v>314705.62929873407</v>
      </c>
      <c r="V941" s="479">
        <f t="shared" si="69"/>
        <v>-658322.1964938452</v>
      </c>
      <c r="W941" s="559"/>
      <c r="X941" s="559"/>
    </row>
    <row r="942" spans="1:24" x14ac:dyDescent="0.25">
      <c r="A942" s="553">
        <f t="shared" ref="A942:A991" si="73">ABS(V942)</f>
        <v>732194.97697292827</v>
      </c>
      <c r="B942" s="3">
        <f t="shared" si="71"/>
        <v>24.899999999999942</v>
      </c>
      <c r="C942" s="553">
        <f>'Foglio deposito bis'!$E$156/sezione!$B$247*B942</f>
        <v>101.08354832413846</v>
      </c>
      <c r="D942" s="611">
        <f>-'Progetto del paramento slu'!$G$47*'Progetto del paramento slu'!$G$41*IF(DATI!$G$218="dx",DATI!$E$61,DATI!$E$64*DATI!$E$63)*1000*C942^2*sezione!$AD$5*(1-sezione!$AD$6)</f>
        <v>-84113616.510192633</v>
      </c>
      <c r="E942" s="553">
        <f>-'Foglio deposito bis'!$F$58*(C942-sezione!$AL$30)*IF(ABS(K942)&lt;'Progetto del paramento slu'!$G$58,ABS(K942)*'Progetto del paramento slu'!$G$54,'Progetto del paramento slu'!$G$53)</f>
        <v>0</v>
      </c>
      <c r="F942" s="553">
        <f>-'Foglio deposito bis'!$F$59*(C942-sezione!$AM$30)*IF(ABS(L942)&lt;'Progetto del paramento slu'!$G$58,ABS(L942)*'Progetto del paramento slu'!$G$54,'Progetto del paramento slu'!$G$53)</f>
        <v>6702310.8266210845</v>
      </c>
      <c r="G942" s="553">
        <f>-'Foglio deposito bis'!$F$60*(C942-sezione!$AN$30)*IF(ABS(M942)&lt;'Progetto del paramento slu'!$G$58,ABS(M942)*'Progetto del paramento slu'!$G$54,'Progetto del paramento slu'!$G$53)</f>
        <v>0</v>
      </c>
      <c r="H942" s="553">
        <f>-'Foglio deposito bis'!$F$61*(C942-sezione!$AO$30)*IF(ABS(N942)&lt;'Progetto del paramento slu'!$G$58,ABS(N942)*'Progetto del paramento slu'!$G$54,'Progetto del paramento slu'!$G$53)</f>
        <v>57566082.210143074</v>
      </c>
      <c r="I942" s="479">
        <f>-'Foglio deposito bis'!$F$62*(C942-sezione!$AP$30)*IF(ABS(O942)&lt;'Progetto del paramento slu'!$G$58,ABS(O942)*'Progetto del paramento slu'!$G$54,'Progetto del paramento slu'!$G$53)</f>
        <v>50012839.99543041</v>
      </c>
      <c r="J942" s="479">
        <f t="shared" si="72"/>
        <v>30167616.522001937</v>
      </c>
      <c r="K942" s="558">
        <f>'Progetto del paramento slu'!$G$60*(sezione!$AL$30-C942)/C942</f>
        <v>-2.1150070677072937E-3</v>
      </c>
      <c r="L942" s="558">
        <f>'Progetto del paramento slu'!$G$60*(sezione!$AM$30-C942)/C942</f>
        <v>1.6937234960976483E-3</v>
      </c>
      <c r="M942" s="559">
        <f>'Progetto del paramento slu'!$G$60*(sezione!$AN$30-C942)/C942</f>
        <v>5.5024540599025902E-3</v>
      </c>
      <c r="N942" s="559">
        <f>'Progetto del paramento slu'!$G$60*(sezione!$AO$30-C942)/C942</f>
        <v>8.272439924488003E-3</v>
      </c>
      <c r="O942" s="559">
        <f>'Progetto del paramento slu'!$G$60*(sezione!$AP$30-C942)/C942</f>
        <v>5.5025572685105236E-3</v>
      </c>
      <c r="P942" s="553">
        <f>-'Progetto del paramento slu'!$G$47*'Progetto del paramento slu'!$G$41*IF(DATI!$G$218="dx",DATI!$E$61,DATI!$E$64*DATI!$E$63)*1000*C942*sezione!$AD$5</f>
        <v>-1424862.57798674</v>
      </c>
      <c r="Q942" s="553">
        <f>'Foglio deposito bis'!$F$58*IF(ABS(K942)&lt;'Progetto del paramento slu'!$G$58,ABS(K942)*'Progetto del paramento slu'!$G$54,'Progetto del paramento slu'!$G$53)*IF(K942&lt;0,-1,1)</f>
        <v>0</v>
      </c>
      <c r="R942" s="553">
        <f>'Foglio deposito bis'!$F$59*IF(ABS(L942)&lt;'Progetto del paramento slu'!$G$58,ABS(L942)*'Progetto del paramento slu'!$G$54,'Progetto del paramento slu'!$G$53)*IF(L942&lt;0,-1,1)</f>
        <v>137015.47428323439</v>
      </c>
      <c r="S942" s="553">
        <f>'Foglio deposito bis'!$F$60*IF(ABS(M942)&lt;'Progetto del paramento slu'!$G$58,ABS(M942)*'Progetto del paramento slu'!$G$54,'Progetto del paramento slu'!$G$53)*IF(M942&lt;0,-1,1)</f>
        <v>0</v>
      </c>
      <c r="T942" s="553">
        <f>'Foglio deposito bis'!$F$61*IF(ABS(N942)&lt;'Progetto del paramento slu'!$G$58,ABS(N942)*'Progetto del paramento slu'!$G$54,'Progetto del paramento slu'!$G$53)*IF(N942&lt;0,-1,1)</f>
        <v>240946.49743184328</v>
      </c>
      <c r="U942" s="553">
        <f>'Foglio deposito bis'!$F$62*IF(ABS(O942)&lt;'Progetto del paramento slu'!$G$58,ABS(O942)*'Progetto del paramento slu'!$G$54,'Progetto del paramento slu'!$G$53)*IF(O942&lt;0,-1,1)</f>
        <v>314705.62929873407</v>
      </c>
      <c r="V942" s="479">
        <f t="shared" ref="V942:V991" si="74">P942+Q942+R942+S942+T942+U942</f>
        <v>-732194.97697292827</v>
      </c>
      <c r="W942" s="559"/>
      <c r="X942" s="559"/>
    </row>
    <row r="943" spans="1:24" x14ac:dyDescent="0.25">
      <c r="A943" s="553">
        <f t="shared" si="73"/>
        <v>805640.4397868684</v>
      </c>
      <c r="B943" s="3">
        <f t="shared" si="71"/>
        <v>25.899999999999942</v>
      </c>
      <c r="C943" s="553">
        <f>'Foglio deposito bis'!$E$156/sezione!$B$247*B943</f>
        <v>105.14312857811993</v>
      </c>
      <c r="D943" s="611">
        <f>-'Progetto del paramento slu'!$G$47*'Progetto del paramento slu'!$G$41*IF(DATI!$G$218="dx",DATI!$E$61,DATI!$E$64*DATI!$E$63)*1000*C943^2*sezione!$AD$5*(1-sezione!$AD$6)</f>
        <v>-91005395.221371129</v>
      </c>
      <c r="E943" s="553">
        <f>-'Foglio deposito bis'!$F$58*(C943-sezione!$AL$30)*IF(ABS(K943)&lt;'Progetto del paramento slu'!$G$58,ABS(K943)*'Progetto del paramento slu'!$G$54,'Progetto del paramento slu'!$G$53)</f>
        <v>0</v>
      </c>
      <c r="F943" s="553">
        <f>-'Foglio deposito bis'!$F$59*(C943-sezione!$AM$30)*IF(ABS(L943)&lt;'Progetto del paramento slu'!$G$58,ABS(L943)*'Progetto del paramento slu'!$G$54,'Progetto del paramento slu'!$G$53)</f>
        <v>5418414.379143076</v>
      </c>
      <c r="G943" s="553">
        <f>-'Foglio deposito bis'!$F$60*(C943-sezione!$AN$30)*IF(ABS(M943)&lt;'Progetto del paramento slu'!$G$58,ABS(M943)*'Progetto del paramento slu'!$G$54,'Progetto del paramento slu'!$G$53)</f>
        <v>0</v>
      </c>
      <c r="H943" s="553">
        <f>-'Foglio deposito bis'!$F$61*(C943-sezione!$AO$30)*IF(ABS(N943)&lt;'Progetto del paramento slu'!$G$58,ABS(N943)*'Progetto del paramento slu'!$G$54,'Progetto del paramento slu'!$G$53)</f>
        <v>56587940.566902764</v>
      </c>
      <c r="I943" s="479">
        <f>-'Foglio deposito bis'!$F$62*(C943-sezione!$AP$30)*IF(ABS(O943)&lt;'Progetto del paramento slu'!$G$58,ABS(O943)*'Progetto del paramento slu'!$G$54,'Progetto del paramento slu'!$G$53)</f>
        <v>48735267.236912467</v>
      </c>
      <c r="J943" s="479">
        <f t="shared" si="72"/>
        <v>19736226.961587176</v>
      </c>
      <c r="K943" s="558">
        <f>'Progetto del paramento slu'!$G$60*(sezione!$AL$30-C943)/C943</f>
        <v>-2.1684816982977459E-3</v>
      </c>
      <c r="L943" s="558">
        <f>'Progetto del paramento slu'!$G$60*(sezione!$AM$30-C943)/C943</f>
        <v>1.4931936313834534E-3</v>
      </c>
      <c r="M943" s="559">
        <f>'Progetto del paramento slu'!$G$60*(sezione!$AN$30-C943)/C943</f>
        <v>5.1548689610646523E-3</v>
      </c>
      <c r="N943" s="559">
        <f>'Progetto del paramento slu'!$G$60*(sezione!$AO$30-C943)/C943</f>
        <v>7.8179055644691606E-3</v>
      </c>
      <c r="O943" s="559">
        <f>'Progetto del paramento slu'!$G$60*(sezione!$AP$30-C943)/C943</f>
        <v>5.154968184784248E-3</v>
      </c>
      <c r="P943" s="553">
        <f>-'Progetto del paramento slu'!$G$47*'Progetto del paramento slu'!$G$41*IF(DATI!$G$218="dx",DATI!$E$61,DATI!$E$64*DATI!$E$63)*1000*C943*sezione!$AD$5</f>
        <v>-1482085.9746930348</v>
      </c>
      <c r="Q943" s="553">
        <f>'Foglio deposito bis'!$F$58*IF(ABS(K943)&lt;'Progetto del paramento slu'!$G$58,ABS(K943)*'Progetto del paramento slu'!$G$54,'Progetto del paramento slu'!$G$53)*IF(K943&lt;0,-1,1)</f>
        <v>0</v>
      </c>
      <c r="R943" s="553">
        <f>'Foglio deposito bis'!$F$59*IF(ABS(L943)&lt;'Progetto del paramento slu'!$G$58,ABS(L943)*'Progetto del paramento slu'!$G$54,'Progetto del paramento slu'!$G$53)*IF(L943&lt;0,-1,1)</f>
        <v>120793.40817558907</v>
      </c>
      <c r="S943" s="553">
        <f>'Foglio deposito bis'!$F$60*IF(ABS(M943)&lt;'Progetto del paramento slu'!$G$58,ABS(M943)*'Progetto del paramento slu'!$G$54,'Progetto del paramento slu'!$G$53)*IF(M943&lt;0,-1,1)</f>
        <v>0</v>
      </c>
      <c r="T943" s="553">
        <f>'Foglio deposito bis'!$F$61*IF(ABS(N943)&lt;'Progetto del paramento slu'!$G$58,ABS(N943)*'Progetto del paramento slu'!$G$54,'Progetto del paramento slu'!$G$53)*IF(N943&lt;0,-1,1)</f>
        <v>240946.49743184328</v>
      </c>
      <c r="U943" s="553">
        <f>'Foglio deposito bis'!$F$62*IF(ABS(O943)&lt;'Progetto del paramento slu'!$G$58,ABS(O943)*'Progetto del paramento slu'!$G$54,'Progetto del paramento slu'!$G$53)*IF(O943&lt;0,-1,1)</f>
        <v>314705.62929873407</v>
      </c>
      <c r="V943" s="479">
        <f t="shared" si="74"/>
        <v>-805640.4397868684</v>
      </c>
      <c r="W943" s="559"/>
      <c r="X943" s="559"/>
    </row>
    <row r="944" spans="1:24" x14ac:dyDescent="0.25">
      <c r="A944" s="553">
        <f t="shared" si="73"/>
        <v>877879.80103146727</v>
      </c>
      <c r="B944" s="3">
        <f t="shared" si="71"/>
        <v>26.899999999999942</v>
      </c>
      <c r="C944" s="553">
        <f>'Foglio deposito bis'!$E$156/sezione!$B$247*B944</f>
        <v>109.20270883210141</v>
      </c>
      <c r="D944" s="611">
        <f>-'Progetto del paramento slu'!$G$47*'Progetto del paramento slu'!$G$41*IF(DATI!$G$218="dx",DATI!$E$61,DATI!$E$64*DATI!$E$63)*1000*C944^2*sezione!$AD$5*(1-sezione!$AD$6)</f>
        <v>-98168503.803068519</v>
      </c>
      <c r="E944" s="553">
        <f>-'Foglio deposito bis'!$F$58*(C944-sezione!$AL$30)*IF(ABS(K944)&lt;'Progetto del paramento slu'!$G$58,ABS(K944)*'Progetto del paramento slu'!$G$54,'Progetto del paramento slu'!$G$53)</f>
        <v>0</v>
      </c>
      <c r="F944" s="553">
        <f>-'Foglio deposito bis'!$F$59*(C944-sezione!$AM$30)*IF(ABS(L944)&lt;'Progetto del paramento slu'!$G$58,ABS(L944)*'Progetto del paramento slu'!$G$54,'Progetto del paramento slu'!$G$53)</f>
        <v>4315433.1670663105</v>
      </c>
      <c r="G944" s="553">
        <f>-'Foglio deposito bis'!$F$60*(C944-sezione!$AN$30)*IF(ABS(M944)&lt;'Progetto del paramento slu'!$G$58,ABS(M944)*'Progetto del paramento slu'!$G$54,'Progetto del paramento slu'!$G$53)</f>
        <v>0</v>
      </c>
      <c r="H944" s="553">
        <f>-'Foglio deposito bis'!$F$61*(C944-sezione!$AO$30)*IF(ABS(N944)&lt;'Progetto del paramento slu'!$G$58,ABS(N944)*'Progetto del paramento slu'!$G$54,'Progetto del paramento slu'!$G$53)</f>
        <v>55609798.923662469</v>
      </c>
      <c r="I944" s="479">
        <f>-'Foglio deposito bis'!$F$62*(C944-sezione!$AP$30)*IF(ABS(O944)&lt;'Progetto del paramento slu'!$G$58,ABS(O944)*'Progetto del paramento slu'!$G$54,'Progetto del paramento slu'!$G$53)</f>
        <v>47457694.478394508</v>
      </c>
      <c r="J944" s="479">
        <f t="shared" si="72"/>
        <v>9214422.7660547644</v>
      </c>
      <c r="K944" s="558">
        <f>'Progetto del paramento slu'!$G$60*(sezione!$AL$30-C944)/C944</f>
        <v>-2.2179805199223652E-3</v>
      </c>
      <c r="L944" s="558">
        <f>'Progetto del paramento slu'!$G$60*(sezione!$AM$30-C944)/C944</f>
        <v>1.3075730502911309E-3</v>
      </c>
      <c r="M944" s="559">
        <f>'Progetto del paramento slu'!$G$60*(sezione!$AN$30-C944)/C944</f>
        <v>4.8331266205046278E-3</v>
      </c>
      <c r="N944" s="559">
        <f>'Progetto del paramento slu'!$G$60*(sezione!$AO$30-C944)/C944</f>
        <v>7.3971655806598976E-3</v>
      </c>
      <c r="O944" s="559">
        <f>'Progetto del paramento slu'!$G$60*(sezione!$AP$30-C944)/C944</f>
        <v>4.8332221556101115E-3</v>
      </c>
      <c r="P944" s="553">
        <f>-'Progetto del paramento slu'!$G$47*'Progetto del paramento slu'!$G$41*IF(DATI!$G$218="dx",DATI!$E$61,DATI!$E$64*DATI!$E$63)*1000*C944*sezione!$AD$5</f>
        <v>-1539309.37139933</v>
      </c>
      <c r="Q944" s="553">
        <f>'Foglio deposito bis'!$F$58*IF(ABS(K944)&lt;'Progetto del paramento slu'!$G$58,ABS(K944)*'Progetto del paramento slu'!$G$54,'Progetto del paramento slu'!$G$53)*IF(K944&lt;0,-1,1)</f>
        <v>0</v>
      </c>
      <c r="R944" s="553">
        <f>'Foglio deposito bis'!$F$59*IF(ABS(L944)&lt;'Progetto del paramento slu'!$G$58,ABS(L944)*'Progetto del paramento slu'!$G$54,'Progetto del paramento slu'!$G$53)*IF(L944&lt;0,-1,1)</f>
        <v>105777.44363728529</v>
      </c>
      <c r="S944" s="553">
        <f>'Foglio deposito bis'!$F$60*IF(ABS(M944)&lt;'Progetto del paramento slu'!$G$58,ABS(M944)*'Progetto del paramento slu'!$G$54,'Progetto del paramento slu'!$G$53)*IF(M944&lt;0,-1,1)</f>
        <v>0</v>
      </c>
      <c r="T944" s="553">
        <f>'Foglio deposito bis'!$F$61*IF(ABS(N944)&lt;'Progetto del paramento slu'!$G$58,ABS(N944)*'Progetto del paramento slu'!$G$54,'Progetto del paramento slu'!$G$53)*IF(N944&lt;0,-1,1)</f>
        <v>240946.49743184328</v>
      </c>
      <c r="U944" s="553">
        <f>'Foglio deposito bis'!$F$62*IF(ABS(O944)&lt;'Progetto del paramento slu'!$G$58,ABS(O944)*'Progetto del paramento slu'!$G$54,'Progetto del paramento slu'!$G$53)*IF(O944&lt;0,-1,1)</f>
        <v>314705.62929873407</v>
      </c>
      <c r="V944" s="479">
        <f t="shared" si="74"/>
        <v>-877879.80103146727</v>
      </c>
      <c r="W944" s="559"/>
      <c r="X944" s="559"/>
    </row>
    <row r="945" spans="1:24" x14ac:dyDescent="0.25">
      <c r="A945" s="553">
        <f t="shared" si="73"/>
        <v>949042.74904751359</v>
      </c>
      <c r="B945" s="3">
        <f t="shared" si="71"/>
        <v>27.899999999999942</v>
      </c>
      <c r="C945" s="553">
        <f>'Foglio deposito bis'!$E$156/sezione!$B$247*B945</f>
        <v>113.26228908608287</v>
      </c>
      <c r="D945" s="611">
        <f>-'Progetto del paramento slu'!$G$47*'Progetto del paramento slu'!$G$41*IF(DATI!$G$218="dx",DATI!$E$61,DATI!$E$64*DATI!$E$63)*1000*C945^2*sezione!$AD$5*(1-sezione!$AD$6)</f>
        <v>-105602942.25528471</v>
      </c>
      <c r="E945" s="553">
        <f>-'Foglio deposito bis'!$F$58*(C945-sezione!$AL$30)*IF(ABS(K945)&lt;'Progetto del paramento slu'!$G$58,ABS(K945)*'Progetto del paramento slu'!$G$54,'Progetto del paramento slu'!$G$53)</f>
        <v>0</v>
      </c>
      <c r="F945" s="553">
        <f>-'Foglio deposito bis'!$F$59*(C945-sezione!$AM$30)*IF(ABS(L945)&lt;'Progetto del paramento slu'!$G$58,ABS(L945)*'Progetto del paramento slu'!$G$54,'Progetto del paramento slu'!$G$53)</f>
        <v>3373913.939272387</v>
      </c>
      <c r="G945" s="553">
        <f>-'Foglio deposito bis'!$F$60*(C945-sezione!$AN$30)*IF(ABS(M945)&lt;'Progetto del paramento slu'!$G$58,ABS(M945)*'Progetto del paramento slu'!$G$54,'Progetto del paramento slu'!$G$53)</f>
        <v>0</v>
      </c>
      <c r="H945" s="553">
        <f>-'Foglio deposito bis'!$F$61*(C945-sezione!$AO$30)*IF(ABS(N945)&lt;'Progetto del paramento slu'!$G$58,ABS(N945)*'Progetto del paramento slu'!$G$54,'Progetto del paramento slu'!$G$53)</f>
        <v>54631657.280422151</v>
      </c>
      <c r="I945" s="479">
        <f>-'Foglio deposito bis'!$F$62*(C945-sezione!$AP$30)*IF(ABS(O945)&lt;'Progetto del paramento slu'!$G$58,ABS(O945)*'Progetto del paramento slu'!$G$54,'Progetto del paramento slu'!$G$53)</f>
        <v>46180121.71987655</v>
      </c>
      <c r="J945" s="479">
        <f t="shared" si="72"/>
        <v>-1417249.3157136217</v>
      </c>
      <c r="K945" s="558">
        <f>'Progetto del paramento slu'!$G$60*(sezione!$AL$30-C945)/C945</f>
        <v>-2.2639310389215633E-3</v>
      </c>
      <c r="L945" s="558">
        <f>'Progetto del paramento slu'!$G$60*(sezione!$AM$30-C945)/C945</f>
        <v>1.1352586040441371E-3</v>
      </c>
      <c r="M945" s="559">
        <f>'Progetto del paramento slu'!$G$60*(sezione!$AN$30-C945)/C945</f>
        <v>4.534448247009837E-3</v>
      </c>
      <c r="N945" s="559">
        <f>'Progetto del paramento slu'!$G$60*(sezione!$AO$30-C945)/C945</f>
        <v>7.0065861691667106E-3</v>
      </c>
      <c r="O945" s="559">
        <f>'Progetto del paramento slu'!$G$60*(sezione!$AP$30-C945)/C945</f>
        <v>4.5345403579179931E-3</v>
      </c>
      <c r="P945" s="553">
        <f>-'Progetto del paramento slu'!$G$47*'Progetto del paramento slu'!$G$41*IF(DATI!$G$218="dx",DATI!$E$61,DATI!$E$64*DATI!$E$63)*1000*C945*sezione!$AD$5</f>
        <v>-1596532.7681056247</v>
      </c>
      <c r="Q945" s="553">
        <f>'Foglio deposito bis'!$F$58*IF(ABS(K945)&lt;'Progetto del paramento slu'!$G$58,ABS(K945)*'Progetto del paramento slu'!$G$54,'Progetto del paramento slu'!$G$53)*IF(K945&lt;0,-1,1)</f>
        <v>0</v>
      </c>
      <c r="R945" s="553">
        <f>'Foglio deposito bis'!$F$59*IF(ABS(L945)&lt;'Progetto del paramento slu'!$G$58,ABS(L945)*'Progetto del paramento slu'!$G$54,'Progetto del paramento slu'!$G$53)*IF(L945&lt;0,-1,1)</f>
        <v>91837.892327533875</v>
      </c>
      <c r="S945" s="553">
        <f>'Foglio deposito bis'!$F$60*IF(ABS(M945)&lt;'Progetto del paramento slu'!$G$58,ABS(M945)*'Progetto del paramento slu'!$G$54,'Progetto del paramento slu'!$G$53)*IF(M945&lt;0,-1,1)</f>
        <v>0</v>
      </c>
      <c r="T945" s="553">
        <f>'Foglio deposito bis'!$F$61*IF(ABS(N945)&lt;'Progetto del paramento slu'!$G$58,ABS(N945)*'Progetto del paramento slu'!$G$54,'Progetto del paramento slu'!$G$53)*IF(N945&lt;0,-1,1)</f>
        <v>240946.49743184328</v>
      </c>
      <c r="U945" s="553">
        <f>'Foglio deposito bis'!$F$62*IF(ABS(O945)&lt;'Progetto del paramento slu'!$G$58,ABS(O945)*'Progetto del paramento slu'!$G$54,'Progetto del paramento slu'!$G$53)*IF(O945&lt;0,-1,1)</f>
        <v>314705.62929873407</v>
      </c>
      <c r="V945" s="479">
        <f t="shared" si="74"/>
        <v>-949042.74904751359</v>
      </c>
      <c r="W945" s="559"/>
      <c r="X945" s="559"/>
    </row>
    <row r="946" spans="1:24" x14ac:dyDescent="0.25">
      <c r="A946" s="553">
        <f t="shared" si="73"/>
        <v>1019241.0222324354</v>
      </c>
      <c r="B946" s="3">
        <f t="shared" si="71"/>
        <v>28.899999999999942</v>
      </c>
      <c r="C946" s="553">
        <f>'Foglio deposito bis'!$E$156/sezione!$B$247*B946</f>
        <v>117.32186934006435</v>
      </c>
      <c r="D946" s="611">
        <f>-'Progetto del paramento slu'!$G$47*'Progetto del paramento slu'!$G$41*IF(DATI!$G$218="dx",DATI!$E$61,DATI!$E$64*DATI!$E$63)*1000*C946^2*sezione!$AD$5*(1-sezione!$AD$6)</f>
        <v>-113308710.57801977</v>
      </c>
      <c r="E946" s="553">
        <f>-'Foglio deposito bis'!$F$58*(C946-sezione!$AL$30)*IF(ABS(K946)&lt;'Progetto del paramento slu'!$G$58,ABS(K946)*'Progetto del paramento slu'!$G$54,'Progetto del paramento slu'!$G$53)</f>
        <v>0</v>
      </c>
      <c r="F946" s="553">
        <f>-'Foglio deposito bis'!$F$59*(C946-sezione!$AM$30)*IF(ABS(L946)&lt;'Progetto del paramento slu'!$G$58,ABS(L946)*'Progetto del paramento slu'!$G$54,'Progetto del paramento slu'!$G$53)</f>
        <v>2577095.9361471599</v>
      </c>
      <c r="G946" s="553">
        <f>-'Foglio deposito bis'!$F$60*(C946-sezione!$AN$30)*IF(ABS(M946)&lt;'Progetto del paramento slu'!$G$58,ABS(M946)*'Progetto del paramento slu'!$G$54,'Progetto del paramento slu'!$G$53)</f>
        <v>0</v>
      </c>
      <c r="H946" s="553">
        <f>-'Foglio deposito bis'!$F$61*(C946-sezione!$AO$30)*IF(ABS(N946)&lt;'Progetto del paramento slu'!$G$58,ABS(N946)*'Progetto del paramento slu'!$G$54,'Progetto del paramento slu'!$G$53)</f>
        <v>53653515.637181841</v>
      </c>
      <c r="I946" s="479">
        <f>-'Foglio deposito bis'!$F$62*(C946-sezione!$AP$30)*IF(ABS(O946)&lt;'Progetto del paramento slu'!$G$58,ABS(O946)*'Progetto del paramento slu'!$G$54,'Progetto del paramento slu'!$G$53)</f>
        <v>44902548.961358599</v>
      </c>
      <c r="J946" s="479">
        <f t="shared" si="72"/>
        <v>-12175550.043332174</v>
      </c>
      <c r="K946" s="558">
        <f>'Progetto del paramento slu'!$G$60*(sezione!$AL$30-C946)/C946</f>
        <v>-2.3067015912080148E-3</v>
      </c>
      <c r="L946" s="558">
        <f>'Progetto del paramento slu'!$G$60*(sezione!$AM$30-C946)/C946</f>
        <v>9.7486903296994498E-4</v>
      </c>
      <c r="M946" s="559">
        <f>'Progetto del paramento slu'!$G$60*(sezione!$AN$30-C946)/C946</f>
        <v>4.2564396571479046E-3</v>
      </c>
      <c r="N946" s="559">
        <f>'Progetto del paramento slu'!$G$60*(sezione!$AO$30-C946)/C946</f>
        <v>6.6430364747318751E-3</v>
      </c>
      <c r="O946" s="559">
        <f>'Progetto del paramento slu'!$G$60*(sezione!$AP$30-C946)/C946</f>
        <v>4.2565285808274034E-3</v>
      </c>
      <c r="P946" s="553">
        <f>-'Progetto del paramento slu'!$G$47*'Progetto del paramento slu'!$G$41*IF(DATI!$G$218="dx",DATI!$E$61,DATI!$E$64*DATI!$E$63)*1000*C946*sezione!$AD$5</f>
        <v>-1653756.1648119197</v>
      </c>
      <c r="Q946" s="553">
        <f>'Foglio deposito bis'!$F$58*IF(ABS(K946)&lt;'Progetto del paramento slu'!$G$58,ABS(K946)*'Progetto del paramento slu'!$G$54,'Progetto del paramento slu'!$G$53)*IF(K946&lt;0,-1,1)</f>
        <v>0</v>
      </c>
      <c r="R946" s="553">
        <f>'Foglio deposito bis'!$F$59*IF(ABS(L946)&lt;'Progetto del paramento slu'!$G$58,ABS(L946)*'Progetto del paramento slu'!$G$54,'Progetto del paramento slu'!$G$53)*IF(L946&lt;0,-1,1)</f>
        <v>78863.015848907045</v>
      </c>
      <c r="S946" s="553">
        <f>'Foglio deposito bis'!$F$60*IF(ABS(M946)&lt;'Progetto del paramento slu'!$G$58,ABS(M946)*'Progetto del paramento slu'!$G$54,'Progetto del paramento slu'!$G$53)*IF(M946&lt;0,-1,1)</f>
        <v>0</v>
      </c>
      <c r="T946" s="553">
        <f>'Foglio deposito bis'!$F$61*IF(ABS(N946)&lt;'Progetto del paramento slu'!$G$58,ABS(N946)*'Progetto del paramento slu'!$G$54,'Progetto del paramento slu'!$G$53)*IF(N946&lt;0,-1,1)</f>
        <v>240946.49743184328</v>
      </c>
      <c r="U946" s="553">
        <f>'Foglio deposito bis'!$F$62*IF(ABS(O946)&lt;'Progetto del paramento slu'!$G$58,ABS(O946)*'Progetto del paramento slu'!$G$54,'Progetto del paramento slu'!$G$53)*IF(O946&lt;0,-1,1)</f>
        <v>314705.62929873407</v>
      </c>
      <c r="V946" s="479">
        <f t="shared" si="74"/>
        <v>-1019241.0222324354</v>
      </c>
      <c r="W946" s="559"/>
      <c r="X946" s="559"/>
    </row>
    <row r="947" spans="1:24" x14ac:dyDescent="0.25">
      <c r="A947" s="553">
        <f t="shared" si="73"/>
        <v>1088571.4107030677</v>
      </c>
      <c r="B947" s="3">
        <f t="shared" si="71"/>
        <v>29.899999999999942</v>
      </c>
      <c r="C947" s="553">
        <f>'Foglio deposito bis'!$E$156/sezione!$B$247*B947</f>
        <v>121.38144959404582</v>
      </c>
      <c r="D947" s="611">
        <f>-'Progetto del paramento slu'!$G$47*'Progetto del paramento slu'!$G$41*IF(DATI!$G$218="dx",DATI!$E$61,DATI!$E$64*DATI!$E$63)*1000*C947^2*sezione!$AD$5*(1-sezione!$AD$6)</f>
        <v>-121285808.77127364</v>
      </c>
      <c r="E947" s="553">
        <f>-'Foglio deposito bis'!$F$58*(C947-sezione!$AL$30)*IF(ABS(K947)&lt;'Progetto del paramento slu'!$G$58,ABS(K947)*'Progetto del paramento slu'!$G$54,'Progetto del paramento slu'!$G$53)</f>
        <v>0</v>
      </c>
      <c r="F947" s="553">
        <f>-'Foglio deposito bis'!$F$59*(C947-sezione!$AM$30)*IF(ABS(L947)&lt;'Progetto del paramento slu'!$G$58,ABS(L947)*'Progetto del paramento slu'!$G$54,'Progetto del paramento slu'!$G$53)</f>
        <v>1910460.6401653488</v>
      </c>
      <c r="G947" s="553">
        <f>-'Foglio deposito bis'!$F$60*(C947-sezione!$AN$30)*IF(ABS(M947)&lt;'Progetto del paramento slu'!$G$58,ABS(M947)*'Progetto del paramento slu'!$G$54,'Progetto del paramento slu'!$G$53)</f>
        <v>0</v>
      </c>
      <c r="H947" s="553">
        <f>-'Foglio deposito bis'!$F$61*(C947-sezione!$AO$30)*IF(ABS(N947)&lt;'Progetto del paramento slu'!$G$58,ABS(N947)*'Progetto del paramento slu'!$G$54,'Progetto del paramento slu'!$G$53)</f>
        <v>52675373.993941545</v>
      </c>
      <c r="I947" s="479">
        <f>-'Foglio deposito bis'!$F$62*(C947-sezione!$AP$30)*IF(ABS(O947)&lt;'Progetto del paramento slu'!$G$58,ABS(O947)*'Progetto del paramento slu'!$G$54,'Progetto del paramento slu'!$G$53)</f>
        <v>43624976.202840641</v>
      </c>
      <c r="J947" s="479">
        <f t="shared" si="72"/>
        <v>-23074997.934326112</v>
      </c>
      <c r="K947" s="558">
        <f>'Progetto del paramento slu'!$G$60*(sezione!$AL$30-C947)/C947</f>
        <v>-2.3466112369870109E-3</v>
      </c>
      <c r="L947" s="558">
        <f>'Progetto del paramento slu'!$G$60*(sezione!$AM$30-C947)/C947</f>
        <v>8.2520786129870933E-4</v>
      </c>
      <c r="M947" s="559">
        <f>'Progetto del paramento slu'!$G$60*(sezione!$AN$30-C947)/C947</f>
        <v>3.9970269595844292E-3</v>
      </c>
      <c r="N947" s="559">
        <f>'Progetto del paramento slu'!$G$60*(sezione!$AO$30-C947)/C947</f>
        <v>6.3038044856104083E-3</v>
      </c>
      <c r="O947" s="559">
        <f>'Progetto del paramento slu'!$G$60*(sezione!$AP$30-C947)/C947</f>
        <v>3.9971129092278256E-3</v>
      </c>
      <c r="P947" s="553">
        <f>-'Progetto del paramento slu'!$G$47*'Progetto del paramento slu'!$G$41*IF(DATI!$G$218="dx",DATI!$E$61,DATI!$E$64*DATI!$E$63)*1000*C947*sezione!$AD$5</f>
        <v>-1710979.5615182146</v>
      </c>
      <c r="Q947" s="553">
        <f>'Foglio deposito bis'!$F$58*IF(ABS(K947)&lt;'Progetto del paramento slu'!$G$58,ABS(K947)*'Progetto del paramento slu'!$G$54,'Progetto del paramento slu'!$G$53)*IF(K947&lt;0,-1,1)</f>
        <v>0</v>
      </c>
      <c r="R947" s="553">
        <f>'Foglio deposito bis'!$F$59*IF(ABS(L947)&lt;'Progetto del paramento slu'!$G$58,ABS(L947)*'Progetto del paramento slu'!$G$54,'Progetto del paramento slu'!$G$53)*IF(L947&lt;0,-1,1)</f>
        <v>66756.024084569683</v>
      </c>
      <c r="S947" s="553">
        <f>'Foglio deposito bis'!$F$60*IF(ABS(M947)&lt;'Progetto del paramento slu'!$G$58,ABS(M947)*'Progetto del paramento slu'!$G$54,'Progetto del paramento slu'!$G$53)*IF(M947&lt;0,-1,1)</f>
        <v>0</v>
      </c>
      <c r="T947" s="553">
        <f>'Foglio deposito bis'!$F$61*IF(ABS(N947)&lt;'Progetto del paramento slu'!$G$58,ABS(N947)*'Progetto del paramento slu'!$G$54,'Progetto del paramento slu'!$G$53)*IF(N947&lt;0,-1,1)</f>
        <v>240946.49743184328</v>
      </c>
      <c r="U947" s="553">
        <f>'Foglio deposito bis'!$F$62*IF(ABS(O947)&lt;'Progetto del paramento slu'!$G$58,ABS(O947)*'Progetto del paramento slu'!$G$54,'Progetto del paramento slu'!$G$53)*IF(O947&lt;0,-1,1)</f>
        <v>314705.62929873407</v>
      </c>
      <c r="V947" s="479">
        <f t="shared" si="74"/>
        <v>-1088571.4107030677</v>
      </c>
      <c r="W947" s="559"/>
      <c r="X947" s="559"/>
    </row>
    <row r="948" spans="1:24" x14ac:dyDescent="0.25">
      <c r="A948" s="553">
        <f t="shared" si="73"/>
        <v>1157118.1751112833</v>
      </c>
      <c r="B948" s="3">
        <f t="shared" si="71"/>
        <v>30.899999999999942</v>
      </c>
      <c r="C948" s="553">
        <f>'Foglio deposito bis'!$E$156/sezione!$B$247*B948</f>
        <v>125.4410298480273</v>
      </c>
      <c r="D948" s="611">
        <f>-'Progetto del paramento slu'!$G$47*'Progetto del paramento slu'!$G$41*IF(DATI!$G$218="dx",DATI!$E$61,DATI!$E$64*DATI!$E$63)*1000*C948^2*sezione!$AD$5*(1-sezione!$AD$6)</f>
        <v>-129534236.83504637</v>
      </c>
      <c r="E948" s="553">
        <f>-'Foglio deposito bis'!$F$58*(C948-sezione!$AL$30)*IF(ABS(K948)&lt;'Progetto del paramento slu'!$G$58,ABS(K948)*'Progetto del paramento slu'!$G$54,'Progetto del paramento slu'!$G$53)</f>
        <v>0</v>
      </c>
      <c r="F948" s="553">
        <f>-'Foglio deposito bis'!$F$59*(C948-sezione!$AM$30)*IF(ABS(L948)&lt;'Progetto del paramento slu'!$G$58,ABS(L948)*'Progetto del paramento slu'!$G$54,'Progetto del paramento slu'!$G$53)</f>
        <v>1361368.9535460342</v>
      </c>
      <c r="G948" s="553">
        <f>-'Foglio deposito bis'!$F$60*(C948-sezione!$AN$30)*IF(ABS(M948)&lt;'Progetto del paramento slu'!$G$58,ABS(M948)*'Progetto del paramento slu'!$G$54,'Progetto del paramento slu'!$G$53)</f>
        <v>0</v>
      </c>
      <c r="H948" s="553">
        <f>-'Foglio deposito bis'!$F$61*(C948-sezione!$AO$30)*IF(ABS(N948)&lt;'Progetto del paramento slu'!$G$58,ABS(N948)*'Progetto del paramento slu'!$G$54,'Progetto del paramento slu'!$G$53)</f>
        <v>51697232.35070122</v>
      </c>
      <c r="I948" s="479">
        <f>-'Foglio deposito bis'!$F$62*(C948-sezione!$AP$30)*IF(ABS(O948)&lt;'Progetto del paramento slu'!$G$58,ABS(O948)*'Progetto del paramento slu'!$G$54,'Progetto del paramento slu'!$G$53)</f>
        <v>42347403.444322683</v>
      </c>
      <c r="J948" s="479">
        <f t="shared" si="72"/>
        <v>-34128232.086476438</v>
      </c>
      <c r="K948" s="558">
        <f>'Progetto del paramento slu'!$G$60*(sezione!$AL$30-C948)/C948</f>
        <v>-2.3839377341718974E-3</v>
      </c>
      <c r="L948" s="558">
        <f>'Progetto del paramento slu'!$G$60*(sezione!$AM$30-C948)/C948</f>
        <v>6.852334968553849E-4</v>
      </c>
      <c r="M948" s="559">
        <f>'Progetto del paramento slu'!$G$60*(sezione!$AN$30-C948)/C948</f>
        <v>3.7544047278826671E-3</v>
      </c>
      <c r="N948" s="559">
        <f>'Progetto del paramento slu'!$G$60*(sezione!$AO$30-C948)/C948</f>
        <v>5.9865292595388721E-3</v>
      </c>
      <c r="O948" s="559">
        <f>'Progetto del paramento slu'!$G$60*(sezione!$AP$30-C948)/C948</f>
        <v>3.7544878959842052E-3</v>
      </c>
      <c r="P948" s="553">
        <f>-'Progetto del paramento slu'!$G$47*'Progetto del paramento slu'!$G$41*IF(DATI!$G$218="dx",DATI!$E$61,DATI!$E$64*DATI!$E$63)*1000*C948*sezione!$AD$5</f>
        <v>-1768202.9582245096</v>
      </c>
      <c r="Q948" s="553">
        <f>'Foglio deposito bis'!$F$58*IF(ABS(K948)&lt;'Progetto del paramento slu'!$G$58,ABS(K948)*'Progetto del paramento slu'!$G$54,'Progetto del paramento slu'!$G$53)*IF(K948&lt;0,-1,1)</f>
        <v>0</v>
      </c>
      <c r="R948" s="553">
        <f>'Foglio deposito bis'!$F$59*IF(ABS(L948)&lt;'Progetto del paramento slu'!$G$58,ABS(L948)*'Progetto del paramento slu'!$G$54,'Progetto del paramento slu'!$G$53)*IF(L948&lt;0,-1,1)</f>
        <v>55432.656382648929</v>
      </c>
      <c r="S948" s="553">
        <f>'Foglio deposito bis'!$F$60*IF(ABS(M948)&lt;'Progetto del paramento slu'!$G$58,ABS(M948)*'Progetto del paramento slu'!$G$54,'Progetto del paramento slu'!$G$53)*IF(M948&lt;0,-1,1)</f>
        <v>0</v>
      </c>
      <c r="T948" s="553">
        <f>'Foglio deposito bis'!$F$61*IF(ABS(N948)&lt;'Progetto del paramento slu'!$G$58,ABS(N948)*'Progetto del paramento slu'!$G$54,'Progetto del paramento slu'!$G$53)*IF(N948&lt;0,-1,1)</f>
        <v>240946.49743184328</v>
      </c>
      <c r="U948" s="553">
        <f>'Foglio deposito bis'!$F$62*IF(ABS(O948)&lt;'Progetto del paramento slu'!$G$58,ABS(O948)*'Progetto del paramento slu'!$G$54,'Progetto del paramento slu'!$G$53)*IF(O948&lt;0,-1,1)</f>
        <v>314705.62929873407</v>
      </c>
      <c r="V948" s="479">
        <f t="shared" si="74"/>
        <v>-1157118.1751112833</v>
      </c>
      <c r="W948" s="559"/>
      <c r="X948" s="559"/>
    </row>
    <row r="949" spans="1:24" x14ac:dyDescent="0.25">
      <c r="A949" s="553">
        <f t="shared" si="73"/>
        <v>1224955.0105099743</v>
      </c>
      <c r="B949" s="3">
        <f t="shared" si="71"/>
        <v>31.899999999999942</v>
      </c>
      <c r="C949" s="553">
        <f>'Foglio deposito bis'!$E$156/sezione!$B$247*B949</f>
        <v>129.50061010200878</v>
      </c>
      <c r="D949" s="611">
        <f>-'Progetto del paramento slu'!$G$47*'Progetto del paramento slu'!$G$41*IF(DATI!$G$218="dx",DATI!$E$61,DATI!$E$64*DATI!$E$63)*1000*C949^2*sezione!$AD$5*(1-sezione!$AD$6)</f>
        <v>-138053994.76933795</v>
      </c>
      <c r="E949" s="553">
        <f>-'Foglio deposito bis'!$F$58*(C949-sezione!$AL$30)*IF(ABS(K949)&lt;'Progetto del paramento slu'!$G$58,ABS(K949)*'Progetto del paramento slu'!$G$54,'Progetto del paramento slu'!$G$53)</f>
        <v>0</v>
      </c>
      <c r="F949" s="553">
        <f>-'Foglio deposito bis'!$F$59*(C949-sezione!$AM$30)*IF(ABS(L949)&lt;'Progetto del paramento slu'!$G$58,ABS(L949)*'Progetto del paramento slu'!$G$54,'Progetto del paramento slu'!$G$53)</f>
        <v>918766.61835544195</v>
      </c>
      <c r="G949" s="553">
        <f>-'Foglio deposito bis'!$F$60*(C949-sezione!$AN$30)*IF(ABS(M949)&lt;'Progetto del paramento slu'!$G$58,ABS(M949)*'Progetto del paramento slu'!$G$54,'Progetto del paramento slu'!$G$53)</f>
        <v>0</v>
      </c>
      <c r="H949" s="553">
        <f>-'Foglio deposito bis'!$F$61*(C949-sezione!$AO$30)*IF(ABS(N949)&lt;'Progetto del paramento slu'!$G$58,ABS(N949)*'Progetto del paramento slu'!$G$54,'Progetto del paramento slu'!$G$53)</f>
        <v>50719090.707460918</v>
      </c>
      <c r="I949" s="479">
        <f>-'Foglio deposito bis'!$F$62*(C949-sezione!$AP$30)*IF(ABS(O949)&lt;'Progetto del paramento slu'!$G$58,ABS(O949)*'Progetto del paramento slu'!$G$54,'Progetto del paramento slu'!$G$53)</f>
        <v>41069830.685804732</v>
      </c>
      <c r="J949" s="479">
        <f t="shared" si="72"/>
        <v>-45346306.757716857</v>
      </c>
      <c r="K949" s="558">
        <f>'Progetto del paramento slu'!$G$60*(sezione!$AL$30-C949)/C949</f>
        <v>-2.4189240120975433E-3</v>
      </c>
      <c r="L949" s="558">
        <f>'Progetto del paramento slu'!$G$60*(sezione!$AM$30-C949)/C949</f>
        <v>5.5403495463421252E-4</v>
      </c>
      <c r="M949" s="559">
        <f>'Progetto del paramento slu'!$G$60*(sezione!$AN$30-C949)/C949</f>
        <v>3.5269939213659683E-3</v>
      </c>
      <c r="N949" s="559">
        <f>'Progetto del paramento slu'!$G$60*(sezione!$AO$30-C949)/C949</f>
        <v>5.6891458971708815E-3</v>
      </c>
      <c r="O949" s="559">
        <f>'Progetto del paramento slu'!$G$60*(sezione!$AP$30-C949)/C949</f>
        <v>3.5270744823169883E-3</v>
      </c>
      <c r="P949" s="553">
        <f>-'Progetto del paramento slu'!$G$47*'Progetto del paramento slu'!$G$41*IF(DATI!$G$218="dx",DATI!$E$61,DATI!$E$64*DATI!$E$63)*1000*C949*sezione!$AD$5</f>
        <v>-1825426.3549308046</v>
      </c>
      <c r="Q949" s="553">
        <f>'Foglio deposito bis'!$F$58*IF(ABS(K949)&lt;'Progetto del paramento slu'!$G$58,ABS(K949)*'Progetto del paramento slu'!$G$54,'Progetto del paramento slu'!$G$53)*IF(K949&lt;0,-1,1)</f>
        <v>0</v>
      </c>
      <c r="R949" s="553">
        <f>'Foglio deposito bis'!$F$59*IF(ABS(L949)&lt;'Progetto del paramento slu'!$G$58,ABS(L949)*'Progetto del paramento slu'!$G$54,'Progetto del paramento slu'!$G$53)*IF(L949&lt;0,-1,1)</f>
        <v>44819.217690253005</v>
      </c>
      <c r="S949" s="553">
        <f>'Foglio deposito bis'!$F$60*IF(ABS(M949)&lt;'Progetto del paramento slu'!$G$58,ABS(M949)*'Progetto del paramento slu'!$G$54,'Progetto del paramento slu'!$G$53)*IF(M949&lt;0,-1,1)</f>
        <v>0</v>
      </c>
      <c r="T949" s="553">
        <f>'Foglio deposito bis'!$F$61*IF(ABS(N949)&lt;'Progetto del paramento slu'!$G$58,ABS(N949)*'Progetto del paramento slu'!$G$54,'Progetto del paramento slu'!$G$53)*IF(N949&lt;0,-1,1)</f>
        <v>240946.49743184328</v>
      </c>
      <c r="U949" s="553">
        <f>'Foglio deposito bis'!$F$62*IF(ABS(O949)&lt;'Progetto del paramento slu'!$G$58,ABS(O949)*'Progetto del paramento slu'!$G$54,'Progetto del paramento slu'!$G$53)*IF(O949&lt;0,-1,1)</f>
        <v>314705.62929873407</v>
      </c>
      <c r="V949" s="479">
        <f t="shared" si="74"/>
        <v>-1224955.0105099743</v>
      </c>
      <c r="W949" s="559"/>
      <c r="X949" s="559"/>
    </row>
    <row r="950" spans="1:24" x14ac:dyDescent="0.25">
      <c r="A950" s="553">
        <f t="shared" si="73"/>
        <v>1292146.6520671819</v>
      </c>
      <c r="B950" s="3">
        <f t="shared" si="71"/>
        <v>32.899999999999942</v>
      </c>
      <c r="C950" s="553">
        <f>'Foglio deposito bis'!$E$156/sezione!$B$247*B950</f>
        <v>133.56019035599024</v>
      </c>
      <c r="D950" s="611">
        <f>-'Progetto del paramento slu'!$G$47*'Progetto del paramento slu'!$G$41*IF(DATI!$G$218="dx",DATI!$E$61,DATI!$E$64*DATI!$E$63)*1000*C950^2*sezione!$AD$5*(1-sezione!$AD$6)</f>
        <v>-146845082.57414833</v>
      </c>
      <c r="E950" s="553">
        <f>-'Foglio deposito bis'!$F$58*(C950-sezione!$AL$30)*IF(ABS(K950)&lt;'Progetto del paramento slu'!$G$58,ABS(K950)*'Progetto del paramento slu'!$G$54,'Progetto del paramento slu'!$G$53)</f>
        <v>0</v>
      </c>
      <c r="F950" s="553">
        <f>-'Foglio deposito bis'!$F$59*(C950-sezione!$AM$30)*IF(ABS(L950)&lt;'Progetto del paramento slu'!$G$58,ABS(L950)*'Progetto del paramento slu'!$G$54,'Progetto del paramento slu'!$G$53)</f>
        <v>572943.35938730615</v>
      </c>
      <c r="G950" s="553">
        <f>-'Foglio deposito bis'!$F$60*(C950-sezione!$AN$30)*IF(ABS(M950)&lt;'Progetto del paramento slu'!$G$58,ABS(M950)*'Progetto del paramento slu'!$G$54,'Progetto del paramento slu'!$G$53)</f>
        <v>0</v>
      </c>
      <c r="H950" s="553">
        <f>-'Foglio deposito bis'!$F$61*(C950-sezione!$AO$30)*IF(ABS(N950)&lt;'Progetto del paramento slu'!$G$58,ABS(N950)*'Progetto del paramento slu'!$G$54,'Progetto del paramento slu'!$G$53)</f>
        <v>49740949.064220607</v>
      </c>
      <c r="I950" s="479">
        <f>-'Foglio deposito bis'!$F$62*(C950-sezione!$AP$30)*IF(ABS(O950)&lt;'Progetto del paramento slu'!$G$58,ABS(O950)*'Progetto del paramento slu'!$G$54,'Progetto del paramento slu'!$G$53)</f>
        <v>39792257.927286781</v>
      </c>
      <c r="J950" s="479">
        <f t="shared" si="72"/>
        <v>-56738932.22325363</v>
      </c>
      <c r="K950" s="558">
        <f>'Progetto del paramento slu'!$G$60*(sezione!$AL$30-C950)/C950</f>
        <v>-2.4517834646173749E-3</v>
      </c>
      <c r="L950" s="558">
        <f>'Progetto del paramento slu'!$G$60*(sezione!$AM$30-C950)/C950</f>
        <v>4.3081200768484439E-4</v>
      </c>
      <c r="M950" s="559">
        <f>'Progetto del paramento slu'!$G$60*(sezione!$AN$30-C950)/C950</f>
        <v>3.3134074799870635E-3</v>
      </c>
      <c r="N950" s="559">
        <f>'Progetto del paramento slu'!$G$60*(sezione!$AO$30-C950)/C950</f>
        <v>5.4098405507523135E-3</v>
      </c>
      <c r="O950" s="559">
        <f>'Progetto del paramento slu'!$G$60*(sezione!$AP$30-C950)/C950</f>
        <v>3.3134855922769585E-3</v>
      </c>
      <c r="P950" s="553">
        <f>-'Progetto del paramento slu'!$G$47*'Progetto del paramento slu'!$G$41*IF(DATI!$G$218="dx",DATI!$E$61,DATI!$E$64*DATI!$E$63)*1000*C950*sezione!$AD$5</f>
        <v>-1882649.7516370993</v>
      </c>
      <c r="Q950" s="553">
        <f>'Foglio deposito bis'!$F$58*IF(ABS(K950)&lt;'Progetto del paramento slu'!$G$58,ABS(K950)*'Progetto del paramento slu'!$G$54,'Progetto del paramento slu'!$G$53)*IF(K950&lt;0,-1,1)</f>
        <v>0</v>
      </c>
      <c r="R950" s="553">
        <f>'Foglio deposito bis'!$F$59*IF(ABS(L950)&lt;'Progetto del paramento slu'!$G$58,ABS(L950)*'Progetto del paramento slu'!$G$54,'Progetto del paramento slu'!$G$53)*IF(L950&lt;0,-1,1)</f>
        <v>34850.972839340146</v>
      </c>
      <c r="S950" s="553">
        <f>'Foglio deposito bis'!$F$60*IF(ABS(M950)&lt;'Progetto del paramento slu'!$G$58,ABS(M950)*'Progetto del paramento slu'!$G$54,'Progetto del paramento slu'!$G$53)*IF(M950&lt;0,-1,1)</f>
        <v>0</v>
      </c>
      <c r="T950" s="553">
        <f>'Foglio deposito bis'!$F$61*IF(ABS(N950)&lt;'Progetto del paramento slu'!$G$58,ABS(N950)*'Progetto del paramento slu'!$G$54,'Progetto del paramento slu'!$G$53)*IF(N950&lt;0,-1,1)</f>
        <v>240946.49743184328</v>
      </c>
      <c r="U950" s="553">
        <f>'Foglio deposito bis'!$F$62*IF(ABS(O950)&lt;'Progetto del paramento slu'!$G$58,ABS(O950)*'Progetto del paramento slu'!$G$54,'Progetto del paramento slu'!$G$53)*IF(O950&lt;0,-1,1)</f>
        <v>314705.62929873407</v>
      </c>
      <c r="V950" s="479">
        <f t="shared" si="74"/>
        <v>-1292146.6520671819</v>
      </c>
      <c r="W950" s="559"/>
      <c r="X950" s="559"/>
    </row>
    <row r="951" spans="1:24" x14ac:dyDescent="0.25">
      <c r="A951" s="553">
        <f t="shared" si="73"/>
        <v>1358750.1965830377</v>
      </c>
      <c r="B951" s="3">
        <f t="shared" si="71"/>
        <v>33.899999999999942</v>
      </c>
      <c r="C951" s="553">
        <f>'Foglio deposito bis'!$E$156/sezione!$B$247*B951</f>
        <v>137.61977060997171</v>
      </c>
      <c r="D951" s="611">
        <f>-'Progetto del paramento slu'!$G$47*'Progetto del paramento slu'!$G$41*IF(DATI!$G$218="dx",DATI!$E$61,DATI!$E$64*DATI!$E$63)*1000*C951^2*sezione!$AD$5*(1-sezione!$AD$6)</f>
        <v>-155907500.24947757</v>
      </c>
      <c r="E951" s="553">
        <f>-'Foglio deposito bis'!$F$58*(C951-sezione!$AL$30)*IF(ABS(K951)&lt;'Progetto del paramento slu'!$G$58,ABS(K951)*'Progetto del paramento slu'!$G$54,'Progetto del paramento slu'!$G$53)</f>
        <v>0</v>
      </c>
      <c r="F951" s="553">
        <f>-'Foglio deposito bis'!$F$59*(C951-sezione!$AM$30)*IF(ABS(L951)&lt;'Progetto del paramento slu'!$G$58,ABS(L951)*'Progetto del paramento slu'!$G$54,'Progetto del paramento slu'!$G$53)</f>
        <v>315334.6566219391</v>
      </c>
      <c r="G951" s="553">
        <f>-'Foglio deposito bis'!$F$60*(C951-sezione!$AN$30)*IF(ABS(M951)&lt;'Progetto del paramento slu'!$G$58,ABS(M951)*'Progetto del paramento slu'!$G$54,'Progetto del paramento slu'!$G$53)</f>
        <v>0</v>
      </c>
      <c r="H951" s="553">
        <f>-'Foglio deposito bis'!$F$61*(C951-sezione!$AO$30)*IF(ABS(N951)&lt;'Progetto del paramento slu'!$G$58,ABS(N951)*'Progetto del paramento slu'!$G$54,'Progetto del paramento slu'!$G$53)</f>
        <v>48762807.420980304</v>
      </c>
      <c r="I951" s="479">
        <f>-'Foglio deposito bis'!$F$62*(C951-sezione!$AP$30)*IF(ABS(O951)&lt;'Progetto del paramento slu'!$G$58,ABS(O951)*'Progetto del paramento slu'!$G$54,'Progetto del paramento slu'!$G$53)</f>
        <v>38514685.168768831</v>
      </c>
      <c r="J951" s="479">
        <f t="shared" si="72"/>
        <v>-68314673.003106505</v>
      </c>
      <c r="K951" s="558">
        <f>'Progetto del paramento slu'!$G$60*(sezione!$AL$30-C951)/C951</f>
        <v>-2.4827043063690747E-3</v>
      </c>
      <c r="L951" s="558">
        <f>'Progetto del paramento slu'!$G$60*(sezione!$AM$30-C951)/C951</f>
        <v>3.1485885111596991E-4</v>
      </c>
      <c r="M951" s="559">
        <f>'Progetto del paramento slu'!$G$60*(sezione!$AN$30-C951)/C951</f>
        <v>3.1124220086010145E-3</v>
      </c>
      <c r="N951" s="559">
        <f>'Progetto del paramento slu'!$G$60*(sezione!$AO$30-C951)/C951</f>
        <v>5.1470133958628657E-3</v>
      </c>
      <c r="O951" s="559">
        <f>'Progetto del paramento slu'!$G$60*(sezione!$AP$30-C951)/C951</f>
        <v>3.112497816693567E-3</v>
      </c>
      <c r="P951" s="553">
        <f>-'Progetto del paramento slu'!$G$47*'Progetto del paramento slu'!$G$41*IF(DATI!$G$218="dx",DATI!$E$61,DATI!$E$64*DATI!$E$63)*1000*C951*sezione!$AD$5</f>
        <v>-1939873.148343394</v>
      </c>
      <c r="Q951" s="553">
        <f>'Foglio deposito bis'!$F$58*IF(ABS(K951)&lt;'Progetto del paramento slu'!$G$58,ABS(K951)*'Progetto del paramento slu'!$G$54,'Progetto del paramento slu'!$G$53)*IF(K951&lt;0,-1,1)</f>
        <v>0</v>
      </c>
      <c r="R951" s="553">
        <f>'Foglio deposito bis'!$F$59*IF(ABS(L951)&lt;'Progetto del paramento slu'!$G$58,ABS(L951)*'Progetto del paramento slu'!$G$54,'Progetto del paramento slu'!$G$53)*IF(L951&lt;0,-1,1)</f>
        <v>25470.825029779076</v>
      </c>
      <c r="S951" s="553">
        <f>'Foglio deposito bis'!$F$60*IF(ABS(M951)&lt;'Progetto del paramento slu'!$G$58,ABS(M951)*'Progetto del paramento slu'!$G$54,'Progetto del paramento slu'!$G$53)*IF(M951&lt;0,-1,1)</f>
        <v>0</v>
      </c>
      <c r="T951" s="553">
        <f>'Foglio deposito bis'!$F$61*IF(ABS(N951)&lt;'Progetto del paramento slu'!$G$58,ABS(N951)*'Progetto del paramento slu'!$G$54,'Progetto del paramento slu'!$G$53)*IF(N951&lt;0,-1,1)</f>
        <v>240946.49743184328</v>
      </c>
      <c r="U951" s="553">
        <f>'Foglio deposito bis'!$F$62*IF(ABS(O951)&lt;'Progetto del paramento slu'!$G$58,ABS(O951)*'Progetto del paramento slu'!$G$54,'Progetto del paramento slu'!$G$53)*IF(O951&lt;0,-1,1)</f>
        <v>314705.62929873407</v>
      </c>
      <c r="V951" s="479">
        <f t="shared" si="74"/>
        <v>-1358750.1965830377</v>
      </c>
      <c r="W951" s="559"/>
      <c r="X951" s="559"/>
    </row>
    <row r="952" spans="1:24" x14ac:dyDescent="0.25">
      <c r="A952" s="553">
        <f t="shared" si="73"/>
        <v>1424816.1968118132</v>
      </c>
      <c r="B952" s="3">
        <f t="shared" si="71"/>
        <v>34.899999999999942</v>
      </c>
      <c r="C952" s="553">
        <f>'Foglio deposito bis'!$E$156/sezione!$B$247*B952</f>
        <v>141.6793508639532</v>
      </c>
      <c r="D952" s="611">
        <f>-'Progetto del paramento slu'!$G$47*'Progetto del paramento slu'!$G$41*IF(DATI!$G$218="dx",DATI!$E$61,DATI!$E$64*DATI!$E$63)*1000*C952^2*sezione!$AD$5*(1-sezione!$AD$6)</f>
        <v>-165241247.7953257</v>
      </c>
      <c r="E952" s="553">
        <f>-'Foglio deposito bis'!$F$58*(C952-sezione!$AL$30)*IF(ABS(K952)&lt;'Progetto del paramento slu'!$G$58,ABS(K952)*'Progetto del paramento slu'!$G$54,'Progetto del paramento slu'!$G$53)</f>
        <v>0</v>
      </c>
      <c r="F952" s="553">
        <f>-'Foglio deposito bis'!$F$59*(C952-sezione!$AM$30)*IF(ABS(L952)&lt;'Progetto del paramento slu'!$G$58,ABS(L952)*'Progetto del paramento slu'!$G$54,'Progetto del paramento slu'!$G$53)</f>
        <v>138357.59691870064</v>
      </c>
      <c r="G952" s="553">
        <f>-'Foglio deposito bis'!$F$60*(C952-sezione!$AN$30)*IF(ABS(M952)&lt;'Progetto del paramento slu'!$G$58,ABS(M952)*'Progetto del paramento slu'!$G$54,'Progetto del paramento slu'!$G$53)</f>
        <v>0</v>
      </c>
      <c r="H952" s="553">
        <f>-'Foglio deposito bis'!$F$61*(C952-sezione!$AO$30)*IF(ABS(N952)&lt;'Progetto del paramento slu'!$G$58,ABS(N952)*'Progetto del paramento slu'!$G$54,'Progetto del paramento slu'!$G$53)</f>
        <v>47784665.777739994</v>
      </c>
      <c r="I952" s="479">
        <f>-'Foglio deposito bis'!$F$62*(C952-sezione!$AP$30)*IF(ABS(O952)&lt;'Progetto del paramento slu'!$G$58,ABS(O952)*'Progetto del paramento slu'!$G$54,'Progetto del paramento slu'!$G$53)</f>
        <v>37237112.410250865</v>
      </c>
      <c r="J952" s="479">
        <f t="shared" si="72"/>
        <v>-80081112.01041612</v>
      </c>
      <c r="K952" s="558">
        <f>'Progetto del paramento slu'!$G$60*(sezione!$AL$30-C952)/C952</f>
        <v>-2.5118531801120812E-3</v>
      </c>
      <c r="L952" s="558">
        <f>'Progetto del paramento slu'!$G$60*(sezione!$AM$30-C952)/C952</f>
        <v>2.05550574579695E-4</v>
      </c>
      <c r="M952" s="559">
        <f>'Progetto del paramento slu'!$G$60*(sezione!$AN$30-C952)/C952</f>
        <v>2.9229543292714714E-3</v>
      </c>
      <c r="N952" s="559">
        <f>'Progetto del paramento slu'!$G$60*(sezione!$AO$30-C952)/C952</f>
        <v>4.8992479690473092E-3</v>
      </c>
      <c r="O952" s="559">
        <f>'Progetto del paramento slu'!$G$60*(sezione!$AP$30-C952)/C952</f>
        <v>2.9230279652123748E-3</v>
      </c>
      <c r="P952" s="553">
        <f>-'Progetto del paramento slu'!$G$47*'Progetto del paramento slu'!$G$41*IF(DATI!$G$218="dx",DATI!$E$61,DATI!$E$64*DATI!$E$63)*1000*C952*sezione!$AD$5</f>
        <v>-1997096.5450496892</v>
      </c>
      <c r="Q952" s="553">
        <f>'Foglio deposito bis'!$F$58*IF(ABS(K952)&lt;'Progetto del paramento slu'!$G$58,ABS(K952)*'Progetto del paramento slu'!$G$54,'Progetto del paramento slu'!$G$53)*IF(K952&lt;0,-1,1)</f>
        <v>0</v>
      </c>
      <c r="R952" s="553">
        <f>'Foglio deposito bis'!$F$59*IF(ABS(L952)&lt;'Progetto del paramento slu'!$G$58,ABS(L952)*'Progetto del paramento slu'!$G$54,'Progetto del paramento slu'!$G$53)*IF(L952&lt;0,-1,1)</f>
        <v>16628.221507298815</v>
      </c>
      <c r="S952" s="553">
        <f>'Foglio deposito bis'!$F$60*IF(ABS(M952)&lt;'Progetto del paramento slu'!$G$58,ABS(M952)*'Progetto del paramento slu'!$G$54,'Progetto del paramento slu'!$G$53)*IF(M952&lt;0,-1,1)</f>
        <v>0</v>
      </c>
      <c r="T952" s="553">
        <f>'Foglio deposito bis'!$F$61*IF(ABS(N952)&lt;'Progetto del paramento slu'!$G$58,ABS(N952)*'Progetto del paramento slu'!$G$54,'Progetto del paramento slu'!$G$53)*IF(N952&lt;0,-1,1)</f>
        <v>240946.49743184328</v>
      </c>
      <c r="U952" s="553">
        <f>'Foglio deposito bis'!$F$62*IF(ABS(O952)&lt;'Progetto del paramento slu'!$G$58,ABS(O952)*'Progetto del paramento slu'!$G$54,'Progetto del paramento slu'!$G$53)*IF(O952&lt;0,-1,1)</f>
        <v>314705.62929873407</v>
      </c>
      <c r="V952" s="479">
        <f t="shared" si="74"/>
        <v>-1424816.1968118132</v>
      </c>
      <c r="W952" s="559"/>
      <c r="X952" s="559"/>
    </row>
    <row r="953" spans="1:24" x14ac:dyDescent="0.25">
      <c r="A953" s="553">
        <f t="shared" si="73"/>
        <v>1490389.572888918</v>
      </c>
      <c r="B953" s="3">
        <f t="shared" si="71"/>
        <v>35.899999999999942</v>
      </c>
      <c r="C953" s="553">
        <f>'Foglio deposito bis'!$E$156/sezione!$B$247*B953</f>
        <v>145.73893111793467</v>
      </c>
      <c r="D953" s="611">
        <f>-'Progetto del paramento slu'!$G$47*'Progetto del paramento slu'!$G$41*IF(DATI!$G$218="dx",DATI!$E$61,DATI!$E$64*DATI!$E$63)*1000*C953^2*sezione!$AD$5*(1-sezione!$AD$6)</f>
        <v>-174846325.21169257</v>
      </c>
      <c r="E953" s="553">
        <f>-'Foglio deposito bis'!$F$58*(C953-sezione!$AL$30)*IF(ABS(K953)&lt;'Progetto del paramento slu'!$G$58,ABS(K953)*'Progetto del paramento slu'!$G$54,'Progetto del paramento slu'!$G$53)</f>
        <v>0</v>
      </c>
      <c r="F953" s="553">
        <f>-'Foglio deposito bis'!$F$59*(C953-sezione!$AM$30)*IF(ABS(L953)&lt;'Progetto del paramento slu'!$G$58,ABS(L953)*'Progetto del paramento slu'!$G$54,'Progetto del paramento slu'!$G$53)</f>
        <v>35274.159965994535</v>
      </c>
      <c r="G953" s="553">
        <f>-'Foglio deposito bis'!$F$60*(C953-sezione!$AN$30)*IF(ABS(M953)&lt;'Progetto del paramento slu'!$G$58,ABS(M953)*'Progetto del paramento slu'!$G$54,'Progetto del paramento slu'!$G$53)</f>
        <v>0</v>
      </c>
      <c r="H953" s="553">
        <f>-'Foglio deposito bis'!$F$61*(C953-sezione!$AO$30)*IF(ABS(N953)&lt;'Progetto del paramento slu'!$G$58,ABS(N953)*'Progetto del paramento slu'!$G$54,'Progetto del paramento slu'!$G$53)</f>
        <v>46806524.134499684</v>
      </c>
      <c r="I953" s="479">
        <f>-'Foglio deposito bis'!$F$62*(C953-sezione!$AP$30)*IF(ABS(O953)&lt;'Progetto del paramento slu'!$G$58,ABS(O953)*'Progetto del paramento slu'!$G$54,'Progetto del paramento slu'!$G$53)</f>
        <v>35959539.651732922</v>
      </c>
      <c r="J953" s="479">
        <f t="shared" si="72"/>
        <v>-92044987.265493974</v>
      </c>
      <c r="K953" s="558">
        <f>'Progetto del paramento slu'!$G$60*(sezione!$AL$30-C953)/C953</f>
        <v>-2.5393781611674554E-3</v>
      </c>
      <c r="L953" s="558">
        <f>'Progetto del paramento slu'!$G$60*(sezione!$AM$30-C953)/C953</f>
        <v>1.0233189562204336E-4</v>
      </c>
      <c r="M953" s="559">
        <f>'Progetto del paramento slu'!$G$60*(sezione!$AN$30-C953)/C953</f>
        <v>2.744041952411542E-3</v>
      </c>
      <c r="N953" s="559">
        <f>'Progetto del paramento slu'!$G$60*(sezione!$AO$30-C953)/C953</f>
        <v>4.6652856300766314E-3</v>
      </c>
      <c r="O953" s="559">
        <f>'Progetto del paramento slu'!$G$60*(sezione!$AP$30-C953)/C953</f>
        <v>2.7441135372120304E-3</v>
      </c>
      <c r="P953" s="553">
        <f>-'Progetto del paramento slu'!$G$47*'Progetto del paramento slu'!$G$41*IF(DATI!$G$218="dx",DATI!$E$61,DATI!$E$64*DATI!$E$63)*1000*C953*sezione!$AD$5</f>
        <v>-2054319.9417559842</v>
      </c>
      <c r="Q953" s="553">
        <f>'Foglio deposito bis'!$F$58*IF(ABS(K953)&lt;'Progetto del paramento slu'!$G$58,ABS(K953)*'Progetto del paramento slu'!$G$54,'Progetto del paramento slu'!$G$53)*IF(K953&lt;0,-1,1)</f>
        <v>0</v>
      </c>
      <c r="R953" s="553">
        <f>'Foglio deposito bis'!$F$59*IF(ABS(L953)&lt;'Progetto del paramento slu'!$G$58,ABS(L953)*'Progetto del paramento slu'!$G$54,'Progetto del paramento slu'!$G$53)*IF(L953&lt;0,-1,1)</f>
        <v>8278.2421364888196</v>
      </c>
      <c r="S953" s="553">
        <f>'Foglio deposito bis'!$F$60*IF(ABS(M953)&lt;'Progetto del paramento slu'!$G$58,ABS(M953)*'Progetto del paramento slu'!$G$54,'Progetto del paramento slu'!$G$53)*IF(M953&lt;0,-1,1)</f>
        <v>0</v>
      </c>
      <c r="T953" s="553">
        <f>'Foglio deposito bis'!$F$61*IF(ABS(N953)&lt;'Progetto del paramento slu'!$G$58,ABS(N953)*'Progetto del paramento slu'!$G$54,'Progetto del paramento slu'!$G$53)*IF(N953&lt;0,-1,1)</f>
        <v>240946.49743184328</v>
      </c>
      <c r="U953" s="553">
        <f>'Foglio deposito bis'!$F$62*IF(ABS(O953)&lt;'Progetto del paramento slu'!$G$58,ABS(O953)*'Progetto del paramento slu'!$G$54,'Progetto del paramento slu'!$G$53)*IF(O953&lt;0,-1,1)</f>
        <v>314705.62929873407</v>
      </c>
      <c r="V953" s="479">
        <f t="shared" si="74"/>
        <v>-1490389.572888918</v>
      </c>
      <c r="W953" s="559"/>
      <c r="X953" s="559"/>
    </row>
    <row r="954" spans="1:24" x14ac:dyDescent="0.25">
      <c r="A954" s="553">
        <f t="shared" si="73"/>
        <v>1555510.3755583905</v>
      </c>
      <c r="B954" s="3">
        <f t="shared" si="71"/>
        <v>36.899999999999942</v>
      </c>
      <c r="C954" s="553">
        <f>'Foglio deposito bis'!$E$156/sezione!$B$247*B954</f>
        <v>149.79851137191613</v>
      </c>
      <c r="D954" s="611">
        <f>-'Progetto del paramento slu'!$G$47*'Progetto del paramento slu'!$G$41*IF(DATI!$G$218="dx",DATI!$E$61,DATI!$E$64*DATI!$E$63)*1000*C954^2*sezione!$AD$5*(1-sezione!$AD$6)</f>
        <v>-184722732.49857834</v>
      </c>
      <c r="E954" s="553">
        <f>-'Foglio deposito bis'!$F$58*(C954-sezione!$AL$30)*IF(ABS(K954)&lt;'Progetto del paramento slu'!$G$58,ABS(K954)*'Progetto del paramento slu'!$G$54,'Progetto del paramento slu'!$G$53)</f>
        <v>0</v>
      </c>
      <c r="F954" s="553">
        <f>-'Foglio deposito bis'!$F$59*(C954-sezione!$AM$30)*IF(ABS(L954)&lt;'Progetto del paramento slu'!$G$58,ABS(L954)*'Progetto del paramento slu'!$G$54,'Progetto del paramento slu'!$G$53)</f>
        <v>76.734158085102933</v>
      </c>
      <c r="G954" s="553">
        <f>-'Foglio deposito bis'!$F$60*(C954-sezione!$AN$30)*IF(ABS(M954)&lt;'Progetto del paramento slu'!$G$58,ABS(M954)*'Progetto del paramento slu'!$G$54,'Progetto del paramento slu'!$G$53)</f>
        <v>0</v>
      </c>
      <c r="H954" s="553">
        <f>-'Foglio deposito bis'!$F$61*(C954-sezione!$AO$30)*IF(ABS(N954)&lt;'Progetto del paramento slu'!$G$58,ABS(N954)*'Progetto del paramento slu'!$G$54,'Progetto del paramento slu'!$G$53)</f>
        <v>45828382.491259374</v>
      </c>
      <c r="I954" s="479">
        <f>-'Foglio deposito bis'!$F$62*(C954-sezione!$AP$30)*IF(ABS(O954)&lt;'Progetto del paramento slu'!$G$58,ABS(O954)*'Progetto del paramento slu'!$G$54,'Progetto del paramento slu'!$G$53)</f>
        <v>34681966.893214963</v>
      </c>
      <c r="J954" s="479">
        <f t="shared" si="72"/>
        <v>-104212306.3799459</v>
      </c>
      <c r="K954" s="558">
        <f>'Progetto del paramento slu'!$G$60*(sezione!$AL$30-C954)/C954</f>
        <v>-2.5654112733309391E-3</v>
      </c>
      <c r="L954" s="558">
        <f>'Progetto del paramento slu'!$G$60*(sezione!$AM$30-C954)/C954</f>
        <v>4.7077250089798925E-6</v>
      </c>
      <c r="M954" s="559">
        <f>'Progetto del paramento slu'!$G$60*(sezione!$AN$30-C954)/C954</f>
        <v>2.5748267233488983E-3</v>
      </c>
      <c r="N954" s="559">
        <f>'Progetto del paramento slu'!$G$60*(sezione!$AO$30-C954)/C954</f>
        <v>4.4440041766870214E-3</v>
      </c>
      <c r="O954" s="559">
        <f>'Progetto del paramento slu'!$G$60*(sezione!$AP$30-C954)/C954</f>
        <v>2.574896368181894E-3</v>
      </c>
      <c r="P954" s="553">
        <f>-'Progetto del paramento slu'!$G$47*'Progetto del paramento slu'!$G$41*IF(DATI!$G$218="dx",DATI!$E$61,DATI!$E$64*DATI!$E$63)*1000*C954*sezione!$AD$5</f>
        <v>-2111543.3384622787</v>
      </c>
      <c r="Q954" s="553">
        <f>'Foglio deposito bis'!$F$58*IF(ABS(K954)&lt;'Progetto del paramento slu'!$G$58,ABS(K954)*'Progetto del paramento slu'!$G$54,'Progetto del paramento slu'!$G$53)*IF(K954&lt;0,-1,1)</f>
        <v>0</v>
      </c>
      <c r="R954" s="553">
        <f>'Foglio deposito bis'!$F$59*IF(ABS(L954)&lt;'Progetto del paramento slu'!$G$58,ABS(L954)*'Progetto del paramento slu'!$G$54,'Progetto del paramento slu'!$G$53)*IF(L954&lt;0,-1,1)</f>
        <v>380.83617331080342</v>
      </c>
      <c r="S954" s="553">
        <f>'Foglio deposito bis'!$F$60*IF(ABS(M954)&lt;'Progetto del paramento slu'!$G$58,ABS(M954)*'Progetto del paramento slu'!$G$54,'Progetto del paramento slu'!$G$53)*IF(M954&lt;0,-1,1)</f>
        <v>0</v>
      </c>
      <c r="T954" s="553">
        <f>'Foglio deposito bis'!$F$61*IF(ABS(N954)&lt;'Progetto del paramento slu'!$G$58,ABS(N954)*'Progetto del paramento slu'!$G$54,'Progetto del paramento slu'!$G$53)*IF(N954&lt;0,-1,1)</f>
        <v>240946.49743184328</v>
      </c>
      <c r="U954" s="553">
        <f>'Foglio deposito bis'!$F$62*IF(ABS(O954)&lt;'Progetto del paramento slu'!$G$58,ABS(O954)*'Progetto del paramento slu'!$G$54,'Progetto del paramento slu'!$G$53)*IF(O954&lt;0,-1,1)</f>
        <v>314705.62929873407</v>
      </c>
      <c r="V954" s="479">
        <f t="shared" si="74"/>
        <v>-1555510.3755583905</v>
      </c>
      <c r="W954" s="559"/>
      <c r="X954" s="559"/>
    </row>
    <row r="955" spans="1:24" x14ac:dyDescent="0.25">
      <c r="A955" s="553">
        <f t="shared" si="73"/>
        <v>1620214.4285728147</v>
      </c>
      <c r="B955" s="3">
        <f t="shared" si="71"/>
        <v>37.899999999999942</v>
      </c>
      <c r="C955" s="553">
        <f>'Foglio deposito bis'!$E$156/sezione!$B$247*B955</f>
        <v>153.8580916258976</v>
      </c>
      <c r="D955" s="611">
        <f>-'Progetto del paramento slu'!$G$47*'Progetto del paramento slu'!$G$41*IF(DATI!$G$218="dx",DATI!$E$61,DATI!$E$64*DATI!$E$63)*1000*C955^2*sezione!$AD$5*(1-sezione!$AD$6)</f>
        <v>-194870469.65598291</v>
      </c>
      <c r="E955" s="553">
        <f>-'Foglio deposito bis'!$F$58*(C955-sezione!$AL$30)*IF(ABS(K955)&lt;'Progetto del paramento slu'!$G$58,ABS(K955)*'Progetto del paramento slu'!$G$54,'Progetto del paramento slu'!$G$53)</f>
        <v>0</v>
      </c>
      <c r="F955" s="553">
        <f>-'Foglio deposito bis'!$F$59*(C955-sezione!$AM$30)*IF(ABS(L955)&lt;'Progetto del paramento slu'!$G$58,ABS(L955)*'Progetto del paramento slu'!$G$54,'Progetto del paramento slu'!$G$53)</f>
        <v>-27391.756607521431</v>
      </c>
      <c r="G955" s="553">
        <f>-'Foglio deposito bis'!$F$60*(C955-sezione!$AN$30)*IF(ABS(M955)&lt;'Progetto del paramento slu'!$G$58,ABS(M955)*'Progetto del paramento slu'!$G$54,'Progetto del paramento slu'!$G$53)</f>
        <v>0</v>
      </c>
      <c r="H955" s="553">
        <f>-'Foglio deposito bis'!$F$61*(C955-sezione!$AO$30)*IF(ABS(N955)&lt;'Progetto del paramento slu'!$G$58,ABS(N955)*'Progetto del paramento slu'!$G$54,'Progetto del paramento slu'!$G$53)</f>
        <v>44850240.848019071</v>
      </c>
      <c r="I955" s="479">
        <f>-'Foglio deposito bis'!$F$62*(C955-sezione!$AP$30)*IF(ABS(O955)&lt;'Progetto del paramento slu'!$G$58,ABS(O955)*'Progetto del paramento slu'!$G$54,'Progetto del paramento slu'!$G$53)</f>
        <v>33404394.134697013</v>
      </c>
      <c r="J955" s="479">
        <f t="shared" si="72"/>
        <v>-116643226.42987436</v>
      </c>
      <c r="K955" s="558">
        <f>'Progetto del paramento slu'!$G$60*(sezione!$AL$30-C955)/C955</f>
        <v>-2.5900706064884336E-3</v>
      </c>
      <c r="L955" s="558">
        <f>'Progetto del paramento slu'!$G$60*(sezione!$AM$30-C955)/C955</f>
        <v>-8.7764774331626415E-5</v>
      </c>
      <c r="M955" s="559">
        <f>'Progetto del paramento slu'!$G$60*(sezione!$AN$30-C955)/C955</f>
        <v>2.4145410578251809E-3</v>
      </c>
      <c r="N955" s="559">
        <f>'Progetto del paramento slu'!$G$60*(sezione!$AO$30-C955)/C955</f>
        <v>4.2343998448483135E-3</v>
      </c>
      <c r="O955" s="559">
        <f>'Progetto del paramento slu'!$G$60*(sezione!$AP$30-C955)/C955</f>
        <v>2.4146088650636383E-3</v>
      </c>
      <c r="P955" s="553">
        <f>-'Progetto del paramento slu'!$G$47*'Progetto del paramento slu'!$G$41*IF(DATI!$G$218="dx",DATI!$E$61,DATI!$E$64*DATI!$E$63)*1000*C955*sezione!$AD$5</f>
        <v>-2168766.7351685739</v>
      </c>
      <c r="Q955" s="553">
        <f>'Foglio deposito bis'!$F$58*IF(ABS(K955)&lt;'Progetto del paramento slu'!$G$58,ABS(K955)*'Progetto del paramento slu'!$G$54,'Progetto del paramento slu'!$G$53)*IF(K955&lt;0,-1,1)</f>
        <v>0</v>
      </c>
      <c r="R955" s="553">
        <f>'Foglio deposito bis'!$F$59*IF(ABS(L955)&lt;'Progetto del paramento slu'!$G$58,ABS(L955)*'Progetto del paramento slu'!$G$54,'Progetto del paramento slu'!$G$53)*IF(L955&lt;0,-1,1)</f>
        <v>-7099.820134818242</v>
      </c>
      <c r="S955" s="553">
        <f>'Foglio deposito bis'!$F$60*IF(ABS(M955)&lt;'Progetto del paramento slu'!$G$58,ABS(M955)*'Progetto del paramento slu'!$G$54,'Progetto del paramento slu'!$G$53)*IF(M955&lt;0,-1,1)</f>
        <v>0</v>
      </c>
      <c r="T955" s="553">
        <f>'Foglio deposito bis'!$F$61*IF(ABS(N955)&lt;'Progetto del paramento slu'!$G$58,ABS(N955)*'Progetto del paramento slu'!$G$54,'Progetto del paramento slu'!$G$53)*IF(N955&lt;0,-1,1)</f>
        <v>240946.49743184328</v>
      </c>
      <c r="U955" s="553">
        <f>'Foglio deposito bis'!$F$62*IF(ABS(O955)&lt;'Progetto del paramento slu'!$G$58,ABS(O955)*'Progetto del paramento slu'!$G$54,'Progetto del paramento slu'!$G$53)*IF(O955&lt;0,-1,1)</f>
        <v>314705.62929873407</v>
      </c>
      <c r="V955" s="479">
        <f t="shared" si="74"/>
        <v>-1620214.4285728147</v>
      </c>
      <c r="W955" s="559"/>
      <c r="X955" s="559"/>
    </row>
    <row r="956" spans="1:24" x14ac:dyDescent="0.25">
      <c r="A956" s="553">
        <f t="shared" si="73"/>
        <v>1684533.8720084152</v>
      </c>
      <c r="B956" s="3">
        <f t="shared" si="71"/>
        <v>38.899999999999942</v>
      </c>
      <c r="C956" s="553">
        <f>'Foglio deposito bis'!$E$156/sezione!$B$247*B956</f>
        <v>157.91767187987909</v>
      </c>
      <c r="D956" s="611">
        <f>-'Progetto del paramento slu'!$G$47*'Progetto del paramento slu'!$G$41*IF(DATI!$G$218="dx",DATI!$E$61,DATI!$E$64*DATI!$E$63)*1000*C956^2*sezione!$AD$5*(1-sezione!$AD$6)</f>
        <v>-205289536.68390641</v>
      </c>
      <c r="E956" s="553">
        <f>-'Foglio deposito bis'!$F$58*(C956-sezione!$AL$30)*IF(ABS(K956)&lt;'Progetto del paramento slu'!$G$58,ABS(K956)*'Progetto del paramento slu'!$G$54,'Progetto del paramento slu'!$G$53)</f>
        <v>0</v>
      </c>
      <c r="F956" s="553">
        <f>-'Foglio deposito bis'!$F$59*(C956-sezione!$AM$30)*IF(ABS(L956)&lt;'Progetto del paramento slu'!$G$58,ABS(L956)*'Progetto del paramento slu'!$G$54,'Progetto del paramento slu'!$G$53)</f>
        <v>-112398.21588057584</v>
      </c>
      <c r="G956" s="553">
        <f>-'Foglio deposito bis'!$F$60*(C956-sezione!$AN$30)*IF(ABS(M956)&lt;'Progetto del paramento slu'!$G$58,ABS(M956)*'Progetto del paramento slu'!$G$54,'Progetto del paramento slu'!$G$53)</f>
        <v>0</v>
      </c>
      <c r="H956" s="553">
        <f>-'Foglio deposito bis'!$F$61*(C956-sezione!$AO$30)*IF(ABS(N956)&lt;'Progetto del paramento slu'!$G$58,ABS(N956)*'Progetto del paramento slu'!$G$54,'Progetto del paramento slu'!$G$53)</f>
        <v>43872099.204778753</v>
      </c>
      <c r="I956" s="479">
        <f>-'Foglio deposito bis'!$F$62*(C956-sezione!$AP$30)*IF(ABS(O956)&lt;'Progetto del paramento slu'!$G$58,ABS(O956)*'Progetto del paramento slu'!$G$54,'Progetto del paramento slu'!$G$53)</f>
        <v>32126821.376179054</v>
      </c>
      <c r="J956" s="479">
        <f t="shared" si="72"/>
        <v>-129403014.31882916</v>
      </c>
      <c r="K956" s="558">
        <f>'Progetto del paramento slu'!$G$60*(sezione!$AL$30-C956)/C956</f>
        <v>-2.6134621076069832E-3</v>
      </c>
      <c r="L956" s="558">
        <f>'Progetto del paramento slu'!$G$60*(sezione!$AM$30-C956)/C956</f>
        <v>-1.754829035261867E-4</v>
      </c>
      <c r="M956" s="559">
        <f>'Progetto del paramento slu'!$G$60*(sezione!$AN$30-C956)/C956</f>
        <v>2.2624963005546095E-3</v>
      </c>
      <c r="N956" s="559">
        <f>'Progetto del paramento slu'!$G$60*(sezione!$AO$30-C956)/C956</f>
        <v>4.0355720853406437E-3</v>
      </c>
      <c r="O956" s="559">
        <f>'Progetto del paramento slu'!$G$60*(sezione!$AP$30-C956)/C956</f>
        <v>2.2625623646763972E-3</v>
      </c>
      <c r="P956" s="553">
        <f>-'Progetto del paramento slu'!$G$47*'Progetto del paramento slu'!$G$41*IF(DATI!$G$218="dx",DATI!$E$61,DATI!$E$64*DATI!$E$63)*1000*C956*sezione!$AD$5</f>
        <v>-2225990.1318748691</v>
      </c>
      <c r="Q956" s="553">
        <f>'Foglio deposito bis'!$F$58*IF(ABS(K956)&lt;'Progetto del paramento slu'!$G$58,ABS(K956)*'Progetto del paramento slu'!$G$54,'Progetto del paramento slu'!$G$53)*IF(K956&lt;0,-1,1)</f>
        <v>0</v>
      </c>
      <c r="R956" s="553">
        <f>'Foglio deposito bis'!$F$59*IF(ABS(L956)&lt;'Progetto del paramento slu'!$G$58,ABS(L956)*'Progetto del paramento slu'!$G$54,'Progetto del paramento slu'!$G$53)*IF(L956&lt;0,-1,1)</f>
        <v>-14195.86686412322</v>
      </c>
      <c r="S956" s="553">
        <f>'Foglio deposito bis'!$F$60*IF(ABS(M956)&lt;'Progetto del paramento slu'!$G$58,ABS(M956)*'Progetto del paramento slu'!$G$54,'Progetto del paramento slu'!$G$53)*IF(M956&lt;0,-1,1)</f>
        <v>0</v>
      </c>
      <c r="T956" s="553">
        <f>'Foglio deposito bis'!$F$61*IF(ABS(N956)&lt;'Progetto del paramento slu'!$G$58,ABS(N956)*'Progetto del paramento slu'!$G$54,'Progetto del paramento slu'!$G$53)*IF(N956&lt;0,-1,1)</f>
        <v>240946.49743184328</v>
      </c>
      <c r="U956" s="553">
        <f>'Foglio deposito bis'!$F$62*IF(ABS(O956)&lt;'Progetto del paramento slu'!$G$58,ABS(O956)*'Progetto del paramento slu'!$G$54,'Progetto del paramento slu'!$G$53)*IF(O956&lt;0,-1,1)</f>
        <v>314705.62929873407</v>
      </c>
      <c r="V956" s="479">
        <f t="shared" si="74"/>
        <v>-1684533.8720084152</v>
      </c>
      <c r="W956" s="559"/>
      <c r="X956" s="559"/>
    </row>
    <row r="957" spans="1:24" x14ac:dyDescent="0.25">
      <c r="A957" s="553">
        <f t="shared" si="73"/>
        <v>1748497.6238786362</v>
      </c>
      <c r="B957" s="3">
        <f t="shared" si="71"/>
        <v>39.899999999999942</v>
      </c>
      <c r="C957" s="553">
        <f>'Foglio deposito bis'!$E$156/sezione!$B$247*B957</f>
        <v>161.97725213386056</v>
      </c>
      <c r="D957" s="611">
        <f>-'Progetto del paramento slu'!$G$47*'Progetto del paramento slu'!$G$41*IF(DATI!$G$218="dx",DATI!$E$61,DATI!$E$64*DATI!$E$63)*1000*C957^2*sezione!$AD$5*(1-sezione!$AD$6)</f>
        <v>-215979933.58234867</v>
      </c>
      <c r="E957" s="553">
        <f>-'Foglio deposito bis'!$F$58*(C957-sezione!$AL$30)*IF(ABS(K957)&lt;'Progetto del paramento slu'!$G$58,ABS(K957)*'Progetto del paramento slu'!$G$54,'Progetto del paramento slu'!$G$53)</f>
        <v>0</v>
      </c>
      <c r="F957" s="553">
        <f>-'Foglio deposito bis'!$F$59*(C957-sezione!$AM$30)*IF(ABS(L957)&lt;'Progetto del paramento slu'!$G$58,ABS(L957)*'Progetto del paramento slu'!$G$54,'Progetto del paramento slu'!$G$53)</f>
        <v>-250758.4099604337</v>
      </c>
      <c r="G957" s="553">
        <f>-'Foglio deposito bis'!$F$60*(C957-sezione!$AN$30)*IF(ABS(M957)&lt;'Progetto del paramento slu'!$G$58,ABS(M957)*'Progetto del paramento slu'!$G$54,'Progetto del paramento slu'!$G$53)</f>
        <v>0</v>
      </c>
      <c r="H957" s="553">
        <f>-'Foglio deposito bis'!$F$61*(C957-sezione!$AO$30)*IF(ABS(N957)&lt;'Progetto del paramento slu'!$G$58,ABS(N957)*'Progetto del paramento slu'!$G$54,'Progetto del paramento slu'!$G$53)</f>
        <v>42893957.56153845</v>
      </c>
      <c r="I957" s="479">
        <f>-'Foglio deposito bis'!$F$62*(C957-sezione!$AP$30)*IF(ABS(O957)&lt;'Progetto del paramento slu'!$G$58,ABS(O957)*'Progetto del paramento slu'!$G$54,'Progetto del paramento slu'!$G$53)</f>
        <v>30849248.617661096</v>
      </c>
      <c r="J957" s="479">
        <f t="shared" si="72"/>
        <v>-142487485.81310955</v>
      </c>
      <c r="K957" s="558">
        <f>'Progetto del paramento slu'!$G$60*(sezione!$AL$30-C957)/C957</f>
        <v>-2.6356811024038007E-3</v>
      </c>
      <c r="L957" s="558">
        <f>'Progetto del paramento slu'!$G$60*(sezione!$AM$30-C957)/C957</f>
        <v>-2.5880413401425213E-4</v>
      </c>
      <c r="M957" s="559">
        <f>'Progetto del paramento slu'!$G$60*(sezione!$AN$30-C957)/C957</f>
        <v>2.1180728343752962E-3</v>
      </c>
      <c r="N957" s="559">
        <f>'Progetto del paramento slu'!$G$60*(sezione!$AO$30-C957)/C957</f>
        <v>3.8467106295676954E-3</v>
      </c>
      <c r="O957" s="559">
        <f>'Progetto del paramento slu'!$G$60*(sezione!$AP$30-C957)/C957</f>
        <v>2.1181372427546831E-3</v>
      </c>
      <c r="P957" s="553">
        <f>-'Progetto del paramento slu'!$G$47*'Progetto del paramento slu'!$G$41*IF(DATI!$G$218="dx",DATI!$E$61,DATI!$E$64*DATI!$E$63)*1000*C957*sezione!$AD$5</f>
        <v>-2283213.5285811638</v>
      </c>
      <c r="Q957" s="553">
        <f>'Foglio deposito bis'!$F$58*IF(ABS(K957)&lt;'Progetto del paramento slu'!$G$58,ABS(K957)*'Progetto del paramento slu'!$G$54,'Progetto del paramento slu'!$G$53)*IF(K957&lt;0,-1,1)</f>
        <v>0</v>
      </c>
      <c r="R957" s="553">
        <f>'Foglio deposito bis'!$F$59*IF(ABS(L957)&lt;'Progetto del paramento slu'!$G$58,ABS(L957)*'Progetto del paramento slu'!$G$54,'Progetto del paramento slu'!$G$53)*IF(L957&lt;0,-1,1)</f>
        <v>-20936.222028049448</v>
      </c>
      <c r="S957" s="553">
        <f>'Foglio deposito bis'!$F$60*IF(ABS(M957)&lt;'Progetto del paramento slu'!$G$58,ABS(M957)*'Progetto del paramento slu'!$G$54,'Progetto del paramento slu'!$G$53)*IF(M957&lt;0,-1,1)</f>
        <v>0</v>
      </c>
      <c r="T957" s="553">
        <f>'Foglio deposito bis'!$F$61*IF(ABS(N957)&lt;'Progetto del paramento slu'!$G$58,ABS(N957)*'Progetto del paramento slu'!$G$54,'Progetto del paramento slu'!$G$53)*IF(N957&lt;0,-1,1)</f>
        <v>240946.49743184328</v>
      </c>
      <c r="U957" s="553">
        <f>'Foglio deposito bis'!$F$62*IF(ABS(O957)&lt;'Progetto del paramento slu'!$G$58,ABS(O957)*'Progetto del paramento slu'!$G$54,'Progetto del paramento slu'!$G$53)*IF(O957&lt;0,-1,1)</f>
        <v>314705.62929873407</v>
      </c>
      <c r="V957" s="479">
        <f t="shared" si="74"/>
        <v>-1748497.6238786362</v>
      </c>
      <c r="W957" s="559"/>
      <c r="X957" s="559"/>
    </row>
    <row r="958" spans="1:24" x14ac:dyDescent="0.25">
      <c r="A958" s="553">
        <f t="shared" si="73"/>
        <v>1812131.7740293499</v>
      </c>
      <c r="B958" s="3">
        <f t="shared" si="71"/>
        <v>40.899999999999942</v>
      </c>
      <c r="C958" s="553">
        <f>'Foglio deposito bis'!$E$156/sezione!$B$247*B958</f>
        <v>166.03683238784203</v>
      </c>
      <c r="D958" s="611">
        <f>-'Progetto del paramento slu'!$G$47*'Progetto del paramento slu'!$G$41*IF(DATI!$G$218="dx",DATI!$E$61,DATI!$E$64*DATI!$E$63)*1000*C958^2*sezione!$AD$5*(1-sezione!$AD$6)</f>
        <v>-226941660.35130978</v>
      </c>
      <c r="E958" s="553">
        <f>-'Foglio deposito bis'!$F$58*(C958-sezione!$AL$30)*IF(ABS(K958)&lt;'Progetto del paramento slu'!$G$58,ABS(K958)*'Progetto del paramento slu'!$G$54,'Progetto del paramento slu'!$G$53)</f>
        <v>0</v>
      </c>
      <c r="F958" s="553">
        <f>-'Foglio deposito bis'!$F$59*(C958-sezione!$AM$30)*IF(ABS(L958)&lt;'Progetto del paramento slu'!$G$58,ABS(L958)*'Progetto del paramento slu'!$G$54,'Progetto del paramento slu'!$G$53)</f>
        <v>-438558.86196640105</v>
      </c>
      <c r="G958" s="553">
        <f>-'Foglio deposito bis'!$F$60*(C958-sezione!$AN$30)*IF(ABS(M958)&lt;'Progetto del paramento slu'!$G$58,ABS(M958)*'Progetto del paramento slu'!$G$54,'Progetto del paramento slu'!$G$53)</f>
        <v>0</v>
      </c>
      <c r="H958" s="553">
        <f>-'Foglio deposito bis'!$F$61*(C958-sezione!$AO$30)*IF(ABS(N958)&lt;'Progetto del paramento slu'!$G$58,ABS(N958)*'Progetto del paramento slu'!$G$54,'Progetto del paramento slu'!$G$53)</f>
        <v>41915815.91829814</v>
      </c>
      <c r="I958" s="479">
        <f>-'Foglio deposito bis'!$F$62*(C958-sezione!$AP$30)*IF(ABS(O958)&lt;'Progetto del paramento slu'!$G$58,ABS(O958)*'Progetto del paramento slu'!$G$54,'Progetto del paramento slu'!$G$53)</f>
        <v>29571675.859143149</v>
      </c>
      <c r="J958" s="479">
        <f t="shared" si="72"/>
        <v>-155892727.43583488</v>
      </c>
      <c r="K958" s="558">
        <f>'Progetto del paramento slu'!$G$60*(sezione!$AL$30-C958)/C958</f>
        <v>-2.6568135937875708E-3</v>
      </c>
      <c r="L958" s="558">
        <f>'Progetto del paramento slu'!$G$60*(sezione!$AM$30-C958)/C958</f>
        <v>-3.3805097670339021E-4</v>
      </c>
      <c r="M958" s="559">
        <f>'Progetto del paramento slu'!$G$60*(sezione!$AN$30-C958)/C958</f>
        <v>1.9807116403807905E-3</v>
      </c>
      <c r="N958" s="559">
        <f>'Progetto del paramento slu'!$G$60*(sezione!$AO$30-C958)/C958</f>
        <v>3.667084452805649E-3</v>
      </c>
      <c r="O958" s="559">
        <f>'Progetto del paramento slu'!$G$60*(sezione!$AP$30-C958)/C958</f>
        <v>1.980774473983175E-3</v>
      </c>
      <c r="P958" s="553">
        <f>-'Progetto del paramento slu'!$G$47*'Progetto del paramento slu'!$G$41*IF(DATI!$G$218="dx",DATI!$E$61,DATI!$E$64*DATI!$E$63)*1000*C958*sezione!$AD$5</f>
        <v>-2340436.9252874586</v>
      </c>
      <c r="Q958" s="553">
        <f>'Foglio deposito bis'!$F$58*IF(ABS(K958)&lt;'Progetto del paramento slu'!$G$58,ABS(K958)*'Progetto del paramento slu'!$G$54,'Progetto del paramento slu'!$G$53)*IF(K958&lt;0,-1,1)</f>
        <v>0</v>
      </c>
      <c r="R958" s="553">
        <f>'Foglio deposito bis'!$F$59*IF(ABS(L958)&lt;'Progetto del paramento slu'!$G$58,ABS(L958)*'Progetto del paramento slu'!$G$54,'Progetto del paramento slu'!$G$53)*IF(L958&lt;0,-1,1)</f>
        <v>-27346.975472468293</v>
      </c>
      <c r="S958" s="553">
        <f>'Foglio deposito bis'!$F$60*IF(ABS(M958)&lt;'Progetto del paramento slu'!$G$58,ABS(M958)*'Progetto del paramento slu'!$G$54,'Progetto del paramento slu'!$G$53)*IF(M958&lt;0,-1,1)</f>
        <v>0</v>
      </c>
      <c r="T958" s="553">
        <f>'Foglio deposito bis'!$F$61*IF(ABS(N958)&lt;'Progetto del paramento slu'!$G$58,ABS(N958)*'Progetto del paramento slu'!$G$54,'Progetto del paramento slu'!$G$53)*IF(N958&lt;0,-1,1)</f>
        <v>240946.49743184328</v>
      </c>
      <c r="U958" s="553">
        <f>'Foglio deposito bis'!$F$62*IF(ABS(O958)&lt;'Progetto del paramento slu'!$G$58,ABS(O958)*'Progetto del paramento slu'!$G$54,'Progetto del paramento slu'!$G$53)*IF(O958&lt;0,-1,1)</f>
        <v>314705.62929873407</v>
      </c>
      <c r="V958" s="479">
        <f t="shared" si="74"/>
        <v>-1812131.7740293499</v>
      </c>
      <c r="W958" s="559"/>
      <c r="X958" s="559"/>
    </row>
    <row r="959" spans="1:24" x14ac:dyDescent="0.25">
      <c r="A959" s="553">
        <f t="shared" si="73"/>
        <v>1883671.9803237827</v>
      </c>
      <c r="B959" s="3">
        <f t="shared" si="71"/>
        <v>41.899999999999942</v>
      </c>
      <c r="C959" s="553">
        <f>'Foglio deposito bis'!$E$156/sezione!$B$247*B959</f>
        <v>170.09641264182352</v>
      </c>
      <c r="D959" s="611">
        <f>-'Progetto del paramento slu'!$G$47*'Progetto del paramento slu'!$G$41*IF(DATI!$G$218="dx",DATI!$E$61,DATI!$E$64*DATI!$E$63)*1000*C959^2*sezione!$AD$5*(1-sezione!$AD$6)</f>
        <v>-238174716.9907898</v>
      </c>
      <c r="E959" s="553">
        <f>-'Foglio deposito bis'!$F$58*(C959-sezione!$AL$30)*IF(ABS(K959)&lt;'Progetto del paramento slu'!$G$58,ABS(K959)*'Progetto del paramento slu'!$G$54,'Progetto del paramento slu'!$G$53)</f>
        <v>0</v>
      </c>
      <c r="F959" s="553">
        <f>-'Foglio deposito bis'!$F$59*(C959-sezione!$AM$30)*IF(ABS(L959)&lt;'Progetto del paramento slu'!$G$58,ABS(L959)*'Progetto del paramento slu'!$G$54,'Progetto del paramento slu'!$G$53)</f>
        <v>-672259.69662930677</v>
      </c>
      <c r="G959" s="553">
        <f>-'Foglio deposito bis'!$F$60*(C959-sezione!$AN$30)*IF(ABS(M959)&lt;'Progetto del paramento slu'!$G$58,ABS(M959)*'Progetto del paramento slu'!$G$54,'Progetto del paramento slu'!$G$53)</f>
        <v>0</v>
      </c>
      <c r="H959" s="553">
        <f>-'Foglio deposito bis'!$F$61*(C959-sezione!$AO$30)*IF(ABS(N959)&lt;'Progetto del paramento slu'!$G$58,ABS(N959)*'Progetto del paramento slu'!$G$54,'Progetto del paramento slu'!$G$53)</f>
        <v>40937674.27505783</v>
      </c>
      <c r="I959" s="479">
        <f>-'Foglio deposito bis'!$F$62*(C959-sezione!$AP$30)*IF(ABS(O959)&lt;'Progetto del paramento slu'!$G$58,ABS(O959)*'Progetto del paramento slu'!$G$54,'Progetto del paramento slu'!$G$53)</f>
        <v>27555785.086118035</v>
      </c>
      <c r="J959" s="479">
        <f t="shared" si="72"/>
        <v>-170353517.32624325</v>
      </c>
      <c r="K959" s="558">
        <f>'Progetto del paramento slu'!$G$60*(sezione!$AL$30-C959)/C959</f>
        <v>-2.6769373743654331E-3</v>
      </c>
      <c r="L959" s="558">
        <f>'Progetto del paramento slu'!$G$60*(sezione!$AM$30-C959)/C959</f>
        <v>-4.1351515387037422E-4</v>
      </c>
      <c r="M959" s="559">
        <f>'Progetto del paramento slu'!$G$60*(sezione!$AN$30-C959)/C959</f>
        <v>1.8499070666246847E-3</v>
      </c>
      <c r="N959" s="559">
        <f>'Progetto del paramento slu'!$G$60*(sezione!$AO$30-C959)/C959</f>
        <v>3.4960323178938185E-3</v>
      </c>
      <c r="O959" s="559">
        <f>'Progetto del paramento slu'!$G$60*(sezione!$AP$30-C959)/C959</f>
        <v>1.8499684006184206E-3</v>
      </c>
      <c r="P959" s="553">
        <f>-'Progetto del paramento slu'!$G$47*'Progetto del paramento slu'!$G$41*IF(DATI!$G$218="dx",DATI!$E$61,DATI!$E$64*DATI!$E$63)*1000*C959*sezione!$AD$5</f>
        <v>-2397660.3219937538</v>
      </c>
      <c r="Q959" s="553">
        <f>'Foglio deposito bis'!$F$58*IF(ABS(K959)&lt;'Progetto del paramento slu'!$G$58,ABS(K959)*'Progetto del paramento slu'!$G$54,'Progetto del paramento slu'!$G$53)*IF(K959&lt;0,-1,1)</f>
        <v>0</v>
      </c>
      <c r="R959" s="553">
        <f>'Foglio deposito bis'!$F$59*IF(ABS(L959)&lt;'Progetto del paramento slu'!$G$58,ABS(L959)*'Progetto del paramento slu'!$G$54,'Progetto del paramento slu'!$G$53)*IF(L959&lt;0,-1,1)</f>
        <v>-33451.726365840928</v>
      </c>
      <c r="S959" s="553">
        <f>'Foglio deposito bis'!$F$60*IF(ABS(M959)&lt;'Progetto del paramento slu'!$G$58,ABS(M959)*'Progetto del paramento slu'!$G$54,'Progetto del paramento slu'!$G$53)*IF(M959&lt;0,-1,1)</f>
        <v>0</v>
      </c>
      <c r="T959" s="553">
        <f>'Foglio deposito bis'!$F$61*IF(ABS(N959)&lt;'Progetto del paramento slu'!$G$58,ABS(N959)*'Progetto del paramento slu'!$G$54,'Progetto del paramento slu'!$G$53)*IF(N959&lt;0,-1,1)</f>
        <v>240946.49743184328</v>
      </c>
      <c r="U959" s="553">
        <f>'Foglio deposito bis'!$F$62*IF(ABS(O959)&lt;'Progetto del paramento slu'!$G$58,ABS(O959)*'Progetto del paramento slu'!$G$54,'Progetto del paramento slu'!$G$53)*IF(O959&lt;0,-1,1)</f>
        <v>306493.5706039691</v>
      </c>
      <c r="V959" s="479">
        <f t="shared" si="74"/>
        <v>-1883671.9803237827</v>
      </c>
      <c r="W959" s="559"/>
      <c r="X959" s="559"/>
    </row>
    <row r="960" spans="1:24" x14ac:dyDescent="0.25">
      <c r="A960" s="553">
        <f t="shared" si="73"/>
        <v>1967376.5072811702</v>
      </c>
      <c r="B960" s="3">
        <f t="shared" si="71"/>
        <v>42.899999999999942</v>
      </c>
      <c r="C960" s="553">
        <f>'Foglio deposito bis'!$E$156/sezione!$B$247*B960</f>
        <v>174.15599289580499</v>
      </c>
      <c r="D960" s="611">
        <f>-'Progetto del paramento slu'!$G$47*'Progetto del paramento slu'!$G$41*IF(DATI!$G$218="dx",DATI!$E$61,DATI!$E$64*DATI!$E$63)*1000*C960^2*sezione!$AD$5*(1-sezione!$AD$6)</f>
        <v>-249679103.50078854</v>
      </c>
      <c r="E960" s="553">
        <f>-'Foglio deposito bis'!$F$58*(C960-sezione!$AL$30)*IF(ABS(K960)&lt;'Progetto del paramento slu'!$G$58,ABS(K960)*'Progetto del paramento slu'!$G$54,'Progetto del paramento slu'!$G$53)</f>
        <v>0</v>
      </c>
      <c r="F960" s="553">
        <f>-'Foglio deposito bis'!$F$59*(C960-sezione!$AM$30)*IF(ABS(L960)&lt;'Progetto del paramento slu'!$G$58,ABS(L960)*'Progetto del paramento slu'!$G$54,'Progetto del paramento slu'!$G$53)</f>
        <v>-948651.09698013123</v>
      </c>
      <c r="G960" s="553">
        <f>-'Foglio deposito bis'!$F$60*(C960-sezione!$AN$30)*IF(ABS(M960)&lt;'Progetto del paramento slu'!$G$58,ABS(M960)*'Progetto del paramento slu'!$G$54,'Progetto del paramento slu'!$G$53)</f>
        <v>0</v>
      </c>
      <c r="H960" s="553">
        <f>-'Foglio deposito bis'!$F$61*(C960-sezione!$AO$30)*IF(ABS(N960)&lt;'Progetto del paramento slu'!$G$58,ABS(N960)*'Progetto del paramento slu'!$G$54,'Progetto del paramento slu'!$G$53)</f>
        <v>39959532.63181752</v>
      </c>
      <c r="I960" s="479">
        <f>-'Foglio deposito bis'!$F$62*(C960-sezione!$AP$30)*IF(ABS(O960)&lt;'Progetto del paramento slu'!$G$58,ABS(O960)*'Progetto del paramento slu'!$G$54,'Progetto del paramento slu'!$G$53)</f>
        <v>24537866.670795854</v>
      </c>
      <c r="J960" s="479">
        <f t="shared" si="72"/>
        <v>-186130355.29515529</v>
      </c>
      <c r="K960" s="558">
        <f>'Progetto del paramento slu'!$G$60*(sezione!$AL$30-C960)/C960</f>
        <v>-2.696122983354584E-3</v>
      </c>
      <c r="L960" s="558">
        <f>'Progetto del paramento slu'!$G$60*(sezione!$AM$30-C960)/C960</f>
        <v>-4.8546118757968943E-4</v>
      </c>
      <c r="M960" s="559">
        <f>'Progetto del paramento slu'!$G$60*(sezione!$AN$30-C960)/C960</f>
        <v>1.7252006081952048E-3</v>
      </c>
      <c r="N960" s="559">
        <f>'Progetto del paramento slu'!$G$60*(sezione!$AO$30-C960)/C960</f>
        <v>3.3329546414860374E-3</v>
      </c>
      <c r="O960" s="559">
        <f>'Progetto del paramento slu'!$G$60*(sezione!$AP$30-C960)/C960</f>
        <v>1.7252605124921173E-3</v>
      </c>
      <c r="P960" s="553">
        <f>-'Progetto del paramento slu'!$G$47*'Progetto del paramento slu'!$G$41*IF(DATI!$G$218="dx",DATI!$E$61,DATI!$E$64*DATI!$E$63)*1000*C960*sezione!$AD$5</f>
        <v>-2454883.7187000485</v>
      </c>
      <c r="Q960" s="553">
        <f>'Foglio deposito bis'!$F$58*IF(ABS(K960)&lt;'Progetto del paramento slu'!$G$58,ABS(K960)*'Progetto del paramento slu'!$G$54,'Progetto del paramento slu'!$G$53)*IF(K960&lt;0,-1,1)</f>
        <v>0</v>
      </c>
      <c r="R960" s="553">
        <f>'Foglio deposito bis'!$F$59*IF(ABS(L960)&lt;'Progetto del paramento slu'!$G$58,ABS(L960)*'Progetto del paramento slu'!$G$54,'Progetto del paramento slu'!$G$53)*IF(L960&lt;0,-1,1)</f>
        <v>-39271.873487960715</v>
      </c>
      <c r="S960" s="553">
        <f>'Foglio deposito bis'!$F$60*IF(ABS(M960)&lt;'Progetto del paramento slu'!$G$58,ABS(M960)*'Progetto del paramento slu'!$G$54,'Progetto del paramento slu'!$G$53)*IF(M960&lt;0,-1,1)</f>
        <v>0</v>
      </c>
      <c r="T960" s="553">
        <f>'Foglio deposito bis'!$F$61*IF(ABS(N960)&lt;'Progetto del paramento slu'!$G$58,ABS(N960)*'Progetto del paramento slu'!$G$54,'Progetto del paramento slu'!$G$53)*IF(N960&lt;0,-1,1)</f>
        <v>240946.49743184328</v>
      </c>
      <c r="U960" s="553">
        <f>'Foglio deposito bis'!$F$62*IF(ABS(O960)&lt;'Progetto del paramento slu'!$G$58,ABS(O960)*'Progetto del paramento slu'!$G$54,'Progetto del paramento slu'!$G$53)*IF(O960&lt;0,-1,1)</f>
        <v>285832.58747499576</v>
      </c>
      <c r="V960" s="479">
        <f t="shared" si="74"/>
        <v>-1967376.5072811702</v>
      </c>
      <c r="W960" s="559"/>
      <c r="X960" s="559"/>
    </row>
    <row r="961" spans="1:24" x14ac:dyDescent="0.25">
      <c r="A961" s="553">
        <f t="shared" si="73"/>
        <v>2049874.6046143628</v>
      </c>
      <c r="B961" s="3">
        <f t="shared" si="71"/>
        <v>43.899999999999942</v>
      </c>
      <c r="C961" s="553">
        <f>'Foglio deposito bis'!$E$156/sezione!$B$247*B961</f>
        <v>178.21557314978645</v>
      </c>
      <c r="D961" s="611">
        <f>-'Progetto del paramento slu'!$G$47*'Progetto del paramento slu'!$G$41*IF(DATI!$G$218="dx",DATI!$E$61,DATI!$E$64*DATI!$E$63)*1000*C961^2*sezione!$AD$5*(1-sezione!$AD$6)</f>
        <v>-261454819.8813062</v>
      </c>
      <c r="E961" s="553">
        <f>-'Foglio deposito bis'!$F$58*(C961-sezione!$AL$30)*IF(ABS(K961)&lt;'Progetto del paramento slu'!$G$58,ABS(K961)*'Progetto del paramento slu'!$G$54,'Progetto del paramento slu'!$G$53)</f>
        <v>0</v>
      </c>
      <c r="F961" s="553">
        <f>-'Foglio deposito bis'!$F$59*(C961-sezione!$AM$30)*IF(ABS(L961)&lt;'Progetto del paramento slu'!$G$58,ABS(L961)*'Progetto del paramento slu'!$G$54,'Progetto del paramento slu'!$G$53)</f>
        <v>-1264815.712288494</v>
      </c>
      <c r="G961" s="553">
        <f>-'Foglio deposito bis'!$F$60*(C961-sezione!$AN$30)*IF(ABS(M961)&lt;'Progetto del paramento slu'!$G$58,ABS(M961)*'Progetto del paramento slu'!$G$54,'Progetto del paramento slu'!$G$53)</f>
        <v>0</v>
      </c>
      <c r="H961" s="553">
        <f>-'Foglio deposito bis'!$F$61*(C961-sezione!$AO$30)*IF(ABS(N961)&lt;'Progetto del paramento slu'!$G$58,ABS(N961)*'Progetto del paramento slu'!$G$54,'Progetto del paramento slu'!$G$53)</f>
        <v>38981390.988577217</v>
      </c>
      <c r="I961" s="479">
        <f>-'Foglio deposito bis'!$F$62*(C961-sezione!$AP$30)*IF(ABS(O961)&lt;'Progetto del paramento slu'!$G$58,ABS(O961)*'Progetto del paramento slu'!$G$54,'Progetto del paramento slu'!$G$53)</f>
        <v>21764682.524227928</v>
      </c>
      <c r="J961" s="479">
        <f t="shared" si="72"/>
        <v>-201973562.08078957</v>
      </c>
      <c r="K961" s="558">
        <f>'Progetto del paramento slu'!$G$60*(sezione!$AL$30-C961)/C961</f>
        <v>-2.7144345327086935E-3</v>
      </c>
      <c r="L961" s="558">
        <f>'Progetto del paramento slu'!$G$60*(sezione!$AM$30-C961)/C961</f>
        <v>-5.5412949765760078E-4</v>
      </c>
      <c r="M961" s="559">
        <f>'Progetto del paramento slu'!$G$60*(sezione!$AN$30-C961)/C961</f>
        <v>1.606175537393492E-3</v>
      </c>
      <c r="N961" s="559">
        <f>'Progetto del paramento slu'!$G$60*(sezione!$AO$30-C961)/C961</f>
        <v>3.1773064719761049E-3</v>
      </c>
      <c r="O961" s="559">
        <f>'Progetto del paramento slu'!$G$60*(sezione!$AP$30-C961)/C961</f>
        <v>1.6062340771278321E-3</v>
      </c>
      <c r="P961" s="553">
        <f>-'Progetto del paramento slu'!$G$47*'Progetto del paramento slu'!$G$41*IF(DATI!$G$218="dx",DATI!$E$61,DATI!$E$64*DATI!$E$63)*1000*C961*sezione!$AD$5</f>
        <v>-2512107.1154063432</v>
      </c>
      <c r="Q961" s="553">
        <f>'Foglio deposito bis'!$F$58*IF(ABS(K961)&lt;'Progetto del paramento slu'!$G$58,ABS(K961)*'Progetto del paramento slu'!$G$54,'Progetto del paramento slu'!$G$53)*IF(K961&lt;0,-1,1)</f>
        <v>0</v>
      </c>
      <c r="R961" s="553">
        <f>'Foglio deposito bis'!$F$59*IF(ABS(L961)&lt;'Progetto del paramento slu'!$G$58,ABS(L961)*'Progetto del paramento slu'!$G$54,'Progetto del paramento slu'!$G$53)*IF(L961&lt;0,-1,1)</f>
        <v>-44826.865843696913</v>
      </c>
      <c r="S961" s="553">
        <f>'Foglio deposito bis'!$F$60*IF(ABS(M961)&lt;'Progetto del paramento slu'!$G$58,ABS(M961)*'Progetto del paramento slu'!$G$54,'Progetto del paramento slu'!$G$53)*IF(M961&lt;0,-1,1)</f>
        <v>0</v>
      </c>
      <c r="T961" s="553">
        <f>'Foglio deposito bis'!$F$61*IF(ABS(N961)&lt;'Progetto del paramento slu'!$G$58,ABS(N961)*'Progetto del paramento slu'!$G$54,'Progetto del paramento slu'!$G$53)*IF(N961&lt;0,-1,1)</f>
        <v>240946.49743184328</v>
      </c>
      <c r="U961" s="553">
        <f>'Foglio deposito bis'!$F$62*IF(ABS(O961)&lt;'Progetto del paramento slu'!$G$58,ABS(O961)*'Progetto del paramento slu'!$G$54,'Progetto del paramento slu'!$G$53)*IF(O961&lt;0,-1,1)</f>
        <v>266112.87920383434</v>
      </c>
      <c r="V961" s="479">
        <f t="shared" si="74"/>
        <v>-2049874.6046143628</v>
      </c>
      <c r="W961" s="559"/>
      <c r="X961" s="559"/>
    </row>
    <row r="962" spans="1:24" x14ac:dyDescent="0.25">
      <c r="A962" s="553">
        <f t="shared" si="73"/>
        <v>2131246.8800933505</v>
      </c>
      <c r="B962" s="3">
        <f t="shared" si="71"/>
        <v>44.899999999999942</v>
      </c>
      <c r="C962" s="553">
        <f>'Foglio deposito bis'!$E$156/sezione!$B$247*B962</f>
        <v>182.27515340376792</v>
      </c>
      <c r="D962" s="611">
        <f>-'Progetto del paramento slu'!$G$47*'Progetto del paramento slu'!$G$41*IF(DATI!$G$218="dx",DATI!$E$61,DATI!$E$64*DATI!$E$63)*1000*C962^2*sezione!$AD$5*(1-sezione!$AD$6)</f>
        <v>-273501866.13234264</v>
      </c>
      <c r="E962" s="553">
        <f>-'Foglio deposito bis'!$F$58*(C962-sezione!$AL$30)*IF(ABS(K962)&lt;'Progetto del paramento slu'!$G$58,ABS(K962)*'Progetto del paramento slu'!$G$54,'Progetto del paramento slu'!$G$53)</f>
        <v>0</v>
      </c>
      <c r="F962" s="553">
        <f>-'Foglio deposito bis'!$F$59*(C962-sezione!$AM$30)*IF(ABS(L962)&lt;'Progetto del paramento slu'!$G$58,ABS(L962)*'Progetto del paramento slu'!$G$54,'Progetto del paramento slu'!$G$53)</f>
        <v>-1618096.0894391926</v>
      </c>
      <c r="G962" s="553">
        <f>-'Foglio deposito bis'!$F$60*(C962-sezione!$AN$30)*IF(ABS(M962)&lt;'Progetto del paramento slu'!$G$58,ABS(M962)*'Progetto del paramento slu'!$G$54,'Progetto del paramento slu'!$G$53)</f>
        <v>0</v>
      </c>
      <c r="H962" s="553">
        <f>-'Foglio deposito bis'!$F$61*(C962-sezione!$AO$30)*IF(ABS(N962)&lt;'Progetto del paramento slu'!$G$58,ABS(N962)*'Progetto del paramento slu'!$G$54,'Progetto del paramento slu'!$G$53)</f>
        <v>38003249.345336907</v>
      </c>
      <c r="I962" s="479">
        <f>-'Foglio deposito bis'!$F$62*(C962-sezione!$AP$30)*IF(ABS(O962)&lt;'Progetto del paramento slu'!$G$58,ABS(O962)*'Progetto del paramento slu'!$G$54,'Progetto del paramento slu'!$G$53)</f>
        <v>19219880.690818202</v>
      </c>
      <c r="J962" s="479">
        <f t="shared" si="72"/>
        <v>-217896832.18562675</v>
      </c>
      <c r="K962" s="558">
        <f>'Progetto del paramento slu'!$G$60*(sezione!$AL$30-C962)/C962</f>
        <v>-2.731930422848812E-3</v>
      </c>
      <c r="L962" s="558">
        <f>'Progetto del paramento slu'!$G$60*(sezione!$AM$30-C962)/C962</f>
        <v>-6.19739085683044E-4</v>
      </c>
      <c r="M962" s="559">
        <f>'Progetto del paramento slu'!$G$60*(sezione!$AN$30-C962)/C962</f>
        <v>1.4924522514827238E-3</v>
      </c>
      <c r="N962" s="559">
        <f>'Progetto del paramento slu'!$G$60*(sezione!$AO$30-C962)/C962</f>
        <v>3.0285914057851001E-3</v>
      </c>
      <c r="O962" s="559">
        <f>'Progetto del paramento slu'!$G$60*(sezione!$AP$30-C962)/C962</f>
        <v>1.492509487436789E-3</v>
      </c>
      <c r="P962" s="553">
        <f>-'Progetto del paramento slu'!$G$47*'Progetto del paramento slu'!$G$41*IF(DATI!$G$218="dx",DATI!$E$61,DATI!$E$64*DATI!$E$63)*1000*C962*sezione!$AD$5</f>
        <v>-2569330.5121126384</v>
      </c>
      <c r="Q962" s="553">
        <f>'Foglio deposito bis'!$F$58*IF(ABS(K962)&lt;'Progetto del paramento slu'!$G$58,ABS(K962)*'Progetto del paramento slu'!$G$54,'Progetto del paramento slu'!$G$53)*IF(K962&lt;0,-1,1)</f>
        <v>0</v>
      </c>
      <c r="R962" s="553">
        <f>'Foglio deposito bis'!$F$59*IF(ABS(L962)&lt;'Progetto del paramento slu'!$G$58,ABS(L962)*'Progetto del paramento slu'!$G$54,'Progetto del paramento slu'!$G$53)*IF(L962&lt;0,-1,1)</f>
        <v>-50134.419787150888</v>
      </c>
      <c r="S962" s="553">
        <f>'Foglio deposito bis'!$F$60*IF(ABS(M962)&lt;'Progetto del paramento slu'!$G$58,ABS(M962)*'Progetto del paramento slu'!$G$54,'Progetto del paramento slu'!$G$53)*IF(M962&lt;0,-1,1)</f>
        <v>0</v>
      </c>
      <c r="T962" s="553">
        <f>'Foglio deposito bis'!$F$61*IF(ABS(N962)&lt;'Progetto del paramento slu'!$G$58,ABS(N962)*'Progetto del paramento slu'!$G$54,'Progetto del paramento slu'!$G$53)*IF(N962&lt;0,-1,1)</f>
        <v>240946.49743184328</v>
      </c>
      <c r="U962" s="553">
        <f>'Foglio deposito bis'!$F$62*IF(ABS(O962)&lt;'Progetto del paramento slu'!$G$58,ABS(O962)*'Progetto del paramento slu'!$G$54,'Progetto del paramento slu'!$G$53)*IF(O962&lt;0,-1,1)</f>
        <v>247271.55437459549</v>
      </c>
      <c r="V962" s="479">
        <f t="shared" si="74"/>
        <v>-2131246.8800933505</v>
      </c>
      <c r="W962" s="559"/>
      <c r="X962" s="559"/>
    </row>
    <row r="963" spans="1:24" x14ac:dyDescent="0.25">
      <c r="A963" s="553">
        <f t="shared" si="73"/>
        <v>2211566.9168458595</v>
      </c>
      <c r="B963" s="3">
        <f t="shared" si="71"/>
        <v>45.899999999999942</v>
      </c>
      <c r="C963" s="553">
        <f>'Foglio deposito bis'!$E$156/sezione!$B$247*B963</f>
        <v>186.33473365774941</v>
      </c>
      <c r="D963" s="611">
        <f>-'Progetto del paramento slu'!$G$47*'Progetto del paramento slu'!$G$41*IF(DATI!$G$218="dx",DATI!$E$61,DATI!$E$64*DATI!$E$63)*1000*C963^2*sezione!$AD$5*(1-sezione!$AD$6)</f>
        <v>-285820242.25389802</v>
      </c>
      <c r="E963" s="553">
        <f>-'Foglio deposito bis'!$F$58*(C963-sezione!$AL$30)*IF(ABS(K963)&lt;'Progetto del paramento slu'!$G$58,ABS(K963)*'Progetto del paramento slu'!$G$54,'Progetto del paramento slu'!$G$53)</f>
        <v>0</v>
      </c>
      <c r="F963" s="553">
        <f>-'Foglio deposito bis'!$F$59*(C963-sezione!$AM$30)*IF(ABS(L963)&lt;'Progetto del paramento slu'!$G$58,ABS(L963)*'Progetto del paramento slu'!$G$54,'Progetto del paramento slu'!$G$53)</f>
        <v>-2006066.3616451481</v>
      </c>
      <c r="G963" s="553">
        <f>-'Foglio deposito bis'!$F$60*(C963-sezione!$AN$30)*IF(ABS(M963)&lt;'Progetto del paramento slu'!$G$58,ABS(M963)*'Progetto del paramento slu'!$G$54,'Progetto del paramento slu'!$G$53)</f>
        <v>0</v>
      </c>
      <c r="H963" s="553">
        <f>-'Foglio deposito bis'!$F$61*(C963-sezione!$AO$30)*IF(ABS(N963)&lt;'Progetto del paramento slu'!$G$58,ABS(N963)*'Progetto del paramento slu'!$G$54,'Progetto del paramento slu'!$G$53)</f>
        <v>37025107.702096596</v>
      </c>
      <c r="I963" s="479">
        <f>-'Foglio deposito bis'!$F$62*(C963-sezione!$AP$30)*IF(ABS(O963)&lt;'Progetto del paramento slu'!$G$58,ABS(O963)*'Progetto del paramento slu'!$G$54,'Progetto del paramento slu'!$G$53)</f>
        <v>16888534.221994236</v>
      </c>
      <c r="J963" s="479">
        <f t="shared" si="72"/>
        <v>-233912666.69145238</v>
      </c>
      <c r="K963" s="558">
        <f>'Progetto del paramento slu'!$G$60*(sezione!$AL$30-C963)/C963</f>
        <v>-2.7486639648346763E-3</v>
      </c>
      <c r="L963" s="558">
        <f>'Progetto del paramento slu'!$G$60*(sezione!$AM$30-C963)/C963</f>
        <v>-6.8248986813003682E-4</v>
      </c>
      <c r="M963" s="559">
        <f>'Progetto del paramento slu'!$G$60*(sezione!$AN$30-C963)/C963</f>
        <v>1.3836842285746026E-3</v>
      </c>
      <c r="N963" s="559">
        <f>'Progetto del paramento slu'!$G$60*(sezione!$AO$30-C963)/C963</f>
        <v>2.88635629890525E-3</v>
      </c>
      <c r="O963" s="559">
        <f>'Progetto del paramento slu'!$G$60*(sezione!$AP$30-C963)/C963</f>
        <v>1.3837402175579914E-3</v>
      </c>
      <c r="P963" s="553">
        <f>-'Progetto del paramento slu'!$G$47*'Progetto del paramento slu'!$G$41*IF(DATI!$G$218="dx",DATI!$E$61,DATI!$E$64*DATI!$E$63)*1000*C963*sezione!$AD$5</f>
        <v>-2626553.9088189332</v>
      </c>
      <c r="Q963" s="553">
        <f>'Foglio deposito bis'!$F$58*IF(ABS(K963)&lt;'Progetto del paramento slu'!$G$58,ABS(K963)*'Progetto del paramento slu'!$G$54,'Progetto del paramento slu'!$G$53)*IF(K963&lt;0,-1,1)</f>
        <v>0</v>
      </c>
      <c r="R963" s="553">
        <f>'Foglio deposito bis'!$F$59*IF(ABS(L963)&lt;'Progetto del paramento slu'!$G$58,ABS(L963)*'Progetto del paramento slu'!$G$54,'Progetto del paramento slu'!$G$53)*IF(L963&lt;0,-1,1)</f>
        <v>-55210.707763569852</v>
      </c>
      <c r="S963" s="553">
        <f>'Foglio deposito bis'!$F$60*IF(ABS(M963)&lt;'Progetto del paramento slu'!$G$58,ABS(M963)*'Progetto del paramento slu'!$G$54,'Progetto del paramento slu'!$G$53)*IF(M963&lt;0,-1,1)</f>
        <v>0</v>
      </c>
      <c r="T963" s="553">
        <f>'Foglio deposito bis'!$F$61*IF(ABS(N963)&lt;'Progetto del paramento slu'!$G$58,ABS(N963)*'Progetto del paramento slu'!$G$54,'Progetto del paramento slu'!$G$53)*IF(N963&lt;0,-1,1)</f>
        <v>240946.49743184328</v>
      </c>
      <c r="U963" s="553">
        <f>'Foglio deposito bis'!$F$62*IF(ABS(O963)&lt;'Progetto del paramento slu'!$G$58,ABS(O963)*'Progetto del paramento slu'!$G$54,'Progetto del paramento slu'!$G$53)*IF(O963&lt;0,-1,1)</f>
        <v>229251.20230480054</v>
      </c>
      <c r="V963" s="479">
        <f t="shared" si="74"/>
        <v>-2211566.9168458595</v>
      </c>
      <c r="W963" s="559"/>
      <c r="X963" s="559"/>
    </row>
    <row r="964" spans="1:24" x14ac:dyDescent="0.25">
      <c r="A964" s="553">
        <f t="shared" si="73"/>
        <v>2290902.0222531143</v>
      </c>
      <c r="B964" s="3">
        <f t="shared" si="71"/>
        <v>46.899999999999942</v>
      </c>
      <c r="C964" s="553">
        <f>'Foglio deposito bis'!$E$156/sezione!$B$247*B964</f>
        <v>190.39431391173088</v>
      </c>
      <c r="D964" s="611">
        <f>-'Progetto del paramento slu'!$G$47*'Progetto del paramento slu'!$G$41*IF(DATI!$G$218="dx",DATI!$E$61,DATI!$E$64*DATI!$E$63)*1000*C964^2*sezione!$AD$5*(1-sezione!$AD$6)</f>
        <v>-298409948.24597216</v>
      </c>
      <c r="E964" s="553">
        <f>-'Foglio deposito bis'!$F$58*(C964-sezione!$AL$30)*IF(ABS(K964)&lt;'Progetto del paramento slu'!$G$58,ABS(K964)*'Progetto del paramento slu'!$G$54,'Progetto del paramento slu'!$G$53)</f>
        <v>0</v>
      </c>
      <c r="F964" s="553">
        <f>-'Foglio deposito bis'!$F$59*(C964-sezione!$AM$30)*IF(ABS(L964)&lt;'Progetto del paramento slu'!$G$58,ABS(L964)*'Progetto del paramento slu'!$G$54,'Progetto del paramento slu'!$G$53)</f>
        <v>-2426507.5590733979</v>
      </c>
      <c r="G964" s="553">
        <f>-'Foglio deposito bis'!$F$60*(C964-sezione!$AN$30)*IF(ABS(M964)&lt;'Progetto del paramento slu'!$G$58,ABS(M964)*'Progetto del paramento slu'!$G$54,'Progetto del paramento slu'!$G$53)</f>
        <v>0</v>
      </c>
      <c r="H964" s="553">
        <f>-'Foglio deposito bis'!$F$61*(C964-sezione!$AO$30)*IF(ABS(N964)&lt;'Progetto del paramento slu'!$G$58,ABS(N964)*'Progetto del paramento slu'!$G$54,'Progetto del paramento slu'!$G$53)</f>
        <v>36046966.058856286</v>
      </c>
      <c r="I964" s="479">
        <f>-'Foglio deposito bis'!$F$62*(C964-sezione!$AP$30)*IF(ABS(O964)&lt;'Progetto del paramento slu'!$G$58,ABS(O964)*'Progetto del paramento slu'!$G$54,'Progetto del paramento slu'!$G$53)</f>
        <v>14756989.256481908</v>
      </c>
      <c r="J964" s="479">
        <f t="shared" si="72"/>
        <v>-250032500.48970735</v>
      </c>
      <c r="K964" s="558">
        <f>'Progetto del paramento slu'!$G$60*(sezione!$AL$30-C964)/C964</f>
        <v>-2.7646839229405469E-3</v>
      </c>
      <c r="L964" s="558">
        <f>'Progetto del paramento slu'!$G$60*(sezione!$AM$30-C964)/C964</f>
        <v>-7.4256471102705107E-4</v>
      </c>
      <c r="M964" s="559">
        <f>'Progetto del paramento slu'!$G$60*(sezione!$AN$30-C964)/C964</f>
        <v>1.279554500886445E-3</v>
      </c>
      <c r="N964" s="559">
        <f>'Progetto del paramento slu'!$G$60*(sezione!$AO$30-C964)/C964</f>
        <v>2.7501866550053516E-3</v>
      </c>
      <c r="O964" s="559">
        <f>'Progetto del paramento slu'!$G$60*(sezione!$AP$30-C964)/C964</f>
        <v>1.2796092960748785E-3</v>
      </c>
      <c r="P964" s="553">
        <f>-'Progetto del paramento slu'!$G$47*'Progetto del paramento slu'!$G$41*IF(DATI!$G$218="dx",DATI!$E$61,DATI!$E$64*DATI!$E$63)*1000*C964*sezione!$AD$5</f>
        <v>-2683777.3055252284</v>
      </c>
      <c r="Q964" s="553">
        <f>'Foglio deposito bis'!$F$58*IF(ABS(K964)&lt;'Progetto del paramento slu'!$G$58,ABS(K964)*'Progetto del paramento slu'!$G$54,'Progetto del paramento slu'!$G$53)*IF(K964&lt;0,-1,1)</f>
        <v>0</v>
      </c>
      <c r="R964" s="553">
        <f>'Foglio deposito bis'!$F$59*IF(ABS(L964)&lt;'Progetto del paramento slu'!$G$58,ABS(L964)*'Progetto del paramento slu'!$G$54,'Progetto del paramento slu'!$G$53)*IF(L964&lt;0,-1,1)</f>
        <v>-60070.522905173493</v>
      </c>
      <c r="S964" s="553">
        <f>'Foglio deposito bis'!$F$60*IF(ABS(M964)&lt;'Progetto del paramento slu'!$G$58,ABS(M964)*'Progetto del paramento slu'!$G$54,'Progetto del paramento slu'!$G$53)*IF(M964&lt;0,-1,1)</f>
        <v>0</v>
      </c>
      <c r="T964" s="553">
        <f>'Foglio deposito bis'!$F$61*IF(ABS(N964)&lt;'Progetto del paramento slu'!$G$58,ABS(N964)*'Progetto del paramento slu'!$G$54,'Progetto del paramento slu'!$G$53)*IF(N964&lt;0,-1,1)</f>
        <v>240946.49743184328</v>
      </c>
      <c r="U964" s="553">
        <f>'Foglio deposito bis'!$F$62*IF(ABS(O964)&lt;'Progetto del paramento slu'!$G$58,ABS(O964)*'Progetto del paramento slu'!$G$54,'Progetto del paramento slu'!$G$53)*IF(O964&lt;0,-1,1)</f>
        <v>211999.30874544469</v>
      </c>
      <c r="V964" s="479">
        <f t="shared" si="74"/>
        <v>-2290902.0222531143</v>
      </c>
      <c r="W964" s="559"/>
      <c r="X964" s="559"/>
    </row>
    <row r="965" spans="1:24" x14ac:dyDescent="0.25">
      <c r="A965" s="553">
        <f t="shared" si="73"/>
        <v>2369313.8830381981</v>
      </c>
      <c r="B965" s="3">
        <f t="shared" si="71"/>
        <v>47.899999999999942</v>
      </c>
      <c r="C965" s="553">
        <f>'Foglio deposito bis'!$E$156/sezione!$B$247*B965</f>
        <v>194.45389416571234</v>
      </c>
      <c r="D965" s="611">
        <f>-'Progetto del paramento slu'!$G$47*'Progetto del paramento slu'!$G$41*IF(DATI!$G$218="dx",DATI!$E$61,DATI!$E$64*DATI!$E$63)*1000*C965^2*sezione!$AD$5*(1-sezione!$AD$6)</f>
        <v>-311270984.10856521</v>
      </c>
      <c r="E965" s="553">
        <f>-'Foglio deposito bis'!$F$58*(C965-sezione!$AL$30)*IF(ABS(K965)&lt;'Progetto del paramento slu'!$G$58,ABS(K965)*'Progetto del paramento slu'!$G$54,'Progetto del paramento slu'!$G$53)</f>
        <v>0</v>
      </c>
      <c r="F965" s="553">
        <f>-'Foglio deposito bis'!$F$59*(C965-sezione!$AM$30)*IF(ABS(L965)&lt;'Progetto del paramento slu'!$G$58,ABS(L965)*'Progetto del paramento slu'!$G$54,'Progetto del paramento slu'!$G$53)</f>
        <v>-2877386.0120858029</v>
      </c>
      <c r="G965" s="553">
        <f>-'Foglio deposito bis'!$F$60*(C965-sezione!$AN$30)*IF(ABS(M965)&lt;'Progetto del paramento slu'!$G$58,ABS(M965)*'Progetto del paramento slu'!$G$54,'Progetto del paramento slu'!$G$53)</f>
        <v>0</v>
      </c>
      <c r="H965" s="553">
        <f>-'Foglio deposito bis'!$F$61*(C965-sezione!$AO$30)*IF(ABS(N965)&lt;'Progetto del paramento slu'!$G$58,ABS(N965)*'Progetto del paramento slu'!$G$54,'Progetto del paramento slu'!$G$53)</f>
        <v>35068824.415615983</v>
      </c>
      <c r="I965" s="479">
        <f>-'Foglio deposito bis'!$F$62*(C965-sezione!$AP$30)*IF(ABS(O965)&lt;'Progetto del paramento slu'!$G$58,ABS(O965)*'Progetto del paramento slu'!$G$54,'Progetto del paramento slu'!$G$53)</f>
        <v>12812732.130190708</v>
      </c>
      <c r="J965" s="479">
        <f t="shared" si="72"/>
        <v>-266266813.57484433</v>
      </c>
      <c r="K965" s="558">
        <f>'Progetto del paramento slu'!$G$60*(sezione!$AL$30-C965)/C965</f>
        <v>-2.7800349892674668E-3</v>
      </c>
      <c r="L965" s="558">
        <f>'Progetto del paramento slu'!$G$60*(sezione!$AM$30-C965)/C965</f>
        <v>-8.0013120975299973E-4</v>
      </c>
      <c r="M965" s="559">
        <f>'Progetto del paramento slu'!$G$60*(sezione!$AN$30-C965)/C965</f>
        <v>1.1797725697614671E-3</v>
      </c>
      <c r="N965" s="559">
        <f>'Progetto del paramento slu'!$G$60*(sezione!$AO$30-C965)/C965</f>
        <v>2.6197025912265341E-3</v>
      </c>
      <c r="O965" s="559">
        <f>'Progetto del paramento slu'!$G$60*(sezione!$AP$30-C965)/C965</f>
        <v>1.1798262210002465E-3</v>
      </c>
      <c r="P965" s="553">
        <f>-'Progetto del paramento slu'!$G$47*'Progetto del paramento slu'!$G$41*IF(DATI!$G$218="dx",DATI!$E$61,DATI!$E$64*DATI!$E$63)*1000*C965*sezione!$AD$5</f>
        <v>-2741000.7022315226</v>
      </c>
      <c r="Q965" s="553">
        <f>'Foglio deposito bis'!$F$58*IF(ABS(K965)&lt;'Progetto del paramento slu'!$G$58,ABS(K965)*'Progetto del paramento slu'!$G$54,'Progetto del paramento slu'!$G$53)*IF(K965&lt;0,-1,1)</f>
        <v>0</v>
      </c>
      <c r="R965" s="553">
        <f>'Foglio deposito bis'!$F$59*IF(ABS(L965)&lt;'Progetto del paramento slu'!$G$58,ABS(L965)*'Progetto del paramento slu'!$G$54,'Progetto del paramento slu'!$G$53)*IF(L965&lt;0,-1,1)</f>
        <v>-64727.423009549391</v>
      </c>
      <c r="S965" s="553">
        <f>'Foglio deposito bis'!$F$60*IF(ABS(M965)&lt;'Progetto del paramento slu'!$G$58,ABS(M965)*'Progetto del paramento slu'!$G$54,'Progetto del paramento slu'!$G$53)*IF(M965&lt;0,-1,1)</f>
        <v>0</v>
      </c>
      <c r="T965" s="553">
        <f>'Foglio deposito bis'!$F$61*IF(ABS(N965)&lt;'Progetto del paramento slu'!$G$58,ABS(N965)*'Progetto del paramento slu'!$G$54,'Progetto del paramento slu'!$G$53)*IF(N965&lt;0,-1,1)</f>
        <v>240946.49743184328</v>
      </c>
      <c r="U965" s="553">
        <f>'Foglio deposito bis'!$F$62*IF(ABS(O965)&lt;'Progetto del paramento slu'!$G$58,ABS(O965)*'Progetto del paramento slu'!$G$54,'Progetto del paramento slu'!$G$53)*IF(O965&lt;0,-1,1)</f>
        <v>195467.74477103059</v>
      </c>
      <c r="V965" s="479">
        <f t="shared" si="74"/>
        <v>-2369313.8830381981</v>
      </c>
      <c r="W965" s="559"/>
      <c r="X965" s="559"/>
    </row>
    <row r="966" spans="1:24" x14ac:dyDescent="0.25">
      <c r="A966" s="553">
        <f t="shared" si="73"/>
        <v>2446859.1399754803</v>
      </c>
      <c r="B966" s="3">
        <f t="shared" si="71"/>
        <v>48.899999999999942</v>
      </c>
      <c r="C966" s="553">
        <f>'Foglio deposito bis'!$E$156/sezione!$B$247*B966</f>
        <v>198.51347441969384</v>
      </c>
      <c r="D966" s="611">
        <f>-'Progetto del paramento slu'!$G$47*'Progetto del paramento slu'!$G$41*IF(DATI!$G$218="dx",DATI!$E$61,DATI!$E$64*DATI!$E$63)*1000*C966^2*sezione!$AD$5*(1-sezione!$AD$6)</f>
        <v>-324403349.84167713</v>
      </c>
      <c r="E966" s="553">
        <f>-'Foglio deposito bis'!$F$58*(C966-sezione!$AL$30)*IF(ABS(K966)&lt;'Progetto del paramento slu'!$G$58,ABS(K966)*'Progetto del paramento slu'!$G$54,'Progetto del paramento slu'!$G$53)</f>
        <v>0</v>
      </c>
      <c r="F966" s="553">
        <f>-'Foglio deposito bis'!$F$59*(C966-sezione!$AM$30)*IF(ABS(L966)&lt;'Progetto del paramento slu'!$G$58,ABS(L966)*'Progetto del paramento slu'!$G$54,'Progetto del paramento slu'!$G$53)</f>
        <v>-3356834.4043888613</v>
      </c>
      <c r="G966" s="553">
        <f>-'Foglio deposito bis'!$F$60*(C966-sezione!$AN$30)*IF(ABS(M966)&lt;'Progetto del paramento slu'!$G$58,ABS(M966)*'Progetto del paramento slu'!$G$54,'Progetto del paramento slu'!$G$53)</f>
        <v>0</v>
      </c>
      <c r="H966" s="553">
        <f>-'Foglio deposito bis'!$F$61*(C966-sezione!$AO$30)*IF(ABS(N966)&lt;'Progetto del paramento slu'!$G$58,ABS(N966)*'Progetto del paramento slu'!$G$54,'Progetto del paramento slu'!$G$53)</f>
        <v>34090682.772375666</v>
      </c>
      <c r="I966" s="479">
        <f>-'Foglio deposito bis'!$F$62*(C966-sezione!$AP$30)*IF(ABS(O966)&lt;'Progetto del paramento slu'!$G$58,ABS(O966)*'Progetto del paramento slu'!$G$54,'Progetto del paramento slu'!$G$53)</f>
        <v>11044272.791634668</v>
      </c>
      <c r="J966" s="479">
        <f t="shared" si="72"/>
        <v>-282625228.68205565</v>
      </c>
      <c r="K966" s="558">
        <f>'Progetto del paramento slu'!$G$60*(sezione!$AL$30-C966)/C966</f>
        <v>-2.794758200120893E-3</v>
      </c>
      <c r="L966" s="558">
        <f>'Progetto del paramento slu'!$G$60*(sezione!$AM$30-C966)/C966</f>
        <v>-8.5534325045334778E-4</v>
      </c>
      <c r="M966" s="559">
        <f>'Progetto del paramento slu'!$G$60*(sezione!$AN$30-C966)/C966</f>
        <v>1.0840716992141972E-3</v>
      </c>
      <c r="N966" s="559">
        <f>'Progetto del paramento slu'!$G$60*(sezione!$AO$30-C966)/C966</f>
        <v>2.4945552989724118E-3</v>
      </c>
      <c r="O966" s="559">
        <f>'Progetto del paramento slu'!$G$60*(sezione!$AP$30-C966)/C966</f>
        <v>1.0841242532906295E-3</v>
      </c>
      <c r="P966" s="553">
        <f>-'Progetto del paramento slu'!$G$47*'Progetto del paramento slu'!$G$41*IF(DATI!$G$218="dx",DATI!$E$61,DATI!$E$64*DATI!$E$63)*1000*C966*sezione!$AD$5</f>
        <v>-2798224.0989378178</v>
      </c>
      <c r="Q966" s="553">
        <f>'Foglio deposito bis'!$F$58*IF(ABS(K966)&lt;'Progetto del paramento slu'!$G$58,ABS(K966)*'Progetto del paramento slu'!$G$54,'Progetto del paramento slu'!$G$53)*IF(K966&lt;0,-1,1)</f>
        <v>0</v>
      </c>
      <c r="R966" s="553">
        <f>'Foglio deposito bis'!$F$59*IF(ABS(L966)&lt;'Progetto del paramento slu'!$G$58,ABS(L966)*'Progetto del paramento slu'!$G$54,'Progetto del paramento slu'!$G$53)*IF(L966&lt;0,-1,1)</f>
        <v>-69193.856851987672</v>
      </c>
      <c r="S966" s="553">
        <f>'Foglio deposito bis'!$F$60*IF(ABS(M966)&lt;'Progetto del paramento slu'!$G$58,ABS(M966)*'Progetto del paramento slu'!$G$54,'Progetto del paramento slu'!$G$53)*IF(M966&lt;0,-1,1)</f>
        <v>0</v>
      </c>
      <c r="T966" s="553">
        <f>'Foglio deposito bis'!$F$61*IF(ABS(N966)&lt;'Progetto del paramento slu'!$G$58,ABS(N966)*'Progetto del paramento slu'!$G$54,'Progetto del paramento slu'!$G$53)*IF(N966&lt;0,-1,1)</f>
        <v>240946.49743184328</v>
      </c>
      <c r="U966" s="553">
        <f>'Foglio deposito bis'!$F$62*IF(ABS(O966)&lt;'Progetto del paramento slu'!$G$58,ABS(O966)*'Progetto del paramento slu'!$G$54,'Progetto del paramento slu'!$G$53)*IF(O966&lt;0,-1,1)</f>
        <v>179612.31838248204</v>
      </c>
      <c r="V966" s="479">
        <f t="shared" si="74"/>
        <v>-2446859.1399754803</v>
      </c>
      <c r="W966" s="559"/>
      <c r="X966" s="559"/>
    </row>
    <row r="967" spans="1:24" x14ac:dyDescent="0.25">
      <c r="A967" s="553">
        <f t="shared" si="73"/>
        <v>2523589.8934966908</v>
      </c>
      <c r="B967" s="3">
        <f t="shared" si="71"/>
        <v>49.899999999999942</v>
      </c>
      <c r="C967" s="553">
        <f>'Foglio deposito bis'!$E$156/sezione!$B$247*B967</f>
        <v>202.5730546736753</v>
      </c>
      <c r="D967" s="611">
        <f>-'Progetto del paramento slu'!$G$47*'Progetto del paramento slu'!$G$41*IF(DATI!$G$218="dx",DATI!$E$61,DATI!$E$64*DATI!$E$63)*1000*C967^2*sezione!$AD$5*(1-sezione!$AD$6)</f>
        <v>-337807045.44530779</v>
      </c>
      <c r="E967" s="553">
        <f>-'Foglio deposito bis'!$F$58*(C967-sezione!$AL$30)*IF(ABS(K967)&lt;'Progetto del paramento slu'!$G$58,ABS(K967)*'Progetto del paramento slu'!$G$54,'Progetto del paramento slu'!$G$53)</f>
        <v>0</v>
      </c>
      <c r="F967" s="553">
        <f>-'Foglio deposito bis'!$F$59*(C967-sezione!$AM$30)*IF(ABS(L967)&lt;'Progetto del paramento slu'!$G$58,ABS(L967)*'Progetto del paramento slu'!$G$54,'Progetto del paramento slu'!$G$53)</f>
        <v>-3863135.1043618866</v>
      </c>
      <c r="G967" s="553">
        <f>-'Foglio deposito bis'!$F$60*(C967-sezione!$AN$30)*IF(ABS(M967)&lt;'Progetto del paramento slu'!$G$58,ABS(M967)*'Progetto del paramento slu'!$G$54,'Progetto del paramento slu'!$G$53)</f>
        <v>0</v>
      </c>
      <c r="H967" s="553">
        <f>-'Foglio deposito bis'!$F$61*(C967-sezione!$AO$30)*IF(ABS(N967)&lt;'Progetto del paramento slu'!$G$58,ABS(N967)*'Progetto del paramento slu'!$G$54,'Progetto del paramento slu'!$G$53)</f>
        <v>33112541.129135359</v>
      </c>
      <c r="I967" s="479">
        <f>-'Foglio deposito bis'!$F$62*(C967-sezione!$AP$30)*IF(ABS(O967)&lt;'Progetto del paramento slu'!$G$58,ABS(O967)*'Progetto del paramento slu'!$G$54,'Progetto del paramento slu'!$G$53)</f>
        <v>9441042.2355391476</v>
      </c>
      <c r="J967" s="479">
        <f t="shared" si="72"/>
        <v>-299116597.18499517</v>
      </c>
      <c r="K967" s="558">
        <f>'Progetto del paramento slu'!$G$60*(sezione!$AL$30-C967)/C967</f>
        <v>-2.808891302322879E-3</v>
      </c>
      <c r="L967" s="558">
        <f>'Progetto del paramento slu'!$G$60*(sezione!$AM$30-C967)/C967</f>
        <v>-9.0834238371079569E-4</v>
      </c>
      <c r="M967" s="559">
        <f>'Progetto del paramento slu'!$G$60*(sezione!$AN$30-C967)/C967</f>
        <v>9.9220653490128758E-4</v>
      </c>
      <c r="N967" s="559">
        <f>'Progetto del paramento slu'!$G$60*(sezione!$AO$30-C967)/C967</f>
        <v>2.3744239302555298E-3</v>
      </c>
      <c r="O967" s="559">
        <f>'Progetto del paramento slu'!$G$60*(sezione!$AP$30-C967)/C967</f>
        <v>9.9225803578981532E-4</v>
      </c>
      <c r="P967" s="553">
        <f>-'Progetto del paramento slu'!$G$47*'Progetto del paramento slu'!$G$41*IF(DATI!$G$218="dx",DATI!$E$61,DATI!$E$64*DATI!$E$63)*1000*C967*sezione!$AD$5</f>
        <v>-2855447.495644113</v>
      </c>
      <c r="Q967" s="553">
        <f>'Foglio deposito bis'!$F$58*IF(ABS(K967)&lt;'Progetto del paramento slu'!$G$58,ABS(K967)*'Progetto del paramento slu'!$G$54,'Progetto del paramento slu'!$G$53)*IF(K967&lt;0,-1,1)</f>
        <v>0</v>
      </c>
      <c r="R967" s="553">
        <f>'Foglio deposito bis'!$F$59*IF(ABS(L967)&lt;'Progetto del paramento slu'!$G$58,ABS(L967)*'Progetto del paramento slu'!$G$54,'Progetto del paramento slu'!$G$53)*IF(L967&lt;0,-1,1)</f>
        <v>-73481.27530995947</v>
      </c>
      <c r="S967" s="553">
        <f>'Foglio deposito bis'!$F$60*IF(ABS(M967)&lt;'Progetto del paramento slu'!$G$58,ABS(M967)*'Progetto del paramento slu'!$G$54,'Progetto del paramento slu'!$G$53)*IF(M967&lt;0,-1,1)</f>
        <v>0</v>
      </c>
      <c r="T967" s="553">
        <f>'Foglio deposito bis'!$F$61*IF(ABS(N967)&lt;'Progetto del paramento slu'!$G$58,ABS(N967)*'Progetto del paramento slu'!$G$54,'Progetto del paramento slu'!$G$53)*IF(N967&lt;0,-1,1)</f>
        <v>240946.49743184328</v>
      </c>
      <c r="U967" s="553">
        <f>'Foglio deposito bis'!$F$62*IF(ABS(O967)&lt;'Progetto del paramento slu'!$G$58,ABS(O967)*'Progetto del paramento slu'!$G$54,'Progetto del paramento slu'!$G$53)*IF(O967&lt;0,-1,1)</f>
        <v>164392.38002553873</v>
      </c>
      <c r="V967" s="479">
        <f t="shared" si="74"/>
        <v>-2523589.8934966908</v>
      </c>
      <c r="W967" s="559"/>
      <c r="X967" s="559"/>
    </row>
    <row r="968" spans="1:24" x14ac:dyDescent="0.25">
      <c r="A968" s="553">
        <f t="shared" si="73"/>
        <v>2599554.1496970789</v>
      </c>
      <c r="B968" s="3">
        <f t="shared" si="71"/>
        <v>50.899999999999942</v>
      </c>
      <c r="C968" s="553">
        <f>'Foglio deposito bis'!$E$156/sezione!$B$247*B968</f>
        <v>206.63263492765677</v>
      </c>
      <c r="D968" s="611">
        <f>-'Progetto del paramento slu'!$G$47*'Progetto del paramento slu'!$G$41*IF(DATI!$G$218="dx",DATI!$E$61,DATI!$E$64*DATI!$E$63)*1000*C968^2*sezione!$AD$5*(1-sezione!$AD$6)</f>
        <v>-351482070.91945726</v>
      </c>
      <c r="E968" s="553">
        <f>-'Foglio deposito bis'!$F$58*(C968-sezione!$AL$30)*IF(ABS(K968)&lt;'Progetto del paramento slu'!$G$58,ABS(K968)*'Progetto del paramento slu'!$G$54,'Progetto del paramento slu'!$G$53)</f>
        <v>0</v>
      </c>
      <c r="F968" s="553">
        <f>-'Foglio deposito bis'!$F$59*(C968-sezione!$AM$30)*IF(ABS(L968)&lt;'Progetto del paramento slu'!$G$58,ABS(L968)*'Progetto del paramento slu'!$G$54,'Progetto del paramento slu'!$G$53)</f>
        <v>-4394705.4612581236</v>
      </c>
      <c r="G968" s="553">
        <f>-'Foglio deposito bis'!$F$60*(C968-sezione!$AN$30)*IF(ABS(M968)&lt;'Progetto del paramento slu'!$G$58,ABS(M968)*'Progetto del paramento slu'!$G$54,'Progetto del paramento slu'!$G$53)</f>
        <v>0</v>
      </c>
      <c r="H968" s="553">
        <f>-'Foglio deposito bis'!$F$61*(C968-sezione!$AO$30)*IF(ABS(N968)&lt;'Progetto del paramento slu'!$G$58,ABS(N968)*'Progetto del paramento slu'!$G$54,'Progetto del paramento slu'!$G$53)</f>
        <v>32134399.485895053</v>
      </c>
      <c r="I968" s="479">
        <f>-'Foglio deposito bis'!$F$62*(C968-sezione!$AP$30)*IF(ABS(O968)&lt;'Progetto del paramento slu'!$G$58,ABS(O968)*'Progetto del paramento slu'!$G$54,'Progetto del paramento slu'!$G$53)</f>
        <v>7993302.0267885868</v>
      </c>
      <c r="J968" s="479">
        <f t="shared" si="72"/>
        <v>-315749074.86803174</v>
      </c>
      <c r="K968" s="558">
        <f>'Progetto del paramento slu'!$G$60*(sezione!$AL$30-C968)/C968</f>
        <v>-2.8224690763440402E-3</v>
      </c>
      <c r="L968" s="558">
        <f>'Progetto del paramento slu'!$G$60*(sezione!$AM$30-C968)/C968</f>
        <v>-9.5925903629015129E-4</v>
      </c>
      <c r="M968" s="559">
        <f>'Progetto del paramento slu'!$G$60*(sezione!$AN$30-C968)/C968</f>
        <v>9.0395100376373775E-4</v>
      </c>
      <c r="N968" s="559">
        <f>'Progetto del paramento slu'!$G$60*(sezione!$AO$30-C968)/C968</f>
        <v>2.2590128510756573E-3</v>
      </c>
      <c r="O968" s="559">
        <f>'Progetto del paramento slu'!$G$60*(sezione!$AP$30-C968)/C968</f>
        <v>9.0400149284698987E-4</v>
      </c>
      <c r="P968" s="553">
        <f>-'Progetto del paramento slu'!$G$47*'Progetto del paramento slu'!$G$41*IF(DATI!$G$218="dx",DATI!$E$61,DATI!$E$64*DATI!$E$63)*1000*C968*sezione!$AD$5</f>
        <v>-2912670.8923504078</v>
      </c>
      <c r="Q968" s="553">
        <f>'Foglio deposito bis'!$F$58*IF(ABS(K968)&lt;'Progetto del paramento slu'!$G$58,ABS(K968)*'Progetto del paramento slu'!$G$54,'Progetto del paramento slu'!$G$53)*IF(K968&lt;0,-1,1)</f>
        <v>0</v>
      </c>
      <c r="R968" s="553">
        <f>'Foglio deposito bis'!$F$59*IF(ABS(L968)&lt;'Progetto del paramento slu'!$G$58,ABS(L968)*'Progetto del paramento slu'!$G$54,'Progetto del paramento slu'!$G$53)*IF(L968&lt;0,-1,1)</f>
        <v>-77600.229388443171</v>
      </c>
      <c r="S968" s="553">
        <f>'Foglio deposito bis'!$F$60*IF(ABS(M968)&lt;'Progetto del paramento slu'!$G$58,ABS(M968)*'Progetto del paramento slu'!$G$54,'Progetto del paramento slu'!$G$53)*IF(M968&lt;0,-1,1)</f>
        <v>0</v>
      </c>
      <c r="T968" s="553">
        <f>'Foglio deposito bis'!$F$61*IF(ABS(N968)&lt;'Progetto del paramento slu'!$G$58,ABS(N968)*'Progetto del paramento slu'!$G$54,'Progetto del paramento slu'!$G$53)*IF(N968&lt;0,-1,1)</f>
        <v>240946.49743184328</v>
      </c>
      <c r="U968" s="553">
        <f>'Foglio deposito bis'!$F$62*IF(ABS(O968)&lt;'Progetto del paramento slu'!$G$58,ABS(O968)*'Progetto del paramento slu'!$G$54,'Progetto del paramento slu'!$G$53)*IF(O968&lt;0,-1,1)</f>
        <v>149770.47460992914</v>
      </c>
      <c r="V968" s="479">
        <f t="shared" si="74"/>
        <v>-2599554.1496970789</v>
      </c>
      <c r="W968" s="559"/>
      <c r="X968" s="559"/>
    </row>
    <row r="969" spans="1:24" x14ac:dyDescent="0.25">
      <c r="A969" s="553">
        <f t="shared" si="73"/>
        <v>2674796.2147801607</v>
      </c>
      <c r="B969" s="3">
        <f t="shared" si="71"/>
        <v>51.899999999999942</v>
      </c>
      <c r="C969" s="553">
        <f>'Foglio deposito bis'!$E$156/sezione!$B$247*B969</f>
        <v>210.69221518163823</v>
      </c>
      <c r="D969" s="611">
        <f>-'Progetto del paramento slu'!$G$47*'Progetto del paramento slu'!$G$41*IF(DATI!$G$218="dx",DATI!$E$61,DATI!$E$64*DATI!$E$63)*1000*C969^2*sezione!$AD$5*(1-sezione!$AD$6)</f>
        <v>-365428426.26412553</v>
      </c>
      <c r="E969" s="553">
        <f>-'Foglio deposito bis'!$F$58*(C969-sezione!$AL$30)*IF(ABS(K969)&lt;'Progetto del paramento slu'!$G$58,ABS(K969)*'Progetto del paramento slu'!$G$54,'Progetto del paramento slu'!$G$53)</f>
        <v>0</v>
      </c>
      <c r="F969" s="553">
        <f>-'Foglio deposito bis'!$F$59*(C969-sezione!$AM$30)*IF(ABS(L969)&lt;'Progetto del paramento slu'!$G$58,ABS(L969)*'Progetto del paramento slu'!$G$54,'Progetto del paramento slu'!$G$53)</f>
        <v>-4950084.8012669832</v>
      </c>
      <c r="G969" s="553">
        <f>-'Foglio deposito bis'!$F$60*(C969-sezione!$AN$30)*IF(ABS(M969)&lt;'Progetto del paramento slu'!$G$58,ABS(M969)*'Progetto del paramento slu'!$G$54,'Progetto del paramento slu'!$G$53)</f>
        <v>0</v>
      </c>
      <c r="H969" s="553">
        <f>-'Foglio deposito bis'!$F$61*(C969-sezione!$AO$30)*IF(ABS(N969)&lt;'Progetto del paramento slu'!$G$58,ABS(N969)*'Progetto del paramento slu'!$G$54,'Progetto del paramento slu'!$G$53)</f>
        <v>31156257.842654746</v>
      </c>
      <c r="I969" s="479">
        <f>-'Foglio deposito bis'!$F$62*(C969-sezione!$AP$30)*IF(ABS(O969)&lt;'Progetto del paramento slu'!$G$58,ABS(O969)*'Progetto del paramento slu'!$G$54,'Progetto del paramento slu'!$G$53)</f>
        <v>6692064.2840335649</v>
      </c>
      <c r="J969" s="479">
        <f t="shared" si="72"/>
        <v>-332530188.93870419</v>
      </c>
      <c r="K969" s="558">
        <f>'Progetto del paramento slu'!$G$60*(sezione!$AL$30-C969)/C969</f>
        <v>-2.8355236220792223E-3</v>
      </c>
      <c r="L969" s="558">
        <f>'Progetto del paramento slu'!$G$60*(sezione!$AM$30-C969)/C969</f>
        <v>-1.0082135827970847E-3</v>
      </c>
      <c r="M969" s="559">
        <f>'Progetto del paramento slu'!$G$60*(sezione!$AN$30-C969)/C969</f>
        <v>8.1909645648505305E-4</v>
      </c>
      <c r="N969" s="559">
        <f>'Progetto del paramento slu'!$G$60*(sezione!$AO$30-C969)/C969</f>
        <v>2.1480492123266081E-3</v>
      </c>
      <c r="O969" s="559">
        <f>'Progetto del paramento slu'!$G$60*(sezione!$AP$30-C969)/C969</f>
        <v>8.1914597275359899E-4</v>
      </c>
      <c r="P969" s="553">
        <f>-'Progetto del paramento slu'!$G$47*'Progetto del paramento slu'!$G$41*IF(DATI!$G$218="dx",DATI!$E$61,DATI!$E$64*DATI!$E$63)*1000*C969*sezione!$AD$5</f>
        <v>-2969894.2890567025</v>
      </c>
      <c r="Q969" s="553">
        <f>'Foglio deposito bis'!$F$58*IF(ABS(K969)&lt;'Progetto del paramento slu'!$G$58,ABS(K969)*'Progetto del paramento slu'!$G$54,'Progetto del paramento slu'!$G$53)*IF(K969&lt;0,-1,1)</f>
        <v>0</v>
      </c>
      <c r="R969" s="553">
        <f>'Foglio deposito bis'!$F$59*IF(ABS(L969)&lt;'Progetto del paramento slu'!$G$58,ABS(L969)*'Progetto del paramento slu'!$G$54,'Progetto del paramento slu'!$G$53)*IF(L969&lt;0,-1,1)</f>
        <v>-81560.456912842725</v>
      </c>
      <c r="S969" s="553">
        <f>'Foglio deposito bis'!$F$60*IF(ABS(M969)&lt;'Progetto del paramento slu'!$G$58,ABS(M969)*'Progetto del paramento slu'!$G$54,'Progetto del paramento slu'!$G$53)*IF(M969&lt;0,-1,1)</f>
        <v>0</v>
      </c>
      <c r="T969" s="553">
        <f>'Foglio deposito bis'!$F$61*IF(ABS(N969)&lt;'Progetto del paramento slu'!$G$58,ABS(N969)*'Progetto del paramento slu'!$G$54,'Progetto del paramento slu'!$G$53)*IF(N969&lt;0,-1,1)</f>
        <v>240946.49743184328</v>
      </c>
      <c r="U969" s="553">
        <f>'Foglio deposito bis'!$F$62*IF(ABS(O969)&lt;'Progetto del paramento slu'!$G$58,ABS(O969)*'Progetto del paramento slu'!$G$54,'Progetto del paramento slu'!$G$53)*IF(O969&lt;0,-1,1)</f>
        <v>135712.0337575415</v>
      </c>
      <c r="V969" s="479">
        <f t="shared" si="74"/>
        <v>-2674796.2147801607</v>
      </c>
      <c r="W969" s="559"/>
      <c r="X969" s="559"/>
    </row>
    <row r="970" spans="1:24" x14ac:dyDescent="0.25">
      <c r="A970" s="553">
        <f t="shared" si="73"/>
        <v>2749357.0447639315</v>
      </c>
      <c r="B970" s="3">
        <f t="shared" si="71"/>
        <v>52.899999999999942</v>
      </c>
      <c r="C970" s="553">
        <f>'Foglio deposito bis'!$E$156/sezione!$B$247*B970</f>
        <v>214.75179543561973</v>
      </c>
      <c r="D970" s="611">
        <f>-'Progetto del paramento slu'!$G$47*'Progetto del paramento slu'!$G$41*IF(DATI!$G$218="dx",DATI!$E$61,DATI!$E$64*DATI!$E$63)*1000*C970^2*sezione!$AD$5*(1-sezione!$AD$6)</f>
        <v>-379646111.47931284</v>
      </c>
      <c r="E970" s="553">
        <f>-'Foglio deposito bis'!$F$58*(C970-sezione!$AL$30)*IF(ABS(K970)&lt;'Progetto del paramento slu'!$G$58,ABS(K970)*'Progetto del paramento slu'!$G$54,'Progetto del paramento slu'!$G$53)</f>
        <v>0</v>
      </c>
      <c r="F970" s="553">
        <f>-'Foglio deposito bis'!$F$59*(C970-sezione!$AM$30)*IF(ABS(L970)&lt;'Progetto del paramento slu'!$G$58,ABS(L970)*'Progetto del paramento slu'!$G$54,'Progetto del paramento slu'!$G$53)</f>
        <v>-5527922.898503067</v>
      </c>
      <c r="G970" s="553">
        <f>-'Foglio deposito bis'!$F$60*(C970-sezione!$AN$30)*IF(ABS(M970)&lt;'Progetto del paramento slu'!$G$58,ABS(M970)*'Progetto del paramento slu'!$G$54,'Progetto del paramento slu'!$G$53)</f>
        <v>0</v>
      </c>
      <c r="H970" s="553">
        <f>-'Foglio deposito bis'!$F$61*(C970-sezione!$AO$30)*IF(ABS(N970)&lt;'Progetto del paramento slu'!$G$58,ABS(N970)*'Progetto del paramento slu'!$G$54,'Progetto del paramento slu'!$G$53)</f>
        <v>30178116.199414432</v>
      </c>
      <c r="I970" s="479">
        <f>-'Foglio deposito bis'!$F$62*(C970-sezione!$AP$30)*IF(ABS(O970)&lt;'Progetto del paramento slu'!$G$58,ABS(O970)*'Progetto del paramento slu'!$G$54,'Progetto del paramento slu'!$G$53)</f>
        <v>5529020.7388811344</v>
      </c>
      <c r="J970" s="479">
        <f t="shared" si="72"/>
        <v>-349466897.43952036</v>
      </c>
      <c r="K970" s="558">
        <f>'Progetto del paramento slu'!$G$60*(sezione!$AL$30-C970)/C970</f>
        <v>-2.8480846122100503E-3</v>
      </c>
      <c r="L970" s="558">
        <f>'Progetto del paramento slu'!$G$60*(sezione!$AM$30-C970)/C970</f>
        <v>-1.0553172957876885E-3</v>
      </c>
      <c r="M970" s="559">
        <f>'Progetto del paramento slu'!$G$60*(sezione!$AN$30-C970)/C970</f>
        <v>7.374500206346735E-4</v>
      </c>
      <c r="N970" s="559">
        <f>'Progetto del paramento slu'!$G$60*(sezione!$AO$30-C970)/C970</f>
        <v>2.0412807962145729E-3</v>
      </c>
      <c r="O970" s="559">
        <f>'Progetto del paramento slu'!$G$60*(sezione!$AP$30-C970)/C970</f>
        <v>7.3749860086789716E-4</v>
      </c>
      <c r="P970" s="553">
        <f>-'Progetto del paramento slu'!$G$47*'Progetto del paramento slu'!$G$41*IF(DATI!$G$218="dx",DATI!$E$61,DATI!$E$64*DATI!$E$63)*1000*C970*sezione!$AD$5</f>
        <v>-3027117.6857629977</v>
      </c>
      <c r="Q970" s="553">
        <f>'Foglio deposito bis'!$F$58*IF(ABS(K970)&lt;'Progetto del paramento slu'!$G$58,ABS(K970)*'Progetto del paramento slu'!$G$54,'Progetto del paramento slu'!$G$53)*IF(K970&lt;0,-1,1)</f>
        <v>0</v>
      </c>
      <c r="R970" s="553">
        <f>'Foglio deposito bis'!$F$59*IF(ABS(L970)&lt;'Progetto del paramento slu'!$G$58,ABS(L970)*'Progetto del paramento slu'!$G$54,'Progetto del paramento slu'!$G$53)*IF(L970&lt;0,-1,1)</f>
        <v>-85370.959389060852</v>
      </c>
      <c r="S970" s="553">
        <f>'Foglio deposito bis'!$F$60*IF(ABS(M970)&lt;'Progetto del paramento slu'!$G$58,ABS(M970)*'Progetto del paramento slu'!$G$54,'Progetto del paramento slu'!$G$53)*IF(M970&lt;0,-1,1)</f>
        <v>0</v>
      </c>
      <c r="T970" s="553">
        <f>'Foglio deposito bis'!$F$61*IF(ABS(N970)&lt;'Progetto del paramento slu'!$G$58,ABS(N970)*'Progetto del paramento slu'!$G$54,'Progetto del paramento slu'!$G$53)*IF(N970&lt;0,-1,1)</f>
        <v>240946.49743184328</v>
      </c>
      <c r="U970" s="553">
        <f>'Foglio deposito bis'!$F$62*IF(ABS(O970)&lt;'Progetto del paramento slu'!$G$58,ABS(O970)*'Progetto del paramento slu'!$G$54,'Progetto del paramento slu'!$G$53)*IF(O970&lt;0,-1,1)</f>
        <v>122185.10295628374</v>
      </c>
      <c r="V970" s="479">
        <f t="shared" si="74"/>
        <v>-2749357.0447639315</v>
      </c>
      <c r="W970" s="559"/>
      <c r="X970" s="559"/>
    </row>
    <row r="971" spans="1:24" x14ac:dyDescent="0.25">
      <c r="A971" s="553">
        <f t="shared" si="73"/>
        <v>2823274.5562587422</v>
      </c>
      <c r="B971" s="3">
        <f t="shared" si="71"/>
        <v>53.899999999999942</v>
      </c>
      <c r="C971" s="553">
        <f>'Foglio deposito bis'!$E$156/sezione!$B$247*B971</f>
        <v>218.81137568960119</v>
      </c>
      <c r="D971" s="611">
        <f>-'Progetto del paramento slu'!$G$47*'Progetto del paramento slu'!$G$41*IF(DATI!$G$218="dx",DATI!$E$61,DATI!$E$64*DATI!$E$63)*1000*C971^2*sezione!$AD$5*(1-sezione!$AD$6)</f>
        <v>-394135126.56501883</v>
      </c>
      <c r="E971" s="553">
        <f>-'Foglio deposito bis'!$F$58*(C971-sezione!$AL$30)*IF(ABS(K971)&lt;'Progetto del paramento slu'!$G$58,ABS(K971)*'Progetto del paramento slu'!$G$54,'Progetto del paramento slu'!$G$53)</f>
        <v>0</v>
      </c>
      <c r="F971" s="553">
        <f>-'Foglio deposito bis'!$F$59*(C971-sezione!$AM$30)*IF(ABS(L971)&lt;'Progetto del paramento slu'!$G$58,ABS(L971)*'Progetto del paramento slu'!$G$54,'Progetto del paramento slu'!$G$53)</f>
        <v>-6126969.7293730127</v>
      </c>
      <c r="G971" s="553">
        <f>-'Foglio deposito bis'!$F$60*(C971-sezione!$AN$30)*IF(ABS(M971)&lt;'Progetto del paramento slu'!$G$58,ABS(M971)*'Progetto del paramento slu'!$G$54,'Progetto del paramento slu'!$G$53)</f>
        <v>0</v>
      </c>
      <c r="H971" s="553">
        <f>-'Foglio deposito bis'!$F$61*(C971-sezione!$AO$30)*IF(ABS(N971)&lt;'Progetto del paramento slu'!$G$58,ABS(N971)*'Progetto del paramento slu'!$G$54,'Progetto del paramento slu'!$G$53)</f>
        <v>29199974.556174126</v>
      </c>
      <c r="I971" s="479">
        <f>-'Foglio deposito bis'!$F$62*(C971-sezione!$AP$30)*IF(ABS(O971)&lt;'Progetto del paramento slu'!$G$58,ABS(O971)*'Progetto del paramento slu'!$G$54,'Progetto del paramento slu'!$G$53)</f>
        <v>4496479.6920213327</v>
      </c>
      <c r="J971" s="479">
        <f t="shared" si="72"/>
        <v>-366565642.04619646</v>
      </c>
      <c r="K971" s="558">
        <f>'Progetto del paramento slu'!$G$60*(sezione!$AL$30-C971)/C971</f>
        <v>-2.8601795173638527E-3</v>
      </c>
      <c r="L971" s="558">
        <f>'Progetto del paramento slu'!$G$60*(sezione!$AM$30-C971)/C971</f>
        <v>-1.1006731901144473E-3</v>
      </c>
      <c r="M971" s="559">
        <f>'Progetto del paramento slu'!$G$60*(sezione!$AN$30-C971)/C971</f>
        <v>6.5883313713495796E-4</v>
      </c>
      <c r="N971" s="559">
        <f>'Progetto del paramento slu'!$G$60*(sezione!$AO$30-C971)/C971</f>
        <v>1.9384741024072527E-3</v>
      </c>
      <c r="O971" s="559">
        <f>'Progetto del paramento slu'!$G$60*(sezione!$AP$30-C971)/C971</f>
        <v>6.5888081606515342E-4</v>
      </c>
      <c r="P971" s="553">
        <f>-'Progetto del paramento slu'!$G$47*'Progetto del paramento slu'!$G$41*IF(DATI!$G$218="dx",DATI!$E$61,DATI!$E$64*DATI!$E$63)*1000*C971*sezione!$AD$5</f>
        <v>-3084341.0824692925</v>
      </c>
      <c r="Q971" s="553">
        <f>'Foglio deposito bis'!$F$58*IF(ABS(K971)&lt;'Progetto del paramento slu'!$G$58,ABS(K971)*'Progetto del paramento slu'!$G$54,'Progetto del paramento slu'!$G$53)*IF(K971&lt;0,-1,1)</f>
        <v>0</v>
      </c>
      <c r="R971" s="553">
        <f>'Foglio deposito bis'!$F$59*IF(ABS(L971)&lt;'Progetto del paramento slu'!$G$58,ABS(L971)*'Progetto del paramento slu'!$G$54,'Progetto del paramento slu'!$G$53)*IF(L971&lt;0,-1,1)</f>
        <v>-89040.070307719812</v>
      </c>
      <c r="S971" s="553">
        <f>'Foglio deposito bis'!$F$60*IF(ABS(M971)&lt;'Progetto del paramento slu'!$G$58,ABS(M971)*'Progetto del paramento slu'!$G$54,'Progetto del paramento slu'!$G$53)*IF(M971&lt;0,-1,1)</f>
        <v>0</v>
      </c>
      <c r="T971" s="553">
        <f>'Foglio deposito bis'!$F$61*IF(ABS(N971)&lt;'Progetto del paramento slu'!$G$58,ABS(N971)*'Progetto del paramento slu'!$G$54,'Progetto del paramento slu'!$G$53)*IF(N971&lt;0,-1,1)</f>
        <v>240946.49743184328</v>
      </c>
      <c r="U971" s="553">
        <f>'Foglio deposito bis'!$F$62*IF(ABS(O971)&lt;'Progetto del paramento slu'!$G$58,ABS(O971)*'Progetto del paramento slu'!$G$54,'Progetto del paramento slu'!$G$53)*IF(O971&lt;0,-1,1)</f>
        <v>109160.09908642713</v>
      </c>
      <c r="V971" s="479">
        <f t="shared" si="74"/>
        <v>-2823274.5562587422</v>
      </c>
      <c r="W971" s="559"/>
      <c r="X971" s="559"/>
    </row>
    <row r="972" spans="1:24" x14ac:dyDescent="0.25">
      <c r="A972" s="553">
        <f t="shared" si="73"/>
        <v>2904210.2051688898</v>
      </c>
      <c r="B972" s="3">
        <f t="shared" si="71"/>
        <v>54.899999999999942</v>
      </c>
      <c r="C972" s="553">
        <f>'Foglio deposito bis'!$E$156/sezione!$B$247*B972</f>
        <v>222.87095594358266</v>
      </c>
      <c r="D972" s="611">
        <f>-'Progetto del paramento slu'!$G$47*'Progetto del paramento slu'!$G$41*IF(DATI!$G$218="dx",DATI!$E$61,DATI!$E$64*DATI!$E$63)*1000*C972^2*sezione!$AD$5*(1-sezione!$AD$6)</f>
        <v>-408895471.52124369</v>
      </c>
      <c r="E972" s="553">
        <f>-'Foglio deposito bis'!$F$58*(C972-sezione!$AL$30)*IF(ABS(K972)&lt;'Progetto del paramento slu'!$G$58,ABS(K972)*'Progetto del paramento slu'!$G$54,'Progetto del paramento slu'!$G$53)</f>
        <v>0</v>
      </c>
      <c r="F972" s="553">
        <f>-'Foglio deposito bis'!$F$59*(C972-sezione!$AM$30)*IF(ABS(L972)&lt;'Progetto del paramento slu'!$G$58,ABS(L972)*'Progetto del paramento slu'!$G$54,'Progetto del paramento slu'!$G$53)</f>
        <v>-6746066.3466837183</v>
      </c>
      <c r="G972" s="553">
        <f>-'Foglio deposito bis'!$F$60*(C972-sezione!$AN$30)*IF(ABS(M972)&lt;'Progetto del paramento slu'!$G$58,ABS(M972)*'Progetto del paramento slu'!$G$54,'Progetto del paramento slu'!$G$53)</f>
        <v>0</v>
      </c>
      <c r="H972" s="553">
        <f>-'Foglio deposito bis'!$F$61*(C972-sezione!$AO$30)*IF(ABS(N972)&lt;'Progetto del paramento slu'!$G$58,ABS(N972)*'Progetto del paramento slu'!$G$54,'Progetto del paramento slu'!$G$53)</f>
        <v>27328571.463047262</v>
      </c>
      <c r="I972" s="479">
        <f>-'Foglio deposito bis'!$F$62*(C972-sezione!$AP$30)*IF(ABS(O972)&lt;'Progetto del paramento slu'!$G$58,ABS(O972)*'Progetto del paramento slu'!$G$54,'Progetto del paramento slu'!$G$53)</f>
        <v>3587309.8593944428</v>
      </c>
      <c r="J972" s="479">
        <f t="shared" si="72"/>
        <v>-384725656.54548573</v>
      </c>
      <c r="K972" s="558">
        <f>'Progetto del paramento slu'!$G$60*(sezione!$AL$30-C972)/C972</f>
        <v>-2.8718338066650575E-3</v>
      </c>
      <c r="L972" s="558">
        <f>'Progetto del paramento slu'!$G$60*(sezione!$AM$30-C972)/C972</f>
        <v>-1.1443767749939656E-3</v>
      </c>
      <c r="M972" s="559">
        <f>'Progetto del paramento slu'!$G$60*(sezione!$AN$30-C972)/C972</f>
        <v>5.8308025667712642E-4</v>
      </c>
      <c r="N972" s="559">
        <f>'Progetto del paramento slu'!$G$60*(sezione!$AO$30-C972)/C972</f>
        <v>1.8394126433470114E-3</v>
      </c>
      <c r="O972" s="559">
        <f>'Progetto del paramento slu'!$G$60*(sezione!$AP$30-C972)/C972</f>
        <v>5.8312706713864785E-4</v>
      </c>
      <c r="P972" s="553">
        <f>-'Progetto del paramento slu'!$G$47*'Progetto del paramento slu'!$G$41*IF(DATI!$G$218="dx",DATI!$E$61,DATI!$E$64*DATI!$E$63)*1000*C972*sezione!$AD$5</f>
        <v>-3141564.4791755872</v>
      </c>
      <c r="Q972" s="553">
        <f>'Foglio deposito bis'!$F$58*IF(ABS(K972)&lt;'Progetto del paramento slu'!$G$58,ABS(K972)*'Progetto del paramento slu'!$G$54,'Progetto del paramento slu'!$G$53)*IF(K972&lt;0,-1,1)</f>
        <v>0</v>
      </c>
      <c r="R972" s="553">
        <f>'Foglio deposito bis'!$F$59*IF(ABS(L972)&lt;'Progetto del paramento slu'!$G$58,ABS(L972)*'Progetto del paramento slu'!$G$54,'Progetto del paramento slu'!$G$53)*IF(L972&lt;0,-1,1)</f>
        <v>-92575.515983440418</v>
      </c>
      <c r="S972" s="553">
        <f>'Foglio deposito bis'!$F$60*IF(ABS(M972)&lt;'Progetto del paramento slu'!$G$58,ABS(M972)*'Progetto del paramento slu'!$G$54,'Progetto del paramento slu'!$G$53)*IF(M972&lt;0,-1,1)</f>
        <v>0</v>
      </c>
      <c r="T972" s="553">
        <f>'Foglio deposito bis'!$F$61*IF(ABS(N972)&lt;'Progetto del paramento slu'!$G$58,ABS(N972)*'Progetto del paramento slu'!$G$54,'Progetto del paramento slu'!$G$53)*IF(N972&lt;0,-1,1)</f>
        <v>233320.19554333558</v>
      </c>
      <c r="U972" s="553">
        <f>'Foglio deposito bis'!$F$62*IF(ABS(O972)&lt;'Progetto del paramento slu'!$G$58,ABS(O972)*'Progetto del paramento slu'!$G$54,'Progetto del paramento slu'!$G$53)*IF(O972&lt;0,-1,1)</f>
        <v>96609.594446802032</v>
      </c>
      <c r="V972" s="479">
        <f t="shared" si="74"/>
        <v>-2904210.2051688898</v>
      </c>
      <c r="W972" s="559"/>
      <c r="X972" s="559"/>
    </row>
    <row r="973" spans="1:24" x14ac:dyDescent="0.25">
      <c r="A973" s="553">
        <f t="shared" si="73"/>
        <v>2989059.9028586405</v>
      </c>
      <c r="B973" s="3">
        <f t="shared" si="71"/>
        <v>55.899999999999942</v>
      </c>
      <c r="C973" s="553">
        <f>'Foglio deposito bis'!$E$156/sezione!$B$247*B973</f>
        <v>226.93053619756412</v>
      </c>
      <c r="D973" s="611">
        <f>-'Progetto del paramento slu'!$G$47*'Progetto del paramento slu'!$G$41*IF(DATI!$G$218="dx",DATI!$E$61,DATI!$E$64*DATI!$E$63)*1000*C973^2*sezione!$AD$5*(1-sezione!$AD$6)</f>
        <v>-423927146.34798741</v>
      </c>
      <c r="E973" s="553">
        <f>-'Foglio deposito bis'!$F$58*(C973-sezione!$AL$30)*IF(ABS(K973)&lt;'Progetto del paramento slu'!$G$58,ABS(K973)*'Progetto del paramento slu'!$G$54,'Progetto del paramento slu'!$G$53)</f>
        <v>0</v>
      </c>
      <c r="F973" s="553">
        <f>-'Foglio deposito bis'!$F$59*(C973-sezione!$AM$30)*IF(ABS(L973)&lt;'Progetto del paramento slu'!$G$58,ABS(L973)*'Progetto del paramento slu'!$G$54,'Progetto del paramento slu'!$G$53)</f>
        <v>-7384136.7332737818</v>
      </c>
      <c r="G973" s="553">
        <f>-'Foglio deposito bis'!$F$60*(C973-sezione!$AN$30)*IF(ABS(M973)&lt;'Progetto del paramento slu'!$G$58,ABS(M973)*'Progetto del paramento slu'!$G$54,'Progetto del paramento slu'!$G$53)</f>
        <v>0</v>
      </c>
      <c r="H973" s="553">
        <f>-'Foglio deposito bis'!$F$61*(C973-sezione!$AO$30)*IF(ABS(N973)&lt;'Progetto del paramento slu'!$G$58,ABS(N973)*'Progetto del paramento slu'!$G$54,'Progetto del paramento slu'!$G$53)</f>
        <v>25011453.731606327</v>
      </c>
      <c r="I973" s="479">
        <f>-'Foglio deposito bis'!$F$62*(C973-sezione!$AP$30)*IF(ABS(O973)&lt;'Progetto del paramento slu'!$G$58,ABS(O973)*'Progetto del paramento slu'!$G$54,'Progetto del paramento slu'!$G$53)</f>
        <v>2794890.2456033533</v>
      </c>
      <c r="J973" s="479">
        <f t="shared" si="72"/>
        <v>-403504939.10405153</v>
      </c>
      <c r="K973" s="558">
        <f>'Progetto del paramento slu'!$G$60*(sezione!$AL$30-C973)/C973</f>
        <v>-2.883071126760495E-3</v>
      </c>
      <c r="L973" s="558">
        <f>'Progetto del paramento slu'!$G$60*(sezione!$AM$30-C973)/C973</f>
        <v>-1.1865167253518551E-3</v>
      </c>
      <c r="M973" s="559">
        <f>'Progetto del paramento slu'!$G$60*(sezione!$AN$30-C973)/C973</f>
        <v>5.1003767605678431E-4</v>
      </c>
      <c r="N973" s="559">
        <f>'Progetto del paramento slu'!$G$60*(sezione!$AO$30-C973)/C973</f>
        <v>1.7438954225357948E-3</v>
      </c>
      <c r="O973" s="559">
        <f>'Progetto del paramento slu'!$G$60*(sezione!$AP$30-C973)/C973</f>
        <v>5.1008364912185646E-4</v>
      </c>
      <c r="P973" s="553">
        <f>-'Progetto del paramento slu'!$G$47*'Progetto del paramento slu'!$G$41*IF(DATI!$G$218="dx",DATI!$E$61,DATI!$E$64*DATI!$E$63)*1000*C973*sezione!$AD$5</f>
        <v>-3198787.8758818824</v>
      </c>
      <c r="Q973" s="553">
        <f>'Foglio deposito bis'!$F$58*IF(ABS(K973)&lt;'Progetto del paramento slu'!$G$58,ABS(K973)*'Progetto del paramento slu'!$G$54,'Progetto del paramento slu'!$G$53)*IF(K973&lt;0,-1,1)</f>
        <v>0</v>
      </c>
      <c r="R973" s="553">
        <f>'Foglio deposito bis'!$F$59*IF(ABS(L973)&lt;'Progetto del paramento slu'!$G$58,ABS(L973)*'Progetto del paramento slu'!$G$54,'Progetto del paramento slu'!$G$53)*IF(L973&lt;0,-1,1)</f>
        <v>-95984.469863965249</v>
      </c>
      <c r="S973" s="553">
        <f>'Foglio deposito bis'!$F$60*IF(ABS(M973)&lt;'Progetto del paramento slu'!$G$58,ABS(M973)*'Progetto del paramento slu'!$G$54,'Progetto del paramento slu'!$G$53)*IF(M973&lt;0,-1,1)</f>
        <v>0</v>
      </c>
      <c r="T973" s="553">
        <f>'Foglio deposito bis'!$F$61*IF(ABS(N973)&lt;'Progetto del paramento slu'!$G$58,ABS(N973)*'Progetto del paramento slu'!$G$54,'Progetto del paramento slu'!$G$53)*IF(N973&lt;0,-1,1)</f>
        <v>221204.31892476615</v>
      </c>
      <c r="U973" s="553">
        <f>'Foglio deposito bis'!$F$62*IF(ABS(O973)&lt;'Progetto del paramento slu'!$G$58,ABS(O973)*'Progetto del paramento slu'!$G$54,'Progetto del paramento slu'!$G$53)*IF(O973&lt;0,-1,1)</f>
        <v>84508.123962440848</v>
      </c>
      <c r="V973" s="479">
        <f t="shared" si="74"/>
        <v>-2989059.9028586405</v>
      </c>
      <c r="W973" s="559"/>
      <c r="X973" s="559"/>
    </row>
    <row r="974" spans="1:24" x14ac:dyDescent="0.25">
      <c r="A974" s="553">
        <f t="shared" si="73"/>
        <v>3072938.553062154</v>
      </c>
      <c r="B974" s="3">
        <f t="shared" si="71"/>
        <v>56.899999999999942</v>
      </c>
      <c r="C974" s="553">
        <f>'Foglio deposito bis'!$E$156/sezione!$B$247*B974</f>
        <v>230.99011645154562</v>
      </c>
      <c r="D974" s="611">
        <f>-'Progetto del paramento slu'!$G$47*'Progetto del paramento slu'!$G$41*IF(DATI!$G$218="dx",DATI!$E$61,DATI!$E$64*DATI!$E$63)*1000*C974^2*sezione!$AD$5*(1-sezione!$AD$6)</f>
        <v>-439230151.04525006</v>
      </c>
      <c r="E974" s="553">
        <f>-'Foglio deposito bis'!$F$58*(C974-sezione!$AL$30)*IF(ABS(K974)&lt;'Progetto del paramento slu'!$G$58,ABS(K974)*'Progetto del paramento slu'!$G$54,'Progetto del paramento slu'!$G$53)</f>
        <v>0</v>
      </c>
      <c r="F974" s="553">
        <f>-'Foglio deposito bis'!$F$59*(C974-sezione!$AM$30)*IF(ABS(L974)&lt;'Progetto del paramento slu'!$G$58,ABS(L974)*'Progetto del paramento slu'!$G$54,'Progetto del paramento slu'!$G$53)</f>
        <v>-8040180.5146645093</v>
      </c>
      <c r="G974" s="553">
        <f>-'Foglio deposito bis'!$F$60*(C974-sezione!$AN$30)*IF(ABS(M974)&lt;'Progetto del paramento slu'!$G$58,ABS(M974)*'Progetto del paramento slu'!$G$54,'Progetto del paramento slu'!$G$53)</f>
        <v>0</v>
      </c>
      <c r="H974" s="553">
        <f>-'Foglio deposito bis'!$F$61*(C974-sezione!$AO$30)*IF(ABS(N974)&lt;'Progetto del paramento slu'!$G$58,ABS(N974)*'Progetto del paramento slu'!$G$54,'Progetto del paramento slu'!$G$53)</f>
        <v>22839130.307733525</v>
      </c>
      <c r="I974" s="479">
        <f>-'Foglio deposito bis'!$F$62*(C974-sezione!$AP$30)*IF(ABS(O974)&lt;'Progetto del paramento slu'!$G$58,ABS(O974)*'Progetto del paramento slu'!$G$54,'Progetto del paramento slu'!$G$53)</f>
        <v>2113065.3030820224</v>
      </c>
      <c r="J974" s="479">
        <f t="shared" si="72"/>
        <v>-422318135.949099</v>
      </c>
      <c r="K974" s="558">
        <f>'Progetto del paramento slu'!$G$60*(sezione!$AL$30-C974)/C974</f>
        <v>-2.893913461966813E-3</v>
      </c>
      <c r="L974" s="558">
        <f>'Progetto del paramento slu'!$G$60*(sezione!$AM$30-C974)/C974</f>
        <v>-1.2271754823755486E-3</v>
      </c>
      <c r="M974" s="559">
        <f>'Progetto del paramento slu'!$G$60*(sezione!$AN$30-C974)/C974</f>
        <v>4.395624972157156E-4</v>
      </c>
      <c r="N974" s="559">
        <f>'Progetto del paramento slu'!$G$60*(sezione!$AO$30-C974)/C974</f>
        <v>1.6517355732820896E-3</v>
      </c>
      <c r="O974" s="559">
        <f>'Progetto del paramento slu'!$G$60*(sezione!$AP$30-C974)/C974</f>
        <v>4.3960766231830844E-4</v>
      </c>
      <c r="P974" s="553">
        <f>-'Progetto del paramento slu'!$G$47*'Progetto del paramento slu'!$G$41*IF(DATI!$G$218="dx",DATI!$E$61,DATI!$E$64*DATI!$E$63)*1000*C974*sezione!$AD$5</f>
        <v>-3256011.2725881771</v>
      </c>
      <c r="Q974" s="553">
        <f>'Foglio deposito bis'!$F$58*IF(ABS(K974)&lt;'Progetto del paramento slu'!$G$58,ABS(K974)*'Progetto del paramento slu'!$G$54,'Progetto del paramento slu'!$G$53)*IF(K974&lt;0,-1,1)</f>
        <v>0</v>
      </c>
      <c r="R974" s="553">
        <f>'Foglio deposito bis'!$F$59*IF(ABS(L974)&lt;'Progetto del paramento slu'!$G$58,ABS(L974)*'Progetto del paramento slu'!$G$54,'Progetto del paramento slu'!$G$53)*IF(L974&lt;0,-1,1)</f>
        <v>-99273.601112485747</v>
      </c>
      <c r="S974" s="553">
        <f>'Foglio deposito bis'!$F$60*IF(ABS(M974)&lt;'Progetto del paramento slu'!$G$58,ABS(M974)*'Progetto del paramento slu'!$G$54,'Progetto del paramento slu'!$G$53)*IF(M974&lt;0,-1,1)</f>
        <v>0</v>
      </c>
      <c r="T974" s="553">
        <f>'Foglio deposito bis'!$F$61*IF(ABS(N974)&lt;'Progetto del paramento slu'!$G$58,ABS(N974)*'Progetto del paramento slu'!$G$54,'Progetto del paramento slu'!$G$53)*IF(N974&lt;0,-1,1)</f>
        <v>209514.30791669121</v>
      </c>
      <c r="U974" s="553">
        <f>'Foglio deposito bis'!$F$62*IF(ABS(O974)&lt;'Progetto del paramento slu'!$G$58,ABS(O974)*'Progetto del paramento slu'!$G$54,'Progetto del paramento slu'!$G$53)*IF(O974&lt;0,-1,1)</f>
        <v>72832.012721818086</v>
      </c>
      <c r="V974" s="479">
        <f t="shared" si="74"/>
        <v>-3072938.553062154</v>
      </c>
      <c r="W974" s="559"/>
      <c r="X974" s="559"/>
    </row>
    <row r="975" spans="1:24" x14ac:dyDescent="0.25">
      <c r="A975" s="553">
        <f t="shared" si="73"/>
        <v>3155896.469120685</v>
      </c>
      <c r="B975" s="3">
        <f t="shared" si="71"/>
        <v>57.899999999999942</v>
      </c>
      <c r="C975" s="553">
        <f>'Foglio deposito bis'!$E$156/sezione!$B$247*B975</f>
        <v>235.04969670552708</v>
      </c>
      <c r="D975" s="611">
        <f>-'Progetto del paramento slu'!$G$47*'Progetto del paramento slu'!$G$41*IF(DATI!$G$218="dx",DATI!$E$61,DATI!$E$64*DATI!$E$63)*1000*C975^2*sezione!$AD$5*(1-sezione!$AD$6)</f>
        <v>-454804485.61303145</v>
      </c>
      <c r="E975" s="553">
        <f>-'Foglio deposito bis'!$F$58*(C975-sezione!$AL$30)*IF(ABS(K975)&lt;'Progetto del paramento slu'!$G$58,ABS(K975)*'Progetto del paramento slu'!$G$54,'Progetto del paramento slu'!$G$53)</f>
        <v>0</v>
      </c>
      <c r="F975" s="553">
        <f>-'Foglio deposito bis'!$F$59*(C975-sezione!$AM$30)*IF(ABS(L975)&lt;'Progetto del paramento slu'!$G$58,ABS(L975)*'Progetto del paramento slu'!$G$54,'Progetto del paramento slu'!$G$53)</f>
        <v>-8713266.4268765822</v>
      </c>
      <c r="G975" s="553">
        <f>-'Foglio deposito bis'!$F$60*(C975-sezione!$AN$30)*IF(ABS(M975)&lt;'Progetto del paramento slu'!$G$58,ABS(M975)*'Progetto del paramento slu'!$G$54,'Progetto del paramento slu'!$G$53)</f>
        <v>0</v>
      </c>
      <c r="H975" s="553">
        <f>-'Foglio deposito bis'!$F$61*(C975-sezione!$AO$30)*IF(ABS(N975)&lt;'Progetto del paramento slu'!$G$58,ABS(N975)*'Progetto del paramento slu'!$G$54,'Progetto del paramento slu'!$G$53)</f>
        <v>20804098.895699952</v>
      </c>
      <c r="I975" s="479">
        <f>-'Foglio deposito bis'!$F$62*(C975-sezione!$AP$30)*IF(ABS(O975)&lt;'Progetto del paramento slu'!$G$58,ABS(O975)*'Progetto del paramento slu'!$G$54,'Progetto del paramento slu'!$G$53)</f>
        <v>1536104.7379822861</v>
      </c>
      <c r="J975" s="479">
        <f t="shared" si="72"/>
        <v>-441177548.4062258</v>
      </c>
      <c r="K975" s="558">
        <f>'Progetto del paramento slu'!$G$60*(sezione!$AL$30-C975)/C975</f>
        <v>-2.9043812778223083E-3</v>
      </c>
      <c r="L975" s="558">
        <f>'Progetto del paramento slu'!$G$60*(sezione!$AM$30-C975)/C975</f>
        <v>-1.2664297918336567E-3</v>
      </c>
      <c r="M975" s="559">
        <f>'Progetto del paramento slu'!$G$60*(sezione!$AN$30-C975)/C975</f>
        <v>3.7152169415499519E-4</v>
      </c>
      <c r="N975" s="559">
        <f>'Progetto del paramento slu'!$G$60*(sezione!$AO$30-C975)/C975</f>
        <v>1.5627591385103785E-3</v>
      </c>
      <c r="O975" s="559">
        <f>'Progetto del paramento slu'!$G$60*(sezione!$AP$30-C975)/C975</f>
        <v>3.7156607920400266E-4</v>
      </c>
      <c r="P975" s="553">
        <f>-'Progetto del paramento slu'!$G$47*'Progetto del paramento slu'!$G$41*IF(DATI!$G$218="dx",DATI!$E$61,DATI!$E$64*DATI!$E$63)*1000*C975*sezione!$AD$5</f>
        <v>-3313234.6692944723</v>
      </c>
      <c r="Q975" s="553">
        <f>'Foglio deposito bis'!$F$58*IF(ABS(K975)&lt;'Progetto del paramento slu'!$G$58,ABS(K975)*'Progetto del paramento slu'!$G$54,'Progetto del paramento slu'!$G$53)*IF(K975&lt;0,-1,1)</f>
        <v>0</v>
      </c>
      <c r="R975" s="553">
        <f>'Foglio deposito bis'!$F$59*IF(ABS(L975)&lt;'Progetto del paramento slu'!$G$58,ABS(L975)*'Progetto del paramento slu'!$G$54,'Progetto del paramento slu'!$G$53)*IF(L975&lt;0,-1,1)</f>
        <v>-102449.11815553055</v>
      </c>
      <c r="S975" s="553">
        <f>'Foglio deposito bis'!$F$60*IF(ABS(M975)&lt;'Progetto del paramento slu'!$G$58,ABS(M975)*'Progetto del paramento slu'!$G$54,'Progetto del paramento slu'!$G$53)*IF(M975&lt;0,-1,1)</f>
        <v>0</v>
      </c>
      <c r="T975" s="553">
        <f>'Foglio deposito bis'!$F$61*IF(ABS(N975)&lt;'Progetto del paramento slu'!$G$58,ABS(N975)*'Progetto del paramento slu'!$G$54,'Progetto del paramento slu'!$G$53)*IF(N975&lt;0,-1,1)</f>
        <v>198228.09694343756</v>
      </c>
      <c r="U975" s="553">
        <f>'Foglio deposito bis'!$F$62*IF(ABS(O975)&lt;'Progetto del paramento slu'!$G$58,ABS(O975)*'Progetto del paramento slu'!$G$54,'Progetto del paramento slu'!$G$53)*IF(O975&lt;0,-1,1)</f>
        <v>61559.221385880148</v>
      </c>
      <c r="V975" s="479">
        <f t="shared" si="74"/>
        <v>-3155896.469120685</v>
      </c>
      <c r="W975" s="559"/>
      <c r="X975" s="559"/>
    </row>
    <row r="976" spans="1:24" x14ac:dyDescent="0.25">
      <c r="A976" s="553">
        <f t="shared" si="73"/>
        <v>3237980.54751021</v>
      </c>
      <c r="B976" s="3">
        <f t="shared" si="71"/>
        <v>58.899999999999942</v>
      </c>
      <c r="C976" s="553">
        <f>'Foglio deposito bis'!$E$156/sezione!$B$247*B976</f>
        <v>239.10927695950855</v>
      </c>
      <c r="D976" s="611">
        <f>-'Progetto del paramento slu'!$G$47*'Progetto del paramento slu'!$G$41*IF(DATI!$G$218="dx",DATI!$E$61,DATI!$E$64*DATI!$E$63)*1000*C976^2*sezione!$AD$5*(1-sezione!$AD$6)</f>
        <v>-470650150.05133164</v>
      </c>
      <c r="E976" s="553">
        <f>-'Foglio deposito bis'!$F$58*(C976-sezione!$AL$30)*IF(ABS(K976)&lt;'Progetto del paramento slu'!$G$58,ABS(K976)*'Progetto del paramento slu'!$G$54,'Progetto del paramento slu'!$G$53)</f>
        <v>0</v>
      </c>
      <c r="F976" s="553">
        <f>-'Foglio deposito bis'!$F$59*(C976-sezione!$AM$30)*IF(ABS(L976)&lt;'Progetto del paramento slu'!$G$58,ABS(L976)*'Progetto del paramento slu'!$G$54,'Progetto del paramento slu'!$G$53)</f>
        <v>-9402526.4496644344</v>
      </c>
      <c r="G976" s="553">
        <f>-'Foglio deposito bis'!$F$60*(C976-sezione!$AN$30)*IF(ABS(M976)&lt;'Progetto del paramento slu'!$G$58,ABS(M976)*'Progetto del paramento slu'!$G$54,'Progetto del paramento slu'!$G$53)</f>
        <v>0</v>
      </c>
      <c r="H976" s="553">
        <f>-'Foglio deposito bis'!$F$61*(C976-sezione!$AO$30)*IF(ABS(N976)&lt;'Progetto del paramento slu'!$G$58,ABS(N976)*'Progetto del paramento slu'!$G$54,'Progetto del paramento slu'!$G$53)</f>
        <v>18899366.693544354</v>
      </c>
      <c r="I976" s="479">
        <f>-'Foglio deposito bis'!$F$62*(C976-sezione!$AP$30)*IF(ABS(O976)&lt;'Progetto del paramento slu'!$G$58,ABS(O976)*'Progetto del paramento slu'!$G$54,'Progetto del paramento slu'!$G$53)</f>
        <v>1058667.4105373351</v>
      </c>
      <c r="J976" s="479">
        <f t="shared" si="72"/>
        <v>-460094642.39691436</v>
      </c>
      <c r="K976" s="558">
        <f>'Progetto del paramento slu'!$G$60*(sezione!$AL$30-C976)/C976</f>
        <v>-2.9144936500154778E-3</v>
      </c>
      <c r="L976" s="558">
        <f>'Progetto del paramento slu'!$G$60*(sezione!$AM$30-C976)/C976</f>
        <v>-1.3043511875580427E-3</v>
      </c>
      <c r="M976" s="559">
        <f>'Progetto del paramento slu'!$G$60*(sezione!$AN$30-C976)/C976</f>
        <v>3.0579127489939261E-4</v>
      </c>
      <c r="N976" s="559">
        <f>'Progetto del paramento slu'!$G$60*(sezione!$AO$30-C976)/C976</f>
        <v>1.4768039748684365E-3</v>
      </c>
      <c r="O976" s="559">
        <f>'Progetto del paramento slu'!$G$60*(sezione!$AP$30-C976)/C976</f>
        <v>3.0583490638220302E-4</v>
      </c>
      <c r="P976" s="553">
        <f>-'Progetto del paramento slu'!$G$47*'Progetto del paramento slu'!$G$41*IF(DATI!$G$218="dx",DATI!$E$61,DATI!$E$64*DATI!$E$63)*1000*C976*sezione!$AD$5</f>
        <v>-3370458.0660007671</v>
      </c>
      <c r="Q976" s="553">
        <f>'Foglio deposito bis'!$F$58*IF(ABS(K976)&lt;'Progetto del paramento slu'!$G$58,ABS(K976)*'Progetto del paramento slu'!$G$54,'Progetto del paramento slu'!$G$53)*IF(K976&lt;0,-1,1)</f>
        <v>0</v>
      </c>
      <c r="R976" s="553">
        <f>'Foglio deposito bis'!$F$59*IF(ABS(L976)&lt;'Progetto del paramento slu'!$G$58,ABS(L976)*'Progetto del paramento slu'!$G$54,'Progetto del paramento slu'!$G$53)*IF(L976&lt;0,-1,1)</f>
        <v>-105516.80779473681</v>
      </c>
      <c r="S976" s="553">
        <f>'Foglio deposito bis'!$F$60*IF(ABS(M976)&lt;'Progetto del paramento slu'!$G$58,ABS(M976)*'Progetto del paramento slu'!$G$54,'Progetto del paramento slu'!$G$53)*IF(M976&lt;0,-1,1)</f>
        <v>0</v>
      </c>
      <c r="T976" s="553">
        <f>'Foglio deposito bis'!$F$61*IF(ABS(N976)&lt;'Progetto del paramento slu'!$G$58,ABS(N976)*'Progetto del paramento slu'!$G$54,'Progetto del paramento slu'!$G$53)*IF(N976&lt;0,-1,1)</f>
        <v>187325.11894041323</v>
      </c>
      <c r="U976" s="553">
        <f>'Foglio deposito bis'!$F$62*IF(ABS(O976)&lt;'Progetto del paramento slu'!$G$58,ABS(O976)*'Progetto del paramento slu'!$G$54,'Progetto del paramento slu'!$G$53)*IF(O976&lt;0,-1,1)</f>
        <v>50669.207344880677</v>
      </c>
      <c r="V976" s="479">
        <f t="shared" si="74"/>
        <v>-3237980.54751021</v>
      </c>
      <c r="W976" s="559"/>
      <c r="X976" s="559"/>
    </row>
    <row r="977" spans="1:24" x14ac:dyDescent="0.25">
      <c r="A977" s="553">
        <f t="shared" si="73"/>
        <v>3319234.5530555542</v>
      </c>
      <c r="B977" s="3">
        <f t="shared" si="71"/>
        <v>59.899999999999942</v>
      </c>
      <c r="C977" s="553">
        <f>'Foglio deposito bis'!$E$156/sezione!$B$247*B977</f>
        <v>243.16885721349004</v>
      </c>
      <c r="D977" s="611">
        <f>-'Progetto del paramento slu'!$G$47*'Progetto del paramento slu'!$G$41*IF(DATI!$G$218="dx",DATI!$E$61,DATI!$E$64*DATI!$E$63)*1000*C977^2*sezione!$AD$5*(1-sezione!$AD$6)</f>
        <v>-486767144.36015081</v>
      </c>
      <c r="E977" s="553">
        <f>-'Foglio deposito bis'!$F$58*(C977-sezione!$AL$30)*IF(ABS(K977)&lt;'Progetto del paramento slu'!$G$58,ABS(K977)*'Progetto del paramento slu'!$G$54,'Progetto del paramento slu'!$G$53)</f>
        <v>0</v>
      </c>
      <c r="F977" s="553">
        <f>-'Foglio deposito bis'!$F$59*(C977-sezione!$AM$30)*IF(ABS(L977)&lt;'Progetto del paramento slu'!$G$58,ABS(L977)*'Progetto del paramento slu'!$G$54,'Progetto del paramento slu'!$G$53)</f>
        <v>-10107150.527406581</v>
      </c>
      <c r="G977" s="553">
        <f>-'Foglio deposito bis'!$F$60*(C977-sezione!$AN$30)*IF(ABS(M977)&lt;'Progetto del paramento slu'!$G$58,ABS(M977)*'Progetto del paramento slu'!$G$54,'Progetto del paramento slu'!$G$53)</f>
        <v>0</v>
      </c>
      <c r="H977" s="553">
        <f>-'Foglio deposito bis'!$F$61*(C977-sezione!$AO$30)*IF(ABS(N977)&lt;'Progetto del paramento slu'!$G$58,ABS(N977)*'Progetto del paramento slu'!$G$54,'Progetto del paramento slu'!$G$53)</f>
        <v>17118407.864377998</v>
      </c>
      <c r="I977" s="479">
        <f>-'Foglio deposito bis'!$F$62*(C977-sezione!$AP$30)*IF(ABS(O977)&lt;'Progetto del paramento slu'!$G$58,ABS(O977)*'Progetto del paramento slu'!$G$54,'Progetto del paramento slu'!$G$53)</f>
        <v>675768.85141554137</v>
      </c>
      <c r="J977" s="479">
        <f t="shared" si="72"/>
        <v>-479080118.1717639</v>
      </c>
      <c r="K977" s="558">
        <f>'Progetto del paramento slu'!$G$60*(sezione!$AL$30-C977)/C977</f>
        <v>-2.9242683803991929E-3</v>
      </c>
      <c r="L977" s="558">
        <f>'Progetto del paramento slu'!$G$60*(sezione!$AM$30-C977)/C977</f>
        <v>-1.3410064264969739E-3</v>
      </c>
      <c r="M977" s="559">
        <f>'Progetto del paramento slu'!$G$60*(sezione!$AN$30-C977)/C977</f>
        <v>2.4225552740524543E-4</v>
      </c>
      <c r="N977" s="559">
        <f>'Progetto del paramento slu'!$G$60*(sezione!$AO$30-C977)/C977</f>
        <v>1.3937187666068595E-3</v>
      </c>
      <c r="O977" s="559">
        <f>'Progetto del paramento slu'!$G$60*(sezione!$AP$30-C977)/C977</f>
        <v>2.4229843048266666E-4</v>
      </c>
      <c r="P977" s="553">
        <f>-'Progetto del paramento slu'!$G$47*'Progetto del paramento slu'!$G$41*IF(DATI!$G$218="dx",DATI!$E$61,DATI!$E$64*DATI!$E$63)*1000*C977*sezione!$AD$5</f>
        <v>-3427681.4627070623</v>
      </c>
      <c r="Q977" s="553">
        <f>'Foglio deposito bis'!$F$58*IF(ABS(K977)&lt;'Progetto del paramento slu'!$G$58,ABS(K977)*'Progetto del paramento slu'!$G$54,'Progetto del paramento slu'!$G$53)*IF(K977&lt;0,-1,1)</f>
        <v>0</v>
      </c>
      <c r="R977" s="553">
        <f>'Foglio deposito bis'!$F$59*IF(ABS(L977)&lt;'Progetto del paramento slu'!$G$58,ABS(L977)*'Progetto del paramento slu'!$G$54,'Progetto del paramento slu'!$G$53)*IF(L977&lt;0,-1,1)</f>
        <v>-108482.07040091453</v>
      </c>
      <c r="S977" s="553">
        <f>'Foglio deposito bis'!$F$60*IF(ABS(M977)&lt;'Progetto del paramento slu'!$G$58,ABS(M977)*'Progetto del paramento slu'!$G$54,'Progetto del paramento slu'!$G$53)*IF(M977&lt;0,-1,1)</f>
        <v>0</v>
      </c>
      <c r="T977" s="553">
        <f>'Foglio deposito bis'!$F$61*IF(ABS(N977)&lt;'Progetto del paramento slu'!$G$58,ABS(N977)*'Progetto del paramento slu'!$G$54,'Progetto del paramento slu'!$G$53)*IF(N977&lt;0,-1,1)</f>
        <v>176786.1802697102</v>
      </c>
      <c r="U977" s="553">
        <f>'Foglio deposito bis'!$F$62*IF(ABS(O977)&lt;'Progetto del paramento slu'!$G$58,ABS(O977)*'Progetto del paramento slu'!$G$54,'Progetto del paramento slu'!$G$53)*IF(O977&lt;0,-1,1)</f>
        <v>40142.799782712485</v>
      </c>
      <c r="V977" s="479">
        <f t="shared" si="74"/>
        <v>-3319234.5530555542</v>
      </c>
      <c r="W977" s="559"/>
      <c r="X977" s="559"/>
    </row>
    <row r="978" spans="1:24" x14ac:dyDescent="0.25">
      <c r="A978" s="553">
        <f t="shared" si="73"/>
        <v>3399699.3760446073</v>
      </c>
      <c r="B978" s="3">
        <f t="shared" si="71"/>
        <v>60.899999999999942</v>
      </c>
      <c r="C978" s="553">
        <f>'Foglio deposito bis'!$E$156/sezione!$B$247*B978</f>
        <v>247.22843746747151</v>
      </c>
      <c r="D978" s="611">
        <f>-'Progetto del paramento slu'!$G$47*'Progetto del paramento slu'!$G$41*IF(DATI!$G$218="dx",DATI!$E$61,DATI!$E$64*DATI!$E$63)*1000*C978^2*sezione!$AD$5*(1-sezione!$AD$6)</f>
        <v>-503155468.53948867</v>
      </c>
      <c r="E978" s="553">
        <f>-'Foglio deposito bis'!$F$58*(C978-sezione!$AL$30)*IF(ABS(K978)&lt;'Progetto del paramento slu'!$G$58,ABS(K978)*'Progetto del paramento slu'!$G$54,'Progetto del paramento slu'!$G$53)</f>
        <v>0</v>
      </c>
      <c r="F978" s="553">
        <f>-'Foglio deposito bis'!$F$59*(C978-sezione!$AM$30)*IF(ABS(L978)&lt;'Progetto del paramento slu'!$G$58,ABS(L978)*'Progetto del paramento slu'!$G$54,'Progetto del paramento slu'!$G$53)</f>
        <v>-10826381.810105262</v>
      </c>
      <c r="G978" s="553">
        <f>-'Foglio deposito bis'!$F$60*(C978-sezione!$AN$30)*IF(ABS(M978)&lt;'Progetto del paramento slu'!$G$58,ABS(M978)*'Progetto del paramento slu'!$G$54,'Progetto del paramento slu'!$G$53)</f>
        <v>0</v>
      </c>
      <c r="H978" s="553">
        <f>-'Foglio deposito bis'!$F$61*(C978-sezione!$AO$30)*IF(ABS(N978)&lt;'Progetto del paramento slu'!$G$58,ABS(N978)*'Progetto del paramento slu'!$G$54,'Progetto del paramento slu'!$G$53)</f>
        <v>15455125.197708832</v>
      </c>
      <c r="I978" s="479">
        <f>-'Foglio deposito bis'!$F$62*(C978-sezione!$AP$30)*IF(ABS(O978)&lt;'Progetto del paramento slu'!$G$58,ABS(O978)*'Progetto del paramento slu'!$G$54,'Progetto del paramento slu'!$G$53)</f>
        <v>382751.97843350359</v>
      </c>
      <c r="J978" s="479">
        <f t="shared" si="72"/>
        <v>-498143973.1734516</v>
      </c>
      <c r="K978" s="558">
        <f>'Progetto del paramento slu'!$G$60*(sezione!$AL$30-C978)/C978</f>
        <v>-2.9337221015749045E-3</v>
      </c>
      <c r="L978" s="558">
        <f>'Progetto del paramento slu'!$G$60*(sezione!$AM$30-C978)/C978</f>
        <v>-1.3764578809058905E-3</v>
      </c>
      <c r="M978" s="559">
        <f>'Progetto del paramento slu'!$G$60*(sezione!$AN$30-C978)/C978</f>
        <v>1.8080633976312325E-4</v>
      </c>
      <c r="N978" s="559">
        <f>'Progetto del paramento slu'!$G$60*(sezione!$AO$30-C978)/C978</f>
        <v>1.3133621366133151E-3</v>
      </c>
      <c r="O978" s="559">
        <f>'Progetto del paramento slu'!$G$60*(sezione!$AP$30-C978)/C978</f>
        <v>1.8084853835651456E-4</v>
      </c>
      <c r="P978" s="553">
        <f>-'Progetto del paramento slu'!$G$47*'Progetto del paramento slu'!$G$41*IF(DATI!$G$218="dx",DATI!$E$61,DATI!$E$64*DATI!$E$63)*1000*C978*sezione!$AD$5</f>
        <v>-3484904.859413357</v>
      </c>
      <c r="Q978" s="553">
        <f>'Foglio deposito bis'!$F$58*IF(ABS(K978)&lt;'Progetto del paramento slu'!$G$58,ABS(K978)*'Progetto del paramento slu'!$G$54,'Progetto del paramento slu'!$G$53)*IF(K978&lt;0,-1,1)</f>
        <v>0</v>
      </c>
      <c r="R978" s="553">
        <f>'Foglio deposito bis'!$F$59*IF(ABS(L978)&lt;'Progetto del paramento slu'!$G$58,ABS(L978)*'Progetto del paramento slu'!$G$54,'Progetto del paramento slu'!$G$53)*IF(L978&lt;0,-1,1)</f>
        <v>-111349.95164071528</v>
      </c>
      <c r="S978" s="553">
        <f>'Foglio deposito bis'!$F$60*IF(ABS(M978)&lt;'Progetto del paramento slu'!$G$58,ABS(M978)*'Progetto del paramento slu'!$G$54,'Progetto del paramento slu'!$G$53)*IF(M978&lt;0,-1,1)</f>
        <v>0</v>
      </c>
      <c r="T978" s="553">
        <f>'Foglio deposito bis'!$F$61*IF(ABS(N978)&lt;'Progetto del paramento slu'!$G$58,ABS(N978)*'Progetto del paramento slu'!$G$54,'Progetto del paramento slu'!$G$53)*IF(N978&lt;0,-1,1)</f>
        <v>166593.34795929302</v>
      </c>
      <c r="U978" s="553">
        <f>'Foglio deposito bis'!$F$62*IF(ABS(O978)&lt;'Progetto del paramento slu'!$G$58,ABS(O978)*'Progetto del paramento slu'!$G$54,'Progetto del paramento slu'!$G$53)*IF(O978&lt;0,-1,1)</f>
        <v>29962.087050172235</v>
      </c>
      <c r="V978" s="479">
        <f t="shared" si="74"/>
        <v>-3399699.3760446073</v>
      </c>
      <c r="W978" s="559"/>
      <c r="X978" s="559"/>
    </row>
    <row r="979" spans="1:24" x14ac:dyDescent="0.25">
      <c r="A979" s="553">
        <f t="shared" si="73"/>
        <v>3479413.2644203235</v>
      </c>
      <c r="B979" s="3">
        <f t="shared" si="71"/>
        <v>61.899999999999942</v>
      </c>
      <c r="C979" s="553">
        <f>'Foglio deposito bis'!$E$156/sezione!$B$247*B979</f>
        <v>251.28801772145297</v>
      </c>
      <c r="D979" s="611">
        <f>-'Progetto del paramento slu'!$G$47*'Progetto del paramento slu'!$G$41*IF(DATI!$G$218="dx",DATI!$E$61,DATI!$E$64*DATI!$E$63)*1000*C979^2*sezione!$AD$5*(1-sezione!$AD$6)</f>
        <v>-519815122.58934546</v>
      </c>
      <c r="E979" s="553">
        <f>-'Foglio deposito bis'!$F$58*(C979-sezione!$AL$30)*IF(ABS(K979)&lt;'Progetto del paramento slu'!$G$58,ABS(K979)*'Progetto del paramento slu'!$G$54,'Progetto del paramento slu'!$G$53)</f>
        <v>0</v>
      </c>
      <c r="F979" s="553">
        <f>-'Foglio deposito bis'!$F$59*(C979-sezione!$AM$30)*IF(ABS(L979)&lt;'Progetto del paramento slu'!$G$58,ABS(L979)*'Progetto del paramento slu'!$G$54,'Progetto del paramento slu'!$G$53)</f>
        <v>-11559512.355678583</v>
      </c>
      <c r="G979" s="553">
        <f>-'Foglio deposito bis'!$F$60*(C979-sezione!$AN$30)*IF(ABS(M979)&lt;'Progetto del paramento slu'!$G$58,ABS(M979)*'Progetto del paramento slu'!$G$54,'Progetto del paramento slu'!$G$53)</f>
        <v>0</v>
      </c>
      <c r="H979" s="553">
        <f>-'Foglio deposito bis'!$F$61*(C979-sezione!$AO$30)*IF(ABS(N979)&lt;'Progetto del paramento slu'!$G$58,ABS(N979)*'Progetto del paramento slu'!$G$54,'Progetto del paramento slu'!$G$53)</f>
        <v>13903815.48695378</v>
      </c>
      <c r="I979" s="479">
        <f>-'Foglio deposito bis'!$F$62*(C979-sezione!$AP$30)*IF(ABS(O979)&lt;'Progetto del paramento slu'!$G$58,ABS(O979)*'Progetto del paramento slu'!$G$54,'Progetto del paramento slu'!$G$53)</f>
        <v>175260.65171368633</v>
      </c>
      <c r="J979" s="479">
        <f t="shared" si="72"/>
        <v>-517295558.80635655</v>
      </c>
      <c r="K979" s="558">
        <f>'Progetto del paramento slu'!$G$60*(sezione!$AL$30-C979)/C979</f>
        <v>-2.9428703713394455E-3</v>
      </c>
      <c r="L979" s="558">
        <f>'Progetto del paramento slu'!$G$60*(sezione!$AM$30-C979)/C979</f>
        <v>-1.4107638925229195E-3</v>
      </c>
      <c r="M979" s="559">
        <f>'Progetto del paramento slu'!$G$60*(sezione!$AN$30-C979)/C979</f>
        <v>1.2134258629360597E-4</v>
      </c>
      <c r="N979" s="559">
        <f>'Progetto del paramento slu'!$G$60*(sezione!$AO$30-C979)/C979</f>
        <v>1.2356018436147154E-3</v>
      </c>
      <c r="O979" s="559">
        <f>'Progetto del paramento slu'!$G$60*(sezione!$AP$30-C979)/C979</f>
        <v>1.2138410316497158E-4</v>
      </c>
      <c r="P979" s="553">
        <f>-'Progetto del paramento slu'!$G$47*'Progetto del paramento slu'!$G$41*IF(DATI!$G$218="dx",DATI!$E$61,DATI!$E$64*DATI!$E$63)*1000*C979*sezione!$AD$5</f>
        <v>-3542128.2561196517</v>
      </c>
      <c r="Q979" s="553">
        <f>'Foglio deposito bis'!$F$58*IF(ABS(K979)&lt;'Progetto del paramento slu'!$G$58,ABS(K979)*'Progetto del paramento slu'!$G$54,'Progetto del paramento slu'!$G$53)*IF(K979&lt;0,-1,1)</f>
        <v>0</v>
      </c>
      <c r="R979" s="553">
        <f>'Foglio deposito bis'!$F$59*IF(ABS(L979)&lt;'Progetto del paramento slu'!$G$58,ABS(L979)*'Progetto del paramento slu'!$G$54,'Progetto del paramento slu'!$G$53)*IF(L979&lt;0,-1,1)</f>
        <v>-114125.17112801841</v>
      </c>
      <c r="S979" s="553">
        <f>'Foglio deposito bis'!$F$60*IF(ABS(M979)&lt;'Progetto del paramento slu'!$G$58,ABS(M979)*'Progetto del paramento slu'!$G$54,'Progetto del paramento slu'!$G$53)*IF(M979&lt;0,-1,1)</f>
        <v>0</v>
      </c>
      <c r="T979" s="553">
        <f>'Foglio deposito bis'!$F$61*IF(ABS(N979)&lt;'Progetto del paramento slu'!$G$58,ABS(N979)*'Progetto del paramento slu'!$G$54,'Progetto del paramento slu'!$G$53)*IF(N979&lt;0,-1,1)</f>
        <v>156729.84787215269</v>
      </c>
      <c r="U979" s="553">
        <f>'Foglio deposito bis'!$F$62*IF(ABS(O979)&lt;'Progetto del paramento slu'!$G$58,ABS(O979)*'Progetto del paramento slu'!$G$54,'Progetto del paramento slu'!$G$53)*IF(O979&lt;0,-1,1)</f>
        <v>20110.314955193859</v>
      </c>
      <c r="V979" s="479">
        <f t="shared" si="74"/>
        <v>-3479413.2644203235</v>
      </c>
      <c r="W979" s="559"/>
      <c r="X979" s="559"/>
    </row>
    <row r="980" spans="1:24" x14ac:dyDescent="0.25">
      <c r="A980" s="553">
        <f t="shared" si="73"/>
        <v>3558412.0338240401</v>
      </c>
      <c r="B980" s="3">
        <f t="shared" si="71"/>
        <v>62.899999999999942</v>
      </c>
      <c r="C980" s="553">
        <f>'Foglio deposito bis'!$E$156/sezione!$B$247*B980</f>
        <v>255.34759797543444</v>
      </c>
      <c r="D980" s="611">
        <f>-'Progetto del paramento slu'!$G$47*'Progetto del paramento slu'!$G$41*IF(DATI!$G$218="dx",DATI!$E$61,DATI!$E$64*DATI!$E$63)*1000*C980^2*sezione!$AD$5*(1-sezione!$AD$6)</f>
        <v>-536746106.50972104</v>
      </c>
      <c r="E980" s="553">
        <f>-'Foglio deposito bis'!$F$58*(C980-sezione!$AL$30)*IF(ABS(K980)&lt;'Progetto del paramento slu'!$G$58,ABS(K980)*'Progetto del paramento slu'!$G$54,'Progetto del paramento slu'!$G$53)</f>
        <v>0</v>
      </c>
      <c r="F980" s="553">
        <f>-'Foglio deposito bis'!$F$59*(C980-sezione!$AM$30)*IF(ABS(L980)&lt;'Progetto del paramento slu'!$G$58,ABS(L980)*'Progetto del paramento slu'!$G$54,'Progetto del paramento slu'!$G$53)</f>
        <v>-12305879.242208835</v>
      </c>
      <c r="G980" s="553">
        <f>-'Foglio deposito bis'!$F$60*(C980-sezione!$AN$30)*IF(ABS(M980)&lt;'Progetto del paramento slu'!$G$58,ABS(M980)*'Progetto del paramento slu'!$G$54,'Progetto del paramento slu'!$G$53)</f>
        <v>0</v>
      </c>
      <c r="H980" s="553">
        <f>-'Foglio deposito bis'!$F$61*(C980-sezione!$AO$30)*IF(ABS(N980)&lt;'Progetto del paramento slu'!$G$58,ABS(N980)*'Progetto del paramento slu'!$G$54,'Progetto del paramento slu'!$G$53)</f>
        <v>12459138.209573217</v>
      </c>
      <c r="I980" s="479">
        <f>-'Foglio deposito bis'!$F$62*(C980-sezione!$AP$30)*IF(ABS(O980)&lt;'Progetto del paramento slu'!$G$58,ABS(O980)*'Progetto del paramento slu'!$G$54,'Progetto del paramento slu'!$G$53)</f>
        <v>49215.751402565489</v>
      </c>
      <c r="J980" s="479">
        <f t="shared" si="72"/>
        <v>-536543631.79095411</v>
      </c>
      <c r="K980" s="558">
        <f>'Progetto del paramento slu'!$G$60*(sezione!$AL$30-C980)/C980</f>
        <v>-2.9517277581226019E-3</v>
      </c>
      <c r="L980" s="558">
        <f>'Progetto del paramento slu'!$G$60*(sezione!$AM$30-C980)/C980</f>
        <v>-1.443979092959757E-3</v>
      </c>
      <c r="M980" s="559">
        <f>'Progetto del paramento slu'!$G$60*(sezione!$AN$30-C980)/C980</f>
        <v>6.3769572203087638E-5</v>
      </c>
      <c r="N980" s="559">
        <f>'Progetto del paramento slu'!$G$60*(sezione!$AO$30-C980)/C980</f>
        <v>1.1603140559578837E-3</v>
      </c>
      <c r="O980" s="559">
        <f>'Progetto del paramento slu'!$G$60*(sezione!$AP$30-C980)/C980</f>
        <v>6.3810429028803559E-5</v>
      </c>
      <c r="P980" s="553">
        <f>-'Progetto del paramento slu'!$G$47*'Progetto del paramento slu'!$G$41*IF(DATI!$G$218="dx",DATI!$E$61,DATI!$E$64*DATI!$E$63)*1000*C980*sezione!$AD$5</f>
        <v>-3599351.6528259469</v>
      </c>
      <c r="Q980" s="553">
        <f>'Foglio deposito bis'!$F$58*IF(ABS(K980)&lt;'Progetto del paramento slu'!$G$58,ABS(K980)*'Progetto del paramento slu'!$G$54,'Progetto del paramento slu'!$G$53)*IF(K980&lt;0,-1,1)</f>
        <v>0</v>
      </c>
      <c r="R980" s="553">
        <f>'Foglio deposito bis'!$F$59*IF(ABS(L980)&lt;'Progetto del paramento slu'!$G$58,ABS(L980)*'Progetto del paramento slu'!$G$54,'Progetto del paramento slu'!$G$53)*IF(L980&lt;0,-1,1)</f>
        <v>-116812.14834227535</v>
      </c>
      <c r="S980" s="553">
        <f>'Foglio deposito bis'!$F$60*IF(ABS(M980)&lt;'Progetto del paramento slu'!$G$58,ABS(M980)*'Progetto del paramento slu'!$G$54,'Progetto del paramento slu'!$G$53)*IF(M980&lt;0,-1,1)</f>
        <v>0</v>
      </c>
      <c r="T980" s="553">
        <f>'Foglio deposito bis'!$F$61*IF(ABS(N980)&lt;'Progetto del paramento slu'!$G$58,ABS(N980)*'Progetto del paramento slu'!$G$54,'Progetto del paramento slu'!$G$53)*IF(N980&lt;0,-1,1)</f>
        <v>147179.97258905493</v>
      </c>
      <c r="U980" s="553">
        <f>'Foglio deposito bis'!$F$62*IF(ABS(O980)&lt;'Progetto del paramento slu'!$G$58,ABS(O980)*'Progetto del paramento slu'!$G$54,'Progetto del paramento slu'!$G$53)*IF(O980&lt;0,-1,1)</f>
        <v>10571.794755127357</v>
      </c>
      <c r="V980" s="479">
        <f t="shared" si="74"/>
        <v>-3558412.0338240401</v>
      </c>
      <c r="W980" s="559"/>
      <c r="X980" s="559"/>
    </row>
    <row r="981" spans="1:24" x14ac:dyDescent="0.25">
      <c r="A981" s="553">
        <f t="shared" si="73"/>
        <v>3636729.2579164119</v>
      </c>
      <c r="B981" s="3">
        <f t="shared" si="71"/>
        <v>63.899999999999942</v>
      </c>
      <c r="C981" s="553">
        <f>'Foglio deposito bis'!$E$156/sezione!$B$247*B981</f>
        <v>259.40717822941593</v>
      </c>
      <c r="D981" s="611">
        <f>-'Progetto del paramento slu'!$G$47*'Progetto del paramento slu'!$G$41*IF(DATI!$G$218="dx",DATI!$E$61,DATI!$E$64*DATI!$E$63)*1000*C981^2*sezione!$AD$5*(1-sezione!$AD$6)</f>
        <v>-553948420.30061555</v>
      </c>
      <c r="E981" s="553">
        <f>-'Foglio deposito bis'!$F$58*(C981-sezione!$AL$30)*IF(ABS(K981)&lt;'Progetto del paramento slu'!$G$58,ABS(K981)*'Progetto del paramento slu'!$G$54,'Progetto del paramento slu'!$G$53)</f>
        <v>0</v>
      </c>
      <c r="F981" s="553">
        <f>-'Foglio deposito bis'!$F$59*(C981-sezione!$AM$30)*IF(ABS(L981)&lt;'Progetto del paramento slu'!$G$58,ABS(L981)*'Progetto del paramento slu'!$G$54,'Progetto del paramento slu'!$G$53)</f>
        <v>-13064861.045237951</v>
      </c>
      <c r="G981" s="553">
        <f>-'Foglio deposito bis'!$F$60*(C981-sezione!$AN$30)*IF(ABS(M981)&lt;'Progetto del paramento slu'!$G$58,ABS(M981)*'Progetto del paramento slu'!$G$54,'Progetto del paramento slu'!$G$53)</f>
        <v>0</v>
      </c>
      <c r="H981" s="553">
        <f>-'Foglio deposito bis'!$F$61*(C981-sezione!$AO$30)*IF(ABS(N981)&lt;'Progetto del paramento slu'!$G$58,ABS(N981)*'Progetto del paramento slu'!$G$54,'Progetto del paramento slu'!$G$53)</f>
        <v>11116087.148037821</v>
      </c>
      <c r="I981" s="479">
        <f>-'Foglio deposito bis'!$F$62*(C981-sezione!$AP$30)*IF(ABS(O981)&lt;'Progetto del paramento slu'!$G$58,ABS(O981)*'Progetto del paramento slu'!$G$54,'Progetto del paramento slu'!$G$53)</f>
        <v>793.50161240878981</v>
      </c>
      <c r="J981" s="479">
        <f t="shared" si="72"/>
        <v>-555896400.69620323</v>
      </c>
      <c r="K981" s="558">
        <f>'Progetto del paramento slu'!$G$60*(sezione!$AL$30-C981)/C981</f>
        <v>-2.9603079184023734E-3</v>
      </c>
      <c r="L981" s="558">
        <f>'Progetto del paramento slu'!$G$60*(sezione!$AM$30-C981)/C981</f>
        <v>-1.4761546940089004E-3</v>
      </c>
      <c r="M981" s="559">
        <f>'Progetto del paramento slu'!$G$60*(sezione!$AN$30-C981)/C981</f>
        <v>7.9985303845726382E-6</v>
      </c>
      <c r="N981" s="559">
        <f>'Progetto del paramento slu'!$G$60*(sezione!$AO$30-C981)/C981</f>
        <v>1.0873826935798258E-3</v>
      </c>
      <c r="O981" s="559">
        <f>'Progetto del paramento slu'!$G$60*(sezione!$AP$30-C981)/C981</f>
        <v>8.038747823344646E-6</v>
      </c>
      <c r="P981" s="553">
        <f>-'Progetto del paramento slu'!$G$47*'Progetto del paramento slu'!$G$41*IF(DATI!$G$218="dx",DATI!$E$61,DATI!$E$64*DATI!$E$63)*1000*C981*sezione!$AD$5</f>
        <v>-3656575.0495322412</v>
      </c>
      <c r="Q981" s="553">
        <f>'Foglio deposito bis'!$F$58*IF(ABS(K981)&lt;'Progetto del paramento slu'!$G$58,ABS(K981)*'Progetto del paramento slu'!$G$54,'Progetto del paramento slu'!$G$53)*IF(K981&lt;0,-1,1)</f>
        <v>0</v>
      </c>
      <c r="R981" s="553">
        <f>'Foglio deposito bis'!$F$59*IF(ABS(L981)&lt;'Progetto del paramento slu'!$G$58,ABS(L981)*'Progetto del paramento slu'!$G$54,'Progetto del paramento slu'!$G$53)*IF(L981&lt;0,-1,1)</f>
        <v>-119415.02611320659</v>
      </c>
      <c r="S981" s="553">
        <f>'Foglio deposito bis'!$F$60*IF(ABS(M981)&lt;'Progetto del paramento slu'!$G$58,ABS(M981)*'Progetto del paramento slu'!$G$54,'Progetto del paramento slu'!$G$53)*IF(M981&lt;0,-1,1)</f>
        <v>0</v>
      </c>
      <c r="T981" s="553">
        <f>'Foglio deposito bis'!$F$61*IF(ABS(N981)&lt;'Progetto del paramento slu'!$G$58,ABS(N981)*'Progetto del paramento slu'!$G$54,'Progetto del paramento slu'!$G$53)*IF(N981&lt;0,-1,1)</f>
        <v>137928.9979407959</v>
      </c>
      <c r="U981" s="553">
        <f>'Foglio deposito bis'!$F$62*IF(ABS(O981)&lt;'Progetto del paramento slu'!$G$58,ABS(O981)*'Progetto del paramento slu'!$G$54,'Progetto del paramento slu'!$G$53)*IF(O981&lt;0,-1,1)</f>
        <v>1331.819788239713</v>
      </c>
      <c r="V981" s="479">
        <f t="shared" si="74"/>
        <v>-3636729.2579164119</v>
      </c>
      <c r="W981" s="559"/>
      <c r="X981" s="559"/>
    </row>
    <row r="982" spans="1:24" x14ac:dyDescent="0.25">
      <c r="A982" s="553">
        <f t="shared" si="73"/>
        <v>3714396.4411032056</v>
      </c>
      <c r="B982" s="3">
        <f t="shared" si="71"/>
        <v>64.899999999999949</v>
      </c>
      <c r="C982" s="553">
        <f>'Foglio deposito bis'!$E$156/sezione!$B$247*B982</f>
        <v>263.46675848339743</v>
      </c>
      <c r="D982" s="611">
        <f>-'Progetto del paramento slu'!$G$47*'Progetto del paramento slu'!$G$41*IF(DATI!$G$218="dx",DATI!$E$61,DATI!$E$64*DATI!$E$63)*1000*C982^2*sezione!$AD$5*(1-sezione!$AD$6)</f>
        <v>-571422063.96202898</v>
      </c>
      <c r="E982" s="553">
        <f>-'Foglio deposito bis'!$F$58*(C982-sezione!$AL$30)*IF(ABS(K982)&lt;'Progetto del paramento slu'!$G$58,ABS(K982)*'Progetto del paramento slu'!$G$54,'Progetto del paramento slu'!$G$53)</f>
        <v>0</v>
      </c>
      <c r="F982" s="553">
        <f>-'Foglio deposito bis'!$F$59*(C982-sezione!$AM$30)*IF(ABS(L982)&lt;'Progetto del paramento slu'!$G$58,ABS(L982)*'Progetto del paramento slu'!$G$54,'Progetto del paramento slu'!$G$53)</f>
        <v>-13835874.640736705</v>
      </c>
      <c r="G982" s="553">
        <f>-'Foglio deposito bis'!$F$60*(C982-sezione!$AN$30)*IF(ABS(M982)&lt;'Progetto del paramento slu'!$G$58,ABS(M982)*'Progetto del paramento slu'!$G$54,'Progetto del paramento slu'!$G$53)</f>
        <v>0</v>
      </c>
      <c r="H982" s="553">
        <f>-'Foglio deposito bis'!$F$61*(C982-sezione!$AO$30)*IF(ABS(N982)&lt;'Progetto del paramento slu'!$G$58,ABS(N982)*'Progetto del paramento slu'!$G$54,'Progetto del paramento slu'!$G$53)</f>
        <v>9869964.6344348732</v>
      </c>
      <c r="I982" s="479">
        <f>-'Foglio deposito bis'!$F$62*(C982-sezione!$AP$30)*IF(ABS(O982)&lt;'Progetto del paramento slu'!$G$58,ABS(O982)*'Progetto del paramento slu'!$G$54,'Progetto del paramento slu'!$G$53)</f>
        <v>-26405.798312972445</v>
      </c>
      <c r="J982" s="479">
        <f t="shared" si="72"/>
        <v>-575414379.76664388</v>
      </c>
      <c r="K982" s="558">
        <f>'Progetto del paramento slu'!$G$60*(sezione!$AL$30-C982)/C982</f>
        <v>-2.9686236669631996E-3</v>
      </c>
      <c r="L982" s="558">
        <f>'Progetto del paramento slu'!$G$60*(sezione!$AM$30-C982)/C982</f>
        <v>-1.5073387511119992E-3</v>
      </c>
      <c r="M982" s="559">
        <f>'Progetto del paramento slu'!$G$60*(sezione!$AN$30-C982)/C982</f>
        <v>-4.6053835260798597E-5</v>
      </c>
      <c r="N982" s="559">
        <f>'Progetto del paramento slu'!$G$60*(sezione!$AO$30-C982)/C982</f>
        <v>1.0166988308128017E-3</v>
      </c>
      <c r="O982" s="559">
        <f>'Progetto del paramento slu'!$G$60*(sezione!$AP$30-C982)/C982</f>
        <v>-4.6014237505212597E-5</v>
      </c>
      <c r="P982" s="553">
        <f>-'Progetto del paramento slu'!$G$47*'Progetto del paramento slu'!$G$41*IF(DATI!$G$218="dx",DATI!$E$61,DATI!$E$64*DATI!$E$63)*1000*C982*sezione!$AD$5</f>
        <v>-3713798.4462385369</v>
      </c>
      <c r="Q982" s="553">
        <f>'Foglio deposito bis'!$F$58*IF(ABS(K982)&lt;'Progetto del paramento slu'!$G$58,ABS(K982)*'Progetto del paramento slu'!$G$54,'Progetto del paramento slu'!$G$53)*IF(K982&lt;0,-1,1)</f>
        <v>0</v>
      </c>
      <c r="R982" s="553">
        <f>'Foglio deposito bis'!$F$59*IF(ABS(L982)&lt;'Progetto del paramento slu'!$G$58,ABS(L982)*'Progetto del paramento slu'!$G$54,'Progetto del paramento slu'!$G$53)*IF(L982&lt;0,-1,1)</f>
        <v>-121937.69193434026</v>
      </c>
      <c r="S982" s="553">
        <f>'Foglio deposito bis'!$F$60*IF(ABS(M982)&lt;'Progetto del paramento slu'!$G$58,ABS(M982)*'Progetto del paramento slu'!$G$54,'Progetto del paramento slu'!$G$53)*IF(M982&lt;0,-1,1)</f>
        <v>0</v>
      </c>
      <c r="T982" s="553">
        <f>'Foglio deposito bis'!$F$61*IF(ABS(N982)&lt;'Progetto del paramento slu'!$G$58,ABS(N982)*'Progetto del paramento slu'!$G$54,'Progetto del paramento slu'!$G$53)*IF(N982&lt;0,-1,1)</f>
        <v>128963.10725704404</v>
      </c>
      <c r="U982" s="553">
        <f>'Foglio deposito bis'!$F$62*IF(ABS(O982)&lt;'Progetto del paramento slu'!$G$58,ABS(O982)*'Progetto del paramento slu'!$G$54,'Progetto del paramento slu'!$G$53)*IF(O982&lt;0,-1,1)</f>
        <v>-7623.4101873725031</v>
      </c>
      <c r="V982" s="479">
        <f t="shared" si="74"/>
        <v>-3714396.4411032056</v>
      </c>
      <c r="W982" s="559"/>
      <c r="X982" s="559"/>
    </row>
    <row r="983" spans="1:24" x14ac:dyDescent="0.25">
      <c r="A983" s="553">
        <f t="shared" si="73"/>
        <v>3791443.1755349003</v>
      </c>
      <c r="B983" s="3">
        <f t="shared" si="71"/>
        <v>65.899999999999949</v>
      </c>
      <c r="C983" s="553">
        <f>'Foglio deposito bis'!$E$156/sezione!$B$247*B983</f>
        <v>267.52633873737892</v>
      </c>
      <c r="D983" s="611">
        <f>-'Progetto del paramento slu'!$G$47*'Progetto del paramento slu'!$G$41*IF(DATI!$G$218="dx",DATI!$E$61,DATI!$E$64*DATI!$E$63)*1000*C983^2*sezione!$AD$5*(1-sezione!$AD$6)</f>
        <v>-589167037.4939611</v>
      </c>
      <c r="E983" s="553">
        <f>-'Foglio deposito bis'!$F$58*(C983-sezione!$AL$30)*IF(ABS(K983)&lt;'Progetto del paramento slu'!$G$58,ABS(K983)*'Progetto del paramento slu'!$G$54,'Progetto del paramento slu'!$G$53)</f>
        <v>0</v>
      </c>
      <c r="F983" s="553">
        <f>-'Foglio deposito bis'!$F$59*(C983-sezione!$AM$30)*IF(ABS(L983)&lt;'Progetto del paramento slu'!$G$58,ABS(L983)*'Progetto del paramento slu'!$G$54,'Progetto del paramento slu'!$G$53)</f>
        <v>-14618372.299154121</v>
      </c>
      <c r="G983" s="553">
        <f>-'Foglio deposito bis'!$F$60*(C983-sezione!$AN$30)*IF(ABS(M983)&lt;'Progetto del paramento slu'!$G$58,ABS(M983)*'Progetto del paramento slu'!$G$54,'Progetto del paramento slu'!$G$53)</f>
        <v>0</v>
      </c>
      <c r="H983" s="553">
        <f>-'Foglio deposito bis'!$F$61*(C983-sezione!$AO$30)*IF(ABS(N983)&lt;'Progetto del paramento slu'!$G$58,ABS(N983)*'Progetto del paramento slu'!$G$54,'Progetto del paramento slu'!$G$53)</f>
        <v>8716358.1400269419</v>
      </c>
      <c r="I983" s="479">
        <f>-'Foglio deposito bis'!$F$62*(C983-sezione!$AP$30)*IF(ABS(O983)&lt;'Progetto del paramento slu'!$G$58,ABS(O983)*'Progetto del paramento slu'!$G$54,'Progetto del paramento slu'!$G$53)</f>
        <v>-122682.32831044518</v>
      </c>
      <c r="J983" s="479">
        <f t="shared" si="72"/>
        <v>-595191733.98139882</v>
      </c>
      <c r="K983" s="558">
        <f>'Progetto del paramento slu'!$G$60*(sezione!$AL$30-C983)/C983</f>
        <v>-2.9766870407573849E-3</v>
      </c>
      <c r="L983" s="558">
        <f>'Progetto del paramento slu'!$G$60*(sezione!$AM$30-C983)/C983</f>
        <v>-1.5375764028401936E-3</v>
      </c>
      <c r="M983" s="559">
        <f>'Progetto del paramento slu'!$G$60*(sezione!$AN$30-C983)/C983</f>
        <v>-9.8465764923002258E-5</v>
      </c>
      <c r="N983" s="559">
        <f>'Progetto del paramento slu'!$G$60*(sezione!$AO$30-C983)/C983</f>
        <v>9.481601535622279E-4</v>
      </c>
      <c r="O983" s="559">
        <f>'Progetto del paramento slu'!$G$60*(sezione!$AP$30-C983)/C983</f>
        <v>-9.8426768043828795E-5</v>
      </c>
      <c r="P983" s="553">
        <f>-'Progetto del paramento slu'!$G$47*'Progetto del paramento slu'!$G$41*IF(DATI!$G$218="dx",DATI!$E$61,DATI!$E$64*DATI!$E$63)*1000*C983*sezione!$AD$5</f>
        <v>-3771021.8429448321</v>
      </c>
      <c r="Q983" s="553">
        <f>'Foglio deposito bis'!$F$58*IF(ABS(K983)&lt;'Progetto del paramento slu'!$G$58,ABS(K983)*'Progetto del paramento slu'!$G$54,'Progetto del paramento slu'!$G$53)*IF(K983&lt;0,-1,1)</f>
        <v>0</v>
      </c>
      <c r="R983" s="553">
        <f>'Foglio deposito bis'!$F$59*IF(ABS(L983)&lt;'Progetto del paramento slu'!$G$58,ABS(L983)*'Progetto del paramento slu'!$G$54,'Progetto del paramento slu'!$G$53)*IF(L983&lt;0,-1,1)</f>
        <v>-124383.79733601613</v>
      </c>
      <c r="S983" s="553">
        <f>'Foglio deposito bis'!$F$60*IF(ABS(M983)&lt;'Progetto del paramento slu'!$G$58,ABS(M983)*'Progetto del paramento slu'!$G$54,'Progetto del paramento slu'!$G$53)*IF(M983&lt;0,-1,1)</f>
        <v>0</v>
      </c>
      <c r="T983" s="553">
        <f>'Foglio deposito bis'!$F$61*IF(ABS(N983)&lt;'Progetto del paramento slu'!$G$58,ABS(N983)*'Progetto del paramento slu'!$G$54,'Progetto del paramento slu'!$G$53)*IF(N983&lt;0,-1,1)</f>
        <v>120269.32251210109</v>
      </c>
      <c r="U983" s="553">
        <f>'Foglio deposito bis'!$F$62*IF(ABS(O983)&lt;'Progetto del paramento slu'!$G$58,ABS(O983)*'Progetto del paramento slu'!$G$54,'Progetto del paramento slu'!$G$53)*IF(O983&lt;0,-1,1)</f>
        <v>-16306.857766152782</v>
      </c>
      <c r="V983" s="479">
        <f t="shared" si="74"/>
        <v>-3791443.1755349003</v>
      </c>
      <c r="W983" s="559"/>
      <c r="X983" s="559"/>
    </row>
    <row r="984" spans="1:24" x14ac:dyDescent="0.25">
      <c r="A984" s="553">
        <f t="shared" si="73"/>
        <v>3867897.2840256244</v>
      </c>
      <c r="B984" s="3">
        <f t="shared" si="71"/>
        <v>66.899999999999949</v>
      </c>
      <c r="C984" s="553">
        <f>'Foglio deposito bis'!$E$156/sezione!$B$247*B984</f>
        <v>271.58591899136036</v>
      </c>
      <c r="D984" s="611">
        <f>-'Progetto del paramento slu'!$G$47*'Progetto del paramento slu'!$G$41*IF(DATI!$G$218="dx",DATI!$E$61,DATI!$E$64*DATI!$E$63)*1000*C984^2*sezione!$AD$5*(1-sezione!$AD$6)</f>
        <v>-607183340.8964119</v>
      </c>
      <c r="E984" s="553">
        <f>-'Foglio deposito bis'!$F$58*(C984-sezione!$AL$30)*IF(ABS(K984)&lt;'Progetto del paramento slu'!$G$58,ABS(K984)*'Progetto del paramento slu'!$G$54,'Progetto del paramento slu'!$G$53)</f>
        <v>0</v>
      </c>
      <c r="F984" s="553">
        <f>-'Foglio deposito bis'!$F$59*(C984-sezione!$AM$30)*IF(ABS(L984)&lt;'Progetto del paramento slu'!$G$58,ABS(L984)*'Progetto del paramento slu'!$G$54,'Progetto del paramento slu'!$G$53)</f>
        <v>-15411839.040090255</v>
      </c>
      <c r="G984" s="553">
        <f>-'Foglio deposito bis'!$F$60*(C984-sezione!$AN$30)*IF(ABS(M984)&lt;'Progetto del paramento slu'!$G$58,ABS(M984)*'Progetto del paramento slu'!$G$54,'Progetto del paramento slu'!$G$53)</f>
        <v>0</v>
      </c>
      <c r="H984" s="553">
        <f>-'Foglio deposito bis'!$F$61*(C984-sezione!$AO$30)*IF(ABS(N984)&lt;'Progetto del paramento slu'!$G$58,ABS(N984)*'Progetto del paramento slu'!$G$54,'Progetto del paramento slu'!$G$53)</f>
        <v>7651118.9644017005</v>
      </c>
      <c r="I984" s="479">
        <f>-'Foglio deposito bis'!$F$62*(C984-sezione!$AP$30)*IF(ABS(O984)&lt;'Progetto del paramento slu'!$G$58,ABS(O984)*'Progetto del paramento slu'!$G$54,'Progetto del paramento slu'!$G$53)</f>
        <v>-286454.29190541123</v>
      </c>
      <c r="J984" s="479">
        <f t="shared" si="72"/>
        <v>-615230515.26400578</v>
      </c>
      <c r="K984" s="558">
        <f>'Progetto del paramento slu'!$G$60*(sezione!$AL$30-C984)/C984</f>
        <v>-2.9845093570390383E-3</v>
      </c>
      <c r="L984" s="558">
        <f>'Progetto del paramento slu'!$G$60*(sezione!$AM$30-C984)/C984</f>
        <v>-1.5669100888963939E-3</v>
      </c>
      <c r="M984" s="559">
        <f>'Progetto del paramento slu'!$G$60*(sezione!$AN$30-C984)/C984</f>
        <v>-1.4931082075374919E-4</v>
      </c>
      <c r="N984" s="559">
        <f>'Progetto del paramento slu'!$G$60*(sezione!$AO$30-C984)/C984</f>
        <v>8.8167046516817414E-4</v>
      </c>
      <c r="O984" s="559">
        <f>'Progetto del paramento slu'!$G$60*(sezione!$AP$30-C984)/C984</f>
        <v>-1.4927240678756784E-4</v>
      </c>
      <c r="P984" s="553">
        <f>-'Progetto del paramento slu'!$G$47*'Progetto del paramento slu'!$G$41*IF(DATI!$G$218="dx",DATI!$E$61,DATI!$E$64*DATI!$E$63)*1000*C984*sezione!$AD$5</f>
        <v>-3828245.2396511268</v>
      </c>
      <c r="Q984" s="553">
        <f>'Foglio deposito bis'!$F$58*IF(ABS(K984)&lt;'Progetto del paramento slu'!$G$58,ABS(K984)*'Progetto del paramento slu'!$G$54,'Progetto del paramento slu'!$G$53)*IF(K984&lt;0,-1,1)</f>
        <v>0</v>
      </c>
      <c r="R984" s="553">
        <f>'Foglio deposito bis'!$F$59*IF(ABS(L984)&lt;'Progetto del paramento slu'!$G$58,ABS(L984)*'Progetto del paramento slu'!$G$54,'Progetto del paramento slu'!$G$53)*IF(L984&lt;0,-1,1)</f>
        <v>-126756.77552090048</v>
      </c>
      <c r="S984" s="553">
        <f>'Foglio deposito bis'!$F$60*IF(ABS(M984)&lt;'Progetto del paramento slu'!$G$58,ABS(M984)*'Progetto del paramento slu'!$G$54,'Progetto del paramento slu'!$G$53)*IF(M984&lt;0,-1,1)</f>
        <v>0</v>
      </c>
      <c r="T984" s="553">
        <f>'Foglio deposito bis'!$F$61*IF(ABS(N984)&lt;'Progetto del paramento slu'!$G$58,ABS(N984)*'Progetto del paramento slu'!$G$54,'Progetto del paramento slu'!$G$53)*IF(N984&lt;0,-1,1)</f>
        <v>111835.4416459308</v>
      </c>
      <c r="U984" s="553">
        <f>'Foglio deposito bis'!$F$62*IF(ABS(O984)&lt;'Progetto del paramento slu'!$G$58,ABS(O984)*'Progetto del paramento slu'!$G$54,'Progetto del paramento slu'!$G$53)*IF(O984&lt;0,-1,1)</f>
        <v>-24730.71049952845</v>
      </c>
      <c r="V984" s="479">
        <f t="shared" si="74"/>
        <v>-3867897.2840256244</v>
      </c>
      <c r="W984" s="559"/>
      <c r="X984" s="559"/>
    </row>
    <row r="985" spans="1:24" x14ac:dyDescent="0.25">
      <c r="A985" s="553">
        <f t="shared" si="73"/>
        <v>3943784.9503430245</v>
      </c>
      <c r="B985" s="3">
        <f t="shared" si="71"/>
        <v>67.899999999999949</v>
      </c>
      <c r="C985" s="553">
        <f>'Foglio deposito bis'!$E$156/sezione!$B$247*B985</f>
        <v>275.64549924534185</v>
      </c>
      <c r="D985" s="611">
        <f>-'Progetto del paramento slu'!$G$47*'Progetto del paramento slu'!$G$41*IF(DATI!$G$218="dx",DATI!$E$61,DATI!$E$64*DATI!$E$63)*1000*C985^2*sezione!$AD$5*(1-sezione!$AD$6)</f>
        <v>-625470974.16938186</v>
      </c>
      <c r="E985" s="553">
        <f>-'Foglio deposito bis'!$F$58*(C985-sezione!$AL$30)*IF(ABS(K985)&lt;'Progetto del paramento slu'!$G$58,ABS(K985)*'Progetto del paramento slu'!$G$54,'Progetto del paramento slu'!$G$53)</f>
        <v>0</v>
      </c>
      <c r="F985" s="553">
        <f>-'Foglio deposito bis'!$F$59*(C985-sezione!$AM$30)*IF(ABS(L985)&lt;'Progetto del paramento slu'!$G$58,ABS(L985)*'Progetto del paramento slu'!$G$54,'Progetto del paramento slu'!$G$53)</f>
        <v>-16215790.220723974</v>
      </c>
      <c r="G985" s="553">
        <f>-'Foglio deposito bis'!$F$60*(C985-sezione!$AN$30)*IF(ABS(M985)&lt;'Progetto del paramento slu'!$G$58,ABS(M985)*'Progetto del paramento slu'!$G$54,'Progetto del paramento slu'!$G$53)</f>
        <v>0</v>
      </c>
      <c r="H985" s="553">
        <f>-'Foglio deposito bis'!$F$61*(C985-sezione!$AO$30)*IF(ABS(N985)&lt;'Progetto del paramento slu'!$G$58,ABS(N985)*'Progetto del paramento slu'!$G$54,'Progetto del paramento slu'!$G$53)</f>
        <v>6670342.8077601856</v>
      </c>
      <c r="I985" s="479">
        <f>-'Foglio deposito bis'!$F$62*(C985-sezione!$AP$30)*IF(ABS(O985)&lt;'Progetto del paramento slu'!$G$58,ABS(O985)*'Progetto del paramento slu'!$G$54,'Progetto del paramento slu'!$G$53)</f>
        <v>-514739.56390210974</v>
      </c>
      <c r="J985" s="479">
        <f t="shared" si="72"/>
        <v>-635531161.14624774</v>
      </c>
      <c r="K985" s="558">
        <f>'Progetto del paramento slu'!$G$60*(sezione!$AL$30-C985)/C985</f>
        <v>-2.9921012663609967E-3</v>
      </c>
      <c r="L985" s="558">
        <f>'Progetto del paramento slu'!$G$60*(sezione!$AM$30-C985)/C985</f>
        <v>-1.5953797488537371E-3</v>
      </c>
      <c r="M985" s="559">
        <f>'Progetto del paramento slu'!$G$60*(sezione!$AN$30-C985)/C985</f>
        <v>-1.9865823134647778E-4</v>
      </c>
      <c r="N985" s="559">
        <f>'Progetto del paramento slu'!$G$60*(sezione!$AO$30-C985)/C985</f>
        <v>8.1713923593152913E-4</v>
      </c>
      <c r="O985" s="559">
        <f>'Progetto del paramento slu'!$G$60*(sezione!$AP$30-C985)/C985</f>
        <v>-1.9862038312353918E-4</v>
      </c>
      <c r="P985" s="553">
        <f>-'Progetto del paramento slu'!$G$47*'Progetto del paramento slu'!$G$41*IF(DATI!$G$218="dx",DATI!$E$61,DATI!$E$64*DATI!$E$63)*1000*C985*sezione!$AD$5</f>
        <v>-3885468.636357422</v>
      </c>
      <c r="Q985" s="553">
        <f>'Foglio deposito bis'!$F$58*IF(ABS(K985)&lt;'Progetto del paramento slu'!$G$58,ABS(K985)*'Progetto del paramento slu'!$G$54,'Progetto del paramento slu'!$G$53)*IF(K985&lt;0,-1,1)</f>
        <v>0</v>
      </c>
      <c r="R985" s="553">
        <f>'Foglio deposito bis'!$F$59*IF(ABS(L985)&lt;'Progetto del paramento slu'!$G$58,ABS(L985)*'Progetto del paramento slu'!$G$54,'Progetto del paramento slu'!$G$53)*IF(L985&lt;0,-1,1)</f>
        <v>-129059.85744113436</v>
      </c>
      <c r="S985" s="553">
        <f>'Foglio deposito bis'!$F$60*IF(ABS(M985)&lt;'Progetto del paramento slu'!$G$58,ABS(M985)*'Progetto del paramento slu'!$G$54,'Progetto del paramento slu'!$G$53)*IF(M985&lt;0,-1,1)</f>
        <v>0</v>
      </c>
      <c r="T985" s="553">
        <f>'Foglio deposito bis'!$F$61*IF(ABS(N985)&lt;'Progetto del paramento slu'!$G$58,ABS(N985)*'Progetto del paramento slu'!$G$54,'Progetto del paramento slu'!$G$53)*IF(N985&lt;0,-1,1)</f>
        <v>103649.98142383024</v>
      </c>
      <c r="U985" s="553">
        <f>'Foglio deposito bis'!$F$62*IF(ABS(O985)&lt;'Progetto del paramento slu'!$G$58,ABS(O985)*'Progetto del paramento slu'!$G$54,'Progetto del paramento slu'!$G$53)*IF(O985&lt;0,-1,1)</f>
        <v>-32906.437968298182</v>
      </c>
      <c r="V985" s="479">
        <f t="shared" si="74"/>
        <v>-3943784.9503430245</v>
      </c>
      <c r="W985" s="559"/>
      <c r="X985" s="559"/>
    </row>
    <row r="986" spans="1:24" x14ac:dyDescent="0.25">
      <c r="A986" s="553">
        <f t="shared" si="73"/>
        <v>4019130.8381521185</v>
      </c>
      <c r="B986" s="3">
        <f t="shared" si="71"/>
        <v>68.899999999999949</v>
      </c>
      <c r="C986" s="553">
        <f>'Foglio deposito bis'!$E$156/sezione!$B$247*B986</f>
        <v>279.70507949932335</v>
      </c>
      <c r="D986" s="611">
        <f>-'Progetto del paramento slu'!$G$47*'Progetto del paramento slu'!$G$41*IF(DATI!$G$218="dx",DATI!$E$61,DATI!$E$64*DATI!$E$63)*1000*C986^2*sezione!$AD$5*(1-sezione!$AD$6)</f>
        <v>-644029937.31287062</v>
      </c>
      <c r="E986" s="553">
        <f>-'Foglio deposito bis'!$F$58*(C986-sezione!$AL$30)*IF(ABS(K986)&lt;'Progetto del paramento slu'!$G$58,ABS(K986)*'Progetto del paramento slu'!$G$54,'Progetto del paramento slu'!$G$53)</f>
        <v>0</v>
      </c>
      <c r="F986" s="553">
        <f>-'Foglio deposito bis'!$F$59*(C986-sezione!$AM$30)*IF(ABS(L986)&lt;'Progetto del paramento slu'!$G$58,ABS(L986)*'Progetto del paramento slu'!$G$54,'Progetto del paramento slu'!$G$53)</f>
        <v>-17029769.334246956</v>
      </c>
      <c r="G986" s="553">
        <f>-'Foglio deposito bis'!$F$60*(C986-sezione!$AN$30)*IF(ABS(M986)&lt;'Progetto del paramento slu'!$G$58,ABS(M986)*'Progetto del paramento slu'!$G$54,'Progetto del paramento slu'!$G$53)</f>
        <v>0</v>
      </c>
      <c r="H986" s="553">
        <f>-'Foglio deposito bis'!$F$61*(C986-sezione!$AO$30)*IF(ABS(N986)&lt;'Progetto del paramento slu'!$G$58,ABS(N986)*'Progetto del paramento slu'!$G$54,'Progetto del paramento slu'!$G$53)</f>
        <v>5770352.0350232907</v>
      </c>
      <c r="I986" s="479">
        <f>-'Foglio deposito bis'!$F$62*(C986-sezione!$AP$30)*IF(ABS(O986)&lt;'Progetto del paramento slu'!$G$58,ABS(O986)*'Progetto del paramento slu'!$G$54,'Progetto del paramento slu'!$G$53)</f>
        <v>-804729.14683747315</v>
      </c>
      <c r="J986" s="479">
        <f t="shared" si="72"/>
        <v>-656094083.75893176</v>
      </c>
      <c r="K986" s="558">
        <f>'Progetto del paramento slu'!$G$60*(sezione!$AL$30-C986)/C986</f>
        <v>-2.9994728009566278E-3</v>
      </c>
      <c r="L986" s="558">
        <f>'Progetto del paramento slu'!$G$60*(sezione!$AM$30-C986)/C986</f>
        <v>-1.6230230035873552E-3</v>
      </c>
      <c r="M986" s="559">
        <f>'Progetto del paramento slu'!$G$60*(sezione!$AN$30-C986)/C986</f>
        <v>-2.4657320621808215E-4</v>
      </c>
      <c r="N986" s="559">
        <f>'Progetto del paramento slu'!$G$60*(sezione!$AO$30-C986)/C986</f>
        <v>7.544811918686619E-4</v>
      </c>
      <c r="O986" s="559">
        <f>'Progetto del paramento slu'!$G$60*(sezione!$AP$30-C986)/C986</f>
        <v>-2.4653590731623114E-4</v>
      </c>
      <c r="P986" s="553">
        <f>-'Progetto del paramento slu'!$G$47*'Progetto del paramento slu'!$G$41*IF(DATI!$G$218="dx",DATI!$E$61,DATI!$E$64*DATI!$E$63)*1000*C986*sezione!$AD$5</f>
        <v>-3942692.0330637172</v>
      </c>
      <c r="Q986" s="553">
        <f>'Foglio deposito bis'!$F$58*IF(ABS(K986)&lt;'Progetto del paramento slu'!$G$58,ABS(K986)*'Progetto del paramento slu'!$G$54,'Progetto del paramento slu'!$G$53)*IF(K986&lt;0,-1,1)</f>
        <v>0</v>
      </c>
      <c r="R986" s="553">
        <f>'Foglio deposito bis'!$F$59*IF(ABS(L986)&lt;'Progetto del paramento slu'!$G$58,ABS(L986)*'Progetto del paramento slu'!$G$54,'Progetto del paramento slu'!$G$53)*IF(L986&lt;0,-1,1)</f>
        <v>-131296.08647543984</v>
      </c>
      <c r="S986" s="553">
        <f>'Foglio deposito bis'!$F$60*IF(ABS(M986)&lt;'Progetto del paramento slu'!$G$58,ABS(M986)*'Progetto del paramento slu'!$G$54,'Progetto del paramento slu'!$G$53)*IF(M986&lt;0,-1,1)</f>
        <v>0</v>
      </c>
      <c r="T986" s="553">
        <f>'Foglio deposito bis'!$F$61*IF(ABS(N986)&lt;'Progetto del paramento slu'!$G$58,ABS(N986)*'Progetto del paramento slu'!$G$54,'Progetto del paramento slu'!$G$53)*IF(N986&lt;0,-1,1)</f>
        <v>95702.12527203736</v>
      </c>
      <c r="U986" s="553">
        <f>'Foglio deposito bis'!$F$62*IF(ABS(O986)&lt;'Progetto del paramento slu'!$G$58,ABS(O986)*'Progetto del paramento slu'!$G$54,'Progetto del paramento slu'!$G$53)*IF(O986&lt;0,-1,1)</f>
        <v>-40844.843884999107</v>
      </c>
      <c r="V986" s="479">
        <f t="shared" si="74"/>
        <v>-4019130.8381521185</v>
      </c>
      <c r="W986" s="559"/>
      <c r="X986" s="559"/>
    </row>
    <row r="987" spans="1:24" x14ac:dyDescent="0.25">
      <c r="A987" s="553">
        <f t="shared" si="73"/>
        <v>4093958.1997494008</v>
      </c>
      <c r="B987" s="3">
        <f t="shared" si="71"/>
        <v>69.899999999999949</v>
      </c>
      <c r="C987" s="553">
        <f>'Foglio deposito bis'!$E$156/sezione!$B$247*B987</f>
        <v>283.76465975330478</v>
      </c>
      <c r="D987" s="611">
        <f>-'Progetto del paramento slu'!$G$47*'Progetto del paramento slu'!$G$41*IF(DATI!$G$218="dx",DATI!$E$61,DATI!$E$64*DATI!$E$63)*1000*C987^2*sezione!$AD$5*(1-sezione!$AD$6)</f>
        <v>-662860230.32687795</v>
      </c>
      <c r="E987" s="553">
        <f>-'Foglio deposito bis'!$F$58*(C987-sezione!$AL$30)*IF(ABS(K987)&lt;'Progetto del paramento slu'!$G$58,ABS(K987)*'Progetto del paramento slu'!$G$54,'Progetto del paramento slu'!$G$53)</f>
        <v>0</v>
      </c>
      <c r="F987" s="553">
        <f>-'Foglio deposito bis'!$F$59*(C987-sezione!$AM$30)*IF(ABS(L987)&lt;'Progetto del paramento slu'!$G$58,ABS(L987)*'Progetto del paramento slu'!$G$54,'Progetto del paramento slu'!$G$53)</f>
        <v>-17853345.997273382</v>
      </c>
      <c r="G987" s="553">
        <f>-'Foglio deposito bis'!$F$60*(C987-sezione!$AN$30)*IF(ABS(M987)&lt;'Progetto del paramento slu'!$G$58,ABS(M987)*'Progetto del paramento slu'!$G$54,'Progetto del paramento slu'!$G$53)</f>
        <v>0</v>
      </c>
      <c r="H987" s="553">
        <f>-'Foglio deposito bis'!$F$61*(C987-sezione!$AO$30)*IF(ABS(N987)&lt;'Progetto del paramento slu'!$G$58,ABS(N987)*'Progetto del paramento slu'!$G$54,'Progetto del paramento slu'!$G$53)</f>
        <v>4947679.462332461</v>
      </c>
      <c r="I987" s="479">
        <f>-'Foglio deposito bis'!$F$62*(C987-sezione!$AP$30)*IF(ABS(O987)&lt;'Progetto del paramento slu'!$G$58,ABS(O987)*'Progetto del paramento slu'!$G$54,'Progetto del paramento slu'!$G$53)</f>
        <v>-1153774.7870231424</v>
      </c>
      <c r="J987" s="479">
        <f t="shared" si="72"/>
        <v>-676919671.64884198</v>
      </c>
      <c r="K987" s="558">
        <f>'Progetto del paramento slu'!$G$60*(sezione!$AL$30-C987)/C987</f>
        <v>-3.0066334189686934E-3</v>
      </c>
      <c r="L987" s="558">
        <f>'Progetto del paramento slu'!$G$60*(sezione!$AM$30-C987)/C987</f>
        <v>-1.6498753211326002E-3</v>
      </c>
      <c r="M987" s="559">
        <f>'Progetto del paramento slu'!$G$60*(sezione!$AN$30-C987)/C987</f>
        <v>-2.931172232965069E-4</v>
      </c>
      <c r="N987" s="559">
        <f>'Progetto del paramento slu'!$G$60*(sezione!$AO$30-C987)/C987</f>
        <v>6.9361593876610637E-4</v>
      </c>
      <c r="O987" s="559">
        <f>'Progetto del paramento slu'!$G$60*(sezione!$AP$30-C987)/C987</f>
        <v>-2.9308045799840204E-4</v>
      </c>
      <c r="P987" s="553">
        <f>-'Progetto del paramento slu'!$G$47*'Progetto del paramento slu'!$G$41*IF(DATI!$G$218="dx",DATI!$E$61,DATI!$E$64*DATI!$E$63)*1000*C987*sezione!$AD$5</f>
        <v>-3999915.429770011</v>
      </c>
      <c r="Q987" s="553">
        <f>'Foglio deposito bis'!$F$58*IF(ABS(K987)&lt;'Progetto del paramento slu'!$G$58,ABS(K987)*'Progetto del paramento slu'!$G$54,'Progetto del paramento slu'!$G$53)*IF(K987&lt;0,-1,1)</f>
        <v>0</v>
      </c>
      <c r="R987" s="553">
        <f>'Foglio deposito bis'!$F$59*IF(ABS(L987)&lt;'Progetto del paramento slu'!$G$58,ABS(L987)*'Progetto del paramento slu'!$G$54,'Progetto del paramento slu'!$G$53)*IF(L987&lt;0,-1,1)</f>
        <v>-133468.3318463889</v>
      </c>
      <c r="S987" s="553">
        <f>'Foglio deposito bis'!$F$60*IF(ABS(M987)&lt;'Progetto del paramento slu'!$G$58,ABS(M987)*'Progetto del paramento slu'!$G$54,'Progetto del paramento slu'!$G$53)*IF(M987&lt;0,-1,1)</f>
        <v>0</v>
      </c>
      <c r="T987" s="553">
        <f>'Foglio deposito bis'!$F$61*IF(ABS(N987)&lt;'Progetto del paramento slu'!$G$58,ABS(N987)*'Progetto del paramento slu'!$G$54,'Progetto del paramento slu'!$G$53)*IF(N987&lt;0,-1,1)</f>
        <v>87981.675590968283</v>
      </c>
      <c r="U987" s="553">
        <f>'Foglio deposito bis'!$F$62*IF(ABS(O987)&lt;'Progetto del paramento slu'!$G$58,ABS(O987)*'Progetto del paramento slu'!$G$54,'Progetto del paramento slu'!$G$53)*IF(O987&lt;0,-1,1)</f>
        <v>-48556.113723968876</v>
      </c>
      <c r="V987" s="479">
        <f t="shared" si="74"/>
        <v>-4093958.1997494008</v>
      </c>
      <c r="W987" s="559"/>
      <c r="X987" s="559"/>
    </row>
    <row r="988" spans="1:24" x14ac:dyDescent="0.25">
      <c r="A988" s="553">
        <f t="shared" si="73"/>
        <v>4168288.9755951753</v>
      </c>
      <c r="B988" s="3">
        <f t="shared" si="71"/>
        <v>70.899999999999949</v>
      </c>
      <c r="C988" s="553">
        <f>'Foglio deposito bis'!$E$156/sezione!$B$247*B988</f>
        <v>287.82424000728628</v>
      </c>
      <c r="D988" s="611">
        <f>-'Progetto del paramento slu'!$G$47*'Progetto del paramento slu'!$G$41*IF(DATI!$G$218="dx",DATI!$E$61,DATI!$E$64*DATI!$E$63)*1000*C988^2*sezione!$AD$5*(1-sezione!$AD$6)</f>
        <v>-681961853.2114042</v>
      </c>
      <c r="E988" s="553">
        <f>-'Foglio deposito bis'!$F$58*(C988-sezione!$AL$30)*IF(ABS(K988)&lt;'Progetto del paramento slu'!$G$58,ABS(K988)*'Progetto del paramento slu'!$G$54,'Progetto del paramento slu'!$G$53)</f>
        <v>0</v>
      </c>
      <c r="F988" s="553">
        <f>-'Foglio deposito bis'!$F$59*(C988-sezione!$AM$30)*IF(ABS(L988)&lt;'Progetto del paramento slu'!$G$58,ABS(L988)*'Progetto del paramento slu'!$G$54,'Progetto del paramento slu'!$G$53)</f>
        <v>-18686114.10756759</v>
      </c>
      <c r="G988" s="553">
        <f>-'Foglio deposito bis'!$F$60*(C988-sezione!$AN$30)*IF(ABS(M988)&lt;'Progetto del paramento slu'!$G$58,ABS(M988)*'Progetto del paramento slu'!$G$54,'Progetto del paramento slu'!$G$53)</f>
        <v>0</v>
      </c>
      <c r="H988" s="553">
        <f>-'Foglio deposito bis'!$F$61*(C988-sezione!$AO$30)*IF(ABS(N988)&lt;'Progetto del paramento slu'!$G$58,ABS(N988)*'Progetto del paramento slu'!$G$54,'Progetto del paramento slu'!$G$53)</f>
        <v>4199053.5156377703</v>
      </c>
      <c r="I988" s="479">
        <f>-'Foglio deposito bis'!$F$62*(C988-sezione!$AP$30)*IF(ABS(O988)&lt;'Progetto del paramento slu'!$G$58,ABS(O988)*'Progetto del paramento slu'!$G$54,'Progetto del paramento slu'!$G$53)</f>
        <v>-1559377.6385952202</v>
      </c>
      <c r="J988" s="479">
        <f t="shared" si="72"/>
        <v>-698008291.44192922</v>
      </c>
      <c r="K988" s="558">
        <f>'Progetto del paramento slu'!$G$60*(sezione!$AL$30-C988)/C988</f>
        <v>-3.0135920449352845E-3</v>
      </c>
      <c r="L988" s="558">
        <f>'Progetto del paramento slu'!$G$60*(sezione!$AM$30-C988)/C988</f>
        <v>-1.6759701685073168E-3</v>
      </c>
      <c r="M988" s="559">
        <f>'Progetto del paramento slu'!$G$60*(sezione!$AN$30-C988)/C988</f>
        <v>-3.3834829207934913E-4</v>
      </c>
      <c r="N988" s="559">
        <f>'Progetto del paramento slu'!$G$60*(sezione!$AO$30-C988)/C988</f>
        <v>6.3446761805008203E-4</v>
      </c>
      <c r="O988" s="559">
        <f>'Progetto del paramento slu'!$G$60*(sezione!$AP$30-C988)/C988</f>
        <v>-3.3831204533269843E-4</v>
      </c>
      <c r="P988" s="553">
        <f>-'Progetto del paramento slu'!$G$47*'Progetto del paramento slu'!$G$41*IF(DATI!$G$218="dx",DATI!$E$61,DATI!$E$64*DATI!$E$63)*1000*C988*sezione!$AD$5</f>
        <v>-4057138.8264763062</v>
      </c>
      <c r="Q988" s="553">
        <f>'Foglio deposito bis'!$F$58*IF(ABS(K988)&lt;'Progetto del paramento slu'!$G$58,ABS(K988)*'Progetto del paramento slu'!$G$54,'Progetto del paramento slu'!$G$53)*IF(K988&lt;0,-1,1)</f>
        <v>0</v>
      </c>
      <c r="R988" s="553">
        <f>'Foglio deposito bis'!$F$59*IF(ABS(L988)&lt;'Progetto del paramento slu'!$G$58,ABS(L988)*'Progetto del paramento slu'!$G$54,'Progetto del paramento slu'!$G$53)*IF(L988&lt;0,-1,1)</f>
        <v>-135579.30090221952</v>
      </c>
      <c r="S988" s="553">
        <f>'Foglio deposito bis'!$F$60*IF(ABS(M988)&lt;'Progetto del paramento slu'!$G$58,ABS(M988)*'Progetto del paramento slu'!$G$54,'Progetto del paramento slu'!$G$53)*IF(M988&lt;0,-1,1)</f>
        <v>0</v>
      </c>
      <c r="T988" s="553">
        <f>'Foglio deposito bis'!$F$61*IF(ABS(N988)&lt;'Progetto del paramento slu'!$G$58,ABS(N988)*'Progetto del paramento slu'!$G$54,'Progetto del paramento slu'!$G$53)*IF(N988&lt;0,-1,1)</f>
        <v>80479.010104005443</v>
      </c>
      <c r="U988" s="553">
        <f>'Foglio deposito bis'!$F$62*IF(ABS(O988)&lt;'Progetto del paramento slu'!$G$58,ABS(O988)*'Progetto del paramento slu'!$G$54,'Progetto del paramento slu'!$G$53)*IF(O988&lt;0,-1,1)</f>
        <v>-56049.858320654683</v>
      </c>
      <c r="V988" s="479">
        <f t="shared" si="74"/>
        <v>-4168288.9755951753</v>
      </c>
      <c r="W988" s="559"/>
      <c r="X988" s="559"/>
    </row>
    <row r="989" spans="1:24" x14ac:dyDescent="0.25">
      <c r="A989" s="553">
        <f t="shared" si="73"/>
        <v>4242143.8855399908</v>
      </c>
      <c r="B989" s="3">
        <f t="shared" si="71"/>
        <v>71.899999999999949</v>
      </c>
      <c r="C989" s="553">
        <f>'Foglio deposito bis'!$E$156/sezione!$B$247*B989</f>
        <v>291.88382026126777</v>
      </c>
      <c r="D989" s="611">
        <f>-'Progetto del paramento slu'!$G$47*'Progetto del paramento slu'!$G$41*IF(DATI!$G$218="dx",DATI!$E$61,DATI!$E$64*DATI!$E$63)*1000*C989^2*sezione!$AD$5*(1-sezione!$AD$6)</f>
        <v>-701334805.96644962</v>
      </c>
      <c r="E989" s="553">
        <f>-'Foglio deposito bis'!$F$58*(C989-sezione!$AL$30)*IF(ABS(K989)&lt;'Progetto del paramento slu'!$G$58,ABS(K989)*'Progetto del paramento slu'!$G$54,'Progetto del paramento slu'!$G$53)</f>
        <v>0</v>
      </c>
      <c r="F989" s="553">
        <f>-'Foglio deposito bis'!$F$59*(C989-sezione!$AM$30)*IF(ABS(L989)&lt;'Progetto del paramento slu'!$G$58,ABS(L989)*'Progetto del paramento slu'!$G$54,'Progetto del paramento slu'!$G$53)</f>
        <v>-19527690.155507818</v>
      </c>
      <c r="G989" s="553">
        <f>-'Foglio deposito bis'!$F$60*(C989-sezione!$AN$30)*IF(ABS(M989)&lt;'Progetto del paramento slu'!$G$58,ABS(M989)*'Progetto del paramento slu'!$G$54,'Progetto del paramento slu'!$G$53)</f>
        <v>0</v>
      </c>
      <c r="H989" s="553">
        <f>-'Foglio deposito bis'!$F$61*(C989-sezione!$AO$30)*IF(ABS(N989)&lt;'Progetto del paramento slu'!$G$58,ABS(N989)*'Progetto del paramento slu'!$G$54,'Progetto del paramento slu'!$G$53)</f>
        <v>3521384.6277905721</v>
      </c>
      <c r="I989" s="479">
        <f>-'Foglio deposito bis'!$F$62*(C989-sezione!$AP$30)*IF(ABS(O989)&lt;'Progetto del paramento slu'!$G$58,ABS(O989)*'Progetto del paramento slu'!$G$54,'Progetto del paramento slu'!$G$53)</f>
        <v>-2019177.8735403621</v>
      </c>
      <c r="J989" s="479">
        <f t="shared" si="72"/>
        <v>-719360289.36770725</v>
      </c>
      <c r="K989" s="558">
        <f>'Progetto del paramento slu'!$G$60*(sezione!$AL$30-C989)/C989</f>
        <v>-3.0203571068972419E-3</v>
      </c>
      <c r="L989" s="558">
        <f>'Progetto del paramento slu'!$G$60*(sezione!$AM$30-C989)/C989</f>
        <v>-1.7013391508646561E-3</v>
      </c>
      <c r="M989" s="559">
        <f>'Progetto del paramento slu'!$G$60*(sezione!$AN$30-C989)/C989</f>
        <v>-3.8232119483207048E-4</v>
      </c>
      <c r="N989" s="559">
        <f>'Progetto del paramento slu'!$G$60*(sezione!$AO$30-C989)/C989</f>
        <v>5.7696459137344632E-4</v>
      </c>
      <c r="O989" s="559">
        <f>'Progetto del paramento slu'!$G$60*(sezione!$AP$30-C989)/C989</f>
        <v>-3.8228545221263334E-4</v>
      </c>
      <c r="P989" s="553">
        <f>-'Progetto del paramento slu'!$G$47*'Progetto del paramento slu'!$G$41*IF(DATI!$G$218="dx",DATI!$E$61,DATI!$E$64*DATI!$E$63)*1000*C989*sezione!$AD$5</f>
        <v>-4114362.2231826019</v>
      </c>
      <c r="Q989" s="553">
        <f>'Foglio deposito bis'!$F$58*IF(ABS(K989)&lt;'Progetto del paramento slu'!$G$58,ABS(K989)*'Progetto del paramento slu'!$G$54,'Progetto del paramento slu'!$G$53)*IF(K989&lt;0,-1,1)</f>
        <v>0</v>
      </c>
      <c r="R989" s="553">
        <f>'Foglio deposito bis'!$F$59*IF(ABS(L989)&lt;'Progetto del paramento slu'!$G$58,ABS(L989)*'Progetto del paramento slu'!$G$54,'Progetto del paramento slu'!$G$53)*IF(L989&lt;0,-1,1)</f>
        <v>-137631.55037374332</v>
      </c>
      <c r="S989" s="553">
        <f>'Foglio deposito bis'!$F$60*IF(ABS(M989)&lt;'Progetto del paramento slu'!$G$58,ABS(M989)*'Progetto del paramento slu'!$G$54,'Progetto del paramento slu'!$G$53)*IF(M989&lt;0,-1,1)</f>
        <v>0</v>
      </c>
      <c r="T989" s="553">
        <f>'Foglio deposito bis'!$F$61*IF(ABS(N989)&lt;'Progetto del paramento slu'!$G$58,ABS(N989)*'Progetto del paramento slu'!$G$54,'Progetto del paramento slu'!$G$53)*IF(N989&lt;0,-1,1)</f>
        <v>73185.041848946974</v>
      </c>
      <c r="U989" s="553">
        <f>'Foglio deposito bis'!$F$62*IF(ABS(O989)&lt;'Progetto del paramento slu'!$G$58,ABS(O989)*'Progetto del paramento slu'!$G$54,'Progetto del paramento slu'!$G$53)*IF(O989&lt;0,-1,1)</f>
        <v>-63335.153832592623</v>
      </c>
      <c r="V989" s="479">
        <f t="shared" si="74"/>
        <v>-4242143.8855399908</v>
      </c>
      <c r="W989" s="559"/>
      <c r="X989" s="559"/>
    </row>
    <row r="990" spans="1:24" x14ac:dyDescent="0.25">
      <c r="A990" s="553">
        <f t="shared" si="73"/>
        <v>4315542.512542733</v>
      </c>
      <c r="B990" s="3">
        <f t="shared" si="71"/>
        <v>72.899999999999949</v>
      </c>
      <c r="C990" s="553">
        <f>'Foglio deposito bis'!$E$156/sezione!$B$247*B990</f>
        <v>295.94340051524921</v>
      </c>
      <c r="D990" s="611">
        <f>-'Progetto del paramento slu'!$G$47*'Progetto del paramento slu'!$G$41*IF(DATI!$G$218="dx",DATI!$E$61,DATI!$E$64*DATI!$E$63)*1000*C990^2*sezione!$AD$5*(1-sezione!$AD$6)</f>
        <v>-720979088.59201348</v>
      </c>
      <c r="E990" s="553">
        <f>-'Foglio deposito bis'!$F$58*(C990-sezione!$AL$30)*IF(ABS(K990)&lt;'Progetto del paramento slu'!$G$58,ABS(K990)*'Progetto del paramento slu'!$G$54,'Progetto del paramento slu'!$G$53)</f>
        <v>0</v>
      </c>
      <c r="F990" s="553">
        <f>-'Foglio deposito bis'!$F$59*(C990-sezione!$AM$30)*IF(ABS(L990)&lt;'Progetto del paramento slu'!$G$58,ABS(L990)*'Progetto del paramento slu'!$G$54,'Progetto del paramento slu'!$G$53)</f>
        <v>-20377711.67452427</v>
      </c>
      <c r="G990" s="553">
        <f>-'Foglio deposito bis'!$F$60*(C990-sezione!$AN$30)*IF(ABS(M990)&lt;'Progetto del paramento slu'!$G$58,ABS(M990)*'Progetto del paramento slu'!$G$54,'Progetto del paramento slu'!$G$53)</f>
        <v>0</v>
      </c>
      <c r="H990" s="553">
        <f>-'Foglio deposito bis'!$F$61*(C990-sezione!$AO$30)*IF(ABS(N990)&lt;'Progetto del paramento slu'!$G$58,ABS(N990)*'Progetto del paramento slu'!$G$54,'Progetto del paramento slu'!$G$53)</f>
        <v>2911752.7552169049</v>
      </c>
      <c r="I990" s="479">
        <f>-'Foglio deposito bis'!$F$62*(C990-sezione!$AP$30)*IF(ABS(O990)&lt;'Progetto del paramento slu'!$G$58,ABS(O990)*'Progetto del paramento slu'!$G$54,'Progetto del paramento slu'!$G$53)</f>
        <v>-2530945.1468637837</v>
      </c>
      <c r="J990" s="479">
        <f t="shared" si="72"/>
        <v>-740975992.65818465</v>
      </c>
      <c r="K990" s="558">
        <f>'Progetto del paramento slu'!$G$60*(sezione!$AL$30-C990)/C990</f>
        <v>-3.0269365704514634E-3</v>
      </c>
      <c r="L990" s="558">
        <f>'Progetto del paramento slu'!$G$60*(sezione!$AM$30-C990)/C990</f>
        <v>-1.7260121391929871E-3</v>
      </c>
      <c r="M990" s="559">
        <f>'Progetto del paramento slu'!$G$60*(sezione!$AN$30-C990)/C990</f>
        <v>-4.2508770793451086E-4</v>
      </c>
      <c r="N990" s="559">
        <f>'Progetto del paramento slu'!$G$60*(sezione!$AO$30-C990)/C990</f>
        <v>5.2103915116256277E-4</v>
      </c>
      <c r="O990" s="559">
        <f>'Progetto del paramento slu'!$G$60*(sezione!$AP$30-C990)/C990</f>
        <v>-4.2505245561163667E-4</v>
      </c>
      <c r="P990" s="553">
        <f>-'Progetto del paramento slu'!$G$47*'Progetto del paramento slu'!$G$41*IF(DATI!$G$218="dx",DATI!$E$61,DATI!$E$64*DATI!$E$63)*1000*C990*sezione!$AD$5</f>
        <v>-4171585.6198888961</v>
      </c>
      <c r="Q990" s="553">
        <f>'Foglio deposito bis'!$F$58*IF(ABS(K990)&lt;'Progetto del paramento slu'!$G$58,ABS(K990)*'Progetto del paramento slu'!$G$54,'Progetto del paramento slu'!$G$53)*IF(K990&lt;0,-1,1)</f>
        <v>0</v>
      </c>
      <c r="R990" s="553">
        <f>'Foglio deposito bis'!$F$59*IF(ABS(L990)&lt;'Progetto del paramento slu'!$G$58,ABS(L990)*'Progetto del paramento slu'!$G$54,'Progetto del paramento slu'!$G$53)*IF(L990&lt;0,-1,1)</f>
        <v>-139627.4967047589</v>
      </c>
      <c r="S990" s="553">
        <f>'Foglio deposito bis'!$F$60*IF(ABS(M990)&lt;'Progetto del paramento slu'!$G$58,ABS(M990)*'Progetto del paramento slu'!$G$54,'Progetto del paramento slu'!$G$53)*IF(M990&lt;0,-1,1)</f>
        <v>0</v>
      </c>
      <c r="T990" s="553">
        <f>'Foglio deposito bis'!$F$61*IF(ABS(N990)&lt;'Progetto del paramento slu'!$G$58,ABS(N990)*'Progetto del paramento slu'!$G$54,'Progetto del paramento slu'!$G$53)*IF(N990&lt;0,-1,1)</f>
        <v>66091.182462340148</v>
      </c>
      <c r="U990" s="553">
        <f>'Foglio deposito bis'!$F$62*IF(ABS(O990)&lt;'Progetto del paramento slu'!$G$58,ABS(O990)*'Progetto del paramento slu'!$G$54,'Progetto del paramento slu'!$G$53)*IF(O990&lt;0,-1,1)</f>
        <v>-70420.578411418319</v>
      </c>
      <c r="V990" s="479">
        <f t="shared" si="74"/>
        <v>-4315542.512542733</v>
      </c>
      <c r="W990" s="559"/>
      <c r="X990" s="559"/>
    </row>
    <row r="991" spans="1:24" x14ac:dyDescent="0.25">
      <c r="A991" s="553">
        <f t="shared" si="73"/>
        <v>4388503.3795915814</v>
      </c>
      <c r="B991" s="3">
        <f t="shared" si="71"/>
        <v>73.899999999999949</v>
      </c>
      <c r="C991" s="553">
        <f>'Foglio deposito bis'!$E$156/sezione!$B$247*B991</f>
        <v>300.0029807692307</v>
      </c>
      <c r="D991" s="32">
        <f>-'Progetto del paramento slu'!$G$47*'Progetto del paramento slu'!$G$41*IF(DATI!$G$218="dx",DATI!$E$61,DATI!$E$64*DATI!$E$63)*1000*C991^2*sezione!$AD$5*(1-sezione!$AD$6)</f>
        <v>-740894701.08809626</v>
      </c>
      <c r="E991" s="553">
        <f>-'Foglio deposito bis'!$F$58*(C991-sezione!$AL$30)*IF(ABS(K991)&lt;'Progetto del paramento slu'!$G$58,ABS(K991)*'Progetto del paramento slu'!$G$54,'Progetto del paramento slu'!$G$53)</f>
        <v>0</v>
      </c>
      <c r="F991" s="553">
        <f>-'Foglio deposito bis'!$F$59*(C991-sezione!$AM$30)*IF(ABS(L991)&lt;'Progetto del paramento slu'!$G$58,ABS(L991)*'Progetto del paramento slu'!$G$54,'Progetto del paramento slu'!$G$53)</f>
        <v>-21235835.817347288</v>
      </c>
      <c r="G991" s="553">
        <f>-'Foglio deposito bis'!$F$60*(C991-sezione!$AN$30)*IF(ABS(M991)&lt;'Progetto del paramento slu'!$G$58,ABS(M991)*'Progetto del paramento slu'!$G$54,'Progetto del paramento slu'!$G$53)</f>
        <v>0</v>
      </c>
      <c r="H991" s="553">
        <f>-'Foglio deposito bis'!$F$61*(C991-sezione!$AO$30)*IF(ABS(N991)&lt;'Progetto del paramento slu'!$G$58,ABS(N991)*'Progetto del paramento slu'!$G$54,'Progetto del paramento slu'!$G$53)</f>
        <v>2367395.9081221563</v>
      </c>
      <c r="I991" s="479">
        <f>-'Foglio deposito bis'!$F$62*(C991-sezione!$AP$30)*IF(ABS(O991)&lt;'Progetto del paramento slu'!$G$58,ABS(O991)*'Progetto del paramento slu'!$G$54,'Progetto del paramento slu'!$G$53)</f>
        <v>-3092569.8358979095</v>
      </c>
      <c r="J991" s="479">
        <f t="shared" si="72"/>
        <v>-762855710.83321929</v>
      </c>
      <c r="K991" s="558">
        <f>'Progetto del paramento slu'!$G$60*(sezione!$AL$30-C991)/C991</f>
        <v>-3.0333379700394005E-3</v>
      </c>
      <c r="L991" s="558">
        <f>'Progetto del paramento slu'!$G$60*(sezione!$AM$30-C991)/C991</f>
        <v>-1.7500173876477507E-3</v>
      </c>
      <c r="M991" s="559">
        <f>'Progetto del paramento slu'!$G$60*(sezione!$AN$30-C991)/C991</f>
        <v>-4.666968052561009E-4</v>
      </c>
      <c r="N991" s="559">
        <f>'Progetto del paramento slu'!$G$60*(sezione!$AO$30-C991)/C991</f>
        <v>4.666272546650988E-4</v>
      </c>
      <c r="O991" s="559">
        <f>'Progetto del paramento slu'!$G$60*(sezione!$AP$30-C991)/C991</f>
        <v>-4.6666202996059988E-4</v>
      </c>
      <c r="P991" s="553">
        <f>-'Progetto del paramento slu'!$G$47*'Progetto del paramento slu'!$G$41*IF(DATI!$G$218="dx",DATI!$E$61,DATI!$E$64*DATI!$E$63)*1000*C991*sezione!$AD$5</f>
        <v>-4228809.0165951913</v>
      </c>
      <c r="Q991" s="553">
        <f>'Foglio deposito bis'!$F$58*IF(ABS(K991)&lt;'Progetto del paramento slu'!$G$58,ABS(K991)*'Progetto del paramento slu'!$G$54,'Progetto del paramento slu'!$G$53)*IF(K991&lt;0,-1,1)</f>
        <v>0</v>
      </c>
      <c r="R991" s="553">
        <f>'Foglio deposito bis'!$F$59*IF(ABS(L991)&lt;'Progetto del paramento slu'!$G$58,ABS(L991)*'Progetto del paramento slu'!$G$54,'Progetto del paramento slu'!$G$53)*IF(L991&lt;0,-1,1)</f>
        <v>-141569.42554373079</v>
      </c>
      <c r="S991" s="553">
        <f>'Foglio deposito bis'!$F$60*IF(ABS(M991)&lt;'Progetto del paramento slu'!$G$58,ABS(M991)*'Progetto del paramento slu'!$G$54,'Progetto del paramento slu'!$G$53)*IF(M991&lt;0,-1,1)</f>
        <v>0</v>
      </c>
      <c r="T991" s="553">
        <f>'Foglio deposito bis'!$F$61*IF(ABS(N991)&lt;'Progetto del paramento slu'!$G$58,ABS(N991)*'Progetto del paramento slu'!$G$54,'Progetto del paramento slu'!$G$53)*IF(N991&lt;0,-1,1)</f>
        <v>59189.308444788876</v>
      </c>
      <c r="U991" s="553">
        <f>'Foglio deposito bis'!$F$62*IF(ABS(O991)&lt;'Progetto del paramento slu'!$G$58,ABS(O991)*'Progetto del paramento slu'!$G$54,'Progetto del paramento slu'!$G$53)*IF(O991&lt;0,-1,1)</f>
        <v>-77314.245897447734</v>
      </c>
      <c r="V991" s="479">
        <f t="shared" si="74"/>
        <v>-4388503.3795915814</v>
      </c>
      <c r="W991" s="559"/>
      <c r="X991" s="559"/>
    </row>
    <row r="992" spans="1:24" x14ac:dyDescent="0.25">
      <c r="P992" s="553"/>
      <c r="Q992" s="553"/>
      <c r="R992" s="553"/>
      <c r="S992" s="553"/>
      <c r="T992" s="553"/>
      <c r="U992" s="553"/>
      <c r="V992" s="479"/>
    </row>
    <row r="993" spans="1:24" x14ac:dyDescent="0.25">
      <c r="P993" s="553"/>
      <c r="Q993" s="553"/>
      <c r="R993" s="553"/>
      <c r="S993" s="553"/>
      <c r="T993" s="553"/>
      <c r="U993" s="553"/>
      <c r="V993" s="479"/>
    </row>
    <row r="994" spans="1:24" ht="15.75" x14ac:dyDescent="0.25">
      <c r="A994" s="1035" t="s">
        <v>951</v>
      </c>
      <c r="B994" s="1036"/>
      <c r="C994" s="1036"/>
      <c r="D994" s="1036"/>
      <c r="E994" s="1036"/>
      <c r="F994" s="1036"/>
      <c r="G994" s="1036"/>
      <c r="H994" s="1036"/>
      <c r="I994" s="1036"/>
      <c r="J994" s="1036"/>
      <c r="K994" s="1036"/>
      <c r="L994" s="1036"/>
      <c r="M994" s="1036"/>
      <c r="N994" s="1036"/>
      <c r="O994" s="1037"/>
      <c r="P994" s="553"/>
      <c r="Q994" s="553"/>
      <c r="R994" s="553"/>
      <c r="S994" s="553"/>
      <c r="T994" s="553"/>
      <c r="U994" s="553"/>
      <c r="V994" s="479"/>
      <c r="W994" s="613"/>
      <c r="X994" s="613"/>
    </row>
    <row r="995" spans="1:24" x14ac:dyDescent="0.25">
      <c r="A995" s="541">
        <v>1</v>
      </c>
      <c r="B995" s="541">
        <v>2</v>
      </c>
      <c r="C995" s="541">
        <v>3</v>
      </c>
      <c r="D995" s="541">
        <v>4</v>
      </c>
      <c r="E995" s="541">
        <v>5</v>
      </c>
      <c r="F995" s="541">
        <v>6</v>
      </c>
      <c r="G995" s="541">
        <v>7</v>
      </c>
      <c r="H995" s="541">
        <v>8</v>
      </c>
      <c r="I995" s="541">
        <v>9</v>
      </c>
      <c r="J995" s="541">
        <v>10</v>
      </c>
      <c r="K995" s="541">
        <v>11</v>
      </c>
      <c r="L995" s="541">
        <v>12</v>
      </c>
      <c r="M995" s="541">
        <v>13</v>
      </c>
      <c r="N995" s="541">
        <v>14</v>
      </c>
      <c r="O995" s="541">
        <v>15</v>
      </c>
      <c r="P995" s="606">
        <v>4</v>
      </c>
      <c r="Q995" s="606">
        <v>5</v>
      </c>
      <c r="R995" s="606">
        <v>6</v>
      </c>
      <c r="S995" s="606">
        <v>7</v>
      </c>
      <c r="T995" s="606">
        <v>8</v>
      </c>
      <c r="U995" s="606">
        <v>9</v>
      </c>
      <c r="V995" s="606">
        <v>10</v>
      </c>
      <c r="W995" s="47"/>
      <c r="X995" s="47"/>
    </row>
    <row r="996" spans="1:24" x14ac:dyDescent="0.25">
      <c r="A996" s="561" t="s">
        <v>929</v>
      </c>
      <c r="B996" s="83" t="s">
        <v>917</v>
      </c>
      <c r="C996" s="541" t="s">
        <v>134</v>
      </c>
      <c r="D996" s="541" t="s">
        <v>911</v>
      </c>
      <c r="E996" s="541" t="s">
        <v>912</v>
      </c>
      <c r="F996" s="541" t="s">
        <v>913</v>
      </c>
      <c r="G996" s="541" t="s">
        <v>914</v>
      </c>
      <c r="H996" s="541" t="s">
        <v>915</v>
      </c>
      <c r="I996" s="541" t="s">
        <v>916</v>
      </c>
      <c r="J996" s="562" t="s">
        <v>910</v>
      </c>
      <c r="K996" s="561" t="s">
        <v>923</v>
      </c>
      <c r="L996" s="561" t="s">
        <v>924</v>
      </c>
      <c r="M996" s="561" t="s">
        <v>925</v>
      </c>
      <c r="N996" s="561" t="s">
        <v>926</v>
      </c>
      <c r="O996" s="561" t="s">
        <v>927</v>
      </c>
      <c r="P996" s="606" t="s">
        <v>293</v>
      </c>
      <c r="Q996" s="606" t="s">
        <v>968</v>
      </c>
      <c r="R996" s="606" t="s">
        <v>969</v>
      </c>
      <c r="S996" s="606" t="s">
        <v>970</v>
      </c>
      <c r="T996" s="606" t="s">
        <v>971</v>
      </c>
      <c r="U996" s="606" t="s">
        <v>972</v>
      </c>
      <c r="V996" s="607" t="s">
        <v>1021</v>
      </c>
      <c r="W996" s="58"/>
      <c r="X996" s="58"/>
    </row>
    <row r="997" spans="1:24" x14ac:dyDescent="0.25">
      <c r="A997" s="553">
        <f>ABS(V997)</f>
        <v>709176.02588659991</v>
      </c>
      <c r="B997" s="3">
        <v>0</v>
      </c>
      <c r="C997" s="42">
        <v>0.01</v>
      </c>
      <c r="D997" s="611">
        <f>-'Progetto del paramento slu'!$G$47*'Progetto del paramento slu'!$G$41*IF(DATI!$G$218="dx",DATI!$E$61,DATI!$E$64*DATI!$E$63)*1000*C997^2*sezione!$AD$5*(1-sezione!$AD$6)</f>
        <v>-0.82319997600000006</v>
      </c>
      <c r="E997" s="553">
        <f>-'Foglio deposito bis'!$F$58*(C997-sezione!$AL$31)*IF(ABS(K997)&lt;'Progetto del paramento slu'!$G$58,ABS(K997)*'Progetto del paramento slu'!$G$54,'Progetto del paramento slu'!$G$53)</f>
        <v>0</v>
      </c>
      <c r="F997" s="553">
        <f>-'Foglio deposito bis'!$F$59*(C997-sezione!$AM$31)*IF(ABS(L997)&lt;'Progetto del paramento slu'!$G$58,ABS(L997)*'Progetto del paramento slu'!$G$54,'Progetto del paramento slu'!$G$53)</f>
        <v>23048192.059822816</v>
      </c>
      <c r="G997" s="553">
        <f>-'Foglio deposito bis'!$F$60*(C997-sezione!$AN$31)*IF(ABS(M997)&lt;'Progetto del paramento slu'!$G$58,ABS(M997)*'Progetto del paramento slu'!$G$54,'Progetto del paramento slu'!$G$53)</f>
        <v>0</v>
      </c>
      <c r="H997" s="553">
        <f>-'Foglio deposito bis'!$F$61*(C997-sezione!$AO$31)*IF(ABS(N997)&lt;'Progetto del paramento slu'!$G$58,ABS(N997)*'Progetto del paramento slu'!$G$54,'Progetto del paramento slu'!$G$53)</f>
        <v>81919399.66185239</v>
      </c>
      <c r="I997" s="479">
        <f>-'Foglio deposito bis'!$F$62*(C997-sezione!$AP$31)*IF(ABS(O997)&lt;'Progetto del paramento slu'!$G$58,ABS(O997)*'Progetto del paramento slu'!$G$54,'Progetto del paramento slu'!$G$53)</f>
        <v>81821572.357879385</v>
      </c>
      <c r="J997" s="479">
        <f t="shared" ref="J997:J1060" si="75">D997+E997+F997+G997+H997+I997</f>
        <v>186789163.25635463</v>
      </c>
      <c r="K997" s="558">
        <f>'Progetto del paramento slu'!$G$60*(sezione!$AL$31-C997)/C997</f>
        <v>13.996500000000001</v>
      </c>
      <c r="L997" s="558">
        <f>'Progetto del paramento slu'!$G$60*(sezione!$AM$31-C997)/C997</f>
        <v>52.496499999999997</v>
      </c>
      <c r="M997" s="559">
        <f>'Progetto del paramento slu'!$G$60*(sezione!$AN$31-C997)/C997</f>
        <v>90.996499999999997</v>
      </c>
      <c r="N997" s="559">
        <f>'Progetto del paramento slu'!$G$60*(sezione!$AO$31-C997)/C997</f>
        <v>118.99650000000001</v>
      </c>
      <c r="O997" s="559">
        <f>'Progetto del paramento slu'!$G$60*(sezione!$AP$31-C997)/C997</f>
        <v>90.997896634615358</v>
      </c>
      <c r="P997" s="553">
        <f>-'Progetto del paramento slu'!$G$47*'Progetto del paramento slu'!$G$41*IF(DATI!$G$218="dx",DATI!$E$61,DATI!$E$64*DATI!$E$63)*1000*C997*sezione!$AD$5</f>
        <v>-140.9589</v>
      </c>
      <c r="Q997" s="553">
        <f>'Foglio deposito bis'!$F$58*IF(ABS(K997)&lt;'Progetto del paramento slu'!$G$58,ABS(K997)*'Progetto del paramento slu'!$G$54,'Progetto del paramento slu'!$G$53)*IF(K997&lt;0,-1,1)</f>
        <v>0</v>
      </c>
      <c r="R997" s="553">
        <f>'Foglio deposito bis'!$F$59*IF(ABS(L997)&lt;'Progetto del paramento slu'!$G$58,ABS(L997)*'Progetto del paramento slu'!$G$54,'Progetto del paramento slu'!$G$53)*IF(L997&lt;0,-1,1)</f>
        <v>153664.85805602249</v>
      </c>
      <c r="S997" s="553">
        <f>'Foglio deposito bis'!$F$60*IF(ABS(M997)&lt;'Progetto del paramento slu'!$G$58,ABS(M997)*'Progetto del paramento slu'!$G$54,'Progetto del paramento slu'!$G$53)*IF(M997&lt;0,-1,1)</f>
        <v>0</v>
      </c>
      <c r="T997" s="553">
        <f>'Foglio deposito bis'!$F$61*IF(ABS(N997)&lt;'Progetto del paramento slu'!$G$58,ABS(N997)*'Progetto del paramento slu'!$G$54,'Progetto del paramento slu'!$G$53)*IF(N997&lt;0,-1,1)</f>
        <v>240946.49743184328</v>
      </c>
      <c r="U997" s="553">
        <f>'Foglio deposito bis'!$F$62*IF(ABS(O997)&lt;'Progetto del paramento slu'!$G$58,ABS(O997)*'Progetto del paramento slu'!$G$54,'Progetto del paramento slu'!$G$53)*IF(O997&lt;0,-1,1)</f>
        <v>314705.62929873407</v>
      </c>
      <c r="V997" s="479">
        <f t="shared" ref="V997" si="76">P997+Q997+R997+S997+T997+U997</f>
        <v>709176.02588659991</v>
      </c>
      <c r="W997" s="559"/>
      <c r="X997" s="559"/>
    </row>
    <row r="998" spans="1:24" x14ac:dyDescent="0.25">
      <c r="A998" s="553">
        <f t="shared" ref="A998:A1061" si="77">ABS(V998)</f>
        <v>706455.80532244383</v>
      </c>
      <c r="B998" s="3">
        <f>B997+0.05</f>
        <v>0.05</v>
      </c>
      <c r="C998" s="553">
        <f>'Foglio deposito bis'!$E$157/sezione!$B$247*B998</f>
        <v>0.2029796957947331</v>
      </c>
      <c r="D998" s="611">
        <f>-'Progetto del paramento slu'!$G$47*'Progetto del paramento slu'!$G$41*IF(DATI!$G$218="dx",DATI!$E$61,DATI!$E$64*DATI!$E$63)*1000*C998^2*sezione!$AD$5*(1-sezione!$AD$6)</f>
        <v>-339.16462095313955</v>
      </c>
      <c r="E998" s="553">
        <f>-'Foglio deposito bis'!$F$58*(C998-sezione!$AL$31)*IF(ABS(K998)&lt;'Progetto del paramento slu'!$G$58,ABS(K998)*'Progetto del paramento slu'!$G$54,'Progetto del paramento slu'!$G$53)</f>
        <v>0</v>
      </c>
      <c r="F998" s="553">
        <f>-'Foglio deposito bis'!$F$59*(C998-sezione!$AM$31)*IF(ABS(L998)&lt;'Progetto del paramento slu'!$G$58,ABS(L998)*'Progetto del paramento slu'!$G$54,'Progetto del paramento slu'!$G$53)</f>
        <v>23018537.862260822</v>
      </c>
      <c r="G998" s="553">
        <f>-'Foglio deposito bis'!$F$60*(C998-sezione!$AN$31)*IF(ABS(M998)&lt;'Progetto del paramento slu'!$G$58,ABS(M998)*'Progetto del paramento slu'!$G$54,'Progetto del paramento slu'!$G$53)</f>
        <v>0</v>
      </c>
      <c r="H998" s="553">
        <f>-'Foglio deposito bis'!$F$61*(C998-sezione!$AO$31)*IF(ABS(N998)&lt;'Progetto del paramento slu'!$G$58,ABS(N998)*'Progetto del paramento slu'!$G$54,'Progetto del paramento slu'!$G$53)</f>
        <v>81872901.880075186</v>
      </c>
      <c r="I998" s="479">
        <f>-'Foglio deposito bis'!$F$62*(C998-sezione!$AP$31)*IF(ABS(O998)&lt;'Progetto del paramento slu'!$G$58,ABS(O998)*'Progetto del paramento slu'!$G$54,'Progetto del paramento slu'!$G$53)</f>
        <v>81760840.561272413</v>
      </c>
      <c r="J998" s="479">
        <f t="shared" si="75"/>
        <v>186651941.13898748</v>
      </c>
      <c r="K998" s="558">
        <f>'Progetto del paramento slu'!$G$60*(sezione!$AL$31-C998)/C998</f>
        <v>0.68622415911775514</v>
      </c>
      <c r="L998" s="558">
        <f>'Progetto del paramento slu'!$G$60*(sezione!$AM$31-C998)/C998</f>
        <v>2.5829655966915812</v>
      </c>
      <c r="M998" s="559">
        <f>'Progetto del paramento slu'!$G$60*(sezione!$AN$31-C998)/C998</f>
        <v>4.4797070342654077</v>
      </c>
      <c r="N998" s="559">
        <f>'Progetto del paramento slu'!$G$60*(sezione!$AO$31-C998)/C998</f>
        <v>5.8591553525009177</v>
      </c>
      <c r="O998" s="559">
        <f>'Progetto del paramento slu'!$G$60*(sezione!$AP$31-C998)/C998</f>
        <v>4.4797758408822412</v>
      </c>
      <c r="P998" s="553">
        <f>-'Progetto del paramento slu'!$G$47*'Progetto del paramento slu'!$G$41*IF(DATI!$G$218="dx",DATI!$E$61,DATI!$E$64*DATI!$E$63)*1000*C998*sezione!$AD$5</f>
        <v>-2861.1794641560205</v>
      </c>
      <c r="Q998" s="553">
        <f>'Foglio deposito bis'!$F$58*IF(ABS(K998)&lt;'Progetto del paramento slu'!$G$58,ABS(K998)*'Progetto del paramento slu'!$G$54,'Progetto del paramento slu'!$G$53)*IF(K998&lt;0,-1,1)</f>
        <v>0</v>
      </c>
      <c r="R998" s="553">
        <f>'Foglio deposito bis'!$F$59*IF(ABS(L998)&lt;'Progetto del paramento slu'!$G$58,ABS(L998)*'Progetto del paramento slu'!$G$54,'Progetto del paramento slu'!$G$53)*IF(L998&lt;0,-1,1)</f>
        <v>153664.85805602249</v>
      </c>
      <c r="S998" s="553">
        <f>'Foglio deposito bis'!$F$60*IF(ABS(M998)&lt;'Progetto del paramento slu'!$G$58,ABS(M998)*'Progetto del paramento slu'!$G$54,'Progetto del paramento slu'!$G$53)*IF(M998&lt;0,-1,1)</f>
        <v>0</v>
      </c>
      <c r="T998" s="553">
        <f>'Foglio deposito bis'!$F$61*IF(ABS(N998)&lt;'Progetto del paramento slu'!$G$58,ABS(N998)*'Progetto del paramento slu'!$G$54,'Progetto del paramento slu'!$G$53)*IF(N998&lt;0,-1,1)</f>
        <v>240946.49743184328</v>
      </c>
      <c r="U998" s="553">
        <f>'Foglio deposito bis'!$F$62*IF(ABS(O998)&lt;'Progetto del paramento slu'!$G$58,ABS(O998)*'Progetto del paramento slu'!$G$54,'Progetto del paramento slu'!$G$53)*IF(O998&lt;0,-1,1)</f>
        <v>314705.62929873407</v>
      </c>
      <c r="V998" s="479">
        <f t="shared" ref="V998:V1061" si="78">P998+Q998+R998+S998+T998+U998</f>
        <v>706455.80532244383</v>
      </c>
      <c r="W998" s="559"/>
      <c r="X998" s="559"/>
    </row>
    <row r="999" spans="1:24" x14ac:dyDescent="0.25">
      <c r="A999" s="553">
        <f t="shared" si="77"/>
        <v>703594.62585828779</v>
      </c>
      <c r="B999" s="3">
        <f t="shared" ref="B999:B1062" si="79">B998+0.05</f>
        <v>0.1</v>
      </c>
      <c r="C999" s="553">
        <f>'Foglio deposito bis'!$E$157/sezione!$B$247*B999</f>
        <v>0.4059593915894662</v>
      </c>
      <c r="D999" s="611">
        <f>-'Progetto del paramento slu'!$G$47*'Progetto del paramento slu'!$G$41*IF(DATI!$G$218="dx",DATI!$E$61,DATI!$E$64*DATI!$E$63)*1000*C999^2*sezione!$AD$5*(1-sezione!$AD$6)</f>
        <v>-1356.6584838125582</v>
      </c>
      <c r="E999" s="553">
        <f>-'Foglio deposito bis'!$F$58*(C999-sezione!$AL$31)*IF(ABS(K999)&lt;'Progetto del paramento slu'!$G$58,ABS(K999)*'Progetto del paramento slu'!$G$54,'Progetto del paramento slu'!$G$53)</f>
        <v>0</v>
      </c>
      <c r="F999" s="553">
        <f>-'Foglio deposito bis'!$F$59*(C999-sezione!$AM$31)*IF(ABS(L999)&lt;'Progetto del paramento slu'!$G$58,ABS(L999)*'Progetto del paramento slu'!$G$54,'Progetto del paramento slu'!$G$53)</f>
        <v>22987347.016118269</v>
      </c>
      <c r="G999" s="553">
        <f>-'Foglio deposito bis'!$F$60*(C999-sezione!$AN$31)*IF(ABS(M999)&lt;'Progetto del paramento slu'!$G$58,ABS(M999)*'Progetto del paramento slu'!$G$54,'Progetto del paramento slu'!$G$53)</f>
        <v>0</v>
      </c>
      <c r="H999" s="553">
        <f>-'Foglio deposito bis'!$F$61*(C999-sezione!$AO$31)*IF(ABS(N999)&lt;'Progetto del paramento slu'!$G$58,ABS(N999)*'Progetto del paramento slu'!$G$54,'Progetto del paramento slu'!$G$53)</f>
        <v>81823994.633323655</v>
      </c>
      <c r="I999" s="479">
        <f>-'Foglio deposito bis'!$F$62*(C999-sezione!$AP$31)*IF(ABS(O999)&lt;'Progetto del paramento slu'!$G$58,ABS(O999)*'Progetto del paramento slu'!$G$54,'Progetto del paramento slu'!$G$53)</f>
        <v>81696961.708372459</v>
      </c>
      <c r="J999" s="479">
        <f t="shared" si="75"/>
        <v>186506946.69933057</v>
      </c>
      <c r="K999" s="558">
        <f>'Progetto del paramento slu'!$G$60*(sezione!$AL$31-C999)/C999</f>
        <v>0.34136207955887748</v>
      </c>
      <c r="L999" s="558">
        <f>'Progetto del paramento slu'!$G$60*(sezione!$AM$31-C999)/C999</f>
        <v>1.2897327983457905</v>
      </c>
      <c r="M999" s="559">
        <f>'Progetto del paramento slu'!$G$60*(sezione!$AN$31-C999)/C999</f>
        <v>2.2381035171327035</v>
      </c>
      <c r="N999" s="559">
        <f>'Progetto del paramento slu'!$G$60*(sezione!$AO$31-C999)/C999</f>
        <v>2.9278276762504589</v>
      </c>
      <c r="O999" s="559">
        <f>'Progetto del paramento slu'!$G$60*(sezione!$AP$31-C999)/C999</f>
        <v>2.2381379204411207</v>
      </c>
      <c r="P999" s="553">
        <f>-'Progetto del paramento slu'!$G$47*'Progetto del paramento slu'!$G$41*IF(DATI!$G$218="dx",DATI!$E$61,DATI!$E$64*DATI!$E$63)*1000*C999*sezione!$AD$5</f>
        <v>-5722.3589283120409</v>
      </c>
      <c r="Q999" s="553">
        <f>'Foglio deposito bis'!$F$58*IF(ABS(K999)&lt;'Progetto del paramento slu'!$G$58,ABS(K999)*'Progetto del paramento slu'!$G$54,'Progetto del paramento slu'!$G$53)*IF(K999&lt;0,-1,1)</f>
        <v>0</v>
      </c>
      <c r="R999" s="553">
        <f>'Foglio deposito bis'!$F$59*IF(ABS(L999)&lt;'Progetto del paramento slu'!$G$58,ABS(L999)*'Progetto del paramento slu'!$G$54,'Progetto del paramento slu'!$G$53)*IF(L999&lt;0,-1,1)</f>
        <v>153664.85805602249</v>
      </c>
      <c r="S999" s="553">
        <f>'Foglio deposito bis'!$F$60*IF(ABS(M999)&lt;'Progetto del paramento slu'!$G$58,ABS(M999)*'Progetto del paramento slu'!$G$54,'Progetto del paramento slu'!$G$53)*IF(M999&lt;0,-1,1)</f>
        <v>0</v>
      </c>
      <c r="T999" s="553">
        <f>'Foglio deposito bis'!$F$61*IF(ABS(N999)&lt;'Progetto del paramento slu'!$G$58,ABS(N999)*'Progetto del paramento slu'!$G$54,'Progetto del paramento slu'!$G$53)*IF(N999&lt;0,-1,1)</f>
        <v>240946.49743184328</v>
      </c>
      <c r="U999" s="553">
        <f>'Foglio deposito bis'!$F$62*IF(ABS(O999)&lt;'Progetto del paramento slu'!$G$58,ABS(O999)*'Progetto del paramento slu'!$G$54,'Progetto del paramento slu'!$G$53)*IF(O999&lt;0,-1,1)</f>
        <v>314705.62929873407</v>
      </c>
      <c r="V999" s="479">
        <f t="shared" si="78"/>
        <v>703594.62585828779</v>
      </c>
      <c r="W999" s="559"/>
      <c r="X999" s="559"/>
    </row>
    <row r="1000" spans="1:24" x14ac:dyDescent="0.25">
      <c r="A1000" s="553">
        <f t="shared" si="77"/>
        <v>700733.44639413175</v>
      </c>
      <c r="B1000" s="3">
        <f t="shared" si="79"/>
        <v>0.15000000000000002</v>
      </c>
      <c r="C1000" s="553">
        <f>'Foglio deposito bis'!$E$157/sezione!$B$247*B1000</f>
        <v>0.60893908738419933</v>
      </c>
      <c r="D1000" s="611">
        <f>-'Progetto del paramento slu'!$G$47*'Progetto del paramento slu'!$G$41*IF(DATI!$G$218="dx",DATI!$E$61,DATI!$E$64*DATI!$E$63)*1000*C1000^2*sezione!$AD$5*(1-sezione!$AD$6)</f>
        <v>-3052.4815885782559</v>
      </c>
      <c r="E1000" s="553">
        <f>-'Foglio deposito bis'!$F$58*(C1000-sezione!$AL$31)*IF(ABS(K1000)&lt;'Progetto del paramento slu'!$G$58,ABS(K1000)*'Progetto del paramento slu'!$G$54,'Progetto del paramento slu'!$G$53)</f>
        <v>0</v>
      </c>
      <c r="F1000" s="553">
        <f>-'Foglio deposito bis'!$F$59*(C1000-sezione!$AM$31)*IF(ABS(L1000)&lt;'Progetto del paramento slu'!$G$58,ABS(L1000)*'Progetto del paramento slu'!$G$54,'Progetto del paramento slu'!$G$53)</f>
        <v>22956156.169975717</v>
      </c>
      <c r="G1000" s="553">
        <f>-'Foglio deposito bis'!$F$60*(C1000-sezione!$AN$31)*IF(ABS(M1000)&lt;'Progetto del paramento slu'!$G$58,ABS(M1000)*'Progetto del paramento slu'!$G$54,'Progetto del paramento slu'!$G$53)</f>
        <v>0</v>
      </c>
      <c r="H1000" s="553">
        <f>-'Foglio deposito bis'!$F$61*(C1000-sezione!$AO$31)*IF(ABS(N1000)&lt;'Progetto del paramento slu'!$G$58,ABS(N1000)*'Progetto del paramento slu'!$G$54,'Progetto del paramento slu'!$G$53)</f>
        <v>81775087.386572152</v>
      </c>
      <c r="I1000" s="479">
        <f>-'Foglio deposito bis'!$F$62*(C1000-sezione!$AP$31)*IF(ABS(O1000)&lt;'Progetto del paramento slu'!$G$58,ABS(O1000)*'Progetto del paramento slu'!$G$54,'Progetto del paramento slu'!$G$53)</f>
        <v>81633082.85547252</v>
      </c>
      <c r="J1000" s="479">
        <f t="shared" si="75"/>
        <v>186361273.93043181</v>
      </c>
      <c r="K1000" s="558">
        <f>'Progetto del paramento slu'!$G$60*(sezione!$AL$31-C1000)/C1000</f>
        <v>0.22640805303925166</v>
      </c>
      <c r="L1000" s="558">
        <f>'Progetto del paramento slu'!$G$60*(sezione!$AM$31-C1000)/C1000</f>
        <v>0.85865519889719388</v>
      </c>
      <c r="M1000" s="559">
        <f>'Progetto del paramento slu'!$G$60*(sezione!$AN$31-C1000)/C1000</f>
        <v>1.4909023447551357</v>
      </c>
      <c r="N1000" s="559">
        <f>'Progetto del paramento slu'!$G$60*(sezione!$AO$31-C1000)/C1000</f>
        <v>1.950718450833639</v>
      </c>
      <c r="O1000" s="559">
        <f>'Progetto del paramento slu'!$G$60*(sezione!$AP$31-C1000)/C1000</f>
        <v>1.4909252802940802</v>
      </c>
      <c r="P1000" s="553">
        <f>-'Progetto del paramento slu'!$G$47*'Progetto del paramento slu'!$G$41*IF(DATI!$G$218="dx",DATI!$E$61,DATI!$E$64*DATI!$E$63)*1000*C1000*sezione!$AD$5</f>
        <v>-8583.5383924680627</v>
      </c>
      <c r="Q1000" s="553">
        <f>'Foglio deposito bis'!$F$58*IF(ABS(K1000)&lt;'Progetto del paramento slu'!$G$58,ABS(K1000)*'Progetto del paramento slu'!$G$54,'Progetto del paramento slu'!$G$53)*IF(K1000&lt;0,-1,1)</f>
        <v>0</v>
      </c>
      <c r="R1000" s="553">
        <f>'Foglio deposito bis'!$F$59*IF(ABS(L1000)&lt;'Progetto del paramento slu'!$G$58,ABS(L1000)*'Progetto del paramento slu'!$G$54,'Progetto del paramento slu'!$G$53)*IF(L1000&lt;0,-1,1)</f>
        <v>153664.85805602249</v>
      </c>
      <c r="S1000" s="553">
        <f>'Foglio deposito bis'!$F$60*IF(ABS(M1000)&lt;'Progetto del paramento slu'!$G$58,ABS(M1000)*'Progetto del paramento slu'!$G$54,'Progetto del paramento slu'!$G$53)*IF(M1000&lt;0,-1,1)</f>
        <v>0</v>
      </c>
      <c r="T1000" s="553">
        <f>'Foglio deposito bis'!$F$61*IF(ABS(N1000)&lt;'Progetto del paramento slu'!$G$58,ABS(N1000)*'Progetto del paramento slu'!$G$54,'Progetto del paramento slu'!$G$53)*IF(N1000&lt;0,-1,1)</f>
        <v>240946.49743184328</v>
      </c>
      <c r="U1000" s="553">
        <f>'Foglio deposito bis'!$F$62*IF(ABS(O1000)&lt;'Progetto del paramento slu'!$G$58,ABS(O1000)*'Progetto del paramento slu'!$G$54,'Progetto del paramento slu'!$G$53)*IF(O1000&lt;0,-1,1)</f>
        <v>314705.62929873407</v>
      </c>
      <c r="V1000" s="479">
        <f t="shared" si="78"/>
        <v>700733.44639413175</v>
      </c>
      <c r="W1000" s="559"/>
      <c r="X1000" s="559"/>
    </row>
    <row r="1001" spans="1:24" x14ac:dyDescent="0.25">
      <c r="A1001" s="553">
        <f t="shared" si="77"/>
        <v>697872.26692997571</v>
      </c>
      <c r="B1001" s="3">
        <f t="shared" si="79"/>
        <v>0.2</v>
      </c>
      <c r="C1001" s="553">
        <f>'Foglio deposito bis'!$E$157/sezione!$B$247*B1001</f>
        <v>0.8119187831789324</v>
      </c>
      <c r="D1001" s="611">
        <f>-'Progetto del paramento slu'!$G$47*'Progetto del paramento slu'!$G$41*IF(DATI!$G$218="dx",DATI!$E$61,DATI!$E$64*DATI!$E$63)*1000*C1001^2*sezione!$AD$5*(1-sezione!$AD$6)</f>
        <v>-5426.6339352502328</v>
      </c>
      <c r="E1001" s="553">
        <f>-'Foglio deposito bis'!$F$58*(C1001-sezione!$AL$31)*IF(ABS(K1001)&lt;'Progetto del paramento slu'!$G$58,ABS(K1001)*'Progetto del paramento slu'!$G$54,'Progetto del paramento slu'!$G$53)</f>
        <v>0</v>
      </c>
      <c r="F1001" s="553">
        <f>-'Foglio deposito bis'!$F$59*(C1001-sezione!$AM$31)*IF(ABS(L1001)&lt;'Progetto del paramento slu'!$G$58,ABS(L1001)*'Progetto del paramento slu'!$G$54,'Progetto del paramento slu'!$G$53)</f>
        <v>22924965.323833168</v>
      </c>
      <c r="G1001" s="553">
        <f>-'Foglio deposito bis'!$F$60*(C1001-sezione!$AN$31)*IF(ABS(M1001)&lt;'Progetto del paramento slu'!$G$58,ABS(M1001)*'Progetto del paramento slu'!$G$54,'Progetto del paramento slu'!$G$53)</f>
        <v>0</v>
      </c>
      <c r="H1001" s="553">
        <f>-'Foglio deposito bis'!$F$61*(C1001-sezione!$AO$31)*IF(ABS(N1001)&lt;'Progetto del paramento slu'!$G$58,ABS(N1001)*'Progetto del paramento slu'!$G$54,'Progetto del paramento slu'!$G$53)</f>
        <v>81726180.13982062</v>
      </c>
      <c r="I1001" s="479">
        <f>-'Foglio deposito bis'!$F$62*(C1001-sezione!$AP$31)*IF(ABS(O1001)&lt;'Progetto del paramento slu'!$G$58,ABS(O1001)*'Progetto del paramento slu'!$G$54,'Progetto del paramento slu'!$G$53)</f>
        <v>81569204.002572566</v>
      </c>
      <c r="J1001" s="479">
        <f t="shared" si="75"/>
        <v>186214922.8322911</v>
      </c>
      <c r="K1001" s="558">
        <f>'Progetto del paramento slu'!$G$60*(sezione!$AL$31-C1001)/C1001</f>
        <v>0.16893103977943877</v>
      </c>
      <c r="L1001" s="558">
        <f>'Progetto del paramento slu'!$G$60*(sezione!$AM$31-C1001)/C1001</f>
        <v>0.64311639917289543</v>
      </c>
      <c r="M1001" s="559">
        <f>'Progetto del paramento slu'!$G$60*(sezione!$AN$31-C1001)/C1001</f>
        <v>1.1173017585663518</v>
      </c>
      <c r="N1001" s="559">
        <f>'Progetto del paramento slu'!$G$60*(sezione!$AO$31-C1001)/C1001</f>
        <v>1.4621638381252293</v>
      </c>
      <c r="O1001" s="559">
        <f>'Progetto del paramento slu'!$G$60*(sezione!$AP$31-C1001)/C1001</f>
        <v>1.1173189602205602</v>
      </c>
      <c r="P1001" s="553">
        <f>-'Progetto del paramento slu'!$G$47*'Progetto del paramento slu'!$G$41*IF(DATI!$G$218="dx",DATI!$E$61,DATI!$E$64*DATI!$E$63)*1000*C1001*sezione!$AD$5</f>
        <v>-11444.717856624082</v>
      </c>
      <c r="Q1001" s="553">
        <f>'Foglio deposito bis'!$F$58*IF(ABS(K1001)&lt;'Progetto del paramento slu'!$G$58,ABS(K1001)*'Progetto del paramento slu'!$G$54,'Progetto del paramento slu'!$G$53)*IF(K1001&lt;0,-1,1)</f>
        <v>0</v>
      </c>
      <c r="R1001" s="553">
        <f>'Foglio deposito bis'!$F$59*IF(ABS(L1001)&lt;'Progetto del paramento slu'!$G$58,ABS(L1001)*'Progetto del paramento slu'!$G$54,'Progetto del paramento slu'!$G$53)*IF(L1001&lt;0,-1,1)</f>
        <v>153664.85805602249</v>
      </c>
      <c r="S1001" s="553">
        <f>'Foglio deposito bis'!$F$60*IF(ABS(M1001)&lt;'Progetto del paramento slu'!$G$58,ABS(M1001)*'Progetto del paramento slu'!$G$54,'Progetto del paramento slu'!$G$53)*IF(M1001&lt;0,-1,1)</f>
        <v>0</v>
      </c>
      <c r="T1001" s="553">
        <f>'Foglio deposito bis'!$F$61*IF(ABS(N1001)&lt;'Progetto del paramento slu'!$G$58,ABS(N1001)*'Progetto del paramento slu'!$G$54,'Progetto del paramento slu'!$G$53)*IF(N1001&lt;0,-1,1)</f>
        <v>240946.49743184328</v>
      </c>
      <c r="U1001" s="553">
        <f>'Foglio deposito bis'!$F$62*IF(ABS(O1001)&lt;'Progetto del paramento slu'!$G$58,ABS(O1001)*'Progetto del paramento slu'!$G$54,'Progetto del paramento slu'!$G$53)*IF(O1001&lt;0,-1,1)</f>
        <v>314705.62929873407</v>
      </c>
      <c r="V1001" s="479">
        <f t="shared" si="78"/>
        <v>697872.26692997571</v>
      </c>
      <c r="W1001" s="559"/>
      <c r="X1001" s="559"/>
    </row>
    <row r="1002" spans="1:24" x14ac:dyDescent="0.25">
      <c r="A1002" s="553">
        <f t="shared" si="77"/>
        <v>695011.08746581967</v>
      </c>
      <c r="B1002" s="3">
        <f t="shared" si="79"/>
        <v>0.25</v>
      </c>
      <c r="C1002" s="553">
        <f>'Foglio deposito bis'!$E$157/sezione!$B$247*B1002</f>
        <v>1.0148984789736655</v>
      </c>
      <c r="D1002" s="611">
        <f>-'Progetto del paramento slu'!$G$47*'Progetto del paramento slu'!$G$41*IF(DATI!$G$218="dx",DATI!$E$61,DATI!$E$64*DATI!$E$63)*1000*C1002^2*sezione!$AD$5*(1-sezione!$AD$6)</f>
        <v>-8479.1155238284864</v>
      </c>
      <c r="E1002" s="553">
        <f>-'Foglio deposito bis'!$F$58*(C1002-sezione!$AL$31)*IF(ABS(K1002)&lt;'Progetto del paramento slu'!$G$58,ABS(K1002)*'Progetto del paramento slu'!$G$54,'Progetto del paramento slu'!$G$53)</f>
        <v>0</v>
      </c>
      <c r="F1002" s="553">
        <f>-'Foglio deposito bis'!$F$59*(C1002-sezione!$AM$31)*IF(ABS(L1002)&lt;'Progetto del paramento slu'!$G$58,ABS(L1002)*'Progetto del paramento slu'!$G$54,'Progetto del paramento slu'!$G$53)</f>
        <v>22893774.477690615</v>
      </c>
      <c r="G1002" s="553">
        <f>-'Foglio deposito bis'!$F$60*(C1002-sezione!$AN$31)*IF(ABS(M1002)&lt;'Progetto del paramento slu'!$G$58,ABS(M1002)*'Progetto del paramento slu'!$G$54,'Progetto del paramento slu'!$G$53)</f>
        <v>0</v>
      </c>
      <c r="H1002" s="553">
        <f>-'Foglio deposito bis'!$F$61*(C1002-sezione!$AO$31)*IF(ABS(N1002)&lt;'Progetto del paramento slu'!$G$58,ABS(N1002)*'Progetto del paramento slu'!$G$54,'Progetto del paramento slu'!$G$53)</f>
        <v>81677272.893069088</v>
      </c>
      <c r="I1002" s="479">
        <f>-'Foglio deposito bis'!$F$62*(C1002-sezione!$AP$31)*IF(ABS(O1002)&lt;'Progetto del paramento slu'!$G$58,ABS(O1002)*'Progetto del paramento slu'!$G$54,'Progetto del paramento slu'!$G$53)</f>
        <v>81505325.149672613</v>
      </c>
      <c r="J1002" s="479">
        <f t="shared" si="75"/>
        <v>186067893.40490848</v>
      </c>
      <c r="K1002" s="558">
        <f>'Progetto del paramento slu'!$G$60*(sezione!$AL$31-C1002)/C1002</f>
        <v>0.13444483182355102</v>
      </c>
      <c r="L1002" s="558">
        <f>'Progetto del paramento slu'!$G$60*(sezione!$AM$31-C1002)/C1002</f>
        <v>0.51379311933831628</v>
      </c>
      <c r="M1002" s="559">
        <f>'Progetto del paramento slu'!$G$60*(sezione!$AN$31-C1002)/C1002</f>
        <v>0.89314140685308141</v>
      </c>
      <c r="N1002" s="559">
        <f>'Progetto del paramento slu'!$G$60*(sezione!$AO$31-C1002)/C1002</f>
        <v>1.1690310705001836</v>
      </c>
      <c r="O1002" s="559">
        <f>'Progetto del paramento slu'!$G$60*(sezione!$AP$31-C1002)/C1002</f>
        <v>0.89315516817644813</v>
      </c>
      <c r="P1002" s="553">
        <f>-'Progetto del paramento slu'!$G$47*'Progetto del paramento slu'!$G$41*IF(DATI!$G$218="dx",DATI!$E$61,DATI!$E$64*DATI!$E$63)*1000*C1002*sezione!$AD$5</f>
        <v>-14305.897320780101</v>
      </c>
      <c r="Q1002" s="553">
        <f>'Foglio deposito bis'!$F$58*IF(ABS(K1002)&lt;'Progetto del paramento slu'!$G$58,ABS(K1002)*'Progetto del paramento slu'!$G$54,'Progetto del paramento slu'!$G$53)*IF(K1002&lt;0,-1,1)</f>
        <v>0</v>
      </c>
      <c r="R1002" s="553">
        <f>'Foglio deposito bis'!$F$59*IF(ABS(L1002)&lt;'Progetto del paramento slu'!$G$58,ABS(L1002)*'Progetto del paramento slu'!$G$54,'Progetto del paramento slu'!$G$53)*IF(L1002&lt;0,-1,1)</f>
        <v>153664.85805602249</v>
      </c>
      <c r="S1002" s="553">
        <f>'Foglio deposito bis'!$F$60*IF(ABS(M1002)&lt;'Progetto del paramento slu'!$G$58,ABS(M1002)*'Progetto del paramento slu'!$G$54,'Progetto del paramento slu'!$G$53)*IF(M1002&lt;0,-1,1)</f>
        <v>0</v>
      </c>
      <c r="T1002" s="553">
        <f>'Foglio deposito bis'!$F$61*IF(ABS(N1002)&lt;'Progetto del paramento slu'!$G$58,ABS(N1002)*'Progetto del paramento slu'!$G$54,'Progetto del paramento slu'!$G$53)*IF(N1002&lt;0,-1,1)</f>
        <v>240946.49743184328</v>
      </c>
      <c r="U1002" s="553">
        <f>'Foglio deposito bis'!$F$62*IF(ABS(O1002)&lt;'Progetto del paramento slu'!$G$58,ABS(O1002)*'Progetto del paramento slu'!$G$54,'Progetto del paramento slu'!$G$53)*IF(O1002&lt;0,-1,1)</f>
        <v>314705.62929873407</v>
      </c>
      <c r="V1002" s="479">
        <f t="shared" si="78"/>
        <v>695011.08746581967</v>
      </c>
      <c r="W1002" s="559"/>
      <c r="X1002" s="559"/>
    </row>
    <row r="1003" spans="1:24" x14ac:dyDescent="0.25">
      <c r="A1003" s="553">
        <f t="shared" si="77"/>
        <v>692149.90800166363</v>
      </c>
      <c r="B1003" s="3">
        <f t="shared" si="79"/>
        <v>0.3</v>
      </c>
      <c r="C1003" s="553">
        <f>'Foglio deposito bis'!$E$157/sezione!$B$247*B1003</f>
        <v>1.2178781747683984</v>
      </c>
      <c r="D1003" s="611">
        <f>-'Progetto del paramento slu'!$G$47*'Progetto del paramento slu'!$G$41*IF(DATI!$G$218="dx",DATI!$E$61,DATI!$E$64*DATI!$E$63)*1000*C1003^2*sezione!$AD$5*(1-sezione!$AD$6)</f>
        <v>-12209.926354313018</v>
      </c>
      <c r="E1003" s="553">
        <f>-'Foglio deposito bis'!$F$58*(C1003-sezione!$AL$31)*IF(ABS(K1003)&lt;'Progetto del paramento slu'!$G$58,ABS(K1003)*'Progetto del paramento slu'!$G$54,'Progetto del paramento slu'!$G$53)</f>
        <v>0</v>
      </c>
      <c r="F1003" s="553">
        <f>-'Foglio deposito bis'!$F$59*(C1003-sezione!$AM$31)*IF(ABS(L1003)&lt;'Progetto del paramento slu'!$G$58,ABS(L1003)*'Progetto del paramento slu'!$G$54,'Progetto del paramento slu'!$G$53)</f>
        <v>22862583.631548062</v>
      </c>
      <c r="G1003" s="553">
        <f>-'Foglio deposito bis'!$F$60*(C1003-sezione!$AN$31)*IF(ABS(M1003)&lt;'Progetto del paramento slu'!$G$58,ABS(M1003)*'Progetto del paramento slu'!$G$54,'Progetto del paramento slu'!$G$53)</f>
        <v>0</v>
      </c>
      <c r="H1003" s="553">
        <f>-'Foglio deposito bis'!$F$61*(C1003-sezione!$AO$31)*IF(ABS(N1003)&lt;'Progetto del paramento slu'!$G$58,ABS(N1003)*'Progetto del paramento slu'!$G$54,'Progetto del paramento slu'!$G$53)</f>
        <v>81628365.646317586</v>
      </c>
      <c r="I1003" s="479">
        <f>-'Foglio deposito bis'!$F$62*(C1003-sezione!$AP$31)*IF(ABS(O1003)&lt;'Progetto del paramento slu'!$G$58,ABS(O1003)*'Progetto del paramento slu'!$G$54,'Progetto del paramento slu'!$G$53)</f>
        <v>81441446.296772689</v>
      </c>
      <c r="J1003" s="479">
        <f t="shared" si="75"/>
        <v>185920185.64828402</v>
      </c>
      <c r="K1003" s="558">
        <f>'Progetto del paramento slu'!$G$60*(sezione!$AL$31-C1003)/C1003</f>
        <v>0.11145402651962584</v>
      </c>
      <c r="L1003" s="558">
        <f>'Progetto del paramento slu'!$G$60*(sezione!$AM$31-C1003)/C1003</f>
        <v>0.42757759944859691</v>
      </c>
      <c r="M1003" s="559">
        <f>'Progetto del paramento slu'!$G$60*(sezione!$AN$31-C1003)/C1003</f>
        <v>0.74370117237756805</v>
      </c>
      <c r="N1003" s="559">
        <f>'Progetto del paramento slu'!$G$60*(sezione!$AO$31-C1003)/C1003</f>
        <v>0.97360922541681982</v>
      </c>
      <c r="O1003" s="559">
        <f>'Progetto del paramento slu'!$G$60*(sezione!$AP$31-C1003)/C1003</f>
        <v>0.74371264014704042</v>
      </c>
      <c r="P1003" s="553">
        <f>-'Progetto del paramento slu'!$G$47*'Progetto del paramento slu'!$G$41*IF(DATI!$G$218="dx",DATI!$E$61,DATI!$E$64*DATI!$E$63)*1000*C1003*sezione!$AD$5</f>
        <v>-17167.076784936118</v>
      </c>
      <c r="Q1003" s="553">
        <f>'Foglio deposito bis'!$F$58*IF(ABS(K1003)&lt;'Progetto del paramento slu'!$G$58,ABS(K1003)*'Progetto del paramento slu'!$G$54,'Progetto del paramento slu'!$G$53)*IF(K1003&lt;0,-1,1)</f>
        <v>0</v>
      </c>
      <c r="R1003" s="553">
        <f>'Foglio deposito bis'!$F$59*IF(ABS(L1003)&lt;'Progetto del paramento slu'!$G$58,ABS(L1003)*'Progetto del paramento slu'!$G$54,'Progetto del paramento slu'!$G$53)*IF(L1003&lt;0,-1,1)</f>
        <v>153664.85805602249</v>
      </c>
      <c r="S1003" s="553">
        <f>'Foglio deposito bis'!$F$60*IF(ABS(M1003)&lt;'Progetto del paramento slu'!$G$58,ABS(M1003)*'Progetto del paramento slu'!$G$54,'Progetto del paramento slu'!$G$53)*IF(M1003&lt;0,-1,1)</f>
        <v>0</v>
      </c>
      <c r="T1003" s="553">
        <f>'Foglio deposito bis'!$F$61*IF(ABS(N1003)&lt;'Progetto del paramento slu'!$G$58,ABS(N1003)*'Progetto del paramento slu'!$G$54,'Progetto del paramento slu'!$G$53)*IF(N1003&lt;0,-1,1)</f>
        <v>240946.49743184328</v>
      </c>
      <c r="U1003" s="553">
        <f>'Foglio deposito bis'!$F$62*IF(ABS(O1003)&lt;'Progetto del paramento slu'!$G$58,ABS(O1003)*'Progetto del paramento slu'!$G$54,'Progetto del paramento slu'!$G$53)*IF(O1003&lt;0,-1,1)</f>
        <v>314705.62929873407</v>
      </c>
      <c r="V1003" s="479">
        <f t="shared" si="78"/>
        <v>692149.90800166363</v>
      </c>
      <c r="W1003" s="559"/>
      <c r="X1003" s="559"/>
    </row>
    <row r="1004" spans="1:24" x14ac:dyDescent="0.25">
      <c r="A1004" s="553">
        <f t="shared" si="77"/>
        <v>689288.7285375077</v>
      </c>
      <c r="B1004" s="3">
        <f t="shared" si="79"/>
        <v>0.35</v>
      </c>
      <c r="C1004" s="553">
        <f>'Foglio deposito bis'!$E$157/sezione!$B$247*B1004</f>
        <v>1.4208578705631316</v>
      </c>
      <c r="D1004" s="611">
        <f>-'Progetto del paramento slu'!$G$47*'Progetto del paramento slu'!$G$41*IF(DATI!$G$218="dx",DATI!$E$61,DATI!$E$64*DATI!$E$63)*1000*C1004^2*sezione!$AD$5*(1-sezione!$AD$6)</f>
        <v>-16619.066426703834</v>
      </c>
      <c r="E1004" s="553">
        <f>-'Foglio deposito bis'!$F$58*(C1004-sezione!$AL$31)*IF(ABS(K1004)&lt;'Progetto del paramento slu'!$G$58,ABS(K1004)*'Progetto del paramento slu'!$G$54,'Progetto del paramento slu'!$G$53)</f>
        <v>0</v>
      </c>
      <c r="F1004" s="553">
        <f>-'Foglio deposito bis'!$F$59*(C1004-sezione!$AM$31)*IF(ABS(L1004)&lt;'Progetto del paramento slu'!$G$58,ABS(L1004)*'Progetto del paramento slu'!$G$54,'Progetto del paramento slu'!$G$53)</f>
        <v>22831392.785405505</v>
      </c>
      <c r="G1004" s="553">
        <f>-'Foglio deposito bis'!$F$60*(C1004-sezione!$AN$31)*IF(ABS(M1004)&lt;'Progetto del paramento slu'!$G$58,ABS(M1004)*'Progetto del paramento slu'!$G$54,'Progetto del paramento slu'!$G$53)</f>
        <v>0</v>
      </c>
      <c r="H1004" s="553">
        <f>-'Foglio deposito bis'!$F$61*(C1004-sezione!$AO$31)*IF(ABS(N1004)&lt;'Progetto del paramento slu'!$G$58,ABS(N1004)*'Progetto del paramento slu'!$G$54,'Progetto del paramento slu'!$G$53)</f>
        <v>81579458.399566069</v>
      </c>
      <c r="I1004" s="479">
        <f>-'Foglio deposito bis'!$F$62*(C1004-sezione!$AP$31)*IF(ABS(O1004)&lt;'Progetto del paramento slu'!$G$58,ABS(O1004)*'Progetto del paramento slu'!$G$54,'Progetto del paramento slu'!$G$53)</f>
        <v>81377567.443872735</v>
      </c>
      <c r="J1004" s="479">
        <f t="shared" si="75"/>
        <v>185771799.56241763</v>
      </c>
      <c r="K1004" s="558">
        <f>'Progetto del paramento slu'!$G$60*(sezione!$AL$31-C1004)/C1004</f>
        <v>9.5032022731107862E-2</v>
      </c>
      <c r="L1004" s="558">
        <f>'Progetto del paramento slu'!$G$60*(sezione!$AM$31-C1004)/C1004</f>
        <v>0.36599508524165447</v>
      </c>
      <c r="M1004" s="559">
        <f>'Progetto del paramento slu'!$G$60*(sezione!$AN$31-C1004)/C1004</f>
        <v>0.63695814775220116</v>
      </c>
      <c r="N1004" s="559">
        <f>'Progetto del paramento slu'!$G$60*(sezione!$AO$31-C1004)/C1004</f>
        <v>0.83402219321441695</v>
      </c>
      <c r="O1004" s="559">
        <f>'Progetto del paramento slu'!$G$60*(sezione!$AP$31-C1004)/C1004</f>
        <v>0.63696797726889165</v>
      </c>
      <c r="P1004" s="553">
        <f>-'Progetto del paramento slu'!$G$47*'Progetto del paramento slu'!$G$41*IF(DATI!$G$218="dx",DATI!$E$61,DATI!$E$64*DATI!$E$63)*1000*C1004*sezione!$AD$5</f>
        <v>-20028.256249092141</v>
      </c>
      <c r="Q1004" s="553">
        <f>'Foglio deposito bis'!$F$58*IF(ABS(K1004)&lt;'Progetto del paramento slu'!$G$58,ABS(K1004)*'Progetto del paramento slu'!$G$54,'Progetto del paramento slu'!$G$53)*IF(K1004&lt;0,-1,1)</f>
        <v>0</v>
      </c>
      <c r="R1004" s="553">
        <f>'Foglio deposito bis'!$F$59*IF(ABS(L1004)&lt;'Progetto del paramento slu'!$G$58,ABS(L1004)*'Progetto del paramento slu'!$G$54,'Progetto del paramento slu'!$G$53)*IF(L1004&lt;0,-1,1)</f>
        <v>153664.85805602249</v>
      </c>
      <c r="S1004" s="553">
        <f>'Foglio deposito bis'!$F$60*IF(ABS(M1004)&lt;'Progetto del paramento slu'!$G$58,ABS(M1004)*'Progetto del paramento slu'!$G$54,'Progetto del paramento slu'!$G$53)*IF(M1004&lt;0,-1,1)</f>
        <v>0</v>
      </c>
      <c r="T1004" s="553">
        <f>'Foglio deposito bis'!$F$61*IF(ABS(N1004)&lt;'Progetto del paramento slu'!$G$58,ABS(N1004)*'Progetto del paramento slu'!$G$54,'Progetto del paramento slu'!$G$53)*IF(N1004&lt;0,-1,1)</f>
        <v>240946.49743184328</v>
      </c>
      <c r="U1004" s="553">
        <f>'Foglio deposito bis'!$F$62*IF(ABS(O1004)&lt;'Progetto del paramento slu'!$G$58,ABS(O1004)*'Progetto del paramento slu'!$G$54,'Progetto del paramento slu'!$G$53)*IF(O1004&lt;0,-1,1)</f>
        <v>314705.62929873407</v>
      </c>
      <c r="V1004" s="479">
        <f t="shared" si="78"/>
        <v>689288.7285375077</v>
      </c>
      <c r="W1004" s="559"/>
      <c r="X1004" s="559"/>
    </row>
    <row r="1005" spans="1:24" x14ac:dyDescent="0.25">
      <c r="A1005" s="553">
        <f t="shared" si="77"/>
        <v>686427.54907335178</v>
      </c>
      <c r="B1005" s="3">
        <f t="shared" si="79"/>
        <v>0.39999999999999997</v>
      </c>
      <c r="C1005" s="553">
        <f>'Foglio deposito bis'!$E$157/sezione!$B$247*B1005</f>
        <v>1.6238375663578646</v>
      </c>
      <c r="D1005" s="611">
        <f>-'Progetto del paramento slu'!$G$47*'Progetto del paramento slu'!$G$41*IF(DATI!$G$218="dx",DATI!$E$61,DATI!$E$64*DATI!$E$63)*1000*C1005^2*sezione!$AD$5*(1-sezione!$AD$6)</f>
        <v>-21706.53574100092</v>
      </c>
      <c r="E1005" s="553">
        <f>-'Foglio deposito bis'!$F$58*(C1005-sezione!$AL$31)*IF(ABS(K1005)&lt;'Progetto del paramento slu'!$G$58,ABS(K1005)*'Progetto del paramento slu'!$G$54,'Progetto del paramento slu'!$G$53)</f>
        <v>0</v>
      </c>
      <c r="F1005" s="553">
        <f>-'Foglio deposito bis'!$F$59*(C1005-sezione!$AM$31)*IF(ABS(L1005)&lt;'Progetto del paramento slu'!$G$58,ABS(L1005)*'Progetto del paramento slu'!$G$54,'Progetto del paramento slu'!$G$53)</f>
        <v>22800201.939262953</v>
      </c>
      <c r="G1005" s="553">
        <f>-'Foglio deposito bis'!$F$60*(C1005-sezione!$AN$31)*IF(ABS(M1005)&lt;'Progetto del paramento slu'!$G$58,ABS(M1005)*'Progetto del paramento slu'!$G$54,'Progetto del paramento slu'!$G$53)</f>
        <v>0</v>
      </c>
      <c r="H1005" s="553">
        <f>-'Foglio deposito bis'!$F$61*(C1005-sezione!$AO$31)*IF(ABS(N1005)&lt;'Progetto del paramento slu'!$G$58,ABS(N1005)*'Progetto del paramento slu'!$G$54,'Progetto del paramento slu'!$G$53)</f>
        <v>81530551.152814537</v>
      </c>
      <c r="I1005" s="479">
        <f>-'Foglio deposito bis'!$F$62*(C1005-sezione!$AP$31)*IF(ABS(O1005)&lt;'Progetto del paramento slu'!$G$58,ABS(O1005)*'Progetto del paramento slu'!$G$54,'Progetto del paramento slu'!$G$53)</f>
        <v>81313688.590972796</v>
      </c>
      <c r="J1005" s="479">
        <f t="shared" si="75"/>
        <v>185622735.1473093</v>
      </c>
      <c r="K1005" s="558">
        <f>'Progetto del paramento slu'!$G$60*(sezione!$AL$31-C1005)/C1005</f>
        <v>8.2715519889719397E-2</v>
      </c>
      <c r="L1005" s="558">
        <f>'Progetto del paramento slu'!$G$60*(sezione!$AM$31-C1005)/C1005</f>
        <v>0.31980819958644768</v>
      </c>
      <c r="M1005" s="559">
        <f>'Progetto del paramento slu'!$G$60*(sezione!$AN$31-C1005)/C1005</f>
        <v>0.55690087928317611</v>
      </c>
      <c r="N1005" s="559">
        <f>'Progetto del paramento slu'!$G$60*(sezione!$AO$31-C1005)/C1005</f>
        <v>0.72933191906261474</v>
      </c>
      <c r="O1005" s="559">
        <f>'Progetto del paramento slu'!$G$60*(sezione!$AP$31-C1005)/C1005</f>
        <v>0.55690948011028019</v>
      </c>
      <c r="P1005" s="553">
        <f>-'Progetto del paramento slu'!$G$47*'Progetto del paramento slu'!$G$41*IF(DATI!$G$218="dx",DATI!$E$61,DATI!$E$64*DATI!$E$63)*1000*C1005*sezione!$AD$5</f>
        <v>-22889.43571324816</v>
      </c>
      <c r="Q1005" s="553">
        <f>'Foglio deposito bis'!$F$58*IF(ABS(K1005)&lt;'Progetto del paramento slu'!$G$58,ABS(K1005)*'Progetto del paramento slu'!$G$54,'Progetto del paramento slu'!$G$53)*IF(K1005&lt;0,-1,1)</f>
        <v>0</v>
      </c>
      <c r="R1005" s="553">
        <f>'Foglio deposito bis'!$F$59*IF(ABS(L1005)&lt;'Progetto del paramento slu'!$G$58,ABS(L1005)*'Progetto del paramento slu'!$G$54,'Progetto del paramento slu'!$G$53)*IF(L1005&lt;0,-1,1)</f>
        <v>153664.85805602249</v>
      </c>
      <c r="S1005" s="553">
        <f>'Foglio deposito bis'!$F$60*IF(ABS(M1005)&lt;'Progetto del paramento slu'!$G$58,ABS(M1005)*'Progetto del paramento slu'!$G$54,'Progetto del paramento slu'!$G$53)*IF(M1005&lt;0,-1,1)</f>
        <v>0</v>
      </c>
      <c r="T1005" s="553">
        <f>'Foglio deposito bis'!$F$61*IF(ABS(N1005)&lt;'Progetto del paramento slu'!$G$58,ABS(N1005)*'Progetto del paramento slu'!$G$54,'Progetto del paramento slu'!$G$53)*IF(N1005&lt;0,-1,1)</f>
        <v>240946.49743184328</v>
      </c>
      <c r="U1005" s="553">
        <f>'Foglio deposito bis'!$F$62*IF(ABS(O1005)&lt;'Progetto del paramento slu'!$G$58,ABS(O1005)*'Progetto del paramento slu'!$G$54,'Progetto del paramento slu'!$G$53)*IF(O1005&lt;0,-1,1)</f>
        <v>314705.62929873407</v>
      </c>
      <c r="V1005" s="479">
        <f t="shared" si="78"/>
        <v>686427.54907335178</v>
      </c>
      <c r="W1005" s="559"/>
      <c r="X1005" s="559"/>
    </row>
    <row r="1006" spans="1:24" x14ac:dyDescent="0.25">
      <c r="A1006" s="553">
        <f t="shared" si="77"/>
        <v>683566.36960919574</v>
      </c>
      <c r="B1006" s="3">
        <f t="shared" si="79"/>
        <v>0.44999999999999996</v>
      </c>
      <c r="C1006" s="553">
        <f>'Foglio deposito bis'!$E$157/sezione!$B$247*B1006</f>
        <v>1.8268172621525978</v>
      </c>
      <c r="D1006" s="611">
        <f>-'Progetto del paramento slu'!$G$47*'Progetto del paramento slu'!$G$41*IF(DATI!$G$218="dx",DATI!$E$61,DATI!$E$64*DATI!$E$63)*1000*C1006^2*sezione!$AD$5*(1-sezione!$AD$6)</f>
        <v>-27472.334297204296</v>
      </c>
      <c r="E1006" s="553">
        <f>-'Foglio deposito bis'!$F$58*(C1006-sezione!$AL$31)*IF(ABS(K1006)&lt;'Progetto del paramento slu'!$G$58,ABS(K1006)*'Progetto del paramento slu'!$G$54,'Progetto del paramento slu'!$G$53)</f>
        <v>0</v>
      </c>
      <c r="F1006" s="553">
        <f>-'Foglio deposito bis'!$F$59*(C1006-sezione!$AM$31)*IF(ABS(L1006)&lt;'Progetto del paramento slu'!$G$58,ABS(L1006)*'Progetto del paramento slu'!$G$54,'Progetto del paramento slu'!$G$53)</f>
        <v>22769011.093120404</v>
      </c>
      <c r="G1006" s="553">
        <f>-'Foglio deposito bis'!$F$60*(C1006-sezione!$AN$31)*IF(ABS(M1006)&lt;'Progetto del paramento slu'!$G$58,ABS(M1006)*'Progetto del paramento slu'!$G$54,'Progetto del paramento slu'!$G$53)</f>
        <v>0</v>
      </c>
      <c r="H1006" s="553">
        <f>-'Foglio deposito bis'!$F$61*(C1006-sezione!$AO$31)*IF(ABS(N1006)&lt;'Progetto del paramento slu'!$G$58,ABS(N1006)*'Progetto del paramento slu'!$G$54,'Progetto del paramento slu'!$G$53)</f>
        <v>81481643.906063005</v>
      </c>
      <c r="I1006" s="479">
        <f>-'Foglio deposito bis'!$F$62*(C1006-sezione!$AP$31)*IF(ABS(O1006)&lt;'Progetto del paramento slu'!$G$58,ABS(O1006)*'Progetto del paramento slu'!$G$54,'Progetto del paramento slu'!$G$53)</f>
        <v>81249809.738072842</v>
      </c>
      <c r="J1006" s="479">
        <f t="shared" si="75"/>
        <v>185472992.40295905</v>
      </c>
      <c r="K1006" s="558">
        <f>'Progetto del paramento slu'!$G$60*(sezione!$AL$31-C1006)/C1006</f>
        <v>7.3136017679750573E-2</v>
      </c>
      <c r="L1006" s="558">
        <f>'Progetto del paramento slu'!$G$60*(sezione!$AM$31-C1006)/C1006</f>
        <v>0.28388506629906463</v>
      </c>
      <c r="M1006" s="559">
        <f>'Progetto del paramento slu'!$G$60*(sezione!$AN$31-C1006)/C1006</f>
        <v>0.49463411491837866</v>
      </c>
      <c r="N1006" s="559">
        <f>'Progetto del paramento slu'!$G$60*(sezione!$AO$31-C1006)/C1006</f>
        <v>0.64790615027787979</v>
      </c>
      <c r="O1006" s="559">
        <f>'Progetto del paramento slu'!$G$60*(sezione!$AP$31-C1006)/C1006</f>
        <v>0.49464176009802685</v>
      </c>
      <c r="P1006" s="553">
        <f>-'Progetto del paramento slu'!$G$47*'Progetto del paramento slu'!$G$41*IF(DATI!$G$218="dx",DATI!$E$61,DATI!$E$64*DATI!$E$63)*1000*C1006*sezione!$AD$5</f>
        <v>-25750.615177404183</v>
      </c>
      <c r="Q1006" s="553">
        <f>'Foglio deposito bis'!$F$58*IF(ABS(K1006)&lt;'Progetto del paramento slu'!$G$58,ABS(K1006)*'Progetto del paramento slu'!$G$54,'Progetto del paramento slu'!$G$53)*IF(K1006&lt;0,-1,1)</f>
        <v>0</v>
      </c>
      <c r="R1006" s="553">
        <f>'Foglio deposito bis'!$F$59*IF(ABS(L1006)&lt;'Progetto del paramento slu'!$G$58,ABS(L1006)*'Progetto del paramento slu'!$G$54,'Progetto del paramento slu'!$G$53)*IF(L1006&lt;0,-1,1)</f>
        <v>153664.85805602249</v>
      </c>
      <c r="S1006" s="553">
        <f>'Foglio deposito bis'!$F$60*IF(ABS(M1006)&lt;'Progetto del paramento slu'!$G$58,ABS(M1006)*'Progetto del paramento slu'!$G$54,'Progetto del paramento slu'!$G$53)*IF(M1006&lt;0,-1,1)</f>
        <v>0</v>
      </c>
      <c r="T1006" s="553">
        <f>'Foglio deposito bis'!$F$61*IF(ABS(N1006)&lt;'Progetto del paramento slu'!$G$58,ABS(N1006)*'Progetto del paramento slu'!$G$54,'Progetto del paramento slu'!$G$53)*IF(N1006&lt;0,-1,1)</f>
        <v>240946.49743184328</v>
      </c>
      <c r="U1006" s="553">
        <f>'Foglio deposito bis'!$F$62*IF(ABS(O1006)&lt;'Progetto del paramento slu'!$G$58,ABS(O1006)*'Progetto del paramento slu'!$G$54,'Progetto del paramento slu'!$G$53)*IF(O1006&lt;0,-1,1)</f>
        <v>314705.62929873407</v>
      </c>
      <c r="V1006" s="479">
        <f t="shared" si="78"/>
        <v>683566.36960919574</v>
      </c>
      <c r="W1006" s="559"/>
      <c r="X1006" s="559"/>
    </row>
    <row r="1007" spans="1:24" x14ac:dyDescent="0.25">
      <c r="A1007" s="553">
        <f t="shared" si="77"/>
        <v>680705.1901450397</v>
      </c>
      <c r="B1007" s="3">
        <f t="shared" si="79"/>
        <v>0.49999999999999994</v>
      </c>
      <c r="C1007" s="553">
        <f>'Foglio deposito bis'!$E$157/sezione!$B$247*B1007</f>
        <v>2.0297969579473305</v>
      </c>
      <c r="D1007" s="611">
        <f>-'Progetto del paramento slu'!$G$47*'Progetto del paramento slu'!$G$41*IF(DATI!$G$218="dx",DATI!$E$61,DATI!$E$64*DATI!$E$63)*1000*C1007^2*sezione!$AD$5*(1-sezione!$AD$6)</f>
        <v>-33916.462095313931</v>
      </c>
      <c r="E1007" s="553">
        <f>-'Foglio deposito bis'!$F$58*(C1007-sezione!$AL$31)*IF(ABS(K1007)&lt;'Progetto del paramento slu'!$G$58,ABS(K1007)*'Progetto del paramento slu'!$G$54,'Progetto del paramento slu'!$G$53)</f>
        <v>0</v>
      </c>
      <c r="F1007" s="553">
        <f>-'Foglio deposito bis'!$F$59*(C1007-sezione!$AM$31)*IF(ABS(L1007)&lt;'Progetto del paramento slu'!$G$58,ABS(L1007)*'Progetto del paramento slu'!$G$54,'Progetto del paramento slu'!$G$53)</f>
        <v>22737820.246977851</v>
      </c>
      <c r="G1007" s="553">
        <f>-'Foglio deposito bis'!$F$60*(C1007-sezione!$AN$31)*IF(ABS(M1007)&lt;'Progetto del paramento slu'!$G$58,ABS(M1007)*'Progetto del paramento slu'!$G$54,'Progetto del paramento slu'!$G$53)</f>
        <v>0</v>
      </c>
      <c r="H1007" s="553">
        <f>-'Foglio deposito bis'!$F$61*(C1007-sezione!$AO$31)*IF(ABS(N1007)&lt;'Progetto del paramento slu'!$G$58,ABS(N1007)*'Progetto del paramento slu'!$G$54,'Progetto del paramento slu'!$G$53)</f>
        <v>81432736.659311503</v>
      </c>
      <c r="I1007" s="479">
        <f>-'Foglio deposito bis'!$F$62*(C1007-sezione!$AP$31)*IF(ABS(O1007)&lt;'Progetto del paramento slu'!$G$58,ABS(O1007)*'Progetto del paramento slu'!$G$54,'Progetto del paramento slu'!$G$53)</f>
        <v>81185930.885172889</v>
      </c>
      <c r="J1007" s="479">
        <f t="shared" si="75"/>
        <v>185322571.32936692</v>
      </c>
      <c r="K1007" s="558">
        <f>'Progetto del paramento slu'!$G$60*(sezione!$AL$31-C1007)/C1007</f>
        <v>6.5472415911775508E-2</v>
      </c>
      <c r="L1007" s="558">
        <f>'Progetto del paramento slu'!$G$60*(sezione!$AM$31-C1007)/C1007</f>
        <v>0.25514655966915817</v>
      </c>
      <c r="M1007" s="559">
        <f>'Progetto del paramento slu'!$G$60*(sezione!$AN$31-C1007)/C1007</f>
        <v>0.44482070342654084</v>
      </c>
      <c r="N1007" s="559">
        <f>'Progetto del paramento slu'!$G$60*(sezione!$AO$31-C1007)/C1007</f>
        <v>0.582765535250092</v>
      </c>
      <c r="O1007" s="559">
        <f>'Progetto del paramento slu'!$G$60*(sezione!$AP$31-C1007)/C1007</f>
        <v>0.44482758408822426</v>
      </c>
      <c r="P1007" s="553">
        <f>-'Progetto del paramento slu'!$G$47*'Progetto del paramento slu'!$G$41*IF(DATI!$G$218="dx",DATI!$E$61,DATI!$E$64*DATI!$E$63)*1000*C1007*sezione!$AD$5</f>
        <v>-28611.794641560195</v>
      </c>
      <c r="Q1007" s="553">
        <f>'Foglio deposito bis'!$F$58*IF(ABS(K1007)&lt;'Progetto del paramento slu'!$G$58,ABS(K1007)*'Progetto del paramento slu'!$G$54,'Progetto del paramento slu'!$G$53)*IF(K1007&lt;0,-1,1)</f>
        <v>0</v>
      </c>
      <c r="R1007" s="553">
        <f>'Foglio deposito bis'!$F$59*IF(ABS(L1007)&lt;'Progetto del paramento slu'!$G$58,ABS(L1007)*'Progetto del paramento slu'!$G$54,'Progetto del paramento slu'!$G$53)*IF(L1007&lt;0,-1,1)</f>
        <v>153664.85805602249</v>
      </c>
      <c r="S1007" s="553">
        <f>'Foglio deposito bis'!$F$60*IF(ABS(M1007)&lt;'Progetto del paramento slu'!$G$58,ABS(M1007)*'Progetto del paramento slu'!$G$54,'Progetto del paramento slu'!$G$53)*IF(M1007&lt;0,-1,1)</f>
        <v>0</v>
      </c>
      <c r="T1007" s="553">
        <f>'Foglio deposito bis'!$F$61*IF(ABS(N1007)&lt;'Progetto del paramento slu'!$G$58,ABS(N1007)*'Progetto del paramento slu'!$G$54,'Progetto del paramento slu'!$G$53)*IF(N1007&lt;0,-1,1)</f>
        <v>240946.49743184328</v>
      </c>
      <c r="U1007" s="553">
        <f>'Foglio deposito bis'!$F$62*IF(ABS(O1007)&lt;'Progetto del paramento slu'!$G$58,ABS(O1007)*'Progetto del paramento slu'!$G$54,'Progetto del paramento slu'!$G$53)*IF(O1007&lt;0,-1,1)</f>
        <v>314705.62929873407</v>
      </c>
      <c r="V1007" s="479">
        <f t="shared" si="78"/>
        <v>680705.1901450397</v>
      </c>
      <c r="W1007" s="559"/>
      <c r="X1007" s="559"/>
    </row>
    <row r="1008" spans="1:24" x14ac:dyDescent="0.25">
      <c r="A1008" s="553">
        <f t="shared" si="77"/>
        <v>677844.01068088366</v>
      </c>
      <c r="B1008" s="3">
        <f t="shared" si="79"/>
        <v>0.54999999999999993</v>
      </c>
      <c r="C1008" s="553">
        <f>'Foglio deposito bis'!$E$157/sezione!$B$247*B1008</f>
        <v>2.2327766537420639</v>
      </c>
      <c r="D1008" s="611">
        <f>-'Progetto del paramento slu'!$G$47*'Progetto del paramento slu'!$G$41*IF(DATI!$G$218="dx",DATI!$E$61,DATI!$E$64*DATI!$E$63)*1000*C1008^2*sezione!$AD$5*(1-sezione!$AD$6)</f>
        <v>-41038.919135329867</v>
      </c>
      <c r="E1008" s="553">
        <f>-'Foglio deposito bis'!$F$58*(C1008-sezione!$AL$31)*IF(ABS(K1008)&lt;'Progetto del paramento slu'!$G$58,ABS(K1008)*'Progetto del paramento slu'!$G$54,'Progetto del paramento slu'!$G$53)</f>
        <v>0</v>
      </c>
      <c r="F1008" s="553">
        <f>-'Foglio deposito bis'!$F$59*(C1008-sezione!$AM$31)*IF(ABS(L1008)&lt;'Progetto del paramento slu'!$G$58,ABS(L1008)*'Progetto del paramento slu'!$G$54,'Progetto del paramento slu'!$G$53)</f>
        <v>22706629.400835298</v>
      </c>
      <c r="G1008" s="553">
        <f>-'Foglio deposito bis'!$F$60*(C1008-sezione!$AN$31)*IF(ABS(M1008)&lt;'Progetto del paramento slu'!$G$58,ABS(M1008)*'Progetto del paramento slu'!$G$54,'Progetto del paramento slu'!$G$53)</f>
        <v>0</v>
      </c>
      <c r="H1008" s="553">
        <f>-'Foglio deposito bis'!$F$61*(C1008-sezione!$AO$31)*IF(ABS(N1008)&lt;'Progetto del paramento slu'!$G$58,ABS(N1008)*'Progetto del paramento slu'!$G$54,'Progetto del paramento slu'!$G$53)</f>
        <v>81383829.412559971</v>
      </c>
      <c r="I1008" s="479">
        <f>-'Foglio deposito bis'!$F$62*(C1008-sezione!$AP$31)*IF(ABS(O1008)&lt;'Progetto del paramento slu'!$G$58,ABS(O1008)*'Progetto del paramento slu'!$G$54,'Progetto del paramento slu'!$G$53)</f>
        <v>81122052.032272935</v>
      </c>
      <c r="J1008" s="479">
        <f t="shared" si="75"/>
        <v>185171471.92653286</v>
      </c>
      <c r="K1008" s="558">
        <f>'Progetto del paramento slu'!$G$60*(sezione!$AL$31-C1008)/C1008</f>
        <v>5.9202196283432276E-2</v>
      </c>
      <c r="L1008" s="558">
        <f>'Progetto del paramento slu'!$G$60*(sezione!$AM$31-C1008)/C1008</f>
        <v>0.23163323606287106</v>
      </c>
      <c r="M1008" s="559">
        <f>'Progetto del paramento slu'!$G$60*(sezione!$AN$31-C1008)/C1008</f>
        <v>0.40406427584230981</v>
      </c>
      <c r="N1008" s="559">
        <f>'Progetto del paramento slu'!$G$60*(sezione!$AO$31-C1008)/C1008</f>
        <v>0.52946866840917439</v>
      </c>
      <c r="O1008" s="559">
        <f>'Progetto del paramento slu'!$G$60*(sezione!$AP$31-C1008)/C1008</f>
        <v>0.40407053098929469</v>
      </c>
      <c r="P1008" s="553">
        <f>-'Progetto del paramento slu'!$G$47*'Progetto del paramento slu'!$G$41*IF(DATI!$G$218="dx",DATI!$E$61,DATI!$E$64*DATI!$E$63)*1000*C1008*sezione!$AD$5</f>
        <v>-31472.974105716217</v>
      </c>
      <c r="Q1008" s="553">
        <f>'Foglio deposito bis'!$F$58*IF(ABS(K1008)&lt;'Progetto del paramento slu'!$G$58,ABS(K1008)*'Progetto del paramento slu'!$G$54,'Progetto del paramento slu'!$G$53)*IF(K1008&lt;0,-1,1)</f>
        <v>0</v>
      </c>
      <c r="R1008" s="553">
        <f>'Foglio deposito bis'!$F$59*IF(ABS(L1008)&lt;'Progetto del paramento slu'!$G$58,ABS(L1008)*'Progetto del paramento slu'!$G$54,'Progetto del paramento slu'!$G$53)*IF(L1008&lt;0,-1,1)</f>
        <v>153664.85805602249</v>
      </c>
      <c r="S1008" s="553">
        <f>'Foglio deposito bis'!$F$60*IF(ABS(M1008)&lt;'Progetto del paramento slu'!$G$58,ABS(M1008)*'Progetto del paramento slu'!$G$54,'Progetto del paramento slu'!$G$53)*IF(M1008&lt;0,-1,1)</f>
        <v>0</v>
      </c>
      <c r="T1008" s="553">
        <f>'Foglio deposito bis'!$F$61*IF(ABS(N1008)&lt;'Progetto del paramento slu'!$G$58,ABS(N1008)*'Progetto del paramento slu'!$G$54,'Progetto del paramento slu'!$G$53)*IF(N1008&lt;0,-1,1)</f>
        <v>240946.49743184328</v>
      </c>
      <c r="U1008" s="553">
        <f>'Foglio deposito bis'!$F$62*IF(ABS(O1008)&lt;'Progetto del paramento slu'!$G$58,ABS(O1008)*'Progetto del paramento slu'!$G$54,'Progetto del paramento slu'!$G$53)*IF(O1008&lt;0,-1,1)</f>
        <v>314705.62929873407</v>
      </c>
      <c r="V1008" s="479">
        <f t="shared" si="78"/>
        <v>677844.01068088366</v>
      </c>
      <c r="W1008" s="559"/>
      <c r="X1008" s="559"/>
    </row>
    <row r="1009" spans="1:24" x14ac:dyDescent="0.25">
      <c r="A1009" s="553">
        <f t="shared" si="77"/>
        <v>674982.83121672762</v>
      </c>
      <c r="B1009" s="3">
        <f t="shared" si="79"/>
        <v>0.6</v>
      </c>
      <c r="C1009" s="553">
        <f>'Foglio deposito bis'!$E$157/sezione!$B$247*B1009</f>
        <v>2.4357563495367969</v>
      </c>
      <c r="D1009" s="611">
        <f>-'Progetto del paramento slu'!$G$47*'Progetto del paramento slu'!$G$41*IF(DATI!$G$218="dx",DATI!$E$61,DATI!$E$64*DATI!$E$63)*1000*C1009^2*sezione!$AD$5*(1-sezione!$AD$6)</f>
        <v>-48839.705417252073</v>
      </c>
      <c r="E1009" s="553">
        <f>-'Foglio deposito bis'!$F$58*(C1009-sezione!$AL$31)*IF(ABS(K1009)&lt;'Progetto del paramento slu'!$G$58,ABS(K1009)*'Progetto del paramento slu'!$G$54,'Progetto del paramento slu'!$G$53)</f>
        <v>0</v>
      </c>
      <c r="F1009" s="553">
        <f>-'Foglio deposito bis'!$F$59*(C1009-sezione!$AM$31)*IF(ABS(L1009)&lt;'Progetto del paramento slu'!$G$58,ABS(L1009)*'Progetto del paramento slu'!$G$54,'Progetto del paramento slu'!$G$53)</f>
        <v>22675438.554692749</v>
      </c>
      <c r="G1009" s="553">
        <f>-'Foglio deposito bis'!$F$60*(C1009-sezione!$AN$31)*IF(ABS(M1009)&lt;'Progetto del paramento slu'!$G$58,ABS(M1009)*'Progetto del paramento slu'!$G$54,'Progetto del paramento slu'!$G$53)</f>
        <v>0</v>
      </c>
      <c r="H1009" s="553">
        <f>-'Foglio deposito bis'!$F$61*(C1009-sezione!$AO$31)*IF(ABS(N1009)&lt;'Progetto del paramento slu'!$G$58,ABS(N1009)*'Progetto del paramento slu'!$G$54,'Progetto del paramento slu'!$G$53)</f>
        <v>81334922.165808439</v>
      </c>
      <c r="I1009" s="479">
        <f>-'Foglio deposito bis'!$F$62*(C1009-sezione!$AP$31)*IF(ABS(O1009)&lt;'Progetto del paramento slu'!$G$58,ABS(O1009)*'Progetto del paramento slu'!$G$54,'Progetto del paramento slu'!$G$53)</f>
        <v>81058173.179372996</v>
      </c>
      <c r="J1009" s="479">
        <f t="shared" si="75"/>
        <v>185019694.19445693</v>
      </c>
      <c r="K1009" s="558">
        <f>'Progetto del paramento slu'!$G$60*(sezione!$AL$31-C1009)/C1009</f>
        <v>5.3977013259812925E-2</v>
      </c>
      <c r="L1009" s="558">
        <f>'Progetto del paramento slu'!$G$60*(sezione!$AM$31-C1009)/C1009</f>
        <v>0.21203879972429845</v>
      </c>
      <c r="M1009" s="559">
        <f>'Progetto del paramento slu'!$G$60*(sezione!$AN$31-C1009)/C1009</f>
        <v>0.370100586188784</v>
      </c>
      <c r="N1009" s="559">
        <f>'Progetto del paramento slu'!$G$60*(sezione!$AO$31-C1009)/C1009</f>
        <v>0.48505461270840988</v>
      </c>
      <c r="O1009" s="559">
        <f>'Progetto del paramento slu'!$G$60*(sezione!$AP$31-C1009)/C1009</f>
        <v>0.37010632007352018</v>
      </c>
      <c r="P1009" s="553">
        <f>-'Progetto del paramento slu'!$G$47*'Progetto del paramento slu'!$G$41*IF(DATI!$G$218="dx",DATI!$E$61,DATI!$E$64*DATI!$E$63)*1000*C1009*sezione!$AD$5</f>
        <v>-34334.153569872236</v>
      </c>
      <c r="Q1009" s="553">
        <f>'Foglio deposito bis'!$F$58*IF(ABS(K1009)&lt;'Progetto del paramento slu'!$G$58,ABS(K1009)*'Progetto del paramento slu'!$G$54,'Progetto del paramento slu'!$G$53)*IF(K1009&lt;0,-1,1)</f>
        <v>0</v>
      </c>
      <c r="R1009" s="553">
        <f>'Foglio deposito bis'!$F$59*IF(ABS(L1009)&lt;'Progetto del paramento slu'!$G$58,ABS(L1009)*'Progetto del paramento slu'!$G$54,'Progetto del paramento slu'!$G$53)*IF(L1009&lt;0,-1,1)</f>
        <v>153664.85805602249</v>
      </c>
      <c r="S1009" s="553">
        <f>'Foglio deposito bis'!$F$60*IF(ABS(M1009)&lt;'Progetto del paramento slu'!$G$58,ABS(M1009)*'Progetto del paramento slu'!$G$54,'Progetto del paramento slu'!$G$53)*IF(M1009&lt;0,-1,1)</f>
        <v>0</v>
      </c>
      <c r="T1009" s="553">
        <f>'Foglio deposito bis'!$F$61*IF(ABS(N1009)&lt;'Progetto del paramento slu'!$G$58,ABS(N1009)*'Progetto del paramento slu'!$G$54,'Progetto del paramento slu'!$G$53)*IF(N1009&lt;0,-1,1)</f>
        <v>240946.49743184328</v>
      </c>
      <c r="U1009" s="553">
        <f>'Foglio deposito bis'!$F$62*IF(ABS(O1009)&lt;'Progetto del paramento slu'!$G$58,ABS(O1009)*'Progetto del paramento slu'!$G$54,'Progetto del paramento slu'!$G$53)*IF(O1009&lt;0,-1,1)</f>
        <v>314705.62929873407</v>
      </c>
      <c r="V1009" s="479">
        <f t="shared" si="78"/>
        <v>674982.83121672762</v>
      </c>
      <c r="W1009" s="559"/>
      <c r="X1009" s="559"/>
    </row>
    <row r="1010" spans="1:24" x14ac:dyDescent="0.25">
      <c r="A1010" s="553">
        <f t="shared" si="77"/>
        <v>672121.65175257158</v>
      </c>
      <c r="B1010" s="3">
        <f t="shared" si="79"/>
        <v>0.65</v>
      </c>
      <c r="C1010" s="553">
        <f>'Foglio deposito bis'!$E$157/sezione!$B$247*B1010</f>
        <v>2.6387360453315303</v>
      </c>
      <c r="D1010" s="611">
        <f>-'Progetto del paramento slu'!$G$47*'Progetto del paramento slu'!$G$41*IF(DATI!$G$218="dx",DATI!$E$61,DATI!$E$64*DATI!$E$63)*1000*C1010^2*sezione!$AD$5*(1-sezione!$AD$6)</f>
        <v>-57318.820941080579</v>
      </c>
      <c r="E1010" s="553">
        <f>-'Foglio deposito bis'!$F$58*(C1010-sezione!$AL$31)*IF(ABS(K1010)&lt;'Progetto del paramento slu'!$G$58,ABS(K1010)*'Progetto del paramento slu'!$G$54,'Progetto del paramento slu'!$G$53)</f>
        <v>0</v>
      </c>
      <c r="F1010" s="553">
        <f>-'Foglio deposito bis'!$F$59*(C1010-sezione!$AM$31)*IF(ABS(L1010)&lt;'Progetto del paramento slu'!$G$58,ABS(L1010)*'Progetto del paramento slu'!$G$54,'Progetto del paramento slu'!$G$53)</f>
        <v>22644247.708550192</v>
      </c>
      <c r="G1010" s="553">
        <f>-'Foglio deposito bis'!$F$60*(C1010-sezione!$AN$31)*IF(ABS(M1010)&lt;'Progetto del paramento slu'!$G$58,ABS(M1010)*'Progetto del paramento slu'!$G$54,'Progetto del paramento slu'!$G$53)</f>
        <v>0</v>
      </c>
      <c r="H1010" s="553">
        <f>-'Foglio deposito bis'!$F$61*(C1010-sezione!$AO$31)*IF(ABS(N1010)&lt;'Progetto del paramento slu'!$G$58,ABS(N1010)*'Progetto del paramento slu'!$G$54,'Progetto del paramento slu'!$G$53)</f>
        <v>81286014.919056922</v>
      </c>
      <c r="I1010" s="479">
        <f>-'Foglio deposito bis'!$F$62*(C1010-sezione!$AP$31)*IF(ABS(O1010)&lt;'Progetto del paramento slu'!$G$58,ABS(O1010)*'Progetto del paramento slu'!$G$54,'Progetto del paramento slu'!$G$53)</f>
        <v>80994294.326473042</v>
      </c>
      <c r="J1010" s="479">
        <f t="shared" si="75"/>
        <v>184867238.13313907</v>
      </c>
      <c r="K1010" s="558">
        <f>'Progetto del paramento slu'!$G$60*(sezione!$AL$31-C1010)/C1010</f>
        <v>4.9555704547519619E-2</v>
      </c>
      <c r="L1010" s="558">
        <f>'Progetto del paramento slu'!$G$60*(sezione!$AM$31-C1010)/C1010</f>
        <v>0.19545889205319855</v>
      </c>
      <c r="M1010" s="559">
        <f>'Progetto del paramento slu'!$G$60*(sezione!$AN$31-C1010)/C1010</f>
        <v>0.34136207955887748</v>
      </c>
      <c r="N1010" s="559">
        <f>'Progetto del paramento slu'!$G$60*(sezione!$AO$31-C1010)/C1010</f>
        <v>0.44747348865391678</v>
      </c>
      <c r="O1010" s="559">
        <f>'Progetto del paramento slu'!$G$60*(sezione!$AP$31-C1010)/C1010</f>
        <v>0.34136737237555703</v>
      </c>
      <c r="P1010" s="553">
        <f>-'Progetto del paramento slu'!$G$47*'Progetto del paramento slu'!$G$41*IF(DATI!$G$218="dx",DATI!$E$61,DATI!$E$64*DATI!$E$63)*1000*C1010*sezione!$AD$5</f>
        <v>-37195.33303402827</v>
      </c>
      <c r="Q1010" s="553">
        <f>'Foglio deposito bis'!$F$58*IF(ABS(K1010)&lt;'Progetto del paramento slu'!$G$58,ABS(K1010)*'Progetto del paramento slu'!$G$54,'Progetto del paramento slu'!$G$53)*IF(K1010&lt;0,-1,1)</f>
        <v>0</v>
      </c>
      <c r="R1010" s="553">
        <f>'Foglio deposito bis'!$F$59*IF(ABS(L1010)&lt;'Progetto del paramento slu'!$G$58,ABS(L1010)*'Progetto del paramento slu'!$G$54,'Progetto del paramento slu'!$G$53)*IF(L1010&lt;0,-1,1)</f>
        <v>153664.85805602249</v>
      </c>
      <c r="S1010" s="553">
        <f>'Foglio deposito bis'!$F$60*IF(ABS(M1010)&lt;'Progetto del paramento slu'!$G$58,ABS(M1010)*'Progetto del paramento slu'!$G$54,'Progetto del paramento slu'!$G$53)*IF(M1010&lt;0,-1,1)</f>
        <v>0</v>
      </c>
      <c r="T1010" s="553">
        <f>'Foglio deposito bis'!$F$61*IF(ABS(N1010)&lt;'Progetto del paramento slu'!$G$58,ABS(N1010)*'Progetto del paramento slu'!$G$54,'Progetto del paramento slu'!$G$53)*IF(N1010&lt;0,-1,1)</f>
        <v>240946.49743184328</v>
      </c>
      <c r="U1010" s="553">
        <f>'Foglio deposito bis'!$F$62*IF(ABS(O1010)&lt;'Progetto del paramento slu'!$G$58,ABS(O1010)*'Progetto del paramento slu'!$G$54,'Progetto del paramento slu'!$G$53)*IF(O1010&lt;0,-1,1)</f>
        <v>314705.62929873407</v>
      </c>
      <c r="V1010" s="479">
        <f t="shared" si="78"/>
        <v>672121.65175257158</v>
      </c>
      <c r="W1010" s="559"/>
      <c r="X1010" s="559"/>
    </row>
    <row r="1011" spans="1:24" x14ac:dyDescent="0.25">
      <c r="A1011" s="553">
        <f t="shared" si="77"/>
        <v>669260.47228841553</v>
      </c>
      <c r="B1011" s="3">
        <f t="shared" si="79"/>
        <v>0.70000000000000007</v>
      </c>
      <c r="C1011" s="553">
        <f>'Foglio deposito bis'!$E$157/sezione!$B$247*B1011</f>
        <v>2.8417157411262637</v>
      </c>
      <c r="D1011" s="611">
        <f>-'Progetto del paramento slu'!$G$47*'Progetto del paramento slu'!$G$41*IF(DATI!$G$218="dx",DATI!$E$61,DATI!$E$64*DATI!$E$63)*1000*C1011^2*sezione!$AD$5*(1-sezione!$AD$6)</f>
        <v>-66476.265706815349</v>
      </c>
      <c r="E1011" s="553">
        <f>-'Foglio deposito bis'!$F$58*(C1011-sezione!$AL$31)*IF(ABS(K1011)&lt;'Progetto del paramento slu'!$G$58,ABS(K1011)*'Progetto del paramento slu'!$G$54,'Progetto del paramento slu'!$G$53)</f>
        <v>0</v>
      </c>
      <c r="F1011" s="553">
        <f>-'Foglio deposito bis'!$F$59*(C1011-sezione!$AM$31)*IF(ABS(L1011)&lt;'Progetto del paramento slu'!$G$58,ABS(L1011)*'Progetto del paramento slu'!$G$54,'Progetto del paramento slu'!$G$53)</f>
        <v>22613056.862407647</v>
      </c>
      <c r="G1011" s="553">
        <f>-'Foglio deposito bis'!$F$60*(C1011-sezione!$AN$31)*IF(ABS(M1011)&lt;'Progetto del paramento slu'!$G$58,ABS(M1011)*'Progetto del paramento slu'!$G$54,'Progetto del paramento slu'!$G$53)</f>
        <v>0</v>
      </c>
      <c r="H1011" s="553">
        <f>-'Foglio deposito bis'!$F$61*(C1011-sezione!$AO$31)*IF(ABS(N1011)&lt;'Progetto del paramento slu'!$G$58,ABS(N1011)*'Progetto del paramento slu'!$G$54,'Progetto del paramento slu'!$G$53)</f>
        <v>81237107.672305405</v>
      </c>
      <c r="I1011" s="479">
        <f>-'Foglio deposito bis'!$F$62*(C1011-sezione!$AP$31)*IF(ABS(O1011)&lt;'Progetto del paramento slu'!$G$58,ABS(O1011)*'Progetto del paramento slu'!$G$54,'Progetto del paramento slu'!$G$53)</f>
        <v>80930415.473573089</v>
      </c>
      <c r="J1011" s="479">
        <f t="shared" si="75"/>
        <v>184714103.74257934</v>
      </c>
      <c r="K1011" s="558">
        <f>'Progetto del paramento slu'!$G$60*(sezione!$AL$31-C1011)/C1011</f>
        <v>4.5766011365553923E-2</v>
      </c>
      <c r="L1011" s="558">
        <f>'Progetto del paramento slu'!$G$60*(sezione!$AM$31-C1011)/C1011</f>
        <v>0.18124754262082726</v>
      </c>
      <c r="M1011" s="559">
        <f>'Progetto del paramento slu'!$G$60*(sezione!$AN$31-C1011)/C1011</f>
        <v>0.3167290738761005</v>
      </c>
      <c r="N1011" s="559">
        <f>'Progetto del paramento slu'!$G$60*(sezione!$AO$31-C1011)/C1011</f>
        <v>0.41526109660720834</v>
      </c>
      <c r="O1011" s="559">
        <f>'Progetto del paramento slu'!$G$60*(sezione!$AP$31-C1011)/C1011</f>
        <v>0.31673398863444574</v>
      </c>
      <c r="P1011" s="553">
        <f>-'Progetto del paramento slu'!$G$47*'Progetto del paramento slu'!$G$41*IF(DATI!$G$218="dx",DATI!$E$61,DATI!$E$64*DATI!$E$63)*1000*C1011*sezione!$AD$5</f>
        <v>-40056.512498184289</v>
      </c>
      <c r="Q1011" s="553">
        <f>'Foglio deposito bis'!$F$58*IF(ABS(K1011)&lt;'Progetto del paramento slu'!$G$58,ABS(K1011)*'Progetto del paramento slu'!$G$54,'Progetto del paramento slu'!$G$53)*IF(K1011&lt;0,-1,1)</f>
        <v>0</v>
      </c>
      <c r="R1011" s="553">
        <f>'Foglio deposito bis'!$F$59*IF(ABS(L1011)&lt;'Progetto del paramento slu'!$G$58,ABS(L1011)*'Progetto del paramento slu'!$G$54,'Progetto del paramento slu'!$G$53)*IF(L1011&lt;0,-1,1)</f>
        <v>153664.85805602249</v>
      </c>
      <c r="S1011" s="553">
        <f>'Foglio deposito bis'!$F$60*IF(ABS(M1011)&lt;'Progetto del paramento slu'!$G$58,ABS(M1011)*'Progetto del paramento slu'!$G$54,'Progetto del paramento slu'!$G$53)*IF(M1011&lt;0,-1,1)</f>
        <v>0</v>
      </c>
      <c r="T1011" s="553">
        <f>'Foglio deposito bis'!$F$61*IF(ABS(N1011)&lt;'Progetto del paramento slu'!$G$58,ABS(N1011)*'Progetto del paramento slu'!$G$54,'Progetto del paramento slu'!$G$53)*IF(N1011&lt;0,-1,1)</f>
        <v>240946.49743184328</v>
      </c>
      <c r="U1011" s="553">
        <f>'Foglio deposito bis'!$F$62*IF(ABS(O1011)&lt;'Progetto del paramento slu'!$G$58,ABS(O1011)*'Progetto del paramento slu'!$G$54,'Progetto del paramento slu'!$G$53)*IF(O1011&lt;0,-1,1)</f>
        <v>314705.62929873407</v>
      </c>
      <c r="V1011" s="479">
        <f t="shared" si="78"/>
        <v>669260.47228841553</v>
      </c>
      <c r="W1011" s="559"/>
      <c r="X1011" s="559"/>
    </row>
    <row r="1012" spans="1:24" x14ac:dyDescent="0.25">
      <c r="A1012" s="553">
        <f t="shared" si="77"/>
        <v>666399.29282425949</v>
      </c>
      <c r="B1012" s="3">
        <f t="shared" si="79"/>
        <v>0.75000000000000011</v>
      </c>
      <c r="C1012" s="553">
        <f>'Foglio deposito bis'!$E$157/sezione!$B$247*B1012</f>
        <v>3.0446954369209971</v>
      </c>
      <c r="D1012" s="611">
        <f>-'Progetto del paramento slu'!$G$47*'Progetto del paramento slu'!$G$41*IF(DATI!$G$218="dx",DATI!$E$61,DATI!$E$64*DATI!$E$63)*1000*C1012^2*sezione!$AD$5*(1-sezione!$AD$6)</f>
        <v>-76312.039714456419</v>
      </c>
      <c r="E1012" s="553">
        <f>-'Foglio deposito bis'!$F$58*(C1012-sezione!$AL$31)*IF(ABS(K1012)&lt;'Progetto del paramento slu'!$G$58,ABS(K1012)*'Progetto del paramento slu'!$G$54,'Progetto del paramento slu'!$G$53)</f>
        <v>0</v>
      </c>
      <c r="F1012" s="553">
        <f>-'Foglio deposito bis'!$F$59*(C1012-sezione!$AM$31)*IF(ABS(L1012)&lt;'Progetto del paramento slu'!$G$58,ABS(L1012)*'Progetto del paramento slu'!$G$54,'Progetto del paramento slu'!$G$53)</f>
        <v>22581866.016265091</v>
      </c>
      <c r="G1012" s="553">
        <f>-'Foglio deposito bis'!$F$60*(C1012-sezione!$AN$31)*IF(ABS(M1012)&lt;'Progetto del paramento slu'!$G$58,ABS(M1012)*'Progetto del paramento slu'!$G$54,'Progetto del paramento slu'!$G$53)</f>
        <v>0</v>
      </c>
      <c r="H1012" s="553">
        <f>-'Foglio deposito bis'!$F$61*(C1012-sezione!$AO$31)*IF(ABS(N1012)&lt;'Progetto del paramento slu'!$G$58,ABS(N1012)*'Progetto del paramento slu'!$G$54,'Progetto del paramento slu'!$G$53)</f>
        <v>81188200.425553873</v>
      </c>
      <c r="I1012" s="479">
        <f>-'Foglio deposito bis'!$F$62*(C1012-sezione!$AP$31)*IF(ABS(O1012)&lt;'Progetto del paramento slu'!$G$58,ABS(O1012)*'Progetto del paramento slu'!$G$54,'Progetto del paramento slu'!$G$53)</f>
        <v>80866536.62067315</v>
      </c>
      <c r="J1012" s="479">
        <f t="shared" si="75"/>
        <v>184560291.02277768</v>
      </c>
      <c r="K1012" s="558">
        <f>'Progetto del paramento slu'!$G$60*(sezione!$AL$31-C1012)/C1012</f>
        <v>4.2481610607850322E-2</v>
      </c>
      <c r="L1012" s="558">
        <f>'Progetto del paramento slu'!$G$60*(sezione!$AM$31-C1012)/C1012</f>
        <v>0.16893103977943874</v>
      </c>
      <c r="M1012" s="559">
        <f>'Progetto del paramento slu'!$G$60*(sezione!$AN$31-C1012)/C1012</f>
        <v>0.2953804689510271</v>
      </c>
      <c r="N1012" s="559">
        <f>'Progetto del paramento slu'!$G$60*(sezione!$AO$31-C1012)/C1012</f>
        <v>0.38734369016672776</v>
      </c>
      <c r="O1012" s="559">
        <f>'Progetto del paramento slu'!$G$60*(sezione!$AP$31-C1012)/C1012</f>
        <v>0.29538505605881599</v>
      </c>
      <c r="P1012" s="553">
        <f>-'Progetto del paramento slu'!$G$47*'Progetto del paramento slu'!$G$41*IF(DATI!$G$218="dx",DATI!$E$61,DATI!$E$64*DATI!$E$63)*1000*C1012*sezione!$AD$5</f>
        <v>-42917.691962340316</v>
      </c>
      <c r="Q1012" s="553">
        <f>'Foglio deposito bis'!$F$58*IF(ABS(K1012)&lt;'Progetto del paramento slu'!$G$58,ABS(K1012)*'Progetto del paramento slu'!$G$54,'Progetto del paramento slu'!$G$53)*IF(K1012&lt;0,-1,1)</f>
        <v>0</v>
      </c>
      <c r="R1012" s="553">
        <f>'Foglio deposito bis'!$F$59*IF(ABS(L1012)&lt;'Progetto del paramento slu'!$G$58,ABS(L1012)*'Progetto del paramento slu'!$G$54,'Progetto del paramento slu'!$G$53)*IF(L1012&lt;0,-1,1)</f>
        <v>153664.85805602249</v>
      </c>
      <c r="S1012" s="553">
        <f>'Foglio deposito bis'!$F$60*IF(ABS(M1012)&lt;'Progetto del paramento slu'!$G$58,ABS(M1012)*'Progetto del paramento slu'!$G$54,'Progetto del paramento slu'!$G$53)*IF(M1012&lt;0,-1,1)</f>
        <v>0</v>
      </c>
      <c r="T1012" s="553">
        <f>'Foglio deposito bis'!$F$61*IF(ABS(N1012)&lt;'Progetto del paramento slu'!$G$58,ABS(N1012)*'Progetto del paramento slu'!$G$54,'Progetto del paramento slu'!$G$53)*IF(N1012&lt;0,-1,1)</f>
        <v>240946.49743184328</v>
      </c>
      <c r="U1012" s="553">
        <f>'Foglio deposito bis'!$F$62*IF(ABS(O1012)&lt;'Progetto del paramento slu'!$G$58,ABS(O1012)*'Progetto del paramento slu'!$G$54,'Progetto del paramento slu'!$G$53)*IF(O1012&lt;0,-1,1)</f>
        <v>314705.62929873407</v>
      </c>
      <c r="V1012" s="479">
        <f t="shared" si="78"/>
        <v>666399.29282425949</v>
      </c>
      <c r="W1012" s="559"/>
      <c r="X1012" s="559"/>
    </row>
    <row r="1013" spans="1:24" x14ac:dyDescent="0.25">
      <c r="A1013" s="553">
        <f t="shared" si="77"/>
        <v>663538.11336010345</v>
      </c>
      <c r="B1013" s="3">
        <f t="shared" si="79"/>
        <v>0.80000000000000016</v>
      </c>
      <c r="C1013" s="553">
        <f>'Foglio deposito bis'!$E$157/sezione!$B$247*B1013</f>
        <v>3.2476751327157301</v>
      </c>
      <c r="D1013" s="611">
        <f>-'Progetto del paramento slu'!$G$47*'Progetto del paramento slu'!$G$41*IF(DATI!$G$218="dx",DATI!$E$61,DATI!$E$64*DATI!$E$63)*1000*C1013^2*sezione!$AD$5*(1-sezione!$AD$6)</f>
        <v>-86826.142964003739</v>
      </c>
      <c r="E1013" s="553">
        <f>-'Foglio deposito bis'!$F$58*(C1013-sezione!$AL$31)*IF(ABS(K1013)&lt;'Progetto del paramento slu'!$G$58,ABS(K1013)*'Progetto del paramento slu'!$G$54,'Progetto del paramento slu'!$G$53)</f>
        <v>0</v>
      </c>
      <c r="F1013" s="553">
        <f>-'Foglio deposito bis'!$F$59*(C1013-sezione!$AM$31)*IF(ABS(L1013)&lt;'Progetto del paramento slu'!$G$58,ABS(L1013)*'Progetto del paramento slu'!$G$54,'Progetto del paramento slu'!$G$53)</f>
        <v>22550675.170122538</v>
      </c>
      <c r="G1013" s="553">
        <f>-'Foglio deposito bis'!$F$60*(C1013-sezione!$AN$31)*IF(ABS(M1013)&lt;'Progetto del paramento slu'!$G$58,ABS(M1013)*'Progetto del paramento slu'!$G$54,'Progetto del paramento slu'!$G$53)</f>
        <v>0</v>
      </c>
      <c r="H1013" s="553">
        <f>-'Foglio deposito bis'!$F$61*(C1013-sezione!$AO$31)*IF(ABS(N1013)&lt;'Progetto del paramento slu'!$G$58,ABS(N1013)*'Progetto del paramento slu'!$G$54,'Progetto del paramento slu'!$G$53)</f>
        <v>81139293.178802356</v>
      </c>
      <c r="I1013" s="479">
        <f>-'Foglio deposito bis'!$F$62*(C1013-sezione!$AP$31)*IF(ABS(O1013)&lt;'Progetto del paramento slu'!$G$58,ABS(O1013)*'Progetto del paramento slu'!$G$54,'Progetto del paramento slu'!$G$53)</f>
        <v>80802657.767773211</v>
      </c>
      <c r="J1013" s="479">
        <f t="shared" si="75"/>
        <v>184405799.97373408</v>
      </c>
      <c r="K1013" s="558">
        <f>'Progetto del paramento slu'!$G$60*(sezione!$AL$31-C1013)/C1013</f>
        <v>3.9607759944859683E-2</v>
      </c>
      <c r="L1013" s="558">
        <f>'Progetto del paramento slu'!$G$60*(sezione!$AM$31-C1013)/C1013</f>
        <v>0.15815409979322381</v>
      </c>
      <c r="M1013" s="559">
        <f>'Progetto del paramento slu'!$G$60*(sezione!$AN$31-C1013)/C1013</f>
        <v>0.27670043964158791</v>
      </c>
      <c r="N1013" s="559">
        <f>'Progetto del paramento slu'!$G$60*(sezione!$AO$31-C1013)/C1013</f>
        <v>0.36291595953130723</v>
      </c>
      <c r="O1013" s="559">
        <f>'Progetto del paramento slu'!$G$60*(sezione!$AP$31-C1013)/C1013</f>
        <v>0.27670474005514001</v>
      </c>
      <c r="P1013" s="553">
        <f>-'Progetto del paramento slu'!$G$47*'Progetto del paramento slu'!$G$41*IF(DATI!$G$218="dx",DATI!$E$61,DATI!$E$64*DATI!$E$63)*1000*C1013*sezione!$AD$5</f>
        <v>-45778.871426496335</v>
      </c>
      <c r="Q1013" s="553">
        <f>'Foglio deposito bis'!$F$58*IF(ABS(K1013)&lt;'Progetto del paramento slu'!$G$58,ABS(K1013)*'Progetto del paramento slu'!$G$54,'Progetto del paramento slu'!$G$53)*IF(K1013&lt;0,-1,1)</f>
        <v>0</v>
      </c>
      <c r="R1013" s="553">
        <f>'Foglio deposito bis'!$F$59*IF(ABS(L1013)&lt;'Progetto del paramento slu'!$G$58,ABS(L1013)*'Progetto del paramento slu'!$G$54,'Progetto del paramento slu'!$G$53)*IF(L1013&lt;0,-1,1)</f>
        <v>153664.85805602249</v>
      </c>
      <c r="S1013" s="553">
        <f>'Foglio deposito bis'!$F$60*IF(ABS(M1013)&lt;'Progetto del paramento slu'!$G$58,ABS(M1013)*'Progetto del paramento slu'!$G$54,'Progetto del paramento slu'!$G$53)*IF(M1013&lt;0,-1,1)</f>
        <v>0</v>
      </c>
      <c r="T1013" s="553">
        <f>'Foglio deposito bis'!$F$61*IF(ABS(N1013)&lt;'Progetto del paramento slu'!$G$58,ABS(N1013)*'Progetto del paramento slu'!$G$54,'Progetto del paramento slu'!$G$53)*IF(N1013&lt;0,-1,1)</f>
        <v>240946.49743184328</v>
      </c>
      <c r="U1013" s="553">
        <f>'Foglio deposito bis'!$F$62*IF(ABS(O1013)&lt;'Progetto del paramento slu'!$G$58,ABS(O1013)*'Progetto del paramento slu'!$G$54,'Progetto del paramento slu'!$G$53)*IF(O1013&lt;0,-1,1)</f>
        <v>314705.62929873407</v>
      </c>
      <c r="V1013" s="479">
        <f t="shared" si="78"/>
        <v>663538.11336010345</v>
      </c>
      <c r="W1013" s="559"/>
      <c r="X1013" s="559"/>
    </row>
    <row r="1014" spans="1:24" x14ac:dyDescent="0.25">
      <c r="A1014" s="553">
        <f t="shared" si="77"/>
        <v>660676.93389594741</v>
      </c>
      <c r="B1014" s="3">
        <f t="shared" si="79"/>
        <v>0.8500000000000002</v>
      </c>
      <c r="C1014" s="553">
        <f>'Foglio deposito bis'!$E$157/sezione!$B$247*B1014</f>
        <v>3.4506548285104635</v>
      </c>
      <c r="D1014" s="611">
        <f>-'Progetto del paramento slu'!$G$47*'Progetto del paramento slu'!$G$41*IF(DATI!$G$218="dx",DATI!$E$61,DATI!$E$64*DATI!$E$63)*1000*C1014^2*sezione!$AD$5*(1-sezione!$AD$6)</f>
        <v>-98018.57545545735</v>
      </c>
      <c r="E1014" s="553">
        <f>-'Foglio deposito bis'!$F$58*(C1014-sezione!$AL$31)*IF(ABS(K1014)&lt;'Progetto del paramento slu'!$G$58,ABS(K1014)*'Progetto del paramento slu'!$G$54,'Progetto del paramento slu'!$G$53)</f>
        <v>0</v>
      </c>
      <c r="F1014" s="553">
        <f>-'Foglio deposito bis'!$F$59*(C1014-sezione!$AM$31)*IF(ABS(L1014)&lt;'Progetto del paramento slu'!$G$58,ABS(L1014)*'Progetto del paramento slu'!$G$54,'Progetto del paramento slu'!$G$53)</f>
        <v>22519484.323979985</v>
      </c>
      <c r="G1014" s="553">
        <f>-'Foglio deposito bis'!$F$60*(C1014-sezione!$AN$31)*IF(ABS(M1014)&lt;'Progetto del paramento slu'!$G$58,ABS(M1014)*'Progetto del paramento slu'!$G$54,'Progetto del paramento slu'!$G$53)</f>
        <v>0</v>
      </c>
      <c r="H1014" s="553">
        <f>-'Foglio deposito bis'!$F$61*(C1014-sezione!$AO$31)*IF(ABS(N1014)&lt;'Progetto del paramento slu'!$G$58,ABS(N1014)*'Progetto del paramento slu'!$G$54,'Progetto del paramento slu'!$G$53)</f>
        <v>81090385.932050854</v>
      </c>
      <c r="I1014" s="479">
        <f>-'Foglio deposito bis'!$F$62*(C1014-sezione!$AP$31)*IF(ABS(O1014)&lt;'Progetto del paramento slu'!$G$58,ABS(O1014)*'Progetto del paramento slu'!$G$54,'Progetto del paramento slu'!$G$53)</f>
        <v>80738778.914873272</v>
      </c>
      <c r="J1014" s="479">
        <f t="shared" si="75"/>
        <v>184250630.59544867</v>
      </c>
      <c r="K1014" s="558">
        <f>'Progetto del paramento slu'!$G$60*(sezione!$AL$31-C1014)/C1014</f>
        <v>3.707200935986793E-2</v>
      </c>
      <c r="L1014" s="558">
        <f>'Progetto del paramento slu'!$G$60*(sezione!$AM$31-C1014)/C1014</f>
        <v>0.14864503509950475</v>
      </c>
      <c r="M1014" s="559">
        <f>'Progetto del paramento slu'!$G$60*(sezione!$AN$31-C1014)/C1014</f>
        <v>0.26021806083914156</v>
      </c>
      <c r="N1014" s="559">
        <f>'Progetto del paramento slu'!$G$60*(sezione!$AO$31-C1014)/C1014</f>
        <v>0.34136207955887748</v>
      </c>
      <c r="O1014" s="559">
        <f>'Progetto del paramento slu'!$G$60*(sezione!$AP$31-C1014)/C1014</f>
        <v>0.26022210828719061</v>
      </c>
      <c r="P1014" s="553">
        <f>-'Progetto del paramento slu'!$G$47*'Progetto del paramento slu'!$G$41*IF(DATI!$G$218="dx",DATI!$E$61,DATI!$E$64*DATI!$E$63)*1000*C1014*sezione!$AD$5</f>
        <v>-48640.050890652361</v>
      </c>
      <c r="Q1014" s="553">
        <f>'Foglio deposito bis'!$F$58*IF(ABS(K1014)&lt;'Progetto del paramento slu'!$G$58,ABS(K1014)*'Progetto del paramento slu'!$G$54,'Progetto del paramento slu'!$G$53)*IF(K1014&lt;0,-1,1)</f>
        <v>0</v>
      </c>
      <c r="R1014" s="553">
        <f>'Foglio deposito bis'!$F$59*IF(ABS(L1014)&lt;'Progetto del paramento slu'!$G$58,ABS(L1014)*'Progetto del paramento slu'!$G$54,'Progetto del paramento slu'!$G$53)*IF(L1014&lt;0,-1,1)</f>
        <v>153664.85805602249</v>
      </c>
      <c r="S1014" s="553">
        <f>'Foglio deposito bis'!$F$60*IF(ABS(M1014)&lt;'Progetto del paramento slu'!$G$58,ABS(M1014)*'Progetto del paramento slu'!$G$54,'Progetto del paramento slu'!$G$53)*IF(M1014&lt;0,-1,1)</f>
        <v>0</v>
      </c>
      <c r="T1014" s="553">
        <f>'Foglio deposito bis'!$F$61*IF(ABS(N1014)&lt;'Progetto del paramento slu'!$G$58,ABS(N1014)*'Progetto del paramento slu'!$G$54,'Progetto del paramento slu'!$G$53)*IF(N1014&lt;0,-1,1)</f>
        <v>240946.49743184328</v>
      </c>
      <c r="U1014" s="553">
        <f>'Foglio deposito bis'!$F$62*IF(ABS(O1014)&lt;'Progetto del paramento slu'!$G$58,ABS(O1014)*'Progetto del paramento slu'!$G$54,'Progetto del paramento slu'!$G$53)*IF(O1014&lt;0,-1,1)</f>
        <v>314705.62929873407</v>
      </c>
      <c r="V1014" s="479">
        <f t="shared" si="78"/>
        <v>660676.93389594741</v>
      </c>
      <c r="W1014" s="559"/>
      <c r="X1014" s="559"/>
    </row>
    <row r="1015" spans="1:24" x14ac:dyDescent="0.25">
      <c r="A1015" s="553">
        <f t="shared" si="77"/>
        <v>657815.75443179137</v>
      </c>
      <c r="B1015" s="3">
        <f t="shared" si="79"/>
        <v>0.90000000000000024</v>
      </c>
      <c r="C1015" s="553">
        <f>'Foglio deposito bis'!$E$157/sezione!$B$247*B1015</f>
        <v>3.6536345243051969</v>
      </c>
      <c r="D1015" s="611">
        <f>-'Progetto del paramento slu'!$G$47*'Progetto del paramento slu'!$G$41*IF(DATI!$G$218="dx",DATI!$E$61,DATI!$E$64*DATI!$E$63)*1000*C1015^2*sezione!$AD$5*(1-sezione!$AD$6)</f>
        <v>-109889.33718881727</v>
      </c>
      <c r="E1015" s="553">
        <f>-'Foglio deposito bis'!$F$58*(C1015-sezione!$AL$31)*IF(ABS(K1015)&lt;'Progetto del paramento slu'!$G$58,ABS(K1015)*'Progetto del paramento slu'!$G$54,'Progetto del paramento slu'!$G$53)</f>
        <v>0</v>
      </c>
      <c r="F1015" s="553">
        <f>-'Foglio deposito bis'!$F$59*(C1015-sezione!$AM$31)*IF(ABS(L1015)&lt;'Progetto del paramento slu'!$G$58,ABS(L1015)*'Progetto del paramento slu'!$G$54,'Progetto del paramento slu'!$G$53)</f>
        <v>22488293.477837432</v>
      </c>
      <c r="G1015" s="553">
        <f>-'Foglio deposito bis'!$F$60*(C1015-sezione!$AN$31)*IF(ABS(M1015)&lt;'Progetto del paramento slu'!$G$58,ABS(M1015)*'Progetto del paramento slu'!$G$54,'Progetto del paramento slu'!$G$53)</f>
        <v>0</v>
      </c>
      <c r="H1015" s="553">
        <f>-'Foglio deposito bis'!$F$61*(C1015-sezione!$AO$31)*IF(ABS(N1015)&lt;'Progetto del paramento slu'!$G$58,ABS(N1015)*'Progetto del paramento slu'!$G$54,'Progetto del paramento slu'!$G$53)</f>
        <v>81041478.685299322</v>
      </c>
      <c r="I1015" s="479">
        <f>-'Foglio deposito bis'!$F$62*(C1015-sezione!$AP$31)*IF(ABS(O1015)&lt;'Progetto del paramento slu'!$G$58,ABS(O1015)*'Progetto del paramento slu'!$G$54,'Progetto del paramento slu'!$G$53)</f>
        <v>80674900.061973318</v>
      </c>
      <c r="J1015" s="479">
        <f t="shared" si="75"/>
        <v>184094782.88792127</v>
      </c>
      <c r="K1015" s="558">
        <f>'Progetto del paramento slu'!$G$60*(sezione!$AL$31-C1015)/C1015</f>
        <v>3.4818008839875264E-2</v>
      </c>
      <c r="L1015" s="558">
        <f>'Progetto del paramento slu'!$G$60*(sezione!$AM$31-C1015)/C1015</f>
        <v>0.14019253314953226</v>
      </c>
      <c r="M1015" s="559">
        <f>'Progetto del paramento slu'!$G$60*(sezione!$AN$31-C1015)/C1015</f>
        <v>0.24556705745918928</v>
      </c>
      <c r="N1015" s="559">
        <f>'Progetto del paramento slu'!$G$60*(sezione!$AO$31-C1015)/C1015</f>
        <v>0.32220307513893981</v>
      </c>
      <c r="O1015" s="559">
        <f>'Progetto del paramento slu'!$G$60*(sezione!$AP$31-C1015)/C1015</f>
        <v>0.24557088004901334</v>
      </c>
      <c r="P1015" s="553">
        <f>-'Progetto del paramento slu'!$G$47*'Progetto del paramento slu'!$G$41*IF(DATI!$G$218="dx",DATI!$E$61,DATI!$E$64*DATI!$E$63)*1000*C1015*sezione!$AD$5</f>
        <v>-51501.23035480838</v>
      </c>
      <c r="Q1015" s="553">
        <f>'Foglio deposito bis'!$F$58*IF(ABS(K1015)&lt;'Progetto del paramento slu'!$G$58,ABS(K1015)*'Progetto del paramento slu'!$G$54,'Progetto del paramento slu'!$G$53)*IF(K1015&lt;0,-1,1)</f>
        <v>0</v>
      </c>
      <c r="R1015" s="553">
        <f>'Foglio deposito bis'!$F$59*IF(ABS(L1015)&lt;'Progetto del paramento slu'!$G$58,ABS(L1015)*'Progetto del paramento slu'!$G$54,'Progetto del paramento slu'!$G$53)*IF(L1015&lt;0,-1,1)</f>
        <v>153664.85805602249</v>
      </c>
      <c r="S1015" s="553">
        <f>'Foglio deposito bis'!$F$60*IF(ABS(M1015)&lt;'Progetto del paramento slu'!$G$58,ABS(M1015)*'Progetto del paramento slu'!$G$54,'Progetto del paramento slu'!$G$53)*IF(M1015&lt;0,-1,1)</f>
        <v>0</v>
      </c>
      <c r="T1015" s="553">
        <f>'Foglio deposito bis'!$F$61*IF(ABS(N1015)&lt;'Progetto del paramento slu'!$G$58,ABS(N1015)*'Progetto del paramento slu'!$G$54,'Progetto del paramento slu'!$G$53)*IF(N1015&lt;0,-1,1)</f>
        <v>240946.49743184328</v>
      </c>
      <c r="U1015" s="553">
        <f>'Foglio deposito bis'!$F$62*IF(ABS(O1015)&lt;'Progetto del paramento slu'!$G$58,ABS(O1015)*'Progetto del paramento slu'!$G$54,'Progetto del paramento slu'!$G$53)*IF(O1015&lt;0,-1,1)</f>
        <v>314705.62929873407</v>
      </c>
      <c r="V1015" s="479">
        <f t="shared" si="78"/>
        <v>657815.75443179137</v>
      </c>
      <c r="W1015" s="559"/>
      <c r="X1015" s="559"/>
    </row>
    <row r="1016" spans="1:24" x14ac:dyDescent="0.25">
      <c r="A1016" s="553">
        <f t="shared" si="77"/>
        <v>654954.57496763545</v>
      </c>
      <c r="B1016" s="3">
        <f t="shared" si="79"/>
        <v>0.95000000000000029</v>
      </c>
      <c r="C1016" s="553">
        <f>'Foglio deposito bis'!$E$157/sezione!$B$247*B1016</f>
        <v>3.8566142200999298</v>
      </c>
      <c r="D1016" s="611">
        <f>-'Progetto del paramento slu'!$G$47*'Progetto del paramento slu'!$G$41*IF(DATI!$G$218="dx",DATI!$E$61,DATI!$E$64*DATI!$E$63)*1000*C1016^2*sezione!$AD$5*(1-sezione!$AD$6)</f>
        <v>-122438.42816408342</v>
      </c>
      <c r="E1016" s="553">
        <f>-'Foglio deposito bis'!$F$58*(C1016-sezione!$AL$31)*IF(ABS(K1016)&lt;'Progetto del paramento slu'!$G$58,ABS(K1016)*'Progetto del paramento slu'!$G$54,'Progetto del paramento slu'!$G$53)</f>
        <v>0</v>
      </c>
      <c r="F1016" s="553">
        <f>-'Foglio deposito bis'!$F$59*(C1016-sezione!$AM$31)*IF(ABS(L1016)&lt;'Progetto del paramento slu'!$G$58,ABS(L1016)*'Progetto del paramento slu'!$G$54,'Progetto del paramento slu'!$G$53)</f>
        <v>22457102.631694879</v>
      </c>
      <c r="G1016" s="553">
        <f>-'Foglio deposito bis'!$F$60*(C1016-sezione!$AN$31)*IF(ABS(M1016)&lt;'Progetto del paramento slu'!$G$58,ABS(M1016)*'Progetto del paramento slu'!$G$54,'Progetto del paramento slu'!$G$53)</f>
        <v>0</v>
      </c>
      <c r="H1016" s="553">
        <f>-'Foglio deposito bis'!$F$61*(C1016-sezione!$AO$31)*IF(ABS(N1016)&lt;'Progetto del paramento slu'!$G$58,ABS(N1016)*'Progetto del paramento slu'!$G$54,'Progetto del paramento slu'!$G$53)</f>
        <v>80992571.438547805</v>
      </c>
      <c r="I1016" s="479">
        <f>-'Foglio deposito bis'!$F$62*(C1016-sezione!$AP$31)*IF(ABS(O1016)&lt;'Progetto del paramento slu'!$G$58,ABS(O1016)*'Progetto del paramento slu'!$G$54,'Progetto del paramento slu'!$G$53)</f>
        <v>80611021.209073365</v>
      </c>
      <c r="J1016" s="479">
        <f t="shared" si="75"/>
        <v>183938256.85115197</v>
      </c>
      <c r="K1016" s="558">
        <f>'Progetto del paramento slu'!$G$60*(sezione!$AL$31-C1016)/C1016</f>
        <v>3.2801271532513415E-2</v>
      </c>
      <c r="L1016" s="558">
        <f>'Progetto del paramento slu'!$G$60*(sezione!$AM$31-C1016)/C1016</f>
        <v>0.13262976824692529</v>
      </c>
      <c r="M1016" s="559">
        <f>'Progetto del paramento slu'!$G$60*(sezione!$AN$31-C1016)/C1016</f>
        <v>0.2324582649613372</v>
      </c>
      <c r="N1016" s="559">
        <f>'Progetto del paramento slu'!$G$60*(sezione!$AO$31-C1016)/C1016</f>
        <v>0.30506080802636404</v>
      </c>
      <c r="O1016" s="559">
        <f>'Progetto del paramento slu'!$G$60*(sezione!$AP$31-C1016)/C1016</f>
        <v>0.23246188636222317</v>
      </c>
      <c r="P1016" s="553">
        <f>-'Progetto del paramento slu'!$G$47*'Progetto del paramento slu'!$G$41*IF(DATI!$G$218="dx",DATI!$E$61,DATI!$E$64*DATI!$E$63)*1000*C1016*sezione!$AD$5</f>
        <v>-54362.409818964392</v>
      </c>
      <c r="Q1016" s="553">
        <f>'Foglio deposito bis'!$F$58*IF(ABS(K1016)&lt;'Progetto del paramento slu'!$G$58,ABS(K1016)*'Progetto del paramento slu'!$G$54,'Progetto del paramento slu'!$G$53)*IF(K1016&lt;0,-1,1)</f>
        <v>0</v>
      </c>
      <c r="R1016" s="553">
        <f>'Foglio deposito bis'!$F$59*IF(ABS(L1016)&lt;'Progetto del paramento slu'!$G$58,ABS(L1016)*'Progetto del paramento slu'!$G$54,'Progetto del paramento slu'!$G$53)*IF(L1016&lt;0,-1,1)</f>
        <v>153664.85805602249</v>
      </c>
      <c r="S1016" s="553">
        <f>'Foglio deposito bis'!$F$60*IF(ABS(M1016)&lt;'Progetto del paramento slu'!$G$58,ABS(M1016)*'Progetto del paramento slu'!$G$54,'Progetto del paramento slu'!$G$53)*IF(M1016&lt;0,-1,1)</f>
        <v>0</v>
      </c>
      <c r="T1016" s="553">
        <f>'Foglio deposito bis'!$F$61*IF(ABS(N1016)&lt;'Progetto del paramento slu'!$G$58,ABS(N1016)*'Progetto del paramento slu'!$G$54,'Progetto del paramento slu'!$G$53)*IF(N1016&lt;0,-1,1)</f>
        <v>240946.49743184328</v>
      </c>
      <c r="U1016" s="553">
        <f>'Foglio deposito bis'!$F$62*IF(ABS(O1016)&lt;'Progetto del paramento slu'!$G$58,ABS(O1016)*'Progetto del paramento slu'!$G$54,'Progetto del paramento slu'!$G$53)*IF(O1016&lt;0,-1,1)</f>
        <v>314705.62929873407</v>
      </c>
      <c r="V1016" s="479">
        <f t="shared" si="78"/>
        <v>654954.57496763545</v>
      </c>
      <c r="W1016" s="559"/>
      <c r="X1016" s="559"/>
    </row>
    <row r="1017" spans="1:24" x14ac:dyDescent="0.25">
      <c r="A1017" s="553">
        <f t="shared" si="77"/>
        <v>652093.39550347952</v>
      </c>
      <c r="B1017" s="3">
        <f t="shared" si="79"/>
        <v>1.0000000000000002</v>
      </c>
      <c r="C1017" s="553">
        <f>'Foglio deposito bis'!$E$157/sezione!$B$247*B1017</f>
        <v>4.0595939158946628</v>
      </c>
      <c r="D1017" s="611">
        <f>-'Progetto del paramento slu'!$G$47*'Progetto del paramento slu'!$G$41*IF(DATI!$G$218="dx",DATI!$E$61,DATI!$E$64*DATI!$E$63)*1000*C1017^2*sezione!$AD$5*(1-sezione!$AD$6)</f>
        <v>-135665.84838125584</v>
      </c>
      <c r="E1017" s="553">
        <f>-'Foglio deposito bis'!$F$58*(C1017-sezione!$AL$31)*IF(ABS(K1017)&lt;'Progetto del paramento slu'!$G$58,ABS(K1017)*'Progetto del paramento slu'!$G$54,'Progetto del paramento slu'!$G$53)</f>
        <v>0</v>
      </c>
      <c r="F1017" s="553">
        <f>-'Foglio deposito bis'!$F$59*(C1017-sezione!$AM$31)*IF(ABS(L1017)&lt;'Progetto del paramento slu'!$G$58,ABS(L1017)*'Progetto del paramento slu'!$G$54,'Progetto del paramento slu'!$G$53)</f>
        <v>22425911.78555233</v>
      </c>
      <c r="G1017" s="553">
        <f>-'Foglio deposito bis'!$F$60*(C1017-sezione!$AN$31)*IF(ABS(M1017)&lt;'Progetto del paramento slu'!$G$58,ABS(M1017)*'Progetto del paramento slu'!$G$54,'Progetto del paramento slu'!$G$53)</f>
        <v>0</v>
      </c>
      <c r="H1017" s="553">
        <f>-'Foglio deposito bis'!$F$61*(C1017-sezione!$AO$31)*IF(ABS(N1017)&lt;'Progetto del paramento slu'!$G$58,ABS(N1017)*'Progetto del paramento slu'!$G$54,'Progetto del paramento slu'!$G$53)</f>
        <v>80943664.191796273</v>
      </c>
      <c r="I1017" s="479">
        <f>-'Foglio deposito bis'!$F$62*(C1017-sezione!$AP$31)*IF(ABS(O1017)&lt;'Progetto del paramento slu'!$G$58,ABS(O1017)*'Progetto del paramento slu'!$G$54,'Progetto del paramento slu'!$G$53)</f>
        <v>80547142.356173426</v>
      </c>
      <c r="J1017" s="479">
        <f t="shared" si="75"/>
        <v>183781052.48514077</v>
      </c>
      <c r="K1017" s="558">
        <f>'Progetto del paramento slu'!$G$60*(sezione!$AL$31-C1017)/C1017</f>
        <v>3.0986207955887746E-2</v>
      </c>
      <c r="L1017" s="558">
        <f>'Progetto del paramento slu'!$G$60*(sezione!$AM$31-C1017)/C1017</f>
        <v>0.12582327983457905</v>
      </c>
      <c r="M1017" s="559">
        <f>'Progetto del paramento slu'!$G$60*(sezione!$AN$31-C1017)/C1017</f>
        <v>0.22066035171327034</v>
      </c>
      <c r="N1017" s="559">
        <f>'Progetto del paramento slu'!$G$60*(sezione!$AO$31-C1017)/C1017</f>
        <v>0.28963276762504586</v>
      </c>
      <c r="O1017" s="559">
        <f>'Progetto del paramento slu'!$G$60*(sezione!$AP$31-C1017)/C1017</f>
        <v>0.22066379204411204</v>
      </c>
      <c r="P1017" s="553">
        <f>-'Progetto del paramento slu'!$G$47*'Progetto del paramento slu'!$G$41*IF(DATI!$G$218="dx",DATI!$E$61,DATI!$E$64*DATI!$E$63)*1000*C1017*sezione!$AD$5</f>
        <v>-57223.589283120411</v>
      </c>
      <c r="Q1017" s="553">
        <f>'Foglio deposito bis'!$F$58*IF(ABS(K1017)&lt;'Progetto del paramento slu'!$G$58,ABS(K1017)*'Progetto del paramento slu'!$G$54,'Progetto del paramento slu'!$G$53)*IF(K1017&lt;0,-1,1)</f>
        <v>0</v>
      </c>
      <c r="R1017" s="553">
        <f>'Foglio deposito bis'!$F$59*IF(ABS(L1017)&lt;'Progetto del paramento slu'!$G$58,ABS(L1017)*'Progetto del paramento slu'!$G$54,'Progetto del paramento slu'!$G$53)*IF(L1017&lt;0,-1,1)</f>
        <v>153664.85805602249</v>
      </c>
      <c r="S1017" s="553">
        <f>'Foglio deposito bis'!$F$60*IF(ABS(M1017)&lt;'Progetto del paramento slu'!$G$58,ABS(M1017)*'Progetto del paramento slu'!$G$54,'Progetto del paramento slu'!$G$53)*IF(M1017&lt;0,-1,1)</f>
        <v>0</v>
      </c>
      <c r="T1017" s="553">
        <f>'Foglio deposito bis'!$F$61*IF(ABS(N1017)&lt;'Progetto del paramento slu'!$G$58,ABS(N1017)*'Progetto del paramento slu'!$G$54,'Progetto del paramento slu'!$G$53)*IF(N1017&lt;0,-1,1)</f>
        <v>240946.49743184328</v>
      </c>
      <c r="U1017" s="553">
        <f>'Foglio deposito bis'!$F$62*IF(ABS(O1017)&lt;'Progetto del paramento slu'!$G$58,ABS(O1017)*'Progetto del paramento slu'!$G$54,'Progetto del paramento slu'!$G$53)*IF(O1017&lt;0,-1,1)</f>
        <v>314705.62929873407</v>
      </c>
      <c r="V1017" s="479">
        <f t="shared" si="78"/>
        <v>652093.39550347952</v>
      </c>
      <c r="W1017" s="559"/>
      <c r="X1017" s="559"/>
    </row>
    <row r="1018" spans="1:24" x14ac:dyDescent="0.25">
      <c r="A1018" s="553">
        <f t="shared" si="77"/>
        <v>649232.21603932348</v>
      </c>
      <c r="B1018" s="3">
        <f t="shared" si="79"/>
        <v>1.0500000000000003</v>
      </c>
      <c r="C1018" s="553">
        <f>'Foglio deposito bis'!$E$157/sezione!$B$247*B1018</f>
        <v>4.2625736116893957</v>
      </c>
      <c r="D1018" s="611">
        <f>-'Progetto del paramento slu'!$G$47*'Progetto del paramento slu'!$G$41*IF(DATI!$G$218="dx",DATI!$E$61,DATI!$E$64*DATI!$E$63)*1000*C1018^2*sezione!$AD$5*(1-sezione!$AD$6)</f>
        <v>-149571.59784033458</v>
      </c>
      <c r="E1018" s="553">
        <f>-'Foglio deposito bis'!$F$58*(C1018-sezione!$AL$31)*IF(ABS(K1018)&lt;'Progetto del paramento slu'!$G$58,ABS(K1018)*'Progetto del paramento slu'!$G$54,'Progetto del paramento slu'!$G$53)</f>
        <v>0</v>
      </c>
      <c r="F1018" s="553">
        <f>-'Foglio deposito bis'!$F$59*(C1018-sezione!$AM$31)*IF(ABS(L1018)&lt;'Progetto del paramento slu'!$G$58,ABS(L1018)*'Progetto del paramento slu'!$G$54,'Progetto del paramento slu'!$G$53)</f>
        <v>22394720.939409778</v>
      </c>
      <c r="G1018" s="553">
        <f>-'Foglio deposito bis'!$F$60*(C1018-sezione!$AN$31)*IF(ABS(M1018)&lt;'Progetto del paramento slu'!$G$58,ABS(M1018)*'Progetto del paramento slu'!$G$54,'Progetto del paramento slu'!$G$53)</f>
        <v>0</v>
      </c>
      <c r="H1018" s="553">
        <f>-'Foglio deposito bis'!$F$61*(C1018-sezione!$AO$31)*IF(ABS(N1018)&lt;'Progetto del paramento slu'!$G$58,ABS(N1018)*'Progetto del paramento slu'!$G$54,'Progetto del paramento slu'!$G$53)</f>
        <v>80894756.945044756</v>
      </c>
      <c r="I1018" s="479">
        <f>-'Foglio deposito bis'!$F$62*(C1018-sezione!$AP$31)*IF(ABS(O1018)&lt;'Progetto del paramento slu'!$G$58,ABS(O1018)*'Progetto del paramento slu'!$G$54,'Progetto del paramento slu'!$G$53)</f>
        <v>80483263.503273472</v>
      </c>
      <c r="J1018" s="479">
        <f t="shared" si="75"/>
        <v>183623169.78988767</v>
      </c>
      <c r="K1018" s="558">
        <f>'Progetto del paramento slu'!$G$60*(sezione!$AL$31-C1018)/C1018</f>
        <v>2.9344007577035949E-2</v>
      </c>
      <c r="L1018" s="558">
        <f>'Progetto del paramento slu'!$G$60*(sezione!$AM$31-C1018)/C1018</f>
        <v>0.11966502841388481</v>
      </c>
      <c r="M1018" s="559">
        <f>'Progetto del paramento slu'!$G$60*(sezione!$AN$31-C1018)/C1018</f>
        <v>0.20998604925073366</v>
      </c>
      <c r="N1018" s="559">
        <f>'Progetto del paramento slu'!$G$60*(sezione!$AO$31-C1018)/C1018</f>
        <v>0.27567406440480557</v>
      </c>
      <c r="O1018" s="559">
        <f>'Progetto del paramento slu'!$G$60*(sezione!$AP$31-C1018)/C1018</f>
        <v>0.20998932575629717</v>
      </c>
      <c r="P1018" s="553">
        <f>-'Progetto del paramento slu'!$G$47*'Progetto del paramento slu'!$G$41*IF(DATI!$G$218="dx",DATI!$E$61,DATI!$E$64*DATI!$E$63)*1000*C1018*sezione!$AD$5</f>
        <v>-60084.76874727643</v>
      </c>
      <c r="Q1018" s="553">
        <f>'Foglio deposito bis'!$F$58*IF(ABS(K1018)&lt;'Progetto del paramento slu'!$G$58,ABS(K1018)*'Progetto del paramento slu'!$G$54,'Progetto del paramento slu'!$G$53)*IF(K1018&lt;0,-1,1)</f>
        <v>0</v>
      </c>
      <c r="R1018" s="553">
        <f>'Foglio deposito bis'!$F$59*IF(ABS(L1018)&lt;'Progetto del paramento slu'!$G$58,ABS(L1018)*'Progetto del paramento slu'!$G$54,'Progetto del paramento slu'!$G$53)*IF(L1018&lt;0,-1,1)</f>
        <v>153664.85805602249</v>
      </c>
      <c r="S1018" s="553">
        <f>'Foglio deposito bis'!$F$60*IF(ABS(M1018)&lt;'Progetto del paramento slu'!$G$58,ABS(M1018)*'Progetto del paramento slu'!$G$54,'Progetto del paramento slu'!$G$53)*IF(M1018&lt;0,-1,1)</f>
        <v>0</v>
      </c>
      <c r="T1018" s="553">
        <f>'Foglio deposito bis'!$F$61*IF(ABS(N1018)&lt;'Progetto del paramento slu'!$G$58,ABS(N1018)*'Progetto del paramento slu'!$G$54,'Progetto del paramento slu'!$G$53)*IF(N1018&lt;0,-1,1)</f>
        <v>240946.49743184328</v>
      </c>
      <c r="U1018" s="553">
        <f>'Foglio deposito bis'!$F$62*IF(ABS(O1018)&lt;'Progetto del paramento slu'!$G$58,ABS(O1018)*'Progetto del paramento slu'!$G$54,'Progetto del paramento slu'!$G$53)*IF(O1018&lt;0,-1,1)</f>
        <v>314705.62929873407</v>
      </c>
      <c r="V1018" s="479">
        <f t="shared" si="78"/>
        <v>649232.21603932348</v>
      </c>
      <c r="W1018" s="559"/>
      <c r="X1018" s="559"/>
    </row>
    <row r="1019" spans="1:24" x14ac:dyDescent="0.25">
      <c r="A1019" s="553">
        <f t="shared" si="77"/>
        <v>646371.03657516744</v>
      </c>
      <c r="B1019" s="3">
        <f t="shared" si="79"/>
        <v>1.1000000000000003</v>
      </c>
      <c r="C1019" s="553">
        <f>'Foglio deposito bis'!$E$157/sezione!$B$247*B1019</f>
        <v>4.4655533074841296</v>
      </c>
      <c r="D1019" s="611">
        <f>-'Progetto del paramento slu'!$G$47*'Progetto del paramento slu'!$G$41*IF(DATI!$G$218="dx",DATI!$E$61,DATI!$E$64*DATI!$E$63)*1000*C1019^2*sezione!$AD$5*(1-sezione!$AD$6)</f>
        <v>-164155.67654131961</v>
      </c>
      <c r="E1019" s="553">
        <f>-'Foglio deposito bis'!$F$58*(C1019-sezione!$AL$31)*IF(ABS(K1019)&lt;'Progetto del paramento slu'!$G$58,ABS(K1019)*'Progetto del paramento slu'!$G$54,'Progetto del paramento slu'!$G$53)</f>
        <v>0</v>
      </c>
      <c r="F1019" s="553">
        <f>-'Foglio deposito bis'!$F$59*(C1019-sezione!$AM$31)*IF(ABS(L1019)&lt;'Progetto del paramento slu'!$G$58,ABS(L1019)*'Progetto del paramento slu'!$G$54,'Progetto del paramento slu'!$G$53)</f>
        <v>22363530.093267225</v>
      </c>
      <c r="G1019" s="553">
        <f>-'Foglio deposito bis'!$F$60*(C1019-sezione!$AN$31)*IF(ABS(M1019)&lt;'Progetto del paramento slu'!$G$58,ABS(M1019)*'Progetto del paramento slu'!$G$54,'Progetto del paramento slu'!$G$53)</f>
        <v>0</v>
      </c>
      <c r="H1019" s="553">
        <f>-'Foglio deposito bis'!$F$61*(C1019-sezione!$AO$31)*IF(ABS(N1019)&lt;'Progetto del paramento slu'!$G$58,ABS(N1019)*'Progetto del paramento slu'!$G$54,'Progetto del paramento slu'!$G$53)</f>
        <v>80845849.698293224</v>
      </c>
      <c r="I1019" s="479">
        <f>-'Foglio deposito bis'!$F$62*(C1019-sezione!$AP$31)*IF(ABS(O1019)&lt;'Progetto del paramento slu'!$G$58,ABS(O1019)*'Progetto del paramento slu'!$G$54,'Progetto del paramento slu'!$G$53)</f>
        <v>80419384.650373518</v>
      </c>
      <c r="J1019" s="479">
        <f t="shared" si="75"/>
        <v>183464608.76539266</v>
      </c>
      <c r="K1019" s="558">
        <f>'Progetto del paramento slu'!$G$60*(sezione!$AL$31-C1019)/C1019</f>
        <v>2.7851098141716126E-2</v>
      </c>
      <c r="L1019" s="558">
        <f>'Progetto del paramento slu'!$G$60*(sezione!$AM$31-C1019)/C1019</f>
        <v>0.11406661803143549</v>
      </c>
      <c r="M1019" s="559">
        <f>'Progetto del paramento slu'!$G$60*(sezione!$AN$31-C1019)/C1019</f>
        <v>0.20028213792115485</v>
      </c>
      <c r="N1019" s="559">
        <f>'Progetto del paramento slu'!$G$60*(sezione!$AO$31-C1019)/C1019</f>
        <v>0.26298433420458706</v>
      </c>
      <c r="O1019" s="559">
        <f>'Progetto del paramento slu'!$G$60*(sezione!$AP$31-C1019)/C1019</f>
        <v>0.20028526549464726</v>
      </c>
      <c r="P1019" s="553">
        <f>-'Progetto del paramento slu'!$G$47*'Progetto del paramento slu'!$G$41*IF(DATI!$G$218="dx",DATI!$E$61,DATI!$E$64*DATI!$E$63)*1000*C1019*sezione!$AD$5</f>
        <v>-62945.948211432471</v>
      </c>
      <c r="Q1019" s="553">
        <f>'Foglio deposito bis'!$F$58*IF(ABS(K1019)&lt;'Progetto del paramento slu'!$G$58,ABS(K1019)*'Progetto del paramento slu'!$G$54,'Progetto del paramento slu'!$G$53)*IF(K1019&lt;0,-1,1)</f>
        <v>0</v>
      </c>
      <c r="R1019" s="553">
        <f>'Foglio deposito bis'!$F$59*IF(ABS(L1019)&lt;'Progetto del paramento slu'!$G$58,ABS(L1019)*'Progetto del paramento slu'!$G$54,'Progetto del paramento slu'!$G$53)*IF(L1019&lt;0,-1,1)</f>
        <v>153664.85805602249</v>
      </c>
      <c r="S1019" s="553">
        <f>'Foglio deposito bis'!$F$60*IF(ABS(M1019)&lt;'Progetto del paramento slu'!$G$58,ABS(M1019)*'Progetto del paramento slu'!$G$54,'Progetto del paramento slu'!$G$53)*IF(M1019&lt;0,-1,1)</f>
        <v>0</v>
      </c>
      <c r="T1019" s="553">
        <f>'Foglio deposito bis'!$F$61*IF(ABS(N1019)&lt;'Progetto del paramento slu'!$G$58,ABS(N1019)*'Progetto del paramento slu'!$G$54,'Progetto del paramento slu'!$G$53)*IF(N1019&lt;0,-1,1)</f>
        <v>240946.49743184328</v>
      </c>
      <c r="U1019" s="553">
        <f>'Foglio deposito bis'!$F$62*IF(ABS(O1019)&lt;'Progetto del paramento slu'!$G$58,ABS(O1019)*'Progetto del paramento slu'!$G$54,'Progetto del paramento slu'!$G$53)*IF(O1019&lt;0,-1,1)</f>
        <v>314705.62929873407</v>
      </c>
      <c r="V1019" s="479">
        <f t="shared" si="78"/>
        <v>646371.03657516744</v>
      </c>
      <c r="W1019" s="559"/>
      <c r="X1019" s="559"/>
    </row>
    <row r="1020" spans="1:24" x14ac:dyDescent="0.25">
      <c r="A1020" s="553">
        <f t="shared" si="77"/>
        <v>643509.8571110114</v>
      </c>
      <c r="B1020" s="3">
        <f t="shared" si="79"/>
        <v>1.1500000000000004</v>
      </c>
      <c r="C1020" s="553">
        <f>'Foglio deposito bis'!$E$157/sezione!$B$247*B1020</f>
        <v>4.6685330032788626</v>
      </c>
      <c r="D1020" s="611">
        <f>-'Progetto del paramento slu'!$G$47*'Progetto del paramento slu'!$G$41*IF(DATI!$G$218="dx",DATI!$E$61,DATI!$E$64*DATI!$E$63)*1000*C1020^2*sezione!$AD$5*(1-sezione!$AD$6)</f>
        <v>-179418.08448421088</v>
      </c>
      <c r="E1020" s="553">
        <f>-'Foglio deposito bis'!$F$58*(C1020-sezione!$AL$31)*IF(ABS(K1020)&lt;'Progetto del paramento slu'!$G$58,ABS(K1020)*'Progetto del paramento slu'!$G$54,'Progetto del paramento slu'!$G$53)</f>
        <v>0</v>
      </c>
      <c r="F1020" s="553">
        <f>-'Foglio deposito bis'!$F$59*(C1020-sezione!$AM$31)*IF(ABS(L1020)&lt;'Progetto del paramento slu'!$G$58,ABS(L1020)*'Progetto del paramento slu'!$G$54,'Progetto del paramento slu'!$G$53)</f>
        <v>22332339.247124672</v>
      </c>
      <c r="G1020" s="553">
        <f>-'Foglio deposito bis'!$F$60*(C1020-sezione!$AN$31)*IF(ABS(M1020)&lt;'Progetto del paramento slu'!$G$58,ABS(M1020)*'Progetto del paramento slu'!$G$54,'Progetto del paramento slu'!$G$53)</f>
        <v>0</v>
      </c>
      <c r="H1020" s="553">
        <f>-'Foglio deposito bis'!$F$61*(C1020-sezione!$AO$31)*IF(ABS(N1020)&lt;'Progetto del paramento slu'!$G$58,ABS(N1020)*'Progetto del paramento slu'!$G$54,'Progetto del paramento slu'!$G$53)</f>
        <v>80796942.451541707</v>
      </c>
      <c r="I1020" s="479">
        <f>-'Foglio deposito bis'!$F$62*(C1020-sezione!$AP$31)*IF(ABS(O1020)&lt;'Progetto del paramento slu'!$G$58,ABS(O1020)*'Progetto del paramento slu'!$G$54,'Progetto del paramento slu'!$G$53)</f>
        <v>80355505.79747358</v>
      </c>
      <c r="J1020" s="479">
        <f t="shared" si="75"/>
        <v>183305369.41165575</v>
      </c>
      <c r="K1020" s="558">
        <f>'Progetto del paramento slu'!$G$60*(sezione!$AL$31-C1020)/C1020</f>
        <v>2.6488006918163255E-2</v>
      </c>
      <c r="L1020" s="558">
        <f>'Progetto del paramento slu'!$G$60*(sezione!$AM$31-C1020)/C1020</f>
        <v>0.1089550259431122</v>
      </c>
      <c r="M1020" s="559">
        <f>'Progetto del paramento slu'!$G$60*(sezione!$AN$31-C1020)/C1020</f>
        <v>0.19142204496806114</v>
      </c>
      <c r="N1020" s="559">
        <f>'Progetto del paramento slu'!$G$60*(sezione!$AO$31-C1020)/C1020</f>
        <v>0.25139805880438765</v>
      </c>
      <c r="O1020" s="559">
        <f>'Progetto del paramento slu'!$G$60*(sezione!$AP$31-C1020)/C1020</f>
        <v>0.19142503656009738</v>
      </c>
      <c r="P1020" s="553">
        <f>-'Progetto del paramento slu'!$G$47*'Progetto del paramento slu'!$G$41*IF(DATI!$G$218="dx",DATI!$E$61,DATI!$E$64*DATI!$E$63)*1000*C1020*sezione!$AD$5</f>
        <v>-65807.12767558849</v>
      </c>
      <c r="Q1020" s="553">
        <f>'Foglio deposito bis'!$F$58*IF(ABS(K1020)&lt;'Progetto del paramento slu'!$G$58,ABS(K1020)*'Progetto del paramento slu'!$G$54,'Progetto del paramento slu'!$G$53)*IF(K1020&lt;0,-1,1)</f>
        <v>0</v>
      </c>
      <c r="R1020" s="553">
        <f>'Foglio deposito bis'!$F$59*IF(ABS(L1020)&lt;'Progetto del paramento slu'!$G$58,ABS(L1020)*'Progetto del paramento slu'!$G$54,'Progetto del paramento slu'!$G$53)*IF(L1020&lt;0,-1,1)</f>
        <v>153664.85805602249</v>
      </c>
      <c r="S1020" s="553">
        <f>'Foglio deposito bis'!$F$60*IF(ABS(M1020)&lt;'Progetto del paramento slu'!$G$58,ABS(M1020)*'Progetto del paramento slu'!$G$54,'Progetto del paramento slu'!$G$53)*IF(M1020&lt;0,-1,1)</f>
        <v>0</v>
      </c>
      <c r="T1020" s="553">
        <f>'Foglio deposito bis'!$F$61*IF(ABS(N1020)&lt;'Progetto del paramento slu'!$G$58,ABS(N1020)*'Progetto del paramento slu'!$G$54,'Progetto del paramento slu'!$G$53)*IF(N1020&lt;0,-1,1)</f>
        <v>240946.49743184328</v>
      </c>
      <c r="U1020" s="553">
        <f>'Foglio deposito bis'!$F$62*IF(ABS(O1020)&lt;'Progetto del paramento slu'!$G$58,ABS(O1020)*'Progetto del paramento slu'!$G$54,'Progetto del paramento slu'!$G$53)*IF(O1020&lt;0,-1,1)</f>
        <v>314705.62929873407</v>
      </c>
      <c r="V1020" s="479">
        <f t="shared" si="78"/>
        <v>643509.8571110114</v>
      </c>
      <c r="W1020" s="559"/>
      <c r="X1020" s="559"/>
    </row>
    <row r="1021" spans="1:24" x14ac:dyDescent="0.25">
      <c r="A1021" s="553">
        <f t="shared" si="77"/>
        <v>640648.67764685536</v>
      </c>
      <c r="B1021" s="3">
        <f t="shared" si="79"/>
        <v>1.2000000000000004</v>
      </c>
      <c r="C1021" s="553">
        <f>'Foglio deposito bis'!$E$157/sezione!$B$247*B1021</f>
        <v>4.8715126990735955</v>
      </c>
      <c r="D1021" s="611">
        <f>-'Progetto del paramento slu'!$G$47*'Progetto del paramento slu'!$G$41*IF(DATI!$G$218="dx",DATI!$E$61,DATI!$E$64*DATI!$E$63)*1000*C1021^2*sezione!$AD$5*(1-sezione!$AD$6)</f>
        <v>-195358.82166900844</v>
      </c>
      <c r="E1021" s="553">
        <f>-'Foglio deposito bis'!$F$58*(C1021-sezione!$AL$31)*IF(ABS(K1021)&lt;'Progetto del paramento slu'!$G$58,ABS(K1021)*'Progetto del paramento slu'!$G$54,'Progetto del paramento slu'!$G$53)</f>
        <v>0</v>
      </c>
      <c r="F1021" s="553">
        <f>-'Foglio deposito bis'!$F$59*(C1021-sezione!$AM$31)*IF(ABS(L1021)&lt;'Progetto del paramento slu'!$G$58,ABS(L1021)*'Progetto del paramento slu'!$G$54,'Progetto del paramento slu'!$G$53)</f>
        <v>22301148.400982119</v>
      </c>
      <c r="G1021" s="553">
        <f>-'Foglio deposito bis'!$F$60*(C1021-sezione!$AN$31)*IF(ABS(M1021)&lt;'Progetto del paramento slu'!$G$58,ABS(M1021)*'Progetto del paramento slu'!$G$54,'Progetto del paramento slu'!$G$53)</f>
        <v>0</v>
      </c>
      <c r="H1021" s="553">
        <f>-'Foglio deposito bis'!$F$61*(C1021-sezione!$AO$31)*IF(ABS(N1021)&lt;'Progetto del paramento slu'!$G$58,ABS(N1021)*'Progetto del paramento slu'!$G$54,'Progetto del paramento slu'!$G$53)</f>
        <v>80748035.204790175</v>
      </c>
      <c r="I1021" s="479">
        <f>-'Foglio deposito bis'!$F$62*(C1021-sezione!$AP$31)*IF(ABS(O1021)&lt;'Progetto del paramento slu'!$G$58,ABS(O1021)*'Progetto del paramento slu'!$G$54,'Progetto del paramento slu'!$G$53)</f>
        <v>80291626.944573641</v>
      </c>
      <c r="J1021" s="479">
        <f t="shared" si="75"/>
        <v>183145451.72867692</v>
      </c>
      <c r="K1021" s="558">
        <f>'Progetto del paramento slu'!$G$60*(sezione!$AL$31-C1021)/C1021</f>
        <v>2.5238506629906451E-2</v>
      </c>
      <c r="L1021" s="558">
        <f>'Progetto del paramento slu'!$G$60*(sezione!$AM$31-C1021)/C1021</f>
        <v>0.10426939986214918</v>
      </c>
      <c r="M1021" s="559">
        <f>'Progetto del paramento slu'!$G$60*(sezione!$AN$31-C1021)/C1021</f>
        <v>0.18330029309439194</v>
      </c>
      <c r="N1021" s="559">
        <f>'Progetto del paramento slu'!$G$60*(sezione!$AO$31-C1021)/C1021</f>
        <v>0.24077730635420486</v>
      </c>
      <c r="O1021" s="559">
        <f>'Progetto del paramento slu'!$G$60*(sezione!$AP$31-C1021)/C1021</f>
        <v>0.18330316003676</v>
      </c>
      <c r="P1021" s="553">
        <f>-'Progetto del paramento slu'!$G$47*'Progetto del paramento slu'!$G$41*IF(DATI!$G$218="dx",DATI!$E$61,DATI!$E$64*DATI!$E$63)*1000*C1021*sezione!$AD$5</f>
        <v>-68668.307139744502</v>
      </c>
      <c r="Q1021" s="553">
        <f>'Foglio deposito bis'!$F$58*IF(ABS(K1021)&lt;'Progetto del paramento slu'!$G$58,ABS(K1021)*'Progetto del paramento slu'!$G$54,'Progetto del paramento slu'!$G$53)*IF(K1021&lt;0,-1,1)</f>
        <v>0</v>
      </c>
      <c r="R1021" s="553">
        <f>'Foglio deposito bis'!$F$59*IF(ABS(L1021)&lt;'Progetto del paramento slu'!$G$58,ABS(L1021)*'Progetto del paramento slu'!$G$54,'Progetto del paramento slu'!$G$53)*IF(L1021&lt;0,-1,1)</f>
        <v>153664.85805602249</v>
      </c>
      <c r="S1021" s="553">
        <f>'Foglio deposito bis'!$F$60*IF(ABS(M1021)&lt;'Progetto del paramento slu'!$G$58,ABS(M1021)*'Progetto del paramento slu'!$G$54,'Progetto del paramento slu'!$G$53)*IF(M1021&lt;0,-1,1)</f>
        <v>0</v>
      </c>
      <c r="T1021" s="553">
        <f>'Foglio deposito bis'!$F$61*IF(ABS(N1021)&lt;'Progetto del paramento slu'!$G$58,ABS(N1021)*'Progetto del paramento slu'!$G$54,'Progetto del paramento slu'!$G$53)*IF(N1021&lt;0,-1,1)</f>
        <v>240946.49743184328</v>
      </c>
      <c r="U1021" s="553">
        <f>'Foglio deposito bis'!$F$62*IF(ABS(O1021)&lt;'Progetto del paramento slu'!$G$58,ABS(O1021)*'Progetto del paramento slu'!$G$54,'Progetto del paramento slu'!$G$53)*IF(O1021&lt;0,-1,1)</f>
        <v>314705.62929873407</v>
      </c>
      <c r="V1021" s="479">
        <f t="shared" si="78"/>
        <v>640648.67764685536</v>
      </c>
      <c r="W1021" s="559"/>
      <c r="X1021" s="559"/>
    </row>
    <row r="1022" spans="1:24" x14ac:dyDescent="0.25">
      <c r="A1022" s="553">
        <f t="shared" si="77"/>
        <v>637787.49818269932</v>
      </c>
      <c r="B1022" s="3">
        <f t="shared" si="79"/>
        <v>1.2500000000000004</v>
      </c>
      <c r="C1022" s="553">
        <f>'Foglio deposito bis'!$E$157/sezione!$B$247*B1022</f>
        <v>5.0744923948683294</v>
      </c>
      <c r="D1022" s="611">
        <f>-'Progetto del paramento slu'!$G$47*'Progetto del paramento slu'!$G$41*IF(DATI!$G$218="dx",DATI!$E$61,DATI!$E$64*DATI!$E$63)*1000*C1022^2*sezione!$AD$5*(1-sezione!$AD$6)</f>
        <v>-211977.88809571238</v>
      </c>
      <c r="E1022" s="553">
        <f>-'Foglio deposito bis'!$F$58*(C1022-sezione!$AL$31)*IF(ABS(K1022)&lt;'Progetto del paramento slu'!$G$58,ABS(K1022)*'Progetto del paramento slu'!$G$54,'Progetto del paramento slu'!$G$53)</f>
        <v>0</v>
      </c>
      <c r="F1022" s="553">
        <f>-'Foglio deposito bis'!$F$59*(C1022-sezione!$AM$31)*IF(ABS(L1022)&lt;'Progetto del paramento slu'!$G$58,ABS(L1022)*'Progetto del paramento slu'!$G$54,'Progetto del paramento slu'!$G$53)</f>
        <v>22269957.554839563</v>
      </c>
      <c r="G1022" s="553">
        <f>-'Foglio deposito bis'!$F$60*(C1022-sezione!$AN$31)*IF(ABS(M1022)&lt;'Progetto del paramento slu'!$G$58,ABS(M1022)*'Progetto del paramento slu'!$G$54,'Progetto del paramento slu'!$G$53)</f>
        <v>0</v>
      </c>
      <c r="H1022" s="553">
        <f>-'Foglio deposito bis'!$F$61*(C1022-sezione!$AO$31)*IF(ABS(N1022)&lt;'Progetto del paramento slu'!$G$58,ABS(N1022)*'Progetto del paramento slu'!$G$54,'Progetto del paramento slu'!$G$53)</f>
        <v>80699127.958038658</v>
      </c>
      <c r="I1022" s="479">
        <f>-'Foglio deposito bis'!$F$62*(C1022-sezione!$AP$31)*IF(ABS(O1022)&lt;'Progetto del paramento slu'!$G$58,ABS(O1022)*'Progetto del paramento slu'!$G$54,'Progetto del paramento slu'!$G$53)</f>
        <v>80227748.091673687</v>
      </c>
      <c r="J1022" s="479">
        <f t="shared" si="75"/>
        <v>182984855.71645617</v>
      </c>
      <c r="K1022" s="558">
        <f>'Progetto del paramento slu'!$G$60*(sezione!$AL$31-C1022)/C1022</f>
        <v>2.4088966364710189E-2</v>
      </c>
      <c r="L1022" s="558">
        <f>'Progetto del paramento slu'!$G$60*(sezione!$AM$31-C1022)/C1022</f>
        <v>9.9958623867663202E-2</v>
      </c>
      <c r="M1022" s="559">
        <f>'Progetto del paramento slu'!$G$60*(sezione!$AN$31-C1022)/C1022</f>
        <v>0.17582828137061621</v>
      </c>
      <c r="N1022" s="559">
        <f>'Progetto del paramento slu'!$G$60*(sezione!$AO$31-C1022)/C1022</f>
        <v>0.23100621410003661</v>
      </c>
      <c r="O1022" s="559">
        <f>'Progetto del paramento slu'!$G$60*(sezione!$AP$31-C1022)/C1022</f>
        <v>0.17583103363528957</v>
      </c>
      <c r="P1022" s="553">
        <f>-'Progetto del paramento slu'!$G$47*'Progetto del paramento slu'!$G$41*IF(DATI!$G$218="dx",DATI!$E$61,DATI!$E$64*DATI!$E$63)*1000*C1022*sezione!$AD$5</f>
        <v>-71529.486603900543</v>
      </c>
      <c r="Q1022" s="553">
        <f>'Foglio deposito bis'!$F$58*IF(ABS(K1022)&lt;'Progetto del paramento slu'!$G$58,ABS(K1022)*'Progetto del paramento slu'!$G$54,'Progetto del paramento slu'!$G$53)*IF(K1022&lt;0,-1,1)</f>
        <v>0</v>
      </c>
      <c r="R1022" s="553">
        <f>'Foglio deposito bis'!$F$59*IF(ABS(L1022)&lt;'Progetto del paramento slu'!$G$58,ABS(L1022)*'Progetto del paramento slu'!$G$54,'Progetto del paramento slu'!$G$53)*IF(L1022&lt;0,-1,1)</f>
        <v>153664.85805602249</v>
      </c>
      <c r="S1022" s="553">
        <f>'Foglio deposito bis'!$F$60*IF(ABS(M1022)&lt;'Progetto del paramento slu'!$G$58,ABS(M1022)*'Progetto del paramento slu'!$G$54,'Progetto del paramento slu'!$G$53)*IF(M1022&lt;0,-1,1)</f>
        <v>0</v>
      </c>
      <c r="T1022" s="553">
        <f>'Foglio deposito bis'!$F$61*IF(ABS(N1022)&lt;'Progetto del paramento slu'!$G$58,ABS(N1022)*'Progetto del paramento slu'!$G$54,'Progetto del paramento slu'!$G$53)*IF(N1022&lt;0,-1,1)</f>
        <v>240946.49743184328</v>
      </c>
      <c r="U1022" s="553">
        <f>'Foglio deposito bis'!$F$62*IF(ABS(O1022)&lt;'Progetto del paramento slu'!$G$58,ABS(O1022)*'Progetto del paramento slu'!$G$54,'Progetto del paramento slu'!$G$53)*IF(O1022&lt;0,-1,1)</f>
        <v>314705.62929873407</v>
      </c>
      <c r="V1022" s="479">
        <f t="shared" si="78"/>
        <v>637787.49818269932</v>
      </c>
      <c r="W1022" s="559"/>
      <c r="X1022" s="559"/>
    </row>
    <row r="1023" spans="1:24" x14ac:dyDescent="0.25">
      <c r="A1023" s="553">
        <f t="shared" si="77"/>
        <v>634926.31871854328</v>
      </c>
      <c r="B1023" s="3">
        <f t="shared" si="79"/>
        <v>1.3000000000000005</v>
      </c>
      <c r="C1023" s="553">
        <f>'Foglio deposito bis'!$E$157/sezione!$B$247*B1023</f>
        <v>5.2774720906630623</v>
      </c>
      <c r="D1023" s="611">
        <f>-'Progetto del paramento slu'!$G$47*'Progetto del paramento slu'!$G$41*IF(DATI!$G$218="dx",DATI!$E$61,DATI!$E$64*DATI!$E$63)*1000*C1023^2*sezione!$AD$5*(1-sezione!$AD$6)</f>
        <v>-229275.28376432246</v>
      </c>
      <c r="E1023" s="553">
        <f>-'Foglio deposito bis'!$F$58*(C1023-sezione!$AL$31)*IF(ABS(K1023)&lt;'Progetto del paramento slu'!$G$58,ABS(K1023)*'Progetto del paramento slu'!$G$54,'Progetto del paramento slu'!$G$53)</f>
        <v>0</v>
      </c>
      <c r="F1023" s="553">
        <f>-'Foglio deposito bis'!$F$59*(C1023-sezione!$AM$31)*IF(ABS(L1023)&lt;'Progetto del paramento slu'!$G$58,ABS(L1023)*'Progetto del paramento slu'!$G$54,'Progetto del paramento slu'!$G$53)</f>
        <v>22238766.708697017</v>
      </c>
      <c r="G1023" s="553">
        <f>-'Foglio deposito bis'!$F$60*(C1023-sezione!$AN$31)*IF(ABS(M1023)&lt;'Progetto del paramento slu'!$G$58,ABS(M1023)*'Progetto del paramento slu'!$G$54,'Progetto del paramento slu'!$G$53)</f>
        <v>0</v>
      </c>
      <c r="H1023" s="553">
        <f>-'Foglio deposito bis'!$F$61*(C1023-sezione!$AO$31)*IF(ABS(N1023)&lt;'Progetto del paramento slu'!$G$58,ABS(N1023)*'Progetto del paramento slu'!$G$54,'Progetto del paramento slu'!$G$53)</f>
        <v>80650220.711287141</v>
      </c>
      <c r="I1023" s="479">
        <f>-'Foglio deposito bis'!$F$62*(C1023-sezione!$AP$31)*IF(ABS(O1023)&lt;'Progetto del paramento slu'!$G$58,ABS(O1023)*'Progetto del paramento slu'!$G$54,'Progetto del paramento slu'!$G$53)</f>
        <v>80163869.238773733</v>
      </c>
      <c r="J1023" s="479">
        <f t="shared" si="75"/>
        <v>182823581.37499356</v>
      </c>
      <c r="K1023" s="558">
        <f>'Progetto del paramento slu'!$G$60*(sezione!$AL$31-C1023)/C1023</f>
        <v>2.3027852273759801E-2</v>
      </c>
      <c r="L1023" s="558">
        <f>'Progetto del paramento slu'!$G$60*(sezione!$AM$31-C1023)/C1023</f>
        <v>9.597944602659926E-2</v>
      </c>
      <c r="M1023" s="559">
        <f>'Progetto del paramento slu'!$G$60*(sezione!$AN$31-C1023)/C1023</f>
        <v>0.16893103977943871</v>
      </c>
      <c r="N1023" s="559">
        <f>'Progetto del paramento slu'!$G$60*(sezione!$AO$31-C1023)/C1023</f>
        <v>0.22198674432695831</v>
      </c>
      <c r="O1023" s="559">
        <f>'Progetto del paramento slu'!$G$60*(sezione!$AP$31-C1023)/C1023</f>
        <v>0.16893368618777846</v>
      </c>
      <c r="P1023" s="553">
        <f>-'Progetto del paramento slu'!$G$47*'Progetto del paramento slu'!$G$41*IF(DATI!$G$218="dx",DATI!$E$61,DATI!$E$64*DATI!$E$63)*1000*C1023*sezione!$AD$5</f>
        <v>-74390.666068056555</v>
      </c>
      <c r="Q1023" s="553">
        <f>'Foglio deposito bis'!$F$58*IF(ABS(K1023)&lt;'Progetto del paramento slu'!$G$58,ABS(K1023)*'Progetto del paramento slu'!$G$54,'Progetto del paramento slu'!$G$53)*IF(K1023&lt;0,-1,1)</f>
        <v>0</v>
      </c>
      <c r="R1023" s="553">
        <f>'Foglio deposito bis'!$F$59*IF(ABS(L1023)&lt;'Progetto del paramento slu'!$G$58,ABS(L1023)*'Progetto del paramento slu'!$G$54,'Progetto del paramento slu'!$G$53)*IF(L1023&lt;0,-1,1)</f>
        <v>153664.85805602249</v>
      </c>
      <c r="S1023" s="553">
        <f>'Foglio deposito bis'!$F$60*IF(ABS(M1023)&lt;'Progetto del paramento slu'!$G$58,ABS(M1023)*'Progetto del paramento slu'!$G$54,'Progetto del paramento slu'!$G$53)*IF(M1023&lt;0,-1,1)</f>
        <v>0</v>
      </c>
      <c r="T1023" s="553">
        <f>'Foglio deposito bis'!$F$61*IF(ABS(N1023)&lt;'Progetto del paramento slu'!$G$58,ABS(N1023)*'Progetto del paramento slu'!$G$54,'Progetto del paramento slu'!$G$53)*IF(N1023&lt;0,-1,1)</f>
        <v>240946.49743184328</v>
      </c>
      <c r="U1023" s="553">
        <f>'Foglio deposito bis'!$F$62*IF(ABS(O1023)&lt;'Progetto del paramento slu'!$G$58,ABS(O1023)*'Progetto del paramento slu'!$G$54,'Progetto del paramento slu'!$G$53)*IF(O1023&lt;0,-1,1)</f>
        <v>314705.62929873407</v>
      </c>
      <c r="V1023" s="479">
        <f t="shared" si="78"/>
        <v>634926.31871854328</v>
      </c>
      <c r="W1023" s="559"/>
      <c r="X1023" s="559"/>
    </row>
    <row r="1024" spans="1:24" x14ac:dyDescent="0.25">
      <c r="A1024" s="553">
        <f t="shared" si="77"/>
        <v>632065.13925438724</v>
      </c>
      <c r="B1024" s="3">
        <f t="shared" si="79"/>
        <v>1.3500000000000005</v>
      </c>
      <c r="C1024" s="553">
        <f>'Foglio deposito bis'!$E$157/sezione!$B$247*B1024</f>
        <v>5.4804517864577953</v>
      </c>
      <c r="D1024" s="611">
        <f>-'Progetto del paramento slu'!$G$47*'Progetto del paramento slu'!$G$41*IF(DATI!$G$218="dx",DATI!$E$61,DATI!$E$64*DATI!$E$63)*1000*C1024^2*sezione!$AD$5*(1-sezione!$AD$6)</f>
        <v>-247251.00867483884</v>
      </c>
      <c r="E1024" s="553">
        <f>-'Foglio deposito bis'!$F$58*(C1024-sezione!$AL$31)*IF(ABS(K1024)&lt;'Progetto del paramento slu'!$G$58,ABS(K1024)*'Progetto del paramento slu'!$G$54,'Progetto del paramento slu'!$G$53)</f>
        <v>0</v>
      </c>
      <c r="F1024" s="553">
        <f>-'Foglio deposito bis'!$F$59*(C1024-sezione!$AM$31)*IF(ABS(L1024)&lt;'Progetto del paramento slu'!$G$58,ABS(L1024)*'Progetto del paramento slu'!$G$54,'Progetto del paramento slu'!$G$53)</f>
        <v>22207575.862554461</v>
      </c>
      <c r="G1024" s="553">
        <f>-'Foglio deposito bis'!$F$60*(C1024-sezione!$AN$31)*IF(ABS(M1024)&lt;'Progetto del paramento slu'!$G$58,ABS(M1024)*'Progetto del paramento slu'!$G$54,'Progetto del paramento slu'!$G$53)</f>
        <v>0</v>
      </c>
      <c r="H1024" s="553">
        <f>-'Foglio deposito bis'!$F$61*(C1024-sezione!$AO$31)*IF(ABS(N1024)&lt;'Progetto del paramento slu'!$G$58,ABS(N1024)*'Progetto del paramento slu'!$G$54,'Progetto del paramento slu'!$G$53)</f>
        <v>80601313.464535609</v>
      </c>
      <c r="I1024" s="479">
        <f>-'Foglio deposito bis'!$F$62*(C1024-sezione!$AP$31)*IF(ABS(O1024)&lt;'Progetto del paramento slu'!$G$58,ABS(O1024)*'Progetto del paramento slu'!$G$54,'Progetto del paramento slu'!$G$53)</f>
        <v>80099990.38587378</v>
      </c>
      <c r="J1024" s="479">
        <f t="shared" si="75"/>
        <v>182661628.70428902</v>
      </c>
      <c r="K1024" s="558">
        <f>'Progetto del paramento slu'!$G$60*(sezione!$AL$31-C1024)/C1024</f>
        <v>2.2045339226583516E-2</v>
      </c>
      <c r="L1024" s="558">
        <f>'Progetto del paramento slu'!$G$60*(sezione!$AM$31-C1024)/C1024</f>
        <v>9.2295022099688179E-2</v>
      </c>
      <c r="M1024" s="559">
        <f>'Progetto del paramento slu'!$G$60*(sezione!$AN$31-C1024)/C1024</f>
        <v>0.16254470497279283</v>
      </c>
      <c r="N1024" s="559">
        <f>'Progetto del paramento slu'!$G$60*(sezione!$AO$31-C1024)/C1024</f>
        <v>0.21363538342595981</v>
      </c>
      <c r="O1024" s="559">
        <f>'Progetto del paramento slu'!$G$60*(sezione!$AP$31-C1024)/C1024</f>
        <v>0.16254725336600886</v>
      </c>
      <c r="P1024" s="553">
        <f>-'Progetto del paramento slu'!$G$47*'Progetto del paramento slu'!$G$41*IF(DATI!$G$218="dx",DATI!$E$61,DATI!$E$64*DATI!$E$63)*1000*C1024*sezione!$AD$5</f>
        <v>-77251.845532212581</v>
      </c>
      <c r="Q1024" s="553">
        <f>'Foglio deposito bis'!$F$58*IF(ABS(K1024)&lt;'Progetto del paramento slu'!$G$58,ABS(K1024)*'Progetto del paramento slu'!$G$54,'Progetto del paramento slu'!$G$53)*IF(K1024&lt;0,-1,1)</f>
        <v>0</v>
      </c>
      <c r="R1024" s="553">
        <f>'Foglio deposito bis'!$F$59*IF(ABS(L1024)&lt;'Progetto del paramento slu'!$G$58,ABS(L1024)*'Progetto del paramento slu'!$G$54,'Progetto del paramento slu'!$G$53)*IF(L1024&lt;0,-1,1)</f>
        <v>153664.85805602249</v>
      </c>
      <c r="S1024" s="553">
        <f>'Foglio deposito bis'!$F$60*IF(ABS(M1024)&lt;'Progetto del paramento slu'!$G$58,ABS(M1024)*'Progetto del paramento slu'!$G$54,'Progetto del paramento slu'!$G$53)*IF(M1024&lt;0,-1,1)</f>
        <v>0</v>
      </c>
      <c r="T1024" s="553">
        <f>'Foglio deposito bis'!$F$61*IF(ABS(N1024)&lt;'Progetto del paramento slu'!$G$58,ABS(N1024)*'Progetto del paramento slu'!$G$54,'Progetto del paramento slu'!$G$53)*IF(N1024&lt;0,-1,1)</f>
        <v>240946.49743184328</v>
      </c>
      <c r="U1024" s="553">
        <f>'Foglio deposito bis'!$F$62*IF(ABS(O1024)&lt;'Progetto del paramento slu'!$G$58,ABS(O1024)*'Progetto del paramento slu'!$G$54,'Progetto del paramento slu'!$G$53)*IF(O1024&lt;0,-1,1)</f>
        <v>314705.62929873407</v>
      </c>
      <c r="V1024" s="479">
        <f t="shared" si="78"/>
        <v>632065.13925438724</v>
      </c>
      <c r="W1024" s="559"/>
      <c r="X1024" s="559"/>
    </row>
    <row r="1025" spans="1:24" x14ac:dyDescent="0.25">
      <c r="A1025" s="553">
        <f t="shared" si="77"/>
        <v>629203.95979023119</v>
      </c>
      <c r="B1025" s="3">
        <f t="shared" si="79"/>
        <v>1.4000000000000006</v>
      </c>
      <c r="C1025" s="553">
        <f>'Foglio deposito bis'!$E$157/sezione!$B$247*B1025</f>
        <v>5.6834314822525291</v>
      </c>
      <c r="D1025" s="611">
        <f>-'Progetto del paramento slu'!$G$47*'Progetto del paramento slu'!$G$41*IF(DATI!$G$218="dx",DATI!$E$61,DATI!$E$64*DATI!$E$63)*1000*C1025^2*sezione!$AD$5*(1-sezione!$AD$6)</f>
        <v>-265905.06282726157</v>
      </c>
      <c r="E1025" s="553">
        <f>-'Foglio deposito bis'!$F$58*(C1025-sezione!$AL$31)*IF(ABS(K1025)&lt;'Progetto del paramento slu'!$G$58,ABS(K1025)*'Progetto del paramento slu'!$G$54,'Progetto del paramento slu'!$G$53)</f>
        <v>0</v>
      </c>
      <c r="F1025" s="553">
        <f>-'Foglio deposito bis'!$F$59*(C1025-sezione!$AM$31)*IF(ABS(L1025)&lt;'Progetto del paramento slu'!$G$58,ABS(L1025)*'Progetto del paramento slu'!$G$54,'Progetto del paramento slu'!$G$53)</f>
        <v>22176385.016411908</v>
      </c>
      <c r="G1025" s="553">
        <f>-'Foglio deposito bis'!$F$60*(C1025-sezione!$AN$31)*IF(ABS(M1025)&lt;'Progetto del paramento slu'!$G$58,ABS(M1025)*'Progetto del paramento slu'!$G$54,'Progetto del paramento slu'!$G$53)</f>
        <v>0</v>
      </c>
      <c r="H1025" s="553">
        <f>-'Foglio deposito bis'!$F$61*(C1025-sezione!$AO$31)*IF(ABS(N1025)&lt;'Progetto del paramento slu'!$G$58,ABS(N1025)*'Progetto del paramento slu'!$G$54,'Progetto del paramento slu'!$G$53)</f>
        <v>80552406.217784092</v>
      </c>
      <c r="I1025" s="479">
        <f>-'Foglio deposito bis'!$F$62*(C1025-sezione!$AP$31)*IF(ABS(O1025)&lt;'Progetto del paramento slu'!$G$58,ABS(O1025)*'Progetto del paramento slu'!$G$54,'Progetto del paramento slu'!$G$53)</f>
        <v>80036111.532973856</v>
      </c>
      <c r="J1025" s="479">
        <f t="shared" si="75"/>
        <v>182498997.7043426</v>
      </c>
      <c r="K1025" s="558">
        <f>'Progetto del paramento slu'!$G$60*(sezione!$AL$31-C1025)/C1025</f>
        <v>2.1133005682776956E-2</v>
      </c>
      <c r="L1025" s="558">
        <f>'Progetto del paramento slu'!$G$60*(sezione!$AM$31-C1025)/C1025</f>
        <v>8.8873771310413574E-2</v>
      </c>
      <c r="M1025" s="559">
        <f>'Progetto del paramento slu'!$G$60*(sezione!$AN$31-C1025)/C1025</f>
        <v>0.15661453693805019</v>
      </c>
      <c r="N1025" s="559">
        <f>'Progetto del paramento slu'!$G$60*(sezione!$AO$31-C1025)/C1025</f>
        <v>0.20588054830360414</v>
      </c>
      <c r="O1025" s="559">
        <f>'Progetto del paramento slu'!$G$60*(sezione!$AP$31-C1025)/C1025</f>
        <v>0.15661699431722284</v>
      </c>
      <c r="P1025" s="553">
        <f>-'Progetto del paramento slu'!$G$47*'Progetto del paramento slu'!$G$41*IF(DATI!$G$218="dx",DATI!$E$61,DATI!$E$64*DATI!$E$63)*1000*C1025*sezione!$AD$5</f>
        <v>-80113.024996368607</v>
      </c>
      <c r="Q1025" s="553">
        <f>'Foglio deposito bis'!$F$58*IF(ABS(K1025)&lt;'Progetto del paramento slu'!$G$58,ABS(K1025)*'Progetto del paramento slu'!$G$54,'Progetto del paramento slu'!$G$53)*IF(K1025&lt;0,-1,1)</f>
        <v>0</v>
      </c>
      <c r="R1025" s="553">
        <f>'Foglio deposito bis'!$F$59*IF(ABS(L1025)&lt;'Progetto del paramento slu'!$G$58,ABS(L1025)*'Progetto del paramento slu'!$G$54,'Progetto del paramento slu'!$G$53)*IF(L1025&lt;0,-1,1)</f>
        <v>153664.85805602249</v>
      </c>
      <c r="S1025" s="553">
        <f>'Foglio deposito bis'!$F$60*IF(ABS(M1025)&lt;'Progetto del paramento slu'!$G$58,ABS(M1025)*'Progetto del paramento slu'!$G$54,'Progetto del paramento slu'!$G$53)*IF(M1025&lt;0,-1,1)</f>
        <v>0</v>
      </c>
      <c r="T1025" s="553">
        <f>'Foglio deposito bis'!$F$61*IF(ABS(N1025)&lt;'Progetto del paramento slu'!$G$58,ABS(N1025)*'Progetto del paramento slu'!$G$54,'Progetto del paramento slu'!$G$53)*IF(N1025&lt;0,-1,1)</f>
        <v>240946.49743184328</v>
      </c>
      <c r="U1025" s="553">
        <f>'Foglio deposito bis'!$F$62*IF(ABS(O1025)&lt;'Progetto del paramento slu'!$G$58,ABS(O1025)*'Progetto del paramento slu'!$G$54,'Progetto del paramento slu'!$G$53)*IF(O1025&lt;0,-1,1)</f>
        <v>314705.62929873407</v>
      </c>
      <c r="V1025" s="479">
        <f t="shared" si="78"/>
        <v>629203.95979023119</v>
      </c>
      <c r="W1025" s="559"/>
      <c r="X1025" s="559"/>
    </row>
    <row r="1026" spans="1:24" x14ac:dyDescent="0.25">
      <c r="A1026" s="553">
        <f t="shared" si="77"/>
        <v>626342.78032607515</v>
      </c>
      <c r="B1026" s="3">
        <f t="shared" si="79"/>
        <v>1.4500000000000006</v>
      </c>
      <c r="C1026" s="553">
        <f>'Foglio deposito bis'!$E$157/sezione!$B$247*B1026</f>
        <v>5.8864111780472621</v>
      </c>
      <c r="D1026" s="611">
        <f>-'Progetto del paramento slu'!$G$47*'Progetto del paramento slu'!$G$41*IF(DATI!$G$218="dx",DATI!$E$61,DATI!$E$64*DATI!$E$63)*1000*C1026^2*sezione!$AD$5*(1-sezione!$AD$6)</f>
        <v>-285237.44622159051</v>
      </c>
      <c r="E1026" s="553">
        <f>-'Foglio deposito bis'!$F$58*(C1026-sezione!$AL$31)*IF(ABS(K1026)&lt;'Progetto del paramento slu'!$G$58,ABS(K1026)*'Progetto del paramento slu'!$G$54,'Progetto del paramento slu'!$G$53)</f>
        <v>0</v>
      </c>
      <c r="F1026" s="553">
        <f>-'Foglio deposito bis'!$F$59*(C1026-sezione!$AM$31)*IF(ABS(L1026)&lt;'Progetto del paramento slu'!$G$58,ABS(L1026)*'Progetto del paramento slu'!$G$54,'Progetto del paramento slu'!$G$53)</f>
        <v>22145194.170269355</v>
      </c>
      <c r="G1026" s="553">
        <f>-'Foglio deposito bis'!$F$60*(C1026-sezione!$AN$31)*IF(ABS(M1026)&lt;'Progetto del paramento slu'!$G$58,ABS(M1026)*'Progetto del paramento slu'!$G$54,'Progetto del paramento slu'!$G$53)</f>
        <v>0</v>
      </c>
      <c r="H1026" s="553">
        <f>-'Foglio deposito bis'!$F$61*(C1026-sezione!$AO$31)*IF(ABS(N1026)&lt;'Progetto del paramento slu'!$G$58,ABS(N1026)*'Progetto del paramento slu'!$G$54,'Progetto del paramento slu'!$G$53)</f>
        <v>80503498.97103259</v>
      </c>
      <c r="I1026" s="479">
        <f>-'Foglio deposito bis'!$F$62*(C1026-sezione!$AP$31)*IF(ABS(O1026)&lt;'Progetto del paramento slu'!$G$58,ABS(O1026)*'Progetto del paramento slu'!$G$54,'Progetto del paramento slu'!$G$53)</f>
        <v>79972232.680073902</v>
      </c>
      <c r="J1026" s="479">
        <f t="shared" si="75"/>
        <v>182335688.37515426</v>
      </c>
      <c r="K1026" s="558">
        <f>'Progetto del paramento slu'!$G$60*(sezione!$AL$31-C1026)/C1026</f>
        <v>2.0283591693715682E-2</v>
      </c>
      <c r="L1026" s="558">
        <f>'Progetto del paramento slu'!$G$60*(sezione!$AM$31-C1026)/C1026</f>
        <v>8.5688468851433788E-2</v>
      </c>
      <c r="M1026" s="559">
        <f>'Progetto del paramento slu'!$G$60*(sezione!$AN$31-C1026)/C1026</f>
        <v>0.15109334600915192</v>
      </c>
      <c r="N1026" s="559">
        <f>'Progetto del paramento slu'!$G$60*(sezione!$AO$31-C1026)/C1026</f>
        <v>0.19866052939658332</v>
      </c>
      <c r="O1026" s="559">
        <f>'Progetto del paramento slu'!$G$60*(sezione!$AP$31-C1026)/C1026</f>
        <v>0.15109571865111171</v>
      </c>
      <c r="P1026" s="553">
        <f>-'Progetto del paramento slu'!$G$47*'Progetto del paramento slu'!$G$41*IF(DATI!$G$218="dx",DATI!$E$61,DATI!$E$64*DATI!$E$63)*1000*C1026*sezione!$AD$5</f>
        <v>-82974.204460524619</v>
      </c>
      <c r="Q1026" s="553">
        <f>'Foglio deposito bis'!$F$58*IF(ABS(K1026)&lt;'Progetto del paramento slu'!$G$58,ABS(K1026)*'Progetto del paramento slu'!$G$54,'Progetto del paramento slu'!$G$53)*IF(K1026&lt;0,-1,1)</f>
        <v>0</v>
      </c>
      <c r="R1026" s="553">
        <f>'Foglio deposito bis'!$F$59*IF(ABS(L1026)&lt;'Progetto del paramento slu'!$G$58,ABS(L1026)*'Progetto del paramento slu'!$G$54,'Progetto del paramento slu'!$G$53)*IF(L1026&lt;0,-1,1)</f>
        <v>153664.85805602249</v>
      </c>
      <c r="S1026" s="553">
        <f>'Foglio deposito bis'!$F$60*IF(ABS(M1026)&lt;'Progetto del paramento slu'!$G$58,ABS(M1026)*'Progetto del paramento slu'!$G$54,'Progetto del paramento slu'!$G$53)*IF(M1026&lt;0,-1,1)</f>
        <v>0</v>
      </c>
      <c r="T1026" s="553">
        <f>'Foglio deposito bis'!$F$61*IF(ABS(N1026)&lt;'Progetto del paramento slu'!$G$58,ABS(N1026)*'Progetto del paramento slu'!$G$54,'Progetto del paramento slu'!$G$53)*IF(N1026&lt;0,-1,1)</f>
        <v>240946.49743184328</v>
      </c>
      <c r="U1026" s="553">
        <f>'Foglio deposito bis'!$F$62*IF(ABS(O1026)&lt;'Progetto del paramento slu'!$G$58,ABS(O1026)*'Progetto del paramento slu'!$G$54,'Progetto del paramento slu'!$G$53)*IF(O1026&lt;0,-1,1)</f>
        <v>314705.62929873407</v>
      </c>
      <c r="V1026" s="479">
        <f t="shared" si="78"/>
        <v>626342.78032607515</v>
      </c>
      <c r="W1026" s="559"/>
      <c r="X1026" s="559"/>
    </row>
    <row r="1027" spans="1:24" x14ac:dyDescent="0.25">
      <c r="A1027" s="553">
        <f t="shared" si="77"/>
        <v>623481.60086191911</v>
      </c>
      <c r="B1027" s="3">
        <f t="shared" si="79"/>
        <v>1.5000000000000007</v>
      </c>
      <c r="C1027" s="553">
        <f>'Foglio deposito bis'!$E$157/sezione!$B$247*B1027</f>
        <v>6.089390873841996</v>
      </c>
      <c r="D1027" s="611">
        <f>-'Progetto del paramento slu'!$G$47*'Progetto del paramento slu'!$G$41*IF(DATI!$G$218="dx",DATI!$E$61,DATI!$E$64*DATI!$E$63)*1000*C1027^2*sezione!$AD$5*(1-sezione!$AD$6)</f>
        <v>-305248.15885782585</v>
      </c>
      <c r="E1027" s="553">
        <f>-'Foglio deposito bis'!$F$58*(C1027-sezione!$AL$31)*IF(ABS(K1027)&lt;'Progetto del paramento slu'!$G$58,ABS(K1027)*'Progetto del paramento slu'!$G$54,'Progetto del paramento slu'!$G$53)</f>
        <v>0</v>
      </c>
      <c r="F1027" s="553">
        <f>-'Foglio deposito bis'!$F$59*(C1027-sezione!$AM$31)*IF(ABS(L1027)&lt;'Progetto del paramento slu'!$G$58,ABS(L1027)*'Progetto del paramento slu'!$G$54,'Progetto del paramento slu'!$G$53)</f>
        <v>22114003.324126806</v>
      </c>
      <c r="G1027" s="553">
        <f>-'Foglio deposito bis'!$F$60*(C1027-sezione!$AN$31)*IF(ABS(M1027)&lt;'Progetto del paramento slu'!$G$58,ABS(M1027)*'Progetto del paramento slu'!$G$54,'Progetto del paramento slu'!$G$53)</f>
        <v>0</v>
      </c>
      <c r="H1027" s="553">
        <f>-'Foglio deposito bis'!$F$61*(C1027-sezione!$AO$31)*IF(ABS(N1027)&lt;'Progetto del paramento slu'!$G$58,ABS(N1027)*'Progetto del paramento slu'!$G$54,'Progetto del paramento slu'!$G$53)</f>
        <v>80454591.724281058</v>
      </c>
      <c r="I1027" s="479">
        <f>-'Foglio deposito bis'!$F$62*(C1027-sezione!$AP$31)*IF(ABS(O1027)&lt;'Progetto del paramento slu'!$G$58,ABS(O1027)*'Progetto del paramento slu'!$G$54,'Progetto del paramento slu'!$G$53)</f>
        <v>79908353.827173948</v>
      </c>
      <c r="J1027" s="479">
        <f t="shared" si="75"/>
        <v>182171700.71672398</v>
      </c>
      <c r="K1027" s="558">
        <f>'Progetto del paramento slu'!$G$60*(sezione!$AL$31-C1027)/C1027</f>
        <v>1.9490805303925159E-2</v>
      </c>
      <c r="L1027" s="558">
        <f>'Progetto del paramento slu'!$G$60*(sezione!$AM$31-C1027)/C1027</f>
        <v>8.2715519889719327E-2</v>
      </c>
      <c r="M1027" s="559">
        <f>'Progetto del paramento slu'!$G$60*(sezione!$AN$31-C1027)/C1027</f>
        <v>0.14594023447551352</v>
      </c>
      <c r="N1027" s="559">
        <f>'Progetto del paramento slu'!$G$60*(sezione!$AO$31-C1027)/C1027</f>
        <v>0.19192184508336382</v>
      </c>
      <c r="O1027" s="559">
        <f>'Progetto del paramento slu'!$G$60*(sezione!$AP$31-C1027)/C1027</f>
        <v>0.14594252802940796</v>
      </c>
      <c r="P1027" s="553">
        <f>-'Progetto del paramento slu'!$G$47*'Progetto del paramento slu'!$G$41*IF(DATI!$G$218="dx",DATI!$E$61,DATI!$E$64*DATI!$E$63)*1000*C1027*sezione!$AD$5</f>
        <v>-85835.38392468066</v>
      </c>
      <c r="Q1027" s="553">
        <f>'Foglio deposito bis'!$F$58*IF(ABS(K1027)&lt;'Progetto del paramento slu'!$G$58,ABS(K1027)*'Progetto del paramento slu'!$G$54,'Progetto del paramento slu'!$G$53)*IF(K1027&lt;0,-1,1)</f>
        <v>0</v>
      </c>
      <c r="R1027" s="553">
        <f>'Foglio deposito bis'!$F$59*IF(ABS(L1027)&lt;'Progetto del paramento slu'!$G$58,ABS(L1027)*'Progetto del paramento slu'!$G$54,'Progetto del paramento slu'!$G$53)*IF(L1027&lt;0,-1,1)</f>
        <v>153664.85805602249</v>
      </c>
      <c r="S1027" s="553">
        <f>'Foglio deposito bis'!$F$60*IF(ABS(M1027)&lt;'Progetto del paramento slu'!$G$58,ABS(M1027)*'Progetto del paramento slu'!$G$54,'Progetto del paramento slu'!$G$53)*IF(M1027&lt;0,-1,1)</f>
        <v>0</v>
      </c>
      <c r="T1027" s="553">
        <f>'Foglio deposito bis'!$F$61*IF(ABS(N1027)&lt;'Progetto del paramento slu'!$G$58,ABS(N1027)*'Progetto del paramento slu'!$G$54,'Progetto del paramento slu'!$G$53)*IF(N1027&lt;0,-1,1)</f>
        <v>240946.49743184328</v>
      </c>
      <c r="U1027" s="553">
        <f>'Foglio deposito bis'!$F$62*IF(ABS(O1027)&lt;'Progetto del paramento slu'!$G$58,ABS(O1027)*'Progetto del paramento slu'!$G$54,'Progetto del paramento slu'!$G$53)*IF(O1027&lt;0,-1,1)</f>
        <v>314705.62929873407</v>
      </c>
      <c r="V1027" s="479">
        <f t="shared" si="78"/>
        <v>623481.60086191911</v>
      </c>
      <c r="W1027" s="559"/>
      <c r="X1027" s="559"/>
    </row>
    <row r="1028" spans="1:24" x14ac:dyDescent="0.25">
      <c r="A1028" s="553">
        <f t="shared" si="77"/>
        <v>620620.42139776319</v>
      </c>
      <c r="B1028" s="3">
        <f t="shared" si="79"/>
        <v>1.5500000000000007</v>
      </c>
      <c r="C1028" s="553">
        <f>'Foglio deposito bis'!$E$157/sezione!$B$247*B1028</f>
        <v>6.2923705696367289</v>
      </c>
      <c r="D1028" s="611">
        <f>-'Progetto del paramento slu'!$G$47*'Progetto del paramento slu'!$G$41*IF(DATI!$G$218="dx",DATI!$E$61,DATI!$E$64*DATI!$E$63)*1000*C1028^2*sezione!$AD$5*(1-sezione!$AD$6)</f>
        <v>-325937.20073596732</v>
      </c>
      <c r="E1028" s="553">
        <f>-'Foglio deposito bis'!$F$58*(C1028-sezione!$AL$31)*IF(ABS(K1028)&lt;'Progetto del paramento slu'!$G$58,ABS(K1028)*'Progetto del paramento slu'!$G$54,'Progetto del paramento slu'!$G$53)</f>
        <v>0</v>
      </c>
      <c r="F1028" s="553">
        <f>-'Foglio deposito bis'!$F$59*(C1028-sezione!$AM$31)*IF(ABS(L1028)&lt;'Progetto del paramento slu'!$G$58,ABS(L1028)*'Progetto del paramento slu'!$G$54,'Progetto del paramento slu'!$G$53)</f>
        <v>22082812.477984253</v>
      </c>
      <c r="G1028" s="553">
        <f>-'Foglio deposito bis'!$F$60*(C1028-sezione!$AN$31)*IF(ABS(M1028)&lt;'Progetto del paramento slu'!$G$58,ABS(M1028)*'Progetto del paramento slu'!$G$54,'Progetto del paramento slu'!$G$53)</f>
        <v>0</v>
      </c>
      <c r="H1028" s="553">
        <f>-'Foglio deposito bis'!$F$61*(C1028-sezione!$AO$31)*IF(ABS(N1028)&lt;'Progetto del paramento slu'!$G$58,ABS(N1028)*'Progetto del paramento slu'!$G$54,'Progetto del paramento slu'!$G$53)</f>
        <v>80405684.477529526</v>
      </c>
      <c r="I1028" s="479">
        <f>-'Foglio deposito bis'!$F$62*(C1028-sezione!$AP$31)*IF(ABS(O1028)&lt;'Progetto del paramento slu'!$G$58,ABS(O1028)*'Progetto del paramento slu'!$G$54,'Progetto del paramento slu'!$G$53)</f>
        <v>79844474.974273995</v>
      </c>
      <c r="J1028" s="479">
        <f t="shared" si="75"/>
        <v>182007034.72905183</v>
      </c>
      <c r="K1028" s="558">
        <f>'Progetto del paramento slu'!$G$60*(sezione!$AL$31-C1028)/C1028</f>
        <v>1.8749166423153378E-2</v>
      </c>
      <c r="L1028" s="558">
        <f>'Progetto del paramento slu'!$G$60*(sezione!$AM$31-C1028)/C1028</f>
        <v>7.9934374086825175E-2</v>
      </c>
      <c r="M1028" s="559">
        <f>'Progetto del paramento slu'!$G$60*(sezione!$AN$31-C1028)/C1028</f>
        <v>0.14111958175049696</v>
      </c>
      <c r="N1028" s="559">
        <f>'Progetto del paramento slu'!$G$60*(sezione!$AO$31-C1028)/C1028</f>
        <v>0.18561791459680371</v>
      </c>
      <c r="O1028" s="559">
        <f>'Progetto del paramento slu'!$G$60*(sezione!$AP$31-C1028)/C1028</f>
        <v>0.14112180131878191</v>
      </c>
      <c r="P1028" s="553">
        <f>-'Progetto del paramento slu'!$G$47*'Progetto del paramento slu'!$G$41*IF(DATI!$G$218="dx",DATI!$E$61,DATI!$E$64*DATI!$E$63)*1000*C1028*sezione!$AD$5</f>
        <v>-88696.563388836672</v>
      </c>
      <c r="Q1028" s="553">
        <f>'Foglio deposito bis'!$F$58*IF(ABS(K1028)&lt;'Progetto del paramento slu'!$G$58,ABS(K1028)*'Progetto del paramento slu'!$G$54,'Progetto del paramento slu'!$G$53)*IF(K1028&lt;0,-1,1)</f>
        <v>0</v>
      </c>
      <c r="R1028" s="553">
        <f>'Foglio deposito bis'!$F$59*IF(ABS(L1028)&lt;'Progetto del paramento slu'!$G$58,ABS(L1028)*'Progetto del paramento slu'!$G$54,'Progetto del paramento slu'!$G$53)*IF(L1028&lt;0,-1,1)</f>
        <v>153664.85805602249</v>
      </c>
      <c r="S1028" s="553">
        <f>'Foglio deposito bis'!$F$60*IF(ABS(M1028)&lt;'Progetto del paramento slu'!$G$58,ABS(M1028)*'Progetto del paramento slu'!$G$54,'Progetto del paramento slu'!$G$53)*IF(M1028&lt;0,-1,1)</f>
        <v>0</v>
      </c>
      <c r="T1028" s="553">
        <f>'Foglio deposito bis'!$F$61*IF(ABS(N1028)&lt;'Progetto del paramento slu'!$G$58,ABS(N1028)*'Progetto del paramento slu'!$G$54,'Progetto del paramento slu'!$G$53)*IF(N1028&lt;0,-1,1)</f>
        <v>240946.49743184328</v>
      </c>
      <c r="U1028" s="553">
        <f>'Foglio deposito bis'!$F$62*IF(ABS(O1028)&lt;'Progetto del paramento slu'!$G$58,ABS(O1028)*'Progetto del paramento slu'!$G$54,'Progetto del paramento slu'!$G$53)*IF(O1028&lt;0,-1,1)</f>
        <v>314705.62929873407</v>
      </c>
      <c r="V1028" s="479">
        <f t="shared" si="78"/>
        <v>620620.42139776319</v>
      </c>
      <c r="W1028" s="559"/>
      <c r="X1028" s="559"/>
    </row>
    <row r="1029" spans="1:24" x14ac:dyDescent="0.25">
      <c r="A1029" s="553">
        <f t="shared" si="77"/>
        <v>617759.24193360715</v>
      </c>
      <c r="B1029" s="3">
        <f t="shared" si="79"/>
        <v>1.6000000000000008</v>
      </c>
      <c r="C1029" s="553">
        <f>'Foglio deposito bis'!$E$157/sezione!$B$247*B1029</f>
        <v>6.4953502654314619</v>
      </c>
      <c r="D1029" s="611">
        <f>-'Progetto del paramento slu'!$G$47*'Progetto del paramento slu'!$G$41*IF(DATI!$G$218="dx",DATI!$E$61,DATI!$E$64*DATI!$E$63)*1000*C1029^2*sezione!$AD$5*(1-sezione!$AD$6)</f>
        <v>-347304.57185601513</v>
      </c>
      <c r="E1029" s="553">
        <f>-'Foglio deposito bis'!$F$58*(C1029-sezione!$AL$31)*IF(ABS(K1029)&lt;'Progetto del paramento slu'!$G$58,ABS(K1029)*'Progetto del paramento slu'!$G$54,'Progetto del paramento slu'!$G$53)</f>
        <v>0</v>
      </c>
      <c r="F1029" s="553">
        <f>-'Foglio deposito bis'!$F$59*(C1029-sezione!$AM$31)*IF(ABS(L1029)&lt;'Progetto del paramento slu'!$G$58,ABS(L1029)*'Progetto del paramento slu'!$G$54,'Progetto del paramento slu'!$G$53)</f>
        <v>22051621.631841704</v>
      </c>
      <c r="G1029" s="553">
        <f>-'Foglio deposito bis'!$F$60*(C1029-sezione!$AN$31)*IF(ABS(M1029)&lt;'Progetto del paramento slu'!$G$58,ABS(M1029)*'Progetto del paramento slu'!$G$54,'Progetto del paramento slu'!$G$53)</f>
        <v>0</v>
      </c>
      <c r="H1029" s="553">
        <f>-'Foglio deposito bis'!$F$61*(C1029-sezione!$AO$31)*IF(ABS(N1029)&lt;'Progetto del paramento slu'!$G$58,ABS(N1029)*'Progetto del paramento slu'!$G$54,'Progetto del paramento slu'!$G$53)</f>
        <v>80356777.230778009</v>
      </c>
      <c r="I1029" s="479">
        <f>-'Foglio deposito bis'!$F$62*(C1029-sezione!$AP$31)*IF(ABS(O1029)&lt;'Progetto del paramento slu'!$G$58,ABS(O1029)*'Progetto del paramento slu'!$G$54,'Progetto del paramento slu'!$G$53)</f>
        <v>79780596.121374056</v>
      </c>
      <c r="J1029" s="479">
        <f t="shared" si="75"/>
        <v>181841690.41213775</v>
      </c>
      <c r="K1029" s="558">
        <f>'Progetto del paramento slu'!$G$60*(sezione!$AL$31-C1029)/C1029</f>
        <v>1.8053879972429836E-2</v>
      </c>
      <c r="L1029" s="558">
        <f>'Progetto del paramento slu'!$G$60*(sezione!$AM$31-C1029)/C1029</f>
        <v>7.7327049896611877E-2</v>
      </c>
      <c r="M1029" s="559">
        <f>'Progetto del paramento slu'!$G$60*(sezione!$AN$31-C1029)/C1029</f>
        <v>0.13660021982079393</v>
      </c>
      <c r="N1029" s="559">
        <f>'Progetto del paramento slu'!$G$60*(sezione!$AO$31-C1029)/C1029</f>
        <v>0.17970797976565361</v>
      </c>
      <c r="O1029" s="559">
        <f>'Progetto del paramento slu'!$G$60*(sezione!$AP$31-C1029)/C1029</f>
        <v>0.13660237002756997</v>
      </c>
      <c r="P1029" s="553">
        <f>-'Progetto del paramento slu'!$G$47*'Progetto del paramento slu'!$G$41*IF(DATI!$G$218="dx",DATI!$E$61,DATI!$E$64*DATI!$E$63)*1000*C1029*sezione!$AD$5</f>
        <v>-91557.742852992684</v>
      </c>
      <c r="Q1029" s="553">
        <f>'Foglio deposito bis'!$F$58*IF(ABS(K1029)&lt;'Progetto del paramento slu'!$G$58,ABS(K1029)*'Progetto del paramento slu'!$G$54,'Progetto del paramento slu'!$G$53)*IF(K1029&lt;0,-1,1)</f>
        <v>0</v>
      </c>
      <c r="R1029" s="553">
        <f>'Foglio deposito bis'!$F$59*IF(ABS(L1029)&lt;'Progetto del paramento slu'!$G$58,ABS(L1029)*'Progetto del paramento slu'!$G$54,'Progetto del paramento slu'!$G$53)*IF(L1029&lt;0,-1,1)</f>
        <v>153664.85805602249</v>
      </c>
      <c r="S1029" s="553">
        <f>'Foglio deposito bis'!$F$60*IF(ABS(M1029)&lt;'Progetto del paramento slu'!$G$58,ABS(M1029)*'Progetto del paramento slu'!$G$54,'Progetto del paramento slu'!$G$53)*IF(M1029&lt;0,-1,1)</f>
        <v>0</v>
      </c>
      <c r="T1029" s="553">
        <f>'Foglio deposito bis'!$F$61*IF(ABS(N1029)&lt;'Progetto del paramento slu'!$G$58,ABS(N1029)*'Progetto del paramento slu'!$G$54,'Progetto del paramento slu'!$G$53)*IF(N1029&lt;0,-1,1)</f>
        <v>240946.49743184328</v>
      </c>
      <c r="U1029" s="553">
        <f>'Foglio deposito bis'!$F$62*IF(ABS(O1029)&lt;'Progetto del paramento slu'!$G$58,ABS(O1029)*'Progetto del paramento slu'!$G$54,'Progetto del paramento slu'!$G$53)*IF(O1029&lt;0,-1,1)</f>
        <v>314705.62929873407</v>
      </c>
      <c r="V1029" s="479">
        <f t="shared" si="78"/>
        <v>617759.24193360715</v>
      </c>
      <c r="W1029" s="559"/>
      <c r="X1029" s="559"/>
    </row>
    <row r="1030" spans="1:24" x14ac:dyDescent="0.25">
      <c r="A1030" s="553">
        <f t="shared" si="77"/>
        <v>614898.06246945111</v>
      </c>
      <c r="B1030" s="3">
        <f t="shared" si="79"/>
        <v>1.6500000000000008</v>
      </c>
      <c r="C1030" s="553">
        <f>'Foglio deposito bis'!$E$157/sezione!$B$247*B1030</f>
        <v>6.6983299612261957</v>
      </c>
      <c r="D1030" s="611">
        <f>-'Progetto del paramento slu'!$G$47*'Progetto del paramento slu'!$G$41*IF(DATI!$G$218="dx",DATI!$E$61,DATI!$E$64*DATI!$E$63)*1000*C1030^2*sezione!$AD$5*(1-sezione!$AD$6)</f>
        <v>-369350.27221796924</v>
      </c>
      <c r="E1030" s="553">
        <f>-'Foglio deposito bis'!$F$58*(C1030-sezione!$AL$31)*IF(ABS(K1030)&lt;'Progetto del paramento slu'!$G$58,ABS(K1030)*'Progetto del paramento slu'!$G$54,'Progetto del paramento slu'!$G$53)</f>
        <v>0</v>
      </c>
      <c r="F1030" s="553">
        <f>-'Foglio deposito bis'!$F$59*(C1030-sezione!$AM$31)*IF(ABS(L1030)&lt;'Progetto del paramento slu'!$G$58,ABS(L1030)*'Progetto del paramento slu'!$G$54,'Progetto del paramento slu'!$G$53)</f>
        <v>22020430.785699148</v>
      </c>
      <c r="G1030" s="553">
        <f>-'Foglio deposito bis'!$F$60*(C1030-sezione!$AN$31)*IF(ABS(M1030)&lt;'Progetto del paramento slu'!$G$58,ABS(M1030)*'Progetto del paramento slu'!$G$54,'Progetto del paramento slu'!$G$53)</f>
        <v>0</v>
      </c>
      <c r="H1030" s="553">
        <f>-'Foglio deposito bis'!$F$61*(C1030-sezione!$AO$31)*IF(ABS(N1030)&lt;'Progetto del paramento slu'!$G$58,ABS(N1030)*'Progetto del paramento slu'!$G$54,'Progetto del paramento slu'!$G$53)</f>
        <v>80307869.984026492</v>
      </c>
      <c r="I1030" s="479">
        <f>-'Foglio deposito bis'!$F$62*(C1030-sezione!$AP$31)*IF(ABS(O1030)&lt;'Progetto del paramento slu'!$G$58,ABS(O1030)*'Progetto del paramento slu'!$G$54,'Progetto del paramento slu'!$G$53)</f>
        <v>79716717.268474117</v>
      </c>
      <c r="J1030" s="479">
        <f t="shared" si="75"/>
        <v>181675667.76598179</v>
      </c>
      <c r="K1030" s="558">
        <f>'Progetto del paramento slu'!$G$60*(sezione!$AL$31-C1030)/C1030</f>
        <v>1.7400732094477414E-2</v>
      </c>
      <c r="L1030" s="558">
        <f>'Progetto del paramento slu'!$G$60*(sezione!$AM$31-C1030)/C1030</f>
        <v>7.4877745354290315E-2</v>
      </c>
      <c r="M1030" s="559">
        <f>'Progetto del paramento slu'!$G$60*(sezione!$AN$31-C1030)/C1030</f>
        <v>0.1323547586141032</v>
      </c>
      <c r="N1030" s="559">
        <f>'Progetto del paramento slu'!$G$60*(sezione!$AO$31-C1030)/C1030</f>
        <v>0.17415622280305801</v>
      </c>
      <c r="O1030" s="559">
        <f>'Progetto del paramento slu'!$G$60*(sezione!$AP$31-C1030)/C1030</f>
        <v>0.13235684366309816</v>
      </c>
      <c r="P1030" s="553">
        <f>-'Progetto del paramento slu'!$G$47*'Progetto del paramento slu'!$G$41*IF(DATI!$G$218="dx",DATI!$E$61,DATI!$E$64*DATI!$E$63)*1000*C1030*sezione!$AD$5</f>
        <v>-94418.922317148725</v>
      </c>
      <c r="Q1030" s="553">
        <f>'Foglio deposito bis'!$F$58*IF(ABS(K1030)&lt;'Progetto del paramento slu'!$G$58,ABS(K1030)*'Progetto del paramento slu'!$G$54,'Progetto del paramento slu'!$G$53)*IF(K1030&lt;0,-1,1)</f>
        <v>0</v>
      </c>
      <c r="R1030" s="553">
        <f>'Foglio deposito bis'!$F$59*IF(ABS(L1030)&lt;'Progetto del paramento slu'!$G$58,ABS(L1030)*'Progetto del paramento slu'!$G$54,'Progetto del paramento slu'!$G$53)*IF(L1030&lt;0,-1,1)</f>
        <v>153664.85805602249</v>
      </c>
      <c r="S1030" s="553">
        <f>'Foglio deposito bis'!$F$60*IF(ABS(M1030)&lt;'Progetto del paramento slu'!$G$58,ABS(M1030)*'Progetto del paramento slu'!$G$54,'Progetto del paramento slu'!$G$53)*IF(M1030&lt;0,-1,1)</f>
        <v>0</v>
      </c>
      <c r="T1030" s="553">
        <f>'Foglio deposito bis'!$F$61*IF(ABS(N1030)&lt;'Progetto del paramento slu'!$G$58,ABS(N1030)*'Progetto del paramento slu'!$G$54,'Progetto del paramento slu'!$G$53)*IF(N1030&lt;0,-1,1)</f>
        <v>240946.49743184328</v>
      </c>
      <c r="U1030" s="553">
        <f>'Foglio deposito bis'!$F$62*IF(ABS(O1030)&lt;'Progetto del paramento slu'!$G$58,ABS(O1030)*'Progetto del paramento slu'!$G$54,'Progetto del paramento slu'!$G$53)*IF(O1030&lt;0,-1,1)</f>
        <v>314705.62929873407</v>
      </c>
      <c r="V1030" s="479">
        <f t="shared" si="78"/>
        <v>614898.06246945111</v>
      </c>
      <c r="W1030" s="559"/>
      <c r="X1030" s="559"/>
    </row>
    <row r="1031" spans="1:24" x14ac:dyDescent="0.25">
      <c r="A1031" s="553">
        <f t="shared" si="77"/>
        <v>612036.88300529518</v>
      </c>
      <c r="B1031" s="3">
        <f t="shared" si="79"/>
        <v>1.7000000000000008</v>
      </c>
      <c r="C1031" s="553">
        <f>'Foglio deposito bis'!$E$157/sezione!$B$247*B1031</f>
        <v>6.9013096570209287</v>
      </c>
      <c r="D1031" s="611">
        <f>-'Progetto del paramento slu'!$G$47*'Progetto del paramento slu'!$G$41*IF(DATI!$G$218="dx",DATI!$E$61,DATI!$E$64*DATI!$E$63)*1000*C1031^2*sezione!$AD$5*(1-sezione!$AD$6)</f>
        <v>-392074.30182182963</v>
      </c>
      <c r="E1031" s="553">
        <f>-'Foglio deposito bis'!$F$58*(C1031-sezione!$AL$31)*IF(ABS(K1031)&lt;'Progetto del paramento slu'!$G$58,ABS(K1031)*'Progetto del paramento slu'!$G$54,'Progetto del paramento slu'!$G$53)</f>
        <v>0</v>
      </c>
      <c r="F1031" s="553">
        <f>-'Foglio deposito bis'!$F$59*(C1031-sezione!$AM$31)*IF(ABS(L1031)&lt;'Progetto del paramento slu'!$G$58,ABS(L1031)*'Progetto del paramento slu'!$G$54,'Progetto del paramento slu'!$G$53)</f>
        <v>21989239.939556595</v>
      </c>
      <c r="G1031" s="553">
        <f>-'Foglio deposito bis'!$F$60*(C1031-sezione!$AN$31)*IF(ABS(M1031)&lt;'Progetto del paramento slu'!$G$58,ABS(M1031)*'Progetto del paramento slu'!$G$54,'Progetto del paramento slu'!$G$53)</f>
        <v>0</v>
      </c>
      <c r="H1031" s="553">
        <f>-'Foglio deposito bis'!$F$61*(C1031-sezione!$AO$31)*IF(ABS(N1031)&lt;'Progetto del paramento slu'!$G$58,ABS(N1031)*'Progetto del paramento slu'!$G$54,'Progetto del paramento slu'!$G$53)</f>
        <v>80258962.73727496</v>
      </c>
      <c r="I1031" s="479">
        <f>-'Foglio deposito bis'!$F$62*(C1031-sezione!$AP$31)*IF(ABS(O1031)&lt;'Progetto del paramento slu'!$G$58,ABS(O1031)*'Progetto del paramento slu'!$G$54,'Progetto del paramento slu'!$G$53)</f>
        <v>79652838.415574163</v>
      </c>
      <c r="J1031" s="479">
        <f t="shared" si="75"/>
        <v>181508966.79058391</v>
      </c>
      <c r="K1031" s="558">
        <f>'Progetto del paramento slu'!$G$60*(sezione!$AL$31-C1031)/C1031</f>
        <v>1.678600467993396E-2</v>
      </c>
      <c r="L1031" s="558">
        <f>'Progetto del paramento slu'!$G$60*(sezione!$AM$31-C1031)/C1031</f>
        <v>7.2572517549752358E-2</v>
      </c>
      <c r="M1031" s="559">
        <f>'Progetto del paramento slu'!$G$60*(sezione!$AN$31-C1031)/C1031</f>
        <v>0.12835903041957075</v>
      </c>
      <c r="N1031" s="559">
        <f>'Progetto del paramento slu'!$G$60*(sezione!$AO$31-C1031)/C1031</f>
        <v>0.16893103977943869</v>
      </c>
      <c r="O1031" s="559">
        <f>'Progetto del paramento slu'!$G$60*(sezione!$AP$31-C1031)/C1031</f>
        <v>0.12836105414359525</v>
      </c>
      <c r="P1031" s="553">
        <f>-'Progetto del paramento slu'!$G$47*'Progetto del paramento slu'!$G$41*IF(DATI!$G$218="dx",DATI!$E$61,DATI!$E$64*DATI!$E$63)*1000*C1031*sezione!$AD$5</f>
        <v>-97280.101781304737</v>
      </c>
      <c r="Q1031" s="553">
        <f>'Foglio deposito bis'!$F$58*IF(ABS(K1031)&lt;'Progetto del paramento slu'!$G$58,ABS(K1031)*'Progetto del paramento slu'!$G$54,'Progetto del paramento slu'!$G$53)*IF(K1031&lt;0,-1,1)</f>
        <v>0</v>
      </c>
      <c r="R1031" s="553">
        <f>'Foglio deposito bis'!$F$59*IF(ABS(L1031)&lt;'Progetto del paramento slu'!$G$58,ABS(L1031)*'Progetto del paramento slu'!$G$54,'Progetto del paramento slu'!$G$53)*IF(L1031&lt;0,-1,1)</f>
        <v>153664.85805602249</v>
      </c>
      <c r="S1031" s="553">
        <f>'Foglio deposito bis'!$F$60*IF(ABS(M1031)&lt;'Progetto del paramento slu'!$G$58,ABS(M1031)*'Progetto del paramento slu'!$G$54,'Progetto del paramento slu'!$G$53)*IF(M1031&lt;0,-1,1)</f>
        <v>0</v>
      </c>
      <c r="T1031" s="553">
        <f>'Foglio deposito bis'!$F$61*IF(ABS(N1031)&lt;'Progetto del paramento slu'!$G$58,ABS(N1031)*'Progetto del paramento slu'!$G$54,'Progetto del paramento slu'!$G$53)*IF(N1031&lt;0,-1,1)</f>
        <v>240946.49743184328</v>
      </c>
      <c r="U1031" s="553">
        <f>'Foglio deposito bis'!$F$62*IF(ABS(O1031)&lt;'Progetto del paramento slu'!$G$58,ABS(O1031)*'Progetto del paramento slu'!$G$54,'Progetto del paramento slu'!$G$53)*IF(O1031&lt;0,-1,1)</f>
        <v>314705.62929873407</v>
      </c>
      <c r="V1031" s="479">
        <f t="shared" si="78"/>
        <v>612036.88300529518</v>
      </c>
      <c r="W1031" s="559"/>
      <c r="X1031" s="559"/>
    </row>
    <row r="1032" spans="1:24" x14ac:dyDescent="0.25">
      <c r="A1032" s="553">
        <f t="shared" si="77"/>
        <v>609175.70354113914</v>
      </c>
      <c r="B1032" s="3">
        <f t="shared" si="79"/>
        <v>1.7500000000000009</v>
      </c>
      <c r="C1032" s="553">
        <f>'Foglio deposito bis'!$E$157/sezione!$B$247*B1032</f>
        <v>7.1042893528156617</v>
      </c>
      <c r="D1032" s="611">
        <f>-'Progetto del paramento slu'!$G$47*'Progetto del paramento slu'!$G$41*IF(DATI!$G$218="dx",DATI!$E$61,DATI!$E$64*DATI!$E$63)*1000*C1032^2*sezione!$AD$5*(1-sezione!$AD$6)</f>
        <v>-415476.66066759621</v>
      </c>
      <c r="E1032" s="553">
        <f>-'Foglio deposito bis'!$F$58*(C1032-sezione!$AL$31)*IF(ABS(K1032)&lt;'Progetto del paramento slu'!$G$58,ABS(K1032)*'Progetto del paramento slu'!$G$54,'Progetto del paramento slu'!$G$53)</f>
        <v>0</v>
      </c>
      <c r="F1032" s="553">
        <f>-'Foglio deposito bis'!$F$59*(C1032-sezione!$AM$31)*IF(ABS(L1032)&lt;'Progetto del paramento slu'!$G$58,ABS(L1032)*'Progetto del paramento slu'!$G$54,'Progetto del paramento slu'!$G$53)</f>
        <v>21958049.093414042</v>
      </c>
      <c r="G1032" s="553">
        <f>-'Foglio deposito bis'!$F$60*(C1032-sezione!$AN$31)*IF(ABS(M1032)&lt;'Progetto del paramento slu'!$G$58,ABS(M1032)*'Progetto del paramento slu'!$G$54,'Progetto del paramento slu'!$G$53)</f>
        <v>0</v>
      </c>
      <c r="H1032" s="553">
        <f>-'Foglio deposito bis'!$F$61*(C1032-sezione!$AO$31)*IF(ABS(N1032)&lt;'Progetto del paramento slu'!$G$58,ABS(N1032)*'Progetto del paramento slu'!$G$54,'Progetto del paramento slu'!$G$53)</f>
        <v>80210055.490523443</v>
      </c>
      <c r="I1032" s="479">
        <f>-'Foglio deposito bis'!$F$62*(C1032-sezione!$AP$31)*IF(ABS(O1032)&lt;'Progetto del paramento slu'!$G$58,ABS(O1032)*'Progetto del paramento slu'!$G$54,'Progetto del paramento slu'!$G$53)</f>
        <v>79588959.562674209</v>
      </c>
      <c r="J1032" s="479">
        <f t="shared" si="75"/>
        <v>181341587.48594409</v>
      </c>
      <c r="K1032" s="558">
        <f>'Progetto del paramento slu'!$G$60*(sezione!$AL$31-C1032)/C1032</f>
        <v>1.6206404546221562E-2</v>
      </c>
      <c r="L1032" s="558">
        <f>'Progetto del paramento slu'!$G$60*(sezione!$AM$31-C1032)/C1032</f>
        <v>7.0399017048330861E-2</v>
      </c>
      <c r="M1032" s="559">
        <f>'Progetto del paramento slu'!$G$60*(sezione!$AN$31-C1032)/C1032</f>
        <v>0.12459162955044016</v>
      </c>
      <c r="N1032" s="559">
        <f>'Progetto del paramento slu'!$G$60*(sezione!$AO$31-C1032)/C1032</f>
        <v>0.16400443864288328</v>
      </c>
      <c r="O1032" s="559">
        <f>'Progetto del paramento slu'!$G$60*(sezione!$AP$31-C1032)/C1032</f>
        <v>0.12459359545377827</v>
      </c>
      <c r="P1032" s="553">
        <f>-'Progetto del paramento slu'!$G$47*'Progetto del paramento slu'!$G$41*IF(DATI!$G$218="dx",DATI!$E$61,DATI!$E$64*DATI!$E$63)*1000*C1032*sezione!$AD$5</f>
        <v>-100141.28124546076</v>
      </c>
      <c r="Q1032" s="553">
        <f>'Foglio deposito bis'!$F$58*IF(ABS(K1032)&lt;'Progetto del paramento slu'!$G$58,ABS(K1032)*'Progetto del paramento slu'!$G$54,'Progetto del paramento slu'!$G$53)*IF(K1032&lt;0,-1,1)</f>
        <v>0</v>
      </c>
      <c r="R1032" s="553">
        <f>'Foglio deposito bis'!$F$59*IF(ABS(L1032)&lt;'Progetto del paramento slu'!$G$58,ABS(L1032)*'Progetto del paramento slu'!$G$54,'Progetto del paramento slu'!$G$53)*IF(L1032&lt;0,-1,1)</f>
        <v>153664.85805602249</v>
      </c>
      <c r="S1032" s="553">
        <f>'Foglio deposito bis'!$F$60*IF(ABS(M1032)&lt;'Progetto del paramento slu'!$G$58,ABS(M1032)*'Progetto del paramento slu'!$G$54,'Progetto del paramento slu'!$G$53)*IF(M1032&lt;0,-1,1)</f>
        <v>0</v>
      </c>
      <c r="T1032" s="553">
        <f>'Foglio deposito bis'!$F$61*IF(ABS(N1032)&lt;'Progetto del paramento slu'!$G$58,ABS(N1032)*'Progetto del paramento slu'!$G$54,'Progetto del paramento slu'!$G$53)*IF(N1032&lt;0,-1,1)</f>
        <v>240946.49743184328</v>
      </c>
      <c r="U1032" s="553">
        <f>'Foglio deposito bis'!$F$62*IF(ABS(O1032)&lt;'Progetto del paramento slu'!$G$58,ABS(O1032)*'Progetto del paramento slu'!$G$54,'Progetto del paramento slu'!$G$53)*IF(O1032&lt;0,-1,1)</f>
        <v>314705.62929873407</v>
      </c>
      <c r="V1032" s="479">
        <f t="shared" si="78"/>
        <v>609175.70354113914</v>
      </c>
      <c r="W1032" s="559"/>
      <c r="X1032" s="559"/>
    </row>
    <row r="1033" spans="1:24" x14ac:dyDescent="0.25">
      <c r="A1033" s="553">
        <f t="shared" si="77"/>
        <v>606314.5240769831</v>
      </c>
      <c r="B1033" s="3">
        <f t="shared" si="79"/>
        <v>1.8000000000000009</v>
      </c>
      <c r="C1033" s="553">
        <f>'Foglio deposito bis'!$E$157/sezione!$B$247*B1033</f>
        <v>7.3072690486103955</v>
      </c>
      <c r="D1033" s="611">
        <f>-'Progetto del paramento slu'!$G$47*'Progetto del paramento slu'!$G$41*IF(DATI!$G$218="dx",DATI!$E$61,DATI!$E$64*DATI!$E$63)*1000*C1033^2*sezione!$AD$5*(1-sezione!$AD$6)</f>
        <v>-439557.34875526925</v>
      </c>
      <c r="E1033" s="553">
        <f>-'Foglio deposito bis'!$F$58*(C1033-sezione!$AL$31)*IF(ABS(K1033)&lt;'Progetto del paramento slu'!$G$58,ABS(K1033)*'Progetto del paramento slu'!$G$54,'Progetto del paramento slu'!$G$53)</f>
        <v>0</v>
      </c>
      <c r="F1033" s="553">
        <f>-'Foglio deposito bis'!$F$59*(C1033-sezione!$AM$31)*IF(ABS(L1033)&lt;'Progetto del paramento slu'!$G$58,ABS(L1033)*'Progetto del paramento slu'!$G$54,'Progetto del paramento slu'!$G$53)</f>
        <v>21926858.247271489</v>
      </c>
      <c r="G1033" s="553">
        <f>-'Foglio deposito bis'!$F$60*(C1033-sezione!$AN$31)*IF(ABS(M1033)&lt;'Progetto del paramento slu'!$G$58,ABS(M1033)*'Progetto del paramento slu'!$G$54,'Progetto del paramento slu'!$G$53)</f>
        <v>0</v>
      </c>
      <c r="H1033" s="553">
        <f>-'Foglio deposito bis'!$F$61*(C1033-sezione!$AO$31)*IF(ABS(N1033)&lt;'Progetto del paramento slu'!$G$58,ABS(N1033)*'Progetto del paramento slu'!$G$54,'Progetto del paramento slu'!$G$53)</f>
        <v>80161148.243771911</v>
      </c>
      <c r="I1033" s="479">
        <f>-'Foglio deposito bis'!$F$62*(C1033-sezione!$AP$31)*IF(ABS(O1033)&lt;'Progetto del paramento slu'!$G$58,ABS(O1033)*'Progetto del paramento slu'!$G$54,'Progetto del paramento slu'!$G$53)</f>
        <v>79525080.709774271</v>
      </c>
      <c r="J1033" s="479">
        <f t="shared" si="75"/>
        <v>181173529.8520624</v>
      </c>
      <c r="K1033" s="558">
        <f>'Progetto del paramento slu'!$G$60*(sezione!$AL$31-C1033)/C1033</f>
        <v>1.565900441993763E-2</v>
      </c>
      <c r="L1033" s="558">
        <f>'Progetto del paramento slu'!$G$60*(sezione!$AM$31-C1033)/C1033</f>
        <v>6.8346266574766112E-2</v>
      </c>
      <c r="M1033" s="559">
        <f>'Progetto del paramento slu'!$G$60*(sezione!$AN$31-C1033)/C1033</f>
        <v>0.12103352872959458</v>
      </c>
      <c r="N1033" s="559">
        <f>'Progetto del paramento slu'!$G$60*(sezione!$AO$31-C1033)/C1033</f>
        <v>0.15935153756946985</v>
      </c>
      <c r="O1033" s="559">
        <f>'Progetto del paramento slu'!$G$60*(sezione!$AP$31-C1033)/C1033</f>
        <v>0.12103544002450663</v>
      </c>
      <c r="P1033" s="553">
        <f>-'Progetto del paramento slu'!$G$47*'Progetto del paramento slu'!$G$41*IF(DATI!$G$218="dx",DATI!$E$61,DATI!$E$64*DATI!$E$63)*1000*C1033*sezione!$AD$5</f>
        <v>-103002.46070961679</v>
      </c>
      <c r="Q1033" s="553">
        <f>'Foglio deposito bis'!$F$58*IF(ABS(K1033)&lt;'Progetto del paramento slu'!$G$58,ABS(K1033)*'Progetto del paramento slu'!$G$54,'Progetto del paramento slu'!$G$53)*IF(K1033&lt;0,-1,1)</f>
        <v>0</v>
      </c>
      <c r="R1033" s="553">
        <f>'Foglio deposito bis'!$F$59*IF(ABS(L1033)&lt;'Progetto del paramento slu'!$G$58,ABS(L1033)*'Progetto del paramento slu'!$G$54,'Progetto del paramento slu'!$G$53)*IF(L1033&lt;0,-1,1)</f>
        <v>153664.85805602249</v>
      </c>
      <c r="S1033" s="553">
        <f>'Foglio deposito bis'!$F$60*IF(ABS(M1033)&lt;'Progetto del paramento slu'!$G$58,ABS(M1033)*'Progetto del paramento slu'!$G$54,'Progetto del paramento slu'!$G$53)*IF(M1033&lt;0,-1,1)</f>
        <v>0</v>
      </c>
      <c r="T1033" s="553">
        <f>'Foglio deposito bis'!$F$61*IF(ABS(N1033)&lt;'Progetto del paramento slu'!$G$58,ABS(N1033)*'Progetto del paramento slu'!$G$54,'Progetto del paramento slu'!$G$53)*IF(N1033&lt;0,-1,1)</f>
        <v>240946.49743184328</v>
      </c>
      <c r="U1033" s="553">
        <f>'Foglio deposito bis'!$F$62*IF(ABS(O1033)&lt;'Progetto del paramento slu'!$G$58,ABS(O1033)*'Progetto del paramento slu'!$G$54,'Progetto del paramento slu'!$G$53)*IF(O1033&lt;0,-1,1)</f>
        <v>314705.62929873407</v>
      </c>
      <c r="V1033" s="479">
        <f t="shared" si="78"/>
        <v>606314.5240769831</v>
      </c>
      <c r="W1033" s="559"/>
      <c r="X1033" s="559"/>
    </row>
    <row r="1034" spans="1:24" x14ac:dyDescent="0.25">
      <c r="A1034" s="553">
        <f t="shared" si="77"/>
        <v>603453.34461282706</v>
      </c>
      <c r="B1034" s="3">
        <f t="shared" si="79"/>
        <v>1.850000000000001</v>
      </c>
      <c r="C1034" s="553">
        <f>'Foglio deposito bis'!$E$157/sezione!$B$247*B1034</f>
        <v>7.5102487444051285</v>
      </c>
      <c r="D1034" s="611">
        <f>-'Progetto del paramento slu'!$G$47*'Progetto del paramento slu'!$G$41*IF(DATI!$G$218="dx",DATI!$E$61,DATI!$E$64*DATI!$E$63)*1000*C1034^2*sezione!$AD$5*(1-sezione!$AD$6)</f>
        <v>-464316.36608484847</v>
      </c>
      <c r="E1034" s="553">
        <f>-'Foglio deposito bis'!$F$58*(C1034-sezione!$AL$31)*IF(ABS(K1034)&lt;'Progetto del paramento slu'!$G$58,ABS(K1034)*'Progetto del paramento slu'!$G$54,'Progetto del paramento slu'!$G$53)</f>
        <v>0</v>
      </c>
      <c r="F1034" s="553">
        <f>-'Foglio deposito bis'!$F$59*(C1034-sezione!$AM$31)*IF(ABS(L1034)&lt;'Progetto del paramento slu'!$G$58,ABS(L1034)*'Progetto del paramento slu'!$G$54,'Progetto del paramento slu'!$G$53)</f>
        <v>21895667.40112894</v>
      </c>
      <c r="G1034" s="553">
        <f>-'Foglio deposito bis'!$F$60*(C1034-sezione!$AN$31)*IF(ABS(M1034)&lt;'Progetto del paramento slu'!$G$58,ABS(M1034)*'Progetto del paramento slu'!$G$54,'Progetto del paramento slu'!$G$53)</f>
        <v>0</v>
      </c>
      <c r="H1034" s="553">
        <f>-'Foglio deposito bis'!$F$61*(C1034-sezione!$AO$31)*IF(ABS(N1034)&lt;'Progetto del paramento slu'!$G$58,ABS(N1034)*'Progetto del paramento slu'!$G$54,'Progetto del paramento slu'!$G$53)</f>
        <v>80112240.997020394</v>
      </c>
      <c r="I1034" s="479">
        <f>-'Foglio deposito bis'!$F$62*(C1034-sezione!$AP$31)*IF(ABS(O1034)&lt;'Progetto del paramento slu'!$G$58,ABS(O1034)*'Progetto del paramento slu'!$G$54,'Progetto del paramento slu'!$G$53)</f>
        <v>79461201.856874332</v>
      </c>
      <c r="J1034" s="479">
        <f t="shared" si="75"/>
        <v>181004793.88893881</v>
      </c>
      <c r="K1034" s="558">
        <f>'Progetto del paramento slu'!$G$60*(sezione!$AL$31-C1034)/C1034</f>
        <v>1.5141193489669044E-2</v>
      </c>
      <c r="L1034" s="558">
        <f>'Progetto del paramento slu'!$G$60*(sezione!$AM$31-C1034)/C1034</f>
        <v>6.6404475586258921E-2</v>
      </c>
      <c r="M1034" s="559">
        <f>'Progetto del paramento slu'!$G$60*(sezione!$AN$31-C1034)/C1034</f>
        <v>0.1176677576828488</v>
      </c>
      <c r="N1034" s="559">
        <f>'Progetto del paramento slu'!$G$60*(sezione!$AO$31-C1034)/C1034</f>
        <v>0.15495014466218687</v>
      </c>
      <c r="O1034" s="559">
        <f>'Progetto del paramento slu'!$G$60*(sezione!$AP$31-C1034)/C1034</f>
        <v>0.11766961732114159</v>
      </c>
      <c r="P1034" s="553">
        <f>-'Progetto del paramento slu'!$G$47*'Progetto del paramento slu'!$G$41*IF(DATI!$G$218="dx",DATI!$E$61,DATI!$E$64*DATI!$E$63)*1000*C1034*sezione!$AD$5</f>
        <v>-105863.6401737728</v>
      </c>
      <c r="Q1034" s="553">
        <f>'Foglio deposito bis'!$F$58*IF(ABS(K1034)&lt;'Progetto del paramento slu'!$G$58,ABS(K1034)*'Progetto del paramento slu'!$G$54,'Progetto del paramento slu'!$G$53)*IF(K1034&lt;0,-1,1)</f>
        <v>0</v>
      </c>
      <c r="R1034" s="553">
        <f>'Foglio deposito bis'!$F$59*IF(ABS(L1034)&lt;'Progetto del paramento slu'!$G$58,ABS(L1034)*'Progetto del paramento slu'!$G$54,'Progetto del paramento slu'!$G$53)*IF(L1034&lt;0,-1,1)</f>
        <v>153664.85805602249</v>
      </c>
      <c r="S1034" s="553">
        <f>'Foglio deposito bis'!$F$60*IF(ABS(M1034)&lt;'Progetto del paramento slu'!$G$58,ABS(M1034)*'Progetto del paramento slu'!$G$54,'Progetto del paramento slu'!$G$53)*IF(M1034&lt;0,-1,1)</f>
        <v>0</v>
      </c>
      <c r="T1034" s="553">
        <f>'Foglio deposito bis'!$F$61*IF(ABS(N1034)&lt;'Progetto del paramento slu'!$G$58,ABS(N1034)*'Progetto del paramento slu'!$G$54,'Progetto del paramento slu'!$G$53)*IF(N1034&lt;0,-1,1)</f>
        <v>240946.49743184328</v>
      </c>
      <c r="U1034" s="553">
        <f>'Foglio deposito bis'!$F$62*IF(ABS(O1034)&lt;'Progetto del paramento slu'!$G$58,ABS(O1034)*'Progetto del paramento slu'!$G$54,'Progetto del paramento slu'!$G$53)*IF(O1034&lt;0,-1,1)</f>
        <v>314705.62929873407</v>
      </c>
      <c r="V1034" s="479">
        <f t="shared" si="78"/>
        <v>603453.34461282706</v>
      </c>
      <c r="W1034" s="559"/>
      <c r="X1034" s="559"/>
    </row>
    <row r="1035" spans="1:24" x14ac:dyDescent="0.25">
      <c r="A1035" s="553">
        <f t="shared" si="77"/>
        <v>600592.16514867102</v>
      </c>
      <c r="B1035" s="3">
        <f t="shared" si="79"/>
        <v>1.900000000000001</v>
      </c>
      <c r="C1035" s="553">
        <f>'Foglio deposito bis'!$E$157/sezione!$B$247*B1035</f>
        <v>7.7132284401998614</v>
      </c>
      <c r="D1035" s="611">
        <f>-'Progetto del paramento slu'!$G$47*'Progetto del paramento slu'!$G$41*IF(DATI!$G$218="dx",DATI!$E$61,DATI!$E$64*DATI!$E$63)*1000*C1035^2*sezione!$AD$5*(1-sezione!$AD$6)</f>
        <v>-489753.71265633393</v>
      </c>
      <c r="E1035" s="553">
        <f>-'Foglio deposito bis'!$F$58*(C1035-sezione!$AL$31)*IF(ABS(K1035)&lt;'Progetto del paramento slu'!$G$58,ABS(K1035)*'Progetto del paramento slu'!$G$54,'Progetto del paramento slu'!$G$53)</f>
        <v>0</v>
      </c>
      <c r="F1035" s="553">
        <f>-'Foglio deposito bis'!$F$59*(C1035-sezione!$AM$31)*IF(ABS(L1035)&lt;'Progetto del paramento slu'!$G$58,ABS(L1035)*'Progetto del paramento slu'!$G$54,'Progetto del paramento slu'!$G$53)</f>
        <v>21864476.554986387</v>
      </c>
      <c r="G1035" s="553">
        <f>-'Foglio deposito bis'!$F$60*(C1035-sezione!$AN$31)*IF(ABS(M1035)&lt;'Progetto del paramento slu'!$G$58,ABS(M1035)*'Progetto del paramento slu'!$G$54,'Progetto del paramento slu'!$G$53)</f>
        <v>0</v>
      </c>
      <c r="H1035" s="553">
        <f>-'Foglio deposito bis'!$F$61*(C1035-sezione!$AO$31)*IF(ABS(N1035)&lt;'Progetto del paramento slu'!$G$58,ABS(N1035)*'Progetto del paramento slu'!$G$54,'Progetto del paramento slu'!$G$53)</f>
        <v>80063333.750268877</v>
      </c>
      <c r="I1035" s="479">
        <f>-'Foglio deposito bis'!$F$62*(C1035-sezione!$AP$31)*IF(ABS(O1035)&lt;'Progetto del paramento slu'!$G$58,ABS(O1035)*'Progetto del paramento slu'!$G$54,'Progetto del paramento slu'!$G$53)</f>
        <v>79397323.003974378</v>
      </c>
      <c r="J1035" s="479">
        <f t="shared" si="75"/>
        <v>180835379.59657329</v>
      </c>
      <c r="K1035" s="558">
        <f>'Progetto del paramento slu'!$G$60*(sezione!$AL$31-C1035)/C1035</f>
        <v>1.4650635766256703E-2</v>
      </c>
      <c r="L1035" s="558">
        <f>'Progetto del paramento slu'!$G$60*(sezione!$AM$31-C1035)/C1035</f>
        <v>6.4564884123462646E-2</v>
      </c>
      <c r="M1035" s="559">
        <f>'Progetto del paramento slu'!$G$60*(sezione!$AN$31-C1035)/C1035</f>
        <v>0.11447913248066857</v>
      </c>
      <c r="N1035" s="559">
        <f>'Progetto del paramento slu'!$G$60*(sezione!$AO$31-C1035)/C1035</f>
        <v>0.15078040401318196</v>
      </c>
      <c r="O1035" s="559">
        <f>'Progetto del paramento slu'!$G$60*(sezione!$AP$31-C1035)/C1035</f>
        <v>0.11448094318111156</v>
      </c>
      <c r="P1035" s="553">
        <f>-'Progetto del paramento slu'!$G$47*'Progetto del paramento slu'!$G$41*IF(DATI!$G$218="dx",DATI!$E$61,DATI!$E$64*DATI!$E$63)*1000*C1035*sezione!$AD$5</f>
        <v>-108724.81963792884</v>
      </c>
      <c r="Q1035" s="553">
        <f>'Foglio deposito bis'!$F$58*IF(ABS(K1035)&lt;'Progetto del paramento slu'!$G$58,ABS(K1035)*'Progetto del paramento slu'!$G$54,'Progetto del paramento slu'!$G$53)*IF(K1035&lt;0,-1,1)</f>
        <v>0</v>
      </c>
      <c r="R1035" s="553">
        <f>'Foglio deposito bis'!$F$59*IF(ABS(L1035)&lt;'Progetto del paramento slu'!$G$58,ABS(L1035)*'Progetto del paramento slu'!$G$54,'Progetto del paramento slu'!$G$53)*IF(L1035&lt;0,-1,1)</f>
        <v>153664.85805602249</v>
      </c>
      <c r="S1035" s="553">
        <f>'Foglio deposito bis'!$F$60*IF(ABS(M1035)&lt;'Progetto del paramento slu'!$G$58,ABS(M1035)*'Progetto del paramento slu'!$G$54,'Progetto del paramento slu'!$G$53)*IF(M1035&lt;0,-1,1)</f>
        <v>0</v>
      </c>
      <c r="T1035" s="553">
        <f>'Foglio deposito bis'!$F$61*IF(ABS(N1035)&lt;'Progetto del paramento slu'!$G$58,ABS(N1035)*'Progetto del paramento slu'!$G$54,'Progetto del paramento slu'!$G$53)*IF(N1035&lt;0,-1,1)</f>
        <v>240946.49743184328</v>
      </c>
      <c r="U1035" s="553">
        <f>'Foglio deposito bis'!$F$62*IF(ABS(O1035)&lt;'Progetto del paramento slu'!$G$58,ABS(O1035)*'Progetto del paramento slu'!$G$54,'Progetto del paramento slu'!$G$53)*IF(O1035&lt;0,-1,1)</f>
        <v>314705.62929873407</v>
      </c>
      <c r="V1035" s="479">
        <f t="shared" si="78"/>
        <v>600592.16514867102</v>
      </c>
      <c r="W1035" s="559"/>
      <c r="X1035" s="559"/>
    </row>
    <row r="1036" spans="1:24" x14ac:dyDescent="0.25">
      <c r="A1036" s="553">
        <f t="shared" si="77"/>
        <v>597730.98568451498</v>
      </c>
      <c r="B1036" s="3">
        <f t="shared" si="79"/>
        <v>1.9500000000000011</v>
      </c>
      <c r="C1036" s="553">
        <f>'Foglio deposito bis'!$E$157/sezione!$B$247*B1036</f>
        <v>7.9162081359945953</v>
      </c>
      <c r="D1036" s="611">
        <f>-'Progetto del paramento slu'!$G$47*'Progetto del paramento slu'!$G$41*IF(DATI!$G$218="dx",DATI!$E$61,DATI!$E$64*DATI!$E$63)*1000*C1036^2*sezione!$AD$5*(1-sezione!$AD$6)</f>
        <v>-515869.38846972573</v>
      </c>
      <c r="E1036" s="553">
        <f>-'Foglio deposito bis'!$F$58*(C1036-sezione!$AL$31)*IF(ABS(K1036)&lt;'Progetto del paramento slu'!$G$58,ABS(K1036)*'Progetto del paramento slu'!$G$54,'Progetto del paramento slu'!$G$53)</f>
        <v>0</v>
      </c>
      <c r="F1036" s="553">
        <f>-'Foglio deposito bis'!$F$59*(C1036-sezione!$AM$31)*IF(ABS(L1036)&lt;'Progetto del paramento slu'!$G$58,ABS(L1036)*'Progetto del paramento slu'!$G$54,'Progetto del paramento slu'!$G$53)</f>
        <v>21833285.708843835</v>
      </c>
      <c r="G1036" s="553">
        <f>-'Foglio deposito bis'!$F$60*(C1036-sezione!$AN$31)*IF(ABS(M1036)&lt;'Progetto del paramento slu'!$G$58,ABS(M1036)*'Progetto del paramento slu'!$G$54,'Progetto del paramento slu'!$G$53)</f>
        <v>0</v>
      </c>
      <c r="H1036" s="553">
        <f>-'Foglio deposito bis'!$F$61*(C1036-sezione!$AO$31)*IF(ABS(N1036)&lt;'Progetto del paramento slu'!$G$58,ABS(N1036)*'Progetto del paramento slu'!$G$54,'Progetto del paramento slu'!$G$53)</f>
        <v>80014426.503517345</v>
      </c>
      <c r="I1036" s="479">
        <f>-'Foglio deposito bis'!$F$62*(C1036-sezione!$AP$31)*IF(ABS(O1036)&lt;'Progetto del paramento slu'!$G$58,ABS(O1036)*'Progetto del paramento slu'!$G$54,'Progetto del paramento slu'!$G$53)</f>
        <v>79333444.151074424</v>
      </c>
      <c r="J1036" s="479">
        <f t="shared" si="75"/>
        <v>180665286.97496587</v>
      </c>
      <c r="K1036" s="558">
        <f>'Progetto del paramento slu'!$G$60*(sezione!$AL$31-C1036)/C1036</f>
        <v>1.4185234849173197E-2</v>
      </c>
      <c r="L1036" s="558">
        <f>'Progetto del paramento slu'!$G$60*(sezione!$AM$31-C1036)/C1036</f>
        <v>6.2819630684399483E-2</v>
      </c>
      <c r="M1036" s="559">
        <f>'Progetto del paramento slu'!$G$60*(sezione!$AN$31-C1036)/C1036</f>
        <v>0.11145402651962577</v>
      </c>
      <c r="N1036" s="559">
        <f>'Progetto del paramento slu'!$G$60*(sezione!$AO$31-C1036)/C1036</f>
        <v>0.14682449621797217</v>
      </c>
      <c r="O1036" s="559">
        <f>'Progetto del paramento slu'!$G$60*(sezione!$AP$31-C1036)/C1036</f>
        <v>0.11145579079185228</v>
      </c>
      <c r="P1036" s="553">
        <f>-'Progetto del paramento slu'!$G$47*'Progetto del paramento slu'!$G$41*IF(DATI!$G$218="dx",DATI!$E$61,DATI!$E$64*DATI!$E$63)*1000*C1036*sezione!$AD$5</f>
        <v>-111585.99910208487</v>
      </c>
      <c r="Q1036" s="553">
        <f>'Foglio deposito bis'!$F$58*IF(ABS(K1036)&lt;'Progetto del paramento slu'!$G$58,ABS(K1036)*'Progetto del paramento slu'!$G$54,'Progetto del paramento slu'!$G$53)*IF(K1036&lt;0,-1,1)</f>
        <v>0</v>
      </c>
      <c r="R1036" s="553">
        <f>'Foglio deposito bis'!$F$59*IF(ABS(L1036)&lt;'Progetto del paramento slu'!$G$58,ABS(L1036)*'Progetto del paramento slu'!$G$54,'Progetto del paramento slu'!$G$53)*IF(L1036&lt;0,-1,1)</f>
        <v>153664.85805602249</v>
      </c>
      <c r="S1036" s="553">
        <f>'Foglio deposito bis'!$F$60*IF(ABS(M1036)&lt;'Progetto del paramento slu'!$G$58,ABS(M1036)*'Progetto del paramento slu'!$G$54,'Progetto del paramento slu'!$G$53)*IF(M1036&lt;0,-1,1)</f>
        <v>0</v>
      </c>
      <c r="T1036" s="553">
        <f>'Foglio deposito bis'!$F$61*IF(ABS(N1036)&lt;'Progetto del paramento slu'!$G$58,ABS(N1036)*'Progetto del paramento slu'!$G$54,'Progetto del paramento slu'!$G$53)*IF(N1036&lt;0,-1,1)</f>
        <v>240946.49743184328</v>
      </c>
      <c r="U1036" s="553">
        <f>'Foglio deposito bis'!$F$62*IF(ABS(O1036)&lt;'Progetto del paramento slu'!$G$58,ABS(O1036)*'Progetto del paramento slu'!$G$54,'Progetto del paramento slu'!$G$53)*IF(O1036&lt;0,-1,1)</f>
        <v>314705.62929873407</v>
      </c>
      <c r="V1036" s="479">
        <f t="shared" si="78"/>
        <v>597730.98568451498</v>
      </c>
      <c r="W1036" s="559"/>
      <c r="X1036" s="559"/>
    </row>
    <row r="1037" spans="1:24" x14ac:dyDescent="0.25">
      <c r="A1037" s="553">
        <f t="shared" si="77"/>
        <v>594869.80622035894</v>
      </c>
      <c r="B1037" s="3">
        <f t="shared" si="79"/>
        <v>2.0000000000000009</v>
      </c>
      <c r="C1037" s="553">
        <f>'Foglio deposito bis'!$E$157/sezione!$B$247*B1037</f>
        <v>8.1191878317893273</v>
      </c>
      <c r="D1037" s="611">
        <f>-'Progetto del paramento slu'!$G$47*'Progetto del paramento slu'!$G$41*IF(DATI!$G$218="dx",DATI!$E$61,DATI!$E$64*DATI!$E$63)*1000*C1037^2*sezione!$AD$5*(1-sezione!$AD$6)</f>
        <v>-542663.3935250236</v>
      </c>
      <c r="E1037" s="553">
        <f>-'Foglio deposito bis'!$F$58*(C1037-sezione!$AL$31)*IF(ABS(K1037)&lt;'Progetto del paramento slu'!$G$58,ABS(K1037)*'Progetto del paramento slu'!$G$54,'Progetto del paramento slu'!$G$53)</f>
        <v>0</v>
      </c>
      <c r="F1037" s="553">
        <f>-'Foglio deposito bis'!$F$59*(C1037-sezione!$AM$31)*IF(ABS(L1037)&lt;'Progetto del paramento slu'!$G$58,ABS(L1037)*'Progetto del paramento slu'!$G$54,'Progetto del paramento slu'!$G$53)</f>
        <v>21802094.862701282</v>
      </c>
      <c r="G1037" s="553">
        <f>-'Foglio deposito bis'!$F$60*(C1037-sezione!$AN$31)*IF(ABS(M1037)&lt;'Progetto del paramento slu'!$G$58,ABS(M1037)*'Progetto del paramento slu'!$G$54,'Progetto del paramento slu'!$G$53)</f>
        <v>0</v>
      </c>
      <c r="H1037" s="553">
        <f>-'Foglio deposito bis'!$F$61*(C1037-sezione!$AO$31)*IF(ABS(N1037)&lt;'Progetto del paramento slu'!$G$58,ABS(N1037)*'Progetto del paramento slu'!$G$54,'Progetto del paramento slu'!$G$53)</f>
        <v>79965519.256765842</v>
      </c>
      <c r="I1037" s="479">
        <f>-'Foglio deposito bis'!$F$62*(C1037-sezione!$AP$31)*IF(ABS(O1037)&lt;'Progetto del paramento slu'!$G$58,ABS(O1037)*'Progetto del paramento slu'!$G$54,'Progetto del paramento slu'!$G$53)</f>
        <v>79269565.298174486</v>
      </c>
      <c r="J1037" s="479">
        <f t="shared" si="75"/>
        <v>180494516.02411658</v>
      </c>
      <c r="K1037" s="558">
        <f>'Progetto del paramento slu'!$G$60*(sezione!$AL$31-C1037)/C1037</f>
        <v>1.374310397794387E-2</v>
      </c>
      <c r="L1037" s="558">
        <f>'Progetto del paramento slu'!$G$60*(sezione!$AM$31-C1037)/C1037</f>
        <v>6.1161639917289505E-2</v>
      </c>
      <c r="M1037" s="559">
        <f>'Progetto del paramento slu'!$G$60*(sezione!$AN$31-C1037)/C1037</f>
        <v>0.10858017585663514</v>
      </c>
      <c r="N1037" s="559">
        <f>'Progetto del paramento slu'!$G$60*(sezione!$AO$31-C1037)/C1037</f>
        <v>0.1430663838125229</v>
      </c>
      <c r="O1037" s="559">
        <f>'Progetto del paramento slu'!$G$60*(sezione!$AP$31-C1037)/C1037</f>
        <v>0.10858189602205598</v>
      </c>
      <c r="P1037" s="553">
        <f>-'Progetto del paramento slu'!$G$47*'Progetto del paramento slu'!$G$41*IF(DATI!$G$218="dx",DATI!$E$61,DATI!$E$64*DATI!$E$63)*1000*C1037*sezione!$AD$5</f>
        <v>-114447.17856624087</v>
      </c>
      <c r="Q1037" s="553">
        <f>'Foglio deposito bis'!$F$58*IF(ABS(K1037)&lt;'Progetto del paramento slu'!$G$58,ABS(K1037)*'Progetto del paramento slu'!$G$54,'Progetto del paramento slu'!$G$53)*IF(K1037&lt;0,-1,1)</f>
        <v>0</v>
      </c>
      <c r="R1037" s="553">
        <f>'Foglio deposito bis'!$F$59*IF(ABS(L1037)&lt;'Progetto del paramento slu'!$G$58,ABS(L1037)*'Progetto del paramento slu'!$G$54,'Progetto del paramento slu'!$G$53)*IF(L1037&lt;0,-1,1)</f>
        <v>153664.85805602249</v>
      </c>
      <c r="S1037" s="553">
        <f>'Foglio deposito bis'!$F$60*IF(ABS(M1037)&lt;'Progetto del paramento slu'!$G$58,ABS(M1037)*'Progetto del paramento slu'!$G$54,'Progetto del paramento slu'!$G$53)*IF(M1037&lt;0,-1,1)</f>
        <v>0</v>
      </c>
      <c r="T1037" s="553">
        <f>'Foglio deposito bis'!$F$61*IF(ABS(N1037)&lt;'Progetto del paramento slu'!$G$58,ABS(N1037)*'Progetto del paramento slu'!$G$54,'Progetto del paramento slu'!$G$53)*IF(N1037&lt;0,-1,1)</f>
        <v>240946.49743184328</v>
      </c>
      <c r="U1037" s="553">
        <f>'Foglio deposito bis'!$F$62*IF(ABS(O1037)&lt;'Progetto del paramento slu'!$G$58,ABS(O1037)*'Progetto del paramento slu'!$G$54,'Progetto del paramento slu'!$G$53)*IF(O1037&lt;0,-1,1)</f>
        <v>314705.62929873407</v>
      </c>
      <c r="V1037" s="479">
        <f t="shared" si="78"/>
        <v>594869.80622035894</v>
      </c>
      <c r="W1037" s="559"/>
      <c r="X1037" s="559"/>
    </row>
    <row r="1038" spans="1:24" x14ac:dyDescent="0.25">
      <c r="A1038" s="553">
        <f t="shared" si="77"/>
        <v>592008.6267562029</v>
      </c>
      <c r="B1038" s="3">
        <f t="shared" si="79"/>
        <v>2.0500000000000007</v>
      </c>
      <c r="C1038" s="553">
        <f>'Foglio deposito bis'!$E$157/sezione!$B$247*B1038</f>
        <v>8.3221675275840603</v>
      </c>
      <c r="D1038" s="611">
        <f>-'Progetto del paramento slu'!$G$47*'Progetto del paramento slu'!$G$41*IF(DATI!$G$218="dx",DATI!$E$61,DATI!$E$64*DATI!$E$63)*1000*C1038^2*sezione!$AD$5*(1-sezione!$AD$6)</f>
        <v>-570135.7278222281</v>
      </c>
      <c r="E1038" s="553">
        <f>-'Foglio deposito bis'!$F$58*(C1038-sezione!$AL$31)*IF(ABS(K1038)&lt;'Progetto del paramento slu'!$G$58,ABS(K1038)*'Progetto del paramento slu'!$G$54,'Progetto del paramento slu'!$G$53)</f>
        <v>0</v>
      </c>
      <c r="F1038" s="553">
        <f>-'Foglio deposito bis'!$F$59*(C1038-sezione!$AM$31)*IF(ABS(L1038)&lt;'Progetto del paramento slu'!$G$58,ABS(L1038)*'Progetto del paramento slu'!$G$54,'Progetto del paramento slu'!$G$53)</f>
        <v>21770904.016558729</v>
      </c>
      <c r="G1038" s="553">
        <f>-'Foglio deposito bis'!$F$60*(C1038-sezione!$AN$31)*IF(ABS(M1038)&lt;'Progetto del paramento slu'!$G$58,ABS(M1038)*'Progetto del paramento slu'!$G$54,'Progetto del paramento slu'!$G$53)</f>
        <v>0</v>
      </c>
      <c r="H1038" s="553">
        <f>-'Foglio deposito bis'!$F$61*(C1038-sezione!$AO$31)*IF(ABS(N1038)&lt;'Progetto del paramento slu'!$G$58,ABS(N1038)*'Progetto del paramento slu'!$G$54,'Progetto del paramento slu'!$G$53)</f>
        <v>79916612.01001431</v>
      </c>
      <c r="I1038" s="479">
        <f>-'Foglio deposito bis'!$F$62*(C1038-sezione!$AP$31)*IF(ABS(O1038)&lt;'Progetto del paramento slu'!$G$58,ABS(O1038)*'Progetto del paramento slu'!$G$54,'Progetto del paramento slu'!$G$53)</f>
        <v>79205686.445274532</v>
      </c>
      <c r="J1038" s="479">
        <f t="shared" si="75"/>
        <v>180323066.74402535</v>
      </c>
      <c r="K1038" s="558">
        <f>'Progetto del paramento slu'!$G$60*(sezione!$AL$31-C1038)/C1038</f>
        <v>1.3322540466286701E-2</v>
      </c>
      <c r="L1038" s="558">
        <f>'Progetto del paramento slu'!$G$60*(sezione!$AM$31-C1038)/C1038</f>
        <v>5.9584526748575124E-2</v>
      </c>
      <c r="M1038" s="559">
        <f>'Progetto del paramento slu'!$G$60*(sezione!$AN$31-C1038)/C1038</f>
        <v>0.10584651303086356</v>
      </c>
      <c r="N1038" s="559">
        <f>'Progetto del paramento slu'!$G$60*(sezione!$AO$31-C1038)/C1038</f>
        <v>0.13949159396343697</v>
      </c>
      <c r="O1038" s="559">
        <f>'Progetto del paramento slu'!$G$60*(sezione!$AP$31-C1038)/C1038</f>
        <v>0.10584819124103022</v>
      </c>
      <c r="P1038" s="553">
        <f>-'Progetto del paramento slu'!$G$47*'Progetto del paramento slu'!$G$41*IF(DATI!$G$218="dx",DATI!$E$61,DATI!$E$64*DATI!$E$63)*1000*C1038*sezione!$AD$5</f>
        <v>-117308.35803039688</v>
      </c>
      <c r="Q1038" s="553">
        <f>'Foglio deposito bis'!$F$58*IF(ABS(K1038)&lt;'Progetto del paramento slu'!$G$58,ABS(K1038)*'Progetto del paramento slu'!$G$54,'Progetto del paramento slu'!$G$53)*IF(K1038&lt;0,-1,1)</f>
        <v>0</v>
      </c>
      <c r="R1038" s="553">
        <f>'Foglio deposito bis'!$F$59*IF(ABS(L1038)&lt;'Progetto del paramento slu'!$G$58,ABS(L1038)*'Progetto del paramento slu'!$G$54,'Progetto del paramento slu'!$G$53)*IF(L1038&lt;0,-1,1)</f>
        <v>153664.85805602249</v>
      </c>
      <c r="S1038" s="553">
        <f>'Foglio deposito bis'!$F$60*IF(ABS(M1038)&lt;'Progetto del paramento slu'!$G$58,ABS(M1038)*'Progetto del paramento slu'!$G$54,'Progetto del paramento slu'!$G$53)*IF(M1038&lt;0,-1,1)</f>
        <v>0</v>
      </c>
      <c r="T1038" s="553">
        <f>'Foglio deposito bis'!$F$61*IF(ABS(N1038)&lt;'Progetto del paramento slu'!$G$58,ABS(N1038)*'Progetto del paramento slu'!$G$54,'Progetto del paramento slu'!$G$53)*IF(N1038&lt;0,-1,1)</f>
        <v>240946.49743184328</v>
      </c>
      <c r="U1038" s="553">
        <f>'Foglio deposito bis'!$F$62*IF(ABS(O1038)&lt;'Progetto del paramento slu'!$G$58,ABS(O1038)*'Progetto del paramento slu'!$G$54,'Progetto del paramento slu'!$G$53)*IF(O1038&lt;0,-1,1)</f>
        <v>314705.62929873407</v>
      </c>
      <c r="V1038" s="479">
        <f t="shared" si="78"/>
        <v>592008.6267562029</v>
      </c>
      <c r="W1038" s="559"/>
      <c r="X1038" s="559"/>
    </row>
    <row r="1039" spans="1:24" x14ac:dyDescent="0.25">
      <c r="A1039" s="553">
        <f t="shared" si="77"/>
        <v>589147.44729204697</v>
      </c>
      <c r="B1039" s="3">
        <f t="shared" si="79"/>
        <v>2.1000000000000005</v>
      </c>
      <c r="C1039" s="553">
        <f>'Foglio deposito bis'!$E$157/sezione!$B$247*B1039</f>
        <v>8.5251472233787915</v>
      </c>
      <c r="D1039" s="611">
        <f>-'Progetto del paramento slu'!$G$47*'Progetto del paramento slu'!$G$41*IF(DATI!$G$218="dx",DATI!$E$61,DATI!$E$64*DATI!$E$63)*1000*C1039^2*sezione!$AD$5*(1-sezione!$AD$6)</f>
        <v>-598286.39136133832</v>
      </c>
      <c r="E1039" s="553">
        <f>-'Foglio deposito bis'!$F$58*(C1039-sezione!$AL$31)*IF(ABS(K1039)&lt;'Progetto del paramento slu'!$G$58,ABS(K1039)*'Progetto del paramento slu'!$G$54,'Progetto del paramento slu'!$G$53)</f>
        <v>0</v>
      </c>
      <c r="F1039" s="553">
        <f>-'Foglio deposito bis'!$F$59*(C1039-sezione!$AM$31)*IF(ABS(L1039)&lt;'Progetto del paramento slu'!$G$58,ABS(L1039)*'Progetto del paramento slu'!$G$54,'Progetto del paramento slu'!$G$53)</f>
        <v>21739713.17041618</v>
      </c>
      <c r="G1039" s="553">
        <f>-'Foglio deposito bis'!$F$60*(C1039-sezione!$AN$31)*IF(ABS(M1039)&lt;'Progetto del paramento slu'!$G$58,ABS(M1039)*'Progetto del paramento slu'!$G$54,'Progetto del paramento slu'!$G$53)</f>
        <v>0</v>
      </c>
      <c r="H1039" s="553">
        <f>-'Foglio deposito bis'!$F$61*(C1039-sezione!$AO$31)*IF(ABS(N1039)&lt;'Progetto del paramento slu'!$G$58,ABS(N1039)*'Progetto del paramento slu'!$G$54,'Progetto del paramento slu'!$G$53)</f>
        <v>79867704.763262793</v>
      </c>
      <c r="I1039" s="479">
        <f>-'Foglio deposito bis'!$F$62*(C1039-sezione!$AP$31)*IF(ABS(O1039)&lt;'Progetto del paramento slu'!$G$58,ABS(O1039)*'Progetto del paramento slu'!$G$54,'Progetto del paramento slu'!$G$53)</f>
        <v>79141807.592374593</v>
      </c>
      <c r="J1039" s="479">
        <f t="shared" si="75"/>
        <v>180150939.13469222</v>
      </c>
      <c r="K1039" s="558">
        <f>'Progetto del paramento slu'!$G$60*(sezione!$AL$31-C1039)/C1039</f>
        <v>1.2922003788517974E-2</v>
      </c>
      <c r="L1039" s="558">
        <f>'Progetto del paramento slu'!$G$60*(sezione!$AM$31-C1039)/C1039</f>
        <v>5.8082514206942409E-2</v>
      </c>
      <c r="M1039" s="559">
        <f>'Progetto del paramento slu'!$G$60*(sezione!$AN$31-C1039)/C1039</f>
        <v>0.10324302462536684</v>
      </c>
      <c r="N1039" s="559">
        <f>'Progetto del paramento slu'!$G$60*(sezione!$AO$31-C1039)/C1039</f>
        <v>0.13608703220240279</v>
      </c>
      <c r="O1039" s="559">
        <f>'Progetto del paramento slu'!$G$60*(sezione!$AP$31-C1039)/C1039</f>
        <v>0.10324466287814858</v>
      </c>
      <c r="P1039" s="553">
        <f>-'Progetto del paramento slu'!$G$47*'Progetto del paramento slu'!$G$41*IF(DATI!$G$218="dx",DATI!$E$61,DATI!$E$64*DATI!$E$63)*1000*C1039*sezione!$AD$5</f>
        <v>-120169.53749455286</v>
      </c>
      <c r="Q1039" s="553">
        <f>'Foglio deposito bis'!$F$58*IF(ABS(K1039)&lt;'Progetto del paramento slu'!$G$58,ABS(K1039)*'Progetto del paramento slu'!$G$54,'Progetto del paramento slu'!$G$53)*IF(K1039&lt;0,-1,1)</f>
        <v>0</v>
      </c>
      <c r="R1039" s="553">
        <f>'Foglio deposito bis'!$F$59*IF(ABS(L1039)&lt;'Progetto del paramento slu'!$G$58,ABS(L1039)*'Progetto del paramento slu'!$G$54,'Progetto del paramento slu'!$G$53)*IF(L1039&lt;0,-1,1)</f>
        <v>153664.85805602249</v>
      </c>
      <c r="S1039" s="553">
        <f>'Foglio deposito bis'!$F$60*IF(ABS(M1039)&lt;'Progetto del paramento slu'!$G$58,ABS(M1039)*'Progetto del paramento slu'!$G$54,'Progetto del paramento slu'!$G$53)*IF(M1039&lt;0,-1,1)</f>
        <v>0</v>
      </c>
      <c r="T1039" s="553">
        <f>'Foglio deposito bis'!$F$61*IF(ABS(N1039)&lt;'Progetto del paramento slu'!$G$58,ABS(N1039)*'Progetto del paramento slu'!$G$54,'Progetto del paramento slu'!$G$53)*IF(N1039&lt;0,-1,1)</f>
        <v>240946.49743184328</v>
      </c>
      <c r="U1039" s="553">
        <f>'Foglio deposito bis'!$F$62*IF(ABS(O1039)&lt;'Progetto del paramento slu'!$G$58,ABS(O1039)*'Progetto del paramento slu'!$G$54,'Progetto del paramento slu'!$G$53)*IF(O1039&lt;0,-1,1)</f>
        <v>314705.62929873407</v>
      </c>
      <c r="V1039" s="479">
        <f t="shared" si="78"/>
        <v>589147.44729204697</v>
      </c>
      <c r="W1039" s="559"/>
      <c r="X1039" s="559"/>
    </row>
    <row r="1040" spans="1:24" x14ac:dyDescent="0.25">
      <c r="A1040" s="553">
        <f t="shared" si="77"/>
        <v>586286.26782789105</v>
      </c>
      <c r="B1040" s="3">
        <f t="shared" si="79"/>
        <v>2.1500000000000004</v>
      </c>
      <c r="C1040" s="553">
        <f>'Foglio deposito bis'!$E$157/sezione!$B$247*B1040</f>
        <v>8.7281269191735245</v>
      </c>
      <c r="D1040" s="611">
        <f>-'Progetto del paramento slu'!$G$47*'Progetto del paramento slu'!$G$41*IF(DATI!$G$218="dx",DATI!$E$61,DATI!$E$64*DATI!$E$63)*1000*C1040^2*sezione!$AD$5*(1-sezione!$AD$6)</f>
        <v>-627115.38414235506</v>
      </c>
      <c r="E1040" s="553">
        <f>-'Foglio deposito bis'!$F$58*(C1040-sezione!$AL$31)*IF(ABS(K1040)&lt;'Progetto del paramento slu'!$G$58,ABS(K1040)*'Progetto del paramento slu'!$G$54,'Progetto del paramento slu'!$G$53)</f>
        <v>0</v>
      </c>
      <c r="F1040" s="553">
        <f>-'Foglio deposito bis'!$F$59*(C1040-sezione!$AM$31)*IF(ABS(L1040)&lt;'Progetto del paramento slu'!$G$58,ABS(L1040)*'Progetto del paramento slu'!$G$54,'Progetto del paramento slu'!$G$53)</f>
        <v>21708522.324273627</v>
      </c>
      <c r="G1040" s="553">
        <f>-'Foglio deposito bis'!$F$60*(C1040-sezione!$AN$31)*IF(ABS(M1040)&lt;'Progetto del paramento slu'!$G$58,ABS(M1040)*'Progetto del paramento slu'!$G$54,'Progetto del paramento slu'!$G$53)</f>
        <v>0</v>
      </c>
      <c r="H1040" s="553">
        <f>-'Foglio deposito bis'!$F$61*(C1040-sezione!$AO$31)*IF(ABS(N1040)&lt;'Progetto del paramento slu'!$G$58,ABS(N1040)*'Progetto del paramento slu'!$G$54,'Progetto del paramento slu'!$G$53)</f>
        <v>79818797.516511261</v>
      </c>
      <c r="I1040" s="479">
        <f>-'Foglio deposito bis'!$F$62*(C1040-sezione!$AP$31)*IF(ABS(O1040)&lt;'Progetto del paramento slu'!$G$58,ABS(O1040)*'Progetto del paramento slu'!$G$54,'Progetto del paramento slu'!$G$53)</f>
        <v>79077928.739474639</v>
      </c>
      <c r="J1040" s="479">
        <f t="shared" si="75"/>
        <v>179978133.19611716</v>
      </c>
      <c r="K1040" s="558">
        <f>'Progetto del paramento slu'!$G$60*(sezione!$AL$31-C1040)/C1040</f>
        <v>1.2540096723668719E-2</v>
      </c>
      <c r="L1040" s="558">
        <f>'Progetto del paramento slu'!$G$60*(sezione!$AM$31-C1040)/C1040</f>
        <v>5.6650362713757701E-2</v>
      </c>
      <c r="M1040" s="559">
        <f>'Progetto del paramento slu'!$G$60*(sezione!$AN$31-C1040)/C1040</f>
        <v>0.10076062870384668</v>
      </c>
      <c r="N1040" s="559">
        <f>'Progetto del paramento slu'!$G$60*(sezione!$AO$31-C1040)/C1040</f>
        <v>0.13284082215118412</v>
      </c>
      <c r="O1040" s="559">
        <f>'Progetto del paramento slu'!$G$60*(sezione!$AP$31-C1040)/C1040</f>
        <v>0.10076222885772654</v>
      </c>
      <c r="P1040" s="553">
        <f>-'Progetto del paramento slu'!$G$47*'Progetto del paramento slu'!$G$41*IF(DATI!$G$218="dx",DATI!$E$61,DATI!$E$64*DATI!$E$63)*1000*C1040*sezione!$AD$5</f>
        <v>-123030.71695870889</v>
      </c>
      <c r="Q1040" s="553">
        <f>'Foglio deposito bis'!$F$58*IF(ABS(K1040)&lt;'Progetto del paramento slu'!$G$58,ABS(K1040)*'Progetto del paramento slu'!$G$54,'Progetto del paramento slu'!$G$53)*IF(K1040&lt;0,-1,1)</f>
        <v>0</v>
      </c>
      <c r="R1040" s="553">
        <f>'Foglio deposito bis'!$F$59*IF(ABS(L1040)&lt;'Progetto del paramento slu'!$G$58,ABS(L1040)*'Progetto del paramento slu'!$G$54,'Progetto del paramento slu'!$G$53)*IF(L1040&lt;0,-1,1)</f>
        <v>153664.85805602249</v>
      </c>
      <c r="S1040" s="553">
        <f>'Foglio deposito bis'!$F$60*IF(ABS(M1040)&lt;'Progetto del paramento slu'!$G$58,ABS(M1040)*'Progetto del paramento slu'!$G$54,'Progetto del paramento slu'!$G$53)*IF(M1040&lt;0,-1,1)</f>
        <v>0</v>
      </c>
      <c r="T1040" s="553">
        <f>'Foglio deposito bis'!$F$61*IF(ABS(N1040)&lt;'Progetto del paramento slu'!$G$58,ABS(N1040)*'Progetto del paramento slu'!$G$54,'Progetto del paramento slu'!$G$53)*IF(N1040&lt;0,-1,1)</f>
        <v>240946.49743184328</v>
      </c>
      <c r="U1040" s="553">
        <f>'Foglio deposito bis'!$F$62*IF(ABS(O1040)&lt;'Progetto del paramento slu'!$G$58,ABS(O1040)*'Progetto del paramento slu'!$G$54,'Progetto del paramento slu'!$G$53)*IF(O1040&lt;0,-1,1)</f>
        <v>314705.62929873407</v>
      </c>
      <c r="V1040" s="479">
        <f t="shared" si="78"/>
        <v>586286.26782789105</v>
      </c>
      <c r="W1040" s="559"/>
      <c r="X1040" s="559"/>
    </row>
    <row r="1041" spans="1:24" x14ac:dyDescent="0.25">
      <c r="A1041" s="553">
        <f t="shared" si="77"/>
        <v>583425.08836373501</v>
      </c>
      <c r="B1041" s="3">
        <f t="shared" si="79"/>
        <v>2.2000000000000002</v>
      </c>
      <c r="C1041" s="553">
        <f>'Foglio deposito bis'!$E$157/sezione!$B$247*B1041</f>
        <v>8.9311066149682574</v>
      </c>
      <c r="D1041" s="611">
        <f>-'Progetto del paramento slu'!$G$47*'Progetto del paramento slu'!$G$41*IF(DATI!$G$218="dx",DATI!$E$61,DATI!$E$64*DATI!$E$63)*1000*C1041^2*sezione!$AD$5*(1-sezione!$AD$6)</f>
        <v>-656622.70616527821</v>
      </c>
      <c r="E1041" s="553">
        <f>-'Foglio deposito bis'!$F$58*(C1041-sezione!$AL$31)*IF(ABS(K1041)&lt;'Progetto del paramento slu'!$G$58,ABS(K1041)*'Progetto del paramento slu'!$G$54,'Progetto del paramento slu'!$G$53)</f>
        <v>0</v>
      </c>
      <c r="F1041" s="553">
        <f>-'Foglio deposito bis'!$F$59*(C1041-sezione!$AM$31)*IF(ABS(L1041)&lt;'Progetto del paramento slu'!$G$58,ABS(L1041)*'Progetto del paramento slu'!$G$54,'Progetto del paramento slu'!$G$53)</f>
        <v>21677331.478131074</v>
      </c>
      <c r="G1041" s="553">
        <f>-'Foglio deposito bis'!$F$60*(C1041-sezione!$AN$31)*IF(ABS(M1041)&lt;'Progetto del paramento slu'!$G$58,ABS(M1041)*'Progetto del paramento slu'!$G$54,'Progetto del paramento slu'!$G$53)</f>
        <v>0</v>
      </c>
      <c r="H1041" s="553">
        <f>-'Foglio deposito bis'!$F$61*(C1041-sezione!$AO$31)*IF(ABS(N1041)&lt;'Progetto del paramento slu'!$G$58,ABS(N1041)*'Progetto del paramento slu'!$G$54,'Progetto del paramento slu'!$G$53)</f>
        <v>79769890.269759744</v>
      </c>
      <c r="I1041" s="479">
        <f>-'Foglio deposito bis'!$F$62*(C1041-sezione!$AP$31)*IF(ABS(O1041)&lt;'Progetto del paramento slu'!$G$58,ABS(O1041)*'Progetto del paramento slu'!$G$54,'Progetto del paramento slu'!$G$53)</f>
        <v>79014049.8865747</v>
      </c>
      <c r="J1041" s="479">
        <f t="shared" si="75"/>
        <v>179804648.92830026</v>
      </c>
      <c r="K1041" s="558">
        <f>'Progetto del paramento slu'!$G$60*(sezione!$AL$31-C1041)/C1041</f>
        <v>1.2175549070858067E-2</v>
      </c>
      <c r="L1041" s="558">
        <f>'Progetto del paramento slu'!$G$60*(sezione!$AM$31-C1041)/C1041</f>
        <v>5.5283309015717749E-2</v>
      </c>
      <c r="M1041" s="559">
        <f>'Progetto del paramento slu'!$G$60*(sezione!$AN$31-C1041)/C1041</f>
        <v>9.8391068960577435E-2</v>
      </c>
      <c r="N1041" s="559">
        <f>'Progetto del paramento slu'!$G$60*(sezione!$AO$31-C1041)/C1041</f>
        <v>0.12974216710229355</v>
      </c>
      <c r="O1041" s="559">
        <f>'Progetto del paramento slu'!$G$60*(sezione!$AP$31-C1041)/C1041</f>
        <v>9.8392632747323655E-2</v>
      </c>
      <c r="P1041" s="553">
        <f>-'Progetto del paramento slu'!$G$47*'Progetto del paramento slu'!$G$41*IF(DATI!$G$218="dx",DATI!$E$61,DATI!$E$64*DATI!$E$63)*1000*C1041*sezione!$AD$5</f>
        <v>-125891.8964228649</v>
      </c>
      <c r="Q1041" s="553">
        <f>'Foglio deposito bis'!$F$58*IF(ABS(K1041)&lt;'Progetto del paramento slu'!$G$58,ABS(K1041)*'Progetto del paramento slu'!$G$54,'Progetto del paramento slu'!$G$53)*IF(K1041&lt;0,-1,1)</f>
        <v>0</v>
      </c>
      <c r="R1041" s="553">
        <f>'Foglio deposito bis'!$F$59*IF(ABS(L1041)&lt;'Progetto del paramento slu'!$G$58,ABS(L1041)*'Progetto del paramento slu'!$G$54,'Progetto del paramento slu'!$G$53)*IF(L1041&lt;0,-1,1)</f>
        <v>153664.85805602249</v>
      </c>
      <c r="S1041" s="553">
        <f>'Foglio deposito bis'!$F$60*IF(ABS(M1041)&lt;'Progetto del paramento slu'!$G$58,ABS(M1041)*'Progetto del paramento slu'!$G$54,'Progetto del paramento slu'!$G$53)*IF(M1041&lt;0,-1,1)</f>
        <v>0</v>
      </c>
      <c r="T1041" s="553">
        <f>'Foglio deposito bis'!$F$61*IF(ABS(N1041)&lt;'Progetto del paramento slu'!$G$58,ABS(N1041)*'Progetto del paramento slu'!$G$54,'Progetto del paramento slu'!$G$53)*IF(N1041&lt;0,-1,1)</f>
        <v>240946.49743184328</v>
      </c>
      <c r="U1041" s="553">
        <f>'Foglio deposito bis'!$F$62*IF(ABS(O1041)&lt;'Progetto del paramento slu'!$G$58,ABS(O1041)*'Progetto del paramento slu'!$G$54,'Progetto del paramento slu'!$G$53)*IF(O1041&lt;0,-1,1)</f>
        <v>314705.62929873407</v>
      </c>
      <c r="V1041" s="479">
        <f t="shared" si="78"/>
        <v>583425.08836373501</v>
      </c>
      <c r="W1041" s="559"/>
      <c r="X1041" s="559"/>
    </row>
    <row r="1042" spans="1:24" x14ac:dyDescent="0.25">
      <c r="A1042" s="553">
        <f t="shared" si="77"/>
        <v>580563.90889957896</v>
      </c>
      <c r="B1042" s="3">
        <f t="shared" si="79"/>
        <v>2.25</v>
      </c>
      <c r="C1042" s="553">
        <f>'Foglio deposito bis'!$E$157/sezione!$B$247*B1042</f>
        <v>9.1340863107629886</v>
      </c>
      <c r="D1042" s="611">
        <f>-'Progetto del paramento slu'!$G$47*'Progetto del paramento slu'!$G$41*IF(DATI!$G$218="dx",DATI!$E$61,DATI!$E$64*DATI!$E$63)*1000*C1042^2*sezione!$AD$5*(1-sezione!$AD$6)</f>
        <v>-686808.35743010743</v>
      </c>
      <c r="E1042" s="553">
        <f>-'Foglio deposito bis'!$F$58*(C1042-sezione!$AL$31)*IF(ABS(K1042)&lt;'Progetto del paramento slu'!$G$58,ABS(K1042)*'Progetto del paramento slu'!$G$54,'Progetto del paramento slu'!$G$53)</f>
        <v>0</v>
      </c>
      <c r="F1042" s="553">
        <f>-'Foglio deposito bis'!$F$59*(C1042-sezione!$AM$31)*IF(ABS(L1042)&lt;'Progetto del paramento slu'!$G$58,ABS(L1042)*'Progetto del paramento slu'!$G$54,'Progetto del paramento slu'!$G$53)</f>
        <v>21646140.631988518</v>
      </c>
      <c r="G1042" s="553">
        <f>-'Foglio deposito bis'!$F$60*(C1042-sezione!$AN$31)*IF(ABS(M1042)&lt;'Progetto del paramento slu'!$G$58,ABS(M1042)*'Progetto del paramento slu'!$G$54,'Progetto del paramento slu'!$G$53)</f>
        <v>0</v>
      </c>
      <c r="H1042" s="553">
        <f>-'Foglio deposito bis'!$F$61*(C1042-sezione!$AO$31)*IF(ABS(N1042)&lt;'Progetto del paramento slu'!$G$58,ABS(N1042)*'Progetto del paramento slu'!$G$54,'Progetto del paramento slu'!$G$53)</f>
        <v>79720983.023008227</v>
      </c>
      <c r="I1042" s="479">
        <f>-'Foglio deposito bis'!$F$62*(C1042-sezione!$AP$31)*IF(ABS(O1042)&lt;'Progetto del paramento slu'!$G$58,ABS(O1042)*'Progetto del paramento slu'!$G$54,'Progetto del paramento slu'!$G$53)</f>
        <v>78950171.033674747</v>
      </c>
      <c r="J1042" s="479">
        <f t="shared" si="75"/>
        <v>179630486.33124137</v>
      </c>
      <c r="K1042" s="558">
        <f>'Progetto del paramento slu'!$G$60*(sezione!$AL$31-C1042)/C1042</f>
        <v>1.1827203535950112E-2</v>
      </c>
      <c r="L1042" s="558">
        <f>'Progetto del paramento slu'!$G$60*(sezione!$AM$31-C1042)/C1042</f>
        <v>5.3977013259812918E-2</v>
      </c>
      <c r="M1042" s="559">
        <f>'Progetto del paramento slu'!$G$60*(sezione!$AN$31-C1042)/C1042</f>
        <v>9.6126822983675739E-2</v>
      </c>
      <c r="N1042" s="559">
        <f>'Progetto del paramento slu'!$G$60*(sezione!$AO$31-C1042)/C1042</f>
        <v>0.12678123005557596</v>
      </c>
      <c r="O1042" s="559">
        <f>'Progetto del paramento slu'!$G$60*(sezione!$AP$31-C1042)/C1042</f>
        <v>9.6128352019605359E-2</v>
      </c>
      <c r="P1042" s="553">
        <f>-'Progetto del paramento slu'!$G$47*'Progetto del paramento slu'!$G$41*IF(DATI!$G$218="dx",DATI!$E$61,DATI!$E$64*DATI!$E$63)*1000*C1042*sezione!$AD$5</f>
        <v>-128753.07588702091</v>
      </c>
      <c r="Q1042" s="553">
        <f>'Foglio deposito bis'!$F$58*IF(ABS(K1042)&lt;'Progetto del paramento slu'!$G$58,ABS(K1042)*'Progetto del paramento slu'!$G$54,'Progetto del paramento slu'!$G$53)*IF(K1042&lt;0,-1,1)</f>
        <v>0</v>
      </c>
      <c r="R1042" s="553">
        <f>'Foglio deposito bis'!$F$59*IF(ABS(L1042)&lt;'Progetto del paramento slu'!$G$58,ABS(L1042)*'Progetto del paramento slu'!$G$54,'Progetto del paramento slu'!$G$53)*IF(L1042&lt;0,-1,1)</f>
        <v>153664.85805602249</v>
      </c>
      <c r="S1042" s="553">
        <f>'Foglio deposito bis'!$F$60*IF(ABS(M1042)&lt;'Progetto del paramento slu'!$G$58,ABS(M1042)*'Progetto del paramento slu'!$G$54,'Progetto del paramento slu'!$G$53)*IF(M1042&lt;0,-1,1)</f>
        <v>0</v>
      </c>
      <c r="T1042" s="553">
        <f>'Foglio deposito bis'!$F$61*IF(ABS(N1042)&lt;'Progetto del paramento slu'!$G$58,ABS(N1042)*'Progetto del paramento slu'!$G$54,'Progetto del paramento slu'!$G$53)*IF(N1042&lt;0,-1,1)</f>
        <v>240946.49743184328</v>
      </c>
      <c r="U1042" s="553">
        <f>'Foglio deposito bis'!$F$62*IF(ABS(O1042)&lt;'Progetto del paramento slu'!$G$58,ABS(O1042)*'Progetto del paramento slu'!$G$54,'Progetto del paramento slu'!$G$53)*IF(O1042&lt;0,-1,1)</f>
        <v>314705.62929873407</v>
      </c>
      <c r="V1042" s="479">
        <f t="shared" si="78"/>
        <v>580563.90889957896</v>
      </c>
      <c r="W1042" s="559"/>
      <c r="X1042" s="559"/>
    </row>
    <row r="1043" spans="1:24" x14ac:dyDescent="0.25">
      <c r="A1043" s="553">
        <f t="shared" si="77"/>
        <v>577702.72943542292</v>
      </c>
      <c r="B1043" s="3">
        <f t="shared" si="79"/>
        <v>2.2999999999999998</v>
      </c>
      <c r="C1043" s="553">
        <f>'Foglio deposito bis'!$E$157/sezione!$B$247*B1043</f>
        <v>9.3370660065577216</v>
      </c>
      <c r="D1043" s="611">
        <f>-'Progetto del paramento slu'!$G$47*'Progetto del paramento slu'!$G$41*IF(DATI!$G$218="dx",DATI!$E$61,DATI!$E$64*DATI!$E$63)*1000*C1043^2*sezione!$AD$5*(1-sezione!$AD$6)</f>
        <v>-717672.33793684305</v>
      </c>
      <c r="E1043" s="553">
        <f>-'Foglio deposito bis'!$F$58*(C1043-sezione!$AL$31)*IF(ABS(K1043)&lt;'Progetto del paramento slu'!$G$58,ABS(K1043)*'Progetto del paramento slu'!$G$54,'Progetto del paramento slu'!$G$53)</f>
        <v>0</v>
      </c>
      <c r="F1043" s="553">
        <f>-'Foglio deposito bis'!$F$59*(C1043-sezione!$AM$31)*IF(ABS(L1043)&lt;'Progetto del paramento slu'!$G$58,ABS(L1043)*'Progetto del paramento slu'!$G$54,'Progetto del paramento slu'!$G$53)</f>
        <v>21614949.785845965</v>
      </c>
      <c r="G1043" s="553">
        <f>-'Foglio deposito bis'!$F$60*(C1043-sezione!$AN$31)*IF(ABS(M1043)&lt;'Progetto del paramento slu'!$G$58,ABS(M1043)*'Progetto del paramento slu'!$G$54,'Progetto del paramento slu'!$G$53)</f>
        <v>0</v>
      </c>
      <c r="H1043" s="553">
        <f>-'Foglio deposito bis'!$F$61*(C1043-sezione!$AO$31)*IF(ABS(N1043)&lt;'Progetto del paramento slu'!$G$58,ABS(N1043)*'Progetto del paramento slu'!$G$54,'Progetto del paramento slu'!$G$53)</f>
        <v>79672075.776256695</v>
      </c>
      <c r="I1043" s="479">
        <f>-'Foglio deposito bis'!$F$62*(C1043-sezione!$AP$31)*IF(ABS(O1043)&lt;'Progetto del paramento slu'!$G$58,ABS(O1043)*'Progetto del paramento slu'!$G$54,'Progetto del paramento slu'!$G$53)</f>
        <v>78886292.180774793</v>
      </c>
      <c r="J1043" s="479">
        <f t="shared" si="75"/>
        <v>179455645.40494061</v>
      </c>
      <c r="K1043" s="558">
        <f>'Progetto del paramento slu'!$G$60*(sezione!$AL$31-C1043)/C1043</f>
        <v>1.1494003459081633E-2</v>
      </c>
      <c r="L1043" s="558">
        <f>'Progetto del paramento slu'!$G$60*(sezione!$AM$31-C1043)/C1043</f>
        <v>5.2727512971556117E-2</v>
      </c>
      <c r="M1043" s="559">
        <f>'Progetto del paramento slu'!$G$60*(sezione!$AN$31-C1043)/C1043</f>
        <v>9.3961022484030612E-2</v>
      </c>
      <c r="N1043" s="559">
        <f>'Progetto del paramento slu'!$G$60*(sezione!$AO$31-C1043)/C1043</f>
        <v>0.12394902940219386</v>
      </c>
      <c r="O1043" s="559">
        <f>'Progetto del paramento slu'!$G$60*(sezione!$AP$31-C1043)/C1043</f>
        <v>9.3962518280048715E-2</v>
      </c>
      <c r="P1043" s="553">
        <f>-'Progetto del paramento slu'!$G$47*'Progetto del paramento slu'!$G$41*IF(DATI!$G$218="dx",DATI!$E$61,DATI!$E$64*DATI!$E$63)*1000*C1043*sezione!$AD$5</f>
        <v>-131614.25535117692</v>
      </c>
      <c r="Q1043" s="553">
        <f>'Foglio deposito bis'!$F$58*IF(ABS(K1043)&lt;'Progetto del paramento slu'!$G$58,ABS(K1043)*'Progetto del paramento slu'!$G$54,'Progetto del paramento slu'!$G$53)*IF(K1043&lt;0,-1,1)</f>
        <v>0</v>
      </c>
      <c r="R1043" s="553">
        <f>'Foglio deposito bis'!$F$59*IF(ABS(L1043)&lt;'Progetto del paramento slu'!$G$58,ABS(L1043)*'Progetto del paramento slu'!$G$54,'Progetto del paramento slu'!$G$53)*IF(L1043&lt;0,-1,1)</f>
        <v>153664.85805602249</v>
      </c>
      <c r="S1043" s="553">
        <f>'Foglio deposito bis'!$F$60*IF(ABS(M1043)&lt;'Progetto del paramento slu'!$G$58,ABS(M1043)*'Progetto del paramento slu'!$G$54,'Progetto del paramento slu'!$G$53)*IF(M1043&lt;0,-1,1)</f>
        <v>0</v>
      </c>
      <c r="T1043" s="553">
        <f>'Foglio deposito bis'!$F$61*IF(ABS(N1043)&lt;'Progetto del paramento slu'!$G$58,ABS(N1043)*'Progetto del paramento slu'!$G$54,'Progetto del paramento slu'!$G$53)*IF(N1043&lt;0,-1,1)</f>
        <v>240946.49743184328</v>
      </c>
      <c r="U1043" s="553">
        <f>'Foglio deposito bis'!$F$62*IF(ABS(O1043)&lt;'Progetto del paramento slu'!$G$58,ABS(O1043)*'Progetto del paramento slu'!$G$54,'Progetto del paramento slu'!$G$53)*IF(O1043&lt;0,-1,1)</f>
        <v>314705.62929873407</v>
      </c>
      <c r="V1043" s="479">
        <f t="shared" si="78"/>
        <v>577702.72943542292</v>
      </c>
      <c r="W1043" s="559"/>
      <c r="X1043" s="559"/>
    </row>
    <row r="1044" spans="1:24" x14ac:dyDescent="0.25">
      <c r="A1044" s="553">
        <f t="shared" si="77"/>
        <v>574841.54997126688</v>
      </c>
      <c r="B1044" s="3">
        <f t="shared" si="79"/>
        <v>2.3499999999999996</v>
      </c>
      <c r="C1044" s="553">
        <f>'Foglio deposito bis'!$E$157/sezione!$B$247*B1044</f>
        <v>9.5400457023524545</v>
      </c>
      <c r="D1044" s="611">
        <f>-'Progetto del paramento slu'!$G$47*'Progetto del paramento slu'!$G$41*IF(DATI!$G$218="dx",DATI!$E$61,DATI!$E$64*DATI!$E$63)*1000*C1044^2*sezione!$AD$5*(1-sezione!$AD$6)</f>
        <v>-749214.64768548508</v>
      </c>
      <c r="E1044" s="553">
        <f>-'Foglio deposito bis'!$F$58*(C1044-sezione!$AL$31)*IF(ABS(K1044)&lt;'Progetto del paramento slu'!$G$58,ABS(K1044)*'Progetto del paramento slu'!$G$54,'Progetto del paramento slu'!$G$53)</f>
        <v>0</v>
      </c>
      <c r="F1044" s="553">
        <f>-'Foglio deposito bis'!$F$59*(C1044-sezione!$AM$31)*IF(ABS(L1044)&lt;'Progetto del paramento slu'!$G$58,ABS(L1044)*'Progetto del paramento slu'!$G$54,'Progetto del paramento slu'!$G$53)</f>
        <v>21583758.93970342</v>
      </c>
      <c r="G1044" s="553">
        <f>-'Foglio deposito bis'!$F$60*(C1044-sezione!$AN$31)*IF(ABS(M1044)&lt;'Progetto del paramento slu'!$G$58,ABS(M1044)*'Progetto del paramento slu'!$G$54,'Progetto del paramento slu'!$G$53)</f>
        <v>0</v>
      </c>
      <c r="H1044" s="553">
        <f>-'Foglio deposito bis'!$F$61*(C1044-sezione!$AO$31)*IF(ABS(N1044)&lt;'Progetto del paramento slu'!$G$58,ABS(N1044)*'Progetto del paramento slu'!$G$54,'Progetto del paramento slu'!$G$53)</f>
        <v>79623168.529505178</v>
      </c>
      <c r="I1044" s="479">
        <f>-'Foglio deposito bis'!$F$62*(C1044-sezione!$AP$31)*IF(ABS(O1044)&lt;'Progetto del paramento slu'!$G$58,ABS(O1044)*'Progetto del paramento slu'!$G$54,'Progetto del paramento slu'!$G$53)</f>
        <v>78822413.327874854</v>
      </c>
      <c r="J1044" s="479">
        <f t="shared" si="75"/>
        <v>179280126.14939797</v>
      </c>
      <c r="K1044" s="558">
        <f>'Progetto del paramento slu'!$G$60*(sezione!$AL$31-C1044)/C1044</f>
        <v>1.1174982108888405E-2</v>
      </c>
      <c r="L1044" s="558">
        <f>'Progetto del paramento slu'!$G$60*(sezione!$AM$31-C1044)/C1044</f>
        <v>5.153118290833153E-2</v>
      </c>
      <c r="M1044" s="559">
        <f>'Progetto del paramento slu'!$G$60*(sezione!$AN$31-C1044)/C1044</f>
        <v>9.1887383707774647E-2</v>
      </c>
      <c r="N1044" s="559">
        <f>'Progetto del paramento slu'!$G$60*(sezione!$AO$31-C1044)/C1044</f>
        <v>0.12123734792555145</v>
      </c>
      <c r="O1044" s="559">
        <f>'Progetto del paramento slu'!$G$60*(sezione!$AP$31-C1044)/C1044</f>
        <v>9.188884767834557E-2</v>
      </c>
      <c r="P1044" s="553">
        <f>-'Progetto del paramento slu'!$G$47*'Progetto del paramento slu'!$G$41*IF(DATI!$G$218="dx",DATI!$E$61,DATI!$E$64*DATI!$E$63)*1000*C1044*sezione!$AD$5</f>
        <v>-134475.43481533293</v>
      </c>
      <c r="Q1044" s="553">
        <f>'Foglio deposito bis'!$F$58*IF(ABS(K1044)&lt;'Progetto del paramento slu'!$G$58,ABS(K1044)*'Progetto del paramento slu'!$G$54,'Progetto del paramento slu'!$G$53)*IF(K1044&lt;0,-1,1)</f>
        <v>0</v>
      </c>
      <c r="R1044" s="553">
        <f>'Foglio deposito bis'!$F$59*IF(ABS(L1044)&lt;'Progetto del paramento slu'!$G$58,ABS(L1044)*'Progetto del paramento slu'!$G$54,'Progetto del paramento slu'!$G$53)*IF(L1044&lt;0,-1,1)</f>
        <v>153664.85805602249</v>
      </c>
      <c r="S1044" s="553">
        <f>'Foglio deposito bis'!$F$60*IF(ABS(M1044)&lt;'Progetto del paramento slu'!$G$58,ABS(M1044)*'Progetto del paramento slu'!$G$54,'Progetto del paramento slu'!$G$53)*IF(M1044&lt;0,-1,1)</f>
        <v>0</v>
      </c>
      <c r="T1044" s="553">
        <f>'Foglio deposito bis'!$F$61*IF(ABS(N1044)&lt;'Progetto del paramento slu'!$G$58,ABS(N1044)*'Progetto del paramento slu'!$G$54,'Progetto del paramento slu'!$G$53)*IF(N1044&lt;0,-1,1)</f>
        <v>240946.49743184328</v>
      </c>
      <c r="U1044" s="553">
        <f>'Foglio deposito bis'!$F$62*IF(ABS(O1044)&lt;'Progetto del paramento slu'!$G$58,ABS(O1044)*'Progetto del paramento slu'!$G$54,'Progetto del paramento slu'!$G$53)*IF(O1044&lt;0,-1,1)</f>
        <v>314705.62929873407</v>
      </c>
      <c r="V1044" s="479">
        <f t="shared" si="78"/>
        <v>574841.54997126688</v>
      </c>
      <c r="W1044" s="559"/>
      <c r="X1044" s="559"/>
    </row>
    <row r="1045" spans="1:24" x14ac:dyDescent="0.25">
      <c r="A1045" s="553">
        <f t="shared" si="77"/>
        <v>571980.37050711096</v>
      </c>
      <c r="B1045" s="3">
        <f t="shared" si="79"/>
        <v>2.3999999999999995</v>
      </c>
      <c r="C1045" s="553">
        <f>'Foglio deposito bis'!$E$157/sezione!$B$247*B1045</f>
        <v>9.7430253981471857</v>
      </c>
      <c r="D1045" s="611">
        <f>-'Progetto del paramento slu'!$G$47*'Progetto del paramento slu'!$G$41*IF(DATI!$G$218="dx",DATI!$E$61,DATI!$E$64*DATI!$E$63)*1000*C1045^2*sezione!$AD$5*(1-sezione!$AD$6)</f>
        <v>-781435.28667603293</v>
      </c>
      <c r="E1045" s="553">
        <f>-'Foglio deposito bis'!$F$58*(C1045-sezione!$AL$31)*IF(ABS(K1045)&lt;'Progetto del paramento slu'!$G$58,ABS(K1045)*'Progetto del paramento slu'!$G$54,'Progetto del paramento slu'!$G$53)</f>
        <v>0</v>
      </c>
      <c r="F1045" s="553">
        <f>-'Foglio deposito bis'!$F$59*(C1045-sezione!$AM$31)*IF(ABS(L1045)&lt;'Progetto del paramento slu'!$G$58,ABS(L1045)*'Progetto del paramento slu'!$G$54,'Progetto del paramento slu'!$G$53)</f>
        <v>21552568.093560863</v>
      </c>
      <c r="G1045" s="553">
        <f>-'Foglio deposito bis'!$F$60*(C1045-sezione!$AN$31)*IF(ABS(M1045)&lt;'Progetto del paramento slu'!$G$58,ABS(M1045)*'Progetto del paramento slu'!$G$54,'Progetto del paramento slu'!$G$53)</f>
        <v>0</v>
      </c>
      <c r="H1045" s="553">
        <f>-'Foglio deposito bis'!$F$61*(C1045-sezione!$AO$31)*IF(ABS(N1045)&lt;'Progetto del paramento slu'!$G$58,ABS(N1045)*'Progetto del paramento slu'!$G$54,'Progetto del paramento slu'!$G$53)</f>
        <v>79574261.282753661</v>
      </c>
      <c r="I1045" s="479">
        <f>-'Foglio deposito bis'!$F$62*(C1045-sezione!$AP$31)*IF(ABS(O1045)&lt;'Progetto del paramento slu'!$G$58,ABS(O1045)*'Progetto del paramento slu'!$G$54,'Progetto del paramento slu'!$G$53)</f>
        <v>78758534.4749749</v>
      </c>
      <c r="J1045" s="479">
        <f t="shared" si="75"/>
        <v>179103928.5646134</v>
      </c>
      <c r="K1045" s="558">
        <f>'Progetto del paramento slu'!$G$60*(sezione!$AL$31-C1045)/C1045</f>
        <v>1.0869253314953234E-2</v>
      </c>
      <c r="L1045" s="558">
        <f>'Progetto del paramento slu'!$G$60*(sezione!$AM$31-C1045)/C1045</f>
        <v>5.0384699931074632E-2</v>
      </c>
      <c r="M1045" s="559">
        <f>'Progetto del paramento slu'!$G$60*(sezione!$AN$31-C1045)/C1045</f>
        <v>8.9900146547196025E-2</v>
      </c>
      <c r="N1045" s="559">
        <f>'Progetto del paramento slu'!$G$60*(sezione!$AO$31-C1045)/C1045</f>
        <v>0.1186386531771025</v>
      </c>
      <c r="O1045" s="559">
        <f>'Progetto del paramento slu'!$G$60*(sezione!$AP$31-C1045)/C1045</f>
        <v>8.9901580018380056E-2</v>
      </c>
      <c r="P1045" s="553">
        <f>-'Progetto del paramento slu'!$G$47*'Progetto del paramento slu'!$G$41*IF(DATI!$G$218="dx",DATI!$E$61,DATI!$E$64*DATI!$E$63)*1000*C1045*sezione!$AD$5</f>
        <v>-137336.61427948892</v>
      </c>
      <c r="Q1045" s="553">
        <f>'Foglio deposito bis'!$F$58*IF(ABS(K1045)&lt;'Progetto del paramento slu'!$G$58,ABS(K1045)*'Progetto del paramento slu'!$G$54,'Progetto del paramento slu'!$G$53)*IF(K1045&lt;0,-1,1)</f>
        <v>0</v>
      </c>
      <c r="R1045" s="553">
        <f>'Foglio deposito bis'!$F$59*IF(ABS(L1045)&lt;'Progetto del paramento slu'!$G$58,ABS(L1045)*'Progetto del paramento slu'!$G$54,'Progetto del paramento slu'!$G$53)*IF(L1045&lt;0,-1,1)</f>
        <v>153664.85805602249</v>
      </c>
      <c r="S1045" s="553">
        <f>'Foglio deposito bis'!$F$60*IF(ABS(M1045)&lt;'Progetto del paramento slu'!$G$58,ABS(M1045)*'Progetto del paramento slu'!$G$54,'Progetto del paramento slu'!$G$53)*IF(M1045&lt;0,-1,1)</f>
        <v>0</v>
      </c>
      <c r="T1045" s="553">
        <f>'Foglio deposito bis'!$F$61*IF(ABS(N1045)&lt;'Progetto del paramento slu'!$G$58,ABS(N1045)*'Progetto del paramento slu'!$G$54,'Progetto del paramento slu'!$G$53)*IF(N1045&lt;0,-1,1)</f>
        <v>240946.49743184328</v>
      </c>
      <c r="U1045" s="553">
        <f>'Foglio deposito bis'!$F$62*IF(ABS(O1045)&lt;'Progetto del paramento slu'!$G$58,ABS(O1045)*'Progetto del paramento slu'!$G$54,'Progetto del paramento slu'!$G$53)*IF(O1045&lt;0,-1,1)</f>
        <v>314705.62929873407</v>
      </c>
      <c r="V1045" s="479">
        <f t="shared" si="78"/>
        <v>571980.37050711096</v>
      </c>
      <c r="W1045" s="559"/>
      <c r="X1045" s="559"/>
    </row>
    <row r="1046" spans="1:24" x14ac:dyDescent="0.25">
      <c r="A1046" s="553">
        <f t="shared" si="77"/>
        <v>569119.19104295492</v>
      </c>
      <c r="B1046" s="3">
        <f t="shared" si="79"/>
        <v>2.4499999999999993</v>
      </c>
      <c r="C1046" s="553">
        <f>'Foglio deposito bis'!$E$157/sezione!$B$247*B1046</f>
        <v>9.9460050939419187</v>
      </c>
      <c r="D1046" s="611">
        <f>-'Progetto del paramento slu'!$G$47*'Progetto del paramento slu'!$G$41*IF(DATI!$G$218="dx",DATI!$E$61,DATI!$E$64*DATI!$E$63)*1000*C1046^2*sezione!$AD$5*(1-sezione!$AD$6)</f>
        <v>-814334.25490848743</v>
      </c>
      <c r="E1046" s="553">
        <f>-'Foglio deposito bis'!$F$58*(C1046-sezione!$AL$31)*IF(ABS(K1046)&lt;'Progetto del paramento slu'!$G$58,ABS(K1046)*'Progetto del paramento slu'!$G$54,'Progetto del paramento slu'!$G$53)</f>
        <v>0</v>
      </c>
      <c r="F1046" s="553">
        <f>-'Foglio deposito bis'!$F$59*(C1046-sezione!$AM$31)*IF(ABS(L1046)&lt;'Progetto del paramento slu'!$G$58,ABS(L1046)*'Progetto del paramento slu'!$G$54,'Progetto del paramento slu'!$G$53)</f>
        <v>21521377.247418314</v>
      </c>
      <c r="G1046" s="553">
        <f>-'Foglio deposito bis'!$F$60*(C1046-sezione!$AN$31)*IF(ABS(M1046)&lt;'Progetto del paramento slu'!$G$58,ABS(M1046)*'Progetto del paramento slu'!$G$54,'Progetto del paramento slu'!$G$53)</f>
        <v>0</v>
      </c>
      <c r="H1046" s="553">
        <f>-'Foglio deposito bis'!$F$61*(C1046-sezione!$AO$31)*IF(ABS(N1046)&lt;'Progetto del paramento slu'!$G$58,ABS(N1046)*'Progetto del paramento slu'!$G$54,'Progetto del paramento slu'!$G$53)</f>
        <v>79525354.036002144</v>
      </c>
      <c r="I1046" s="479">
        <f>-'Foglio deposito bis'!$F$62*(C1046-sezione!$AP$31)*IF(ABS(O1046)&lt;'Progetto del paramento slu'!$G$58,ABS(O1046)*'Progetto del paramento slu'!$G$54,'Progetto del paramento slu'!$G$53)</f>
        <v>78694655.622074962</v>
      </c>
      <c r="J1046" s="479">
        <f t="shared" si="75"/>
        <v>178927052.65058693</v>
      </c>
      <c r="K1046" s="558">
        <f>'Progetto del paramento slu'!$G$60*(sezione!$AL$31-C1046)/C1046</f>
        <v>1.0576003247301126E-2</v>
      </c>
      <c r="L1046" s="558">
        <f>'Progetto del paramento slu'!$G$60*(sezione!$AM$31-C1046)/C1046</f>
        <v>4.9285012177379225E-2</v>
      </c>
      <c r="M1046" s="559">
        <f>'Progetto del paramento slu'!$G$60*(sezione!$AN$31-C1046)/C1046</f>
        <v>8.7994021107457326E-2</v>
      </c>
      <c r="N1046" s="559">
        <f>'Progetto del paramento slu'!$G$60*(sezione!$AO$31-C1046)/C1046</f>
        <v>0.1161460276020596</v>
      </c>
      <c r="O1046" s="559">
        <f>'Progetto del paramento slu'!$G$60*(sezione!$AP$31-C1046)/C1046</f>
        <v>8.7995425324127394E-2</v>
      </c>
      <c r="P1046" s="553">
        <f>-'Progetto del paramento slu'!$G$47*'Progetto del paramento slu'!$G$41*IF(DATI!$G$218="dx",DATI!$E$61,DATI!$E$64*DATI!$E$63)*1000*C1046*sezione!$AD$5</f>
        <v>-140197.79374364496</v>
      </c>
      <c r="Q1046" s="553">
        <f>'Foglio deposito bis'!$F$58*IF(ABS(K1046)&lt;'Progetto del paramento slu'!$G$58,ABS(K1046)*'Progetto del paramento slu'!$G$54,'Progetto del paramento slu'!$G$53)*IF(K1046&lt;0,-1,1)</f>
        <v>0</v>
      </c>
      <c r="R1046" s="553">
        <f>'Foglio deposito bis'!$F$59*IF(ABS(L1046)&lt;'Progetto del paramento slu'!$G$58,ABS(L1046)*'Progetto del paramento slu'!$G$54,'Progetto del paramento slu'!$G$53)*IF(L1046&lt;0,-1,1)</f>
        <v>153664.85805602249</v>
      </c>
      <c r="S1046" s="553">
        <f>'Foglio deposito bis'!$F$60*IF(ABS(M1046)&lt;'Progetto del paramento slu'!$G$58,ABS(M1046)*'Progetto del paramento slu'!$G$54,'Progetto del paramento slu'!$G$53)*IF(M1046&lt;0,-1,1)</f>
        <v>0</v>
      </c>
      <c r="T1046" s="553">
        <f>'Foglio deposito bis'!$F$61*IF(ABS(N1046)&lt;'Progetto del paramento slu'!$G$58,ABS(N1046)*'Progetto del paramento slu'!$G$54,'Progetto del paramento slu'!$G$53)*IF(N1046&lt;0,-1,1)</f>
        <v>240946.49743184328</v>
      </c>
      <c r="U1046" s="553">
        <f>'Foglio deposito bis'!$F$62*IF(ABS(O1046)&lt;'Progetto del paramento slu'!$G$58,ABS(O1046)*'Progetto del paramento slu'!$G$54,'Progetto del paramento slu'!$G$53)*IF(O1046&lt;0,-1,1)</f>
        <v>314705.62929873407</v>
      </c>
      <c r="V1046" s="479">
        <f t="shared" si="78"/>
        <v>569119.19104295492</v>
      </c>
      <c r="W1046" s="559"/>
      <c r="X1046" s="559"/>
    </row>
    <row r="1047" spans="1:24" x14ac:dyDescent="0.25">
      <c r="A1047" s="553">
        <f t="shared" si="77"/>
        <v>566258.01157879888</v>
      </c>
      <c r="B1047" s="3">
        <f t="shared" si="79"/>
        <v>2.4999999999999991</v>
      </c>
      <c r="C1047" s="553">
        <f>'Foglio deposito bis'!$E$157/sezione!$B$247*B1047</f>
        <v>10.148984789736652</v>
      </c>
      <c r="D1047" s="611">
        <f>-'Progetto del paramento slu'!$G$47*'Progetto del paramento slu'!$G$41*IF(DATI!$G$218="dx",DATI!$E$61,DATI!$E$64*DATI!$E$63)*1000*C1047^2*sezione!$AD$5*(1-sezione!$AD$6)</f>
        <v>-847911.55238284811</v>
      </c>
      <c r="E1047" s="553">
        <f>-'Foglio deposito bis'!$F$58*(C1047-sezione!$AL$31)*IF(ABS(K1047)&lt;'Progetto del paramento slu'!$G$58,ABS(K1047)*'Progetto del paramento slu'!$G$54,'Progetto del paramento slu'!$G$53)</f>
        <v>0</v>
      </c>
      <c r="F1047" s="553">
        <f>-'Foglio deposito bis'!$F$59*(C1047-sezione!$AM$31)*IF(ABS(L1047)&lt;'Progetto del paramento slu'!$G$58,ABS(L1047)*'Progetto del paramento slu'!$G$54,'Progetto del paramento slu'!$G$53)</f>
        <v>21490186.401275761</v>
      </c>
      <c r="G1047" s="553">
        <f>-'Foglio deposito bis'!$F$60*(C1047-sezione!$AN$31)*IF(ABS(M1047)&lt;'Progetto del paramento slu'!$G$58,ABS(M1047)*'Progetto del paramento slu'!$G$54,'Progetto del paramento slu'!$G$53)</f>
        <v>0</v>
      </c>
      <c r="H1047" s="553">
        <f>-'Foglio deposito bis'!$F$61*(C1047-sezione!$AO$31)*IF(ABS(N1047)&lt;'Progetto del paramento slu'!$G$58,ABS(N1047)*'Progetto del paramento slu'!$G$54,'Progetto del paramento slu'!$G$53)</f>
        <v>79476446.789250612</v>
      </c>
      <c r="I1047" s="479">
        <f>-'Foglio deposito bis'!$F$62*(C1047-sezione!$AP$31)*IF(ABS(O1047)&lt;'Progetto del paramento slu'!$G$58,ABS(O1047)*'Progetto del paramento slu'!$G$54,'Progetto del paramento slu'!$G$53)</f>
        <v>78630776.769175008</v>
      </c>
      <c r="J1047" s="479">
        <f t="shared" si="75"/>
        <v>178749498.40731853</v>
      </c>
      <c r="K1047" s="558">
        <f>'Progetto del paramento slu'!$G$60*(sezione!$AL$31-C1047)/C1047</f>
        <v>1.0294483182355105E-2</v>
      </c>
      <c r="L1047" s="558">
        <f>'Progetto del paramento slu'!$G$60*(sezione!$AM$31-C1047)/C1047</f>
        <v>4.8229311933831641E-2</v>
      </c>
      <c r="M1047" s="559">
        <f>'Progetto del paramento slu'!$G$60*(sezione!$AN$31-C1047)/C1047</f>
        <v>8.6164140685308185E-2</v>
      </c>
      <c r="N1047" s="559">
        <f>'Progetto del paramento slu'!$G$60*(sezione!$AO$31-C1047)/C1047</f>
        <v>0.1137531070500184</v>
      </c>
      <c r="O1047" s="559">
        <f>'Progetto del paramento slu'!$G$60*(sezione!$AP$31-C1047)/C1047</f>
        <v>8.6165516817644838E-2</v>
      </c>
      <c r="P1047" s="553">
        <f>-'Progetto del paramento slu'!$G$47*'Progetto del paramento slu'!$G$41*IF(DATI!$G$218="dx",DATI!$E$61,DATI!$E$64*DATI!$E$63)*1000*C1047*sezione!$AD$5</f>
        <v>-143058.97320780097</v>
      </c>
      <c r="Q1047" s="553">
        <f>'Foglio deposito bis'!$F$58*IF(ABS(K1047)&lt;'Progetto del paramento slu'!$G$58,ABS(K1047)*'Progetto del paramento slu'!$G$54,'Progetto del paramento slu'!$G$53)*IF(K1047&lt;0,-1,1)</f>
        <v>0</v>
      </c>
      <c r="R1047" s="553">
        <f>'Foglio deposito bis'!$F$59*IF(ABS(L1047)&lt;'Progetto del paramento slu'!$G$58,ABS(L1047)*'Progetto del paramento slu'!$G$54,'Progetto del paramento slu'!$G$53)*IF(L1047&lt;0,-1,1)</f>
        <v>153664.85805602249</v>
      </c>
      <c r="S1047" s="553">
        <f>'Foglio deposito bis'!$F$60*IF(ABS(M1047)&lt;'Progetto del paramento slu'!$G$58,ABS(M1047)*'Progetto del paramento slu'!$G$54,'Progetto del paramento slu'!$G$53)*IF(M1047&lt;0,-1,1)</f>
        <v>0</v>
      </c>
      <c r="T1047" s="553">
        <f>'Foglio deposito bis'!$F$61*IF(ABS(N1047)&lt;'Progetto del paramento slu'!$G$58,ABS(N1047)*'Progetto del paramento slu'!$G$54,'Progetto del paramento slu'!$G$53)*IF(N1047&lt;0,-1,1)</f>
        <v>240946.49743184328</v>
      </c>
      <c r="U1047" s="553">
        <f>'Foglio deposito bis'!$F$62*IF(ABS(O1047)&lt;'Progetto del paramento slu'!$G$58,ABS(O1047)*'Progetto del paramento slu'!$G$54,'Progetto del paramento slu'!$G$53)*IF(O1047&lt;0,-1,1)</f>
        <v>314705.62929873407</v>
      </c>
      <c r="V1047" s="479">
        <f t="shared" si="78"/>
        <v>566258.01157879888</v>
      </c>
      <c r="W1047" s="559"/>
      <c r="X1047" s="559"/>
    </row>
    <row r="1048" spans="1:24" x14ac:dyDescent="0.25">
      <c r="A1048" s="553">
        <f t="shared" si="77"/>
        <v>563396.83211464284</v>
      </c>
      <c r="B1048" s="3">
        <f t="shared" si="79"/>
        <v>2.5499999999999989</v>
      </c>
      <c r="C1048" s="553">
        <f>'Foglio deposito bis'!$E$157/sezione!$B$247*B1048</f>
        <v>10.351964485531383</v>
      </c>
      <c r="D1048" s="611">
        <f>-'Progetto del paramento slu'!$G$47*'Progetto del paramento slu'!$G$41*IF(DATI!$G$218="dx",DATI!$E$61,DATI!$E$64*DATI!$E$63)*1000*C1048^2*sezione!$AD$5*(1-sezione!$AD$6)</f>
        <v>-882167.17909911484</v>
      </c>
      <c r="E1048" s="553">
        <f>-'Foglio deposito bis'!$F$58*(C1048-sezione!$AL$31)*IF(ABS(K1048)&lt;'Progetto del paramento slu'!$G$58,ABS(K1048)*'Progetto del paramento slu'!$G$54,'Progetto del paramento slu'!$G$53)</f>
        <v>0</v>
      </c>
      <c r="F1048" s="553">
        <f>-'Foglio deposito bis'!$F$59*(C1048-sezione!$AM$31)*IF(ABS(L1048)&lt;'Progetto del paramento slu'!$G$58,ABS(L1048)*'Progetto del paramento slu'!$G$54,'Progetto del paramento slu'!$G$53)</f>
        <v>21458995.555133209</v>
      </c>
      <c r="G1048" s="553">
        <f>-'Foglio deposito bis'!$F$60*(C1048-sezione!$AN$31)*IF(ABS(M1048)&lt;'Progetto del paramento slu'!$G$58,ABS(M1048)*'Progetto del paramento slu'!$G$54,'Progetto del paramento slu'!$G$53)</f>
        <v>0</v>
      </c>
      <c r="H1048" s="553">
        <f>-'Foglio deposito bis'!$F$61*(C1048-sezione!$AO$31)*IF(ABS(N1048)&lt;'Progetto del paramento slu'!$G$58,ABS(N1048)*'Progetto del paramento slu'!$G$54,'Progetto del paramento slu'!$G$53)</f>
        <v>79427539.542499095</v>
      </c>
      <c r="I1048" s="479">
        <f>-'Foglio deposito bis'!$F$62*(C1048-sezione!$AP$31)*IF(ABS(O1048)&lt;'Progetto del paramento slu'!$G$58,ABS(O1048)*'Progetto del paramento slu'!$G$54,'Progetto del paramento slu'!$G$53)</f>
        <v>78566897.916275069</v>
      </c>
      <c r="J1048" s="479">
        <f t="shared" si="75"/>
        <v>178571265.83480826</v>
      </c>
      <c r="K1048" s="558">
        <f>'Progetto del paramento slu'!$G$60*(sezione!$AL$31-C1048)/C1048</f>
        <v>1.0024003119955988E-2</v>
      </c>
      <c r="L1048" s="558">
        <f>'Progetto del paramento slu'!$G$60*(sezione!$AM$31-C1048)/C1048</f>
        <v>4.7215011699834955E-2</v>
      </c>
      <c r="M1048" s="559">
        <f>'Progetto del paramento slu'!$G$60*(sezione!$AN$31-C1048)/C1048</f>
        <v>8.4406020279713917E-2</v>
      </c>
      <c r="N1048" s="559">
        <f>'Progetto del paramento slu'!$G$60*(sezione!$AO$31-C1048)/C1048</f>
        <v>0.1114540265196259</v>
      </c>
      <c r="O1048" s="559">
        <f>'Progetto del paramento slu'!$G$60*(sezione!$AP$31-C1048)/C1048</f>
        <v>8.44073694290636E-2</v>
      </c>
      <c r="P1048" s="553">
        <f>-'Progetto del paramento slu'!$G$47*'Progetto del paramento slu'!$G$41*IF(DATI!$G$218="dx",DATI!$E$61,DATI!$E$64*DATI!$E$63)*1000*C1048*sezione!$AD$5</f>
        <v>-145920.15267195698</v>
      </c>
      <c r="Q1048" s="553">
        <f>'Foglio deposito bis'!$F$58*IF(ABS(K1048)&lt;'Progetto del paramento slu'!$G$58,ABS(K1048)*'Progetto del paramento slu'!$G$54,'Progetto del paramento slu'!$G$53)*IF(K1048&lt;0,-1,1)</f>
        <v>0</v>
      </c>
      <c r="R1048" s="553">
        <f>'Foglio deposito bis'!$F$59*IF(ABS(L1048)&lt;'Progetto del paramento slu'!$G$58,ABS(L1048)*'Progetto del paramento slu'!$G$54,'Progetto del paramento slu'!$G$53)*IF(L1048&lt;0,-1,1)</f>
        <v>153664.85805602249</v>
      </c>
      <c r="S1048" s="553">
        <f>'Foglio deposito bis'!$F$60*IF(ABS(M1048)&lt;'Progetto del paramento slu'!$G$58,ABS(M1048)*'Progetto del paramento slu'!$G$54,'Progetto del paramento slu'!$G$53)*IF(M1048&lt;0,-1,1)</f>
        <v>0</v>
      </c>
      <c r="T1048" s="553">
        <f>'Foglio deposito bis'!$F$61*IF(ABS(N1048)&lt;'Progetto del paramento slu'!$G$58,ABS(N1048)*'Progetto del paramento slu'!$G$54,'Progetto del paramento slu'!$G$53)*IF(N1048&lt;0,-1,1)</f>
        <v>240946.49743184328</v>
      </c>
      <c r="U1048" s="553">
        <f>'Foglio deposito bis'!$F$62*IF(ABS(O1048)&lt;'Progetto del paramento slu'!$G$58,ABS(O1048)*'Progetto del paramento slu'!$G$54,'Progetto del paramento slu'!$G$53)*IF(O1048&lt;0,-1,1)</f>
        <v>314705.62929873407</v>
      </c>
      <c r="V1048" s="479">
        <f t="shared" si="78"/>
        <v>563396.83211464284</v>
      </c>
      <c r="W1048" s="559"/>
      <c r="X1048" s="559"/>
    </row>
    <row r="1049" spans="1:24" x14ac:dyDescent="0.25">
      <c r="A1049" s="553">
        <f t="shared" si="77"/>
        <v>560535.65265048691</v>
      </c>
      <c r="B1049" s="3">
        <f t="shared" si="79"/>
        <v>2.5999999999999988</v>
      </c>
      <c r="C1049" s="553">
        <f>'Foglio deposito bis'!$E$157/sezione!$B$247*B1049</f>
        <v>10.554944181326116</v>
      </c>
      <c r="D1049" s="611">
        <f>-'Progetto del paramento slu'!$G$47*'Progetto del paramento slu'!$G$41*IF(DATI!$G$218="dx",DATI!$E$61,DATI!$E$64*DATI!$E$63)*1000*C1049^2*sezione!$AD$5*(1-sezione!$AD$6)</f>
        <v>-917101.13505728822</v>
      </c>
      <c r="E1049" s="553">
        <f>-'Foglio deposito bis'!$F$58*(C1049-sezione!$AL$31)*IF(ABS(K1049)&lt;'Progetto del paramento slu'!$G$58,ABS(K1049)*'Progetto del paramento slu'!$G$54,'Progetto del paramento slu'!$G$53)</f>
        <v>0</v>
      </c>
      <c r="F1049" s="553">
        <f>-'Foglio deposito bis'!$F$59*(C1049-sezione!$AM$31)*IF(ABS(L1049)&lt;'Progetto del paramento slu'!$G$58,ABS(L1049)*'Progetto del paramento slu'!$G$54,'Progetto del paramento slu'!$G$53)</f>
        <v>21427804.70899066</v>
      </c>
      <c r="G1049" s="553">
        <f>-'Foglio deposito bis'!$F$60*(C1049-sezione!$AN$31)*IF(ABS(M1049)&lt;'Progetto del paramento slu'!$G$58,ABS(M1049)*'Progetto del paramento slu'!$G$54,'Progetto del paramento slu'!$G$53)</f>
        <v>0</v>
      </c>
      <c r="H1049" s="553">
        <f>-'Foglio deposito bis'!$F$61*(C1049-sezione!$AO$31)*IF(ABS(N1049)&lt;'Progetto del paramento slu'!$G$58,ABS(N1049)*'Progetto del paramento slu'!$G$54,'Progetto del paramento slu'!$G$53)</f>
        <v>79378632.295747578</v>
      </c>
      <c r="I1049" s="479">
        <f>-'Foglio deposito bis'!$F$62*(C1049-sezione!$AP$31)*IF(ABS(O1049)&lt;'Progetto del paramento slu'!$G$58,ABS(O1049)*'Progetto del paramento slu'!$G$54,'Progetto del paramento slu'!$G$53)</f>
        <v>78503019.063375115</v>
      </c>
      <c r="J1049" s="479">
        <f t="shared" si="75"/>
        <v>178392354.93305606</v>
      </c>
      <c r="K1049" s="558">
        <f>'Progetto del paramento slu'!$G$60*(sezione!$AL$31-C1049)/C1049</f>
        <v>9.7639261368799128E-3</v>
      </c>
      <c r="L1049" s="558">
        <f>'Progetto del paramento slu'!$G$60*(sezione!$AM$31-C1049)/C1049</f>
        <v>4.623972301329967E-2</v>
      </c>
      <c r="M1049" s="559">
        <f>'Progetto del paramento slu'!$G$60*(sezione!$AN$31-C1049)/C1049</f>
        <v>8.2715519889719424E-2</v>
      </c>
      <c r="N1049" s="559">
        <f>'Progetto del paramento slu'!$G$60*(sezione!$AO$31-C1049)/C1049</f>
        <v>0.10924337216347925</v>
      </c>
      <c r="O1049" s="559">
        <f>'Progetto del paramento slu'!$G$60*(sezione!$AP$31-C1049)/C1049</f>
        <v>8.2716843093889297E-2</v>
      </c>
      <c r="P1049" s="553">
        <f>-'Progetto del paramento slu'!$G$47*'Progetto del paramento slu'!$G$41*IF(DATI!$G$218="dx",DATI!$E$61,DATI!$E$64*DATI!$E$63)*1000*C1049*sezione!$AD$5</f>
        <v>-148781.33213611296</v>
      </c>
      <c r="Q1049" s="553">
        <f>'Foglio deposito bis'!$F$58*IF(ABS(K1049)&lt;'Progetto del paramento slu'!$G$58,ABS(K1049)*'Progetto del paramento slu'!$G$54,'Progetto del paramento slu'!$G$53)*IF(K1049&lt;0,-1,1)</f>
        <v>0</v>
      </c>
      <c r="R1049" s="553">
        <f>'Foglio deposito bis'!$F$59*IF(ABS(L1049)&lt;'Progetto del paramento slu'!$G$58,ABS(L1049)*'Progetto del paramento slu'!$G$54,'Progetto del paramento slu'!$G$53)*IF(L1049&lt;0,-1,1)</f>
        <v>153664.85805602249</v>
      </c>
      <c r="S1049" s="553">
        <f>'Foglio deposito bis'!$F$60*IF(ABS(M1049)&lt;'Progetto del paramento slu'!$G$58,ABS(M1049)*'Progetto del paramento slu'!$G$54,'Progetto del paramento slu'!$G$53)*IF(M1049&lt;0,-1,1)</f>
        <v>0</v>
      </c>
      <c r="T1049" s="553">
        <f>'Foglio deposito bis'!$F$61*IF(ABS(N1049)&lt;'Progetto del paramento slu'!$G$58,ABS(N1049)*'Progetto del paramento slu'!$G$54,'Progetto del paramento slu'!$G$53)*IF(N1049&lt;0,-1,1)</f>
        <v>240946.49743184328</v>
      </c>
      <c r="U1049" s="553">
        <f>'Foglio deposito bis'!$F$62*IF(ABS(O1049)&lt;'Progetto del paramento slu'!$G$58,ABS(O1049)*'Progetto del paramento slu'!$G$54,'Progetto del paramento slu'!$G$53)*IF(O1049&lt;0,-1,1)</f>
        <v>314705.62929873407</v>
      </c>
      <c r="V1049" s="479">
        <f t="shared" si="78"/>
        <v>560535.65265048691</v>
      </c>
      <c r="W1049" s="559"/>
      <c r="X1049" s="559"/>
    </row>
    <row r="1050" spans="1:24" x14ac:dyDescent="0.25">
      <c r="A1050" s="553">
        <f t="shared" si="77"/>
        <v>557674.47318633087</v>
      </c>
      <c r="B1050" s="3">
        <f t="shared" si="79"/>
        <v>2.6499999999999986</v>
      </c>
      <c r="C1050" s="553">
        <f>'Foglio deposito bis'!$E$157/sezione!$B$247*B1050</f>
        <v>10.757923877120849</v>
      </c>
      <c r="D1050" s="611">
        <f>-'Progetto del paramento slu'!$G$47*'Progetto del paramento slu'!$G$41*IF(DATI!$G$218="dx",DATI!$E$61,DATI!$E$64*DATI!$E$63)*1000*C1050^2*sezione!$AD$5*(1-sezione!$AD$6)</f>
        <v>-952713.42025736778</v>
      </c>
      <c r="E1050" s="553">
        <f>-'Foglio deposito bis'!$F$58*(C1050-sezione!$AL$31)*IF(ABS(K1050)&lt;'Progetto del paramento slu'!$G$58,ABS(K1050)*'Progetto del paramento slu'!$G$54,'Progetto del paramento slu'!$G$53)</f>
        <v>0</v>
      </c>
      <c r="F1050" s="553">
        <f>-'Foglio deposito bis'!$F$59*(C1050-sezione!$AM$31)*IF(ABS(L1050)&lt;'Progetto del paramento slu'!$G$58,ABS(L1050)*'Progetto del paramento slu'!$G$54,'Progetto del paramento slu'!$G$53)</f>
        <v>21396613.862848107</v>
      </c>
      <c r="G1050" s="553">
        <f>-'Foglio deposito bis'!$F$60*(C1050-sezione!$AN$31)*IF(ABS(M1050)&lt;'Progetto del paramento slu'!$G$58,ABS(M1050)*'Progetto del paramento slu'!$G$54,'Progetto del paramento slu'!$G$53)</f>
        <v>0</v>
      </c>
      <c r="H1050" s="553">
        <f>-'Foglio deposito bis'!$F$61*(C1050-sezione!$AO$31)*IF(ABS(N1050)&lt;'Progetto del paramento slu'!$G$58,ABS(N1050)*'Progetto del paramento slu'!$G$54,'Progetto del paramento slu'!$G$53)</f>
        <v>79329725.048996046</v>
      </c>
      <c r="I1050" s="479">
        <f>-'Foglio deposito bis'!$F$62*(C1050-sezione!$AP$31)*IF(ABS(O1050)&lt;'Progetto del paramento slu'!$G$58,ABS(O1050)*'Progetto del paramento slu'!$G$54,'Progetto del paramento slu'!$G$53)</f>
        <v>78439140.210475177</v>
      </c>
      <c r="J1050" s="479">
        <f t="shared" si="75"/>
        <v>178212765.70206195</v>
      </c>
      <c r="K1050" s="558">
        <f>'Progetto del paramento slu'!$G$60*(sezione!$AL$31-C1050)/C1050</f>
        <v>9.5136633795802911E-3</v>
      </c>
      <c r="L1050" s="558">
        <f>'Progetto del paramento slu'!$G$60*(sezione!$AM$31-C1050)/C1050</f>
        <v>4.5301237673426087E-2</v>
      </c>
      <c r="M1050" s="559">
        <f>'Progetto del paramento slu'!$G$60*(sezione!$AN$31-C1050)/C1050</f>
        <v>8.1088811967271884E-2</v>
      </c>
      <c r="N1050" s="559">
        <f>'Progetto del paramento slu'!$G$60*(sezione!$AO$31-C1050)/C1050</f>
        <v>0.10711613872643247</v>
      </c>
      <c r="O1050" s="559">
        <f>'Progetto del paramento slu'!$G$60*(sezione!$AP$31-C1050)/C1050</f>
        <v>8.1090110205325347E-2</v>
      </c>
      <c r="P1050" s="553">
        <f>-'Progetto del paramento slu'!$G$47*'Progetto del paramento slu'!$G$41*IF(DATI!$G$218="dx",DATI!$E$61,DATI!$E$64*DATI!$E$63)*1000*C1050*sezione!$AD$5</f>
        <v>-151642.511600269</v>
      </c>
      <c r="Q1050" s="553">
        <f>'Foglio deposito bis'!$F$58*IF(ABS(K1050)&lt;'Progetto del paramento slu'!$G$58,ABS(K1050)*'Progetto del paramento slu'!$G$54,'Progetto del paramento slu'!$G$53)*IF(K1050&lt;0,-1,1)</f>
        <v>0</v>
      </c>
      <c r="R1050" s="553">
        <f>'Foglio deposito bis'!$F$59*IF(ABS(L1050)&lt;'Progetto del paramento slu'!$G$58,ABS(L1050)*'Progetto del paramento slu'!$G$54,'Progetto del paramento slu'!$G$53)*IF(L1050&lt;0,-1,1)</f>
        <v>153664.85805602249</v>
      </c>
      <c r="S1050" s="553">
        <f>'Foglio deposito bis'!$F$60*IF(ABS(M1050)&lt;'Progetto del paramento slu'!$G$58,ABS(M1050)*'Progetto del paramento slu'!$G$54,'Progetto del paramento slu'!$G$53)*IF(M1050&lt;0,-1,1)</f>
        <v>0</v>
      </c>
      <c r="T1050" s="553">
        <f>'Foglio deposito bis'!$F$61*IF(ABS(N1050)&lt;'Progetto del paramento slu'!$G$58,ABS(N1050)*'Progetto del paramento slu'!$G$54,'Progetto del paramento slu'!$G$53)*IF(N1050&lt;0,-1,1)</f>
        <v>240946.49743184328</v>
      </c>
      <c r="U1050" s="553">
        <f>'Foglio deposito bis'!$F$62*IF(ABS(O1050)&lt;'Progetto del paramento slu'!$G$58,ABS(O1050)*'Progetto del paramento slu'!$G$54,'Progetto del paramento slu'!$G$53)*IF(O1050&lt;0,-1,1)</f>
        <v>314705.62929873407</v>
      </c>
      <c r="V1050" s="479">
        <f t="shared" si="78"/>
        <v>557674.47318633087</v>
      </c>
      <c r="W1050" s="559"/>
      <c r="X1050" s="559"/>
    </row>
    <row r="1051" spans="1:24" x14ac:dyDescent="0.25">
      <c r="A1051" s="553">
        <f t="shared" si="77"/>
        <v>554813.29372217483</v>
      </c>
      <c r="B1051" s="3">
        <f t="shared" si="79"/>
        <v>2.6999999999999984</v>
      </c>
      <c r="C1051" s="553">
        <f>'Foglio deposito bis'!$E$157/sezione!$B$247*B1051</f>
        <v>10.96090357291558</v>
      </c>
      <c r="D1051" s="611">
        <f>-'Progetto del paramento slu'!$G$47*'Progetto del paramento slu'!$G$41*IF(DATI!$G$218="dx",DATI!$E$61,DATI!$E$64*DATI!$E$63)*1000*C1051^2*sezione!$AD$5*(1-sezione!$AD$6)</f>
        <v>-989004.03469935339</v>
      </c>
      <c r="E1051" s="553">
        <f>-'Foglio deposito bis'!$F$58*(C1051-sezione!$AL$31)*IF(ABS(K1051)&lt;'Progetto del paramento slu'!$G$58,ABS(K1051)*'Progetto del paramento slu'!$G$54,'Progetto del paramento slu'!$G$53)</f>
        <v>0</v>
      </c>
      <c r="F1051" s="553">
        <f>-'Foglio deposito bis'!$F$59*(C1051-sezione!$AM$31)*IF(ABS(L1051)&lt;'Progetto del paramento slu'!$G$58,ABS(L1051)*'Progetto del paramento slu'!$G$54,'Progetto del paramento slu'!$G$53)</f>
        <v>21365423.01670555</v>
      </c>
      <c r="G1051" s="553">
        <f>-'Foglio deposito bis'!$F$60*(C1051-sezione!$AN$31)*IF(ABS(M1051)&lt;'Progetto del paramento slu'!$G$58,ABS(M1051)*'Progetto del paramento slu'!$G$54,'Progetto del paramento slu'!$G$53)</f>
        <v>0</v>
      </c>
      <c r="H1051" s="553">
        <f>-'Foglio deposito bis'!$F$61*(C1051-sezione!$AO$31)*IF(ABS(N1051)&lt;'Progetto del paramento slu'!$G$58,ABS(N1051)*'Progetto del paramento slu'!$G$54,'Progetto del paramento slu'!$G$53)</f>
        <v>79280817.802244529</v>
      </c>
      <c r="I1051" s="479">
        <f>-'Foglio deposito bis'!$F$62*(C1051-sezione!$AP$31)*IF(ABS(O1051)&lt;'Progetto del paramento slu'!$G$58,ABS(O1051)*'Progetto del paramento slu'!$G$54,'Progetto del paramento slu'!$G$53)</f>
        <v>78375261.357575223</v>
      </c>
      <c r="J1051" s="479">
        <f t="shared" si="75"/>
        <v>178032498.14182594</v>
      </c>
      <c r="K1051" s="558">
        <f>'Progetto del paramento slu'!$G$60*(sezione!$AL$31-C1051)/C1051</f>
        <v>9.2726696132917688E-3</v>
      </c>
      <c r="L1051" s="558">
        <f>'Progetto del paramento slu'!$G$60*(sezione!$AM$31-C1051)/C1051</f>
        <v>4.4397511049844129E-2</v>
      </c>
      <c r="M1051" s="559">
        <f>'Progetto del paramento slu'!$G$60*(sezione!$AN$31-C1051)/C1051</f>
        <v>7.9522352486396497E-2</v>
      </c>
      <c r="N1051" s="559">
        <f>'Progetto del paramento slu'!$G$60*(sezione!$AO$31-C1051)/C1051</f>
        <v>0.10506769171298003</v>
      </c>
      <c r="O1051" s="559">
        <f>'Progetto del paramento slu'!$G$60*(sezione!$AP$31-C1051)/C1051</f>
        <v>7.9523626683004514E-2</v>
      </c>
      <c r="P1051" s="553">
        <f>-'Progetto del paramento slu'!$G$47*'Progetto del paramento slu'!$G$41*IF(DATI!$G$218="dx",DATI!$E$61,DATI!$E$64*DATI!$E$63)*1000*C1051*sezione!$AD$5</f>
        <v>-154503.69106442499</v>
      </c>
      <c r="Q1051" s="553">
        <f>'Foglio deposito bis'!$F$58*IF(ABS(K1051)&lt;'Progetto del paramento slu'!$G$58,ABS(K1051)*'Progetto del paramento slu'!$G$54,'Progetto del paramento slu'!$G$53)*IF(K1051&lt;0,-1,1)</f>
        <v>0</v>
      </c>
      <c r="R1051" s="553">
        <f>'Foglio deposito bis'!$F$59*IF(ABS(L1051)&lt;'Progetto del paramento slu'!$G$58,ABS(L1051)*'Progetto del paramento slu'!$G$54,'Progetto del paramento slu'!$G$53)*IF(L1051&lt;0,-1,1)</f>
        <v>153664.85805602249</v>
      </c>
      <c r="S1051" s="553">
        <f>'Foglio deposito bis'!$F$60*IF(ABS(M1051)&lt;'Progetto del paramento slu'!$G$58,ABS(M1051)*'Progetto del paramento slu'!$G$54,'Progetto del paramento slu'!$G$53)*IF(M1051&lt;0,-1,1)</f>
        <v>0</v>
      </c>
      <c r="T1051" s="553">
        <f>'Foglio deposito bis'!$F$61*IF(ABS(N1051)&lt;'Progetto del paramento slu'!$G$58,ABS(N1051)*'Progetto del paramento slu'!$G$54,'Progetto del paramento slu'!$G$53)*IF(N1051&lt;0,-1,1)</f>
        <v>240946.49743184328</v>
      </c>
      <c r="U1051" s="553">
        <f>'Foglio deposito bis'!$F$62*IF(ABS(O1051)&lt;'Progetto del paramento slu'!$G$58,ABS(O1051)*'Progetto del paramento slu'!$G$54,'Progetto del paramento slu'!$G$53)*IF(O1051&lt;0,-1,1)</f>
        <v>314705.62929873407</v>
      </c>
      <c r="V1051" s="479">
        <f t="shared" si="78"/>
        <v>554813.29372217483</v>
      </c>
      <c r="W1051" s="559"/>
      <c r="X1051" s="559"/>
    </row>
    <row r="1052" spans="1:24" x14ac:dyDescent="0.25">
      <c r="A1052" s="553">
        <f t="shared" si="77"/>
        <v>551952.11425801879</v>
      </c>
      <c r="B1052" s="3">
        <f t="shared" si="79"/>
        <v>2.7499999999999982</v>
      </c>
      <c r="C1052" s="553">
        <f>'Foglio deposito bis'!$E$157/sezione!$B$247*B1052</f>
        <v>11.163883268710313</v>
      </c>
      <c r="D1052" s="611">
        <f>-'Progetto del paramento slu'!$G$47*'Progetto del paramento slu'!$G$41*IF(DATI!$G$218="dx",DATI!$E$61,DATI!$E$64*DATI!$E$63)*1000*C1052^2*sezione!$AD$5*(1-sezione!$AD$6)</f>
        <v>-1025972.9783832455</v>
      </c>
      <c r="E1052" s="553">
        <f>-'Foglio deposito bis'!$F$58*(C1052-sezione!$AL$31)*IF(ABS(K1052)&lt;'Progetto del paramento slu'!$G$58,ABS(K1052)*'Progetto del paramento slu'!$G$54,'Progetto del paramento slu'!$G$53)</f>
        <v>0</v>
      </c>
      <c r="F1052" s="553">
        <f>-'Foglio deposito bis'!$F$59*(C1052-sezione!$AM$31)*IF(ABS(L1052)&lt;'Progetto del paramento slu'!$G$58,ABS(L1052)*'Progetto del paramento slu'!$G$54,'Progetto del paramento slu'!$G$53)</f>
        <v>21334232.170562997</v>
      </c>
      <c r="G1052" s="553">
        <f>-'Foglio deposito bis'!$F$60*(C1052-sezione!$AN$31)*IF(ABS(M1052)&lt;'Progetto del paramento slu'!$G$58,ABS(M1052)*'Progetto del paramento slu'!$G$54,'Progetto del paramento slu'!$G$53)</f>
        <v>0</v>
      </c>
      <c r="H1052" s="553">
        <f>-'Foglio deposito bis'!$F$61*(C1052-sezione!$AO$31)*IF(ABS(N1052)&lt;'Progetto del paramento slu'!$G$58,ABS(N1052)*'Progetto del paramento slu'!$G$54,'Progetto del paramento slu'!$G$53)</f>
        <v>79231910.555492997</v>
      </c>
      <c r="I1052" s="479">
        <f>-'Foglio deposito bis'!$F$62*(C1052-sezione!$AP$31)*IF(ABS(O1052)&lt;'Progetto del paramento slu'!$G$58,ABS(O1052)*'Progetto del paramento slu'!$G$54,'Progetto del paramento slu'!$G$53)</f>
        <v>78311382.504675269</v>
      </c>
      <c r="J1052" s="479">
        <f t="shared" si="75"/>
        <v>177851552.25234801</v>
      </c>
      <c r="K1052" s="558">
        <f>'Progetto del paramento slu'!$G$60*(sezione!$AL$31-C1052)/C1052</f>
        <v>9.0404392566864628E-3</v>
      </c>
      <c r="L1052" s="558">
        <f>'Progetto del paramento slu'!$G$60*(sezione!$AM$31-C1052)/C1052</f>
        <v>4.3526647212574238E-2</v>
      </c>
      <c r="M1052" s="559">
        <f>'Progetto del paramento slu'!$G$60*(sezione!$AN$31-C1052)/C1052</f>
        <v>7.8012855168462014E-2</v>
      </c>
      <c r="N1052" s="559">
        <f>'Progetto del paramento slu'!$G$60*(sezione!$AO$31-C1052)/C1052</f>
        <v>0.10309373368183494</v>
      </c>
      <c r="O1052" s="559">
        <f>'Progetto del paramento slu'!$G$60*(sezione!$AP$31-C1052)/C1052</f>
        <v>7.8014106197858979E-2</v>
      </c>
      <c r="P1052" s="553">
        <f>-'Progetto del paramento slu'!$G$47*'Progetto del paramento slu'!$G$41*IF(DATI!$G$218="dx",DATI!$E$61,DATI!$E$64*DATI!$E$63)*1000*C1052*sezione!$AD$5</f>
        <v>-157364.87052858103</v>
      </c>
      <c r="Q1052" s="553">
        <f>'Foglio deposito bis'!$F$58*IF(ABS(K1052)&lt;'Progetto del paramento slu'!$G$58,ABS(K1052)*'Progetto del paramento slu'!$G$54,'Progetto del paramento slu'!$G$53)*IF(K1052&lt;0,-1,1)</f>
        <v>0</v>
      </c>
      <c r="R1052" s="553">
        <f>'Foglio deposito bis'!$F$59*IF(ABS(L1052)&lt;'Progetto del paramento slu'!$G$58,ABS(L1052)*'Progetto del paramento slu'!$G$54,'Progetto del paramento slu'!$G$53)*IF(L1052&lt;0,-1,1)</f>
        <v>153664.85805602249</v>
      </c>
      <c r="S1052" s="553">
        <f>'Foglio deposito bis'!$F$60*IF(ABS(M1052)&lt;'Progetto del paramento slu'!$G$58,ABS(M1052)*'Progetto del paramento slu'!$G$54,'Progetto del paramento slu'!$G$53)*IF(M1052&lt;0,-1,1)</f>
        <v>0</v>
      </c>
      <c r="T1052" s="553">
        <f>'Foglio deposito bis'!$F$61*IF(ABS(N1052)&lt;'Progetto del paramento slu'!$G$58,ABS(N1052)*'Progetto del paramento slu'!$G$54,'Progetto del paramento slu'!$G$53)*IF(N1052&lt;0,-1,1)</f>
        <v>240946.49743184328</v>
      </c>
      <c r="U1052" s="553">
        <f>'Foglio deposito bis'!$F$62*IF(ABS(O1052)&lt;'Progetto del paramento slu'!$G$58,ABS(O1052)*'Progetto del paramento slu'!$G$54,'Progetto del paramento slu'!$G$53)*IF(O1052&lt;0,-1,1)</f>
        <v>314705.62929873407</v>
      </c>
      <c r="V1052" s="479">
        <f t="shared" si="78"/>
        <v>551952.11425801879</v>
      </c>
      <c r="W1052" s="559"/>
      <c r="X1052" s="559"/>
    </row>
    <row r="1053" spans="1:24" x14ac:dyDescent="0.25">
      <c r="A1053" s="553">
        <f t="shared" si="77"/>
        <v>549090.93479386286</v>
      </c>
      <c r="B1053" s="3">
        <f t="shared" si="79"/>
        <v>2.799999999999998</v>
      </c>
      <c r="C1053" s="553">
        <f>'Foglio deposito bis'!$E$157/sezione!$B$247*B1053</f>
        <v>11.366862964505046</v>
      </c>
      <c r="D1053" s="611">
        <f>-'Progetto del paramento slu'!$G$47*'Progetto del paramento slu'!$G$41*IF(DATI!$G$218="dx",DATI!$E$61,DATI!$E$64*DATI!$E$63)*1000*C1053^2*sezione!$AD$5*(1-sezione!$AD$6)</f>
        <v>-1063620.251309044</v>
      </c>
      <c r="E1053" s="553">
        <f>-'Foglio deposito bis'!$F$58*(C1053-sezione!$AL$31)*IF(ABS(K1053)&lt;'Progetto del paramento slu'!$G$58,ABS(K1053)*'Progetto del paramento slu'!$G$54,'Progetto del paramento slu'!$G$53)</f>
        <v>0</v>
      </c>
      <c r="F1053" s="553">
        <f>-'Foglio deposito bis'!$F$59*(C1053-sezione!$AM$31)*IF(ABS(L1053)&lt;'Progetto del paramento slu'!$G$58,ABS(L1053)*'Progetto del paramento slu'!$G$54,'Progetto del paramento slu'!$G$53)</f>
        <v>21303041.324420445</v>
      </c>
      <c r="G1053" s="553">
        <f>-'Foglio deposito bis'!$F$60*(C1053-sezione!$AN$31)*IF(ABS(M1053)&lt;'Progetto del paramento slu'!$G$58,ABS(M1053)*'Progetto del paramento slu'!$G$54,'Progetto del paramento slu'!$G$53)</f>
        <v>0</v>
      </c>
      <c r="H1053" s="553">
        <f>-'Foglio deposito bis'!$F$61*(C1053-sezione!$AO$31)*IF(ABS(N1053)&lt;'Progetto del paramento slu'!$G$58,ABS(N1053)*'Progetto del paramento slu'!$G$54,'Progetto del paramento slu'!$G$53)</f>
        <v>79183003.30874148</v>
      </c>
      <c r="I1053" s="479">
        <f>-'Foglio deposito bis'!$F$62*(C1053-sezione!$AP$31)*IF(ABS(O1053)&lt;'Progetto del paramento slu'!$G$58,ABS(O1053)*'Progetto del paramento slu'!$G$54,'Progetto del paramento slu'!$G$53)</f>
        <v>78247503.65177533</v>
      </c>
      <c r="J1053" s="479">
        <f t="shared" si="75"/>
        <v>177669928.03362823</v>
      </c>
      <c r="K1053" s="558">
        <f>'Progetto del paramento slu'!$G$60*(sezione!$AL$31-C1053)/C1053</f>
        <v>8.8165028413884905E-3</v>
      </c>
      <c r="L1053" s="558">
        <f>'Progetto del paramento slu'!$G$60*(sezione!$AM$31-C1053)/C1053</f>
        <v>4.2686885655206834E-2</v>
      </c>
      <c r="M1053" s="559">
        <f>'Progetto del paramento slu'!$G$60*(sezione!$AN$31-C1053)/C1053</f>
        <v>7.6557268469025191E-2</v>
      </c>
      <c r="N1053" s="559">
        <f>'Progetto del paramento slu'!$G$60*(sezione!$AO$31-C1053)/C1053</f>
        <v>0.10119027415180218</v>
      </c>
      <c r="O1053" s="559">
        <f>'Progetto del paramento slu'!$G$60*(sezione!$AP$31-C1053)/C1053</f>
        <v>7.6558497158611502E-2</v>
      </c>
      <c r="P1053" s="553">
        <f>-'Progetto del paramento slu'!$G$47*'Progetto del paramento slu'!$G$41*IF(DATI!$G$218="dx",DATI!$E$61,DATI!$E$64*DATI!$E$63)*1000*C1053*sezione!$AD$5</f>
        <v>-160226.04999273701</v>
      </c>
      <c r="Q1053" s="553">
        <f>'Foglio deposito bis'!$F$58*IF(ABS(K1053)&lt;'Progetto del paramento slu'!$G$58,ABS(K1053)*'Progetto del paramento slu'!$G$54,'Progetto del paramento slu'!$G$53)*IF(K1053&lt;0,-1,1)</f>
        <v>0</v>
      </c>
      <c r="R1053" s="553">
        <f>'Foglio deposito bis'!$F$59*IF(ABS(L1053)&lt;'Progetto del paramento slu'!$G$58,ABS(L1053)*'Progetto del paramento slu'!$G$54,'Progetto del paramento slu'!$G$53)*IF(L1053&lt;0,-1,1)</f>
        <v>153664.85805602249</v>
      </c>
      <c r="S1053" s="553">
        <f>'Foglio deposito bis'!$F$60*IF(ABS(M1053)&lt;'Progetto del paramento slu'!$G$58,ABS(M1053)*'Progetto del paramento slu'!$G$54,'Progetto del paramento slu'!$G$53)*IF(M1053&lt;0,-1,1)</f>
        <v>0</v>
      </c>
      <c r="T1053" s="553">
        <f>'Foglio deposito bis'!$F$61*IF(ABS(N1053)&lt;'Progetto del paramento slu'!$G$58,ABS(N1053)*'Progetto del paramento slu'!$G$54,'Progetto del paramento slu'!$G$53)*IF(N1053&lt;0,-1,1)</f>
        <v>240946.49743184328</v>
      </c>
      <c r="U1053" s="553">
        <f>'Foglio deposito bis'!$F$62*IF(ABS(O1053)&lt;'Progetto del paramento slu'!$G$58,ABS(O1053)*'Progetto del paramento slu'!$G$54,'Progetto del paramento slu'!$G$53)*IF(O1053&lt;0,-1,1)</f>
        <v>314705.62929873407</v>
      </c>
      <c r="V1053" s="479">
        <f t="shared" si="78"/>
        <v>549090.93479386286</v>
      </c>
      <c r="W1053" s="559"/>
      <c r="X1053" s="559"/>
    </row>
    <row r="1054" spans="1:24" x14ac:dyDescent="0.25">
      <c r="A1054" s="553">
        <f t="shared" si="77"/>
        <v>546229.75532970682</v>
      </c>
      <c r="B1054" s="3">
        <f t="shared" si="79"/>
        <v>2.8499999999999979</v>
      </c>
      <c r="C1054" s="553">
        <f>'Foglio deposito bis'!$E$157/sezione!$B$247*B1054</f>
        <v>11.569842660299777</v>
      </c>
      <c r="D1054" s="611">
        <f>-'Progetto del paramento slu'!$G$47*'Progetto del paramento slu'!$G$41*IF(DATI!$G$218="dx",DATI!$E$61,DATI!$E$64*DATI!$E$63)*1000*C1054^2*sezione!$AD$5*(1-sezione!$AD$6)</f>
        <v>-1101945.8534767486</v>
      </c>
      <c r="E1054" s="553">
        <f>-'Foglio deposito bis'!$F$58*(C1054-sezione!$AL$31)*IF(ABS(K1054)&lt;'Progetto del paramento slu'!$G$58,ABS(K1054)*'Progetto del paramento slu'!$G$54,'Progetto del paramento slu'!$G$53)</f>
        <v>0</v>
      </c>
      <c r="F1054" s="553">
        <f>-'Foglio deposito bis'!$F$59*(C1054-sezione!$AM$31)*IF(ABS(L1054)&lt;'Progetto del paramento slu'!$G$58,ABS(L1054)*'Progetto del paramento slu'!$G$54,'Progetto del paramento slu'!$G$53)</f>
        <v>21271850.478277896</v>
      </c>
      <c r="G1054" s="553">
        <f>-'Foglio deposito bis'!$F$60*(C1054-sezione!$AN$31)*IF(ABS(M1054)&lt;'Progetto del paramento slu'!$G$58,ABS(M1054)*'Progetto del paramento slu'!$G$54,'Progetto del paramento slu'!$G$53)</f>
        <v>0</v>
      </c>
      <c r="H1054" s="553">
        <f>-'Foglio deposito bis'!$F$61*(C1054-sezione!$AO$31)*IF(ABS(N1054)&lt;'Progetto del paramento slu'!$G$58,ABS(N1054)*'Progetto del paramento slu'!$G$54,'Progetto del paramento slu'!$G$53)</f>
        <v>79134096.061989963</v>
      </c>
      <c r="I1054" s="479">
        <f>-'Foglio deposito bis'!$F$62*(C1054-sezione!$AP$31)*IF(ABS(O1054)&lt;'Progetto del paramento slu'!$G$58,ABS(O1054)*'Progetto del paramento slu'!$G$54,'Progetto del paramento slu'!$G$53)</f>
        <v>78183624.798875391</v>
      </c>
      <c r="J1054" s="479">
        <f t="shared" si="75"/>
        <v>177487625.48566651</v>
      </c>
      <c r="K1054" s="558">
        <f>'Progetto del paramento slu'!$G$60*(sezione!$AL$31-C1054)/C1054</f>
        <v>8.6004238441711508E-3</v>
      </c>
      <c r="L1054" s="558">
        <f>'Progetto del paramento slu'!$G$60*(sezione!$AM$31-C1054)/C1054</f>
        <v>4.1876589415641818E-2</v>
      </c>
      <c r="M1054" s="559">
        <f>'Progetto del paramento slu'!$G$60*(sezione!$AN$31-C1054)/C1054</f>
        <v>7.5152754987112491E-2</v>
      </c>
      <c r="N1054" s="559">
        <f>'Progetto del paramento slu'!$G$60*(sezione!$AO$31-C1054)/C1054</f>
        <v>9.9353602675454775E-2</v>
      </c>
      <c r="O1054" s="559">
        <f>'Progetto del paramento slu'!$G$60*(sezione!$AP$31-C1054)/C1054</f>
        <v>7.5153962120741144E-2</v>
      </c>
      <c r="P1054" s="553">
        <f>-'Progetto del paramento slu'!$G$47*'Progetto del paramento slu'!$G$41*IF(DATI!$G$218="dx",DATI!$E$61,DATI!$E$64*DATI!$E$63)*1000*C1054*sezione!$AD$5</f>
        <v>-163087.22945689302</v>
      </c>
      <c r="Q1054" s="553">
        <f>'Foglio deposito bis'!$F$58*IF(ABS(K1054)&lt;'Progetto del paramento slu'!$G$58,ABS(K1054)*'Progetto del paramento slu'!$G$54,'Progetto del paramento slu'!$G$53)*IF(K1054&lt;0,-1,1)</f>
        <v>0</v>
      </c>
      <c r="R1054" s="553">
        <f>'Foglio deposito bis'!$F$59*IF(ABS(L1054)&lt;'Progetto del paramento slu'!$G$58,ABS(L1054)*'Progetto del paramento slu'!$G$54,'Progetto del paramento slu'!$G$53)*IF(L1054&lt;0,-1,1)</f>
        <v>153664.85805602249</v>
      </c>
      <c r="S1054" s="553">
        <f>'Foglio deposito bis'!$F$60*IF(ABS(M1054)&lt;'Progetto del paramento slu'!$G$58,ABS(M1054)*'Progetto del paramento slu'!$G$54,'Progetto del paramento slu'!$G$53)*IF(M1054&lt;0,-1,1)</f>
        <v>0</v>
      </c>
      <c r="T1054" s="553">
        <f>'Foglio deposito bis'!$F$61*IF(ABS(N1054)&lt;'Progetto del paramento slu'!$G$58,ABS(N1054)*'Progetto del paramento slu'!$G$54,'Progetto del paramento slu'!$G$53)*IF(N1054&lt;0,-1,1)</f>
        <v>240946.49743184328</v>
      </c>
      <c r="U1054" s="553">
        <f>'Foglio deposito bis'!$F$62*IF(ABS(O1054)&lt;'Progetto del paramento slu'!$G$58,ABS(O1054)*'Progetto del paramento slu'!$G$54,'Progetto del paramento slu'!$G$53)*IF(O1054&lt;0,-1,1)</f>
        <v>314705.62929873407</v>
      </c>
      <c r="V1054" s="479">
        <f t="shared" si="78"/>
        <v>546229.75532970682</v>
      </c>
      <c r="W1054" s="559"/>
      <c r="X1054" s="559"/>
    </row>
    <row r="1055" spans="1:24" x14ac:dyDescent="0.25">
      <c r="A1055" s="553">
        <f t="shared" si="77"/>
        <v>543368.57586555078</v>
      </c>
      <c r="B1055" s="3">
        <f t="shared" si="79"/>
        <v>2.8999999999999977</v>
      </c>
      <c r="C1055" s="553">
        <f>'Foglio deposito bis'!$E$157/sezione!$B$247*B1055</f>
        <v>11.77282235609451</v>
      </c>
      <c r="D1055" s="611">
        <f>-'Progetto del paramento slu'!$G$47*'Progetto del paramento slu'!$G$41*IF(DATI!$G$218="dx",DATI!$E$61,DATI!$E$64*DATI!$E$63)*1000*C1055^2*sezione!$AD$5*(1-sezione!$AD$6)</f>
        <v>-1140949.7848863592</v>
      </c>
      <c r="E1055" s="553">
        <f>-'Foglio deposito bis'!$F$58*(C1055-sezione!$AL$31)*IF(ABS(K1055)&lt;'Progetto del paramento slu'!$G$58,ABS(K1055)*'Progetto del paramento slu'!$G$54,'Progetto del paramento slu'!$G$53)</f>
        <v>0</v>
      </c>
      <c r="F1055" s="553">
        <f>-'Foglio deposito bis'!$F$59*(C1055-sezione!$AM$31)*IF(ABS(L1055)&lt;'Progetto del paramento slu'!$G$58,ABS(L1055)*'Progetto del paramento slu'!$G$54,'Progetto del paramento slu'!$G$53)</f>
        <v>21240659.632135343</v>
      </c>
      <c r="G1055" s="553">
        <f>-'Foglio deposito bis'!$F$60*(C1055-sezione!$AN$31)*IF(ABS(M1055)&lt;'Progetto del paramento slu'!$G$58,ABS(M1055)*'Progetto del paramento slu'!$G$54,'Progetto del paramento slu'!$G$53)</f>
        <v>0</v>
      </c>
      <c r="H1055" s="553">
        <f>-'Foglio deposito bis'!$F$61*(C1055-sezione!$AO$31)*IF(ABS(N1055)&lt;'Progetto del paramento slu'!$G$58,ABS(N1055)*'Progetto del paramento slu'!$G$54,'Progetto del paramento slu'!$G$53)</f>
        <v>79085188.815238431</v>
      </c>
      <c r="I1055" s="479">
        <f>-'Foglio deposito bis'!$F$62*(C1055-sezione!$AP$31)*IF(ABS(O1055)&lt;'Progetto del paramento slu'!$G$58,ABS(O1055)*'Progetto del paramento slu'!$G$54,'Progetto del paramento slu'!$G$53)</f>
        <v>78119745.945975438</v>
      </c>
      <c r="J1055" s="479">
        <f t="shared" si="75"/>
        <v>177304644.60846287</v>
      </c>
      <c r="K1055" s="558">
        <f>'Progetto del paramento slu'!$G$60*(sezione!$AL$31-C1055)/C1055</f>
        <v>8.3917958468578552E-3</v>
      </c>
      <c r="L1055" s="558">
        <f>'Progetto del paramento slu'!$G$60*(sezione!$AM$31-C1055)/C1055</f>
        <v>4.1094234425716955E-2</v>
      </c>
      <c r="M1055" s="559">
        <f>'Progetto del paramento slu'!$G$60*(sezione!$AN$31-C1055)/C1055</f>
        <v>7.3796673004576055E-2</v>
      </c>
      <c r="N1055" s="559">
        <f>'Progetto del paramento slu'!$G$60*(sezione!$AO$31-C1055)/C1055</f>
        <v>9.7580264698291758E-2</v>
      </c>
      <c r="O1055" s="559">
        <f>'Progetto del paramento slu'!$G$60*(sezione!$AP$31-C1055)/C1055</f>
        <v>7.3797859325555937E-2</v>
      </c>
      <c r="P1055" s="553">
        <f>-'Progetto del paramento slu'!$G$47*'Progetto del paramento slu'!$G$41*IF(DATI!$G$218="dx",DATI!$E$61,DATI!$E$64*DATI!$E$63)*1000*C1055*sezione!$AD$5</f>
        <v>-165948.40892104903</v>
      </c>
      <c r="Q1055" s="553">
        <f>'Foglio deposito bis'!$F$58*IF(ABS(K1055)&lt;'Progetto del paramento slu'!$G$58,ABS(K1055)*'Progetto del paramento slu'!$G$54,'Progetto del paramento slu'!$G$53)*IF(K1055&lt;0,-1,1)</f>
        <v>0</v>
      </c>
      <c r="R1055" s="553">
        <f>'Foglio deposito bis'!$F$59*IF(ABS(L1055)&lt;'Progetto del paramento slu'!$G$58,ABS(L1055)*'Progetto del paramento slu'!$G$54,'Progetto del paramento slu'!$G$53)*IF(L1055&lt;0,-1,1)</f>
        <v>153664.85805602249</v>
      </c>
      <c r="S1055" s="553">
        <f>'Foglio deposito bis'!$F$60*IF(ABS(M1055)&lt;'Progetto del paramento slu'!$G$58,ABS(M1055)*'Progetto del paramento slu'!$G$54,'Progetto del paramento slu'!$G$53)*IF(M1055&lt;0,-1,1)</f>
        <v>0</v>
      </c>
      <c r="T1055" s="553">
        <f>'Foglio deposito bis'!$F$61*IF(ABS(N1055)&lt;'Progetto del paramento slu'!$G$58,ABS(N1055)*'Progetto del paramento slu'!$G$54,'Progetto del paramento slu'!$G$53)*IF(N1055&lt;0,-1,1)</f>
        <v>240946.49743184328</v>
      </c>
      <c r="U1055" s="553">
        <f>'Foglio deposito bis'!$F$62*IF(ABS(O1055)&lt;'Progetto del paramento slu'!$G$58,ABS(O1055)*'Progetto del paramento slu'!$G$54,'Progetto del paramento slu'!$G$53)*IF(O1055&lt;0,-1,1)</f>
        <v>314705.62929873407</v>
      </c>
      <c r="V1055" s="479">
        <f t="shared" si="78"/>
        <v>543368.57586555078</v>
      </c>
      <c r="W1055" s="559"/>
      <c r="X1055" s="559"/>
    </row>
    <row r="1056" spans="1:24" x14ac:dyDescent="0.25">
      <c r="A1056" s="553">
        <f t="shared" si="77"/>
        <v>540507.39640139474</v>
      </c>
      <c r="B1056" s="3">
        <f t="shared" si="79"/>
        <v>2.9499999999999975</v>
      </c>
      <c r="C1056" s="553">
        <f>'Foglio deposito bis'!$E$157/sezione!$B$247*B1056</f>
        <v>11.975802051889243</v>
      </c>
      <c r="D1056" s="611">
        <f>-'Progetto del paramento slu'!$G$47*'Progetto del paramento slu'!$G$41*IF(DATI!$G$218="dx",DATI!$E$61,DATI!$E$64*DATI!$E$63)*1000*C1056^2*sezione!$AD$5*(1-sezione!$AD$6)</f>
        <v>-1180632.0455378769</v>
      </c>
      <c r="E1056" s="553">
        <f>-'Foglio deposito bis'!$F$58*(C1056-sezione!$AL$31)*IF(ABS(K1056)&lt;'Progetto del paramento slu'!$G$58,ABS(K1056)*'Progetto del paramento slu'!$G$54,'Progetto del paramento slu'!$G$53)</f>
        <v>0</v>
      </c>
      <c r="F1056" s="553">
        <f>-'Foglio deposito bis'!$F$59*(C1056-sezione!$AM$31)*IF(ABS(L1056)&lt;'Progetto del paramento slu'!$G$58,ABS(L1056)*'Progetto del paramento slu'!$G$54,'Progetto del paramento slu'!$G$53)</f>
        <v>21209468.78599279</v>
      </c>
      <c r="G1056" s="553">
        <f>-'Foglio deposito bis'!$F$60*(C1056-sezione!$AN$31)*IF(ABS(M1056)&lt;'Progetto del paramento slu'!$G$58,ABS(M1056)*'Progetto del paramento slu'!$G$54,'Progetto del paramento slu'!$G$53)</f>
        <v>0</v>
      </c>
      <c r="H1056" s="553">
        <f>-'Foglio deposito bis'!$F$61*(C1056-sezione!$AO$31)*IF(ABS(N1056)&lt;'Progetto del paramento slu'!$G$58,ABS(N1056)*'Progetto del paramento slu'!$G$54,'Progetto del paramento slu'!$G$53)</f>
        <v>79036281.568486929</v>
      </c>
      <c r="I1056" s="479">
        <f>-'Foglio deposito bis'!$F$62*(C1056-sezione!$AP$31)*IF(ABS(O1056)&lt;'Progetto del paramento slu'!$G$58,ABS(O1056)*'Progetto del paramento slu'!$G$54,'Progetto del paramento slu'!$G$53)</f>
        <v>78055867.093075484</v>
      </c>
      <c r="J1056" s="479">
        <f t="shared" si="75"/>
        <v>177120985.40201733</v>
      </c>
      <c r="K1056" s="558">
        <f>'Progetto del paramento slu'!$G$60*(sezione!$AL$31-C1056)/C1056</f>
        <v>8.1902399850467041E-3</v>
      </c>
      <c r="L1056" s="558">
        <f>'Progetto del paramento slu'!$G$60*(sezione!$AM$31-C1056)/C1056</f>
        <v>4.0338399943925143E-2</v>
      </c>
      <c r="M1056" s="559">
        <f>'Progetto del paramento slu'!$G$60*(sezione!$AN$31-C1056)/C1056</f>
        <v>7.2486559902803574E-2</v>
      </c>
      <c r="N1056" s="559">
        <f>'Progetto del paramento slu'!$G$60*(sezione!$AO$31-C1056)/C1056</f>
        <v>9.5867039872896992E-2</v>
      </c>
      <c r="O1056" s="559">
        <f>'Progetto del paramento slu'!$G$60*(sezione!$AP$31-C1056)/C1056</f>
        <v>7.2487726116648221E-2</v>
      </c>
      <c r="P1056" s="553">
        <f>-'Progetto del paramento slu'!$G$47*'Progetto del paramento slu'!$G$41*IF(DATI!$G$218="dx",DATI!$E$61,DATI!$E$64*DATI!$E$63)*1000*C1056*sezione!$AD$5</f>
        <v>-168809.58838520508</v>
      </c>
      <c r="Q1056" s="553">
        <f>'Foglio deposito bis'!$F$58*IF(ABS(K1056)&lt;'Progetto del paramento slu'!$G$58,ABS(K1056)*'Progetto del paramento slu'!$G$54,'Progetto del paramento slu'!$G$53)*IF(K1056&lt;0,-1,1)</f>
        <v>0</v>
      </c>
      <c r="R1056" s="553">
        <f>'Foglio deposito bis'!$F$59*IF(ABS(L1056)&lt;'Progetto del paramento slu'!$G$58,ABS(L1056)*'Progetto del paramento slu'!$G$54,'Progetto del paramento slu'!$G$53)*IF(L1056&lt;0,-1,1)</f>
        <v>153664.85805602249</v>
      </c>
      <c r="S1056" s="553">
        <f>'Foglio deposito bis'!$F$60*IF(ABS(M1056)&lt;'Progetto del paramento slu'!$G$58,ABS(M1056)*'Progetto del paramento slu'!$G$54,'Progetto del paramento slu'!$G$53)*IF(M1056&lt;0,-1,1)</f>
        <v>0</v>
      </c>
      <c r="T1056" s="553">
        <f>'Foglio deposito bis'!$F$61*IF(ABS(N1056)&lt;'Progetto del paramento slu'!$G$58,ABS(N1056)*'Progetto del paramento slu'!$G$54,'Progetto del paramento slu'!$G$53)*IF(N1056&lt;0,-1,1)</f>
        <v>240946.49743184328</v>
      </c>
      <c r="U1056" s="553">
        <f>'Foglio deposito bis'!$F$62*IF(ABS(O1056)&lt;'Progetto del paramento slu'!$G$58,ABS(O1056)*'Progetto del paramento slu'!$G$54,'Progetto del paramento slu'!$G$53)*IF(O1056&lt;0,-1,1)</f>
        <v>314705.62929873407</v>
      </c>
      <c r="V1056" s="479">
        <f t="shared" si="78"/>
        <v>540507.39640139474</v>
      </c>
      <c r="W1056" s="559"/>
      <c r="X1056" s="559"/>
    </row>
    <row r="1057" spans="1:24" x14ac:dyDescent="0.25">
      <c r="A1057" s="553">
        <f t="shared" si="77"/>
        <v>537646.21693723882</v>
      </c>
      <c r="B1057" s="3">
        <f t="shared" si="79"/>
        <v>2.9999999999999973</v>
      </c>
      <c r="C1057" s="553">
        <f>'Foglio deposito bis'!$E$157/sezione!$B$247*B1057</f>
        <v>12.178781747683974</v>
      </c>
      <c r="D1057" s="611">
        <f>-'Progetto del paramento slu'!$G$47*'Progetto del paramento slu'!$G$41*IF(DATI!$G$218="dx",DATI!$E$61,DATI!$E$64*DATI!$E$63)*1000*C1057^2*sezione!$AD$5*(1-sezione!$AD$6)</f>
        <v>-1220992.6354312999</v>
      </c>
      <c r="E1057" s="553">
        <f>-'Foglio deposito bis'!$F$58*(C1057-sezione!$AL$31)*IF(ABS(K1057)&lt;'Progetto del paramento slu'!$G$58,ABS(K1057)*'Progetto del paramento slu'!$G$54,'Progetto del paramento slu'!$G$53)</f>
        <v>0</v>
      </c>
      <c r="F1057" s="553">
        <f>-'Foglio deposito bis'!$F$59*(C1057-sezione!$AM$31)*IF(ABS(L1057)&lt;'Progetto del paramento slu'!$G$58,ABS(L1057)*'Progetto del paramento slu'!$G$54,'Progetto del paramento slu'!$G$53)</f>
        <v>21178277.939850237</v>
      </c>
      <c r="G1057" s="553">
        <f>-'Foglio deposito bis'!$F$60*(C1057-sezione!$AN$31)*IF(ABS(M1057)&lt;'Progetto del paramento slu'!$G$58,ABS(M1057)*'Progetto del paramento slu'!$G$54,'Progetto del paramento slu'!$G$53)</f>
        <v>0</v>
      </c>
      <c r="H1057" s="553">
        <f>-'Foglio deposito bis'!$F$61*(C1057-sezione!$AO$31)*IF(ABS(N1057)&lt;'Progetto del paramento slu'!$G$58,ABS(N1057)*'Progetto del paramento slu'!$G$54,'Progetto del paramento slu'!$G$53)</f>
        <v>78987374.321735397</v>
      </c>
      <c r="I1057" s="479">
        <f>-'Foglio deposito bis'!$F$62*(C1057-sezione!$AP$31)*IF(ABS(O1057)&lt;'Progetto del paramento slu'!$G$58,ABS(O1057)*'Progetto del paramento slu'!$G$54,'Progetto del paramento slu'!$G$53)</f>
        <v>77991988.240175545</v>
      </c>
      <c r="J1057" s="479">
        <f t="shared" si="75"/>
        <v>176936647.86632988</v>
      </c>
      <c r="K1057" s="558">
        <f>'Progetto del paramento slu'!$G$60*(sezione!$AL$31-C1057)/C1057</f>
        <v>7.9954026519625954E-3</v>
      </c>
      <c r="L1057" s="558">
        <f>'Progetto del paramento slu'!$G$60*(sezione!$AM$31-C1057)/C1057</f>
        <v>3.9607759944859725E-2</v>
      </c>
      <c r="M1057" s="559">
        <f>'Progetto del paramento slu'!$G$60*(sezione!$AN$31-C1057)/C1057</f>
        <v>7.1220117237756869E-2</v>
      </c>
      <c r="N1057" s="559">
        <f>'Progetto del paramento slu'!$G$60*(sezione!$AO$31-C1057)/C1057</f>
        <v>9.4210922541682063E-2</v>
      </c>
      <c r="O1057" s="559">
        <f>'Progetto del paramento slu'!$G$60*(sezione!$AP$31-C1057)/C1057</f>
        <v>7.1221264014704092E-2</v>
      </c>
      <c r="P1057" s="553">
        <f>-'Progetto del paramento slu'!$G$47*'Progetto del paramento slu'!$G$41*IF(DATI!$G$218="dx",DATI!$E$61,DATI!$E$64*DATI!$E$63)*1000*C1057*sezione!$AD$5</f>
        <v>-171670.76784936106</v>
      </c>
      <c r="Q1057" s="553">
        <f>'Foglio deposito bis'!$F$58*IF(ABS(K1057)&lt;'Progetto del paramento slu'!$G$58,ABS(K1057)*'Progetto del paramento slu'!$G$54,'Progetto del paramento slu'!$G$53)*IF(K1057&lt;0,-1,1)</f>
        <v>0</v>
      </c>
      <c r="R1057" s="553">
        <f>'Foglio deposito bis'!$F$59*IF(ABS(L1057)&lt;'Progetto del paramento slu'!$G$58,ABS(L1057)*'Progetto del paramento slu'!$G$54,'Progetto del paramento slu'!$G$53)*IF(L1057&lt;0,-1,1)</f>
        <v>153664.85805602249</v>
      </c>
      <c r="S1057" s="553">
        <f>'Foglio deposito bis'!$F$60*IF(ABS(M1057)&lt;'Progetto del paramento slu'!$G$58,ABS(M1057)*'Progetto del paramento slu'!$G$54,'Progetto del paramento slu'!$G$53)*IF(M1057&lt;0,-1,1)</f>
        <v>0</v>
      </c>
      <c r="T1057" s="553">
        <f>'Foglio deposito bis'!$F$61*IF(ABS(N1057)&lt;'Progetto del paramento slu'!$G$58,ABS(N1057)*'Progetto del paramento slu'!$G$54,'Progetto del paramento slu'!$G$53)*IF(N1057&lt;0,-1,1)</f>
        <v>240946.49743184328</v>
      </c>
      <c r="U1057" s="553">
        <f>'Foglio deposito bis'!$F$62*IF(ABS(O1057)&lt;'Progetto del paramento slu'!$G$58,ABS(O1057)*'Progetto del paramento slu'!$G$54,'Progetto del paramento slu'!$G$53)*IF(O1057&lt;0,-1,1)</f>
        <v>314705.62929873407</v>
      </c>
      <c r="V1057" s="479">
        <f t="shared" si="78"/>
        <v>537646.21693723882</v>
      </c>
      <c r="W1057" s="559"/>
      <c r="X1057" s="559"/>
    </row>
    <row r="1058" spans="1:24" x14ac:dyDescent="0.25">
      <c r="A1058" s="553">
        <f t="shared" si="77"/>
        <v>534785.03747308278</v>
      </c>
      <c r="B1058" s="3">
        <f t="shared" si="79"/>
        <v>3.0499999999999972</v>
      </c>
      <c r="C1058" s="553">
        <f>'Foglio deposito bis'!$E$157/sezione!$B$247*B1058</f>
        <v>12.381761443478707</v>
      </c>
      <c r="D1058" s="611">
        <f>-'Progetto del paramento slu'!$G$47*'Progetto del paramento slu'!$G$41*IF(DATI!$G$218="dx",DATI!$E$61,DATI!$E$64*DATI!$E$63)*1000*C1058^2*sezione!$AD$5*(1-sezione!$AD$6)</f>
        <v>-1262031.5545666295</v>
      </c>
      <c r="E1058" s="553">
        <f>-'Foglio deposito bis'!$F$58*(C1058-sezione!$AL$31)*IF(ABS(K1058)&lt;'Progetto del paramento slu'!$G$58,ABS(K1058)*'Progetto del paramento slu'!$G$54,'Progetto del paramento slu'!$G$53)</f>
        <v>0</v>
      </c>
      <c r="F1058" s="553">
        <f>-'Foglio deposito bis'!$F$59*(C1058-sezione!$AM$31)*IF(ABS(L1058)&lt;'Progetto del paramento slu'!$G$58,ABS(L1058)*'Progetto del paramento slu'!$G$54,'Progetto del paramento slu'!$G$53)</f>
        <v>21147087.093707688</v>
      </c>
      <c r="G1058" s="553">
        <f>-'Foglio deposito bis'!$F$60*(C1058-sezione!$AN$31)*IF(ABS(M1058)&lt;'Progetto del paramento slu'!$G$58,ABS(M1058)*'Progetto del paramento slu'!$G$54,'Progetto del paramento slu'!$G$53)</f>
        <v>0</v>
      </c>
      <c r="H1058" s="553">
        <f>-'Foglio deposito bis'!$F$61*(C1058-sezione!$AO$31)*IF(ABS(N1058)&lt;'Progetto del paramento slu'!$G$58,ABS(N1058)*'Progetto del paramento slu'!$G$54,'Progetto del paramento slu'!$G$53)</f>
        <v>78938467.07498388</v>
      </c>
      <c r="I1058" s="479">
        <f>-'Foglio deposito bis'!$F$62*(C1058-sezione!$AP$31)*IF(ABS(O1058)&lt;'Progetto del paramento slu'!$G$58,ABS(O1058)*'Progetto del paramento slu'!$G$54,'Progetto del paramento slu'!$G$53)</f>
        <v>77928109.387275606</v>
      </c>
      <c r="J1058" s="479">
        <f t="shared" si="75"/>
        <v>176751632.00140053</v>
      </c>
      <c r="K1058" s="558">
        <f>'Progetto del paramento slu'!$G$60*(sezione!$AL$31-C1058)/C1058</f>
        <v>7.8069534281599287E-3</v>
      </c>
      <c r="L1058" s="558">
        <f>'Progetto del paramento slu'!$G$60*(sezione!$AM$31-C1058)/C1058</f>
        <v>3.8901075355599737E-2</v>
      </c>
      <c r="M1058" s="559">
        <f>'Progetto del paramento slu'!$G$60*(sezione!$AN$31-C1058)/C1058</f>
        <v>6.9995197283039545E-2</v>
      </c>
      <c r="N1058" s="559">
        <f>'Progetto del paramento slu'!$G$60*(sezione!$AO$31-C1058)/C1058</f>
        <v>9.2609104139359411E-2</v>
      </c>
      <c r="O1058" s="559">
        <f>'Progetto del paramento slu'!$G$60*(sezione!$AP$31-C1058)/C1058</f>
        <v>6.9996325260364686E-2</v>
      </c>
      <c r="P1058" s="553">
        <f>-'Progetto del paramento slu'!$G$47*'Progetto del paramento slu'!$G$41*IF(DATI!$G$218="dx",DATI!$E$61,DATI!$E$64*DATI!$E$63)*1000*C1058*sezione!$AD$5</f>
        <v>-174531.94731351707</v>
      </c>
      <c r="Q1058" s="553">
        <f>'Foglio deposito bis'!$F$58*IF(ABS(K1058)&lt;'Progetto del paramento slu'!$G$58,ABS(K1058)*'Progetto del paramento slu'!$G$54,'Progetto del paramento slu'!$G$53)*IF(K1058&lt;0,-1,1)</f>
        <v>0</v>
      </c>
      <c r="R1058" s="553">
        <f>'Foglio deposito bis'!$F$59*IF(ABS(L1058)&lt;'Progetto del paramento slu'!$G$58,ABS(L1058)*'Progetto del paramento slu'!$G$54,'Progetto del paramento slu'!$G$53)*IF(L1058&lt;0,-1,1)</f>
        <v>153664.85805602249</v>
      </c>
      <c r="S1058" s="553">
        <f>'Foglio deposito bis'!$F$60*IF(ABS(M1058)&lt;'Progetto del paramento slu'!$G$58,ABS(M1058)*'Progetto del paramento slu'!$G$54,'Progetto del paramento slu'!$G$53)*IF(M1058&lt;0,-1,1)</f>
        <v>0</v>
      </c>
      <c r="T1058" s="553">
        <f>'Foglio deposito bis'!$F$61*IF(ABS(N1058)&lt;'Progetto del paramento slu'!$G$58,ABS(N1058)*'Progetto del paramento slu'!$G$54,'Progetto del paramento slu'!$G$53)*IF(N1058&lt;0,-1,1)</f>
        <v>240946.49743184328</v>
      </c>
      <c r="U1058" s="553">
        <f>'Foglio deposito bis'!$F$62*IF(ABS(O1058)&lt;'Progetto del paramento slu'!$G$58,ABS(O1058)*'Progetto del paramento slu'!$G$54,'Progetto del paramento slu'!$G$53)*IF(O1058&lt;0,-1,1)</f>
        <v>314705.62929873407</v>
      </c>
      <c r="V1058" s="479">
        <f t="shared" si="78"/>
        <v>534785.03747308278</v>
      </c>
      <c r="W1058" s="559"/>
      <c r="X1058" s="559"/>
    </row>
    <row r="1059" spans="1:24" x14ac:dyDescent="0.25">
      <c r="A1059" s="553">
        <f t="shared" si="77"/>
        <v>531923.85800892673</v>
      </c>
      <c r="B1059" s="3">
        <f t="shared" si="79"/>
        <v>3.099999999999997</v>
      </c>
      <c r="C1059" s="553">
        <f>'Foglio deposito bis'!$E$157/sezione!$B$247*B1059</f>
        <v>12.58474113927344</v>
      </c>
      <c r="D1059" s="611">
        <f>-'Progetto del paramento slu'!$G$47*'Progetto del paramento slu'!$G$41*IF(DATI!$G$218="dx",DATI!$E$61,DATI!$E$64*DATI!$E$63)*1000*C1059^2*sezione!$AD$5*(1-sezione!$AD$6)</f>
        <v>-1303748.8029438658</v>
      </c>
      <c r="E1059" s="553">
        <f>-'Foglio deposito bis'!$F$58*(C1059-sezione!$AL$31)*IF(ABS(K1059)&lt;'Progetto del paramento slu'!$G$58,ABS(K1059)*'Progetto del paramento slu'!$G$54,'Progetto del paramento slu'!$G$53)</f>
        <v>0</v>
      </c>
      <c r="F1059" s="553">
        <f>-'Foglio deposito bis'!$F$59*(C1059-sezione!$AM$31)*IF(ABS(L1059)&lt;'Progetto del paramento slu'!$G$58,ABS(L1059)*'Progetto del paramento slu'!$G$54,'Progetto del paramento slu'!$G$53)</f>
        <v>21115896.247565135</v>
      </c>
      <c r="G1059" s="553">
        <f>-'Foglio deposito bis'!$F$60*(C1059-sezione!$AN$31)*IF(ABS(M1059)&lt;'Progetto del paramento slu'!$G$58,ABS(M1059)*'Progetto del paramento slu'!$G$54,'Progetto del paramento slu'!$G$53)</f>
        <v>0</v>
      </c>
      <c r="H1059" s="553">
        <f>-'Foglio deposito bis'!$F$61*(C1059-sezione!$AO$31)*IF(ABS(N1059)&lt;'Progetto del paramento slu'!$G$58,ABS(N1059)*'Progetto del paramento slu'!$G$54,'Progetto del paramento slu'!$G$53)</f>
        <v>78889559.828232348</v>
      </c>
      <c r="I1059" s="479">
        <f>-'Foglio deposito bis'!$F$62*(C1059-sezione!$AP$31)*IF(ABS(O1059)&lt;'Progetto del paramento slu'!$G$58,ABS(O1059)*'Progetto del paramento slu'!$G$54,'Progetto del paramento slu'!$G$53)</f>
        <v>77864230.534375653</v>
      </c>
      <c r="J1059" s="479">
        <f t="shared" si="75"/>
        <v>176565937.80722928</v>
      </c>
      <c r="K1059" s="558">
        <f>'Progetto del paramento slu'!$G$60*(sezione!$AL$31-C1059)/C1059</f>
        <v>7.624583211576704E-3</v>
      </c>
      <c r="L1059" s="558">
        <f>'Progetto del paramento slu'!$G$60*(sezione!$AM$31-C1059)/C1059</f>
        <v>3.8217187043412641E-2</v>
      </c>
      <c r="M1059" s="559">
        <f>'Progetto del paramento slu'!$G$60*(sezione!$AN$31-C1059)/C1059</f>
        <v>6.8809790875248578E-2</v>
      </c>
      <c r="N1059" s="559">
        <f>'Progetto del paramento slu'!$G$60*(sezione!$AO$31-C1059)/C1059</f>
        <v>9.105895729840198E-2</v>
      </c>
      <c r="O1059" s="559">
        <f>'Progetto del paramento slu'!$G$60*(sezione!$AP$31-C1059)/C1059</f>
        <v>6.881090065939105E-2</v>
      </c>
      <c r="P1059" s="553">
        <f>-'Progetto del paramento slu'!$G$47*'Progetto del paramento slu'!$G$41*IF(DATI!$G$218="dx",DATI!$E$61,DATI!$E$64*DATI!$E$63)*1000*C1059*sezione!$AD$5</f>
        <v>-177393.12677767308</v>
      </c>
      <c r="Q1059" s="553">
        <f>'Foglio deposito bis'!$F$58*IF(ABS(K1059)&lt;'Progetto del paramento slu'!$G$58,ABS(K1059)*'Progetto del paramento slu'!$G$54,'Progetto del paramento slu'!$G$53)*IF(K1059&lt;0,-1,1)</f>
        <v>0</v>
      </c>
      <c r="R1059" s="553">
        <f>'Foglio deposito bis'!$F$59*IF(ABS(L1059)&lt;'Progetto del paramento slu'!$G$58,ABS(L1059)*'Progetto del paramento slu'!$G$54,'Progetto del paramento slu'!$G$53)*IF(L1059&lt;0,-1,1)</f>
        <v>153664.85805602249</v>
      </c>
      <c r="S1059" s="553">
        <f>'Foglio deposito bis'!$F$60*IF(ABS(M1059)&lt;'Progetto del paramento slu'!$G$58,ABS(M1059)*'Progetto del paramento slu'!$G$54,'Progetto del paramento slu'!$G$53)*IF(M1059&lt;0,-1,1)</f>
        <v>0</v>
      </c>
      <c r="T1059" s="553">
        <f>'Foglio deposito bis'!$F$61*IF(ABS(N1059)&lt;'Progetto del paramento slu'!$G$58,ABS(N1059)*'Progetto del paramento slu'!$G$54,'Progetto del paramento slu'!$G$53)*IF(N1059&lt;0,-1,1)</f>
        <v>240946.49743184328</v>
      </c>
      <c r="U1059" s="553">
        <f>'Foglio deposito bis'!$F$62*IF(ABS(O1059)&lt;'Progetto del paramento slu'!$G$58,ABS(O1059)*'Progetto del paramento slu'!$G$54,'Progetto del paramento slu'!$G$53)*IF(O1059&lt;0,-1,1)</f>
        <v>314705.62929873407</v>
      </c>
      <c r="V1059" s="479">
        <f t="shared" si="78"/>
        <v>531923.85800892673</v>
      </c>
      <c r="W1059" s="559"/>
      <c r="X1059" s="559"/>
    </row>
    <row r="1060" spans="1:24" x14ac:dyDescent="0.25">
      <c r="A1060" s="553">
        <f t="shared" si="77"/>
        <v>529062.67854477069</v>
      </c>
      <c r="B1060" s="3">
        <f t="shared" si="79"/>
        <v>3.1499999999999968</v>
      </c>
      <c r="C1060" s="553">
        <f>'Foglio deposito bis'!$E$157/sezione!$B$247*B1060</f>
        <v>12.787720835068171</v>
      </c>
      <c r="D1060" s="611">
        <f>-'Progetto del paramento slu'!$G$47*'Progetto del paramento slu'!$G$41*IF(DATI!$G$218="dx",DATI!$E$61,DATI!$E$64*DATI!$E$63)*1000*C1060^2*sezione!$AD$5*(1-sezione!$AD$6)</f>
        <v>-1346144.3805630079</v>
      </c>
      <c r="E1060" s="553">
        <f>-'Foglio deposito bis'!$F$58*(C1060-sezione!$AL$31)*IF(ABS(K1060)&lt;'Progetto del paramento slu'!$G$58,ABS(K1060)*'Progetto del paramento slu'!$G$54,'Progetto del paramento slu'!$G$53)</f>
        <v>0</v>
      </c>
      <c r="F1060" s="553">
        <f>-'Foglio deposito bis'!$F$59*(C1060-sezione!$AM$31)*IF(ABS(L1060)&lt;'Progetto del paramento slu'!$G$58,ABS(L1060)*'Progetto del paramento slu'!$G$54,'Progetto del paramento slu'!$G$53)</f>
        <v>21084705.401422583</v>
      </c>
      <c r="G1060" s="553">
        <f>-'Foglio deposito bis'!$F$60*(C1060-sezione!$AN$31)*IF(ABS(M1060)&lt;'Progetto del paramento slu'!$G$58,ABS(M1060)*'Progetto del paramento slu'!$G$54,'Progetto del paramento slu'!$G$53)</f>
        <v>0</v>
      </c>
      <c r="H1060" s="553">
        <f>-'Foglio deposito bis'!$F$61*(C1060-sezione!$AO$31)*IF(ABS(N1060)&lt;'Progetto del paramento slu'!$G$58,ABS(N1060)*'Progetto del paramento slu'!$G$54,'Progetto del paramento slu'!$G$53)</f>
        <v>78840652.581480831</v>
      </c>
      <c r="I1060" s="479">
        <f>-'Foglio deposito bis'!$F$62*(C1060-sezione!$AP$31)*IF(ABS(O1060)&lt;'Progetto del paramento slu'!$G$58,ABS(O1060)*'Progetto del paramento slu'!$G$54,'Progetto del paramento slu'!$G$53)</f>
        <v>77800351.681475699</v>
      </c>
      <c r="J1060" s="479">
        <f t="shared" si="75"/>
        <v>176379565.2838161</v>
      </c>
      <c r="K1060" s="558">
        <f>'Progetto del paramento slu'!$G$60*(sezione!$AL$31-C1060)/C1060</f>
        <v>7.4480025256786625E-3</v>
      </c>
      <c r="L1060" s="558">
        <f>'Progetto del paramento slu'!$G$60*(sezione!$AM$31-C1060)/C1060</f>
        <v>3.7555009471294989E-2</v>
      </c>
      <c r="M1060" s="559">
        <f>'Progetto del paramento slu'!$G$60*(sezione!$AN$31-C1060)/C1060</f>
        <v>6.7662016416911303E-2</v>
      </c>
      <c r="N1060" s="559">
        <f>'Progetto del paramento slu'!$G$60*(sezione!$AO$31-C1060)/C1060</f>
        <v>8.9558021468268634E-2</v>
      </c>
      <c r="O1060" s="559">
        <f>'Progetto del paramento slu'!$G$60*(sezione!$AP$31-C1060)/C1060</f>
        <v>6.766310858543248E-2</v>
      </c>
      <c r="P1060" s="553">
        <f>-'Progetto del paramento slu'!$G$47*'Progetto del paramento slu'!$G$41*IF(DATI!$G$218="dx",DATI!$E$61,DATI!$E$64*DATI!$E$63)*1000*C1060*sezione!$AD$5</f>
        <v>-180254.30624182909</v>
      </c>
      <c r="Q1060" s="553">
        <f>'Foglio deposito bis'!$F$58*IF(ABS(K1060)&lt;'Progetto del paramento slu'!$G$58,ABS(K1060)*'Progetto del paramento slu'!$G$54,'Progetto del paramento slu'!$G$53)*IF(K1060&lt;0,-1,1)</f>
        <v>0</v>
      </c>
      <c r="R1060" s="553">
        <f>'Foglio deposito bis'!$F$59*IF(ABS(L1060)&lt;'Progetto del paramento slu'!$G$58,ABS(L1060)*'Progetto del paramento slu'!$G$54,'Progetto del paramento slu'!$G$53)*IF(L1060&lt;0,-1,1)</f>
        <v>153664.85805602249</v>
      </c>
      <c r="S1060" s="553">
        <f>'Foglio deposito bis'!$F$60*IF(ABS(M1060)&lt;'Progetto del paramento slu'!$G$58,ABS(M1060)*'Progetto del paramento slu'!$G$54,'Progetto del paramento slu'!$G$53)*IF(M1060&lt;0,-1,1)</f>
        <v>0</v>
      </c>
      <c r="T1060" s="553">
        <f>'Foglio deposito bis'!$F$61*IF(ABS(N1060)&lt;'Progetto del paramento slu'!$G$58,ABS(N1060)*'Progetto del paramento slu'!$G$54,'Progetto del paramento slu'!$G$53)*IF(N1060&lt;0,-1,1)</f>
        <v>240946.49743184328</v>
      </c>
      <c r="U1060" s="553">
        <f>'Foglio deposito bis'!$F$62*IF(ABS(O1060)&lt;'Progetto del paramento slu'!$G$58,ABS(O1060)*'Progetto del paramento slu'!$G$54,'Progetto del paramento slu'!$G$53)*IF(O1060&lt;0,-1,1)</f>
        <v>314705.62929873407</v>
      </c>
      <c r="V1060" s="479">
        <f t="shared" si="78"/>
        <v>529062.67854477069</v>
      </c>
      <c r="W1060" s="559"/>
      <c r="X1060" s="559"/>
    </row>
    <row r="1061" spans="1:24" x14ac:dyDescent="0.25">
      <c r="A1061" s="553">
        <f t="shared" si="77"/>
        <v>526201.49908061477</v>
      </c>
      <c r="B1061" s="3">
        <f t="shared" si="79"/>
        <v>3.1999999999999966</v>
      </c>
      <c r="C1061" s="553">
        <f>'Foglio deposito bis'!$E$157/sezione!$B$247*B1061</f>
        <v>12.990700530862904</v>
      </c>
      <c r="D1061" s="611">
        <f>-'Progetto del paramento slu'!$G$47*'Progetto del paramento slu'!$G$41*IF(DATI!$G$218="dx",DATI!$E$61,DATI!$E$64*DATI!$E$63)*1000*C1061^2*sezione!$AD$5*(1-sezione!$AD$6)</f>
        <v>-1389218.2874240566</v>
      </c>
      <c r="E1061" s="553">
        <f>-'Foglio deposito bis'!$F$58*(C1061-sezione!$AL$31)*IF(ABS(K1061)&lt;'Progetto del paramento slu'!$G$58,ABS(K1061)*'Progetto del paramento slu'!$G$54,'Progetto del paramento slu'!$G$53)</f>
        <v>0</v>
      </c>
      <c r="F1061" s="553">
        <f>-'Foglio deposito bis'!$F$59*(C1061-sezione!$AM$31)*IF(ABS(L1061)&lt;'Progetto del paramento slu'!$G$58,ABS(L1061)*'Progetto del paramento slu'!$G$54,'Progetto del paramento slu'!$G$53)</f>
        <v>21053514.55528003</v>
      </c>
      <c r="G1061" s="553">
        <f>-'Foglio deposito bis'!$F$60*(C1061-sezione!$AN$31)*IF(ABS(M1061)&lt;'Progetto del paramento slu'!$G$58,ABS(M1061)*'Progetto del paramento slu'!$G$54,'Progetto del paramento slu'!$G$53)</f>
        <v>0</v>
      </c>
      <c r="H1061" s="553">
        <f>-'Foglio deposito bis'!$F$61*(C1061-sezione!$AO$31)*IF(ABS(N1061)&lt;'Progetto del paramento slu'!$G$58,ABS(N1061)*'Progetto del paramento slu'!$G$54,'Progetto del paramento slu'!$G$53)</f>
        <v>78791745.334729314</v>
      </c>
      <c r="I1061" s="479">
        <f>-'Foglio deposito bis'!$F$62*(C1061-sezione!$AP$31)*IF(ABS(O1061)&lt;'Progetto del paramento slu'!$G$58,ABS(O1061)*'Progetto del paramento slu'!$G$54,'Progetto del paramento slu'!$G$53)</f>
        <v>77736472.828575745</v>
      </c>
      <c r="J1061" s="479">
        <f t="shared" ref="J1061:J1124" si="80">D1061+E1061+F1061+G1061+H1061+I1061</f>
        <v>176192514.43116105</v>
      </c>
      <c r="K1061" s="558">
        <f>'Progetto del paramento slu'!$G$60*(sezione!$AL$31-C1061)/C1061</f>
        <v>7.276939986214934E-3</v>
      </c>
      <c r="L1061" s="558">
        <f>'Progetto del paramento slu'!$G$60*(sezione!$AM$31-C1061)/C1061</f>
        <v>3.6913524948305999E-2</v>
      </c>
      <c r="M1061" s="559">
        <f>'Progetto del paramento slu'!$G$60*(sezione!$AN$31-C1061)/C1061</f>
        <v>6.6550109910397073E-2</v>
      </c>
      <c r="N1061" s="559">
        <f>'Progetto del paramento slu'!$G$60*(sezione!$AO$31-C1061)/C1061</f>
        <v>8.8103989882826944E-2</v>
      </c>
      <c r="O1061" s="559">
        <f>'Progetto del paramento slu'!$G$60*(sezione!$AP$31-C1061)/C1061</f>
        <v>6.6551185013785097E-2</v>
      </c>
      <c r="P1061" s="553">
        <f>-'Progetto del paramento slu'!$G$47*'Progetto del paramento slu'!$G$41*IF(DATI!$G$218="dx",DATI!$E$61,DATI!$E$64*DATI!$E$63)*1000*C1061*sezione!$AD$5</f>
        <v>-183115.48570598511</v>
      </c>
      <c r="Q1061" s="553">
        <f>'Foglio deposito bis'!$F$58*IF(ABS(K1061)&lt;'Progetto del paramento slu'!$G$58,ABS(K1061)*'Progetto del paramento slu'!$G$54,'Progetto del paramento slu'!$G$53)*IF(K1061&lt;0,-1,1)</f>
        <v>0</v>
      </c>
      <c r="R1061" s="553">
        <f>'Foglio deposito bis'!$F$59*IF(ABS(L1061)&lt;'Progetto del paramento slu'!$G$58,ABS(L1061)*'Progetto del paramento slu'!$G$54,'Progetto del paramento slu'!$G$53)*IF(L1061&lt;0,-1,1)</f>
        <v>153664.85805602249</v>
      </c>
      <c r="S1061" s="553">
        <f>'Foglio deposito bis'!$F$60*IF(ABS(M1061)&lt;'Progetto del paramento slu'!$G$58,ABS(M1061)*'Progetto del paramento slu'!$G$54,'Progetto del paramento slu'!$G$53)*IF(M1061&lt;0,-1,1)</f>
        <v>0</v>
      </c>
      <c r="T1061" s="553">
        <f>'Foglio deposito bis'!$F$61*IF(ABS(N1061)&lt;'Progetto del paramento slu'!$G$58,ABS(N1061)*'Progetto del paramento slu'!$G$54,'Progetto del paramento slu'!$G$53)*IF(N1061&lt;0,-1,1)</f>
        <v>240946.49743184328</v>
      </c>
      <c r="U1061" s="553">
        <f>'Foglio deposito bis'!$F$62*IF(ABS(O1061)&lt;'Progetto del paramento slu'!$G$58,ABS(O1061)*'Progetto del paramento slu'!$G$54,'Progetto del paramento slu'!$G$53)*IF(O1061&lt;0,-1,1)</f>
        <v>314705.62929873407</v>
      </c>
      <c r="V1061" s="479">
        <f t="shared" si="78"/>
        <v>526201.49908061477</v>
      </c>
      <c r="W1061" s="559"/>
      <c r="X1061" s="559"/>
    </row>
    <row r="1062" spans="1:24" x14ac:dyDescent="0.25">
      <c r="A1062" s="553">
        <f t="shared" ref="A1062:A1125" si="81">ABS(V1062)</f>
        <v>523340.31961645873</v>
      </c>
      <c r="B1062" s="3">
        <f t="shared" si="79"/>
        <v>3.2499999999999964</v>
      </c>
      <c r="C1062" s="553">
        <f>'Foglio deposito bis'!$E$157/sezione!$B$247*B1062</f>
        <v>13.193680226657637</v>
      </c>
      <c r="D1062" s="611">
        <f>-'Progetto del paramento slu'!$G$47*'Progetto del paramento slu'!$G$41*IF(DATI!$G$218="dx",DATI!$E$61,DATI!$E$64*DATI!$E$63)*1000*C1062^2*sezione!$AD$5*(1-sezione!$AD$6)</f>
        <v>-1432970.5235270115</v>
      </c>
      <c r="E1062" s="553">
        <f>-'Foglio deposito bis'!$F$58*(C1062-sezione!$AL$31)*IF(ABS(K1062)&lt;'Progetto del paramento slu'!$G$58,ABS(K1062)*'Progetto del paramento slu'!$G$54,'Progetto del paramento slu'!$G$53)</f>
        <v>0</v>
      </c>
      <c r="F1062" s="553">
        <f>-'Foglio deposito bis'!$F$59*(C1062-sezione!$AM$31)*IF(ABS(L1062)&lt;'Progetto del paramento slu'!$G$58,ABS(L1062)*'Progetto del paramento slu'!$G$54,'Progetto del paramento slu'!$G$53)</f>
        <v>21022323.709137477</v>
      </c>
      <c r="G1062" s="553">
        <f>-'Foglio deposito bis'!$F$60*(C1062-sezione!$AN$31)*IF(ABS(M1062)&lt;'Progetto del paramento slu'!$G$58,ABS(M1062)*'Progetto del paramento slu'!$G$54,'Progetto del paramento slu'!$G$53)</f>
        <v>0</v>
      </c>
      <c r="H1062" s="553">
        <f>-'Foglio deposito bis'!$F$61*(C1062-sezione!$AO$31)*IF(ABS(N1062)&lt;'Progetto del paramento slu'!$G$58,ABS(N1062)*'Progetto del paramento slu'!$G$54,'Progetto del paramento slu'!$G$53)</f>
        <v>78742838.087977782</v>
      </c>
      <c r="I1062" s="479">
        <f>-'Foglio deposito bis'!$F$62*(C1062-sezione!$AP$31)*IF(ABS(O1062)&lt;'Progetto del paramento slu'!$G$58,ABS(O1062)*'Progetto del paramento slu'!$G$54,'Progetto del paramento slu'!$G$53)</f>
        <v>77672593.975675806</v>
      </c>
      <c r="J1062" s="479">
        <f t="shared" si="80"/>
        <v>176004785.24926406</v>
      </c>
      <c r="K1062" s="558">
        <f>'Progetto del paramento slu'!$G$60*(sezione!$AL$31-C1062)/C1062</f>
        <v>7.1111409095039341E-3</v>
      </c>
      <c r="L1062" s="558">
        <f>'Progetto del paramento slu'!$G$60*(sezione!$AM$31-C1062)/C1062</f>
        <v>3.6291778410639755E-2</v>
      </c>
      <c r="M1062" s="559">
        <f>'Progetto del paramento slu'!$G$60*(sezione!$AN$31-C1062)/C1062</f>
        <v>6.5472415911775578E-2</v>
      </c>
      <c r="N1062" s="559">
        <f>'Progetto del paramento slu'!$G$60*(sezione!$AO$31-C1062)/C1062</f>
        <v>8.6694697730783435E-2</v>
      </c>
      <c r="O1062" s="559">
        <f>'Progetto del paramento slu'!$G$60*(sezione!$AP$31-C1062)/C1062</f>
        <v>6.5473474475111468E-2</v>
      </c>
      <c r="P1062" s="553">
        <f>-'Progetto del paramento slu'!$G$47*'Progetto del paramento slu'!$G$41*IF(DATI!$G$218="dx",DATI!$E$61,DATI!$E$64*DATI!$E$63)*1000*C1062*sezione!$AD$5</f>
        <v>-185976.66517014112</v>
      </c>
      <c r="Q1062" s="553">
        <f>'Foglio deposito bis'!$F$58*IF(ABS(K1062)&lt;'Progetto del paramento slu'!$G$58,ABS(K1062)*'Progetto del paramento slu'!$G$54,'Progetto del paramento slu'!$G$53)*IF(K1062&lt;0,-1,1)</f>
        <v>0</v>
      </c>
      <c r="R1062" s="553">
        <f>'Foglio deposito bis'!$F$59*IF(ABS(L1062)&lt;'Progetto del paramento slu'!$G$58,ABS(L1062)*'Progetto del paramento slu'!$G$54,'Progetto del paramento slu'!$G$53)*IF(L1062&lt;0,-1,1)</f>
        <v>153664.85805602249</v>
      </c>
      <c r="S1062" s="553">
        <f>'Foglio deposito bis'!$F$60*IF(ABS(M1062)&lt;'Progetto del paramento slu'!$G$58,ABS(M1062)*'Progetto del paramento slu'!$G$54,'Progetto del paramento slu'!$G$53)*IF(M1062&lt;0,-1,1)</f>
        <v>0</v>
      </c>
      <c r="T1062" s="553">
        <f>'Foglio deposito bis'!$F$61*IF(ABS(N1062)&lt;'Progetto del paramento slu'!$G$58,ABS(N1062)*'Progetto del paramento slu'!$G$54,'Progetto del paramento slu'!$G$53)*IF(N1062&lt;0,-1,1)</f>
        <v>240946.49743184328</v>
      </c>
      <c r="U1062" s="553">
        <f>'Foglio deposito bis'!$F$62*IF(ABS(O1062)&lt;'Progetto del paramento slu'!$G$58,ABS(O1062)*'Progetto del paramento slu'!$G$54,'Progetto del paramento slu'!$G$53)*IF(O1062&lt;0,-1,1)</f>
        <v>314705.62929873407</v>
      </c>
      <c r="V1062" s="479">
        <f t="shared" ref="V1062:V1125" si="82">P1062+Q1062+R1062+S1062+T1062+U1062</f>
        <v>523340.31961645873</v>
      </c>
      <c r="W1062" s="559"/>
      <c r="X1062" s="559"/>
    </row>
    <row r="1063" spans="1:24" x14ac:dyDescent="0.25">
      <c r="A1063" s="553">
        <f t="shared" si="81"/>
        <v>520479.14015230275</v>
      </c>
      <c r="B1063" s="3">
        <f t="shared" ref="B1063:B1099" si="83">B1062+0.05</f>
        <v>3.2999999999999963</v>
      </c>
      <c r="C1063" s="553">
        <f>'Foglio deposito bis'!$E$157/sezione!$B$247*B1063</f>
        <v>13.396659922452368</v>
      </c>
      <c r="D1063" s="611">
        <f>-'Progetto del paramento slu'!$G$47*'Progetto del paramento slu'!$G$41*IF(DATI!$G$218="dx",DATI!$E$61,DATI!$E$64*DATI!$E$63)*1000*C1063^2*sezione!$AD$5*(1-sezione!$AD$6)</f>
        <v>-1477401.0888718718</v>
      </c>
      <c r="E1063" s="553">
        <f>-'Foglio deposito bis'!$F$58*(C1063-sezione!$AL$31)*IF(ABS(K1063)&lt;'Progetto del paramento slu'!$G$58,ABS(K1063)*'Progetto del paramento slu'!$G$54,'Progetto del paramento slu'!$G$53)</f>
        <v>0</v>
      </c>
      <c r="F1063" s="553">
        <f>-'Foglio deposito bis'!$F$59*(C1063-sezione!$AM$31)*IF(ABS(L1063)&lt;'Progetto del paramento slu'!$G$58,ABS(L1063)*'Progetto del paramento slu'!$G$54,'Progetto del paramento slu'!$G$53)</f>
        <v>20991132.862994928</v>
      </c>
      <c r="G1063" s="553">
        <f>-'Foglio deposito bis'!$F$60*(C1063-sezione!$AN$31)*IF(ABS(M1063)&lt;'Progetto del paramento slu'!$G$58,ABS(M1063)*'Progetto del paramento slu'!$G$54,'Progetto del paramento slu'!$G$53)</f>
        <v>0</v>
      </c>
      <c r="H1063" s="553">
        <f>-'Foglio deposito bis'!$F$61*(C1063-sezione!$AO$31)*IF(ABS(N1063)&lt;'Progetto del paramento slu'!$G$58,ABS(N1063)*'Progetto del paramento slu'!$G$54,'Progetto del paramento slu'!$G$53)</f>
        <v>78693930.84122625</v>
      </c>
      <c r="I1063" s="479">
        <f>-'Foglio deposito bis'!$F$62*(C1063-sezione!$AP$31)*IF(ABS(O1063)&lt;'Progetto del paramento slu'!$G$58,ABS(O1063)*'Progetto del paramento slu'!$G$54,'Progetto del paramento slu'!$G$53)</f>
        <v>77608715.122775868</v>
      </c>
      <c r="J1063" s="479">
        <f t="shared" si="80"/>
        <v>175816377.73812518</v>
      </c>
      <c r="K1063" s="558">
        <f>'Progetto del paramento slu'!$G$60*(sezione!$AL$31-C1063)/C1063</f>
        <v>6.9503660472387254E-3</v>
      </c>
      <c r="L1063" s="558">
        <f>'Progetto del paramento slu'!$G$60*(sezione!$AM$31-C1063)/C1063</f>
        <v>3.5688872677145225E-2</v>
      </c>
      <c r="M1063" s="559">
        <f>'Progetto del paramento slu'!$G$60*(sezione!$AN$31-C1063)/C1063</f>
        <v>6.442737930705171E-2</v>
      </c>
      <c r="N1063" s="559">
        <f>'Progetto del paramento slu'!$G$60*(sezione!$AO$31-C1063)/C1063</f>
        <v>8.5328111401529155E-2</v>
      </c>
      <c r="O1063" s="559">
        <f>'Progetto del paramento slu'!$G$60*(sezione!$AP$31-C1063)/C1063</f>
        <v>6.442842183154919E-2</v>
      </c>
      <c r="P1063" s="553">
        <f>-'Progetto del paramento slu'!$G$47*'Progetto del paramento slu'!$G$41*IF(DATI!$G$218="dx",DATI!$E$61,DATI!$E$64*DATI!$E$63)*1000*C1063*sezione!$AD$5</f>
        <v>-188837.8446342971</v>
      </c>
      <c r="Q1063" s="553">
        <f>'Foglio deposito bis'!$F$58*IF(ABS(K1063)&lt;'Progetto del paramento slu'!$G$58,ABS(K1063)*'Progetto del paramento slu'!$G$54,'Progetto del paramento slu'!$G$53)*IF(K1063&lt;0,-1,1)</f>
        <v>0</v>
      </c>
      <c r="R1063" s="553">
        <f>'Foglio deposito bis'!$F$59*IF(ABS(L1063)&lt;'Progetto del paramento slu'!$G$58,ABS(L1063)*'Progetto del paramento slu'!$G$54,'Progetto del paramento slu'!$G$53)*IF(L1063&lt;0,-1,1)</f>
        <v>153664.85805602249</v>
      </c>
      <c r="S1063" s="553">
        <f>'Foglio deposito bis'!$F$60*IF(ABS(M1063)&lt;'Progetto del paramento slu'!$G$58,ABS(M1063)*'Progetto del paramento slu'!$G$54,'Progetto del paramento slu'!$G$53)*IF(M1063&lt;0,-1,1)</f>
        <v>0</v>
      </c>
      <c r="T1063" s="553">
        <f>'Foglio deposito bis'!$F$61*IF(ABS(N1063)&lt;'Progetto del paramento slu'!$G$58,ABS(N1063)*'Progetto del paramento slu'!$G$54,'Progetto del paramento slu'!$G$53)*IF(N1063&lt;0,-1,1)</f>
        <v>240946.49743184328</v>
      </c>
      <c r="U1063" s="553">
        <f>'Foglio deposito bis'!$F$62*IF(ABS(O1063)&lt;'Progetto del paramento slu'!$G$58,ABS(O1063)*'Progetto del paramento slu'!$G$54,'Progetto del paramento slu'!$G$53)*IF(O1063&lt;0,-1,1)</f>
        <v>314705.62929873407</v>
      </c>
      <c r="V1063" s="479">
        <f t="shared" si="82"/>
        <v>520479.14015230275</v>
      </c>
      <c r="W1063" s="559"/>
      <c r="X1063" s="559"/>
    </row>
    <row r="1064" spans="1:24" x14ac:dyDescent="0.25">
      <c r="A1064" s="553">
        <f t="shared" si="81"/>
        <v>517617.9606881467</v>
      </c>
      <c r="B1064" s="3">
        <f t="shared" si="83"/>
        <v>3.3499999999999961</v>
      </c>
      <c r="C1064" s="553">
        <f>'Foglio deposito bis'!$E$157/sezione!$B$247*B1064</f>
        <v>13.599639618247101</v>
      </c>
      <c r="D1064" s="611">
        <f>-'Progetto del paramento slu'!$G$47*'Progetto del paramento slu'!$G$41*IF(DATI!$G$218="dx",DATI!$E$61,DATI!$E$64*DATI!$E$63)*1000*C1064^2*sezione!$AD$5*(1-sezione!$AD$6)</f>
        <v>-1522509.9834586394</v>
      </c>
      <c r="E1064" s="553">
        <f>-'Foglio deposito bis'!$F$58*(C1064-sezione!$AL$31)*IF(ABS(K1064)&lt;'Progetto del paramento slu'!$G$58,ABS(K1064)*'Progetto del paramento slu'!$G$54,'Progetto del paramento slu'!$G$53)</f>
        <v>0</v>
      </c>
      <c r="F1064" s="553">
        <f>-'Foglio deposito bis'!$F$59*(C1064-sezione!$AM$31)*IF(ABS(L1064)&lt;'Progetto del paramento slu'!$G$58,ABS(L1064)*'Progetto del paramento slu'!$G$54,'Progetto del paramento slu'!$G$53)</f>
        <v>20959942.016852375</v>
      </c>
      <c r="G1064" s="553">
        <f>-'Foglio deposito bis'!$F$60*(C1064-sezione!$AN$31)*IF(ABS(M1064)&lt;'Progetto del paramento slu'!$G$58,ABS(M1064)*'Progetto del paramento slu'!$G$54,'Progetto del paramento slu'!$G$53)</f>
        <v>0</v>
      </c>
      <c r="H1064" s="553">
        <f>-'Foglio deposito bis'!$F$61*(C1064-sezione!$AO$31)*IF(ABS(N1064)&lt;'Progetto del paramento slu'!$G$58,ABS(N1064)*'Progetto del paramento slu'!$G$54,'Progetto del paramento slu'!$G$53)</f>
        <v>78645023.594474748</v>
      </c>
      <c r="I1064" s="479">
        <f>-'Foglio deposito bis'!$F$62*(C1064-sezione!$AP$31)*IF(ABS(O1064)&lt;'Progetto del paramento slu'!$G$58,ABS(O1064)*'Progetto del paramento slu'!$G$54,'Progetto del paramento slu'!$G$53)</f>
        <v>77544836.269875914</v>
      </c>
      <c r="J1064" s="479">
        <f t="shared" si="80"/>
        <v>175627291.89774442</v>
      </c>
      <c r="K1064" s="558">
        <f>'Progetto del paramento slu'!$G$60*(sezione!$AL$31-C1064)/C1064</f>
        <v>6.7943904345933708E-3</v>
      </c>
      <c r="L1064" s="558">
        <f>'Progetto del paramento slu'!$G$60*(sezione!$AM$31-C1064)/C1064</f>
        <v>3.5103964129725142E-2</v>
      </c>
      <c r="M1064" s="559">
        <f>'Progetto del paramento slu'!$G$60*(sezione!$AN$31-C1064)/C1064</f>
        <v>6.3413537824856911E-2</v>
      </c>
      <c r="N1064" s="559">
        <f>'Progetto del paramento slu'!$G$60*(sezione!$AO$31-C1064)/C1064</f>
        <v>8.4002318694043648E-2</v>
      </c>
      <c r="O1064" s="559">
        <f>'Progetto del paramento slu'!$G$60*(sezione!$AP$31-C1064)/C1064</f>
        <v>6.3414564789287267E-2</v>
      </c>
      <c r="P1064" s="553">
        <f>-'Progetto del paramento slu'!$G$47*'Progetto del paramento slu'!$G$41*IF(DATI!$G$218="dx",DATI!$E$61,DATI!$E$64*DATI!$E$63)*1000*C1064*sezione!$AD$5</f>
        <v>-191699.02409845314</v>
      </c>
      <c r="Q1064" s="553">
        <f>'Foglio deposito bis'!$F$58*IF(ABS(K1064)&lt;'Progetto del paramento slu'!$G$58,ABS(K1064)*'Progetto del paramento slu'!$G$54,'Progetto del paramento slu'!$G$53)*IF(K1064&lt;0,-1,1)</f>
        <v>0</v>
      </c>
      <c r="R1064" s="553">
        <f>'Foglio deposito bis'!$F$59*IF(ABS(L1064)&lt;'Progetto del paramento slu'!$G$58,ABS(L1064)*'Progetto del paramento slu'!$G$54,'Progetto del paramento slu'!$G$53)*IF(L1064&lt;0,-1,1)</f>
        <v>153664.85805602249</v>
      </c>
      <c r="S1064" s="553">
        <f>'Foglio deposito bis'!$F$60*IF(ABS(M1064)&lt;'Progetto del paramento slu'!$G$58,ABS(M1064)*'Progetto del paramento slu'!$G$54,'Progetto del paramento slu'!$G$53)*IF(M1064&lt;0,-1,1)</f>
        <v>0</v>
      </c>
      <c r="T1064" s="553">
        <f>'Foglio deposito bis'!$F$61*IF(ABS(N1064)&lt;'Progetto del paramento slu'!$G$58,ABS(N1064)*'Progetto del paramento slu'!$G$54,'Progetto del paramento slu'!$G$53)*IF(N1064&lt;0,-1,1)</f>
        <v>240946.49743184328</v>
      </c>
      <c r="U1064" s="553">
        <f>'Foglio deposito bis'!$F$62*IF(ABS(O1064)&lt;'Progetto del paramento slu'!$G$58,ABS(O1064)*'Progetto del paramento slu'!$G$54,'Progetto del paramento slu'!$G$53)*IF(O1064&lt;0,-1,1)</f>
        <v>314705.62929873407</v>
      </c>
      <c r="V1064" s="479">
        <f t="shared" si="82"/>
        <v>517617.9606881467</v>
      </c>
      <c r="W1064" s="559"/>
      <c r="X1064" s="559"/>
    </row>
    <row r="1065" spans="1:24" x14ac:dyDescent="0.25">
      <c r="A1065" s="553">
        <f t="shared" si="81"/>
        <v>514756.78122399072</v>
      </c>
      <c r="B1065" s="3">
        <f t="shared" si="83"/>
        <v>3.3999999999999959</v>
      </c>
      <c r="C1065" s="553">
        <f>'Foglio deposito bis'!$E$157/sezione!$B$247*B1065</f>
        <v>13.802619314041834</v>
      </c>
      <c r="D1065" s="611">
        <f>-'Progetto del paramento slu'!$G$47*'Progetto del paramento slu'!$G$41*IF(DATI!$G$218="dx",DATI!$E$61,DATI!$E$64*DATI!$E$63)*1000*C1065^2*sezione!$AD$5*(1-sezione!$AD$6)</f>
        <v>-1568297.2072873134</v>
      </c>
      <c r="E1065" s="553">
        <f>-'Foglio deposito bis'!$F$58*(C1065-sezione!$AL$31)*IF(ABS(K1065)&lt;'Progetto del paramento slu'!$G$58,ABS(K1065)*'Progetto del paramento slu'!$G$54,'Progetto del paramento slu'!$G$53)</f>
        <v>0</v>
      </c>
      <c r="F1065" s="553">
        <f>-'Foglio deposito bis'!$F$59*(C1065-sezione!$AM$31)*IF(ABS(L1065)&lt;'Progetto del paramento slu'!$G$58,ABS(L1065)*'Progetto del paramento slu'!$G$54,'Progetto del paramento slu'!$G$53)</f>
        <v>20928751.170709819</v>
      </c>
      <c r="G1065" s="553">
        <f>-'Foglio deposito bis'!$F$60*(C1065-sezione!$AN$31)*IF(ABS(M1065)&lt;'Progetto del paramento slu'!$G$58,ABS(M1065)*'Progetto del paramento slu'!$G$54,'Progetto del paramento slu'!$G$53)</f>
        <v>0</v>
      </c>
      <c r="H1065" s="553">
        <f>-'Foglio deposito bis'!$F$61*(C1065-sezione!$AO$31)*IF(ABS(N1065)&lt;'Progetto del paramento slu'!$G$58,ABS(N1065)*'Progetto del paramento slu'!$G$54,'Progetto del paramento slu'!$G$53)</f>
        <v>78596116.347723216</v>
      </c>
      <c r="I1065" s="479">
        <f>-'Foglio deposito bis'!$F$62*(C1065-sezione!$AP$31)*IF(ABS(O1065)&lt;'Progetto del paramento slu'!$G$58,ABS(O1065)*'Progetto del paramento slu'!$G$54,'Progetto del paramento slu'!$G$53)</f>
        <v>77480957.41697596</v>
      </c>
      <c r="J1065" s="479">
        <f t="shared" si="80"/>
        <v>175437527.7281217</v>
      </c>
      <c r="K1065" s="558">
        <f>'Progetto del paramento slu'!$G$60*(sezione!$AL$31-C1065)/C1065</f>
        <v>6.6430023399669984E-3</v>
      </c>
      <c r="L1065" s="558">
        <f>'Progetto del paramento slu'!$G$60*(sezione!$AM$31-C1065)/C1065</f>
        <v>3.453625877487624E-2</v>
      </c>
      <c r="M1065" s="559">
        <f>'Progetto del paramento slu'!$G$60*(sezione!$AN$31-C1065)/C1065</f>
        <v>6.2429515209785486E-2</v>
      </c>
      <c r="N1065" s="559">
        <f>'Progetto del paramento slu'!$G$60*(sezione!$AO$31-C1065)/C1065</f>
        <v>8.2715519889719466E-2</v>
      </c>
      <c r="O1065" s="559">
        <f>'Progetto del paramento slu'!$G$60*(sezione!$AP$31-C1065)/C1065</f>
        <v>6.2430527071797741E-2</v>
      </c>
      <c r="P1065" s="553">
        <f>-'Progetto del paramento slu'!$G$47*'Progetto del paramento slu'!$G$41*IF(DATI!$G$218="dx",DATI!$E$61,DATI!$E$64*DATI!$E$63)*1000*C1065*sezione!$AD$5</f>
        <v>-194560.20356260915</v>
      </c>
      <c r="Q1065" s="553">
        <f>'Foglio deposito bis'!$F$58*IF(ABS(K1065)&lt;'Progetto del paramento slu'!$G$58,ABS(K1065)*'Progetto del paramento slu'!$G$54,'Progetto del paramento slu'!$G$53)*IF(K1065&lt;0,-1,1)</f>
        <v>0</v>
      </c>
      <c r="R1065" s="553">
        <f>'Foglio deposito bis'!$F$59*IF(ABS(L1065)&lt;'Progetto del paramento slu'!$G$58,ABS(L1065)*'Progetto del paramento slu'!$G$54,'Progetto del paramento slu'!$G$53)*IF(L1065&lt;0,-1,1)</f>
        <v>153664.85805602249</v>
      </c>
      <c r="S1065" s="553">
        <f>'Foglio deposito bis'!$F$60*IF(ABS(M1065)&lt;'Progetto del paramento slu'!$G$58,ABS(M1065)*'Progetto del paramento slu'!$G$54,'Progetto del paramento slu'!$G$53)*IF(M1065&lt;0,-1,1)</f>
        <v>0</v>
      </c>
      <c r="T1065" s="553">
        <f>'Foglio deposito bis'!$F$61*IF(ABS(N1065)&lt;'Progetto del paramento slu'!$G$58,ABS(N1065)*'Progetto del paramento slu'!$G$54,'Progetto del paramento slu'!$G$53)*IF(N1065&lt;0,-1,1)</f>
        <v>240946.49743184328</v>
      </c>
      <c r="U1065" s="553">
        <f>'Foglio deposito bis'!$F$62*IF(ABS(O1065)&lt;'Progetto del paramento slu'!$G$58,ABS(O1065)*'Progetto del paramento slu'!$G$54,'Progetto del paramento slu'!$G$53)*IF(O1065&lt;0,-1,1)</f>
        <v>314705.62929873407</v>
      </c>
      <c r="V1065" s="479">
        <f t="shared" si="82"/>
        <v>514756.78122399072</v>
      </c>
      <c r="W1065" s="559"/>
      <c r="X1065" s="559"/>
    </row>
    <row r="1066" spans="1:24" x14ac:dyDescent="0.25">
      <c r="A1066" s="553">
        <f t="shared" si="81"/>
        <v>511895.60175983468</v>
      </c>
      <c r="B1066" s="3">
        <f t="shared" si="83"/>
        <v>3.4499999999999957</v>
      </c>
      <c r="C1066" s="553">
        <f>'Foglio deposito bis'!$E$157/sezione!$B$247*B1066</f>
        <v>14.005599009836565</v>
      </c>
      <c r="D1066" s="611">
        <f>-'Progetto del paramento slu'!$G$47*'Progetto del paramento slu'!$G$41*IF(DATI!$G$218="dx",DATI!$E$61,DATI!$E$64*DATI!$E$63)*1000*C1066^2*sezione!$AD$5*(1-sezione!$AD$6)</f>
        <v>-1614762.7603578928</v>
      </c>
      <c r="E1066" s="553">
        <f>-'Foglio deposito bis'!$F$58*(C1066-sezione!$AL$31)*IF(ABS(K1066)&lt;'Progetto del paramento slu'!$G$58,ABS(K1066)*'Progetto del paramento slu'!$G$54,'Progetto del paramento slu'!$G$53)</f>
        <v>0</v>
      </c>
      <c r="F1066" s="553">
        <f>-'Foglio deposito bis'!$F$59*(C1066-sezione!$AM$31)*IF(ABS(L1066)&lt;'Progetto del paramento slu'!$G$58,ABS(L1066)*'Progetto del paramento slu'!$G$54,'Progetto del paramento slu'!$G$53)</f>
        <v>20897560.32456727</v>
      </c>
      <c r="G1066" s="553">
        <f>-'Foglio deposito bis'!$F$60*(C1066-sezione!$AN$31)*IF(ABS(M1066)&lt;'Progetto del paramento slu'!$G$58,ABS(M1066)*'Progetto del paramento slu'!$G$54,'Progetto del paramento slu'!$G$53)</f>
        <v>0</v>
      </c>
      <c r="H1066" s="553">
        <f>-'Foglio deposito bis'!$F$61*(C1066-sezione!$AO$31)*IF(ABS(N1066)&lt;'Progetto del paramento slu'!$G$58,ABS(N1066)*'Progetto del paramento slu'!$G$54,'Progetto del paramento slu'!$G$53)</f>
        <v>78547209.100971699</v>
      </c>
      <c r="I1066" s="479">
        <f>-'Foglio deposito bis'!$F$62*(C1066-sezione!$AP$31)*IF(ABS(O1066)&lt;'Progetto del paramento slu'!$G$58,ABS(O1066)*'Progetto del paramento slu'!$G$54,'Progetto del paramento slu'!$G$53)</f>
        <v>77417078.564076021</v>
      </c>
      <c r="J1066" s="479">
        <f t="shared" si="80"/>
        <v>175247085.22925711</v>
      </c>
      <c r="K1066" s="558">
        <f>'Progetto del paramento slu'!$G$60*(sezione!$AL$31-C1066)/C1066</f>
        <v>6.4960023060544343E-3</v>
      </c>
      <c r="L1066" s="558">
        <f>'Progetto del paramento slu'!$G$60*(sezione!$AM$31-C1066)/C1066</f>
        <v>3.3985008647704124E-2</v>
      </c>
      <c r="M1066" s="559">
        <f>'Progetto del paramento slu'!$G$60*(sezione!$AN$31-C1066)/C1066</f>
        <v>6.1474014989353822E-2</v>
      </c>
      <c r="N1066" s="559">
        <f>'Progetto del paramento slu'!$G$60*(sezione!$AO$31-C1066)/C1066</f>
        <v>8.14660196014627E-2</v>
      </c>
      <c r="O1066" s="559">
        <f>'Progetto del paramento slu'!$G$60*(sezione!$AP$31-C1066)/C1066</f>
        <v>6.1475012186699228E-2</v>
      </c>
      <c r="P1066" s="553">
        <f>-'Progetto del paramento slu'!$G$47*'Progetto del paramento slu'!$G$41*IF(DATI!$G$218="dx",DATI!$E$61,DATI!$E$64*DATI!$E$63)*1000*C1066*sezione!$AD$5</f>
        <v>-197421.38302676516</v>
      </c>
      <c r="Q1066" s="553">
        <f>'Foglio deposito bis'!$F$58*IF(ABS(K1066)&lt;'Progetto del paramento slu'!$G$58,ABS(K1066)*'Progetto del paramento slu'!$G$54,'Progetto del paramento slu'!$G$53)*IF(K1066&lt;0,-1,1)</f>
        <v>0</v>
      </c>
      <c r="R1066" s="553">
        <f>'Foglio deposito bis'!$F$59*IF(ABS(L1066)&lt;'Progetto del paramento slu'!$G$58,ABS(L1066)*'Progetto del paramento slu'!$G$54,'Progetto del paramento slu'!$G$53)*IF(L1066&lt;0,-1,1)</f>
        <v>153664.85805602249</v>
      </c>
      <c r="S1066" s="553">
        <f>'Foglio deposito bis'!$F$60*IF(ABS(M1066)&lt;'Progetto del paramento slu'!$G$58,ABS(M1066)*'Progetto del paramento slu'!$G$54,'Progetto del paramento slu'!$G$53)*IF(M1066&lt;0,-1,1)</f>
        <v>0</v>
      </c>
      <c r="T1066" s="553">
        <f>'Foglio deposito bis'!$F$61*IF(ABS(N1066)&lt;'Progetto del paramento slu'!$G$58,ABS(N1066)*'Progetto del paramento slu'!$G$54,'Progetto del paramento slu'!$G$53)*IF(N1066&lt;0,-1,1)</f>
        <v>240946.49743184328</v>
      </c>
      <c r="U1066" s="553">
        <f>'Foglio deposito bis'!$F$62*IF(ABS(O1066)&lt;'Progetto del paramento slu'!$G$58,ABS(O1066)*'Progetto del paramento slu'!$G$54,'Progetto del paramento slu'!$G$53)*IF(O1066&lt;0,-1,1)</f>
        <v>314705.62929873407</v>
      </c>
      <c r="V1066" s="479">
        <f t="shared" si="82"/>
        <v>511895.60175983468</v>
      </c>
      <c r="W1066" s="559"/>
      <c r="X1066" s="559"/>
    </row>
    <row r="1067" spans="1:24" x14ac:dyDescent="0.25">
      <c r="A1067" s="553">
        <f t="shared" si="81"/>
        <v>509034.4222956787</v>
      </c>
      <c r="B1067" s="3">
        <f t="shared" si="83"/>
        <v>3.4999999999999956</v>
      </c>
      <c r="C1067" s="553">
        <f>'Foglio deposito bis'!$E$157/sezione!$B$247*B1067</f>
        <v>14.208578705631298</v>
      </c>
      <c r="D1067" s="611">
        <f>-'Progetto del paramento slu'!$G$47*'Progetto del paramento slu'!$G$41*IF(DATI!$G$218="dx",DATI!$E$61,DATI!$E$64*DATI!$E$63)*1000*C1067^2*sezione!$AD$5*(1-sezione!$AD$6)</f>
        <v>-1661906.6426703793</v>
      </c>
      <c r="E1067" s="553">
        <f>-'Foglio deposito bis'!$F$58*(C1067-sezione!$AL$31)*IF(ABS(K1067)&lt;'Progetto del paramento slu'!$G$58,ABS(K1067)*'Progetto del paramento slu'!$G$54,'Progetto del paramento slu'!$G$53)</f>
        <v>0</v>
      </c>
      <c r="F1067" s="553">
        <f>-'Foglio deposito bis'!$F$59*(C1067-sezione!$AM$31)*IF(ABS(L1067)&lt;'Progetto del paramento slu'!$G$58,ABS(L1067)*'Progetto del paramento slu'!$G$54,'Progetto del paramento slu'!$G$53)</f>
        <v>20866369.478424717</v>
      </c>
      <c r="G1067" s="553">
        <f>-'Foglio deposito bis'!$F$60*(C1067-sezione!$AN$31)*IF(ABS(M1067)&lt;'Progetto del paramento slu'!$G$58,ABS(M1067)*'Progetto del paramento slu'!$G$54,'Progetto del paramento slu'!$G$53)</f>
        <v>0</v>
      </c>
      <c r="H1067" s="553">
        <f>-'Foglio deposito bis'!$F$61*(C1067-sezione!$AO$31)*IF(ABS(N1067)&lt;'Progetto del paramento slu'!$G$58,ABS(N1067)*'Progetto del paramento slu'!$G$54,'Progetto del paramento slu'!$G$53)</f>
        <v>78498301.854220182</v>
      </c>
      <c r="I1067" s="479">
        <f>-'Foglio deposito bis'!$F$62*(C1067-sezione!$AP$31)*IF(ABS(O1067)&lt;'Progetto del paramento slu'!$G$58,ABS(O1067)*'Progetto del paramento slu'!$G$54,'Progetto del paramento slu'!$G$53)</f>
        <v>77353199.711176068</v>
      </c>
      <c r="J1067" s="479">
        <f t="shared" si="80"/>
        <v>175055964.40115058</v>
      </c>
      <c r="K1067" s="558">
        <f>'Progetto del paramento slu'!$G$60*(sezione!$AL$31-C1067)/C1067</f>
        <v>6.3532022731107992E-3</v>
      </c>
      <c r="L1067" s="558">
        <f>'Progetto del paramento slu'!$G$60*(sezione!$AM$31-C1067)/C1067</f>
        <v>3.3449508524165492E-2</v>
      </c>
      <c r="M1067" s="559">
        <f>'Progetto del paramento slu'!$G$60*(sezione!$AN$31-C1067)/C1067</f>
        <v>6.054581477522019E-2</v>
      </c>
      <c r="N1067" s="559">
        <f>'Progetto del paramento slu'!$G$60*(sezione!$AO$31-C1067)/C1067</f>
        <v>8.0252219321441789E-2</v>
      </c>
      <c r="O1067" s="559">
        <f>'Progetto del paramento slu'!$G$60*(sezione!$AP$31-C1067)/C1067</f>
        <v>6.0546797726889243E-2</v>
      </c>
      <c r="P1067" s="553">
        <f>-'Progetto del paramento slu'!$G$47*'Progetto del paramento slu'!$G$41*IF(DATI!$G$218="dx",DATI!$E$61,DATI!$E$64*DATI!$E$63)*1000*C1067*sezione!$AD$5</f>
        <v>-200282.56249092115</v>
      </c>
      <c r="Q1067" s="553">
        <f>'Foglio deposito bis'!$F$58*IF(ABS(K1067)&lt;'Progetto del paramento slu'!$G$58,ABS(K1067)*'Progetto del paramento slu'!$G$54,'Progetto del paramento slu'!$G$53)*IF(K1067&lt;0,-1,1)</f>
        <v>0</v>
      </c>
      <c r="R1067" s="553">
        <f>'Foglio deposito bis'!$F$59*IF(ABS(L1067)&lt;'Progetto del paramento slu'!$G$58,ABS(L1067)*'Progetto del paramento slu'!$G$54,'Progetto del paramento slu'!$G$53)*IF(L1067&lt;0,-1,1)</f>
        <v>153664.85805602249</v>
      </c>
      <c r="S1067" s="553">
        <f>'Foglio deposito bis'!$F$60*IF(ABS(M1067)&lt;'Progetto del paramento slu'!$G$58,ABS(M1067)*'Progetto del paramento slu'!$G$54,'Progetto del paramento slu'!$G$53)*IF(M1067&lt;0,-1,1)</f>
        <v>0</v>
      </c>
      <c r="T1067" s="553">
        <f>'Foglio deposito bis'!$F$61*IF(ABS(N1067)&lt;'Progetto del paramento slu'!$G$58,ABS(N1067)*'Progetto del paramento slu'!$G$54,'Progetto del paramento slu'!$G$53)*IF(N1067&lt;0,-1,1)</f>
        <v>240946.49743184328</v>
      </c>
      <c r="U1067" s="553">
        <f>'Foglio deposito bis'!$F$62*IF(ABS(O1067)&lt;'Progetto del paramento slu'!$G$58,ABS(O1067)*'Progetto del paramento slu'!$G$54,'Progetto del paramento slu'!$G$53)*IF(O1067&lt;0,-1,1)</f>
        <v>314705.62929873407</v>
      </c>
      <c r="V1067" s="479">
        <f t="shared" si="82"/>
        <v>509034.4222956787</v>
      </c>
      <c r="W1067" s="559"/>
      <c r="X1067" s="559"/>
    </row>
    <row r="1068" spans="1:24" x14ac:dyDescent="0.25">
      <c r="A1068" s="553">
        <f t="shared" si="81"/>
        <v>506173.24283152266</v>
      </c>
      <c r="B1068" s="3">
        <f t="shared" si="83"/>
        <v>3.5499999999999954</v>
      </c>
      <c r="C1068" s="553">
        <f>'Foglio deposito bis'!$E$157/sezione!$B$247*B1068</f>
        <v>14.411558401426031</v>
      </c>
      <c r="D1068" s="611">
        <f>-'Progetto del paramento slu'!$G$47*'Progetto del paramento slu'!$G$41*IF(DATI!$G$218="dx",DATI!$E$61,DATI!$E$64*DATI!$E$63)*1000*C1068^2*sezione!$AD$5*(1-sezione!$AD$6)</f>
        <v>-1709728.854224772</v>
      </c>
      <c r="E1068" s="553">
        <f>-'Foglio deposito bis'!$F$58*(C1068-sezione!$AL$31)*IF(ABS(K1068)&lt;'Progetto del paramento slu'!$G$58,ABS(K1068)*'Progetto del paramento slu'!$G$54,'Progetto del paramento slu'!$G$53)</f>
        <v>0</v>
      </c>
      <c r="F1068" s="553">
        <f>-'Foglio deposito bis'!$F$59*(C1068-sezione!$AM$31)*IF(ABS(L1068)&lt;'Progetto del paramento slu'!$G$58,ABS(L1068)*'Progetto del paramento slu'!$G$54,'Progetto del paramento slu'!$G$53)</f>
        <v>20835178.632282168</v>
      </c>
      <c r="G1068" s="553">
        <f>-'Foglio deposito bis'!$F$60*(C1068-sezione!$AN$31)*IF(ABS(M1068)&lt;'Progetto del paramento slu'!$G$58,ABS(M1068)*'Progetto del paramento slu'!$G$54,'Progetto del paramento slu'!$G$53)</f>
        <v>0</v>
      </c>
      <c r="H1068" s="553">
        <f>-'Foglio deposito bis'!$F$61*(C1068-sezione!$AO$31)*IF(ABS(N1068)&lt;'Progetto del paramento slu'!$G$58,ABS(N1068)*'Progetto del paramento slu'!$G$54,'Progetto del paramento slu'!$G$53)</f>
        <v>78449394.607468665</v>
      </c>
      <c r="I1068" s="479">
        <f>-'Foglio deposito bis'!$F$62*(C1068-sezione!$AP$31)*IF(ABS(O1068)&lt;'Progetto del paramento slu'!$G$58,ABS(O1068)*'Progetto del paramento slu'!$G$54,'Progetto del paramento slu'!$G$53)</f>
        <v>77289320.858276129</v>
      </c>
      <c r="J1068" s="479">
        <f t="shared" si="80"/>
        <v>174864165.24380219</v>
      </c>
      <c r="K1068" s="558">
        <f>'Progetto del paramento slu'!$G$60*(sezione!$AL$31-C1068)/C1068</f>
        <v>6.2144247763064216E-3</v>
      </c>
      <c r="L1068" s="558">
        <f>'Progetto del paramento slu'!$G$60*(sezione!$AM$31-C1068)/C1068</f>
        <v>3.2929092911149087E-2</v>
      </c>
      <c r="M1068" s="559">
        <f>'Progetto del paramento slu'!$G$60*(sezione!$AN$31-C1068)/C1068</f>
        <v>5.9643761045991742E-2</v>
      </c>
      <c r="N1068" s="559">
        <f>'Progetto del paramento slu'!$G$60*(sezione!$AO$31-C1068)/C1068</f>
        <v>7.9072610598604584E-2</v>
      </c>
      <c r="O1068" s="559">
        <f>'Progetto del paramento slu'!$G$60*(sezione!$AP$31-C1068)/C1068</f>
        <v>5.964473015327109E-2</v>
      </c>
      <c r="P1068" s="553">
        <f>-'Progetto del paramento slu'!$G$47*'Progetto del paramento slu'!$G$41*IF(DATI!$G$218="dx",DATI!$E$61,DATI!$E$64*DATI!$E$63)*1000*C1068*sezione!$AD$5</f>
        <v>-203143.74195507719</v>
      </c>
      <c r="Q1068" s="553">
        <f>'Foglio deposito bis'!$F$58*IF(ABS(K1068)&lt;'Progetto del paramento slu'!$G$58,ABS(K1068)*'Progetto del paramento slu'!$G$54,'Progetto del paramento slu'!$G$53)*IF(K1068&lt;0,-1,1)</f>
        <v>0</v>
      </c>
      <c r="R1068" s="553">
        <f>'Foglio deposito bis'!$F$59*IF(ABS(L1068)&lt;'Progetto del paramento slu'!$G$58,ABS(L1068)*'Progetto del paramento slu'!$G$54,'Progetto del paramento slu'!$G$53)*IF(L1068&lt;0,-1,1)</f>
        <v>153664.85805602249</v>
      </c>
      <c r="S1068" s="553">
        <f>'Foglio deposito bis'!$F$60*IF(ABS(M1068)&lt;'Progetto del paramento slu'!$G$58,ABS(M1068)*'Progetto del paramento slu'!$G$54,'Progetto del paramento slu'!$G$53)*IF(M1068&lt;0,-1,1)</f>
        <v>0</v>
      </c>
      <c r="T1068" s="553">
        <f>'Foglio deposito bis'!$F$61*IF(ABS(N1068)&lt;'Progetto del paramento slu'!$G$58,ABS(N1068)*'Progetto del paramento slu'!$G$54,'Progetto del paramento slu'!$G$53)*IF(N1068&lt;0,-1,1)</f>
        <v>240946.49743184328</v>
      </c>
      <c r="U1068" s="553">
        <f>'Foglio deposito bis'!$F$62*IF(ABS(O1068)&lt;'Progetto del paramento slu'!$G$58,ABS(O1068)*'Progetto del paramento slu'!$G$54,'Progetto del paramento slu'!$G$53)*IF(O1068&lt;0,-1,1)</f>
        <v>314705.62929873407</v>
      </c>
      <c r="V1068" s="479">
        <f t="shared" si="82"/>
        <v>506173.24283152266</v>
      </c>
      <c r="W1068" s="559"/>
      <c r="X1068" s="559"/>
    </row>
    <row r="1069" spans="1:24" x14ac:dyDescent="0.25">
      <c r="A1069" s="553">
        <f t="shared" si="81"/>
        <v>503312.06336736667</v>
      </c>
      <c r="B1069" s="3">
        <f t="shared" si="83"/>
        <v>3.5999999999999952</v>
      </c>
      <c r="C1069" s="553">
        <f>'Foglio deposito bis'!$E$157/sezione!$B$247*B1069</f>
        <v>14.614538097220763</v>
      </c>
      <c r="D1069" s="611">
        <f>-'Progetto del paramento slu'!$G$47*'Progetto del paramento slu'!$G$41*IF(DATI!$G$218="dx",DATI!$E$61,DATI!$E$64*DATI!$E$63)*1000*C1069^2*sezione!$AD$5*(1-sezione!$AD$6)</f>
        <v>-1758229.3950210703</v>
      </c>
      <c r="E1069" s="553">
        <f>-'Foglio deposito bis'!$F$58*(C1069-sezione!$AL$31)*IF(ABS(K1069)&lt;'Progetto del paramento slu'!$G$58,ABS(K1069)*'Progetto del paramento slu'!$G$54,'Progetto del paramento slu'!$G$53)</f>
        <v>0</v>
      </c>
      <c r="F1069" s="553">
        <f>-'Foglio deposito bis'!$F$59*(C1069-sezione!$AM$31)*IF(ABS(L1069)&lt;'Progetto del paramento slu'!$G$58,ABS(L1069)*'Progetto del paramento slu'!$G$54,'Progetto del paramento slu'!$G$53)</f>
        <v>20803987.786139615</v>
      </c>
      <c r="G1069" s="553">
        <f>-'Foglio deposito bis'!$F$60*(C1069-sezione!$AN$31)*IF(ABS(M1069)&lt;'Progetto del paramento slu'!$G$58,ABS(M1069)*'Progetto del paramento slu'!$G$54,'Progetto del paramento slu'!$G$53)</f>
        <v>0</v>
      </c>
      <c r="H1069" s="553">
        <f>-'Foglio deposito bis'!$F$61*(C1069-sezione!$AO$31)*IF(ABS(N1069)&lt;'Progetto del paramento slu'!$G$58,ABS(N1069)*'Progetto del paramento slu'!$G$54,'Progetto del paramento slu'!$G$53)</f>
        <v>78400487.360717133</v>
      </c>
      <c r="I1069" s="479">
        <f>-'Foglio deposito bis'!$F$62*(C1069-sezione!$AP$31)*IF(ABS(O1069)&lt;'Progetto del paramento slu'!$G$58,ABS(O1069)*'Progetto del paramento slu'!$G$54,'Progetto del paramento slu'!$G$53)</f>
        <v>77225442.005376175</v>
      </c>
      <c r="J1069" s="479">
        <f t="shared" si="80"/>
        <v>174671687.75721186</v>
      </c>
      <c r="K1069" s="558">
        <f>'Progetto del paramento slu'!$G$60*(sezione!$AL$31-C1069)/C1069</f>
        <v>6.0795022099688336E-3</v>
      </c>
      <c r="L1069" s="558">
        <f>'Progetto del paramento slu'!$G$60*(sezione!$AM$31-C1069)/C1069</f>
        <v>3.2423133287383124E-2</v>
      </c>
      <c r="M1069" s="559">
        <f>'Progetto del paramento slu'!$G$60*(sezione!$AN$31-C1069)/C1069</f>
        <v>5.8766764364797421E-2</v>
      </c>
      <c r="N1069" s="559">
        <f>'Progetto del paramento slu'!$G$60*(sezione!$AO$31-C1069)/C1069</f>
        <v>7.7925768784735089E-2</v>
      </c>
      <c r="O1069" s="559">
        <f>'Progetto del paramento slu'!$G$60*(sezione!$AP$31-C1069)/C1069</f>
        <v>5.8767720012253437E-2</v>
      </c>
      <c r="P1069" s="553">
        <f>-'Progetto del paramento slu'!$G$47*'Progetto del paramento slu'!$G$41*IF(DATI!$G$218="dx",DATI!$E$61,DATI!$E$64*DATI!$E$63)*1000*C1069*sezione!$AD$5</f>
        <v>-206004.92141923317</v>
      </c>
      <c r="Q1069" s="553">
        <f>'Foglio deposito bis'!$F$58*IF(ABS(K1069)&lt;'Progetto del paramento slu'!$G$58,ABS(K1069)*'Progetto del paramento slu'!$G$54,'Progetto del paramento slu'!$G$53)*IF(K1069&lt;0,-1,1)</f>
        <v>0</v>
      </c>
      <c r="R1069" s="553">
        <f>'Foglio deposito bis'!$F$59*IF(ABS(L1069)&lt;'Progetto del paramento slu'!$G$58,ABS(L1069)*'Progetto del paramento slu'!$G$54,'Progetto del paramento slu'!$G$53)*IF(L1069&lt;0,-1,1)</f>
        <v>153664.85805602249</v>
      </c>
      <c r="S1069" s="553">
        <f>'Foglio deposito bis'!$F$60*IF(ABS(M1069)&lt;'Progetto del paramento slu'!$G$58,ABS(M1069)*'Progetto del paramento slu'!$G$54,'Progetto del paramento slu'!$G$53)*IF(M1069&lt;0,-1,1)</f>
        <v>0</v>
      </c>
      <c r="T1069" s="553">
        <f>'Foglio deposito bis'!$F$61*IF(ABS(N1069)&lt;'Progetto del paramento slu'!$G$58,ABS(N1069)*'Progetto del paramento slu'!$G$54,'Progetto del paramento slu'!$G$53)*IF(N1069&lt;0,-1,1)</f>
        <v>240946.49743184328</v>
      </c>
      <c r="U1069" s="553">
        <f>'Foglio deposito bis'!$F$62*IF(ABS(O1069)&lt;'Progetto del paramento slu'!$G$58,ABS(O1069)*'Progetto del paramento slu'!$G$54,'Progetto del paramento slu'!$G$53)*IF(O1069&lt;0,-1,1)</f>
        <v>314705.62929873407</v>
      </c>
      <c r="V1069" s="479">
        <f t="shared" si="82"/>
        <v>503312.06336736667</v>
      </c>
      <c r="W1069" s="559"/>
      <c r="X1069" s="559"/>
    </row>
    <row r="1070" spans="1:24" x14ac:dyDescent="0.25">
      <c r="A1070" s="553">
        <f t="shared" si="81"/>
        <v>500450.88390321063</v>
      </c>
      <c r="B1070" s="3">
        <f t="shared" si="83"/>
        <v>3.649999999999995</v>
      </c>
      <c r="C1070" s="553">
        <f>'Foglio deposito bis'!$E$157/sezione!$B$247*B1070</f>
        <v>14.817517793015496</v>
      </c>
      <c r="D1070" s="611">
        <f>-'Progetto del paramento slu'!$G$47*'Progetto del paramento slu'!$G$41*IF(DATI!$G$218="dx",DATI!$E$61,DATI!$E$64*DATI!$E$63)*1000*C1070^2*sezione!$AD$5*(1-sezione!$AD$6)</f>
        <v>-1807408.2650592751</v>
      </c>
      <c r="E1070" s="553">
        <f>-'Foglio deposito bis'!$F$58*(C1070-sezione!$AL$31)*IF(ABS(K1070)&lt;'Progetto del paramento slu'!$G$58,ABS(K1070)*'Progetto del paramento slu'!$G$54,'Progetto del paramento slu'!$G$53)</f>
        <v>0</v>
      </c>
      <c r="F1070" s="553">
        <f>-'Foglio deposito bis'!$F$59*(C1070-sezione!$AM$31)*IF(ABS(L1070)&lt;'Progetto del paramento slu'!$G$58,ABS(L1070)*'Progetto del paramento slu'!$G$54,'Progetto del paramento slu'!$G$53)</f>
        <v>20772796.939997062</v>
      </c>
      <c r="G1070" s="553">
        <f>-'Foglio deposito bis'!$F$60*(C1070-sezione!$AN$31)*IF(ABS(M1070)&lt;'Progetto del paramento slu'!$G$58,ABS(M1070)*'Progetto del paramento slu'!$G$54,'Progetto del paramento slu'!$G$53)</f>
        <v>0</v>
      </c>
      <c r="H1070" s="553">
        <f>-'Foglio deposito bis'!$F$61*(C1070-sezione!$AO$31)*IF(ABS(N1070)&lt;'Progetto del paramento slu'!$G$58,ABS(N1070)*'Progetto del paramento slu'!$G$54,'Progetto del paramento slu'!$G$53)</f>
        <v>78351580.113965616</v>
      </c>
      <c r="I1070" s="479">
        <f>-'Foglio deposito bis'!$F$62*(C1070-sezione!$AP$31)*IF(ABS(O1070)&lt;'Progetto del paramento slu'!$G$58,ABS(O1070)*'Progetto del paramento slu'!$G$54,'Progetto del paramento slu'!$G$53)</f>
        <v>77161563.152476236</v>
      </c>
      <c r="J1070" s="479">
        <f t="shared" si="80"/>
        <v>174478531.94137964</v>
      </c>
      <c r="K1070" s="558">
        <f>'Progetto del paramento slu'!$G$60*(sezione!$AL$31-C1070)/C1070</f>
        <v>5.9482761522980264E-3</v>
      </c>
      <c r="L1070" s="558">
        <f>'Progetto del paramento slu'!$G$60*(sezione!$AM$31-C1070)/C1070</f>
        <v>3.1931035571117601E-2</v>
      </c>
      <c r="M1070" s="559">
        <f>'Progetto del paramento slu'!$G$60*(sezione!$AN$31-C1070)/C1070</f>
        <v>5.7913794989937178E-2</v>
      </c>
      <c r="N1070" s="559">
        <f>'Progetto del paramento slu'!$G$60*(sezione!$AO$31-C1070)/C1070</f>
        <v>7.6810347294533232E-2</v>
      </c>
      <c r="O1070" s="559">
        <f>'Progetto del paramento slu'!$G$60*(sezione!$AP$31-C1070)/C1070</f>
        <v>5.7914737546332154E-2</v>
      </c>
      <c r="P1070" s="553">
        <f>-'Progetto del paramento slu'!$G$47*'Progetto del paramento slu'!$G$41*IF(DATI!$G$218="dx",DATI!$E$61,DATI!$E$64*DATI!$E$63)*1000*C1070*sezione!$AD$5</f>
        <v>-208866.10088338921</v>
      </c>
      <c r="Q1070" s="553">
        <f>'Foglio deposito bis'!$F$58*IF(ABS(K1070)&lt;'Progetto del paramento slu'!$G$58,ABS(K1070)*'Progetto del paramento slu'!$G$54,'Progetto del paramento slu'!$G$53)*IF(K1070&lt;0,-1,1)</f>
        <v>0</v>
      </c>
      <c r="R1070" s="553">
        <f>'Foglio deposito bis'!$F$59*IF(ABS(L1070)&lt;'Progetto del paramento slu'!$G$58,ABS(L1070)*'Progetto del paramento slu'!$G$54,'Progetto del paramento slu'!$G$53)*IF(L1070&lt;0,-1,1)</f>
        <v>153664.85805602249</v>
      </c>
      <c r="S1070" s="553">
        <f>'Foglio deposito bis'!$F$60*IF(ABS(M1070)&lt;'Progetto del paramento slu'!$G$58,ABS(M1070)*'Progetto del paramento slu'!$G$54,'Progetto del paramento slu'!$G$53)*IF(M1070&lt;0,-1,1)</f>
        <v>0</v>
      </c>
      <c r="T1070" s="553">
        <f>'Foglio deposito bis'!$F$61*IF(ABS(N1070)&lt;'Progetto del paramento slu'!$G$58,ABS(N1070)*'Progetto del paramento slu'!$G$54,'Progetto del paramento slu'!$G$53)*IF(N1070&lt;0,-1,1)</f>
        <v>240946.49743184328</v>
      </c>
      <c r="U1070" s="553">
        <f>'Foglio deposito bis'!$F$62*IF(ABS(O1070)&lt;'Progetto del paramento slu'!$G$58,ABS(O1070)*'Progetto del paramento slu'!$G$54,'Progetto del paramento slu'!$G$53)*IF(O1070&lt;0,-1,1)</f>
        <v>314705.62929873407</v>
      </c>
      <c r="V1070" s="479">
        <f t="shared" si="82"/>
        <v>500450.88390321063</v>
      </c>
      <c r="W1070" s="559"/>
      <c r="X1070" s="559"/>
    </row>
    <row r="1071" spans="1:24" x14ac:dyDescent="0.25">
      <c r="A1071" s="553">
        <f t="shared" si="81"/>
        <v>497589.70443905459</v>
      </c>
      <c r="B1071" s="3">
        <f t="shared" si="83"/>
        <v>3.6999999999999948</v>
      </c>
      <c r="C1071" s="553">
        <f>'Foglio deposito bis'!$E$157/sezione!$B$247*B1071</f>
        <v>15.020497488810229</v>
      </c>
      <c r="D1071" s="611">
        <f>-'Progetto del paramento slu'!$G$47*'Progetto del paramento slu'!$G$41*IF(DATI!$G$218="dx",DATI!$E$61,DATI!$E$64*DATI!$E$63)*1000*C1071^2*sezione!$AD$5*(1-sezione!$AD$6)</f>
        <v>-1857265.4643393869</v>
      </c>
      <c r="E1071" s="553">
        <f>-'Foglio deposito bis'!$F$58*(C1071-sezione!$AL$31)*IF(ABS(K1071)&lt;'Progetto del paramento slu'!$G$58,ABS(K1071)*'Progetto del paramento slu'!$G$54,'Progetto del paramento slu'!$G$53)</f>
        <v>0</v>
      </c>
      <c r="F1071" s="553">
        <f>-'Foglio deposito bis'!$F$59*(C1071-sezione!$AM$31)*IF(ABS(L1071)&lt;'Progetto del paramento slu'!$G$58,ABS(L1071)*'Progetto del paramento slu'!$G$54,'Progetto del paramento slu'!$G$53)</f>
        <v>20741606.093854506</v>
      </c>
      <c r="G1071" s="553">
        <f>-'Foglio deposito bis'!$F$60*(C1071-sezione!$AN$31)*IF(ABS(M1071)&lt;'Progetto del paramento slu'!$G$58,ABS(M1071)*'Progetto del paramento slu'!$G$54,'Progetto del paramento slu'!$G$53)</f>
        <v>0</v>
      </c>
      <c r="H1071" s="553">
        <f>-'Foglio deposito bis'!$F$61*(C1071-sezione!$AO$31)*IF(ABS(N1071)&lt;'Progetto del paramento slu'!$G$58,ABS(N1071)*'Progetto del paramento slu'!$G$54,'Progetto del paramento slu'!$G$53)</f>
        <v>78302672.867214099</v>
      </c>
      <c r="I1071" s="479">
        <f>-'Foglio deposito bis'!$F$62*(C1071-sezione!$AP$31)*IF(ABS(O1071)&lt;'Progetto del paramento slu'!$G$58,ABS(O1071)*'Progetto del paramento slu'!$G$54,'Progetto del paramento slu'!$G$53)</f>
        <v>77097684.299576283</v>
      </c>
      <c r="J1071" s="479">
        <f t="shared" si="80"/>
        <v>174284697.79630551</v>
      </c>
      <c r="K1071" s="558">
        <f>'Progetto del paramento slu'!$G$60*(sezione!$AL$31-C1071)/C1071</f>
        <v>5.8205967448345403E-3</v>
      </c>
      <c r="L1071" s="558">
        <f>'Progetto del paramento slu'!$G$60*(sezione!$AM$31-C1071)/C1071</f>
        <v>3.1452237793129521E-2</v>
      </c>
      <c r="M1071" s="559">
        <f>'Progetto del paramento slu'!$G$60*(sezione!$AN$31-C1071)/C1071</f>
        <v>5.7083878841424511E-2</v>
      </c>
      <c r="N1071" s="559">
        <f>'Progetto del paramento slu'!$G$60*(sezione!$AO$31-C1071)/C1071</f>
        <v>7.5725072331093587E-2</v>
      </c>
      <c r="O1071" s="559">
        <f>'Progetto del paramento slu'!$G$60*(sezione!$AP$31-C1071)/C1071</f>
        <v>5.7084808660570911E-2</v>
      </c>
      <c r="P1071" s="553">
        <f>-'Progetto del paramento slu'!$G$47*'Progetto del paramento slu'!$G$41*IF(DATI!$G$218="dx",DATI!$E$61,DATI!$E$64*DATI!$E$63)*1000*C1071*sezione!$AD$5</f>
        <v>-211727.28034754522</v>
      </c>
      <c r="Q1071" s="553">
        <f>'Foglio deposito bis'!$F$58*IF(ABS(K1071)&lt;'Progetto del paramento slu'!$G$58,ABS(K1071)*'Progetto del paramento slu'!$G$54,'Progetto del paramento slu'!$G$53)*IF(K1071&lt;0,-1,1)</f>
        <v>0</v>
      </c>
      <c r="R1071" s="553">
        <f>'Foglio deposito bis'!$F$59*IF(ABS(L1071)&lt;'Progetto del paramento slu'!$G$58,ABS(L1071)*'Progetto del paramento slu'!$G$54,'Progetto del paramento slu'!$G$53)*IF(L1071&lt;0,-1,1)</f>
        <v>153664.85805602249</v>
      </c>
      <c r="S1071" s="553">
        <f>'Foglio deposito bis'!$F$60*IF(ABS(M1071)&lt;'Progetto del paramento slu'!$G$58,ABS(M1071)*'Progetto del paramento slu'!$G$54,'Progetto del paramento slu'!$G$53)*IF(M1071&lt;0,-1,1)</f>
        <v>0</v>
      </c>
      <c r="T1071" s="553">
        <f>'Foglio deposito bis'!$F$61*IF(ABS(N1071)&lt;'Progetto del paramento slu'!$G$58,ABS(N1071)*'Progetto del paramento slu'!$G$54,'Progetto del paramento slu'!$G$53)*IF(N1071&lt;0,-1,1)</f>
        <v>240946.49743184328</v>
      </c>
      <c r="U1071" s="553">
        <f>'Foglio deposito bis'!$F$62*IF(ABS(O1071)&lt;'Progetto del paramento slu'!$G$58,ABS(O1071)*'Progetto del paramento slu'!$G$54,'Progetto del paramento slu'!$G$53)*IF(O1071&lt;0,-1,1)</f>
        <v>314705.62929873407</v>
      </c>
      <c r="V1071" s="479">
        <f t="shared" si="82"/>
        <v>497589.70443905459</v>
      </c>
      <c r="W1071" s="559"/>
      <c r="X1071" s="559"/>
    </row>
    <row r="1072" spans="1:24" x14ac:dyDescent="0.25">
      <c r="A1072" s="553">
        <f t="shared" si="81"/>
        <v>494728.52497489867</v>
      </c>
      <c r="B1072" s="3">
        <f t="shared" si="83"/>
        <v>3.7499999999999947</v>
      </c>
      <c r="C1072" s="553">
        <f>'Foglio deposito bis'!$E$157/sezione!$B$247*B1072</f>
        <v>15.22347718460496</v>
      </c>
      <c r="D1072" s="611">
        <f>-'Progetto del paramento slu'!$G$47*'Progetto del paramento slu'!$G$41*IF(DATI!$G$218="dx",DATI!$E$61,DATI!$E$64*DATI!$E$63)*1000*C1072^2*sezione!$AD$5*(1-sezione!$AD$6)</f>
        <v>-1907800.9928614041</v>
      </c>
      <c r="E1072" s="553">
        <f>-'Foglio deposito bis'!$F$58*(C1072-sezione!$AL$31)*IF(ABS(K1072)&lt;'Progetto del paramento slu'!$G$58,ABS(K1072)*'Progetto del paramento slu'!$G$54,'Progetto del paramento slu'!$G$53)</f>
        <v>0</v>
      </c>
      <c r="F1072" s="553">
        <f>-'Foglio deposito bis'!$F$59*(C1072-sezione!$AM$31)*IF(ABS(L1072)&lt;'Progetto del paramento slu'!$G$58,ABS(L1072)*'Progetto del paramento slu'!$G$54,'Progetto del paramento slu'!$G$53)</f>
        <v>20710415.247711953</v>
      </c>
      <c r="G1072" s="553">
        <f>-'Foglio deposito bis'!$F$60*(C1072-sezione!$AN$31)*IF(ABS(M1072)&lt;'Progetto del paramento slu'!$G$58,ABS(M1072)*'Progetto del paramento slu'!$G$54,'Progetto del paramento slu'!$G$53)</f>
        <v>0</v>
      </c>
      <c r="H1072" s="553">
        <f>-'Foglio deposito bis'!$F$61*(C1072-sezione!$AO$31)*IF(ABS(N1072)&lt;'Progetto del paramento slu'!$G$58,ABS(N1072)*'Progetto del paramento slu'!$G$54,'Progetto del paramento slu'!$G$53)</f>
        <v>78253765.620462567</v>
      </c>
      <c r="I1072" s="479">
        <f>-'Foglio deposito bis'!$F$62*(C1072-sezione!$AP$31)*IF(ABS(O1072)&lt;'Progetto del paramento slu'!$G$58,ABS(O1072)*'Progetto del paramento slu'!$G$54,'Progetto del paramento slu'!$G$53)</f>
        <v>77033805.446676329</v>
      </c>
      <c r="J1072" s="479">
        <f t="shared" si="80"/>
        <v>174090185.32198945</v>
      </c>
      <c r="K1072" s="558">
        <f>'Progetto del paramento slu'!$G$60*(sezione!$AL$31-C1072)/C1072</f>
        <v>5.6963221215700806E-3</v>
      </c>
      <c r="L1072" s="558">
        <f>'Progetto del paramento slu'!$G$60*(sezione!$AM$31-C1072)/C1072</f>
        <v>3.0986207955887801E-2</v>
      </c>
      <c r="M1072" s="559">
        <f>'Progetto del paramento slu'!$G$60*(sezione!$AN$31-C1072)/C1072</f>
        <v>5.6276093790205518E-2</v>
      </c>
      <c r="N1072" s="559">
        <f>'Progetto del paramento slu'!$G$60*(sezione!$AO$31-C1072)/C1072</f>
        <v>7.4668738033345686E-2</v>
      </c>
      <c r="O1072" s="559">
        <f>'Progetto del paramento slu'!$G$60*(sezione!$AP$31-C1072)/C1072</f>
        <v>5.6277011211763303E-2</v>
      </c>
      <c r="P1072" s="553">
        <f>-'Progetto del paramento slu'!$G$47*'Progetto del paramento slu'!$G$41*IF(DATI!$G$218="dx",DATI!$E$61,DATI!$E$64*DATI!$E$63)*1000*C1072*sezione!$AD$5</f>
        <v>-214588.45981170121</v>
      </c>
      <c r="Q1072" s="553">
        <f>'Foglio deposito bis'!$F$58*IF(ABS(K1072)&lt;'Progetto del paramento slu'!$G$58,ABS(K1072)*'Progetto del paramento slu'!$G$54,'Progetto del paramento slu'!$G$53)*IF(K1072&lt;0,-1,1)</f>
        <v>0</v>
      </c>
      <c r="R1072" s="553">
        <f>'Foglio deposito bis'!$F$59*IF(ABS(L1072)&lt;'Progetto del paramento slu'!$G$58,ABS(L1072)*'Progetto del paramento slu'!$G$54,'Progetto del paramento slu'!$G$53)*IF(L1072&lt;0,-1,1)</f>
        <v>153664.85805602249</v>
      </c>
      <c r="S1072" s="553">
        <f>'Foglio deposito bis'!$F$60*IF(ABS(M1072)&lt;'Progetto del paramento slu'!$G$58,ABS(M1072)*'Progetto del paramento slu'!$G$54,'Progetto del paramento slu'!$G$53)*IF(M1072&lt;0,-1,1)</f>
        <v>0</v>
      </c>
      <c r="T1072" s="553">
        <f>'Foglio deposito bis'!$F$61*IF(ABS(N1072)&lt;'Progetto del paramento slu'!$G$58,ABS(N1072)*'Progetto del paramento slu'!$G$54,'Progetto del paramento slu'!$G$53)*IF(N1072&lt;0,-1,1)</f>
        <v>240946.49743184328</v>
      </c>
      <c r="U1072" s="553">
        <f>'Foglio deposito bis'!$F$62*IF(ABS(O1072)&lt;'Progetto del paramento slu'!$G$58,ABS(O1072)*'Progetto del paramento slu'!$G$54,'Progetto del paramento slu'!$G$53)*IF(O1072&lt;0,-1,1)</f>
        <v>314705.62929873407</v>
      </c>
      <c r="V1072" s="479">
        <f t="shared" si="82"/>
        <v>494728.52497489867</v>
      </c>
      <c r="W1072" s="559"/>
      <c r="X1072" s="559"/>
    </row>
    <row r="1073" spans="1:24" x14ac:dyDescent="0.25">
      <c r="A1073" s="553">
        <f t="shared" si="81"/>
        <v>491867.34551074263</v>
      </c>
      <c r="B1073" s="3">
        <f t="shared" si="83"/>
        <v>3.7999999999999945</v>
      </c>
      <c r="C1073" s="553">
        <f>'Foglio deposito bis'!$E$157/sezione!$B$247*B1073</f>
        <v>15.426456880399693</v>
      </c>
      <c r="D1073" s="611">
        <f>-'Progetto del paramento slu'!$G$47*'Progetto del paramento slu'!$G$41*IF(DATI!$G$218="dx",DATI!$E$61,DATI!$E$64*DATI!$E$63)*1000*C1073^2*sezione!$AD$5*(1-sezione!$AD$6)</f>
        <v>-1959014.850625328</v>
      </c>
      <c r="E1073" s="553">
        <f>-'Foglio deposito bis'!$F$58*(C1073-sezione!$AL$31)*IF(ABS(K1073)&lt;'Progetto del paramento slu'!$G$58,ABS(K1073)*'Progetto del paramento slu'!$G$54,'Progetto del paramento slu'!$G$53)</f>
        <v>0</v>
      </c>
      <c r="F1073" s="553">
        <f>-'Foglio deposito bis'!$F$59*(C1073-sezione!$AM$31)*IF(ABS(L1073)&lt;'Progetto del paramento slu'!$G$58,ABS(L1073)*'Progetto del paramento slu'!$G$54,'Progetto del paramento slu'!$G$53)</f>
        <v>20679224.401569404</v>
      </c>
      <c r="G1073" s="553">
        <f>-'Foglio deposito bis'!$F$60*(C1073-sezione!$AN$31)*IF(ABS(M1073)&lt;'Progetto del paramento slu'!$G$58,ABS(M1073)*'Progetto del paramento slu'!$G$54,'Progetto del paramento slu'!$G$53)</f>
        <v>0</v>
      </c>
      <c r="H1073" s="553">
        <f>-'Foglio deposito bis'!$F$61*(C1073-sezione!$AO$31)*IF(ABS(N1073)&lt;'Progetto del paramento slu'!$G$58,ABS(N1073)*'Progetto del paramento slu'!$G$54,'Progetto del paramento slu'!$G$53)</f>
        <v>78204858.373711035</v>
      </c>
      <c r="I1073" s="479">
        <f>-'Foglio deposito bis'!$F$62*(C1073-sezione!$AP$31)*IF(ABS(O1073)&lt;'Progetto del paramento slu'!$G$58,ABS(O1073)*'Progetto del paramento slu'!$G$54,'Progetto del paramento slu'!$G$53)</f>
        <v>76969926.59377639</v>
      </c>
      <c r="J1073" s="479">
        <f t="shared" si="80"/>
        <v>173894994.51843148</v>
      </c>
      <c r="K1073" s="558">
        <f>'Progetto del paramento slu'!$G$60*(sezione!$AL$31-C1073)/C1073</f>
        <v>5.5753178831283697E-3</v>
      </c>
      <c r="L1073" s="558">
        <f>'Progetto del paramento slu'!$G$60*(sezione!$AM$31-C1073)/C1073</f>
        <v>3.0532442061731384E-2</v>
      </c>
      <c r="M1073" s="559">
        <f>'Progetto del paramento slu'!$G$60*(sezione!$AN$31-C1073)/C1073</f>
        <v>5.5489566240334402E-2</v>
      </c>
      <c r="N1073" s="559">
        <f>'Progetto del paramento slu'!$G$60*(sezione!$AO$31-C1073)/C1073</f>
        <v>7.3640202006591132E-2</v>
      </c>
      <c r="O1073" s="559">
        <f>'Progetto del paramento slu'!$G$60*(sezione!$AP$31-C1073)/C1073</f>
        <v>5.5490471590555895E-2</v>
      </c>
      <c r="P1073" s="553">
        <f>-'Progetto del paramento slu'!$G$47*'Progetto del paramento slu'!$G$41*IF(DATI!$G$218="dx",DATI!$E$61,DATI!$E$64*DATI!$E$63)*1000*C1073*sezione!$AD$5</f>
        <v>-217449.63927585719</v>
      </c>
      <c r="Q1073" s="553">
        <f>'Foglio deposito bis'!$F$58*IF(ABS(K1073)&lt;'Progetto del paramento slu'!$G$58,ABS(K1073)*'Progetto del paramento slu'!$G$54,'Progetto del paramento slu'!$G$53)*IF(K1073&lt;0,-1,1)</f>
        <v>0</v>
      </c>
      <c r="R1073" s="553">
        <f>'Foglio deposito bis'!$F$59*IF(ABS(L1073)&lt;'Progetto del paramento slu'!$G$58,ABS(L1073)*'Progetto del paramento slu'!$G$54,'Progetto del paramento slu'!$G$53)*IF(L1073&lt;0,-1,1)</f>
        <v>153664.85805602249</v>
      </c>
      <c r="S1073" s="553">
        <f>'Foglio deposito bis'!$F$60*IF(ABS(M1073)&lt;'Progetto del paramento slu'!$G$58,ABS(M1073)*'Progetto del paramento slu'!$G$54,'Progetto del paramento slu'!$G$53)*IF(M1073&lt;0,-1,1)</f>
        <v>0</v>
      </c>
      <c r="T1073" s="553">
        <f>'Foglio deposito bis'!$F$61*IF(ABS(N1073)&lt;'Progetto del paramento slu'!$G$58,ABS(N1073)*'Progetto del paramento slu'!$G$54,'Progetto del paramento slu'!$G$53)*IF(N1073&lt;0,-1,1)</f>
        <v>240946.49743184328</v>
      </c>
      <c r="U1073" s="553">
        <f>'Foglio deposito bis'!$F$62*IF(ABS(O1073)&lt;'Progetto del paramento slu'!$G$58,ABS(O1073)*'Progetto del paramento slu'!$G$54,'Progetto del paramento slu'!$G$53)*IF(O1073&lt;0,-1,1)</f>
        <v>314705.62929873407</v>
      </c>
      <c r="V1073" s="479">
        <f t="shared" si="82"/>
        <v>491867.34551074263</v>
      </c>
      <c r="W1073" s="559"/>
      <c r="X1073" s="559"/>
    </row>
    <row r="1074" spans="1:24" x14ac:dyDescent="0.25">
      <c r="A1074" s="553">
        <f t="shared" si="81"/>
        <v>489006.16604658659</v>
      </c>
      <c r="B1074" s="3">
        <f t="shared" si="83"/>
        <v>3.8499999999999943</v>
      </c>
      <c r="C1074" s="553">
        <f>'Foglio deposito bis'!$E$157/sezione!$B$247*B1074</f>
        <v>15.629436576194426</v>
      </c>
      <c r="D1074" s="611">
        <f>-'Progetto del paramento slu'!$G$47*'Progetto del paramento slu'!$G$41*IF(DATI!$G$218="dx",DATI!$E$61,DATI!$E$64*DATI!$E$63)*1000*C1074^2*sezione!$AD$5*(1-sezione!$AD$6)</f>
        <v>-2010907.0376311583</v>
      </c>
      <c r="E1074" s="553">
        <f>-'Foglio deposito bis'!$F$58*(C1074-sezione!$AL$31)*IF(ABS(K1074)&lt;'Progetto del paramento slu'!$G$58,ABS(K1074)*'Progetto del paramento slu'!$G$54,'Progetto del paramento slu'!$G$53)</f>
        <v>0</v>
      </c>
      <c r="F1074" s="553">
        <f>-'Foglio deposito bis'!$F$59*(C1074-sezione!$AM$31)*IF(ABS(L1074)&lt;'Progetto del paramento slu'!$G$58,ABS(L1074)*'Progetto del paramento slu'!$G$54,'Progetto del paramento slu'!$G$53)</f>
        <v>20648033.555426851</v>
      </c>
      <c r="G1074" s="553">
        <f>-'Foglio deposito bis'!$F$60*(C1074-sezione!$AN$31)*IF(ABS(M1074)&lt;'Progetto del paramento slu'!$G$58,ABS(M1074)*'Progetto del paramento slu'!$G$54,'Progetto del paramento slu'!$G$53)</f>
        <v>0</v>
      </c>
      <c r="H1074" s="553">
        <f>-'Foglio deposito bis'!$F$61*(C1074-sezione!$AO$31)*IF(ABS(N1074)&lt;'Progetto del paramento slu'!$G$58,ABS(N1074)*'Progetto del paramento slu'!$G$54,'Progetto del paramento slu'!$G$53)</f>
        <v>78155951.126959518</v>
      </c>
      <c r="I1074" s="479">
        <f>-'Foglio deposito bis'!$F$62*(C1074-sezione!$AP$31)*IF(ABS(O1074)&lt;'Progetto del paramento slu'!$G$58,ABS(O1074)*'Progetto del paramento slu'!$G$54,'Progetto del paramento slu'!$G$53)</f>
        <v>76906047.740876451</v>
      </c>
      <c r="J1074" s="479">
        <f t="shared" si="80"/>
        <v>173699125.38563168</v>
      </c>
      <c r="K1074" s="558">
        <f>'Progetto del paramento slu'!$G$60*(sezione!$AL$31-C1074)/C1074</f>
        <v>5.4574566119189091E-3</v>
      </c>
      <c r="L1074" s="558">
        <f>'Progetto del paramento slu'!$G$60*(sezione!$AM$31-C1074)/C1074</f>
        <v>3.0090462294695912E-2</v>
      </c>
      <c r="M1074" s="559">
        <f>'Progetto del paramento slu'!$G$60*(sezione!$AN$31-C1074)/C1074</f>
        <v>5.4723467977472913E-2</v>
      </c>
      <c r="N1074" s="559">
        <f>'Progetto del paramento slu'!$G$60*(sezione!$AO$31-C1074)/C1074</f>
        <v>7.2638381201310734E-2</v>
      </c>
      <c r="O1074" s="559">
        <f>'Progetto del paramento slu'!$G$60*(sezione!$AP$31-C1074)/C1074</f>
        <v>5.4724361569899321E-2</v>
      </c>
      <c r="P1074" s="553">
        <f>-'Progetto del paramento slu'!$G$47*'Progetto del paramento slu'!$G$41*IF(DATI!$G$218="dx",DATI!$E$61,DATI!$E$64*DATI!$E$63)*1000*C1074*sezione!$AD$5</f>
        <v>-220310.81874001323</v>
      </c>
      <c r="Q1074" s="553">
        <f>'Foglio deposito bis'!$F$58*IF(ABS(K1074)&lt;'Progetto del paramento slu'!$G$58,ABS(K1074)*'Progetto del paramento slu'!$G$54,'Progetto del paramento slu'!$G$53)*IF(K1074&lt;0,-1,1)</f>
        <v>0</v>
      </c>
      <c r="R1074" s="553">
        <f>'Foglio deposito bis'!$F$59*IF(ABS(L1074)&lt;'Progetto del paramento slu'!$G$58,ABS(L1074)*'Progetto del paramento slu'!$G$54,'Progetto del paramento slu'!$G$53)*IF(L1074&lt;0,-1,1)</f>
        <v>153664.85805602249</v>
      </c>
      <c r="S1074" s="553">
        <f>'Foglio deposito bis'!$F$60*IF(ABS(M1074)&lt;'Progetto del paramento slu'!$G$58,ABS(M1074)*'Progetto del paramento slu'!$G$54,'Progetto del paramento slu'!$G$53)*IF(M1074&lt;0,-1,1)</f>
        <v>0</v>
      </c>
      <c r="T1074" s="553">
        <f>'Foglio deposito bis'!$F$61*IF(ABS(N1074)&lt;'Progetto del paramento slu'!$G$58,ABS(N1074)*'Progetto del paramento slu'!$G$54,'Progetto del paramento slu'!$G$53)*IF(N1074&lt;0,-1,1)</f>
        <v>240946.49743184328</v>
      </c>
      <c r="U1074" s="553">
        <f>'Foglio deposito bis'!$F$62*IF(ABS(O1074)&lt;'Progetto del paramento slu'!$G$58,ABS(O1074)*'Progetto del paramento slu'!$G$54,'Progetto del paramento slu'!$G$53)*IF(O1074&lt;0,-1,1)</f>
        <v>314705.62929873407</v>
      </c>
      <c r="V1074" s="479">
        <f t="shared" si="82"/>
        <v>489006.16604658659</v>
      </c>
      <c r="W1074" s="559"/>
      <c r="X1074" s="559"/>
    </row>
    <row r="1075" spans="1:24" x14ac:dyDescent="0.25">
      <c r="A1075" s="553">
        <f t="shared" si="81"/>
        <v>486144.98658243066</v>
      </c>
      <c r="B1075" s="3">
        <f t="shared" si="83"/>
        <v>3.8999999999999941</v>
      </c>
      <c r="C1075" s="553">
        <f>'Foglio deposito bis'!$E$157/sezione!$B$247*B1075</f>
        <v>15.832416271989157</v>
      </c>
      <c r="D1075" s="611">
        <f>-'Progetto del paramento slu'!$G$47*'Progetto del paramento slu'!$G$41*IF(DATI!$G$218="dx",DATI!$E$61,DATI!$E$64*DATI!$E$63)*1000*C1075^2*sezione!$AD$5*(1-sezione!$AD$6)</f>
        <v>-2063477.5538788943</v>
      </c>
      <c r="E1075" s="553">
        <f>-'Foglio deposito bis'!$F$58*(C1075-sezione!$AL$31)*IF(ABS(K1075)&lt;'Progetto del paramento slu'!$G$58,ABS(K1075)*'Progetto del paramento slu'!$G$54,'Progetto del paramento slu'!$G$53)</f>
        <v>0</v>
      </c>
      <c r="F1075" s="553">
        <f>-'Foglio deposito bis'!$F$59*(C1075-sezione!$AM$31)*IF(ABS(L1075)&lt;'Progetto del paramento slu'!$G$58,ABS(L1075)*'Progetto del paramento slu'!$G$54,'Progetto del paramento slu'!$G$53)</f>
        <v>20616842.709284298</v>
      </c>
      <c r="G1075" s="553">
        <f>-'Foglio deposito bis'!$F$60*(C1075-sezione!$AN$31)*IF(ABS(M1075)&lt;'Progetto del paramento slu'!$G$58,ABS(M1075)*'Progetto del paramento slu'!$G$54,'Progetto del paramento slu'!$G$53)</f>
        <v>0</v>
      </c>
      <c r="H1075" s="553">
        <f>-'Foglio deposito bis'!$F$61*(C1075-sezione!$AO$31)*IF(ABS(N1075)&lt;'Progetto del paramento slu'!$G$58,ABS(N1075)*'Progetto del paramento slu'!$G$54,'Progetto del paramento slu'!$G$53)</f>
        <v>78107043.880208015</v>
      </c>
      <c r="I1075" s="479">
        <f>-'Foglio deposito bis'!$F$62*(C1075-sezione!$AP$31)*IF(ABS(O1075)&lt;'Progetto del paramento slu'!$G$58,ABS(O1075)*'Progetto del paramento slu'!$G$54,'Progetto del paramento slu'!$G$53)</f>
        <v>76842168.887976497</v>
      </c>
      <c r="J1075" s="479">
        <f t="shared" si="80"/>
        <v>173502577.92358992</v>
      </c>
      <c r="K1075" s="558">
        <f>'Progetto del paramento slu'!$G$60*(sezione!$AL$31-C1075)/C1075</f>
        <v>5.3426174245866168E-3</v>
      </c>
      <c r="L1075" s="558">
        <f>'Progetto del paramento slu'!$G$60*(sezione!$AM$31-C1075)/C1075</f>
        <v>2.9659815342199813E-2</v>
      </c>
      <c r="M1075" s="559">
        <f>'Progetto del paramento slu'!$G$60*(sezione!$AN$31-C1075)/C1075</f>
        <v>5.3977013259813009E-2</v>
      </c>
      <c r="N1075" s="559">
        <f>'Progetto del paramento slu'!$G$60*(sezione!$AO$31-C1075)/C1075</f>
        <v>7.1662248108986248E-2</v>
      </c>
      <c r="O1075" s="559">
        <f>'Progetto del paramento slu'!$G$60*(sezione!$AP$31-C1075)/C1075</f>
        <v>5.3977895395926262E-2</v>
      </c>
      <c r="P1075" s="553">
        <f>-'Progetto del paramento slu'!$G$47*'Progetto del paramento slu'!$G$41*IF(DATI!$G$218="dx",DATI!$E$61,DATI!$E$64*DATI!$E$63)*1000*C1075*sezione!$AD$5</f>
        <v>-223171.99820416921</v>
      </c>
      <c r="Q1075" s="553">
        <f>'Foglio deposito bis'!$F$58*IF(ABS(K1075)&lt;'Progetto del paramento slu'!$G$58,ABS(K1075)*'Progetto del paramento slu'!$G$54,'Progetto del paramento slu'!$G$53)*IF(K1075&lt;0,-1,1)</f>
        <v>0</v>
      </c>
      <c r="R1075" s="553">
        <f>'Foglio deposito bis'!$F$59*IF(ABS(L1075)&lt;'Progetto del paramento slu'!$G$58,ABS(L1075)*'Progetto del paramento slu'!$G$54,'Progetto del paramento slu'!$G$53)*IF(L1075&lt;0,-1,1)</f>
        <v>153664.85805602249</v>
      </c>
      <c r="S1075" s="553">
        <f>'Foglio deposito bis'!$F$60*IF(ABS(M1075)&lt;'Progetto del paramento slu'!$G$58,ABS(M1075)*'Progetto del paramento slu'!$G$54,'Progetto del paramento slu'!$G$53)*IF(M1075&lt;0,-1,1)</f>
        <v>0</v>
      </c>
      <c r="T1075" s="553">
        <f>'Foglio deposito bis'!$F$61*IF(ABS(N1075)&lt;'Progetto del paramento slu'!$G$58,ABS(N1075)*'Progetto del paramento slu'!$G$54,'Progetto del paramento slu'!$G$53)*IF(N1075&lt;0,-1,1)</f>
        <v>240946.49743184328</v>
      </c>
      <c r="U1075" s="553">
        <f>'Foglio deposito bis'!$F$62*IF(ABS(O1075)&lt;'Progetto del paramento slu'!$G$58,ABS(O1075)*'Progetto del paramento slu'!$G$54,'Progetto del paramento slu'!$G$53)*IF(O1075&lt;0,-1,1)</f>
        <v>314705.62929873407</v>
      </c>
      <c r="V1075" s="479">
        <f t="shared" si="82"/>
        <v>486144.98658243066</v>
      </c>
      <c r="W1075" s="559"/>
      <c r="X1075" s="559"/>
    </row>
    <row r="1076" spans="1:24" x14ac:dyDescent="0.25">
      <c r="A1076" s="553">
        <f t="shared" si="81"/>
        <v>483283.80711827456</v>
      </c>
      <c r="B1076" s="3">
        <f t="shared" si="83"/>
        <v>3.949999999999994</v>
      </c>
      <c r="C1076" s="553">
        <f>'Foglio deposito bis'!$E$157/sezione!$B$247*B1076</f>
        <v>16.035395967783892</v>
      </c>
      <c r="D1076" s="611">
        <f>-'Progetto del paramento slu'!$G$47*'Progetto del paramento slu'!$G$41*IF(DATI!$G$218="dx",DATI!$E$61,DATI!$E$64*DATI!$E$63)*1000*C1076^2*sezione!$AD$5*(1-sezione!$AD$6)</f>
        <v>-2116726.3993685376</v>
      </c>
      <c r="E1076" s="553">
        <f>-'Foglio deposito bis'!$F$58*(C1076-sezione!$AL$31)*IF(ABS(K1076)&lt;'Progetto del paramento slu'!$G$58,ABS(K1076)*'Progetto del paramento slu'!$G$54,'Progetto del paramento slu'!$G$53)</f>
        <v>0</v>
      </c>
      <c r="F1076" s="553">
        <f>-'Foglio deposito bis'!$F$59*(C1076-sezione!$AM$31)*IF(ABS(L1076)&lt;'Progetto del paramento slu'!$G$58,ABS(L1076)*'Progetto del paramento slu'!$G$54,'Progetto del paramento slu'!$G$53)</f>
        <v>20585651.863141745</v>
      </c>
      <c r="G1076" s="553">
        <f>-'Foglio deposito bis'!$F$60*(C1076-sezione!$AN$31)*IF(ABS(M1076)&lt;'Progetto del paramento slu'!$G$58,ABS(M1076)*'Progetto del paramento slu'!$G$54,'Progetto del paramento slu'!$G$53)</f>
        <v>0</v>
      </c>
      <c r="H1076" s="553">
        <f>-'Foglio deposito bis'!$F$61*(C1076-sezione!$AO$31)*IF(ABS(N1076)&lt;'Progetto del paramento slu'!$G$58,ABS(N1076)*'Progetto del paramento slu'!$G$54,'Progetto del paramento slu'!$G$53)</f>
        <v>78058136.633456483</v>
      </c>
      <c r="I1076" s="479">
        <f>-'Foglio deposito bis'!$F$62*(C1076-sezione!$AP$31)*IF(ABS(O1076)&lt;'Progetto del paramento slu'!$G$58,ABS(O1076)*'Progetto del paramento slu'!$G$54,'Progetto del paramento slu'!$G$53)</f>
        <v>76778290.035076544</v>
      </c>
      <c r="J1076" s="479">
        <f t="shared" si="80"/>
        <v>173305352.13230622</v>
      </c>
      <c r="K1076" s="558">
        <f>'Progetto del paramento slu'!$G$60*(sezione!$AL$31-C1076)/C1076</f>
        <v>5.2306855584526076E-3</v>
      </c>
      <c r="L1076" s="558">
        <f>'Progetto del paramento slu'!$G$60*(sezione!$AM$31-C1076)/C1076</f>
        <v>2.9240070844197278E-2</v>
      </c>
      <c r="M1076" s="559">
        <f>'Progetto del paramento slu'!$G$60*(sezione!$AN$31-C1076)/C1076</f>
        <v>5.3249456129941947E-2</v>
      </c>
      <c r="N1076" s="559">
        <f>'Progetto del paramento slu'!$G$60*(sezione!$AO$31-C1076)/C1076</f>
        <v>7.0710827246847172E-2</v>
      </c>
      <c r="O1076" s="559">
        <f>'Progetto del paramento slu'!$G$60*(sezione!$AP$31-C1076)/C1076</f>
        <v>5.3250327099775285E-2</v>
      </c>
      <c r="P1076" s="553">
        <f>-'Progetto del paramento slu'!$G$47*'Progetto del paramento slu'!$G$41*IF(DATI!$G$218="dx",DATI!$E$61,DATI!$E$64*DATI!$E$63)*1000*C1076*sezione!$AD$5</f>
        <v>-226033.17766832528</v>
      </c>
      <c r="Q1076" s="553">
        <f>'Foglio deposito bis'!$F$58*IF(ABS(K1076)&lt;'Progetto del paramento slu'!$G$58,ABS(K1076)*'Progetto del paramento slu'!$G$54,'Progetto del paramento slu'!$G$53)*IF(K1076&lt;0,-1,1)</f>
        <v>0</v>
      </c>
      <c r="R1076" s="553">
        <f>'Foglio deposito bis'!$F$59*IF(ABS(L1076)&lt;'Progetto del paramento slu'!$G$58,ABS(L1076)*'Progetto del paramento slu'!$G$54,'Progetto del paramento slu'!$G$53)*IF(L1076&lt;0,-1,1)</f>
        <v>153664.85805602249</v>
      </c>
      <c r="S1076" s="553">
        <f>'Foglio deposito bis'!$F$60*IF(ABS(M1076)&lt;'Progetto del paramento slu'!$G$58,ABS(M1076)*'Progetto del paramento slu'!$G$54,'Progetto del paramento slu'!$G$53)*IF(M1076&lt;0,-1,1)</f>
        <v>0</v>
      </c>
      <c r="T1076" s="553">
        <f>'Foglio deposito bis'!$F$61*IF(ABS(N1076)&lt;'Progetto del paramento slu'!$G$58,ABS(N1076)*'Progetto del paramento slu'!$G$54,'Progetto del paramento slu'!$G$53)*IF(N1076&lt;0,-1,1)</f>
        <v>240946.49743184328</v>
      </c>
      <c r="U1076" s="553">
        <f>'Foglio deposito bis'!$F$62*IF(ABS(O1076)&lt;'Progetto del paramento slu'!$G$58,ABS(O1076)*'Progetto del paramento slu'!$G$54,'Progetto del paramento slu'!$G$53)*IF(O1076&lt;0,-1,1)</f>
        <v>314705.62929873407</v>
      </c>
      <c r="V1076" s="479">
        <f t="shared" si="82"/>
        <v>483283.80711827456</v>
      </c>
      <c r="W1076" s="559"/>
      <c r="X1076" s="559"/>
    </row>
    <row r="1077" spans="1:24" x14ac:dyDescent="0.25">
      <c r="A1077" s="553">
        <f t="shared" si="81"/>
        <v>480422.62765411858</v>
      </c>
      <c r="B1077" s="3">
        <f t="shared" si="83"/>
        <v>3.9999999999999938</v>
      </c>
      <c r="C1077" s="553">
        <f>'Foglio deposito bis'!$E$157/sezione!$B$247*B1077</f>
        <v>16.238375663578623</v>
      </c>
      <c r="D1077" s="611">
        <f>-'Progetto del paramento slu'!$G$47*'Progetto del paramento slu'!$G$41*IF(DATI!$G$218="dx",DATI!$E$61,DATI!$E$64*DATI!$E$63)*1000*C1077^2*sezione!$AD$5*(1-sezione!$AD$6)</f>
        <v>-2170653.574100086</v>
      </c>
      <c r="E1077" s="553">
        <f>-'Foglio deposito bis'!$F$58*(C1077-sezione!$AL$31)*IF(ABS(K1077)&lt;'Progetto del paramento slu'!$G$58,ABS(K1077)*'Progetto del paramento slu'!$G$54,'Progetto del paramento slu'!$G$53)</f>
        <v>0</v>
      </c>
      <c r="F1077" s="553">
        <f>-'Foglio deposito bis'!$F$59*(C1077-sezione!$AM$31)*IF(ABS(L1077)&lt;'Progetto del paramento slu'!$G$58,ABS(L1077)*'Progetto del paramento slu'!$G$54,'Progetto del paramento slu'!$G$53)</f>
        <v>20554461.016999196</v>
      </c>
      <c r="G1077" s="553">
        <f>-'Foglio deposito bis'!$F$60*(C1077-sezione!$AN$31)*IF(ABS(M1077)&lt;'Progetto del paramento slu'!$G$58,ABS(M1077)*'Progetto del paramento slu'!$G$54,'Progetto del paramento slu'!$G$53)</f>
        <v>0</v>
      </c>
      <c r="H1077" s="553">
        <f>-'Foglio deposito bis'!$F$61*(C1077-sezione!$AO$31)*IF(ABS(N1077)&lt;'Progetto del paramento slu'!$G$58,ABS(N1077)*'Progetto del paramento slu'!$G$54,'Progetto del paramento slu'!$G$53)</f>
        <v>78009229.386704966</v>
      </c>
      <c r="I1077" s="479">
        <f>-'Foglio deposito bis'!$F$62*(C1077-sezione!$AP$31)*IF(ABS(O1077)&lt;'Progetto del paramento slu'!$G$58,ABS(O1077)*'Progetto del paramento slu'!$G$54,'Progetto del paramento slu'!$G$53)</f>
        <v>76714411.182176605</v>
      </c>
      <c r="J1077" s="479">
        <f t="shared" si="80"/>
        <v>173107448.01178068</v>
      </c>
      <c r="K1077" s="558">
        <f>'Progetto del paramento slu'!$G$60*(sezione!$AL$31-C1077)/C1077</f>
        <v>5.1215519889719506E-3</v>
      </c>
      <c r="L1077" s="558">
        <f>'Progetto del paramento slu'!$G$60*(sezione!$AM$31-C1077)/C1077</f>
        <v>2.883081995864482E-2</v>
      </c>
      <c r="M1077" s="559">
        <f>'Progetto del paramento slu'!$G$60*(sezione!$AN$31-C1077)/C1077</f>
        <v>5.2540087928317686E-2</v>
      </c>
      <c r="N1077" s="559">
        <f>'Progetto del paramento slu'!$G$60*(sezione!$AO$31-C1077)/C1077</f>
        <v>6.9783191906261588E-2</v>
      </c>
      <c r="O1077" s="559">
        <f>'Progetto del paramento slu'!$G$60*(sezione!$AP$31-C1077)/C1077</f>
        <v>5.2540948011028106E-2</v>
      </c>
      <c r="P1077" s="553">
        <f>-'Progetto del paramento slu'!$G$47*'Progetto del paramento slu'!$G$41*IF(DATI!$G$218="dx",DATI!$E$61,DATI!$E$64*DATI!$E$63)*1000*C1077*sezione!$AD$5</f>
        <v>-228894.35713248127</v>
      </c>
      <c r="Q1077" s="553">
        <f>'Foglio deposito bis'!$F$58*IF(ABS(K1077)&lt;'Progetto del paramento slu'!$G$58,ABS(K1077)*'Progetto del paramento slu'!$G$54,'Progetto del paramento slu'!$G$53)*IF(K1077&lt;0,-1,1)</f>
        <v>0</v>
      </c>
      <c r="R1077" s="553">
        <f>'Foglio deposito bis'!$F$59*IF(ABS(L1077)&lt;'Progetto del paramento slu'!$G$58,ABS(L1077)*'Progetto del paramento slu'!$G$54,'Progetto del paramento slu'!$G$53)*IF(L1077&lt;0,-1,1)</f>
        <v>153664.85805602249</v>
      </c>
      <c r="S1077" s="553">
        <f>'Foglio deposito bis'!$F$60*IF(ABS(M1077)&lt;'Progetto del paramento slu'!$G$58,ABS(M1077)*'Progetto del paramento slu'!$G$54,'Progetto del paramento slu'!$G$53)*IF(M1077&lt;0,-1,1)</f>
        <v>0</v>
      </c>
      <c r="T1077" s="553">
        <f>'Foglio deposito bis'!$F$61*IF(ABS(N1077)&lt;'Progetto del paramento slu'!$G$58,ABS(N1077)*'Progetto del paramento slu'!$G$54,'Progetto del paramento slu'!$G$53)*IF(N1077&lt;0,-1,1)</f>
        <v>240946.49743184328</v>
      </c>
      <c r="U1077" s="553">
        <f>'Foglio deposito bis'!$F$62*IF(ABS(O1077)&lt;'Progetto del paramento slu'!$G$58,ABS(O1077)*'Progetto del paramento slu'!$G$54,'Progetto del paramento slu'!$G$53)*IF(O1077&lt;0,-1,1)</f>
        <v>314705.62929873407</v>
      </c>
      <c r="V1077" s="479">
        <f t="shared" si="82"/>
        <v>480422.62765411858</v>
      </c>
      <c r="W1077" s="559"/>
      <c r="X1077" s="559"/>
    </row>
    <row r="1078" spans="1:24" x14ac:dyDescent="0.25">
      <c r="A1078" s="553">
        <f t="shared" si="81"/>
        <v>477561.4481899626</v>
      </c>
      <c r="B1078" s="3">
        <f t="shared" si="83"/>
        <v>4.0499999999999936</v>
      </c>
      <c r="C1078" s="553">
        <f>'Foglio deposito bis'!$E$157/sezione!$B$247*B1078</f>
        <v>16.441355359373354</v>
      </c>
      <c r="D1078" s="611">
        <f>-'Progetto del paramento slu'!$G$47*'Progetto del paramento slu'!$G$41*IF(DATI!$G$218="dx",DATI!$E$61,DATI!$E$64*DATI!$E$63)*1000*C1078^2*sezione!$AD$5*(1-sezione!$AD$6)</f>
        <v>-2225259.0780735407</v>
      </c>
      <c r="E1078" s="553">
        <f>-'Foglio deposito bis'!$F$58*(C1078-sezione!$AL$31)*IF(ABS(K1078)&lt;'Progetto del paramento slu'!$G$58,ABS(K1078)*'Progetto del paramento slu'!$G$54,'Progetto del paramento slu'!$G$53)</f>
        <v>0</v>
      </c>
      <c r="F1078" s="553">
        <f>-'Foglio deposito bis'!$F$59*(C1078-sezione!$AM$31)*IF(ABS(L1078)&lt;'Progetto del paramento slu'!$G$58,ABS(L1078)*'Progetto del paramento slu'!$G$54,'Progetto del paramento slu'!$G$53)</f>
        <v>20523270.170856643</v>
      </c>
      <c r="G1078" s="553">
        <f>-'Foglio deposito bis'!$F$60*(C1078-sezione!$AN$31)*IF(ABS(M1078)&lt;'Progetto del paramento slu'!$G$58,ABS(M1078)*'Progetto del paramento slu'!$G$54,'Progetto del paramento slu'!$G$53)</f>
        <v>0</v>
      </c>
      <c r="H1078" s="553">
        <f>-'Foglio deposito bis'!$F$61*(C1078-sezione!$AO$31)*IF(ABS(N1078)&lt;'Progetto del paramento slu'!$G$58,ABS(N1078)*'Progetto del paramento slu'!$G$54,'Progetto del paramento slu'!$G$53)</f>
        <v>77960322.139953434</v>
      </c>
      <c r="I1078" s="479">
        <f>-'Foglio deposito bis'!$F$62*(C1078-sezione!$AP$31)*IF(ABS(O1078)&lt;'Progetto del paramento slu'!$G$58,ABS(O1078)*'Progetto del paramento slu'!$G$54,'Progetto del paramento slu'!$G$53)</f>
        <v>76650532.329276651</v>
      </c>
      <c r="J1078" s="479">
        <f t="shared" si="80"/>
        <v>172908865.56201318</v>
      </c>
      <c r="K1078" s="558">
        <f>'Progetto del paramento slu'!$G$60*(sezione!$AL$31-C1078)/C1078</f>
        <v>5.0151130755278538E-3</v>
      </c>
      <c r="L1078" s="558">
        <f>'Progetto del paramento slu'!$G$60*(sezione!$AM$31-C1078)/C1078</f>
        <v>2.8431674033229454E-2</v>
      </c>
      <c r="M1078" s="559">
        <f>'Progetto del paramento slu'!$G$60*(sezione!$AN$31-C1078)/C1078</f>
        <v>5.1848234990931052E-2</v>
      </c>
      <c r="N1078" s="559">
        <f>'Progetto del paramento slu'!$G$60*(sezione!$AO$31-C1078)/C1078</f>
        <v>6.8878461141986758E-2</v>
      </c>
      <c r="O1078" s="559">
        <f>'Progetto del paramento slu'!$G$60*(sezione!$AP$31-C1078)/C1078</f>
        <v>5.1849084455336404E-2</v>
      </c>
      <c r="P1078" s="553">
        <f>-'Progetto del paramento slu'!$G$47*'Progetto del paramento slu'!$G$41*IF(DATI!$G$218="dx",DATI!$E$61,DATI!$E$64*DATI!$E$63)*1000*C1078*sezione!$AD$5</f>
        <v>-231755.53659663725</v>
      </c>
      <c r="Q1078" s="553">
        <f>'Foglio deposito bis'!$F$58*IF(ABS(K1078)&lt;'Progetto del paramento slu'!$G$58,ABS(K1078)*'Progetto del paramento slu'!$G$54,'Progetto del paramento slu'!$G$53)*IF(K1078&lt;0,-1,1)</f>
        <v>0</v>
      </c>
      <c r="R1078" s="553">
        <f>'Foglio deposito bis'!$F$59*IF(ABS(L1078)&lt;'Progetto del paramento slu'!$G$58,ABS(L1078)*'Progetto del paramento slu'!$G$54,'Progetto del paramento slu'!$G$53)*IF(L1078&lt;0,-1,1)</f>
        <v>153664.85805602249</v>
      </c>
      <c r="S1078" s="553">
        <f>'Foglio deposito bis'!$F$60*IF(ABS(M1078)&lt;'Progetto del paramento slu'!$G$58,ABS(M1078)*'Progetto del paramento slu'!$G$54,'Progetto del paramento slu'!$G$53)*IF(M1078&lt;0,-1,1)</f>
        <v>0</v>
      </c>
      <c r="T1078" s="553">
        <f>'Foglio deposito bis'!$F$61*IF(ABS(N1078)&lt;'Progetto del paramento slu'!$G$58,ABS(N1078)*'Progetto del paramento slu'!$G$54,'Progetto del paramento slu'!$G$53)*IF(N1078&lt;0,-1,1)</f>
        <v>240946.49743184328</v>
      </c>
      <c r="U1078" s="553">
        <f>'Foglio deposito bis'!$F$62*IF(ABS(O1078)&lt;'Progetto del paramento slu'!$G$58,ABS(O1078)*'Progetto del paramento slu'!$G$54,'Progetto del paramento slu'!$G$53)*IF(O1078&lt;0,-1,1)</f>
        <v>314705.62929873407</v>
      </c>
      <c r="V1078" s="479">
        <f t="shared" si="82"/>
        <v>477561.4481899626</v>
      </c>
      <c r="W1078" s="559"/>
      <c r="X1078" s="559"/>
    </row>
    <row r="1079" spans="1:24" x14ac:dyDescent="0.25">
      <c r="A1079" s="553">
        <f t="shared" si="81"/>
        <v>474700.26872580656</v>
      </c>
      <c r="B1079" s="3">
        <f t="shared" si="83"/>
        <v>4.0999999999999934</v>
      </c>
      <c r="C1079" s="553">
        <f>'Foglio deposito bis'!$E$157/sezione!$B$247*B1079</f>
        <v>16.644335055168089</v>
      </c>
      <c r="D1079" s="611">
        <f>-'Progetto del paramento slu'!$G$47*'Progetto del paramento slu'!$G$41*IF(DATI!$G$218="dx",DATI!$E$61,DATI!$E$64*DATI!$E$63)*1000*C1079^2*sezione!$AD$5*(1-sezione!$AD$6)</f>
        <v>-2280542.9112889031</v>
      </c>
      <c r="E1079" s="553">
        <f>-'Foglio deposito bis'!$F$58*(C1079-sezione!$AL$31)*IF(ABS(K1079)&lt;'Progetto del paramento slu'!$G$58,ABS(K1079)*'Progetto del paramento slu'!$G$54,'Progetto del paramento slu'!$G$53)</f>
        <v>0</v>
      </c>
      <c r="F1079" s="553">
        <f>-'Foglio deposito bis'!$F$59*(C1079-sezione!$AM$31)*IF(ABS(L1079)&lt;'Progetto del paramento slu'!$G$58,ABS(L1079)*'Progetto del paramento slu'!$G$54,'Progetto del paramento slu'!$G$53)</f>
        <v>20492079.324714091</v>
      </c>
      <c r="G1079" s="553">
        <f>-'Foglio deposito bis'!$F$60*(C1079-sezione!$AN$31)*IF(ABS(M1079)&lt;'Progetto del paramento slu'!$G$58,ABS(M1079)*'Progetto del paramento slu'!$G$54,'Progetto del paramento slu'!$G$53)</f>
        <v>0</v>
      </c>
      <c r="H1079" s="553">
        <f>-'Foglio deposito bis'!$F$61*(C1079-sezione!$AO$31)*IF(ABS(N1079)&lt;'Progetto del paramento slu'!$G$58,ABS(N1079)*'Progetto del paramento slu'!$G$54,'Progetto del paramento slu'!$G$53)</f>
        <v>77911414.893201917</v>
      </c>
      <c r="I1079" s="479">
        <f>-'Foglio deposito bis'!$F$62*(C1079-sezione!$AP$31)*IF(ABS(O1079)&lt;'Progetto del paramento slu'!$G$58,ABS(O1079)*'Progetto del paramento slu'!$G$54,'Progetto del paramento slu'!$G$53)</f>
        <v>76586653.476376712</v>
      </c>
      <c r="J1079" s="479">
        <f t="shared" si="80"/>
        <v>172709604.78300381</v>
      </c>
      <c r="K1079" s="558">
        <f>'Progetto del paramento slu'!$G$60*(sezione!$AL$31-C1079)/C1079</f>
        <v>4.9112702331433672E-3</v>
      </c>
      <c r="L1079" s="558">
        <f>'Progetto del paramento slu'!$G$60*(sezione!$AM$31-C1079)/C1079</f>
        <v>2.8042263374287626E-2</v>
      </c>
      <c r="M1079" s="559">
        <f>'Progetto del paramento slu'!$G$60*(sezione!$AN$31-C1079)/C1079</f>
        <v>5.1173256515431885E-2</v>
      </c>
      <c r="N1079" s="559">
        <f>'Progetto del paramento slu'!$G$60*(sezione!$AO$31-C1079)/C1079</f>
        <v>6.799579698171862E-2</v>
      </c>
      <c r="O1079" s="559">
        <f>'Progetto del paramento slu'!$G$60*(sezione!$AP$31-C1079)/C1079</f>
        <v>5.1174095620515225E-2</v>
      </c>
      <c r="P1079" s="553">
        <f>-'Progetto del paramento slu'!$G$47*'Progetto del paramento slu'!$G$41*IF(DATI!$G$218="dx",DATI!$E$61,DATI!$E$64*DATI!$E$63)*1000*C1079*sezione!$AD$5</f>
        <v>-234616.71606079329</v>
      </c>
      <c r="Q1079" s="553">
        <f>'Foglio deposito bis'!$F$58*IF(ABS(K1079)&lt;'Progetto del paramento slu'!$G$58,ABS(K1079)*'Progetto del paramento slu'!$G$54,'Progetto del paramento slu'!$G$53)*IF(K1079&lt;0,-1,1)</f>
        <v>0</v>
      </c>
      <c r="R1079" s="553">
        <f>'Foglio deposito bis'!$F$59*IF(ABS(L1079)&lt;'Progetto del paramento slu'!$G$58,ABS(L1079)*'Progetto del paramento slu'!$G$54,'Progetto del paramento slu'!$G$53)*IF(L1079&lt;0,-1,1)</f>
        <v>153664.85805602249</v>
      </c>
      <c r="S1079" s="553">
        <f>'Foglio deposito bis'!$F$60*IF(ABS(M1079)&lt;'Progetto del paramento slu'!$G$58,ABS(M1079)*'Progetto del paramento slu'!$G$54,'Progetto del paramento slu'!$G$53)*IF(M1079&lt;0,-1,1)</f>
        <v>0</v>
      </c>
      <c r="T1079" s="553">
        <f>'Foglio deposito bis'!$F$61*IF(ABS(N1079)&lt;'Progetto del paramento slu'!$G$58,ABS(N1079)*'Progetto del paramento slu'!$G$54,'Progetto del paramento slu'!$G$53)*IF(N1079&lt;0,-1,1)</f>
        <v>240946.49743184328</v>
      </c>
      <c r="U1079" s="553">
        <f>'Foglio deposito bis'!$F$62*IF(ABS(O1079)&lt;'Progetto del paramento slu'!$G$58,ABS(O1079)*'Progetto del paramento slu'!$G$54,'Progetto del paramento slu'!$G$53)*IF(O1079&lt;0,-1,1)</f>
        <v>314705.62929873407</v>
      </c>
      <c r="V1079" s="479">
        <f t="shared" si="82"/>
        <v>474700.26872580656</v>
      </c>
      <c r="W1079" s="559"/>
      <c r="X1079" s="559"/>
    </row>
    <row r="1080" spans="1:24" x14ac:dyDescent="0.25">
      <c r="A1080" s="553">
        <f t="shared" si="81"/>
        <v>471839.08926165057</v>
      </c>
      <c r="B1080" s="3">
        <f t="shared" si="83"/>
        <v>4.1499999999999932</v>
      </c>
      <c r="C1080" s="553">
        <f>'Foglio deposito bis'!$E$157/sezione!$B$247*B1080</f>
        <v>16.84731475096282</v>
      </c>
      <c r="D1080" s="611">
        <f>-'Progetto del paramento slu'!$G$47*'Progetto del paramento slu'!$G$41*IF(DATI!$G$218="dx",DATI!$E$61,DATI!$E$64*DATI!$E$63)*1000*C1080^2*sezione!$AD$5*(1-sezione!$AD$6)</f>
        <v>-2336505.0737461708</v>
      </c>
      <c r="E1080" s="553">
        <f>-'Foglio deposito bis'!$F$58*(C1080-sezione!$AL$31)*IF(ABS(K1080)&lt;'Progetto del paramento slu'!$G$58,ABS(K1080)*'Progetto del paramento slu'!$G$54,'Progetto del paramento slu'!$G$53)</f>
        <v>0</v>
      </c>
      <c r="F1080" s="553">
        <f>-'Foglio deposito bis'!$F$59*(C1080-sezione!$AM$31)*IF(ABS(L1080)&lt;'Progetto del paramento slu'!$G$58,ABS(L1080)*'Progetto del paramento slu'!$G$54,'Progetto del paramento slu'!$G$53)</f>
        <v>20460888.478571538</v>
      </c>
      <c r="G1080" s="553">
        <f>-'Foglio deposito bis'!$F$60*(C1080-sezione!$AN$31)*IF(ABS(M1080)&lt;'Progetto del paramento slu'!$G$58,ABS(M1080)*'Progetto del paramento slu'!$G$54,'Progetto del paramento slu'!$G$53)</f>
        <v>0</v>
      </c>
      <c r="H1080" s="553">
        <f>-'Foglio deposito bis'!$F$61*(C1080-sezione!$AO$31)*IF(ABS(N1080)&lt;'Progetto del paramento slu'!$G$58,ABS(N1080)*'Progetto del paramento slu'!$G$54,'Progetto del paramento slu'!$G$53)</f>
        <v>77862507.6464504</v>
      </c>
      <c r="I1080" s="479">
        <f>-'Foglio deposito bis'!$F$62*(C1080-sezione!$AP$31)*IF(ABS(O1080)&lt;'Progetto del paramento slu'!$G$58,ABS(O1080)*'Progetto del paramento slu'!$G$54,'Progetto del paramento slu'!$G$53)</f>
        <v>76522774.623476759</v>
      </c>
      <c r="J1080" s="479">
        <f t="shared" si="80"/>
        <v>172509665.67475253</v>
      </c>
      <c r="K1080" s="558">
        <f>'Progetto del paramento slu'!$G$60*(sezione!$AL$31-C1080)/C1080</f>
        <v>4.8099296279247731E-3</v>
      </c>
      <c r="L1080" s="558">
        <f>'Progetto del paramento slu'!$G$60*(sezione!$AM$31-C1080)/C1080</f>
        <v>2.7662236104717897E-2</v>
      </c>
      <c r="M1080" s="559">
        <f>'Progetto del paramento slu'!$G$60*(sezione!$AN$31-C1080)/C1080</f>
        <v>5.0514542581511022E-2</v>
      </c>
      <c r="N1080" s="559">
        <f>'Progetto del paramento slu'!$G$60*(sezione!$AO$31-C1080)/C1080</f>
        <v>6.713440183736058E-2</v>
      </c>
      <c r="O1080" s="559">
        <f>'Progetto del paramento slu'!$G$60*(sezione!$AP$31-C1080)/C1080</f>
        <v>5.0515371576894556E-2</v>
      </c>
      <c r="P1080" s="553">
        <f>-'Progetto del paramento slu'!$G$47*'Progetto del paramento slu'!$G$41*IF(DATI!$G$218="dx",DATI!$E$61,DATI!$E$64*DATI!$E$63)*1000*C1080*sezione!$AD$5</f>
        <v>-237477.8955249493</v>
      </c>
      <c r="Q1080" s="553">
        <f>'Foglio deposito bis'!$F$58*IF(ABS(K1080)&lt;'Progetto del paramento slu'!$G$58,ABS(K1080)*'Progetto del paramento slu'!$G$54,'Progetto del paramento slu'!$G$53)*IF(K1080&lt;0,-1,1)</f>
        <v>0</v>
      </c>
      <c r="R1080" s="553">
        <f>'Foglio deposito bis'!$F$59*IF(ABS(L1080)&lt;'Progetto del paramento slu'!$G$58,ABS(L1080)*'Progetto del paramento slu'!$G$54,'Progetto del paramento slu'!$G$53)*IF(L1080&lt;0,-1,1)</f>
        <v>153664.85805602249</v>
      </c>
      <c r="S1080" s="553">
        <f>'Foglio deposito bis'!$F$60*IF(ABS(M1080)&lt;'Progetto del paramento slu'!$G$58,ABS(M1080)*'Progetto del paramento slu'!$G$54,'Progetto del paramento slu'!$G$53)*IF(M1080&lt;0,-1,1)</f>
        <v>0</v>
      </c>
      <c r="T1080" s="553">
        <f>'Foglio deposito bis'!$F$61*IF(ABS(N1080)&lt;'Progetto del paramento slu'!$G$58,ABS(N1080)*'Progetto del paramento slu'!$G$54,'Progetto del paramento slu'!$G$53)*IF(N1080&lt;0,-1,1)</f>
        <v>240946.49743184328</v>
      </c>
      <c r="U1080" s="553">
        <f>'Foglio deposito bis'!$F$62*IF(ABS(O1080)&lt;'Progetto del paramento slu'!$G$58,ABS(O1080)*'Progetto del paramento slu'!$G$54,'Progetto del paramento slu'!$G$53)*IF(O1080&lt;0,-1,1)</f>
        <v>314705.62929873407</v>
      </c>
      <c r="V1080" s="479">
        <f t="shared" si="82"/>
        <v>471839.08926165057</v>
      </c>
      <c r="W1080" s="559"/>
      <c r="X1080" s="559"/>
    </row>
    <row r="1081" spans="1:24" x14ac:dyDescent="0.25">
      <c r="A1081" s="553">
        <f t="shared" si="81"/>
        <v>468977.90979749453</v>
      </c>
      <c r="B1081" s="3">
        <f t="shared" si="83"/>
        <v>4.1999999999999931</v>
      </c>
      <c r="C1081" s="553">
        <f>'Foglio deposito bis'!$E$157/sezione!$B$247*B1081</f>
        <v>17.050294446757551</v>
      </c>
      <c r="D1081" s="611">
        <f>-'Progetto del paramento slu'!$G$47*'Progetto del paramento slu'!$G$41*IF(DATI!$G$218="dx",DATI!$E$61,DATI!$E$64*DATI!$E$63)*1000*C1081^2*sezione!$AD$5*(1-sezione!$AD$6)</f>
        <v>-2393145.5654453444</v>
      </c>
      <c r="E1081" s="553">
        <f>-'Foglio deposito bis'!$F$58*(C1081-sezione!$AL$31)*IF(ABS(K1081)&lt;'Progetto del paramento slu'!$G$58,ABS(K1081)*'Progetto del paramento slu'!$G$54,'Progetto del paramento slu'!$G$53)</f>
        <v>0</v>
      </c>
      <c r="F1081" s="553">
        <f>-'Foglio deposito bis'!$F$59*(C1081-sezione!$AM$31)*IF(ABS(L1081)&lt;'Progetto del paramento slu'!$G$58,ABS(L1081)*'Progetto del paramento slu'!$G$54,'Progetto del paramento slu'!$G$53)</f>
        <v>20429697.632428985</v>
      </c>
      <c r="G1081" s="553">
        <f>-'Foglio deposito bis'!$F$60*(C1081-sezione!$AN$31)*IF(ABS(M1081)&lt;'Progetto del paramento slu'!$G$58,ABS(M1081)*'Progetto del paramento slu'!$G$54,'Progetto del paramento slu'!$G$53)</f>
        <v>0</v>
      </c>
      <c r="H1081" s="553">
        <f>-'Foglio deposito bis'!$F$61*(C1081-sezione!$AO$31)*IF(ABS(N1081)&lt;'Progetto del paramento slu'!$G$58,ABS(N1081)*'Progetto del paramento slu'!$G$54,'Progetto del paramento slu'!$G$53)</f>
        <v>77813600.399698868</v>
      </c>
      <c r="I1081" s="479">
        <f>-'Foglio deposito bis'!$F$62*(C1081-sezione!$AP$31)*IF(ABS(O1081)&lt;'Progetto del paramento slu'!$G$58,ABS(O1081)*'Progetto del paramento slu'!$G$54,'Progetto del paramento slu'!$G$53)</f>
        <v>76458895.770576805</v>
      </c>
      <c r="J1081" s="479">
        <f t="shared" si="80"/>
        <v>172309048.23725933</v>
      </c>
      <c r="K1081" s="558">
        <f>'Progetto del paramento slu'!$G$60*(sezione!$AL$31-C1081)/C1081</f>
        <v>4.711001894259003E-3</v>
      </c>
      <c r="L1081" s="558">
        <f>'Progetto del paramento slu'!$G$60*(sezione!$AM$31-C1081)/C1081</f>
        <v>2.7291257103471255E-2</v>
      </c>
      <c r="M1081" s="559">
        <f>'Progetto del paramento slu'!$G$60*(sezione!$AN$31-C1081)/C1081</f>
        <v>4.9871512312683518E-2</v>
      </c>
      <c r="N1081" s="559">
        <f>'Progetto del paramento slu'!$G$60*(sezione!$AO$31-C1081)/C1081</f>
        <v>6.6293516101201516E-2</v>
      </c>
      <c r="O1081" s="559">
        <f>'Progetto del paramento slu'!$G$60*(sezione!$AP$31-C1081)/C1081</f>
        <v>4.9872331439074387E-2</v>
      </c>
      <c r="P1081" s="553">
        <f>-'Progetto del paramento slu'!$G$47*'Progetto del paramento slu'!$G$41*IF(DATI!$G$218="dx",DATI!$E$61,DATI!$E$64*DATI!$E$63)*1000*C1081*sezione!$AD$5</f>
        <v>-240339.07498910531</v>
      </c>
      <c r="Q1081" s="553">
        <f>'Foglio deposito bis'!$F$58*IF(ABS(K1081)&lt;'Progetto del paramento slu'!$G$58,ABS(K1081)*'Progetto del paramento slu'!$G$54,'Progetto del paramento slu'!$G$53)*IF(K1081&lt;0,-1,1)</f>
        <v>0</v>
      </c>
      <c r="R1081" s="553">
        <f>'Foglio deposito bis'!$F$59*IF(ABS(L1081)&lt;'Progetto del paramento slu'!$G$58,ABS(L1081)*'Progetto del paramento slu'!$G$54,'Progetto del paramento slu'!$G$53)*IF(L1081&lt;0,-1,1)</f>
        <v>153664.85805602249</v>
      </c>
      <c r="S1081" s="553">
        <f>'Foglio deposito bis'!$F$60*IF(ABS(M1081)&lt;'Progetto del paramento slu'!$G$58,ABS(M1081)*'Progetto del paramento slu'!$G$54,'Progetto del paramento slu'!$G$53)*IF(M1081&lt;0,-1,1)</f>
        <v>0</v>
      </c>
      <c r="T1081" s="553">
        <f>'Foglio deposito bis'!$F$61*IF(ABS(N1081)&lt;'Progetto del paramento slu'!$G$58,ABS(N1081)*'Progetto del paramento slu'!$G$54,'Progetto del paramento slu'!$G$53)*IF(N1081&lt;0,-1,1)</f>
        <v>240946.49743184328</v>
      </c>
      <c r="U1081" s="553">
        <f>'Foglio deposito bis'!$F$62*IF(ABS(O1081)&lt;'Progetto del paramento slu'!$G$58,ABS(O1081)*'Progetto del paramento slu'!$G$54,'Progetto del paramento slu'!$G$53)*IF(O1081&lt;0,-1,1)</f>
        <v>314705.62929873407</v>
      </c>
      <c r="V1081" s="479">
        <f t="shared" si="82"/>
        <v>468977.90979749453</v>
      </c>
      <c r="W1081" s="559"/>
      <c r="X1081" s="559"/>
    </row>
    <row r="1082" spans="1:24" x14ac:dyDescent="0.25">
      <c r="A1082" s="553">
        <f t="shared" si="81"/>
        <v>466116.73033333849</v>
      </c>
      <c r="B1082" s="3">
        <f t="shared" si="83"/>
        <v>4.2499999999999929</v>
      </c>
      <c r="C1082" s="553">
        <f>'Foglio deposito bis'!$E$157/sezione!$B$247*B1082</f>
        <v>17.253274142552286</v>
      </c>
      <c r="D1082" s="611">
        <f>-'Progetto del paramento slu'!$G$47*'Progetto del paramento slu'!$G$41*IF(DATI!$G$218="dx",DATI!$E$61,DATI!$E$64*DATI!$E$63)*1000*C1082^2*sezione!$AD$5*(1-sezione!$AD$6)</f>
        <v>-2450464.3863864248</v>
      </c>
      <c r="E1082" s="553">
        <f>-'Foglio deposito bis'!$F$58*(C1082-sezione!$AL$31)*IF(ABS(K1082)&lt;'Progetto del paramento slu'!$G$58,ABS(K1082)*'Progetto del paramento slu'!$G$54,'Progetto del paramento slu'!$G$53)</f>
        <v>0</v>
      </c>
      <c r="F1082" s="553">
        <f>-'Foglio deposito bis'!$F$59*(C1082-sezione!$AM$31)*IF(ABS(L1082)&lt;'Progetto del paramento slu'!$G$58,ABS(L1082)*'Progetto del paramento slu'!$G$54,'Progetto del paramento slu'!$G$53)</f>
        <v>20398506.786286432</v>
      </c>
      <c r="G1082" s="553">
        <f>-'Foglio deposito bis'!$F$60*(C1082-sezione!$AN$31)*IF(ABS(M1082)&lt;'Progetto del paramento slu'!$G$58,ABS(M1082)*'Progetto del paramento slu'!$G$54,'Progetto del paramento slu'!$G$53)</f>
        <v>0</v>
      </c>
      <c r="H1082" s="553">
        <f>-'Foglio deposito bis'!$F$61*(C1082-sezione!$AO$31)*IF(ABS(N1082)&lt;'Progetto del paramento slu'!$G$58,ABS(N1082)*'Progetto del paramento slu'!$G$54,'Progetto del paramento slu'!$G$53)</f>
        <v>77764693.152947336</v>
      </c>
      <c r="I1082" s="479">
        <f>-'Foglio deposito bis'!$F$62*(C1082-sezione!$AP$31)*IF(ABS(O1082)&lt;'Progetto del paramento slu'!$G$58,ABS(O1082)*'Progetto del paramento slu'!$G$54,'Progetto del paramento slu'!$G$53)</f>
        <v>76395016.917676866</v>
      </c>
      <c r="J1082" s="479">
        <f t="shared" si="80"/>
        <v>172107752.47052419</v>
      </c>
      <c r="K1082" s="558">
        <f>'Progetto del paramento slu'!$G$60*(sezione!$AL$31-C1082)/C1082</f>
        <v>4.6144018719736016E-3</v>
      </c>
      <c r="L1082" s="558">
        <f>'Progetto del paramento slu'!$G$60*(sezione!$AM$31-C1082)/C1082</f>
        <v>2.6929007019901002E-2</v>
      </c>
      <c r="M1082" s="559">
        <f>'Progetto del paramento slu'!$G$60*(sezione!$AN$31-C1082)/C1082</f>
        <v>4.924361216782841E-2</v>
      </c>
      <c r="N1082" s="559">
        <f>'Progetto del paramento slu'!$G$60*(sezione!$AO$31-C1082)/C1082</f>
        <v>6.5472415911775605E-2</v>
      </c>
      <c r="O1082" s="559">
        <f>'Progetto del paramento slu'!$G$60*(sezione!$AP$31-C1082)/C1082</f>
        <v>4.9244421657438212E-2</v>
      </c>
      <c r="P1082" s="553">
        <f>-'Progetto del paramento slu'!$G$47*'Progetto del paramento slu'!$G$41*IF(DATI!$G$218="dx",DATI!$E$61,DATI!$E$64*DATI!$E$63)*1000*C1082*sezione!$AD$5</f>
        <v>-243200.25445326132</v>
      </c>
      <c r="Q1082" s="553">
        <f>'Foglio deposito bis'!$F$58*IF(ABS(K1082)&lt;'Progetto del paramento slu'!$G$58,ABS(K1082)*'Progetto del paramento slu'!$G$54,'Progetto del paramento slu'!$G$53)*IF(K1082&lt;0,-1,1)</f>
        <v>0</v>
      </c>
      <c r="R1082" s="553">
        <f>'Foglio deposito bis'!$F$59*IF(ABS(L1082)&lt;'Progetto del paramento slu'!$G$58,ABS(L1082)*'Progetto del paramento slu'!$G$54,'Progetto del paramento slu'!$G$53)*IF(L1082&lt;0,-1,1)</f>
        <v>153664.85805602249</v>
      </c>
      <c r="S1082" s="553">
        <f>'Foglio deposito bis'!$F$60*IF(ABS(M1082)&lt;'Progetto del paramento slu'!$G$58,ABS(M1082)*'Progetto del paramento slu'!$G$54,'Progetto del paramento slu'!$G$53)*IF(M1082&lt;0,-1,1)</f>
        <v>0</v>
      </c>
      <c r="T1082" s="553">
        <f>'Foglio deposito bis'!$F$61*IF(ABS(N1082)&lt;'Progetto del paramento slu'!$G$58,ABS(N1082)*'Progetto del paramento slu'!$G$54,'Progetto del paramento slu'!$G$53)*IF(N1082&lt;0,-1,1)</f>
        <v>240946.49743184328</v>
      </c>
      <c r="U1082" s="553">
        <f>'Foglio deposito bis'!$F$62*IF(ABS(O1082)&lt;'Progetto del paramento slu'!$G$58,ABS(O1082)*'Progetto del paramento slu'!$G$54,'Progetto del paramento slu'!$G$53)*IF(O1082&lt;0,-1,1)</f>
        <v>314705.62929873407</v>
      </c>
      <c r="V1082" s="479">
        <f t="shared" si="82"/>
        <v>466116.73033333849</v>
      </c>
      <c r="W1082" s="559"/>
      <c r="X1082" s="559"/>
    </row>
    <row r="1083" spans="1:24" x14ac:dyDescent="0.25">
      <c r="A1083" s="553">
        <f t="shared" si="81"/>
        <v>463255.55086918257</v>
      </c>
      <c r="B1083" s="3">
        <f t="shared" si="83"/>
        <v>4.2999999999999927</v>
      </c>
      <c r="C1083" s="553">
        <f>'Foglio deposito bis'!$E$157/sezione!$B$247*B1083</f>
        <v>17.456253838347017</v>
      </c>
      <c r="D1083" s="611">
        <f>-'Progetto del paramento slu'!$G$47*'Progetto del paramento slu'!$G$41*IF(DATI!$G$218="dx",DATI!$E$61,DATI!$E$64*DATI!$E$63)*1000*C1083^2*sezione!$AD$5*(1-sezione!$AD$6)</f>
        <v>-2508461.5365694109</v>
      </c>
      <c r="E1083" s="553">
        <f>-'Foglio deposito bis'!$F$58*(C1083-sezione!$AL$31)*IF(ABS(K1083)&lt;'Progetto del paramento slu'!$G$58,ABS(K1083)*'Progetto del paramento slu'!$G$54,'Progetto del paramento slu'!$G$53)</f>
        <v>0</v>
      </c>
      <c r="F1083" s="553">
        <f>-'Foglio deposito bis'!$F$59*(C1083-sezione!$AM$31)*IF(ABS(L1083)&lt;'Progetto del paramento slu'!$G$58,ABS(L1083)*'Progetto del paramento slu'!$G$54,'Progetto del paramento slu'!$G$53)</f>
        <v>20367315.940143883</v>
      </c>
      <c r="G1083" s="553">
        <f>-'Foglio deposito bis'!$F$60*(C1083-sezione!$AN$31)*IF(ABS(M1083)&lt;'Progetto del paramento slu'!$G$58,ABS(M1083)*'Progetto del paramento slu'!$G$54,'Progetto del paramento slu'!$G$53)</f>
        <v>0</v>
      </c>
      <c r="H1083" s="553">
        <f>-'Foglio deposito bis'!$F$61*(C1083-sezione!$AO$31)*IF(ABS(N1083)&lt;'Progetto del paramento slu'!$G$58,ABS(N1083)*'Progetto del paramento slu'!$G$54,'Progetto del paramento slu'!$G$53)</f>
        <v>77715785.906195834</v>
      </c>
      <c r="I1083" s="479">
        <f>-'Foglio deposito bis'!$F$62*(C1083-sezione!$AP$31)*IF(ABS(O1083)&lt;'Progetto del paramento slu'!$G$58,ABS(O1083)*'Progetto del paramento slu'!$G$54,'Progetto del paramento slu'!$G$53)</f>
        <v>76331138.064776927</v>
      </c>
      <c r="J1083" s="479">
        <f t="shared" si="80"/>
        <v>171905778.37454724</v>
      </c>
      <c r="K1083" s="558">
        <f>'Progetto del paramento slu'!$G$60*(sezione!$AL$31-C1083)/C1083</f>
        <v>4.5200483618343746E-3</v>
      </c>
      <c r="L1083" s="558">
        <f>'Progetto del paramento slu'!$G$60*(sezione!$AM$31-C1083)/C1083</f>
        <v>2.6575181356878905E-2</v>
      </c>
      <c r="M1083" s="559">
        <f>'Progetto del paramento slu'!$G$60*(sezione!$AN$31-C1083)/C1083</f>
        <v>4.8630314351923436E-2</v>
      </c>
      <c r="N1083" s="559">
        <f>'Progetto del paramento slu'!$G$60*(sezione!$AO$31-C1083)/C1083</f>
        <v>6.4670411075592182E-2</v>
      </c>
      <c r="O1083" s="559">
        <f>'Progetto del paramento slu'!$G$60*(sezione!$AP$31-C1083)/C1083</f>
        <v>4.8631114428863358E-2</v>
      </c>
      <c r="P1083" s="553">
        <f>-'Progetto del paramento slu'!$G$47*'Progetto del paramento slu'!$G$41*IF(DATI!$G$218="dx",DATI!$E$61,DATI!$E$64*DATI!$E$63)*1000*C1083*sezione!$AD$5</f>
        <v>-246061.43391741731</v>
      </c>
      <c r="Q1083" s="553">
        <f>'Foglio deposito bis'!$F$58*IF(ABS(K1083)&lt;'Progetto del paramento slu'!$G$58,ABS(K1083)*'Progetto del paramento slu'!$G$54,'Progetto del paramento slu'!$G$53)*IF(K1083&lt;0,-1,1)</f>
        <v>0</v>
      </c>
      <c r="R1083" s="553">
        <f>'Foglio deposito bis'!$F$59*IF(ABS(L1083)&lt;'Progetto del paramento slu'!$G$58,ABS(L1083)*'Progetto del paramento slu'!$G$54,'Progetto del paramento slu'!$G$53)*IF(L1083&lt;0,-1,1)</f>
        <v>153664.85805602249</v>
      </c>
      <c r="S1083" s="553">
        <f>'Foglio deposito bis'!$F$60*IF(ABS(M1083)&lt;'Progetto del paramento slu'!$G$58,ABS(M1083)*'Progetto del paramento slu'!$G$54,'Progetto del paramento slu'!$G$53)*IF(M1083&lt;0,-1,1)</f>
        <v>0</v>
      </c>
      <c r="T1083" s="553">
        <f>'Foglio deposito bis'!$F$61*IF(ABS(N1083)&lt;'Progetto del paramento slu'!$G$58,ABS(N1083)*'Progetto del paramento slu'!$G$54,'Progetto del paramento slu'!$G$53)*IF(N1083&lt;0,-1,1)</f>
        <v>240946.49743184328</v>
      </c>
      <c r="U1083" s="553">
        <f>'Foglio deposito bis'!$F$62*IF(ABS(O1083)&lt;'Progetto del paramento slu'!$G$58,ABS(O1083)*'Progetto del paramento slu'!$G$54,'Progetto del paramento slu'!$G$53)*IF(O1083&lt;0,-1,1)</f>
        <v>314705.62929873407</v>
      </c>
      <c r="V1083" s="479">
        <f t="shared" si="82"/>
        <v>463255.55086918257</v>
      </c>
      <c r="W1083" s="559"/>
      <c r="X1083" s="559"/>
    </row>
    <row r="1084" spans="1:24" x14ac:dyDescent="0.25">
      <c r="A1084" s="553">
        <f t="shared" si="81"/>
        <v>460394.37140502653</v>
      </c>
      <c r="B1084" s="3">
        <f t="shared" si="83"/>
        <v>4.3499999999999925</v>
      </c>
      <c r="C1084" s="553">
        <f>'Foglio deposito bis'!$E$157/sezione!$B$247*B1084</f>
        <v>17.659233534141748</v>
      </c>
      <c r="D1084" s="611">
        <f>-'Progetto del paramento slu'!$G$47*'Progetto del paramento slu'!$G$41*IF(DATI!$G$218="dx",DATI!$E$61,DATI!$E$64*DATI!$E$63)*1000*C1084^2*sezione!$AD$5*(1-sezione!$AD$6)</f>
        <v>-2567137.0159943039</v>
      </c>
      <c r="E1084" s="553">
        <f>-'Foglio deposito bis'!$F$58*(C1084-sezione!$AL$31)*IF(ABS(K1084)&lt;'Progetto del paramento slu'!$G$58,ABS(K1084)*'Progetto del paramento slu'!$G$54,'Progetto del paramento slu'!$G$53)</f>
        <v>0</v>
      </c>
      <c r="F1084" s="553">
        <f>-'Foglio deposito bis'!$F$59*(C1084-sezione!$AM$31)*IF(ABS(L1084)&lt;'Progetto del paramento slu'!$G$58,ABS(L1084)*'Progetto del paramento slu'!$G$54,'Progetto del paramento slu'!$G$53)</f>
        <v>20336125.09400133</v>
      </c>
      <c r="G1084" s="553">
        <f>-'Foglio deposito bis'!$F$60*(C1084-sezione!$AN$31)*IF(ABS(M1084)&lt;'Progetto del paramento slu'!$G$58,ABS(M1084)*'Progetto del paramento slu'!$G$54,'Progetto del paramento slu'!$G$53)</f>
        <v>0</v>
      </c>
      <c r="H1084" s="553">
        <f>-'Foglio deposito bis'!$F$61*(C1084-sezione!$AO$31)*IF(ABS(N1084)&lt;'Progetto del paramento slu'!$G$58,ABS(N1084)*'Progetto del paramento slu'!$G$54,'Progetto del paramento slu'!$G$53)</f>
        <v>77666878.659444302</v>
      </c>
      <c r="I1084" s="479">
        <f>-'Foglio deposito bis'!$F$62*(C1084-sezione!$AP$31)*IF(ABS(O1084)&lt;'Progetto del paramento slu'!$G$58,ABS(O1084)*'Progetto del paramento slu'!$G$54,'Progetto del paramento slu'!$G$53)</f>
        <v>76267259.211876974</v>
      </c>
      <c r="J1084" s="479">
        <f t="shared" si="80"/>
        <v>171703125.9493283</v>
      </c>
      <c r="K1084" s="558">
        <f>'Progetto del paramento slu'!$G$60*(sezione!$AL$31-C1084)/C1084</f>
        <v>4.4278638979052447E-3</v>
      </c>
      <c r="L1084" s="558">
        <f>'Progetto del paramento slu'!$G$60*(sezione!$AM$31-C1084)/C1084</f>
        <v>2.6229489617144667E-2</v>
      </c>
      <c r="M1084" s="559">
        <f>'Progetto del paramento slu'!$G$60*(sezione!$AN$31-C1084)/C1084</f>
        <v>4.8031115336384086E-2</v>
      </c>
      <c r="N1084" s="559">
        <f>'Progetto del paramento slu'!$G$60*(sezione!$AO$31-C1084)/C1084</f>
        <v>6.3886843132194573E-2</v>
      </c>
      <c r="O1084" s="559">
        <f>'Progetto del paramento slu'!$G$60*(sezione!$AP$31-C1084)/C1084</f>
        <v>4.8031906217037346E-2</v>
      </c>
      <c r="P1084" s="553">
        <f>-'Progetto del paramento slu'!$G$47*'Progetto del paramento slu'!$G$41*IF(DATI!$G$218="dx",DATI!$E$61,DATI!$E$64*DATI!$E$63)*1000*C1084*sezione!$AD$5</f>
        <v>-248922.61338157335</v>
      </c>
      <c r="Q1084" s="553">
        <f>'Foglio deposito bis'!$F$58*IF(ABS(K1084)&lt;'Progetto del paramento slu'!$G$58,ABS(K1084)*'Progetto del paramento slu'!$G$54,'Progetto del paramento slu'!$G$53)*IF(K1084&lt;0,-1,1)</f>
        <v>0</v>
      </c>
      <c r="R1084" s="553">
        <f>'Foglio deposito bis'!$F$59*IF(ABS(L1084)&lt;'Progetto del paramento slu'!$G$58,ABS(L1084)*'Progetto del paramento slu'!$G$54,'Progetto del paramento slu'!$G$53)*IF(L1084&lt;0,-1,1)</f>
        <v>153664.85805602249</v>
      </c>
      <c r="S1084" s="553">
        <f>'Foglio deposito bis'!$F$60*IF(ABS(M1084)&lt;'Progetto del paramento slu'!$G$58,ABS(M1084)*'Progetto del paramento slu'!$G$54,'Progetto del paramento slu'!$G$53)*IF(M1084&lt;0,-1,1)</f>
        <v>0</v>
      </c>
      <c r="T1084" s="553">
        <f>'Foglio deposito bis'!$F$61*IF(ABS(N1084)&lt;'Progetto del paramento slu'!$G$58,ABS(N1084)*'Progetto del paramento slu'!$G$54,'Progetto del paramento slu'!$G$53)*IF(N1084&lt;0,-1,1)</f>
        <v>240946.49743184328</v>
      </c>
      <c r="U1084" s="553">
        <f>'Foglio deposito bis'!$F$62*IF(ABS(O1084)&lt;'Progetto del paramento slu'!$G$58,ABS(O1084)*'Progetto del paramento slu'!$G$54,'Progetto del paramento slu'!$G$53)*IF(O1084&lt;0,-1,1)</f>
        <v>314705.62929873407</v>
      </c>
      <c r="V1084" s="479">
        <f t="shared" si="82"/>
        <v>460394.37140502653</v>
      </c>
      <c r="W1084" s="559"/>
      <c r="X1084" s="559"/>
    </row>
    <row r="1085" spans="1:24" x14ac:dyDescent="0.25">
      <c r="A1085" s="553">
        <f t="shared" si="81"/>
        <v>457533.19194087049</v>
      </c>
      <c r="B1085" s="3">
        <f t="shared" si="83"/>
        <v>4.3999999999999924</v>
      </c>
      <c r="C1085" s="553">
        <f>'Foglio deposito bis'!$E$157/sezione!$B$247*B1085</f>
        <v>17.862213229936483</v>
      </c>
      <c r="D1085" s="611">
        <f>-'Progetto del paramento slu'!$G$47*'Progetto del paramento slu'!$G$41*IF(DATI!$G$218="dx",DATI!$E$61,DATI!$E$64*DATI!$E$63)*1000*C1085^2*sezione!$AD$5*(1-sezione!$AD$6)</f>
        <v>-2626490.8246611035</v>
      </c>
      <c r="E1085" s="553">
        <f>-'Foglio deposito bis'!$F$58*(C1085-sezione!$AL$31)*IF(ABS(K1085)&lt;'Progetto del paramento slu'!$G$58,ABS(K1085)*'Progetto del paramento slu'!$G$54,'Progetto del paramento slu'!$G$53)</f>
        <v>0</v>
      </c>
      <c r="F1085" s="553">
        <f>-'Foglio deposito bis'!$F$59*(C1085-sezione!$AM$31)*IF(ABS(L1085)&lt;'Progetto del paramento slu'!$G$58,ABS(L1085)*'Progetto del paramento slu'!$G$54,'Progetto del paramento slu'!$G$53)</f>
        <v>20304934.247858774</v>
      </c>
      <c r="G1085" s="553">
        <f>-'Foglio deposito bis'!$F$60*(C1085-sezione!$AN$31)*IF(ABS(M1085)&lt;'Progetto del paramento slu'!$G$58,ABS(M1085)*'Progetto del paramento slu'!$G$54,'Progetto del paramento slu'!$G$53)</f>
        <v>0</v>
      </c>
      <c r="H1085" s="553">
        <f>-'Foglio deposito bis'!$F$61*(C1085-sezione!$AO$31)*IF(ABS(N1085)&lt;'Progetto del paramento slu'!$G$58,ABS(N1085)*'Progetto del paramento slu'!$G$54,'Progetto del paramento slu'!$G$53)</f>
        <v>77617971.412692785</v>
      </c>
      <c r="I1085" s="479">
        <f>-'Foglio deposito bis'!$F$62*(C1085-sezione!$AP$31)*IF(ABS(O1085)&lt;'Progetto del paramento slu'!$G$58,ABS(O1085)*'Progetto del paramento slu'!$G$54,'Progetto del paramento slu'!$G$53)</f>
        <v>76203380.35897702</v>
      </c>
      <c r="J1085" s="479">
        <f t="shared" si="80"/>
        <v>171499795.19486749</v>
      </c>
      <c r="K1085" s="558">
        <f>'Progetto del paramento slu'!$G$60*(sezione!$AL$31-C1085)/C1085</f>
        <v>4.3377745354290474E-3</v>
      </c>
      <c r="L1085" s="558">
        <f>'Progetto del paramento slu'!$G$60*(sezione!$AM$31-C1085)/C1085</f>
        <v>2.5891654507858929E-2</v>
      </c>
      <c r="M1085" s="559">
        <f>'Progetto del paramento slu'!$G$60*(sezione!$AN$31-C1085)/C1085</f>
        <v>4.7445534480288806E-2</v>
      </c>
      <c r="N1085" s="559">
        <f>'Progetto del paramento slu'!$G$60*(sezione!$AO$31-C1085)/C1085</f>
        <v>6.3121083551146914E-2</v>
      </c>
      <c r="O1085" s="559">
        <f>'Progetto del paramento slu'!$G$60*(sezione!$AP$31-C1085)/C1085</f>
        <v>4.7446316373661916E-2</v>
      </c>
      <c r="P1085" s="553">
        <f>-'Progetto del paramento slu'!$G$47*'Progetto del paramento slu'!$G$41*IF(DATI!$G$218="dx",DATI!$E$61,DATI!$E$64*DATI!$E$63)*1000*C1085*sezione!$AD$5</f>
        <v>-251783.79284572936</v>
      </c>
      <c r="Q1085" s="553">
        <f>'Foglio deposito bis'!$F$58*IF(ABS(K1085)&lt;'Progetto del paramento slu'!$G$58,ABS(K1085)*'Progetto del paramento slu'!$G$54,'Progetto del paramento slu'!$G$53)*IF(K1085&lt;0,-1,1)</f>
        <v>0</v>
      </c>
      <c r="R1085" s="553">
        <f>'Foglio deposito bis'!$F$59*IF(ABS(L1085)&lt;'Progetto del paramento slu'!$G$58,ABS(L1085)*'Progetto del paramento slu'!$G$54,'Progetto del paramento slu'!$G$53)*IF(L1085&lt;0,-1,1)</f>
        <v>153664.85805602249</v>
      </c>
      <c r="S1085" s="553">
        <f>'Foglio deposito bis'!$F$60*IF(ABS(M1085)&lt;'Progetto del paramento slu'!$G$58,ABS(M1085)*'Progetto del paramento slu'!$G$54,'Progetto del paramento slu'!$G$53)*IF(M1085&lt;0,-1,1)</f>
        <v>0</v>
      </c>
      <c r="T1085" s="553">
        <f>'Foglio deposito bis'!$F$61*IF(ABS(N1085)&lt;'Progetto del paramento slu'!$G$58,ABS(N1085)*'Progetto del paramento slu'!$G$54,'Progetto del paramento slu'!$G$53)*IF(N1085&lt;0,-1,1)</f>
        <v>240946.49743184328</v>
      </c>
      <c r="U1085" s="553">
        <f>'Foglio deposito bis'!$F$62*IF(ABS(O1085)&lt;'Progetto del paramento slu'!$G$58,ABS(O1085)*'Progetto del paramento slu'!$G$54,'Progetto del paramento slu'!$G$53)*IF(O1085&lt;0,-1,1)</f>
        <v>314705.62929873407</v>
      </c>
      <c r="V1085" s="479">
        <f t="shared" si="82"/>
        <v>457533.19194087049</v>
      </c>
      <c r="W1085" s="559"/>
      <c r="X1085" s="559"/>
    </row>
    <row r="1086" spans="1:24" x14ac:dyDescent="0.25">
      <c r="A1086" s="553">
        <f t="shared" si="81"/>
        <v>454672.0124767145</v>
      </c>
      <c r="B1086" s="3">
        <f t="shared" si="83"/>
        <v>4.4499999999999922</v>
      </c>
      <c r="C1086" s="553">
        <f>'Foglio deposito bis'!$E$157/sezione!$B$247*B1086</f>
        <v>18.065192925731214</v>
      </c>
      <c r="D1086" s="611">
        <f>-'Progetto del paramento slu'!$G$47*'Progetto del paramento slu'!$G$41*IF(DATI!$G$218="dx",DATI!$E$61,DATI!$E$64*DATI!$E$63)*1000*C1086^2*sezione!$AD$5*(1-sezione!$AD$6)</f>
        <v>-2686522.9625698086</v>
      </c>
      <c r="E1086" s="553">
        <f>-'Foglio deposito bis'!$F$58*(C1086-sezione!$AL$31)*IF(ABS(K1086)&lt;'Progetto del paramento slu'!$G$58,ABS(K1086)*'Progetto del paramento slu'!$G$54,'Progetto del paramento slu'!$G$53)</f>
        <v>0</v>
      </c>
      <c r="F1086" s="553">
        <f>-'Foglio deposito bis'!$F$59*(C1086-sezione!$AM$31)*IF(ABS(L1086)&lt;'Progetto del paramento slu'!$G$58,ABS(L1086)*'Progetto del paramento slu'!$G$54,'Progetto del paramento slu'!$G$53)</f>
        <v>20273743.401716225</v>
      </c>
      <c r="G1086" s="553">
        <f>-'Foglio deposito bis'!$F$60*(C1086-sezione!$AN$31)*IF(ABS(M1086)&lt;'Progetto del paramento slu'!$G$58,ABS(M1086)*'Progetto del paramento slu'!$G$54,'Progetto del paramento slu'!$G$53)</f>
        <v>0</v>
      </c>
      <c r="H1086" s="553">
        <f>-'Foglio deposito bis'!$F$61*(C1086-sezione!$AO$31)*IF(ABS(N1086)&lt;'Progetto del paramento slu'!$G$58,ABS(N1086)*'Progetto del paramento slu'!$G$54,'Progetto del paramento slu'!$G$53)</f>
        <v>77569064.165941268</v>
      </c>
      <c r="I1086" s="479">
        <f>-'Foglio deposito bis'!$F$62*(C1086-sezione!$AP$31)*IF(ABS(O1086)&lt;'Progetto del paramento slu'!$G$58,ABS(O1086)*'Progetto del paramento slu'!$G$54,'Progetto del paramento slu'!$G$53)</f>
        <v>76139501.506077081</v>
      </c>
      <c r="J1086" s="479">
        <f t="shared" si="80"/>
        <v>171295786.11116475</v>
      </c>
      <c r="K1086" s="558">
        <f>'Progetto del paramento slu'!$G$60*(sezione!$AL$31-C1086)/C1086</f>
        <v>4.2497096530084971E-3</v>
      </c>
      <c r="L1086" s="558">
        <f>'Progetto del paramento slu'!$G$60*(sezione!$AM$31-C1086)/C1086</f>
        <v>2.5561411198781862E-2</v>
      </c>
      <c r="M1086" s="559">
        <f>'Progetto del paramento slu'!$G$60*(sezione!$AN$31-C1086)/C1086</f>
        <v>4.6873112744555231E-2</v>
      </c>
      <c r="N1086" s="559">
        <f>'Progetto del paramento slu'!$G$60*(sezione!$AO$31-C1086)/C1086</f>
        <v>6.2372532050572221E-2</v>
      </c>
      <c r="O1086" s="559">
        <f>'Progetto del paramento slu'!$G$60*(sezione!$AP$31-C1086)/C1086</f>
        <v>4.6873885852609543E-2</v>
      </c>
      <c r="P1086" s="553">
        <f>-'Progetto del paramento slu'!$G$47*'Progetto del paramento slu'!$G$41*IF(DATI!$G$218="dx",DATI!$E$61,DATI!$E$64*DATI!$E$63)*1000*C1086*sezione!$AD$5</f>
        <v>-254644.97230988534</v>
      </c>
      <c r="Q1086" s="553">
        <f>'Foglio deposito bis'!$F$58*IF(ABS(K1086)&lt;'Progetto del paramento slu'!$G$58,ABS(K1086)*'Progetto del paramento slu'!$G$54,'Progetto del paramento slu'!$G$53)*IF(K1086&lt;0,-1,1)</f>
        <v>0</v>
      </c>
      <c r="R1086" s="553">
        <f>'Foglio deposito bis'!$F$59*IF(ABS(L1086)&lt;'Progetto del paramento slu'!$G$58,ABS(L1086)*'Progetto del paramento slu'!$G$54,'Progetto del paramento slu'!$G$53)*IF(L1086&lt;0,-1,1)</f>
        <v>153664.85805602249</v>
      </c>
      <c r="S1086" s="553">
        <f>'Foglio deposito bis'!$F$60*IF(ABS(M1086)&lt;'Progetto del paramento slu'!$G$58,ABS(M1086)*'Progetto del paramento slu'!$G$54,'Progetto del paramento slu'!$G$53)*IF(M1086&lt;0,-1,1)</f>
        <v>0</v>
      </c>
      <c r="T1086" s="553">
        <f>'Foglio deposito bis'!$F$61*IF(ABS(N1086)&lt;'Progetto del paramento slu'!$G$58,ABS(N1086)*'Progetto del paramento slu'!$G$54,'Progetto del paramento slu'!$G$53)*IF(N1086&lt;0,-1,1)</f>
        <v>240946.49743184328</v>
      </c>
      <c r="U1086" s="553">
        <f>'Foglio deposito bis'!$F$62*IF(ABS(O1086)&lt;'Progetto del paramento slu'!$G$58,ABS(O1086)*'Progetto del paramento slu'!$G$54,'Progetto del paramento slu'!$G$53)*IF(O1086&lt;0,-1,1)</f>
        <v>314705.62929873407</v>
      </c>
      <c r="V1086" s="479">
        <f t="shared" si="82"/>
        <v>454672.0124767145</v>
      </c>
      <c r="W1086" s="559"/>
      <c r="X1086" s="559"/>
    </row>
    <row r="1087" spans="1:24" x14ac:dyDescent="0.25">
      <c r="A1087" s="553">
        <f t="shared" si="81"/>
        <v>451810.83301255852</v>
      </c>
      <c r="B1087" s="3">
        <f t="shared" si="83"/>
        <v>4.499999999999992</v>
      </c>
      <c r="C1087" s="553">
        <f>'Foglio deposito bis'!$E$157/sezione!$B$247*B1087</f>
        <v>18.268172621525945</v>
      </c>
      <c r="D1087" s="611">
        <f>-'Progetto del paramento slu'!$G$47*'Progetto del paramento slu'!$G$41*IF(DATI!$G$218="dx",DATI!$E$61,DATI!$E$64*DATI!$E$63)*1000*C1087^2*sezione!$AD$5*(1-sezione!$AD$6)</f>
        <v>-2747233.4297204199</v>
      </c>
      <c r="E1087" s="553">
        <f>-'Foglio deposito bis'!$F$58*(C1087-sezione!$AL$31)*IF(ABS(K1087)&lt;'Progetto del paramento slu'!$G$58,ABS(K1087)*'Progetto del paramento slu'!$G$54,'Progetto del paramento slu'!$G$53)</f>
        <v>0</v>
      </c>
      <c r="F1087" s="553">
        <f>-'Foglio deposito bis'!$F$59*(C1087-sezione!$AM$31)*IF(ABS(L1087)&lt;'Progetto del paramento slu'!$G$58,ABS(L1087)*'Progetto del paramento slu'!$G$54,'Progetto del paramento slu'!$G$53)</f>
        <v>20242552.555573672</v>
      </c>
      <c r="G1087" s="553">
        <f>-'Foglio deposito bis'!$F$60*(C1087-sezione!$AN$31)*IF(ABS(M1087)&lt;'Progetto del paramento slu'!$G$58,ABS(M1087)*'Progetto del paramento slu'!$G$54,'Progetto del paramento slu'!$G$53)</f>
        <v>0</v>
      </c>
      <c r="H1087" s="553">
        <f>-'Foglio deposito bis'!$F$61*(C1087-sezione!$AO$31)*IF(ABS(N1087)&lt;'Progetto del paramento slu'!$G$58,ABS(N1087)*'Progetto del paramento slu'!$G$54,'Progetto del paramento slu'!$G$53)</f>
        <v>77520156.919189751</v>
      </c>
      <c r="I1087" s="479">
        <f>-'Foglio deposito bis'!$F$62*(C1087-sezione!$AP$31)*IF(ABS(O1087)&lt;'Progetto del paramento slu'!$G$58,ABS(O1087)*'Progetto del paramento slu'!$G$54,'Progetto del paramento slu'!$G$53)</f>
        <v>76075622.653177142</v>
      </c>
      <c r="J1087" s="479">
        <f t="shared" si="80"/>
        <v>171091098.69822013</v>
      </c>
      <c r="K1087" s="558">
        <f>'Progetto del paramento slu'!$G$60*(sezione!$AL$31-C1087)/C1087</f>
        <v>4.1636017679750701E-3</v>
      </c>
      <c r="L1087" s="558">
        <f>'Progetto del paramento slu'!$G$60*(sezione!$AM$31-C1087)/C1087</f>
        <v>2.5238506629906513E-2</v>
      </c>
      <c r="M1087" s="559">
        <f>'Progetto del paramento slu'!$G$60*(sezione!$AN$31-C1087)/C1087</f>
        <v>4.6313411491837958E-2</v>
      </c>
      <c r="N1087" s="559">
        <f>'Progetto del paramento slu'!$G$60*(sezione!$AO$31-C1087)/C1087</f>
        <v>6.1640615027788094E-2</v>
      </c>
      <c r="O1087" s="559">
        <f>'Progetto del paramento slu'!$G$60*(sezione!$AP$31-C1087)/C1087</f>
        <v>4.6314176009802775E-2</v>
      </c>
      <c r="P1087" s="553">
        <f>-'Progetto del paramento slu'!$G$47*'Progetto del paramento slu'!$G$41*IF(DATI!$G$218="dx",DATI!$E$61,DATI!$E$64*DATI!$E$63)*1000*C1087*sezione!$AD$5</f>
        <v>-257506.15177404133</v>
      </c>
      <c r="Q1087" s="553">
        <f>'Foglio deposito bis'!$F$58*IF(ABS(K1087)&lt;'Progetto del paramento slu'!$G$58,ABS(K1087)*'Progetto del paramento slu'!$G$54,'Progetto del paramento slu'!$G$53)*IF(K1087&lt;0,-1,1)</f>
        <v>0</v>
      </c>
      <c r="R1087" s="553">
        <f>'Foglio deposito bis'!$F$59*IF(ABS(L1087)&lt;'Progetto del paramento slu'!$G$58,ABS(L1087)*'Progetto del paramento slu'!$G$54,'Progetto del paramento slu'!$G$53)*IF(L1087&lt;0,-1,1)</f>
        <v>153664.85805602249</v>
      </c>
      <c r="S1087" s="553">
        <f>'Foglio deposito bis'!$F$60*IF(ABS(M1087)&lt;'Progetto del paramento slu'!$G$58,ABS(M1087)*'Progetto del paramento slu'!$G$54,'Progetto del paramento slu'!$G$53)*IF(M1087&lt;0,-1,1)</f>
        <v>0</v>
      </c>
      <c r="T1087" s="553">
        <f>'Foglio deposito bis'!$F$61*IF(ABS(N1087)&lt;'Progetto del paramento slu'!$G$58,ABS(N1087)*'Progetto del paramento slu'!$G$54,'Progetto del paramento slu'!$G$53)*IF(N1087&lt;0,-1,1)</f>
        <v>240946.49743184328</v>
      </c>
      <c r="U1087" s="553">
        <f>'Foglio deposito bis'!$F$62*IF(ABS(O1087)&lt;'Progetto del paramento slu'!$G$58,ABS(O1087)*'Progetto del paramento slu'!$G$54,'Progetto del paramento slu'!$G$53)*IF(O1087&lt;0,-1,1)</f>
        <v>314705.62929873407</v>
      </c>
      <c r="V1087" s="479">
        <f t="shared" si="82"/>
        <v>451810.83301255852</v>
      </c>
      <c r="W1087" s="559"/>
      <c r="X1087" s="559"/>
    </row>
    <row r="1088" spans="1:24" x14ac:dyDescent="0.25">
      <c r="A1088" s="553">
        <f t="shared" si="81"/>
        <v>448949.65354840242</v>
      </c>
      <c r="B1088" s="3">
        <f t="shared" si="83"/>
        <v>4.5499999999999918</v>
      </c>
      <c r="C1088" s="553">
        <f>'Foglio deposito bis'!$E$157/sezione!$B$247*B1088</f>
        <v>18.47115231732068</v>
      </c>
      <c r="D1088" s="611">
        <f>-'Progetto del paramento slu'!$G$47*'Progetto del paramento slu'!$G$41*IF(DATI!$G$218="dx",DATI!$E$61,DATI!$E$64*DATI!$E$63)*1000*C1088^2*sezione!$AD$5*(1-sezione!$AD$6)</f>
        <v>-2808622.2261129385</v>
      </c>
      <c r="E1088" s="553">
        <f>-'Foglio deposito bis'!$F$58*(C1088-sezione!$AL$31)*IF(ABS(K1088)&lt;'Progetto del paramento slu'!$G$58,ABS(K1088)*'Progetto del paramento slu'!$G$54,'Progetto del paramento slu'!$G$53)</f>
        <v>0</v>
      </c>
      <c r="F1088" s="553">
        <f>-'Foglio deposito bis'!$F$59*(C1088-sezione!$AM$31)*IF(ABS(L1088)&lt;'Progetto del paramento slu'!$G$58,ABS(L1088)*'Progetto del paramento slu'!$G$54,'Progetto del paramento slu'!$G$53)</f>
        <v>20211361.709431123</v>
      </c>
      <c r="G1088" s="553">
        <f>-'Foglio deposito bis'!$F$60*(C1088-sezione!$AN$31)*IF(ABS(M1088)&lt;'Progetto del paramento slu'!$G$58,ABS(M1088)*'Progetto del paramento slu'!$G$54,'Progetto del paramento slu'!$G$53)</f>
        <v>0</v>
      </c>
      <c r="H1088" s="553">
        <f>-'Foglio deposito bis'!$F$61*(C1088-sezione!$AO$31)*IF(ABS(N1088)&lt;'Progetto del paramento slu'!$G$58,ABS(N1088)*'Progetto del paramento slu'!$G$54,'Progetto del paramento slu'!$G$53)</f>
        <v>77471249.672438219</v>
      </c>
      <c r="I1088" s="479">
        <f>-'Foglio deposito bis'!$F$62*(C1088-sezione!$AP$31)*IF(ABS(O1088)&lt;'Progetto del paramento slu'!$G$58,ABS(O1088)*'Progetto del paramento slu'!$G$54,'Progetto del paramento slu'!$G$53)</f>
        <v>76011743.800277188</v>
      </c>
      <c r="J1088" s="479">
        <f t="shared" si="80"/>
        <v>170885732.95603359</v>
      </c>
      <c r="K1088" s="558">
        <f>'Progetto del paramento slu'!$G$60*(sezione!$AL$31-C1088)/C1088</f>
        <v>4.0793863639313867E-3</v>
      </c>
      <c r="L1088" s="558">
        <f>'Progetto del paramento slu'!$G$60*(sezione!$AM$31-C1088)/C1088</f>
        <v>2.4922698864742701E-2</v>
      </c>
      <c r="M1088" s="559">
        <f>'Progetto del paramento slu'!$G$60*(sezione!$AN$31-C1088)/C1088</f>
        <v>4.5766011365554013E-2</v>
      </c>
      <c r="N1088" s="559">
        <f>'Progetto del paramento slu'!$G$60*(sezione!$AO$31-C1088)/C1088</f>
        <v>6.0924784093416798E-2</v>
      </c>
      <c r="O1088" s="559">
        <f>'Progetto del paramento slu'!$G$60*(sezione!$AP$31-C1088)/C1088</f>
        <v>4.5766767482222519E-2</v>
      </c>
      <c r="P1088" s="553">
        <f>-'Progetto del paramento slu'!$G$47*'Progetto del paramento slu'!$G$41*IF(DATI!$G$218="dx",DATI!$E$61,DATI!$E$64*DATI!$E$63)*1000*C1088*sezione!$AD$5</f>
        <v>-260367.33123819742</v>
      </c>
      <c r="Q1088" s="553">
        <f>'Foglio deposito bis'!$F$58*IF(ABS(K1088)&lt;'Progetto del paramento slu'!$G$58,ABS(K1088)*'Progetto del paramento slu'!$G$54,'Progetto del paramento slu'!$G$53)*IF(K1088&lt;0,-1,1)</f>
        <v>0</v>
      </c>
      <c r="R1088" s="553">
        <f>'Foglio deposito bis'!$F$59*IF(ABS(L1088)&lt;'Progetto del paramento slu'!$G$58,ABS(L1088)*'Progetto del paramento slu'!$G$54,'Progetto del paramento slu'!$G$53)*IF(L1088&lt;0,-1,1)</f>
        <v>153664.85805602249</v>
      </c>
      <c r="S1088" s="553">
        <f>'Foglio deposito bis'!$F$60*IF(ABS(M1088)&lt;'Progetto del paramento slu'!$G$58,ABS(M1088)*'Progetto del paramento slu'!$G$54,'Progetto del paramento slu'!$G$53)*IF(M1088&lt;0,-1,1)</f>
        <v>0</v>
      </c>
      <c r="T1088" s="553">
        <f>'Foglio deposito bis'!$F$61*IF(ABS(N1088)&lt;'Progetto del paramento slu'!$G$58,ABS(N1088)*'Progetto del paramento slu'!$G$54,'Progetto del paramento slu'!$G$53)*IF(N1088&lt;0,-1,1)</f>
        <v>240946.49743184328</v>
      </c>
      <c r="U1088" s="553">
        <f>'Foglio deposito bis'!$F$62*IF(ABS(O1088)&lt;'Progetto del paramento slu'!$G$58,ABS(O1088)*'Progetto del paramento slu'!$G$54,'Progetto del paramento slu'!$G$53)*IF(O1088&lt;0,-1,1)</f>
        <v>314705.62929873407</v>
      </c>
      <c r="V1088" s="479">
        <f t="shared" si="82"/>
        <v>448949.65354840242</v>
      </c>
      <c r="W1088" s="559"/>
      <c r="X1088" s="559"/>
    </row>
    <row r="1089" spans="1:24" x14ac:dyDescent="0.25">
      <c r="A1089" s="553">
        <f t="shared" si="81"/>
        <v>446088.47408424644</v>
      </c>
      <c r="B1089" s="3">
        <f t="shared" si="83"/>
        <v>4.5999999999999917</v>
      </c>
      <c r="C1089" s="553">
        <f>'Foglio deposito bis'!$E$157/sezione!$B$247*B1089</f>
        <v>18.674132013115411</v>
      </c>
      <c r="D1089" s="611">
        <f>-'Progetto del paramento slu'!$G$47*'Progetto del paramento slu'!$G$41*IF(DATI!$G$218="dx",DATI!$E$61,DATI!$E$64*DATI!$E$63)*1000*C1089^2*sezione!$AD$5*(1-sezione!$AD$6)</f>
        <v>-2870689.3517473624</v>
      </c>
      <c r="E1089" s="553">
        <f>-'Foglio deposito bis'!$F$58*(C1089-sezione!$AL$31)*IF(ABS(K1089)&lt;'Progetto del paramento slu'!$G$58,ABS(K1089)*'Progetto del paramento slu'!$G$54,'Progetto del paramento slu'!$G$53)</f>
        <v>0</v>
      </c>
      <c r="F1089" s="553">
        <f>-'Foglio deposito bis'!$F$59*(C1089-sezione!$AM$31)*IF(ABS(L1089)&lt;'Progetto del paramento slu'!$G$58,ABS(L1089)*'Progetto del paramento slu'!$G$54,'Progetto del paramento slu'!$G$53)</f>
        <v>20180170.86328857</v>
      </c>
      <c r="G1089" s="553">
        <f>-'Foglio deposito bis'!$F$60*(C1089-sezione!$AN$31)*IF(ABS(M1089)&lt;'Progetto del paramento slu'!$G$58,ABS(M1089)*'Progetto del paramento slu'!$G$54,'Progetto del paramento slu'!$G$53)</f>
        <v>0</v>
      </c>
      <c r="H1089" s="553">
        <f>-'Foglio deposito bis'!$F$61*(C1089-sezione!$AO$31)*IF(ABS(N1089)&lt;'Progetto del paramento slu'!$G$58,ABS(N1089)*'Progetto del paramento slu'!$G$54,'Progetto del paramento slu'!$G$53)</f>
        <v>77422342.425686687</v>
      </c>
      <c r="I1089" s="479">
        <f>-'Foglio deposito bis'!$F$62*(C1089-sezione!$AP$31)*IF(ABS(O1089)&lt;'Progetto del paramento slu'!$G$58,ABS(O1089)*'Progetto del paramento slu'!$G$54,'Progetto del paramento slu'!$G$53)</f>
        <v>75947864.947377235</v>
      </c>
      <c r="J1089" s="479">
        <f t="shared" si="80"/>
        <v>170679688.88460511</v>
      </c>
      <c r="K1089" s="558">
        <f>'Progetto del paramento slu'!$G$60*(sezione!$AL$31-C1089)/C1089</f>
        <v>3.9970017295408288E-3</v>
      </c>
      <c r="L1089" s="558">
        <f>'Progetto del paramento slu'!$G$60*(sezione!$AM$31-C1089)/C1089</f>
        <v>2.4613756485778109E-2</v>
      </c>
      <c r="M1089" s="559">
        <f>'Progetto del paramento slu'!$G$60*(sezione!$AN$31-C1089)/C1089</f>
        <v>4.5230511242015388E-2</v>
      </c>
      <c r="N1089" s="559">
        <f>'Progetto del paramento slu'!$G$60*(sezione!$AO$31-C1089)/C1089</f>
        <v>6.0224514701097041E-2</v>
      </c>
      <c r="O1089" s="559">
        <f>'Progetto del paramento slu'!$G$60*(sezione!$AP$31-C1089)/C1089</f>
        <v>4.5231259140024446E-2</v>
      </c>
      <c r="P1089" s="553">
        <f>-'Progetto del paramento slu'!$G$47*'Progetto del paramento slu'!$G$41*IF(DATI!$G$218="dx",DATI!$E$61,DATI!$E$64*DATI!$E$63)*1000*C1089*sezione!$AD$5</f>
        <v>-263228.51070235338</v>
      </c>
      <c r="Q1089" s="553">
        <f>'Foglio deposito bis'!$F$58*IF(ABS(K1089)&lt;'Progetto del paramento slu'!$G$58,ABS(K1089)*'Progetto del paramento slu'!$G$54,'Progetto del paramento slu'!$G$53)*IF(K1089&lt;0,-1,1)</f>
        <v>0</v>
      </c>
      <c r="R1089" s="553">
        <f>'Foglio deposito bis'!$F$59*IF(ABS(L1089)&lt;'Progetto del paramento slu'!$G$58,ABS(L1089)*'Progetto del paramento slu'!$G$54,'Progetto del paramento slu'!$G$53)*IF(L1089&lt;0,-1,1)</f>
        <v>153664.85805602249</v>
      </c>
      <c r="S1089" s="553">
        <f>'Foglio deposito bis'!$F$60*IF(ABS(M1089)&lt;'Progetto del paramento slu'!$G$58,ABS(M1089)*'Progetto del paramento slu'!$G$54,'Progetto del paramento slu'!$G$53)*IF(M1089&lt;0,-1,1)</f>
        <v>0</v>
      </c>
      <c r="T1089" s="553">
        <f>'Foglio deposito bis'!$F$61*IF(ABS(N1089)&lt;'Progetto del paramento slu'!$G$58,ABS(N1089)*'Progetto del paramento slu'!$G$54,'Progetto del paramento slu'!$G$53)*IF(N1089&lt;0,-1,1)</f>
        <v>240946.49743184328</v>
      </c>
      <c r="U1089" s="553">
        <f>'Foglio deposito bis'!$F$62*IF(ABS(O1089)&lt;'Progetto del paramento slu'!$G$58,ABS(O1089)*'Progetto del paramento slu'!$G$54,'Progetto del paramento slu'!$G$53)*IF(O1089&lt;0,-1,1)</f>
        <v>314705.62929873407</v>
      </c>
      <c r="V1089" s="479">
        <f t="shared" si="82"/>
        <v>446088.47408424644</v>
      </c>
      <c r="W1089" s="559"/>
      <c r="X1089" s="559"/>
    </row>
    <row r="1090" spans="1:24" x14ac:dyDescent="0.25">
      <c r="A1090" s="553">
        <f t="shared" si="81"/>
        <v>443227.29462009051</v>
      </c>
      <c r="B1090" s="3">
        <f t="shared" si="83"/>
        <v>4.6499999999999915</v>
      </c>
      <c r="C1090" s="553">
        <f>'Foglio deposito bis'!$E$157/sezione!$B$247*B1090</f>
        <v>18.877111708910142</v>
      </c>
      <c r="D1090" s="611">
        <f>-'Progetto del paramento slu'!$G$47*'Progetto del paramento slu'!$G$41*IF(DATI!$G$218="dx",DATI!$E$61,DATI!$E$64*DATI!$E$63)*1000*C1090^2*sezione!$AD$5*(1-sezione!$AD$6)</f>
        <v>-2933434.8066236917</v>
      </c>
      <c r="E1090" s="553">
        <f>-'Foglio deposito bis'!$F$58*(C1090-sezione!$AL$31)*IF(ABS(K1090)&lt;'Progetto del paramento slu'!$G$58,ABS(K1090)*'Progetto del paramento slu'!$G$54,'Progetto del paramento slu'!$G$53)</f>
        <v>0</v>
      </c>
      <c r="F1090" s="553">
        <f>-'Foglio deposito bis'!$F$59*(C1090-sezione!$AM$31)*IF(ABS(L1090)&lt;'Progetto del paramento slu'!$G$58,ABS(L1090)*'Progetto del paramento slu'!$G$54,'Progetto del paramento slu'!$G$53)</f>
        <v>20148980.017146017</v>
      </c>
      <c r="G1090" s="553">
        <f>-'Foglio deposito bis'!$F$60*(C1090-sezione!$AN$31)*IF(ABS(M1090)&lt;'Progetto del paramento slu'!$G$58,ABS(M1090)*'Progetto del paramento slu'!$G$54,'Progetto del paramento slu'!$G$53)</f>
        <v>0</v>
      </c>
      <c r="H1090" s="553">
        <f>-'Foglio deposito bis'!$F$61*(C1090-sezione!$AO$31)*IF(ABS(N1090)&lt;'Progetto del paramento slu'!$G$58,ABS(N1090)*'Progetto del paramento slu'!$G$54,'Progetto del paramento slu'!$G$53)</f>
        <v>77373435.178935185</v>
      </c>
      <c r="I1090" s="479">
        <f>-'Foglio deposito bis'!$F$62*(C1090-sezione!$AP$31)*IF(ABS(O1090)&lt;'Progetto del paramento slu'!$G$58,ABS(O1090)*'Progetto del paramento slu'!$G$54,'Progetto del paramento slu'!$G$53)</f>
        <v>75883986.094477296</v>
      </c>
      <c r="J1090" s="479">
        <f t="shared" si="80"/>
        <v>170472966.48393482</v>
      </c>
      <c r="K1090" s="558">
        <f>'Progetto del paramento slu'!$G$60*(sezione!$AL$31-C1090)/C1090</f>
        <v>3.91638880771781E-3</v>
      </c>
      <c r="L1090" s="558">
        <f>'Progetto del paramento slu'!$G$60*(sezione!$AM$31-C1090)/C1090</f>
        <v>2.4311458028941788E-2</v>
      </c>
      <c r="M1090" s="559">
        <f>'Progetto del paramento slu'!$G$60*(sezione!$AN$31-C1090)/C1090</f>
        <v>4.4706527250165766E-2</v>
      </c>
      <c r="N1090" s="559">
        <f>'Progetto del paramento slu'!$G$60*(sezione!$AO$31-C1090)/C1090</f>
        <v>5.9539304865601383E-2</v>
      </c>
      <c r="O1090" s="559">
        <f>'Progetto del paramento slu'!$G$60*(sezione!$AP$31-C1090)/C1090</f>
        <v>4.4707267106260752E-2</v>
      </c>
      <c r="P1090" s="553">
        <f>-'Progetto del paramento slu'!$G$47*'Progetto del paramento slu'!$G$41*IF(DATI!$G$218="dx",DATI!$E$61,DATI!$E$64*DATI!$E$63)*1000*C1090*sezione!$AD$5</f>
        <v>-266089.69016650936</v>
      </c>
      <c r="Q1090" s="553">
        <f>'Foglio deposito bis'!$F$58*IF(ABS(K1090)&lt;'Progetto del paramento slu'!$G$58,ABS(K1090)*'Progetto del paramento slu'!$G$54,'Progetto del paramento slu'!$G$53)*IF(K1090&lt;0,-1,1)</f>
        <v>0</v>
      </c>
      <c r="R1090" s="553">
        <f>'Foglio deposito bis'!$F$59*IF(ABS(L1090)&lt;'Progetto del paramento slu'!$G$58,ABS(L1090)*'Progetto del paramento slu'!$G$54,'Progetto del paramento slu'!$G$53)*IF(L1090&lt;0,-1,1)</f>
        <v>153664.85805602249</v>
      </c>
      <c r="S1090" s="553">
        <f>'Foglio deposito bis'!$F$60*IF(ABS(M1090)&lt;'Progetto del paramento slu'!$G$58,ABS(M1090)*'Progetto del paramento slu'!$G$54,'Progetto del paramento slu'!$G$53)*IF(M1090&lt;0,-1,1)</f>
        <v>0</v>
      </c>
      <c r="T1090" s="553">
        <f>'Foglio deposito bis'!$F$61*IF(ABS(N1090)&lt;'Progetto del paramento slu'!$G$58,ABS(N1090)*'Progetto del paramento slu'!$G$54,'Progetto del paramento slu'!$G$53)*IF(N1090&lt;0,-1,1)</f>
        <v>240946.49743184328</v>
      </c>
      <c r="U1090" s="553">
        <f>'Foglio deposito bis'!$F$62*IF(ABS(O1090)&lt;'Progetto del paramento slu'!$G$58,ABS(O1090)*'Progetto del paramento slu'!$G$54,'Progetto del paramento slu'!$G$53)*IF(O1090&lt;0,-1,1)</f>
        <v>314705.62929873407</v>
      </c>
      <c r="V1090" s="479">
        <f t="shared" si="82"/>
        <v>443227.29462009051</v>
      </c>
      <c r="W1090" s="559"/>
      <c r="X1090" s="559"/>
    </row>
    <row r="1091" spans="1:24" x14ac:dyDescent="0.25">
      <c r="A1091" s="553">
        <f t="shared" si="81"/>
        <v>440366.11515593447</v>
      </c>
      <c r="B1091" s="3">
        <f t="shared" si="83"/>
        <v>4.6999999999999913</v>
      </c>
      <c r="C1091" s="553">
        <f>'Foglio deposito bis'!$E$157/sezione!$B$247*B1091</f>
        <v>19.080091404704877</v>
      </c>
      <c r="D1091" s="611">
        <f>-'Progetto del paramento slu'!$G$47*'Progetto del paramento slu'!$G$41*IF(DATI!$G$218="dx",DATI!$E$61,DATI!$E$64*DATI!$E$63)*1000*C1091^2*sezione!$AD$5*(1-sezione!$AD$6)</f>
        <v>-2996858.5907419291</v>
      </c>
      <c r="E1091" s="553">
        <f>-'Foglio deposito bis'!$F$58*(C1091-sezione!$AL$31)*IF(ABS(K1091)&lt;'Progetto del paramento slu'!$G$58,ABS(K1091)*'Progetto del paramento slu'!$G$54,'Progetto del paramento slu'!$G$53)</f>
        <v>0</v>
      </c>
      <c r="F1091" s="553">
        <f>-'Foglio deposito bis'!$F$59*(C1091-sezione!$AM$31)*IF(ABS(L1091)&lt;'Progetto del paramento slu'!$G$58,ABS(L1091)*'Progetto del paramento slu'!$G$54,'Progetto del paramento slu'!$G$53)</f>
        <v>20117789.171003461</v>
      </c>
      <c r="G1091" s="553">
        <f>-'Foglio deposito bis'!$F$60*(C1091-sezione!$AN$31)*IF(ABS(M1091)&lt;'Progetto del paramento slu'!$G$58,ABS(M1091)*'Progetto del paramento slu'!$G$54,'Progetto del paramento slu'!$G$53)</f>
        <v>0</v>
      </c>
      <c r="H1091" s="553">
        <f>-'Foglio deposito bis'!$F$61*(C1091-sezione!$AO$31)*IF(ABS(N1091)&lt;'Progetto del paramento slu'!$G$58,ABS(N1091)*'Progetto del paramento slu'!$G$54,'Progetto del paramento slu'!$G$53)</f>
        <v>77324527.932183653</v>
      </c>
      <c r="I1091" s="479">
        <f>-'Foglio deposito bis'!$F$62*(C1091-sezione!$AP$31)*IF(ABS(O1091)&lt;'Progetto del paramento slu'!$G$58,ABS(O1091)*'Progetto del paramento slu'!$G$54,'Progetto del paramento slu'!$G$53)</f>
        <v>75820107.241577342</v>
      </c>
      <c r="J1091" s="479">
        <f t="shared" si="80"/>
        <v>170265565.75402254</v>
      </c>
      <c r="K1091" s="558">
        <f>'Progetto del paramento slu'!$G$60*(sezione!$AL$31-C1091)/C1091</f>
        <v>3.8374910544442154E-3</v>
      </c>
      <c r="L1091" s="558">
        <f>'Progetto del paramento slu'!$G$60*(sezione!$AM$31-C1091)/C1091</f>
        <v>2.4015591454165808E-2</v>
      </c>
      <c r="M1091" s="559">
        <f>'Progetto del paramento slu'!$G$60*(sezione!$AN$31-C1091)/C1091</f>
        <v>4.4193691853887399E-2</v>
      </c>
      <c r="N1091" s="559">
        <f>'Progetto del paramento slu'!$G$60*(sezione!$AO$31-C1091)/C1091</f>
        <v>5.8868673962775835E-2</v>
      </c>
      <c r="O1091" s="559">
        <f>'Progetto del paramento slu'!$G$60*(sezione!$AP$31-C1091)/C1091</f>
        <v>4.419442383917286E-2</v>
      </c>
      <c r="P1091" s="553">
        <f>-'Progetto del paramento slu'!$G$47*'Progetto del paramento slu'!$G$41*IF(DATI!$G$218="dx",DATI!$E$61,DATI!$E$64*DATI!$E$63)*1000*C1091*sezione!$AD$5</f>
        <v>-268950.8696306654</v>
      </c>
      <c r="Q1091" s="553">
        <f>'Foglio deposito bis'!$F$58*IF(ABS(K1091)&lt;'Progetto del paramento slu'!$G$58,ABS(K1091)*'Progetto del paramento slu'!$G$54,'Progetto del paramento slu'!$G$53)*IF(K1091&lt;0,-1,1)</f>
        <v>0</v>
      </c>
      <c r="R1091" s="553">
        <f>'Foglio deposito bis'!$F$59*IF(ABS(L1091)&lt;'Progetto del paramento slu'!$G$58,ABS(L1091)*'Progetto del paramento slu'!$G$54,'Progetto del paramento slu'!$G$53)*IF(L1091&lt;0,-1,1)</f>
        <v>153664.85805602249</v>
      </c>
      <c r="S1091" s="553">
        <f>'Foglio deposito bis'!$F$60*IF(ABS(M1091)&lt;'Progetto del paramento slu'!$G$58,ABS(M1091)*'Progetto del paramento slu'!$G$54,'Progetto del paramento slu'!$G$53)*IF(M1091&lt;0,-1,1)</f>
        <v>0</v>
      </c>
      <c r="T1091" s="553">
        <f>'Foglio deposito bis'!$F$61*IF(ABS(N1091)&lt;'Progetto del paramento slu'!$G$58,ABS(N1091)*'Progetto del paramento slu'!$G$54,'Progetto del paramento slu'!$G$53)*IF(N1091&lt;0,-1,1)</f>
        <v>240946.49743184328</v>
      </c>
      <c r="U1091" s="553">
        <f>'Foglio deposito bis'!$F$62*IF(ABS(O1091)&lt;'Progetto del paramento slu'!$G$58,ABS(O1091)*'Progetto del paramento slu'!$G$54,'Progetto del paramento slu'!$G$53)*IF(O1091&lt;0,-1,1)</f>
        <v>314705.62929873407</v>
      </c>
      <c r="V1091" s="479">
        <f t="shared" si="82"/>
        <v>440366.11515593447</v>
      </c>
      <c r="W1091" s="559"/>
      <c r="X1091" s="559"/>
    </row>
    <row r="1092" spans="1:24" x14ac:dyDescent="0.25">
      <c r="A1092" s="553">
        <f t="shared" si="81"/>
        <v>437504.93569177843</v>
      </c>
      <c r="B1092" s="3">
        <f t="shared" si="83"/>
        <v>4.7499999999999911</v>
      </c>
      <c r="C1092" s="553">
        <f>'Foglio deposito bis'!$E$157/sezione!$B$247*B1092</f>
        <v>19.283071100499608</v>
      </c>
      <c r="D1092" s="611">
        <f>-'Progetto del paramento slu'!$G$47*'Progetto del paramento slu'!$G$41*IF(DATI!$G$218="dx",DATI!$E$61,DATI!$E$64*DATI!$E$63)*1000*C1092^2*sezione!$AD$5*(1-sezione!$AD$6)</f>
        <v>-3060960.7041020729</v>
      </c>
      <c r="E1092" s="553">
        <f>-'Foglio deposito bis'!$F$58*(C1092-sezione!$AL$31)*IF(ABS(K1092)&lt;'Progetto del paramento slu'!$G$58,ABS(K1092)*'Progetto del paramento slu'!$G$54,'Progetto del paramento slu'!$G$53)</f>
        <v>0</v>
      </c>
      <c r="F1092" s="553">
        <f>-'Foglio deposito bis'!$F$59*(C1092-sezione!$AM$31)*IF(ABS(L1092)&lt;'Progetto del paramento slu'!$G$58,ABS(L1092)*'Progetto del paramento slu'!$G$54,'Progetto del paramento slu'!$G$53)</f>
        <v>20086598.324860916</v>
      </c>
      <c r="G1092" s="553">
        <f>-'Foglio deposito bis'!$F$60*(C1092-sezione!$AN$31)*IF(ABS(M1092)&lt;'Progetto del paramento slu'!$G$58,ABS(M1092)*'Progetto del paramento slu'!$G$54,'Progetto del paramento slu'!$G$53)</f>
        <v>0</v>
      </c>
      <c r="H1092" s="553">
        <f>-'Foglio deposito bis'!$F$61*(C1092-sezione!$AO$31)*IF(ABS(N1092)&lt;'Progetto del paramento slu'!$G$58,ABS(N1092)*'Progetto del paramento slu'!$G$54,'Progetto del paramento slu'!$G$53)</f>
        <v>77275620.685432121</v>
      </c>
      <c r="I1092" s="479">
        <f>-'Foglio deposito bis'!$F$62*(C1092-sezione!$AP$31)*IF(ABS(O1092)&lt;'Progetto del paramento slu'!$G$58,ABS(O1092)*'Progetto del paramento slu'!$G$54,'Progetto del paramento slu'!$G$53)</f>
        <v>75756228.388677403</v>
      </c>
      <c r="J1092" s="479">
        <f t="shared" si="80"/>
        <v>170057486.69486839</v>
      </c>
      <c r="K1092" s="558">
        <f>'Progetto del paramento slu'!$G$60*(sezione!$AL$31-C1092)/C1092</f>
        <v>3.7602543065026976E-3</v>
      </c>
      <c r="L1092" s="558">
        <f>'Progetto del paramento slu'!$G$60*(sezione!$AM$31-C1092)/C1092</f>
        <v>2.372595364938512E-2</v>
      </c>
      <c r="M1092" s="559">
        <f>'Progetto del paramento slu'!$G$60*(sezione!$AN$31-C1092)/C1092</f>
        <v>4.3691652992267543E-2</v>
      </c>
      <c r="N1092" s="559">
        <f>'Progetto del paramento slu'!$G$60*(sezione!$AO$31-C1092)/C1092</f>
        <v>5.8212161605272927E-2</v>
      </c>
      <c r="O1092" s="559">
        <f>'Progetto del paramento slu'!$G$60*(sezione!$AP$31-C1092)/C1092</f>
        <v>4.3692377272444731E-2</v>
      </c>
      <c r="P1092" s="553">
        <f>-'Progetto del paramento slu'!$G$47*'Progetto del paramento slu'!$G$41*IF(DATI!$G$218="dx",DATI!$E$61,DATI!$E$64*DATI!$E$63)*1000*C1092*sezione!$AD$5</f>
        <v>-271812.04909482144</v>
      </c>
      <c r="Q1092" s="553">
        <f>'Foglio deposito bis'!$F$58*IF(ABS(K1092)&lt;'Progetto del paramento slu'!$G$58,ABS(K1092)*'Progetto del paramento slu'!$G$54,'Progetto del paramento slu'!$G$53)*IF(K1092&lt;0,-1,1)</f>
        <v>0</v>
      </c>
      <c r="R1092" s="553">
        <f>'Foglio deposito bis'!$F$59*IF(ABS(L1092)&lt;'Progetto del paramento slu'!$G$58,ABS(L1092)*'Progetto del paramento slu'!$G$54,'Progetto del paramento slu'!$G$53)*IF(L1092&lt;0,-1,1)</f>
        <v>153664.85805602249</v>
      </c>
      <c r="S1092" s="553">
        <f>'Foglio deposito bis'!$F$60*IF(ABS(M1092)&lt;'Progetto del paramento slu'!$G$58,ABS(M1092)*'Progetto del paramento slu'!$G$54,'Progetto del paramento slu'!$G$53)*IF(M1092&lt;0,-1,1)</f>
        <v>0</v>
      </c>
      <c r="T1092" s="553">
        <f>'Foglio deposito bis'!$F$61*IF(ABS(N1092)&lt;'Progetto del paramento slu'!$G$58,ABS(N1092)*'Progetto del paramento slu'!$G$54,'Progetto del paramento slu'!$G$53)*IF(N1092&lt;0,-1,1)</f>
        <v>240946.49743184328</v>
      </c>
      <c r="U1092" s="553">
        <f>'Foglio deposito bis'!$F$62*IF(ABS(O1092)&lt;'Progetto del paramento slu'!$G$58,ABS(O1092)*'Progetto del paramento slu'!$G$54,'Progetto del paramento slu'!$G$53)*IF(O1092&lt;0,-1,1)</f>
        <v>314705.62929873407</v>
      </c>
      <c r="V1092" s="479">
        <f t="shared" si="82"/>
        <v>437504.93569177843</v>
      </c>
      <c r="W1092" s="559"/>
      <c r="X1092" s="559"/>
    </row>
    <row r="1093" spans="1:24" x14ac:dyDescent="0.25">
      <c r="A1093" s="553">
        <f t="shared" si="81"/>
        <v>434643.75622762239</v>
      </c>
      <c r="B1093" s="3">
        <f t="shared" si="83"/>
        <v>4.7999999999999909</v>
      </c>
      <c r="C1093" s="553">
        <f>'Foglio deposito bis'!$E$157/sezione!$B$247*B1093</f>
        <v>19.486050796294339</v>
      </c>
      <c r="D1093" s="611">
        <f>-'Progetto del paramento slu'!$G$47*'Progetto del paramento slu'!$G$41*IF(DATI!$G$218="dx",DATI!$E$61,DATI!$E$64*DATI!$E$63)*1000*C1093^2*sezione!$AD$5*(1-sezione!$AD$6)</f>
        <v>-3125741.1467041215</v>
      </c>
      <c r="E1093" s="553">
        <f>-'Foglio deposito bis'!$F$58*(C1093-sezione!$AL$31)*IF(ABS(K1093)&lt;'Progetto del paramento slu'!$G$58,ABS(K1093)*'Progetto del paramento slu'!$G$54,'Progetto del paramento slu'!$G$53)</f>
        <v>0</v>
      </c>
      <c r="F1093" s="553">
        <f>-'Foglio deposito bis'!$F$59*(C1093-sezione!$AM$31)*IF(ABS(L1093)&lt;'Progetto del paramento slu'!$G$58,ABS(L1093)*'Progetto del paramento slu'!$G$54,'Progetto del paramento slu'!$G$53)</f>
        <v>20055407.478718363</v>
      </c>
      <c r="G1093" s="553">
        <f>-'Foglio deposito bis'!$F$60*(C1093-sezione!$AN$31)*IF(ABS(M1093)&lt;'Progetto del paramento slu'!$G$58,ABS(M1093)*'Progetto del paramento slu'!$G$54,'Progetto del paramento slu'!$G$53)</f>
        <v>0</v>
      </c>
      <c r="H1093" s="553">
        <f>-'Foglio deposito bis'!$F$61*(C1093-sezione!$AO$31)*IF(ABS(N1093)&lt;'Progetto del paramento slu'!$G$58,ABS(N1093)*'Progetto del paramento slu'!$G$54,'Progetto del paramento slu'!$G$53)</f>
        <v>77226713.438680604</v>
      </c>
      <c r="I1093" s="479">
        <f>-'Foglio deposito bis'!$F$62*(C1093-sezione!$AP$31)*IF(ABS(O1093)&lt;'Progetto del paramento slu'!$G$58,ABS(O1093)*'Progetto del paramento slu'!$G$54,'Progetto del paramento slu'!$G$53)</f>
        <v>75692349.53577745</v>
      </c>
      <c r="J1093" s="479">
        <f t="shared" si="80"/>
        <v>169848729.3064723</v>
      </c>
      <c r="K1093" s="558">
        <f>'Progetto del paramento slu'!$G$60*(sezione!$AL$31-C1093)/C1093</f>
        <v>3.6846266574766286E-3</v>
      </c>
      <c r="L1093" s="558">
        <f>'Progetto del paramento slu'!$G$60*(sezione!$AM$31-C1093)/C1093</f>
        <v>2.344234996553736E-2</v>
      </c>
      <c r="M1093" s="559">
        <f>'Progetto del paramento slu'!$G$60*(sezione!$AN$31-C1093)/C1093</f>
        <v>4.3200073273598087E-2</v>
      </c>
      <c r="N1093" s="559">
        <f>'Progetto del paramento slu'!$G$60*(sezione!$AO$31-C1093)/C1093</f>
        <v>5.7569326588551344E-2</v>
      </c>
      <c r="O1093" s="559">
        <f>'Progetto del paramento slu'!$G$60*(sezione!$AP$31-C1093)/C1093</f>
        <v>4.3200790009190103E-2</v>
      </c>
      <c r="P1093" s="553">
        <f>-'Progetto del paramento slu'!$G$47*'Progetto del paramento slu'!$G$41*IF(DATI!$G$218="dx",DATI!$E$61,DATI!$E$64*DATI!$E$63)*1000*C1093*sezione!$AD$5</f>
        <v>-274673.22855897743</v>
      </c>
      <c r="Q1093" s="553">
        <f>'Foglio deposito bis'!$F$58*IF(ABS(K1093)&lt;'Progetto del paramento slu'!$G$58,ABS(K1093)*'Progetto del paramento slu'!$G$54,'Progetto del paramento slu'!$G$53)*IF(K1093&lt;0,-1,1)</f>
        <v>0</v>
      </c>
      <c r="R1093" s="553">
        <f>'Foglio deposito bis'!$F$59*IF(ABS(L1093)&lt;'Progetto del paramento slu'!$G$58,ABS(L1093)*'Progetto del paramento slu'!$G$54,'Progetto del paramento slu'!$G$53)*IF(L1093&lt;0,-1,1)</f>
        <v>153664.85805602249</v>
      </c>
      <c r="S1093" s="553">
        <f>'Foglio deposito bis'!$F$60*IF(ABS(M1093)&lt;'Progetto del paramento slu'!$G$58,ABS(M1093)*'Progetto del paramento slu'!$G$54,'Progetto del paramento slu'!$G$53)*IF(M1093&lt;0,-1,1)</f>
        <v>0</v>
      </c>
      <c r="T1093" s="553">
        <f>'Foglio deposito bis'!$F$61*IF(ABS(N1093)&lt;'Progetto del paramento slu'!$G$58,ABS(N1093)*'Progetto del paramento slu'!$G$54,'Progetto del paramento slu'!$G$53)*IF(N1093&lt;0,-1,1)</f>
        <v>240946.49743184328</v>
      </c>
      <c r="U1093" s="553">
        <f>'Foglio deposito bis'!$F$62*IF(ABS(O1093)&lt;'Progetto del paramento slu'!$G$58,ABS(O1093)*'Progetto del paramento slu'!$G$54,'Progetto del paramento slu'!$G$53)*IF(O1093&lt;0,-1,1)</f>
        <v>314705.62929873407</v>
      </c>
      <c r="V1093" s="479">
        <f t="shared" si="82"/>
        <v>434643.75622762239</v>
      </c>
      <c r="W1093" s="559"/>
      <c r="X1093" s="559"/>
    </row>
    <row r="1094" spans="1:24" x14ac:dyDescent="0.25">
      <c r="A1094" s="553">
        <f t="shared" si="81"/>
        <v>431782.57676346635</v>
      </c>
      <c r="B1094" s="3">
        <f t="shared" si="83"/>
        <v>4.8499999999999908</v>
      </c>
      <c r="C1094" s="553">
        <f>'Foglio deposito bis'!$E$157/sezione!$B$247*B1094</f>
        <v>19.689030492089074</v>
      </c>
      <c r="D1094" s="611">
        <f>-'Progetto del paramento slu'!$G$47*'Progetto del paramento slu'!$G$41*IF(DATI!$G$218="dx",DATI!$E$61,DATI!$E$64*DATI!$E$63)*1000*C1094^2*sezione!$AD$5*(1-sezione!$AD$6)</f>
        <v>-3191199.9185480778</v>
      </c>
      <c r="E1094" s="553">
        <f>-'Foglio deposito bis'!$F$58*(C1094-sezione!$AL$31)*IF(ABS(K1094)&lt;'Progetto del paramento slu'!$G$58,ABS(K1094)*'Progetto del paramento slu'!$G$54,'Progetto del paramento slu'!$G$53)</f>
        <v>0</v>
      </c>
      <c r="F1094" s="553">
        <f>-'Foglio deposito bis'!$F$59*(C1094-sezione!$AM$31)*IF(ABS(L1094)&lt;'Progetto del paramento slu'!$G$58,ABS(L1094)*'Progetto del paramento slu'!$G$54,'Progetto del paramento slu'!$G$53)</f>
        <v>20024216.632575806</v>
      </c>
      <c r="G1094" s="553">
        <f>-'Foglio deposito bis'!$F$60*(C1094-sezione!$AN$31)*IF(ABS(M1094)&lt;'Progetto del paramento slu'!$G$58,ABS(M1094)*'Progetto del paramento slu'!$G$54,'Progetto del paramento slu'!$G$53)</f>
        <v>0</v>
      </c>
      <c r="H1094" s="553">
        <f>-'Foglio deposito bis'!$F$61*(C1094-sezione!$AO$31)*IF(ABS(N1094)&lt;'Progetto del paramento slu'!$G$58,ABS(N1094)*'Progetto del paramento slu'!$G$54,'Progetto del paramento slu'!$G$53)</f>
        <v>77177806.191929102</v>
      </c>
      <c r="I1094" s="479">
        <f>-'Foglio deposito bis'!$F$62*(C1094-sezione!$AP$31)*IF(ABS(O1094)&lt;'Progetto del paramento slu'!$G$58,ABS(O1094)*'Progetto del paramento slu'!$G$54,'Progetto del paramento slu'!$G$53)</f>
        <v>75628470.682877496</v>
      </c>
      <c r="J1094" s="479">
        <f t="shared" si="80"/>
        <v>169639293.58883435</v>
      </c>
      <c r="K1094" s="558">
        <f>'Progetto del paramento slu'!$G$60*(sezione!$AL$31-C1094)/C1094</f>
        <v>3.6105583414201684E-3</v>
      </c>
      <c r="L1094" s="558">
        <f>'Progetto del paramento slu'!$G$60*(sezione!$AM$31-C1094)/C1094</f>
        <v>2.3164593780325631E-2</v>
      </c>
      <c r="M1094" s="559">
        <f>'Progetto del paramento slu'!$G$60*(sezione!$AN$31-C1094)/C1094</f>
        <v>4.2718629219231093E-2</v>
      </c>
      <c r="N1094" s="559">
        <f>'Progetto del paramento slu'!$G$60*(sezione!$AO$31-C1094)/C1094</f>
        <v>5.6939745902071431E-2</v>
      </c>
      <c r="O1094" s="559">
        <f>'Progetto del paramento slu'!$G$60*(sezione!$AP$31-C1094)/C1094</f>
        <v>4.2719338565796391E-2</v>
      </c>
      <c r="P1094" s="553">
        <f>-'Progetto del paramento slu'!$G$47*'Progetto del paramento slu'!$G$41*IF(DATI!$G$218="dx",DATI!$E$61,DATI!$E$64*DATI!$E$63)*1000*C1094*sezione!$AD$5</f>
        <v>-277534.40802313347</v>
      </c>
      <c r="Q1094" s="553">
        <f>'Foglio deposito bis'!$F$58*IF(ABS(K1094)&lt;'Progetto del paramento slu'!$G$58,ABS(K1094)*'Progetto del paramento slu'!$G$54,'Progetto del paramento slu'!$G$53)*IF(K1094&lt;0,-1,1)</f>
        <v>0</v>
      </c>
      <c r="R1094" s="553">
        <f>'Foglio deposito bis'!$F$59*IF(ABS(L1094)&lt;'Progetto del paramento slu'!$G$58,ABS(L1094)*'Progetto del paramento slu'!$G$54,'Progetto del paramento slu'!$G$53)*IF(L1094&lt;0,-1,1)</f>
        <v>153664.85805602249</v>
      </c>
      <c r="S1094" s="553">
        <f>'Foglio deposito bis'!$F$60*IF(ABS(M1094)&lt;'Progetto del paramento slu'!$G$58,ABS(M1094)*'Progetto del paramento slu'!$G$54,'Progetto del paramento slu'!$G$53)*IF(M1094&lt;0,-1,1)</f>
        <v>0</v>
      </c>
      <c r="T1094" s="553">
        <f>'Foglio deposito bis'!$F$61*IF(ABS(N1094)&lt;'Progetto del paramento slu'!$G$58,ABS(N1094)*'Progetto del paramento slu'!$G$54,'Progetto del paramento slu'!$G$53)*IF(N1094&lt;0,-1,1)</f>
        <v>240946.49743184328</v>
      </c>
      <c r="U1094" s="553">
        <f>'Foglio deposito bis'!$F$62*IF(ABS(O1094)&lt;'Progetto del paramento slu'!$G$58,ABS(O1094)*'Progetto del paramento slu'!$G$54,'Progetto del paramento slu'!$G$53)*IF(O1094&lt;0,-1,1)</f>
        <v>314705.62929873407</v>
      </c>
      <c r="V1094" s="479">
        <f t="shared" si="82"/>
        <v>431782.57676346635</v>
      </c>
      <c r="W1094" s="559"/>
      <c r="X1094" s="559"/>
    </row>
    <row r="1095" spans="1:24" x14ac:dyDescent="0.25">
      <c r="A1095" s="553">
        <f t="shared" si="81"/>
        <v>428921.39729931043</v>
      </c>
      <c r="B1095" s="3">
        <f t="shared" si="83"/>
        <v>4.8999999999999906</v>
      </c>
      <c r="C1095" s="553">
        <f>'Foglio deposito bis'!$E$157/sezione!$B$247*B1095</f>
        <v>19.892010187883805</v>
      </c>
      <c r="D1095" s="611">
        <f>-'Progetto del paramento slu'!$G$47*'Progetto del paramento slu'!$G$41*IF(DATI!$G$218="dx",DATI!$E$61,DATI!$E$64*DATI!$E$63)*1000*C1095^2*sezione!$AD$5*(1-sezione!$AD$6)</f>
        <v>-3257337.019633939</v>
      </c>
      <c r="E1095" s="553">
        <f>-'Foglio deposito bis'!$F$58*(C1095-sezione!$AL$31)*IF(ABS(K1095)&lt;'Progetto del paramento slu'!$G$58,ABS(K1095)*'Progetto del paramento slu'!$G$54,'Progetto del paramento slu'!$G$53)</f>
        <v>0</v>
      </c>
      <c r="F1095" s="553">
        <f>-'Foglio deposito bis'!$F$59*(C1095-sezione!$AM$31)*IF(ABS(L1095)&lt;'Progetto del paramento slu'!$G$58,ABS(L1095)*'Progetto del paramento slu'!$G$54,'Progetto del paramento slu'!$G$53)</f>
        <v>19993025.786433253</v>
      </c>
      <c r="G1095" s="553">
        <f>-'Foglio deposito bis'!$F$60*(C1095-sezione!$AN$31)*IF(ABS(M1095)&lt;'Progetto del paramento slu'!$G$58,ABS(M1095)*'Progetto del paramento slu'!$G$54,'Progetto del paramento slu'!$G$53)</f>
        <v>0</v>
      </c>
      <c r="H1095" s="553">
        <f>-'Foglio deposito bis'!$F$61*(C1095-sezione!$AO$31)*IF(ABS(N1095)&lt;'Progetto del paramento slu'!$G$58,ABS(N1095)*'Progetto del paramento slu'!$G$54,'Progetto del paramento slu'!$G$53)</f>
        <v>77128898.94517757</v>
      </c>
      <c r="I1095" s="479">
        <f>-'Foglio deposito bis'!$F$62*(C1095-sezione!$AP$31)*IF(ABS(O1095)&lt;'Progetto del paramento slu'!$G$58,ABS(O1095)*'Progetto del paramento slu'!$G$54,'Progetto del paramento slu'!$G$53)</f>
        <v>75564591.829977557</v>
      </c>
      <c r="J1095" s="479">
        <f t="shared" si="80"/>
        <v>169429179.54195446</v>
      </c>
      <c r="K1095" s="558">
        <f>'Progetto del paramento slu'!$G$60*(sezione!$AL$31-C1095)/C1095</f>
        <v>3.5380016236505754E-3</v>
      </c>
      <c r="L1095" s="558">
        <f>'Progetto del paramento slu'!$G$60*(sezione!$AM$31-C1095)/C1095</f>
        <v>2.2892506088689656E-2</v>
      </c>
      <c r="M1095" s="559">
        <f>'Progetto del paramento slu'!$G$60*(sezione!$AN$31-C1095)/C1095</f>
        <v>4.2247010553728738E-2</v>
      </c>
      <c r="N1095" s="559">
        <f>'Progetto del paramento slu'!$G$60*(sezione!$AO$31-C1095)/C1095</f>
        <v>5.6323013801029893E-2</v>
      </c>
      <c r="O1095" s="559">
        <f>'Progetto del paramento slu'!$G$60*(sezione!$AP$31-C1095)/C1095</f>
        <v>4.2247712662063772E-2</v>
      </c>
      <c r="P1095" s="553">
        <f>-'Progetto del paramento slu'!$G$47*'Progetto del paramento slu'!$G$41*IF(DATI!$G$218="dx",DATI!$E$61,DATI!$E$64*DATI!$E$63)*1000*C1095*sezione!$AD$5</f>
        <v>-280395.58748728945</v>
      </c>
      <c r="Q1095" s="553">
        <f>'Foglio deposito bis'!$F$58*IF(ABS(K1095)&lt;'Progetto del paramento slu'!$G$58,ABS(K1095)*'Progetto del paramento slu'!$G$54,'Progetto del paramento slu'!$G$53)*IF(K1095&lt;0,-1,1)</f>
        <v>0</v>
      </c>
      <c r="R1095" s="553">
        <f>'Foglio deposito bis'!$F$59*IF(ABS(L1095)&lt;'Progetto del paramento slu'!$G$58,ABS(L1095)*'Progetto del paramento slu'!$G$54,'Progetto del paramento slu'!$G$53)*IF(L1095&lt;0,-1,1)</f>
        <v>153664.85805602249</v>
      </c>
      <c r="S1095" s="553">
        <f>'Foglio deposito bis'!$F$60*IF(ABS(M1095)&lt;'Progetto del paramento slu'!$G$58,ABS(M1095)*'Progetto del paramento slu'!$G$54,'Progetto del paramento slu'!$G$53)*IF(M1095&lt;0,-1,1)</f>
        <v>0</v>
      </c>
      <c r="T1095" s="553">
        <f>'Foglio deposito bis'!$F$61*IF(ABS(N1095)&lt;'Progetto del paramento slu'!$G$58,ABS(N1095)*'Progetto del paramento slu'!$G$54,'Progetto del paramento slu'!$G$53)*IF(N1095&lt;0,-1,1)</f>
        <v>240946.49743184328</v>
      </c>
      <c r="U1095" s="553">
        <f>'Foglio deposito bis'!$F$62*IF(ABS(O1095)&lt;'Progetto del paramento slu'!$G$58,ABS(O1095)*'Progetto del paramento slu'!$G$54,'Progetto del paramento slu'!$G$53)*IF(O1095&lt;0,-1,1)</f>
        <v>314705.62929873407</v>
      </c>
      <c r="V1095" s="479">
        <f t="shared" si="82"/>
        <v>428921.39729931043</v>
      </c>
      <c r="W1095" s="559"/>
      <c r="X1095" s="559"/>
    </row>
    <row r="1096" spans="1:24" x14ac:dyDescent="0.25">
      <c r="A1096" s="553">
        <f t="shared" si="81"/>
        <v>426060.21783515438</v>
      </c>
      <c r="B1096" s="3">
        <f t="shared" si="83"/>
        <v>4.9499999999999904</v>
      </c>
      <c r="C1096" s="553">
        <f>'Foglio deposito bis'!$E$157/sezione!$B$247*B1096</f>
        <v>20.094989883678537</v>
      </c>
      <c r="D1096" s="611">
        <f>-'Progetto del paramento slu'!$G$47*'Progetto del paramento slu'!$G$41*IF(DATI!$G$218="dx",DATI!$E$61,DATI!$E$64*DATI!$E$63)*1000*C1096^2*sezione!$AD$5*(1-sezione!$AD$6)</f>
        <v>-3324152.4499617065</v>
      </c>
      <c r="E1096" s="553">
        <f>-'Foglio deposito bis'!$F$58*(C1096-sezione!$AL$31)*IF(ABS(K1096)&lt;'Progetto del paramento slu'!$G$58,ABS(K1096)*'Progetto del paramento slu'!$G$54,'Progetto del paramento slu'!$G$53)</f>
        <v>0</v>
      </c>
      <c r="F1096" s="553">
        <f>-'Foglio deposito bis'!$F$59*(C1096-sezione!$AM$31)*IF(ABS(L1096)&lt;'Progetto del paramento slu'!$G$58,ABS(L1096)*'Progetto del paramento slu'!$G$54,'Progetto del paramento slu'!$G$53)</f>
        <v>19961834.940290704</v>
      </c>
      <c r="G1096" s="553">
        <f>-'Foglio deposito bis'!$F$60*(C1096-sezione!$AN$31)*IF(ABS(M1096)&lt;'Progetto del paramento slu'!$G$58,ABS(M1096)*'Progetto del paramento slu'!$G$54,'Progetto del paramento slu'!$G$53)</f>
        <v>0</v>
      </c>
      <c r="H1096" s="553">
        <f>-'Foglio deposito bis'!$F$61*(C1096-sezione!$AO$31)*IF(ABS(N1096)&lt;'Progetto del paramento slu'!$G$58,ABS(N1096)*'Progetto del paramento slu'!$G$54,'Progetto del paramento slu'!$G$53)</f>
        <v>77079991.698426038</v>
      </c>
      <c r="I1096" s="479">
        <f>-'Foglio deposito bis'!$F$62*(C1096-sezione!$AP$31)*IF(ABS(O1096)&lt;'Progetto del paramento slu'!$G$58,ABS(O1096)*'Progetto del paramento slu'!$G$54,'Progetto del paramento slu'!$G$53)</f>
        <v>75500712.977077618</v>
      </c>
      <c r="J1096" s="479">
        <f t="shared" si="80"/>
        <v>169218387.16583264</v>
      </c>
      <c r="K1096" s="558">
        <f>'Progetto del paramento slu'!$G$60*(sezione!$AL$31-C1096)/C1096</f>
        <v>3.4669106981591556E-3</v>
      </c>
      <c r="L1096" s="558">
        <f>'Progetto del paramento slu'!$G$60*(sezione!$AM$31-C1096)/C1096</f>
        <v>2.2625915118096834E-2</v>
      </c>
      <c r="M1096" s="559">
        <f>'Progetto del paramento slu'!$G$60*(sezione!$AN$31-C1096)/C1096</f>
        <v>4.1784919538034516E-2</v>
      </c>
      <c r="N1096" s="559">
        <f>'Progetto del paramento slu'!$G$60*(sezione!$AO$31-C1096)/C1096</f>
        <v>5.5718740934352827E-2</v>
      </c>
      <c r="O1096" s="559">
        <f>'Progetto del paramento slu'!$G$60*(sezione!$AP$31-C1096)/C1096</f>
        <v>4.1785614554366163E-2</v>
      </c>
      <c r="P1096" s="553">
        <f>-'Progetto del paramento slu'!$G$47*'Progetto del paramento slu'!$G$41*IF(DATI!$G$218="dx",DATI!$E$61,DATI!$E$64*DATI!$E$63)*1000*C1096*sezione!$AD$5</f>
        <v>-283256.76695144549</v>
      </c>
      <c r="Q1096" s="553">
        <f>'Foglio deposito bis'!$F$58*IF(ABS(K1096)&lt;'Progetto del paramento slu'!$G$58,ABS(K1096)*'Progetto del paramento slu'!$G$54,'Progetto del paramento slu'!$G$53)*IF(K1096&lt;0,-1,1)</f>
        <v>0</v>
      </c>
      <c r="R1096" s="553">
        <f>'Foglio deposito bis'!$F$59*IF(ABS(L1096)&lt;'Progetto del paramento slu'!$G$58,ABS(L1096)*'Progetto del paramento slu'!$G$54,'Progetto del paramento slu'!$G$53)*IF(L1096&lt;0,-1,1)</f>
        <v>153664.85805602249</v>
      </c>
      <c r="S1096" s="553">
        <f>'Foglio deposito bis'!$F$60*IF(ABS(M1096)&lt;'Progetto del paramento slu'!$G$58,ABS(M1096)*'Progetto del paramento slu'!$G$54,'Progetto del paramento slu'!$G$53)*IF(M1096&lt;0,-1,1)</f>
        <v>0</v>
      </c>
      <c r="T1096" s="553">
        <f>'Foglio deposito bis'!$F$61*IF(ABS(N1096)&lt;'Progetto del paramento slu'!$G$58,ABS(N1096)*'Progetto del paramento slu'!$G$54,'Progetto del paramento slu'!$G$53)*IF(N1096&lt;0,-1,1)</f>
        <v>240946.49743184328</v>
      </c>
      <c r="U1096" s="553">
        <f>'Foglio deposito bis'!$F$62*IF(ABS(O1096)&lt;'Progetto del paramento slu'!$G$58,ABS(O1096)*'Progetto del paramento slu'!$G$54,'Progetto del paramento slu'!$G$53)*IF(O1096&lt;0,-1,1)</f>
        <v>314705.62929873407</v>
      </c>
      <c r="V1096" s="479">
        <f t="shared" si="82"/>
        <v>426060.21783515438</v>
      </c>
      <c r="W1096" s="559"/>
      <c r="X1096" s="559"/>
    </row>
    <row r="1097" spans="1:24" x14ac:dyDescent="0.25">
      <c r="A1097" s="553">
        <f t="shared" si="81"/>
        <v>423199.03837099834</v>
      </c>
      <c r="B1097" s="3">
        <f t="shared" si="83"/>
        <v>4.9999999999999902</v>
      </c>
      <c r="C1097" s="553">
        <f>'Foglio deposito bis'!$E$157/sezione!$B$247*B1097</f>
        <v>20.297969579473271</v>
      </c>
      <c r="D1097" s="611">
        <f>-'Progetto del paramento slu'!$G$47*'Progetto del paramento slu'!$G$41*IF(DATI!$G$218="dx",DATI!$E$61,DATI!$E$64*DATI!$E$63)*1000*C1097^2*sezione!$AD$5*(1-sezione!$AD$6)</f>
        <v>-3391646.2095313822</v>
      </c>
      <c r="E1097" s="553">
        <f>-'Foglio deposito bis'!$F$58*(C1097-sezione!$AL$31)*IF(ABS(K1097)&lt;'Progetto del paramento slu'!$G$58,ABS(K1097)*'Progetto del paramento slu'!$G$54,'Progetto del paramento slu'!$G$53)</f>
        <v>0</v>
      </c>
      <c r="F1097" s="553">
        <f>-'Foglio deposito bis'!$F$59*(C1097-sezione!$AM$31)*IF(ABS(L1097)&lt;'Progetto del paramento slu'!$G$58,ABS(L1097)*'Progetto del paramento slu'!$G$54,'Progetto del paramento slu'!$G$53)</f>
        <v>19930644.094148152</v>
      </c>
      <c r="G1097" s="553">
        <f>-'Foglio deposito bis'!$F$60*(C1097-sezione!$AN$31)*IF(ABS(M1097)&lt;'Progetto del paramento slu'!$G$58,ABS(M1097)*'Progetto del paramento slu'!$G$54,'Progetto del paramento slu'!$G$53)</f>
        <v>0</v>
      </c>
      <c r="H1097" s="553">
        <f>-'Foglio deposito bis'!$F$61*(C1097-sezione!$AO$31)*IF(ABS(N1097)&lt;'Progetto del paramento slu'!$G$58,ABS(N1097)*'Progetto del paramento slu'!$G$54,'Progetto del paramento slu'!$G$53)</f>
        <v>77031084.451674536</v>
      </c>
      <c r="I1097" s="479">
        <f>-'Foglio deposito bis'!$F$62*(C1097-sezione!$AP$31)*IF(ABS(O1097)&lt;'Progetto del paramento slu'!$G$58,ABS(O1097)*'Progetto del paramento slu'!$G$54,'Progetto del paramento slu'!$G$53)</f>
        <v>75436834.124177665</v>
      </c>
      <c r="J1097" s="479">
        <f t="shared" si="80"/>
        <v>169006916.46046898</v>
      </c>
      <c r="K1097" s="558">
        <f>'Progetto del paramento slu'!$G$60*(sezione!$AL$31-C1097)/C1097</f>
        <v>3.3972415911775636E-3</v>
      </c>
      <c r="L1097" s="558">
        <f>'Progetto del paramento slu'!$G$60*(sezione!$AM$31-C1097)/C1097</f>
        <v>2.2364655966915864E-2</v>
      </c>
      <c r="M1097" s="559">
        <f>'Progetto del paramento slu'!$G$60*(sezione!$AN$31-C1097)/C1097</f>
        <v>4.1332070342654167E-2</v>
      </c>
      <c r="N1097" s="559">
        <f>'Progetto del paramento slu'!$G$60*(sezione!$AO$31-C1097)/C1097</f>
        <v>5.5126553525009288E-2</v>
      </c>
      <c r="O1097" s="559">
        <f>'Progetto del paramento slu'!$G$60*(sezione!$AP$31-C1097)/C1097</f>
        <v>4.1332758408822494E-2</v>
      </c>
      <c r="P1097" s="553">
        <f>-'Progetto del paramento slu'!$G$47*'Progetto del paramento slu'!$G$41*IF(DATI!$G$218="dx",DATI!$E$61,DATI!$E$64*DATI!$E$63)*1000*C1097*sezione!$AD$5</f>
        <v>-286117.94641560147</v>
      </c>
      <c r="Q1097" s="553">
        <f>'Foglio deposito bis'!$F$58*IF(ABS(K1097)&lt;'Progetto del paramento slu'!$G$58,ABS(K1097)*'Progetto del paramento slu'!$G$54,'Progetto del paramento slu'!$G$53)*IF(K1097&lt;0,-1,1)</f>
        <v>0</v>
      </c>
      <c r="R1097" s="553">
        <f>'Foglio deposito bis'!$F$59*IF(ABS(L1097)&lt;'Progetto del paramento slu'!$G$58,ABS(L1097)*'Progetto del paramento slu'!$G$54,'Progetto del paramento slu'!$G$53)*IF(L1097&lt;0,-1,1)</f>
        <v>153664.85805602249</v>
      </c>
      <c r="S1097" s="553">
        <f>'Foglio deposito bis'!$F$60*IF(ABS(M1097)&lt;'Progetto del paramento slu'!$G$58,ABS(M1097)*'Progetto del paramento slu'!$G$54,'Progetto del paramento slu'!$G$53)*IF(M1097&lt;0,-1,1)</f>
        <v>0</v>
      </c>
      <c r="T1097" s="553">
        <f>'Foglio deposito bis'!$F$61*IF(ABS(N1097)&lt;'Progetto del paramento slu'!$G$58,ABS(N1097)*'Progetto del paramento slu'!$G$54,'Progetto del paramento slu'!$G$53)*IF(N1097&lt;0,-1,1)</f>
        <v>240946.49743184328</v>
      </c>
      <c r="U1097" s="553">
        <f>'Foglio deposito bis'!$F$62*IF(ABS(O1097)&lt;'Progetto del paramento slu'!$G$58,ABS(O1097)*'Progetto del paramento slu'!$G$54,'Progetto del paramento slu'!$G$53)*IF(O1097&lt;0,-1,1)</f>
        <v>314705.62929873407</v>
      </c>
      <c r="V1097" s="479">
        <f t="shared" si="82"/>
        <v>423199.03837099834</v>
      </c>
      <c r="W1097" s="559"/>
      <c r="X1097" s="559"/>
    </row>
    <row r="1098" spans="1:24" x14ac:dyDescent="0.25">
      <c r="A1098" s="553">
        <f t="shared" si="81"/>
        <v>420337.85890684242</v>
      </c>
      <c r="B1098" s="3">
        <f t="shared" si="83"/>
        <v>5.0499999999999901</v>
      </c>
      <c r="C1098" s="553">
        <f>'Foglio deposito bis'!$E$157/sezione!$B$247*B1098</f>
        <v>20.500949275268002</v>
      </c>
      <c r="D1098" s="611">
        <f>-'Progetto del paramento slu'!$G$47*'Progetto del paramento slu'!$G$41*IF(DATI!$G$218="dx",DATI!$E$61,DATI!$E$64*DATI!$E$63)*1000*C1098^2*sezione!$AD$5*(1-sezione!$AD$6)</f>
        <v>-3459818.2983429618</v>
      </c>
      <c r="E1098" s="553">
        <f>-'Foglio deposito bis'!$F$58*(C1098-sezione!$AL$31)*IF(ABS(K1098)&lt;'Progetto del paramento slu'!$G$58,ABS(K1098)*'Progetto del paramento slu'!$G$54,'Progetto del paramento slu'!$G$53)</f>
        <v>0</v>
      </c>
      <c r="F1098" s="553">
        <f>-'Foglio deposito bis'!$F$59*(C1098-sezione!$AM$31)*IF(ABS(L1098)&lt;'Progetto del paramento slu'!$G$58,ABS(L1098)*'Progetto del paramento slu'!$G$54,'Progetto del paramento slu'!$G$53)</f>
        <v>19899453.248005599</v>
      </c>
      <c r="G1098" s="553">
        <f>-'Foglio deposito bis'!$F$60*(C1098-sezione!$AN$31)*IF(ABS(M1098)&lt;'Progetto del paramento slu'!$G$58,ABS(M1098)*'Progetto del paramento slu'!$G$54,'Progetto del paramento slu'!$G$53)</f>
        <v>0</v>
      </c>
      <c r="H1098" s="553">
        <f>-'Foglio deposito bis'!$F$61*(C1098-sezione!$AO$31)*IF(ABS(N1098)&lt;'Progetto del paramento slu'!$G$58,ABS(N1098)*'Progetto del paramento slu'!$G$54,'Progetto del paramento slu'!$G$53)</f>
        <v>76982177.204923004</v>
      </c>
      <c r="I1098" s="479">
        <f>-'Foglio deposito bis'!$F$62*(C1098-sezione!$AP$31)*IF(ABS(O1098)&lt;'Progetto del paramento slu'!$G$58,ABS(O1098)*'Progetto del paramento slu'!$G$54,'Progetto del paramento slu'!$G$53)</f>
        <v>75372955.271277711</v>
      </c>
      <c r="J1098" s="479">
        <f t="shared" si="80"/>
        <v>168794767.42586336</v>
      </c>
      <c r="K1098" s="558">
        <f>'Progetto del paramento slu'!$G$60*(sezione!$AL$31-C1098)/C1098</f>
        <v>3.3289520704728355E-3</v>
      </c>
      <c r="L1098" s="558">
        <f>'Progetto del paramento slu'!$G$60*(sezione!$AM$31-C1098)/C1098</f>
        <v>2.2108570264273132E-2</v>
      </c>
      <c r="M1098" s="559">
        <f>'Progetto del paramento slu'!$G$60*(sezione!$AN$31-C1098)/C1098</f>
        <v>4.0888188458073432E-2</v>
      </c>
      <c r="N1098" s="559">
        <f>'Progetto del paramento slu'!$G$60*(sezione!$AO$31-C1098)/C1098</f>
        <v>5.4546092599019103E-2</v>
      </c>
      <c r="O1098" s="559">
        <f>'Progetto del paramento slu'!$G$60*(sezione!$AP$31-C1098)/C1098</f>
        <v>4.0888869711705446E-2</v>
      </c>
      <c r="P1098" s="553">
        <f>-'Progetto del paramento slu'!$G$47*'Progetto del paramento slu'!$G$41*IF(DATI!$G$218="dx",DATI!$E$61,DATI!$E$64*DATI!$E$63)*1000*C1098*sezione!$AD$5</f>
        <v>-288979.12587975746</v>
      </c>
      <c r="Q1098" s="553">
        <f>'Foglio deposito bis'!$F$58*IF(ABS(K1098)&lt;'Progetto del paramento slu'!$G$58,ABS(K1098)*'Progetto del paramento slu'!$G$54,'Progetto del paramento slu'!$G$53)*IF(K1098&lt;0,-1,1)</f>
        <v>0</v>
      </c>
      <c r="R1098" s="553">
        <f>'Foglio deposito bis'!$F$59*IF(ABS(L1098)&lt;'Progetto del paramento slu'!$G$58,ABS(L1098)*'Progetto del paramento slu'!$G$54,'Progetto del paramento slu'!$G$53)*IF(L1098&lt;0,-1,1)</f>
        <v>153664.85805602249</v>
      </c>
      <c r="S1098" s="553">
        <f>'Foglio deposito bis'!$F$60*IF(ABS(M1098)&lt;'Progetto del paramento slu'!$G$58,ABS(M1098)*'Progetto del paramento slu'!$G$54,'Progetto del paramento slu'!$G$53)*IF(M1098&lt;0,-1,1)</f>
        <v>0</v>
      </c>
      <c r="T1098" s="553">
        <f>'Foglio deposito bis'!$F$61*IF(ABS(N1098)&lt;'Progetto del paramento slu'!$G$58,ABS(N1098)*'Progetto del paramento slu'!$G$54,'Progetto del paramento slu'!$G$53)*IF(N1098&lt;0,-1,1)</f>
        <v>240946.49743184328</v>
      </c>
      <c r="U1098" s="553">
        <f>'Foglio deposito bis'!$F$62*IF(ABS(O1098)&lt;'Progetto del paramento slu'!$G$58,ABS(O1098)*'Progetto del paramento slu'!$G$54,'Progetto del paramento slu'!$G$53)*IF(O1098&lt;0,-1,1)</f>
        <v>314705.62929873407</v>
      </c>
      <c r="V1098" s="479">
        <f t="shared" si="82"/>
        <v>420337.85890684242</v>
      </c>
      <c r="W1098" s="559"/>
      <c r="X1098" s="559"/>
    </row>
    <row r="1099" spans="1:24" x14ac:dyDescent="0.25">
      <c r="A1099" s="553">
        <f t="shared" si="81"/>
        <v>417476.67944268638</v>
      </c>
      <c r="B1099" s="3">
        <f t="shared" si="83"/>
        <v>5.0999999999999899</v>
      </c>
      <c r="C1099" s="553">
        <f>'Foglio deposito bis'!$E$157/sezione!$B$247*B1099</f>
        <v>20.703928971062734</v>
      </c>
      <c r="D1099" s="611">
        <f>-'Progetto del paramento slu'!$G$47*'Progetto del paramento slu'!$G$41*IF(DATI!$G$218="dx",DATI!$E$61,DATI!$E$64*DATI!$E$63)*1000*C1099^2*sezione!$AD$5*(1-sezione!$AD$6)</f>
        <v>-3528668.7163964491</v>
      </c>
      <c r="E1099" s="553">
        <f>-'Foglio deposito bis'!$F$58*(C1099-sezione!$AL$31)*IF(ABS(K1099)&lt;'Progetto del paramento slu'!$G$58,ABS(K1099)*'Progetto del paramento slu'!$G$54,'Progetto del paramento slu'!$G$53)</f>
        <v>0</v>
      </c>
      <c r="F1099" s="553">
        <f>-'Foglio deposito bis'!$F$59*(C1099-sezione!$AM$31)*IF(ABS(L1099)&lt;'Progetto del paramento slu'!$G$58,ABS(L1099)*'Progetto del paramento slu'!$G$54,'Progetto del paramento slu'!$G$53)</f>
        <v>19868262.40186305</v>
      </c>
      <c r="G1099" s="553">
        <f>-'Foglio deposito bis'!$F$60*(C1099-sezione!$AN$31)*IF(ABS(M1099)&lt;'Progetto del paramento slu'!$G$58,ABS(M1099)*'Progetto del paramento slu'!$G$54,'Progetto del paramento slu'!$G$53)</f>
        <v>0</v>
      </c>
      <c r="H1099" s="553">
        <f>-'Foglio deposito bis'!$F$61*(C1099-sezione!$AO$31)*IF(ABS(N1099)&lt;'Progetto del paramento slu'!$G$58,ABS(N1099)*'Progetto del paramento slu'!$G$54,'Progetto del paramento slu'!$G$53)</f>
        <v>76933269.958171472</v>
      </c>
      <c r="I1099" s="479">
        <f>-'Foglio deposito bis'!$F$62*(C1099-sezione!$AP$31)*IF(ABS(O1099)&lt;'Progetto del paramento slu'!$G$58,ABS(O1099)*'Progetto del paramento slu'!$G$54,'Progetto del paramento slu'!$G$53)</f>
        <v>75309076.418377772</v>
      </c>
      <c r="J1099" s="479">
        <f t="shared" si="80"/>
        <v>168581940.06201583</v>
      </c>
      <c r="K1099" s="558">
        <f>'Progetto del paramento slu'!$G$60*(sezione!$AL$31-C1099)/C1099</f>
        <v>3.2620015599780041E-3</v>
      </c>
      <c r="L1099" s="558">
        <f>'Progetto del paramento slu'!$G$60*(sezione!$AM$31-C1099)/C1099</f>
        <v>2.1857505849917518E-2</v>
      </c>
      <c r="M1099" s="559">
        <f>'Progetto del paramento slu'!$G$60*(sezione!$AN$31-C1099)/C1099</f>
        <v>4.0453010139857026E-2</v>
      </c>
      <c r="N1099" s="559">
        <f>'Progetto del paramento slu'!$G$60*(sezione!$AO$31-C1099)/C1099</f>
        <v>5.3977013259813043E-2</v>
      </c>
      <c r="O1099" s="559">
        <f>'Progetto del paramento slu'!$G$60*(sezione!$AP$31-C1099)/C1099</f>
        <v>4.0453684714531868E-2</v>
      </c>
      <c r="P1099" s="553">
        <f>-'Progetto del paramento slu'!$G$47*'Progetto del paramento slu'!$G$41*IF(DATI!$G$218="dx",DATI!$E$61,DATI!$E$64*DATI!$E$63)*1000*C1099*sezione!$AD$5</f>
        <v>-291840.30534391344</v>
      </c>
      <c r="Q1099" s="553">
        <f>'Foglio deposito bis'!$F$58*IF(ABS(K1099)&lt;'Progetto del paramento slu'!$G$58,ABS(K1099)*'Progetto del paramento slu'!$G$54,'Progetto del paramento slu'!$G$53)*IF(K1099&lt;0,-1,1)</f>
        <v>0</v>
      </c>
      <c r="R1099" s="553">
        <f>'Foglio deposito bis'!$F$59*IF(ABS(L1099)&lt;'Progetto del paramento slu'!$G$58,ABS(L1099)*'Progetto del paramento slu'!$G$54,'Progetto del paramento slu'!$G$53)*IF(L1099&lt;0,-1,1)</f>
        <v>153664.85805602249</v>
      </c>
      <c r="S1099" s="553">
        <f>'Foglio deposito bis'!$F$60*IF(ABS(M1099)&lt;'Progetto del paramento slu'!$G$58,ABS(M1099)*'Progetto del paramento slu'!$G$54,'Progetto del paramento slu'!$G$53)*IF(M1099&lt;0,-1,1)</f>
        <v>0</v>
      </c>
      <c r="T1099" s="553">
        <f>'Foglio deposito bis'!$F$61*IF(ABS(N1099)&lt;'Progetto del paramento slu'!$G$58,ABS(N1099)*'Progetto del paramento slu'!$G$54,'Progetto del paramento slu'!$G$53)*IF(N1099&lt;0,-1,1)</f>
        <v>240946.49743184328</v>
      </c>
      <c r="U1099" s="553">
        <f>'Foglio deposito bis'!$F$62*IF(ABS(O1099)&lt;'Progetto del paramento slu'!$G$58,ABS(O1099)*'Progetto del paramento slu'!$G$54,'Progetto del paramento slu'!$G$53)*IF(O1099&lt;0,-1,1)</f>
        <v>314705.62929873407</v>
      </c>
      <c r="V1099" s="479">
        <f t="shared" si="82"/>
        <v>417476.67944268638</v>
      </c>
      <c r="W1099" s="559"/>
      <c r="X1099" s="559"/>
    </row>
    <row r="1100" spans="1:24" x14ac:dyDescent="0.25">
      <c r="A1100" s="553">
        <f t="shared" si="81"/>
        <v>406031.96158606221</v>
      </c>
      <c r="B1100" s="3">
        <f>B1099+0.2</f>
        <v>5.2999999999999901</v>
      </c>
      <c r="C1100" s="553">
        <f>'Foglio deposito bis'!$E$157/sezione!$B$247*B1100</f>
        <v>21.515847754241669</v>
      </c>
      <c r="D1100" s="611">
        <f>-'Progetto del paramento slu'!$G$47*'Progetto del paramento slu'!$G$41*IF(DATI!$G$218="dx",DATI!$E$61,DATI!$E$64*DATI!$E$63)*1000*C1100^2*sezione!$AD$5*(1-sezione!$AD$6)</f>
        <v>-3810853.6810294613</v>
      </c>
      <c r="E1100" s="553">
        <f>-'Foglio deposito bis'!$F$58*(C1100-sezione!$AL$31)*IF(ABS(K1100)&lt;'Progetto del paramento slu'!$G$58,ABS(K1100)*'Progetto del paramento slu'!$G$54,'Progetto del paramento slu'!$G$53)</f>
        <v>0</v>
      </c>
      <c r="F1100" s="553">
        <f>-'Foglio deposito bis'!$F$59*(C1100-sezione!$AM$31)*IF(ABS(L1100)&lt;'Progetto del paramento slu'!$G$58,ABS(L1100)*'Progetto del paramento slu'!$G$54,'Progetto del paramento slu'!$G$53)</f>
        <v>19743499.017292839</v>
      </c>
      <c r="G1100" s="553">
        <f>-'Foglio deposito bis'!$F$60*(C1100-sezione!$AN$31)*IF(ABS(M1100)&lt;'Progetto del paramento slu'!$G$58,ABS(M1100)*'Progetto del paramento slu'!$G$54,'Progetto del paramento slu'!$G$53)</f>
        <v>0</v>
      </c>
      <c r="H1100" s="553">
        <f>-'Foglio deposito bis'!$F$61*(C1100-sezione!$AO$31)*IF(ABS(N1100)&lt;'Progetto del paramento slu'!$G$58,ABS(N1100)*'Progetto del paramento slu'!$G$54,'Progetto del paramento slu'!$G$53)</f>
        <v>76737640.971165389</v>
      </c>
      <c r="I1100" s="479">
        <f>-'Foglio deposito bis'!$F$62*(C1100-sezione!$AP$31)*IF(ABS(O1100)&lt;'Progetto del paramento slu'!$G$58,ABS(O1100)*'Progetto del paramento slu'!$G$54,'Progetto del paramento slu'!$G$53)</f>
        <v>75053561.006777987</v>
      </c>
      <c r="J1100" s="479">
        <f t="shared" si="80"/>
        <v>167723847.31420675</v>
      </c>
      <c r="K1100" s="558">
        <f>'Progetto del paramento slu'!$G$60*(sezione!$AL$31-C1100)/C1100</f>
        <v>3.0068316897901536E-3</v>
      </c>
      <c r="L1100" s="558">
        <f>'Progetto del paramento slu'!$G$60*(sezione!$AM$31-C1100)/C1100</f>
        <v>2.0900618836713077E-2</v>
      </c>
      <c r="M1100" s="559">
        <f>'Progetto del paramento slu'!$G$60*(sezione!$AN$31-C1100)/C1100</f>
        <v>3.8794405983635996E-2</v>
      </c>
      <c r="N1100" s="559">
        <f>'Progetto del paramento slu'!$G$60*(sezione!$AO$31-C1100)/C1100</f>
        <v>5.1808069363216303E-2</v>
      </c>
      <c r="O1100" s="559">
        <f>'Progetto del paramento slu'!$G$60*(sezione!$AP$31-C1100)/C1100</f>
        <v>3.8795055102662734E-2</v>
      </c>
      <c r="P1100" s="553">
        <f>-'Progetto del paramento slu'!$G$47*'Progetto del paramento slu'!$G$41*IF(DATI!$G$218="dx",DATI!$E$61,DATI!$E$64*DATI!$E$63)*1000*C1100*sezione!$AD$5</f>
        <v>-303285.0232005376</v>
      </c>
      <c r="Q1100" s="553">
        <f>'Foglio deposito bis'!$F$58*IF(ABS(K1100)&lt;'Progetto del paramento slu'!$G$58,ABS(K1100)*'Progetto del paramento slu'!$G$54,'Progetto del paramento slu'!$G$53)*IF(K1100&lt;0,-1,1)</f>
        <v>0</v>
      </c>
      <c r="R1100" s="553">
        <f>'Foglio deposito bis'!$F$59*IF(ABS(L1100)&lt;'Progetto del paramento slu'!$G$58,ABS(L1100)*'Progetto del paramento slu'!$G$54,'Progetto del paramento slu'!$G$53)*IF(L1100&lt;0,-1,1)</f>
        <v>153664.85805602249</v>
      </c>
      <c r="S1100" s="553">
        <f>'Foglio deposito bis'!$F$60*IF(ABS(M1100)&lt;'Progetto del paramento slu'!$G$58,ABS(M1100)*'Progetto del paramento slu'!$G$54,'Progetto del paramento slu'!$G$53)*IF(M1100&lt;0,-1,1)</f>
        <v>0</v>
      </c>
      <c r="T1100" s="553">
        <f>'Foglio deposito bis'!$F$61*IF(ABS(N1100)&lt;'Progetto del paramento slu'!$G$58,ABS(N1100)*'Progetto del paramento slu'!$G$54,'Progetto del paramento slu'!$G$53)*IF(N1100&lt;0,-1,1)</f>
        <v>240946.49743184328</v>
      </c>
      <c r="U1100" s="553">
        <f>'Foglio deposito bis'!$F$62*IF(ABS(O1100)&lt;'Progetto del paramento slu'!$G$58,ABS(O1100)*'Progetto del paramento slu'!$G$54,'Progetto del paramento slu'!$G$53)*IF(O1100&lt;0,-1,1)</f>
        <v>314705.62929873407</v>
      </c>
      <c r="V1100" s="479">
        <f t="shared" si="82"/>
        <v>406031.96158606221</v>
      </c>
      <c r="W1100" s="559"/>
      <c r="X1100" s="559"/>
    </row>
    <row r="1101" spans="1:24" x14ac:dyDescent="0.25">
      <c r="A1101" s="553">
        <f t="shared" si="81"/>
        <v>394587.24372943817</v>
      </c>
      <c r="B1101" s="3">
        <f t="shared" ref="B1101:B1164" si="84">B1100+0.2</f>
        <v>5.4999999999999902</v>
      </c>
      <c r="C1101" s="553">
        <f>'Foglio deposito bis'!$E$157/sezione!$B$247*B1101</f>
        <v>22.327766537420601</v>
      </c>
      <c r="D1101" s="611">
        <f>-'Progetto del paramento slu'!$G$47*'Progetto del paramento slu'!$G$41*IF(DATI!$G$218="dx",DATI!$E$61,DATI!$E$64*DATI!$E$63)*1000*C1101^2*sezione!$AD$5*(1-sezione!$AD$6)</f>
        <v>-4103891.9135329733</v>
      </c>
      <c r="E1101" s="553">
        <f>-'Foglio deposito bis'!$F$58*(C1101-sezione!$AL$31)*IF(ABS(K1101)&lt;'Progetto del paramento slu'!$G$58,ABS(K1101)*'Progetto del paramento slu'!$G$54,'Progetto del paramento slu'!$G$53)</f>
        <v>0</v>
      </c>
      <c r="F1101" s="553">
        <f>-'Foglio deposito bis'!$F$59*(C1101-sezione!$AM$31)*IF(ABS(L1101)&lt;'Progetto del paramento slu'!$G$58,ABS(L1101)*'Progetto del paramento slu'!$G$54,'Progetto del paramento slu'!$G$53)</f>
        <v>19618735.632722631</v>
      </c>
      <c r="G1101" s="553">
        <f>-'Foglio deposito bis'!$F$60*(C1101-sezione!$AN$31)*IF(ABS(M1101)&lt;'Progetto del paramento slu'!$G$58,ABS(M1101)*'Progetto del paramento slu'!$G$54,'Progetto del paramento slu'!$G$53)</f>
        <v>0</v>
      </c>
      <c r="H1101" s="553">
        <f>-'Foglio deposito bis'!$F$61*(C1101-sezione!$AO$31)*IF(ABS(N1101)&lt;'Progetto del paramento slu'!$G$58,ABS(N1101)*'Progetto del paramento slu'!$G$54,'Progetto del paramento slu'!$G$53)</f>
        <v>76542011.984159306</v>
      </c>
      <c r="I1101" s="479">
        <f>-'Foglio deposito bis'!$F$62*(C1101-sezione!$AP$31)*IF(ABS(O1101)&lt;'Progetto del paramento slu'!$G$58,ABS(O1101)*'Progetto del paramento slu'!$G$54,'Progetto del paramento slu'!$G$53)</f>
        <v>74798045.595178202</v>
      </c>
      <c r="J1101" s="479">
        <f t="shared" si="80"/>
        <v>166854901.29852718</v>
      </c>
      <c r="K1101" s="558">
        <f>'Progetto del paramento slu'!$G$60*(sezione!$AL$31-C1101)/C1101</f>
        <v>2.7702196283432385E-3</v>
      </c>
      <c r="L1101" s="558">
        <f>'Progetto del paramento slu'!$G$60*(sezione!$AM$31-C1101)/C1101</f>
        <v>2.0013323606287145E-2</v>
      </c>
      <c r="M1101" s="559">
        <f>'Progetto del paramento slu'!$G$60*(sezione!$AN$31-C1101)/C1101</f>
        <v>3.7256427584231054E-2</v>
      </c>
      <c r="N1101" s="559">
        <f>'Progetto del paramento slu'!$G$60*(sezione!$AO$31-C1101)/C1101</f>
        <v>4.9796866840917532E-2</v>
      </c>
      <c r="O1101" s="559">
        <f>'Progetto del paramento slu'!$G$60*(sezione!$AP$31-C1101)/C1101</f>
        <v>3.7257053098929543E-2</v>
      </c>
      <c r="P1101" s="553">
        <f>-'Progetto del paramento slu'!$G$47*'Progetto del paramento slu'!$G$41*IF(DATI!$G$218="dx",DATI!$E$61,DATI!$E$64*DATI!$E$63)*1000*C1101*sezione!$AD$5</f>
        <v>-314729.74105716165</v>
      </c>
      <c r="Q1101" s="553">
        <f>'Foglio deposito bis'!$F$58*IF(ABS(K1101)&lt;'Progetto del paramento slu'!$G$58,ABS(K1101)*'Progetto del paramento slu'!$G$54,'Progetto del paramento slu'!$G$53)*IF(K1101&lt;0,-1,1)</f>
        <v>0</v>
      </c>
      <c r="R1101" s="553">
        <f>'Foglio deposito bis'!$F$59*IF(ABS(L1101)&lt;'Progetto del paramento slu'!$G$58,ABS(L1101)*'Progetto del paramento slu'!$G$54,'Progetto del paramento slu'!$G$53)*IF(L1101&lt;0,-1,1)</f>
        <v>153664.85805602249</v>
      </c>
      <c r="S1101" s="553">
        <f>'Foglio deposito bis'!$F$60*IF(ABS(M1101)&lt;'Progetto del paramento slu'!$G$58,ABS(M1101)*'Progetto del paramento slu'!$G$54,'Progetto del paramento slu'!$G$53)*IF(M1101&lt;0,-1,1)</f>
        <v>0</v>
      </c>
      <c r="T1101" s="553">
        <f>'Foglio deposito bis'!$F$61*IF(ABS(N1101)&lt;'Progetto del paramento slu'!$G$58,ABS(N1101)*'Progetto del paramento slu'!$G$54,'Progetto del paramento slu'!$G$53)*IF(N1101&lt;0,-1,1)</f>
        <v>240946.49743184328</v>
      </c>
      <c r="U1101" s="553">
        <f>'Foglio deposito bis'!$F$62*IF(ABS(O1101)&lt;'Progetto del paramento slu'!$G$58,ABS(O1101)*'Progetto del paramento slu'!$G$54,'Progetto del paramento slu'!$G$53)*IF(O1101&lt;0,-1,1)</f>
        <v>314705.62929873407</v>
      </c>
      <c r="V1101" s="479">
        <f t="shared" si="82"/>
        <v>394587.24372943817</v>
      </c>
      <c r="W1101" s="559"/>
      <c r="X1101" s="559"/>
    </row>
    <row r="1102" spans="1:24" x14ac:dyDescent="0.25">
      <c r="A1102" s="553">
        <f t="shared" si="81"/>
        <v>383142.52587281412</v>
      </c>
      <c r="B1102" s="3">
        <f t="shared" si="84"/>
        <v>5.6999999999999904</v>
      </c>
      <c r="C1102" s="553">
        <f>'Foglio deposito bis'!$E$157/sezione!$B$247*B1102</f>
        <v>23.139685320599533</v>
      </c>
      <c r="D1102" s="611">
        <f>-'Progetto del paramento slu'!$G$47*'Progetto del paramento slu'!$G$41*IF(DATI!$G$218="dx",DATI!$E$61,DATI!$E$64*DATI!$E$63)*1000*C1102^2*sezione!$AD$5*(1-sezione!$AD$6)</f>
        <v>-4407783.413906985</v>
      </c>
      <c r="E1102" s="553">
        <f>-'Foglio deposito bis'!$F$58*(C1102-sezione!$AL$31)*IF(ABS(K1102)&lt;'Progetto del paramento slu'!$G$58,ABS(K1102)*'Progetto del paramento slu'!$G$54,'Progetto del paramento slu'!$G$53)</f>
        <v>0</v>
      </c>
      <c r="F1102" s="553">
        <f>-'Foglio deposito bis'!$F$59*(C1102-sezione!$AM$31)*IF(ABS(L1102)&lt;'Progetto del paramento slu'!$G$58,ABS(L1102)*'Progetto del paramento slu'!$G$54,'Progetto del paramento slu'!$G$53)</f>
        <v>19493972.24815242</v>
      </c>
      <c r="G1102" s="553">
        <f>-'Foglio deposito bis'!$F$60*(C1102-sezione!$AN$31)*IF(ABS(M1102)&lt;'Progetto del paramento slu'!$G$58,ABS(M1102)*'Progetto del paramento slu'!$G$54,'Progetto del paramento slu'!$G$53)</f>
        <v>0</v>
      </c>
      <c r="H1102" s="553">
        <f>-'Foglio deposito bis'!$F$61*(C1102-sezione!$AO$31)*IF(ABS(N1102)&lt;'Progetto del paramento slu'!$G$58,ABS(N1102)*'Progetto del paramento slu'!$G$54,'Progetto del paramento slu'!$G$53)</f>
        <v>76346382.997153208</v>
      </c>
      <c r="I1102" s="479">
        <f>-'Foglio deposito bis'!$F$62*(C1102-sezione!$AP$31)*IF(ABS(O1102)&lt;'Progetto del paramento slu'!$G$58,ABS(O1102)*'Progetto del paramento slu'!$G$54,'Progetto del paramento slu'!$G$53)</f>
        <v>74542530.183578417</v>
      </c>
      <c r="J1102" s="479">
        <f t="shared" si="80"/>
        <v>165975102.01497704</v>
      </c>
      <c r="K1102" s="558">
        <f>'Progetto del paramento slu'!$G$60*(sezione!$AL$31-C1102)/C1102</f>
        <v>2.5502119220855808E-3</v>
      </c>
      <c r="L1102" s="558">
        <f>'Progetto del paramento slu'!$G$60*(sezione!$AM$31-C1102)/C1102</f>
        <v>1.9188294707820928E-2</v>
      </c>
      <c r="M1102" s="559">
        <f>'Progetto del paramento slu'!$G$60*(sezione!$AN$31-C1102)/C1102</f>
        <v>3.5826377493556279E-2</v>
      </c>
      <c r="N1102" s="559">
        <f>'Progetto del paramento slu'!$G$60*(sezione!$AO$31-C1102)/C1102</f>
        <v>4.7926801337727434E-2</v>
      </c>
      <c r="O1102" s="559">
        <f>'Progetto del paramento slu'!$G$60*(sezione!$AP$31-C1102)/C1102</f>
        <v>3.5826981060370605E-2</v>
      </c>
      <c r="P1102" s="553">
        <f>-'Progetto del paramento slu'!$G$47*'Progetto del paramento slu'!$G$41*IF(DATI!$G$218="dx",DATI!$E$61,DATI!$E$64*DATI!$E$63)*1000*C1102*sezione!$AD$5</f>
        <v>-326174.45891378575</v>
      </c>
      <c r="Q1102" s="553">
        <f>'Foglio deposito bis'!$F$58*IF(ABS(K1102)&lt;'Progetto del paramento slu'!$G$58,ABS(K1102)*'Progetto del paramento slu'!$G$54,'Progetto del paramento slu'!$G$53)*IF(K1102&lt;0,-1,1)</f>
        <v>0</v>
      </c>
      <c r="R1102" s="553">
        <f>'Foglio deposito bis'!$F$59*IF(ABS(L1102)&lt;'Progetto del paramento slu'!$G$58,ABS(L1102)*'Progetto del paramento slu'!$G$54,'Progetto del paramento slu'!$G$53)*IF(L1102&lt;0,-1,1)</f>
        <v>153664.85805602249</v>
      </c>
      <c r="S1102" s="553">
        <f>'Foglio deposito bis'!$F$60*IF(ABS(M1102)&lt;'Progetto del paramento slu'!$G$58,ABS(M1102)*'Progetto del paramento slu'!$G$54,'Progetto del paramento slu'!$G$53)*IF(M1102&lt;0,-1,1)</f>
        <v>0</v>
      </c>
      <c r="T1102" s="553">
        <f>'Foglio deposito bis'!$F$61*IF(ABS(N1102)&lt;'Progetto del paramento slu'!$G$58,ABS(N1102)*'Progetto del paramento slu'!$G$54,'Progetto del paramento slu'!$G$53)*IF(N1102&lt;0,-1,1)</f>
        <v>240946.49743184328</v>
      </c>
      <c r="U1102" s="553">
        <f>'Foglio deposito bis'!$F$62*IF(ABS(O1102)&lt;'Progetto del paramento slu'!$G$58,ABS(O1102)*'Progetto del paramento slu'!$G$54,'Progetto del paramento slu'!$G$53)*IF(O1102&lt;0,-1,1)</f>
        <v>314705.62929873407</v>
      </c>
      <c r="V1102" s="479">
        <f t="shared" si="82"/>
        <v>383142.52587281412</v>
      </c>
      <c r="W1102" s="559"/>
      <c r="X1102" s="559"/>
    </row>
    <row r="1103" spans="1:24" x14ac:dyDescent="0.25">
      <c r="A1103" s="553">
        <f t="shared" si="81"/>
        <v>371697.80801618996</v>
      </c>
      <c r="B1103" s="3">
        <f t="shared" si="84"/>
        <v>5.8999999999999906</v>
      </c>
      <c r="C1103" s="553">
        <f>'Foglio deposito bis'!$E$157/sezione!$B$247*B1103</f>
        <v>23.951604103778468</v>
      </c>
      <c r="D1103" s="611">
        <f>-'Progetto del paramento slu'!$G$47*'Progetto del paramento slu'!$G$41*IF(DATI!$G$218="dx",DATI!$E$61,DATI!$E$64*DATI!$E$63)*1000*C1103^2*sezione!$AD$5*(1-sezione!$AD$6)</f>
        <v>-4722528.1821514992</v>
      </c>
      <c r="E1103" s="553">
        <f>-'Foglio deposito bis'!$F$58*(C1103-sezione!$AL$31)*IF(ABS(K1103)&lt;'Progetto del paramento slu'!$G$58,ABS(K1103)*'Progetto del paramento slu'!$G$54,'Progetto del paramento slu'!$G$53)</f>
        <v>0</v>
      </c>
      <c r="F1103" s="553">
        <f>-'Foglio deposito bis'!$F$59*(C1103-sezione!$AM$31)*IF(ABS(L1103)&lt;'Progetto del paramento slu'!$G$58,ABS(L1103)*'Progetto del paramento slu'!$G$54,'Progetto del paramento slu'!$G$53)</f>
        <v>19369208.863582209</v>
      </c>
      <c r="G1103" s="553">
        <f>-'Foglio deposito bis'!$F$60*(C1103-sezione!$AN$31)*IF(ABS(M1103)&lt;'Progetto del paramento slu'!$G$58,ABS(M1103)*'Progetto del paramento slu'!$G$54,'Progetto del paramento slu'!$G$53)</f>
        <v>0</v>
      </c>
      <c r="H1103" s="553">
        <f>-'Foglio deposito bis'!$F$61*(C1103-sezione!$AO$31)*IF(ABS(N1103)&lt;'Progetto del paramento slu'!$G$58,ABS(N1103)*'Progetto del paramento slu'!$G$54,'Progetto del paramento slu'!$G$53)</f>
        <v>76150754.010147125</v>
      </c>
      <c r="I1103" s="479">
        <f>-'Foglio deposito bis'!$F$62*(C1103-sezione!$AP$31)*IF(ABS(O1103)&lt;'Progetto del paramento slu'!$G$58,ABS(O1103)*'Progetto del paramento slu'!$G$54,'Progetto del paramento slu'!$G$53)</f>
        <v>74287014.771978617</v>
      </c>
      <c r="J1103" s="479">
        <f t="shared" si="80"/>
        <v>165084449.46355647</v>
      </c>
      <c r="K1103" s="558">
        <f>'Progetto del paramento slu'!$G$60*(sezione!$AL$31-C1103)/C1103</f>
        <v>2.345119992523357E-3</v>
      </c>
      <c r="L1103" s="558">
        <f>'Progetto del paramento slu'!$G$60*(sezione!$AM$31-C1103)/C1103</f>
        <v>1.8419199971962587E-2</v>
      </c>
      <c r="M1103" s="559">
        <f>'Progetto del paramento slu'!$G$60*(sezione!$AN$31-C1103)/C1103</f>
        <v>3.449327995140182E-2</v>
      </c>
      <c r="N1103" s="559">
        <f>'Progetto del paramento slu'!$G$60*(sezione!$AO$31-C1103)/C1103</f>
        <v>4.6183519936448529E-2</v>
      </c>
      <c r="O1103" s="559">
        <f>'Progetto del paramento slu'!$G$60*(sezione!$AP$31-C1103)/C1103</f>
        <v>3.4493863058324137E-2</v>
      </c>
      <c r="P1103" s="553">
        <f>-'Progetto del paramento slu'!$G$47*'Progetto del paramento slu'!$G$41*IF(DATI!$G$218="dx",DATI!$E$61,DATI!$E$64*DATI!$E$63)*1000*C1103*sezione!$AD$5</f>
        <v>-337619.17677040986</v>
      </c>
      <c r="Q1103" s="553">
        <f>'Foglio deposito bis'!$F$58*IF(ABS(K1103)&lt;'Progetto del paramento slu'!$G$58,ABS(K1103)*'Progetto del paramento slu'!$G$54,'Progetto del paramento slu'!$G$53)*IF(K1103&lt;0,-1,1)</f>
        <v>0</v>
      </c>
      <c r="R1103" s="553">
        <f>'Foglio deposito bis'!$F$59*IF(ABS(L1103)&lt;'Progetto del paramento slu'!$G$58,ABS(L1103)*'Progetto del paramento slu'!$G$54,'Progetto del paramento slu'!$G$53)*IF(L1103&lt;0,-1,1)</f>
        <v>153664.85805602249</v>
      </c>
      <c r="S1103" s="553">
        <f>'Foglio deposito bis'!$F$60*IF(ABS(M1103)&lt;'Progetto del paramento slu'!$G$58,ABS(M1103)*'Progetto del paramento slu'!$G$54,'Progetto del paramento slu'!$G$53)*IF(M1103&lt;0,-1,1)</f>
        <v>0</v>
      </c>
      <c r="T1103" s="553">
        <f>'Foglio deposito bis'!$F$61*IF(ABS(N1103)&lt;'Progetto del paramento slu'!$G$58,ABS(N1103)*'Progetto del paramento slu'!$G$54,'Progetto del paramento slu'!$G$53)*IF(N1103&lt;0,-1,1)</f>
        <v>240946.49743184328</v>
      </c>
      <c r="U1103" s="553">
        <f>'Foglio deposito bis'!$F$62*IF(ABS(O1103)&lt;'Progetto del paramento slu'!$G$58,ABS(O1103)*'Progetto del paramento slu'!$G$54,'Progetto del paramento slu'!$G$53)*IF(O1103&lt;0,-1,1)</f>
        <v>314705.62929873407</v>
      </c>
      <c r="V1103" s="479">
        <f t="shared" si="82"/>
        <v>371697.80801618996</v>
      </c>
      <c r="W1103" s="559"/>
      <c r="X1103" s="559"/>
    </row>
    <row r="1104" spans="1:24" x14ac:dyDescent="0.25">
      <c r="A1104" s="553">
        <f t="shared" si="81"/>
        <v>360253.09015956591</v>
      </c>
      <c r="B1104" s="3">
        <f t="shared" si="84"/>
        <v>6.0999999999999908</v>
      </c>
      <c r="C1104" s="553">
        <f>'Foglio deposito bis'!$E$157/sezione!$B$247*B1104</f>
        <v>24.7635228869574</v>
      </c>
      <c r="D1104" s="611">
        <f>-'Progetto del paramento slu'!$G$47*'Progetto del paramento slu'!$G$41*IF(DATI!$G$218="dx",DATI!$E$61,DATI!$E$64*DATI!$E$63)*1000*C1104^2*sezione!$AD$5*(1-sezione!$AD$6)</f>
        <v>-5048126.2182665123</v>
      </c>
      <c r="E1104" s="553">
        <f>-'Foglio deposito bis'!$F$58*(C1104-sezione!$AL$31)*IF(ABS(K1104)&lt;'Progetto del paramento slu'!$G$58,ABS(K1104)*'Progetto del paramento slu'!$G$54,'Progetto del paramento slu'!$G$53)</f>
        <v>0</v>
      </c>
      <c r="F1104" s="553">
        <f>-'Foglio deposito bis'!$F$59*(C1104-sezione!$AM$31)*IF(ABS(L1104)&lt;'Progetto del paramento slu'!$G$58,ABS(L1104)*'Progetto del paramento slu'!$G$54,'Progetto del paramento slu'!$G$53)</f>
        <v>19244445.479012001</v>
      </c>
      <c r="G1104" s="553">
        <f>-'Foglio deposito bis'!$F$60*(C1104-sezione!$AN$31)*IF(ABS(M1104)&lt;'Progetto del paramento slu'!$G$58,ABS(M1104)*'Progetto del paramento slu'!$G$54,'Progetto del paramento slu'!$G$53)</f>
        <v>0</v>
      </c>
      <c r="H1104" s="553">
        <f>-'Foglio deposito bis'!$F$61*(C1104-sezione!$AO$31)*IF(ABS(N1104)&lt;'Progetto del paramento slu'!$G$58,ABS(N1104)*'Progetto del paramento slu'!$G$54,'Progetto del paramento slu'!$G$53)</f>
        <v>75955125.023141041</v>
      </c>
      <c r="I1104" s="479">
        <f>-'Foglio deposito bis'!$F$62*(C1104-sezione!$AP$31)*IF(ABS(O1104)&lt;'Progetto del paramento slu'!$G$58,ABS(O1104)*'Progetto del paramento slu'!$G$54,'Progetto del paramento slu'!$G$53)</f>
        <v>74031499.360378832</v>
      </c>
      <c r="J1104" s="479">
        <f t="shared" si="80"/>
        <v>164182943.64426535</v>
      </c>
      <c r="K1104" s="558">
        <f>'Progetto del paramento slu'!$G$60*(sezione!$AL$31-C1104)/C1104</f>
        <v>2.1534767140799676E-3</v>
      </c>
      <c r="L1104" s="558">
        <f>'Progetto del paramento slu'!$G$60*(sezione!$AM$31-C1104)/C1104</f>
        <v>1.7700537677799878E-2</v>
      </c>
      <c r="M1104" s="559">
        <f>'Progetto del paramento slu'!$G$60*(sezione!$AN$31-C1104)/C1104</f>
        <v>3.3247598641519792E-2</v>
      </c>
      <c r="N1104" s="559">
        <f>'Progetto del paramento slu'!$G$60*(sezione!$AO$31-C1104)/C1104</f>
        <v>4.4554552069679725E-2</v>
      </c>
      <c r="O1104" s="559">
        <f>'Progetto del paramento slu'!$G$60*(sezione!$AP$31-C1104)/C1104</f>
        <v>3.3248162630182362E-2</v>
      </c>
      <c r="P1104" s="553">
        <f>-'Progetto del paramento slu'!$G$47*'Progetto del paramento slu'!$G$41*IF(DATI!$G$218="dx",DATI!$E$61,DATI!$E$64*DATI!$E$63)*1000*C1104*sezione!$AD$5</f>
        <v>-349063.89462703391</v>
      </c>
      <c r="Q1104" s="553">
        <f>'Foglio deposito bis'!$F$58*IF(ABS(K1104)&lt;'Progetto del paramento slu'!$G$58,ABS(K1104)*'Progetto del paramento slu'!$G$54,'Progetto del paramento slu'!$G$53)*IF(K1104&lt;0,-1,1)</f>
        <v>0</v>
      </c>
      <c r="R1104" s="553">
        <f>'Foglio deposito bis'!$F$59*IF(ABS(L1104)&lt;'Progetto del paramento slu'!$G$58,ABS(L1104)*'Progetto del paramento slu'!$G$54,'Progetto del paramento slu'!$G$53)*IF(L1104&lt;0,-1,1)</f>
        <v>153664.85805602249</v>
      </c>
      <c r="S1104" s="553">
        <f>'Foglio deposito bis'!$F$60*IF(ABS(M1104)&lt;'Progetto del paramento slu'!$G$58,ABS(M1104)*'Progetto del paramento slu'!$G$54,'Progetto del paramento slu'!$G$53)*IF(M1104&lt;0,-1,1)</f>
        <v>0</v>
      </c>
      <c r="T1104" s="553">
        <f>'Foglio deposito bis'!$F$61*IF(ABS(N1104)&lt;'Progetto del paramento slu'!$G$58,ABS(N1104)*'Progetto del paramento slu'!$G$54,'Progetto del paramento slu'!$G$53)*IF(N1104&lt;0,-1,1)</f>
        <v>240946.49743184328</v>
      </c>
      <c r="U1104" s="553">
        <f>'Foglio deposito bis'!$F$62*IF(ABS(O1104)&lt;'Progetto del paramento slu'!$G$58,ABS(O1104)*'Progetto del paramento slu'!$G$54,'Progetto del paramento slu'!$G$53)*IF(O1104&lt;0,-1,1)</f>
        <v>314705.62929873407</v>
      </c>
      <c r="V1104" s="479">
        <f t="shared" si="82"/>
        <v>360253.09015956591</v>
      </c>
      <c r="W1104" s="559"/>
      <c r="X1104" s="559"/>
    </row>
    <row r="1105" spans="1:24" x14ac:dyDescent="0.25">
      <c r="A1105" s="553">
        <f t="shared" si="81"/>
        <v>348808.37230294186</v>
      </c>
      <c r="B1105" s="3">
        <f t="shared" si="84"/>
        <v>6.2999999999999909</v>
      </c>
      <c r="C1105" s="553">
        <f>'Foglio deposito bis'!$E$157/sezione!$B$247*B1105</f>
        <v>25.575441670136332</v>
      </c>
      <c r="D1105" s="611">
        <f>-'Progetto del paramento slu'!$G$47*'Progetto del paramento slu'!$G$41*IF(DATI!$G$218="dx",DATI!$E$61,DATI!$E$64*DATI!$E$63)*1000*C1105^2*sezione!$AD$5*(1-sezione!$AD$6)</f>
        <v>-5384577.522252026</v>
      </c>
      <c r="E1105" s="553">
        <f>-'Foglio deposito bis'!$F$58*(C1105-sezione!$AL$31)*IF(ABS(K1105)&lt;'Progetto del paramento slu'!$G$58,ABS(K1105)*'Progetto del paramento slu'!$G$54,'Progetto del paramento slu'!$G$53)</f>
        <v>0</v>
      </c>
      <c r="F1105" s="553">
        <f>-'Foglio deposito bis'!$F$59*(C1105-sezione!$AM$31)*IF(ABS(L1105)&lt;'Progetto del paramento slu'!$G$58,ABS(L1105)*'Progetto del paramento slu'!$G$54,'Progetto del paramento slu'!$G$53)</f>
        <v>19119682.09444179</v>
      </c>
      <c r="G1105" s="553">
        <f>-'Foglio deposito bis'!$F$60*(C1105-sezione!$AN$31)*IF(ABS(M1105)&lt;'Progetto del paramento slu'!$G$58,ABS(M1105)*'Progetto del paramento slu'!$G$54,'Progetto del paramento slu'!$G$53)</f>
        <v>0</v>
      </c>
      <c r="H1105" s="553">
        <f>-'Foglio deposito bis'!$F$61*(C1105-sezione!$AO$31)*IF(ABS(N1105)&lt;'Progetto del paramento slu'!$G$58,ABS(N1105)*'Progetto del paramento slu'!$G$54,'Progetto del paramento slu'!$G$53)</f>
        <v>75759496.036134943</v>
      </c>
      <c r="I1105" s="479">
        <f>-'Foglio deposito bis'!$F$62*(C1105-sezione!$AP$31)*IF(ABS(O1105)&lt;'Progetto del paramento slu'!$G$58,ABS(O1105)*'Progetto del paramento slu'!$G$54,'Progetto del paramento slu'!$G$53)</f>
        <v>73775983.948779047</v>
      </c>
      <c r="J1105" s="479">
        <f t="shared" si="80"/>
        <v>163270584.55710375</v>
      </c>
      <c r="K1105" s="558">
        <f>'Progetto del paramento slu'!$G$60*(sezione!$AL$31-C1105)/C1105</f>
        <v>1.9740012628393336E-3</v>
      </c>
      <c r="L1105" s="558">
        <f>'Progetto del paramento slu'!$G$60*(sezione!$AM$31-C1105)/C1105</f>
        <v>1.7027504735647504E-2</v>
      </c>
      <c r="M1105" s="559">
        <f>'Progetto del paramento slu'!$G$60*(sezione!$AN$31-C1105)/C1105</f>
        <v>3.2081008208455671E-2</v>
      </c>
      <c r="N1105" s="559">
        <f>'Progetto del paramento slu'!$G$60*(sezione!$AO$31-C1105)/C1105</f>
        <v>4.3029010734134336E-2</v>
      </c>
      <c r="O1105" s="559">
        <f>'Progetto del paramento slu'!$G$60*(sezione!$AP$31-C1105)/C1105</f>
        <v>3.2081554292716252E-2</v>
      </c>
      <c r="P1105" s="553">
        <f>-'Progetto del paramento slu'!$G$47*'Progetto del paramento slu'!$G$41*IF(DATI!$G$218="dx",DATI!$E$61,DATI!$E$64*DATI!$E$63)*1000*C1105*sezione!$AD$5</f>
        <v>-360508.61248365801</v>
      </c>
      <c r="Q1105" s="553">
        <f>'Foglio deposito bis'!$F$58*IF(ABS(K1105)&lt;'Progetto del paramento slu'!$G$58,ABS(K1105)*'Progetto del paramento slu'!$G$54,'Progetto del paramento slu'!$G$53)*IF(K1105&lt;0,-1,1)</f>
        <v>0</v>
      </c>
      <c r="R1105" s="553">
        <f>'Foglio deposito bis'!$F$59*IF(ABS(L1105)&lt;'Progetto del paramento slu'!$G$58,ABS(L1105)*'Progetto del paramento slu'!$G$54,'Progetto del paramento slu'!$G$53)*IF(L1105&lt;0,-1,1)</f>
        <v>153664.85805602249</v>
      </c>
      <c r="S1105" s="553">
        <f>'Foglio deposito bis'!$F$60*IF(ABS(M1105)&lt;'Progetto del paramento slu'!$G$58,ABS(M1105)*'Progetto del paramento slu'!$G$54,'Progetto del paramento slu'!$G$53)*IF(M1105&lt;0,-1,1)</f>
        <v>0</v>
      </c>
      <c r="T1105" s="553">
        <f>'Foglio deposito bis'!$F$61*IF(ABS(N1105)&lt;'Progetto del paramento slu'!$G$58,ABS(N1105)*'Progetto del paramento slu'!$G$54,'Progetto del paramento slu'!$G$53)*IF(N1105&lt;0,-1,1)</f>
        <v>240946.49743184328</v>
      </c>
      <c r="U1105" s="553">
        <f>'Foglio deposito bis'!$F$62*IF(ABS(O1105)&lt;'Progetto del paramento slu'!$G$58,ABS(O1105)*'Progetto del paramento slu'!$G$54,'Progetto del paramento slu'!$G$53)*IF(O1105&lt;0,-1,1)</f>
        <v>314705.62929873407</v>
      </c>
      <c r="V1105" s="479">
        <f t="shared" si="82"/>
        <v>348808.37230294186</v>
      </c>
      <c r="W1105" s="559"/>
      <c r="X1105" s="559"/>
    </row>
    <row r="1106" spans="1:24" x14ac:dyDescent="0.25">
      <c r="A1106" s="553">
        <f t="shared" si="81"/>
        <v>337363.6544463177</v>
      </c>
      <c r="B1106" s="3">
        <f t="shared" si="84"/>
        <v>6.4999999999999911</v>
      </c>
      <c r="C1106" s="553">
        <f>'Foglio deposito bis'!$E$157/sezione!$B$247*B1106</f>
        <v>26.387360453315267</v>
      </c>
      <c r="D1106" s="611">
        <f>-'Progetto del paramento slu'!$G$47*'Progetto del paramento slu'!$G$41*IF(DATI!$G$218="dx",DATI!$E$61,DATI!$E$64*DATI!$E$63)*1000*C1106^2*sezione!$AD$5*(1-sezione!$AD$6)</f>
        <v>-5731882.0941080414</v>
      </c>
      <c r="E1106" s="553">
        <f>-'Foglio deposito bis'!$F$58*(C1106-sezione!$AL$31)*IF(ABS(K1106)&lt;'Progetto del paramento slu'!$G$58,ABS(K1106)*'Progetto del paramento slu'!$G$54,'Progetto del paramento slu'!$G$53)</f>
        <v>0</v>
      </c>
      <c r="F1106" s="553">
        <f>-'Foglio deposito bis'!$F$59*(C1106-sezione!$AM$31)*IF(ABS(L1106)&lt;'Progetto del paramento slu'!$G$58,ABS(L1106)*'Progetto del paramento slu'!$G$54,'Progetto del paramento slu'!$G$53)</f>
        <v>18994918.709871583</v>
      </c>
      <c r="G1106" s="553">
        <f>-'Foglio deposito bis'!$F$60*(C1106-sezione!$AN$31)*IF(ABS(M1106)&lt;'Progetto del paramento slu'!$G$58,ABS(M1106)*'Progetto del paramento slu'!$G$54,'Progetto del paramento slu'!$G$53)</f>
        <v>0</v>
      </c>
      <c r="H1106" s="553">
        <f>-'Foglio deposito bis'!$F$61*(C1106-sezione!$AO$31)*IF(ABS(N1106)&lt;'Progetto del paramento slu'!$G$58,ABS(N1106)*'Progetto del paramento slu'!$G$54,'Progetto del paramento slu'!$G$53)</f>
        <v>75563867.049128845</v>
      </c>
      <c r="I1106" s="479">
        <f>-'Foglio deposito bis'!$F$62*(C1106-sezione!$AP$31)*IF(ABS(O1106)&lt;'Progetto del paramento slu'!$G$58,ABS(O1106)*'Progetto del paramento slu'!$G$54,'Progetto del paramento slu'!$G$53)</f>
        <v>73520468.537179261</v>
      </c>
      <c r="J1106" s="479">
        <f t="shared" si="80"/>
        <v>162347372.20207167</v>
      </c>
      <c r="K1106" s="558">
        <f>'Progetto del paramento slu'!$G$60*(sezione!$AL$31-C1106)/C1106</f>
        <v>1.8055704547519688E-3</v>
      </c>
      <c r="L1106" s="558">
        <f>'Progetto del paramento slu'!$G$60*(sezione!$AM$31-C1106)/C1106</f>
        <v>1.6395889205319883E-2</v>
      </c>
      <c r="M1106" s="559">
        <f>'Progetto del paramento slu'!$G$60*(sezione!$AN$31-C1106)/C1106</f>
        <v>3.0986207955887798E-2</v>
      </c>
      <c r="N1106" s="559">
        <f>'Progetto del paramento slu'!$G$60*(sezione!$AO$31-C1106)/C1106</f>
        <v>4.159734886539173E-2</v>
      </c>
      <c r="O1106" s="559">
        <f>'Progetto del paramento slu'!$G$60*(sezione!$AP$31-C1106)/C1106</f>
        <v>3.0986737237555746E-2</v>
      </c>
      <c r="P1106" s="553">
        <f>-'Progetto del paramento slu'!$G$47*'Progetto del paramento slu'!$G$41*IF(DATI!$G$218="dx",DATI!$E$61,DATI!$E$64*DATI!$E$63)*1000*C1106*sezione!$AD$5</f>
        <v>-371953.33034028218</v>
      </c>
      <c r="Q1106" s="553">
        <f>'Foglio deposito bis'!$F$58*IF(ABS(K1106)&lt;'Progetto del paramento slu'!$G$58,ABS(K1106)*'Progetto del paramento slu'!$G$54,'Progetto del paramento slu'!$G$53)*IF(K1106&lt;0,-1,1)</f>
        <v>0</v>
      </c>
      <c r="R1106" s="553">
        <f>'Foglio deposito bis'!$F$59*IF(ABS(L1106)&lt;'Progetto del paramento slu'!$G$58,ABS(L1106)*'Progetto del paramento slu'!$G$54,'Progetto del paramento slu'!$G$53)*IF(L1106&lt;0,-1,1)</f>
        <v>153664.85805602249</v>
      </c>
      <c r="S1106" s="553">
        <f>'Foglio deposito bis'!$F$60*IF(ABS(M1106)&lt;'Progetto del paramento slu'!$G$58,ABS(M1106)*'Progetto del paramento slu'!$G$54,'Progetto del paramento slu'!$G$53)*IF(M1106&lt;0,-1,1)</f>
        <v>0</v>
      </c>
      <c r="T1106" s="553">
        <f>'Foglio deposito bis'!$F$61*IF(ABS(N1106)&lt;'Progetto del paramento slu'!$G$58,ABS(N1106)*'Progetto del paramento slu'!$G$54,'Progetto del paramento slu'!$G$53)*IF(N1106&lt;0,-1,1)</f>
        <v>240946.49743184328</v>
      </c>
      <c r="U1106" s="553">
        <f>'Foglio deposito bis'!$F$62*IF(ABS(O1106)&lt;'Progetto del paramento slu'!$G$58,ABS(O1106)*'Progetto del paramento slu'!$G$54,'Progetto del paramento slu'!$G$53)*IF(O1106&lt;0,-1,1)</f>
        <v>314705.62929873407</v>
      </c>
      <c r="V1106" s="479">
        <f t="shared" si="82"/>
        <v>337363.6544463177</v>
      </c>
      <c r="W1106" s="559"/>
      <c r="X1106" s="559"/>
    </row>
    <row r="1107" spans="1:24" x14ac:dyDescent="0.25">
      <c r="A1107" s="553">
        <f t="shared" si="81"/>
        <v>325918.93658969365</v>
      </c>
      <c r="B1107" s="3">
        <f t="shared" si="84"/>
        <v>6.6999999999999913</v>
      </c>
      <c r="C1107" s="553">
        <f>'Foglio deposito bis'!$E$157/sezione!$B$247*B1107</f>
        <v>27.199279236494199</v>
      </c>
      <c r="D1107" s="611">
        <f>-'Progetto del paramento slu'!$G$47*'Progetto del paramento slu'!$G$41*IF(DATI!$G$218="dx",DATI!$E$61,DATI!$E$64*DATI!$E$63)*1000*C1107^2*sezione!$AD$5*(1-sezione!$AD$6)</f>
        <v>-6090039.9338345556</v>
      </c>
      <c r="E1107" s="553">
        <f>-'Foglio deposito bis'!$F$58*(C1107-sezione!$AL$31)*IF(ABS(K1107)&lt;'Progetto del paramento slu'!$G$58,ABS(K1107)*'Progetto del paramento slu'!$G$54,'Progetto del paramento slu'!$G$53)</f>
        <v>0</v>
      </c>
      <c r="F1107" s="553">
        <f>-'Foglio deposito bis'!$F$59*(C1107-sezione!$AM$31)*IF(ABS(L1107)&lt;'Progetto del paramento slu'!$G$58,ABS(L1107)*'Progetto del paramento slu'!$G$54,'Progetto del paramento slu'!$G$53)</f>
        <v>18870155.325301375</v>
      </c>
      <c r="G1107" s="553">
        <f>-'Foglio deposito bis'!$F$60*(C1107-sezione!$AN$31)*IF(ABS(M1107)&lt;'Progetto del paramento slu'!$G$58,ABS(M1107)*'Progetto del paramento slu'!$G$54,'Progetto del paramento slu'!$G$53)</f>
        <v>0</v>
      </c>
      <c r="H1107" s="553">
        <f>-'Foglio deposito bis'!$F$61*(C1107-sezione!$AO$31)*IF(ABS(N1107)&lt;'Progetto del paramento slu'!$G$58,ABS(N1107)*'Progetto del paramento slu'!$G$54,'Progetto del paramento slu'!$G$53)</f>
        <v>75368238.062122777</v>
      </c>
      <c r="I1107" s="479">
        <f>-'Foglio deposito bis'!$F$62*(C1107-sezione!$AP$31)*IF(ABS(O1107)&lt;'Progetto del paramento slu'!$G$58,ABS(O1107)*'Progetto del paramento slu'!$G$54,'Progetto del paramento slu'!$G$53)</f>
        <v>73264953.125579461</v>
      </c>
      <c r="J1107" s="479">
        <f t="shared" si="80"/>
        <v>161413306.57916903</v>
      </c>
      <c r="K1107" s="558">
        <f>'Progetto del paramento slu'!$G$60*(sezione!$AL$31-C1107)/C1107</f>
        <v>1.6471952172966862E-3</v>
      </c>
      <c r="L1107" s="558">
        <f>'Progetto del paramento slu'!$G$60*(sezione!$AM$31-C1107)/C1107</f>
        <v>1.5801982064862573E-2</v>
      </c>
      <c r="M1107" s="559">
        <f>'Progetto del paramento slu'!$G$60*(sezione!$AN$31-C1107)/C1107</f>
        <v>2.9956768912428461E-2</v>
      </c>
      <c r="N1107" s="559">
        <f>'Progetto del paramento slu'!$G$60*(sezione!$AO$31-C1107)/C1107</f>
        <v>4.0251159347021837E-2</v>
      </c>
      <c r="O1107" s="559">
        <f>'Progetto del paramento slu'!$G$60*(sezione!$AP$31-C1107)/C1107</f>
        <v>2.9957282394643635E-2</v>
      </c>
      <c r="P1107" s="553">
        <f>-'Progetto del paramento slu'!$G$47*'Progetto del paramento slu'!$G$41*IF(DATI!$G$218="dx",DATI!$E$61,DATI!$E$64*DATI!$E$63)*1000*C1107*sezione!$AD$5</f>
        <v>-383398.04819690622</v>
      </c>
      <c r="Q1107" s="553">
        <f>'Foglio deposito bis'!$F$58*IF(ABS(K1107)&lt;'Progetto del paramento slu'!$G$58,ABS(K1107)*'Progetto del paramento slu'!$G$54,'Progetto del paramento slu'!$G$53)*IF(K1107&lt;0,-1,1)</f>
        <v>0</v>
      </c>
      <c r="R1107" s="553">
        <f>'Foglio deposito bis'!$F$59*IF(ABS(L1107)&lt;'Progetto del paramento slu'!$G$58,ABS(L1107)*'Progetto del paramento slu'!$G$54,'Progetto del paramento slu'!$G$53)*IF(L1107&lt;0,-1,1)</f>
        <v>153664.85805602249</v>
      </c>
      <c r="S1107" s="553">
        <f>'Foglio deposito bis'!$F$60*IF(ABS(M1107)&lt;'Progetto del paramento slu'!$G$58,ABS(M1107)*'Progetto del paramento slu'!$G$54,'Progetto del paramento slu'!$G$53)*IF(M1107&lt;0,-1,1)</f>
        <v>0</v>
      </c>
      <c r="T1107" s="553">
        <f>'Foglio deposito bis'!$F$61*IF(ABS(N1107)&lt;'Progetto del paramento slu'!$G$58,ABS(N1107)*'Progetto del paramento slu'!$G$54,'Progetto del paramento slu'!$G$53)*IF(N1107&lt;0,-1,1)</f>
        <v>240946.49743184328</v>
      </c>
      <c r="U1107" s="553">
        <f>'Foglio deposito bis'!$F$62*IF(ABS(O1107)&lt;'Progetto del paramento slu'!$G$58,ABS(O1107)*'Progetto del paramento slu'!$G$54,'Progetto del paramento slu'!$G$53)*IF(O1107&lt;0,-1,1)</f>
        <v>314705.62929873407</v>
      </c>
      <c r="V1107" s="479">
        <f t="shared" si="82"/>
        <v>325918.93658969365</v>
      </c>
      <c r="W1107" s="559"/>
      <c r="X1107" s="559"/>
    </row>
    <row r="1108" spans="1:24" x14ac:dyDescent="0.25">
      <c r="A1108" s="553">
        <f t="shared" si="81"/>
        <v>314474.21873306949</v>
      </c>
      <c r="B1108" s="3">
        <f t="shared" si="84"/>
        <v>6.8999999999999915</v>
      </c>
      <c r="C1108" s="553">
        <f>'Foglio deposito bis'!$E$157/sezione!$B$247*B1108</f>
        <v>28.011198019673131</v>
      </c>
      <c r="D1108" s="611">
        <f>-'Progetto del paramento slu'!$G$47*'Progetto del paramento slu'!$G$41*IF(DATI!$G$218="dx",DATI!$E$61,DATI!$E$64*DATI!$E$63)*1000*C1108^2*sezione!$AD$5*(1-sezione!$AD$6)</f>
        <v>-6459051.0414315714</v>
      </c>
      <c r="E1108" s="553">
        <f>-'Foglio deposito bis'!$F$58*(C1108-sezione!$AL$31)*IF(ABS(K1108)&lt;'Progetto del paramento slu'!$G$58,ABS(K1108)*'Progetto del paramento slu'!$G$54,'Progetto del paramento slu'!$G$53)</f>
        <v>0</v>
      </c>
      <c r="F1108" s="553">
        <f>-'Foglio deposito bis'!$F$59*(C1108-sezione!$AM$31)*IF(ABS(L1108)&lt;'Progetto del paramento slu'!$G$58,ABS(L1108)*'Progetto del paramento slu'!$G$54,'Progetto del paramento slu'!$G$53)</f>
        <v>18745391.940731164</v>
      </c>
      <c r="G1108" s="553">
        <f>-'Foglio deposito bis'!$F$60*(C1108-sezione!$AN$31)*IF(ABS(M1108)&lt;'Progetto del paramento slu'!$G$58,ABS(M1108)*'Progetto del paramento slu'!$G$54,'Progetto del paramento slu'!$G$53)</f>
        <v>0</v>
      </c>
      <c r="H1108" s="553">
        <f>-'Foglio deposito bis'!$F$61*(C1108-sezione!$AO$31)*IF(ABS(N1108)&lt;'Progetto del paramento slu'!$G$58,ABS(N1108)*'Progetto del paramento slu'!$G$54,'Progetto del paramento slu'!$G$53)</f>
        <v>75172609.075116679</v>
      </c>
      <c r="I1108" s="479">
        <f>-'Foglio deposito bis'!$F$62*(C1108-sezione!$AP$31)*IF(ABS(O1108)&lt;'Progetto del paramento slu'!$G$58,ABS(O1108)*'Progetto del paramento slu'!$G$54,'Progetto del paramento slu'!$G$53)</f>
        <v>73009437.713979676</v>
      </c>
      <c r="J1108" s="479">
        <f t="shared" si="80"/>
        <v>160468387.68839595</v>
      </c>
      <c r="K1108" s="558">
        <f>'Progetto del paramento slu'!$G$60*(sezione!$AL$31-C1108)/C1108</f>
        <v>1.4980011530272167E-3</v>
      </c>
      <c r="L1108" s="558">
        <f>'Progetto del paramento slu'!$G$60*(sezione!$AM$31-C1108)/C1108</f>
        <v>1.5242504323852064E-2</v>
      </c>
      <c r="M1108" s="559">
        <f>'Progetto del paramento slu'!$G$60*(sezione!$AN$31-C1108)/C1108</f>
        <v>2.8987007494676909E-2</v>
      </c>
      <c r="N1108" s="559">
        <f>'Progetto del paramento slu'!$G$60*(sezione!$AO$31-C1108)/C1108</f>
        <v>3.8983009800731341E-2</v>
      </c>
      <c r="O1108" s="559">
        <f>'Progetto del paramento slu'!$G$60*(sezione!$AP$31-C1108)/C1108</f>
        <v>2.8987506093349612E-2</v>
      </c>
      <c r="P1108" s="553">
        <f>-'Progetto del paramento slu'!$G$47*'Progetto del paramento slu'!$G$41*IF(DATI!$G$218="dx",DATI!$E$61,DATI!$E$64*DATI!$E$63)*1000*C1108*sezione!$AD$5</f>
        <v>-394842.76605353033</v>
      </c>
      <c r="Q1108" s="553">
        <f>'Foglio deposito bis'!$F$58*IF(ABS(K1108)&lt;'Progetto del paramento slu'!$G$58,ABS(K1108)*'Progetto del paramento slu'!$G$54,'Progetto del paramento slu'!$G$53)*IF(K1108&lt;0,-1,1)</f>
        <v>0</v>
      </c>
      <c r="R1108" s="553">
        <f>'Foglio deposito bis'!$F$59*IF(ABS(L1108)&lt;'Progetto del paramento slu'!$G$58,ABS(L1108)*'Progetto del paramento slu'!$G$54,'Progetto del paramento slu'!$G$53)*IF(L1108&lt;0,-1,1)</f>
        <v>153664.85805602249</v>
      </c>
      <c r="S1108" s="553">
        <f>'Foglio deposito bis'!$F$60*IF(ABS(M1108)&lt;'Progetto del paramento slu'!$G$58,ABS(M1108)*'Progetto del paramento slu'!$G$54,'Progetto del paramento slu'!$G$53)*IF(M1108&lt;0,-1,1)</f>
        <v>0</v>
      </c>
      <c r="T1108" s="553">
        <f>'Foglio deposito bis'!$F$61*IF(ABS(N1108)&lt;'Progetto del paramento slu'!$G$58,ABS(N1108)*'Progetto del paramento slu'!$G$54,'Progetto del paramento slu'!$G$53)*IF(N1108&lt;0,-1,1)</f>
        <v>240946.49743184328</v>
      </c>
      <c r="U1108" s="553">
        <f>'Foglio deposito bis'!$F$62*IF(ABS(O1108)&lt;'Progetto del paramento slu'!$G$58,ABS(O1108)*'Progetto del paramento slu'!$G$54,'Progetto del paramento slu'!$G$53)*IF(O1108&lt;0,-1,1)</f>
        <v>314705.62929873407</v>
      </c>
      <c r="V1108" s="479">
        <f t="shared" si="82"/>
        <v>314474.21873306949</v>
      </c>
      <c r="W1108" s="559"/>
      <c r="X1108" s="559"/>
    </row>
    <row r="1109" spans="1:24" x14ac:dyDescent="0.25">
      <c r="A1109" s="553">
        <f t="shared" si="81"/>
        <v>303029.50087644544</v>
      </c>
      <c r="B1109" s="3">
        <f t="shared" si="84"/>
        <v>7.0999999999999917</v>
      </c>
      <c r="C1109" s="553">
        <f>'Foglio deposito bis'!$E$157/sezione!$B$247*B1109</f>
        <v>28.823116802852066</v>
      </c>
      <c r="D1109" s="611">
        <f>-'Progetto del paramento slu'!$G$47*'Progetto del paramento slu'!$G$41*IF(DATI!$G$218="dx",DATI!$E$61,DATI!$E$64*DATI!$E$63)*1000*C1109^2*sezione!$AD$5*(1-sezione!$AD$6)</f>
        <v>-6838915.4168990878</v>
      </c>
      <c r="E1109" s="553">
        <f>-'Foglio deposito bis'!$F$58*(C1109-sezione!$AL$31)*IF(ABS(K1109)&lt;'Progetto del paramento slu'!$G$58,ABS(K1109)*'Progetto del paramento slu'!$G$54,'Progetto del paramento slu'!$G$53)</f>
        <v>0</v>
      </c>
      <c r="F1109" s="553">
        <f>-'Foglio deposito bis'!$F$59*(C1109-sezione!$AM$31)*IF(ABS(L1109)&lt;'Progetto del paramento slu'!$G$58,ABS(L1109)*'Progetto del paramento slu'!$G$54,'Progetto del paramento slu'!$G$53)</f>
        <v>18620628.556160953</v>
      </c>
      <c r="G1109" s="553">
        <f>-'Foglio deposito bis'!$F$60*(C1109-sezione!$AN$31)*IF(ABS(M1109)&lt;'Progetto del paramento slu'!$G$58,ABS(M1109)*'Progetto del paramento slu'!$G$54,'Progetto del paramento slu'!$G$53)</f>
        <v>0</v>
      </c>
      <c r="H1109" s="553">
        <f>-'Foglio deposito bis'!$F$61*(C1109-sezione!$AO$31)*IF(ABS(N1109)&lt;'Progetto del paramento slu'!$G$58,ABS(N1109)*'Progetto del paramento slu'!$G$54,'Progetto del paramento slu'!$G$53)</f>
        <v>74976980.088110611</v>
      </c>
      <c r="I1109" s="479">
        <f>-'Foglio deposito bis'!$F$62*(C1109-sezione!$AP$31)*IF(ABS(O1109)&lt;'Progetto del paramento slu'!$G$58,ABS(O1109)*'Progetto del paramento slu'!$G$54,'Progetto del paramento slu'!$G$53)</f>
        <v>72753922.302379891</v>
      </c>
      <c r="J1109" s="479">
        <f t="shared" si="80"/>
        <v>159512615.52975237</v>
      </c>
      <c r="K1109" s="558">
        <f>'Progetto del paramento slu'!$G$60*(sezione!$AL$31-C1109)/C1109</f>
        <v>1.3572123881532099E-3</v>
      </c>
      <c r="L1109" s="558">
        <f>'Progetto del paramento slu'!$G$60*(sezione!$AM$31-C1109)/C1109</f>
        <v>1.4714546455574538E-2</v>
      </c>
      <c r="M1109" s="559">
        <f>'Progetto del paramento slu'!$G$60*(sezione!$AN$31-C1109)/C1109</f>
        <v>2.8071880522995866E-2</v>
      </c>
      <c r="N1109" s="559">
        <f>'Progetto del paramento slu'!$G$60*(sezione!$AO$31-C1109)/C1109</f>
        <v>3.778630529930229E-2</v>
      </c>
      <c r="O1109" s="559">
        <f>'Progetto del paramento slu'!$G$60*(sezione!$AP$31-C1109)/C1109</f>
        <v>2.8072365076635537E-2</v>
      </c>
      <c r="P1109" s="553">
        <f>-'Progetto del paramento slu'!$G$47*'Progetto del paramento slu'!$G$41*IF(DATI!$G$218="dx",DATI!$E$61,DATI!$E$64*DATI!$E$63)*1000*C1109*sezione!$AD$5</f>
        <v>-406287.48391015443</v>
      </c>
      <c r="Q1109" s="553">
        <f>'Foglio deposito bis'!$F$58*IF(ABS(K1109)&lt;'Progetto del paramento slu'!$G$58,ABS(K1109)*'Progetto del paramento slu'!$G$54,'Progetto del paramento slu'!$G$53)*IF(K1109&lt;0,-1,1)</f>
        <v>0</v>
      </c>
      <c r="R1109" s="553">
        <f>'Foglio deposito bis'!$F$59*IF(ABS(L1109)&lt;'Progetto del paramento slu'!$G$58,ABS(L1109)*'Progetto del paramento slu'!$G$54,'Progetto del paramento slu'!$G$53)*IF(L1109&lt;0,-1,1)</f>
        <v>153664.85805602249</v>
      </c>
      <c r="S1109" s="553">
        <f>'Foglio deposito bis'!$F$60*IF(ABS(M1109)&lt;'Progetto del paramento slu'!$G$58,ABS(M1109)*'Progetto del paramento slu'!$G$54,'Progetto del paramento slu'!$G$53)*IF(M1109&lt;0,-1,1)</f>
        <v>0</v>
      </c>
      <c r="T1109" s="553">
        <f>'Foglio deposito bis'!$F$61*IF(ABS(N1109)&lt;'Progetto del paramento slu'!$G$58,ABS(N1109)*'Progetto del paramento slu'!$G$54,'Progetto del paramento slu'!$G$53)*IF(N1109&lt;0,-1,1)</f>
        <v>240946.49743184328</v>
      </c>
      <c r="U1109" s="553">
        <f>'Foglio deposito bis'!$F$62*IF(ABS(O1109)&lt;'Progetto del paramento slu'!$G$58,ABS(O1109)*'Progetto del paramento slu'!$G$54,'Progetto del paramento slu'!$G$53)*IF(O1109&lt;0,-1,1)</f>
        <v>314705.62929873407</v>
      </c>
      <c r="V1109" s="479">
        <f t="shared" si="82"/>
        <v>303029.50087644544</v>
      </c>
      <c r="W1109" s="559"/>
      <c r="X1109" s="559"/>
    </row>
    <row r="1110" spans="1:24" x14ac:dyDescent="0.25">
      <c r="A1110" s="553">
        <f t="shared" si="81"/>
        <v>291584.78301982139</v>
      </c>
      <c r="B1110" s="3">
        <f t="shared" si="84"/>
        <v>7.2999999999999918</v>
      </c>
      <c r="C1110" s="553">
        <f>'Foglio deposito bis'!$E$157/sezione!$B$247*B1110</f>
        <v>29.635035586030998</v>
      </c>
      <c r="D1110" s="611">
        <f>-'Progetto del paramento slu'!$G$47*'Progetto del paramento slu'!$G$41*IF(DATI!$G$218="dx",DATI!$E$61,DATI!$E$64*DATI!$E$63)*1000*C1110^2*sezione!$AD$5*(1-sezione!$AD$6)</f>
        <v>-7229633.060237105</v>
      </c>
      <c r="E1110" s="553">
        <f>-'Foglio deposito bis'!$F$58*(C1110-sezione!$AL$31)*IF(ABS(K1110)&lt;'Progetto del paramento slu'!$G$58,ABS(K1110)*'Progetto del paramento slu'!$G$54,'Progetto del paramento slu'!$G$53)</f>
        <v>0</v>
      </c>
      <c r="F1110" s="553">
        <f>-'Foglio deposito bis'!$F$59*(C1110-sezione!$AM$31)*IF(ABS(L1110)&lt;'Progetto del paramento slu'!$G$58,ABS(L1110)*'Progetto del paramento slu'!$G$54,'Progetto del paramento slu'!$G$53)</f>
        <v>18495865.171590745</v>
      </c>
      <c r="G1110" s="553">
        <f>-'Foglio deposito bis'!$F$60*(C1110-sezione!$AN$31)*IF(ABS(M1110)&lt;'Progetto del paramento slu'!$G$58,ABS(M1110)*'Progetto del paramento slu'!$G$54,'Progetto del paramento slu'!$G$53)</f>
        <v>0</v>
      </c>
      <c r="H1110" s="553">
        <f>-'Foglio deposito bis'!$F$61*(C1110-sezione!$AO$31)*IF(ABS(N1110)&lt;'Progetto del paramento slu'!$G$58,ABS(N1110)*'Progetto del paramento slu'!$G$54,'Progetto del paramento slu'!$G$53)</f>
        <v>74781351.101104513</v>
      </c>
      <c r="I1110" s="479">
        <f>-'Foglio deposito bis'!$F$62*(C1110-sezione!$AP$31)*IF(ABS(O1110)&lt;'Progetto del paramento slu'!$G$58,ABS(O1110)*'Progetto del paramento slu'!$G$54,'Progetto del paramento slu'!$G$53)</f>
        <v>72498406.890780106</v>
      </c>
      <c r="J1110" s="479">
        <f t="shared" si="80"/>
        <v>158545990.10323825</v>
      </c>
      <c r="K1110" s="558">
        <f>'Progetto del paramento slu'!$G$60*(sezione!$AL$31-C1110)/C1110</f>
        <v>1.2241380761490125E-3</v>
      </c>
      <c r="L1110" s="558">
        <f>'Progetto del paramento slu'!$G$60*(sezione!$AM$31-C1110)/C1110</f>
        <v>1.4215517785558797E-2</v>
      </c>
      <c r="M1110" s="559">
        <f>'Progetto del paramento slu'!$G$60*(sezione!$AN$31-C1110)/C1110</f>
        <v>2.7206897494968581E-2</v>
      </c>
      <c r="N1110" s="559">
        <f>'Progetto del paramento slu'!$G$60*(sezione!$AO$31-C1110)/C1110</f>
        <v>3.6655173647266608E-2</v>
      </c>
      <c r="O1110" s="559">
        <f>'Progetto del paramento slu'!$G$60*(sezione!$AP$31-C1110)/C1110</f>
        <v>2.7207368773166068E-2</v>
      </c>
      <c r="P1110" s="553">
        <f>-'Progetto del paramento slu'!$G$47*'Progetto del paramento slu'!$G$41*IF(DATI!$G$218="dx",DATI!$E$61,DATI!$E$64*DATI!$E$63)*1000*C1110*sezione!$AD$5</f>
        <v>-417732.20176677848</v>
      </c>
      <c r="Q1110" s="553">
        <f>'Foglio deposito bis'!$F$58*IF(ABS(K1110)&lt;'Progetto del paramento slu'!$G$58,ABS(K1110)*'Progetto del paramento slu'!$G$54,'Progetto del paramento slu'!$G$53)*IF(K1110&lt;0,-1,1)</f>
        <v>0</v>
      </c>
      <c r="R1110" s="553">
        <f>'Foglio deposito bis'!$F$59*IF(ABS(L1110)&lt;'Progetto del paramento slu'!$G$58,ABS(L1110)*'Progetto del paramento slu'!$G$54,'Progetto del paramento slu'!$G$53)*IF(L1110&lt;0,-1,1)</f>
        <v>153664.85805602249</v>
      </c>
      <c r="S1110" s="553">
        <f>'Foglio deposito bis'!$F$60*IF(ABS(M1110)&lt;'Progetto del paramento slu'!$G$58,ABS(M1110)*'Progetto del paramento slu'!$G$54,'Progetto del paramento slu'!$G$53)*IF(M1110&lt;0,-1,1)</f>
        <v>0</v>
      </c>
      <c r="T1110" s="553">
        <f>'Foglio deposito bis'!$F$61*IF(ABS(N1110)&lt;'Progetto del paramento slu'!$G$58,ABS(N1110)*'Progetto del paramento slu'!$G$54,'Progetto del paramento slu'!$G$53)*IF(N1110&lt;0,-1,1)</f>
        <v>240946.49743184328</v>
      </c>
      <c r="U1110" s="553">
        <f>'Foglio deposito bis'!$F$62*IF(ABS(O1110)&lt;'Progetto del paramento slu'!$G$58,ABS(O1110)*'Progetto del paramento slu'!$G$54,'Progetto del paramento slu'!$G$53)*IF(O1110&lt;0,-1,1)</f>
        <v>314705.62929873407</v>
      </c>
      <c r="V1110" s="479">
        <f t="shared" si="82"/>
        <v>291584.78301982139</v>
      </c>
      <c r="W1110" s="559"/>
      <c r="X1110" s="559"/>
    </row>
    <row r="1111" spans="1:24" x14ac:dyDescent="0.25">
      <c r="A1111" s="553">
        <f t="shared" si="81"/>
        <v>280140.06516319735</v>
      </c>
      <c r="B1111" s="3">
        <f t="shared" si="84"/>
        <v>7.499999999999992</v>
      </c>
      <c r="C1111" s="553">
        <f>'Foglio deposito bis'!$E$157/sezione!$B$247*B1111</f>
        <v>30.44695436920993</v>
      </c>
      <c r="D1111" s="611">
        <f>-'Progetto del paramento slu'!$G$47*'Progetto del paramento slu'!$G$41*IF(DATI!$G$218="dx",DATI!$E$61,DATI!$E$64*DATI!$E$63)*1000*C1111^2*sezione!$AD$5*(1-sezione!$AD$6)</f>
        <v>-7631203.971445621</v>
      </c>
      <c r="E1111" s="553">
        <f>-'Foglio deposito bis'!$F$58*(C1111-sezione!$AL$31)*IF(ABS(K1111)&lt;'Progetto del paramento slu'!$G$58,ABS(K1111)*'Progetto del paramento slu'!$G$54,'Progetto del paramento slu'!$G$53)</f>
        <v>0</v>
      </c>
      <c r="F1111" s="553">
        <f>-'Foglio deposito bis'!$F$59*(C1111-sezione!$AM$31)*IF(ABS(L1111)&lt;'Progetto del paramento slu'!$G$58,ABS(L1111)*'Progetto del paramento slu'!$G$54,'Progetto del paramento slu'!$G$53)</f>
        <v>18371101.787020534</v>
      </c>
      <c r="G1111" s="553">
        <f>-'Foglio deposito bis'!$F$60*(C1111-sezione!$AN$31)*IF(ABS(M1111)&lt;'Progetto del paramento slu'!$G$58,ABS(M1111)*'Progetto del paramento slu'!$G$54,'Progetto del paramento slu'!$G$53)</f>
        <v>0</v>
      </c>
      <c r="H1111" s="553">
        <f>-'Foglio deposito bis'!$F$61*(C1111-sezione!$AO$31)*IF(ABS(N1111)&lt;'Progetto del paramento slu'!$G$58,ABS(N1111)*'Progetto del paramento slu'!$G$54,'Progetto del paramento slu'!$G$53)</f>
        <v>74585722.11409843</v>
      </c>
      <c r="I1111" s="479">
        <f>-'Foglio deposito bis'!$F$62*(C1111-sezione!$AP$31)*IF(ABS(O1111)&lt;'Progetto del paramento slu'!$G$58,ABS(O1111)*'Progetto del paramento slu'!$G$54,'Progetto del paramento slu'!$G$53)</f>
        <v>72242891.479180306</v>
      </c>
      <c r="J1111" s="479">
        <f t="shared" si="80"/>
        <v>157568511.40885365</v>
      </c>
      <c r="K1111" s="558">
        <f>'Progetto del paramento slu'!$G$60*(sezione!$AL$31-C1111)/C1111</f>
        <v>1.0981610607850387E-3</v>
      </c>
      <c r="L1111" s="558">
        <f>'Progetto del paramento slu'!$G$60*(sezione!$AM$31-C1111)/C1111</f>
        <v>1.3743103977943896E-2</v>
      </c>
      <c r="M1111" s="559">
        <f>'Progetto del paramento slu'!$G$60*(sezione!$AN$31-C1111)/C1111</f>
        <v>2.6388046895102754E-2</v>
      </c>
      <c r="N1111" s="559">
        <f>'Progetto del paramento slu'!$G$60*(sezione!$AO$31-C1111)/C1111</f>
        <v>3.5584369016672827E-2</v>
      </c>
      <c r="O1111" s="559">
        <f>'Progetto del paramento slu'!$G$60*(sezione!$AP$31-C1111)/C1111</f>
        <v>2.6388505605881643E-2</v>
      </c>
      <c r="P1111" s="553">
        <f>-'Progetto del paramento slu'!$G$47*'Progetto del paramento slu'!$G$41*IF(DATI!$G$218="dx",DATI!$E$61,DATI!$E$64*DATI!$E$63)*1000*C1111*sezione!$AD$5</f>
        <v>-429176.91962340253</v>
      </c>
      <c r="Q1111" s="553">
        <f>'Foglio deposito bis'!$F$58*IF(ABS(K1111)&lt;'Progetto del paramento slu'!$G$58,ABS(K1111)*'Progetto del paramento slu'!$G$54,'Progetto del paramento slu'!$G$53)*IF(K1111&lt;0,-1,1)</f>
        <v>0</v>
      </c>
      <c r="R1111" s="553">
        <f>'Foglio deposito bis'!$F$59*IF(ABS(L1111)&lt;'Progetto del paramento slu'!$G$58,ABS(L1111)*'Progetto del paramento slu'!$G$54,'Progetto del paramento slu'!$G$53)*IF(L1111&lt;0,-1,1)</f>
        <v>153664.85805602249</v>
      </c>
      <c r="S1111" s="553">
        <f>'Foglio deposito bis'!$F$60*IF(ABS(M1111)&lt;'Progetto del paramento slu'!$G$58,ABS(M1111)*'Progetto del paramento slu'!$G$54,'Progetto del paramento slu'!$G$53)*IF(M1111&lt;0,-1,1)</f>
        <v>0</v>
      </c>
      <c r="T1111" s="553">
        <f>'Foglio deposito bis'!$F$61*IF(ABS(N1111)&lt;'Progetto del paramento slu'!$G$58,ABS(N1111)*'Progetto del paramento slu'!$G$54,'Progetto del paramento slu'!$G$53)*IF(N1111&lt;0,-1,1)</f>
        <v>240946.49743184328</v>
      </c>
      <c r="U1111" s="553">
        <f>'Foglio deposito bis'!$F$62*IF(ABS(O1111)&lt;'Progetto del paramento slu'!$G$58,ABS(O1111)*'Progetto del paramento slu'!$G$54,'Progetto del paramento slu'!$G$53)*IF(O1111&lt;0,-1,1)</f>
        <v>314705.62929873407</v>
      </c>
      <c r="V1111" s="479">
        <f t="shared" si="82"/>
        <v>280140.06516319735</v>
      </c>
      <c r="W1111" s="559"/>
      <c r="X1111" s="559"/>
    </row>
    <row r="1112" spans="1:24" x14ac:dyDescent="0.25">
      <c r="A1112" s="553">
        <f t="shared" si="81"/>
        <v>268695.34730657318</v>
      </c>
      <c r="B1112" s="3">
        <f t="shared" si="84"/>
        <v>7.6999999999999922</v>
      </c>
      <c r="C1112" s="553">
        <f>'Foglio deposito bis'!$E$157/sezione!$B$247*B1112</f>
        <v>31.258873152388865</v>
      </c>
      <c r="D1112" s="611">
        <f>-'Progetto del paramento slu'!$G$47*'Progetto del paramento slu'!$G$41*IF(DATI!$G$218="dx",DATI!$E$61,DATI!$E$64*DATI!$E$63)*1000*C1112^2*sezione!$AD$5*(1-sezione!$AD$6)</f>
        <v>-8043628.1505246414</v>
      </c>
      <c r="E1112" s="553">
        <f>-'Foglio deposito bis'!$F$58*(C1112-sezione!$AL$31)*IF(ABS(K1112)&lt;'Progetto del paramento slu'!$G$58,ABS(K1112)*'Progetto del paramento slu'!$G$54,'Progetto del paramento slu'!$G$53)</f>
        <v>0</v>
      </c>
      <c r="F1112" s="553">
        <f>-'Foglio deposito bis'!$F$59*(C1112-sezione!$AM$31)*IF(ABS(L1112)&lt;'Progetto del paramento slu'!$G$58,ABS(L1112)*'Progetto del paramento slu'!$G$54,'Progetto del paramento slu'!$G$53)</f>
        <v>18246338.402450327</v>
      </c>
      <c r="G1112" s="553">
        <f>-'Foglio deposito bis'!$F$60*(C1112-sezione!$AN$31)*IF(ABS(M1112)&lt;'Progetto del paramento slu'!$G$58,ABS(M1112)*'Progetto del paramento slu'!$G$54,'Progetto del paramento slu'!$G$53)</f>
        <v>0</v>
      </c>
      <c r="H1112" s="553">
        <f>-'Foglio deposito bis'!$F$61*(C1112-sezione!$AO$31)*IF(ABS(N1112)&lt;'Progetto del paramento slu'!$G$58,ABS(N1112)*'Progetto del paramento slu'!$G$54,'Progetto del paramento slu'!$G$53)</f>
        <v>74390093.127092347</v>
      </c>
      <c r="I1112" s="479">
        <f>-'Foglio deposito bis'!$F$62*(C1112-sezione!$AP$31)*IF(ABS(O1112)&lt;'Progetto del paramento slu'!$G$58,ABS(O1112)*'Progetto del paramento slu'!$G$54,'Progetto del paramento slu'!$G$53)</f>
        <v>71987376.067580521</v>
      </c>
      <c r="J1112" s="479">
        <f t="shared" si="80"/>
        <v>156580179.44659856</v>
      </c>
      <c r="K1112" s="558">
        <f>'Progetto del paramento slu'!$G$60*(sezione!$AL$31-C1112)/C1112</f>
        <v>9.7872830595945276E-4</v>
      </c>
      <c r="L1112" s="558">
        <f>'Progetto del paramento slu'!$G$60*(sezione!$AM$31-C1112)/C1112</f>
        <v>1.3295231147347947E-2</v>
      </c>
      <c r="M1112" s="559">
        <f>'Progetto del paramento slu'!$G$60*(sezione!$AN$31-C1112)/C1112</f>
        <v>2.5611733988736441E-2</v>
      </c>
      <c r="N1112" s="559">
        <f>'Progetto del paramento slu'!$G$60*(sezione!$AO$31-C1112)/C1112</f>
        <v>3.4569190600655351E-2</v>
      </c>
      <c r="O1112" s="559">
        <f>'Progetto del paramento slu'!$G$60*(sezione!$AP$31-C1112)/C1112</f>
        <v>2.5612180784949645E-2</v>
      </c>
      <c r="P1112" s="553">
        <f>-'Progetto del paramento slu'!$G$47*'Progetto del paramento slu'!$G$41*IF(DATI!$G$218="dx",DATI!$E$61,DATI!$E$64*DATI!$E$63)*1000*C1112*sezione!$AD$5</f>
        <v>-440621.63748002663</v>
      </c>
      <c r="Q1112" s="553">
        <f>'Foglio deposito bis'!$F$58*IF(ABS(K1112)&lt;'Progetto del paramento slu'!$G$58,ABS(K1112)*'Progetto del paramento slu'!$G$54,'Progetto del paramento slu'!$G$53)*IF(K1112&lt;0,-1,1)</f>
        <v>0</v>
      </c>
      <c r="R1112" s="553">
        <f>'Foglio deposito bis'!$F$59*IF(ABS(L1112)&lt;'Progetto del paramento slu'!$G$58,ABS(L1112)*'Progetto del paramento slu'!$G$54,'Progetto del paramento slu'!$G$53)*IF(L1112&lt;0,-1,1)</f>
        <v>153664.85805602249</v>
      </c>
      <c r="S1112" s="553">
        <f>'Foglio deposito bis'!$F$60*IF(ABS(M1112)&lt;'Progetto del paramento slu'!$G$58,ABS(M1112)*'Progetto del paramento slu'!$G$54,'Progetto del paramento slu'!$G$53)*IF(M1112&lt;0,-1,1)</f>
        <v>0</v>
      </c>
      <c r="T1112" s="553">
        <f>'Foglio deposito bis'!$F$61*IF(ABS(N1112)&lt;'Progetto del paramento slu'!$G$58,ABS(N1112)*'Progetto del paramento slu'!$G$54,'Progetto del paramento slu'!$G$53)*IF(N1112&lt;0,-1,1)</f>
        <v>240946.49743184328</v>
      </c>
      <c r="U1112" s="553">
        <f>'Foglio deposito bis'!$F$62*IF(ABS(O1112)&lt;'Progetto del paramento slu'!$G$58,ABS(O1112)*'Progetto del paramento slu'!$G$54,'Progetto del paramento slu'!$G$53)*IF(O1112&lt;0,-1,1)</f>
        <v>314705.62929873407</v>
      </c>
      <c r="V1112" s="479">
        <f t="shared" si="82"/>
        <v>268695.34730657318</v>
      </c>
      <c r="W1112" s="559"/>
      <c r="X1112" s="559"/>
    </row>
    <row r="1113" spans="1:24" x14ac:dyDescent="0.25">
      <c r="A1113" s="553">
        <f t="shared" si="81"/>
        <v>257250.62944994911</v>
      </c>
      <c r="B1113" s="3">
        <f t="shared" si="84"/>
        <v>7.8999999999999924</v>
      </c>
      <c r="C1113" s="553">
        <f>'Foglio deposito bis'!$E$157/sezione!$B$247*B1113</f>
        <v>32.070791935567797</v>
      </c>
      <c r="D1113" s="611">
        <f>-'Progetto del paramento slu'!$G$47*'Progetto del paramento slu'!$G$41*IF(DATI!$G$218="dx",DATI!$E$61,DATI!$E$64*DATI!$E$63)*1000*C1113^2*sezione!$AD$5*(1-sezione!$AD$6)</f>
        <v>-8466905.5974741578</v>
      </c>
      <c r="E1113" s="553">
        <f>-'Foglio deposito bis'!$F$58*(C1113-sezione!$AL$31)*IF(ABS(K1113)&lt;'Progetto del paramento slu'!$G$58,ABS(K1113)*'Progetto del paramento slu'!$G$54,'Progetto del paramento slu'!$G$53)</f>
        <v>0</v>
      </c>
      <c r="F1113" s="553">
        <f>-'Foglio deposito bis'!$F$59*(C1113-sezione!$AM$31)*IF(ABS(L1113)&lt;'Progetto del paramento slu'!$G$58,ABS(L1113)*'Progetto del paramento slu'!$G$54,'Progetto del paramento slu'!$G$53)</f>
        <v>18121575.017880119</v>
      </c>
      <c r="G1113" s="553">
        <f>-'Foglio deposito bis'!$F$60*(C1113-sezione!$AN$31)*IF(ABS(M1113)&lt;'Progetto del paramento slu'!$G$58,ABS(M1113)*'Progetto del paramento slu'!$G$54,'Progetto del paramento slu'!$G$53)</f>
        <v>0</v>
      </c>
      <c r="H1113" s="553">
        <f>-'Foglio deposito bis'!$F$61*(C1113-sezione!$AO$31)*IF(ABS(N1113)&lt;'Progetto del paramento slu'!$G$58,ABS(N1113)*'Progetto del paramento slu'!$G$54,'Progetto del paramento slu'!$G$53)</f>
        <v>74194464.140086249</v>
      </c>
      <c r="I1113" s="479">
        <f>-'Foglio deposito bis'!$F$62*(C1113-sezione!$AP$31)*IF(ABS(O1113)&lt;'Progetto del paramento slu'!$G$58,ABS(O1113)*'Progetto del paramento slu'!$G$54,'Progetto del paramento slu'!$G$53)</f>
        <v>71731860.655980736</v>
      </c>
      <c r="J1113" s="479">
        <f t="shared" si="80"/>
        <v>155580994.21647295</v>
      </c>
      <c r="K1113" s="558">
        <f>'Progetto del paramento slu'!$G$60*(sezione!$AL$31-C1113)/C1113</f>
        <v>8.6534277922630193E-4</v>
      </c>
      <c r="L1113" s="558">
        <f>'Progetto del paramento slu'!$G$60*(sezione!$AM$31-C1113)/C1113</f>
        <v>1.2870035422098632E-2</v>
      </c>
      <c r="M1113" s="559">
        <f>'Progetto del paramento slu'!$G$60*(sezione!$AN$31-C1113)/C1113</f>
        <v>2.4874728064970965E-2</v>
      </c>
      <c r="N1113" s="559">
        <f>'Progetto del paramento slu'!$G$60*(sezione!$AO$31-C1113)/C1113</f>
        <v>3.360541362342357E-2</v>
      </c>
      <c r="O1113" s="559">
        <f>'Progetto del paramento slu'!$G$60*(sezione!$AP$31-C1113)/C1113</f>
        <v>2.4875163549887631E-2</v>
      </c>
      <c r="P1113" s="553">
        <f>-'Progetto del paramento slu'!$G$47*'Progetto del paramento slu'!$G$41*IF(DATI!$G$218="dx",DATI!$E$61,DATI!$E$64*DATI!$E$63)*1000*C1113*sezione!$AD$5</f>
        <v>-452066.35533665074</v>
      </c>
      <c r="Q1113" s="553">
        <f>'Foglio deposito bis'!$F$58*IF(ABS(K1113)&lt;'Progetto del paramento slu'!$G$58,ABS(K1113)*'Progetto del paramento slu'!$G$54,'Progetto del paramento slu'!$G$53)*IF(K1113&lt;0,-1,1)</f>
        <v>0</v>
      </c>
      <c r="R1113" s="553">
        <f>'Foglio deposito bis'!$F$59*IF(ABS(L1113)&lt;'Progetto del paramento slu'!$G$58,ABS(L1113)*'Progetto del paramento slu'!$G$54,'Progetto del paramento slu'!$G$53)*IF(L1113&lt;0,-1,1)</f>
        <v>153664.85805602249</v>
      </c>
      <c r="S1113" s="553">
        <f>'Foglio deposito bis'!$F$60*IF(ABS(M1113)&lt;'Progetto del paramento slu'!$G$58,ABS(M1113)*'Progetto del paramento slu'!$G$54,'Progetto del paramento slu'!$G$53)*IF(M1113&lt;0,-1,1)</f>
        <v>0</v>
      </c>
      <c r="T1113" s="553">
        <f>'Foglio deposito bis'!$F$61*IF(ABS(N1113)&lt;'Progetto del paramento slu'!$G$58,ABS(N1113)*'Progetto del paramento slu'!$G$54,'Progetto del paramento slu'!$G$53)*IF(N1113&lt;0,-1,1)</f>
        <v>240946.49743184328</v>
      </c>
      <c r="U1113" s="553">
        <f>'Foglio deposito bis'!$F$62*IF(ABS(O1113)&lt;'Progetto del paramento slu'!$G$58,ABS(O1113)*'Progetto del paramento slu'!$G$54,'Progetto del paramento slu'!$G$53)*IF(O1113&lt;0,-1,1)</f>
        <v>314705.62929873407</v>
      </c>
      <c r="V1113" s="479">
        <f t="shared" si="82"/>
        <v>257250.62944994911</v>
      </c>
      <c r="W1113" s="559"/>
      <c r="X1113" s="559"/>
    </row>
    <row r="1114" spans="1:24" x14ac:dyDescent="0.25">
      <c r="A1114" s="553">
        <f t="shared" si="81"/>
        <v>245805.91159332506</v>
      </c>
      <c r="B1114" s="3">
        <f t="shared" si="84"/>
        <v>8.0999999999999925</v>
      </c>
      <c r="C1114" s="553">
        <f>'Foglio deposito bis'!$E$157/sezione!$B$247*B1114</f>
        <v>32.882710718746729</v>
      </c>
      <c r="D1114" s="611">
        <f>-'Progetto del paramento slu'!$G$47*'Progetto del paramento slu'!$G$41*IF(DATI!$G$218="dx",DATI!$E$61,DATI!$E$64*DATI!$E$63)*1000*C1114^2*sezione!$AD$5*(1-sezione!$AD$6)</f>
        <v>-8901036.3122941758</v>
      </c>
      <c r="E1114" s="553">
        <f>-'Foglio deposito bis'!$F$58*(C1114-sezione!$AL$31)*IF(ABS(K1114)&lt;'Progetto del paramento slu'!$G$58,ABS(K1114)*'Progetto del paramento slu'!$G$54,'Progetto del paramento slu'!$G$53)</f>
        <v>0</v>
      </c>
      <c r="F1114" s="553">
        <f>-'Foglio deposito bis'!$F$59*(C1114-sezione!$AM$31)*IF(ABS(L1114)&lt;'Progetto del paramento slu'!$G$58,ABS(L1114)*'Progetto del paramento slu'!$G$54,'Progetto del paramento slu'!$G$53)</f>
        <v>17996811.633309908</v>
      </c>
      <c r="G1114" s="553">
        <f>-'Foglio deposito bis'!$F$60*(C1114-sezione!$AN$31)*IF(ABS(M1114)&lt;'Progetto del paramento slu'!$G$58,ABS(M1114)*'Progetto del paramento slu'!$G$54,'Progetto del paramento slu'!$G$53)</f>
        <v>0</v>
      </c>
      <c r="H1114" s="553">
        <f>-'Foglio deposito bis'!$F$61*(C1114-sezione!$AO$31)*IF(ABS(N1114)&lt;'Progetto del paramento slu'!$G$58,ABS(N1114)*'Progetto del paramento slu'!$G$54,'Progetto del paramento slu'!$G$53)</f>
        <v>73998835.15308015</v>
      </c>
      <c r="I1114" s="479">
        <f>-'Foglio deposito bis'!$F$62*(C1114-sezione!$AP$31)*IF(ABS(O1114)&lt;'Progetto del paramento slu'!$G$58,ABS(O1114)*'Progetto del paramento slu'!$G$54,'Progetto del paramento slu'!$G$53)</f>
        <v>71476345.244380951</v>
      </c>
      <c r="J1114" s="479">
        <f t="shared" si="80"/>
        <v>154570955.71847683</v>
      </c>
      <c r="K1114" s="558">
        <f>'Progetto del paramento slu'!$G$60*(sezione!$AL$31-C1114)/C1114</f>
        <v>7.5755653776392404E-4</v>
      </c>
      <c r="L1114" s="558">
        <f>'Progetto del paramento slu'!$G$60*(sezione!$AM$31-C1114)/C1114</f>
        <v>1.2465837016614717E-2</v>
      </c>
      <c r="M1114" s="559">
        <f>'Progetto del paramento slu'!$G$60*(sezione!$AN$31-C1114)/C1114</f>
        <v>2.4174117495465507E-2</v>
      </c>
      <c r="N1114" s="559">
        <f>'Progetto del paramento slu'!$G$60*(sezione!$AO$31-C1114)/C1114</f>
        <v>3.268923057099335E-2</v>
      </c>
      <c r="O1114" s="559">
        <f>'Progetto del paramento slu'!$G$60*(sezione!$AP$31-C1114)/C1114</f>
        <v>2.4174542227668183E-2</v>
      </c>
      <c r="P1114" s="553">
        <f>-'Progetto del paramento slu'!$G$47*'Progetto del paramento slu'!$G$41*IF(DATI!$G$218="dx",DATI!$E$61,DATI!$E$64*DATI!$E$63)*1000*C1114*sezione!$AD$5</f>
        <v>-463511.07319327479</v>
      </c>
      <c r="Q1114" s="553">
        <f>'Foglio deposito bis'!$F$58*IF(ABS(K1114)&lt;'Progetto del paramento slu'!$G$58,ABS(K1114)*'Progetto del paramento slu'!$G$54,'Progetto del paramento slu'!$G$53)*IF(K1114&lt;0,-1,1)</f>
        <v>0</v>
      </c>
      <c r="R1114" s="553">
        <f>'Foglio deposito bis'!$F$59*IF(ABS(L1114)&lt;'Progetto del paramento slu'!$G$58,ABS(L1114)*'Progetto del paramento slu'!$G$54,'Progetto del paramento slu'!$G$53)*IF(L1114&lt;0,-1,1)</f>
        <v>153664.85805602249</v>
      </c>
      <c r="S1114" s="553">
        <f>'Foglio deposito bis'!$F$60*IF(ABS(M1114)&lt;'Progetto del paramento slu'!$G$58,ABS(M1114)*'Progetto del paramento slu'!$G$54,'Progetto del paramento slu'!$G$53)*IF(M1114&lt;0,-1,1)</f>
        <v>0</v>
      </c>
      <c r="T1114" s="553">
        <f>'Foglio deposito bis'!$F$61*IF(ABS(N1114)&lt;'Progetto del paramento slu'!$G$58,ABS(N1114)*'Progetto del paramento slu'!$G$54,'Progetto del paramento slu'!$G$53)*IF(N1114&lt;0,-1,1)</f>
        <v>240946.49743184328</v>
      </c>
      <c r="U1114" s="553">
        <f>'Foglio deposito bis'!$F$62*IF(ABS(O1114)&lt;'Progetto del paramento slu'!$G$58,ABS(O1114)*'Progetto del paramento slu'!$G$54,'Progetto del paramento slu'!$G$53)*IF(O1114&lt;0,-1,1)</f>
        <v>314705.62929873407</v>
      </c>
      <c r="V1114" s="479">
        <f t="shared" si="82"/>
        <v>245805.91159332506</v>
      </c>
      <c r="W1114" s="559"/>
      <c r="X1114" s="559"/>
    </row>
    <row r="1115" spans="1:24" x14ac:dyDescent="0.25">
      <c r="A1115" s="553">
        <f t="shared" si="81"/>
        <v>234361.19373670095</v>
      </c>
      <c r="B1115" s="3">
        <f t="shared" si="84"/>
        <v>8.2999999999999918</v>
      </c>
      <c r="C1115" s="553">
        <f>'Foglio deposito bis'!$E$157/sezione!$B$247*B1115</f>
        <v>33.694629501925661</v>
      </c>
      <c r="D1115" s="611">
        <f>-'Progetto del paramento slu'!$G$47*'Progetto del paramento slu'!$G$41*IF(DATI!$G$218="dx",DATI!$E$61,DATI!$E$64*DATI!$E$63)*1000*C1115^2*sezione!$AD$5*(1-sezione!$AD$6)</f>
        <v>-9346020.2949846946</v>
      </c>
      <c r="E1115" s="553">
        <f>-'Foglio deposito bis'!$F$58*(C1115-sezione!$AL$31)*IF(ABS(K1115)&lt;'Progetto del paramento slu'!$G$58,ABS(K1115)*'Progetto del paramento slu'!$G$54,'Progetto del paramento slu'!$G$53)</f>
        <v>0</v>
      </c>
      <c r="F1115" s="553">
        <f>-'Foglio deposito bis'!$F$59*(C1115-sezione!$AM$31)*IF(ABS(L1115)&lt;'Progetto del paramento slu'!$G$58,ABS(L1115)*'Progetto del paramento slu'!$G$54,'Progetto del paramento slu'!$G$53)</f>
        <v>17872048.248739701</v>
      </c>
      <c r="G1115" s="553">
        <f>-'Foglio deposito bis'!$F$60*(C1115-sezione!$AN$31)*IF(ABS(M1115)&lt;'Progetto del paramento slu'!$G$58,ABS(M1115)*'Progetto del paramento slu'!$G$54,'Progetto del paramento slu'!$G$53)</f>
        <v>0</v>
      </c>
      <c r="H1115" s="553">
        <f>-'Foglio deposito bis'!$F$61*(C1115-sezione!$AO$31)*IF(ABS(N1115)&lt;'Progetto del paramento slu'!$G$58,ABS(N1115)*'Progetto del paramento slu'!$G$54,'Progetto del paramento slu'!$G$53)</f>
        <v>73803206.166074067</v>
      </c>
      <c r="I1115" s="479">
        <f>-'Foglio deposito bis'!$F$62*(C1115-sezione!$AP$31)*IF(ABS(O1115)&lt;'Progetto del paramento slu'!$G$58,ABS(O1115)*'Progetto del paramento slu'!$G$54,'Progetto del paramento slu'!$G$53)</f>
        <v>71220829.832781151</v>
      </c>
      <c r="J1115" s="479">
        <f t="shared" si="80"/>
        <v>153550063.95261022</v>
      </c>
      <c r="K1115" s="558">
        <f>'Progetto del paramento slu'!$G$60*(sezione!$AL$31-C1115)/C1115</f>
        <v>6.5496481396238378E-4</v>
      </c>
      <c r="L1115" s="558">
        <f>'Progetto del paramento slu'!$G$60*(sezione!$AM$31-C1115)/C1115</f>
        <v>1.2081118052358938E-2</v>
      </c>
      <c r="M1115" s="559">
        <f>'Progetto del paramento slu'!$G$60*(sezione!$AN$31-C1115)/C1115</f>
        <v>2.3507271290755496E-2</v>
      </c>
      <c r="N1115" s="559">
        <f>'Progetto del paramento slu'!$G$60*(sezione!$AO$31-C1115)/C1115</f>
        <v>3.1817200918680268E-2</v>
      </c>
      <c r="O1115" s="559">
        <f>'Progetto del paramento slu'!$G$60*(sezione!$AP$31-C1115)/C1115</f>
        <v>2.3507685788447263E-2</v>
      </c>
      <c r="P1115" s="553">
        <f>-'Progetto del paramento slu'!$G$47*'Progetto del paramento slu'!$G$41*IF(DATI!$G$218="dx",DATI!$E$61,DATI!$E$64*DATI!$E$63)*1000*C1115*sezione!$AD$5</f>
        <v>-474955.79104989889</v>
      </c>
      <c r="Q1115" s="553">
        <f>'Foglio deposito bis'!$F$58*IF(ABS(K1115)&lt;'Progetto del paramento slu'!$G$58,ABS(K1115)*'Progetto del paramento slu'!$G$54,'Progetto del paramento slu'!$G$53)*IF(K1115&lt;0,-1,1)</f>
        <v>0</v>
      </c>
      <c r="R1115" s="553">
        <f>'Foglio deposito bis'!$F$59*IF(ABS(L1115)&lt;'Progetto del paramento slu'!$G$58,ABS(L1115)*'Progetto del paramento slu'!$G$54,'Progetto del paramento slu'!$G$53)*IF(L1115&lt;0,-1,1)</f>
        <v>153664.85805602249</v>
      </c>
      <c r="S1115" s="553">
        <f>'Foglio deposito bis'!$F$60*IF(ABS(M1115)&lt;'Progetto del paramento slu'!$G$58,ABS(M1115)*'Progetto del paramento slu'!$G$54,'Progetto del paramento slu'!$G$53)*IF(M1115&lt;0,-1,1)</f>
        <v>0</v>
      </c>
      <c r="T1115" s="553">
        <f>'Foglio deposito bis'!$F$61*IF(ABS(N1115)&lt;'Progetto del paramento slu'!$G$58,ABS(N1115)*'Progetto del paramento slu'!$G$54,'Progetto del paramento slu'!$G$53)*IF(N1115&lt;0,-1,1)</f>
        <v>240946.49743184328</v>
      </c>
      <c r="U1115" s="553">
        <f>'Foglio deposito bis'!$F$62*IF(ABS(O1115)&lt;'Progetto del paramento slu'!$G$58,ABS(O1115)*'Progetto del paramento slu'!$G$54,'Progetto del paramento slu'!$G$53)*IF(O1115&lt;0,-1,1)</f>
        <v>314705.62929873407</v>
      </c>
      <c r="V1115" s="479">
        <f t="shared" si="82"/>
        <v>234361.19373670095</v>
      </c>
      <c r="W1115" s="559"/>
      <c r="X1115" s="559"/>
    </row>
    <row r="1116" spans="1:24" x14ac:dyDescent="0.25">
      <c r="A1116" s="553">
        <f t="shared" si="81"/>
        <v>222916.47588007691</v>
      </c>
      <c r="B1116" s="3">
        <f t="shared" si="84"/>
        <v>8.4999999999999911</v>
      </c>
      <c r="C1116" s="553">
        <f>'Foglio deposito bis'!$E$157/sezione!$B$247*B1116</f>
        <v>34.506548285104593</v>
      </c>
      <c r="D1116" s="611">
        <f>-'Progetto del paramento slu'!$G$47*'Progetto del paramento slu'!$G$41*IF(DATI!$G$218="dx",DATI!$E$61,DATI!$E$64*DATI!$E$63)*1000*C1116^2*sezione!$AD$5*(1-sezione!$AD$6)</f>
        <v>-9801857.5455457121</v>
      </c>
      <c r="E1116" s="553">
        <f>-'Foglio deposito bis'!$F$58*(C1116-sezione!$AL$31)*IF(ABS(K1116)&lt;'Progetto del paramento slu'!$G$58,ABS(K1116)*'Progetto del paramento slu'!$G$54,'Progetto del paramento slu'!$G$53)</f>
        <v>0</v>
      </c>
      <c r="F1116" s="553">
        <f>-'Foglio deposito bis'!$F$59*(C1116-sezione!$AM$31)*IF(ABS(L1116)&lt;'Progetto del paramento slu'!$G$58,ABS(L1116)*'Progetto del paramento slu'!$G$54,'Progetto del paramento slu'!$G$53)</f>
        <v>17747284.86416949</v>
      </c>
      <c r="G1116" s="553">
        <f>-'Foglio deposito bis'!$F$60*(C1116-sezione!$AN$31)*IF(ABS(M1116)&lt;'Progetto del paramento slu'!$G$58,ABS(M1116)*'Progetto del paramento slu'!$G$54,'Progetto del paramento slu'!$G$53)</f>
        <v>0</v>
      </c>
      <c r="H1116" s="553">
        <f>-'Foglio deposito bis'!$F$61*(C1116-sezione!$AO$31)*IF(ABS(N1116)&lt;'Progetto del paramento slu'!$G$58,ABS(N1116)*'Progetto del paramento slu'!$G$54,'Progetto del paramento slu'!$G$53)</f>
        <v>73607577.179067984</v>
      </c>
      <c r="I1116" s="479">
        <f>-'Foglio deposito bis'!$F$62*(C1116-sezione!$AP$31)*IF(ABS(O1116)&lt;'Progetto del paramento slu'!$G$58,ABS(O1116)*'Progetto del paramento slu'!$G$54,'Progetto del paramento slu'!$G$53)</f>
        <v>70965314.421181366</v>
      </c>
      <c r="J1116" s="479">
        <f t="shared" si="80"/>
        <v>152518318.91887313</v>
      </c>
      <c r="K1116" s="558">
        <f>'Progetto del paramento slu'!$G$60*(sezione!$AL$31-C1116)/C1116</f>
        <v>5.5720093598679815E-4</v>
      </c>
      <c r="L1116" s="558">
        <f>'Progetto del paramento slu'!$G$60*(sezione!$AM$31-C1116)/C1116</f>
        <v>1.1714503509950493E-2</v>
      </c>
      <c r="M1116" s="559">
        <f>'Progetto del paramento slu'!$G$60*(sezione!$AN$31-C1116)/C1116</f>
        <v>2.2871806083914186E-2</v>
      </c>
      <c r="N1116" s="559">
        <f>'Progetto del paramento slu'!$G$60*(sezione!$AO$31-C1116)/C1116</f>
        <v>3.098620795588778E-2</v>
      </c>
      <c r="O1116" s="559">
        <f>'Progetto del paramento slu'!$G$60*(sezione!$AP$31-C1116)/C1116</f>
        <v>2.287221082871909E-2</v>
      </c>
      <c r="P1116" s="553">
        <f>-'Progetto del paramento slu'!$G$47*'Progetto del paramento slu'!$G$41*IF(DATI!$G$218="dx",DATI!$E$61,DATI!$E$64*DATI!$E$63)*1000*C1116*sezione!$AD$5</f>
        <v>-486400.50890652294</v>
      </c>
      <c r="Q1116" s="553">
        <f>'Foglio deposito bis'!$F$58*IF(ABS(K1116)&lt;'Progetto del paramento slu'!$G$58,ABS(K1116)*'Progetto del paramento slu'!$G$54,'Progetto del paramento slu'!$G$53)*IF(K1116&lt;0,-1,1)</f>
        <v>0</v>
      </c>
      <c r="R1116" s="553">
        <f>'Foglio deposito bis'!$F$59*IF(ABS(L1116)&lt;'Progetto del paramento slu'!$G$58,ABS(L1116)*'Progetto del paramento slu'!$G$54,'Progetto del paramento slu'!$G$53)*IF(L1116&lt;0,-1,1)</f>
        <v>153664.85805602249</v>
      </c>
      <c r="S1116" s="553">
        <f>'Foglio deposito bis'!$F$60*IF(ABS(M1116)&lt;'Progetto del paramento slu'!$G$58,ABS(M1116)*'Progetto del paramento slu'!$G$54,'Progetto del paramento slu'!$G$53)*IF(M1116&lt;0,-1,1)</f>
        <v>0</v>
      </c>
      <c r="T1116" s="553">
        <f>'Foglio deposito bis'!$F$61*IF(ABS(N1116)&lt;'Progetto del paramento slu'!$G$58,ABS(N1116)*'Progetto del paramento slu'!$G$54,'Progetto del paramento slu'!$G$53)*IF(N1116&lt;0,-1,1)</f>
        <v>240946.49743184328</v>
      </c>
      <c r="U1116" s="553">
        <f>'Foglio deposito bis'!$F$62*IF(ABS(O1116)&lt;'Progetto del paramento slu'!$G$58,ABS(O1116)*'Progetto del paramento slu'!$G$54,'Progetto del paramento slu'!$G$53)*IF(O1116&lt;0,-1,1)</f>
        <v>314705.62929873407</v>
      </c>
      <c r="V1116" s="479">
        <f t="shared" si="82"/>
        <v>222916.47588007691</v>
      </c>
      <c r="W1116" s="559"/>
      <c r="X1116" s="559"/>
    </row>
    <row r="1117" spans="1:24" x14ac:dyDescent="0.25">
      <c r="A1117" s="553">
        <f t="shared" si="81"/>
        <v>211471.75802345286</v>
      </c>
      <c r="B1117" s="3">
        <f t="shared" si="84"/>
        <v>8.6999999999999904</v>
      </c>
      <c r="C1117" s="553">
        <f>'Foglio deposito bis'!$E$157/sezione!$B$247*B1117</f>
        <v>35.318467068283518</v>
      </c>
      <c r="D1117" s="611">
        <f>-'Progetto del paramento slu'!$G$47*'Progetto del paramento slu'!$G$41*IF(DATI!$G$218="dx",DATI!$E$61,DATI!$E$64*DATI!$E$63)*1000*C1117^2*sezione!$AD$5*(1-sezione!$AD$6)</f>
        <v>-10268548.063977227</v>
      </c>
      <c r="E1117" s="553">
        <f>-'Foglio deposito bis'!$F$58*(C1117-sezione!$AL$31)*IF(ABS(K1117)&lt;'Progetto del paramento slu'!$G$58,ABS(K1117)*'Progetto del paramento slu'!$G$54,'Progetto del paramento slu'!$G$53)</f>
        <v>0</v>
      </c>
      <c r="F1117" s="553">
        <f>-'Foglio deposito bis'!$F$59*(C1117-sezione!$AM$31)*IF(ABS(L1117)&lt;'Progetto del paramento slu'!$G$58,ABS(L1117)*'Progetto del paramento slu'!$G$54,'Progetto del paramento slu'!$G$53)</f>
        <v>17622521.479599282</v>
      </c>
      <c r="G1117" s="553">
        <f>-'Foglio deposito bis'!$F$60*(C1117-sezione!$AN$31)*IF(ABS(M1117)&lt;'Progetto del paramento slu'!$G$58,ABS(M1117)*'Progetto del paramento slu'!$G$54,'Progetto del paramento slu'!$G$53)</f>
        <v>0</v>
      </c>
      <c r="H1117" s="553">
        <f>-'Foglio deposito bis'!$F$61*(C1117-sezione!$AO$31)*IF(ABS(N1117)&lt;'Progetto del paramento slu'!$G$58,ABS(N1117)*'Progetto del paramento slu'!$G$54,'Progetto del paramento slu'!$G$53)</f>
        <v>73411948.192061901</v>
      </c>
      <c r="I1117" s="479">
        <f>-'Foglio deposito bis'!$F$62*(C1117-sezione!$AP$31)*IF(ABS(O1117)&lt;'Progetto del paramento slu'!$G$58,ABS(O1117)*'Progetto del paramento slu'!$G$54,'Progetto del paramento slu'!$G$53)</f>
        <v>70709799.009581581</v>
      </c>
      <c r="J1117" s="479">
        <f t="shared" si="80"/>
        <v>151475720.61726552</v>
      </c>
      <c r="K1117" s="558">
        <f>'Progetto del paramento slu'!$G$60*(sezione!$AL$31-C1117)/C1117</f>
        <v>4.6393194895261972E-4</v>
      </c>
      <c r="L1117" s="558">
        <f>'Progetto del paramento slu'!$G$60*(sezione!$AM$31-C1117)/C1117</f>
        <v>1.1364744808572323E-2</v>
      </c>
      <c r="M1117" s="559">
        <f>'Progetto del paramento slu'!$G$60*(sezione!$AN$31-C1117)/C1117</f>
        <v>2.2265557668192028E-2</v>
      </c>
      <c r="N1117" s="559">
        <f>'Progetto del paramento slu'!$G$60*(sezione!$AO$31-C1117)/C1117</f>
        <v>3.0193421566097271E-2</v>
      </c>
      <c r="O1117" s="559">
        <f>'Progetto del paramento slu'!$G$60*(sezione!$AP$31-C1117)/C1117</f>
        <v>2.2265953108518657E-2</v>
      </c>
      <c r="P1117" s="553">
        <f>-'Progetto del paramento slu'!$G$47*'Progetto del paramento slu'!$G$41*IF(DATI!$G$218="dx",DATI!$E$61,DATI!$E$64*DATI!$E$63)*1000*C1117*sezione!$AD$5</f>
        <v>-497845.22676314699</v>
      </c>
      <c r="Q1117" s="553">
        <f>'Foglio deposito bis'!$F$58*IF(ABS(K1117)&lt;'Progetto del paramento slu'!$G$58,ABS(K1117)*'Progetto del paramento slu'!$G$54,'Progetto del paramento slu'!$G$53)*IF(K1117&lt;0,-1,1)</f>
        <v>0</v>
      </c>
      <c r="R1117" s="553">
        <f>'Foglio deposito bis'!$F$59*IF(ABS(L1117)&lt;'Progetto del paramento slu'!$G$58,ABS(L1117)*'Progetto del paramento slu'!$G$54,'Progetto del paramento slu'!$G$53)*IF(L1117&lt;0,-1,1)</f>
        <v>153664.85805602249</v>
      </c>
      <c r="S1117" s="553">
        <f>'Foglio deposito bis'!$F$60*IF(ABS(M1117)&lt;'Progetto del paramento slu'!$G$58,ABS(M1117)*'Progetto del paramento slu'!$G$54,'Progetto del paramento slu'!$G$53)*IF(M1117&lt;0,-1,1)</f>
        <v>0</v>
      </c>
      <c r="T1117" s="553">
        <f>'Foglio deposito bis'!$F$61*IF(ABS(N1117)&lt;'Progetto del paramento slu'!$G$58,ABS(N1117)*'Progetto del paramento slu'!$G$54,'Progetto del paramento slu'!$G$53)*IF(N1117&lt;0,-1,1)</f>
        <v>240946.49743184328</v>
      </c>
      <c r="U1117" s="553">
        <f>'Foglio deposito bis'!$F$62*IF(ABS(O1117)&lt;'Progetto del paramento slu'!$G$58,ABS(O1117)*'Progetto del paramento slu'!$G$54,'Progetto del paramento slu'!$G$53)*IF(O1117&lt;0,-1,1)</f>
        <v>314705.62929873407</v>
      </c>
      <c r="V1117" s="479">
        <f t="shared" si="82"/>
        <v>211471.75802345286</v>
      </c>
      <c r="W1117" s="559"/>
      <c r="X1117" s="559"/>
    </row>
    <row r="1118" spans="1:24" x14ac:dyDescent="0.25">
      <c r="A1118" s="553">
        <f t="shared" si="81"/>
        <v>200027.04016682887</v>
      </c>
      <c r="B1118" s="3">
        <f t="shared" si="84"/>
        <v>8.8999999999999897</v>
      </c>
      <c r="C1118" s="553">
        <f>'Foglio deposito bis'!$E$157/sezione!$B$247*B1118</f>
        <v>36.130385851462449</v>
      </c>
      <c r="D1118" s="611">
        <f>-'Progetto del paramento slu'!$G$47*'Progetto del paramento slu'!$G$41*IF(DATI!$G$218="dx",DATI!$E$61,DATI!$E$64*DATI!$E$63)*1000*C1118^2*sezione!$AD$5*(1-sezione!$AD$6)</f>
        <v>-10746091.850279247</v>
      </c>
      <c r="E1118" s="553">
        <f>-'Foglio deposito bis'!$F$58*(C1118-sezione!$AL$31)*IF(ABS(K1118)&lt;'Progetto del paramento slu'!$G$58,ABS(K1118)*'Progetto del paramento slu'!$G$54,'Progetto del paramento slu'!$G$53)</f>
        <v>0</v>
      </c>
      <c r="F1118" s="553">
        <f>-'Foglio deposito bis'!$F$59*(C1118-sezione!$AM$31)*IF(ABS(L1118)&lt;'Progetto del paramento slu'!$G$58,ABS(L1118)*'Progetto del paramento slu'!$G$54,'Progetto del paramento slu'!$G$53)</f>
        <v>17497758.095029075</v>
      </c>
      <c r="G1118" s="553">
        <f>-'Foglio deposito bis'!$F$60*(C1118-sezione!$AN$31)*IF(ABS(M1118)&lt;'Progetto del paramento slu'!$G$58,ABS(M1118)*'Progetto del paramento slu'!$G$54,'Progetto del paramento slu'!$G$53)</f>
        <v>0</v>
      </c>
      <c r="H1118" s="553">
        <f>-'Foglio deposito bis'!$F$61*(C1118-sezione!$AO$31)*IF(ABS(N1118)&lt;'Progetto del paramento slu'!$G$58,ABS(N1118)*'Progetto del paramento slu'!$G$54,'Progetto del paramento slu'!$G$53)</f>
        <v>73216319.205055803</v>
      </c>
      <c r="I1118" s="479">
        <f>-'Foglio deposito bis'!$F$62*(C1118-sezione!$AP$31)*IF(ABS(O1118)&lt;'Progetto del paramento slu'!$G$58,ABS(O1118)*'Progetto del paramento slu'!$G$54,'Progetto del paramento slu'!$G$53)</f>
        <v>70454283.597981796</v>
      </c>
      <c r="J1118" s="479">
        <f t="shared" si="80"/>
        <v>150422269.04778743</v>
      </c>
      <c r="K1118" s="558">
        <f>'Progetto del paramento slu'!$G$60*(sezione!$AL$31-C1118)/C1118</f>
        <v>3.7485482650424616E-4</v>
      </c>
      <c r="L1118" s="558">
        <f>'Progetto del paramento slu'!$G$60*(sezione!$AM$31-C1118)/C1118</f>
        <v>1.1030705599390922E-2</v>
      </c>
      <c r="M1118" s="559">
        <f>'Progetto del paramento slu'!$G$60*(sezione!$AN$31-C1118)/C1118</f>
        <v>2.16865563722776E-2</v>
      </c>
      <c r="N1118" s="559">
        <f>'Progetto del paramento slu'!$G$60*(sezione!$AO$31-C1118)/C1118</f>
        <v>2.9436266025286088E-2</v>
      </c>
      <c r="O1118" s="559">
        <f>'Progetto del paramento slu'!$G$60*(sezione!$AP$31-C1118)/C1118</f>
        <v>2.1686942926304756E-2</v>
      </c>
      <c r="P1118" s="553">
        <f>-'Progetto del paramento slu'!$G$47*'Progetto del paramento slu'!$G$41*IF(DATI!$G$218="dx",DATI!$E$61,DATI!$E$64*DATI!$E$63)*1000*C1118*sezione!$AD$5</f>
        <v>-509289.94461977098</v>
      </c>
      <c r="Q1118" s="553">
        <f>'Foglio deposito bis'!$F$58*IF(ABS(K1118)&lt;'Progetto del paramento slu'!$G$58,ABS(K1118)*'Progetto del paramento slu'!$G$54,'Progetto del paramento slu'!$G$53)*IF(K1118&lt;0,-1,1)</f>
        <v>0</v>
      </c>
      <c r="R1118" s="553">
        <f>'Foglio deposito bis'!$F$59*IF(ABS(L1118)&lt;'Progetto del paramento slu'!$G$58,ABS(L1118)*'Progetto del paramento slu'!$G$54,'Progetto del paramento slu'!$G$53)*IF(L1118&lt;0,-1,1)</f>
        <v>153664.85805602249</v>
      </c>
      <c r="S1118" s="553">
        <f>'Foglio deposito bis'!$F$60*IF(ABS(M1118)&lt;'Progetto del paramento slu'!$G$58,ABS(M1118)*'Progetto del paramento slu'!$G$54,'Progetto del paramento slu'!$G$53)*IF(M1118&lt;0,-1,1)</f>
        <v>0</v>
      </c>
      <c r="T1118" s="553">
        <f>'Foglio deposito bis'!$F$61*IF(ABS(N1118)&lt;'Progetto del paramento slu'!$G$58,ABS(N1118)*'Progetto del paramento slu'!$G$54,'Progetto del paramento slu'!$G$53)*IF(N1118&lt;0,-1,1)</f>
        <v>240946.49743184328</v>
      </c>
      <c r="U1118" s="553">
        <f>'Foglio deposito bis'!$F$62*IF(ABS(O1118)&lt;'Progetto del paramento slu'!$G$58,ABS(O1118)*'Progetto del paramento slu'!$G$54,'Progetto del paramento slu'!$G$53)*IF(O1118&lt;0,-1,1)</f>
        <v>314705.62929873407</v>
      </c>
      <c r="V1118" s="479">
        <f t="shared" si="82"/>
        <v>200027.04016682887</v>
      </c>
      <c r="W1118" s="559"/>
      <c r="X1118" s="559"/>
    </row>
    <row r="1119" spans="1:24" x14ac:dyDescent="0.25">
      <c r="A1119" s="553">
        <f t="shared" si="81"/>
        <v>188582.3223102047</v>
      </c>
      <c r="B1119" s="3">
        <f t="shared" si="84"/>
        <v>9.099999999999989</v>
      </c>
      <c r="C1119" s="553">
        <f>'Foglio deposito bis'!$E$157/sezione!$B$247*B1119</f>
        <v>36.942304634641381</v>
      </c>
      <c r="D1119" s="611">
        <f>-'Progetto del paramento slu'!$G$47*'Progetto del paramento slu'!$G$41*IF(DATI!$G$218="dx",DATI!$E$61,DATI!$E$64*DATI!$E$63)*1000*C1119^2*sezione!$AD$5*(1-sezione!$AD$6)</f>
        <v>-11234488.904451765</v>
      </c>
      <c r="E1119" s="553">
        <f>-'Foglio deposito bis'!$F$58*(C1119-sezione!$AL$31)*IF(ABS(K1119)&lt;'Progetto del paramento slu'!$G$58,ABS(K1119)*'Progetto del paramento slu'!$G$54,'Progetto del paramento slu'!$G$53)</f>
        <v>0</v>
      </c>
      <c r="F1119" s="553">
        <f>-'Foglio deposito bis'!$F$59*(C1119-sezione!$AM$31)*IF(ABS(L1119)&lt;'Progetto del paramento slu'!$G$58,ABS(L1119)*'Progetto del paramento slu'!$G$54,'Progetto del paramento slu'!$G$53)</f>
        <v>17372994.710458864</v>
      </c>
      <c r="G1119" s="553">
        <f>-'Foglio deposito bis'!$F$60*(C1119-sezione!$AN$31)*IF(ABS(M1119)&lt;'Progetto del paramento slu'!$G$58,ABS(M1119)*'Progetto del paramento slu'!$G$54,'Progetto del paramento slu'!$G$53)</f>
        <v>0</v>
      </c>
      <c r="H1119" s="553">
        <f>-'Foglio deposito bis'!$F$61*(C1119-sezione!$AO$31)*IF(ABS(N1119)&lt;'Progetto del paramento slu'!$G$58,ABS(N1119)*'Progetto del paramento slu'!$G$54,'Progetto del paramento slu'!$G$53)</f>
        <v>73020690.21804972</v>
      </c>
      <c r="I1119" s="479">
        <f>-'Foglio deposito bis'!$F$62*(C1119-sezione!$AP$31)*IF(ABS(O1119)&lt;'Progetto del paramento slu'!$G$58,ABS(O1119)*'Progetto del paramento slu'!$G$54,'Progetto del paramento slu'!$G$53)</f>
        <v>70198768.186382011</v>
      </c>
      <c r="J1119" s="479">
        <f t="shared" si="80"/>
        <v>149357964.21043885</v>
      </c>
      <c r="K1119" s="558">
        <f>'Progetto del paramento slu'!$G$60*(sezione!$AL$31-C1119)/C1119</f>
        <v>2.8969318196569131E-4</v>
      </c>
      <c r="L1119" s="558">
        <f>'Progetto del paramento slu'!$G$60*(sezione!$AM$31-C1119)/C1119</f>
        <v>1.0711349432371342E-2</v>
      </c>
      <c r="M1119" s="559">
        <f>'Progetto del paramento slu'!$G$60*(sezione!$AN$31-C1119)/C1119</f>
        <v>2.1133005682776995E-2</v>
      </c>
      <c r="N1119" s="559">
        <f>'Progetto del paramento slu'!$G$60*(sezione!$AO$31-C1119)/C1119</f>
        <v>2.8712392046708373E-2</v>
      </c>
      <c r="O1119" s="559">
        <f>'Progetto del paramento slu'!$G$60*(sezione!$AP$31-C1119)/C1119</f>
        <v>2.1133383741111244E-2</v>
      </c>
      <c r="P1119" s="553">
        <f>-'Progetto del paramento slu'!$G$47*'Progetto del paramento slu'!$G$41*IF(DATI!$G$218="dx",DATI!$E$61,DATI!$E$64*DATI!$E$63)*1000*C1119*sezione!$AD$5</f>
        <v>-520734.66247639514</v>
      </c>
      <c r="Q1119" s="553">
        <f>'Foglio deposito bis'!$F$58*IF(ABS(K1119)&lt;'Progetto del paramento slu'!$G$58,ABS(K1119)*'Progetto del paramento slu'!$G$54,'Progetto del paramento slu'!$G$53)*IF(K1119&lt;0,-1,1)</f>
        <v>0</v>
      </c>
      <c r="R1119" s="553">
        <f>'Foglio deposito bis'!$F$59*IF(ABS(L1119)&lt;'Progetto del paramento slu'!$G$58,ABS(L1119)*'Progetto del paramento slu'!$G$54,'Progetto del paramento slu'!$G$53)*IF(L1119&lt;0,-1,1)</f>
        <v>153664.85805602249</v>
      </c>
      <c r="S1119" s="553">
        <f>'Foglio deposito bis'!$F$60*IF(ABS(M1119)&lt;'Progetto del paramento slu'!$G$58,ABS(M1119)*'Progetto del paramento slu'!$G$54,'Progetto del paramento slu'!$G$53)*IF(M1119&lt;0,-1,1)</f>
        <v>0</v>
      </c>
      <c r="T1119" s="553">
        <f>'Foglio deposito bis'!$F$61*IF(ABS(N1119)&lt;'Progetto del paramento slu'!$G$58,ABS(N1119)*'Progetto del paramento slu'!$G$54,'Progetto del paramento slu'!$G$53)*IF(N1119&lt;0,-1,1)</f>
        <v>240946.49743184328</v>
      </c>
      <c r="U1119" s="553">
        <f>'Foglio deposito bis'!$F$62*IF(ABS(O1119)&lt;'Progetto del paramento slu'!$G$58,ABS(O1119)*'Progetto del paramento slu'!$G$54,'Progetto del paramento slu'!$G$53)*IF(O1119&lt;0,-1,1)</f>
        <v>314705.62929873407</v>
      </c>
      <c r="V1119" s="479">
        <f t="shared" si="82"/>
        <v>188582.3223102047</v>
      </c>
      <c r="W1119" s="559"/>
      <c r="X1119" s="559"/>
    </row>
    <row r="1120" spans="1:24" x14ac:dyDescent="0.25">
      <c r="A1120" s="553">
        <f t="shared" si="81"/>
        <v>177137.60445358077</v>
      </c>
      <c r="B1120" s="3">
        <f t="shared" si="84"/>
        <v>9.2999999999999883</v>
      </c>
      <c r="C1120" s="553">
        <f>'Foglio deposito bis'!$E$157/sezione!$B$247*B1120</f>
        <v>37.754223417820306</v>
      </c>
      <c r="D1120" s="611">
        <f>-'Progetto del paramento slu'!$G$47*'Progetto del paramento slu'!$G$41*IF(DATI!$G$218="dx",DATI!$E$61,DATI!$E$64*DATI!$E$63)*1000*C1120^2*sezione!$AD$5*(1-sezione!$AD$6)</f>
        <v>-11733739.226494784</v>
      </c>
      <c r="E1120" s="553">
        <f>-'Foglio deposito bis'!$F$58*(C1120-sezione!$AL$31)*IF(ABS(K1120)&lt;'Progetto del paramento slu'!$G$58,ABS(K1120)*'Progetto del paramento slu'!$G$54,'Progetto del paramento slu'!$G$53)</f>
        <v>0</v>
      </c>
      <c r="F1120" s="553">
        <f>-'Foglio deposito bis'!$F$59*(C1120-sezione!$AM$31)*IF(ABS(L1120)&lt;'Progetto del paramento slu'!$G$58,ABS(L1120)*'Progetto del paramento slu'!$G$54,'Progetto del paramento slu'!$G$53)</f>
        <v>17248231.325888656</v>
      </c>
      <c r="G1120" s="553">
        <f>-'Foglio deposito bis'!$F$60*(C1120-sezione!$AN$31)*IF(ABS(M1120)&lt;'Progetto del paramento slu'!$G$58,ABS(M1120)*'Progetto del paramento slu'!$G$54,'Progetto del paramento slu'!$G$53)</f>
        <v>0</v>
      </c>
      <c r="H1120" s="553">
        <f>-'Foglio deposito bis'!$F$61*(C1120-sezione!$AO$31)*IF(ABS(N1120)&lt;'Progetto del paramento slu'!$G$58,ABS(N1120)*'Progetto del paramento slu'!$G$54,'Progetto del paramento slu'!$G$53)</f>
        <v>72825061.231043637</v>
      </c>
      <c r="I1120" s="479">
        <f>-'Foglio deposito bis'!$F$62*(C1120-sezione!$AP$31)*IF(ABS(O1120)&lt;'Progetto del paramento slu'!$G$58,ABS(O1120)*'Progetto del paramento slu'!$G$54,'Progetto del paramento slu'!$G$53)</f>
        <v>69943252.774782225</v>
      </c>
      <c r="J1120" s="479">
        <f t="shared" si="80"/>
        <v>148282806.10521972</v>
      </c>
      <c r="K1120" s="558">
        <f>'Progetto del paramento slu'!$G$60*(sezione!$AL$31-C1120)/C1120</f>
        <v>2.081944038589029E-4</v>
      </c>
      <c r="L1120" s="558">
        <f>'Progetto del paramento slu'!$G$60*(sezione!$AM$31-C1120)/C1120</f>
        <v>1.0405729014470885E-2</v>
      </c>
      <c r="M1120" s="559">
        <f>'Progetto del paramento slu'!$G$60*(sezione!$AN$31-C1120)/C1120</f>
        <v>2.0603263625082868E-2</v>
      </c>
      <c r="N1120" s="559">
        <f>'Progetto del paramento slu'!$G$60*(sezione!$AO$31-C1120)/C1120</f>
        <v>2.801965243280068E-2</v>
      </c>
      <c r="O1120" s="559">
        <f>'Progetto del paramento slu'!$G$60*(sezione!$AP$31-C1120)/C1120</f>
        <v>2.0603633553130364E-2</v>
      </c>
      <c r="P1120" s="553">
        <f>-'Progetto del paramento slu'!$G$47*'Progetto del paramento slu'!$G$41*IF(DATI!$G$218="dx",DATI!$E$61,DATI!$E$64*DATI!$E$63)*1000*C1120*sezione!$AD$5</f>
        <v>-532179.38033301907</v>
      </c>
      <c r="Q1120" s="553">
        <f>'Foglio deposito bis'!$F$58*IF(ABS(K1120)&lt;'Progetto del paramento slu'!$G$58,ABS(K1120)*'Progetto del paramento slu'!$G$54,'Progetto del paramento slu'!$G$53)*IF(K1120&lt;0,-1,1)</f>
        <v>0</v>
      </c>
      <c r="R1120" s="553">
        <f>'Foglio deposito bis'!$F$59*IF(ABS(L1120)&lt;'Progetto del paramento slu'!$G$58,ABS(L1120)*'Progetto del paramento slu'!$G$54,'Progetto del paramento slu'!$G$53)*IF(L1120&lt;0,-1,1)</f>
        <v>153664.85805602249</v>
      </c>
      <c r="S1120" s="553">
        <f>'Foglio deposito bis'!$F$60*IF(ABS(M1120)&lt;'Progetto del paramento slu'!$G$58,ABS(M1120)*'Progetto del paramento slu'!$G$54,'Progetto del paramento slu'!$G$53)*IF(M1120&lt;0,-1,1)</f>
        <v>0</v>
      </c>
      <c r="T1120" s="553">
        <f>'Foglio deposito bis'!$F$61*IF(ABS(N1120)&lt;'Progetto del paramento slu'!$G$58,ABS(N1120)*'Progetto del paramento slu'!$G$54,'Progetto del paramento slu'!$G$53)*IF(N1120&lt;0,-1,1)</f>
        <v>240946.49743184328</v>
      </c>
      <c r="U1120" s="553">
        <f>'Foglio deposito bis'!$F$62*IF(ABS(O1120)&lt;'Progetto del paramento slu'!$G$58,ABS(O1120)*'Progetto del paramento slu'!$G$54,'Progetto del paramento slu'!$G$53)*IF(O1120&lt;0,-1,1)</f>
        <v>314705.62929873407</v>
      </c>
      <c r="V1120" s="479">
        <f t="shared" si="82"/>
        <v>177137.60445358077</v>
      </c>
      <c r="W1120" s="559"/>
      <c r="X1120" s="559"/>
    </row>
    <row r="1121" spans="1:24" x14ac:dyDescent="0.25">
      <c r="A1121" s="553">
        <f t="shared" si="81"/>
        <v>165692.88659695673</v>
      </c>
      <c r="B1121" s="3">
        <f t="shared" si="84"/>
        <v>9.4999999999999876</v>
      </c>
      <c r="C1121" s="553">
        <f>'Foglio deposito bis'!$E$157/sezione!$B$247*B1121</f>
        <v>38.566142200999238</v>
      </c>
      <c r="D1121" s="611">
        <f>-'Progetto del paramento slu'!$G$47*'Progetto del paramento slu'!$G$41*IF(DATI!$G$218="dx",DATI!$E$61,DATI!$E$64*DATI!$E$63)*1000*C1121^2*sezione!$AD$5*(1-sezione!$AD$6)</f>
        <v>-12243842.816408303</v>
      </c>
      <c r="E1121" s="553">
        <f>-'Foglio deposito bis'!$F$58*(C1121-sezione!$AL$31)*IF(ABS(K1121)&lt;'Progetto del paramento slu'!$G$58,ABS(K1121)*'Progetto del paramento slu'!$G$54,'Progetto del paramento slu'!$G$53)</f>
        <v>0</v>
      </c>
      <c r="F1121" s="553">
        <f>-'Foglio deposito bis'!$F$59*(C1121-sezione!$AM$31)*IF(ABS(L1121)&lt;'Progetto del paramento slu'!$G$58,ABS(L1121)*'Progetto del paramento slu'!$G$54,'Progetto del paramento slu'!$G$53)</f>
        <v>17123467.941318449</v>
      </c>
      <c r="G1121" s="553">
        <f>-'Foglio deposito bis'!$F$60*(C1121-sezione!$AN$31)*IF(ABS(M1121)&lt;'Progetto del paramento slu'!$G$58,ABS(M1121)*'Progetto del paramento slu'!$G$54,'Progetto del paramento slu'!$G$53)</f>
        <v>0</v>
      </c>
      <c r="H1121" s="553">
        <f>-'Foglio deposito bis'!$F$61*(C1121-sezione!$AO$31)*IF(ABS(N1121)&lt;'Progetto del paramento slu'!$G$58,ABS(N1121)*'Progetto del paramento slu'!$G$54,'Progetto del paramento slu'!$G$53)</f>
        <v>72629432.244037539</v>
      </c>
      <c r="I1121" s="479">
        <f>-'Foglio deposito bis'!$F$62*(C1121-sezione!$AP$31)*IF(ABS(O1121)&lt;'Progetto del paramento slu'!$G$58,ABS(O1121)*'Progetto del paramento slu'!$G$54,'Progetto del paramento slu'!$G$53)</f>
        <v>69687737.363182425</v>
      </c>
      <c r="J1121" s="479">
        <f t="shared" si="80"/>
        <v>147196794.73213011</v>
      </c>
      <c r="K1121" s="558">
        <f>'Progetto del paramento slu'!$G$60*(sezione!$AL$31-C1121)/C1121</f>
        <v>1.3012715325134695E-4</v>
      </c>
      <c r="L1121" s="558">
        <f>'Progetto del paramento slu'!$G$60*(sezione!$AM$31-C1121)/C1121</f>
        <v>1.0112976824692551E-2</v>
      </c>
      <c r="M1121" s="559">
        <f>'Progetto del paramento slu'!$G$60*(sezione!$AN$31-C1121)/C1121</f>
        <v>2.0095826496133753E-2</v>
      </c>
      <c r="N1121" s="559">
        <f>'Progetto del paramento slu'!$G$60*(sezione!$AO$31-C1121)/C1121</f>
        <v>2.7356080802636448E-2</v>
      </c>
      <c r="O1121" s="559">
        <f>'Progetto del paramento slu'!$G$60*(sezione!$AP$31-C1121)/C1121</f>
        <v>2.0096188636222354E-2</v>
      </c>
      <c r="P1121" s="553">
        <f>-'Progetto del paramento slu'!$G$47*'Progetto del paramento slu'!$G$41*IF(DATI!$G$218="dx",DATI!$E$61,DATI!$E$64*DATI!$E$63)*1000*C1121*sezione!$AD$5</f>
        <v>-543624.09818964312</v>
      </c>
      <c r="Q1121" s="553">
        <f>'Foglio deposito bis'!$F$58*IF(ABS(K1121)&lt;'Progetto del paramento slu'!$G$58,ABS(K1121)*'Progetto del paramento slu'!$G$54,'Progetto del paramento slu'!$G$53)*IF(K1121&lt;0,-1,1)</f>
        <v>0</v>
      </c>
      <c r="R1121" s="553">
        <f>'Foglio deposito bis'!$F$59*IF(ABS(L1121)&lt;'Progetto del paramento slu'!$G$58,ABS(L1121)*'Progetto del paramento slu'!$G$54,'Progetto del paramento slu'!$G$53)*IF(L1121&lt;0,-1,1)</f>
        <v>153664.85805602249</v>
      </c>
      <c r="S1121" s="553">
        <f>'Foglio deposito bis'!$F$60*IF(ABS(M1121)&lt;'Progetto del paramento slu'!$G$58,ABS(M1121)*'Progetto del paramento slu'!$G$54,'Progetto del paramento slu'!$G$53)*IF(M1121&lt;0,-1,1)</f>
        <v>0</v>
      </c>
      <c r="T1121" s="553">
        <f>'Foglio deposito bis'!$F$61*IF(ABS(N1121)&lt;'Progetto del paramento slu'!$G$58,ABS(N1121)*'Progetto del paramento slu'!$G$54,'Progetto del paramento slu'!$G$53)*IF(N1121&lt;0,-1,1)</f>
        <v>240946.49743184328</v>
      </c>
      <c r="U1121" s="553">
        <f>'Foglio deposito bis'!$F$62*IF(ABS(O1121)&lt;'Progetto del paramento slu'!$G$58,ABS(O1121)*'Progetto del paramento slu'!$G$54,'Progetto del paramento slu'!$G$53)*IF(O1121&lt;0,-1,1)</f>
        <v>314705.62929873407</v>
      </c>
      <c r="V1121" s="479">
        <f t="shared" si="82"/>
        <v>165692.88659695673</v>
      </c>
      <c r="W1121" s="559"/>
      <c r="X1121" s="559"/>
    </row>
    <row r="1122" spans="1:24" x14ac:dyDescent="0.25">
      <c r="A1122" s="553">
        <f t="shared" si="81"/>
        <v>154248.16874033268</v>
      </c>
      <c r="B1122" s="3">
        <f t="shared" si="84"/>
        <v>9.6999999999999869</v>
      </c>
      <c r="C1122" s="553">
        <f>'Foglio deposito bis'!$E$157/sezione!$B$247*B1122</f>
        <v>39.37806098417817</v>
      </c>
      <c r="D1122" s="611">
        <f>-'Progetto del paramento slu'!$G$47*'Progetto del paramento slu'!$G$41*IF(DATI!$G$218="dx",DATI!$E$61,DATI!$E$64*DATI!$E$63)*1000*C1122^2*sezione!$AD$5*(1-sezione!$AD$6)</f>
        <v>-12764799.674192324</v>
      </c>
      <c r="E1122" s="553">
        <f>-'Foglio deposito bis'!$F$58*(C1122-sezione!$AL$31)*IF(ABS(K1122)&lt;'Progetto del paramento slu'!$G$58,ABS(K1122)*'Progetto del paramento slu'!$G$54,'Progetto del paramento slu'!$G$53)</f>
        <v>0</v>
      </c>
      <c r="F1122" s="553">
        <f>-'Foglio deposito bis'!$F$59*(C1122-sezione!$AM$31)*IF(ABS(L1122)&lt;'Progetto del paramento slu'!$G$58,ABS(L1122)*'Progetto del paramento slu'!$G$54,'Progetto del paramento slu'!$G$53)</f>
        <v>16998704.556748237</v>
      </c>
      <c r="G1122" s="553">
        <f>-'Foglio deposito bis'!$F$60*(C1122-sezione!$AN$31)*IF(ABS(M1122)&lt;'Progetto del paramento slu'!$G$58,ABS(M1122)*'Progetto del paramento slu'!$G$54,'Progetto del paramento slu'!$G$53)</f>
        <v>0</v>
      </c>
      <c r="H1122" s="553">
        <f>-'Foglio deposito bis'!$F$61*(C1122-sezione!$AO$31)*IF(ABS(N1122)&lt;'Progetto del paramento slu'!$G$58,ABS(N1122)*'Progetto del paramento slu'!$G$54,'Progetto del paramento slu'!$G$53)</f>
        <v>72433803.257031456</v>
      </c>
      <c r="I1122" s="479">
        <f>-'Foglio deposito bis'!$F$62*(C1122-sezione!$AP$31)*IF(ABS(O1122)&lt;'Progetto del paramento slu'!$G$58,ABS(O1122)*'Progetto del paramento slu'!$G$54,'Progetto del paramento slu'!$G$53)</f>
        <v>69432221.95158264</v>
      </c>
      <c r="J1122" s="479">
        <f t="shared" si="80"/>
        <v>146099930.09117001</v>
      </c>
      <c r="K1122" s="558">
        <f>'Progetto del paramento slu'!$G$60*(sezione!$AL$31-C1122)/C1122</f>
        <v>5.527917071008204E-5</v>
      </c>
      <c r="L1122" s="558">
        <f>'Progetto del paramento slu'!$G$60*(sezione!$AM$31-C1122)/C1122</f>
        <v>9.8322968901628071E-3</v>
      </c>
      <c r="M1122" s="559">
        <f>'Progetto del paramento slu'!$G$60*(sezione!$AN$31-C1122)/C1122</f>
        <v>1.9609314609615531E-2</v>
      </c>
      <c r="N1122" s="559">
        <f>'Progetto del paramento slu'!$G$60*(sezione!$AO$31-C1122)/C1122</f>
        <v>2.6719872951035704E-2</v>
      </c>
      <c r="O1122" s="559">
        <f>'Progetto del paramento slu'!$G$60*(sezione!$AP$31-C1122)/C1122</f>
        <v>1.960966928289818E-2</v>
      </c>
      <c r="P1122" s="553">
        <f>-'Progetto del paramento slu'!$G$47*'Progetto del paramento slu'!$G$41*IF(DATI!$G$218="dx",DATI!$E$61,DATI!$E$64*DATI!$E$63)*1000*C1122*sezione!$AD$5</f>
        <v>-555068.81604626717</v>
      </c>
      <c r="Q1122" s="553">
        <f>'Foglio deposito bis'!$F$58*IF(ABS(K1122)&lt;'Progetto del paramento slu'!$G$58,ABS(K1122)*'Progetto del paramento slu'!$G$54,'Progetto del paramento slu'!$G$53)*IF(K1122&lt;0,-1,1)</f>
        <v>0</v>
      </c>
      <c r="R1122" s="553">
        <f>'Foglio deposito bis'!$F$59*IF(ABS(L1122)&lt;'Progetto del paramento slu'!$G$58,ABS(L1122)*'Progetto del paramento slu'!$G$54,'Progetto del paramento slu'!$G$53)*IF(L1122&lt;0,-1,1)</f>
        <v>153664.85805602249</v>
      </c>
      <c r="S1122" s="553">
        <f>'Foglio deposito bis'!$F$60*IF(ABS(M1122)&lt;'Progetto del paramento slu'!$G$58,ABS(M1122)*'Progetto del paramento slu'!$G$54,'Progetto del paramento slu'!$G$53)*IF(M1122&lt;0,-1,1)</f>
        <v>0</v>
      </c>
      <c r="T1122" s="553">
        <f>'Foglio deposito bis'!$F$61*IF(ABS(N1122)&lt;'Progetto del paramento slu'!$G$58,ABS(N1122)*'Progetto del paramento slu'!$G$54,'Progetto del paramento slu'!$G$53)*IF(N1122&lt;0,-1,1)</f>
        <v>240946.49743184328</v>
      </c>
      <c r="U1122" s="553">
        <f>'Foglio deposito bis'!$F$62*IF(ABS(O1122)&lt;'Progetto del paramento slu'!$G$58,ABS(O1122)*'Progetto del paramento slu'!$G$54,'Progetto del paramento slu'!$G$53)*IF(O1122&lt;0,-1,1)</f>
        <v>314705.62929873407</v>
      </c>
      <c r="V1122" s="479">
        <f t="shared" si="82"/>
        <v>154248.16874033268</v>
      </c>
      <c r="W1122" s="559"/>
      <c r="X1122" s="559"/>
    </row>
    <row r="1123" spans="1:24" x14ac:dyDescent="0.25">
      <c r="A1123" s="553">
        <f t="shared" si="81"/>
        <v>142803.45088370863</v>
      </c>
      <c r="B1123" s="3">
        <f t="shared" si="84"/>
        <v>9.8999999999999861</v>
      </c>
      <c r="C1123" s="553">
        <f>'Foglio deposito bis'!$E$157/sezione!$B$247*B1123</f>
        <v>40.189979767357094</v>
      </c>
      <c r="D1123" s="611">
        <f>-'Progetto del paramento slu'!$G$47*'Progetto del paramento slu'!$G$41*IF(DATI!$G$218="dx",DATI!$E$61,DATI!$E$64*DATI!$E$63)*1000*C1123^2*sezione!$AD$5*(1-sezione!$AD$6)</f>
        <v>-13296609.799846841</v>
      </c>
      <c r="E1123" s="553">
        <f>-'Foglio deposito bis'!$F$58*(C1123-sezione!$AL$31)*IF(ABS(K1123)&lt;'Progetto del paramento slu'!$G$58,ABS(K1123)*'Progetto del paramento slu'!$G$54,'Progetto del paramento slu'!$G$53)</f>
        <v>0</v>
      </c>
      <c r="F1123" s="553">
        <f>-'Foglio deposito bis'!$F$59*(C1123-sezione!$AM$31)*IF(ABS(L1123)&lt;'Progetto del paramento slu'!$G$58,ABS(L1123)*'Progetto del paramento slu'!$G$54,'Progetto del paramento slu'!$G$53)</f>
        <v>16873941.17217803</v>
      </c>
      <c r="G1123" s="553">
        <f>-'Foglio deposito bis'!$F$60*(C1123-sezione!$AN$31)*IF(ABS(M1123)&lt;'Progetto del paramento slu'!$G$58,ABS(M1123)*'Progetto del paramento slu'!$G$54,'Progetto del paramento slu'!$G$53)</f>
        <v>0</v>
      </c>
      <c r="H1123" s="553">
        <f>-'Foglio deposito bis'!$F$61*(C1123-sezione!$AO$31)*IF(ABS(N1123)&lt;'Progetto del paramento slu'!$G$58,ABS(N1123)*'Progetto del paramento slu'!$G$54,'Progetto del paramento slu'!$G$53)</f>
        <v>72238174.270025373</v>
      </c>
      <c r="I1123" s="479">
        <f>-'Foglio deposito bis'!$F$62*(C1123-sezione!$AP$31)*IF(ABS(O1123)&lt;'Progetto del paramento slu'!$G$58,ABS(O1123)*'Progetto del paramento slu'!$G$54,'Progetto del paramento slu'!$G$53)</f>
        <v>69176706.539982855</v>
      </c>
      <c r="J1123" s="479">
        <f t="shared" si="80"/>
        <v>144992212.18233943</v>
      </c>
      <c r="K1123" s="558">
        <f>'Progetto del paramento slu'!$G$60*(sezione!$AL$31-C1123)/C1123</f>
        <v>-1.6544650920424101E-5</v>
      </c>
      <c r="L1123" s="558">
        <f>'Progetto del paramento slu'!$G$60*(sezione!$AM$31-C1123)/C1123</f>
        <v>9.5629575590484104E-3</v>
      </c>
      <c r="M1123" s="559">
        <f>'Progetto del paramento slu'!$G$60*(sezione!$AN$31-C1123)/C1123</f>
        <v>1.9142459769017243E-2</v>
      </c>
      <c r="N1123" s="559">
        <f>'Progetto del paramento slu'!$G$60*(sezione!$AO$31-C1123)/C1123</f>
        <v>2.6109370467176395E-2</v>
      </c>
      <c r="O1123" s="559">
        <f>'Progetto del paramento slu'!$G$60*(sezione!$AP$31-C1123)/C1123</f>
        <v>1.9142807277183069E-2</v>
      </c>
      <c r="P1123" s="553">
        <f>-'Progetto del paramento slu'!$G$47*'Progetto del paramento slu'!$G$41*IF(DATI!$G$218="dx",DATI!$E$61,DATI!$E$64*DATI!$E$63)*1000*C1123*sezione!$AD$5</f>
        <v>-566513.53390289121</v>
      </c>
      <c r="Q1123" s="553">
        <f>'Foglio deposito bis'!$F$58*IF(ABS(K1123)&lt;'Progetto del paramento slu'!$G$58,ABS(K1123)*'Progetto del paramento slu'!$G$54,'Progetto del paramento slu'!$G$53)*IF(K1123&lt;0,-1,1)</f>
        <v>0</v>
      </c>
      <c r="R1123" s="553">
        <f>'Foglio deposito bis'!$F$59*IF(ABS(L1123)&lt;'Progetto del paramento slu'!$G$58,ABS(L1123)*'Progetto del paramento slu'!$G$54,'Progetto del paramento slu'!$G$53)*IF(L1123&lt;0,-1,1)</f>
        <v>153664.85805602249</v>
      </c>
      <c r="S1123" s="553">
        <f>'Foglio deposito bis'!$F$60*IF(ABS(M1123)&lt;'Progetto del paramento slu'!$G$58,ABS(M1123)*'Progetto del paramento slu'!$G$54,'Progetto del paramento slu'!$G$53)*IF(M1123&lt;0,-1,1)</f>
        <v>0</v>
      </c>
      <c r="T1123" s="553">
        <f>'Foglio deposito bis'!$F$61*IF(ABS(N1123)&lt;'Progetto del paramento slu'!$G$58,ABS(N1123)*'Progetto del paramento slu'!$G$54,'Progetto del paramento slu'!$G$53)*IF(N1123&lt;0,-1,1)</f>
        <v>240946.49743184328</v>
      </c>
      <c r="U1123" s="553">
        <f>'Foglio deposito bis'!$F$62*IF(ABS(O1123)&lt;'Progetto del paramento slu'!$G$58,ABS(O1123)*'Progetto del paramento slu'!$G$54,'Progetto del paramento slu'!$G$53)*IF(O1123&lt;0,-1,1)</f>
        <v>314705.62929873407</v>
      </c>
      <c r="V1123" s="479">
        <f t="shared" si="82"/>
        <v>142803.45088370863</v>
      </c>
      <c r="W1123" s="559"/>
      <c r="X1123" s="559"/>
    </row>
    <row r="1124" spans="1:24" x14ac:dyDescent="0.25">
      <c r="A1124" s="553">
        <f t="shared" si="81"/>
        <v>131358.73302708459</v>
      </c>
      <c r="B1124" s="3">
        <f t="shared" si="84"/>
        <v>10.099999999999985</v>
      </c>
      <c r="C1124" s="553">
        <f>'Foglio deposito bis'!$E$157/sezione!$B$247*B1124</f>
        <v>41.001898550536026</v>
      </c>
      <c r="D1124" s="611">
        <f>-'Progetto del paramento slu'!$G$47*'Progetto del paramento slu'!$G$41*IF(DATI!$G$218="dx",DATI!$E$61,DATI!$E$64*DATI!$E$63)*1000*C1124^2*sezione!$AD$5*(1-sezione!$AD$6)</f>
        <v>-13839273.193371864</v>
      </c>
      <c r="E1124" s="553">
        <f>-'Foglio deposito bis'!$F$58*(C1124-sezione!$AL$31)*IF(ABS(K1124)&lt;'Progetto del paramento slu'!$G$58,ABS(K1124)*'Progetto del paramento slu'!$G$54,'Progetto del paramento slu'!$G$53)</f>
        <v>0</v>
      </c>
      <c r="F1124" s="553">
        <f>-'Foglio deposito bis'!$F$59*(C1124-sezione!$AM$31)*IF(ABS(L1124)&lt;'Progetto del paramento slu'!$G$58,ABS(L1124)*'Progetto del paramento slu'!$G$54,'Progetto del paramento slu'!$G$53)</f>
        <v>16749177.787607821</v>
      </c>
      <c r="G1124" s="553">
        <f>-'Foglio deposito bis'!$F$60*(C1124-sezione!$AN$31)*IF(ABS(M1124)&lt;'Progetto del paramento slu'!$G$58,ABS(M1124)*'Progetto del paramento slu'!$G$54,'Progetto del paramento slu'!$G$53)</f>
        <v>0</v>
      </c>
      <c r="H1124" s="553">
        <f>-'Foglio deposito bis'!$F$61*(C1124-sezione!$AO$31)*IF(ABS(N1124)&lt;'Progetto del paramento slu'!$G$58,ABS(N1124)*'Progetto del paramento slu'!$G$54,'Progetto del paramento slu'!$G$53)</f>
        <v>72042545.283019304</v>
      </c>
      <c r="I1124" s="479">
        <f>-'Foglio deposito bis'!$F$62*(C1124-sezione!$AP$31)*IF(ABS(O1124)&lt;'Progetto del paramento slu'!$G$58,ABS(O1124)*'Progetto del paramento slu'!$G$54,'Progetto del paramento slu'!$G$53)</f>
        <v>68921191.12838307</v>
      </c>
      <c r="J1124" s="479">
        <f t="shared" si="80"/>
        <v>143873641.00563833</v>
      </c>
      <c r="K1124" s="558">
        <f>'Progetto del paramento slu'!$G$60*(sezione!$AL$31-C1124)/C1124</f>
        <v>-8.5523964763584072E-5</v>
      </c>
      <c r="L1124" s="558">
        <f>'Progetto del paramento slu'!$G$60*(sezione!$AM$31-C1124)/C1124</f>
        <v>9.3042851321365611E-3</v>
      </c>
      <c r="M1124" s="559">
        <f>'Progetto del paramento slu'!$G$60*(sezione!$AN$31-C1124)/C1124</f>
        <v>1.8694094229036704E-2</v>
      </c>
      <c r="N1124" s="559">
        <f>'Progetto del paramento slu'!$G$60*(sezione!$AO$31-C1124)/C1124</f>
        <v>2.5523046299509539E-2</v>
      </c>
      <c r="O1124" s="559">
        <f>'Progetto del paramento slu'!$G$60*(sezione!$AP$31-C1124)/C1124</f>
        <v>1.8694434855852711E-2</v>
      </c>
      <c r="P1124" s="553">
        <f>-'Progetto del paramento slu'!$G$47*'Progetto del paramento slu'!$G$41*IF(DATI!$G$218="dx",DATI!$E$61,DATI!$E$64*DATI!$E$63)*1000*C1124*sezione!$AD$5</f>
        <v>-577958.25175951526</v>
      </c>
      <c r="Q1124" s="553">
        <f>'Foglio deposito bis'!$F$58*IF(ABS(K1124)&lt;'Progetto del paramento slu'!$G$58,ABS(K1124)*'Progetto del paramento slu'!$G$54,'Progetto del paramento slu'!$G$53)*IF(K1124&lt;0,-1,1)</f>
        <v>0</v>
      </c>
      <c r="R1124" s="553">
        <f>'Foglio deposito bis'!$F$59*IF(ABS(L1124)&lt;'Progetto del paramento slu'!$G$58,ABS(L1124)*'Progetto del paramento slu'!$G$54,'Progetto del paramento slu'!$G$53)*IF(L1124&lt;0,-1,1)</f>
        <v>153664.85805602249</v>
      </c>
      <c r="S1124" s="553">
        <f>'Foglio deposito bis'!$F$60*IF(ABS(M1124)&lt;'Progetto del paramento slu'!$G$58,ABS(M1124)*'Progetto del paramento slu'!$G$54,'Progetto del paramento slu'!$G$53)*IF(M1124&lt;0,-1,1)</f>
        <v>0</v>
      </c>
      <c r="T1124" s="553">
        <f>'Foglio deposito bis'!$F$61*IF(ABS(N1124)&lt;'Progetto del paramento slu'!$G$58,ABS(N1124)*'Progetto del paramento slu'!$G$54,'Progetto del paramento slu'!$G$53)*IF(N1124&lt;0,-1,1)</f>
        <v>240946.49743184328</v>
      </c>
      <c r="U1124" s="553">
        <f>'Foglio deposito bis'!$F$62*IF(ABS(O1124)&lt;'Progetto del paramento slu'!$G$58,ABS(O1124)*'Progetto del paramento slu'!$G$54,'Progetto del paramento slu'!$G$53)*IF(O1124&lt;0,-1,1)</f>
        <v>314705.62929873407</v>
      </c>
      <c r="V1124" s="479">
        <f t="shared" si="82"/>
        <v>131358.73302708459</v>
      </c>
      <c r="W1124" s="559"/>
      <c r="X1124" s="559"/>
    </row>
    <row r="1125" spans="1:24" x14ac:dyDescent="0.25">
      <c r="A1125" s="553">
        <f t="shared" si="81"/>
        <v>119914.01517046054</v>
      </c>
      <c r="B1125" s="3">
        <f t="shared" si="84"/>
        <v>10.299999999999985</v>
      </c>
      <c r="C1125" s="553">
        <f>'Foglio deposito bis'!$E$157/sezione!$B$247*B1125</f>
        <v>41.813817333714958</v>
      </c>
      <c r="D1125" s="611">
        <f>-'Progetto del paramento slu'!$G$47*'Progetto del paramento slu'!$G$41*IF(DATI!$G$218="dx",DATI!$E$61,DATI!$E$64*DATI!$E$63)*1000*C1125^2*sezione!$AD$5*(1-sezione!$AD$6)</f>
        <v>-14392789.854767384</v>
      </c>
      <c r="E1125" s="553">
        <f>-'Foglio deposito bis'!$F$58*(C1125-sezione!$AL$31)*IF(ABS(K1125)&lt;'Progetto del paramento slu'!$G$58,ABS(K1125)*'Progetto del paramento slu'!$G$54,'Progetto del paramento slu'!$G$53)</f>
        <v>0</v>
      </c>
      <c r="F1125" s="553">
        <f>-'Foglio deposito bis'!$F$59*(C1125-sezione!$AM$31)*IF(ABS(L1125)&lt;'Progetto del paramento slu'!$G$58,ABS(L1125)*'Progetto del paramento slu'!$G$54,'Progetto del paramento slu'!$G$53)</f>
        <v>16624414.403037613</v>
      </c>
      <c r="G1125" s="553">
        <f>-'Foglio deposito bis'!$F$60*(C1125-sezione!$AN$31)*IF(ABS(M1125)&lt;'Progetto del paramento slu'!$G$58,ABS(M1125)*'Progetto del paramento slu'!$G$54,'Progetto del paramento slu'!$G$53)</f>
        <v>0</v>
      </c>
      <c r="H1125" s="553">
        <f>-'Foglio deposito bis'!$F$61*(C1125-sezione!$AO$31)*IF(ABS(N1125)&lt;'Progetto del paramento slu'!$G$58,ABS(N1125)*'Progetto del paramento slu'!$G$54,'Progetto del paramento slu'!$G$53)</f>
        <v>71846916.296013206</v>
      </c>
      <c r="I1125" s="479">
        <f>-'Foglio deposito bis'!$F$62*(C1125-sezione!$AP$31)*IF(ABS(O1125)&lt;'Progetto del paramento slu'!$G$58,ABS(O1125)*'Progetto del paramento slu'!$G$54,'Progetto del paramento slu'!$G$53)</f>
        <v>68665675.716783285</v>
      </c>
      <c r="J1125" s="479">
        <f t="shared" ref="J1125:J1188" si="85">D1125+E1125+F1125+G1125+H1125+I1125</f>
        <v>142744216.56106672</v>
      </c>
      <c r="K1125" s="558">
        <f>'Progetto del paramento slu'!$G$60*(sezione!$AL$31-C1125)/C1125</f>
        <v>-1.5182447030215532E-4</v>
      </c>
      <c r="L1125" s="558">
        <f>'Progetto del paramento slu'!$G$60*(sezione!$AM$31-C1125)/C1125</f>
        <v>9.0556582363669185E-3</v>
      </c>
      <c r="M1125" s="559">
        <f>'Progetto del paramento slu'!$G$60*(sezione!$AN$31-C1125)/C1125</f>
        <v>1.826314094303599E-2</v>
      </c>
      <c r="N1125" s="559">
        <f>'Progetto del paramento slu'!$G$60*(sezione!$AO$31-C1125)/C1125</f>
        <v>2.495949200243168E-2</v>
      </c>
      <c r="O1125" s="559">
        <f>'Progetto del paramento slu'!$G$60*(sezione!$AP$31-C1125)/C1125</f>
        <v>1.8263474955739066E-2</v>
      </c>
      <c r="P1125" s="553">
        <f>-'Progetto del paramento slu'!$G$47*'Progetto del paramento slu'!$G$41*IF(DATI!$G$218="dx",DATI!$E$61,DATI!$E$64*DATI!$E$63)*1000*C1125*sezione!$AD$5</f>
        <v>-589402.96961613931</v>
      </c>
      <c r="Q1125" s="553">
        <f>'Foglio deposito bis'!$F$58*IF(ABS(K1125)&lt;'Progetto del paramento slu'!$G$58,ABS(K1125)*'Progetto del paramento slu'!$G$54,'Progetto del paramento slu'!$G$53)*IF(K1125&lt;0,-1,1)</f>
        <v>0</v>
      </c>
      <c r="R1125" s="553">
        <f>'Foglio deposito bis'!$F$59*IF(ABS(L1125)&lt;'Progetto del paramento slu'!$G$58,ABS(L1125)*'Progetto del paramento slu'!$G$54,'Progetto del paramento slu'!$G$53)*IF(L1125&lt;0,-1,1)</f>
        <v>153664.85805602249</v>
      </c>
      <c r="S1125" s="553">
        <f>'Foglio deposito bis'!$F$60*IF(ABS(M1125)&lt;'Progetto del paramento slu'!$G$58,ABS(M1125)*'Progetto del paramento slu'!$G$54,'Progetto del paramento slu'!$G$53)*IF(M1125&lt;0,-1,1)</f>
        <v>0</v>
      </c>
      <c r="T1125" s="553">
        <f>'Foglio deposito bis'!$F$61*IF(ABS(N1125)&lt;'Progetto del paramento slu'!$G$58,ABS(N1125)*'Progetto del paramento slu'!$G$54,'Progetto del paramento slu'!$G$53)*IF(N1125&lt;0,-1,1)</f>
        <v>240946.49743184328</v>
      </c>
      <c r="U1125" s="553">
        <f>'Foglio deposito bis'!$F$62*IF(ABS(O1125)&lt;'Progetto del paramento slu'!$G$58,ABS(O1125)*'Progetto del paramento slu'!$G$54,'Progetto del paramento slu'!$G$53)*IF(O1125&lt;0,-1,1)</f>
        <v>314705.62929873407</v>
      </c>
      <c r="V1125" s="479">
        <f t="shared" si="82"/>
        <v>119914.01517046054</v>
      </c>
      <c r="W1125" s="559"/>
      <c r="X1125" s="559"/>
    </row>
    <row r="1126" spans="1:24" x14ac:dyDescent="0.25">
      <c r="A1126" s="553">
        <f t="shared" ref="A1126:A1189" si="86">ABS(V1126)</f>
        <v>108469.29731383661</v>
      </c>
      <c r="B1126" s="3">
        <f t="shared" si="84"/>
        <v>10.499999999999984</v>
      </c>
      <c r="C1126" s="553">
        <f>'Foglio deposito bis'!$E$157/sezione!$B$247*B1126</f>
        <v>42.625736116893883</v>
      </c>
      <c r="D1126" s="611">
        <f>-'Progetto del paramento slu'!$G$47*'Progetto del paramento slu'!$G$41*IF(DATI!$G$218="dx",DATI!$E$61,DATI!$E$64*DATI!$E$63)*1000*C1126^2*sezione!$AD$5*(1-sezione!$AD$6)</f>
        <v>-14957159.784033403</v>
      </c>
      <c r="E1126" s="553">
        <f>-'Foglio deposito bis'!$F$58*(C1126-sezione!$AL$31)*IF(ABS(K1126)&lt;'Progetto del paramento slu'!$G$58,ABS(K1126)*'Progetto del paramento slu'!$G$54,'Progetto del paramento slu'!$G$53)</f>
        <v>0</v>
      </c>
      <c r="F1126" s="553">
        <f>-'Foglio deposito bis'!$F$59*(C1126-sezione!$AM$31)*IF(ABS(L1126)&lt;'Progetto del paramento slu'!$G$58,ABS(L1126)*'Progetto del paramento slu'!$G$54,'Progetto del paramento slu'!$G$53)</f>
        <v>16499651.018467406</v>
      </c>
      <c r="G1126" s="553">
        <f>-'Foglio deposito bis'!$F$60*(C1126-sezione!$AN$31)*IF(ABS(M1126)&lt;'Progetto del paramento slu'!$G$58,ABS(M1126)*'Progetto del paramento slu'!$G$54,'Progetto del paramento slu'!$G$53)</f>
        <v>0</v>
      </c>
      <c r="H1126" s="553">
        <f>-'Foglio deposito bis'!$F$61*(C1126-sezione!$AO$31)*IF(ABS(N1126)&lt;'Progetto del paramento slu'!$G$58,ABS(N1126)*'Progetto del paramento slu'!$G$54,'Progetto del paramento slu'!$G$53)</f>
        <v>71651287.309007108</v>
      </c>
      <c r="I1126" s="479">
        <f>-'Foglio deposito bis'!$F$62*(C1126-sezione!$AP$31)*IF(ABS(O1126)&lt;'Progetto del paramento slu'!$G$58,ABS(O1126)*'Progetto del paramento slu'!$G$54,'Progetto del paramento slu'!$G$53)</f>
        <v>68410160.3051835</v>
      </c>
      <c r="J1126" s="479">
        <f t="shared" si="85"/>
        <v>141603938.84862462</v>
      </c>
      <c r="K1126" s="558">
        <f>'Progetto del paramento slu'!$G$60*(sezione!$AL$31-C1126)/C1126</f>
        <v>-2.1559924229639949E-4</v>
      </c>
      <c r="L1126" s="558">
        <f>'Progetto del paramento slu'!$G$60*(sezione!$AM$31-C1126)/C1126</f>
        <v>8.8165028413885026E-3</v>
      </c>
      <c r="M1126" s="559">
        <f>'Progetto del paramento slu'!$G$60*(sezione!$AN$31-C1126)/C1126</f>
        <v>1.7848604925073404E-2</v>
      </c>
      <c r="N1126" s="559">
        <f>'Progetto del paramento slu'!$G$60*(sezione!$AO$31-C1126)/C1126</f>
        <v>2.4417406440480606E-2</v>
      </c>
      <c r="O1126" s="559">
        <f>'Progetto del paramento slu'!$G$60*(sezione!$AP$31-C1126)/C1126</f>
        <v>1.7848932575629754E-2</v>
      </c>
      <c r="P1126" s="553">
        <f>-'Progetto del paramento slu'!$G$47*'Progetto del paramento slu'!$G$41*IF(DATI!$G$218="dx",DATI!$E$61,DATI!$E$64*DATI!$E$63)*1000*C1126*sezione!$AD$5</f>
        <v>-600847.68747276324</v>
      </c>
      <c r="Q1126" s="553">
        <f>'Foglio deposito bis'!$F$58*IF(ABS(K1126)&lt;'Progetto del paramento slu'!$G$58,ABS(K1126)*'Progetto del paramento slu'!$G$54,'Progetto del paramento slu'!$G$53)*IF(K1126&lt;0,-1,1)</f>
        <v>0</v>
      </c>
      <c r="R1126" s="553">
        <f>'Foglio deposito bis'!$F$59*IF(ABS(L1126)&lt;'Progetto del paramento slu'!$G$58,ABS(L1126)*'Progetto del paramento slu'!$G$54,'Progetto del paramento slu'!$G$53)*IF(L1126&lt;0,-1,1)</f>
        <v>153664.85805602249</v>
      </c>
      <c r="S1126" s="553">
        <f>'Foglio deposito bis'!$F$60*IF(ABS(M1126)&lt;'Progetto del paramento slu'!$G$58,ABS(M1126)*'Progetto del paramento slu'!$G$54,'Progetto del paramento slu'!$G$53)*IF(M1126&lt;0,-1,1)</f>
        <v>0</v>
      </c>
      <c r="T1126" s="553">
        <f>'Foglio deposito bis'!$F$61*IF(ABS(N1126)&lt;'Progetto del paramento slu'!$G$58,ABS(N1126)*'Progetto del paramento slu'!$G$54,'Progetto del paramento slu'!$G$53)*IF(N1126&lt;0,-1,1)</f>
        <v>240946.49743184328</v>
      </c>
      <c r="U1126" s="553">
        <f>'Foglio deposito bis'!$F$62*IF(ABS(O1126)&lt;'Progetto del paramento slu'!$G$58,ABS(O1126)*'Progetto del paramento slu'!$G$54,'Progetto del paramento slu'!$G$53)*IF(O1126&lt;0,-1,1)</f>
        <v>314705.62929873407</v>
      </c>
      <c r="V1126" s="479">
        <f t="shared" ref="V1126:V1189" si="87">P1126+Q1126+R1126+S1126+T1126+U1126</f>
        <v>108469.29731383661</v>
      </c>
      <c r="W1126" s="559"/>
      <c r="X1126" s="559"/>
    </row>
    <row r="1127" spans="1:24" x14ac:dyDescent="0.25">
      <c r="A1127" s="553">
        <f t="shared" si="86"/>
        <v>97024.579457212443</v>
      </c>
      <c r="B1127" s="3">
        <f t="shared" si="84"/>
        <v>10.699999999999983</v>
      </c>
      <c r="C1127" s="553">
        <f>'Foglio deposito bis'!$E$157/sezione!$B$247*B1127</f>
        <v>43.437654900072815</v>
      </c>
      <c r="D1127" s="611">
        <f>-'Progetto del paramento slu'!$G$47*'Progetto del paramento slu'!$G$41*IF(DATI!$G$218="dx",DATI!$E$61,DATI!$E$64*DATI!$E$63)*1000*C1127^2*sezione!$AD$5*(1-sezione!$AD$6)</f>
        <v>-15532382.981169926</v>
      </c>
      <c r="E1127" s="553">
        <f>-'Foglio deposito bis'!$F$58*(C1127-sezione!$AL$31)*IF(ABS(K1127)&lt;'Progetto del paramento slu'!$G$58,ABS(K1127)*'Progetto del paramento slu'!$G$54,'Progetto del paramento slu'!$G$53)</f>
        <v>0</v>
      </c>
      <c r="F1127" s="553">
        <f>-'Foglio deposito bis'!$F$59*(C1127-sezione!$AM$31)*IF(ABS(L1127)&lt;'Progetto del paramento slu'!$G$58,ABS(L1127)*'Progetto del paramento slu'!$G$54,'Progetto del paramento slu'!$G$53)</f>
        <v>16374887.633897195</v>
      </c>
      <c r="G1127" s="553">
        <f>-'Foglio deposito bis'!$F$60*(C1127-sezione!$AN$31)*IF(ABS(M1127)&lt;'Progetto del paramento slu'!$G$58,ABS(M1127)*'Progetto del paramento slu'!$G$54,'Progetto del paramento slu'!$G$53)</f>
        <v>0</v>
      </c>
      <c r="H1127" s="553">
        <f>-'Foglio deposito bis'!$F$61*(C1127-sezione!$AO$31)*IF(ABS(N1127)&lt;'Progetto del paramento slu'!$G$58,ABS(N1127)*'Progetto del paramento slu'!$G$54,'Progetto del paramento slu'!$G$53)</f>
        <v>71455658.322001025</v>
      </c>
      <c r="I1127" s="479">
        <f>-'Foglio deposito bis'!$F$62*(C1127-sezione!$AP$31)*IF(ABS(O1127)&lt;'Progetto del paramento slu'!$G$58,ABS(O1127)*'Progetto del paramento slu'!$G$54,'Progetto del paramento slu'!$G$53)</f>
        <v>68154644.893583715</v>
      </c>
      <c r="J1127" s="479">
        <f t="shared" si="85"/>
        <v>140452807.868312</v>
      </c>
      <c r="K1127" s="558">
        <f>'Progetto del paramento slu'!$G$60*(sezione!$AL$31-C1127)/C1127</f>
        <v>-2.7698991066469112E-4</v>
      </c>
      <c r="L1127" s="558">
        <f>'Progetto del paramento slu'!$G$60*(sezione!$AM$31-C1127)/C1127</f>
        <v>8.5862878350074084E-3</v>
      </c>
      <c r="M1127" s="559">
        <f>'Progetto del paramento slu'!$G$60*(sezione!$AN$31-C1127)/C1127</f>
        <v>1.7449565580679508E-2</v>
      </c>
      <c r="N1127" s="559">
        <f>'Progetto del paramento slu'!$G$60*(sezione!$AO$31-C1127)/C1127</f>
        <v>2.3895585759350125E-2</v>
      </c>
      <c r="O1127" s="559">
        <f>'Progetto del paramento slu'!$G$60*(sezione!$AP$31-C1127)/C1127</f>
        <v>1.7449887106926396E-2</v>
      </c>
      <c r="P1127" s="553">
        <f>-'Progetto del paramento slu'!$G$47*'Progetto del paramento slu'!$G$41*IF(DATI!$G$218="dx",DATI!$E$61,DATI!$E$64*DATI!$E$63)*1000*C1127*sezione!$AD$5</f>
        <v>-612292.4053293874</v>
      </c>
      <c r="Q1127" s="553">
        <f>'Foglio deposito bis'!$F$58*IF(ABS(K1127)&lt;'Progetto del paramento slu'!$G$58,ABS(K1127)*'Progetto del paramento slu'!$G$54,'Progetto del paramento slu'!$G$53)*IF(K1127&lt;0,-1,1)</f>
        <v>0</v>
      </c>
      <c r="R1127" s="553">
        <f>'Foglio deposito bis'!$F$59*IF(ABS(L1127)&lt;'Progetto del paramento slu'!$G$58,ABS(L1127)*'Progetto del paramento slu'!$G$54,'Progetto del paramento slu'!$G$53)*IF(L1127&lt;0,-1,1)</f>
        <v>153664.85805602249</v>
      </c>
      <c r="S1127" s="553">
        <f>'Foglio deposito bis'!$F$60*IF(ABS(M1127)&lt;'Progetto del paramento slu'!$G$58,ABS(M1127)*'Progetto del paramento slu'!$G$54,'Progetto del paramento slu'!$G$53)*IF(M1127&lt;0,-1,1)</f>
        <v>0</v>
      </c>
      <c r="T1127" s="553">
        <f>'Foglio deposito bis'!$F$61*IF(ABS(N1127)&lt;'Progetto del paramento slu'!$G$58,ABS(N1127)*'Progetto del paramento slu'!$G$54,'Progetto del paramento slu'!$G$53)*IF(N1127&lt;0,-1,1)</f>
        <v>240946.49743184328</v>
      </c>
      <c r="U1127" s="553">
        <f>'Foglio deposito bis'!$F$62*IF(ABS(O1127)&lt;'Progetto del paramento slu'!$G$58,ABS(O1127)*'Progetto del paramento slu'!$G$54,'Progetto del paramento slu'!$G$53)*IF(O1127&lt;0,-1,1)</f>
        <v>314705.62929873407</v>
      </c>
      <c r="V1127" s="479">
        <f t="shared" si="87"/>
        <v>97024.579457212443</v>
      </c>
      <c r="W1127" s="559"/>
      <c r="X1127" s="559"/>
    </row>
    <row r="1128" spans="1:24" x14ac:dyDescent="0.25">
      <c r="A1128" s="553">
        <f t="shared" si="86"/>
        <v>85579.861600588396</v>
      </c>
      <c r="B1128" s="3">
        <f t="shared" si="84"/>
        <v>10.899999999999983</v>
      </c>
      <c r="C1128" s="553">
        <f>'Foglio deposito bis'!$E$157/sezione!$B$247*B1128</f>
        <v>44.249573683251747</v>
      </c>
      <c r="D1128" s="611">
        <f>-'Progetto del paramento slu'!$G$47*'Progetto del paramento slu'!$G$41*IF(DATI!$G$218="dx",DATI!$E$61,DATI!$E$64*DATI!$E$63)*1000*C1128^2*sezione!$AD$5*(1-sezione!$AD$6)</f>
        <v>-16118459.446176952</v>
      </c>
      <c r="E1128" s="553">
        <f>-'Foglio deposito bis'!$F$58*(C1128-sezione!$AL$31)*IF(ABS(K1128)&lt;'Progetto del paramento slu'!$G$58,ABS(K1128)*'Progetto del paramento slu'!$G$54,'Progetto del paramento slu'!$G$53)</f>
        <v>0</v>
      </c>
      <c r="F1128" s="553">
        <f>-'Foglio deposito bis'!$F$59*(C1128-sezione!$AM$31)*IF(ABS(L1128)&lt;'Progetto del paramento slu'!$G$58,ABS(L1128)*'Progetto del paramento slu'!$G$54,'Progetto del paramento slu'!$G$53)</f>
        <v>16250124.249326985</v>
      </c>
      <c r="G1128" s="553">
        <f>-'Foglio deposito bis'!$F$60*(C1128-sezione!$AN$31)*IF(ABS(M1128)&lt;'Progetto del paramento slu'!$G$58,ABS(M1128)*'Progetto del paramento slu'!$G$54,'Progetto del paramento slu'!$G$53)</f>
        <v>0</v>
      </c>
      <c r="H1128" s="553">
        <f>-'Foglio deposito bis'!$F$61*(C1128-sezione!$AO$31)*IF(ABS(N1128)&lt;'Progetto del paramento slu'!$G$58,ABS(N1128)*'Progetto del paramento slu'!$G$54,'Progetto del paramento slu'!$G$53)</f>
        <v>71260029.334994942</v>
      </c>
      <c r="I1128" s="479">
        <f>-'Foglio deposito bis'!$F$62*(C1128-sezione!$AP$31)*IF(ABS(O1128)&lt;'Progetto del paramento slu'!$G$58,ABS(O1128)*'Progetto del paramento slu'!$G$54,'Progetto del paramento slu'!$G$53)</f>
        <v>67899129.481983915</v>
      </c>
      <c r="J1128" s="479">
        <f t="shared" si="85"/>
        <v>139290823.62012887</v>
      </c>
      <c r="K1128" s="558">
        <f>'Progetto del paramento slu'!$G$60*(sezione!$AL$31-C1128)/C1128</f>
        <v>-3.361277104690088E-4</v>
      </c>
      <c r="L1128" s="558">
        <f>'Progetto del paramento slu'!$G$60*(sezione!$AM$31-C1128)/C1128</f>
        <v>8.364521085741216E-3</v>
      </c>
      <c r="M1128" s="559">
        <f>'Progetto del paramento slu'!$G$60*(sezione!$AN$31-C1128)/C1128</f>
        <v>1.7065169881951444E-2</v>
      </c>
      <c r="N1128" s="559">
        <f>'Progetto del paramento slu'!$G$60*(sezione!$AO$31-C1128)/C1128</f>
        <v>2.3392914461013426E-2</v>
      </c>
      <c r="O1128" s="559">
        <f>'Progetto del paramento slu'!$G$60*(sezione!$AP$31-C1128)/C1128</f>
        <v>1.7065485508634164E-2</v>
      </c>
      <c r="P1128" s="553">
        <f>-'Progetto del paramento slu'!$G$47*'Progetto del paramento slu'!$G$41*IF(DATI!$G$218="dx",DATI!$E$61,DATI!$E$64*DATI!$E$63)*1000*C1128*sezione!$AD$5</f>
        <v>-623737.12318601145</v>
      </c>
      <c r="Q1128" s="553">
        <f>'Foglio deposito bis'!$F$58*IF(ABS(K1128)&lt;'Progetto del paramento slu'!$G$58,ABS(K1128)*'Progetto del paramento slu'!$G$54,'Progetto del paramento slu'!$G$53)*IF(K1128&lt;0,-1,1)</f>
        <v>0</v>
      </c>
      <c r="R1128" s="553">
        <f>'Foglio deposito bis'!$F$59*IF(ABS(L1128)&lt;'Progetto del paramento slu'!$G$58,ABS(L1128)*'Progetto del paramento slu'!$G$54,'Progetto del paramento slu'!$G$53)*IF(L1128&lt;0,-1,1)</f>
        <v>153664.85805602249</v>
      </c>
      <c r="S1128" s="553">
        <f>'Foglio deposito bis'!$F$60*IF(ABS(M1128)&lt;'Progetto del paramento slu'!$G$58,ABS(M1128)*'Progetto del paramento slu'!$G$54,'Progetto del paramento slu'!$G$53)*IF(M1128&lt;0,-1,1)</f>
        <v>0</v>
      </c>
      <c r="T1128" s="553">
        <f>'Foglio deposito bis'!$F$61*IF(ABS(N1128)&lt;'Progetto del paramento slu'!$G$58,ABS(N1128)*'Progetto del paramento slu'!$G$54,'Progetto del paramento slu'!$G$53)*IF(N1128&lt;0,-1,1)</f>
        <v>240946.49743184328</v>
      </c>
      <c r="U1128" s="553">
        <f>'Foglio deposito bis'!$F$62*IF(ABS(O1128)&lt;'Progetto del paramento slu'!$G$58,ABS(O1128)*'Progetto del paramento slu'!$G$54,'Progetto del paramento slu'!$G$53)*IF(O1128&lt;0,-1,1)</f>
        <v>314705.62929873407</v>
      </c>
      <c r="V1128" s="479">
        <f t="shared" si="87"/>
        <v>85579.861600588396</v>
      </c>
      <c r="W1128" s="559"/>
      <c r="X1128" s="559"/>
    </row>
    <row r="1129" spans="1:24" x14ac:dyDescent="0.25">
      <c r="A1129" s="553">
        <f t="shared" si="86"/>
        <v>74135.143743964349</v>
      </c>
      <c r="B1129" s="3">
        <f t="shared" si="84"/>
        <v>11.099999999999982</v>
      </c>
      <c r="C1129" s="553">
        <f>'Foglio deposito bis'!$E$157/sezione!$B$247*B1129</f>
        <v>45.061492466430671</v>
      </c>
      <c r="D1129" s="611">
        <f>-'Progetto del paramento slu'!$G$47*'Progetto del paramento slu'!$G$41*IF(DATI!$G$218="dx",DATI!$E$61,DATI!$E$64*DATI!$E$63)*1000*C1129^2*sezione!$AD$5*(1-sezione!$AD$6)</f>
        <v>-16715389.179054471</v>
      </c>
      <c r="E1129" s="553">
        <f>-'Foglio deposito bis'!$F$58*(C1129-sezione!$AL$31)*IF(ABS(K1129)&lt;'Progetto del paramento slu'!$G$58,ABS(K1129)*'Progetto del paramento slu'!$G$54,'Progetto del paramento slu'!$G$53)</f>
        <v>0</v>
      </c>
      <c r="F1129" s="553">
        <f>-'Foglio deposito bis'!$F$59*(C1129-sezione!$AM$31)*IF(ABS(L1129)&lt;'Progetto del paramento slu'!$G$58,ABS(L1129)*'Progetto del paramento slu'!$G$54,'Progetto del paramento slu'!$G$53)</f>
        <v>16125360.864756778</v>
      </c>
      <c r="G1129" s="553">
        <f>-'Foglio deposito bis'!$F$60*(C1129-sezione!$AN$31)*IF(ABS(M1129)&lt;'Progetto del paramento slu'!$G$58,ABS(M1129)*'Progetto del paramento slu'!$G$54,'Progetto del paramento slu'!$G$53)</f>
        <v>0</v>
      </c>
      <c r="H1129" s="553">
        <f>-'Foglio deposito bis'!$F$61*(C1129-sezione!$AO$31)*IF(ABS(N1129)&lt;'Progetto del paramento slu'!$G$58,ABS(N1129)*'Progetto del paramento slu'!$G$54,'Progetto del paramento slu'!$G$53)</f>
        <v>71064400.347988859</v>
      </c>
      <c r="I1129" s="479">
        <f>-'Foglio deposito bis'!$F$62*(C1129-sezione!$AP$31)*IF(ABS(O1129)&lt;'Progetto del paramento slu'!$G$58,ABS(O1129)*'Progetto del paramento slu'!$G$54,'Progetto del paramento slu'!$G$53)</f>
        <v>67643614.07038413</v>
      </c>
      <c r="J1129" s="479">
        <f t="shared" si="85"/>
        <v>138117986.10407531</v>
      </c>
      <c r="K1129" s="558">
        <f>'Progetto del paramento slu'!$G$60*(sezione!$AL$31-C1129)/C1129</f>
        <v>-3.9313441838848565E-4</v>
      </c>
      <c r="L1129" s="558">
        <f>'Progetto del paramento slu'!$G$60*(sezione!$AM$31-C1129)/C1129</f>
        <v>8.1507459310431775E-3</v>
      </c>
      <c r="M1129" s="559">
        <f>'Progetto del paramento slu'!$G$60*(sezione!$AN$31-C1129)/C1129</f>
        <v>1.6694626280474845E-2</v>
      </c>
      <c r="N1129" s="559">
        <f>'Progetto del paramento slu'!$G$60*(sezione!$AO$31-C1129)/C1129</f>
        <v>2.2908357443697874E-2</v>
      </c>
      <c r="O1129" s="559">
        <f>'Progetto del paramento slu'!$G$60*(sezione!$AP$31-C1129)/C1129</f>
        <v>1.6694936220190307E-2</v>
      </c>
      <c r="P1129" s="553">
        <f>-'Progetto del paramento slu'!$G$47*'Progetto del paramento slu'!$G$41*IF(DATI!$G$218="dx",DATI!$E$61,DATI!$E$64*DATI!$E$63)*1000*C1129*sezione!$AD$5</f>
        <v>-635181.8410426355</v>
      </c>
      <c r="Q1129" s="553">
        <f>'Foglio deposito bis'!$F$58*IF(ABS(K1129)&lt;'Progetto del paramento slu'!$G$58,ABS(K1129)*'Progetto del paramento slu'!$G$54,'Progetto del paramento slu'!$G$53)*IF(K1129&lt;0,-1,1)</f>
        <v>0</v>
      </c>
      <c r="R1129" s="553">
        <f>'Foglio deposito bis'!$F$59*IF(ABS(L1129)&lt;'Progetto del paramento slu'!$G$58,ABS(L1129)*'Progetto del paramento slu'!$G$54,'Progetto del paramento slu'!$G$53)*IF(L1129&lt;0,-1,1)</f>
        <v>153664.85805602249</v>
      </c>
      <c r="S1129" s="553">
        <f>'Foglio deposito bis'!$F$60*IF(ABS(M1129)&lt;'Progetto del paramento slu'!$G$58,ABS(M1129)*'Progetto del paramento slu'!$G$54,'Progetto del paramento slu'!$G$53)*IF(M1129&lt;0,-1,1)</f>
        <v>0</v>
      </c>
      <c r="T1129" s="553">
        <f>'Foglio deposito bis'!$F$61*IF(ABS(N1129)&lt;'Progetto del paramento slu'!$G$58,ABS(N1129)*'Progetto del paramento slu'!$G$54,'Progetto del paramento slu'!$G$53)*IF(N1129&lt;0,-1,1)</f>
        <v>240946.49743184328</v>
      </c>
      <c r="U1129" s="553">
        <f>'Foglio deposito bis'!$F$62*IF(ABS(O1129)&lt;'Progetto del paramento slu'!$G$58,ABS(O1129)*'Progetto del paramento slu'!$G$54,'Progetto del paramento slu'!$G$53)*IF(O1129&lt;0,-1,1)</f>
        <v>314705.62929873407</v>
      </c>
      <c r="V1129" s="479">
        <f t="shared" si="87"/>
        <v>74135.143743964349</v>
      </c>
      <c r="W1129" s="559"/>
      <c r="X1129" s="559"/>
    </row>
    <row r="1130" spans="1:24" x14ac:dyDescent="0.25">
      <c r="A1130" s="553">
        <f t="shared" si="86"/>
        <v>62690.425887340301</v>
      </c>
      <c r="B1130" s="3">
        <f t="shared" si="84"/>
        <v>11.299999999999981</v>
      </c>
      <c r="C1130" s="553">
        <f>'Foglio deposito bis'!$E$157/sezione!$B$247*B1130</f>
        <v>45.873411249609603</v>
      </c>
      <c r="D1130" s="611">
        <f>-'Progetto del paramento slu'!$G$47*'Progetto del paramento slu'!$G$41*IF(DATI!$G$218="dx",DATI!$E$61,DATI!$E$64*DATI!$E$63)*1000*C1130^2*sezione!$AD$5*(1-sezione!$AD$6)</f>
        <v>-17323172.179802496</v>
      </c>
      <c r="E1130" s="553">
        <f>-'Foglio deposito bis'!$F$58*(C1130-sezione!$AL$31)*IF(ABS(K1130)&lt;'Progetto del paramento slu'!$G$58,ABS(K1130)*'Progetto del paramento slu'!$G$54,'Progetto del paramento slu'!$G$53)</f>
        <v>0</v>
      </c>
      <c r="F1130" s="553">
        <f>-'Foglio deposito bis'!$F$59*(C1130-sezione!$AM$31)*IF(ABS(L1130)&lt;'Progetto del paramento slu'!$G$58,ABS(L1130)*'Progetto del paramento slu'!$G$54,'Progetto del paramento slu'!$G$53)</f>
        <v>16000597.480186569</v>
      </c>
      <c r="G1130" s="553">
        <f>-'Foglio deposito bis'!$F$60*(C1130-sezione!$AN$31)*IF(ABS(M1130)&lt;'Progetto del paramento slu'!$G$58,ABS(M1130)*'Progetto del paramento slu'!$G$54,'Progetto del paramento slu'!$G$53)</f>
        <v>0</v>
      </c>
      <c r="H1130" s="553">
        <f>-'Foglio deposito bis'!$F$61*(C1130-sezione!$AO$31)*IF(ABS(N1130)&lt;'Progetto del paramento slu'!$G$58,ABS(N1130)*'Progetto del paramento slu'!$G$54,'Progetto del paramento slu'!$G$53)</f>
        <v>70868771.360982761</v>
      </c>
      <c r="I1130" s="479">
        <f>-'Foglio deposito bis'!$F$62*(C1130-sezione!$AP$31)*IF(ABS(O1130)&lt;'Progetto del paramento slu'!$G$58,ABS(O1130)*'Progetto del paramento slu'!$G$54,'Progetto del paramento slu'!$G$53)</f>
        <v>67388098.658784345</v>
      </c>
      <c r="J1130" s="479">
        <f t="shared" si="85"/>
        <v>136934295.32015118</v>
      </c>
      <c r="K1130" s="558">
        <f>'Progetto del paramento slu'!$G$60*(sezione!$AL$31-C1130)/C1130</f>
        <v>-4.4812318974444171E-4</v>
      </c>
      <c r="L1130" s="558">
        <f>'Progetto del paramento slu'!$G$60*(sezione!$AM$31-C1130)/C1130</f>
        <v>7.9445380384583434E-3</v>
      </c>
      <c r="M1130" s="559">
        <f>'Progetto del paramento slu'!$G$60*(sezione!$AN$31-C1130)/C1130</f>
        <v>1.6337199266661131E-2</v>
      </c>
      <c r="N1130" s="559">
        <f>'Progetto del paramento slu'!$G$60*(sezione!$AO$31-C1130)/C1130</f>
        <v>2.2440952887172249E-2</v>
      </c>
      <c r="O1130" s="559">
        <f>'Progetto del paramento slu'!$G$60*(sezione!$AP$31-C1130)/C1130</f>
        <v>1.6337503720717916E-2</v>
      </c>
      <c r="P1130" s="553">
        <f>-'Progetto del paramento slu'!$G$47*'Progetto del paramento slu'!$G$41*IF(DATI!$G$218="dx",DATI!$E$61,DATI!$E$64*DATI!$E$63)*1000*C1130*sezione!$AD$5</f>
        <v>-646626.55889925954</v>
      </c>
      <c r="Q1130" s="553">
        <f>'Foglio deposito bis'!$F$58*IF(ABS(K1130)&lt;'Progetto del paramento slu'!$G$58,ABS(K1130)*'Progetto del paramento slu'!$G$54,'Progetto del paramento slu'!$G$53)*IF(K1130&lt;0,-1,1)</f>
        <v>0</v>
      </c>
      <c r="R1130" s="553">
        <f>'Foglio deposito bis'!$F$59*IF(ABS(L1130)&lt;'Progetto del paramento slu'!$G$58,ABS(L1130)*'Progetto del paramento slu'!$G$54,'Progetto del paramento slu'!$G$53)*IF(L1130&lt;0,-1,1)</f>
        <v>153664.85805602249</v>
      </c>
      <c r="S1130" s="553">
        <f>'Foglio deposito bis'!$F$60*IF(ABS(M1130)&lt;'Progetto del paramento slu'!$G$58,ABS(M1130)*'Progetto del paramento slu'!$G$54,'Progetto del paramento slu'!$G$53)*IF(M1130&lt;0,-1,1)</f>
        <v>0</v>
      </c>
      <c r="T1130" s="553">
        <f>'Foglio deposito bis'!$F$61*IF(ABS(N1130)&lt;'Progetto del paramento slu'!$G$58,ABS(N1130)*'Progetto del paramento slu'!$G$54,'Progetto del paramento slu'!$G$53)*IF(N1130&lt;0,-1,1)</f>
        <v>240946.49743184328</v>
      </c>
      <c r="U1130" s="553">
        <f>'Foglio deposito bis'!$F$62*IF(ABS(O1130)&lt;'Progetto del paramento slu'!$G$58,ABS(O1130)*'Progetto del paramento slu'!$G$54,'Progetto del paramento slu'!$G$53)*IF(O1130&lt;0,-1,1)</f>
        <v>314705.62929873407</v>
      </c>
      <c r="V1130" s="479">
        <f t="shared" si="87"/>
        <v>62690.425887340301</v>
      </c>
      <c r="W1130" s="559"/>
      <c r="X1130" s="559"/>
    </row>
    <row r="1131" spans="1:24" x14ac:dyDescent="0.25">
      <c r="A1131" s="553">
        <f t="shared" si="86"/>
        <v>51245.708030716225</v>
      </c>
      <c r="B1131" s="3">
        <f t="shared" si="84"/>
        <v>11.49999999999998</v>
      </c>
      <c r="C1131" s="553">
        <f>'Foglio deposito bis'!$E$157/sezione!$B$247*B1131</f>
        <v>46.685330032788535</v>
      </c>
      <c r="D1131" s="611">
        <f>-'Progetto del paramento slu'!$G$47*'Progetto del paramento slu'!$G$41*IF(DATI!$G$218="dx",DATI!$E$61,DATI!$E$64*DATI!$E$63)*1000*C1131^2*sezione!$AD$5*(1-sezione!$AD$6)</f>
        <v>-17941808.44842102</v>
      </c>
      <c r="E1131" s="553">
        <f>-'Foglio deposito bis'!$F$58*(C1131-sezione!$AL$31)*IF(ABS(K1131)&lt;'Progetto del paramento slu'!$G$58,ABS(K1131)*'Progetto del paramento slu'!$G$54,'Progetto del paramento slu'!$G$53)</f>
        <v>0</v>
      </c>
      <c r="F1131" s="553">
        <f>-'Foglio deposito bis'!$F$59*(C1131-sezione!$AM$31)*IF(ABS(L1131)&lt;'Progetto del paramento slu'!$G$58,ABS(L1131)*'Progetto del paramento slu'!$G$54,'Progetto del paramento slu'!$G$53)</f>
        <v>15875834.095616363</v>
      </c>
      <c r="G1131" s="553">
        <f>-'Foglio deposito bis'!$F$60*(C1131-sezione!$AN$31)*IF(ABS(M1131)&lt;'Progetto del paramento slu'!$G$58,ABS(M1131)*'Progetto del paramento slu'!$G$54,'Progetto del paramento slu'!$G$53)</f>
        <v>0</v>
      </c>
      <c r="H1131" s="553">
        <f>-'Foglio deposito bis'!$F$61*(C1131-sezione!$AO$31)*IF(ABS(N1131)&lt;'Progetto del paramento slu'!$G$58,ABS(N1131)*'Progetto del paramento slu'!$G$54,'Progetto del paramento slu'!$G$53)</f>
        <v>70673142.373976678</v>
      </c>
      <c r="I1131" s="479">
        <f>-'Foglio deposito bis'!$F$62*(C1131-sezione!$AP$31)*IF(ABS(O1131)&lt;'Progetto del paramento slu'!$G$58,ABS(O1131)*'Progetto del paramento slu'!$G$54,'Progetto del paramento slu'!$G$53)</f>
        <v>67132583.24718456</v>
      </c>
      <c r="J1131" s="479">
        <f t="shared" si="85"/>
        <v>135739751.26835656</v>
      </c>
      <c r="K1131" s="558">
        <f>'Progetto del paramento slu'!$G$60*(sezione!$AL$31-C1131)/C1131</f>
        <v>-5.0119930818366882E-4</v>
      </c>
      <c r="L1131" s="558">
        <f>'Progetto del paramento slu'!$G$60*(sezione!$AM$31-C1131)/C1131</f>
        <v>7.7455025943112422E-3</v>
      </c>
      <c r="M1131" s="559">
        <f>'Progetto del paramento slu'!$G$60*(sezione!$AN$31-C1131)/C1131</f>
        <v>1.5992204496806155E-2</v>
      </c>
      <c r="N1131" s="559">
        <f>'Progetto del paramento slu'!$G$60*(sezione!$AO$31-C1131)/C1131</f>
        <v>2.1989805880438813E-2</v>
      </c>
      <c r="O1131" s="559">
        <f>'Progetto del paramento slu'!$G$60*(sezione!$AP$31-C1131)/C1131</f>
        <v>1.5992503656009776E-2</v>
      </c>
      <c r="P1131" s="553">
        <f>-'Progetto del paramento slu'!$G$47*'Progetto del paramento slu'!$G$41*IF(DATI!$G$218="dx",DATI!$E$61,DATI!$E$64*DATI!$E$63)*1000*C1131*sezione!$AD$5</f>
        <v>-658071.27675588359</v>
      </c>
      <c r="Q1131" s="553">
        <f>'Foglio deposito bis'!$F$58*IF(ABS(K1131)&lt;'Progetto del paramento slu'!$G$58,ABS(K1131)*'Progetto del paramento slu'!$G$54,'Progetto del paramento slu'!$G$53)*IF(K1131&lt;0,-1,1)</f>
        <v>0</v>
      </c>
      <c r="R1131" s="553">
        <f>'Foglio deposito bis'!$F$59*IF(ABS(L1131)&lt;'Progetto del paramento slu'!$G$58,ABS(L1131)*'Progetto del paramento slu'!$G$54,'Progetto del paramento slu'!$G$53)*IF(L1131&lt;0,-1,1)</f>
        <v>153664.85805602249</v>
      </c>
      <c r="S1131" s="553">
        <f>'Foglio deposito bis'!$F$60*IF(ABS(M1131)&lt;'Progetto del paramento slu'!$G$58,ABS(M1131)*'Progetto del paramento slu'!$G$54,'Progetto del paramento slu'!$G$53)*IF(M1131&lt;0,-1,1)</f>
        <v>0</v>
      </c>
      <c r="T1131" s="553">
        <f>'Foglio deposito bis'!$F$61*IF(ABS(N1131)&lt;'Progetto del paramento slu'!$G$58,ABS(N1131)*'Progetto del paramento slu'!$G$54,'Progetto del paramento slu'!$G$53)*IF(N1131&lt;0,-1,1)</f>
        <v>240946.49743184328</v>
      </c>
      <c r="U1131" s="553">
        <f>'Foglio deposito bis'!$F$62*IF(ABS(O1131)&lt;'Progetto del paramento slu'!$G$58,ABS(O1131)*'Progetto del paramento slu'!$G$54,'Progetto del paramento slu'!$G$53)*IF(O1131&lt;0,-1,1)</f>
        <v>314705.62929873407</v>
      </c>
      <c r="V1131" s="479">
        <f t="shared" si="87"/>
        <v>51245.708030716225</v>
      </c>
      <c r="W1131" s="559"/>
      <c r="X1131" s="559"/>
    </row>
    <row r="1132" spans="1:24" x14ac:dyDescent="0.25">
      <c r="A1132" s="553">
        <f t="shared" si="86"/>
        <v>39800.990174092294</v>
      </c>
      <c r="B1132" s="3">
        <f t="shared" si="84"/>
        <v>11.69999999999998</v>
      </c>
      <c r="C1132" s="553">
        <f>'Foglio deposito bis'!$E$157/sezione!$B$247*B1132</f>
        <v>47.49724881596746</v>
      </c>
      <c r="D1132" s="611">
        <f>-'Progetto del paramento slu'!$G$47*'Progetto del paramento slu'!$G$41*IF(DATI!$G$218="dx",DATI!$E$61,DATI!$E$64*DATI!$E$63)*1000*C1132^2*sezione!$AD$5*(1-sezione!$AD$6)</f>
        <v>-18571297.984910037</v>
      </c>
      <c r="E1132" s="553">
        <f>-'Foglio deposito bis'!$F$58*(C1132-sezione!$AL$31)*IF(ABS(K1132)&lt;'Progetto del paramento slu'!$G$58,ABS(K1132)*'Progetto del paramento slu'!$G$54,'Progetto del paramento slu'!$G$53)</f>
        <v>0</v>
      </c>
      <c r="F1132" s="553">
        <f>-'Foglio deposito bis'!$F$59*(C1132-sezione!$AM$31)*IF(ABS(L1132)&lt;'Progetto del paramento slu'!$G$58,ABS(L1132)*'Progetto del paramento slu'!$G$54,'Progetto del paramento slu'!$G$53)</f>
        <v>15751070.711046152</v>
      </c>
      <c r="G1132" s="553">
        <f>-'Foglio deposito bis'!$F$60*(C1132-sezione!$AN$31)*IF(ABS(M1132)&lt;'Progetto del paramento slu'!$G$58,ABS(M1132)*'Progetto del paramento slu'!$G$54,'Progetto del paramento slu'!$G$53)</f>
        <v>0</v>
      </c>
      <c r="H1132" s="553">
        <f>-'Foglio deposito bis'!$F$61*(C1132-sezione!$AO$31)*IF(ABS(N1132)&lt;'Progetto del paramento slu'!$G$58,ABS(N1132)*'Progetto del paramento slu'!$G$54,'Progetto del paramento slu'!$G$53)</f>
        <v>70477513.386970595</v>
      </c>
      <c r="I1132" s="479">
        <f>-'Foglio deposito bis'!$F$62*(C1132-sezione!$AP$31)*IF(ABS(O1132)&lt;'Progetto del paramento slu'!$G$58,ABS(O1132)*'Progetto del paramento slu'!$G$54,'Progetto del paramento slu'!$G$53)</f>
        <v>66877067.835584775</v>
      </c>
      <c r="J1132" s="479">
        <f t="shared" si="85"/>
        <v>134534353.94869149</v>
      </c>
      <c r="K1132" s="558">
        <f>'Progetto del paramento slu'!$G$60*(sezione!$AL$31-C1132)/C1132</f>
        <v>-5.5246085847112715E-4</v>
      </c>
      <c r="L1132" s="558">
        <f>'Progetto del paramento slu'!$G$60*(sezione!$AM$31-C1132)/C1132</f>
        <v>7.5532717807332735E-3</v>
      </c>
      <c r="M1132" s="559">
        <f>'Progetto del paramento slu'!$G$60*(sezione!$AN$31-C1132)/C1132</f>
        <v>1.5659004419937676E-2</v>
      </c>
      <c r="N1132" s="559">
        <f>'Progetto del paramento slu'!$G$60*(sezione!$AO$31-C1132)/C1132</f>
        <v>2.1554082702995421E-2</v>
      </c>
      <c r="O1132" s="559">
        <f>'Progetto del paramento slu'!$G$60*(sezione!$AP$31-C1132)/C1132</f>
        <v>1.5659298465308759E-2</v>
      </c>
      <c r="P1132" s="553">
        <f>-'Progetto del paramento slu'!$G$47*'Progetto del paramento slu'!$G$41*IF(DATI!$G$218="dx",DATI!$E$61,DATI!$E$64*DATI!$E$63)*1000*C1132*sezione!$AD$5</f>
        <v>-669515.99461250752</v>
      </c>
      <c r="Q1132" s="553">
        <f>'Foglio deposito bis'!$F$58*IF(ABS(K1132)&lt;'Progetto del paramento slu'!$G$58,ABS(K1132)*'Progetto del paramento slu'!$G$54,'Progetto del paramento slu'!$G$53)*IF(K1132&lt;0,-1,1)</f>
        <v>0</v>
      </c>
      <c r="R1132" s="553">
        <f>'Foglio deposito bis'!$F$59*IF(ABS(L1132)&lt;'Progetto del paramento slu'!$G$58,ABS(L1132)*'Progetto del paramento slu'!$G$54,'Progetto del paramento slu'!$G$53)*IF(L1132&lt;0,-1,1)</f>
        <v>153664.85805602249</v>
      </c>
      <c r="S1132" s="553">
        <f>'Foglio deposito bis'!$F$60*IF(ABS(M1132)&lt;'Progetto del paramento slu'!$G$58,ABS(M1132)*'Progetto del paramento slu'!$G$54,'Progetto del paramento slu'!$G$53)*IF(M1132&lt;0,-1,1)</f>
        <v>0</v>
      </c>
      <c r="T1132" s="553">
        <f>'Foglio deposito bis'!$F$61*IF(ABS(N1132)&lt;'Progetto del paramento slu'!$G$58,ABS(N1132)*'Progetto del paramento slu'!$G$54,'Progetto del paramento slu'!$G$53)*IF(N1132&lt;0,-1,1)</f>
        <v>240946.49743184328</v>
      </c>
      <c r="U1132" s="553">
        <f>'Foglio deposito bis'!$F$62*IF(ABS(O1132)&lt;'Progetto del paramento slu'!$G$58,ABS(O1132)*'Progetto del paramento slu'!$G$54,'Progetto del paramento slu'!$G$53)*IF(O1132&lt;0,-1,1)</f>
        <v>314705.62929873407</v>
      </c>
      <c r="V1132" s="479">
        <f t="shared" si="87"/>
        <v>39800.990174092294</v>
      </c>
      <c r="W1132" s="559"/>
      <c r="X1132" s="559"/>
    </row>
    <row r="1133" spans="1:24" x14ac:dyDescent="0.25">
      <c r="A1133" s="553">
        <f t="shared" si="86"/>
        <v>28356.272317468247</v>
      </c>
      <c r="B1133" s="3">
        <f t="shared" si="84"/>
        <v>11.899999999999979</v>
      </c>
      <c r="C1133" s="553">
        <f>'Foglio deposito bis'!$E$157/sezione!$B$247*B1133</f>
        <v>48.309167599146392</v>
      </c>
      <c r="D1133" s="611">
        <f>-'Progetto del paramento slu'!$G$47*'Progetto del paramento slu'!$G$41*IF(DATI!$G$218="dx",DATI!$E$61,DATI!$E$64*DATI!$E$63)*1000*C1133^2*sezione!$AD$5*(1-sezione!$AD$6)</f>
        <v>-19211640.789269567</v>
      </c>
      <c r="E1133" s="553">
        <f>-'Foglio deposito bis'!$F$58*(C1133-sezione!$AL$31)*IF(ABS(K1133)&lt;'Progetto del paramento slu'!$G$58,ABS(K1133)*'Progetto del paramento slu'!$G$54,'Progetto del paramento slu'!$G$53)</f>
        <v>0</v>
      </c>
      <c r="F1133" s="553">
        <f>-'Foglio deposito bis'!$F$59*(C1133-sezione!$AM$31)*IF(ABS(L1133)&lt;'Progetto del paramento slu'!$G$58,ABS(L1133)*'Progetto del paramento slu'!$G$54,'Progetto del paramento slu'!$G$53)</f>
        <v>15626307.326475943</v>
      </c>
      <c r="G1133" s="553">
        <f>-'Foglio deposito bis'!$F$60*(C1133-sezione!$AN$31)*IF(ABS(M1133)&lt;'Progetto del paramento slu'!$G$58,ABS(M1133)*'Progetto del paramento slu'!$G$54,'Progetto del paramento slu'!$G$53)</f>
        <v>0</v>
      </c>
      <c r="H1133" s="553">
        <f>-'Foglio deposito bis'!$F$61*(C1133-sezione!$AO$31)*IF(ABS(N1133)&lt;'Progetto del paramento slu'!$G$58,ABS(N1133)*'Progetto del paramento slu'!$G$54,'Progetto del paramento slu'!$G$53)</f>
        <v>70281884.399964496</v>
      </c>
      <c r="I1133" s="479">
        <f>-'Foglio deposito bis'!$F$62*(C1133-sezione!$AP$31)*IF(ABS(O1133)&lt;'Progetto del paramento slu'!$G$58,ABS(O1133)*'Progetto del paramento slu'!$G$54,'Progetto del paramento slu'!$G$53)</f>
        <v>66621552.423984975</v>
      </c>
      <c r="J1133" s="479">
        <f t="shared" si="85"/>
        <v>133318103.36115584</v>
      </c>
      <c r="K1133" s="558">
        <f>'Progetto del paramento slu'!$G$60*(sezione!$AL$31-C1133)/C1133</f>
        <v>-6.0199933143799899E-4</v>
      </c>
      <c r="L1133" s="558">
        <f>'Progetto del paramento slu'!$G$60*(sezione!$AM$31-C1133)/C1133</f>
        <v>7.3675025071075033E-3</v>
      </c>
      <c r="M1133" s="559">
        <f>'Progetto del paramento slu'!$G$60*(sezione!$AN$31-C1133)/C1133</f>
        <v>1.5337004345653006E-2</v>
      </c>
      <c r="N1133" s="559">
        <f>'Progetto del paramento slu'!$G$60*(sezione!$AO$31-C1133)/C1133</f>
        <v>2.1133005682777008E-2</v>
      </c>
      <c r="O1133" s="559">
        <f>'Progetto del paramento slu'!$G$60*(sezione!$AP$31-C1133)/C1133</f>
        <v>1.5337293449085078E-2</v>
      </c>
      <c r="P1133" s="553">
        <f>-'Progetto del paramento slu'!$G$47*'Progetto del paramento slu'!$G$41*IF(DATI!$G$218="dx",DATI!$E$61,DATI!$E$64*DATI!$E$63)*1000*C1133*sezione!$AD$5</f>
        <v>-680960.71246913169</v>
      </c>
      <c r="Q1133" s="553">
        <f>'Foglio deposito bis'!$F$58*IF(ABS(K1133)&lt;'Progetto del paramento slu'!$G$58,ABS(K1133)*'Progetto del paramento slu'!$G$54,'Progetto del paramento slu'!$G$53)*IF(K1133&lt;0,-1,1)</f>
        <v>0</v>
      </c>
      <c r="R1133" s="553">
        <f>'Foglio deposito bis'!$F$59*IF(ABS(L1133)&lt;'Progetto del paramento slu'!$G$58,ABS(L1133)*'Progetto del paramento slu'!$G$54,'Progetto del paramento slu'!$G$53)*IF(L1133&lt;0,-1,1)</f>
        <v>153664.85805602249</v>
      </c>
      <c r="S1133" s="553">
        <f>'Foglio deposito bis'!$F$60*IF(ABS(M1133)&lt;'Progetto del paramento slu'!$G$58,ABS(M1133)*'Progetto del paramento slu'!$G$54,'Progetto del paramento slu'!$G$53)*IF(M1133&lt;0,-1,1)</f>
        <v>0</v>
      </c>
      <c r="T1133" s="553">
        <f>'Foglio deposito bis'!$F$61*IF(ABS(N1133)&lt;'Progetto del paramento slu'!$G$58,ABS(N1133)*'Progetto del paramento slu'!$G$54,'Progetto del paramento slu'!$G$53)*IF(N1133&lt;0,-1,1)</f>
        <v>240946.49743184328</v>
      </c>
      <c r="U1133" s="553">
        <f>'Foglio deposito bis'!$F$62*IF(ABS(O1133)&lt;'Progetto del paramento slu'!$G$58,ABS(O1133)*'Progetto del paramento slu'!$G$54,'Progetto del paramento slu'!$G$53)*IF(O1133&lt;0,-1,1)</f>
        <v>314705.62929873407</v>
      </c>
      <c r="V1133" s="479">
        <f t="shared" si="87"/>
        <v>28356.272317468247</v>
      </c>
      <c r="W1133" s="559"/>
      <c r="X1133" s="559"/>
    </row>
    <row r="1134" spans="1:24" x14ac:dyDescent="0.25">
      <c r="A1134" s="553">
        <f t="shared" si="86"/>
        <v>16911.554460844083</v>
      </c>
      <c r="B1134" s="3">
        <f t="shared" si="84"/>
        <v>12.099999999999978</v>
      </c>
      <c r="C1134" s="553">
        <f>'Foglio deposito bis'!$E$157/sezione!$B$247*B1134</f>
        <v>49.121086382325323</v>
      </c>
      <c r="D1134" s="611">
        <f>-'Progetto del paramento slu'!$G$47*'Progetto del paramento slu'!$G$41*IF(DATI!$G$218="dx",DATI!$E$61,DATI!$E$64*DATI!$E$63)*1000*C1134^2*sezione!$AD$5*(1-sezione!$AD$6)</f>
        <v>-19862836.861499596</v>
      </c>
      <c r="E1134" s="553">
        <f>-'Foglio deposito bis'!$F$58*(C1134-sezione!$AL$31)*IF(ABS(K1134)&lt;'Progetto del paramento slu'!$G$58,ABS(K1134)*'Progetto del paramento slu'!$G$54,'Progetto del paramento slu'!$G$53)</f>
        <v>0</v>
      </c>
      <c r="F1134" s="553">
        <f>-'Foglio deposito bis'!$F$59*(C1134-sezione!$AM$31)*IF(ABS(L1134)&lt;'Progetto del paramento slu'!$G$58,ABS(L1134)*'Progetto del paramento slu'!$G$54,'Progetto del paramento slu'!$G$53)</f>
        <v>15501543.941905733</v>
      </c>
      <c r="G1134" s="553">
        <f>-'Foglio deposito bis'!$F$60*(C1134-sezione!$AN$31)*IF(ABS(M1134)&lt;'Progetto del paramento slu'!$G$58,ABS(M1134)*'Progetto del paramento slu'!$G$54,'Progetto del paramento slu'!$G$53)</f>
        <v>0</v>
      </c>
      <c r="H1134" s="553">
        <f>-'Foglio deposito bis'!$F$61*(C1134-sezione!$AO$31)*IF(ABS(N1134)&lt;'Progetto del paramento slu'!$G$58,ABS(N1134)*'Progetto del paramento slu'!$G$54,'Progetto del paramento slu'!$G$53)</f>
        <v>70086255.412958413</v>
      </c>
      <c r="I1134" s="479">
        <f>-'Foglio deposito bis'!$F$62*(C1134-sezione!$AP$31)*IF(ABS(O1134)&lt;'Progetto del paramento slu'!$G$58,ABS(O1134)*'Progetto del paramento slu'!$G$54,'Progetto del paramento slu'!$G$53)</f>
        <v>66366037.01238519</v>
      </c>
      <c r="J1134" s="479">
        <f t="shared" si="85"/>
        <v>132090999.50574973</v>
      </c>
      <c r="K1134" s="558">
        <f>'Progetto del paramento slu'!$G$60*(sezione!$AL$31-C1134)/C1134</f>
        <v>-6.499001689348916E-4</v>
      </c>
      <c r="L1134" s="558">
        <f>'Progetto del paramento slu'!$G$60*(sezione!$AM$31-C1134)/C1134</f>
        <v>7.1878743664941557E-3</v>
      </c>
      <c r="M1134" s="559">
        <f>'Progetto del paramento slu'!$G$60*(sezione!$AN$31-C1134)/C1134</f>
        <v>1.5025648901923205E-2</v>
      </c>
      <c r="N1134" s="559">
        <f>'Progetto del paramento slu'!$G$60*(sezione!$AO$31-C1134)/C1134</f>
        <v>2.0725848564053424E-2</v>
      </c>
      <c r="O1134" s="559">
        <f>'Progetto del paramento slu'!$G$60*(sezione!$AP$31-C1134)/C1134</f>
        <v>1.5025933226786152E-2</v>
      </c>
      <c r="P1134" s="553">
        <f>-'Progetto del paramento slu'!$G$47*'Progetto del paramento slu'!$G$41*IF(DATI!$G$218="dx",DATI!$E$61,DATI!$E$64*DATI!$E$63)*1000*C1134*sezione!$AD$5</f>
        <v>-692405.43032575573</v>
      </c>
      <c r="Q1134" s="553">
        <f>'Foglio deposito bis'!$F$58*IF(ABS(K1134)&lt;'Progetto del paramento slu'!$G$58,ABS(K1134)*'Progetto del paramento slu'!$G$54,'Progetto del paramento slu'!$G$53)*IF(K1134&lt;0,-1,1)</f>
        <v>0</v>
      </c>
      <c r="R1134" s="553">
        <f>'Foglio deposito bis'!$F$59*IF(ABS(L1134)&lt;'Progetto del paramento slu'!$G$58,ABS(L1134)*'Progetto del paramento slu'!$G$54,'Progetto del paramento slu'!$G$53)*IF(L1134&lt;0,-1,1)</f>
        <v>153664.85805602249</v>
      </c>
      <c r="S1134" s="553">
        <f>'Foglio deposito bis'!$F$60*IF(ABS(M1134)&lt;'Progetto del paramento slu'!$G$58,ABS(M1134)*'Progetto del paramento slu'!$G$54,'Progetto del paramento slu'!$G$53)*IF(M1134&lt;0,-1,1)</f>
        <v>0</v>
      </c>
      <c r="T1134" s="553">
        <f>'Foglio deposito bis'!$F$61*IF(ABS(N1134)&lt;'Progetto del paramento slu'!$G$58,ABS(N1134)*'Progetto del paramento slu'!$G$54,'Progetto del paramento slu'!$G$53)*IF(N1134&lt;0,-1,1)</f>
        <v>240946.49743184328</v>
      </c>
      <c r="U1134" s="553">
        <f>'Foglio deposito bis'!$F$62*IF(ABS(O1134)&lt;'Progetto del paramento slu'!$G$58,ABS(O1134)*'Progetto del paramento slu'!$G$54,'Progetto del paramento slu'!$G$53)*IF(O1134&lt;0,-1,1)</f>
        <v>314705.62929873407</v>
      </c>
      <c r="V1134" s="479">
        <f t="shared" si="87"/>
        <v>16911.554460844083</v>
      </c>
      <c r="W1134" s="559"/>
      <c r="X1134" s="559"/>
    </row>
    <row r="1135" spans="1:24" x14ac:dyDescent="0.25">
      <c r="A1135" s="553">
        <f t="shared" si="86"/>
        <v>5466.8366042201524</v>
      </c>
      <c r="B1135" s="3">
        <f t="shared" si="84"/>
        <v>12.299999999999978</v>
      </c>
      <c r="C1135" s="553">
        <f>'Foglio deposito bis'!$E$157/sezione!$B$247*B1135</f>
        <v>49.933005165504248</v>
      </c>
      <c r="D1135" s="611">
        <f>-'Progetto del paramento slu'!$G$47*'Progetto del paramento slu'!$G$41*IF(DATI!$G$218="dx",DATI!$E$61,DATI!$E$64*DATI!$E$63)*1000*C1135^2*sezione!$AD$5*(1-sezione!$AD$6)</f>
        <v>-20524886.201600112</v>
      </c>
      <c r="E1135" s="553">
        <f>-'Foglio deposito bis'!$F$58*(C1135-sezione!$AL$31)*IF(ABS(K1135)&lt;'Progetto del paramento slu'!$G$58,ABS(K1135)*'Progetto del paramento slu'!$G$54,'Progetto del paramento slu'!$G$53)</f>
        <v>0</v>
      </c>
      <c r="F1135" s="553">
        <f>-'Foglio deposito bis'!$F$59*(C1135-sezione!$AM$31)*IF(ABS(L1135)&lt;'Progetto del paramento slu'!$G$58,ABS(L1135)*'Progetto del paramento slu'!$G$54,'Progetto del paramento slu'!$G$53)</f>
        <v>15376780.557335524</v>
      </c>
      <c r="G1135" s="553">
        <f>-'Foglio deposito bis'!$F$60*(C1135-sezione!$AN$31)*IF(ABS(M1135)&lt;'Progetto del paramento slu'!$G$58,ABS(M1135)*'Progetto del paramento slu'!$G$54,'Progetto del paramento slu'!$G$53)</f>
        <v>0</v>
      </c>
      <c r="H1135" s="553">
        <f>-'Foglio deposito bis'!$F$61*(C1135-sezione!$AO$31)*IF(ABS(N1135)&lt;'Progetto del paramento slu'!$G$58,ABS(N1135)*'Progetto del paramento slu'!$G$54,'Progetto del paramento slu'!$G$53)</f>
        <v>69890626.425952315</v>
      </c>
      <c r="I1135" s="479">
        <f>-'Foglio deposito bis'!$F$62*(C1135-sezione!$AP$31)*IF(ABS(O1135)&lt;'Progetto del paramento slu'!$G$58,ABS(O1135)*'Progetto del paramento slu'!$G$54,'Progetto del paramento slu'!$G$53)</f>
        <v>66110521.600785404</v>
      </c>
      <c r="J1135" s="479">
        <f t="shared" si="85"/>
        <v>130853042.38247314</v>
      </c>
      <c r="K1135" s="558">
        <f>'Progetto del paramento slu'!$G$60*(sezione!$AL$31-C1135)/C1135</f>
        <v>-6.962432556188768E-4</v>
      </c>
      <c r="L1135" s="558">
        <f>'Progetto del paramento slu'!$G$60*(sezione!$AM$31-C1135)/C1135</f>
        <v>7.0140877914292125E-3</v>
      </c>
      <c r="M1135" s="559">
        <f>'Progetto del paramento slu'!$G$60*(sezione!$AN$31-C1135)/C1135</f>
        <v>1.4724418838477301E-2</v>
      </c>
      <c r="N1135" s="559">
        <f>'Progetto del paramento slu'!$G$60*(sezione!$AO$31-C1135)/C1135</f>
        <v>2.0331932327239545E-2</v>
      </c>
      <c r="O1135" s="559">
        <f>'Progetto del paramento slu'!$G$60*(sezione!$AP$31-C1135)/C1135</f>
        <v>1.4724698540171745E-2</v>
      </c>
      <c r="P1135" s="553">
        <f>-'Progetto del paramento slu'!$G$47*'Progetto del paramento slu'!$G$41*IF(DATI!$G$218="dx",DATI!$E$61,DATI!$E$64*DATI!$E$63)*1000*C1135*sezione!$AD$5</f>
        <v>-703850.14818237966</v>
      </c>
      <c r="Q1135" s="553">
        <f>'Foglio deposito bis'!$F$58*IF(ABS(K1135)&lt;'Progetto del paramento slu'!$G$58,ABS(K1135)*'Progetto del paramento slu'!$G$54,'Progetto del paramento slu'!$G$53)*IF(K1135&lt;0,-1,1)</f>
        <v>0</v>
      </c>
      <c r="R1135" s="553">
        <f>'Foglio deposito bis'!$F$59*IF(ABS(L1135)&lt;'Progetto del paramento slu'!$G$58,ABS(L1135)*'Progetto del paramento slu'!$G$54,'Progetto del paramento slu'!$G$53)*IF(L1135&lt;0,-1,1)</f>
        <v>153664.85805602249</v>
      </c>
      <c r="S1135" s="553">
        <f>'Foglio deposito bis'!$F$60*IF(ABS(M1135)&lt;'Progetto del paramento slu'!$G$58,ABS(M1135)*'Progetto del paramento slu'!$G$54,'Progetto del paramento slu'!$G$53)*IF(M1135&lt;0,-1,1)</f>
        <v>0</v>
      </c>
      <c r="T1135" s="553">
        <f>'Foglio deposito bis'!$F$61*IF(ABS(N1135)&lt;'Progetto del paramento slu'!$G$58,ABS(N1135)*'Progetto del paramento slu'!$G$54,'Progetto del paramento slu'!$G$53)*IF(N1135&lt;0,-1,1)</f>
        <v>240946.49743184328</v>
      </c>
      <c r="U1135" s="553">
        <f>'Foglio deposito bis'!$F$62*IF(ABS(O1135)&lt;'Progetto del paramento slu'!$G$58,ABS(O1135)*'Progetto del paramento slu'!$G$54,'Progetto del paramento slu'!$G$53)*IF(O1135&lt;0,-1,1)</f>
        <v>314705.62929873407</v>
      </c>
      <c r="V1135" s="479">
        <f t="shared" si="87"/>
        <v>5466.8366042201524</v>
      </c>
      <c r="W1135" s="559"/>
      <c r="X1135" s="559"/>
    </row>
    <row r="1136" spans="1:24" x14ac:dyDescent="0.25">
      <c r="A1136" s="553">
        <f t="shared" si="86"/>
        <v>5977.8812524037785</v>
      </c>
      <c r="B1136" s="3">
        <f t="shared" si="84"/>
        <v>12.499999999999977</v>
      </c>
      <c r="C1136" s="553">
        <f>'Foglio deposito bis'!$E$157/sezione!$B$247*B1136</f>
        <v>50.74492394868318</v>
      </c>
      <c r="D1136" s="611">
        <f>-'Progetto del paramento slu'!$G$47*'Progetto del paramento slu'!$G$41*IF(DATI!$G$218="dx",DATI!$E$61,DATI!$E$64*DATI!$E$63)*1000*C1136^2*sezione!$AD$5*(1-sezione!$AD$6)</f>
        <v>-21197788.80957114</v>
      </c>
      <c r="E1136" s="553">
        <f>-'Foglio deposito bis'!$F$58*(C1136-sezione!$AL$31)*IF(ABS(K1136)&lt;'Progetto del paramento slu'!$G$58,ABS(K1136)*'Progetto del paramento slu'!$G$54,'Progetto del paramento slu'!$G$53)</f>
        <v>0</v>
      </c>
      <c r="F1136" s="553">
        <f>-'Foglio deposito bis'!$F$59*(C1136-sezione!$AM$31)*IF(ABS(L1136)&lt;'Progetto del paramento slu'!$G$58,ABS(L1136)*'Progetto del paramento slu'!$G$54,'Progetto del paramento slu'!$G$53)</f>
        <v>15252017.172765318</v>
      </c>
      <c r="G1136" s="553">
        <f>-'Foglio deposito bis'!$F$60*(C1136-sezione!$AN$31)*IF(ABS(M1136)&lt;'Progetto del paramento slu'!$G$58,ABS(M1136)*'Progetto del paramento slu'!$G$54,'Progetto del paramento slu'!$G$53)</f>
        <v>0</v>
      </c>
      <c r="H1136" s="553">
        <f>-'Foglio deposito bis'!$F$61*(C1136-sezione!$AO$31)*IF(ABS(N1136)&lt;'Progetto del paramento slu'!$G$58,ABS(N1136)*'Progetto del paramento slu'!$G$54,'Progetto del paramento slu'!$G$53)</f>
        <v>69694997.438946232</v>
      </c>
      <c r="I1136" s="479">
        <f>-'Foglio deposito bis'!$F$62*(C1136-sezione!$AP$31)*IF(ABS(O1136)&lt;'Progetto del paramento slu'!$G$58,ABS(O1136)*'Progetto del paramento slu'!$G$54,'Progetto del paramento slu'!$G$53)</f>
        <v>65855006.189185619</v>
      </c>
      <c r="J1136" s="479">
        <f t="shared" si="85"/>
        <v>129604231.99132603</v>
      </c>
      <c r="K1136" s="558">
        <f>'Progetto del paramento slu'!$G$60*(sezione!$AL$31-C1136)/C1136</f>
        <v>-7.4110336352897484E-4</v>
      </c>
      <c r="L1136" s="558">
        <f>'Progetto del paramento slu'!$G$60*(sezione!$AM$31-C1136)/C1136</f>
        <v>6.8458623867663449E-3</v>
      </c>
      <c r="M1136" s="559">
        <f>'Progetto del paramento slu'!$G$60*(sezione!$AN$31-C1136)/C1136</f>
        <v>1.4432828137061664E-2</v>
      </c>
      <c r="N1136" s="559">
        <f>'Progetto del paramento slu'!$G$60*(sezione!$AO$31-C1136)/C1136</f>
        <v>1.9950621410003713E-2</v>
      </c>
      <c r="O1136" s="559">
        <f>'Progetto del paramento slu'!$G$60*(sezione!$AP$31-C1136)/C1136</f>
        <v>1.4433103363528998E-2</v>
      </c>
      <c r="P1136" s="553">
        <f>-'Progetto del paramento slu'!$G$47*'Progetto del paramento slu'!$G$41*IF(DATI!$G$218="dx",DATI!$E$61,DATI!$E$64*DATI!$E$63)*1000*C1136*sezione!$AD$5</f>
        <v>-715294.86603900371</v>
      </c>
      <c r="Q1136" s="553">
        <f>'Foglio deposito bis'!$F$58*IF(ABS(K1136)&lt;'Progetto del paramento slu'!$G$58,ABS(K1136)*'Progetto del paramento slu'!$G$54,'Progetto del paramento slu'!$G$53)*IF(K1136&lt;0,-1,1)</f>
        <v>0</v>
      </c>
      <c r="R1136" s="553">
        <f>'Foglio deposito bis'!$F$59*IF(ABS(L1136)&lt;'Progetto del paramento slu'!$G$58,ABS(L1136)*'Progetto del paramento slu'!$G$54,'Progetto del paramento slu'!$G$53)*IF(L1136&lt;0,-1,1)</f>
        <v>153664.85805602249</v>
      </c>
      <c r="S1136" s="553">
        <f>'Foglio deposito bis'!$F$60*IF(ABS(M1136)&lt;'Progetto del paramento slu'!$G$58,ABS(M1136)*'Progetto del paramento slu'!$G$54,'Progetto del paramento slu'!$G$53)*IF(M1136&lt;0,-1,1)</f>
        <v>0</v>
      </c>
      <c r="T1136" s="553">
        <f>'Foglio deposito bis'!$F$61*IF(ABS(N1136)&lt;'Progetto del paramento slu'!$G$58,ABS(N1136)*'Progetto del paramento slu'!$G$54,'Progetto del paramento slu'!$G$53)*IF(N1136&lt;0,-1,1)</f>
        <v>240946.49743184328</v>
      </c>
      <c r="U1136" s="553">
        <f>'Foglio deposito bis'!$F$62*IF(ABS(O1136)&lt;'Progetto del paramento slu'!$G$58,ABS(O1136)*'Progetto del paramento slu'!$G$54,'Progetto del paramento slu'!$G$53)*IF(O1136&lt;0,-1,1)</f>
        <v>314705.62929873407</v>
      </c>
      <c r="V1136" s="479">
        <f t="shared" si="87"/>
        <v>-5977.8812524037785</v>
      </c>
      <c r="W1136" s="559"/>
      <c r="X1136" s="559"/>
    </row>
    <row r="1137" spans="1:24" x14ac:dyDescent="0.25">
      <c r="A1137" s="553">
        <f t="shared" si="86"/>
        <v>17422.599109027942</v>
      </c>
      <c r="B1137" s="3">
        <f t="shared" si="84"/>
        <v>12.699999999999976</v>
      </c>
      <c r="C1137" s="553">
        <f>'Foglio deposito bis'!$E$157/sezione!$B$247*B1137</f>
        <v>51.556842731862112</v>
      </c>
      <c r="D1137" s="611">
        <f>-'Progetto del paramento slu'!$G$47*'Progetto del paramento slu'!$G$41*IF(DATI!$G$218="dx",DATI!$E$61,DATI!$E$64*DATI!$E$63)*1000*C1137^2*sezione!$AD$5*(1-sezione!$AD$6)</f>
        <v>-21881544.685412671</v>
      </c>
      <c r="E1137" s="553">
        <f>-'Foglio deposito bis'!$F$58*(C1137-sezione!$AL$31)*IF(ABS(K1137)&lt;'Progetto del paramento slu'!$G$58,ABS(K1137)*'Progetto del paramento slu'!$G$54,'Progetto del paramento slu'!$G$53)</f>
        <v>0</v>
      </c>
      <c r="F1137" s="553">
        <f>-'Foglio deposito bis'!$F$59*(C1137-sezione!$AM$31)*IF(ABS(L1137)&lt;'Progetto del paramento slu'!$G$58,ABS(L1137)*'Progetto del paramento slu'!$G$54,'Progetto del paramento slu'!$G$53)</f>
        <v>15127253.788195109</v>
      </c>
      <c r="G1137" s="553">
        <f>-'Foglio deposito bis'!$F$60*(C1137-sezione!$AN$31)*IF(ABS(M1137)&lt;'Progetto del paramento slu'!$G$58,ABS(M1137)*'Progetto del paramento slu'!$G$54,'Progetto del paramento slu'!$G$53)</f>
        <v>0</v>
      </c>
      <c r="H1137" s="553">
        <f>-'Foglio deposito bis'!$F$61*(C1137-sezione!$AO$31)*IF(ABS(N1137)&lt;'Progetto del paramento slu'!$G$58,ABS(N1137)*'Progetto del paramento slu'!$G$54,'Progetto del paramento slu'!$G$53)</f>
        <v>69499368.451940149</v>
      </c>
      <c r="I1137" s="479">
        <f>-'Foglio deposito bis'!$F$62*(C1137-sezione!$AP$31)*IF(ABS(O1137)&lt;'Progetto del paramento slu'!$G$58,ABS(O1137)*'Progetto del paramento slu'!$G$54,'Progetto del paramento slu'!$G$53)</f>
        <v>65599490.777585834</v>
      </c>
      <c r="J1137" s="479">
        <f t="shared" si="85"/>
        <v>128344568.33230841</v>
      </c>
      <c r="K1137" s="558">
        <f>'Progetto del paramento slu'!$G$60*(sezione!$AL$31-C1137)/C1137</f>
        <v>-7.8455055465450284E-4</v>
      </c>
      <c r="L1137" s="558">
        <f>'Progetto del paramento slu'!$G$60*(sezione!$AM$31-C1137)/C1137</f>
        <v>6.6829354200456156E-3</v>
      </c>
      <c r="M1137" s="559">
        <f>'Progetto del paramento slu'!$G$60*(sezione!$AN$31-C1137)/C1137</f>
        <v>1.4150421394745732E-2</v>
      </c>
      <c r="N1137" s="559">
        <f>'Progetto del paramento slu'!$G$60*(sezione!$AO$31-C1137)/C1137</f>
        <v>1.9581320285436726E-2</v>
      </c>
      <c r="O1137" s="559">
        <f>'Progetto del paramento slu'!$G$60*(sezione!$AP$31-C1137)/C1137</f>
        <v>1.415069228693799E-2</v>
      </c>
      <c r="P1137" s="553">
        <f>-'Progetto del paramento slu'!$G$47*'Progetto del paramento slu'!$G$41*IF(DATI!$G$218="dx",DATI!$E$61,DATI!$E$64*DATI!$E$63)*1000*C1137*sezione!$AD$5</f>
        <v>-726739.58389562787</v>
      </c>
      <c r="Q1137" s="553">
        <f>'Foglio deposito bis'!$F$58*IF(ABS(K1137)&lt;'Progetto del paramento slu'!$G$58,ABS(K1137)*'Progetto del paramento slu'!$G$54,'Progetto del paramento slu'!$G$53)*IF(K1137&lt;0,-1,1)</f>
        <v>0</v>
      </c>
      <c r="R1137" s="553">
        <f>'Foglio deposito bis'!$F$59*IF(ABS(L1137)&lt;'Progetto del paramento slu'!$G$58,ABS(L1137)*'Progetto del paramento slu'!$G$54,'Progetto del paramento slu'!$G$53)*IF(L1137&lt;0,-1,1)</f>
        <v>153664.85805602249</v>
      </c>
      <c r="S1137" s="553">
        <f>'Foglio deposito bis'!$F$60*IF(ABS(M1137)&lt;'Progetto del paramento slu'!$G$58,ABS(M1137)*'Progetto del paramento slu'!$G$54,'Progetto del paramento slu'!$G$53)*IF(M1137&lt;0,-1,1)</f>
        <v>0</v>
      </c>
      <c r="T1137" s="553">
        <f>'Foglio deposito bis'!$F$61*IF(ABS(N1137)&lt;'Progetto del paramento slu'!$G$58,ABS(N1137)*'Progetto del paramento slu'!$G$54,'Progetto del paramento slu'!$G$53)*IF(N1137&lt;0,-1,1)</f>
        <v>240946.49743184328</v>
      </c>
      <c r="U1137" s="553">
        <f>'Foglio deposito bis'!$F$62*IF(ABS(O1137)&lt;'Progetto del paramento slu'!$G$58,ABS(O1137)*'Progetto del paramento slu'!$G$54,'Progetto del paramento slu'!$G$53)*IF(O1137&lt;0,-1,1)</f>
        <v>314705.62929873407</v>
      </c>
      <c r="V1137" s="479">
        <f t="shared" si="87"/>
        <v>-17422.599109027942</v>
      </c>
      <c r="W1137" s="559"/>
      <c r="X1137" s="559"/>
    </row>
    <row r="1138" spans="1:24" x14ac:dyDescent="0.25">
      <c r="A1138" s="553">
        <f t="shared" si="86"/>
        <v>28867.316965651873</v>
      </c>
      <c r="B1138" s="3">
        <f t="shared" si="84"/>
        <v>12.899999999999975</v>
      </c>
      <c r="C1138" s="553">
        <f>'Foglio deposito bis'!$E$157/sezione!$B$247*B1138</f>
        <v>52.368761515041037</v>
      </c>
      <c r="D1138" s="611">
        <f>-'Progetto del paramento slu'!$G$47*'Progetto del paramento slu'!$G$41*IF(DATI!$G$218="dx",DATI!$E$61,DATI!$E$64*DATI!$E$63)*1000*C1138^2*sezione!$AD$5*(1-sezione!$AD$6)</f>
        <v>-22576153.829124689</v>
      </c>
      <c r="E1138" s="553">
        <f>-'Foglio deposito bis'!$F$58*(C1138-sezione!$AL$31)*IF(ABS(K1138)&lt;'Progetto del paramento slu'!$G$58,ABS(K1138)*'Progetto del paramento slu'!$G$54,'Progetto del paramento slu'!$G$53)</f>
        <v>0</v>
      </c>
      <c r="F1138" s="553">
        <f>-'Foglio deposito bis'!$F$59*(C1138-sezione!$AM$31)*IF(ABS(L1138)&lt;'Progetto del paramento slu'!$G$58,ABS(L1138)*'Progetto del paramento slu'!$G$54,'Progetto del paramento slu'!$G$53)</f>
        <v>15002490.403624902</v>
      </c>
      <c r="G1138" s="553">
        <f>-'Foglio deposito bis'!$F$60*(C1138-sezione!$AN$31)*IF(ABS(M1138)&lt;'Progetto del paramento slu'!$G$58,ABS(M1138)*'Progetto del paramento slu'!$G$54,'Progetto del paramento slu'!$G$53)</f>
        <v>0</v>
      </c>
      <c r="H1138" s="553">
        <f>-'Foglio deposito bis'!$F$61*(C1138-sezione!$AO$31)*IF(ABS(N1138)&lt;'Progetto del paramento slu'!$G$58,ABS(N1138)*'Progetto del paramento slu'!$G$54,'Progetto del paramento slu'!$G$53)</f>
        <v>69303739.464934051</v>
      </c>
      <c r="I1138" s="479">
        <f>-'Foglio deposito bis'!$F$62*(C1138-sezione!$AP$31)*IF(ABS(O1138)&lt;'Progetto del paramento slu'!$G$58,ABS(O1138)*'Progetto del paramento slu'!$G$54,'Progetto del paramento slu'!$G$53)</f>
        <v>65343975.365986049</v>
      </c>
      <c r="J1138" s="479">
        <f t="shared" si="85"/>
        <v>127074051.4054203</v>
      </c>
      <c r="K1138" s="558">
        <f>'Progetto del paramento slu'!$G$60*(sezione!$AL$31-C1138)/C1138</f>
        <v>-8.2665054605520795E-4</v>
      </c>
      <c r="L1138" s="558">
        <f>'Progetto del paramento slu'!$G$60*(sezione!$AM$31-C1138)/C1138</f>
        <v>6.5250604522929714E-3</v>
      </c>
      <c r="M1138" s="559">
        <f>'Progetto del paramento slu'!$G$60*(sezione!$AN$31-C1138)/C1138</f>
        <v>1.3876771450641151E-2</v>
      </c>
      <c r="N1138" s="559">
        <f>'Progetto del paramento slu'!$G$60*(sezione!$AO$31-C1138)/C1138</f>
        <v>1.9223470358530732E-2</v>
      </c>
      <c r="O1138" s="559">
        <f>'Progetto del paramento slu'!$G$60*(sezione!$AP$31-C1138)/C1138</f>
        <v>1.3877038142954457E-2</v>
      </c>
      <c r="P1138" s="553">
        <f>-'Progetto del paramento slu'!$G$47*'Progetto del paramento slu'!$G$41*IF(DATI!$G$218="dx",DATI!$E$61,DATI!$E$64*DATI!$E$63)*1000*C1138*sezione!$AD$5</f>
        <v>-738184.30175225181</v>
      </c>
      <c r="Q1138" s="553">
        <f>'Foglio deposito bis'!$F$58*IF(ABS(K1138)&lt;'Progetto del paramento slu'!$G$58,ABS(K1138)*'Progetto del paramento slu'!$G$54,'Progetto del paramento slu'!$G$53)*IF(K1138&lt;0,-1,1)</f>
        <v>0</v>
      </c>
      <c r="R1138" s="553">
        <f>'Foglio deposito bis'!$F$59*IF(ABS(L1138)&lt;'Progetto del paramento slu'!$G$58,ABS(L1138)*'Progetto del paramento slu'!$G$54,'Progetto del paramento slu'!$G$53)*IF(L1138&lt;0,-1,1)</f>
        <v>153664.85805602249</v>
      </c>
      <c r="S1138" s="553">
        <f>'Foglio deposito bis'!$F$60*IF(ABS(M1138)&lt;'Progetto del paramento slu'!$G$58,ABS(M1138)*'Progetto del paramento slu'!$G$54,'Progetto del paramento slu'!$G$53)*IF(M1138&lt;0,-1,1)</f>
        <v>0</v>
      </c>
      <c r="T1138" s="553">
        <f>'Foglio deposito bis'!$F$61*IF(ABS(N1138)&lt;'Progetto del paramento slu'!$G$58,ABS(N1138)*'Progetto del paramento slu'!$G$54,'Progetto del paramento slu'!$G$53)*IF(N1138&lt;0,-1,1)</f>
        <v>240946.49743184328</v>
      </c>
      <c r="U1138" s="553">
        <f>'Foglio deposito bis'!$F$62*IF(ABS(O1138)&lt;'Progetto del paramento slu'!$G$58,ABS(O1138)*'Progetto del paramento slu'!$G$54,'Progetto del paramento slu'!$G$53)*IF(O1138&lt;0,-1,1)</f>
        <v>314705.62929873407</v>
      </c>
      <c r="V1138" s="479">
        <f t="shared" si="87"/>
        <v>-28867.316965651873</v>
      </c>
      <c r="W1138" s="559"/>
      <c r="X1138" s="559"/>
    </row>
    <row r="1139" spans="1:24" x14ac:dyDescent="0.25">
      <c r="A1139" s="553">
        <f t="shared" si="86"/>
        <v>40312.034822276037</v>
      </c>
      <c r="B1139" s="3">
        <f t="shared" si="84"/>
        <v>13.099999999999975</v>
      </c>
      <c r="C1139" s="553">
        <f>'Foglio deposito bis'!$E$157/sezione!$B$247*B1139</f>
        <v>53.180680298219968</v>
      </c>
      <c r="D1139" s="611">
        <f>-'Progetto del paramento slu'!$G$47*'Progetto del paramento slu'!$G$41*IF(DATI!$G$218="dx",DATI!$E$61,DATI!$E$64*DATI!$E$63)*1000*C1139^2*sezione!$AD$5*(1-sezione!$AD$6)</f>
        <v>-23281616.240707215</v>
      </c>
      <c r="E1139" s="553">
        <f>-'Foglio deposito bis'!$F$58*(C1139-sezione!$AL$31)*IF(ABS(K1139)&lt;'Progetto del paramento slu'!$G$58,ABS(K1139)*'Progetto del paramento slu'!$G$54,'Progetto del paramento slu'!$G$53)</f>
        <v>0</v>
      </c>
      <c r="F1139" s="553">
        <f>-'Foglio deposito bis'!$F$59*(C1139-sezione!$AM$31)*IF(ABS(L1139)&lt;'Progetto del paramento slu'!$G$58,ABS(L1139)*'Progetto del paramento slu'!$G$54,'Progetto del paramento slu'!$G$53)</f>
        <v>14877727.019054692</v>
      </c>
      <c r="G1139" s="553">
        <f>-'Foglio deposito bis'!$F$60*(C1139-sezione!$AN$31)*IF(ABS(M1139)&lt;'Progetto del paramento slu'!$G$58,ABS(M1139)*'Progetto del paramento slu'!$G$54,'Progetto del paramento slu'!$G$53)</f>
        <v>0</v>
      </c>
      <c r="H1139" s="553">
        <f>-'Foglio deposito bis'!$F$61*(C1139-sezione!$AO$31)*IF(ABS(N1139)&lt;'Progetto del paramento slu'!$G$58,ABS(N1139)*'Progetto del paramento slu'!$G$54,'Progetto del paramento slu'!$G$53)</f>
        <v>69108110.477927983</v>
      </c>
      <c r="I1139" s="479">
        <f>-'Foglio deposito bis'!$F$62*(C1139-sezione!$AP$31)*IF(ABS(O1139)&lt;'Progetto del paramento slu'!$G$58,ABS(O1139)*'Progetto del paramento slu'!$G$54,'Progetto del paramento slu'!$G$53)</f>
        <v>65088459.954386257</v>
      </c>
      <c r="J1139" s="479">
        <f t="shared" si="85"/>
        <v>125792681.21066171</v>
      </c>
      <c r="K1139" s="558">
        <f>'Progetto del paramento slu'!$G$60*(sezione!$AL$31-C1139)/C1139</f>
        <v>-8.6746504153528106E-4</v>
      </c>
      <c r="L1139" s="558">
        <f>'Progetto del paramento slu'!$G$60*(sezione!$AM$31-C1139)/C1139</f>
        <v>6.3720060942426965E-3</v>
      </c>
      <c r="M1139" s="559">
        <f>'Progetto del paramento slu'!$G$60*(sezione!$AN$31-C1139)/C1139</f>
        <v>1.3611477230020675E-2</v>
      </c>
      <c r="N1139" s="559">
        <f>'Progetto del paramento slu'!$G$60*(sezione!$AO$31-C1139)/C1139</f>
        <v>1.8876547146950112E-2</v>
      </c>
      <c r="O1139" s="559">
        <f>'Progetto del paramento slu'!$G$60*(sezione!$AP$31-C1139)/C1139</f>
        <v>1.3611739850695611E-2</v>
      </c>
      <c r="P1139" s="553">
        <f>-'Progetto del paramento slu'!$G$47*'Progetto del paramento slu'!$G$41*IF(DATI!$G$218="dx",DATI!$E$61,DATI!$E$64*DATI!$E$63)*1000*C1139*sezione!$AD$5</f>
        <v>-749629.01960887597</v>
      </c>
      <c r="Q1139" s="553">
        <f>'Foglio deposito bis'!$F$58*IF(ABS(K1139)&lt;'Progetto del paramento slu'!$G$58,ABS(K1139)*'Progetto del paramento slu'!$G$54,'Progetto del paramento slu'!$G$53)*IF(K1139&lt;0,-1,1)</f>
        <v>0</v>
      </c>
      <c r="R1139" s="553">
        <f>'Foglio deposito bis'!$F$59*IF(ABS(L1139)&lt;'Progetto del paramento slu'!$G$58,ABS(L1139)*'Progetto del paramento slu'!$G$54,'Progetto del paramento slu'!$G$53)*IF(L1139&lt;0,-1,1)</f>
        <v>153664.85805602249</v>
      </c>
      <c r="S1139" s="553">
        <f>'Foglio deposito bis'!$F$60*IF(ABS(M1139)&lt;'Progetto del paramento slu'!$G$58,ABS(M1139)*'Progetto del paramento slu'!$G$54,'Progetto del paramento slu'!$G$53)*IF(M1139&lt;0,-1,1)</f>
        <v>0</v>
      </c>
      <c r="T1139" s="553">
        <f>'Foglio deposito bis'!$F$61*IF(ABS(N1139)&lt;'Progetto del paramento slu'!$G$58,ABS(N1139)*'Progetto del paramento slu'!$G$54,'Progetto del paramento slu'!$G$53)*IF(N1139&lt;0,-1,1)</f>
        <v>240946.49743184328</v>
      </c>
      <c r="U1139" s="553">
        <f>'Foglio deposito bis'!$F$62*IF(ABS(O1139)&lt;'Progetto del paramento slu'!$G$58,ABS(O1139)*'Progetto del paramento slu'!$G$54,'Progetto del paramento slu'!$G$53)*IF(O1139&lt;0,-1,1)</f>
        <v>314705.62929873407</v>
      </c>
      <c r="V1139" s="479">
        <f t="shared" si="87"/>
        <v>-40312.034822276037</v>
      </c>
      <c r="W1139" s="559"/>
      <c r="X1139" s="559"/>
    </row>
    <row r="1140" spans="1:24" x14ac:dyDescent="0.25">
      <c r="A1140" s="553">
        <f t="shared" si="86"/>
        <v>51756.752678899968</v>
      </c>
      <c r="B1140" s="3">
        <f t="shared" si="84"/>
        <v>13.299999999999974</v>
      </c>
      <c r="C1140" s="553">
        <f>'Foglio deposito bis'!$E$157/sezione!$B$247*B1140</f>
        <v>53.9925990813989</v>
      </c>
      <c r="D1140" s="611">
        <f>-'Progetto del paramento slu'!$G$47*'Progetto del paramento slu'!$G$41*IF(DATI!$G$218="dx",DATI!$E$61,DATI!$E$64*DATI!$E$63)*1000*C1140^2*sezione!$AD$5*(1-sezione!$AD$6)</f>
        <v>-23997931.920160245</v>
      </c>
      <c r="E1140" s="553">
        <f>-'Foglio deposito bis'!$F$58*(C1140-sezione!$AL$31)*IF(ABS(K1140)&lt;'Progetto del paramento slu'!$G$58,ABS(K1140)*'Progetto del paramento slu'!$G$54,'Progetto del paramento slu'!$G$53)</f>
        <v>0</v>
      </c>
      <c r="F1140" s="553">
        <f>-'Foglio deposito bis'!$F$59*(C1140-sezione!$AM$31)*IF(ABS(L1140)&lt;'Progetto del paramento slu'!$G$58,ABS(L1140)*'Progetto del paramento slu'!$G$54,'Progetto del paramento slu'!$G$53)</f>
        <v>14752963.634484479</v>
      </c>
      <c r="G1140" s="553">
        <f>-'Foglio deposito bis'!$F$60*(C1140-sezione!$AN$31)*IF(ABS(M1140)&lt;'Progetto del paramento slu'!$G$58,ABS(M1140)*'Progetto del paramento slu'!$G$54,'Progetto del paramento slu'!$G$53)</f>
        <v>0</v>
      </c>
      <c r="H1140" s="553">
        <f>-'Foglio deposito bis'!$F$61*(C1140-sezione!$AO$31)*IF(ABS(N1140)&lt;'Progetto del paramento slu'!$G$58,ABS(N1140)*'Progetto del paramento slu'!$G$54,'Progetto del paramento slu'!$G$53)</f>
        <v>68912481.490921885</v>
      </c>
      <c r="I1140" s="479">
        <f>-'Foglio deposito bis'!$F$62*(C1140-sezione!$AP$31)*IF(ABS(O1140)&lt;'Progetto del paramento slu'!$G$58,ABS(O1140)*'Progetto del paramento slu'!$G$54,'Progetto del paramento slu'!$G$53)</f>
        <v>64832944.542786464</v>
      </c>
      <c r="J1140" s="479">
        <f t="shared" si="85"/>
        <v>124500457.74803258</v>
      </c>
      <c r="K1140" s="558">
        <f>'Progetto del paramento slu'!$G$60*(sezione!$AL$31-C1140)/C1140</f>
        <v>-9.0705203339189341E-4</v>
      </c>
      <c r="L1140" s="558">
        <f>'Progetto del paramento slu'!$G$60*(sezione!$AM$31-C1140)/C1140</f>
        <v>6.2235548747803992E-3</v>
      </c>
      <c r="M1140" s="559">
        <f>'Progetto del paramento slu'!$G$60*(sezione!$AN$31-C1140)/C1140</f>
        <v>1.3354161782952692E-2</v>
      </c>
      <c r="N1140" s="559">
        <f>'Progetto del paramento slu'!$G$60*(sezione!$AO$31-C1140)/C1140</f>
        <v>1.8540057716168908E-2</v>
      </c>
      <c r="O1140" s="559">
        <f>'Progetto del paramento slu'!$G$60*(sezione!$AP$31-C1140)/C1140</f>
        <v>1.3354420454444547E-2</v>
      </c>
      <c r="P1140" s="553">
        <f>-'Progetto del paramento slu'!$G$47*'Progetto del paramento slu'!$G$41*IF(DATI!$G$218="dx",DATI!$E$61,DATI!$E$64*DATI!$E$63)*1000*C1140*sezione!$AD$5</f>
        <v>-761073.7374654999</v>
      </c>
      <c r="Q1140" s="553">
        <f>'Foglio deposito bis'!$F$58*IF(ABS(K1140)&lt;'Progetto del paramento slu'!$G$58,ABS(K1140)*'Progetto del paramento slu'!$G$54,'Progetto del paramento slu'!$G$53)*IF(K1140&lt;0,-1,1)</f>
        <v>0</v>
      </c>
      <c r="R1140" s="553">
        <f>'Foglio deposito bis'!$F$59*IF(ABS(L1140)&lt;'Progetto del paramento slu'!$G$58,ABS(L1140)*'Progetto del paramento slu'!$G$54,'Progetto del paramento slu'!$G$53)*IF(L1140&lt;0,-1,1)</f>
        <v>153664.85805602249</v>
      </c>
      <c r="S1140" s="553">
        <f>'Foglio deposito bis'!$F$60*IF(ABS(M1140)&lt;'Progetto del paramento slu'!$G$58,ABS(M1140)*'Progetto del paramento slu'!$G$54,'Progetto del paramento slu'!$G$53)*IF(M1140&lt;0,-1,1)</f>
        <v>0</v>
      </c>
      <c r="T1140" s="553">
        <f>'Foglio deposito bis'!$F$61*IF(ABS(N1140)&lt;'Progetto del paramento slu'!$G$58,ABS(N1140)*'Progetto del paramento slu'!$G$54,'Progetto del paramento slu'!$G$53)*IF(N1140&lt;0,-1,1)</f>
        <v>240946.49743184328</v>
      </c>
      <c r="U1140" s="553">
        <f>'Foglio deposito bis'!$F$62*IF(ABS(O1140)&lt;'Progetto del paramento slu'!$G$58,ABS(O1140)*'Progetto del paramento slu'!$G$54,'Progetto del paramento slu'!$G$53)*IF(O1140&lt;0,-1,1)</f>
        <v>314705.62929873407</v>
      </c>
      <c r="V1140" s="479">
        <f t="shared" si="87"/>
        <v>-51756.752678899968</v>
      </c>
      <c r="W1140" s="559"/>
      <c r="X1140" s="559"/>
    </row>
    <row r="1141" spans="1:24" x14ac:dyDescent="0.25">
      <c r="A1141" s="553">
        <f t="shared" si="86"/>
        <v>63201.470535523898</v>
      </c>
      <c r="B1141" s="3">
        <f t="shared" si="84"/>
        <v>13.499999999999973</v>
      </c>
      <c r="C1141" s="553">
        <f>'Foglio deposito bis'!$E$157/sezione!$B$247*B1141</f>
        <v>54.804517864577825</v>
      </c>
      <c r="D1141" s="611">
        <f>-'Progetto del paramento slu'!$G$47*'Progetto del paramento slu'!$G$41*IF(DATI!$G$218="dx",DATI!$E$61,DATI!$E$64*DATI!$E$63)*1000*C1141^2*sezione!$AD$5*(1-sezione!$AD$6)</f>
        <v>-24725100.867483765</v>
      </c>
      <c r="E1141" s="553">
        <f>-'Foglio deposito bis'!$F$58*(C1141-sezione!$AL$31)*IF(ABS(K1141)&lt;'Progetto del paramento slu'!$G$58,ABS(K1141)*'Progetto del paramento slu'!$G$54,'Progetto del paramento slu'!$G$53)</f>
        <v>0</v>
      </c>
      <c r="F1141" s="553">
        <f>-'Foglio deposito bis'!$F$59*(C1141-sezione!$AM$31)*IF(ABS(L1141)&lt;'Progetto del paramento slu'!$G$58,ABS(L1141)*'Progetto del paramento slu'!$G$54,'Progetto del paramento slu'!$G$53)</f>
        <v>14628200.249914274</v>
      </c>
      <c r="G1141" s="553">
        <f>-'Foglio deposito bis'!$F$60*(C1141-sezione!$AN$31)*IF(ABS(M1141)&lt;'Progetto del paramento slu'!$G$58,ABS(M1141)*'Progetto del paramento slu'!$G$54,'Progetto del paramento slu'!$G$53)</f>
        <v>0</v>
      </c>
      <c r="H1141" s="553">
        <f>-'Foglio deposito bis'!$F$61*(C1141-sezione!$AO$31)*IF(ABS(N1141)&lt;'Progetto del paramento slu'!$G$58,ABS(N1141)*'Progetto del paramento slu'!$G$54,'Progetto del paramento slu'!$G$53)</f>
        <v>68716852.503915817</v>
      </c>
      <c r="I1141" s="479">
        <f>-'Foglio deposito bis'!$F$62*(C1141-sezione!$AP$31)*IF(ABS(O1141)&lt;'Progetto del paramento slu'!$G$58,ABS(O1141)*'Progetto del paramento slu'!$G$54,'Progetto del paramento slu'!$G$53)</f>
        <v>64577429.131186679</v>
      </c>
      <c r="J1141" s="479">
        <f t="shared" si="85"/>
        <v>123197381.017533</v>
      </c>
      <c r="K1141" s="558">
        <f>'Progetto del paramento slu'!$G$60*(sezione!$AL$31-C1141)/C1141</f>
        <v>-9.4546607734164291E-4</v>
      </c>
      <c r="L1141" s="558">
        <f>'Progetto del paramento slu'!$G$60*(sezione!$AM$31-C1141)/C1141</f>
        <v>6.0795022099688388E-3</v>
      </c>
      <c r="M1141" s="559">
        <f>'Progetto del paramento slu'!$G$60*(sezione!$AN$31-C1141)/C1141</f>
        <v>1.3104470497279322E-2</v>
      </c>
      <c r="N1141" s="559">
        <f>'Progetto del paramento slu'!$G$60*(sezione!$AO$31-C1141)/C1141</f>
        <v>1.8213538342596036E-2</v>
      </c>
      <c r="O1141" s="559">
        <f>'Progetto del paramento slu'!$G$60*(sezione!$AP$31-C1141)/C1141</f>
        <v>1.3104725336600925E-2</v>
      </c>
      <c r="P1141" s="553">
        <f>-'Progetto del paramento slu'!$G$47*'Progetto del paramento slu'!$G$41*IF(DATI!$G$218="dx",DATI!$E$61,DATI!$E$64*DATI!$E$63)*1000*C1141*sezione!$AD$5</f>
        <v>-772518.45532212383</v>
      </c>
      <c r="Q1141" s="553">
        <f>'Foglio deposito bis'!$F$58*IF(ABS(K1141)&lt;'Progetto del paramento slu'!$G$58,ABS(K1141)*'Progetto del paramento slu'!$G$54,'Progetto del paramento slu'!$G$53)*IF(K1141&lt;0,-1,1)</f>
        <v>0</v>
      </c>
      <c r="R1141" s="553">
        <f>'Foglio deposito bis'!$F$59*IF(ABS(L1141)&lt;'Progetto del paramento slu'!$G$58,ABS(L1141)*'Progetto del paramento slu'!$G$54,'Progetto del paramento slu'!$G$53)*IF(L1141&lt;0,-1,1)</f>
        <v>153664.85805602249</v>
      </c>
      <c r="S1141" s="553">
        <f>'Foglio deposito bis'!$F$60*IF(ABS(M1141)&lt;'Progetto del paramento slu'!$G$58,ABS(M1141)*'Progetto del paramento slu'!$G$54,'Progetto del paramento slu'!$G$53)*IF(M1141&lt;0,-1,1)</f>
        <v>0</v>
      </c>
      <c r="T1141" s="553">
        <f>'Foglio deposito bis'!$F$61*IF(ABS(N1141)&lt;'Progetto del paramento slu'!$G$58,ABS(N1141)*'Progetto del paramento slu'!$G$54,'Progetto del paramento slu'!$G$53)*IF(N1141&lt;0,-1,1)</f>
        <v>240946.49743184328</v>
      </c>
      <c r="U1141" s="553">
        <f>'Foglio deposito bis'!$F$62*IF(ABS(O1141)&lt;'Progetto del paramento slu'!$G$58,ABS(O1141)*'Progetto del paramento slu'!$G$54,'Progetto del paramento slu'!$G$53)*IF(O1141&lt;0,-1,1)</f>
        <v>314705.62929873407</v>
      </c>
      <c r="V1141" s="479">
        <f t="shared" si="87"/>
        <v>-63201.470535523898</v>
      </c>
      <c r="W1141" s="559"/>
      <c r="X1141" s="559"/>
    </row>
    <row r="1142" spans="1:24" x14ac:dyDescent="0.25">
      <c r="A1142" s="553">
        <f t="shared" si="86"/>
        <v>74646.188392148062</v>
      </c>
      <c r="B1142" s="3">
        <f t="shared" si="84"/>
        <v>13.699999999999973</v>
      </c>
      <c r="C1142" s="553">
        <f>'Foglio deposito bis'!$E$157/sezione!$B$247*B1142</f>
        <v>55.616436647756757</v>
      </c>
      <c r="D1142" s="611">
        <f>-'Progetto del paramento slu'!$G$47*'Progetto del paramento slu'!$G$41*IF(DATI!$G$218="dx",DATI!$E$61,DATI!$E$64*DATI!$E$63)*1000*C1142^2*sezione!$AD$5*(1-sezione!$AD$6)</f>
        <v>-25463123.082677796</v>
      </c>
      <c r="E1142" s="553">
        <f>-'Foglio deposito bis'!$F$58*(C1142-sezione!$AL$31)*IF(ABS(K1142)&lt;'Progetto del paramento slu'!$G$58,ABS(K1142)*'Progetto del paramento slu'!$G$54,'Progetto del paramento slu'!$G$53)</f>
        <v>0</v>
      </c>
      <c r="F1142" s="553">
        <f>-'Foglio deposito bis'!$F$59*(C1142-sezione!$AM$31)*IF(ABS(L1142)&lt;'Progetto del paramento slu'!$G$58,ABS(L1142)*'Progetto del paramento slu'!$G$54,'Progetto del paramento slu'!$G$53)</f>
        <v>14503436.865344064</v>
      </c>
      <c r="G1142" s="553">
        <f>-'Foglio deposito bis'!$F$60*(C1142-sezione!$AN$31)*IF(ABS(M1142)&lt;'Progetto del paramento slu'!$G$58,ABS(M1142)*'Progetto del paramento slu'!$G$54,'Progetto del paramento slu'!$G$53)</f>
        <v>0</v>
      </c>
      <c r="H1142" s="553">
        <f>-'Foglio deposito bis'!$F$61*(C1142-sezione!$AO$31)*IF(ABS(N1142)&lt;'Progetto del paramento slu'!$G$58,ABS(N1142)*'Progetto del paramento slu'!$G$54,'Progetto del paramento slu'!$G$53)</f>
        <v>68521223.516909719</v>
      </c>
      <c r="I1142" s="479">
        <f>-'Foglio deposito bis'!$F$62*(C1142-sezione!$AP$31)*IF(ABS(O1142)&lt;'Progetto del paramento slu'!$G$58,ABS(O1142)*'Progetto del paramento slu'!$G$54,'Progetto del paramento slu'!$G$53)</f>
        <v>64321913.719586894</v>
      </c>
      <c r="J1142" s="479">
        <f t="shared" si="85"/>
        <v>121883451.01916288</v>
      </c>
      <c r="K1142" s="558">
        <f>'Progetto del paramento slu'!$G$60*(sezione!$AL$31-C1142)/C1142</f>
        <v>-9.8275854336585255E-4</v>
      </c>
      <c r="L1142" s="558">
        <f>'Progetto del paramento slu'!$G$60*(sezione!$AM$31-C1142)/C1142</f>
        <v>5.9396554623780528E-3</v>
      </c>
      <c r="M1142" s="559">
        <f>'Progetto del paramento slu'!$G$60*(sezione!$AN$31-C1142)/C1142</f>
        <v>1.2862069468121958E-2</v>
      </c>
      <c r="N1142" s="559">
        <f>'Progetto del paramento slu'!$G$60*(sezione!$AO$31-C1142)/C1142</f>
        <v>1.7896552381390256E-2</v>
      </c>
      <c r="O1142" s="559">
        <f>'Progetto del paramento slu'!$G$60*(sezione!$AP$31-C1142)/C1142</f>
        <v>1.2862320587161497E-2</v>
      </c>
      <c r="P1142" s="553">
        <f>-'Progetto del paramento slu'!$G$47*'Progetto del paramento slu'!$G$41*IF(DATI!$G$218="dx",DATI!$E$61,DATI!$E$64*DATI!$E$63)*1000*C1142*sezione!$AD$5</f>
        <v>-783963.17317874799</v>
      </c>
      <c r="Q1142" s="553">
        <f>'Foglio deposito bis'!$F$58*IF(ABS(K1142)&lt;'Progetto del paramento slu'!$G$58,ABS(K1142)*'Progetto del paramento slu'!$G$54,'Progetto del paramento slu'!$G$53)*IF(K1142&lt;0,-1,1)</f>
        <v>0</v>
      </c>
      <c r="R1142" s="553">
        <f>'Foglio deposito bis'!$F$59*IF(ABS(L1142)&lt;'Progetto del paramento slu'!$G$58,ABS(L1142)*'Progetto del paramento slu'!$G$54,'Progetto del paramento slu'!$G$53)*IF(L1142&lt;0,-1,1)</f>
        <v>153664.85805602249</v>
      </c>
      <c r="S1142" s="553">
        <f>'Foglio deposito bis'!$F$60*IF(ABS(M1142)&lt;'Progetto del paramento slu'!$G$58,ABS(M1142)*'Progetto del paramento slu'!$G$54,'Progetto del paramento slu'!$G$53)*IF(M1142&lt;0,-1,1)</f>
        <v>0</v>
      </c>
      <c r="T1142" s="553">
        <f>'Foglio deposito bis'!$F$61*IF(ABS(N1142)&lt;'Progetto del paramento slu'!$G$58,ABS(N1142)*'Progetto del paramento slu'!$G$54,'Progetto del paramento slu'!$G$53)*IF(N1142&lt;0,-1,1)</f>
        <v>240946.49743184328</v>
      </c>
      <c r="U1142" s="553">
        <f>'Foglio deposito bis'!$F$62*IF(ABS(O1142)&lt;'Progetto del paramento slu'!$G$58,ABS(O1142)*'Progetto del paramento slu'!$G$54,'Progetto del paramento slu'!$G$53)*IF(O1142&lt;0,-1,1)</f>
        <v>314705.62929873407</v>
      </c>
      <c r="V1142" s="479">
        <f t="shared" si="87"/>
        <v>-74646.188392148062</v>
      </c>
      <c r="W1142" s="559"/>
      <c r="X1142" s="559"/>
    </row>
    <row r="1143" spans="1:24" x14ac:dyDescent="0.25">
      <c r="A1143" s="553">
        <f t="shared" si="86"/>
        <v>86090.906248772226</v>
      </c>
      <c r="B1143" s="3">
        <f t="shared" si="84"/>
        <v>13.899999999999972</v>
      </c>
      <c r="C1143" s="553">
        <f>'Foglio deposito bis'!$E$157/sezione!$B$247*B1143</f>
        <v>56.428355430935689</v>
      </c>
      <c r="D1143" s="611">
        <f>-'Progetto del paramento slu'!$G$47*'Progetto del paramento slu'!$G$41*IF(DATI!$G$218="dx",DATI!$E$61,DATI!$E$64*DATI!$E$63)*1000*C1143^2*sezione!$AD$5*(1-sezione!$AD$6)</f>
        <v>-26211998.565742332</v>
      </c>
      <c r="E1143" s="553">
        <f>-'Foglio deposito bis'!$F$58*(C1143-sezione!$AL$31)*IF(ABS(K1143)&lt;'Progetto del paramento slu'!$G$58,ABS(K1143)*'Progetto del paramento slu'!$G$54,'Progetto del paramento slu'!$G$53)</f>
        <v>0</v>
      </c>
      <c r="F1143" s="553">
        <f>-'Foglio deposito bis'!$F$59*(C1143-sezione!$AM$31)*IF(ABS(L1143)&lt;'Progetto del paramento slu'!$G$58,ABS(L1143)*'Progetto del paramento slu'!$G$54,'Progetto del paramento slu'!$G$53)</f>
        <v>14378673.480773857</v>
      </c>
      <c r="G1143" s="553">
        <f>-'Foglio deposito bis'!$F$60*(C1143-sezione!$AN$31)*IF(ABS(M1143)&lt;'Progetto del paramento slu'!$G$58,ABS(M1143)*'Progetto del paramento slu'!$G$54,'Progetto del paramento slu'!$G$53)</f>
        <v>0</v>
      </c>
      <c r="H1143" s="553">
        <f>-'Foglio deposito bis'!$F$61*(C1143-sezione!$AO$31)*IF(ABS(N1143)&lt;'Progetto del paramento slu'!$G$58,ABS(N1143)*'Progetto del paramento slu'!$G$54,'Progetto del paramento slu'!$G$53)</f>
        <v>68325594.52990362</v>
      </c>
      <c r="I1143" s="479">
        <f>-'Foglio deposito bis'!$F$62*(C1143-sezione!$AP$31)*IF(ABS(O1143)&lt;'Progetto del paramento slu'!$G$58,ABS(O1143)*'Progetto del paramento slu'!$G$54,'Progetto del paramento slu'!$G$53)</f>
        <v>64066398.307987101</v>
      </c>
      <c r="J1143" s="479">
        <f t="shared" si="85"/>
        <v>120558667.75292224</v>
      </c>
      <c r="K1143" s="558">
        <f>'Progetto del paramento slu'!$G$60*(sezione!$AL$31-C1143)/C1143</f>
        <v>-1.0189778449001569E-3</v>
      </c>
      <c r="L1143" s="558">
        <f>'Progetto del paramento slu'!$G$60*(sezione!$AM$31-C1143)/C1143</f>
        <v>5.8038330816244125E-3</v>
      </c>
      <c r="M1143" s="559">
        <f>'Progetto del paramento slu'!$G$60*(sezione!$AN$31-C1143)/C1143</f>
        <v>1.2626644008148981E-2</v>
      </c>
      <c r="N1143" s="559">
        <f>'Progetto del paramento slu'!$G$60*(sezione!$AO$31-C1143)/C1143</f>
        <v>1.7588688318348665E-2</v>
      </c>
      <c r="O1143" s="559">
        <f>'Progetto del paramento slu'!$G$60*(sezione!$AP$31-C1143)/C1143</f>
        <v>1.2626891513964927E-2</v>
      </c>
      <c r="P1143" s="553">
        <f>-'Progetto del paramento slu'!$G$47*'Progetto del paramento slu'!$G$41*IF(DATI!$G$218="dx",DATI!$E$61,DATI!$E$64*DATI!$E$63)*1000*C1143*sezione!$AD$5</f>
        <v>-795407.89103537204</v>
      </c>
      <c r="Q1143" s="553">
        <f>'Foglio deposito bis'!$F$58*IF(ABS(K1143)&lt;'Progetto del paramento slu'!$G$58,ABS(K1143)*'Progetto del paramento slu'!$G$54,'Progetto del paramento slu'!$G$53)*IF(K1143&lt;0,-1,1)</f>
        <v>0</v>
      </c>
      <c r="R1143" s="553">
        <f>'Foglio deposito bis'!$F$59*IF(ABS(L1143)&lt;'Progetto del paramento slu'!$G$58,ABS(L1143)*'Progetto del paramento slu'!$G$54,'Progetto del paramento slu'!$G$53)*IF(L1143&lt;0,-1,1)</f>
        <v>153664.85805602249</v>
      </c>
      <c r="S1143" s="553">
        <f>'Foglio deposito bis'!$F$60*IF(ABS(M1143)&lt;'Progetto del paramento slu'!$G$58,ABS(M1143)*'Progetto del paramento slu'!$G$54,'Progetto del paramento slu'!$G$53)*IF(M1143&lt;0,-1,1)</f>
        <v>0</v>
      </c>
      <c r="T1143" s="553">
        <f>'Foglio deposito bis'!$F$61*IF(ABS(N1143)&lt;'Progetto del paramento slu'!$G$58,ABS(N1143)*'Progetto del paramento slu'!$G$54,'Progetto del paramento slu'!$G$53)*IF(N1143&lt;0,-1,1)</f>
        <v>240946.49743184328</v>
      </c>
      <c r="U1143" s="553">
        <f>'Foglio deposito bis'!$F$62*IF(ABS(O1143)&lt;'Progetto del paramento slu'!$G$58,ABS(O1143)*'Progetto del paramento slu'!$G$54,'Progetto del paramento slu'!$G$53)*IF(O1143&lt;0,-1,1)</f>
        <v>314705.62929873407</v>
      </c>
      <c r="V1143" s="479">
        <f t="shared" si="87"/>
        <v>-86090.906248772226</v>
      </c>
      <c r="W1143" s="559"/>
      <c r="X1143" s="559"/>
    </row>
    <row r="1144" spans="1:24" x14ac:dyDescent="0.25">
      <c r="A1144" s="553">
        <f t="shared" si="86"/>
        <v>97535.624105396157</v>
      </c>
      <c r="B1144" s="3">
        <f t="shared" si="84"/>
        <v>14.099999999999971</v>
      </c>
      <c r="C1144" s="553">
        <f>'Foglio deposito bis'!$E$157/sezione!$B$247*B1144</f>
        <v>57.240274214114613</v>
      </c>
      <c r="D1144" s="611">
        <f>-'Progetto del paramento slu'!$G$47*'Progetto del paramento slu'!$G$41*IF(DATI!$G$218="dx",DATI!$E$61,DATI!$E$64*DATI!$E$63)*1000*C1144^2*sezione!$AD$5*(1-sezione!$AD$6)</f>
        <v>-26971727.316677354</v>
      </c>
      <c r="E1144" s="553">
        <f>-'Foglio deposito bis'!$F$58*(C1144-sezione!$AL$31)*IF(ABS(K1144)&lt;'Progetto del paramento slu'!$G$58,ABS(K1144)*'Progetto del paramento slu'!$G$54,'Progetto del paramento slu'!$G$53)</f>
        <v>0</v>
      </c>
      <c r="F1144" s="553">
        <f>-'Foglio deposito bis'!$F$59*(C1144-sezione!$AM$31)*IF(ABS(L1144)&lt;'Progetto del paramento slu'!$G$58,ABS(L1144)*'Progetto del paramento slu'!$G$54,'Progetto del paramento slu'!$G$53)</f>
        <v>14253910.096203648</v>
      </c>
      <c r="G1144" s="553">
        <f>-'Foglio deposito bis'!$F$60*(C1144-sezione!$AN$31)*IF(ABS(M1144)&lt;'Progetto del paramento slu'!$G$58,ABS(M1144)*'Progetto del paramento slu'!$G$54,'Progetto del paramento slu'!$G$53)</f>
        <v>0</v>
      </c>
      <c r="H1144" s="553">
        <f>-'Foglio deposito bis'!$F$61*(C1144-sezione!$AO$31)*IF(ABS(N1144)&lt;'Progetto del paramento slu'!$G$58,ABS(N1144)*'Progetto del paramento slu'!$G$54,'Progetto del paramento slu'!$G$53)</f>
        <v>68129965.542897537</v>
      </c>
      <c r="I1144" s="479">
        <f>-'Foglio deposito bis'!$F$62*(C1144-sezione!$AP$31)*IF(ABS(O1144)&lt;'Progetto del paramento slu'!$G$58,ABS(O1144)*'Progetto del paramento slu'!$G$54,'Progetto del paramento slu'!$G$53)</f>
        <v>63810882.896387316</v>
      </c>
      <c r="J1144" s="479">
        <f t="shared" si="85"/>
        <v>119223031.21881115</v>
      </c>
      <c r="K1144" s="558">
        <f>'Progetto del paramento slu'!$G$60*(sezione!$AL$31-C1144)/C1144</f>
        <v>-1.0541696485185943E-3</v>
      </c>
      <c r="L1144" s="558">
        <f>'Progetto del paramento slu'!$G$60*(sezione!$AM$31-C1144)/C1144</f>
        <v>5.6718638180552729E-3</v>
      </c>
      <c r="M1144" s="559">
        <f>'Progetto del paramento slu'!$G$60*(sezione!$AN$31-C1144)/C1144</f>
        <v>1.2397897284629139E-2</v>
      </c>
      <c r="N1144" s="559">
        <f>'Progetto del paramento slu'!$G$60*(sezione!$AO$31-C1144)/C1144</f>
        <v>1.728955798759195E-2</v>
      </c>
      <c r="O1144" s="559">
        <f>'Progetto del paramento slu'!$G$60*(sezione!$AP$31-C1144)/C1144</f>
        <v>1.2398141279724292E-2</v>
      </c>
      <c r="P1144" s="553">
        <f>-'Progetto del paramento slu'!$G$47*'Progetto del paramento slu'!$G$41*IF(DATI!$G$218="dx",DATI!$E$61,DATI!$E$64*DATI!$E$63)*1000*C1144*sezione!$AD$5</f>
        <v>-806852.60889199609</v>
      </c>
      <c r="Q1144" s="553">
        <f>'Foglio deposito bis'!$F$58*IF(ABS(K1144)&lt;'Progetto del paramento slu'!$G$58,ABS(K1144)*'Progetto del paramento slu'!$G$54,'Progetto del paramento slu'!$G$53)*IF(K1144&lt;0,-1,1)</f>
        <v>0</v>
      </c>
      <c r="R1144" s="553">
        <f>'Foglio deposito bis'!$F$59*IF(ABS(L1144)&lt;'Progetto del paramento slu'!$G$58,ABS(L1144)*'Progetto del paramento slu'!$G$54,'Progetto del paramento slu'!$G$53)*IF(L1144&lt;0,-1,1)</f>
        <v>153664.85805602249</v>
      </c>
      <c r="S1144" s="553">
        <f>'Foglio deposito bis'!$F$60*IF(ABS(M1144)&lt;'Progetto del paramento slu'!$G$58,ABS(M1144)*'Progetto del paramento slu'!$G$54,'Progetto del paramento slu'!$G$53)*IF(M1144&lt;0,-1,1)</f>
        <v>0</v>
      </c>
      <c r="T1144" s="553">
        <f>'Foglio deposito bis'!$F$61*IF(ABS(N1144)&lt;'Progetto del paramento slu'!$G$58,ABS(N1144)*'Progetto del paramento slu'!$G$54,'Progetto del paramento slu'!$G$53)*IF(N1144&lt;0,-1,1)</f>
        <v>240946.49743184328</v>
      </c>
      <c r="U1144" s="553">
        <f>'Foglio deposito bis'!$F$62*IF(ABS(O1144)&lt;'Progetto del paramento slu'!$G$58,ABS(O1144)*'Progetto del paramento slu'!$G$54,'Progetto del paramento slu'!$G$53)*IF(O1144&lt;0,-1,1)</f>
        <v>314705.62929873407</v>
      </c>
      <c r="V1144" s="479">
        <f t="shared" si="87"/>
        <v>-97535.624105396157</v>
      </c>
      <c r="W1144" s="559"/>
      <c r="X1144" s="559"/>
    </row>
    <row r="1145" spans="1:24" x14ac:dyDescent="0.25">
      <c r="A1145" s="553">
        <f t="shared" si="86"/>
        <v>108980.34196202009</v>
      </c>
      <c r="B1145" s="3">
        <f t="shared" si="84"/>
        <v>14.299999999999971</v>
      </c>
      <c r="C1145" s="553">
        <f>'Foglio deposito bis'!$E$157/sezione!$B$247*B1145</f>
        <v>58.052192997293545</v>
      </c>
      <c r="D1145" s="611">
        <f>-'Progetto del paramento slu'!$G$47*'Progetto del paramento slu'!$G$41*IF(DATI!$G$218="dx",DATI!$E$61,DATI!$E$64*DATI!$E$63)*1000*C1145^2*sezione!$AD$5*(1-sezione!$AD$6)</f>
        <v>-27742309.335482877</v>
      </c>
      <c r="E1145" s="553">
        <f>-'Foglio deposito bis'!$F$58*(C1145-sezione!$AL$31)*IF(ABS(K1145)&lt;'Progetto del paramento slu'!$G$58,ABS(K1145)*'Progetto del paramento slu'!$G$54,'Progetto del paramento slu'!$G$53)</f>
        <v>0</v>
      </c>
      <c r="F1145" s="553">
        <f>-'Foglio deposito bis'!$F$59*(C1145-sezione!$AM$31)*IF(ABS(L1145)&lt;'Progetto del paramento slu'!$G$58,ABS(L1145)*'Progetto del paramento slu'!$G$54,'Progetto del paramento slu'!$G$53)</f>
        <v>14129146.711633438</v>
      </c>
      <c r="G1145" s="553">
        <f>-'Foglio deposito bis'!$F$60*(C1145-sezione!$AN$31)*IF(ABS(M1145)&lt;'Progetto del paramento slu'!$G$58,ABS(M1145)*'Progetto del paramento slu'!$G$54,'Progetto del paramento slu'!$G$53)</f>
        <v>0</v>
      </c>
      <c r="H1145" s="553">
        <f>-'Foglio deposito bis'!$F$61*(C1145-sezione!$AO$31)*IF(ABS(N1145)&lt;'Progetto del paramento slu'!$G$58,ABS(N1145)*'Progetto del paramento slu'!$G$54,'Progetto del paramento slu'!$G$53)</f>
        <v>67934336.555891454</v>
      </c>
      <c r="I1145" s="479">
        <f>-'Foglio deposito bis'!$F$62*(C1145-sezione!$AP$31)*IF(ABS(O1145)&lt;'Progetto del paramento slu'!$G$58,ABS(O1145)*'Progetto del paramento slu'!$G$54,'Progetto del paramento slu'!$G$53)</f>
        <v>63555367.484787531</v>
      </c>
      <c r="J1145" s="479">
        <f t="shared" si="85"/>
        <v>117876541.41682956</v>
      </c>
      <c r="K1145" s="558">
        <f>'Progetto del paramento slu'!$G$60*(sezione!$AL$31-C1145)/C1145</f>
        <v>-1.0883770660218305E-3</v>
      </c>
      <c r="L1145" s="558">
        <f>'Progetto del paramento slu'!$G$60*(sezione!$AM$31-C1145)/C1145</f>
        <v>5.5435860024181357E-3</v>
      </c>
      <c r="M1145" s="559">
        <f>'Progetto del paramento slu'!$G$60*(sezione!$AN$31-C1145)/C1145</f>
        <v>1.21755490708581E-2</v>
      </c>
      <c r="N1145" s="559">
        <f>'Progetto del paramento slu'!$G$60*(sezione!$AO$31-C1145)/C1145</f>
        <v>1.699879493881444E-2</v>
      </c>
      <c r="O1145" s="559">
        <f>'Progetto del paramento slu'!$G$60*(sezione!$AP$31-C1145)/C1145</f>
        <v>1.2175789653434441E-2</v>
      </c>
      <c r="P1145" s="553">
        <f>-'Progetto del paramento slu'!$G$47*'Progetto del paramento slu'!$G$41*IF(DATI!$G$218="dx",DATI!$E$61,DATI!$E$64*DATI!$E$63)*1000*C1145*sezione!$AD$5</f>
        <v>-818297.32674862002</v>
      </c>
      <c r="Q1145" s="553">
        <f>'Foglio deposito bis'!$F$58*IF(ABS(K1145)&lt;'Progetto del paramento slu'!$G$58,ABS(K1145)*'Progetto del paramento slu'!$G$54,'Progetto del paramento slu'!$G$53)*IF(K1145&lt;0,-1,1)</f>
        <v>0</v>
      </c>
      <c r="R1145" s="553">
        <f>'Foglio deposito bis'!$F$59*IF(ABS(L1145)&lt;'Progetto del paramento slu'!$G$58,ABS(L1145)*'Progetto del paramento slu'!$G$54,'Progetto del paramento slu'!$G$53)*IF(L1145&lt;0,-1,1)</f>
        <v>153664.85805602249</v>
      </c>
      <c r="S1145" s="553">
        <f>'Foglio deposito bis'!$F$60*IF(ABS(M1145)&lt;'Progetto del paramento slu'!$G$58,ABS(M1145)*'Progetto del paramento slu'!$G$54,'Progetto del paramento slu'!$G$53)*IF(M1145&lt;0,-1,1)</f>
        <v>0</v>
      </c>
      <c r="T1145" s="553">
        <f>'Foglio deposito bis'!$F$61*IF(ABS(N1145)&lt;'Progetto del paramento slu'!$G$58,ABS(N1145)*'Progetto del paramento slu'!$G$54,'Progetto del paramento slu'!$G$53)*IF(N1145&lt;0,-1,1)</f>
        <v>240946.49743184328</v>
      </c>
      <c r="U1145" s="553">
        <f>'Foglio deposito bis'!$F$62*IF(ABS(O1145)&lt;'Progetto del paramento slu'!$G$58,ABS(O1145)*'Progetto del paramento slu'!$G$54,'Progetto del paramento slu'!$G$53)*IF(O1145&lt;0,-1,1)</f>
        <v>314705.62929873407</v>
      </c>
      <c r="V1145" s="479">
        <f t="shared" si="87"/>
        <v>-108980.34196202009</v>
      </c>
      <c r="W1145" s="559"/>
      <c r="X1145" s="559"/>
    </row>
    <row r="1146" spans="1:24" x14ac:dyDescent="0.25">
      <c r="A1146" s="553">
        <f t="shared" si="86"/>
        <v>120425.05981864425</v>
      </c>
      <c r="B1146" s="3">
        <f t="shared" si="84"/>
        <v>14.49999999999997</v>
      </c>
      <c r="C1146" s="553">
        <f>'Foglio deposito bis'!$E$157/sezione!$B$247*B1146</f>
        <v>58.864111780472477</v>
      </c>
      <c r="D1146" s="611">
        <f>-'Progetto del paramento slu'!$G$47*'Progetto del paramento slu'!$G$41*IF(DATI!$G$218="dx",DATI!$E$61,DATI!$E$64*DATI!$E$63)*1000*C1146^2*sezione!$AD$5*(1-sezione!$AD$6)</f>
        <v>-28523744.622158911</v>
      </c>
      <c r="E1146" s="553">
        <f>-'Foglio deposito bis'!$F$58*(C1146-sezione!$AL$31)*IF(ABS(K1146)&lt;'Progetto del paramento slu'!$G$58,ABS(K1146)*'Progetto del paramento slu'!$G$54,'Progetto del paramento slu'!$G$53)</f>
        <v>0</v>
      </c>
      <c r="F1146" s="553">
        <f>-'Foglio deposito bis'!$F$59*(C1146-sezione!$AM$31)*IF(ABS(L1146)&lt;'Progetto del paramento slu'!$G$58,ABS(L1146)*'Progetto del paramento slu'!$G$54,'Progetto del paramento slu'!$G$53)</f>
        <v>14004383.327063229</v>
      </c>
      <c r="G1146" s="553">
        <f>-'Foglio deposito bis'!$F$60*(C1146-sezione!$AN$31)*IF(ABS(M1146)&lt;'Progetto del paramento slu'!$G$58,ABS(M1146)*'Progetto del paramento slu'!$G$54,'Progetto del paramento slu'!$G$53)</f>
        <v>0</v>
      </c>
      <c r="H1146" s="553">
        <f>-'Foglio deposito bis'!$F$61*(C1146-sezione!$AO$31)*IF(ABS(N1146)&lt;'Progetto del paramento slu'!$G$58,ABS(N1146)*'Progetto del paramento slu'!$G$54,'Progetto del paramento slu'!$G$53)</f>
        <v>67738707.568885371</v>
      </c>
      <c r="I1146" s="479">
        <f>-'Foglio deposito bis'!$F$62*(C1146-sezione!$AP$31)*IF(ABS(O1146)&lt;'Progetto del paramento slu'!$G$58,ABS(O1146)*'Progetto del paramento slu'!$G$54,'Progetto del paramento slu'!$G$53)</f>
        <v>63299852.073187746</v>
      </c>
      <c r="J1146" s="479">
        <f t="shared" si="85"/>
        <v>116519198.34697744</v>
      </c>
      <c r="K1146" s="558">
        <f>'Progetto del paramento slu'!$G$60*(sezione!$AL$31-C1146)/C1146</f>
        <v>-1.121640830628426E-3</v>
      </c>
      <c r="L1146" s="558">
        <f>'Progetto del paramento slu'!$G$60*(sezione!$AM$31-C1146)/C1146</f>
        <v>5.4188468851434019E-3</v>
      </c>
      <c r="M1146" s="559">
        <f>'Progetto del paramento slu'!$G$60*(sezione!$AN$31-C1146)/C1146</f>
        <v>1.1959334600915229E-2</v>
      </c>
      <c r="N1146" s="559">
        <f>'Progetto del paramento slu'!$G$60*(sezione!$AO$31-C1146)/C1146</f>
        <v>1.6716052939658381E-2</v>
      </c>
      <c r="O1146" s="559">
        <f>'Progetto del paramento slu'!$G$60*(sezione!$AP$31-C1146)/C1146</f>
        <v>1.1959571865111209E-2</v>
      </c>
      <c r="P1146" s="553">
        <f>-'Progetto del paramento slu'!$G$47*'Progetto del paramento slu'!$G$41*IF(DATI!$G$218="dx",DATI!$E$61,DATI!$E$64*DATI!$E$63)*1000*C1146*sezione!$AD$5</f>
        <v>-829742.04460524418</v>
      </c>
      <c r="Q1146" s="553">
        <f>'Foglio deposito bis'!$F$58*IF(ABS(K1146)&lt;'Progetto del paramento slu'!$G$58,ABS(K1146)*'Progetto del paramento slu'!$G$54,'Progetto del paramento slu'!$G$53)*IF(K1146&lt;0,-1,1)</f>
        <v>0</v>
      </c>
      <c r="R1146" s="553">
        <f>'Foglio deposito bis'!$F$59*IF(ABS(L1146)&lt;'Progetto del paramento slu'!$G$58,ABS(L1146)*'Progetto del paramento slu'!$G$54,'Progetto del paramento slu'!$G$53)*IF(L1146&lt;0,-1,1)</f>
        <v>153664.85805602249</v>
      </c>
      <c r="S1146" s="553">
        <f>'Foglio deposito bis'!$F$60*IF(ABS(M1146)&lt;'Progetto del paramento slu'!$G$58,ABS(M1146)*'Progetto del paramento slu'!$G$54,'Progetto del paramento slu'!$G$53)*IF(M1146&lt;0,-1,1)</f>
        <v>0</v>
      </c>
      <c r="T1146" s="553">
        <f>'Foglio deposito bis'!$F$61*IF(ABS(N1146)&lt;'Progetto del paramento slu'!$G$58,ABS(N1146)*'Progetto del paramento slu'!$G$54,'Progetto del paramento slu'!$G$53)*IF(N1146&lt;0,-1,1)</f>
        <v>240946.49743184328</v>
      </c>
      <c r="U1146" s="553">
        <f>'Foglio deposito bis'!$F$62*IF(ABS(O1146)&lt;'Progetto del paramento slu'!$G$58,ABS(O1146)*'Progetto del paramento slu'!$G$54,'Progetto del paramento slu'!$G$53)*IF(O1146&lt;0,-1,1)</f>
        <v>314705.62929873407</v>
      </c>
      <c r="V1146" s="479">
        <f t="shared" si="87"/>
        <v>-120425.05981864425</v>
      </c>
      <c r="W1146" s="559"/>
      <c r="X1146" s="559"/>
    </row>
    <row r="1147" spans="1:24" x14ac:dyDescent="0.25">
      <c r="A1147" s="553">
        <f t="shared" si="86"/>
        <v>131869.77767526818</v>
      </c>
      <c r="B1147" s="3">
        <f t="shared" si="84"/>
        <v>14.699999999999969</v>
      </c>
      <c r="C1147" s="553">
        <f>'Foglio deposito bis'!$E$157/sezione!$B$247*B1147</f>
        <v>59.676030563651402</v>
      </c>
      <c r="D1147" s="611">
        <f>-'Progetto del paramento slu'!$G$47*'Progetto del paramento slu'!$G$41*IF(DATI!$G$218="dx",DATI!$E$61,DATI!$E$64*DATI!$E$63)*1000*C1147^2*sezione!$AD$5*(1-sezione!$AD$6)</f>
        <v>-29316033.176705435</v>
      </c>
      <c r="E1147" s="553">
        <f>-'Foglio deposito bis'!$F$58*(C1147-sezione!$AL$31)*IF(ABS(K1147)&lt;'Progetto del paramento slu'!$G$58,ABS(K1147)*'Progetto del paramento slu'!$G$54,'Progetto del paramento slu'!$G$53)</f>
        <v>0</v>
      </c>
      <c r="F1147" s="553">
        <f>-'Foglio deposito bis'!$F$59*(C1147-sezione!$AM$31)*IF(ABS(L1147)&lt;'Progetto del paramento slu'!$G$58,ABS(L1147)*'Progetto del paramento slu'!$G$54,'Progetto del paramento slu'!$G$53)</f>
        <v>13879619.94249302</v>
      </c>
      <c r="G1147" s="553">
        <f>-'Foglio deposito bis'!$F$60*(C1147-sezione!$AN$31)*IF(ABS(M1147)&lt;'Progetto del paramento slu'!$G$58,ABS(M1147)*'Progetto del paramento slu'!$G$54,'Progetto del paramento slu'!$G$53)</f>
        <v>0</v>
      </c>
      <c r="H1147" s="553">
        <f>-'Foglio deposito bis'!$F$61*(C1147-sezione!$AO$31)*IF(ABS(N1147)&lt;'Progetto del paramento slu'!$G$58,ABS(N1147)*'Progetto del paramento slu'!$G$54,'Progetto del paramento slu'!$G$53)</f>
        <v>67543078.581879273</v>
      </c>
      <c r="I1147" s="479">
        <f>-'Foglio deposito bis'!$F$62*(C1147-sezione!$AP$31)*IF(ABS(O1147)&lt;'Progetto del paramento slu'!$G$58,ABS(O1147)*'Progetto del paramento slu'!$G$54,'Progetto del paramento slu'!$G$53)</f>
        <v>63044336.661587961</v>
      </c>
      <c r="J1147" s="479">
        <f t="shared" si="85"/>
        <v>115151002.00925481</v>
      </c>
      <c r="K1147" s="558">
        <f>'Progetto del paramento slu'!$G$60*(sezione!$AL$31-C1147)/C1147</f>
        <v>-1.1539994587831412E-3</v>
      </c>
      <c r="L1147" s="558">
        <f>'Progetto del paramento slu'!$G$60*(sezione!$AM$31-C1147)/C1147</f>
        <v>5.2975020295632199E-3</v>
      </c>
      <c r="M1147" s="559">
        <f>'Progetto del paramento slu'!$G$60*(sezione!$AN$31-C1147)/C1147</f>
        <v>1.1749003517909582E-2</v>
      </c>
      <c r="N1147" s="559">
        <f>'Progetto del paramento slu'!$G$60*(sezione!$AO$31-C1147)/C1147</f>
        <v>1.6441004600343301E-2</v>
      </c>
      <c r="O1147" s="559">
        <f>'Progetto del paramento slu'!$G$60*(sezione!$AP$31-C1147)/C1147</f>
        <v>1.1749237554021262E-2</v>
      </c>
      <c r="P1147" s="553">
        <f>-'Progetto del paramento slu'!$G$47*'Progetto del paramento slu'!$G$41*IF(DATI!$G$218="dx",DATI!$E$61,DATI!$E$64*DATI!$E$63)*1000*C1147*sezione!$AD$5</f>
        <v>-841186.76246186811</v>
      </c>
      <c r="Q1147" s="553">
        <f>'Foglio deposito bis'!$F$58*IF(ABS(K1147)&lt;'Progetto del paramento slu'!$G$58,ABS(K1147)*'Progetto del paramento slu'!$G$54,'Progetto del paramento slu'!$G$53)*IF(K1147&lt;0,-1,1)</f>
        <v>0</v>
      </c>
      <c r="R1147" s="553">
        <f>'Foglio deposito bis'!$F$59*IF(ABS(L1147)&lt;'Progetto del paramento slu'!$G$58,ABS(L1147)*'Progetto del paramento slu'!$G$54,'Progetto del paramento slu'!$G$53)*IF(L1147&lt;0,-1,1)</f>
        <v>153664.85805602249</v>
      </c>
      <c r="S1147" s="553">
        <f>'Foglio deposito bis'!$F$60*IF(ABS(M1147)&lt;'Progetto del paramento slu'!$G$58,ABS(M1147)*'Progetto del paramento slu'!$G$54,'Progetto del paramento slu'!$G$53)*IF(M1147&lt;0,-1,1)</f>
        <v>0</v>
      </c>
      <c r="T1147" s="553">
        <f>'Foglio deposito bis'!$F$61*IF(ABS(N1147)&lt;'Progetto del paramento slu'!$G$58,ABS(N1147)*'Progetto del paramento slu'!$G$54,'Progetto del paramento slu'!$G$53)*IF(N1147&lt;0,-1,1)</f>
        <v>240946.49743184328</v>
      </c>
      <c r="U1147" s="553">
        <f>'Foglio deposito bis'!$F$62*IF(ABS(O1147)&lt;'Progetto del paramento slu'!$G$58,ABS(O1147)*'Progetto del paramento slu'!$G$54,'Progetto del paramento slu'!$G$53)*IF(O1147&lt;0,-1,1)</f>
        <v>314705.62929873407</v>
      </c>
      <c r="V1147" s="479">
        <f t="shared" si="87"/>
        <v>-131869.77767526818</v>
      </c>
      <c r="W1147" s="559"/>
      <c r="X1147" s="559"/>
    </row>
    <row r="1148" spans="1:24" x14ac:dyDescent="0.25">
      <c r="A1148" s="553">
        <f t="shared" si="86"/>
        <v>143314.49553189235</v>
      </c>
      <c r="B1148" s="3">
        <f t="shared" si="84"/>
        <v>14.899999999999968</v>
      </c>
      <c r="C1148" s="553">
        <f>'Foglio deposito bis'!$E$157/sezione!$B$247*B1148</f>
        <v>60.487949346830334</v>
      </c>
      <c r="D1148" s="611">
        <f>-'Progetto del paramento slu'!$G$47*'Progetto del paramento slu'!$G$41*IF(DATI!$G$218="dx",DATI!$E$61,DATI!$E$64*DATI!$E$63)*1000*C1148^2*sezione!$AD$5*(1-sezione!$AD$6)</f>
        <v>-30119174.999122471</v>
      </c>
      <c r="E1148" s="553">
        <f>-'Foglio deposito bis'!$F$58*(C1148-sezione!$AL$31)*IF(ABS(K1148)&lt;'Progetto del paramento slu'!$G$58,ABS(K1148)*'Progetto del paramento slu'!$G$54,'Progetto del paramento slu'!$G$53)</f>
        <v>0</v>
      </c>
      <c r="F1148" s="553">
        <f>-'Foglio deposito bis'!$F$59*(C1148-sezione!$AM$31)*IF(ABS(L1148)&lt;'Progetto del paramento slu'!$G$58,ABS(L1148)*'Progetto del paramento slu'!$G$54,'Progetto del paramento slu'!$G$53)</f>
        <v>13754856.557922812</v>
      </c>
      <c r="G1148" s="553">
        <f>-'Foglio deposito bis'!$F$60*(C1148-sezione!$AN$31)*IF(ABS(M1148)&lt;'Progetto del paramento slu'!$G$58,ABS(M1148)*'Progetto del paramento slu'!$G$54,'Progetto del paramento slu'!$G$53)</f>
        <v>0</v>
      </c>
      <c r="H1148" s="553">
        <f>-'Foglio deposito bis'!$F$61*(C1148-sezione!$AO$31)*IF(ABS(N1148)&lt;'Progetto del paramento slu'!$G$58,ABS(N1148)*'Progetto del paramento slu'!$G$54,'Progetto del paramento slu'!$G$53)</f>
        <v>67347449.59487319</v>
      </c>
      <c r="I1148" s="479">
        <f>-'Foglio deposito bis'!$F$62*(C1148-sezione!$AP$31)*IF(ABS(O1148)&lt;'Progetto del paramento slu'!$G$58,ABS(O1148)*'Progetto del paramento slu'!$G$54,'Progetto del paramento slu'!$G$53)</f>
        <v>62788821.249988176</v>
      </c>
      <c r="J1148" s="479">
        <f t="shared" si="85"/>
        <v>113771952.4036617</v>
      </c>
      <c r="K1148" s="558">
        <f>'Progetto del paramento slu'!$G$60*(sezione!$AL$31-C1148)/C1148</f>
        <v>-1.1854893989337032E-3</v>
      </c>
      <c r="L1148" s="558">
        <f>'Progetto del paramento slu'!$G$60*(sezione!$AM$31-C1148)/C1148</f>
        <v>5.1794147539986138E-3</v>
      </c>
      <c r="M1148" s="559">
        <f>'Progetto del paramento slu'!$G$60*(sezione!$AN$31-C1148)/C1148</f>
        <v>1.1544318906930931E-2</v>
      </c>
      <c r="N1148" s="559">
        <f>'Progetto del paramento slu'!$G$60*(sezione!$AO$31-C1148)/C1148</f>
        <v>1.6173340109063527E-2</v>
      </c>
      <c r="O1148" s="559">
        <f>'Progetto del paramento slu'!$G$60*(sezione!$AP$31-C1148)/C1148</f>
        <v>1.1544549801618292E-2</v>
      </c>
      <c r="P1148" s="553">
        <f>-'Progetto del paramento slu'!$G$47*'Progetto del paramento slu'!$G$41*IF(DATI!$G$218="dx",DATI!$E$61,DATI!$E$64*DATI!$E$63)*1000*C1148*sezione!$AD$5</f>
        <v>-852631.48031849216</v>
      </c>
      <c r="Q1148" s="553">
        <f>'Foglio deposito bis'!$F$58*IF(ABS(K1148)&lt;'Progetto del paramento slu'!$G$58,ABS(K1148)*'Progetto del paramento slu'!$G$54,'Progetto del paramento slu'!$G$53)*IF(K1148&lt;0,-1,1)</f>
        <v>0</v>
      </c>
      <c r="R1148" s="553">
        <f>'Foglio deposito bis'!$F$59*IF(ABS(L1148)&lt;'Progetto del paramento slu'!$G$58,ABS(L1148)*'Progetto del paramento slu'!$G$54,'Progetto del paramento slu'!$G$53)*IF(L1148&lt;0,-1,1)</f>
        <v>153664.85805602249</v>
      </c>
      <c r="S1148" s="553">
        <f>'Foglio deposito bis'!$F$60*IF(ABS(M1148)&lt;'Progetto del paramento slu'!$G$58,ABS(M1148)*'Progetto del paramento slu'!$G$54,'Progetto del paramento slu'!$G$53)*IF(M1148&lt;0,-1,1)</f>
        <v>0</v>
      </c>
      <c r="T1148" s="553">
        <f>'Foglio deposito bis'!$F$61*IF(ABS(N1148)&lt;'Progetto del paramento slu'!$G$58,ABS(N1148)*'Progetto del paramento slu'!$G$54,'Progetto del paramento slu'!$G$53)*IF(N1148&lt;0,-1,1)</f>
        <v>240946.49743184328</v>
      </c>
      <c r="U1148" s="553">
        <f>'Foglio deposito bis'!$F$62*IF(ABS(O1148)&lt;'Progetto del paramento slu'!$G$58,ABS(O1148)*'Progetto del paramento slu'!$G$54,'Progetto del paramento slu'!$G$53)*IF(O1148&lt;0,-1,1)</f>
        <v>314705.62929873407</v>
      </c>
      <c r="V1148" s="479">
        <f t="shared" si="87"/>
        <v>-143314.49553189235</v>
      </c>
      <c r="W1148" s="559"/>
      <c r="X1148" s="559"/>
    </row>
    <row r="1149" spans="1:24" x14ac:dyDescent="0.25">
      <c r="A1149" s="553">
        <f t="shared" si="86"/>
        <v>154759.21338851628</v>
      </c>
      <c r="B1149" s="3">
        <f t="shared" si="84"/>
        <v>15.099999999999968</v>
      </c>
      <c r="C1149" s="553">
        <f>'Foglio deposito bis'!$E$157/sezione!$B$247*B1149</f>
        <v>61.299868130009266</v>
      </c>
      <c r="D1149" s="611">
        <f>-'Progetto del paramento slu'!$G$47*'Progetto del paramento slu'!$G$41*IF(DATI!$G$218="dx",DATI!$E$61,DATI!$E$64*DATI!$E$63)*1000*C1149^2*sezione!$AD$5*(1-sezione!$AD$6)</f>
        <v>-30933170.089410007</v>
      </c>
      <c r="E1149" s="553">
        <f>-'Foglio deposito bis'!$F$58*(C1149-sezione!$AL$31)*IF(ABS(K1149)&lt;'Progetto del paramento slu'!$G$58,ABS(K1149)*'Progetto del paramento slu'!$G$54,'Progetto del paramento slu'!$G$53)</f>
        <v>0</v>
      </c>
      <c r="F1149" s="553">
        <f>-'Foglio deposito bis'!$F$59*(C1149-sezione!$AM$31)*IF(ABS(L1149)&lt;'Progetto del paramento slu'!$G$58,ABS(L1149)*'Progetto del paramento slu'!$G$54,'Progetto del paramento slu'!$G$53)</f>
        <v>13630093.173352607</v>
      </c>
      <c r="G1149" s="553">
        <f>-'Foglio deposito bis'!$F$60*(C1149-sezione!$AN$31)*IF(ABS(M1149)&lt;'Progetto del paramento slu'!$G$58,ABS(M1149)*'Progetto del paramento slu'!$G$54,'Progetto del paramento slu'!$G$53)</f>
        <v>0</v>
      </c>
      <c r="H1149" s="553">
        <f>-'Foglio deposito bis'!$F$61*(C1149-sezione!$AO$31)*IF(ABS(N1149)&lt;'Progetto del paramento slu'!$G$58,ABS(N1149)*'Progetto del paramento slu'!$G$54,'Progetto del paramento slu'!$G$53)</f>
        <v>67151820.607867107</v>
      </c>
      <c r="I1149" s="479">
        <f>-'Foglio deposito bis'!$F$62*(C1149-sezione!$AP$31)*IF(ABS(O1149)&lt;'Progetto del paramento slu'!$G$58,ABS(O1149)*'Progetto del paramento slu'!$G$54,'Progetto del paramento slu'!$G$53)</f>
        <v>62533305.838388391</v>
      </c>
      <c r="J1149" s="479">
        <f t="shared" si="85"/>
        <v>112382049.5301981</v>
      </c>
      <c r="K1149" s="558">
        <f>'Progetto del paramento slu'!$G$60*(sezione!$AL$31-C1149)/C1149</f>
        <v>-1.2161451684842501E-3</v>
      </c>
      <c r="L1149" s="558">
        <f>'Progetto del paramento slu'!$G$60*(sezione!$AM$31-C1149)/C1149</f>
        <v>5.0644556181840628E-3</v>
      </c>
      <c r="M1149" s="559">
        <f>'Progetto del paramento slu'!$G$60*(sezione!$AN$31-C1149)/C1149</f>
        <v>1.1345056404852375E-2</v>
      </c>
      <c r="N1149" s="559">
        <f>'Progetto del paramento slu'!$G$60*(sezione!$AO$31-C1149)/C1149</f>
        <v>1.5912766067883874E-2</v>
      </c>
      <c r="O1149" s="559">
        <f>'Progetto del paramento slu'!$G$60*(sezione!$AP$31-C1149)/C1149</f>
        <v>1.1345284241331957E-2</v>
      </c>
      <c r="P1149" s="553">
        <f>-'Progetto del paramento slu'!$G$47*'Progetto del paramento slu'!$G$41*IF(DATI!$G$218="dx",DATI!$E$61,DATI!$E$64*DATI!$E$63)*1000*C1149*sezione!$AD$5</f>
        <v>-864076.19817511621</v>
      </c>
      <c r="Q1149" s="553">
        <f>'Foglio deposito bis'!$F$58*IF(ABS(K1149)&lt;'Progetto del paramento slu'!$G$58,ABS(K1149)*'Progetto del paramento slu'!$G$54,'Progetto del paramento slu'!$G$53)*IF(K1149&lt;0,-1,1)</f>
        <v>0</v>
      </c>
      <c r="R1149" s="553">
        <f>'Foglio deposito bis'!$F$59*IF(ABS(L1149)&lt;'Progetto del paramento slu'!$G$58,ABS(L1149)*'Progetto del paramento slu'!$G$54,'Progetto del paramento slu'!$G$53)*IF(L1149&lt;0,-1,1)</f>
        <v>153664.85805602249</v>
      </c>
      <c r="S1149" s="553">
        <f>'Foglio deposito bis'!$F$60*IF(ABS(M1149)&lt;'Progetto del paramento slu'!$G$58,ABS(M1149)*'Progetto del paramento slu'!$G$54,'Progetto del paramento slu'!$G$53)*IF(M1149&lt;0,-1,1)</f>
        <v>0</v>
      </c>
      <c r="T1149" s="553">
        <f>'Foglio deposito bis'!$F$61*IF(ABS(N1149)&lt;'Progetto del paramento slu'!$G$58,ABS(N1149)*'Progetto del paramento slu'!$G$54,'Progetto del paramento slu'!$G$53)*IF(N1149&lt;0,-1,1)</f>
        <v>240946.49743184328</v>
      </c>
      <c r="U1149" s="553">
        <f>'Foglio deposito bis'!$F$62*IF(ABS(O1149)&lt;'Progetto del paramento slu'!$G$58,ABS(O1149)*'Progetto del paramento slu'!$G$54,'Progetto del paramento slu'!$G$53)*IF(O1149&lt;0,-1,1)</f>
        <v>314705.62929873407</v>
      </c>
      <c r="V1149" s="479">
        <f t="shared" si="87"/>
        <v>-154759.21338851628</v>
      </c>
      <c r="W1149" s="559"/>
      <c r="X1149" s="559"/>
    </row>
    <row r="1150" spans="1:24" x14ac:dyDescent="0.25">
      <c r="A1150" s="553">
        <f t="shared" si="86"/>
        <v>166203.93124514021</v>
      </c>
      <c r="B1150" s="3">
        <f t="shared" si="84"/>
        <v>15.299999999999967</v>
      </c>
      <c r="C1150" s="553">
        <f>'Foglio deposito bis'!$E$157/sezione!$B$247*B1150</f>
        <v>62.11178691318819</v>
      </c>
      <c r="D1150" s="611">
        <f>-'Progetto del paramento slu'!$G$47*'Progetto del paramento slu'!$G$41*IF(DATI!$G$218="dx",DATI!$E$61,DATI!$E$64*DATI!$E$63)*1000*C1150^2*sezione!$AD$5*(1-sezione!$AD$6)</f>
        <v>-31758018.447568025</v>
      </c>
      <c r="E1150" s="553">
        <f>-'Foglio deposito bis'!$F$58*(C1150-sezione!$AL$31)*IF(ABS(K1150)&lt;'Progetto del paramento slu'!$G$58,ABS(K1150)*'Progetto del paramento slu'!$G$54,'Progetto del paramento slu'!$G$53)</f>
        <v>0</v>
      </c>
      <c r="F1150" s="553">
        <f>-'Foglio deposito bis'!$F$59*(C1150-sezione!$AM$31)*IF(ABS(L1150)&lt;'Progetto del paramento slu'!$G$58,ABS(L1150)*'Progetto del paramento slu'!$G$54,'Progetto del paramento slu'!$G$53)</f>
        <v>13505329.788782397</v>
      </c>
      <c r="G1150" s="553">
        <f>-'Foglio deposito bis'!$F$60*(C1150-sezione!$AN$31)*IF(ABS(M1150)&lt;'Progetto del paramento slu'!$G$58,ABS(M1150)*'Progetto del paramento slu'!$G$54,'Progetto del paramento slu'!$G$53)</f>
        <v>0</v>
      </c>
      <c r="H1150" s="553">
        <f>-'Foglio deposito bis'!$F$61*(C1150-sezione!$AO$31)*IF(ABS(N1150)&lt;'Progetto del paramento slu'!$G$58,ABS(N1150)*'Progetto del paramento slu'!$G$54,'Progetto del paramento slu'!$G$53)</f>
        <v>66956191.620861009</v>
      </c>
      <c r="I1150" s="479">
        <f>-'Foglio deposito bis'!$F$62*(C1150-sezione!$AP$31)*IF(ABS(O1150)&lt;'Progetto del paramento slu'!$G$58,ABS(O1150)*'Progetto del paramento slu'!$G$54,'Progetto del paramento slu'!$G$53)</f>
        <v>62277790.426788606</v>
      </c>
      <c r="J1150" s="479">
        <f t="shared" si="85"/>
        <v>110981293.38886398</v>
      </c>
      <c r="K1150" s="558">
        <f>'Progetto del paramento slu'!$G$60*(sezione!$AL$31-C1150)/C1150</f>
        <v>-1.2459994800073316E-3</v>
      </c>
      <c r="L1150" s="558">
        <f>'Progetto del paramento slu'!$G$60*(sezione!$AM$31-C1150)/C1150</f>
        <v>4.9525019499725067E-3</v>
      </c>
      <c r="M1150" s="559">
        <f>'Progetto del paramento slu'!$G$60*(sezione!$AN$31-C1150)/C1150</f>
        <v>1.1151003379952345E-2</v>
      </c>
      <c r="N1150" s="559">
        <f>'Progetto del paramento slu'!$G$60*(sezione!$AO$31-C1150)/C1150</f>
        <v>1.5659004419937679E-2</v>
      </c>
      <c r="O1150" s="559">
        <f>'Progetto del paramento slu'!$G$60*(sezione!$AP$31-C1150)/C1150</f>
        <v>1.1151228238177293E-2</v>
      </c>
      <c r="P1150" s="553">
        <f>-'Progetto del paramento slu'!$G$47*'Progetto del paramento slu'!$G$41*IF(DATI!$G$218="dx",DATI!$E$61,DATI!$E$64*DATI!$E$63)*1000*C1150*sezione!$AD$5</f>
        <v>-875520.91603174014</v>
      </c>
      <c r="Q1150" s="553">
        <f>'Foglio deposito bis'!$F$58*IF(ABS(K1150)&lt;'Progetto del paramento slu'!$G$58,ABS(K1150)*'Progetto del paramento slu'!$G$54,'Progetto del paramento slu'!$G$53)*IF(K1150&lt;0,-1,1)</f>
        <v>0</v>
      </c>
      <c r="R1150" s="553">
        <f>'Foglio deposito bis'!$F$59*IF(ABS(L1150)&lt;'Progetto del paramento slu'!$G$58,ABS(L1150)*'Progetto del paramento slu'!$G$54,'Progetto del paramento slu'!$G$53)*IF(L1150&lt;0,-1,1)</f>
        <v>153664.85805602249</v>
      </c>
      <c r="S1150" s="553">
        <f>'Foglio deposito bis'!$F$60*IF(ABS(M1150)&lt;'Progetto del paramento slu'!$G$58,ABS(M1150)*'Progetto del paramento slu'!$G$54,'Progetto del paramento slu'!$G$53)*IF(M1150&lt;0,-1,1)</f>
        <v>0</v>
      </c>
      <c r="T1150" s="553">
        <f>'Foglio deposito bis'!$F$61*IF(ABS(N1150)&lt;'Progetto del paramento slu'!$G$58,ABS(N1150)*'Progetto del paramento slu'!$G$54,'Progetto del paramento slu'!$G$53)*IF(N1150&lt;0,-1,1)</f>
        <v>240946.49743184328</v>
      </c>
      <c r="U1150" s="553">
        <f>'Foglio deposito bis'!$F$62*IF(ABS(O1150)&lt;'Progetto del paramento slu'!$G$58,ABS(O1150)*'Progetto del paramento slu'!$G$54,'Progetto del paramento slu'!$G$53)*IF(O1150&lt;0,-1,1)</f>
        <v>314705.62929873407</v>
      </c>
      <c r="V1150" s="479">
        <f t="shared" si="87"/>
        <v>-166203.93124514021</v>
      </c>
      <c r="W1150" s="559"/>
      <c r="X1150" s="559"/>
    </row>
    <row r="1151" spans="1:24" x14ac:dyDescent="0.25">
      <c r="A1151" s="553">
        <f t="shared" si="86"/>
        <v>177648.64910176437</v>
      </c>
      <c r="B1151" s="3">
        <f t="shared" si="84"/>
        <v>15.499999999999966</v>
      </c>
      <c r="C1151" s="553">
        <f>'Foglio deposito bis'!$E$157/sezione!$B$247*B1151</f>
        <v>62.923705696367122</v>
      </c>
      <c r="D1151" s="611">
        <f>-'Progetto del paramento slu'!$G$47*'Progetto del paramento slu'!$G$41*IF(DATI!$G$218="dx",DATI!$E$61,DATI!$E$64*DATI!$E$63)*1000*C1151^2*sezione!$AD$5*(1-sezione!$AD$6)</f>
        <v>-32593720.073596556</v>
      </c>
      <c r="E1151" s="553">
        <f>-'Foglio deposito bis'!$F$58*(C1151-sezione!$AL$31)*IF(ABS(K1151)&lt;'Progetto del paramento slu'!$G$58,ABS(K1151)*'Progetto del paramento slu'!$G$54,'Progetto del paramento slu'!$G$53)</f>
        <v>0</v>
      </c>
      <c r="F1151" s="553">
        <f>-'Foglio deposito bis'!$F$59*(C1151-sezione!$AM$31)*IF(ABS(L1151)&lt;'Progetto del paramento slu'!$G$58,ABS(L1151)*'Progetto del paramento slu'!$G$54,'Progetto del paramento slu'!$G$53)</f>
        <v>13380566.404212186</v>
      </c>
      <c r="G1151" s="553">
        <f>-'Foglio deposito bis'!$F$60*(C1151-sezione!$AN$31)*IF(ABS(M1151)&lt;'Progetto del paramento slu'!$G$58,ABS(M1151)*'Progetto del paramento slu'!$G$54,'Progetto del paramento slu'!$G$53)</f>
        <v>0</v>
      </c>
      <c r="H1151" s="553">
        <f>-'Foglio deposito bis'!$F$61*(C1151-sezione!$AO$31)*IF(ABS(N1151)&lt;'Progetto del paramento slu'!$G$58,ABS(N1151)*'Progetto del paramento slu'!$G$54,'Progetto del paramento slu'!$G$53)</f>
        <v>66760562.633854933</v>
      </c>
      <c r="I1151" s="479">
        <f>-'Foglio deposito bis'!$F$62*(C1151-sezione!$AP$31)*IF(ABS(O1151)&lt;'Progetto del paramento slu'!$G$58,ABS(O1151)*'Progetto del paramento slu'!$G$54,'Progetto del paramento slu'!$G$53)</f>
        <v>62022275.015188813</v>
      </c>
      <c r="J1151" s="479">
        <f t="shared" si="85"/>
        <v>109569683.97965938</v>
      </c>
      <c r="K1151" s="558">
        <f>'Progetto del paramento slu'!$G$60*(sezione!$AL$31-C1151)/C1151</f>
        <v>-1.2750833576846564E-3</v>
      </c>
      <c r="L1151" s="558">
        <f>'Progetto del paramento slu'!$G$60*(sezione!$AM$31-C1151)/C1151</f>
        <v>4.8434374086825391E-3</v>
      </c>
      <c r="M1151" s="559">
        <f>'Progetto del paramento slu'!$G$60*(sezione!$AN$31-C1151)/C1151</f>
        <v>1.0961958175049734E-2</v>
      </c>
      <c r="N1151" s="559">
        <f>'Progetto del paramento slu'!$G$60*(sezione!$AO$31-C1151)/C1151</f>
        <v>1.5411791459680422E-2</v>
      </c>
      <c r="O1151" s="559">
        <f>'Progetto del paramento slu'!$G$60*(sezione!$AP$31-C1151)/C1151</f>
        <v>1.0962180131878231E-2</v>
      </c>
      <c r="P1151" s="553">
        <f>-'Progetto del paramento slu'!$G$47*'Progetto del paramento slu'!$G$41*IF(DATI!$G$218="dx",DATI!$E$61,DATI!$E$64*DATI!$E$63)*1000*C1151*sezione!$AD$5</f>
        <v>-886965.6338883643</v>
      </c>
      <c r="Q1151" s="553">
        <f>'Foglio deposito bis'!$F$58*IF(ABS(K1151)&lt;'Progetto del paramento slu'!$G$58,ABS(K1151)*'Progetto del paramento slu'!$G$54,'Progetto del paramento slu'!$G$53)*IF(K1151&lt;0,-1,1)</f>
        <v>0</v>
      </c>
      <c r="R1151" s="553">
        <f>'Foglio deposito bis'!$F$59*IF(ABS(L1151)&lt;'Progetto del paramento slu'!$G$58,ABS(L1151)*'Progetto del paramento slu'!$G$54,'Progetto del paramento slu'!$G$53)*IF(L1151&lt;0,-1,1)</f>
        <v>153664.85805602249</v>
      </c>
      <c r="S1151" s="553">
        <f>'Foglio deposito bis'!$F$60*IF(ABS(M1151)&lt;'Progetto del paramento slu'!$G$58,ABS(M1151)*'Progetto del paramento slu'!$G$54,'Progetto del paramento slu'!$G$53)*IF(M1151&lt;0,-1,1)</f>
        <v>0</v>
      </c>
      <c r="T1151" s="553">
        <f>'Foglio deposito bis'!$F$61*IF(ABS(N1151)&lt;'Progetto del paramento slu'!$G$58,ABS(N1151)*'Progetto del paramento slu'!$G$54,'Progetto del paramento slu'!$G$53)*IF(N1151&lt;0,-1,1)</f>
        <v>240946.49743184328</v>
      </c>
      <c r="U1151" s="553">
        <f>'Foglio deposito bis'!$F$62*IF(ABS(O1151)&lt;'Progetto del paramento slu'!$G$58,ABS(O1151)*'Progetto del paramento slu'!$G$54,'Progetto del paramento slu'!$G$53)*IF(O1151&lt;0,-1,1)</f>
        <v>314705.62929873407</v>
      </c>
      <c r="V1151" s="479">
        <f t="shared" si="87"/>
        <v>-177648.64910176437</v>
      </c>
      <c r="W1151" s="559"/>
      <c r="X1151" s="559"/>
    </row>
    <row r="1152" spans="1:24" x14ac:dyDescent="0.25">
      <c r="A1152" s="553">
        <f t="shared" si="86"/>
        <v>189093.36695838853</v>
      </c>
      <c r="B1152" s="3">
        <f t="shared" si="84"/>
        <v>15.699999999999966</v>
      </c>
      <c r="C1152" s="553">
        <f>'Foglio deposito bis'!$E$157/sezione!$B$247*B1152</f>
        <v>63.735624479546054</v>
      </c>
      <c r="D1152" s="611">
        <f>-'Progetto del paramento slu'!$G$47*'Progetto del paramento slu'!$G$41*IF(DATI!$G$218="dx",DATI!$E$61,DATI!$E$64*DATI!$E$63)*1000*C1152^2*sezione!$AD$5*(1-sezione!$AD$6)</f>
        <v>-33440274.96749559</v>
      </c>
      <c r="E1152" s="553">
        <f>-'Foglio deposito bis'!$F$58*(C1152-sezione!$AL$31)*IF(ABS(K1152)&lt;'Progetto del paramento slu'!$G$58,ABS(K1152)*'Progetto del paramento slu'!$G$54,'Progetto del paramento slu'!$G$53)</f>
        <v>0</v>
      </c>
      <c r="F1152" s="553">
        <f>-'Foglio deposito bis'!$F$59*(C1152-sezione!$AM$31)*IF(ABS(L1152)&lt;'Progetto del paramento slu'!$G$58,ABS(L1152)*'Progetto del paramento slu'!$G$54,'Progetto del paramento slu'!$G$53)</f>
        <v>13255803.019641977</v>
      </c>
      <c r="G1152" s="553">
        <f>-'Foglio deposito bis'!$F$60*(C1152-sezione!$AN$31)*IF(ABS(M1152)&lt;'Progetto del paramento slu'!$G$58,ABS(M1152)*'Progetto del paramento slu'!$G$54,'Progetto del paramento slu'!$G$53)</f>
        <v>0</v>
      </c>
      <c r="H1152" s="553">
        <f>-'Foglio deposito bis'!$F$61*(C1152-sezione!$AO$31)*IF(ABS(N1152)&lt;'Progetto del paramento slu'!$G$58,ABS(N1152)*'Progetto del paramento slu'!$G$54,'Progetto del paramento slu'!$G$53)</f>
        <v>66564933.646848835</v>
      </c>
      <c r="I1152" s="479">
        <f>-'Foglio deposito bis'!$F$62*(C1152-sezione!$AP$31)*IF(ABS(O1152)&lt;'Progetto del paramento slu'!$G$58,ABS(O1152)*'Progetto del paramento slu'!$G$54,'Progetto del paramento slu'!$G$53)</f>
        <v>61766759.603589021</v>
      </c>
      <c r="J1152" s="479">
        <f t="shared" si="85"/>
        <v>108147221.30258423</v>
      </c>
      <c r="K1152" s="558">
        <f>'Progetto del paramento slu'!$G$60*(sezione!$AL$31-C1152)/C1152</f>
        <v>-1.3034262448479094E-3</v>
      </c>
      <c r="L1152" s="558">
        <f>'Progetto del paramento slu'!$G$60*(sezione!$AM$31-C1152)/C1152</f>
        <v>4.7371515818203404E-3</v>
      </c>
      <c r="M1152" s="559">
        <f>'Progetto del paramento slu'!$G$60*(sezione!$AN$31-C1152)/C1152</f>
        <v>1.077772940848859E-2</v>
      </c>
      <c r="N1152" s="559">
        <f>'Progetto del paramento slu'!$G$60*(sezione!$AO$31-C1152)/C1152</f>
        <v>1.5170876918792771E-2</v>
      </c>
      <c r="O1152" s="559">
        <f>'Progetto del paramento slu'!$G$60*(sezione!$AP$31-C1152)/C1152</f>
        <v>1.0777948537841564E-2</v>
      </c>
      <c r="P1152" s="553">
        <f>-'Progetto del paramento slu'!$G$47*'Progetto del paramento slu'!$G$41*IF(DATI!$G$218="dx",DATI!$E$61,DATI!$E$64*DATI!$E$63)*1000*C1152*sezione!$AD$5</f>
        <v>-898410.35174498847</v>
      </c>
      <c r="Q1152" s="553">
        <f>'Foglio deposito bis'!$F$58*IF(ABS(K1152)&lt;'Progetto del paramento slu'!$G$58,ABS(K1152)*'Progetto del paramento slu'!$G$54,'Progetto del paramento slu'!$G$53)*IF(K1152&lt;0,-1,1)</f>
        <v>0</v>
      </c>
      <c r="R1152" s="553">
        <f>'Foglio deposito bis'!$F$59*IF(ABS(L1152)&lt;'Progetto del paramento slu'!$G$58,ABS(L1152)*'Progetto del paramento slu'!$G$54,'Progetto del paramento slu'!$G$53)*IF(L1152&lt;0,-1,1)</f>
        <v>153664.85805602249</v>
      </c>
      <c r="S1152" s="553">
        <f>'Foglio deposito bis'!$F$60*IF(ABS(M1152)&lt;'Progetto del paramento slu'!$G$58,ABS(M1152)*'Progetto del paramento slu'!$G$54,'Progetto del paramento slu'!$G$53)*IF(M1152&lt;0,-1,1)</f>
        <v>0</v>
      </c>
      <c r="T1152" s="553">
        <f>'Foglio deposito bis'!$F$61*IF(ABS(N1152)&lt;'Progetto del paramento slu'!$G$58,ABS(N1152)*'Progetto del paramento slu'!$G$54,'Progetto del paramento slu'!$G$53)*IF(N1152&lt;0,-1,1)</f>
        <v>240946.49743184328</v>
      </c>
      <c r="U1152" s="553">
        <f>'Foglio deposito bis'!$F$62*IF(ABS(O1152)&lt;'Progetto del paramento slu'!$G$58,ABS(O1152)*'Progetto del paramento slu'!$G$54,'Progetto del paramento slu'!$G$53)*IF(O1152&lt;0,-1,1)</f>
        <v>314705.62929873407</v>
      </c>
      <c r="V1152" s="479">
        <f t="shared" si="87"/>
        <v>-189093.36695838853</v>
      </c>
      <c r="W1152" s="559"/>
      <c r="X1152" s="559"/>
    </row>
    <row r="1153" spans="1:24" x14ac:dyDescent="0.25">
      <c r="A1153" s="553">
        <f t="shared" si="86"/>
        <v>200538.0848150127</v>
      </c>
      <c r="B1153" s="3">
        <f t="shared" si="84"/>
        <v>15.899999999999965</v>
      </c>
      <c r="C1153" s="553">
        <f>'Foglio deposito bis'!$E$157/sezione!$B$247*B1153</f>
        <v>64.547543262724986</v>
      </c>
      <c r="D1153" s="611">
        <f>-'Progetto del paramento slu'!$G$47*'Progetto del paramento slu'!$G$41*IF(DATI!$G$218="dx",DATI!$E$61,DATI!$E$64*DATI!$E$63)*1000*C1153^2*sezione!$AD$5*(1-sezione!$AD$6)</f>
        <v>-34297683.12926513</v>
      </c>
      <c r="E1153" s="553">
        <f>-'Foglio deposito bis'!$F$58*(C1153-sezione!$AL$31)*IF(ABS(K1153)&lt;'Progetto del paramento slu'!$G$58,ABS(K1153)*'Progetto del paramento slu'!$G$54,'Progetto del paramento slu'!$G$53)</f>
        <v>0</v>
      </c>
      <c r="F1153" s="553">
        <f>-'Foglio deposito bis'!$F$59*(C1153-sezione!$AM$31)*IF(ABS(L1153)&lt;'Progetto del paramento slu'!$G$58,ABS(L1153)*'Progetto del paramento slu'!$G$54,'Progetto del paramento slu'!$G$53)</f>
        <v>13131039.635071767</v>
      </c>
      <c r="G1153" s="553">
        <f>-'Foglio deposito bis'!$F$60*(C1153-sezione!$AN$31)*IF(ABS(M1153)&lt;'Progetto del paramento slu'!$G$58,ABS(M1153)*'Progetto del paramento slu'!$G$54,'Progetto del paramento slu'!$G$53)</f>
        <v>0</v>
      </c>
      <c r="H1153" s="553">
        <f>-'Foglio deposito bis'!$F$61*(C1153-sezione!$AO$31)*IF(ABS(N1153)&lt;'Progetto del paramento slu'!$G$58,ABS(N1153)*'Progetto del paramento slu'!$G$54,'Progetto del paramento slu'!$G$53)</f>
        <v>66369304.659842752</v>
      </c>
      <c r="I1153" s="479">
        <f>-'Foglio deposito bis'!$F$62*(C1153-sezione!$AP$31)*IF(ABS(O1153)&lt;'Progetto del paramento slu'!$G$58,ABS(O1153)*'Progetto del paramento slu'!$G$54,'Progetto del paramento slu'!$G$53)</f>
        <v>61511244.191989236</v>
      </c>
      <c r="J1153" s="479">
        <f t="shared" si="85"/>
        <v>106713905.35763863</v>
      </c>
      <c r="K1153" s="558">
        <f>'Progetto del paramento slu'!$G$60*(sezione!$AL$31-C1153)/C1153</f>
        <v>-1.3310561034032813E-3</v>
      </c>
      <c r="L1153" s="558">
        <f>'Progetto del paramento slu'!$G$60*(sezione!$AM$31-C1153)/C1153</f>
        <v>4.6335396122376953E-3</v>
      </c>
      <c r="M1153" s="559">
        <f>'Progetto del paramento slu'!$G$60*(sezione!$AN$31-C1153)/C1153</f>
        <v>1.059813532787867E-2</v>
      </c>
      <c r="N1153" s="559">
        <f>'Progetto del paramento slu'!$G$60*(sezione!$AO$31-C1153)/C1153</f>
        <v>1.493602312107211E-2</v>
      </c>
      <c r="O1153" s="559">
        <f>'Progetto del paramento slu'!$G$60*(sezione!$AP$31-C1153)/C1153</f>
        <v>1.0598351700887581E-2</v>
      </c>
      <c r="P1153" s="553">
        <f>-'Progetto del paramento slu'!$G$47*'Progetto del paramento slu'!$G$41*IF(DATI!$G$218="dx",DATI!$E$61,DATI!$E$64*DATI!$E$63)*1000*C1153*sezione!$AD$5</f>
        <v>-909855.06960161251</v>
      </c>
      <c r="Q1153" s="553">
        <f>'Foglio deposito bis'!$F$58*IF(ABS(K1153)&lt;'Progetto del paramento slu'!$G$58,ABS(K1153)*'Progetto del paramento slu'!$G$54,'Progetto del paramento slu'!$G$53)*IF(K1153&lt;0,-1,1)</f>
        <v>0</v>
      </c>
      <c r="R1153" s="553">
        <f>'Foglio deposito bis'!$F$59*IF(ABS(L1153)&lt;'Progetto del paramento slu'!$G$58,ABS(L1153)*'Progetto del paramento slu'!$G$54,'Progetto del paramento slu'!$G$53)*IF(L1153&lt;0,-1,1)</f>
        <v>153664.85805602249</v>
      </c>
      <c r="S1153" s="553">
        <f>'Foglio deposito bis'!$F$60*IF(ABS(M1153)&lt;'Progetto del paramento slu'!$G$58,ABS(M1153)*'Progetto del paramento slu'!$G$54,'Progetto del paramento slu'!$G$53)*IF(M1153&lt;0,-1,1)</f>
        <v>0</v>
      </c>
      <c r="T1153" s="553">
        <f>'Foglio deposito bis'!$F$61*IF(ABS(N1153)&lt;'Progetto del paramento slu'!$G$58,ABS(N1153)*'Progetto del paramento slu'!$G$54,'Progetto del paramento slu'!$G$53)*IF(N1153&lt;0,-1,1)</f>
        <v>240946.49743184328</v>
      </c>
      <c r="U1153" s="553">
        <f>'Foglio deposito bis'!$F$62*IF(ABS(O1153)&lt;'Progetto del paramento slu'!$G$58,ABS(O1153)*'Progetto del paramento slu'!$G$54,'Progetto del paramento slu'!$G$53)*IF(O1153&lt;0,-1,1)</f>
        <v>314705.62929873407</v>
      </c>
      <c r="V1153" s="479">
        <f t="shared" si="87"/>
        <v>-200538.0848150127</v>
      </c>
      <c r="W1153" s="559"/>
      <c r="X1153" s="559"/>
    </row>
    <row r="1154" spans="1:24" x14ac:dyDescent="0.25">
      <c r="A1154" s="553">
        <f t="shared" si="86"/>
        <v>211982.80267163686</v>
      </c>
      <c r="B1154" s="3">
        <f t="shared" si="84"/>
        <v>16.099999999999966</v>
      </c>
      <c r="C1154" s="553">
        <f>'Foglio deposito bis'!$E$157/sezione!$B$247*B1154</f>
        <v>65.359462045903925</v>
      </c>
      <c r="D1154" s="611">
        <f>-'Progetto del paramento slu'!$G$47*'Progetto del paramento slu'!$G$41*IF(DATI!$G$218="dx",DATI!$E$61,DATI!$E$64*DATI!$E$63)*1000*C1154^2*sezione!$AD$5*(1-sezione!$AD$6)</f>
        <v>-35165944.558905169</v>
      </c>
      <c r="E1154" s="553">
        <f>-'Foglio deposito bis'!$F$58*(C1154-sezione!$AL$31)*IF(ABS(K1154)&lt;'Progetto del paramento slu'!$G$58,ABS(K1154)*'Progetto del paramento slu'!$G$54,'Progetto del paramento slu'!$G$53)</f>
        <v>0</v>
      </c>
      <c r="F1154" s="553">
        <f>-'Foglio deposito bis'!$F$59*(C1154-sezione!$AM$31)*IF(ABS(L1154)&lt;'Progetto del paramento slu'!$G$58,ABS(L1154)*'Progetto del paramento slu'!$G$54,'Progetto del paramento slu'!$G$53)</f>
        <v>13006276.250501558</v>
      </c>
      <c r="G1154" s="553">
        <f>-'Foglio deposito bis'!$F$60*(C1154-sezione!$AN$31)*IF(ABS(M1154)&lt;'Progetto del paramento slu'!$G$58,ABS(M1154)*'Progetto del paramento slu'!$G$54,'Progetto del paramento slu'!$G$53)</f>
        <v>0</v>
      </c>
      <c r="H1154" s="553">
        <f>-'Foglio deposito bis'!$F$61*(C1154-sezione!$AO$31)*IF(ABS(N1154)&lt;'Progetto del paramento slu'!$G$58,ABS(N1154)*'Progetto del paramento slu'!$G$54,'Progetto del paramento slu'!$G$53)</f>
        <v>66173675.672836661</v>
      </c>
      <c r="I1154" s="479">
        <f>-'Foglio deposito bis'!$F$62*(C1154-sezione!$AP$31)*IF(ABS(O1154)&lt;'Progetto del paramento slu'!$G$58,ABS(O1154)*'Progetto del paramento slu'!$G$54,'Progetto del paramento slu'!$G$53)</f>
        <v>61255728.78038945</v>
      </c>
      <c r="J1154" s="479">
        <f t="shared" si="85"/>
        <v>105269736.14482251</v>
      </c>
      <c r="K1154" s="558">
        <f>'Progetto del paramento slu'!$G$60*(sezione!$AL$31-C1154)/C1154</f>
        <v>-1.357999505845477E-3</v>
      </c>
      <c r="L1154" s="558">
        <f>'Progetto del paramento slu'!$G$60*(sezione!$AM$31-C1154)/C1154</f>
        <v>4.5325018530794616E-3</v>
      </c>
      <c r="M1154" s="559">
        <f>'Progetto del paramento slu'!$G$60*(sezione!$AN$31-C1154)/C1154</f>
        <v>1.04230032120044E-2</v>
      </c>
      <c r="N1154" s="559">
        <f>'Progetto del paramento slu'!$G$60*(sezione!$AO$31-C1154)/C1154</f>
        <v>1.4707004200313447E-2</v>
      </c>
      <c r="O1154" s="559">
        <f>'Progetto del paramento slu'!$G$60*(sezione!$AP$31-C1154)/C1154</f>
        <v>1.0423216897149847E-2</v>
      </c>
      <c r="P1154" s="553">
        <f>-'Progetto del paramento slu'!$G$47*'Progetto del paramento slu'!$G$41*IF(DATI!$G$218="dx",DATI!$E$61,DATI!$E$64*DATI!$E$63)*1000*C1154*sezione!$AD$5</f>
        <v>-921299.78745823668</v>
      </c>
      <c r="Q1154" s="553">
        <f>'Foglio deposito bis'!$F$58*IF(ABS(K1154)&lt;'Progetto del paramento slu'!$G$58,ABS(K1154)*'Progetto del paramento slu'!$G$54,'Progetto del paramento slu'!$G$53)*IF(K1154&lt;0,-1,1)</f>
        <v>0</v>
      </c>
      <c r="R1154" s="553">
        <f>'Foglio deposito bis'!$F$59*IF(ABS(L1154)&lt;'Progetto del paramento slu'!$G$58,ABS(L1154)*'Progetto del paramento slu'!$G$54,'Progetto del paramento slu'!$G$53)*IF(L1154&lt;0,-1,1)</f>
        <v>153664.85805602249</v>
      </c>
      <c r="S1154" s="553">
        <f>'Foglio deposito bis'!$F$60*IF(ABS(M1154)&lt;'Progetto del paramento slu'!$G$58,ABS(M1154)*'Progetto del paramento slu'!$G$54,'Progetto del paramento slu'!$G$53)*IF(M1154&lt;0,-1,1)</f>
        <v>0</v>
      </c>
      <c r="T1154" s="553">
        <f>'Foglio deposito bis'!$F$61*IF(ABS(N1154)&lt;'Progetto del paramento slu'!$G$58,ABS(N1154)*'Progetto del paramento slu'!$G$54,'Progetto del paramento slu'!$G$53)*IF(N1154&lt;0,-1,1)</f>
        <v>240946.49743184328</v>
      </c>
      <c r="U1154" s="553">
        <f>'Foglio deposito bis'!$F$62*IF(ABS(O1154)&lt;'Progetto del paramento slu'!$G$58,ABS(O1154)*'Progetto del paramento slu'!$G$54,'Progetto del paramento slu'!$G$53)*IF(O1154&lt;0,-1,1)</f>
        <v>314705.62929873407</v>
      </c>
      <c r="V1154" s="479">
        <f t="shared" si="87"/>
        <v>-211982.80267163686</v>
      </c>
      <c r="W1154" s="559"/>
      <c r="X1154" s="559"/>
    </row>
    <row r="1155" spans="1:24" x14ac:dyDescent="0.25">
      <c r="A1155" s="553">
        <f t="shared" si="86"/>
        <v>223427.52052826079</v>
      </c>
      <c r="B1155" s="3">
        <f t="shared" si="84"/>
        <v>16.299999999999965</v>
      </c>
      <c r="C1155" s="553">
        <f>'Foglio deposito bis'!$E$157/sezione!$B$247*B1155</f>
        <v>66.17138082908285</v>
      </c>
      <c r="D1155" s="611">
        <f>-'Progetto del paramento slu'!$G$47*'Progetto del paramento slu'!$G$41*IF(DATI!$G$218="dx",DATI!$E$61,DATI!$E$64*DATI!$E$63)*1000*C1155^2*sezione!$AD$5*(1-sezione!$AD$6)</f>
        <v>-36045059.256415695</v>
      </c>
      <c r="E1155" s="553">
        <f>-'Foglio deposito bis'!$F$58*(C1155-sezione!$AL$31)*IF(ABS(K1155)&lt;'Progetto del paramento slu'!$G$58,ABS(K1155)*'Progetto del paramento slu'!$G$54,'Progetto del paramento slu'!$G$53)</f>
        <v>0</v>
      </c>
      <c r="F1155" s="553">
        <f>-'Foglio deposito bis'!$F$59*(C1155-sezione!$AM$31)*IF(ABS(L1155)&lt;'Progetto del paramento slu'!$G$58,ABS(L1155)*'Progetto del paramento slu'!$G$54,'Progetto del paramento slu'!$G$53)</f>
        <v>12881512.865931349</v>
      </c>
      <c r="G1155" s="553">
        <f>-'Foglio deposito bis'!$F$60*(C1155-sezione!$AN$31)*IF(ABS(M1155)&lt;'Progetto del paramento slu'!$G$58,ABS(M1155)*'Progetto del paramento slu'!$G$54,'Progetto del paramento slu'!$G$53)</f>
        <v>0</v>
      </c>
      <c r="H1155" s="553">
        <f>-'Foglio deposito bis'!$F$61*(C1155-sezione!$AO$31)*IF(ABS(N1155)&lt;'Progetto del paramento slu'!$G$58,ABS(N1155)*'Progetto del paramento slu'!$G$54,'Progetto del paramento slu'!$G$53)</f>
        <v>65978046.685830571</v>
      </c>
      <c r="I1155" s="479">
        <f>-'Foglio deposito bis'!$F$62*(C1155-sezione!$AP$31)*IF(ABS(O1155)&lt;'Progetto del paramento slu'!$G$58,ABS(O1155)*'Progetto del paramento slu'!$G$54,'Progetto del paramento slu'!$G$53)</f>
        <v>61000213.36878965</v>
      </c>
      <c r="J1155" s="479">
        <f t="shared" si="85"/>
        <v>103814713.66413587</v>
      </c>
      <c r="K1155" s="558">
        <f>'Progetto del paramento slu'!$G$60*(sezione!$AL$31-C1155)/C1155</f>
        <v>-1.3842817204976795E-3</v>
      </c>
      <c r="L1155" s="558">
        <f>'Progetto del paramento slu'!$G$60*(sezione!$AM$31-C1155)/C1155</f>
        <v>4.4339435481337017E-3</v>
      </c>
      <c r="M1155" s="559">
        <f>'Progetto del paramento slu'!$G$60*(sezione!$AN$31-C1155)/C1155</f>
        <v>1.0252168816765082E-2</v>
      </c>
      <c r="N1155" s="559">
        <f>'Progetto del paramento slu'!$G$60*(sezione!$AO$31-C1155)/C1155</f>
        <v>1.4483605375769723E-2</v>
      </c>
      <c r="O1155" s="559">
        <f>'Progetto del paramento slu'!$G$60*(sezione!$AP$31-C1155)/C1155</f>
        <v>1.0252379880006903E-2</v>
      </c>
      <c r="P1155" s="553">
        <f>-'Progetto del paramento slu'!$G$47*'Progetto del paramento slu'!$G$41*IF(DATI!$G$218="dx",DATI!$E$61,DATI!$E$64*DATI!$E$63)*1000*C1155*sezione!$AD$5</f>
        <v>-932744.50531486061</v>
      </c>
      <c r="Q1155" s="553">
        <f>'Foglio deposito bis'!$F$58*IF(ABS(K1155)&lt;'Progetto del paramento slu'!$G$58,ABS(K1155)*'Progetto del paramento slu'!$G$54,'Progetto del paramento slu'!$G$53)*IF(K1155&lt;0,-1,1)</f>
        <v>0</v>
      </c>
      <c r="R1155" s="553">
        <f>'Foglio deposito bis'!$F$59*IF(ABS(L1155)&lt;'Progetto del paramento slu'!$G$58,ABS(L1155)*'Progetto del paramento slu'!$G$54,'Progetto del paramento slu'!$G$53)*IF(L1155&lt;0,-1,1)</f>
        <v>153664.85805602249</v>
      </c>
      <c r="S1155" s="553">
        <f>'Foglio deposito bis'!$F$60*IF(ABS(M1155)&lt;'Progetto del paramento slu'!$G$58,ABS(M1155)*'Progetto del paramento slu'!$G$54,'Progetto del paramento slu'!$G$53)*IF(M1155&lt;0,-1,1)</f>
        <v>0</v>
      </c>
      <c r="T1155" s="553">
        <f>'Foglio deposito bis'!$F$61*IF(ABS(N1155)&lt;'Progetto del paramento slu'!$G$58,ABS(N1155)*'Progetto del paramento slu'!$G$54,'Progetto del paramento slu'!$G$53)*IF(N1155&lt;0,-1,1)</f>
        <v>240946.49743184328</v>
      </c>
      <c r="U1155" s="553">
        <f>'Foglio deposito bis'!$F$62*IF(ABS(O1155)&lt;'Progetto del paramento slu'!$G$58,ABS(O1155)*'Progetto del paramento slu'!$G$54,'Progetto del paramento slu'!$G$53)*IF(O1155&lt;0,-1,1)</f>
        <v>314705.62929873407</v>
      </c>
      <c r="V1155" s="479">
        <f t="shared" si="87"/>
        <v>-223427.52052826079</v>
      </c>
      <c r="W1155" s="559"/>
      <c r="X1155" s="559"/>
    </row>
    <row r="1156" spans="1:24" x14ac:dyDescent="0.25">
      <c r="A1156" s="553">
        <f t="shared" si="86"/>
        <v>234872.23838488472</v>
      </c>
      <c r="B1156" s="3">
        <f t="shared" si="84"/>
        <v>16.499999999999964</v>
      </c>
      <c r="C1156" s="553">
        <f>'Foglio deposito bis'!$E$157/sezione!$B$247*B1156</f>
        <v>66.983299612261774</v>
      </c>
      <c r="D1156" s="611">
        <f>-'Progetto del paramento slu'!$G$47*'Progetto del paramento slu'!$G$41*IF(DATI!$G$218="dx",DATI!$E$61,DATI!$E$64*DATI!$E$63)*1000*C1156^2*sezione!$AD$5*(1-sezione!$AD$6)</f>
        <v>-36935027.221796729</v>
      </c>
      <c r="E1156" s="553">
        <f>-'Foglio deposito bis'!$F$58*(C1156-sezione!$AL$31)*IF(ABS(K1156)&lt;'Progetto del paramento slu'!$G$58,ABS(K1156)*'Progetto del paramento slu'!$G$54,'Progetto del paramento slu'!$G$53)</f>
        <v>0</v>
      </c>
      <c r="F1156" s="553">
        <f>-'Foglio deposito bis'!$F$59*(C1156-sezione!$AM$31)*IF(ABS(L1156)&lt;'Progetto del paramento slu'!$G$58,ABS(L1156)*'Progetto del paramento slu'!$G$54,'Progetto del paramento slu'!$G$53)</f>
        <v>12756749.481361143</v>
      </c>
      <c r="G1156" s="553">
        <f>-'Foglio deposito bis'!$F$60*(C1156-sezione!$AN$31)*IF(ABS(M1156)&lt;'Progetto del paramento slu'!$G$58,ABS(M1156)*'Progetto del paramento slu'!$G$54,'Progetto del paramento slu'!$G$53)</f>
        <v>0</v>
      </c>
      <c r="H1156" s="553">
        <f>-'Foglio deposito bis'!$F$61*(C1156-sezione!$AO$31)*IF(ABS(N1156)&lt;'Progetto del paramento slu'!$G$58,ABS(N1156)*'Progetto del paramento slu'!$G$54,'Progetto del paramento slu'!$G$53)</f>
        <v>65782417.698824503</v>
      </c>
      <c r="I1156" s="479">
        <f>-'Foglio deposito bis'!$F$62*(C1156-sezione!$AP$31)*IF(ABS(O1156)&lt;'Progetto del paramento slu'!$G$58,ABS(O1156)*'Progetto del paramento slu'!$G$54,'Progetto del paramento slu'!$G$53)</f>
        <v>60744697.957189873</v>
      </c>
      <c r="J1156" s="479">
        <f t="shared" si="85"/>
        <v>102348837.91557878</v>
      </c>
      <c r="K1156" s="558">
        <f>'Progetto del paramento slu'!$G$60*(sezione!$AL$31-C1156)/C1156</f>
        <v>-1.4099267905522529E-3</v>
      </c>
      <c r="L1156" s="558">
        <f>'Progetto del paramento slu'!$G$60*(sezione!$AM$31-C1156)/C1156</f>
        <v>4.3377745354290518E-3</v>
      </c>
      <c r="M1156" s="559">
        <f>'Progetto del paramento slu'!$G$60*(sezione!$AN$31-C1156)/C1156</f>
        <v>1.0085475861410356E-2</v>
      </c>
      <c r="N1156" s="559">
        <f>'Progetto del paramento slu'!$G$60*(sezione!$AO$31-C1156)/C1156</f>
        <v>1.4265622280305852E-2</v>
      </c>
      <c r="O1156" s="559">
        <f>'Progetto del paramento slu'!$G$60*(sezione!$AP$31-C1156)/C1156</f>
        <v>1.0085684366309853E-2</v>
      </c>
      <c r="P1156" s="553">
        <f>-'Progetto del paramento slu'!$G$47*'Progetto del paramento slu'!$G$41*IF(DATI!$G$218="dx",DATI!$E$61,DATI!$E$64*DATI!$E$63)*1000*C1156*sezione!$AD$5</f>
        <v>-944189.22317148454</v>
      </c>
      <c r="Q1156" s="553">
        <f>'Foglio deposito bis'!$F$58*IF(ABS(K1156)&lt;'Progetto del paramento slu'!$G$58,ABS(K1156)*'Progetto del paramento slu'!$G$54,'Progetto del paramento slu'!$G$53)*IF(K1156&lt;0,-1,1)</f>
        <v>0</v>
      </c>
      <c r="R1156" s="553">
        <f>'Foglio deposito bis'!$F$59*IF(ABS(L1156)&lt;'Progetto del paramento slu'!$G$58,ABS(L1156)*'Progetto del paramento slu'!$G$54,'Progetto del paramento slu'!$G$53)*IF(L1156&lt;0,-1,1)</f>
        <v>153664.85805602249</v>
      </c>
      <c r="S1156" s="553">
        <f>'Foglio deposito bis'!$F$60*IF(ABS(M1156)&lt;'Progetto del paramento slu'!$G$58,ABS(M1156)*'Progetto del paramento slu'!$G$54,'Progetto del paramento slu'!$G$53)*IF(M1156&lt;0,-1,1)</f>
        <v>0</v>
      </c>
      <c r="T1156" s="553">
        <f>'Foglio deposito bis'!$F$61*IF(ABS(N1156)&lt;'Progetto del paramento slu'!$G$58,ABS(N1156)*'Progetto del paramento slu'!$G$54,'Progetto del paramento slu'!$G$53)*IF(N1156&lt;0,-1,1)</f>
        <v>240946.49743184328</v>
      </c>
      <c r="U1156" s="553">
        <f>'Foglio deposito bis'!$F$62*IF(ABS(O1156)&lt;'Progetto del paramento slu'!$G$58,ABS(O1156)*'Progetto del paramento slu'!$G$54,'Progetto del paramento slu'!$G$53)*IF(O1156&lt;0,-1,1)</f>
        <v>314705.62929873407</v>
      </c>
      <c r="V1156" s="479">
        <f t="shared" si="87"/>
        <v>-234872.23838488472</v>
      </c>
      <c r="W1156" s="559"/>
      <c r="X1156" s="559"/>
    </row>
    <row r="1157" spans="1:24" x14ac:dyDescent="0.25">
      <c r="A1157" s="553">
        <f t="shared" si="86"/>
        <v>246316.95624150889</v>
      </c>
      <c r="B1157" s="3">
        <f t="shared" si="84"/>
        <v>16.699999999999964</v>
      </c>
      <c r="C1157" s="553">
        <f>'Foglio deposito bis'!$E$157/sezione!$B$247*B1157</f>
        <v>67.795218395440713</v>
      </c>
      <c r="D1157" s="611">
        <f>-'Progetto del paramento slu'!$G$47*'Progetto del paramento slu'!$G$41*IF(DATI!$G$218="dx",DATI!$E$61,DATI!$E$64*DATI!$E$63)*1000*C1157^2*sezione!$AD$5*(1-sezione!$AD$6)</f>
        <v>-37835848.455048271</v>
      </c>
      <c r="E1157" s="553">
        <f>-'Foglio deposito bis'!$F$58*(C1157-sezione!$AL$31)*IF(ABS(K1157)&lt;'Progetto del paramento slu'!$G$58,ABS(K1157)*'Progetto del paramento slu'!$G$54,'Progetto del paramento slu'!$G$53)</f>
        <v>0</v>
      </c>
      <c r="F1157" s="553">
        <f>-'Foglio deposito bis'!$F$59*(C1157-sezione!$AM$31)*IF(ABS(L1157)&lt;'Progetto del paramento slu'!$G$58,ABS(L1157)*'Progetto del paramento slu'!$G$54,'Progetto del paramento slu'!$G$53)</f>
        <v>12631986.096790932</v>
      </c>
      <c r="G1157" s="553">
        <f>-'Foglio deposito bis'!$F$60*(C1157-sezione!$AN$31)*IF(ABS(M1157)&lt;'Progetto del paramento slu'!$G$58,ABS(M1157)*'Progetto del paramento slu'!$G$54,'Progetto del paramento slu'!$G$53)</f>
        <v>0</v>
      </c>
      <c r="H1157" s="553">
        <f>-'Foglio deposito bis'!$F$61*(C1157-sezione!$AO$31)*IF(ABS(N1157)&lt;'Progetto del paramento slu'!$G$58,ABS(N1157)*'Progetto del paramento slu'!$G$54,'Progetto del paramento slu'!$G$53)</f>
        <v>65586788.711818404</v>
      </c>
      <c r="I1157" s="479">
        <f>-'Foglio deposito bis'!$F$62*(C1157-sezione!$AP$31)*IF(ABS(O1157)&lt;'Progetto del paramento slu'!$G$58,ABS(O1157)*'Progetto del paramento slu'!$G$54,'Progetto del paramento slu'!$G$53)</f>
        <v>60489182.54559008</v>
      </c>
      <c r="J1157" s="479">
        <f t="shared" si="85"/>
        <v>100872108.89915115</v>
      </c>
      <c r="K1157" s="558">
        <f>'Progetto del paramento slu'!$G$60*(sezione!$AL$31-C1157)/C1157</f>
        <v>-1.4349576074318669E-3</v>
      </c>
      <c r="L1157" s="558">
        <f>'Progetto del paramento slu'!$G$60*(sezione!$AM$31-C1157)/C1157</f>
        <v>4.2439089721304996E-3</v>
      </c>
      <c r="M1157" s="559">
        <f>'Progetto del paramento slu'!$G$60*(sezione!$AN$31-C1157)/C1157</f>
        <v>9.9227755516928667E-3</v>
      </c>
      <c r="N1157" s="559">
        <f>'Progetto del paramento slu'!$G$60*(sezione!$AO$31-C1157)/C1157</f>
        <v>1.4052860336829131E-2</v>
      </c>
      <c r="O1157" s="559">
        <f>'Progetto del paramento slu'!$G$60*(sezione!$AP$31-C1157)/C1157</f>
        <v>9.9229815595276959E-3</v>
      </c>
      <c r="P1157" s="553">
        <f>-'Progetto del paramento slu'!$G$47*'Progetto del paramento slu'!$G$41*IF(DATI!$G$218="dx",DATI!$E$61,DATI!$E$64*DATI!$E$63)*1000*C1157*sezione!$AD$5</f>
        <v>-955633.94102810882</v>
      </c>
      <c r="Q1157" s="553">
        <f>'Foglio deposito bis'!$F$58*IF(ABS(K1157)&lt;'Progetto del paramento slu'!$G$58,ABS(K1157)*'Progetto del paramento slu'!$G$54,'Progetto del paramento slu'!$G$53)*IF(K1157&lt;0,-1,1)</f>
        <v>0</v>
      </c>
      <c r="R1157" s="553">
        <f>'Foglio deposito bis'!$F$59*IF(ABS(L1157)&lt;'Progetto del paramento slu'!$G$58,ABS(L1157)*'Progetto del paramento slu'!$G$54,'Progetto del paramento slu'!$G$53)*IF(L1157&lt;0,-1,1)</f>
        <v>153664.85805602249</v>
      </c>
      <c r="S1157" s="553">
        <f>'Foglio deposito bis'!$F$60*IF(ABS(M1157)&lt;'Progetto del paramento slu'!$G$58,ABS(M1157)*'Progetto del paramento slu'!$G$54,'Progetto del paramento slu'!$G$53)*IF(M1157&lt;0,-1,1)</f>
        <v>0</v>
      </c>
      <c r="T1157" s="553">
        <f>'Foglio deposito bis'!$F$61*IF(ABS(N1157)&lt;'Progetto del paramento slu'!$G$58,ABS(N1157)*'Progetto del paramento slu'!$G$54,'Progetto del paramento slu'!$G$53)*IF(N1157&lt;0,-1,1)</f>
        <v>240946.49743184328</v>
      </c>
      <c r="U1157" s="553">
        <f>'Foglio deposito bis'!$F$62*IF(ABS(O1157)&lt;'Progetto del paramento slu'!$G$58,ABS(O1157)*'Progetto del paramento slu'!$G$54,'Progetto del paramento slu'!$G$53)*IF(O1157&lt;0,-1,1)</f>
        <v>314705.62929873407</v>
      </c>
      <c r="V1157" s="479">
        <f t="shared" si="87"/>
        <v>-246316.95624150889</v>
      </c>
      <c r="W1157" s="559"/>
      <c r="X1157" s="559"/>
    </row>
    <row r="1158" spans="1:24" x14ac:dyDescent="0.25">
      <c r="A1158" s="553">
        <f t="shared" si="86"/>
        <v>257761.67409813282</v>
      </c>
      <c r="B1158" s="3">
        <f t="shared" si="84"/>
        <v>16.899999999999963</v>
      </c>
      <c r="C1158" s="553">
        <f>'Foglio deposito bis'!$E$157/sezione!$B$247*B1158</f>
        <v>68.607137178619638</v>
      </c>
      <c r="D1158" s="611">
        <f>-'Progetto del paramento slu'!$G$47*'Progetto del paramento slu'!$G$41*IF(DATI!$G$218="dx",DATI!$E$61,DATI!$E$64*DATI!$E$63)*1000*C1158^2*sezione!$AD$5*(1-sezione!$AD$6)</f>
        <v>-38747522.956170298</v>
      </c>
      <c r="E1158" s="553">
        <f>-'Foglio deposito bis'!$F$58*(C1158-sezione!$AL$31)*IF(ABS(K1158)&lt;'Progetto del paramento slu'!$G$58,ABS(K1158)*'Progetto del paramento slu'!$G$54,'Progetto del paramento slu'!$G$53)</f>
        <v>0</v>
      </c>
      <c r="F1158" s="553">
        <f>-'Foglio deposito bis'!$F$59*(C1158-sezione!$AM$31)*IF(ABS(L1158)&lt;'Progetto del paramento slu'!$G$58,ABS(L1158)*'Progetto del paramento slu'!$G$54,'Progetto del paramento slu'!$G$53)</f>
        <v>12507222.712220723</v>
      </c>
      <c r="G1158" s="553">
        <f>-'Foglio deposito bis'!$F$60*(C1158-sezione!$AN$31)*IF(ABS(M1158)&lt;'Progetto del paramento slu'!$G$58,ABS(M1158)*'Progetto del paramento slu'!$G$54,'Progetto del paramento slu'!$G$53)</f>
        <v>0</v>
      </c>
      <c r="H1158" s="553">
        <f>-'Foglio deposito bis'!$F$61*(C1158-sezione!$AO$31)*IF(ABS(N1158)&lt;'Progetto del paramento slu'!$G$58,ABS(N1158)*'Progetto del paramento slu'!$G$54,'Progetto del paramento slu'!$G$53)</f>
        <v>65391159.724812329</v>
      </c>
      <c r="I1158" s="479">
        <f>-'Foglio deposito bis'!$F$62*(C1158-sezione!$AP$31)*IF(ABS(O1158)&lt;'Progetto del paramento slu'!$G$58,ABS(O1158)*'Progetto del paramento slu'!$G$54,'Progetto del paramento slu'!$G$53)</f>
        <v>60233667.133990295</v>
      </c>
      <c r="J1158" s="479">
        <f t="shared" si="85"/>
        <v>99384526.614853054</v>
      </c>
      <c r="K1158" s="558">
        <f>'Progetto del paramento slu'!$G$60*(sezione!$AL$31-C1158)/C1158</f>
        <v>-1.4593959789415488E-3</v>
      </c>
      <c r="L1158" s="558">
        <f>'Progetto del paramento slu'!$G$60*(sezione!$AM$31-C1158)/C1158</f>
        <v>4.1522650789691919E-3</v>
      </c>
      <c r="M1158" s="559">
        <f>'Progetto del paramento slu'!$G$60*(sezione!$AN$31-C1158)/C1158</f>
        <v>9.7639261368799336E-3</v>
      </c>
      <c r="N1158" s="559">
        <f>'Progetto del paramento slu'!$G$60*(sezione!$AO$31-C1158)/C1158</f>
        <v>1.3845134178996837E-2</v>
      </c>
      <c r="O1158" s="559">
        <f>'Progetto del paramento slu'!$G$60*(sezione!$AP$31-C1158)/C1158</f>
        <v>9.7641297067522208E-3</v>
      </c>
      <c r="P1158" s="553">
        <f>-'Progetto del paramento slu'!$G$47*'Progetto del paramento slu'!$G$41*IF(DATI!$G$218="dx",DATI!$E$61,DATI!$E$64*DATI!$E$63)*1000*C1158*sezione!$AD$5</f>
        <v>-967078.65888473275</v>
      </c>
      <c r="Q1158" s="553">
        <f>'Foglio deposito bis'!$F$58*IF(ABS(K1158)&lt;'Progetto del paramento slu'!$G$58,ABS(K1158)*'Progetto del paramento slu'!$G$54,'Progetto del paramento slu'!$G$53)*IF(K1158&lt;0,-1,1)</f>
        <v>0</v>
      </c>
      <c r="R1158" s="553">
        <f>'Foglio deposito bis'!$F$59*IF(ABS(L1158)&lt;'Progetto del paramento slu'!$G$58,ABS(L1158)*'Progetto del paramento slu'!$G$54,'Progetto del paramento slu'!$G$53)*IF(L1158&lt;0,-1,1)</f>
        <v>153664.85805602249</v>
      </c>
      <c r="S1158" s="553">
        <f>'Foglio deposito bis'!$F$60*IF(ABS(M1158)&lt;'Progetto del paramento slu'!$G$58,ABS(M1158)*'Progetto del paramento slu'!$G$54,'Progetto del paramento slu'!$G$53)*IF(M1158&lt;0,-1,1)</f>
        <v>0</v>
      </c>
      <c r="T1158" s="553">
        <f>'Foglio deposito bis'!$F$61*IF(ABS(N1158)&lt;'Progetto del paramento slu'!$G$58,ABS(N1158)*'Progetto del paramento slu'!$G$54,'Progetto del paramento slu'!$G$53)*IF(N1158&lt;0,-1,1)</f>
        <v>240946.49743184328</v>
      </c>
      <c r="U1158" s="553">
        <f>'Foglio deposito bis'!$F$62*IF(ABS(O1158)&lt;'Progetto del paramento slu'!$G$58,ABS(O1158)*'Progetto del paramento slu'!$G$54,'Progetto del paramento slu'!$G$53)*IF(O1158&lt;0,-1,1)</f>
        <v>314705.62929873407</v>
      </c>
      <c r="V1158" s="479">
        <f t="shared" si="87"/>
        <v>-257761.67409813282</v>
      </c>
      <c r="W1158" s="559"/>
      <c r="X1158" s="559"/>
    </row>
    <row r="1159" spans="1:24" x14ac:dyDescent="0.25">
      <c r="A1159" s="553">
        <f t="shared" si="86"/>
        <v>269206.39195475675</v>
      </c>
      <c r="B1159" s="3">
        <f t="shared" si="84"/>
        <v>17.099999999999962</v>
      </c>
      <c r="C1159" s="553">
        <f>'Foglio deposito bis'!$E$157/sezione!$B$247*B1159</f>
        <v>69.419055961798563</v>
      </c>
      <c r="D1159" s="611">
        <f>-'Progetto del paramento slu'!$G$47*'Progetto del paramento slu'!$G$41*IF(DATI!$G$218="dx",DATI!$E$61,DATI!$E$64*DATI!$E$63)*1000*C1159^2*sezione!$AD$5*(1-sezione!$AD$6)</f>
        <v>-39670050.725162826</v>
      </c>
      <c r="E1159" s="553">
        <f>-'Foglio deposito bis'!$F$58*(C1159-sezione!$AL$31)*IF(ABS(K1159)&lt;'Progetto del paramento slu'!$G$58,ABS(K1159)*'Progetto del paramento slu'!$G$54,'Progetto del paramento slu'!$G$53)</f>
        <v>0</v>
      </c>
      <c r="F1159" s="553">
        <f>-'Foglio deposito bis'!$F$59*(C1159-sezione!$AM$31)*IF(ABS(L1159)&lt;'Progetto del paramento slu'!$G$58,ABS(L1159)*'Progetto del paramento slu'!$G$54,'Progetto del paramento slu'!$G$53)</f>
        <v>12382459.327650515</v>
      </c>
      <c r="G1159" s="553">
        <f>-'Foglio deposito bis'!$F$60*(C1159-sezione!$AN$31)*IF(ABS(M1159)&lt;'Progetto del paramento slu'!$G$58,ABS(M1159)*'Progetto del paramento slu'!$G$54,'Progetto del paramento slu'!$G$53)</f>
        <v>0</v>
      </c>
      <c r="H1159" s="553">
        <f>-'Foglio deposito bis'!$F$61*(C1159-sezione!$AO$31)*IF(ABS(N1159)&lt;'Progetto del paramento slu'!$G$58,ABS(N1159)*'Progetto del paramento slu'!$G$54,'Progetto del paramento slu'!$G$53)</f>
        <v>65195530.737806231</v>
      </c>
      <c r="I1159" s="479">
        <f>-'Foglio deposito bis'!$F$62*(C1159-sezione!$AP$31)*IF(ABS(O1159)&lt;'Progetto del paramento slu'!$G$58,ABS(O1159)*'Progetto del paramento slu'!$G$54,'Progetto del paramento slu'!$G$53)</f>
        <v>59978151.722390503</v>
      </c>
      <c r="J1159" s="479">
        <f t="shared" si="85"/>
        <v>97886091.062684417</v>
      </c>
      <c r="K1159" s="558">
        <f>'Progetto del paramento slu'!$G$60*(sezione!$AL$31-C1159)/C1159</f>
        <v>-1.4832626926381388E-3</v>
      </c>
      <c r="L1159" s="558">
        <f>'Progetto del paramento slu'!$G$60*(sezione!$AM$31-C1159)/C1159</f>
        <v>4.0627649026069796E-3</v>
      </c>
      <c r="M1159" s="559">
        <f>'Progetto del paramento slu'!$G$60*(sezione!$AN$31-C1159)/C1159</f>
        <v>9.6087924978520995E-3</v>
      </c>
      <c r="N1159" s="559">
        <f>'Progetto del paramento slu'!$G$60*(sezione!$AO$31-C1159)/C1159</f>
        <v>1.3642267112575822E-2</v>
      </c>
      <c r="O1159" s="559">
        <f>'Progetto del paramento slu'!$G$60*(sezione!$AP$31-C1159)/C1159</f>
        <v>9.6089936867902077E-3</v>
      </c>
      <c r="P1159" s="553">
        <f>-'Progetto del paramento slu'!$G$47*'Progetto del paramento slu'!$G$41*IF(DATI!$G$218="dx",DATI!$E$61,DATI!$E$64*DATI!$E$63)*1000*C1159*sezione!$AD$5</f>
        <v>-978523.37674135668</v>
      </c>
      <c r="Q1159" s="553">
        <f>'Foglio deposito bis'!$F$58*IF(ABS(K1159)&lt;'Progetto del paramento slu'!$G$58,ABS(K1159)*'Progetto del paramento slu'!$G$54,'Progetto del paramento slu'!$G$53)*IF(K1159&lt;0,-1,1)</f>
        <v>0</v>
      </c>
      <c r="R1159" s="553">
        <f>'Foglio deposito bis'!$F$59*IF(ABS(L1159)&lt;'Progetto del paramento slu'!$G$58,ABS(L1159)*'Progetto del paramento slu'!$G$54,'Progetto del paramento slu'!$G$53)*IF(L1159&lt;0,-1,1)</f>
        <v>153664.85805602249</v>
      </c>
      <c r="S1159" s="553">
        <f>'Foglio deposito bis'!$F$60*IF(ABS(M1159)&lt;'Progetto del paramento slu'!$G$58,ABS(M1159)*'Progetto del paramento slu'!$G$54,'Progetto del paramento slu'!$G$53)*IF(M1159&lt;0,-1,1)</f>
        <v>0</v>
      </c>
      <c r="T1159" s="553">
        <f>'Foglio deposito bis'!$F$61*IF(ABS(N1159)&lt;'Progetto del paramento slu'!$G$58,ABS(N1159)*'Progetto del paramento slu'!$G$54,'Progetto del paramento slu'!$G$53)*IF(N1159&lt;0,-1,1)</f>
        <v>240946.49743184328</v>
      </c>
      <c r="U1159" s="553">
        <f>'Foglio deposito bis'!$F$62*IF(ABS(O1159)&lt;'Progetto del paramento slu'!$G$58,ABS(O1159)*'Progetto del paramento slu'!$G$54,'Progetto del paramento slu'!$G$53)*IF(O1159&lt;0,-1,1)</f>
        <v>314705.62929873407</v>
      </c>
      <c r="V1159" s="479">
        <f t="shared" si="87"/>
        <v>-269206.39195475675</v>
      </c>
      <c r="W1159" s="559"/>
      <c r="X1159" s="559"/>
    </row>
    <row r="1160" spans="1:24" x14ac:dyDescent="0.25">
      <c r="A1160" s="553">
        <f t="shared" si="86"/>
        <v>280651.10981138091</v>
      </c>
      <c r="B1160" s="3">
        <f t="shared" si="84"/>
        <v>17.299999999999962</v>
      </c>
      <c r="C1160" s="553">
        <f>'Foglio deposito bis'!$E$157/sezione!$B$247*B1160</f>
        <v>70.230974744977502</v>
      </c>
      <c r="D1160" s="611">
        <f>-'Progetto del paramento slu'!$G$47*'Progetto del paramento slu'!$G$41*IF(DATI!$G$218="dx",DATI!$E$61,DATI!$E$64*DATI!$E$63)*1000*C1160^2*sezione!$AD$5*(1-sezione!$AD$6)</f>
        <v>-40603431.76202587</v>
      </c>
      <c r="E1160" s="553">
        <f>-'Foglio deposito bis'!$F$58*(C1160-sezione!$AL$31)*IF(ABS(K1160)&lt;'Progetto del paramento slu'!$G$58,ABS(K1160)*'Progetto del paramento slu'!$G$54,'Progetto del paramento slu'!$G$53)</f>
        <v>0</v>
      </c>
      <c r="F1160" s="553">
        <f>-'Foglio deposito bis'!$F$59*(C1160-sezione!$AM$31)*IF(ABS(L1160)&lt;'Progetto del paramento slu'!$G$58,ABS(L1160)*'Progetto del paramento slu'!$G$54,'Progetto del paramento slu'!$G$53)</f>
        <v>12257695.943080306</v>
      </c>
      <c r="G1160" s="553">
        <f>-'Foglio deposito bis'!$F$60*(C1160-sezione!$AN$31)*IF(ABS(M1160)&lt;'Progetto del paramento slu'!$G$58,ABS(M1160)*'Progetto del paramento slu'!$G$54,'Progetto del paramento slu'!$G$53)</f>
        <v>0</v>
      </c>
      <c r="H1160" s="553">
        <f>-'Foglio deposito bis'!$F$61*(C1160-sezione!$AO$31)*IF(ABS(N1160)&lt;'Progetto del paramento slu'!$G$58,ABS(N1160)*'Progetto del paramento slu'!$G$54,'Progetto del paramento slu'!$G$53)</f>
        <v>64999901.75080014</v>
      </c>
      <c r="I1160" s="479">
        <f>-'Foglio deposito bis'!$F$62*(C1160-sezione!$AP$31)*IF(ABS(O1160)&lt;'Progetto del paramento slu'!$G$58,ABS(O1160)*'Progetto del paramento slu'!$G$54,'Progetto del paramento slu'!$G$53)</f>
        <v>59722636.31079071</v>
      </c>
      <c r="J1160" s="479">
        <f t="shared" si="85"/>
        <v>96376802.242645293</v>
      </c>
      <c r="K1160" s="558">
        <f>'Progetto del paramento slu'!$G$60*(sezione!$AL$31-C1160)/C1160</f>
        <v>-1.506577574804172E-3</v>
      </c>
      <c r="L1160" s="558">
        <f>'Progetto del paramento slu'!$G$60*(sezione!$AM$31-C1160)/C1160</f>
        <v>3.9753340944843549E-3</v>
      </c>
      <c r="M1160" s="559">
        <f>'Progetto del paramento slu'!$G$60*(sezione!$AN$31-C1160)/C1160</f>
        <v>9.4572457637728813E-3</v>
      </c>
      <c r="N1160" s="559">
        <f>'Progetto del paramento slu'!$G$60*(sezione!$AO$31-C1160)/C1160</f>
        <v>1.3444090614164537E-2</v>
      </c>
      <c r="O1160" s="559">
        <f>'Progetto del paramento slu'!$G$60*(sezione!$AP$31-C1160)/C1160</f>
        <v>9.4574446268273129E-3</v>
      </c>
      <c r="P1160" s="553">
        <f>-'Progetto del paramento slu'!$G$47*'Progetto del paramento slu'!$G$41*IF(DATI!$G$218="dx",DATI!$E$61,DATI!$E$64*DATI!$E$63)*1000*C1160*sezione!$AD$5</f>
        <v>-989968.09459798085</v>
      </c>
      <c r="Q1160" s="553">
        <f>'Foglio deposito bis'!$F$58*IF(ABS(K1160)&lt;'Progetto del paramento slu'!$G$58,ABS(K1160)*'Progetto del paramento slu'!$G$54,'Progetto del paramento slu'!$G$53)*IF(K1160&lt;0,-1,1)</f>
        <v>0</v>
      </c>
      <c r="R1160" s="553">
        <f>'Foglio deposito bis'!$F$59*IF(ABS(L1160)&lt;'Progetto del paramento slu'!$G$58,ABS(L1160)*'Progetto del paramento slu'!$G$54,'Progetto del paramento slu'!$G$53)*IF(L1160&lt;0,-1,1)</f>
        <v>153664.85805602249</v>
      </c>
      <c r="S1160" s="553">
        <f>'Foglio deposito bis'!$F$60*IF(ABS(M1160)&lt;'Progetto del paramento slu'!$G$58,ABS(M1160)*'Progetto del paramento slu'!$G$54,'Progetto del paramento slu'!$G$53)*IF(M1160&lt;0,-1,1)</f>
        <v>0</v>
      </c>
      <c r="T1160" s="553">
        <f>'Foglio deposito bis'!$F$61*IF(ABS(N1160)&lt;'Progetto del paramento slu'!$G$58,ABS(N1160)*'Progetto del paramento slu'!$G$54,'Progetto del paramento slu'!$G$53)*IF(N1160&lt;0,-1,1)</f>
        <v>240946.49743184328</v>
      </c>
      <c r="U1160" s="553">
        <f>'Foglio deposito bis'!$F$62*IF(ABS(O1160)&lt;'Progetto del paramento slu'!$G$58,ABS(O1160)*'Progetto del paramento slu'!$G$54,'Progetto del paramento slu'!$G$53)*IF(O1160&lt;0,-1,1)</f>
        <v>314705.62929873407</v>
      </c>
      <c r="V1160" s="479">
        <f t="shared" si="87"/>
        <v>-280651.10981138091</v>
      </c>
      <c r="W1160" s="559"/>
      <c r="X1160" s="559"/>
    </row>
    <row r="1161" spans="1:24" x14ac:dyDescent="0.25">
      <c r="A1161" s="553">
        <f t="shared" si="86"/>
        <v>292095.82766800508</v>
      </c>
      <c r="B1161" s="3">
        <f t="shared" si="84"/>
        <v>17.499999999999961</v>
      </c>
      <c r="C1161" s="553">
        <f>'Foglio deposito bis'!$E$157/sezione!$B$247*B1161</f>
        <v>71.042893528156426</v>
      </c>
      <c r="D1161" s="611">
        <f>-'Progetto del paramento slu'!$G$47*'Progetto del paramento slu'!$G$41*IF(DATI!$G$218="dx",DATI!$E$61,DATI!$E$64*DATI!$E$63)*1000*C1161^2*sezione!$AD$5*(1-sezione!$AD$6)</f>
        <v>-41547666.0667594</v>
      </c>
      <c r="E1161" s="553">
        <f>-'Foglio deposito bis'!$F$58*(C1161-sezione!$AL$31)*IF(ABS(K1161)&lt;'Progetto del paramento slu'!$G$58,ABS(K1161)*'Progetto del paramento slu'!$G$54,'Progetto del paramento slu'!$G$53)</f>
        <v>0</v>
      </c>
      <c r="F1161" s="553">
        <f>-'Foglio deposito bis'!$F$59*(C1161-sezione!$AM$31)*IF(ABS(L1161)&lt;'Progetto del paramento slu'!$G$58,ABS(L1161)*'Progetto del paramento slu'!$G$54,'Progetto del paramento slu'!$G$53)</f>
        <v>12132932.558510099</v>
      </c>
      <c r="G1161" s="553">
        <f>-'Foglio deposito bis'!$F$60*(C1161-sezione!$AN$31)*IF(ABS(M1161)&lt;'Progetto del paramento slu'!$G$58,ABS(M1161)*'Progetto del paramento slu'!$G$54,'Progetto del paramento slu'!$G$53)</f>
        <v>0</v>
      </c>
      <c r="H1161" s="553">
        <f>-'Foglio deposito bis'!$F$61*(C1161-sezione!$AO$31)*IF(ABS(N1161)&lt;'Progetto del paramento slu'!$G$58,ABS(N1161)*'Progetto del paramento slu'!$G$54,'Progetto del paramento slu'!$G$53)</f>
        <v>64804272.763794057</v>
      </c>
      <c r="I1161" s="479">
        <f>-'Foglio deposito bis'!$F$62*(C1161-sezione!$AP$31)*IF(ABS(O1161)&lt;'Progetto del paramento slu'!$G$58,ABS(O1161)*'Progetto del paramento slu'!$G$54,'Progetto del paramento slu'!$G$53)</f>
        <v>59467120.899190933</v>
      </c>
      <c r="J1161" s="479">
        <f t="shared" si="85"/>
        <v>94856660.154735684</v>
      </c>
      <c r="K1161" s="558">
        <f>'Progetto del paramento slu'!$G$60*(sezione!$AL$31-C1161)/C1161</f>
        <v>-1.5293595453778385E-3</v>
      </c>
      <c r="L1161" s="558">
        <f>'Progetto del paramento slu'!$G$60*(sezione!$AM$31-C1161)/C1161</f>
        <v>3.8899017048331058E-3</v>
      </c>
      <c r="M1161" s="559">
        <f>'Progetto del paramento slu'!$G$60*(sezione!$AN$31-C1161)/C1161</f>
        <v>9.3091629550440518E-3</v>
      </c>
      <c r="N1161" s="559">
        <f>'Progetto del paramento slu'!$G$60*(sezione!$AO$31-C1161)/C1161</f>
        <v>1.3250443864288374E-2</v>
      </c>
      <c r="O1161" s="559">
        <f>'Progetto del paramento slu'!$G$60*(sezione!$AP$31-C1161)/C1161</f>
        <v>9.3093595453778606E-3</v>
      </c>
      <c r="P1161" s="553">
        <f>-'Progetto del paramento slu'!$G$47*'Progetto del paramento slu'!$G$41*IF(DATI!$G$218="dx",DATI!$E$61,DATI!$E$64*DATI!$E$63)*1000*C1161*sezione!$AD$5</f>
        <v>-1001412.812454605</v>
      </c>
      <c r="Q1161" s="553">
        <f>'Foglio deposito bis'!$F$58*IF(ABS(K1161)&lt;'Progetto del paramento slu'!$G$58,ABS(K1161)*'Progetto del paramento slu'!$G$54,'Progetto del paramento slu'!$G$53)*IF(K1161&lt;0,-1,1)</f>
        <v>0</v>
      </c>
      <c r="R1161" s="553">
        <f>'Foglio deposito bis'!$F$59*IF(ABS(L1161)&lt;'Progetto del paramento slu'!$G$58,ABS(L1161)*'Progetto del paramento slu'!$G$54,'Progetto del paramento slu'!$G$53)*IF(L1161&lt;0,-1,1)</f>
        <v>153664.85805602249</v>
      </c>
      <c r="S1161" s="553">
        <f>'Foglio deposito bis'!$F$60*IF(ABS(M1161)&lt;'Progetto del paramento slu'!$G$58,ABS(M1161)*'Progetto del paramento slu'!$G$54,'Progetto del paramento slu'!$G$53)*IF(M1161&lt;0,-1,1)</f>
        <v>0</v>
      </c>
      <c r="T1161" s="553">
        <f>'Foglio deposito bis'!$F$61*IF(ABS(N1161)&lt;'Progetto del paramento slu'!$G$58,ABS(N1161)*'Progetto del paramento slu'!$G$54,'Progetto del paramento slu'!$G$53)*IF(N1161&lt;0,-1,1)</f>
        <v>240946.49743184328</v>
      </c>
      <c r="U1161" s="553">
        <f>'Foglio deposito bis'!$F$62*IF(ABS(O1161)&lt;'Progetto del paramento slu'!$G$58,ABS(O1161)*'Progetto del paramento slu'!$G$54,'Progetto del paramento slu'!$G$53)*IF(O1161&lt;0,-1,1)</f>
        <v>314705.62929873407</v>
      </c>
      <c r="V1161" s="479">
        <f t="shared" si="87"/>
        <v>-292095.82766800508</v>
      </c>
      <c r="W1161" s="559"/>
      <c r="X1161" s="559"/>
    </row>
    <row r="1162" spans="1:24" x14ac:dyDescent="0.25">
      <c r="A1162" s="553">
        <f t="shared" si="86"/>
        <v>303540.54552462901</v>
      </c>
      <c r="B1162" s="3">
        <f t="shared" si="84"/>
        <v>17.69999999999996</v>
      </c>
      <c r="C1162" s="553">
        <f>'Foglio deposito bis'!$E$157/sezione!$B$247*B1162</f>
        <v>71.854812311335351</v>
      </c>
      <c r="D1162" s="611">
        <f>-'Progetto del paramento slu'!$G$47*'Progetto del paramento slu'!$G$41*IF(DATI!$G$218="dx",DATI!$E$61,DATI!$E$64*DATI!$E$63)*1000*C1162^2*sezione!$AD$5*(1-sezione!$AD$6)</f>
        <v>-42502753.63936343</v>
      </c>
      <c r="E1162" s="553">
        <f>-'Foglio deposito bis'!$F$58*(C1162-sezione!$AL$31)*IF(ABS(K1162)&lt;'Progetto del paramento slu'!$G$58,ABS(K1162)*'Progetto del paramento slu'!$G$54,'Progetto del paramento slu'!$G$53)</f>
        <v>0</v>
      </c>
      <c r="F1162" s="553">
        <f>-'Foglio deposito bis'!$F$59*(C1162-sezione!$AM$31)*IF(ABS(L1162)&lt;'Progetto del paramento slu'!$G$58,ABS(L1162)*'Progetto del paramento slu'!$G$54,'Progetto del paramento slu'!$G$53)</f>
        <v>12008169.173939889</v>
      </c>
      <c r="G1162" s="553">
        <f>-'Foglio deposito bis'!$F$60*(C1162-sezione!$AN$31)*IF(ABS(M1162)&lt;'Progetto del paramento slu'!$G$58,ABS(M1162)*'Progetto del paramento slu'!$G$54,'Progetto del paramento slu'!$G$53)</f>
        <v>0</v>
      </c>
      <c r="H1162" s="553">
        <f>-'Foglio deposito bis'!$F$61*(C1162-sezione!$AO$31)*IF(ABS(N1162)&lt;'Progetto del paramento slu'!$G$58,ABS(N1162)*'Progetto del paramento slu'!$G$54,'Progetto del paramento slu'!$G$53)</f>
        <v>64608643.776787966</v>
      </c>
      <c r="I1162" s="479">
        <f>-'Foglio deposito bis'!$F$62*(C1162-sezione!$AP$31)*IF(ABS(O1162)&lt;'Progetto del paramento slu'!$G$58,ABS(O1162)*'Progetto del paramento slu'!$G$54,'Progetto del paramento slu'!$G$53)</f>
        <v>59211605.487591133</v>
      </c>
      <c r="J1162" s="479">
        <f t="shared" si="85"/>
        <v>93325664.79895556</v>
      </c>
      <c r="K1162" s="558">
        <f>'Progetto del paramento slu'!$G$60*(sezione!$AL$31-C1162)/C1162</f>
        <v>-1.5516266691588797E-3</v>
      </c>
      <c r="L1162" s="558">
        <f>'Progetto del paramento slu'!$G$60*(sezione!$AM$31-C1162)/C1162</f>
        <v>3.8063999906542013E-3</v>
      </c>
      <c r="M1162" s="559">
        <f>'Progetto del paramento slu'!$G$60*(sezione!$AN$31-C1162)/C1162</f>
        <v>9.1644266504672823E-3</v>
      </c>
      <c r="N1162" s="559">
        <f>'Progetto del paramento slu'!$G$60*(sezione!$AO$31-C1162)/C1162</f>
        <v>1.3061173312149522E-2</v>
      </c>
      <c r="O1162" s="559">
        <f>'Progetto del paramento slu'!$G$60*(sezione!$AP$31-C1162)/C1162</f>
        <v>9.1646210194413873E-3</v>
      </c>
      <c r="P1162" s="553">
        <f>-'Progetto del paramento slu'!$G$47*'Progetto del paramento slu'!$G$41*IF(DATI!$G$218="dx",DATI!$E$61,DATI!$E$64*DATI!$E$63)*1000*C1162*sezione!$AD$5</f>
        <v>-1012857.5303112289</v>
      </c>
      <c r="Q1162" s="553">
        <f>'Foglio deposito bis'!$F$58*IF(ABS(K1162)&lt;'Progetto del paramento slu'!$G$58,ABS(K1162)*'Progetto del paramento slu'!$G$54,'Progetto del paramento slu'!$G$53)*IF(K1162&lt;0,-1,1)</f>
        <v>0</v>
      </c>
      <c r="R1162" s="553">
        <f>'Foglio deposito bis'!$F$59*IF(ABS(L1162)&lt;'Progetto del paramento slu'!$G$58,ABS(L1162)*'Progetto del paramento slu'!$G$54,'Progetto del paramento slu'!$G$53)*IF(L1162&lt;0,-1,1)</f>
        <v>153664.85805602249</v>
      </c>
      <c r="S1162" s="553">
        <f>'Foglio deposito bis'!$F$60*IF(ABS(M1162)&lt;'Progetto del paramento slu'!$G$58,ABS(M1162)*'Progetto del paramento slu'!$G$54,'Progetto del paramento slu'!$G$53)*IF(M1162&lt;0,-1,1)</f>
        <v>0</v>
      </c>
      <c r="T1162" s="553">
        <f>'Foglio deposito bis'!$F$61*IF(ABS(N1162)&lt;'Progetto del paramento slu'!$G$58,ABS(N1162)*'Progetto del paramento slu'!$G$54,'Progetto del paramento slu'!$G$53)*IF(N1162&lt;0,-1,1)</f>
        <v>240946.49743184328</v>
      </c>
      <c r="U1162" s="553">
        <f>'Foglio deposito bis'!$F$62*IF(ABS(O1162)&lt;'Progetto del paramento slu'!$G$58,ABS(O1162)*'Progetto del paramento slu'!$G$54,'Progetto del paramento slu'!$G$53)*IF(O1162&lt;0,-1,1)</f>
        <v>314705.62929873407</v>
      </c>
      <c r="V1162" s="479">
        <f t="shared" si="87"/>
        <v>-303540.54552462901</v>
      </c>
      <c r="W1162" s="559"/>
      <c r="X1162" s="559"/>
    </row>
    <row r="1163" spans="1:24" x14ac:dyDescent="0.25">
      <c r="A1163" s="553">
        <f t="shared" si="86"/>
        <v>314985.26338125317</v>
      </c>
      <c r="B1163" s="3">
        <f t="shared" si="84"/>
        <v>17.899999999999959</v>
      </c>
      <c r="C1163" s="553">
        <f>'Foglio deposito bis'!$E$157/sezione!$B$247*B1163</f>
        <v>72.66673109451429</v>
      </c>
      <c r="D1163" s="611">
        <f>-'Progetto del paramento slu'!$G$47*'Progetto del paramento slu'!$G$41*IF(DATI!$G$218="dx",DATI!$E$61,DATI!$E$64*DATI!$E$63)*1000*C1163^2*sezione!$AD$5*(1-sezione!$AD$6)</f>
        <v>-43468694.479837976</v>
      </c>
      <c r="E1163" s="553">
        <f>-'Foglio deposito bis'!$F$58*(C1163-sezione!$AL$31)*IF(ABS(K1163)&lt;'Progetto del paramento slu'!$G$58,ABS(K1163)*'Progetto del paramento slu'!$G$54,'Progetto del paramento slu'!$G$53)</f>
        <v>0</v>
      </c>
      <c r="F1163" s="553">
        <f>-'Foglio deposito bis'!$F$59*(C1163-sezione!$AM$31)*IF(ABS(L1163)&lt;'Progetto del paramento slu'!$G$58,ABS(L1163)*'Progetto del paramento slu'!$G$54,'Progetto del paramento slu'!$G$53)</f>
        <v>11883405.78936968</v>
      </c>
      <c r="G1163" s="553">
        <f>-'Foglio deposito bis'!$F$60*(C1163-sezione!$AN$31)*IF(ABS(M1163)&lt;'Progetto del paramento slu'!$G$58,ABS(M1163)*'Progetto del paramento slu'!$G$54,'Progetto del paramento slu'!$G$53)</f>
        <v>0</v>
      </c>
      <c r="H1163" s="553">
        <f>-'Foglio deposito bis'!$F$61*(C1163-sezione!$AO$31)*IF(ABS(N1163)&lt;'Progetto del paramento slu'!$G$58,ABS(N1163)*'Progetto del paramento slu'!$G$54,'Progetto del paramento slu'!$G$53)</f>
        <v>64413014.789781883</v>
      </c>
      <c r="I1163" s="479">
        <f>-'Foglio deposito bis'!$F$62*(C1163-sezione!$AP$31)*IF(ABS(O1163)&lt;'Progetto del paramento slu'!$G$58,ABS(O1163)*'Progetto del paramento slu'!$G$54,'Progetto del paramento slu'!$G$53)</f>
        <v>58956090.075991347</v>
      </c>
      <c r="J1163" s="479">
        <f t="shared" si="85"/>
        <v>91783816.175304934</v>
      </c>
      <c r="K1163" s="558">
        <f>'Progetto del paramento slu'!$G$60*(sezione!$AL$31-C1163)/C1163</f>
        <v>-1.5733962035816857E-3</v>
      </c>
      <c r="L1163" s="558">
        <f>'Progetto del paramento slu'!$G$60*(sezione!$AM$31-C1163)/C1163</f>
        <v>3.7247642365686785E-3</v>
      </c>
      <c r="M1163" s="559">
        <f>'Progetto del paramento slu'!$G$60*(sezione!$AN$31-C1163)/C1163</f>
        <v>9.0229246767190435E-3</v>
      </c>
      <c r="N1163" s="559">
        <f>'Progetto del paramento slu'!$G$60*(sezione!$AO$31-C1163)/C1163</f>
        <v>1.2876132269555673E-2</v>
      </c>
      <c r="O1163" s="559">
        <f>'Progetto del paramento slu'!$G$60*(sezione!$AP$31-C1163)/C1163</f>
        <v>9.0231168739727686E-3</v>
      </c>
      <c r="P1163" s="553">
        <f>-'Progetto del paramento slu'!$G$47*'Progetto del paramento slu'!$G$41*IF(DATI!$G$218="dx",DATI!$E$61,DATI!$E$64*DATI!$E$63)*1000*C1163*sezione!$AD$5</f>
        <v>-1024302.248167853</v>
      </c>
      <c r="Q1163" s="553">
        <f>'Foglio deposito bis'!$F$58*IF(ABS(K1163)&lt;'Progetto del paramento slu'!$G$58,ABS(K1163)*'Progetto del paramento slu'!$G$54,'Progetto del paramento slu'!$G$53)*IF(K1163&lt;0,-1,1)</f>
        <v>0</v>
      </c>
      <c r="R1163" s="553">
        <f>'Foglio deposito bis'!$F$59*IF(ABS(L1163)&lt;'Progetto del paramento slu'!$G$58,ABS(L1163)*'Progetto del paramento slu'!$G$54,'Progetto del paramento slu'!$G$53)*IF(L1163&lt;0,-1,1)</f>
        <v>153664.85805602249</v>
      </c>
      <c r="S1163" s="553">
        <f>'Foglio deposito bis'!$F$60*IF(ABS(M1163)&lt;'Progetto del paramento slu'!$G$58,ABS(M1163)*'Progetto del paramento slu'!$G$54,'Progetto del paramento slu'!$G$53)*IF(M1163&lt;0,-1,1)</f>
        <v>0</v>
      </c>
      <c r="T1163" s="553">
        <f>'Foglio deposito bis'!$F$61*IF(ABS(N1163)&lt;'Progetto del paramento slu'!$G$58,ABS(N1163)*'Progetto del paramento slu'!$G$54,'Progetto del paramento slu'!$G$53)*IF(N1163&lt;0,-1,1)</f>
        <v>240946.49743184328</v>
      </c>
      <c r="U1163" s="553">
        <f>'Foglio deposito bis'!$F$62*IF(ABS(O1163)&lt;'Progetto del paramento slu'!$G$58,ABS(O1163)*'Progetto del paramento slu'!$G$54,'Progetto del paramento slu'!$G$53)*IF(O1163&lt;0,-1,1)</f>
        <v>314705.62929873407</v>
      </c>
      <c r="V1163" s="479">
        <f t="shared" si="87"/>
        <v>-314985.26338125317</v>
      </c>
      <c r="W1163" s="559"/>
      <c r="X1163" s="559"/>
    </row>
    <row r="1164" spans="1:24" x14ac:dyDescent="0.25">
      <c r="A1164" s="553">
        <f t="shared" si="86"/>
        <v>326429.9812378771</v>
      </c>
      <c r="B1164" s="3">
        <f t="shared" si="84"/>
        <v>18.099999999999959</v>
      </c>
      <c r="C1164" s="553">
        <f>'Foglio deposito bis'!$E$157/sezione!$B$247*B1164</f>
        <v>73.478649877693215</v>
      </c>
      <c r="D1164" s="611">
        <f>-'Progetto del paramento slu'!$G$47*'Progetto del paramento slu'!$G$41*IF(DATI!$G$218="dx",DATI!$E$61,DATI!$E$64*DATI!$E$63)*1000*C1164^2*sezione!$AD$5*(1-sezione!$AD$6)</f>
        <v>-44445488.588183008</v>
      </c>
      <c r="E1164" s="553">
        <f>-'Foglio deposito bis'!$F$58*(C1164-sezione!$AL$31)*IF(ABS(K1164)&lt;'Progetto del paramento slu'!$G$58,ABS(K1164)*'Progetto del paramento slu'!$G$54,'Progetto del paramento slu'!$G$53)</f>
        <v>0</v>
      </c>
      <c r="F1164" s="553">
        <f>-'Foglio deposito bis'!$F$59*(C1164-sezione!$AM$31)*IF(ABS(L1164)&lt;'Progetto del paramento slu'!$G$58,ABS(L1164)*'Progetto del paramento slu'!$G$54,'Progetto del paramento slu'!$G$53)</f>
        <v>11758642.404799473</v>
      </c>
      <c r="G1164" s="553">
        <f>-'Foglio deposito bis'!$F$60*(C1164-sezione!$AN$31)*IF(ABS(M1164)&lt;'Progetto del paramento slu'!$G$58,ABS(M1164)*'Progetto del paramento slu'!$G$54,'Progetto del paramento slu'!$G$53)</f>
        <v>0</v>
      </c>
      <c r="H1164" s="553">
        <f>-'Foglio deposito bis'!$F$61*(C1164-sezione!$AO$31)*IF(ABS(N1164)&lt;'Progetto del paramento slu'!$G$58,ABS(N1164)*'Progetto del paramento slu'!$G$54,'Progetto del paramento slu'!$G$53)</f>
        <v>64217385.802775793</v>
      </c>
      <c r="I1164" s="479">
        <f>-'Foglio deposito bis'!$F$62*(C1164-sezione!$AP$31)*IF(ABS(O1164)&lt;'Progetto del paramento slu'!$G$58,ABS(O1164)*'Progetto del paramento slu'!$G$54,'Progetto del paramento slu'!$G$53)</f>
        <v>58700574.664391562</v>
      </c>
      <c r="J1164" s="479">
        <f t="shared" si="85"/>
        <v>90231114.283783823</v>
      </c>
      <c r="K1164" s="558">
        <f>'Progetto del paramento slu'!$G$60*(sezione!$AL$31-C1164)/C1164</f>
        <v>-1.5946846433211143E-3</v>
      </c>
      <c r="L1164" s="558">
        <f>'Progetto del paramento slu'!$G$60*(sezione!$AM$31-C1164)/C1164</f>
        <v>3.6449325875458206E-3</v>
      </c>
      <c r="M1164" s="559">
        <f>'Progetto del paramento slu'!$G$60*(sezione!$AN$31-C1164)/C1164</f>
        <v>8.8845498184127562E-3</v>
      </c>
      <c r="N1164" s="559">
        <f>'Progetto del paramento slu'!$G$60*(sezione!$AO$31-C1164)/C1164</f>
        <v>1.2695180531770529E-2</v>
      </c>
      <c r="O1164" s="559">
        <f>'Progetto del paramento slu'!$G$60*(sezione!$AP$31-C1164)/C1164</f>
        <v>8.8847398919399204E-3</v>
      </c>
      <c r="P1164" s="553">
        <f>-'Progetto del paramento slu'!$G$47*'Progetto del paramento slu'!$G$41*IF(DATI!$G$218="dx",DATI!$E$61,DATI!$E$64*DATI!$E$63)*1000*C1164*sezione!$AD$5</f>
        <v>-1035746.9660244769</v>
      </c>
      <c r="Q1164" s="553">
        <f>'Foglio deposito bis'!$F$58*IF(ABS(K1164)&lt;'Progetto del paramento slu'!$G$58,ABS(K1164)*'Progetto del paramento slu'!$G$54,'Progetto del paramento slu'!$G$53)*IF(K1164&lt;0,-1,1)</f>
        <v>0</v>
      </c>
      <c r="R1164" s="553">
        <f>'Foglio deposito bis'!$F$59*IF(ABS(L1164)&lt;'Progetto del paramento slu'!$G$58,ABS(L1164)*'Progetto del paramento slu'!$G$54,'Progetto del paramento slu'!$G$53)*IF(L1164&lt;0,-1,1)</f>
        <v>153664.85805602249</v>
      </c>
      <c r="S1164" s="553">
        <f>'Foglio deposito bis'!$F$60*IF(ABS(M1164)&lt;'Progetto del paramento slu'!$G$58,ABS(M1164)*'Progetto del paramento slu'!$G$54,'Progetto del paramento slu'!$G$53)*IF(M1164&lt;0,-1,1)</f>
        <v>0</v>
      </c>
      <c r="T1164" s="553">
        <f>'Foglio deposito bis'!$F$61*IF(ABS(N1164)&lt;'Progetto del paramento slu'!$G$58,ABS(N1164)*'Progetto del paramento slu'!$G$54,'Progetto del paramento slu'!$G$53)*IF(N1164&lt;0,-1,1)</f>
        <v>240946.49743184328</v>
      </c>
      <c r="U1164" s="553">
        <f>'Foglio deposito bis'!$F$62*IF(ABS(O1164)&lt;'Progetto del paramento slu'!$G$58,ABS(O1164)*'Progetto del paramento slu'!$G$54,'Progetto del paramento slu'!$G$53)*IF(O1164&lt;0,-1,1)</f>
        <v>314705.62929873407</v>
      </c>
      <c r="V1164" s="479">
        <f t="shared" si="87"/>
        <v>-326429.9812378771</v>
      </c>
      <c r="W1164" s="559"/>
      <c r="X1164" s="559"/>
    </row>
    <row r="1165" spans="1:24" x14ac:dyDescent="0.25">
      <c r="A1165" s="553">
        <f t="shared" si="86"/>
        <v>337874.69909450127</v>
      </c>
      <c r="B1165" s="3">
        <f t="shared" ref="B1165:B1188" si="88">B1164+0.2</f>
        <v>18.299999999999958</v>
      </c>
      <c r="C1165" s="553">
        <f>'Foglio deposito bis'!$E$157/sezione!$B$247*B1165</f>
        <v>74.29056866087214</v>
      </c>
      <c r="D1165" s="611">
        <f>-'Progetto del paramento slu'!$G$47*'Progetto del paramento slu'!$G$41*IF(DATI!$G$218="dx",DATI!$E$61,DATI!$E$64*DATI!$E$63)*1000*C1165^2*sezione!$AD$5*(1-sezione!$AD$6)</f>
        <v>-45433135.964398533</v>
      </c>
      <c r="E1165" s="553">
        <f>-'Foglio deposito bis'!$F$58*(C1165-sezione!$AL$31)*IF(ABS(K1165)&lt;'Progetto del paramento slu'!$G$58,ABS(K1165)*'Progetto del paramento slu'!$G$54,'Progetto del paramento slu'!$G$53)</f>
        <v>0</v>
      </c>
      <c r="F1165" s="553">
        <f>-'Foglio deposito bis'!$F$59*(C1165-sezione!$AM$31)*IF(ABS(L1165)&lt;'Progetto del paramento slu'!$G$58,ABS(L1165)*'Progetto del paramento slu'!$G$54,'Progetto del paramento slu'!$G$53)</f>
        <v>11633879.020229265</v>
      </c>
      <c r="G1165" s="553">
        <f>-'Foglio deposito bis'!$F$60*(C1165-sezione!$AN$31)*IF(ABS(M1165)&lt;'Progetto del paramento slu'!$G$58,ABS(M1165)*'Progetto del paramento slu'!$G$54,'Progetto del paramento slu'!$G$53)</f>
        <v>0</v>
      </c>
      <c r="H1165" s="553">
        <f>-'Foglio deposito bis'!$F$61*(C1165-sezione!$AO$31)*IF(ABS(N1165)&lt;'Progetto del paramento slu'!$G$58,ABS(N1165)*'Progetto del paramento slu'!$G$54,'Progetto del paramento slu'!$G$53)</f>
        <v>64021756.815769702</v>
      </c>
      <c r="I1165" s="479">
        <f>-'Foglio deposito bis'!$F$62*(C1165-sezione!$AP$31)*IF(ABS(O1165)&lt;'Progetto del paramento slu'!$G$58,ABS(O1165)*'Progetto del paramento slu'!$G$54,'Progetto del paramento slu'!$G$53)</f>
        <v>58445059.252791777</v>
      </c>
      <c r="J1165" s="479">
        <f t="shared" si="85"/>
        <v>88667559.124392211</v>
      </c>
      <c r="K1165" s="558">
        <f>'Progetto del paramento slu'!$G$60*(sezione!$AL$31-C1165)/C1165</f>
        <v>-1.6155077619733425E-3</v>
      </c>
      <c r="L1165" s="558">
        <f>'Progetto del paramento slu'!$G$60*(sezione!$AM$31-C1165)/C1165</f>
        <v>3.5668458925999652E-3</v>
      </c>
      <c r="M1165" s="559">
        <f>'Progetto del paramento slu'!$G$60*(sezione!$AN$31-C1165)/C1165</f>
        <v>8.7491995471732746E-3</v>
      </c>
      <c r="N1165" s="559">
        <f>'Progetto del paramento slu'!$G$60*(sezione!$AO$31-C1165)/C1165</f>
        <v>1.2518184023226587E-2</v>
      </c>
      <c r="O1165" s="559">
        <f>'Progetto del paramento slu'!$G$60*(sezione!$AP$31-C1165)/C1165</f>
        <v>8.7493875433941291E-3</v>
      </c>
      <c r="P1165" s="553">
        <f>-'Progetto del paramento slu'!$G$47*'Progetto del paramento slu'!$G$41*IF(DATI!$G$218="dx",DATI!$E$61,DATI!$E$64*DATI!$E$63)*1000*C1165*sezione!$AD$5</f>
        <v>-1047191.6838811011</v>
      </c>
      <c r="Q1165" s="553">
        <f>'Foglio deposito bis'!$F$58*IF(ABS(K1165)&lt;'Progetto del paramento slu'!$G$58,ABS(K1165)*'Progetto del paramento slu'!$G$54,'Progetto del paramento slu'!$G$53)*IF(K1165&lt;0,-1,1)</f>
        <v>0</v>
      </c>
      <c r="R1165" s="553">
        <f>'Foglio deposito bis'!$F$59*IF(ABS(L1165)&lt;'Progetto del paramento slu'!$G$58,ABS(L1165)*'Progetto del paramento slu'!$G$54,'Progetto del paramento slu'!$G$53)*IF(L1165&lt;0,-1,1)</f>
        <v>153664.85805602249</v>
      </c>
      <c r="S1165" s="553">
        <f>'Foglio deposito bis'!$F$60*IF(ABS(M1165)&lt;'Progetto del paramento slu'!$G$58,ABS(M1165)*'Progetto del paramento slu'!$G$54,'Progetto del paramento slu'!$G$53)*IF(M1165&lt;0,-1,1)</f>
        <v>0</v>
      </c>
      <c r="T1165" s="553">
        <f>'Foglio deposito bis'!$F$61*IF(ABS(N1165)&lt;'Progetto del paramento slu'!$G$58,ABS(N1165)*'Progetto del paramento slu'!$G$54,'Progetto del paramento slu'!$G$53)*IF(N1165&lt;0,-1,1)</f>
        <v>240946.49743184328</v>
      </c>
      <c r="U1165" s="553">
        <f>'Foglio deposito bis'!$F$62*IF(ABS(O1165)&lt;'Progetto del paramento slu'!$G$58,ABS(O1165)*'Progetto del paramento slu'!$G$54,'Progetto del paramento slu'!$G$53)*IF(O1165&lt;0,-1,1)</f>
        <v>314705.62929873407</v>
      </c>
      <c r="V1165" s="479">
        <f t="shared" si="87"/>
        <v>-337874.69909450127</v>
      </c>
      <c r="W1165" s="559"/>
      <c r="X1165" s="559"/>
    </row>
    <row r="1166" spans="1:24" x14ac:dyDescent="0.25">
      <c r="A1166" s="553">
        <f t="shared" si="86"/>
        <v>349319.4169511252</v>
      </c>
      <c r="B1166" s="3">
        <f t="shared" si="88"/>
        <v>18.499999999999957</v>
      </c>
      <c r="C1166" s="553">
        <f>'Foglio deposito bis'!$E$157/sezione!$B$247*B1166</f>
        <v>75.102487444051079</v>
      </c>
      <c r="D1166" s="611">
        <f>-'Progetto del paramento slu'!$G$47*'Progetto del paramento slu'!$G$41*IF(DATI!$G$218="dx",DATI!$E$61,DATI!$E$64*DATI!$E$63)*1000*C1166^2*sezione!$AD$5*(1-sezione!$AD$6)</f>
        <v>-46431636.608484596</v>
      </c>
      <c r="E1166" s="553">
        <f>-'Foglio deposito bis'!$F$58*(C1166-sezione!$AL$31)*IF(ABS(K1166)&lt;'Progetto del paramento slu'!$G$58,ABS(K1166)*'Progetto del paramento slu'!$G$54,'Progetto del paramento slu'!$G$53)</f>
        <v>0</v>
      </c>
      <c r="F1166" s="553">
        <f>-'Foglio deposito bis'!$F$59*(C1166-sezione!$AM$31)*IF(ABS(L1166)&lt;'Progetto del paramento slu'!$G$58,ABS(L1166)*'Progetto del paramento slu'!$G$54,'Progetto del paramento slu'!$G$53)</f>
        <v>11509115.635659054</v>
      </c>
      <c r="G1166" s="553">
        <f>-'Foglio deposito bis'!$F$60*(C1166-sezione!$AN$31)*IF(ABS(M1166)&lt;'Progetto del paramento slu'!$G$58,ABS(M1166)*'Progetto del paramento slu'!$G$54,'Progetto del paramento slu'!$G$53)</f>
        <v>0</v>
      </c>
      <c r="H1166" s="553">
        <f>-'Foglio deposito bis'!$F$61*(C1166-sezione!$AO$31)*IF(ABS(N1166)&lt;'Progetto del paramento slu'!$G$58,ABS(N1166)*'Progetto del paramento slu'!$G$54,'Progetto del paramento slu'!$G$53)</f>
        <v>63826127.828763619</v>
      </c>
      <c r="I1166" s="479">
        <f>-'Foglio deposito bis'!$F$62*(C1166-sezione!$AP$31)*IF(ABS(O1166)&lt;'Progetto del paramento slu'!$G$58,ABS(O1166)*'Progetto del paramento slu'!$G$54,'Progetto del paramento slu'!$G$53)</f>
        <v>58189543.841191992</v>
      </c>
      <c r="J1166" s="479">
        <f t="shared" si="85"/>
        <v>87093150.697130069</v>
      </c>
      <c r="K1166" s="558">
        <f>'Progetto del paramento slu'!$G$60*(sezione!$AL$31-C1166)/C1166</f>
        <v>-1.6358806510330904E-3</v>
      </c>
      <c r="L1166" s="558">
        <f>'Progetto del paramento slu'!$G$60*(sezione!$AM$31-C1166)/C1166</f>
        <v>3.4904475586259114E-3</v>
      </c>
      <c r="M1166" s="559">
        <f>'Progetto del paramento slu'!$G$60*(sezione!$AN$31-C1166)/C1166</f>
        <v>8.6167757682849132E-3</v>
      </c>
      <c r="N1166" s="559">
        <f>'Progetto del paramento slu'!$G$60*(sezione!$AO$31-C1166)/C1166</f>
        <v>1.2345014466218733E-2</v>
      </c>
      <c r="O1166" s="559">
        <f>'Progetto del paramento slu'!$G$60*(sezione!$AP$31-C1166)/C1166</f>
        <v>8.6169617321141933E-3</v>
      </c>
      <c r="P1166" s="553">
        <f>-'Progetto del paramento slu'!$G$47*'Progetto del paramento slu'!$G$41*IF(DATI!$G$218="dx",DATI!$E$61,DATI!$E$64*DATI!$E$63)*1000*C1166*sezione!$AD$5</f>
        <v>-1058636.4017377251</v>
      </c>
      <c r="Q1166" s="553">
        <f>'Foglio deposito bis'!$F$58*IF(ABS(K1166)&lt;'Progetto del paramento slu'!$G$58,ABS(K1166)*'Progetto del paramento slu'!$G$54,'Progetto del paramento slu'!$G$53)*IF(K1166&lt;0,-1,1)</f>
        <v>0</v>
      </c>
      <c r="R1166" s="553">
        <f>'Foglio deposito bis'!$F$59*IF(ABS(L1166)&lt;'Progetto del paramento slu'!$G$58,ABS(L1166)*'Progetto del paramento slu'!$G$54,'Progetto del paramento slu'!$G$53)*IF(L1166&lt;0,-1,1)</f>
        <v>153664.85805602249</v>
      </c>
      <c r="S1166" s="553">
        <f>'Foglio deposito bis'!$F$60*IF(ABS(M1166)&lt;'Progetto del paramento slu'!$G$58,ABS(M1166)*'Progetto del paramento slu'!$G$54,'Progetto del paramento slu'!$G$53)*IF(M1166&lt;0,-1,1)</f>
        <v>0</v>
      </c>
      <c r="T1166" s="553">
        <f>'Foglio deposito bis'!$F$61*IF(ABS(N1166)&lt;'Progetto del paramento slu'!$G$58,ABS(N1166)*'Progetto del paramento slu'!$G$54,'Progetto del paramento slu'!$G$53)*IF(N1166&lt;0,-1,1)</f>
        <v>240946.49743184328</v>
      </c>
      <c r="U1166" s="553">
        <f>'Foglio deposito bis'!$F$62*IF(ABS(O1166)&lt;'Progetto del paramento slu'!$G$58,ABS(O1166)*'Progetto del paramento slu'!$G$54,'Progetto del paramento slu'!$G$53)*IF(O1166&lt;0,-1,1)</f>
        <v>314705.62929873407</v>
      </c>
      <c r="V1166" s="479">
        <f t="shared" si="87"/>
        <v>-349319.4169511252</v>
      </c>
      <c r="W1166" s="559"/>
      <c r="X1166" s="559"/>
    </row>
    <row r="1167" spans="1:24" x14ac:dyDescent="0.25">
      <c r="A1167" s="553">
        <f t="shared" si="86"/>
        <v>360764.13480774913</v>
      </c>
      <c r="B1167" s="3">
        <f t="shared" si="88"/>
        <v>18.699999999999957</v>
      </c>
      <c r="C1167" s="553">
        <f>'Foglio deposito bis'!$E$157/sezione!$B$247*B1167</f>
        <v>75.914406227230003</v>
      </c>
      <c r="D1167" s="611">
        <f>-'Progetto del paramento slu'!$G$47*'Progetto del paramento slu'!$G$41*IF(DATI!$G$218="dx",DATI!$E$61,DATI!$E$64*DATI!$E$63)*1000*C1167^2*sezione!$AD$5*(1-sezione!$AD$6)</f>
        <v>-47440990.520441115</v>
      </c>
      <c r="E1167" s="553">
        <f>-'Foglio deposito bis'!$F$58*(C1167-sezione!$AL$31)*IF(ABS(K1167)&lt;'Progetto del paramento slu'!$G$58,ABS(K1167)*'Progetto del paramento slu'!$G$54,'Progetto del paramento slu'!$G$53)</f>
        <v>0</v>
      </c>
      <c r="F1167" s="553">
        <f>-'Foglio deposito bis'!$F$59*(C1167-sezione!$AM$31)*IF(ABS(L1167)&lt;'Progetto del paramento slu'!$G$58,ABS(L1167)*'Progetto del paramento slu'!$G$54,'Progetto del paramento slu'!$G$53)</f>
        <v>11384352.251088845</v>
      </c>
      <c r="G1167" s="553">
        <f>-'Foglio deposito bis'!$F$60*(C1167-sezione!$AN$31)*IF(ABS(M1167)&lt;'Progetto del paramento slu'!$G$58,ABS(M1167)*'Progetto del paramento slu'!$G$54,'Progetto del paramento slu'!$G$53)</f>
        <v>0</v>
      </c>
      <c r="H1167" s="553">
        <f>-'Foglio deposito bis'!$F$61*(C1167-sezione!$AO$31)*IF(ABS(N1167)&lt;'Progetto del paramento slu'!$G$58,ABS(N1167)*'Progetto del paramento slu'!$G$54,'Progetto del paramento slu'!$G$53)</f>
        <v>63630498.841757528</v>
      </c>
      <c r="I1167" s="479">
        <f>-'Foglio deposito bis'!$F$62*(C1167-sezione!$AP$31)*IF(ABS(O1167)&lt;'Progetto del paramento slu'!$G$58,ABS(O1167)*'Progetto del paramento slu'!$G$54,'Progetto del paramento slu'!$G$53)</f>
        <v>57934028.429592207</v>
      </c>
      <c r="J1167" s="479">
        <f t="shared" si="85"/>
        <v>85507889.001997471</v>
      </c>
      <c r="K1167" s="558">
        <f>'Progetto del paramento slu'!$G$60*(sezione!$AL$31-C1167)/C1167</f>
        <v>-1.6558177563696349E-3</v>
      </c>
      <c r="L1167" s="558">
        <f>'Progetto del paramento slu'!$G$60*(sezione!$AM$31-C1167)/C1167</f>
        <v>3.4156834136138702E-3</v>
      </c>
      <c r="M1167" s="559">
        <f>'Progetto del paramento slu'!$G$60*(sezione!$AN$31-C1167)/C1167</f>
        <v>8.4871845835973736E-3</v>
      </c>
      <c r="N1167" s="559">
        <f>'Progetto del paramento slu'!$G$60*(sezione!$AO$31-C1167)/C1167</f>
        <v>1.2175549070858105E-2</v>
      </c>
      <c r="O1167" s="559">
        <f>'Progetto del paramento slu'!$G$60*(sezione!$AP$31-C1167)/C1167</f>
        <v>8.4873685585086928E-3</v>
      </c>
      <c r="P1167" s="553">
        <f>-'Progetto del paramento slu'!$G$47*'Progetto del paramento slu'!$G$41*IF(DATI!$G$218="dx",DATI!$E$61,DATI!$E$64*DATI!$E$63)*1000*C1167*sezione!$AD$5</f>
        <v>-1070081.1195943491</v>
      </c>
      <c r="Q1167" s="553">
        <f>'Foglio deposito bis'!$F$58*IF(ABS(K1167)&lt;'Progetto del paramento slu'!$G$58,ABS(K1167)*'Progetto del paramento slu'!$G$54,'Progetto del paramento slu'!$G$53)*IF(K1167&lt;0,-1,1)</f>
        <v>0</v>
      </c>
      <c r="R1167" s="553">
        <f>'Foglio deposito bis'!$F$59*IF(ABS(L1167)&lt;'Progetto del paramento slu'!$G$58,ABS(L1167)*'Progetto del paramento slu'!$G$54,'Progetto del paramento slu'!$G$53)*IF(L1167&lt;0,-1,1)</f>
        <v>153664.85805602249</v>
      </c>
      <c r="S1167" s="553">
        <f>'Foglio deposito bis'!$F$60*IF(ABS(M1167)&lt;'Progetto del paramento slu'!$G$58,ABS(M1167)*'Progetto del paramento slu'!$G$54,'Progetto del paramento slu'!$G$53)*IF(M1167&lt;0,-1,1)</f>
        <v>0</v>
      </c>
      <c r="T1167" s="553">
        <f>'Foglio deposito bis'!$F$61*IF(ABS(N1167)&lt;'Progetto del paramento slu'!$G$58,ABS(N1167)*'Progetto del paramento slu'!$G$54,'Progetto del paramento slu'!$G$53)*IF(N1167&lt;0,-1,1)</f>
        <v>240946.49743184328</v>
      </c>
      <c r="U1167" s="553">
        <f>'Foglio deposito bis'!$F$62*IF(ABS(O1167)&lt;'Progetto del paramento slu'!$G$58,ABS(O1167)*'Progetto del paramento slu'!$G$54,'Progetto del paramento slu'!$G$53)*IF(O1167&lt;0,-1,1)</f>
        <v>314705.62929873407</v>
      </c>
      <c r="V1167" s="479">
        <f t="shared" si="87"/>
        <v>-360764.13480774913</v>
      </c>
      <c r="W1167" s="559"/>
      <c r="X1167" s="559"/>
    </row>
    <row r="1168" spans="1:24" x14ac:dyDescent="0.25">
      <c r="A1168" s="553">
        <f t="shared" si="86"/>
        <v>372208.85266437306</v>
      </c>
      <c r="B1168" s="3">
        <f t="shared" si="88"/>
        <v>18.899999999999956</v>
      </c>
      <c r="C1168" s="553">
        <f>'Foglio deposito bis'!$E$157/sezione!$B$247*B1168</f>
        <v>76.726325010408928</v>
      </c>
      <c r="D1168" s="611">
        <f>-'Progetto del paramento slu'!$G$47*'Progetto del paramento slu'!$G$41*IF(DATI!$G$218="dx",DATI!$E$61,DATI!$E$64*DATI!$E$63)*1000*C1168^2*sezione!$AD$5*(1-sezione!$AD$6)</f>
        <v>-48461197.700268157</v>
      </c>
      <c r="E1168" s="553">
        <f>-'Foglio deposito bis'!$F$58*(C1168-sezione!$AL$31)*IF(ABS(K1168)&lt;'Progetto del paramento slu'!$G$58,ABS(K1168)*'Progetto del paramento slu'!$G$54,'Progetto del paramento slu'!$G$53)</f>
        <v>0</v>
      </c>
      <c r="F1168" s="553">
        <f>-'Foglio deposito bis'!$F$59*(C1168-sezione!$AM$31)*IF(ABS(L1168)&lt;'Progetto del paramento slu'!$G$58,ABS(L1168)*'Progetto del paramento slu'!$G$54,'Progetto del paramento slu'!$G$53)</f>
        <v>11259588.866518637</v>
      </c>
      <c r="G1168" s="553">
        <f>-'Foglio deposito bis'!$F$60*(C1168-sezione!$AN$31)*IF(ABS(M1168)&lt;'Progetto del paramento slu'!$G$58,ABS(M1168)*'Progetto del paramento slu'!$G$54,'Progetto del paramento slu'!$G$53)</f>
        <v>0</v>
      </c>
      <c r="H1168" s="553">
        <f>-'Foglio deposito bis'!$F$61*(C1168-sezione!$AO$31)*IF(ABS(N1168)&lt;'Progetto del paramento slu'!$G$58,ABS(N1168)*'Progetto del paramento slu'!$G$54,'Progetto del paramento slu'!$G$53)</f>
        <v>63434869.854751445</v>
      </c>
      <c r="I1168" s="479">
        <f>-'Foglio deposito bis'!$F$62*(C1168-sezione!$AP$31)*IF(ABS(O1168)&lt;'Progetto del paramento slu'!$G$58,ABS(O1168)*'Progetto del paramento slu'!$G$54,'Progetto del paramento slu'!$G$53)</f>
        <v>57678513.017992422</v>
      </c>
      <c r="J1168" s="479">
        <f t="shared" si="85"/>
        <v>83911774.038994342</v>
      </c>
      <c r="K1168" s="558">
        <f>'Progetto del paramento slu'!$G$60*(sezione!$AL$31-C1168)/C1168</f>
        <v>-1.6753329123868873E-3</v>
      </c>
      <c r="L1168" s="558">
        <f>'Progetto del paramento slu'!$G$60*(sezione!$AM$31-C1168)/C1168</f>
        <v>3.3425015785491737E-3</v>
      </c>
      <c r="M1168" s="559">
        <f>'Progetto del paramento slu'!$G$60*(sezione!$AN$31-C1168)/C1168</f>
        <v>8.3603360694852347E-3</v>
      </c>
      <c r="N1168" s="559">
        <f>'Progetto del paramento slu'!$G$60*(sezione!$AO$31-C1168)/C1168</f>
        <v>1.2009670244711461E-2</v>
      </c>
      <c r="O1168" s="559">
        <f>'Progetto del paramento slu'!$G$60*(sezione!$AP$31-C1168)/C1168</f>
        <v>8.3605180975720953E-3</v>
      </c>
      <c r="P1168" s="553">
        <f>-'Progetto del paramento slu'!$G$47*'Progetto del paramento slu'!$G$41*IF(DATI!$G$218="dx",DATI!$E$61,DATI!$E$64*DATI!$E$63)*1000*C1168*sezione!$AD$5</f>
        <v>-1081525.837450973</v>
      </c>
      <c r="Q1168" s="553">
        <f>'Foglio deposito bis'!$F$58*IF(ABS(K1168)&lt;'Progetto del paramento slu'!$G$58,ABS(K1168)*'Progetto del paramento slu'!$G$54,'Progetto del paramento slu'!$G$53)*IF(K1168&lt;0,-1,1)</f>
        <v>0</v>
      </c>
      <c r="R1168" s="553">
        <f>'Foglio deposito bis'!$F$59*IF(ABS(L1168)&lt;'Progetto del paramento slu'!$G$58,ABS(L1168)*'Progetto del paramento slu'!$G$54,'Progetto del paramento slu'!$G$53)*IF(L1168&lt;0,-1,1)</f>
        <v>153664.85805602249</v>
      </c>
      <c r="S1168" s="553">
        <f>'Foglio deposito bis'!$F$60*IF(ABS(M1168)&lt;'Progetto del paramento slu'!$G$58,ABS(M1168)*'Progetto del paramento slu'!$G$54,'Progetto del paramento slu'!$G$53)*IF(M1168&lt;0,-1,1)</f>
        <v>0</v>
      </c>
      <c r="T1168" s="553">
        <f>'Foglio deposito bis'!$F$61*IF(ABS(N1168)&lt;'Progetto del paramento slu'!$G$58,ABS(N1168)*'Progetto del paramento slu'!$G$54,'Progetto del paramento slu'!$G$53)*IF(N1168&lt;0,-1,1)</f>
        <v>240946.49743184328</v>
      </c>
      <c r="U1168" s="553">
        <f>'Foglio deposito bis'!$F$62*IF(ABS(O1168)&lt;'Progetto del paramento slu'!$G$58,ABS(O1168)*'Progetto del paramento slu'!$G$54,'Progetto del paramento slu'!$G$53)*IF(O1168&lt;0,-1,1)</f>
        <v>314705.62929873407</v>
      </c>
      <c r="V1168" s="479">
        <f t="shared" si="87"/>
        <v>-372208.85266437306</v>
      </c>
      <c r="W1168" s="559"/>
      <c r="X1168" s="559"/>
    </row>
    <row r="1169" spans="1:24" x14ac:dyDescent="0.25">
      <c r="A1169" s="553">
        <f t="shared" si="86"/>
        <v>383653.57052099745</v>
      </c>
      <c r="B1169" s="3">
        <f t="shared" si="88"/>
        <v>19.099999999999955</v>
      </c>
      <c r="C1169" s="553">
        <f>'Foglio deposito bis'!$E$157/sezione!$B$247*B1169</f>
        <v>77.538243793587867</v>
      </c>
      <c r="D1169" s="611">
        <f>-'Progetto del paramento slu'!$G$47*'Progetto del paramento slu'!$G$41*IF(DATI!$G$218="dx",DATI!$E$61,DATI!$E$64*DATI!$E$63)*1000*C1169^2*sezione!$AD$5*(1-sezione!$AD$6)</f>
        <v>-49492258.147965699</v>
      </c>
      <c r="E1169" s="553">
        <f>-'Foglio deposito bis'!$F$58*(C1169-sezione!$AL$31)*IF(ABS(K1169)&lt;'Progetto del paramento slu'!$G$58,ABS(K1169)*'Progetto del paramento slu'!$G$54,'Progetto del paramento slu'!$G$53)</f>
        <v>0</v>
      </c>
      <c r="F1169" s="553">
        <f>-'Foglio deposito bis'!$F$59*(C1169-sezione!$AM$31)*IF(ABS(L1169)&lt;'Progetto del paramento slu'!$G$58,ABS(L1169)*'Progetto del paramento slu'!$G$54,'Progetto del paramento slu'!$G$53)</f>
        <v>11134825.481948428</v>
      </c>
      <c r="G1169" s="553">
        <f>-'Foglio deposito bis'!$F$60*(C1169-sezione!$AN$31)*IF(ABS(M1169)&lt;'Progetto del paramento slu'!$G$58,ABS(M1169)*'Progetto del paramento slu'!$G$54,'Progetto del paramento slu'!$G$53)</f>
        <v>0</v>
      </c>
      <c r="H1169" s="553">
        <f>-'Foglio deposito bis'!$F$61*(C1169-sezione!$AO$31)*IF(ABS(N1169)&lt;'Progetto del paramento slu'!$G$58,ABS(N1169)*'Progetto del paramento slu'!$G$54,'Progetto del paramento slu'!$G$53)</f>
        <v>63239240.867745355</v>
      </c>
      <c r="I1169" s="479">
        <f>-'Foglio deposito bis'!$F$62*(C1169-sezione!$AP$31)*IF(ABS(O1169)&lt;'Progetto del paramento slu'!$G$58,ABS(O1169)*'Progetto del paramento slu'!$G$54,'Progetto del paramento slu'!$G$53)</f>
        <v>57422997.606392637</v>
      </c>
      <c r="J1169" s="479">
        <f t="shared" si="85"/>
        <v>82304805.808120728</v>
      </c>
      <c r="K1169" s="558">
        <f>'Progetto del paramento slu'!$G$60*(sezione!$AL$31-C1169)/C1169</f>
        <v>-1.6944393740372862E-3</v>
      </c>
      <c r="L1169" s="558">
        <f>'Progetto del paramento slu'!$G$60*(sezione!$AM$31-C1169)/C1169</f>
        <v>3.2708523473601761E-3</v>
      </c>
      <c r="M1169" s="559">
        <f>'Progetto del paramento slu'!$G$60*(sezione!$AN$31-C1169)/C1169</f>
        <v>8.2361440687576393E-3</v>
      </c>
      <c r="N1169" s="559">
        <f>'Progetto del paramento slu'!$G$60*(sezione!$AO$31-C1169)/C1169</f>
        <v>1.1847265320683066E-2</v>
      </c>
      <c r="O1169" s="559">
        <f>'Progetto del paramento slu'!$G$60*(sezione!$AP$31-C1169)/C1169</f>
        <v>8.2363241907912332E-3</v>
      </c>
      <c r="P1169" s="553">
        <f>-'Progetto del paramento slu'!$G$47*'Progetto del paramento slu'!$G$41*IF(DATI!$G$218="dx",DATI!$E$61,DATI!$E$64*DATI!$E$63)*1000*C1169*sezione!$AD$5</f>
        <v>-1092970.5553075974</v>
      </c>
      <c r="Q1169" s="553">
        <f>'Foglio deposito bis'!$F$58*IF(ABS(K1169)&lt;'Progetto del paramento slu'!$G$58,ABS(K1169)*'Progetto del paramento slu'!$G$54,'Progetto del paramento slu'!$G$53)*IF(K1169&lt;0,-1,1)</f>
        <v>0</v>
      </c>
      <c r="R1169" s="553">
        <f>'Foglio deposito bis'!$F$59*IF(ABS(L1169)&lt;'Progetto del paramento slu'!$G$58,ABS(L1169)*'Progetto del paramento slu'!$G$54,'Progetto del paramento slu'!$G$53)*IF(L1169&lt;0,-1,1)</f>
        <v>153664.85805602249</v>
      </c>
      <c r="S1169" s="553">
        <f>'Foglio deposito bis'!$F$60*IF(ABS(M1169)&lt;'Progetto del paramento slu'!$G$58,ABS(M1169)*'Progetto del paramento slu'!$G$54,'Progetto del paramento slu'!$G$53)*IF(M1169&lt;0,-1,1)</f>
        <v>0</v>
      </c>
      <c r="T1169" s="553">
        <f>'Foglio deposito bis'!$F$61*IF(ABS(N1169)&lt;'Progetto del paramento slu'!$G$58,ABS(N1169)*'Progetto del paramento slu'!$G$54,'Progetto del paramento slu'!$G$53)*IF(N1169&lt;0,-1,1)</f>
        <v>240946.49743184328</v>
      </c>
      <c r="U1169" s="553">
        <f>'Foglio deposito bis'!$F$62*IF(ABS(O1169)&lt;'Progetto del paramento slu'!$G$58,ABS(O1169)*'Progetto del paramento slu'!$G$54,'Progetto del paramento slu'!$G$53)*IF(O1169&lt;0,-1,1)</f>
        <v>314705.62929873407</v>
      </c>
      <c r="V1169" s="479">
        <f t="shared" si="87"/>
        <v>-383653.57052099745</v>
      </c>
      <c r="W1169" s="559"/>
      <c r="X1169" s="559"/>
    </row>
    <row r="1170" spans="1:24" x14ac:dyDescent="0.25">
      <c r="A1170" s="553">
        <f t="shared" si="86"/>
        <v>395098.28837762139</v>
      </c>
      <c r="B1170" s="3">
        <f t="shared" si="88"/>
        <v>19.299999999999955</v>
      </c>
      <c r="C1170" s="553">
        <f>'Foglio deposito bis'!$E$157/sezione!$B$247*B1170</f>
        <v>78.350162576766792</v>
      </c>
      <c r="D1170" s="611">
        <f>-'Progetto del paramento slu'!$G$47*'Progetto del paramento slu'!$G$41*IF(DATI!$G$218="dx",DATI!$E$61,DATI!$E$64*DATI!$E$63)*1000*C1170^2*sezione!$AD$5*(1-sezione!$AD$6)</f>
        <v>-50534171.863533735</v>
      </c>
      <c r="E1170" s="553">
        <f>-'Foglio deposito bis'!$F$58*(C1170-sezione!$AL$31)*IF(ABS(K1170)&lt;'Progetto del paramento slu'!$G$58,ABS(K1170)*'Progetto del paramento slu'!$G$54,'Progetto del paramento slu'!$G$53)</f>
        <v>0</v>
      </c>
      <c r="F1170" s="553">
        <f>-'Foglio deposito bis'!$F$59*(C1170-sezione!$AM$31)*IF(ABS(L1170)&lt;'Progetto del paramento slu'!$G$58,ABS(L1170)*'Progetto del paramento slu'!$G$54,'Progetto del paramento slu'!$G$53)</f>
        <v>11010062.09737822</v>
      </c>
      <c r="G1170" s="553">
        <f>-'Foglio deposito bis'!$F$60*(C1170-sezione!$AN$31)*IF(ABS(M1170)&lt;'Progetto del paramento slu'!$G$58,ABS(M1170)*'Progetto del paramento slu'!$G$54,'Progetto del paramento slu'!$G$53)</f>
        <v>0</v>
      </c>
      <c r="H1170" s="553">
        <f>-'Foglio deposito bis'!$F$61*(C1170-sezione!$AO$31)*IF(ABS(N1170)&lt;'Progetto del paramento slu'!$G$58,ABS(N1170)*'Progetto del paramento slu'!$G$54,'Progetto del paramento slu'!$G$53)</f>
        <v>63043611.880739257</v>
      </c>
      <c r="I1170" s="479">
        <f>-'Foglio deposito bis'!$F$62*(C1170-sezione!$AP$31)*IF(ABS(O1170)&lt;'Progetto del paramento slu'!$G$58,ABS(O1170)*'Progetto del paramento slu'!$G$54,'Progetto del paramento slu'!$G$53)</f>
        <v>57167482.194792852</v>
      </c>
      <c r="J1170" s="479">
        <f t="shared" si="85"/>
        <v>80686984.309376597</v>
      </c>
      <c r="K1170" s="558">
        <f>'Progetto del paramento slu'!$G$60*(sezione!$AL$31-C1170)/C1170</f>
        <v>-1.7131498468451901E-3</v>
      </c>
      <c r="L1170" s="558">
        <f>'Progetto del paramento slu'!$G$60*(sezione!$AM$31-C1170)/C1170</f>
        <v>3.2006880743305375E-3</v>
      </c>
      <c r="M1170" s="559">
        <f>'Progetto del paramento slu'!$G$60*(sezione!$AN$31-C1170)/C1170</f>
        <v>8.1145259955062651E-3</v>
      </c>
      <c r="N1170" s="559">
        <f>'Progetto del paramento slu'!$G$60*(sezione!$AO$31-C1170)/C1170</f>
        <v>1.1688226301815884E-2</v>
      </c>
      <c r="O1170" s="559">
        <f>'Progetto del paramento slu'!$G$60*(sezione!$AP$31-C1170)/C1170</f>
        <v>8.1147042509902879E-3</v>
      </c>
      <c r="P1170" s="553">
        <f>-'Progetto del paramento slu'!$G$47*'Progetto del paramento slu'!$G$41*IF(DATI!$G$218="dx",DATI!$E$61,DATI!$E$64*DATI!$E$63)*1000*C1170*sezione!$AD$5</f>
        <v>-1104415.2731642213</v>
      </c>
      <c r="Q1170" s="553">
        <f>'Foglio deposito bis'!$F$58*IF(ABS(K1170)&lt;'Progetto del paramento slu'!$G$58,ABS(K1170)*'Progetto del paramento slu'!$G$54,'Progetto del paramento slu'!$G$53)*IF(K1170&lt;0,-1,1)</f>
        <v>0</v>
      </c>
      <c r="R1170" s="553">
        <f>'Foglio deposito bis'!$F$59*IF(ABS(L1170)&lt;'Progetto del paramento slu'!$G$58,ABS(L1170)*'Progetto del paramento slu'!$G$54,'Progetto del paramento slu'!$G$53)*IF(L1170&lt;0,-1,1)</f>
        <v>153664.85805602249</v>
      </c>
      <c r="S1170" s="553">
        <f>'Foglio deposito bis'!$F$60*IF(ABS(M1170)&lt;'Progetto del paramento slu'!$G$58,ABS(M1170)*'Progetto del paramento slu'!$G$54,'Progetto del paramento slu'!$G$53)*IF(M1170&lt;0,-1,1)</f>
        <v>0</v>
      </c>
      <c r="T1170" s="553">
        <f>'Foglio deposito bis'!$F$61*IF(ABS(N1170)&lt;'Progetto del paramento slu'!$G$58,ABS(N1170)*'Progetto del paramento slu'!$G$54,'Progetto del paramento slu'!$G$53)*IF(N1170&lt;0,-1,1)</f>
        <v>240946.49743184328</v>
      </c>
      <c r="U1170" s="553">
        <f>'Foglio deposito bis'!$F$62*IF(ABS(O1170)&lt;'Progetto del paramento slu'!$G$58,ABS(O1170)*'Progetto del paramento slu'!$G$54,'Progetto del paramento slu'!$G$53)*IF(O1170&lt;0,-1,1)</f>
        <v>314705.62929873407</v>
      </c>
      <c r="V1170" s="479">
        <f t="shared" si="87"/>
        <v>-395098.28837762139</v>
      </c>
      <c r="W1170" s="559"/>
      <c r="X1170" s="559"/>
    </row>
    <row r="1171" spans="1:24" x14ac:dyDescent="0.25">
      <c r="A1171" s="553">
        <f t="shared" si="86"/>
        <v>406543.00623424532</v>
      </c>
      <c r="B1171" s="3">
        <f t="shared" si="88"/>
        <v>19.499999999999954</v>
      </c>
      <c r="C1171" s="553">
        <f>'Foglio deposito bis'!$E$157/sezione!$B$247*B1171</f>
        <v>79.162081359945716</v>
      </c>
      <c r="D1171" s="611">
        <f>-'Progetto del paramento slu'!$G$47*'Progetto del paramento slu'!$G$41*IF(DATI!$G$218="dx",DATI!$E$61,DATI!$E$64*DATI!$E$63)*1000*C1171^2*sezione!$AD$5*(1-sezione!$AD$6)</f>
        <v>-51586938.846972272</v>
      </c>
      <c r="E1171" s="553">
        <f>-'Foglio deposito bis'!$F$58*(C1171-sezione!$AL$31)*IF(ABS(K1171)&lt;'Progetto del paramento slu'!$G$58,ABS(K1171)*'Progetto del paramento slu'!$G$54,'Progetto del paramento slu'!$G$53)</f>
        <v>0</v>
      </c>
      <c r="F1171" s="553">
        <f>-'Foglio deposito bis'!$F$59*(C1171-sezione!$AM$31)*IF(ABS(L1171)&lt;'Progetto del paramento slu'!$G$58,ABS(L1171)*'Progetto del paramento slu'!$G$54,'Progetto del paramento slu'!$G$53)</f>
        <v>10885298.712808011</v>
      </c>
      <c r="G1171" s="553">
        <f>-'Foglio deposito bis'!$F$60*(C1171-sezione!$AN$31)*IF(ABS(M1171)&lt;'Progetto del paramento slu'!$G$58,ABS(M1171)*'Progetto del paramento slu'!$G$54,'Progetto del paramento slu'!$G$53)</f>
        <v>0</v>
      </c>
      <c r="H1171" s="553">
        <f>-'Foglio deposito bis'!$F$61*(C1171-sezione!$AO$31)*IF(ABS(N1171)&lt;'Progetto del paramento slu'!$G$58,ABS(N1171)*'Progetto del paramento slu'!$G$54,'Progetto del paramento slu'!$G$53)</f>
        <v>62847982.893733189</v>
      </c>
      <c r="I1171" s="479">
        <f>-'Foglio deposito bis'!$F$62*(C1171-sezione!$AP$31)*IF(ABS(O1171)&lt;'Progetto del paramento slu'!$G$58,ABS(O1171)*'Progetto del paramento slu'!$G$54,'Progetto del paramento slu'!$G$53)</f>
        <v>56911966.783193059</v>
      </c>
      <c r="J1171" s="479">
        <f t="shared" si="85"/>
        <v>79058309.542761981</v>
      </c>
      <c r="K1171" s="558">
        <f>'Progetto del paramento slu'!$G$60*(sezione!$AL$31-C1171)/C1171</f>
        <v>-1.7314765150826751E-3</v>
      </c>
      <c r="L1171" s="558">
        <f>'Progetto del paramento slu'!$G$60*(sezione!$AM$31-C1171)/C1171</f>
        <v>3.1319630684399683E-3</v>
      </c>
      <c r="M1171" s="559">
        <f>'Progetto del paramento slu'!$G$60*(sezione!$AN$31-C1171)/C1171</f>
        <v>7.995402651962611E-3</v>
      </c>
      <c r="N1171" s="559">
        <f>'Progetto del paramento slu'!$G$60*(sezione!$AO$31-C1171)/C1171</f>
        <v>1.1532449621797261E-2</v>
      </c>
      <c r="O1171" s="559">
        <f>'Progetto del paramento slu'!$G$60*(sezione!$AP$31-C1171)/C1171</f>
        <v>7.9955790791852617E-3</v>
      </c>
      <c r="P1171" s="553">
        <f>-'Progetto del paramento slu'!$G$47*'Progetto del paramento slu'!$G$41*IF(DATI!$G$218="dx",DATI!$E$61,DATI!$E$64*DATI!$E$63)*1000*C1171*sezione!$AD$5</f>
        <v>-1115859.9910208452</v>
      </c>
      <c r="Q1171" s="553">
        <f>'Foglio deposito bis'!$F$58*IF(ABS(K1171)&lt;'Progetto del paramento slu'!$G$58,ABS(K1171)*'Progetto del paramento slu'!$G$54,'Progetto del paramento slu'!$G$53)*IF(K1171&lt;0,-1,1)</f>
        <v>0</v>
      </c>
      <c r="R1171" s="553">
        <f>'Foglio deposito bis'!$F$59*IF(ABS(L1171)&lt;'Progetto del paramento slu'!$G$58,ABS(L1171)*'Progetto del paramento slu'!$G$54,'Progetto del paramento slu'!$G$53)*IF(L1171&lt;0,-1,1)</f>
        <v>153664.85805602249</v>
      </c>
      <c r="S1171" s="553">
        <f>'Foglio deposito bis'!$F$60*IF(ABS(M1171)&lt;'Progetto del paramento slu'!$G$58,ABS(M1171)*'Progetto del paramento slu'!$G$54,'Progetto del paramento slu'!$G$53)*IF(M1171&lt;0,-1,1)</f>
        <v>0</v>
      </c>
      <c r="T1171" s="553">
        <f>'Foglio deposito bis'!$F$61*IF(ABS(N1171)&lt;'Progetto del paramento slu'!$G$58,ABS(N1171)*'Progetto del paramento slu'!$G$54,'Progetto del paramento slu'!$G$53)*IF(N1171&lt;0,-1,1)</f>
        <v>240946.49743184328</v>
      </c>
      <c r="U1171" s="553">
        <f>'Foglio deposito bis'!$F$62*IF(ABS(O1171)&lt;'Progetto del paramento slu'!$G$58,ABS(O1171)*'Progetto del paramento slu'!$G$54,'Progetto del paramento slu'!$G$53)*IF(O1171&lt;0,-1,1)</f>
        <v>314705.62929873407</v>
      </c>
      <c r="V1171" s="479">
        <f t="shared" si="87"/>
        <v>-406543.00623424532</v>
      </c>
      <c r="W1171" s="559"/>
      <c r="X1171" s="559"/>
    </row>
    <row r="1172" spans="1:24" x14ac:dyDescent="0.25">
      <c r="A1172" s="553">
        <f t="shared" si="86"/>
        <v>417987.72409086948</v>
      </c>
      <c r="B1172" s="3">
        <f t="shared" si="88"/>
        <v>19.699999999999953</v>
      </c>
      <c r="C1172" s="553">
        <f>'Foglio deposito bis'!$E$157/sezione!$B$247*B1172</f>
        <v>79.974000143124655</v>
      </c>
      <c r="D1172" s="611">
        <f>-'Progetto del paramento slu'!$G$47*'Progetto del paramento slu'!$G$41*IF(DATI!$G$218="dx",DATI!$E$61,DATI!$E$64*DATI!$E$63)*1000*C1172^2*sezione!$AD$5*(1-sezione!$AD$6)</f>
        <v>-52650559.098281316</v>
      </c>
      <c r="E1172" s="553">
        <f>-'Foglio deposito bis'!$F$58*(C1172-sezione!$AL$31)*IF(ABS(K1172)&lt;'Progetto del paramento slu'!$G$58,ABS(K1172)*'Progetto del paramento slu'!$G$54,'Progetto del paramento slu'!$G$53)</f>
        <v>0</v>
      </c>
      <c r="F1172" s="553">
        <f>-'Foglio deposito bis'!$F$59*(C1172-sezione!$AM$31)*IF(ABS(L1172)&lt;'Progetto del paramento slu'!$G$58,ABS(L1172)*'Progetto del paramento slu'!$G$54,'Progetto del paramento slu'!$G$53)</f>
        <v>10760535.3282378</v>
      </c>
      <c r="G1172" s="553">
        <f>-'Foglio deposito bis'!$F$60*(C1172-sezione!$AN$31)*IF(ABS(M1172)&lt;'Progetto del paramento slu'!$G$58,ABS(M1172)*'Progetto del paramento slu'!$G$54,'Progetto del paramento slu'!$G$53)</f>
        <v>0</v>
      </c>
      <c r="H1172" s="553">
        <f>-'Foglio deposito bis'!$F$61*(C1172-sezione!$AO$31)*IF(ABS(N1172)&lt;'Progetto del paramento slu'!$G$58,ABS(N1172)*'Progetto del paramento slu'!$G$54,'Progetto del paramento slu'!$G$53)</f>
        <v>62652353.906727098</v>
      </c>
      <c r="I1172" s="479">
        <f>-'Foglio deposito bis'!$F$62*(C1172-sezione!$AP$31)*IF(ABS(O1172)&lt;'Progetto del paramento slu'!$G$58,ABS(O1172)*'Progetto del paramento slu'!$G$54,'Progetto del paramento slu'!$G$53)</f>
        <v>56656451.371593267</v>
      </c>
      <c r="J1172" s="479">
        <f t="shared" si="85"/>
        <v>77418781.50827685</v>
      </c>
      <c r="K1172" s="558">
        <f>'Progetto del paramento slu'!$G$60*(sezione!$AL$31-C1172)/C1172</f>
        <v>-1.7494310682290442E-3</v>
      </c>
      <c r="L1172" s="558">
        <f>'Progetto del paramento slu'!$G$60*(sezione!$AM$31-C1172)/C1172</f>
        <v>3.0646334941410846E-3</v>
      </c>
      <c r="M1172" s="559">
        <f>'Progetto del paramento slu'!$G$60*(sezione!$AN$31-C1172)/C1172</f>
        <v>7.8786980565112123E-3</v>
      </c>
      <c r="N1172" s="559">
        <f>'Progetto del paramento slu'!$G$60*(sezione!$AO$31-C1172)/C1172</f>
        <v>1.1379835920053125E-2</v>
      </c>
      <c r="O1172" s="559">
        <f>'Progetto del paramento slu'!$G$60*(sezione!$AP$31-C1172)/C1172</f>
        <v>7.8788726925945463E-3</v>
      </c>
      <c r="P1172" s="553">
        <f>-'Progetto del paramento slu'!$G$47*'Progetto del paramento slu'!$G$41*IF(DATI!$G$218="dx",DATI!$E$61,DATI!$E$64*DATI!$E$63)*1000*C1172*sezione!$AD$5</f>
        <v>-1127304.7088774694</v>
      </c>
      <c r="Q1172" s="553">
        <f>'Foglio deposito bis'!$F$58*IF(ABS(K1172)&lt;'Progetto del paramento slu'!$G$58,ABS(K1172)*'Progetto del paramento slu'!$G$54,'Progetto del paramento slu'!$G$53)*IF(K1172&lt;0,-1,1)</f>
        <v>0</v>
      </c>
      <c r="R1172" s="553">
        <f>'Foglio deposito bis'!$F$59*IF(ABS(L1172)&lt;'Progetto del paramento slu'!$G$58,ABS(L1172)*'Progetto del paramento slu'!$G$54,'Progetto del paramento slu'!$G$53)*IF(L1172&lt;0,-1,1)</f>
        <v>153664.85805602249</v>
      </c>
      <c r="S1172" s="553">
        <f>'Foglio deposito bis'!$F$60*IF(ABS(M1172)&lt;'Progetto del paramento slu'!$G$58,ABS(M1172)*'Progetto del paramento slu'!$G$54,'Progetto del paramento slu'!$G$53)*IF(M1172&lt;0,-1,1)</f>
        <v>0</v>
      </c>
      <c r="T1172" s="553">
        <f>'Foglio deposito bis'!$F$61*IF(ABS(N1172)&lt;'Progetto del paramento slu'!$G$58,ABS(N1172)*'Progetto del paramento slu'!$G$54,'Progetto del paramento slu'!$G$53)*IF(N1172&lt;0,-1,1)</f>
        <v>240946.49743184328</v>
      </c>
      <c r="U1172" s="553">
        <f>'Foglio deposito bis'!$F$62*IF(ABS(O1172)&lt;'Progetto del paramento slu'!$G$58,ABS(O1172)*'Progetto del paramento slu'!$G$54,'Progetto del paramento slu'!$G$53)*IF(O1172&lt;0,-1,1)</f>
        <v>314705.62929873407</v>
      </c>
      <c r="V1172" s="479">
        <f t="shared" si="87"/>
        <v>-417987.72409086948</v>
      </c>
      <c r="W1172" s="559"/>
      <c r="X1172" s="559"/>
    </row>
    <row r="1173" spans="1:24" x14ac:dyDescent="0.25">
      <c r="A1173" s="553">
        <f t="shared" si="86"/>
        <v>429432.44194749341</v>
      </c>
      <c r="B1173" s="3">
        <f t="shared" si="88"/>
        <v>19.899999999999952</v>
      </c>
      <c r="C1173" s="553">
        <f>'Foglio deposito bis'!$E$157/sezione!$B$247*B1173</f>
        <v>80.78591892630358</v>
      </c>
      <c r="D1173" s="611">
        <f>-'Progetto del paramento slu'!$G$47*'Progetto del paramento slu'!$G$41*IF(DATI!$G$218="dx",DATI!$E$61,DATI!$E$64*DATI!$E$63)*1000*C1173^2*sezione!$AD$5*(1-sezione!$AD$6)</f>
        <v>-53725032.617460847</v>
      </c>
      <c r="E1173" s="553">
        <f>-'Foglio deposito bis'!$F$58*(C1173-sezione!$AL$31)*IF(ABS(K1173)&lt;'Progetto del paramento slu'!$G$58,ABS(K1173)*'Progetto del paramento slu'!$G$54,'Progetto del paramento slu'!$G$53)</f>
        <v>0</v>
      </c>
      <c r="F1173" s="553">
        <f>-'Foglio deposito bis'!$F$59*(C1173-sezione!$AM$31)*IF(ABS(L1173)&lt;'Progetto del paramento slu'!$G$58,ABS(L1173)*'Progetto del paramento slu'!$G$54,'Progetto del paramento slu'!$G$53)</f>
        <v>10635771.943667592</v>
      </c>
      <c r="G1173" s="553">
        <f>-'Foglio deposito bis'!$F$60*(C1173-sezione!$AN$31)*IF(ABS(M1173)&lt;'Progetto del paramento slu'!$G$58,ABS(M1173)*'Progetto del paramento slu'!$G$54,'Progetto del paramento slu'!$G$53)</f>
        <v>0</v>
      </c>
      <c r="H1173" s="553">
        <f>-'Foglio deposito bis'!$F$61*(C1173-sezione!$AO$31)*IF(ABS(N1173)&lt;'Progetto del paramento slu'!$G$58,ABS(N1173)*'Progetto del paramento slu'!$G$54,'Progetto del paramento slu'!$G$53)</f>
        <v>62456724.919721015</v>
      </c>
      <c r="I1173" s="479">
        <f>-'Foglio deposito bis'!$F$62*(C1173-sezione!$AP$31)*IF(ABS(O1173)&lt;'Progetto del paramento slu'!$G$58,ABS(O1173)*'Progetto del paramento slu'!$G$54,'Progetto del paramento slu'!$G$53)</f>
        <v>56400935.959993489</v>
      </c>
      <c r="J1173" s="479">
        <f t="shared" si="85"/>
        <v>75768400.205921248</v>
      </c>
      <c r="K1173" s="558">
        <f>'Progetto del paramento slu'!$G$60*(sezione!$AL$31-C1173)/C1173</f>
        <v>-1.7670247258347823E-3</v>
      </c>
      <c r="L1173" s="558">
        <f>'Progetto del paramento slu'!$G$60*(sezione!$AM$31-C1173)/C1173</f>
        <v>2.9986572781195665E-3</v>
      </c>
      <c r="M1173" s="559">
        <f>'Progetto del paramento slu'!$G$60*(sezione!$AN$31-C1173)/C1173</f>
        <v>7.7643392820739158E-3</v>
      </c>
      <c r="N1173" s="559">
        <f>'Progetto del paramento slu'!$G$60*(sezione!$AO$31-C1173)/C1173</f>
        <v>1.1230289830404352E-2</v>
      </c>
      <c r="O1173" s="559">
        <f>'Progetto del paramento slu'!$G$60*(sezione!$AP$31-C1173)/C1173</f>
        <v>7.7645121630207335E-3</v>
      </c>
      <c r="P1173" s="553">
        <f>-'Progetto del paramento slu'!$G$47*'Progetto del paramento slu'!$G$41*IF(DATI!$G$218="dx",DATI!$E$61,DATI!$E$64*DATI!$E$63)*1000*C1173*sezione!$AD$5</f>
        <v>-1138749.4267340933</v>
      </c>
      <c r="Q1173" s="553">
        <f>'Foglio deposito bis'!$F$58*IF(ABS(K1173)&lt;'Progetto del paramento slu'!$G$58,ABS(K1173)*'Progetto del paramento slu'!$G$54,'Progetto del paramento slu'!$G$53)*IF(K1173&lt;0,-1,1)</f>
        <v>0</v>
      </c>
      <c r="R1173" s="553">
        <f>'Foglio deposito bis'!$F$59*IF(ABS(L1173)&lt;'Progetto del paramento slu'!$G$58,ABS(L1173)*'Progetto del paramento slu'!$G$54,'Progetto del paramento slu'!$G$53)*IF(L1173&lt;0,-1,1)</f>
        <v>153664.85805602249</v>
      </c>
      <c r="S1173" s="553">
        <f>'Foglio deposito bis'!$F$60*IF(ABS(M1173)&lt;'Progetto del paramento slu'!$G$58,ABS(M1173)*'Progetto del paramento slu'!$G$54,'Progetto del paramento slu'!$G$53)*IF(M1173&lt;0,-1,1)</f>
        <v>0</v>
      </c>
      <c r="T1173" s="553">
        <f>'Foglio deposito bis'!$F$61*IF(ABS(N1173)&lt;'Progetto del paramento slu'!$G$58,ABS(N1173)*'Progetto del paramento slu'!$G$54,'Progetto del paramento slu'!$G$53)*IF(N1173&lt;0,-1,1)</f>
        <v>240946.49743184328</v>
      </c>
      <c r="U1173" s="553">
        <f>'Foglio deposito bis'!$F$62*IF(ABS(O1173)&lt;'Progetto del paramento slu'!$G$58,ABS(O1173)*'Progetto del paramento slu'!$G$54,'Progetto del paramento slu'!$G$53)*IF(O1173&lt;0,-1,1)</f>
        <v>314705.62929873407</v>
      </c>
      <c r="V1173" s="479">
        <f t="shared" si="87"/>
        <v>-429432.44194749341</v>
      </c>
      <c r="W1173" s="559"/>
      <c r="X1173" s="559"/>
    </row>
    <row r="1174" spans="1:24" x14ac:dyDescent="0.25">
      <c r="A1174" s="553">
        <f t="shared" si="86"/>
        <v>440877.15980411734</v>
      </c>
      <c r="B1174" s="3">
        <f t="shared" si="88"/>
        <v>20.099999999999952</v>
      </c>
      <c r="C1174" s="553">
        <f>'Foglio deposito bis'!$E$157/sezione!$B$247*B1174</f>
        <v>81.597837709482505</v>
      </c>
      <c r="D1174" s="611">
        <f>-'Progetto del paramento slu'!$G$47*'Progetto del paramento slu'!$G$41*IF(DATI!$G$218="dx",DATI!$E$61,DATI!$E$64*DATI!$E$63)*1000*C1174^2*sezione!$AD$5*(1-sezione!$AD$6)</f>
        <v>-54810359.404510885</v>
      </c>
      <c r="E1174" s="553">
        <f>-'Foglio deposito bis'!$F$58*(C1174-sezione!$AL$31)*IF(ABS(K1174)&lt;'Progetto del paramento slu'!$G$58,ABS(K1174)*'Progetto del paramento slu'!$G$54,'Progetto del paramento slu'!$G$53)</f>
        <v>0</v>
      </c>
      <c r="F1174" s="553">
        <f>-'Foglio deposito bis'!$F$59*(C1174-sezione!$AM$31)*IF(ABS(L1174)&lt;'Progetto del paramento slu'!$G$58,ABS(L1174)*'Progetto del paramento slu'!$G$54,'Progetto del paramento slu'!$G$53)</f>
        <v>10511008.559097387</v>
      </c>
      <c r="G1174" s="553">
        <f>-'Foglio deposito bis'!$F$60*(C1174-sezione!$AN$31)*IF(ABS(M1174)&lt;'Progetto del paramento slu'!$G$58,ABS(M1174)*'Progetto del paramento slu'!$G$54,'Progetto del paramento slu'!$G$53)</f>
        <v>0</v>
      </c>
      <c r="H1174" s="553">
        <f>-'Foglio deposito bis'!$F$61*(C1174-sezione!$AO$31)*IF(ABS(N1174)&lt;'Progetto del paramento slu'!$G$58,ABS(N1174)*'Progetto del paramento slu'!$G$54,'Progetto del paramento slu'!$G$53)</f>
        <v>62261095.932714924</v>
      </c>
      <c r="I1174" s="479">
        <f>-'Foglio deposito bis'!$F$62*(C1174-sezione!$AP$31)*IF(ABS(O1174)&lt;'Progetto del paramento slu'!$G$58,ABS(O1174)*'Progetto del paramento slu'!$G$54,'Progetto del paramento slu'!$G$53)</f>
        <v>56145420.548393697</v>
      </c>
      <c r="J1174" s="479">
        <f t="shared" si="85"/>
        <v>74107165.63569513</v>
      </c>
      <c r="K1174" s="558">
        <f>'Progetto del paramento slu'!$G$60*(sezione!$AL$31-C1174)/C1174</f>
        <v>-1.7842682609011029E-3</v>
      </c>
      <c r="L1174" s="558">
        <f>'Progetto del paramento slu'!$G$60*(sezione!$AM$31-C1174)/C1174</f>
        <v>2.9339940216208649E-3</v>
      </c>
      <c r="M1174" s="559">
        <f>'Progetto del paramento slu'!$G$60*(sezione!$AN$31-C1174)/C1174</f>
        <v>7.6522563041428321E-3</v>
      </c>
      <c r="N1174" s="559">
        <f>'Progetto del paramento slu'!$G$60*(sezione!$AO$31-C1174)/C1174</f>
        <v>1.1083719782340627E-2</v>
      </c>
      <c r="O1174" s="559">
        <f>'Progetto del paramento slu'!$G$60*(sezione!$AP$31-C1174)/C1174</f>
        <v>7.6524274648812245E-3</v>
      </c>
      <c r="P1174" s="553">
        <f>-'Progetto del paramento slu'!$G$47*'Progetto del paramento slu'!$G$41*IF(DATI!$G$218="dx",DATI!$E$61,DATI!$E$64*DATI!$E$63)*1000*C1174*sezione!$AD$5</f>
        <v>-1150194.1445907173</v>
      </c>
      <c r="Q1174" s="553">
        <f>'Foglio deposito bis'!$F$58*IF(ABS(K1174)&lt;'Progetto del paramento slu'!$G$58,ABS(K1174)*'Progetto del paramento slu'!$G$54,'Progetto del paramento slu'!$G$53)*IF(K1174&lt;0,-1,1)</f>
        <v>0</v>
      </c>
      <c r="R1174" s="553">
        <f>'Foglio deposito bis'!$F$59*IF(ABS(L1174)&lt;'Progetto del paramento slu'!$G$58,ABS(L1174)*'Progetto del paramento slu'!$G$54,'Progetto del paramento slu'!$G$53)*IF(L1174&lt;0,-1,1)</f>
        <v>153664.85805602249</v>
      </c>
      <c r="S1174" s="553">
        <f>'Foglio deposito bis'!$F$60*IF(ABS(M1174)&lt;'Progetto del paramento slu'!$G$58,ABS(M1174)*'Progetto del paramento slu'!$G$54,'Progetto del paramento slu'!$G$53)*IF(M1174&lt;0,-1,1)</f>
        <v>0</v>
      </c>
      <c r="T1174" s="553">
        <f>'Foglio deposito bis'!$F$61*IF(ABS(N1174)&lt;'Progetto del paramento slu'!$G$58,ABS(N1174)*'Progetto del paramento slu'!$G$54,'Progetto del paramento slu'!$G$53)*IF(N1174&lt;0,-1,1)</f>
        <v>240946.49743184328</v>
      </c>
      <c r="U1174" s="553">
        <f>'Foglio deposito bis'!$F$62*IF(ABS(O1174)&lt;'Progetto del paramento slu'!$G$58,ABS(O1174)*'Progetto del paramento slu'!$G$54,'Progetto del paramento slu'!$G$53)*IF(O1174&lt;0,-1,1)</f>
        <v>314705.62929873407</v>
      </c>
      <c r="V1174" s="479">
        <f t="shared" si="87"/>
        <v>-440877.15980411734</v>
      </c>
      <c r="W1174" s="559"/>
      <c r="X1174" s="559"/>
    </row>
    <row r="1175" spans="1:24" x14ac:dyDescent="0.25">
      <c r="A1175" s="553">
        <f t="shared" si="86"/>
        <v>452321.87766074151</v>
      </c>
      <c r="B1175" s="3">
        <f t="shared" si="88"/>
        <v>20.299999999999951</v>
      </c>
      <c r="C1175" s="553">
        <f>'Foglio deposito bis'!$E$157/sezione!$B$247*B1175</f>
        <v>82.409756492661444</v>
      </c>
      <c r="D1175" s="611">
        <f>-'Progetto del paramento slu'!$G$47*'Progetto del paramento slu'!$G$41*IF(DATI!$G$218="dx",DATI!$E$61,DATI!$E$64*DATI!$E$63)*1000*C1175^2*sezione!$AD$5*(1-sezione!$AD$6)</f>
        <v>-55906539.459431432</v>
      </c>
      <c r="E1175" s="553">
        <f>-'Foglio deposito bis'!$F$58*(C1175-sezione!$AL$31)*IF(ABS(K1175)&lt;'Progetto del paramento slu'!$G$58,ABS(K1175)*'Progetto del paramento slu'!$G$54,'Progetto del paramento slu'!$G$53)</f>
        <v>0</v>
      </c>
      <c r="F1175" s="553">
        <f>-'Foglio deposito bis'!$F$59*(C1175-sezione!$AM$31)*IF(ABS(L1175)&lt;'Progetto del paramento slu'!$G$58,ABS(L1175)*'Progetto del paramento slu'!$G$54,'Progetto del paramento slu'!$G$53)</f>
        <v>10386245.174527176</v>
      </c>
      <c r="G1175" s="553">
        <f>-'Foglio deposito bis'!$F$60*(C1175-sezione!$AN$31)*IF(ABS(M1175)&lt;'Progetto del paramento slu'!$G$58,ABS(M1175)*'Progetto del paramento slu'!$G$54,'Progetto del paramento slu'!$G$53)</f>
        <v>0</v>
      </c>
      <c r="H1175" s="553">
        <f>-'Foglio deposito bis'!$F$61*(C1175-sezione!$AO$31)*IF(ABS(N1175)&lt;'Progetto del paramento slu'!$G$58,ABS(N1175)*'Progetto del paramento slu'!$G$54,'Progetto del paramento slu'!$G$53)</f>
        <v>62065466.945708826</v>
      </c>
      <c r="I1175" s="479">
        <f>-'Foglio deposito bis'!$F$62*(C1175-sezione!$AP$31)*IF(ABS(O1175)&lt;'Progetto del paramento slu'!$G$58,ABS(O1175)*'Progetto del paramento slu'!$G$54,'Progetto del paramento slu'!$G$53)</f>
        <v>55889905.136793904</v>
      </c>
      <c r="J1175" s="479">
        <f t="shared" si="85"/>
        <v>72435077.797598481</v>
      </c>
      <c r="K1175" s="558">
        <f>'Progetto del paramento slu'!$G$60*(sezione!$AL$31-C1175)/C1175</f>
        <v>-1.8011720218774469E-3</v>
      </c>
      <c r="L1175" s="558">
        <f>'Progetto del paramento slu'!$G$60*(sezione!$AM$31-C1175)/C1175</f>
        <v>2.8706049179595748E-3</v>
      </c>
      <c r="M1175" s="559">
        <f>'Progetto del paramento slu'!$G$60*(sezione!$AN$31-C1175)/C1175</f>
        <v>7.5423818577965967E-3</v>
      </c>
      <c r="N1175" s="559">
        <f>'Progetto del paramento slu'!$G$60*(sezione!$AO$31-C1175)/C1175</f>
        <v>1.0940037814041702E-2</v>
      </c>
      <c r="O1175" s="559">
        <f>'Progetto del paramento slu'!$G$60*(sezione!$AP$31-C1175)/C1175</f>
        <v>7.5425513322222955E-3</v>
      </c>
      <c r="P1175" s="553">
        <f>-'Progetto del paramento slu'!$G$47*'Progetto del paramento slu'!$G$41*IF(DATI!$G$218="dx",DATI!$E$61,DATI!$E$64*DATI!$E$63)*1000*C1175*sezione!$AD$5</f>
        <v>-1161638.8624473414</v>
      </c>
      <c r="Q1175" s="553">
        <f>'Foglio deposito bis'!$F$58*IF(ABS(K1175)&lt;'Progetto del paramento slu'!$G$58,ABS(K1175)*'Progetto del paramento slu'!$G$54,'Progetto del paramento slu'!$G$53)*IF(K1175&lt;0,-1,1)</f>
        <v>0</v>
      </c>
      <c r="R1175" s="553">
        <f>'Foglio deposito bis'!$F$59*IF(ABS(L1175)&lt;'Progetto del paramento slu'!$G$58,ABS(L1175)*'Progetto del paramento slu'!$G$54,'Progetto del paramento slu'!$G$53)*IF(L1175&lt;0,-1,1)</f>
        <v>153664.85805602249</v>
      </c>
      <c r="S1175" s="553">
        <f>'Foglio deposito bis'!$F$60*IF(ABS(M1175)&lt;'Progetto del paramento slu'!$G$58,ABS(M1175)*'Progetto del paramento slu'!$G$54,'Progetto del paramento slu'!$G$53)*IF(M1175&lt;0,-1,1)</f>
        <v>0</v>
      </c>
      <c r="T1175" s="553">
        <f>'Foglio deposito bis'!$F$61*IF(ABS(N1175)&lt;'Progetto del paramento slu'!$G$58,ABS(N1175)*'Progetto del paramento slu'!$G$54,'Progetto del paramento slu'!$G$53)*IF(N1175&lt;0,-1,1)</f>
        <v>240946.49743184328</v>
      </c>
      <c r="U1175" s="553">
        <f>'Foglio deposito bis'!$F$62*IF(ABS(O1175)&lt;'Progetto del paramento slu'!$G$58,ABS(O1175)*'Progetto del paramento slu'!$G$54,'Progetto del paramento slu'!$G$53)*IF(O1175&lt;0,-1,1)</f>
        <v>314705.62929873407</v>
      </c>
      <c r="V1175" s="479">
        <f t="shared" si="87"/>
        <v>-452321.87766074151</v>
      </c>
      <c r="W1175" s="559"/>
      <c r="X1175" s="559"/>
    </row>
    <row r="1176" spans="1:24" x14ac:dyDescent="0.25">
      <c r="A1176" s="553">
        <f t="shared" si="86"/>
        <v>463766.59551736544</v>
      </c>
      <c r="B1176" s="3">
        <f t="shared" si="88"/>
        <v>20.49999999999995</v>
      </c>
      <c r="C1176" s="553">
        <f>'Foglio deposito bis'!$E$157/sezione!$B$247*B1176</f>
        <v>83.221675275840369</v>
      </c>
      <c r="D1176" s="611">
        <f>-'Progetto del paramento slu'!$G$47*'Progetto del paramento slu'!$G$41*IF(DATI!$G$218="dx",DATI!$E$61,DATI!$E$64*DATI!$E$63)*1000*C1176^2*sezione!$AD$5*(1-sezione!$AD$6)</f>
        <v>-57013572.78222248</v>
      </c>
      <c r="E1176" s="553">
        <f>-'Foglio deposito bis'!$F$58*(C1176-sezione!$AL$31)*IF(ABS(K1176)&lt;'Progetto del paramento slu'!$G$58,ABS(K1176)*'Progetto del paramento slu'!$G$54,'Progetto del paramento slu'!$G$53)</f>
        <v>0</v>
      </c>
      <c r="F1176" s="553">
        <f>-'Foglio deposito bis'!$F$59*(C1176-sezione!$AM$31)*IF(ABS(L1176)&lt;'Progetto del paramento slu'!$G$58,ABS(L1176)*'Progetto del paramento slu'!$G$54,'Progetto del paramento slu'!$G$53)</f>
        <v>10261481.789956966</v>
      </c>
      <c r="G1176" s="553">
        <f>-'Foglio deposito bis'!$F$60*(C1176-sezione!$AN$31)*IF(ABS(M1176)&lt;'Progetto del paramento slu'!$G$58,ABS(M1176)*'Progetto del paramento slu'!$G$54,'Progetto del paramento slu'!$G$53)</f>
        <v>0</v>
      </c>
      <c r="H1176" s="553">
        <f>-'Foglio deposito bis'!$F$61*(C1176-sezione!$AO$31)*IF(ABS(N1176)&lt;'Progetto del paramento slu'!$G$58,ABS(N1176)*'Progetto del paramento slu'!$G$54,'Progetto del paramento slu'!$G$53)</f>
        <v>61869837.958702751</v>
      </c>
      <c r="I1176" s="479">
        <f>-'Foglio deposito bis'!$F$62*(C1176-sezione!$AP$31)*IF(ABS(O1176)&lt;'Progetto del paramento slu'!$G$58,ABS(O1176)*'Progetto del paramento slu'!$G$54,'Progetto del paramento slu'!$G$53)</f>
        <v>55634389.725194119</v>
      </c>
      <c r="J1176" s="479">
        <f t="shared" si="85"/>
        <v>70752136.691631347</v>
      </c>
      <c r="K1176" s="558">
        <f>'Progetto del paramento slu'!$G$60*(sezione!$AL$31-C1176)/C1176</f>
        <v>-1.8177459533713254E-3</v>
      </c>
      <c r="L1176" s="558">
        <f>'Progetto del paramento slu'!$G$60*(sezione!$AM$31-C1176)/C1176</f>
        <v>2.8084526748575304E-3</v>
      </c>
      <c r="M1176" s="559">
        <f>'Progetto del paramento slu'!$G$60*(sezione!$AN$31-C1176)/C1176</f>
        <v>7.4346513030863863E-3</v>
      </c>
      <c r="N1176" s="559">
        <f>'Progetto del paramento slu'!$G$60*(sezione!$AO$31-C1176)/C1176</f>
        <v>1.0799159396343736E-2</v>
      </c>
      <c r="O1176" s="559">
        <f>'Progetto del paramento slu'!$G$60*(sezione!$AP$31-C1176)/C1176</f>
        <v>7.4348191241030539E-3</v>
      </c>
      <c r="P1176" s="553">
        <f>-'Progetto del paramento slu'!$G$47*'Progetto del paramento slu'!$G$41*IF(DATI!$G$218="dx",DATI!$E$61,DATI!$E$64*DATI!$E$63)*1000*C1176*sezione!$AD$5</f>
        <v>-1173083.5803039654</v>
      </c>
      <c r="Q1176" s="553">
        <f>'Foglio deposito bis'!$F$58*IF(ABS(K1176)&lt;'Progetto del paramento slu'!$G$58,ABS(K1176)*'Progetto del paramento slu'!$G$54,'Progetto del paramento slu'!$G$53)*IF(K1176&lt;0,-1,1)</f>
        <v>0</v>
      </c>
      <c r="R1176" s="553">
        <f>'Foglio deposito bis'!$F$59*IF(ABS(L1176)&lt;'Progetto del paramento slu'!$G$58,ABS(L1176)*'Progetto del paramento slu'!$G$54,'Progetto del paramento slu'!$G$53)*IF(L1176&lt;0,-1,1)</f>
        <v>153664.85805602249</v>
      </c>
      <c r="S1176" s="553">
        <f>'Foglio deposito bis'!$F$60*IF(ABS(M1176)&lt;'Progetto del paramento slu'!$G$58,ABS(M1176)*'Progetto del paramento slu'!$G$54,'Progetto del paramento slu'!$G$53)*IF(M1176&lt;0,-1,1)</f>
        <v>0</v>
      </c>
      <c r="T1176" s="553">
        <f>'Foglio deposito bis'!$F$61*IF(ABS(N1176)&lt;'Progetto del paramento slu'!$G$58,ABS(N1176)*'Progetto del paramento slu'!$G$54,'Progetto del paramento slu'!$G$53)*IF(N1176&lt;0,-1,1)</f>
        <v>240946.49743184328</v>
      </c>
      <c r="U1176" s="553">
        <f>'Foglio deposito bis'!$F$62*IF(ABS(O1176)&lt;'Progetto del paramento slu'!$G$58,ABS(O1176)*'Progetto del paramento slu'!$G$54,'Progetto del paramento slu'!$G$53)*IF(O1176&lt;0,-1,1)</f>
        <v>314705.62929873407</v>
      </c>
      <c r="V1176" s="479">
        <f t="shared" si="87"/>
        <v>-463766.59551736544</v>
      </c>
      <c r="W1176" s="559"/>
      <c r="X1176" s="559"/>
    </row>
    <row r="1177" spans="1:24" x14ac:dyDescent="0.25">
      <c r="A1177" s="553">
        <f t="shared" si="86"/>
        <v>475211.31337398937</v>
      </c>
      <c r="B1177" s="3">
        <f t="shared" si="88"/>
        <v>20.69999999999995</v>
      </c>
      <c r="C1177" s="553">
        <f>'Foglio deposito bis'!$E$157/sezione!$B$247*B1177</f>
        <v>84.033594059019293</v>
      </c>
      <c r="D1177" s="611">
        <f>-'Progetto del paramento slu'!$G$47*'Progetto del paramento slu'!$G$41*IF(DATI!$G$218="dx",DATI!$E$61,DATI!$E$64*DATI!$E$63)*1000*C1177^2*sezione!$AD$5*(1-sezione!$AD$6)</f>
        <v>-58131459.372884005</v>
      </c>
      <c r="E1177" s="553">
        <f>-'Foglio deposito bis'!$F$58*(C1177-sezione!$AL$31)*IF(ABS(K1177)&lt;'Progetto del paramento slu'!$G$58,ABS(K1177)*'Progetto del paramento slu'!$G$54,'Progetto del paramento slu'!$G$53)</f>
        <v>0</v>
      </c>
      <c r="F1177" s="553">
        <f>-'Foglio deposito bis'!$F$59*(C1177-sezione!$AM$31)*IF(ABS(L1177)&lt;'Progetto del paramento slu'!$G$58,ABS(L1177)*'Progetto del paramento slu'!$G$54,'Progetto del paramento slu'!$G$53)</f>
        <v>10136718.405386759</v>
      </c>
      <c r="G1177" s="553">
        <f>-'Foglio deposito bis'!$F$60*(C1177-sezione!$AN$31)*IF(ABS(M1177)&lt;'Progetto del paramento slu'!$G$58,ABS(M1177)*'Progetto del paramento slu'!$G$54,'Progetto del paramento slu'!$G$53)</f>
        <v>0</v>
      </c>
      <c r="H1177" s="553">
        <f>-'Foglio deposito bis'!$F$61*(C1177-sezione!$AO$31)*IF(ABS(N1177)&lt;'Progetto del paramento slu'!$G$58,ABS(N1177)*'Progetto del paramento slu'!$G$54,'Progetto del paramento slu'!$G$53)</f>
        <v>61674208.971696652</v>
      </c>
      <c r="I1177" s="479">
        <f>-'Foglio deposito bis'!$F$62*(C1177-sezione!$AP$31)*IF(ABS(O1177)&lt;'Progetto del paramento slu'!$G$58,ABS(O1177)*'Progetto del paramento slu'!$G$54,'Progetto del paramento slu'!$G$53)</f>
        <v>55378874.313594334</v>
      </c>
      <c r="J1177" s="479">
        <f t="shared" si="85"/>
        <v>69058342.317793742</v>
      </c>
      <c r="K1177" s="558">
        <f>'Progetto del paramento slu'!$G$60*(sezione!$AL$31-C1177)/C1177</f>
        <v>-1.8339996156575924E-3</v>
      </c>
      <c r="L1177" s="558">
        <f>'Progetto del paramento slu'!$G$60*(sezione!$AM$31-C1177)/C1177</f>
        <v>2.7475014412840287E-3</v>
      </c>
      <c r="M1177" s="559">
        <f>'Progetto del paramento slu'!$G$60*(sezione!$AN$31-C1177)/C1177</f>
        <v>7.3290024982256494E-3</v>
      </c>
      <c r="N1177" s="559">
        <f>'Progetto del paramento slu'!$G$60*(sezione!$AO$31-C1177)/C1177</f>
        <v>1.0661003266910465E-2</v>
      </c>
      <c r="O1177" s="559">
        <f>'Progetto del paramento slu'!$G$60*(sezione!$AP$31-C1177)/C1177</f>
        <v>7.3291686977832188E-3</v>
      </c>
      <c r="P1177" s="553">
        <f>-'Progetto del paramento slu'!$G$47*'Progetto del paramento slu'!$G$41*IF(DATI!$G$218="dx",DATI!$E$61,DATI!$E$64*DATI!$E$63)*1000*C1177*sezione!$AD$5</f>
        <v>-1184528.2981605893</v>
      </c>
      <c r="Q1177" s="553">
        <f>'Foglio deposito bis'!$F$58*IF(ABS(K1177)&lt;'Progetto del paramento slu'!$G$58,ABS(K1177)*'Progetto del paramento slu'!$G$54,'Progetto del paramento slu'!$G$53)*IF(K1177&lt;0,-1,1)</f>
        <v>0</v>
      </c>
      <c r="R1177" s="553">
        <f>'Foglio deposito bis'!$F$59*IF(ABS(L1177)&lt;'Progetto del paramento slu'!$G$58,ABS(L1177)*'Progetto del paramento slu'!$G$54,'Progetto del paramento slu'!$G$53)*IF(L1177&lt;0,-1,1)</f>
        <v>153664.85805602249</v>
      </c>
      <c r="S1177" s="553">
        <f>'Foglio deposito bis'!$F$60*IF(ABS(M1177)&lt;'Progetto del paramento slu'!$G$58,ABS(M1177)*'Progetto del paramento slu'!$G$54,'Progetto del paramento slu'!$G$53)*IF(M1177&lt;0,-1,1)</f>
        <v>0</v>
      </c>
      <c r="T1177" s="553">
        <f>'Foglio deposito bis'!$F$61*IF(ABS(N1177)&lt;'Progetto del paramento slu'!$G$58,ABS(N1177)*'Progetto del paramento slu'!$G$54,'Progetto del paramento slu'!$G$53)*IF(N1177&lt;0,-1,1)</f>
        <v>240946.49743184328</v>
      </c>
      <c r="U1177" s="553">
        <f>'Foglio deposito bis'!$F$62*IF(ABS(O1177)&lt;'Progetto del paramento slu'!$G$58,ABS(O1177)*'Progetto del paramento slu'!$G$54,'Progetto del paramento slu'!$G$53)*IF(O1177&lt;0,-1,1)</f>
        <v>314705.62929873407</v>
      </c>
      <c r="V1177" s="479">
        <f t="shared" si="87"/>
        <v>-475211.31337398937</v>
      </c>
      <c r="W1177" s="559"/>
      <c r="X1177" s="559"/>
    </row>
    <row r="1178" spans="1:24" x14ac:dyDescent="0.25">
      <c r="A1178" s="553">
        <f t="shared" si="86"/>
        <v>486656.03123061376</v>
      </c>
      <c r="B1178" s="3">
        <f t="shared" si="88"/>
        <v>20.899999999999949</v>
      </c>
      <c r="C1178" s="553">
        <f>'Foglio deposito bis'!$E$157/sezione!$B$247*B1178</f>
        <v>84.845512842198232</v>
      </c>
      <c r="D1178" s="611">
        <f>-'Progetto del paramento slu'!$G$47*'Progetto del paramento slu'!$G$41*IF(DATI!$G$218="dx",DATI!$E$61,DATI!$E$64*DATI!$E$63)*1000*C1178^2*sezione!$AD$5*(1-sezione!$AD$6)</f>
        <v>-59260199.231416062</v>
      </c>
      <c r="E1178" s="553">
        <f>-'Foglio deposito bis'!$F$58*(C1178-sezione!$AL$31)*IF(ABS(K1178)&lt;'Progetto del paramento slu'!$G$58,ABS(K1178)*'Progetto del paramento slu'!$G$54,'Progetto del paramento slu'!$G$53)</f>
        <v>0</v>
      </c>
      <c r="F1178" s="553">
        <f>-'Foglio deposito bis'!$F$59*(C1178-sezione!$AM$31)*IF(ABS(L1178)&lt;'Progetto del paramento slu'!$G$58,ABS(L1178)*'Progetto del paramento slu'!$G$54,'Progetto del paramento slu'!$G$53)</f>
        <v>10011955.02081655</v>
      </c>
      <c r="G1178" s="553">
        <f>-'Foglio deposito bis'!$F$60*(C1178-sezione!$AN$31)*IF(ABS(M1178)&lt;'Progetto del paramento slu'!$G$58,ABS(M1178)*'Progetto del paramento slu'!$G$54,'Progetto del paramento slu'!$G$53)</f>
        <v>0</v>
      </c>
      <c r="H1178" s="553">
        <f>-'Foglio deposito bis'!$F$61*(C1178-sezione!$AO$31)*IF(ABS(N1178)&lt;'Progetto del paramento slu'!$G$58,ABS(N1178)*'Progetto del paramento slu'!$G$54,'Progetto del paramento slu'!$G$53)</f>
        <v>61478579.984690577</v>
      </c>
      <c r="I1178" s="479">
        <f>-'Foglio deposito bis'!$F$62*(C1178-sezione!$AP$31)*IF(ABS(O1178)&lt;'Progetto del paramento slu'!$G$58,ABS(O1178)*'Progetto del paramento slu'!$G$54,'Progetto del paramento slu'!$G$53)</f>
        <v>55123358.901994549</v>
      </c>
      <c r="J1178" s="479">
        <f t="shared" si="85"/>
        <v>67353694.676085621</v>
      </c>
      <c r="K1178" s="558">
        <f>'Progetto del paramento slu'!$G$60*(sezione!$AL$31-C1178)/C1178</f>
        <v>-1.8499422030675678E-3</v>
      </c>
      <c r="L1178" s="558">
        <f>'Progetto del paramento slu'!$G$60*(sezione!$AM$31-C1178)/C1178</f>
        <v>2.6877167384966208E-3</v>
      </c>
      <c r="M1178" s="559">
        <f>'Progetto del paramento slu'!$G$60*(sezione!$AN$31-C1178)/C1178</f>
        <v>7.2253756800608098E-3</v>
      </c>
      <c r="N1178" s="559">
        <f>'Progetto del paramento slu'!$G$60*(sezione!$AO$31-C1178)/C1178</f>
        <v>1.0525491273925675E-2</v>
      </c>
      <c r="O1178" s="559">
        <f>'Progetto del paramento slu'!$G$60*(sezione!$AP$31-C1178)/C1178</f>
        <v>7.2255402891919914E-3</v>
      </c>
      <c r="P1178" s="553">
        <f>-'Progetto del paramento slu'!$G$47*'Progetto del paramento slu'!$G$41*IF(DATI!$G$218="dx",DATI!$E$61,DATI!$E$64*DATI!$E$63)*1000*C1178*sezione!$AD$5</f>
        <v>-1195973.0160172137</v>
      </c>
      <c r="Q1178" s="553">
        <f>'Foglio deposito bis'!$F$58*IF(ABS(K1178)&lt;'Progetto del paramento slu'!$G$58,ABS(K1178)*'Progetto del paramento slu'!$G$54,'Progetto del paramento slu'!$G$53)*IF(K1178&lt;0,-1,1)</f>
        <v>0</v>
      </c>
      <c r="R1178" s="553">
        <f>'Foglio deposito bis'!$F$59*IF(ABS(L1178)&lt;'Progetto del paramento slu'!$G$58,ABS(L1178)*'Progetto del paramento slu'!$G$54,'Progetto del paramento slu'!$G$53)*IF(L1178&lt;0,-1,1)</f>
        <v>153664.85805602249</v>
      </c>
      <c r="S1178" s="553">
        <f>'Foglio deposito bis'!$F$60*IF(ABS(M1178)&lt;'Progetto del paramento slu'!$G$58,ABS(M1178)*'Progetto del paramento slu'!$G$54,'Progetto del paramento slu'!$G$53)*IF(M1178&lt;0,-1,1)</f>
        <v>0</v>
      </c>
      <c r="T1178" s="553">
        <f>'Foglio deposito bis'!$F$61*IF(ABS(N1178)&lt;'Progetto del paramento slu'!$G$58,ABS(N1178)*'Progetto del paramento slu'!$G$54,'Progetto del paramento slu'!$G$53)*IF(N1178&lt;0,-1,1)</f>
        <v>240946.49743184328</v>
      </c>
      <c r="U1178" s="553">
        <f>'Foglio deposito bis'!$F$62*IF(ABS(O1178)&lt;'Progetto del paramento slu'!$G$58,ABS(O1178)*'Progetto del paramento slu'!$G$54,'Progetto del paramento slu'!$G$53)*IF(O1178&lt;0,-1,1)</f>
        <v>314705.62929873407</v>
      </c>
      <c r="V1178" s="479">
        <f t="shared" si="87"/>
        <v>-486656.03123061376</v>
      </c>
      <c r="W1178" s="559"/>
      <c r="X1178" s="559"/>
    </row>
    <row r="1179" spans="1:24" x14ac:dyDescent="0.25">
      <c r="A1179" s="553">
        <f t="shared" si="86"/>
        <v>498100.74908723769</v>
      </c>
      <c r="B1179" s="3">
        <f t="shared" si="88"/>
        <v>21.099999999999948</v>
      </c>
      <c r="C1179" s="553">
        <f>'Foglio deposito bis'!$E$157/sezione!$B$247*B1179</f>
        <v>85.657431625377157</v>
      </c>
      <c r="D1179" s="611">
        <f>-'Progetto del paramento slu'!$G$47*'Progetto del paramento slu'!$G$41*IF(DATI!$G$218="dx",DATI!$E$61,DATI!$E$64*DATI!$E$63)*1000*C1179^2*sezione!$AD$5*(1-sezione!$AD$6)</f>
        <v>-60399792.357818604</v>
      </c>
      <c r="E1179" s="553">
        <f>-'Foglio deposito bis'!$F$58*(C1179-sezione!$AL$31)*IF(ABS(K1179)&lt;'Progetto del paramento slu'!$G$58,ABS(K1179)*'Progetto del paramento slu'!$G$54,'Progetto del paramento slu'!$G$53)</f>
        <v>0</v>
      </c>
      <c r="F1179" s="553">
        <f>-'Foglio deposito bis'!$F$59*(C1179-sezione!$AM$31)*IF(ABS(L1179)&lt;'Progetto del paramento slu'!$G$58,ABS(L1179)*'Progetto del paramento slu'!$G$54,'Progetto del paramento slu'!$G$53)</f>
        <v>9887191.6362463422</v>
      </c>
      <c r="G1179" s="553">
        <f>-'Foglio deposito bis'!$F$60*(C1179-sezione!$AN$31)*IF(ABS(M1179)&lt;'Progetto del paramento slu'!$G$58,ABS(M1179)*'Progetto del paramento slu'!$G$54,'Progetto del paramento slu'!$G$53)</f>
        <v>0</v>
      </c>
      <c r="H1179" s="553">
        <f>-'Foglio deposito bis'!$F$61*(C1179-sezione!$AO$31)*IF(ABS(N1179)&lt;'Progetto del paramento slu'!$G$58,ABS(N1179)*'Progetto del paramento slu'!$G$54,'Progetto del paramento slu'!$G$53)</f>
        <v>61282950.997684479</v>
      </c>
      <c r="I1179" s="479">
        <f>-'Foglio deposito bis'!$F$62*(C1179-sezione!$AP$31)*IF(ABS(O1179)&lt;'Progetto del paramento slu'!$G$58,ABS(O1179)*'Progetto del paramento slu'!$G$54,'Progetto del paramento slu'!$G$53)</f>
        <v>54867843.490394749</v>
      </c>
      <c r="J1179" s="479">
        <f t="shared" si="85"/>
        <v>65638193.766506962</v>
      </c>
      <c r="K1179" s="558">
        <f>'Progetto del paramento slu'!$G$60*(sezione!$AL$31-C1179)/C1179</f>
        <v>-1.86558256133233E-3</v>
      </c>
      <c r="L1179" s="558">
        <f>'Progetto del paramento slu'!$G$60*(sezione!$AM$31-C1179)/C1179</f>
        <v>2.6290653950037622E-3</v>
      </c>
      <c r="M1179" s="559">
        <f>'Progetto del paramento slu'!$G$60*(sezione!$AN$31-C1179)/C1179</f>
        <v>7.1237133513398542E-3</v>
      </c>
      <c r="N1179" s="559">
        <f>'Progetto del paramento slu'!$G$60*(sezione!$AO$31-C1179)/C1179</f>
        <v>1.0392548228675193E-2</v>
      </c>
      <c r="O1179" s="559">
        <f>'Progetto del paramento slu'!$G$60*(sezione!$AP$31-C1179)/C1179</f>
        <v>7.1238764001949097E-3</v>
      </c>
      <c r="P1179" s="553">
        <f>-'Progetto del paramento slu'!$G$47*'Progetto del paramento slu'!$G$41*IF(DATI!$G$218="dx",DATI!$E$61,DATI!$E$64*DATI!$E$63)*1000*C1179*sezione!$AD$5</f>
        <v>-1207417.7338738376</v>
      </c>
      <c r="Q1179" s="553">
        <f>'Foglio deposito bis'!$F$58*IF(ABS(K1179)&lt;'Progetto del paramento slu'!$G$58,ABS(K1179)*'Progetto del paramento slu'!$G$54,'Progetto del paramento slu'!$G$53)*IF(K1179&lt;0,-1,1)</f>
        <v>0</v>
      </c>
      <c r="R1179" s="553">
        <f>'Foglio deposito bis'!$F$59*IF(ABS(L1179)&lt;'Progetto del paramento slu'!$G$58,ABS(L1179)*'Progetto del paramento slu'!$G$54,'Progetto del paramento slu'!$G$53)*IF(L1179&lt;0,-1,1)</f>
        <v>153664.85805602249</v>
      </c>
      <c r="S1179" s="553">
        <f>'Foglio deposito bis'!$F$60*IF(ABS(M1179)&lt;'Progetto del paramento slu'!$G$58,ABS(M1179)*'Progetto del paramento slu'!$G$54,'Progetto del paramento slu'!$G$53)*IF(M1179&lt;0,-1,1)</f>
        <v>0</v>
      </c>
      <c r="T1179" s="553">
        <f>'Foglio deposito bis'!$F$61*IF(ABS(N1179)&lt;'Progetto del paramento slu'!$G$58,ABS(N1179)*'Progetto del paramento slu'!$G$54,'Progetto del paramento slu'!$G$53)*IF(N1179&lt;0,-1,1)</f>
        <v>240946.49743184328</v>
      </c>
      <c r="U1179" s="553">
        <f>'Foglio deposito bis'!$F$62*IF(ABS(O1179)&lt;'Progetto del paramento slu'!$G$58,ABS(O1179)*'Progetto del paramento slu'!$G$54,'Progetto del paramento slu'!$G$53)*IF(O1179&lt;0,-1,1)</f>
        <v>314705.62929873407</v>
      </c>
      <c r="V1179" s="479">
        <f t="shared" si="87"/>
        <v>-498100.74908723769</v>
      </c>
      <c r="W1179" s="559"/>
      <c r="X1179" s="559"/>
    </row>
    <row r="1180" spans="1:24" x14ac:dyDescent="0.25">
      <c r="A1180" s="553">
        <f t="shared" si="86"/>
        <v>509545.46694386163</v>
      </c>
      <c r="B1180" s="3">
        <f t="shared" si="88"/>
        <v>21.299999999999947</v>
      </c>
      <c r="C1180" s="553">
        <f>'Foglio deposito bis'!$E$157/sezione!$B$247*B1180</f>
        <v>86.469350408556082</v>
      </c>
      <c r="D1180" s="611">
        <f>-'Progetto del paramento slu'!$G$47*'Progetto del paramento slu'!$G$41*IF(DATI!$G$218="dx",DATI!$E$61,DATI!$E$64*DATI!$E$63)*1000*C1180^2*sezione!$AD$5*(1-sezione!$AD$6)</f>
        <v>-61550238.752091631</v>
      </c>
      <c r="E1180" s="553">
        <f>-'Foglio deposito bis'!$F$58*(C1180-sezione!$AL$31)*IF(ABS(K1180)&lt;'Progetto del paramento slu'!$G$58,ABS(K1180)*'Progetto del paramento slu'!$G$54,'Progetto del paramento slu'!$G$53)</f>
        <v>0</v>
      </c>
      <c r="F1180" s="553">
        <f>-'Foglio deposito bis'!$F$59*(C1180-sezione!$AM$31)*IF(ABS(L1180)&lt;'Progetto del paramento slu'!$G$58,ABS(L1180)*'Progetto del paramento slu'!$G$54,'Progetto del paramento slu'!$G$53)</f>
        <v>9762428.2516761329</v>
      </c>
      <c r="G1180" s="553">
        <f>-'Foglio deposito bis'!$F$60*(C1180-sezione!$AN$31)*IF(ABS(M1180)&lt;'Progetto del paramento slu'!$G$58,ABS(M1180)*'Progetto del paramento slu'!$G$54,'Progetto del paramento slu'!$G$53)</f>
        <v>0</v>
      </c>
      <c r="H1180" s="553">
        <f>-'Foglio deposito bis'!$F$61*(C1180-sezione!$AO$31)*IF(ABS(N1180)&lt;'Progetto del paramento slu'!$G$58,ABS(N1180)*'Progetto del paramento slu'!$G$54,'Progetto del paramento slu'!$G$53)</f>
        <v>61087322.010678403</v>
      </c>
      <c r="I1180" s="479">
        <f>-'Foglio deposito bis'!$F$62*(C1180-sezione!$AP$31)*IF(ABS(O1180)&lt;'Progetto del paramento slu'!$G$58,ABS(O1180)*'Progetto del paramento slu'!$G$54,'Progetto del paramento slu'!$G$53)</f>
        <v>54612328.078794979</v>
      </c>
      <c r="J1180" s="479">
        <f t="shared" si="85"/>
        <v>63911839.589057885</v>
      </c>
      <c r="K1180" s="558">
        <f>'Progetto del paramento slu'!$G$60*(sezione!$AL$31-C1180)/C1180</f>
        <v>-1.8809292039489278E-3</v>
      </c>
      <c r="L1180" s="558">
        <f>'Progetto del paramento slu'!$G$60*(sezione!$AM$31-C1180)/C1180</f>
        <v>2.571515485191521E-3</v>
      </c>
      <c r="M1180" s="559">
        <f>'Progetto del paramento slu'!$G$60*(sezione!$AN$31-C1180)/C1180</f>
        <v>7.02396017433197E-3</v>
      </c>
      <c r="N1180" s="559">
        <f>'Progetto del paramento slu'!$G$60*(sezione!$AO$31-C1180)/C1180</f>
        <v>1.0262101766434115E-2</v>
      </c>
      <c r="O1180" s="559">
        <f>'Progetto del paramento slu'!$G$60*(sezione!$AP$31-C1180)/C1180</f>
        <v>7.0241216922118611E-3</v>
      </c>
      <c r="P1180" s="553">
        <f>-'Progetto del paramento slu'!$G$47*'Progetto del paramento slu'!$G$41*IF(DATI!$G$218="dx",DATI!$E$61,DATI!$E$64*DATI!$E$63)*1000*C1180*sezione!$AD$5</f>
        <v>-1218862.4517304616</v>
      </c>
      <c r="Q1180" s="553">
        <f>'Foglio deposito bis'!$F$58*IF(ABS(K1180)&lt;'Progetto del paramento slu'!$G$58,ABS(K1180)*'Progetto del paramento slu'!$G$54,'Progetto del paramento slu'!$G$53)*IF(K1180&lt;0,-1,1)</f>
        <v>0</v>
      </c>
      <c r="R1180" s="553">
        <f>'Foglio deposito bis'!$F$59*IF(ABS(L1180)&lt;'Progetto del paramento slu'!$G$58,ABS(L1180)*'Progetto del paramento slu'!$G$54,'Progetto del paramento slu'!$G$53)*IF(L1180&lt;0,-1,1)</f>
        <v>153664.85805602249</v>
      </c>
      <c r="S1180" s="553">
        <f>'Foglio deposito bis'!$F$60*IF(ABS(M1180)&lt;'Progetto del paramento slu'!$G$58,ABS(M1180)*'Progetto del paramento slu'!$G$54,'Progetto del paramento slu'!$G$53)*IF(M1180&lt;0,-1,1)</f>
        <v>0</v>
      </c>
      <c r="T1180" s="553">
        <f>'Foglio deposito bis'!$F$61*IF(ABS(N1180)&lt;'Progetto del paramento slu'!$G$58,ABS(N1180)*'Progetto del paramento slu'!$G$54,'Progetto del paramento slu'!$G$53)*IF(N1180&lt;0,-1,1)</f>
        <v>240946.49743184328</v>
      </c>
      <c r="U1180" s="553">
        <f>'Foglio deposito bis'!$F$62*IF(ABS(O1180)&lt;'Progetto del paramento slu'!$G$58,ABS(O1180)*'Progetto del paramento slu'!$G$54,'Progetto del paramento slu'!$G$53)*IF(O1180&lt;0,-1,1)</f>
        <v>314705.62929873407</v>
      </c>
      <c r="V1180" s="479">
        <f t="shared" si="87"/>
        <v>-509545.46694386163</v>
      </c>
      <c r="W1180" s="559"/>
      <c r="X1180" s="559"/>
    </row>
    <row r="1181" spans="1:24" x14ac:dyDescent="0.25">
      <c r="A1181" s="553">
        <f t="shared" si="86"/>
        <v>520990.18480048602</v>
      </c>
      <c r="B1181" s="3">
        <f t="shared" si="88"/>
        <v>21.499999999999947</v>
      </c>
      <c r="C1181" s="553">
        <f>'Foglio deposito bis'!$E$157/sezione!$B$247*B1181</f>
        <v>87.281269191735021</v>
      </c>
      <c r="D1181" s="611">
        <f>-'Progetto del paramento slu'!$G$47*'Progetto del paramento slu'!$G$41*IF(DATI!$G$218="dx",DATI!$E$61,DATI!$E$64*DATI!$E$63)*1000*C1181^2*sezione!$AD$5*(1-sezione!$AD$6)</f>
        <v>-62711538.41423519</v>
      </c>
      <c r="E1181" s="553">
        <f>-'Foglio deposito bis'!$F$58*(C1181-sezione!$AL$31)*IF(ABS(K1181)&lt;'Progetto del paramento slu'!$G$58,ABS(K1181)*'Progetto del paramento slu'!$G$54,'Progetto del paramento slu'!$G$53)</f>
        <v>0</v>
      </c>
      <c r="F1181" s="553">
        <f>-'Foglio deposito bis'!$F$59*(C1181-sezione!$AM$31)*IF(ABS(L1181)&lt;'Progetto del paramento slu'!$G$58,ABS(L1181)*'Progetto del paramento slu'!$G$54,'Progetto del paramento slu'!$G$53)</f>
        <v>9637664.8671059217</v>
      </c>
      <c r="G1181" s="553">
        <f>-'Foglio deposito bis'!$F$60*(C1181-sezione!$AN$31)*IF(ABS(M1181)&lt;'Progetto del paramento slu'!$G$58,ABS(M1181)*'Progetto del paramento slu'!$G$54,'Progetto del paramento slu'!$G$53)</f>
        <v>0</v>
      </c>
      <c r="H1181" s="553">
        <f>-'Foglio deposito bis'!$F$61*(C1181-sezione!$AO$31)*IF(ABS(N1181)&lt;'Progetto del paramento slu'!$G$58,ABS(N1181)*'Progetto del paramento slu'!$G$54,'Progetto del paramento slu'!$G$53)</f>
        <v>60891693.023672305</v>
      </c>
      <c r="I1181" s="479">
        <f>-'Foglio deposito bis'!$F$62*(C1181-sezione!$AP$31)*IF(ABS(O1181)&lt;'Progetto del paramento slu'!$G$58,ABS(O1181)*'Progetto del paramento slu'!$G$54,'Progetto del paramento slu'!$G$53)</f>
        <v>54356812.667195179</v>
      </c>
      <c r="J1181" s="479">
        <f t="shared" si="85"/>
        <v>62174632.143738218</v>
      </c>
      <c r="K1181" s="558">
        <f>'Progetto del paramento slu'!$G$60*(sezione!$AL$31-C1181)/C1181</f>
        <v>-1.8959903276331241E-3</v>
      </c>
      <c r="L1181" s="558">
        <f>'Progetto del paramento slu'!$G$60*(sezione!$AM$31-C1181)/C1181</f>
        <v>2.5150362713757851E-3</v>
      </c>
      <c r="M1181" s="559">
        <f>'Progetto del paramento slu'!$G$60*(sezione!$AN$31-C1181)/C1181</f>
        <v>6.9260628703846942E-3</v>
      </c>
      <c r="N1181" s="559">
        <f>'Progetto del paramento slu'!$G$60*(sezione!$AO$31-C1181)/C1181</f>
        <v>1.0134082215118446E-2</v>
      </c>
      <c r="O1181" s="559">
        <f>'Progetto del paramento slu'!$G$60*(sezione!$AP$31-C1181)/C1181</f>
        <v>6.9262228857726793E-3</v>
      </c>
      <c r="P1181" s="553">
        <f>-'Progetto del paramento slu'!$G$47*'Progetto del paramento slu'!$G$41*IF(DATI!$G$218="dx",DATI!$E$61,DATI!$E$64*DATI!$E$63)*1000*C1181*sezione!$AD$5</f>
        <v>-1230307.169587086</v>
      </c>
      <c r="Q1181" s="553">
        <f>'Foglio deposito bis'!$F$58*IF(ABS(K1181)&lt;'Progetto del paramento slu'!$G$58,ABS(K1181)*'Progetto del paramento slu'!$G$54,'Progetto del paramento slu'!$G$53)*IF(K1181&lt;0,-1,1)</f>
        <v>0</v>
      </c>
      <c r="R1181" s="553">
        <f>'Foglio deposito bis'!$F$59*IF(ABS(L1181)&lt;'Progetto del paramento slu'!$G$58,ABS(L1181)*'Progetto del paramento slu'!$G$54,'Progetto del paramento slu'!$G$53)*IF(L1181&lt;0,-1,1)</f>
        <v>153664.85805602249</v>
      </c>
      <c r="S1181" s="553">
        <f>'Foglio deposito bis'!$F$60*IF(ABS(M1181)&lt;'Progetto del paramento slu'!$G$58,ABS(M1181)*'Progetto del paramento slu'!$G$54,'Progetto del paramento slu'!$G$53)*IF(M1181&lt;0,-1,1)</f>
        <v>0</v>
      </c>
      <c r="T1181" s="553">
        <f>'Foglio deposito bis'!$F$61*IF(ABS(N1181)&lt;'Progetto del paramento slu'!$G$58,ABS(N1181)*'Progetto del paramento slu'!$G$54,'Progetto del paramento slu'!$G$53)*IF(N1181&lt;0,-1,1)</f>
        <v>240946.49743184328</v>
      </c>
      <c r="U1181" s="553">
        <f>'Foglio deposito bis'!$F$62*IF(ABS(O1181)&lt;'Progetto del paramento slu'!$G$58,ABS(O1181)*'Progetto del paramento slu'!$G$54,'Progetto del paramento slu'!$G$53)*IF(O1181&lt;0,-1,1)</f>
        <v>314705.62929873407</v>
      </c>
      <c r="V1181" s="479">
        <f t="shared" si="87"/>
        <v>-520990.18480048602</v>
      </c>
      <c r="W1181" s="559"/>
      <c r="X1181" s="559"/>
    </row>
    <row r="1182" spans="1:24" x14ac:dyDescent="0.25">
      <c r="A1182" s="553">
        <f t="shared" si="86"/>
        <v>532434.90265711001</v>
      </c>
      <c r="B1182" s="3">
        <f t="shared" si="88"/>
        <v>21.699999999999946</v>
      </c>
      <c r="C1182" s="553">
        <f>'Foglio deposito bis'!$E$157/sezione!$B$247*B1182</f>
        <v>88.093187974913945</v>
      </c>
      <c r="D1182" s="611">
        <f>-'Progetto del paramento slu'!$G$47*'Progetto del paramento slu'!$G$41*IF(DATI!$G$218="dx",DATI!$E$61,DATI!$E$64*DATI!$E$63)*1000*C1182^2*sezione!$AD$5*(1-sezione!$AD$6)</f>
        <v>-63883691.344249234</v>
      </c>
      <c r="E1182" s="553">
        <f>-'Foglio deposito bis'!$F$58*(C1182-sezione!$AL$31)*IF(ABS(K1182)&lt;'Progetto del paramento slu'!$G$58,ABS(K1182)*'Progetto del paramento slu'!$G$54,'Progetto del paramento slu'!$G$53)</f>
        <v>0</v>
      </c>
      <c r="F1182" s="553">
        <f>-'Foglio deposito bis'!$F$59*(C1182-sezione!$AM$31)*IF(ABS(L1182)&lt;'Progetto del paramento slu'!$G$58,ABS(L1182)*'Progetto del paramento slu'!$G$54,'Progetto del paramento slu'!$G$53)</f>
        <v>9512901.4825357143</v>
      </c>
      <c r="G1182" s="553">
        <f>-'Foglio deposito bis'!$F$60*(C1182-sezione!$AN$31)*IF(ABS(M1182)&lt;'Progetto del paramento slu'!$G$58,ABS(M1182)*'Progetto del paramento slu'!$G$54,'Progetto del paramento slu'!$G$53)</f>
        <v>0</v>
      </c>
      <c r="H1182" s="553">
        <f>-'Foglio deposito bis'!$F$61*(C1182-sezione!$AO$31)*IF(ABS(N1182)&lt;'Progetto del paramento slu'!$G$58,ABS(N1182)*'Progetto del paramento slu'!$G$54,'Progetto del paramento slu'!$G$53)</f>
        <v>60696064.036666222</v>
      </c>
      <c r="I1182" s="479">
        <f>-'Foglio deposito bis'!$F$62*(C1182-sezione!$AP$31)*IF(ABS(O1182)&lt;'Progetto del paramento slu'!$G$58,ABS(O1182)*'Progetto del paramento slu'!$G$54,'Progetto del paramento slu'!$G$53)</f>
        <v>54101297.255595393</v>
      </c>
      <c r="J1182" s="479">
        <f t="shared" si="85"/>
        <v>60426571.430548094</v>
      </c>
      <c r="K1182" s="558">
        <f>'Progetto del paramento slu'!$G$60*(sezione!$AL$31-C1182)/C1182</f>
        <v>-1.9107738269176114E-3</v>
      </c>
      <c r="L1182" s="558">
        <f>'Progetto del paramento slu'!$G$60*(sezione!$AM$31-C1182)/C1182</f>
        <v>2.4595981490589578E-3</v>
      </c>
      <c r="M1182" s="559">
        <f>'Progetto del paramento slu'!$G$60*(sezione!$AN$31-C1182)/C1182</f>
        <v>6.8299701250355265E-3</v>
      </c>
      <c r="N1182" s="559">
        <f>'Progetto del paramento slu'!$G$60*(sezione!$AO$31-C1182)/C1182</f>
        <v>1.0008422471200304E-2</v>
      </c>
      <c r="O1182" s="559">
        <f>'Progetto del paramento slu'!$G$60*(sezione!$AP$31-C1182)/C1182</f>
        <v>6.8301286656273098E-3</v>
      </c>
      <c r="P1182" s="553">
        <f>-'Progetto del paramento slu'!$G$47*'Progetto del paramento slu'!$G$41*IF(DATI!$G$218="dx",DATI!$E$61,DATI!$E$64*DATI!$E$63)*1000*C1182*sezione!$AD$5</f>
        <v>-1241751.8874437099</v>
      </c>
      <c r="Q1182" s="553">
        <f>'Foglio deposito bis'!$F$58*IF(ABS(K1182)&lt;'Progetto del paramento slu'!$G$58,ABS(K1182)*'Progetto del paramento slu'!$G$54,'Progetto del paramento slu'!$G$53)*IF(K1182&lt;0,-1,1)</f>
        <v>0</v>
      </c>
      <c r="R1182" s="553">
        <f>'Foglio deposito bis'!$F$59*IF(ABS(L1182)&lt;'Progetto del paramento slu'!$G$58,ABS(L1182)*'Progetto del paramento slu'!$G$54,'Progetto del paramento slu'!$G$53)*IF(L1182&lt;0,-1,1)</f>
        <v>153664.85805602249</v>
      </c>
      <c r="S1182" s="553">
        <f>'Foglio deposito bis'!$F$60*IF(ABS(M1182)&lt;'Progetto del paramento slu'!$G$58,ABS(M1182)*'Progetto del paramento slu'!$G$54,'Progetto del paramento slu'!$G$53)*IF(M1182&lt;0,-1,1)</f>
        <v>0</v>
      </c>
      <c r="T1182" s="553">
        <f>'Foglio deposito bis'!$F$61*IF(ABS(N1182)&lt;'Progetto del paramento slu'!$G$58,ABS(N1182)*'Progetto del paramento slu'!$G$54,'Progetto del paramento slu'!$G$53)*IF(N1182&lt;0,-1,1)</f>
        <v>240946.49743184328</v>
      </c>
      <c r="U1182" s="553">
        <f>'Foglio deposito bis'!$F$62*IF(ABS(O1182)&lt;'Progetto del paramento slu'!$G$58,ABS(O1182)*'Progetto del paramento slu'!$G$54,'Progetto del paramento slu'!$G$53)*IF(O1182&lt;0,-1,1)</f>
        <v>314705.62929873407</v>
      </c>
      <c r="V1182" s="479">
        <f t="shared" si="87"/>
        <v>-532434.90265711001</v>
      </c>
      <c r="W1182" s="559"/>
      <c r="X1182" s="559"/>
    </row>
    <row r="1183" spans="1:24" x14ac:dyDescent="0.25">
      <c r="A1183" s="553">
        <f t="shared" si="86"/>
        <v>543879.62051373394</v>
      </c>
      <c r="B1183" s="3">
        <f t="shared" si="88"/>
        <v>21.899999999999945</v>
      </c>
      <c r="C1183" s="553">
        <f>'Foglio deposito bis'!$E$157/sezione!$B$247*B1183</f>
        <v>88.90510675809287</v>
      </c>
      <c r="D1183" s="611">
        <f>-'Progetto del paramento slu'!$G$47*'Progetto del paramento slu'!$G$41*IF(DATI!$G$218="dx",DATI!$E$61,DATI!$E$64*DATI!$E$63)*1000*C1183^2*sezione!$AD$5*(1-sezione!$AD$6)</f>
        <v>-65066697.542133756</v>
      </c>
      <c r="E1183" s="553">
        <f>-'Foglio deposito bis'!$F$58*(C1183-sezione!$AL$31)*IF(ABS(K1183)&lt;'Progetto del paramento slu'!$G$58,ABS(K1183)*'Progetto del paramento slu'!$G$54,'Progetto del paramento slu'!$G$53)</f>
        <v>0</v>
      </c>
      <c r="F1183" s="553">
        <f>-'Foglio deposito bis'!$F$59*(C1183-sezione!$AM$31)*IF(ABS(L1183)&lt;'Progetto del paramento slu'!$G$58,ABS(L1183)*'Progetto del paramento slu'!$G$54,'Progetto del paramento slu'!$G$53)</f>
        <v>9388138.0979655068</v>
      </c>
      <c r="G1183" s="553">
        <f>-'Foglio deposito bis'!$F$60*(C1183-sezione!$AN$31)*IF(ABS(M1183)&lt;'Progetto del paramento slu'!$G$58,ABS(M1183)*'Progetto del paramento slu'!$G$54,'Progetto del paramento slu'!$G$53)</f>
        <v>0</v>
      </c>
      <c r="H1183" s="553">
        <f>-'Foglio deposito bis'!$F$61*(C1183-sezione!$AO$31)*IF(ABS(N1183)&lt;'Progetto del paramento slu'!$G$58,ABS(N1183)*'Progetto del paramento slu'!$G$54,'Progetto del paramento slu'!$G$53)</f>
        <v>60500435.049660131</v>
      </c>
      <c r="I1183" s="479">
        <f>-'Foglio deposito bis'!$F$62*(C1183-sezione!$AP$31)*IF(ABS(O1183)&lt;'Progetto del paramento slu'!$G$58,ABS(O1183)*'Progetto del paramento slu'!$G$54,'Progetto del paramento slu'!$G$53)</f>
        <v>53845781.843995608</v>
      </c>
      <c r="J1183" s="479">
        <f t="shared" si="85"/>
        <v>58667657.449487492</v>
      </c>
      <c r="K1183" s="558">
        <f>'Progetto del paramento slu'!$G$60*(sezione!$AL$31-C1183)/C1183</f>
        <v>-1.925287307950327E-3</v>
      </c>
      <c r="L1183" s="558">
        <f>'Progetto del paramento slu'!$G$60*(sezione!$AM$31-C1183)/C1183</f>
        <v>2.4051725951862737E-3</v>
      </c>
      <c r="M1183" s="559">
        <f>'Progetto del paramento slu'!$G$60*(sezione!$AN$31-C1183)/C1183</f>
        <v>6.7356324983228744E-3</v>
      </c>
      <c r="N1183" s="559">
        <f>'Progetto del paramento slu'!$G$60*(sezione!$AO$31-C1183)/C1183</f>
        <v>9.8850578824222213E-3</v>
      </c>
      <c r="O1183" s="559">
        <f>'Progetto del paramento slu'!$G$60*(sezione!$AP$31-C1183)/C1183</f>
        <v>6.7357895910553712E-3</v>
      </c>
      <c r="P1183" s="553">
        <f>-'Progetto del paramento slu'!$G$47*'Progetto del paramento slu'!$G$41*IF(DATI!$G$218="dx",DATI!$E$61,DATI!$E$64*DATI!$E$63)*1000*C1183*sezione!$AD$5</f>
        <v>-1253196.6053003338</v>
      </c>
      <c r="Q1183" s="553">
        <f>'Foglio deposito bis'!$F$58*IF(ABS(K1183)&lt;'Progetto del paramento slu'!$G$58,ABS(K1183)*'Progetto del paramento slu'!$G$54,'Progetto del paramento slu'!$G$53)*IF(K1183&lt;0,-1,1)</f>
        <v>0</v>
      </c>
      <c r="R1183" s="553">
        <f>'Foglio deposito bis'!$F$59*IF(ABS(L1183)&lt;'Progetto del paramento slu'!$G$58,ABS(L1183)*'Progetto del paramento slu'!$G$54,'Progetto del paramento slu'!$G$53)*IF(L1183&lt;0,-1,1)</f>
        <v>153664.85805602249</v>
      </c>
      <c r="S1183" s="553">
        <f>'Foglio deposito bis'!$F$60*IF(ABS(M1183)&lt;'Progetto del paramento slu'!$G$58,ABS(M1183)*'Progetto del paramento slu'!$G$54,'Progetto del paramento slu'!$G$53)*IF(M1183&lt;0,-1,1)</f>
        <v>0</v>
      </c>
      <c r="T1183" s="553">
        <f>'Foglio deposito bis'!$F$61*IF(ABS(N1183)&lt;'Progetto del paramento slu'!$G$58,ABS(N1183)*'Progetto del paramento slu'!$G$54,'Progetto del paramento slu'!$G$53)*IF(N1183&lt;0,-1,1)</f>
        <v>240946.49743184328</v>
      </c>
      <c r="U1183" s="553">
        <f>'Foglio deposito bis'!$F$62*IF(ABS(O1183)&lt;'Progetto del paramento slu'!$G$58,ABS(O1183)*'Progetto del paramento slu'!$G$54,'Progetto del paramento slu'!$G$53)*IF(O1183&lt;0,-1,1)</f>
        <v>314705.62929873407</v>
      </c>
      <c r="V1183" s="479">
        <f t="shared" si="87"/>
        <v>-543879.62051373394</v>
      </c>
      <c r="W1183" s="559"/>
      <c r="X1183" s="559"/>
    </row>
    <row r="1184" spans="1:24" x14ac:dyDescent="0.25">
      <c r="A1184" s="553">
        <f t="shared" si="86"/>
        <v>555324.33837035787</v>
      </c>
      <c r="B1184" s="3">
        <f t="shared" si="88"/>
        <v>22.099999999999945</v>
      </c>
      <c r="C1184" s="553">
        <f>'Foglio deposito bis'!$E$157/sezione!$B$247*B1184</f>
        <v>89.717025541271809</v>
      </c>
      <c r="D1184" s="611">
        <f>-'Progetto del paramento slu'!$G$47*'Progetto del paramento slu'!$G$41*IF(DATI!$G$218="dx",DATI!$E$61,DATI!$E$64*DATI!$E$63)*1000*C1184^2*sezione!$AD$5*(1-sezione!$AD$6)</f>
        <v>-66260557.007888809</v>
      </c>
      <c r="E1184" s="553">
        <f>-'Foglio deposito bis'!$F$58*(C1184-sezione!$AL$31)*IF(ABS(K1184)&lt;'Progetto del paramento slu'!$G$58,ABS(K1184)*'Progetto del paramento slu'!$G$54,'Progetto del paramento slu'!$G$53)</f>
        <v>0</v>
      </c>
      <c r="F1184" s="553">
        <f>-'Foglio deposito bis'!$F$59*(C1184-sezione!$AM$31)*IF(ABS(L1184)&lt;'Progetto del paramento slu'!$G$58,ABS(L1184)*'Progetto del paramento slu'!$G$54,'Progetto del paramento slu'!$G$53)</f>
        <v>9263374.7133952975</v>
      </c>
      <c r="G1184" s="553">
        <f>-'Foglio deposito bis'!$F$60*(C1184-sezione!$AN$31)*IF(ABS(M1184)&lt;'Progetto del paramento slu'!$G$58,ABS(M1184)*'Progetto del paramento slu'!$G$54,'Progetto del paramento slu'!$G$53)</f>
        <v>0</v>
      </c>
      <c r="H1184" s="553">
        <f>-'Foglio deposito bis'!$F$61*(C1184-sezione!$AO$31)*IF(ABS(N1184)&lt;'Progetto del paramento slu'!$G$58,ABS(N1184)*'Progetto del paramento slu'!$G$54,'Progetto del paramento slu'!$G$53)</f>
        <v>60304806.062654041</v>
      </c>
      <c r="I1184" s="479">
        <f>-'Foglio deposito bis'!$F$62*(C1184-sezione!$AP$31)*IF(ABS(O1184)&lt;'Progetto del paramento slu'!$G$58,ABS(O1184)*'Progetto del paramento slu'!$G$54,'Progetto del paramento slu'!$G$53)</f>
        <v>53590266.432395808</v>
      </c>
      <c r="J1184" s="479">
        <f t="shared" si="85"/>
        <v>56897890.200556338</v>
      </c>
      <c r="K1184" s="558">
        <f>'Progetto del paramento slu'!$G$60*(sezione!$AL$31-C1184)/C1184</f>
        <v>-1.9395381015435368E-3</v>
      </c>
      <c r="L1184" s="558">
        <f>'Progetto del paramento slu'!$G$60*(sezione!$AM$31-C1184)/C1184</f>
        <v>2.3517321192117369E-3</v>
      </c>
      <c r="M1184" s="559">
        <f>'Progetto del paramento slu'!$G$60*(sezione!$AN$31-C1184)/C1184</f>
        <v>6.6430023399670097E-3</v>
      </c>
      <c r="N1184" s="559">
        <f>'Progetto del paramento slu'!$G$60*(sezione!$AO$31-C1184)/C1184</f>
        <v>9.7639261368799354E-3</v>
      </c>
      <c r="O1184" s="559">
        <f>'Progetto del paramento slu'!$G$60*(sezione!$AP$31-C1184)/C1184</f>
        <v>6.6431580110458185E-3</v>
      </c>
      <c r="P1184" s="553">
        <f>-'Progetto del paramento slu'!$G$47*'Progetto del paramento slu'!$G$41*IF(DATI!$G$218="dx",DATI!$E$61,DATI!$E$64*DATI!$E$63)*1000*C1184*sezione!$AD$5</f>
        <v>-1264641.3231569577</v>
      </c>
      <c r="Q1184" s="553">
        <f>'Foglio deposito bis'!$F$58*IF(ABS(K1184)&lt;'Progetto del paramento slu'!$G$58,ABS(K1184)*'Progetto del paramento slu'!$G$54,'Progetto del paramento slu'!$G$53)*IF(K1184&lt;0,-1,1)</f>
        <v>0</v>
      </c>
      <c r="R1184" s="553">
        <f>'Foglio deposito bis'!$F$59*IF(ABS(L1184)&lt;'Progetto del paramento slu'!$G$58,ABS(L1184)*'Progetto del paramento slu'!$G$54,'Progetto del paramento slu'!$G$53)*IF(L1184&lt;0,-1,1)</f>
        <v>153664.85805602249</v>
      </c>
      <c r="S1184" s="553">
        <f>'Foglio deposito bis'!$F$60*IF(ABS(M1184)&lt;'Progetto del paramento slu'!$G$58,ABS(M1184)*'Progetto del paramento slu'!$G$54,'Progetto del paramento slu'!$G$53)*IF(M1184&lt;0,-1,1)</f>
        <v>0</v>
      </c>
      <c r="T1184" s="553">
        <f>'Foglio deposito bis'!$F$61*IF(ABS(N1184)&lt;'Progetto del paramento slu'!$G$58,ABS(N1184)*'Progetto del paramento slu'!$G$54,'Progetto del paramento slu'!$G$53)*IF(N1184&lt;0,-1,1)</f>
        <v>240946.49743184328</v>
      </c>
      <c r="U1184" s="553">
        <f>'Foglio deposito bis'!$F$62*IF(ABS(O1184)&lt;'Progetto del paramento slu'!$G$58,ABS(O1184)*'Progetto del paramento slu'!$G$54,'Progetto del paramento slu'!$G$53)*IF(O1184&lt;0,-1,1)</f>
        <v>314705.62929873407</v>
      </c>
      <c r="V1184" s="479">
        <f t="shared" si="87"/>
        <v>-555324.33837035787</v>
      </c>
      <c r="W1184" s="559"/>
      <c r="X1184" s="559"/>
    </row>
    <row r="1185" spans="1:24" x14ac:dyDescent="0.25">
      <c r="A1185" s="553">
        <f t="shared" si="86"/>
        <v>566769.0562269818</v>
      </c>
      <c r="B1185" s="3">
        <f t="shared" si="88"/>
        <v>22.299999999999944</v>
      </c>
      <c r="C1185" s="553">
        <f>'Foglio deposito bis'!$E$157/sezione!$B$247*B1185</f>
        <v>90.528944324450734</v>
      </c>
      <c r="D1185" s="611">
        <f>-'Progetto del paramento slu'!$G$47*'Progetto del paramento slu'!$G$41*IF(DATI!$G$218="dx",DATI!$E$61,DATI!$E$64*DATI!$E$63)*1000*C1185^2*sezione!$AD$5*(1-sezione!$AD$6)</f>
        <v>-67465269.741514355</v>
      </c>
      <c r="E1185" s="553">
        <f>-'Foglio deposito bis'!$F$58*(C1185-sezione!$AL$31)*IF(ABS(K1185)&lt;'Progetto del paramento slu'!$G$58,ABS(K1185)*'Progetto del paramento slu'!$G$54,'Progetto del paramento slu'!$G$53)</f>
        <v>0</v>
      </c>
      <c r="F1185" s="553">
        <f>-'Foglio deposito bis'!$F$59*(C1185-sezione!$AM$31)*IF(ABS(L1185)&lt;'Progetto del paramento slu'!$G$58,ABS(L1185)*'Progetto del paramento slu'!$G$54,'Progetto del paramento slu'!$G$53)</f>
        <v>9138611.3288250882</v>
      </c>
      <c r="G1185" s="553">
        <f>-'Foglio deposito bis'!$F$60*(C1185-sezione!$AN$31)*IF(ABS(M1185)&lt;'Progetto del paramento slu'!$G$58,ABS(M1185)*'Progetto del paramento slu'!$G$54,'Progetto del paramento slu'!$G$53)</f>
        <v>0</v>
      </c>
      <c r="H1185" s="553">
        <f>-'Foglio deposito bis'!$F$61*(C1185-sezione!$AO$31)*IF(ABS(N1185)&lt;'Progetto del paramento slu'!$G$58,ABS(N1185)*'Progetto del paramento slu'!$G$54,'Progetto del paramento slu'!$G$53)</f>
        <v>60109177.075647958</v>
      </c>
      <c r="I1185" s="479">
        <f>-'Foglio deposito bis'!$F$62*(C1185-sezione!$AP$31)*IF(ABS(O1185)&lt;'Progetto del paramento slu'!$G$58,ABS(O1185)*'Progetto del paramento slu'!$G$54,'Progetto del paramento slu'!$G$53)</f>
        <v>53334751.020796038</v>
      </c>
      <c r="J1185" s="479">
        <f t="shared" si="85"/>
        <v>55117269.683754727</v>
      </c>
      <c r="K1185" s="558">
        <f>'Progetto del paramento slu'!$G$60*(sezione!$AL$31-C1185)/C1185</f>
        <v>-1.9535332755207246E-3</v>
      </c>
      <c r="L1185" s="558">
        <f>'Progetto del paramento slu'!$G$60*(sezione!$AM$31-C1185)/C1185</f>
        <v>2.2992502167972825E-3</v>
      </c>
      <c r="M1185" s="559">
        <f>'Progetto del paramento slu'!$G$60*(sezione!$AN$31-C1185)/C1185</f>
        <v>6.5520337091152896E-3</v>
      </c>
      <c r="N1185" s="559">
        <f>'Progetto del paramento slu'!$G$60*(sezione!$AO$31-C1185)/C1185</f>
        <v>9.6449671580738396E-3</v>
      </c>
      <c r="O1185" s="559">
        <f>'Progetto del paramento slu'!$G$60*(sezione!$AP$31-C1185)/C1185</f>
        <v>6.5521879840409252E-3</v>
      </c>
      <c r="P1185" s="553">
        <f>-'Progetto del paramento slu'!$G$47*'Progetto del paramento slu'!$G$41*IF(DATI!$G$218="dx",DATI!$E$61,DATI!$E$64*DATI!$E$63)*1000*C1185*sezione!$AD$5</f>
        <v>-1276086.0410135817</v>
      </c>
      <c r="Q1185" s="553">
        <f>'Foglio deposito bis'!$F$58*IF(ABS(K1185)&lt;'Progetto del paramento slu'!$G$58,ABS(K1185)*'Progetto del paramento slu'!$G$54,'Progetto del paramento slu'!$G$53)*IF(K1185&lt;0,-1,1)</f>
        <v>0</v>
      </c>
      <c r="R1185" s="553">
        <f>'Foglio deposito bis'!$F$59*IF(ABS(L1185)&lt;'Progetto del paramento slu'!$G$58,ABS(L1185)*'Progetto del paramento slu'!$G$54,'Progetto del paramento slu'!$G$53)*IF(L1185&lt;0,-1,1)</f>
        <v>153664.85805602249</v>
      </c>
      <c r="S1185" s="553">
        <f>'Foglio deposito bis'!$F$60*IF(ABS(M1185)&lt;'Progetto del paramento slu'!$G$58,ABS(M1185)*'Progetto del paramento slu'!$G$54,'Progetto del paramento slu'!$G$53)*IF(M1185&lt;0,-1,1)</f>
        <v>0</v>
      </c>
      <c r="T1185" s="553">
        <f>'Foglio deposito bis'!$F$61*IF(ABS(N1185)&lt;'Progetto del paramento slu'!$G$58,ABS(N1185)*'Progetto del paramento slu'!$G$54,'Progetto del paramento slu'!$G$53)*IF(N1185&lt;0,-1,1)</f>
        <v>240946.49743184328</v>
      </c>
      <c r="U1185" s="553">
        <f>'Foglio deposito bis'!$F$62*IF(ABS(O1185)&lt;'Progetto del paramento slu'!$G$58,ABS(O1185)*'Progetto del paramento slu'!$G$54,'Progetto del paramento slu'!$G$53)*IF(O1185&lt;0,-1,1)</f>
        <v>314705.62929873407</v>
      </c>
      <c r="V1185" s="479">
        <f t="shared" si="87"/>
        <v>-566769.0562269818</v>
      </c>
      <c r="W1185" s="559"/>
      <c r="X1185" s="559"/>
    </row>
    <row r="1186" spans="1:24" x14ac:dyDescent="0.25">
      <c r="A1186" s="553">
        <f t="shared" si="86"/>
        <v>578213.77408360597</v>
      </c>
      <c r="B1186" s="3">
        <f t="shared" si="88"/>
        <v>22.499999999999943</v>
      </c>
      <c r="C1186" s="553">
        <f>'Foglio deposito bis'!$E$157/sezione!$B$247*B1186</f>
        <v>91.340863107629659</v>
      </c>
      <c r="D1186" s="611">
        <f>-'Progetto del paramento slu'!$G$47*'Progetto del paramento slu'!$G$41*IF(DATI!$G$218="dx",DATI!$E$61,DATI!$E$64*DATI!$E$63)*1000*C1186^2*sezione!$AD$5*(1-sezione!$AD$6)</f>
        <v>-68680835.743010387</v>
      </c>
      <c r="E1186" s="553">
        <f>-'Foglio deposito bis'!$F$58*(C1186-sezione!$AL$31)*IF(ABS(K1186)&lt;'Progetto del paramento slu'!$G$58,ABS(K1186)*'Progetto del paramento slu'!$G$54,'Progetto del paramento slu'!$G$53)</f>
        <v>0</v>
      </c>
      <c r="F1186" s="553">
        <f>-'Foglio deposito bis'!$F$59*(C1186-sezione!$AM$31)*IF(ABS(L1186)&lt;'Progetto del paramento slu'!$G$58,ABS(L1186)*'Progetto del paramento slu'!$G$54,'Progetto del paramento slu'!$G$53)</f>
        <v>9013847.9442548808</v>
      </c>
      <c r="G1186" s="553">
        <f>-'Foglio deposito bis'!$F$60*(C1186-sezione!$AN$31)*IF(ABS(M1186)&lt;'Progetto del paramento slu'!$G$58,ABS(M1186)*'Progetto del paramento slu'!$G$54,'Progetto del paramento slu'!$G$53)</f>
        <v>0</v>
      </c>
      <c r="H1186" s="553">
        <f>-'Foglio deposito bis'!$F$61*(C1186-sezione!$AO$31)*IF(ABS(N1186)&lt;'Progetto del paramento slu'!$G$58,ABS(N1186)*'Progetto del paramento slu'!$G$54,'Progetto del paramento slu'!$G$53)</f>
        <v>59913548.088641867</v>
      </c>
      <c r="I1186" s="479">
        <f>-'Foglio deposito bis'!$F$62*(C1186-sezione!$AP$31)*IF(ABS(O1186)&lt;'Progetto del paramento slu'!$G$58,ABS(O1186)*'Progetto del paramento slu'!$G$54,'Progetto del paramento slu'!$G$53)</f>
        <v>53079235.609196238</v>
      </c>
      <c r="J1186" s="479">
        <f t="shared" si="85"/>
        <v>53325795.899082601</v>
      </c>
      <c r="K1186" s="558">
        <f>'Progetto del paramento slu'!$G$60*(sezione!$AL$31-C1186)/C1186</f>
        <v>-1.9672796464049848E-3</v>
      </c>
      <c r="L1186" s="558">
        <f>'Progetto del paramento slu'!$G$60*(sezione!$AM$31-C1186)/C1186</f>
        <v>2.2477013259813066E-3</v>
      </c>
      <c r="M1186" s="559">
        <f>'Progetto del paramento slu'!$G$60*(sezione!$AN$31-C1186)/C1186</f>
        <v>6.4626822983675971E-3</v>
      </c>
      <c r="N1186" s="559">
        <f>'Progetto del paramento slu'!$G$60*(sezione!$AO$31-C1186)/C1186</f>
        <v>9.5281230055576285E-3</v>
      </c>
      <c r="O1186" s="559">
        <f>'Progetto del paramento slu'!$G$60*(sezione!$AP$31-C1186)/C1186</f>
        <v>6.4628352019605612E-3</v>
      </c>
      <c r="P1186" s="553">
        <f>-'Progetto del paramento slu'!$G$47*'Progetto del paramento slu'!$G$41*IF(DATI!$G$218="dx",DATI!$E$61,DATI!$E$64*DATI!$E$63)*1000*C1186*sezione!$AD$5</f>
        <v>-1287530.7588702058</v>
      </c>
      <c r="Q1186" s="553">
        <f>'Foglio deposito bis'!$F$58*IF(ABS(K1186)&lt;'Progetto del paramento slu'!$G$58,ABS(K1186)*'Progetto del paramento slu'!$G$54,'Progetto del paramento slu'!$G$53)*IF(K1186&lt;0,-1,1)</f>
        <v>0</v>
      </c>
      <c r="R1186" s="553">
        <f>'Foglio deposito bis'!$F$59*IF(ABS(L1186)&lt;'Progetto del paramento slu'!$G$58,ABS(L1186)*'Progetto del paramento slu'!$G$54,'Progetto del paramento slu'!$G$53)*IF(L1186&lt;0,-1,1)</f>
        <v>153664.85805602249</v>
      </c>
      <c r="S1186" s="553">
        <f>'Foglio deposito bis'!$F$60*IF(ABS(M1186)&lt;'Progetto del paramento slu'!$G$58,ABS(M1186)*'Progetto del paramento slu'!$G$54,'Progetto del paramento slu'!$G$53)*IF(M1186&lt;0,-1,1)</f>
        <v>0</v>
      </c>
      <c r="T1186" s="553">
        <f>'Foglio deposito bis'!$F$61*IF(ABS(N1186)&lt;'Progetto del paramento slu'!$G$58,ABS(N1186)*'Progetto del paramento slu'!$G$54,'Progetto del paramento slu'!$G$53)*IF(N1186&lt;0,-1,1)</f>
        <v>240946.49743184328</v>
      </c>
      <c r="U1186" s="553">
        <f>'Foglio deposito bis'!$F$62*IF(ABS(O1186)&lt;'Progetto del paramento slu'!$G$58,ABS(O1186)*'Progetto del paramento slu'!$G$54,'Progetto del paramento slu'!$G$53)*IF(O1186&lt;0,-1,1)</f>
        <v>314705.62929873407</v>
      </c>
      <c r="V1186" s="479">
        <f t="shared" si="87"/>
        <v>-578213.77408360597</v>
      </c>
      <c r="W1186" s="559"/>
      <c r="X1186" s="559"/>
    </row>
    <row r="1187" spans="1:24" x14ac:dyDescent="0.25">
      <c r="A1187" s="553">
        <f t="shared" si="86"/>
        <v>589658.49194023013</v>
      </c>
      <c r="B1187" s="3">
        <f t="shared" si="88"/>
        <v>22.699999999999942</v>
      </c>
      <c r="C1187" s="553">
        <f>'Foglio deposito bis'!$E$157/sezione!$B$247*B1187</f>
        <v>92.152781890808598</v>
      </c>
      <c r="D1187" s="611">
        <f>-'Progetto del paramento slu'!$G$47*'Progetto del paramento slu'!$G$41*IF(DATI!$G$218="dx",DATI!$E$61,DATI!$E$64*DATI!$E$63)*1000*C1187^2*sezione!$AD$5*(1-sezione!$AD$6)</f>
        <v>-69907255.012376964</v>
      </c>
      <c r="E1187" s="553">
        <f>-'Foglio deposito bis'!$F$58*(C1187-sezione!$AL$31)*IF(ABS(K1187)&lt;'Progetto del paramento slu'!$G$58,ABS(K1187)*'Progetto del paramento slu'!$G$54,'Progetto del paramento slu'!$G$53)</f>
        <v>0</v>
      </c>
      <c r="F1187" s="553">
        <f>-'Foglio deposito bis'!$F$59*(C1187-sezione!$AM$31)*IF(ABS(L1187)&lt;'Progetto del paramento slu'!$G$58,ABS(L1187)*'Progetto del paramento slu'!$G$54,'Progetto del paramento slu'!$G$53)</f>
        <v>8889084.5596846715</v>
      </c>
      <c r="G1187" s="553">
        <f>-'Foglio deposito bis'!$F$60*(C1187-sezione!$AN$31)*IF(ABS(M1187)&lt;'Progetto del paramento slu'!$G$58,ABS(M1187)*'Progetto del paramento slu'!$G$54,'Progetto del paramento slu'!$G$53)</f>
        <v>0</v>
      </c>
      <c r="H1187" s="553">
        <f>-'Foglio deposito bis'!$F$61*(C1187-sezione!$AO$31)*IF(ABS(N1187)&lt;'Progetto del paramento slu'!$G$58,ABS(N1187)*'Progetto del paramento slu'!$G$54,'Progetto del paramento slu'!$G$53)</f>
        <v>59717919.101635784</v>
      </c>
      <c r="I1187" s="479">
        <f>-'Foglio deposito bis'!$F$62*(C1187-sezione!$AP$31)*IF(ABS(O1187)&lt;'Progetto del paramento slu'!$G$58,ABS(O1187)*'Progetto del paramento slu'!$G$54,'Progetto del paramento slu'!$G$53)</f>
        <v>52823720.197596453</v>
      </c>
      <c r="J1187" s="479">
        <f t="shared" si="85"/>
        <v>51523468.846539944</v>
      </c>
      <c r="K1187" s="558">
        <f>'Progetto del paramento slu'!$G$60*(sezione!$AL$31-C1187)/C1187</f>
        <v>-1.9807837904895226E-3</v>
      </c>
      <c r="L1187" s="558">
        <f>'Progetto del paramento slu'!$G$60*(sezione!$AM$31-C1187)/C1187</f>
        <v>2.1970607856642904E-3</v>
      </c>
      <c r="M1187" s="559">
        <f>'Progetto del paramento slu'!$G$60*(sezione!$AN$31-C1187)/C1187</f>
        <v>6.3749053618181025E-3</v>
      </c>
      <c r="N1187" s="559">
        <f>'Progetto del paramento slu'!$G$60*(sezione!$AO$31-C1187)/C1187</f>
        <v>9.4133377808390574E-3</v>
      </c>
      <c r="O1187" s="559">
        <f>'Progetto del paramento slu'!$G$60*(sezione!$AP$31-C1187)/C1187</f>
        <v>6.3750569182428468E-3</v>
      </c>
      <c r="P1187" s="553">
        <f>-'Progetto del paramento slu'!$G$47*'Progetto del paramento slu'!$G$41*IF(DATI!$G$218="dx",DATI!$E$61,DATI!$E$64*DATI!$E$63)*1000*C1187*sezione!$AD$5</f>
        <v>-1298975.47672683</v>
      </c>
      <c r="Q1187" s="553">
        <f>'Foglio deposito bis'!$F$58*IF(ABS(K1187)&lt;'Progetto del paramento slu'!$G$58,ABS(K1187)*'Progetto del paramento slu'!$G$54,'Progetto del paramento slu'!$G$53)*IF(K1187&lt;0,-1,1)</f>
        <v>0</v>
      </c>
      <c r="R1187" s="553">
        <f>'Foglio deposito bis'!$F$59*IF(ABS(L1187)&lt;'Progetto del paramento slu'!$G$58,ABS(L1187)*'Progetto del paramento slu'!$G$54,'Progetto del paramento slu'!$G$53)*IF(L1187&lt;0,-1,1)</f>
        <v>153664.85805602249</v>
      </c>
      <c r="S1187" s="553">
        <f>'Foglio deposito bis'!$F$60*IF(ABS(M1187)&lt;'Progetto del paramento slu'!$G$58,ABS(M1187)*'Progetto del paramento slu'!$G$54,'Progetto del paramento slu'!$G$53)*IF(M1187&lt;0,-1,1)</f>
        <v>0</v>
      </c>
      <c r="T1187" s="553">
        <f>'Foglio deposito bis'!$F$61*IF(ABS(N1187)&lt;'Progetto del paramento slu'!$G$58,ABS(N1187)*'Progetto del paramento slu'!$G$54,'Progetto del paramento slu'!$G$53)*IF(N1187&lt;0,-1,1)</f>
        <v>240946.49743184328</v>
      </c>
      <c r="U1187" s="553">
        <f>'Foglio deposito bis'!$F$62*IF(ABS(O1187)&lt;'Progetto del paramento slu'!$G$58,ABS(O1187)*'Progetto del paramento slu'!$G$54,'Progetto del paramento slu'!$G$53)*IF(O1187&lt;0,-1,1)</f>
        <v>314705.62929873407</v>
      </c>
      <c r="V1187" s="479">
        <f t="shared" si="87"/>
        <v>-589658.49194023013</v>
      </c>
      <c r="W1187" s="559"/>
      <c r="X1187" s="559"/>
    </row>
    <row r="1188" spans="1:24" x14ac:dyDescent="0.25">
      <c r="A1188" s="553">
        <f t="shared" si="86"/>
        <v>601103.20979685406</v>
      </c>
      <c r="B1188" s="3">
        <f t="shared" si="88"/>
        <v>22.899999999999942</v>
      </c>
      <c r="C1188" s="553">
        <f>'Foglio deposito bis'!$E$157/sezione!$B$247*B1188</f>
        <v>92.964700673987522</v>
      </c>
      <c r="D1188" s="611">
        <f>-'Progetto del paramento slu'!$G$47*'Progetto del paramento slu'!$G$41*IF(DATI!$G$218="dx",DATI!$E$61,DATI!$E$64*DATI!$E$63)*1000*C1188^2*sezione!$AD$5*(1-sezione!$AD$6)</f>
        <v>-71144527.549613997</v>
      </c>
      <c r="E1188" s="553">
        <f>-'Foglio deposito bis'!$F$58*(C1188-sezione!$AL$31)*IF(ABS(K1188)&lt;'Progetto del paramento slu'!$G$58,ABS(K1188)*'Progetto del paramento slu'!$G$54,'Progetto del paramento slu'!$G$53)</f>
        <v>0</v>
      </c>
      <c r="F1188" s="553">
        <f>-'Foglio deposito bis'!$F$59*(C1188-sezione!$AM$31)*IF(ABS(L1188)&lt;'Progetto del paramento slu'!$G$58,ABS(L1188)*'Progetto del paramento slu'!$G$54,'Progetto del paramento slu'!$G$53)</f>
        <v>8764321.175114464</v>
      </c>
      <c r="G1188" s="553">
        <f>-'Foglio deposito bis'!$F$60*(C1188-sezione!$AN$31)*IF(ABS(M1188)&lt;'Progetto del paramento slu'!$G$58,ABS(M1188)*'Progetto del paramento slu'!$G$54,'Progetto del paramento slu'!$G$53)</f>
        <v>0</v>
      </c>
      <c r="H1188" s="553">
        <f>-'Foglio deposito bis'!$F$61*(C1188-sezione!$AO$31)*IF(ABS(N1188)&lt;'Progetto del paramento slu'!$G$58,ABS(N1188)*'Progetto del paramento slu'!$G$54,'Progetto del paramento slu'!$G$53)</f>
        <v>59522290.114629701</v>
      </c>
      <c r="I1188" s="479">
        <f>-'Foglio deposito bis'!$F$62*(C1188-sezione!$AP$31)*IF(ABS(O1188)&lt;'Progetto del paramento slu'!$G$58,ABS(O1188)*'Progetto del paramento slu'!$G$54,'Progetto del paramento slu'!$G$53)</f>
        <v>52568204.785996668</v>
      </c>
      <c r="J1188" s="479">
        <f t="shared" si="85"/>
        <v>49710288.526126839</v>
      </c>
      <c r="K1188" s="558">
        <f>'Progetto del paramento slu'!$G$60*(sezione!$AL$31-C1188)/C1188</f>
        <v>-1.9940520543280421E-3</v>
      </c>
      <c r="L1188" s="558">
        <f>'Progetto del paramento slu'!$G$60*(sezione!$AM$31-C1188)/C1188</f>
        <v>2.1473047962698426E-3</v>
      </c>
      <c r="M1188" s="559">
        <f>'Progetto del paramento slu'!$G$60*(sezione!$AN$31-C1188)/C1188</f>
        <v>6.2886616468677279E-3</v>
      </c>
      <c r="N1188" s="559">
        <f>'Progetto del paramento slu'!$G$60*(sezione!$AO$31-C1188)/C1188</f>
        <v>9.3005575382116429E-3</v>
      </c>
      <c r="O1188" s="559">
        <f>'Progetto del paramento slu'!$G$60*(sezione!$AP$31-C1188)/C1188</f>
        <v>6.2888118796555733E-3</v>
      </c>
      <c r="P1188" s="553">
        <f>-'Progetto del paramento slu'!$G$47*'Progetto del paramento slu'!$G$41*IF(DATI!$G$218="dx",DATI!$E$61,DATI!$E$64*DATI!$E$63)*1000*C1188*sezione!$AD$5</f>
        <v>-1310420.1945834539</v>
      </c>
      <c r="Q1188" s="553">
        <f>'Foglio deposito bis'!$F$58*IF(ABS(K1188)&lt;'Progetto del paramento slu'!$G$58,ABS(K1188)*'Progetto del paramento slu'!$G$54,'Progetto del paramento slu'!$G$53)*IF(K1188&lt;0,-1,1)</f>
        <v>0</v>
      </c>
      <c r="R1188" s="553">
        <f>'Foglio deposito bis'!$F$59*IF(ABS(L1188)&lt;'Progetto del paramento slu'!$G$58,ABS(L1188)*'Progetto del paramento slu'!$G$54,'Progetto del paramento slu'!$G$53)*IF(L1188&lt;0,-1,1)</f>
        <v>153664.85805602249</v>
      </c>
      <c r="S1188" s="553">
        <f>'Foglio deposito bis'!$F$60*IF(ABS(M1188)&lt;'Progetto del paramento slu'!$G$58,ABS(M1188)*'Progetto del paramento slu'!$G$54,'Progetto del paramento slu'!$G$53)*IF(M1188&lt;0,-1,1)</f>
        <v>0</v>
      </c>
      <c r="T1188" s="553">
        <f>'Foglio deposito bis'!$F$61*IF(ABS(N1188)&lt;'Progetto del paramento slu'!$G$58,ABS(N1188)*'Progetto del paramento slu'!$G$54,'Progetto del paramento slu'!$G$53)*IF(N1188&lt;0,-1,1)</f>
        <v>240946.49743184328</v>
      </c>
      <c r="U1188" s="553">
        <f>'Foglio deposito bis'!$F$62*IF(ABS(O1188)&lt;'Progetto del paramento slu'!$G$58,ABS(O1188)*'Progetto del paramento slu'!$G$54,'Progetto del paramento slu'!$G$53)*IF(O1188&lt;0,-1,1)</f>
        <v>314705.62929873407</v>
      </c>
      <c r="V1188" s="479">
        <f t="shared" si="87"/>
        <v>-601103.20979685406</v>
      </c>
      <c r="W1188" s="559"/>
      <c r="X1188" s="559"/>
    </row>
    <row r="1189" spans="1:24" x14ac:dyDescent="0.25">
      <c r="A1189" s="553">
        <f t="shared" si="86"/>
        <v>658326.79907997441</v>
      </c>
      <c r="B1189" s="3">
        <f t="shared" ref="B1189:B1239" si="89">B1188+1</f>
        <v>23.899999999999942</v>
      </c>
      <c r="C1189" s="553">
        <f>'Foglio deposito bis'!$E$157/sezione!$B$247*B1189</f>
        <v>97.024294589882189</v>
      </c>
      <c r="D1189" s="611">
        <f>-'Progetto del paramento slu'!$G$47*'Progetto del paramento slu'!$G$41*IF(DATI!$G$218="dx",DATI!$E$61,DATI!$E$64*DATI!$E$63)*1000*C1189^2*sezione!$AD$5*(1-sezione!$AD$6)</f>
        <v>-77493689.253856748</v>
      </c>
      <c r="E1189" s="553">
        <f>-'Foglio deposito bis'!$F$58*(C1189-sezione!$AL$31)*IF(ABS(K1189)&lt;'Progetto del paramento slu'!$G$58,ABS(K1189)*'Progetto del paramento slu'!$G$54,'Progetto del paramento slu'!$G$53)</f>
        <v>0</v>
      </c>
      <c r="F1189" s="553">
        <f>-'Foglio deposito bis'!$F$59*(C1189-sezione!$AM$31)*IF(ABS(L1189)&lt;'Progetto del paramento slu'!$G$58,ABS(L1189)*'Progetto del paramento slu'!$G$54,'Progetto del paramento slu'!$G$53)</f>
        <v>8140504.2522634156</v>
      </c>
      <c r="G1189" s="553">
        <f>-'Foglio deposito bis'!$F$60*(C1189-sezione!$AN$31)*IF(ABS(M1189)&lt;'Progetto del paramento slu'!$G$58,ABS(M1189)*'Progetto del paramento slu'!$G$54,'Progetto del paramento slu'!$G$53)</f>
        <v>0</v>
      </c>
      <c r="H1189" s="553">
        <f>-'Foglio deposito bis'!$F$61*(C1189-sezione!$AO$31)*IF(ABS(N1189)&lt;'Progetto del paramento slu'!$G$58,ABS(N1189)*'Progetto del paramento slu'!$G$54,'Progetto del paramento slu'!$G$53)</f>
        <v>58544145.179599263</v>
      </c>
      <c r="I1189" s="479">
        <f>-'Foglio deposito bis'!$F$62*(C1189-sezione!$AP$31)*IF(ABS(O1189)&lt;'Progetto del paramento slu'!$G$58,ABS(O1189)*'Progetto del paramento slu'!$G$54,'Progetto del paramento slu'!$G$53)</f>
        <v>51290627.727997735</v>
      </c>
      <c r="J1189" s="479">
        <f t="shared" ref="J1189:J1239" si="90">D1189+E1189+F1189+G1189+H1189+I1189</f>
        <v>40481587.906003661</v>
      </c>
      <c r="K1189" s="558">
        <f>'Progetto del paramento slu'!$G$60*(sezione!$AL$31-C1189)/C1189</f>
        <v>-2.0570624286239403E-3</v>
      </c>
      <c r="L1189" s="558">
        <f>'Progetto del paramento slu'!$G$60*(sezione!$AM$31-C1189)/C1189</f>
        <v>1.9110158926602249E-3</v>
      </c>
      <c r="M1189" s="559">
        <f>'Progetto del paramento slu'!$G$60*(sezione!$AN$31-C1189)/C1189</f>
        <v>5.8790942139443905E-3</v>
      </c>
      <c r="N1189" s="559">
        <f>'Progetto del paramento slu'!$G$60*(sezione!$AO$31-C1189)/C1189</f>
        <v>8.7649693566965101E-3</v>
      </c>
      <c r="O1189" s="559">
        <f>'Progetto del paramento slu'!$G$60*(sezione!$AP$31-C1189)/C1189</f>
        <v>5.8792381608415312E-3</v>
      </c>
      <c r="P1189" s="553">
        <f>-'Progetto del paramento slu'!$G$47*'Progetto del paramento slu'!$G$41*IF(DATI!$G$218="dx",DATI!$E$61,DATI!$E$64*DATI!$E$63)*1000*C1189*sezione!$AD$5</f>
        <v>-1367643.7838665743</v>
      </c>
      <c r="Q1189" s="553">
        <f>'Foglio deposito bis'!$F$58*IF(ABS(K1189)&lt;'Progetto del paramento slu'!$G$58,ABS(K1189)*'Progetto del paramento slu'!$G$54,'Progetto del paramento slu'!$G$53)*IF(K1189&lt;0,-1,1)</f>
        <v>0</v>
      </c>
      <c r="R1189" s="553">
        <f>'Foglio deposito bis'!$F$59*IF(ABS(L1189)&lt;'Progetto del paramento slu'!$G$58,ABS(L1189)*'Progetto del paramento slu'!$G$54,'Progetto del paramento slu'!$G$53)*IF(L1189&lt;0,-1,1)</f>
        <v>153664.85805602249</v>
      </c>
      <c r="S1189" s="553">
        <f>'Foglio deposito bis'!$F$60*IF(ABS(M1189)&lt;'Progetto del paramento slu'!$G$58,ABS(M1189)*'Progetto del paramento slu'!$G$54,'Progetto del paramento slu'!$G$53)*IF(M1189&lt;0,-1,1)</f>
        <v>0</v>
      </c>
      <c r="T1189" s="553">
        <f>'Foglio deposito bis'!$F$61*IF(ABS(N1189)&lt;'Progetto del paramento slu'!$G$58,ABS(N1189)*'Progetto del paramento slu'!$G$54,'Progetto del paramento slu'!$G$53)*IF(N1189&lt;0,-1,1)</f>
        <v>240946.49743184328</v>
      </c>
      <c r="U1189" s="553">
        <f>'Foglio deposito bis'!$F$62*IF(ABS(O1189)&lt;'Progetto del paramento slu'!$G$58,ABS(O1189)*'Progetto del paramento slu'!$G$54,'Progetto del paramento slu'!$G$53)*IF(O1189&lt;0,-1,1)</f>
        <v>314705.62929873407</v>
      </c>
      <c r="V1189" s="479">
        <f t="shared" si="87"/>
        <v>-658326.79907997441</v>
      </c>
      <c r="W1189" s="559"/>
      <c r="X1189" s="559"/>
    </row>
    <row r="1190" spans="1:24" x14ac:dyDescent="0.25">
      <c r="A1190" s="553">
        <f t="shared" ref="A1190:A1239" si="91">ABS(V1190)</f>
        <v>732201.18608851102</v>
      </c>
      <c r="B1190" s="3">
        <f t="shared" si="89"/>
        <v>24.899999999999942</v>
      </c>
      <c r="C1190" s="553">
        <f>'Foglio deposito bis'!$E$157/sezione!$B$247*B1190</f>
        <v>101.08388850577684</v>
      </c>
      <c r="D1190" s="611">
        <f>-'Progetto del paramento slu'!$G$47*'Progetto del paramento slu'!$G$41*IF(DATI!$G$218="dx",DATI!$E$61,DATI!$E$64*DATI!$E$63)*1000*C1190^2*sezione!$AD$5*(1-sezione!$AD$6)</f>
        <v>-84114182.654862002</v>
      </c>
      <c r="E1190" s="553">
        <f>-'Foglio deposito bis'!$F$58*(C1190-sezione!$AL$31)*IF(ABS(K1190)&lt;'Progetto del paramento slu'!$G$58,ABS(K1190)*'Progetto del paramento slu'!$G$54,'Progetto del paramento slu'!$G$53)</f>
        <v>0</v>
      </c>
      <c r="F1190" s="553">
        <f>-'Foglio deposito bis'!$F$59*(C1190-sezione!$AM$31)*IF(ABS(L1190)&lt;'Progetto del paramento slu'!$G$58,ABS(L1190)*'Progetto del paramento slu'!$G$54,'Progetto del paramento slu'!$G$53)</f>
        <v>6702195.0514081698</v>
      </c>
      <c r="G1190" s="553">
        <f>-'Foglio deposito bis'!$F$60*(C1190-sezione!$AN$31)*IF(ABS(M1190)&lt;'Progetto del paramento slu'!$G$58,ABS(M1190)*'Progetto del paramento slu'!$G$54,'Progetto del paramento slu'!$G$53)</f>
        <v>0</v>
      </c>
      <c r="H1190" s="553">
        <f>-'Foglio deposito bis'!$F$61*(C1190-sezione!$AO$31)*IF(ABS(N1190)&lt;'Progetto del paramento slu'!$G$58,ABS(N1190)*'Progetto del paramento slu'!$G$54,'Progetto del paramento slu'!$G$53)</f>
        <v>57566000.244568825</v>
      </c>
      <c r="I1190" s="479">
        <f>-'Foglio deposito bis'!$F$62*(C1190-sezione!$AP$31)*IF(ABS(O1190)&lt;'Progetto del paramento slu'!$G$58,ABS(O1190)*'Progetto del paramento slu'!$G$54,'Progetto del paramento slu'!$G$53)</f>
        <v>50013050.669998795</v>
      </c>
      <c r="J1190" s="479">
        <f t="shared" si="90"/>
        <v>30167063.31111379</v>
      </c>
      <c r="K1190" s="558">
        <f>'Progetto del paramento slu'!$G$60*(sezione!$AL$31-C1190)/C1190</f>
        <v>-2.1150117286792033E-3</v>
      </c>
      <c r="L1190" s="558">
        <f>'Progetto del paramento slu'!$G$60*(sezione!$AM$31-C1190)/C1190</f>
        <v>1.6937060174529871E-3</v>
      </c>
      <c r="M1190" s="559">
        <f>'Progetto del paramento slu'!$G$60*(sezione!$AN$31-C1190)/C1190</f>
        <v>5.5024237635851779E-3</v>
      </c>
      <c r="N1190" s="559">
        <f>'Progetto del paramento slu'!$G$60*(sezione!$AO$31-C1190)/C1190</f>
        <v>8.2724003062267723E-3</v>
      </c>
      <c r="O1190" s="559">
        <f>'Progetto del paramento slu'!$G$60*(sezione!$AP$31-C1190)/C1190</f>
        <v>5.5025619294824333E-3</v>
      </c>
      <c r="P1190" s="553">
        <f>-'Progetto del paramento slu'!$G$47*'Progetto del paramento slu'!$G$41*IF(DATI!$G$218="dx",DATI!$E$61,DATI!$E$64*DATI!$E$63)*1000*C1190*sezione!$AD$5</f>
        <v>-1424867.3731496949</v>
      </c>
      <c r="Q1190" s="553">
        <f>'Foglio deposito bis'!$F$58*IF(ABS(K1190)&lt;'Progetto del paramento slu'!$G$58,ABS(K1190)*'Progetto del paramento slu'!$G$54,'Progetto del paramento slu'!$G$53)*IF(K1190&lt;0,-1,1)</f>
        <v>0</v>
      </c>
      <c r="R1190" s="553">
        <f>'Foglio deposito bis'!$F$59*IF(ABS(L1190)&lt;'Progetto del paramento slu'!$G$58,ABS(L1190)*'Progetto del paramento slu'!$G$54,'Progetto del paramento slu'!$G$53)*IF(L1190&lt;0,-1,1)</f>
        <v>137014.06033060659</v>
      </c>
      <c r="S1190" s="553">
        <f>'Foglio deposito bis'!$F$60*IF(ABS(M1190)&lt;'Progetto del paramento slu'!$G$58,ABS(M1190)*'Progetto del paramento slu'!$G$54,'Progetto del paramento slu'!$G$53)*IF(M1190&lt;0,-1,1)</f>
        <v>0</v>
      </c>
      <c r="T1190" s="553">
        <f>'Foglio deposito bis'!$F$61*IF(ABS(N1190)&lt;'Progetto del paramento slu'!$G$58,ABS(N1190)*'Progetto del paramento slu'!$G$54,'Progetto del paramento slu'!$G$53)*IF(N1190&lt;0,-1,1)</f>
        <v>240946.49743184328</v>
      </c>
      <c r="U1190" s="553">
        <f>'Foglio deposito bis'!$F$62*IF(ABS(O1190)&lt;'Progetto del paramento slu'!$G$58,ABS(O1190)*'Progetto del paramento slu'!$G$54,'Progetto del paramento slu'!$G$53)*IF(O1190&lt;0,-1,1)</f>
        <v>314705.62929873407</v>
      </c>
      <c r="V1190" s="479">
        <f t="shared" ref="V1190:V1239" si="92">P1190+Q1190+R1190+S1190+T1190+U1190</f>
        <v>-732201.18608851102</v>
      </c>
      <c r="W1190" s="559"/>
      <c r="X1190" s="559"/>
    </row>
    <row r="1191" spans="1:24" x14ac:dyDescent="0.25">
      <c r="A1191" s="553">
        <f t="shared" si="91"/>
        <v>805646.78688651114</v>
      </c>
      <c r="B1191" s="3">
        <f t="shared" si="89"/>
        <v>25.899999999999942</v>
      </c>
      <c r="C1191" s="553">
        <f>'Foglio deposito bis'!$E$157/sezione!$B$247*B1191</f>
        <v>105.14348242167151</v>
      </c>
      <c r="D1191" s="611">
        <f>-'Progetto del paramento slu'!$G$47*'Progetto del paramento slu'!$G$41*IF(DATI!$G$218="dx",DATI!$E$61,DATI!$E$64*DATI!$E$63)*1000*C1191^2*sezione!$AD$5*(1-sezione!$AD$6)</f>
        <v>-91006007.752629802</v>
      </c>
      <c r="E1191" s="553">
        <f>-'Foglio deposito bis'!$F$58*(C1191-sezione!$AL$31)*IF(ABS(K1191)&lt;'Progetto del paramento slu'!$G$58,ABS(K1191)*'Progetto del paramento slu'!$G$54,'Progetto del paramento slu'!$G$53)</f>
        <v>0</v>
      </c>
      <c r="F1191" s="553">
        <f>-'Foglio deposito bis'!$F$59*(C1191-sezione!$AM$31)*IF(ABS(L1191)&lt;'Progetto del paramento slu'!$G$58,ABS(L1191)*'Progetto del paramento slu'!$G$54,'Progetto del paramento slu'!$G$53)</f>
        <v>5418310.6610249607</v>
      </c>
      <c r="G1191" s="553">
        <f>-'Foglio deposito bis'!$F$60*(C1191-sezione!$AN$31)*IF(ABS(M1191)&lt;'Progetto del paramento slu'!$G$58,ABS(M1191)*'Progetto del paramento slu'!$G$54,'Progetto del paramento slu'!$G$53)</f>
        <v>0</v>
      </c>
      <c r="H1191" s="553">
        <f>-'Foglio deposito bis'!$F$61*(C1191-sezione!$AO$31)*IF(ABS(N1191)&lt;'Progetto del paramento slu'!$G$58,ABS(N1191)*'Progetto del paramento slu'!$G$54,'Progetto del paramento slu'!$G$53)</f>
        <v>56587855.309538379</v>
      </c>
      <c r="I1191" s="479">
        <f>-'Foglio deposito bis'!$F$62*(C1191-sezione!$AP$31)*IF(ABS(O1191)&lt;'Progetto del paramento slu'!$G$58,ABS(O1191)*'Progetto del paramento slu'!$G$54,'Progetto del paramento slu'!$G$53)</f>
        <v>48735473.611999847</v>
      </c>
      <c r="J1191" s="479">
        <f t="shared" si="90"/>
        <v>19735631.829933383</v>
      </c>
      <c r="K1191" s="558">
        <f>'Progetto del paramento slu'!$G$60*(sezione!$AL$31-C1191)/C1191</f>
        <v>-2.1684861793093502E-3</v>
      </c>
      <c r="L1191" s="558">
        <f>'Progetto del paramento slu'!$G$60*(sezione!$AM$31-C1191)/C1191</f>
        <v>1.4931768275899368E-3</v>
      </c>
      <c r="M1191" s="559">
        <f>'Progetto del paramento slu'!$G$60*(sezione!$AN$31-C1191)/C1191</f>
        <v>5.154839834489223E-3</v>
      </c>
      <c r="N1191" s="559">
        <f>'Progetto del paramento slu'!$G$60*(sezione!$AO$31-C1191)/C1191</f>
        <v>7.8178674758705227E-3</v>
      </c>
      <c r="O1191" s="559">
        <f>'Progetto del paramento slu'!$G$60*(sezione!$AP$31-C1191)/C1191</f>
        <v>5.1549726657958523E-3</v>
      </c>
      <c r="P1191" s="553">
        <f>-'Progetto del paramento slu'!$G$47*'Progetto del paramento slu'!$G$41*IF(DATI!$G$218="dx",DATI!$E$61,DATI!$E$64*DATI!$E$63)*1000*C1191*sezione!$AD$5</f>
        <v>-1482090.9624328152</v>
      </c>
      <c r="Q1191" s="553">
        <f>'Foglio deposito bis'!$F$58*IF(ABS(K1191)&lt;'Progetto del paramento slu'!$G$58,ABS(K1191)*'Progetto del paramento slu'!$G$54,'Progetto del paramento slu'!$G$53)*IF(K1191&lt;0,-1,1)</f>
        <v>0</v>
      </c>
      <c r="R1191" s="553">
        <f>'Foglio deposito bis'!$F$59*IF(ABS(L1191)&lt;'Progetto del paramento slu'!$G$58,ABS(L1191)*'Progetto del paramento slu'!$G$54,'Progetto del paramento slu'!$G$53)*IF(L1191&lt;0,-1,1)</f>
        <v>120792.04881572675</v>
      </c>
      <c r="S1191" s="553">
        <f>'Foglio deposito bis'!$F$60*IF(ABS(M1191)&lt;'Progetto del paramento slu'!$G$58,ABS(M1191)*'Progetto del paramento slu'!$G$54,'Progetto del paramento slu'!$G$53)*IF(M1191&lt;0,-1,1)</f>
        <v>0</v>
      </c>
      <c r="T1191" s="553">
        <f>'Foglio deposito bis'!$F$61*IF(ABS(N1191)&lt;'Progetto del paramento slu'!$G$58,ABS(N1191)*'Progetto del paramento slu'!$G$54,'Progetto del paramento slu'!$G$53)*IF(N1191&lt;0,-1,1)</f>
        <v>240946.49743184328</v>
      </c>
      <c r="U1191" s="553">
        <f>'Foglio deposito bis'!$F$62*IF(ABS(O1191)&lt;'Progetto del paramento slu'!$G$58,ABS(O1191)*'Progetto del paramento slu'!$G$54,'Progetto del paramento slu'!$G$53)*IF(O1191&lt;0,-1,1)</f>
        <v>314705.62929873407</v>
      </c>
      <c r="V1191" s="479">
        <f t="shared" si="92"/>
        <v>-805646.78688651114</v>
      </c>
      <c r="W1191" s="559"/>
      <c r="X1191" s="559"/>
    </row>
    <row r="1192" spans="1:24" x14ac:dyDescent="0.25">
      <c r="A1192" s="553">
        <f t="shared" si="91"/>
        <v>877886.29017411149</v>
      </c>
      <c r="B1192" s="3">
        <f t="shared" si="89"/>
        <v>26.899999999999942</v>
      </c>
      <c r="C1192" s="553">
        <f>'Foglio deposito bis'!$E$157/sezione!$B$247*B1192</f>
        <v>109.20307633756617</v>
      </c>
      <c r="D1192" s="611">
        <f>-'Progetto del paramento slu'!$G$47*'Progetto del paramento slu'!$G$41*IF(DATI!$G$218="dx",DATI!$E$61,DATI!$E$64*DATI!$E$63)*1000*C1192^2*sezione!$AD$5*(1-sezione!$AD$6)</f>
        <v>-98169164.547160089</v>
      </c>
      <c r="E1192" s="553">
        <f>-'Foglio deposito bis'!$F$58*(C1192-sezione!$AL$31)*IF(ABS(K1192)&lt;'Progetto del paramento slu'!$G$58,ABS(K1192)*'Progetto del paramento slu'!$G$54,'Progetto del paramento slu'!$G$53)</f>
        <v>0</v>
      </c>
      <c r="F1192" s="553">
        <f>-'Foglio deposito bis'!$F$59*(C1192-sezione!$AM$31)*IF(ABS(L1192)&lt;'Progetto del paramento slu'!$G$58,ABS(L1192)*'Progetto del paramento slu'!$G$54,'Progetto del paramento slu'!$G$53)</f>
        <v>4315340.8972017486</v>
      </c>
      <c r="G1192" s="553">
        <f>-'Foglio deposito bis'!$F$60*(C1192-sezione!$AN$31)*IF(ABS(M1192)&lt;'Progetto del paramento slu'!$G$58,ABS(M1192)*'Progetto del paramento slu'!$G$54,'Progetto del paramento slu'!$G$53)</f>
        <v>0</v>
      </c>
      <c r="H1192" s="553">
        <f>-'Foglio deposito bis'!$F$61*(C1192-sezione!$AO$31)*IF(ABS(N1192)&lt;'Progetto del paramento slu'!$G$58,ABS(N1192)*'Progetto del paramento slu'!$G$54,'Progetto del paramento slu'!$G$53)</f>
        <v>55609710.374507941</v>
      </c>
      <c r="I1192" s="479">
        <f>-'Foglio deposito bis'!$F$62*(C1192-sezione!$AP$31)*IF(ABS(O1192)&lt;'Progetto del paramento slu'!$G$58,ABS(O1192)*'Progetto del paramento slu'!$G$54,'Progetto del paramento slu'!$G$53)</f>
        <v>47457896.554000899</v>
      </c>
      <c r="J1192" s="479">
        <f t="shared" si="90"/>
        <v>9213783.2785504982</v>
      </c>
      <c r="K1192" s="558">
        <f>'Progetto del paramento slu'!$G$60*(sezione!$AL$31-C1192)/C1192</f>
        <v>-2.2179848343536123E-3</v>
      </c>
      <c r="L1192" s="558">
        <f>'Progetto del paramento slu'!$G$60*(sezione!$AM$31-C1192)/C1192</f>
        <v>1.3075568711739534E-3</v>
      </c>
      <c r="M1192" s="559">
        <f>'Progetto del paramento slu'!$G$60*(sezione!$AN$31-C1192)/C1192</f>
        <v>4.8330985767015182E-3</v>
      </c>
      <c r="N1192" s="559">
        <f>'Progetto del paramento slu'!$G$60*(sezione!$AO$31-C1192)/C1192</f>
        <v>7.3971289079942937E-3</v>
      </c>
      <c r="O1192" s="559">
        <f>'Progetto del paramento slu'!$G$60*(sezione!$AP$31-C1192)/C1192</f>
        <v>4.8332264700413578E-3</v>
      </c>
      <c r="P1192" s="553">
        <f>-'Progetto del paramento slu'!$G$47*'Progetto del paramento slu'!$G$41*IF(DATI!$G$218="dx",DATI!$E$61,DATI!$E$64*DATI!$E$63)*1000*C1192*sezione!$AD$5</f>
        <v>-1539314.5517159356</v>
      </c>
      <c r="Q1192" s="553">
        <f>'Foglio deposito bis'!$F$58*IF(ABS(K1192)&lt;'Progetto del paramento slu'!$G$58,ABS(K1192)*'Progetto del paramento slu'!$G$54,'Progetto del paramento slu'!$G$53)*IF(K1192&lt;0,-1,1)</f>
        <v>0</v>
      </c>
      <c r="R1192" s="553">
        <f>'Foglio deposito bis'!$F$59*IF(ABS(L1192)&lt;'Progetto del paramento slu'!$G$58,ABS(L1192)*'Progetto del paramento slu'!$G$54,'Progetto del paramento slu'!$G$53)*IF(L1192&lt;0,-1,1)</f>
        <v>105776.13481124688</v>
      </c>
      <c r="S1192" s="553">
        <f>'Foglio deposito bis'!$F$60*IF(ABS(M1192)&lt;'Progetto del paramento slu'!$G$58,ABS(M1192)*'Progetto del paramento slu'!$G$54,'Progetto del paramento slu'!$G$53)*IF(M1192&lt;0,-1,1)</f>
        <v>0</v>
      </c>
      <c r="T1192" s="553">
        <f>'Foglio deposito bis'!$F$61*IF(ABS(N1192)&lt;'Progetto del paramento slu'!$G$58,ABS(N1192)*'Progetto del paramento slu'!$G$54,'Progetto del paramento slu'!$G$53)*IF(N1192&lt;0,-1,1)</f>
        <v>240946.49743184328</v>
      </c>
      <c r="U1192" s="553">
        <f>'Foglio deposito bis'!$F$62*IF(ABS(O1192)&lt;'Progetto del paramento slu'!$G$58,ABS(O1192)*'Progetto del paramento slu'!$G$54,'Progetto del paramento slu'!$G$53)*IF(O1192&lt;0,-1,1)</f>
        <v>314705.62929873407</v>
      </c>
      <c r="V1192" s="479">
        <f t="shared" si="92"/>
        <v>-877886.29017411149</v>
      </c>
      <c r="W1192" s="559"/>
      <c r="X1192" s="559"/>
    </row>
    <row r="1193" spans="1:24" x14ac:dyDescent="0.25">
      <c r="A1193" s="553">
        <f t="shared" si="91"/>
        <v>949049.38385565556</v>
      </c>
      <c r="B1193" s="3">
        <f t="shared" si="89"/>
        <v>27.899999999999942</v>
      </c>
      <c r="C1193" s="553">
        <f>'Foglio deposito bis'!$E$157/sezione!$B$247*B1193</f>
        <v>113.26267025346083</v>
      </c>
      <c r="D1193" s="611">
        <f>-'Progetto del paramento slu'!$G$47*'Progetto del paramento slu'!$G$41*IF(DATI!$G$218="dx",DATI!$E$61,DATI!$E$64*DATI!$E$63)*1000*C1193^2*sezione!$AD$5*(1-sezione!$AD$6)</f>
        <v>-105603653.03845286</v>
      </c>
      <c r="E1193" s="553">
        <f>-'Foglio deposito bis'!$F$58*(C1193-sezione!$AL$31)*IF(ABS(K1193)&lt;'Progetto del paramento slu'!$G$58,ABS(K1193)*'Progetto del paramento slu'!$G$54,'Progetto del paramento slu'!$G$53)</f>
        <v>0</v>
      </c>
      <c r="F1193" s="553">
        <f>-'Foglio deposito bis'!$F$59*(C1193-sezione!$AM$31)*IF(ABS(L1193)&lt;'Progetto del paramento slu'!$G$58,ABS(L1193)*'Progetto del paramento slu'!$G$54,'Progetto del paramento slu'!$G$53)</f>
        <v>3373832.5742869261</v>
      </c>
      <c r="G1193" s="553">
        <f>-'Foglio deposito bis'!$F$60*(C1193-sezione!$AN$31)*IF(ABS(M1193)&lt;'Progetto del paramento slu'!$G$58,ABS(M1193)*'Progetto del paramento slu'!$G$54,'Progetto del paramento slu'!$G$53)</f>
        <v>0</v>
      </c>
      <c r="H1193" s="553">
        <f>-'Foglio deposito bis'!$F$61*(C1193-sezione!$AO$31)*IF(ABS(N1193)&lt;'Progetto del paramento slu'!$G$58,ABS(N1193)*'Progetto del paramento slu'!$G$54,'Progetto del paramento slu'!$G$53)</f>
        <v>54631565.439477496</v>
      </c>
      <c r="I1193" s="479">
        <f>-'Foglio deposito bis'!$F$62*(C1193-sezione!$AP$31)*IF(ABS(O1193)&lt;'Progetto del paramento slu'!$G$58,ABS(O1193)*'Progetto del paramento slu'!$G$54,'Progetto del paramento slu'!$G$53)</f>
        <v>46180319.496001959</v>
      </c>
      <c r="J1193" s="479">
        <f t="shared" si="90"/>
        <v>-1417935.5286864862</v>
      </c>
      <c r="K1193" s="558">
        <f>'Progetto del paramento slu'!$G$60*(sezione!$AL$31-C1193)/C1193</f>
        <v>-2.2639351987136982E-3</v>
      </c>
      <c r="L1193" s="558">
        <f>'Progetto del paramento slu'!$G$60*(sezione!$AM$31-C1193)/C1193</f>
        <v>1.1352430048236324E-3</v>
      </c>
      <c r="M1193" s="559">
        <f>'Progetto del paramento slu'!$G$60*(sezione!$AN$31-C1193)/C1193</f>
        <v>4.5344212083609624E-3</v>
      </c>
      <c r="N1193" s="559">
        <f>'Progetto del paramento slu'!$G$60*(sezione!$AO$31-C1193)/C1193</f>
        <v>7.0065508109335662E-3</v>
      </c>
      <c r="O1193" s="559">
        <f>'Progetto del paramento slu'!$G$60*(sezione!$AP$31-C1193)/C1193</f>
        <v>4.5345445177101262E-3</v>
      </c>
      <c r="P1193" s="553">
        <f>-'Progetto del paramento slu'!$G$47*'Progetto del paramento slu'!$G$41*IF(DATI!$G$218="dx",DATI!$E$61,DATI!$E$64*DATI!$E$63)*1000*C1193*sezione!$AD$5</f>
        <v>-1596538.1409990559</v>
      </c>
      <c r="Q1193" s="553">
        <f>'Foglio deposito bis'!$F$58*IF(ABS(K1193)&lt;'Progetto del paramento slu'!$G$58,ABS(K1193)*'Progetto del paramento slu'!$G$54,'Progetto del paramento slu'!$G$53)*IF(K1193&lt;0,-1,1)</f>
        <v>0</v>
      </c>
      <c r="R1193" s="553">
        <f>'Foglio deposito bis'!$F$59*IF(ABS(L1193)&lt;'Progetto del paramento slu'!$G$58,ABS(L1193)*'Progetto del paramento slu'!$G$54,'Progetto del paramento slu'!$G$53)*IF(L1193&lt;0,-1,1)</f>
        <v>91836.630412822982</v>
      </c>
      <c r="S1193" s="553">
        <f>'Foglio deposito bis'!$F$60*IF(ABS(M1193)&lt;'Progetto del paramento slu'!$G$58,ABS(M1193)*'Progetto del paramento slu'!$G$54,'Progetto del paramento slu'!$G$53)*IF(M1193&lt;0,-1,1)</f>
        <v>0</v>
      </c>
      <c r="T1193" s="553">
        <f>'Foglio deposito bis'!$F$61*IF(ABS(N1193)&lt;'Progetto del paramento slu'!$G$58,ABS(N1193)*'Progetto del paramento slu'!$G$54,'Progetto del paramento slu'!$G$53)*IF(N1193&lt;0,-1,1)</f>
        <v>240946.49743184328</v>
      </c>
      <c r="U1193" s="553">
        <f>'Foglio deposito bis'!$F$62*IF(ABS(O1193)&lt;'Progetto del paramento slu'!$G$58,ABS(O1193)*'Progetto del paramento slu'!$G$54,'Progetto del paramento slu'!$G$53)*IF(O1193&lt;0,-1,1)</f>
        <v>314705.62929873407</v>
      </c>
      <c r="V1193" s="479">
        <f t="shared" si="92"/>
        <v>-949049.38385565556</v>
      </c>
      <c r="W1193" s="559"/>
      <c r="X1193" s="559"/>
    </row>
    <row r="1194" spans="1:24" x14ac:dyDescent="0.25">
      <c r="A1194" s="553">
        <f t="shared" si="91"/>
        <v>1019247.8059525341</v>
      </c>
      <c r="B1194" s="3">
        <f t="shared" si="89"/>
        <v>28.899999999999942</v>
      </c>
      <c r="C1194" s="553">
        <f>'Foglio deposito bis'!$E$157/sezione!$B$247*B1194</f>
        <v>117.32226416935549</v>
      </c>
      <c r="D1194" s="611">
        <f>-'Progetto del paramento slu'!$G$47*'Progetto del paramento slu'!$G$41*IF(DATI!$G$218="dx",DATI!$E$61,DATI!$E$64*DATI!$E$63)*1000*C1194^2*sezione!$AD$5*(1-sezione!$AD$6)</f>
        <v>-113309473.22650819</v>
      </c>
      <c r="E1194" s="553">
        <f>-'Foglio deposito bis'!$F$58*(C1194-sezione!$AL$31)*IF(ABS(K1194)&lt;'Progetto del paramento slu'!$G$58,ABS(K1194)*'Progetto del paramento slu'!$G$54,'Progetto del paramento slu'!$G$53)</f>
        <v>0</v>
      </c>
      <c r="F1194" s="553">
        <f>-'Foglio deposito bis'!$F$59*(C1194-sezione!$AM$31)*IF(ABS(L1194)&lt;'Progetto del paramento slu'!$G$58,ABS(L1194)*'Progetto del paramento slu'!$G$54,'Progetto del paramento slu'!$G$53)</f>
        <v>2577024.9890720029</v>
      </c>
      <c r="G1194" s="553">
        <f>-'Foglio deposito bis'!$F$60*(C1194-sezione!$AN$31)*IF(ABS(M1194)&lt;'Progetto del paramento slu'!$G$58,ABS(M1194)*'Progetto del paramento slu'!$G$54,'Progetto del paramento slu'!$G$53)</f>
        <v>0</v>
      </c>
      <c r="H1194" s="553">
        <f>-'Foglio deposito bis'!$F$61*(C1194-sezione!$AO$31)*IF(ABS(N1194)&lt;'Progetto del paramento slu'!$G$58,ABS(N1194)*'Progetto del paramento slu'!$G$54,'Progetto del paramento slu'!$G$53)</f>
        <v>53653420.504447058</v>
      </c>
      <c r="I1194" s="479">
        <f>-'Foglio deposito bis'!$F$62*(C1194-sezione!$AP$31)*IF(ABS(O1194)&lt;'Progetto del paramento slu'!$G$58,ABS(O1194)*'Progetto del paramento slu'!$G$54,'Progetto del paramento slu'!$G$53)</f>
        <v>44902742.438003018</v>
      </c>
      <c r="J1194" s="479">
        <f t="shared" si="90"/>
        <v>-12176285.294986099</v>
      </c>
      <c r="K1194" s="558">
        <f>'Progetto del paramento slu'!$G$60*(sezione!$AL$31-C1194)/C1194</f>
        <v>-2.3067056070627048E-3</v>
      </c>
      <c r="L1194" s="558">
        <f>'Progetto del paramento slu'!$G$60*(sezione!$AM$31-C1194)/C1194</f>
        <v>9.7485397351485567E-4</v>
      </c>
      <c r="M1194" s="559">
        <f>'Progetto del paramento slu'!$G$60*(sezione!$AN$31-C1194)/C1194</f>
        <v>4.2564135540924166E-3</v>
      </c>
      <c r="N1194" s="559">
        <f>'Progetto del paramento slu'!$G$60*(sezione!$AO$31-C1194)/C1194</f>
        <v>6.6430023399670071E-3</v>
      </c>
      <c r="O1194" s="559">
        <f>'Progetto del paramento slu'!$G$60*(sezione!$AP$31-C1194)/C1194</f>
        <v>4.2565325966820939E-3</v>
      </c>
      <c r="P1194" s="553">
        <f>-'Progetto del paramento slu'!$G$47*'Progetto del paramento slu'!$G$41*IF(DATI!$G$218="dx",DATI!$E$61,DATI!$E$64*DATI!$E$63)*1000*C1194*sezione!$AD$5</f>
        <v>-1653761.7302821765</v>
      </c>
      <c r="Q1194" s="553">
        <f>'Foglio deposito bis'!$F$58*IF(ABS(K1194)&lt;'Progetto del paramento slu'!$G$58,ABS(K1194)*'Progetto del paramento slu'!$G$54,'Progetto del paramento slu'!$G$53)*IF(K1194&lt;0,-1,1)</f>
        <v>0</v>
      </c>
      <c r="R1194" s="553">
        <f>'Foglio deposito bis'!$F$59*IF(ABS(L1194)&lt;'Progetto del paramento slu'!$G$58,ABS(L1194)*'Progetto del paramento slu'!$G$54,'Progetto del paramento slu'!$G$53)*IF(L1194&lt;0,-1,1)</f>
        <v>78861.797599065045</v>
      </c>
      <c r="S1194" s="553">
        <f>'Foglio deposito bis'!$F$60*IF(ABS(M1194)&lt;'Progetto del paramento slu'!$G$58,ABS(M1194)*'Progetto del paramento slu'!$G$54,'Progetto del paramento slu'!$G$53)*IF(M1194&lt;0,-1,1)</f>
        <v>0</v>
      </c>
      <c r="T1194" s="553">
        <f>'Foglio deposito bis'!$F$61*IF(ABS(N1194)&lt;'Progetto del paramento slu'!$G$58,ABS(N1194)*'Progetto del paramento slu'!$G$54,'Progetto del paramento slu'!$G$53)*IF(N1194&lt;0,-1,1)</f>
        <v>240946.49743184328</v>
      </c>
      <c r="U1194" s="553">
        <f>'Foglio deposito bis'!$F$62*IF(ABS(O1194)&lt;'Progetto del paramento slu'!$G$58,ABS(O1194)*'Progetto del paramento slu'!$G$54,'Progetto del paramento slu'!$G$53)*IF(O1194&lt;0,-1,1)</f>
        <v>314705.62929873407</v>
      </c>
      <c r="V1194" s="479">
        <f t="shared" si="92"/>
        <v>-1019247.8059525341</v>
      </c>
      <c r="W1194" s="559"/>
      <c r="X1194" s="559"/>
    </row>
    <row r="1195" spans="1:24" x14ac:dyDescent="0.25">
      <c r="A1195" s="553">
        <f t="shared" si="91"/>
        <v>1088578.3462558503</v>
      </c>
      <c r="B1195" s="3">
        <f t="shared" si="89"/>
        <v>29.899999999999942</v>
      </c>
      <c r="C1195" s="553">
        <f>'Foglio deposito bis'!$E$157/sezione!$B$247*B1195</f>
        <v>121.38185808525016</v>
      </c>
      <c r="D1195" s="611">
        <f>-'Progetto del paramento slu'!$G$47*'Progetto del paramento slu'!$G$41*IF(DATI!$G$218="dx",DATI!$E$61,DATI!$E$64*DATI!$E$63)*1000*C1195^2*sezione!$AD$5*(1-sezione!$AD$6)</f>
        <v>-121286625.11132604</v>
      </c>
      <c r="E1195" s="553">
        <f>-'Foglio deposito bis'!$F$58*(C1195-sezione!$AL$31)*IF(ABS(K1195)&lt;'Progetto del paramento slu'!$G$58,ABS(K1195)*'Progetto del paramento slu'!$G$54,'Progetto del paramento slu'!$G$53)</f>
        <v>0</v>
      </c>
      <c r="F1195" s="553">
        <f>-'Foglio deposito bis'!$F$59*(C1195-sezione!$AM$31)*IF(ABS(L1195)&lt;'Progetto del paramento slu'!$G$58,ABS(L1195)*'Progetto del paramento slu'!$G$54,'Progetto del paramento slu'!$G$53)</f>
        <v>1910399.6728914408</v>
      </c>
      <c r="G1195" s="553">
        <f>-'Foglio deposito bis'!$F$60*(C1195-sezione!$AN$31)*IF(ABS(M1195)&lt;'Progetto del paramento slu'!$G$58,ABS(M1195)*'Progetto del paramento slu'!$G$54,'Progetto del paramento slu'!$G$53)</f>
        <v>0</v>
      </c>
      <c r="H1195" s="553">
        <f>-'Foglio deposito bis'!$F$61*(C1195-sezione!$AO$31)*IF(ABS(N1195)&lt;'Progetto del paramento slu'!$G$58,ABS(N1195)*'Progetto del paramento slu'!$G$54,'Progetto del paramento slu'!$G$53)</f>
        <v>52675275.569416627</v>
      </c>
      <c r="I1195" s="479">
        <f>-'Foglio deposito bis'!$F$62*(C1195-sezione!$AP$31)*IF(ABS(O1195)&lt;'Progetto del paramento slu'!$G$58,ABS(O1195)*'Progetto del paramento slu'!$G$54,'Progetto del paramento slu'!$G$53)</f>
        <v>43625165.380004086</v>
      </c>
      <c r="J1195" s="479">
        <f t="shared" si="90"/>
        <v>-23075784.489013888</v>
      </c>
      <c r="K1195" s="558">
        <f>'Progetto del paramento slu'!$G$60*(sezione!$AL$31-C1195)/C1195</f>
        <v>-2.34661511853218E-3</v>
      </c>
      <c r="L1195" s="558">
        <f>'Progetto del paramento slu'!$G$60*(sezione!$AM$31-C1195)/C1195</f>
        <v>8.2519330550432485E-4</v>
      </c>
      <c r="M1195" s="559">
        <f>'Progetto del paramento slu'!$G$60*(sezione!$AN$31-C1195)/C1195</f>
        <v>3.9970017295408306E-3</v>
      </c>
      <c r="N1195" s="559">
        <f>'Progetto del paramento slu'!$G$60*(sezione!$AO$31-C1195)/C1195</f>
        <v>6.3037714924764707E-3</v>
      </c>
      <c r="O1195" s="559">
        <f>'Progetto del paramento slu'!$G$60*(sezione!$AP$31-C1195)/C1195</f>
        <v>3.9971167907729933E-3</v>
      </c>
      <c r="P1195" s="553">
        <f>-'Progetto del paramento slu'!$G$47*'Progetto del paramento slu'!$G$41*IF(DATI!$G$218="dx",DATI!$E$61,DATI!$E$64*DATI!$E$63)*1000*C1195*sezione!$AD$5</f>
        <v>-1710985.3195652971</v>
      </c>
      <c r="Q1195" s="553">
        <f>'Foglio deposito bis'!$F$58*IF(ABS(K1195)&lt;'Progetto del paramento slu'!$G$58,ABS(K1195)*'Progetto del paramento slu'!$G$54,'Progetto del paramento slu'!$G$53)*IF(K1195&lt;0,-1,1)</f>
        <v>0</v>
      </c>
      <c r="R1195" s="553">
        <f>'Foglio deposito bis'!$F$59*IF(ABS(L1195)&lt;'Progetto del paramento slu'!$G$58,ABS(L1195)*'Progetto del paramento slu'!$G$54,'Progetto del paramento slu'!$G$53)*IF(L1195&lt;0,-1,1)</f>
        <v>66754.846578869503</v>
      </c>
      <c r="S1195" s="553">
        <f>'Foglio deposito bis'!$F$60*IF(ABS(M1195)&lt;'Progetto del paramento slu'!$G$58,ABS(M1195)*'Progetto del paramento slu'!$G$54,'Progetto del paramento slu'!$G$53)*IF(M1195&lt;0,-1,1)</f>
        <v>0</v>
      </c>
      <c r="T1195" s="553">
        <f>'Foglio deposito bis'!$F$61*IF(ABS(N1195)&lt;'Progetto del paramento slu'!$G$58,ABS(N1195)*'Progetto del paramento slu'!$G$54,'Progetto del paramento slu'!$G$53)*IF(N1195&lt;0,-1,1)</f>
        <v>240946.49743184328</v>
      </c>
      <c r="U1195" s="553">
        <f>'Foglio deposito bis'!$F$62*IF(ABS(O1195)&lt;'Progetto del paramento slu'!$G$58,ABS(O1195)*'Progetto del paramento slu'!$G$54,'Progetto del paramento slu'!$G$53)*IF(O1195&lt;0,-1,1)</f>
        <v>314705.62929873407</v>
      </c>
      <c r="V1195" s="479">
        <f t="shared" si="92"/>
        <v>-1088578.3462558503</v>
      </c>
      <c r="W1195" s="559"/>
      <c r="X1195" s="559"/>
    </row>
    <row r="1196" spans="1:24" x14ac:dyDescent="0.25">
      <c r="A1196" s="553">
        <f t="shared" si="91"/>
        <v>1157125.2651339103</v>
      </c>
      <c r="B1196" s="3">
        <f t="shared" si="89"/>
        <v>30.899999999999942</v>
      </c>
      <c r="C1196" s="553">
        <f>'Foglio deposito bis'!$E$157/sezione!$B$247*B1196</f>
        <v>125.44145200114481</v>
      </c>
      <c r="D1196" s="611">
        <f>-'Progetto del paramento slu'!$G$47*'Progetto del paramento slu'!$G$41*IF(DATI!$G$218="dx",DATI!$E$61,DATI!$E$64*DATI!$E$63)*1000*C1196^2*sezione!$AD$5*(1-sezione!$AD$6)</f>
        <v>-129535108.69290635</v>
      </c>
      <c r="E1196" s="553">
        <f>-'Foglio deposito bis'!$F$58*(C1196-sezione!$AL$31)*IF(ABS(K1196)&lt;'Progetto del paramento slu'!$G$58,ABS(K1196)*'Progetto del paramento slu'!$G$54,'Progetto del paramento slu'!$G$53)</f>
        <v>0</v>
      </c>
      <c r="F1196" s="553">
        <f>-'Foglio deposito bis'!$F$59*(C1196-sezione!$AM$31)*IF(ABS(L1196)&lt;'Progetto del paramento slu'!$G$58,ABS(L1196)*'Progetto del paramento slu'!$G$54,'Progetto del paramento slu'!$G$53)</f>
        <v>1361317.5704991869</v>
      </c>
      <c r="G1196" s="553">
        <f>-'Foglio deposito bis'!$F$60*(C1196-sezione!$AN$31)*IF(ABS(M1196)&lt;'Progetto del paramento slu'!$G$58,ABS(M1196)*'Progetto del paramento slu'!$G$54,'Progetto del paramento slu'!$G$53)</f>
        <v>0</v>
      </c>
      <c r="H1196" s="553">
        <f>-'Foglio deposito bis'!$F$61*(C1196-sezione!$AO$31)*IF(ABS(N1196)&lt;'Progetto del paramento slu'!$G$58,ABS(N1196)*'Progetto del paramento slu'!$G$54,'Progetto del paramento slu'!$G$53)</f>
        <v>51697130.634386189</v>
      </c>
      <c r="I1196" s="479">
        <f>-'Foglio deposito bis'!$F$62*(C1196-sezione!$AP$31)*IF(ABS(O1196)&lt;'Progetto del paramento slu'!$G$58,ABS(O1196)*'Progetto del paramento slu'!$G$54,'Progetto del paramento slu'!$G$53)</f>
        <v>42347588.322005138</v>
      </c>
      <c r="J1196" s="479">
        <f t="shared" si="90"/>
        <v>-34129072.166015849</v>
      </c>
      <c r="K1196" s="558">
        <f>'Progetto del paramento slu'!$G$60*(sezione!$AL$31-C1196)/C1196</f>
        <v>-2.3839414901007179E-3</v>
      </c>
      <c r="L1196" s="558">
        <f>'Progetto del paramento slu'!$G$60*(sezione!$AM$31-C1196)/C1196</f>
        <v>6.85219412122308E-4</v>
      </c>
      <c r="M1196" s="559">
        <f>'Progetto del paramento slu'!$G$60*(sezione!$AN$31-C1196)/C1196</f>
        <v>3.7543803143453344E-3</v>
      </c>
      <c r="N1196" s="559">
        <f>'Progetto del paramento slu'!$G$60*(sezione!$AO$31-C1196)/C1196</f>
        <v>5.9864973341438987E-3</v>
      </c>
      <c r="O1196" s="559">
        <f>'Progetto del paramento slu'!$G$60*(sezione!$AP$31-C1196)/C1196</f>
        <v>3.7544916519130257E-3</v>
      </c>
      <c r="P1196" s="553">
        <f>-'Progetto del paramento slu'!$G$47*'Progetto del paramento slu'!$G$41*IF(DATI!$G$218="dx",DATI!$E$61,DATI!$E$64*DATI!$E$63)*1000*C1196*sezione!$AD$5</f>
        <v>-1768208.908848417</v>
      </c>
      <c r="Q1196" s="553">
        <f>'Foglio deposito bis'!$F$58*IF(ABS(K1196)&lt;'Progetto del paramento slu'!$G$58,ABS(K1196)*'Progetto del paramento slu'!$G$54,'Progetto del paramento slu'!$G$53)*IF(K1196&lt;0,-1,1)</f>
        <v>0</v>
      </c>
      <c r="R1196" s="553">
        <f>'Foglio deposito bis'!$F$59*IF(ABS(L1196)&lt;'Progetto del paramento slu'!$G$58,ABS(L1196)*'Progetto del paramento slu'!$G$54,'Progetto del paramento slu'!$G$53)*IF(L1196&lt;0,-1,1)</f>
        <v>55431.51698392941</v>
      </c>
      <c r="S1196" s="553">
        <f>'Foglio deposito bis'!$F$60*IF(ABS(M1196)&lt;'Progetto del paramento slu'!$G$58,ABS(M1196)*'Progetto del paramento slu'!$G$54,'Progetto del paramento slu'!$G$53)*IF(M1196&lt;0,-1,1)</f>
        <v>0</v>
      </c>
      <c r="T1196" s="553">
        <f>'Foglio deposito bis'!$F$61*IF(ABS(N1196)&lt;'Progetto del paramento slu'!$G$58,ABS(N1196)*'Progetto del paramento slu'!$G$54,'Progetto del paramento slu'!$G$53)*IF(N1196&lt;0,-1,1)</f>
        <v>240946.49743184328</v>
      </c>
      <c r="U1196" s="553">
        <f>'Foglio deposito bis'!$F$62*IF(ABS(O1196)&lt;'Progetto del paramento slu'!$G$58,ABS(O1196)*'Progetto del paramento slu'!$G$54,'Progetto del paramento slu'!$G$53)*IF(O1196&lt;0,-1,1)</f>
        <v>314705.62929873407</v>
      </c>
      <c r="V1196" s="479">
        <f t="shared" si="92"/>
        <v>-1157125.2651339103</v>
      </c>
      <c r="W1196" s="559"/>
      <c r="X1196" s="559"/>
    </row>
    <row r="1197" spans="1:24" x14ac:dyDescent="0.25">
      <c r="A1197" s="553">
        <f t="shared" si="91"/>
        <v>1224962.2573915983</v>
      </c>
      <c r="B1197" s="3">
        <f t="shared" si="89"/>
        <v>31.899999999999942</v>
      </c>
      <c r="C1197" s="553">
        <f>'Foglio deposito bis'!$E$157/sezione!$B$247*B1197</f>
        <v>129.50104591703948</v>
      </c>
      <c r="D1197" s="611">
        <f>-'Progetto del paramento slu'!$G$47*'Progetto del paramento slu'!$G$41*IF(DATI!$G$218="dx",DATI!$E$61,DATI!$E$64*DATI!$E$63)*1000*C1197^2*sezione!$AD$5*(1-sezione!$AD$6)</f>
        <v>-138054923.97124919</v>
      </c>
      <c r="E1197" s="553">
        <f>-'Foglio deposito bis'!$F$58*(C1197-sezione!$AL$31)*IF(ABS(K1197)&lt;'Progetto del paramento slu'!$G$58,ABS(K1197)*'Progetto del paramento slu'!$G$54,'Progetto del paramento slu'!$G$53)</f>
        <v>0</v>
      </c>
      <c r="F1197" s="553">
        <f>-'Foglio deposito bis'!$F$59*(C1197-sezione!$AM$31)*IF(ABS(L1197)&lt;'Progetto del paramento slu'!$G$58,ABS(L1197)*'Progetto del paramento slu'!$G$54,'Progetto del paramento slu'!$G$53)</f>
        <v>918724.46116279508</v>
      </c>
      <c r="G1197" s="553">
        <f>-'Foglio deposito bis'!$F$60*(C1197-sezione!$AN$31)*IF(ABS(M1197)&lt;'Progetto del paramento slu'!$G$58,ABS(M1197)*'Progetto del paramento slu'!$G$54,'Progetto del paramento slu'!$G$53)</f>
        <v>0</v>
      </c>
      <c r="H1197" s="553">
        <f>-'Foglio deposito bis'!$F$61*(C1197-sezione!$AO$31)*IF(ABS(N1197)&lt;'Progetto del paramento slu'!$G$58,ABS(N1197)*'Progetto del paramento slu'!$G$54,'Progetto del paramento slu'!$G$53)</f>
        <v>50718985.699355744</v>
      </c>
      <c r="I1197" s="479">
        <f>-'Foglio deposito bis'!$F$62*(C1197-sezione!$AP$31)*IF(ABS(O1197)&lt;'Progetto del paramento slu'!$G$58,ABS(O1197)*'Progetto del paramento slu'!$G$54,'Progetto del paramento slu'!$G$53)</f>
        <v>41070011.264006197</v>
      </c>
      <c r="J1197" s="479">
        <f t="shared" si="90"/>
        <v>-45347202.546724439</v>
      </c>
      <c r="K1197" s="558">
        <f>'Progetto del paramento slu'!$G$60*(sezione!$AL$31-C1197)/C1197</f>
        <v>-2.4189276502856486E-3</v>
      </c>
      <c r="L1197" s="558">
        <f>'Progetto del paramento slu'!$G$60*(sezione!$AM$31-C1197)/C1197</f>
        <v>5.5402131142881842E-4</v>
      </c>
      <c r="M1197" s="559">
        <f>'Progetto del paramento slu'!$G$60*(sezione!$AN$31-C1197)/C1197</f>
        <v>3.5269702731432853E-3</v>
      </c>
      <c r="N1197" s="559">
        <f>'Progetto del paramento slu'!$G$60*(sezione!$AO$31-C1197)/C1197</f>
        <v>5.6891149725719885E-3</v>
      </c>
      <c r="O1197" s="559">
        <f>'Progetto del paramento slu'!$G$60*(sezione!$AP$31-C1197)/C1197</f>
        <v>3.5270781205050932E-3</v>
      </c>
      <c r="P1197" s="553">
        <f>-'Progetto del paramento slu'!$G$47*'Progetto del paramento slu'!$G$41*IF(DATI!$G$218="dx",DATI!$E$61,DATI!$E$64*DATI!$E$63)*1000*C1197*sezione!$AD$5</f>
        <v>-1825432.4981315373</v>
      </c>
      <c r="Q1197" s="553">
        <f>'Foglio deposito bis'!$F$58*IF(ABS(K1197)&lt;'Progetto del paramento slu'!$G$58,ABS(K1197)*'Progetto del paramento slu'!$G$54,'Progetto del paramento slu'!$G$53)*IF(K1197&lt;0,-1,1)</f>
        <v>0</v>
      </c>
      <c r="R1197" s="553">
        <f>'Foglio deposito bis'!$F$59*IF(ABS(L1197)&lt;'Progetto del paramento slu'!$G$58,ABS(L1197)*'Progetto del paramento slu'!$G$54,'Progetto del paramento slu'!$G$53)*IF(L1197&lt;0,-1,1)</f>
        <v>44818.114009361692</v>
      </c>
      <c r="S1197" s="553">
        <f>'Foglio deposito bis'!$F$60*IF(ABS(M1197)&lt;'Progetto del paramento slu'!$G$58,ABS(M1197)*'Progetto del paramento slu'!$G$54,'Progetto del paramento slu'!$G$53)*IF(M1197&lt;0,-1,1)</f>
        <v>0</v>
      </c>
      <c r="T1197" s="553">
        <f>'Foglio deposito bis'!$F$61*IF(ABS(N1197)&lt;'Progetto del paramento slu'!$G$58,ABS(N1197)*'Progetto del paramento slu'!$G$54,'Progetto del paramento slu'!$G$53)*IF(N1197&lt;0,-1,1)</f>
        <v>240946.49743184328</v>
      </c>
      <c r="U1197" s="553">
        <f>'Foglio deposito bis'!$F$62*IF(ABS(O1197)&lt;'Progetto del paramento slu'!$G$58,ABS(O1197)*'Progetto del paramento slu'!$G$54,'Progetto del paramento slu'!$G$53)*IF(O1197&lt;0,-1,1)</f>
        <v>314705.62929873407</v>
      </c>
      <c r="V1197" s="479">
        <f t="shared" si="92"/>
        <v>-1224962.2573915983</v>
      </c>
      <c r="W1197" s="559"/>
      <c r="X1197" s="559"/>
    </row>
    <row r="1198" spans="1:24" x14ac:dyDescent="0.25">
      <c r="A1198" s="553">
        <f t="shared" si="91"/>
        <v>1292154.0579791002</v>
      </c>
      <c r="B1198" s="3">
        <f t="shared" si="89"/>
        <v>32.899999999999942</v>
      </c>
      <c r="C1198" s="553">
        <f>'Foglio deposito bis'!$E$157/sezione!$B$247*B1198</f>
        <v>133.56063983293413</v>
      </c>
      <c r="D1198" s="611">
        <f>-'Progetto del paramento slu'!$G$47*'Progetto del paramento slu'!$G$41*IF(DATI!$G$218="dx",DATI!$E$61,DATI!$E$64*DATI!$E$63)*1000*C1198^2*sezione!$AD$5*(1-sezione!$AD$6)</f>
        <v>-146846070.94635454</v>
      </c>
      <c r="E1198" s="553">
        <f>-'Foglio deposito bis'!$F$58*(C1198-sezione!$AL$31)*IF(ABS(K1198)&lt;'Progetto del paramento slu'!$G$58,ABS(K1198)*'Progetto del paramento slu'!$G$54,'Progetto del paramento slu'!$G$53)</f>
        <v>0</v>
      </c>
      <c r="F1198" s="553">
        <f>-'Foglio deposito bis'!$F$59*(C1198-sezione!$AM$31)*IF(ABS(L1198)&lt;'Progetto del paramento slu'!$G$58,ABS(L1198)*'Progetto del paramento slu'!$G$54,'Progetto del paramento slu'!$G$53)</f>
        <v>572910.10235437728</v>
      </c>
      <c r="G1198" s="553">
        <f>-'Foglio deposito bis'!$F$60*(C1198-sezione!$AN$31)*IF(ABS(M1198)&lt;'Progetto del paramento slu'!$G$58,ABS(M1198)*'Progetto del paramento slu'!$G$54,'Progetto del paramento slu'!$G$53)</f>
        <v>0</v>
      </c>
      <c r="H1198" s="553">
        <f>-'Foglio deposito bis'!$F$61*(C1198-sezione!$AO$31)*IF(ABS(N1198)&lt;'Progetto del paramento slu'!$G$58,ABS(N1198)*'Progetto del paramento slu'!$G$54,'Progetto del paramento slu'!$G$53)</f>
        <v>49740840.764325306</v>
      </c>
      <c r="I1198" s="479">
        <f>-'Foglio deposito bis'!$F$62*(C1198-sezione!$AP$31)*IF(ABS(O1198)&lt;'Progetto del paramento slu'!$G$58,ABS(O1198)*'Progetto del paramento slu'!$G$54,'Progetto del paramento slu'!$G$53)</f>
        <v>39792434.206007257</v>
      </c>
      <c r="J1198" s="479">
        <f t="shared" si="90"/>
        <v>-56739885.873667598</v>
      </c>
      <c r="K1198" s="558">
        <f>'Progetto del paramento slu'!$G$60*(sezione!$AL$31-C1198)/C1198</f>
        <v>-2.4517869922222549E-3</v>
      </c>
      <c r="L1198" s="558">
        <f>'Progetto del paramento slu'!$G$60*(sezione!$AM$31-C1198)/C1198</f>
        <v>4.307987791665443E-4</v>
      </c>
      <c r="M1198" s="559">
        <f>'Progetto del paramento slu'!$G$60*(sezione!$AN$31-C1198)/C1198</f>
        <v>3.3133845505553434E-3</v>
      </c>
      <c r="N1198" s="559">
        <f>'Progetto del paramento slu'!$G$60*(sezione!$AO$31-C1198)/C1198</f>
        <v>5.4098105661108337E-3</v>
      </c>
      <c r="O1198" s="559">
        <f>'Progetto del paramento slu'!$G$60*(sezione!$AP$31-C1198)/C1198</f>
        <v>3.3134891198818382E-3</v>
      </c>
      <c r="P1198" s="553">
        <f>-'Progetto del paramento slu'!$G$47*'Progetto del paramento slu'!$G$41*IF(DATI!$G$218="dx",DATI!$E$61,DATI!$E$64*DATI!$E$63)*1000*C1198*sezione!$AD$5</f>
        <v>-1882656.0874146579</v>
      </c>
      <c r="Q1198" s="553">
        <f>'Foglio deposito bis'!$F$58*IF(ABS(K1198)&lt;'Progetto del paramento slu'!$G$58,ABS(K1198)*'Progetto del paramento slu'!$G$54,'Progetto del paramento slu'!$G$53)*IF(K1198&lt;0,-1,1)</f>
        <v>0</v>
      </c>
      <c r="R1198" s="553">
        <f>'Foglio deposito bis'!$F$59*IF(ABS(L1198)&lt;'Progetto del paramento slu'!$G$58,ABS(L1198)*'Progetto del paramento slu'!$G$54,'Progetto del paramento slu'!$G$53)*IF(L1198&lt;0,-1,1)</f>
        <v>34849.902704980479</v>
      </c>
      <c r="S1198" s="553">
        <f>'Foglio deposito bis'!$F$60*IF(ABS(M1198)&lt;'Progetto del paramento slu'!$G$58,ABS(M1198)*'Progetto del paramento slu'!$G$54,'Progetto del paramento slu'!$G$53)*IF(M1198&lt;0,-1,1)</f>
        <v>0</v>
      </c>
      <c r="T1198" s="553">
        <f>'Foglio deposito bis'!$F$61*IF(ABS(N1198)&lt;'Progetto del paramento slu'!$G$58,ABS(N1198)*'Progetto del paramento slu'!$G$54,'Progetto del paramento slu'!$G$53)*IF(N1198&lt;0,-1,1)</f>
        <v>240946.49743184328</v>
      </c>
      <c r="U1198" s="553">
        <f>'Foglio deposito bis'!$F$62*IF(ABS(O1198)&lt;'Progetto del paramento slu'!$G$58,ABS(O1198)*'Progetto del paramento slu'!$G$54,'Progetto del paramento slu'!$G$53)*IF(O1198&lt;0,-1,1)</f>
        <v>314705.62929873407</v>
      </c>
      <c r="V1198" s="479">
        <f t="shared" si="92"/>
        <v>-1292154.0579791002</v>
      </c>
      <c r="W1198" s="559"/>
      <c r="X1198" s="559"/>
    </row>
    <row r="1199" spans="1:24" x14ac:dyDescent="0.25">
      <c r="A1199" s="553">
        <f t="shared" si="91"/>
        <v>1358757.7635043969</v>
      </c>
      <c r="B1199" s="3">
        <f t="shared" si="89"/>
        <v>33.899999999999942</v>
      </c>
      <c r="C1199" s="553">
        <f>'Foglio deposito bis'!$E$157/sezione!$B$247*B1199</f>
        <v>137.62023374882881</v>
      </c>
      <c r="D1199" s="611">
        <f>-'Progetto del paramento slu'!$G$47*'Progetto del paramento slu'!$G$41*IF(DATI!$G$218="dx",DATI!$E$61,DATI!$E$64*DATI!$E$63)*1000*C1199^2*sezione!$AD$5*(1-sezione!$AD$6)</f>
        <v>-155908549.61822245</v>
      </c>
      <c r="E1199" s="553">
        <f>-'Foglio deposito bis'!$F$58*(C1199-sezione!$AL$31)*IF(ABS(K1199)&lt;'Progetto del paramento slu'!$G$58,ABS(K1199)*'Progetto del paramento slu'!$G$54,'Progetto del paramento slu'!$G$53)</f>
        <v>0</v>
      </c>
      <c r="F1199" s="553">
        <f>-'Foglio deposito bis'!$F$59*(C1199-sezione!$AM$31)*IF(ABS(L1199)&lt;'Progetto del paramento slu'!$G$58,ABS(L1199)*'Progetto del paramento slu'!$G$54,'Progetto del paramento slu'!$G$53)</f>
        <v>315310.00287676515</v>
      </c>
      <c r="G1199" s="553">
        <f>-'Foglio deposito bis'!$F$60*(C1199-sezione!$AN$31)*IF(ABS(M1199)&lt;'Progetto del paramento slu'!$G$58,ABS(M1199)*'Progetto del paramento slu'!$G$54,'Progetto del paramento slu'!$G$53)</f>
        <v>0</v>
      </c>
      <c r="H1199" s="553">
        <f>-'Foglio deposito bis'!$F$61*(C1199-sezione!$AO$31)*IF(ABS(N1199)&lt;'Progetto del paramento slu'!$G$58,ABS(N1199)*'Progetto del paramento slu'!$G$54,'Progetto del paramento slu'!$G$53)</f>
        <v>48762695.82929486</v>
      </c>
      <c r="I1199" s="479">
        <f>-'Foglio deposito bis'!$F$62*(C1199-sezione!$AP$31)*IF(ABS(O1199)&lt;'Progetto del paramento slu'!$G$58,ABS(O1199)*'Progetto del paramento slu'!$G$54,'Progetto del paramento slu'!$G$53)</f>
        <v>38514857.148008309</v>
      </c>
      <c r="J1199" s="479">
        <f t="shared" si="90"/>
        <v>-68315686.63804251</v>
      </c>
      <c r="K1199" s="558">
        <f>'Progetto del paramento slu'!$G$60*(sezione!$AL$31-C1199)/C1199</f>
        <v>-2.4827077299148137E-3</v>
      </c>
      <c r="L1199" s="558">
        <f>'Progetto del paramento slu'!$G$60*(sezione!$AM$31-C1199)/C1199</f>
        <v>3.148460128194479E-4</v>
      </c>
      <c r="M1199" s="559">
        <f>'Progetto del paramento slu'!$G$60*(sezione!$AN$31-C1199)/C1199</f>
        <v>3.1123997555537099E-3</v>
      </c>
      <c r="N1199" s="559">
        <f>'Progetto del paramento slu'!$G$60*(sezione!$AO$31-C1199)/C1199</f>
        <v>5.1469842957240818E-3</v>
      </c>
      <c r="O1199" s="559">
        <f>'Progetto del paramento slu'!$G$60*(sezione!$AP$31-C1199)/C1199</f>
        <v>3.1125012402393047E-3</v>
      </c>
      <c r="P1199" s="553">
        <f>-'Progetto del paramento slu'!$G$47*'Progetto del paramento slu'!$G$41*IF(DATI!$G$218="dx",DATI!$E$61,DATI!$E$64*DATI!$E$63)*1000*C1199*sezione!$AD$5</f>
        <v>-1939879.6766977787</v>
      </c>
      <c r="Q1199" s="553">
        <f>'Foglio deposito bis'!$F$58*IF(ABS(K1199)&lt;'Progetto del paramento slu'!$G$58,ABS(K1199)*'Progetto del paramento slu'!$G$54,'Progetto del paramento slu'!$G$53)*IF(K1199&lt;0,-1,1)</f>
        <v>0</v>
      </c>
      <c r="R1199" s="553">
        <f>'Foglio deposito bis'!$F$59*IF(ABS(L1199)&lt;'Progetto del paramento slu'!$G$58,ABS(L1199)*'Progetto del paramento slu'!$G$54,'Progetto del paramento slu'!$G$53)*IF(L1199&lt;0,-1,1)</f>
        <v>25469.78646280459</v>
      </c>
      <c r="S1199" s="553">
        <f>'Foglio deposito bis'!$F$60*IF(ABS(M1199)&lt;'Progetto del paramento slu'!$G$58,ABS(M1199)*'Progetto del paramento slu'!$G$54,'Progetto del paramento slu'!$G$53)*IF(M1199&lt;0,-1,1)</f>
        <v>0</v>
      </c>
      <c r="T1199" s="553">
        <f>'Foglio deposito bis'!$F$61*IF(ABS(N1199)&lt;'Progetto del paramento slu'!$G$58,ABS(N1199)*'Progetto del paramento slu'!$G$54,'Progetto del paramento slu'!$G$53)*IF(N1199&lt;0,-1,1)</f>
        <v>240946.49743184328</v>
      </c>
      <c r="U1199" s="553">
        <f>'Foglio deposito bis'!$F$62*IF(ABS(O1199)&lt;'Progetto del paramento slu'!$G$58,ABS(O1199)*'Progetto del paramento slu'!$G$54,'Progetto del paramento slu'!$G$53)*IF(O1199&lt;0,-1,1)</f>
        <v>314705.62929873407</v>
      </c>
      <c r="V1199" s="479">
        <f t="shared" si="92"/>
        <v>-1358757.7635043969</v>
      </c>
      <c r="W1199" s="559"/>
      <c r="X1199" s="559"/>
    </row>
    <row r="1200" spans="1:24" x14ac:dyDescent="0.25">
      <c r="A1200" s="553">
        <f t="shared" si="91"/>
        <v>1424823.926551631</v>
      </c>
      <c r="B1200" s="3">
        <f t="shared" si="89"/>
        <v>34.899999999999942</v>
      </c>
      <c r="C1200" s="553">
        <f>'Foglio deposito bis'!$E$157/sezione!$B$247*B1200</f>
        <v>141.67982766472346</v>
      </c>
      <c r="D1200" s="611">
        <f>-'Progetto del paramento slu'!$G$47*'Progetto del paramento slu'!$G$41*IF(DATI!$G$218="dx",DATI!$E$61,DATI!$E$64*DATI!$E$63)*1000*C1200^2*sezione!$AD$5*(1-sezione!$AD$6)</f>
        <v>-165242359.98685282</v>
      </c>
      <c r="E1200" s="553">
        <f>-'Foglio deposito bis'!$F$58*(C1200-sezione!$AL$31)*IF(ABS(K1200)&lt;'Progetto del paramento slu'!$G$58,ABS(K1200)*'Progetto del paramento slu'!$G$54,'Progetto del paramento slu'!$G$53)</f>
        <v>0</v>
      </c>
      <c r="F1200" s="553">
        <f>-'Foglio deposito bis'!$F$59*(C1200-sezione!$AM$31)*IF(ABS(L1200)&lt;'Progetto del paramento slu'!$G$58,ABS(L1200)*'Progetto del paramento slu'!$G$54,'Progetto del paramento slu'!$G$53)</f>
        <v>138341.27510840283</v>
      </c>
      <c r="G1200" s="553">
        <f>-'Foglio deposito bis'!$F$60*(C1200-sezione!$AN$31)*IF(ABS(M1200)&lt;'Progetto del paramento slu'!$G$58,ABS(M1200)*'Progetto del paramento slu'!$G$54,'Progetto del paramento slu'!$G$53)</f>
        <v>0</v>
      </c>
      <c r="H1200" s="553">
        <f>-'Foglio deposito bis'!$F$61*(C1200-sezione!$AO$31)*IF(ABS(N1200)&lt;'Progetto del paramento slu'!$G$58,ABS(N1200)*'Progetto del paramento slu'!$G$54,'Progetto del paramento slu'!$G$53)</f>
        <v>47784550.894264422</v>
      </c>
      <c r="I1200" s="479">
        <f>-'Foglio deposito bis'!$F$62*(C1200-sezione!$AP$31)*IF(ABS(O1200)&lt;'Progetto del paramento slu'!$G$58,ABS(O1200)*'Progetto del paramento slu'!$G$54,'Progetto del paramento slu'!$G$53)</f>
        <v>37237280.090009369</v>
      </c>
      <c r="J1200" s="479">
        <f t="shared" si="90"/>
        <v>-80082187.727470636</v>
      </c>
      <c r="K1200" s="558">
        <f>'Progetto del paramento slu'!$G$60*(sezione!$AL$31-C1200)/C1200</f>
        <v>-2.5118565055619541E-3</v>
      </c>
      <c r="L1200" s="558">
        <f>'Progetto del paramento slu'!$G$60*(sezione!$AM$31-C1200)/C1200</f>
        <v>2.0553810414267293E-4</v>
      </c>
      <c r="M1200" s="559">
        <f>'Progetto del paramento slu'!$G$60*(sezione!$AN$31-C1200)/C1200</f>
        <v>2.9229327138472999E-3</v>
      </c>
      <c r="N1200" s="559">
        <f>'Progetto del paramento slu'!$G$60*(sezione!$AO$31-C1200)/C1200</f>
        <v>4.8992197027233923E-3</v>
      </c>
      <c r="O1200" s="559">
        <f>'Progetto del paramento slu'!$G$60*(sezione!$AP$31-C1200)/C1200</f>
        <v>2.9230312906622473E-3</v>
      </c>
      <c r="P1200" s="553">
        <f>-'Progetto del paramento slu'!$G$47*'Progetto del paramento slu'!$G$41*IF(DATI!$G$218="dx",DATI!$E$61,DATI!$E$64*DATI!$E$63)*1000*C1200*sezione!$AD$5</f>
        <v>-1997103.2659808986</v>
      </c>
      <c r="Q1200" s="553">
        <f>'Foglio deposito bis'!$F$58*IF(ABS(K1200)&lt;'Progetto del paramento slu'!$G$58,ABS(K1200)*'Progetto del paramento slu'!$G$54,'Progetto del paramento slu'!$G$53)*IF(K1200&lt;0,-1,1)</f>
        <v>0</v>
      </c>
      <c r="R1200" s="553">
        <f>'Foglio deposito bis'!$F$59*IF(ABS(L1200)&lt;'Progetto del paramento slu'!$G$58,ABS(L1200)*'Progetto del paramento slu'!$G$54,'Progetto del paramento slu'!$G$53)*IF(L1200&lt;0,-1,1)</f>
        <v>16627.212698690422</v>
      </c>
      <c r="S1200" s="553">
        <f>'Foglio deposito bis'!$F$60*IF(ABS(M1200)&lt;'Progetto del paramento slu'!$G$58,ABS(M1200)*'Progetto del paramento slu'!$G$54,'Progetto del paramento slu'!$G$53)*IF(M1200&lt;0,-1,1)</f>
        <v>0</v>
      </c>
      <c r="T1200" s="553">
        <f>'Foglio deposito bis'!$F$61*IF(ABS(N1200)&lt;'Progetto del paramento slu'!$G$58,ABS(N1200)*'Progetto del paramento slu'!$G$54,'Progetto del paramento slu'!$G$53)*IF(N1200&lt;0,-1,1)</f>
        <v>240946.49743184328</v>
      </c>
      <c r="U1200" s="553">
        <f>'Foglio deposito bis'!$F$62*IF(ABS(O1200)&lt;'Progetto del paramento slu'!$G$58,ABS(O1200)*'Progetto del paramento slu'!$G$54,'Progetto del paramento slu'!$G$53)*IF(O1200&lt;0,-1,1)</f>
        <v>314705.62929873407</v>
      </c>
      <c r="V1200" s="479">
        <f t="shared" si="92"/>
        <v>-1424823.926551631</v>
      </c>
      <c r="W1200" s="559"/>
      <c r="X1200" s="559"/>
    </row>
    <row r="1201" spans="1:24" x14ac:dyDescent="0.25">
      <c r="A1201" s="553">
        <f t="shared" si="91"/>
        <v>1490397.4671050431</v>
      </c>
      <c r="B1201" s="3">
        <f t="shared" si="89"/>
        <v>35.899999999999942</v>
      </c>
      <c r="C1201" s="553">
        <f>'Foglio deposito bis'!$E$157/sezione!$B$247*B1201</f>
        <v>145.73942158061811</v>
      </c>
      <c r="D1201" s="611">
        <f>-'Progetto del paramento slu'!$G$47*'Progetto del paramento slu'!$G$41*IF(DATI!$G$218="dx",DATI!$E$61,DATI!$E$64*DATI!$E$63)*1000*C1201^2*sezione!$AD$5*(1-sezione!$AD$6)</f>
        <v>-174847502.05224571</v>
      </c>
      <c r="E1201" s="553">
        <f>-'Foglio deposito bis'!$F$58*(C1201-sezione!$AL$31)*IF(ABS(K1201)&lt;'Progetto del paramento slu'!$G$58,ABS(K1201)*'Progetto del paramento slu'!$G$54,'Progetto del paramento slu'!$G$53)</f>
        <v>0</v>
      </c>
      <c r="F1201" s="553">
        <f>-'Foglio deposito bis'!$F$59*(C1201-sezione!$AM$31)*IF(ABS(L1201)&lt;'Progetto del paramento slu'!$G$58,ABS(L1201)*'Progetto del paramento slu'!$G$54,'Progetto del paramento slu'!$G$53)</f>
        <v>35265.921413417891</v>
      </c>
      <c r="G1201" s="553">
        <f>-'Foglio deposito bis'!$F$60*(C1201-sezione!$AN$31)*IF(ABS(M1201)&lt;'Progetto del paramento slu'!$G$58,ABS(M1201)*'Progetto del paramento slu'!$G$54,'Progetto del paramento slu'!$G$53)</f>
        <v>0</v>
      </c>
      <c r="H1201" s="553">
        <f>-'Foglio deposito bis'!$F$61*(C1201-sezione!$AO$31)*IF(ABS(N1201)&lt;'Progetto del paramento slu'!$G$58,ABS(N1201)*'Progetto del paramento slu'!$G$54,'Progetto del paramento slu'!$G$53)</f>
        <v>46806405.959233992</v>
      </c>
      <c r="I1201" s="479">
        <f>-'Foglio deposito bis'!$F$62*(C1201-sezione!$AP$31)*IF(ABS(O1201)&lt;'Progetto del paramento slu'!$G$58,ABS(O1201)*'Progetto del paramento slu'!$G$54,'Progetto del paramento slu'!$G$53)</f>
        <v>35959703.032010436</v>
      </c>
      <c r="J1201" s="479">
        <f t="shared" si="90"/>
        <v>-92046127.139587849</v>
      </c>
      <c r="K1201" s="558">
        <f>'Progetto del paramento slu'!$G$60*(sezione!$AL$31-C1201)/C1201</f>
        <v>-2.5393813939864119E-3</v>
      </c>
      <c r="L1201" s="558">
        <f>'Progetto del paramento slu'!$G$60*(sezione!$AM$31-C1201)/C1201</f>
        <v>1.023197725509551E-4</v>
      </c>
      <c r="M1201" s="559">
        <f>'Progetto del paramento slu'!$G$60*(sezione!$AN$31-C1201)/C1201</f>
        <v>2.7440209390883225E-3</v>
      </c>
      <c r="N1201" s="559">
        <f>'Progetto del paramento slu'!$G$60*(sezione!$AO$31-C1201)/C1201</f>
        <v>4.665258151115498E-3</v>
      </c>
      <c r="O1201" s="559">
        <f>'Progetto del paramento slu'!$G$60*(sezione!$AP$31-C1201)/C1201</f>
        <v>2.7441167700309869E-3</v>
      </c>
      <c r="P1201" s="553">
        <f>-'Progetto del paramento slu'!$G$47*'Progetto del paramento slu'!$G$41*IF(DATI!$G$218="dx",DATI!$E$61,DATI!$E$64*DATI!$E$63)*1000*C1201*sezione!$AD$5</f>
        <v>-2054326.8552640192</v>
      </c>
      <c r="Q1201" s="553">
        <f>'Foglio deposito bis'!$F$58*IF(ABS(K1201)&lt;'Progetto del paramento slu'!$G$58,ABS(K1201)*'Progetto del paramento slu'!$G$54,'Progetto del paramento slu'!$G$53)*IF(K1201&lt;0,-1,1)</f>
        <v>0</v>
      </c>
      <c r="R1201" s="553">
        <f>'Foglio deposito bis'!$F$59*IF(ABS(L1201)&lt;'Progetto del paramento slu'!$G$58,ABS(L1201)*'Progetto del paramento slu'!$G$54,'Progetto del paramento slu'!$G$53)*IF(L1201&lt;0,-1,1)</f>
        <v>8277.2614283987714</v>
      </c>
      <c r="S1201" s="553">
        <f>'Foglio deposito bis'!$F$60*IF(ABS(M1201)&lt;'Progetto del paramento slu'!$G$58,ABS(M1201)*'Progetto del paramento slu'!$G$54,'Progetto del paramento slu'!$G$53)*IF(M1201&lt;0,-1,1)</f>
        <v>0</v>
      </c>
      <c r="T1201" s="553">
        <f>'Foglio deposito bis'!$F$61*IF(ABS(N1201)&lt;'Progetto del paramento slu'!$G$58,ABS(N1201)*'Progetto del paramento slu'!$G$54,'Progetto del paramento slu'!$G$53)*IF(N1201&lt;0,-1,1)</f>
        <v>240946.49743184328</v>
      </c>
      <c r="U1201" s="553">
        <f>'Foglio deposito bis'!$F$62*IF(ABS(O1201)&lt;'Progetto del paramento slu'!$G$58,ABS(O1201)*'Progetto del paramento slu'!$G$54,'Progetto del paramento slu'!$G$53)*IF(O1201&lt;0,-1,1)</f>
        <v>314705.62929873407</v>
      </c>
      <c r="V1201" s="479">
        <f t="shared" si="92"/>
        <v>-1490397.4671050431</v>
      </c>
      <c r="W1201" s="559"/>
      <c r="X1201" s="559"/>
    </row>
    <row r="1202" spans="1:24" x14ac:dyDescent="0.25">
      <c r="A1202" s="553">
        <f t="shared" si="91"/>
        <v>1555518.435773887</v>
      </c>
      <c r="B1202" s="3">
        <f t="shared" si="89"/>
        <v>36.899999999999942</v>
      </c>
      <c r="C1202" s="553">
        <f>'Foglio deposito bis'!$E$157/sezione!$B$247*B1202</f>
        <v>149.79901549651279</v>
      </c>
      <c r="D1202" s="611">
        <f>-'Progetto del paramento slu'!$G$47*'Progetto del paramento slu'!$G$41*IF(DATI!$G$218="dx",DATI!$E$61,DATI!$E$64*DATI!$E$63)*1000*C1202^2*sezione!$AD$5*(1-sezione!$AD$6)</f>
        <v>-184723975.81440112</v>
      </c>
      <c r="E1202" s="553">
        <f>-'Foglio deposito bis'!$F$58*(C1202-sezione!$AL$31)*IF(ABS(K1202)&lt;'Progetto del paramento slu'!$G$58,ABS(K1202)*'Progetto del paramento slu'!$G$54,'Progetto del paramento slu'!$G$53)</f>
        <v>0</v>
      </c>
      <c r="F1202" s="553">
        <f>-'Foglio deposito bis'!$F$59*(C1202-sezione!$AM$31)*IF(ABS(L1202)&lt;'Progetto del paramento slu'!$G$58,ABS(L1202)*'Progetto del paramento slu'!$G$54,'Progetto del paramento slu'!$G$53)</f>
        <v>76.350403730884807</v>
      </c>
      <c r="G1202" s="553">
        <f>-'Foglio deposito bis'!$F$60*(C1202-sezione!$AN$31)*IF(ABS(M1202)&lt;'Progetto del paramento slu'!$G$58,ABS(M1202)*'Progetto del paramento slu'!$G$54,'Progetto del paramento slu'!$G$53)</f>
        <v>0</v>
      </c>
      <c r="H1202" s="553">
        <f>-'Foglio deposito bis'!$F$61*(C1202-sezione!$AO$31)*IF(ABS(N1202)&lt;'Progetto del paramento slu'!$G$58,ABS(N1202)*'Progetto del paramento slu'!$G$54,'Progetto del paramento slu'!$G$53)</f>
        <v>45828261.024203539</v>
      </c>
      <c r="I1202" s="479">
        <f>-'Foglio deposito bis'!$F$62*(C1202-sezione!$AP$31)*IF(ABS(O1202)&lt;'Progetto del paramento slu'!$G$58,ABS(O1202)*'Progetto del paramento slu'!$G$54,'Progetto del paramento slu'!$G$53)</f>
        <v>34682125.974011488</v>
      </c>
      <c r="J1202" s="479">
        <f t="shared" si="90"/>
        <v>-104213512.46578237</v>
      </c>
      <c r="K1202" s="558">
        <f>'Progetto del paramento slu'!$G$60*(sezione!$AL$31-C1202)/C1202</f>
        <v>-2.5654144185396259E-3</v>
      </c>
      <c r="L1202" s="558">
        <f>'Progetto del paramento slu'!$G$60*(sezione!$AM$31-C1202)/C1202</f>
        <v>4.6959304764028694E-6</v>
      </c>
      <c r="M1202" s="559">
        <f>'Progetto del paramento slu'!$G$60*(sezione!$AN$31-C1202)/C1202</f>
        <v>2.5748062794924316E-3</v>
      </c>
      <c r="N1202" s="559">
        <f>'Progetto del paramento slu'!$G$60*(sezione!$AO$31-C1202)/C1202</f>
        <v>4.4439774424131799E-3</v>
      </c>
      <c r="O1202" s="559">
        <f>'Progetto del paramento slu'!$G$60*(sezione!$AP$31-C1202)/C1202</f>
        <v>2.5748995133905799E-3</v>
      </c>
      <c r="P1202" s="553">
        <f>-'Progetto del paramento slu'!$G$47*'Progetto del paramento slu'!$G$41*IF(DATI!$G$218="dx",DATI!$E$61,DATI!$E$64*DATI!$E$63)*1000*C1202*sezione!$AD$5</f>
        <v>-2111550.44454714</v>
      </c>
      <c r="Q1202" s="553">
        <f>'Foglio deposito bis'!$F$58*IF(ABS(K1202)&lt;'Progetto del paramento slu'!$G$58,ABS(K1202)*'Progetto del paramento slu'!$G$54,'Progetto del paramento slu'!$G$53)*IF(K1202&lt;0,-1,1)</f>
        <v>0</v>
      </c>
      <c r="R1202" s="553">
        <f>'Foglio deposito bis'!$F$59*IF(ABS(L1202)&lt;'Progetto del paramento slu'!$G$58,ABS(L1202)*'Progetto del paramento slu'!$G$54,'Progetto del paramento slu'!$G$53)*IF(L1202&lt;0,-1,1)</f>
        <v>379.88204267571854</v>
      </c>
      <c r="S1202" s="553">
        <f>'Foglio deposito bis'!$F$60*IF(ABS(M1202)&lt;'Progetto del paramento slu'!$G$58,ABS(M1202)*'Progetto del paramento slu'!$G$54,'Progetto del paramento slu'!$G$53)*IF(M1202&lt;0,-1,1)</f>
        <v>0</v>
      </c>
      <c r="T1202" s="553">
        <f>'Foglio deposito bis'!$F$61*IF(ABS(N1202)&lt;'Progetto del paramento slu'!$G$58,ABS(N1202)*'Progetto del paramento slu'!$G$54,'Progetto del paramento slu'!$G$53)*IF(N1202&lt;0,-1,1)</f>
        <v>240946.49743184328</v>
      </c>
      <c r="U1202" s="553">
        <f>'Foglio deposito bis'!$F$62*IF(ABS(O1202)&lt;'Progetto del paramento slu'!$G$58,ABS(O1202)*'Progetto del paramento slu'!$G$54,'Progetto del paramento slu'!$G$53)*IF(O1202&lt;0,-1,1)</f>
        <v>314705.62929873407</v>
      </c>
      <c r="V1202" s="479">
        <f t="shared" si="92"/>
        <v>-1555518.435773887</v>
      </c>
      <c r="W1202" s="559"/>
      <c r="X1202" s="559"/>
    </row>
    <row r="1203" spans="1:24" x14ac:dyDescent="0.25">
      <c r="A1203" s="553">
        <f t="shared" si="91"/>
        <v>1620222.6561901851</v>
      </c>
      <c r="B1203" s="3">
        <f t="shared" si="89"/>
        <v>37.899999999999942</v>
      </c>
      <c r="C1203" s="553">
        <f>'Foglio deposito bis'!$E$157/sezione!$B$247*B1203</f>
        <v>153.85860941240745</v>
      </c>
      <c r="D1203" s="611">
        <f>-'Progetto del paramento slu'!$G$47*'Progetto del paramento slu'!$G$41*IF(DATI!$G$218="dx",DATI!$E$61,DATI!$E$64*DATI!$E$63)*1000*C1203^2*sezione!$AD$5*(1-sezione!$AD$6)</f>
        <v>-194871781.27331904</v>
      </c>
      <c r="E1203" s="553">
        <f>-'Foglio deposito bis'!$F$58*(C1203-sezione!$AL$31)*IF(ABS(K1203)&lt;'Progetto del paramento slu'!$G$58,ABS(K1203)*'Progetto del paramento slu'!$G$54,'Progetto del paramento slu'!$G$53)</f>
        <v>0</v>
      </c>
      <c r="F1203" s="553">
        <f>-'Foglio deposito bis'!$F$59*(C1203-sezione!$AM$31)*IF(ABS(L1203)&lt;'Progetto del paramento slu'!$G$58,ABS(L1203)*'Progetto del paramento slu'!$G$54,'Progetto del paramento slu'!$G$53)</f>
        <v>-27399.017275756669</v>
      </c>
      <c r="G1203" s="553">
        <f>-'Foglio deposito bis'!$F$60*(C1203-sezione!$AN$31)*IF(ABS(M1203)&lt;'Progetto del paramento slu'!$G$58,ABS(M1203)*'Progetto del paramento slu'!$G$54,'Progetto del paramento slu'!$G$53)</f>
        <v>0</v>
      </c>
      <c r="H1203" s="553">
        <f>-'Foglio deposito bis'!$F$61*(C1203-sezione!$AO$31)*IF(ABS(N1203)&lt;'Progetto del paramento slu'!$G$58,ABS(N1203)*'Progetto del paramento slu'!$G$54,'Progetto del paramento slu'!$G$53)</f>
        <v>44850116.089173108</v>
      </c>
      <c r="I1203" s="479">
        <f>-'Foglio deposito bis'!$F$62*(C1203-sezione!$AP$31)*IF(ABS(O1203)&lt;'Progetto del paramento slu'!$G$58,ABS(O1203)*'Progetto del paramento slu'!$G$54,'Progetto del paramento slu'!$G$53)</f>
        <v>33404548.916012544</v>
      </c>
      <c r="J1203" s="479">
        <f t="shared" si="90"/>
        <v>-116644515.28540914</v>
      </c>
      <c r="K1203" s="558">
        <f>'Progetto del paramento slu'!$G$60*(sezione!$AL$31-C1203)/C1203</f>
        <v>-2.5900736687100843E-3</v>
      </c>
      <c r="L1203" s="558">
        <f>'Progetto del paramento slu'!$G$60*(sezione!$AM$31-C1203)/C1203</f>
        <v>-8.7776257662816127E-5</v>
      </c>
      <c r="M1203" s="559">
        <f>'Progetto del paramento slu'!$G$60*(sezione!$AN$31-C1203)/C1203</f>
        <v>2.414521153384452E-3</v>
      </c>
      <c r="N1203" s="559">
        <f>'Progetto del paramento slu'!$G$60*(sezione!$AO$31-C1203)/C1203</f>
        <v>4.2343738159642836E-3</v>
      </c>
      <c r="O1203" s="559">
        <f>'Progetto del paramento slu'!$G$60*(sezione!$AP$31-C1203)/C1203</f>
        <v>2.4146119272852877E-3</v>
      </c>
      <c r="P1203" s="553">
        <f>-'Progetto del paramento slu'!$G$47*'Progetto del paramento slu'!$G$41*IF(DATI!$G$218="dx",DATI!$E$61,DATI!$E$64*DATI!$E$63)*1000*C1203*sezione!$AD$5</f>
        <v>-2168774.0338302599</v>
      </c>
      <c r="Q1203" s="553">
        <f>'Foglio deposito bis'!$F$58*IF(ABS(K1203)&lt;'Progetto del paramento slu'!$G$58,ABS(K1203)*'Progetto del paramento slu'!$G$54,'Progetto del paramento slu'!$G$53)*IF(K1203&lt;0,-1,1)</f>
        <v>0</v>
      </c>
      <c r="R1203" s="553">
        <f>'Foglio deposito bis'!$F$59*IF(ABS(L1203)&lt;'Progetto del paramento slu'!$G$58,ABS(L1203)*'Progetto del paramento slu'!$G$54,'Progetto del paramento slu'!$G$53)*IF(L1203&lt;0,-1,1)</f>
        <v>-7100.7490905025288</v>
      </c>
      <c r="S1203" s="553">
        <f>'Foglio deposito bis'!$F$60*IF(ABS(M1203)&lt;'Progetto del paramento slu'!$G$58,ABS(M1203)*'Progetto del paramento slu'!$G$54,'Progetto del paramento slu'!$G$53)*IF(M1203&lt;0,-1,1)</f>
        <v>0</v>
      </c>
      <c r="T1203" s="553">
        <f>'Foglio deposito bis'!$F$61*IF(ABS(N1203)&lt;'Progetto del paramento slu'!$G$58,ABS(N1203)*'Progetto del paramento slu'!$G$54,'Progetto del paramento slu'!$G$53)*IF(N1203&lt;0,-1,1)</f>
        <v>240946.49743184328</v>
      </c>
      <c r="U1203" s="553">
        <f>'Foglio deposito bis'!$F$62*IF(ABS(O1203)&lt;'Progetto del paramento slu'!$G$58,ABS(O1203)*'Progetto del paramento slu'!$G$54,'Progetto del paramento slu'!$G$53)*IF(O1203&lt;0,-1,1)</f>
        <v>314705.62929873407</v>
      </c>
      <c r="V1203" s="479">
        <f t="shared" si="92"/>
        <v>-1620222.6561901851</v>
      </c>
      <c r="W1203" s="559"/>
      <c r="X1203" s="559"/>
    </row>
    <row r="1204" spans="1:24" x14ac:dyDescent="0.25">
      <c r="A1204" s="553">
        <f t="shared" si="91"/>
        <v>1684542.2683220014</v>
      </c>
      <c r="B1204" s="3">
        <f t="shared" si="89"/>
        <v>38.899999999999942</v>
      </c>
      <c r="C1204" s="553">
        <f>'Foglio deposito bis'!$E$157/sezione!$B$247*B1204</f>
        <v>157.9182033283021</v>
      </c>
      <c r="D1204" s="611">
        <f>-'Progetto del paramento slu'!$G$47*'Progetto del paramento slu'!$G$41*IF(DATI!$G$218="dx",DATI!$E$61,DATI!$E$64*DATI!$E$63)*1000*C1204^2*sezione!$AD$5*(1-sezione!$AD$6)</f>
        <v>-205290918.42899942</v>
      </c>
      <c r="E1204" s="553">
        <f>-'Foglio deposito bis'!$F$58*(C1204-sezione!$AL$31)*IF(ABS(K1204)&lt;'Progetto del paramento slu'!$G$58,ABS(K1204)*'Progetto del paramento slu'!$G$54,'Progetto del paramento slu'!$G$53)</f>
        <v>0</v>
      </c>
      <c r="F1204" s="553">
        <f>-'Foglio deposito bis'!$F$59*(C1204-sezione!$AM$31)*IF(ABS(L1204)&lt;'Progetto del paramento slu'!$G$58,ABS(L1204)*'Progetto del paramento slu'!$G$54,'Progetto del paramento slu'!$G$53)</f>
        <v>-112412.92682010823</v>
      </c>
      <c r="G1204" s="553">
        <f>-'Foglio deposito bis'!$F$60*(C1204-sezione!$AN$31)*IF(ABS(M1204)&lt;'Progetto del paramento slu'!$G$58,ABS(M1204)*'Progetto del paramento slu'!$G$54,'Progetto del paramento slu'!$G$53)</f>
        <v>0</v>
      </c>
      <c r="H1204" s="553">
        <f>-'Foglio deposito bis'!$F$61*(C1204-sezione!$AO$31)*IF(ABS(N1204)&lt;'Progetto del paramento slu'!$G$58,ABS(N1204)*'Progetto del paramento slu'!$G$54,'Progetto del paramento slu'!$G$53)</f>
        <v>43871971.154142663</v>
      </c>
      <c r="I1204" s="479">
        <f>-'Foglio deposito bis'!$F$62*(C1204-sezione!$AP$31)*IF(ABS(O1204)&lt;'Progetto del paramento slu'!$G$58,ABS(O1204)*'Progetto del paramento slu'!$G$54,'Progetto del paramento slu'!$G$53)</f>
        <v>32126971.858013604</v>
      </c>
      <c r="J1204" s="479">
        <f t="shared" si="90"/>
        <v>-129404388.34366325</v>
      </c>
      <c r="K1204" s="558">
        <f>'Progetto del paramento slu'!$G$60*(sezione!$AL$31-C1204)/C1204</f>
        <v>-2.6134650911082825E-3</v>
      </c>
      <c r="L1204" s="558">
        <f>'Progetto del paramento slu'!$G$60*(sezione!$AM$31-C1204)/C1204</f>
        <v>-1.7549409165605985E-4</v>
      </c>
      <c r="M1204" s="559">
        <f>'Progetto del paramento slu'!$G$60*(sezione!$AN$31-C1204)/C1204</f>
        <v>2.2624769077961631E-3</v>
      </c>
      <c r="N1204" s="559">
        <f>'Progetto del paramento slu'!$G$60*(sezione!$AO$31-C1204)/C1204</f>
        <v>4.0355467255795982E-3</v>
      </c>
      <c r="O1204" s="559">
        <f>'Progetto del paramento slu'!$G$60*(sezione!$AP$31-C1204)/C1204</f>
        <v>2.262565348177697E-3</v>
      </c>
      <c r="P1204" s="553">
        <f>-'Progetto del paramento slu'!$G$47*'Progetto del paramento slu'!$G$41*IF(DATI!$G$218="dx",DATI!$E$61,DATI!$E$64*DATI!$E$63)*1000*C1204*sezione!$AD$5</f>
        <v>-2225997.6231133803</v>
      </c>
      <c r="Q1204" s="553">
        <f>'Foglio deposito bis'!$F$58*IF(ABS(K1204)&lt;'Progetto del paramento slu'!$G$58,ABS(K1204)*'Progetto del paramento slu'!$G$54,'Progetto del paramento slu'!$G$53)*IF(K1204&lt;0,-1,1)</f>
        <v>0</v>
      </c>
      <c r="R1204" s="553">
        <f>'Foglio deposito bis'!$F$59*IF(ABS(L1204)&lt;'Progetto del paramento slu'!$G$58,ABS(L1204)*'Progetto del paramento slu'!$G$54,'Progetto del paramento slu'!$G$53)*IF(L1204&lt;0,-1,1)</f>
        <v>-14196.771939198603</v>
      </c>
      <c r="S1204" s="553">
        <f>'Foglio deposito bis'!$F$60*IF(ABS(M1204)&lt;'Progetto del paramento slu'!$G$58,ABS(M1204)*'Progetto del paramento slu'!$G$54,'Progetto del paramento slu'!$G$53)*IF(M1204&lt;0,-1,1)</f>
        <v>0</v>
      </c>
      <c r="T1204" s="553">
        <f>'Foglio deposito bis'!$F$61*IF(ABS(N1204)&lt;'Progetto del paramento slu'!$G$58,ABS(N1204)*'Progetto del paramento slu'!$G$54,'Progetto del paramento slu'!$G$53)*IF(N1204&lt;0,-1,1)</f>
        <v>240946.49743184328</v>
      </c>
      <c r="U1204" s="553">
        <f>'Foglio deposito bis'!$F$62*IF(ABS(O1204)&lt;'Progetto del paramento slu'!$G$58,ABS(O1204)*'Progetto del paramento slu'!$G$54,'Progetto del paramento slu'!$G$53)*IF(O1204&lt;0,-1,1)</f>
        <v>314705.62929873407</v>
      </c>
      <c r="V1204" s="479">
        <f t="shared" si="92"/>
        <v>-1684542.2683220014</v>
      </c>
      <c r="W1204" s="559"/>
      <c r="X1204" s="559"/>
    </row>
    <row r="1205" spans="1:24" x14ac:dyDescent="0.25">
      <c r="A1205" s="553">
        <f t="shared" si="91"/>
        <v>1748506.1900854625</v>
      </c>
      <c r="B1205" s="3">
        <f t="shared" si="89"/>
        <v>39.899999999999942</v>
      </c>
      <c r="C1205" s="553">
        <f>'Foglio deposito bis'!$E$157/sezione!$B$247*B1205</f>
        <v>161.97779724419678</v>
      </c>
      <c r="D1205" s="611">
        <f>-'Progetto del paramento slu'!$G$47*'Progetto del paramento slu'!$G$41*IF(DATI!$G$218="dx",DATI!$E$61,DATI!$E$64*DATI!$E$63)*1000*C1205^2*sezione!$AD$5*(1-sezione!$AD$6)</f>
        <v>-215981387.28144243</v>
      </c>
      <c r="E1205" s="553">
        <f>-'Foglio deposito bis'!$F$58*(C1205-sezione!$AL$31)*IF(ABS(K1205)&lt;'Progetto del paramento slu'!$G$58,ABS(K1205)*'Progetto del paramento slu'!$G$54,'Progetto del paramento slu'!$G$53)</f>
        <v>0</v>
      </c>
      <c r="F1205" s="553">
        <f>-'Foglio deposito bis'!$F$59*(C1205-sezione!$AM$31)*IF(ABS(L1205)&lt;'Progetto del paramento slu'!$G$58,ABS(L1205)*'Progetto del paramento slu'!$G$54,'Progetto del paramento slu'!$G$53)</f>
        <v>-250780.39161781486</v>
      </c>
      <c r="G1205" s="553">
        <f>-'Foglio deposito bis'!$F$60*(C1205-sezione!$AN$31)*IF(ABS(M1205)&lt;'Progetto del paramento slu'!$G$58,ABS(M1205)*'Progetto del paramento slu'!$G$54,'Progetto del paramento slu'!$G$53)</f>
        <v>0</v>
      </c>
      <c r="H1205" s="553">
        <f>-'Foglio deposito bis'!$F$61*(C1205-sezione!$AO$31)*IF(ABS(N1205)&lt;'Progetto del paramento slu'!$G$58,ABS(N1205)*'Progetto del paramento slu'!$G$54,'Progetto del paramento slu'!$G$53)</f>
        <v>42893826.219112225</v>
      </c>
      <c r="I1205" s="479">
        <f>-'Foglio deposito bis'!$F$62*(C1205-sezione!$AP$31)*IF(ABS(O1205)&lt;'Progetto del paramento slu'!$G$58,ABS(O1205)*'Progetto del paramento slu'!$G$54,'Progetto del paramento slu'!$G$53)</f>
        <v>30849394.800014656</v>
      </c>
      <c r="J1205" s="479">
        <f t="shared" si="90"/>
        <v>-142488946.65393338</v>
      </c>
      <c r="K1205" s="558">
        <f>'Progetto del paramento slu'!$G$60*(sezione!$AL$31-C1205)/C1205</f>
        <v>-2.6356840111306317E-3</v>
      </c>
      <c r="L1205" s="558">
        <f>'Progetto del paramento slu'!$G$60*(sezione!$AM$31-C1205)/C1205</f>
        <v>-2.5881504173986842E-4</v>
      </c>
      <c r="M1205" s="559">
        <f>'Progetto del paramento slu'!$G$60*(sezione!$AN$31-C1205)/C1205</f>
        <v>2.1180539276508949E-3</v>
      </c>
      <c r="N1205" s="559">
        <f>'Progetto del paramento slu'!$G$60*(sezione!$AO$31-C1205)/C1205</f>
        <v>3.8466859053896316E-3</v>
      </c>
      <c r="O1205" s="559">
        <f>'Progetto del paramento slu'!$G$60*(sezione!$AP$31-C1205)/C1205</f>
        <v>2.1181401514815132E-3</v>
      </c>
      <c r="P1205" s="553">
        <f>-'Progetto del paramento slu'!$G$47*'Progetto del paramento slu'!$G$41*IF(DATI!$G$218="dx",DATI!$E$61,DATI!$E$64*DATI!$E$63)*1000*C1205*sezione!$AD$5</f>
        <v>-2283221.2123965006</v>
      </c>
      <c r="Q1205" s="553">
        <f>'Foglio deposito bis'!$F$58*IF(ABS(K1205)&lt;'Progetto del paramento slu'!$G$58,ABS(K1205)*'Progetto del paramento slu'!$G$54,'Progetto del paramento slu'!$G$53)*IF(K1205&lt;0,-1,1)</f>
        <v>0</v>
      </c>
      <c r="R1205" s="553">
        <f>'Foglio deposito bis'!$F$59*IF(ABS(L1205)&lt;'Progetto del paramento slu'!$G$58,ABS(L1205)*'Progetto del paramento slu'!$G$54,'Progetto del paramento slu'!$G$53)*IF(L1205&lt;0,-1,1)</f>
        <v>-20937.104419539035</v>
      </c>
      <c r="S1205" s="553">
        <f>'Foglio deposito bis'!$F$60*IF(ABS(M1205)&lt;'Progetto del paramento slu'!$G$58,ABS(M1205)*'Progetto del paramento slu'!$G$54,'Progetto del paramento slu'!$G$53)*IF(M1205&lt;0,-1,1)</f>
        <v>0</v>
      </c>
      <c r="T1205" s="553">
        <f>'Foglio deposito bis'!$F$61*IF(ABS(N1205)&lt;'Progetto del paramento slu'!$G$58,ABS(N1205)*'Progetto del paramento slu'!$G$54,'Progetto del paramento slu'!$G$53)*IF(N1205&lt;0,-1,1)</f>
        <v>240946.49743184328</v>
      </c>
      <c r="U1205" s="553">
        <f>'Foglio deposito bis'!$F$62*IF(ABS(O1205)&lt;'Progetto del paramento slu'!$G$58,ABS(O1205)*'Progetto del paramento slu'!$G$54,'Progetto del paramento slu'!$G$53)*IF(O1205&lt;0,-1,1)</f>
        <v>314705.62929873407</v>
      </c>
      <c r="V1205" s="479">
        <f t="shared" si="92"/>
        <v>-1748506.1900854625</v>
      </c>
      <c r="W1205" s="559"/>
      <c r="X1205" s="559"/>
    </row>
    <row r="1206" spans="1:24" x14ac:dyDescent="0.25">
      <c r="A1206" s="553">
        <f t="shared" si="91"/>
        <v>1812140.5112386378</v>
      </c>
      <c r="B1206" s="3">
        <f t="shared" si="89"/>
        <v>40.899999999999942</v>
      </c>
      <c r="C1206" s="553">
        <f>'Foglio deposito bis'!$E$157/sezione!$B$247*B1206</f>
        <v>166.03739116009143</v>
      </c>
      <c r="D1206" s="611">
        <f>-'Progetto del paramento slu'!$G$47*'Progetto del paramento slu'!$G$41*IF(DATI!$G$218="dx",DATI!$E$61,DATI!$E$64*DATI!$E$63)*1000*C1206^2*sezione!$AD$5*(1-sezione!$AD$6)</f>
        <v>-226943187.83064786</v>
      </c>
      <c r="E1206" s="553">
        <f>-'Foglio deposito bis'!$F$58*(C1206-sezione!$AL$31)*IF(ABS(K1206)&lt;'Progetto del paramento slu'!$G$58,ABS(K1206)*'Progetto del paramento slu'!$G$54,'Progetto del paramento slu'!$G$53)</f>
        <v>0</v>
      </c>
      <c r="F1206" s="553">
        <f>-'Foglio deposito bis'!$F$59*(C1206-sezione!$AM$31)*IF(ABS(L1206)&lt;'Progetto del paramento slu'!$G$58,ABS(L1206)*'Progetto del paramento slu'!$G$54,'Progetto del paramento slu'!$G$53)</f>
        <v>-438587.94795835961</v>
      </c>
      <c r="G1206" s="553">
        <f>-'Foglio deposito bis'!$F$60*(C1206-sezione!$AN$31)*IF(ABS(M1206)&lt;'Progetto del paramento slu'!$G$58,ABS(M1206)*'Progetto del paramento slu'!$G$54,'Progetto del paramento slu'!$G$53)</f>
        <v>0</v>
      </c>
      <c r="H1206" s="553">
        <f>-'Foglio deposito bis'!$F$61*(C1206-sezione!$AO$31)*IF(ABS(N1206)&lt;'Progetto del paramento slu'!$G$58,ABS(N1206)*'Progetto del paramento slu'!$G$54,'Progetto del paramento slu'!$G$53)</f>
        <v>41915681.284081787</v>
      </c>
      <c r="I1206" s="479">
        <f>-'Foglio deposito bis'!$F$62*(C1206-sezione!$AP$31)*IF(ABS(O1206)&lt;'Progetto del paramento slu'!$G$58,ABS(O1206)*'Progetto del paramento slu'!$G$54,'Progetto del paramento slu'!$G$53)</f>
        <v>29571817.742015723</v>
      </c>
      <c r="J1206" s="479">
        <f t="shared" si="90"/>
        <v>-155894276.7525087</v>
      </c>
      <c r="K1206" s="558">
        <f>'Progetto del paramento slu'!$G$60*(sezione!$AL$31-C1206)/C1206</f>
        <v>-2.6568164313963863E-3</v>
      </c>
      <c r="L1206" s="558">
        <f>'Progetto del paramento slu'!$G$60*(sezione!$AM$31-C1206)/C1206</f>
        <v>-3.3806161773644854E-4</v>
      </c>
      <c r="M1206" s="559">
        <f>'Progetto del paramento slu'!$G$60*(sezione!$AN$31-C1206)/C1206</f>
        <v>1.9806931959234892E-3</v>
      </c>
      <c r="N1206" s="559">
        <f>'Progetto del paramento slu'!$G$60*(sezione!$AO$31-C1206)/C1206</f>
        <v>3.6670603331307168E-3</v>
      </c>
      <c r="O1206" s="559">
        <f>'Progetto del paramento slu'!$G$60*(sezione!$AP$31-C1206)/C1206</f>
        <v>1.98077731159199E-3</v>
      </c>
      <c r="P1206" s="553">
        <f>-'Progetto del paramento slu'!$G$47*'Progetto del paramento slu'!$G$41*IF(DATI!$G$218="dx",DATI!$E$61,DATI!$E$64*DATI!$E$63)*1000*C1206*sezione!$AD$5</f>
        <v>-2340444.801679621</v>
      </c>
      <c r="Q1206" s="553">
        <f>'Foglio deposito bis'!$F$58*IF(ABS(K1206)&lt;'Progetto del paramento slu'!$G$58,ABS(K1206)*'Progetto del paramento slu'!$G$54,'Progetto del paramento slu'!$G$53)*IF(K1206&lt;0,-1,1)</f>
        <v>0</v>
      </c>
      <c r="R1206" s="553">
        <f>'Foglio deposito bis'!$F$59*IF(ABS(L1206)&lt;'Progetto del paramento slu'!$G$58,ABS(L1206)*'Progetto del paramento slu'!$G$54,'Progetto del paramento slu'!$G$53)*IF(L1206&lt;0,-1,1)</f>
        <v>-27347.836289593823</v>
      </c>
      <c r="S1206" s="553">
        <f>'Foglio deposito bis'!$F$60*IF(ABS(M1206)&lt;'Progetto del paramento slu'!$G$58,ABS(M1206)*'Progetto del paramento slu'!$G$54,'Progetto del paramento slu'!$G$53)*IF(M1206&lt;0,-1,1)</f>
        <v>0</v>
      </c>
      <c r="T1206" s="553">
        <f>'Foglio deposito bis'!$F$61*IF(ABS(N1206)&lt;'Progetto del paramento slu'!$G$58,ABS(N1206)*'Progetto del paramento slu'!$G$54,'Progetto del paramento slu'!$G$53)*IF(N1206&lt;0,-1,1)</f>
        <v>240946.49743184328</v>
      </c>
      <c r="U1206" s="553">
        <f>'Foglio deposito bis'!$F$62*IF(ABS(O1206)&lt;'Progetto del paramento slu'!$G$58,ABS(O1206)*'Progetto del paramento slu'!$G$54,'Progetto del paramento slu'!$G$53)*IF(O1206&lt;0,-1,1)</f>
        <v>314705.62929873407</v>
      </c>
      <c r="V1206" s="479">
        <f t="shared" si="92"/>
        <v>-1812140.5112386378</v>
      </c>
      <c r="W1206" s="559"/>
      <c r="X1206" s="559"/>
    </row>
    <row r="1207" spans="1:24" x14ac:dyDescent="0.25">
      <c r="A1207" s="553">
        <f t="shared" si="91"/>
        <v>1883680.4306644783</v>
      </c>
      <c r="B1207" s="3">
        <f t="shared" si="89"/>
        <v>41.899999999999942</v>
      </c>
      <c r="C1207" s="553">
        <f>'Foglio deposito bis'!$E$157/sezione!$B$247*B1207</f>
        <v>170.09698507598608</v>
      </c>
      <c r="D1207" s="611">
        <f>-'Progetto del paramento slu'!$G$47*'Progetto del paramento slu'!$G$41*IF(DATI!$G$218="dx",DATI!$E$61,DATI!$E$64*DATI!$E$63)*1000*C1207^2*sezione!$AD$5*(1-sezione!$AD$6)</f>
        <v>-238176320.07661578</v>
      </c>
      <c r="E1207" s="553">
        <f>-'Foglio deposito bis'!$F$58*(C1207-sezione!$AL$31)*IF(ABS(K1207)&lt;'Progetto del paramento slu'!$G$58,ABS(K1207)*'Progetto del paramento slu'!$G$54,'Progetto del paramento slu'!$G$53)</f>
        <v>0</v>
      </c>
      <c r="F1207" s="553">
        <f>-'Foglio deposito bis'!$F$59*(C1207-sezione!$AM$31)*IF(ABS(L1207)&lt;'Progetto del paramento slu'!$G$58,ABS(L1207)*'Progetto del paramento slu'!$G$54,'Progetto del paramento slu'!$G$53)</f>
        <v>-672295.73248545406</v>
      </c>
      <c r="G1207" s="553">
        <f>-'Foglio deposito bis'!$F$60*(C1207-sezione!$AN$31)*IF(ABS(M1207)&lt;'Progetto del paramento slu'!$G$58,ABS(M1207)*'Progetto del paramento slu'!$G$54,'Progetto del paramento slu'!$G$53)</f>
        <v>0</v>
      </c>
      <c r="H1207" s="553">
        <f>-'Foglio deposito bis'!$F$61*(C1207-sezione!$AO$31)*IF(ABS(N1207)&lt;'Progetto del paramento slu'!$G$58,ABS(N1207)*'Progetto del paramento slu'!$G$54,'Progetto del paramento slu'!$G$53)</f>
        <v>40937536.349051349</v>
      </c>
      <c r="I1207" s="479">
        <f>-'Foglio deposito bis'!$F$62*(C1207-sezione!$AP$31)*IF(ABS(O1207)&lt;'Progetto del paramento slu'!$G$58,ABS(O1207)*'Progetto del paramento slu'!$G$54,'Progetto del paramento slu'!$G$53)</f>
        <v>27555960.337753501</v>
      </c>
      <c r="J1207" s="479">
        <f t="shared" si="90"/>
        <v>-170355119.12229636</v>
      </c>
      <c r="K1207" s="558">
        <f>'Progetto del paramento slu'!$G$60*(sezione!$AL$31-C1207)/C1207</f>
        <v>-2.6769401442508878E-3</v>
      </c>
      <c r="L1207" s="558">
        <f>'Progetto del paramento slu'!$G$60*(sezione!$AM$31-C1207)/C1207</f>
        <v>-4.1352554094082917E-4</v>
      </c>
      <c r="M1207" s="559">
        <f>'Progetto del paramento slu'!$G$60*(sezione!$AN$31-C1207)/C1207</f>
        <v>1.8498890623692295E-3</v>
      </c>
      <c r="N1207" s="559">
        <f>'Progetto del paramento slu'!$G$60*(sezione!$AO$31-C1207)/C1207</f>
        <v>3.4960087738674537E-3</v>
      </c>
      <c r="O1207" s="559">
        <f>'Progetto del paramento slu'!$G$60*(sezione!$AP$31-C1207)/C1207</f>
        <v>1.8499711705038755E-3</v>
      </c>
      <c r="P1207" s="553">
        <f>-'Progetto del paramento slu'!$G$47*'Progetto del paramento slu'!$G$41*IF(DATI!$G$218="dx",DATI!$E$61,DATI!$E$64*DATI!$E$63)*1000*C1207*sezione!$AD$5</f>
        <v>-2397668.3909627418</v>
      </c>
      <c r="Q1207" s="553">
        <f>'Foglio deposito bis'!$F$58*IF(ABS(K1207)&lt;'Progetto del paramento slu'!$G$58,ABS(K1207)*'Progetto del paramento slu'!$G$54,'Progetto del paramento slu'!$G$53)*IF(K1207&lt;0,-1,1)</f>
        <v>0</v>
      </c>
      <c r="R1207" s="553">
        <f>'Foglio deposito bis'!$F$59*IF(ABS(L1207)&lt;'Progetto del paramento slu'!$G$58,ABS(L1207)*'Progetto del paramento slu'!$G$54,'Progetto del paramento slu'!$G$53)*IF(L1207&lt;0,-1,1)</f>
        <v>-33452.566638404947</v>
      </c>
      <c r="S1207" s="553">
        <f>'Foglio deposito bis'!$F$60*IF(ABS(M1207)&lt;'Progetto del paramento slu'!$G$58,ABS(M1207)*'Progetto del paramento slu'!$G$54,'Progetto del paramento slu'!$G$53)*IF(M1207&lt;0,-1,1)</f>
        <v>0</v>
      </c>
      <c r="T1207" s="553">
        <f>'Foglio deposito bis'!$F$61*IF(ABS(N1207)&lt;'Progetto del paramento slu'!$G$58,ABS(N1207)*'Progetto del paramento slu'!$G$54,'Progetto del paramento slu'!$G$53)*IF(N1207&lt;0,-1,1)</f>
        <v>240946.49743184328</v>
      </c>
      <c r="U1207" s="553">
        <f>'Foglio deposito bis'!$F$62*IF(ABS(O1207)&lt;'Progetto del paramento slu'!$G$58,ABS(O1207)*'Progetto del paramento slu'!$G$54,'Progetto del paramento slu'!$G$53)*IF(O1207&lt;0,-1,1)</f>
        <v>306494.02950482548</v>
      </c>
      <c r="V1207" s="479">
        <f t="shared" si="92"/>
        <v>-1883680.4306644783</v>
      </c>
      <c r="W1207" s="559"/>
      <c r="X1207" s="559"/>
    </row>
    <row r="1208" spans="1:24" x14ac:dyDescent="0.25">
      <c r="A1208" s="553">
        <f t="shared" si="91"/>
        <v>1967385.1413089086</v>
      </c>
      <c r="B1208" s="3">
        <f t="shared" si="89"/>
        <v>42.899999999999942</v>
      </c>
      <c r="C1208" s="553">
        <f>'Foglio deposito bis'!$E$157/sezione!$B$247*B1208</f>
        <v>174.15657899188076</v>
      </c>
      <c r="D1208" s="611">
        <f>-'Progetto del paramento slu'!$G$47*'Progetto del paramento slu'!$G$41*IF(DATI!$G$218="dx",DATI!$E$61,DATI!$E$64*DATI!$E$63)*1000*C1208^2*sezione!$AD$5*(1-sezione!$AD$6)</f>
        <v>-249680784.01934633</v>
      </c>
      <c r="E1208" s="553">
        <f>-'Foglio deposito bis'!$F$58*(C1208-sezione!$AL$31)*IF(ABS(K1208)&lt;'Progetto del paramento slu'!$G$58,ABS(K1208)*'Progetto del paramento slu'!$G$54,'Progetto del paramento slu'!$G$53)</f>
        <v>0</v>
      </c>
      <c r="F1208" s="553">
        <f>-'Foglio deposito bis'!$F$59*(C1208-sezione!$AM$31)*IF(ABS(L1208)&lt;'Progetto del paramento slu'!$G$58,ABS(L1208)*'Progetto del paramento slu'!$G$54,'Progetto del paramento slu'!$G$53)</f>
        <v>-948693.93903220876</v>
      </c>
      <c r="G1208" s="553">
        <f>-'Foglio deposito bis'!$F$60*(C1208-sezione!$AN$31)*IF(ABS(M1208)&lt;'Progetto del paramento slu'!$G$58,ABS(M1208)*'Progetto del paramento slu'!$G$54,'Progetto del paramento slu'!$G$53)</f>
        <v>0</v>
      </c>
      <c r="H1208" s="553">
        <f>-'Foglio deposito bis'!$F$61*(C1208-sezione!$AO$31)*IF(ABS(N1208)&lt;'Progetto del paramento slu'!$G$58,ABS(N1208)*'Progetto del paramento slu'!$G$54,'Progetto del paramento slu'!$G$53)</f>
        <v>39959391.414020903</v>
      </c>
      <c r="I1208" s="479">
        <f>-'Foglio deposito bis'!$F$62*(C1208-sezione!$AP$31)*IF(ABS(O1208)&lt;'Progetto del paramento slu'!$G$58,ABS(O1208)*'Progetto del paramento slu'!$G$54,'Progetto del paramento slu'!$G$53)</f>
        <v>24538026.203557462</v>
      </c>
      <c r="J1208" s="479">
        <f t="shared" si="90"/>
        <v>-186132060.34080017</v>
      </c>
      <c r="K1208" s="558">
        <f>'Progetto del paramento slu'!$G$60*(sezione!$AL$31-C1208)/C1208</f>
        <v>-2.696125688673944E-3</v>
      </c>
      <c r="L1208" s="558">
        <f>'Progetto del paramento slu'!$G$60*(sezione!$AM$31-C1208)/C1208</f>
        <v>-4.8547133252729044E-4</v>
      </c>
      <c r="M1208" s="559">
        <f>'Progetto del paramento slu'!$G$60*(sezione!$AN$31-C1208)/C1208</f>
        <v>1.7251830236193633E-3</v>
      </c>
      <c r="N1208" s="559">
        <f>'Progetto del paramento slu'!$G$60*(sezione!$AO$31-C1208)/C1208</f>
        <v>3.3329316462714751E-3</v>
      </c>
      <c r="O1208" s="559">
        <f>'Progetto del paramento slu'!$G$60*(sezione!$AP$31-C1208)/C1208</f>
        <v>1.7252632178114771E-3</v>
      </c>
      <c r="P1208" s="553">
        <f>-'Progetto del paramento slu'!$G$47*'Progetto del paramento slu'!$G$41*IF(DATI!$G$218="dx",DATI!$E$61,DATI!$E$64*DATI!$E$63)*1000*C1208*sezione!$AD$5</f>
        <v>-2454891.9802458622</v>
      </c>
      <c r="Q1208" s="553">
        <f>'Foglio deposito bis'!$F$58*IF(ABS(K1208)&lt;'Progetto del paramento slu'!$G$58,ABS(K1208)*'Progetto del paramento slu'!$G$54,'Progetto del paramento slu'!$G$53)*IF(K1208&lt;0,-1,1)</f>
        <v>0</v>
      </c>
      <c r="R1208" s="553">
        <f>'Foglio deposito bis'!$F$59*IF(ABS(L1208)&lt;'Progetto del paramento slu'!$G$58,ABS(L1208)*'Progetto del paramento slu'!$G$54,'Progetto del paramento slu'!$G$53)*IF(L1208&lt;0,-1,1)</f>
        <v>-39272.694173751719</v>
      </c>
      <c r="S1208" s="553">
        <f>'Foglio deposito bis'!$F$60*IF(ABS(M1208)&lt;'Progetto del paramento slu'!$G$58,ABS(M1208)*'Progetto del paramento slu'!$G$54,'Progetto del paramento slu'!$G$53)*IF(M1208&lt;0,-1,1)</f>
        <v>0</v>
      </c>
      <c r="T1208" s="553">
        <f>'Foglio deposito bis'!$F$61*IF(ABS(N1208)&lt;'Progetto del paramento slu'!$G$58,ABS(N1208)*'Progetto del paramento slu'!$G$54,'Progetto del paramento slu'!$G$53)*IF(N1208&lt;0,-1,1)</f>
        <v>240946.49743184328</v>
      </c>
      <c r="U1208" s="553">
        <f>'Foglio deposito bis'!$F$62*IF(ABS(O1208)&lt;'Progetto del paramento slu'!$G$58,ABS(O1208)*'Progetto del paramento slu'!$G$54,'Progetto del paramento slu'!$G$53)*IF(O1208&lt;0,-1,1)</f>
        <v>285833.03567886236</v>
      </c>
      <c r="V1208" s="479">
        <f t="shared" si="92"/>
        <v>-1967385.1413089086</v>
      </c>
      <c r="W1208" s="559"/>
      <c r="X1208" s="559"/>
    </row>
    <row r="1209" spans="1:24" x14ac:dyDescent="0.25">
      <c r="A1209" s="553">
        <f t="shared" si="91"/>
        <v>2049883.4227341446</v>
      </c>
      <c r="B1209" s="3">
        <f t="shared" si="89"/>
        <v>43.899999999999942</v>
      </c>
      <c r="C1209" s="553">
        <f>'Foglio deposito bis'!$E$157/sezione!$B$247*B1209</f>
        <v>178.21617290777542</v>
      </c>
      <c r="D1209" s="611">
        <f>-'Progetto del paramento slu'!$G$47*'Progetto del paramento slu'!$G$41*IF(DATI!$G$218="dx",DATI!$E$61,DATI!$E$64*DATI!$E$63)*1000*C1209^2*sezione!$AD$5*(1-sezione!$AD$6)</f>
        <v>-261456579.65883926</v>
      </c>
      <c r="E1209" s="553">
        <f>-'Foglio deposito bis'!$F$58*(C1209-sezione!$AL$31)*IF(ABS(K1209)&lt;'Progetto del paramento slu'!$G$58,ABS(K1209)*'Progetto del paramento slu'!$G$54,'Progetto del paramento slu'!$G$53)</f>
        <v>0</v>
      </c>
      <c r="F1209" s="553">
        <f>-'Foglio deposito bis'!$F$59*(C1209-sezione!$AM$31)*IF(ABS(L1209)&lt;'Progetto del paramento slu'!$G$58,ABS(L1209)*'Progetto del paramento slu'!$G$54,'Progetto del paramento slu'!$G$53)</f>
        <v>-1264865.2266861147</v>
      </c>
      <c r="G1209" s="553">
        <f>-'Foglio deposito bis'!$F$60*(C1209-sezione!$AN$31)*IF(ABS(M1209)&lt;'Progetto del paramento slu'!$G$58,ABS(M1209)*'Progetto del paramento slu'!$G$54,'Progetto del paramento slu'!$G$53)</f>
        <v>0</v>
      </c>
      <c r="H1209" s="553">
        <f>-'Foglio deposito bis'!$F$61*(C1209-sezione!$AO$31)*IF(ABS(N1209)&lt;'Progetto del paramento slu'!$G$58,ABS(N1209)*'Progetto del paramento slu'!$G$54,'Progetto del paramento slu'!$G$53)</f>
        <v>38981246.478990465</v>
      </c>
      <c r="I1209" s="479">
        <f>-'Foglio deposito bis'!$F$62*(C1209-sezione!$AP$31)*IF(ABS(O1209)&lt;'Progetto del paramento slu'!$G$58,ABS(O1209)*'Progetto del paramento slu'!$G$54,'Progetto del paramento slu'!$G$53)</f>
        <v>21764827.415150154</v>
      </c>
      <c r="J1209" s="479">
        <f t="shared" si="90"/>
        <v>-201975370.99138474</v>
      </c>
      <c r="K1209" s="558">
        <f>'Progetto del paramento slu'!$G$60*(sezione!$AL$31-C1209)/C1209</f>
        <v>-2.714437176403467E-3</v>
      </c>
      <c r="L1209" s="558">
        <f>'Progetto del paramento slu'!$G$60*(sezione!$AM$31-C1209)/C1209</f>
        <v>-5.5413941151300134E-4</v>
      </c>
      <c r="M1209" s="559">
        <f>'Progetto del paramento slu'!$G$60*(sezione!$AN$31-C1209)/C1209</f>
        <v>1.6061583533774643E-3</v>
      </c>
      <c r="N1209" s="559">
        <f>'Progetto del paramento slu'!$G$60*(sezione!$AO$31-C1209)/C1209</f>
        <v>3.1772840005705304E-3</v>
      </c>
      <c r="O1209" s="559">
        <f>'Progetto del paramento slu'!$G$60*(sezione!$AP$31-C1209)/C1209</f>
        <v>1.606236720822605E-3</v>
      </c>
      <c r="P1209" s="553">
        <f>-'Progetto del paramento slu'!$G$47*'Progetto del paramento slu'!$G$41*IF(DATI!$G$218="dx",DATI!$E$61,DATI!$E$64*DATI!$E$63)*1000*C1209*sezione!$AD$5</f>
        <v>-2512115.5695289825</v>
      </c>
      <c r="Q1209" s="553">
        <f>'Foglio deposito bis'!$F$58*IF(ABS(K1209)&lt;'Progetto del paramento slu'!$G$58,ABS(K1209)*'Progetto del paramento slu'!$G$54,'Progetto del paramento slu'!$G$53)*IF(K1209&lt;0,-1,1)</f>
        <v>0</v>
      </c>
      <c r="R1209" s="553">
        <f>'Foglio deposito bis'!$F$59*IF(ABS(L1209)&lt;'Progetto del paramento slu'!$G$58,ABS(L1209)*'Progetto del paramento slu'!$G$54,'Progetto del paramento slu'!$G$53)*IF(L1209&lt;0,-1,1)</f>
        <v>-44827.667835050765</v>
      </c>
      <c r="S1209" s="553">
        <f>'Foglio deposito bis'!$F$60*IF(ABS(M1209)&lt;'Progetto del paramento slu'!$G$58,ABS(M1209)*'Progetto del paramento slu'!$G$54,'Progetto del paramento slu'!$G$53)*IF(M1209&lt;0,-1,1)</f>
        <v>0</v>
      </c>
      <c r="T1209" s="553">
        <f>'Foglio deposito bis'!$F$61*IF(ABS(N1209)&lt;'Progetto del paramento slu'!$G$58,ABS(N1209)*'Progetto del paramento slu'!$G$54,'Progetto del paramento slu'!$G$53)*IF(N1209&lt;0,-1,1)</f>
        <v>240946.49743184328</v>
      </c>
      <c r="U1209" s="553">
        <f>'Foglio deposito bis'!$F$62*IF(ABS(O1209)&lt;'Progetto del paramento slu'!$G$58,ABS(O1209)*'Progetto del paramento slu'!$G$54,'Progetto del paramento slu'!$G$53)*IF(O1209&lt;0,-1,1)</f>
        <v>266113.31719804567</v>
      </c>
      <c r="V1209" s="479">
        <f t="shared" si="92"/>
        <v>-2049883.4227341446</v>
      </c>
      <c r="W1209" s="559"/>
      <c r="X1209" s="559"/>
    </row>
    <row r="1210" spans="1:24" x14ac:dyDescent="0.25">
      <c r="A1210" s="553">
        <f t="shared" si="91"/>
        <v>2131255.8826831179</v>
      </c>
      <c r="B1210" s="3">
        <f t="shared" si="89"/>
        <v>44.899999999999942</v>
      </c>
      <c r="C1210" s="553">
        <f>'Foglio deposito bis'!$E$157/sezione!$B$247*B1210</f>
        <v>182.2757668236701</v>
      </c>
      <c r="D1210" s="611">
        <f>-'Progetto del paramento slu'!$G$47*'Progetto del paramento slu'!$G$41*IF(DATI!$G$218="dx",DATI!$E$61,DATI!$E$64*DATI!$E$63)*1000*C1210^2*sezione!$AD$5*(1-sezione!$AD$6)</f>
        <v>-273503706.99509484</v>
      </c>
      <c r="E1210" s="553">
        <f>-'Foglio deposito bis'!$F$58*(C1210-sezione!$AL$31)*IF(ABS(K1210)&lt;'Progetto del paramento slu'!$G$58,ABS(K1210)*'Progetto del paramento slu'!$G$54,'Progetto del paramento slu'!$G$53)</f>
        <v>0</v>
      </c>
      <c r="F1210" s="553">
        <f>-'Foglio deposito bis'!$F$59*(C1210-sezione!$AM$31)*IF(ABS(L1210)&lt;'Progetto del paramento slu'!$G$58,ABS(L1210)*'Progetto del paramento slu'!$G$54,'Progetto del paramento slu'!$G$53)</f>
        <v>-1618152.1512752061</v>
      </c>
      <c r="G1210" s="553">
        <f>-'Foglio deposito bis'!$F$60*(C1210-sezione!$AN$31)*IF(ABS(M1210)&lt;'Progetto del paramento slu'!$G$58,ABS(M1210)*'Progetto del paramento slu'!$G$54,'Progetto del paramento slu'!$G$53)</f>
        <v>0</v>
      </c>
      <c r="H1210" s="553">
        <f>-'Foglio deposito bis'!$F$61*(C1210-sezione!$AO$31)*IF(ABS(N1210)&lt;'Progetto del paramento slu'!$G$58,ABS(N1210)*'Progetto del paramento slu'!$G$54,'Progetto del paramento slu'!$G$53)</f>
        <v>38003101.54396002</v>
      </c>
      <c r="I1210" s="479">
        <f>-'Foglio deposito bis'!$F$62*(C1210-sezione!$AP$31)*IF(ABS(O1210)&lt;'Progetto del paramento slu'!$G$58,ABS(O1210)*'Progetto del paramento slu'!$G$54,'Progetto del paramento slu'!$G$53)</f>
        <v>19220011.944973275</v>
      </c>
      <c r="J1210" s="479">
        <f t="shared" si="90"/>
        <v>-217898745.65743673</v>
      </c>
      <c r="K1210" s="558">
        <f>'Progetto del paramento slu'!$G$60*(sezione!$AL$31-C1210)/C1210</f>
        <v>-2.731933007663969E-3</v>
      </c>
      <c r="L1210" s="558">
        <f>'Progetto del paramento slu'!$G$60*(sezione!$AM$31-C1210)/C1210</f>
        <v>-6.197487787398836E-4</v>
      </c>
      <c r="M1210" s="559">
        <f>'Progetto del paramento slu'!$G$60*(sezione!$AN$31-C1210)/C1210</f>
        <v>1.4924354501842018E-3</v>
      </c>
      <c r="N1210" s="559">
        <f>'Progetto del paramento slu'!$G$60*(sezione!$AO$31-C1210)/C1210</f>
        <v>3.0285694348562639E-3</v>
      </c>
      <c r="O1210" s="559">
        <f>'Progetto del paramento slu'!$G$60*(sezione!$AP$31-C1210)/C1210</f>
        <v>1.4925120722519452E-3</v>
      </c>
      <c r="P1210" s="553">
        <f>-'Progetto del paramento slu'!$G$47*'Progetto del paramento slu'!$G$41*IF(DATI!$G$218="dx",DATI!$E$61,DATI!$E$64*DATI!$E$63)*1000*C1210*sezione!$AD$5</f>
        <v>-2569339.1588121033</v>
      </c>
      <c r="Q1210" s="553">
        <f>'Foglio deposito bis'!$F$58*IF(ABS(K1210)&lt;'Progetto del paramento slu'!$G$58,ABS(K1210)*'Progetto del paramento slu'!$G$54,'Progetto del paramento slu'!$G$53)*IF(K1210&lt;0,-1,1)</f>
        <v>0</v>
      </c>
      <c r="R1210" s="553">
        <f>'Foglio deposito bis'!$F$59*IF(ABS(L1210)&lt;'Progetto del paramento slu'!$G$58,ABS(L1210)*'Progetto del paramento slu'!$G$54,'Progetto del paramento slu'!$G$53)*IF(L1210&lt;0,-1,1)</f>
        <v>-50135.20391678196</v>
      </c>
      <c r="S1210" s="553">
        <f>'Foglio deposito bis'!$F$60*IF(ABS(M1210)&lt;'Progetto del paramento slu'!$G$58,ABS(M1210)*'Progetto del paramento slu'!$G$54,'Progetto del paramento slu'!$G$53)*IF(M1210&lt;0,-1,1)</f>
        <v>0</v>
      </c>
      <c r="T1210" s="553">
        <f>'Foglio deposito bis'!$F$61*IF(ABS(N1210)&lt;'Progetto del paramento slu'!$G$58,ABS(N1210)*'Progetto del paramento slu'!$G$54,'Progetto del paramento slu'!$G$53)*IF(N1210&lt;0,-1,1)</f>
        <v>240946.49743184328</v>
      </c>
      <c r="U1210" s="553">
        <f>'Foglio deposito bis'!$F$62*IF(ABS(O1210)&lt;'Progetto del paramento slu'!$G$58,ABS(O1210)*'Progetto del paramento slu'!$G$54,'Progetto del paramento slu'!$G$53)*IF(O1210&lt;0,-1,1)</f>
        <v>247271.98261392448</v>
      </c>
      <c r="V1210" s="479">
        <f t="shared" si="92"/>
        <v>-2131255.8826831179</v>
      </c>
      <c r="W1210" s="559"/>
      <c r="X1210" s="559"/>
    </row>
    <row r="1211" spans="1:24" x14ac:dyDescent="0.25">
      <c r="A1211" s="553">
        <f t="shared" si="91"/>
        <v>2211576.1042588502</v>
      </c>
      <c r="B1211" s="3">
        <f t="shared" si="89"/>
        <v>45.899999999999942</v>
      </c>
      <c r="C1211" s="553">
        <f>'Foglio deposito bis'!$E$157/sezione!$B$247*B1211</f>
        <v>186.33536073956475</v>
      </c>
      <c r="D1211" s="611">
        <f>-'Progetto del paramento slu'!$G$47*'Progetto del paramento slu'!$G$41*IF(DATI!$G$218="dx",DATI!$E$61,DATI!$E$64*DATI!$E$63)*1000*C1211^2*sezione!$AD$5*(1-sezione!$AD$6)</f>
        <v>-285822166.02811283</v>
      </c>
      <c r="E1211" s="553">
        <f>-'Foglio deposito bis'!$F$58*(C1211-sezione!$AL$31)*IF(ABS(K1211)&lt;'Progetto del paramento slu'!$G$58,ABS(K1211)*'Progetto del paramento slu'!$G$54,'Progetto del paramento slu'!$G$53)</f>
        <v>0</v>
      </c>
      <c r="F1211" s="553">
        <f>-'Foglio deposito bis'!$F$59*(C1211-sezione!$AM$31)*IF(ABS(L1211)&lt;'Progetto del paramento slu'!$G$58,ABS(L1211)*'Progetto del paramento slu'!$G$54,'Progetto del paramento slu'!$G$53)</f>
        <v>-2006128.8541762638</v>
      </c>
      <c r="G1211" s="553">
        <f>-'Foglio deposito bis'!$F$60*(C1211-sezione!$AN$31)*IF(ABS(M1211)&lt;'Progetto del paramento slu'!$G$58,ABS(M1211)*'Progetto del paramento slu'!$G$54,'Progetto del paramento slu'!$G$53)</f>
        <v>0</v>
      </c>
      <c r="H1211" s="553">
        <f>-'Foglio deposito bis'!$F$61*(C1211-sezione!$AO$31)*IF(ABS(N1211)&lt;'Progetto del paramento slu'!$G$58,ABS(N1211)*'Progetto del paramento slu'!$G$54,'Progetto del paramento slu'!$G$53)</f>
        <v>37024956.608929582</v>
      </c>
      <c r="I1211" s="479">
        <f>-'Foglio deposito bis'!$F$62*(C1211-sezione!$AP$31)*IF(ABS(O1211)&lt;'Progetto del paramento slu'!$G$58,ABS(O1211)*'Progetto del paramento slu'!$G$54,'Progetto del paramento slu'!$G$53)</f>
        <v>16888652.778763443</v>
      </c>
      <c r="J1211" s="479">
        <f t="shared" si="90"/>
        <v>-233914685.49459609</v>
      </c>
      <c r="K1211" s="558">
        <f>'Progetto del paramento slu'!$G$60*(sezione!$AL$31-C1211)/C1211</f>
        <v>-2.7486664933357775E-3</v>
      </c>
      <c r="L1211" s="558">
        <f>'Progetto del paramento slu'!$G$60*(sezione!$AM$31-C1211)/C1211</f>
        <v>-6.824993500091672E-4</v>
      </c>
      <c r="M1211" s="559">
        <f>'Progetto del paramento slu'!$G$60*(sezione!$AN$31-C1211)/C1211</f>
        <v>1.3836677933174437E-3</v>
      </c>
      <c r="N1211" s="559">
        <f>'Progetto del paramento slu'!$G$60*(sezione!$AO$31-C1211)/C1211</f>
        <v>2.8863348066458876E-3</v>
      </c>
      <c r="O1211" s="559">
        <f>'Progetto del paramento slu'!$G$60*(sezione!$AP$31-C1211)/C1211</f>
        <v>1.3837427460590924E-3</v>
      </c>
      <c r="P1211" s="553">
        <f>-'Progetto del paramento slu'!$G$47*'Progetto del paramento slu'!$G$41*IF(DATI!$G$218="dx",DATI!$E$61,DATI!$E$64*DATI!$E$63)*1000*C1211*sezione!$AD$5</f>
        <v>-2626562.7480952232</v>
      </c>
      <c r="Q1211" s="553">
        <f>'Foglio deposito bis'!$F$58*IF(ABS(K1211)&lt;'Progetto del paramento slu'!$G$58,ABS(K1211)*'Progetto del paramento slu'!$G$54,'Progetto del paramento slu'!$G$53)*IF(K1211&lt;0,-1,1)</f>
        <v>0</v>
      </c>
      <c r="R1211" s="553">
        <f>'Foglio deposito bis'!$F$59*IF(ABS(L1211)&lt;'Progetto del paramento slu'!$G$58,ABS(L1211)*'Progetto del paramento slu'!$G$54,'Progetto del paramento slu'!$G$53)*IF(L1211&lt;0,-1,1)</f>
        <v>-55211.474809766667</v>
      </c>
      <c r="S1211" s="553">
        <f>'Foglio deposito bis'!$F$60*IF(ABS(M1211)&lt;'Progetto del paramento slu'!$G$58,ABS(M1211)*'Progetto del paramento slu'!$G$54,'Progetto del paramento slu'!$G$53)*IF(M1211&lt;0,-1,1)</f>
        <v>0</v>
      </c>
      <c r="T1211" s="553">
        <f>'Foglio deposito bis'!$F$61*IF(ABS(N1211)&lt;'Progetto del paramento slu'!$G$58,ABS(N1211)*'Progetto del paramento slu'!$G$54,'Progetto del paramento slu'!$G$53)*IF(N1211&lt;0,-1,1)</f>
        <v>240946.49743184328</v>
      </c>
      <c r="U1211" s="553">
        <f>'Foglio deposito bis'!$F$62*IF(ABS(O1211)&lt;'Progetto del paramento slu'!$G$58,ABS(O1211)*'Progetto del paramento slu'!$G$54,'Progetto del paramento slu'!$G$53)*IF(O1211&lt;0,-1,1)</f>
        <v>229251.62121429679</v>
      </c>
      <c r="V1211" s="479">
        <f t="shared" si="92"/>
        <v>-2211576.1042588502</v>
      </c>
      <c r="W1211" s="559"/>
      <c r="X1211" s="559"/>
    </row>
    <row r="1212" spans="1:24" x14ac:dyDescent="0.25">
      <c r="A1212" s="553">
        <f t="shared" si="91"/>
        <v>2290911.3948199726</v>
      </c>
      <c r="B1212" s="3">
        <f t="shared" si="89"/>
        <v>46.899999999999942</v>
      </c>
      <c r="C1212" s="553">
        <f>'Foglio deposito bis'!$E$157/sezione!$B$247*B1212</f>
        <v>190.3949546554594</v>
      </c>
      <c r="D1212" s="611">
        <f>-'Progetto del paramento slu'!$G$47*'Progetto del paramento slu'!$G$41*IF(DATI!$G$218="dx",DATI!$E$61,DATI!$E$64*DATI!$E$63)*1000*C1212^2*sezione!$AD$5*(1-sezione!$AD$6)</f>
        <v>-298411956.75789326</v>
      </c>
      <c r="E1212" s="553">
        <f>-'Foglio deposito bis'!$F$58*(C1212-sezione!$AL$31)*IF(ABS(K1212)&lt;'Progetto del paramento slu'!$G$58,ABS(K1212)*'Progetto del paramento slu'!$G$54,'Progetto del paramento slu'!$G$53)</f>
        <v>0</v>
      </c>
      <c r="F1212" s="553">
        <f>-'Foglio deposito bis'!$F$59*(C1212-sezione!$AM$31)*IF(ABS(L1212)&lt;'Progetto del paramento slu'!$G$58,ABS(L1212)*'Progetto del paramento slu'!$G$54,'Progetto del paramento slu'!$G$53)</f>
        <v>-2426576.3730239179</v>
      </c>
      <c r="G1212" s="553">
        <f>-'Foglio deposito bis'!$F$60*(C1212-sezione!$AN$31)*IF(ABS(M1212)&lt;'Progetto del paramento slu'!$G$58,ABS(M1212)*'Progetto del paramento slu'!$G$54,'Progetto del paramento slu'!$G$53)</f>
        <v>0</v>
      </c>
      <c r="H1212" s="553">
        <f>-'Foglio deposito bis'!$F$61*(C1212-sezione!$AO$31)*IF(ABS(N1212)&lt;'Progetto del paramento slu'!$G$58,ABS(N1212)*'Progetto del paramento slu'!$G$54,'Progetto del paramento slu'!$G$53)</f>
        <v>36046811.673899151</v>
      </c>
      <c r="I1212" s="479">
        <f>-'Foglio deposito bis'!$F$62*(C1212-sezione!$AP$31)*IF(ABS(O1212)&lt;'Progetto del paramento slu'!$G$58,ABS(O1212)*'Progetto del paramento slu'!$G$54,'Progetto del paramento slu'!$G$53)</f>
        <v>14757095.995158128</v>
      </c>
      <c r="J1212" s="479">
        <f t="shared" si="90"/>
        <v>-250034625.46185991</v>
      </c>
      <c r="K1212" s="558">
        <f>'Progetto del paramento slu'!$G$60*(sezione!$AL$31-C1212)/C1212</f>
        <v>-2.764686397529045E-3</v>
      </c>
      <c r="L1212" s="558">
        <f>'Progetto del paramento slu'!$G$60*(sezione!$AM$31-C1212)/C1212</f>
        <v>-7.4257399073391825E-4</v>
      </c>
      <c r="M1212" s="559">
        <f>'Progetto del paramento slu'!$G$60*(sezione!$AN$31-C1212)/C1212</f>
        <v>1.2795384160612083E-3</v>
      </c>
      <c r="N1212" s="559">
        <f>'Progetto del paramento slu'!$G$60*(sezione!$AO$31-C1212)/C1212</f>
        <v>2.7501656210031184E-3</v>
      </c>
      <c r="O1212" s="559">
        <f>'Progetto del paramento slu'!$G$60*(sezione!$AP$31-C1212)/C1212</f>
        <v>1.2796117706633762E-3</v>
      </c>
      <c r="P1212" s="553">
        <f>-'Progetto del paramento slu'!$G$47*'Progetto del paramento slu'!$G$41*IF(DATI!$G$218="dx",DATI!$E$61,DATI!$E$64*DATI!$E$63)*1000*C1212*sezione!$AD$5</f>
        <v>-2683786.3373783436</v>
      </c>
      <c r="Q1212" s="553">
        <f>'Foglio deposito bis'!$F$58*IF(ABS(K1212)&lt;'Progetto del paramento slu'!$G$58,ABS(K1212)*'Progetto del paramento slu'!$G$54,'Progetto del paramento slu'!$G$53)*IF(K1212&lt;0,-1,1)</f>
        <v>0</v>
      </c>
      <c r="R1212" s="553">
        <f>'Foglio deposito bis'!$F$59*IF(ABS(L1212)&lt;'Progetto del paramento slu'!$G$58,ABS(L1212)*'Progetto del paramento slu'!$G$54,'Progetto del paramento slu'!$G$53)*IF(L1212&lt;0,-1,1)</f>
        <v>-60071.273596440704</v>
      </c>
      <c r="S1212" s="553">
        <f>'Foglio deposito bis'!$F$60*IF(ABS(M1212)&lt;'Progetto del paramento slu'!$G$58,ABS(M1212)*'Progetto del paramento slu'!$G$54,'Progetto del paramento slu'!$G$53)*IF(M1212&lt;0,-1,1)</f>
        <v>0</v>
      </c>
      <c r="T1212" s="553">
        <f>'Foglio deposito bis'!$F$61*IF(ABS(N1212)&lt;'Progetto del paramento slu'!$G$58,ABS(N1212)*'Progetto del paramento slu'!$G$54,'Progetto del paramento slu'!$G$53)*IF(N1212&lt;0,-1,1)</f>
        <v>240946.49743184328</v>
      </c>
      <c r="U1212" s="553">
        <f>'Foglio deposito bis'!$F$62*IF(ABS(O1212)&lt;'Progetto del paramento slu'!$G$58,ABS(O1212)*'Progetto del paramento slu'!$G$54,'Progetto del paramento slu'!$G$53)*IF(O1212&lt;0,-1,1)</f>
        <v>211999.71872296871</v>
      </c>
      <c r="V1212" s="479">
        <f t="shared" si="92"/>
        <v>-2290911.3948199726</v>
      </c>
      <c r="W1212" s="559"/>
      <c r="X1212" s="559"/>
    </row>
    <row r="1213" spans="1:24" x14ac:dyDescent="0.25">
      <c r="A1213" s="553">
        <f t="shared" si="91"/>
        <v>2369323.4410688616</v>
      </c>
      <c r="B1213" s="3">
        <f t="shared" si="89"/>
        <v>47.899999999999942</v>
      </c>
      <c r="C1213" s="553">
        <f>'Foglio deposito bis'!$E$157/sezione!$B$247*B1213</f>
        <v>194.45454857135408</v>
      </c>
      <c r="D1213" s="611">
        <f>-'Progetto del paramento slu'!$G$47*'Progetto del paramento slu'!$G$41*IF(DATI!$G$218="dx",DATI!$E$61,DATI!$E$64*DATI!$E$63)*1000*C1213^2*sezione!$AD$5*(1-sezione!$AD$6)</f>
        <v>-311273079.18443632</v>
      </c>
      <c r="E1213" s="553">
        <f>-'Foglio deposito bis'!$F$58*(C1213-sezione!$AL$31)*IF(ABS(K1213)&lt;'Progetto del paramento slu'!$G$58,ABS(K1213)*'Progetto del paramento slu'!$G$54,'Progetto del paramento slu'!$G$53)</f>
        <v>0</v>
      </c>
      <c r="F1213" s="553">
        <f>-'Foglio deposito bis'!$F$59*(C1213-sezione!$AM$31)*IF(ABS(L1213)&lt;'Progetto del paramento slu'!$G$58,ABS(L1213)*'Progetto del paramento slu'!$G$54,'Progetto del paramento slu'!$G$53)</f>
        <v>-2877461.0450240234</v>
      </c>
      <c r="G1213" s="553">
        <f>-'Foglio deposito bis'!$F$60*(C1213-sezione!$AN$31)*IF(ABS(M1213)&lt;'Progetto del paramento slu'!$G$58,ABS(M1213)*'Progetto del paramento slu'!$G$54,'Progetto del paramento slu'!$G$53)</f>
        <v>0</v>
      </c>
      <c r="H1213" s="553">
        <f>-'Foglio deposito bis'!$F$61*(C1213-sezione!$AO$31)*IF(ABS(N1213)&lt;'Progetto del paramento slu'!$G$58,ABS(N1213)*'Progetto del paramento slu'!$G$54,'Progetto del paramento slu'!$G$53)</f>
        <v>35068666.738868706</v>
      </c>
      <c r="I1213" s="479">
        <f>-'Foglio deposito bis'!$F$62*(C1213-sezione!$AP$31)*IF(ABS(O1213)&lt;'Progetto del paramento slu'!$G$58,ABS(O1213)*'Progetto del paramento slu'!$G$54,'Progetto del paramento slu'!$G$53)</f>
        <v>12812827.874996291</v>
      </c>
      <c r="J1213" s="479">
        <f t="shared" si="90"/>
        <v>-266269045.61559534</v>
      </c>
      <c r="K1213" s="558">
        <f>'Progetto del paramento slu'!$G$60*(sezione!$AL$31-C1213)/C1213</f>
        <v>-2.7800374121944096E-3</v>
      </c>
      <c r="L1213" s="558">
        <f>'Progetto del paramento slu'!$G$60*(sezione!$AM$31-C1213)/C1213</f>
        <v>-8.0014029572903519E-4</v>
      </c>
      <c r="M1213" s="559">
        <f>'Progetto del paramento slu'!$G$60*(sezione!$AN$31-C1213)/C1213</f>
        <v>1.179756820736339E-3</v>
      </c>
      <c r="N1213" s="559">
        <f>'Progetto del paramento slu'!$G$60*(sezione!$AO$31-C1213)/C1213</f>
        <v>2.6196819963475206E-3</v>
      </c>
      <c r="O1213" s="559">
        <f>'Progetto del paramento slu'!$G$60*(sezione!$AP$31-C1213)/C1213</f>
        <v>1.1798286439271882E-3</v>
      </c>
      <c r="P1213" s="553">
        <f>-'Progetto del paramento slu'!$G$47*'Progetto del paramento slu'!$G$41*IF(DATI!$G$218="dx",DATI!$E$61,DATI!$E$64*DATI!$E$63)*1000*C1213*sezione!$AD$5</f>
        <v>-2741009.9266614644</v>
      </c>
      <c r="Q1213" s="553">
        <f>'Foglio deposito bis'!$F$58*IF(ABS(K1213)&lt;'Progetto del paramento slu'!$G$58,ABS(K1213)*'Progetto del paramento slu'!$G$54,'Progetto del paramento slu'!$G$53)*IF(K1213&lt;0,-1,1)</f>
        <v>0</v>
      </c>
      <c r="R1213" s="553">
        <f>'Foglio deposito bis'!$F$59*IF(ABS(L1213)&lt;'Progetto del paramento slu'!$G$58,ABS(L1213)*'Progetto del paramento slu'!$G$54,'Progetto del paramento slu'!$G$53)*IF(L1213&lt;0,-1,1)</f>
        <v>-64728.158028765152</v>
      </c>
      <c r="S1213" s="553">
        <f>'Foglio deposito bis'!$F$60*IF(ABS(M1213)&lt;'Progetto del paramento slu'!$G$58,ABS(M1213)*'Progetto del paramento slu'!$G$54,'Progetto del paramento slu'!$G$53)*IF(M1213&lt;0,-1,1)</f>
        <v>0</v>
      </c>
      <c r="T1213" s="553">
        <f>'Foglio deposito bis'!$F$61*IF(ABS(N1213)&lt;'Progetto del paramento slu'!$G$58,ABS(N1213)*'Progetto del paramento slu'!$G$54,'Progetto del paramento slu'!$G$53)*IF(N1213&lt;0,-1,1)</f>
        <v>240946.49743184328</v>
      </c>
      <c r="U1213" s="553">
        <f>'Foglio deposito bis'!$F$62*IF(ABS(O1213)&lt;'Progetto del paramento slu'!$G$58,ABS(O1213)*'Progetto del paramento slu'!$G$54,'Progetto del paramento slu'!$G$53)*IF(O1213&lt;0,-1,1)</f>
        <v>195468.14618952479</v>
      </c>
      <c r="V1213" s="479">
        <f t="shared" si="92"/>
        <v>-2369323.4410688616</v>
      </c>
      <c r="W1213" s="559"/>
      <c r="X1213" s="559"/>
    </row>
    <row r="1214" spans="1:24" x14ac:dyDescent="0.25">
      <c r="A1214" s="553">
        <f t="shared" si="91"/>
        <v>2446868.8837608676</v>
      </c>
      <c r="B1214" s="3">
        <f t="shared" si="89"/>
        <v>48.899999999999942</v>
      </c>
      <c r="C1214" s="553">
        <f>'Foglio deposito bis'!$E$157/sezione!$B$247*B1214</f>
        <v>198.51414248724873</v>
      </c>
      <c r="D1214" s="611">
        <f>-'Progetto del paramento slu'!$G$47*'Progetto del paramento slu'!$G$41*IF(DATI!$G$218="dx",DATI!$E$61,DATI!$E$64*DATI!$E$63)*1000*C1214^2*sezione!$AD$5*(1-sezione!$AD$6)</f>
        <v>-324405533.30774194</v>
      </c>
      <c r="E1214" s="553">
        <f>-'Foglio deposito bis'!$F$58*(C1214-sezione!$AL$31)*IF(ABS(K1214)&lt;'Progetto del paramento slu'!$G$58,ABS(K1214)*'Progetto del paramento slu'!$G$54,'Progetto del paramento slu'!$G$53)</f>
        <v>0</v>
      </c>
      <c r="F1214" s="553">
        <f>-'Foglio deposito bis'!$F$59*(C1214-sezione!$AM$31)*IF(ABS(L1214)&lt;'Progetto del paramento slu'!$G$58,ABS(L1214)*'Progetto del paramento slu'!$G$54,'Progetto del paramento slu'!$G$53)</f>
        <v>-3356915.5601672195</v>
      </c>
      <c r="G1214" s="553">
        <f>-'Foglio deposito bis'!$F$60*(C1214-sezione!$AN$31)*IF(ABS(M1214)&lt;'Progetto del paramento slu'!$G$58,ABS(M1214)*'Progetto del paramento slu'!$G$54,'Progetto del paramento slu'!$G$53)</f>
        <v>0</v>
      </c>
      <c r="H1214" s="553">
        <f>-'Foglio deposito bis'!$F$61*(C1214-sezione!$AO$31)*IF(ABS(N1214)&lt;'Progetto del paramento slu'!$G$58,ABS(N1214)*'Progetto del paramento slu'!$G$54,'Progetto del paramento slu'!$G$53)</f>
        <v>34090521.803838268</v>
      </c>
      <c r="I1214" s="479">
        <f>-'Foglio deposito bis'!$F$62*(C1214-sezione!$AP$31)*IF(ABS(O1214)&lt;'Progetto del paramento slu'!$G$58,ABS(O1214)*'Progetto del paramento slu'!$G$54,'Progetto del paramento slu'!$G$53)</f>
        <v>11044358.316226212</v>
      </c>
      <c r="J1214" s="479">
        <f t="shared" si="90"/>
        <v>-282627568.7478447</v>
      </c>
      <c r="K1214" s="558">
        <f>'Progetto del paramento slu'!$G$60*(sezione!$AL$31-C1214)/C1214</f>
        <v>-2.7947605734992271E-3</v>
      </c>
      <c r="L1214" s="558">
        <f>'Progetto del paramento slu'!$G$60*(sezione!$AM$31-C1214)/C1214</f>
        <v>-8.5535215062210179E-4</v>
      </c>
      <c r="M1214" s="559">
        <f>'Progetto del paramento slu'!$G$60*(sezione!$AN$31-C1214)/C1214</f>
        <v>1.0840562722550236E-3</v>
      </c>
      <c r="N1214" s="559">
        <f>'Progetto del paramento slu'!$G$60*(sezione!$AO$31-C1214)/C1214</f>
        <v>2.4945351252565694E-3</v>
      </c>
      <c r="O1214" s="559">
        <f>'Progetto del paramento slu'!$G$60*(sezione!$AP$31-C1214)/C1214</f>
        <v>1.0841266266689636E-3</v>
      </c>
      <c r="P1214" s="553">
        <f>-'Progetto del paramento slu'!$G$47*'Progetto del paramento slu'!$G$41*IF(DATI!$G$218="dx",DATI!$E$61,DATI!$E$64*DATI!$E$63)*1000*C1214*sezione!$AD$5</f>
        <v>-2798233.5159445843</v>
      </c>
      <c r="Q1214" s="553">
        <f>'Foglio deposito bis'!$F$58*IF(ABS(K1214)&lt;'Progetto del paramento slu'!$G$58,ABS(K1214)*'Progetto del paramento slu'!$G$54,'Progetto del paramento slu'!$G$53)*IF(K1214&lt;0,-1,1)</f>
        <v>0</v>
      </c>
      <c r="R1214" s="553">
        <f>'Foglio deposito bis'!$F$59*IF(ABS(L1214)&lt;'Progetto del paramento slu'!$G$58,ABS(L1214)*'Progetto del paramento slu'!$G$54,'Progetto del paramento slu'!$G$53)*IF(L1214&lt;0,-1,1)</f>
        <v>-69194.576840135589</v>
      </c>
      <c r="S1214" s="553">
        <f>'Foglio deposito bis'!$F$60*IF(ABS(M1214)&lt;'Progetto del paramento slu'!$G$58,ABS(M1214)*'Progetto del paramento slu'!$G$54,'Progetto del paramento slu'!$G$53)*IF(M1214&lt;0,-1,1)</f>
        <v>0</v>
      </c>
      <c r="T1214" s="553">
        <f>'Foglio deposito bis'!$F$61*IF(ABS(N1214)&lt;'Progetto del paramento slu'!$G$58,ABS(N1214)*'Progetto del paramento slu'!$G$54,'Progetto del paramento slu'!$G$53)*IF(N1214&lt;0,-1,1)</f>
        <v>240946.49743184328</v>
      </c>
      <c r="U1214" s="553">
        <f>'Foglio deposito bis'!$F$62*IF(ABS(O1214)&lt;'Progetto del paramento slu'!$G$58,ABS(O1214)*'Progetto del paramento slu'!$G$54,'Progetto del paramento slu'!$G$53)*IF(O1214&lt;0,-1,1)</f>
        <v>179612.71159200917</v>
      </c>
      <c r="V1214" s="479">
        <f t="shared" si="92"/>
        <v>-2446868.8837608676</v>
      </c>
      <c r="W1214" s="559"/>
      <c r="X1214" s="559"/>
    </row>
    <row r="1215" spans="1:24" x14ac:dyDescent="0.25">
      <c r="A1215" s="553">
        <f t="shared" si="91"/>
        <v>2523599.8233102341</v>
      </c>
      <c r="B1215" s="3">
        <f t="shared" si="89"/>
        <v>49.899999999999942</v>
      </c>
      <c r="C1215" s="553">
        <f>'Foglio deposito bis'!$E$157/sezione!$B$247*B1215</f>
        <v>202.57373640314339</v>
      </c>
      <c r="D1215" s="611">
        <f>-'Progetto del paramento slu'!$G$47*'Progetto del paramento slu'!$G$41*IF(DATI!$G$218="dx",DATI!$E$61,DATI!$E$64*DATI!$E$63)*1000*C1215^2*sezione!$AD$5*(1-sezione!$AD$6)</f>
        <v>-337809319.12780994</v>
      </c>
      <c r="E1215" s="553">
        <f>-'Foglio deposito bis'!$F$58*(C1215-sezione!$AL$31)*IF(ABS(K1215)&lt;'Progetto del paramento slu'!$G$58,ABS(K1215)*'Progetto del paramento slu'!$G$54,'Progetto del paramento slu'!$G$53)</f>
        <v>0</v>
      </c>
      <c r="F1215" s="553">
        <f>-'Foglio deposito bis'!$F$59*(C1215-sezione!$AM$31)*IF(ABS(L1215)&lt;'Progetto del paramento slu'!$G$58,ABS(L1215)*'Progetto del paramento slu'!$G$54,'Progetto del paramento slu'!$G$53)</f>
        <v>-3863222.2926132451</v>
      </c>
      <c r="G1215" s="553">
        <f>-'Foglio deposito bis'!$F$60*(C1215-sezione!$AN$31)*IF(ABS(M1215)&lt;'Progetto del paramento slu'!$G$58,ABS(M1215)*'Progetto del paramento slu'!$G$54,'Progetto del paramento slu'!$G$53)</f>
        <v>0</v>
      </c>
      <c r="H1215" s="553">
        <f>-'Foglio deposito bis'!$F$61*(C1215-sezione!$AO$31)*IF(ABS(N1215)&lt;'Progetto del paramento slu'!$G$58,ABS(N1215)*'Progetto del paramento slu'!$G$54,'Progetto del paramento slu'!$G$53)</f>
        <v>33112376.868807826</v>
      </c>
      <c r="I1215" s="479">
        <f>-'Foglio deposito bis'!$F$62*(C1215-sezione!$AP$31)*IF(ABS(O1215)&lt;'Progetto del paramento slu'!$G$58,ABS(O1215)*'Progetto del paramento slu'!$G$54,'Progetto del paramento slu'!$G$53)</f>
        <v>9441118.2670607958</v>
      </c>
      <c r="J1215" s="479">
        <f t="shared" si="90"/>
        <v>-299119046.28455454</v>
      </c>
      <c r="K1215" s="558">
        <f>'Progetto del paramento slu'!$G$60*(sezione!$AL$31-C1215)/C1215</f>
        <v>-2.8088936281385215E-3</v>
      </c>
      <c r="L1215" s="558">
        <f>'Progetto del paramento slu'!$G$60*(sezione!$AM$31-C1215)/C1215</f>
        <v>-9.0835110551945456E-4</v>
      </c>
      <c r="M1215" s="559">
        <f>'Progetto del paramento slu'!$G$60*(sezione!$AN$31-C1215)/C1215</f>
        <v>9.9219141709961235E-4</v>
      </c>
      <c r="N1215" s="559">
        <f>'Progetto del paramento slu'!$G$60*(sezione!$AO$31-C1215)/C1215</f>
        <v>2.3744041608225698E-3</v>
      </c>
      <c r="O1215" s="559">
        <f>'Progetto del paramento slu'!$G$60*(sezione!$AP$31-C1215)/C1215</f>
        <v>9.922603616054574E-4</v>
      </c>
      <c r="P1215" s="553">
        <f>-'Progetto del paramento slu'!$G$47*'Progetto del paramento slu'!$G$41*IF(DATI!$G$218="dx",DATI!$E$61,DATI!$E$64*DATI!$E$63)*1000*C1215*sezione!$AD$5</f>
        <v>-2855457.1052277051</v>
      </c>
      <c r="Q1215" s="553">
        <f>'Foglio deposito bis'!$F$58*IF(ABS(K1215)&lt;'Progetto del paramento slu'!$G$58,ABS(K1215)*'Progetto del paramento slu'!$G$54,'Progetto del paramento slu'!$G$53)*IF(K1215&lt;0,-1,1)</f>
        <v>0</v>
      </c>
      <c r="R1215" s="553">
        <f>'Foglio deposito bis'!$F$59*IF(ABS(L1215)&lt;'Progetto del paramento slu'!$G$58,ABS(L1215)*'Progetto del paramento slu'!$G$54,'Progetto del paramento slu'!$G$53)*IF(L1215&lt;0,-1,1)</f>
        <v>-73481.98086948719</v>
      </c>
      <c r="S1215" s="553">
        <f>'Foglio deposito bis'!$F$60*IF(ABS(M1215)&lt;'Progetto del paramento slu'!$G$58,ABS(M1215)*'Progetto del paramento slu'!$G$54,'Progetto del paramento slu'!$G$53)*IF(M1215&lt;0,-1,1)</f>
        <v>0</v>
      </c>
      <c r="T1215" s="553">
        <f>'Foglio deposito bis'!$F$61*IF(ABS(N1215)&lt;'Progetto del paramento slu'!$G$58,ABS(N1215)*'Progetto del paramento slu'!$G$54,'Progetto del paramento slu'!$G$53)*IF(N1215&lt;0,-1,1)</f>
        <v>240946.49743184328</v>
      </c>
      <c r="U1215" s="553">
        <f>'Foglio deposito bis'!$F$62*IF(ABS(O1215)&lt;'Progetto del paramento slu'!$G$58,ABS(O1215)*'Progetto del paramento slu'!$G$54,'Progetto del paramento slu'!$G$53)*IF(O1215&lt;0,-1,1)</f>
        <v>164392.76535511544</v>
      </c>
      <c r="V1215" s="479">
        <f t="shared" si="92"/>
        <v>-2523599.8233102341</v>
      </c>
      <c r="W1215" s="559"/>
      <c r="X1215" s="559"/>
    </row>
    <row r="1216" spans="1:24" x14ac:dyDescent="0.25">
      <c r="A1216" s="553">
        <f t="shared" si="91"/>
        <v>2599564.2657960928</v>
      </c>
      <c r="B1216" s="3">
        <f t="shared" si="89"/>
        <v>50.899999999999942</v>
      </c>
      <c r="C1216" s="553">
        <f>'Foglio deposito bis'!$E$157/sezione!$B$247*B1216</f>
        <v>206.63333031903807</v>
      </c>
      <c r="D1216" s="611">
        <f>-'Progetto del paramento slu'!$G$47*'Progetto del paramento slu'!$G$41*IF(DATI!$G$218="dx",DATI!$E$61,DATI!$E$64*DATI!$E$63)*1000*C1216^2*sezione!$AD$5*(1-sezione!$AD$6)</f>
        <v>-351484436.64464051</v>
      </c>
      <c r="E1216" s="553">
        <f>-'Foglio deposito bis'!$F$58*(C1216-sezione!$AL$31)*IF(ABS(K1216)&lt;'Progetto del paramento slu'!$G$58,ABS(K1216)*'Progetto del paramento slu'!$G$54,'Progetto del paramento slu'!$G$53)</f>
        <v>0</v>
      </c>
      <c r="F1216" s="553">
        <f>-'Foglio deposito bis'!$F$59*(C1216-sezione!$AM$31)*IF(ABS(L1216)&lt;'Progetto del paramento slu'!$G$58,ABS(L1216)*'Progetto del paramento slu'!$G$54,'Progetto del paramento slu'!$G$53)</f>
        <v>-4394798.5969415018</v>
      </c>
      <c r="G1216" s="553">
        <f>-'Foglio deposito bis'!$F$60*(C1216-sezione!$AN$31)*IF(ABS(M1216)&lt;'Progetto del paramento slu'!$G$58,ABS(M1216)*'Progetto del paramento slu'!$G$54,'Progetto del paramento slu'!$G$53)</f>
        <v>0</v>
      </c>
      <c r="H1216" s="553">
        <f>-'Foglio deposito bis'!$F$61*(C1216-sezione!$AO$31)*IF(ABS(N1216)&lt;'Progetto del paramento slu'!$G$58,ABS(N1216)*'Progetto del paramento slu'!$G$54,'Progetto del paramento slu'!$G$53)</f>
        <v>32134231.933777388</v>
      </c>
      <c r="I1216" s="479">
        <f>-'Foglio deposito bis'!$F$62*(C1216-sezione!$AP$31)*IF(ABS(O1216)&lt;'Progetto del paramento slu'!$G$58,ABS(O1216)*'Progetto del paramento slu'!$G$54,'Progetto del paramento slu'!$G$53)</f>
        <v>7993369.2495272616</v>
      </c>
      <c r="J1216" s="479">
        <f t="shared" si="90"/>
        <v>-315751634.05827737</v>
      </c>
      <c r="K1216" s="558">
        <f>'Progetto del paramento slu'!$G$60*(sezione!$AL$31-C1216)/C1216</f>
        <v>-2.8224713564658586E-3</v>
      </c>
      <c r="L1216" s="558">
        <f>'Progetto del paramento slu'!$G$60*(sezione!$AM$31-C1216)/C1216</f>
        <v>-9.5926758674697032E-4</v>
      </c>
      <c r="M1216" s="559">
        <f>'Progetto del paramento slu'!$G$60*(sezione!$AN$31-C1216)/C1216</f>
        <v>9.0393618297191793E-4</v>
      </c>
      <c r="N1216" s="559">
        <f>'Progetto del paramento slu'!$G$60*(sezione!$AO$31-C1216)/C1216</f>
        <v>2.2589934700402007E-3</v>
      </c>
      <c r="O1216" s="559">
        <f>'Progetto del paramento slu'!$G$60*(sezione!$AP$31-C1216)/C1216</f>
        <v>9.0400377296880746E-4</v>
      </c>
      <c r="P1216" s="553">
        <f>-'Progetto del paramento slu'!$G$47*'Progetto del paramento slu'!$G$41*IF(DATI!$G$218="dx",DATI!$E$61,DATI!$E$64*DATI!$E$63)*1000*C1216*sezione!$AD$5</f>
        <v>-2912680.6945108254</v>
      </c>
      <c r="Q1216" s="553">
        <f>'Foglio deposito bis'!$F$58*IF(ABS(K1216)&lt;'Progetto del paramento slu'!$G$58,ABS(K1216)*'Progetto del paramento slu'!$G$54,'Progetto del paramento slu'!$G$53)*IF(K1216&lt;0,-1,1)</f>
        <v>0</v>
      </c>
      <c r="R1216" s="553">
        <f>'Foglio deposito bis'!$F$59*IF(ABS(L1216)&lt;'Progetto del paramento slu'!$G$58,ABS(L1216)*'Progetto del paramento slu'!$G$54,'Progetto del paramento slu'!$G$53)*IF(L1216&lt;0,-1,1)</f>
        <v>-77600.921086290604</v>
      </c>
      <c r="S1216" s="553">
        <f>'Foglio deposito bis'!$F$60*IF(ABS(M1216)&lt;'Progetto del paramento slu'!$G$58,ABS(M1216)*'Progetto del paramento slu'!$G$54,'Progetto del paramento slu'!$G$53)*IF(M1216&lt;0,-1,1)</f>
        <v>0</v>
      </c>
      <c r="T1216" s="553">
        <f>'Foglio deposito bis'!$F$61*IF(ABS(N1216)&lt;'Progetto del paramento slu'!$G$58,ABS(N1216)*'Progetto del paramento slu'!$G$54,'Progetto del paramento slu'!$G$53)*IF(N1216&lt;0,-1,1)</f>
        <v>240946.49743184328</v>
      </c>
      <c r="U1216" s="553">
        <f>'Foglio deposito bis'!$F$62*IF(ABS(O1216)&lt;'Progetto del paramento slu'!$G$58,ABS(O1216)*'Progetto del paramento slu'!$G$54,'Progetto del paramento slu'!$G$53)*IF(O1216&lt;0,-1,1)</f>
        <v>149770.85236918009</v>
      </c>
      <c r="V1216" s="479">
        <f t="shared" si="92"/>
        <v>-2599564.2657960928</v>
      </c>
      <c r="W1216" s="559"/>
      <c r="X1216" s="559"/>
    </row>
    <row r="1217" spans="1:24" x14ac:dyDescent="0.25">
      <c r="A1217" s="553">
        <f t="shared" si="91"/>
        <v>2674806.5174070871</v>
      </c>
      <c r="B1217" s="3">
        <f t="shared" si="89"/>
        <v>51.899999999999942</v>
      </c>
      <c r="C1217" s="553">
        <f>'Foglio deposito bis'!$E$157/sezione!$B$247*B1217</f>
        <v>210.69292423493272</v>
      </c>
      <c r="D1217" s="611">
        <f>-'Progetto del paramento slu'!$G$47*'Progetto del paramento slu'!$G$41*IF(DATI!$G$218="dx",DATI!$E$61,DATI!$E$64*DATI!$E$63)*1000*C1217^2*sezione!$AD$5*(1-sezione!$AD$6)</f>
        <v>-365430885.85823363</v>
      </c>
      <c r="E1217" s="553">
        <f>-'Foglio deposito bis'!$F$58*(C1217-sezione!$AL$31)*IF(ABS(K1217)&lt;'Progetto del paramento slu'!$G$58,ABS(K1217)*'Progetto del paramento slu'!$G$54,'Progetto del paramento slu'!$G$53)</f>
        <v>0</v>
      </c>
      <c r="F1217" s="553">
        <f>-'Foglio deposito bis'!$F$59*(C1217-sezione!$AM$31)*IF(ABS(L1217)&lt;'Progetto del paramento slu'!$G$58,ABS(L1217)*'Progetto del paramento slu'!$G$54,'Progetto del paramento slu'!$G$53)</f>
        <v>-4950183.8042570595</v>
      </c>
      <c r="G1217" s="553">
        <f>-'Foglio deposito bis'!$F$60*(C1217-sezione!$AN$31)*IF(ABS(M1217)&lt;'Progetto del paramento slu'!$G$58,ABS(M1217)*'Progetto del paramento slu'!$G$54,'Progetto del paramento slu'!$G$53)</f>
        <v>0</v>
      </c>
      <c r="H1217" s="553">
        <f>-'Foglio deposito bis'!$F$61*(C1217-sezione!$AO$31)*IF(ABS(N1217)&lt;'Progetto del paramento slu'!$G$58,ABS(N1217)*'Progetto del paramento slu'!$G$54,'Progetto del paramento slu'!$G$53)</f>
        <v>31156086.998746946</v>
      </c>
      <c r="I1217" s="479">
        <f>-'Foglio deposito bis'!$F$62*(C1217-sezione!$AP$31)*IF(ABS(O1217)&lt;'Progetto del paramento slu'!$G$58,ABS(O1217)*'Progetto del paramento slu'!$G$54,'Progetto del paramento slu'!$G$53)</f>
        <v>6692123.3427220546</v>
      </c>
      <c r="J1217" s="479">
        <f t="shared" si="90"/>
        <v>-332532859.32102168</v>
      </c>
      <c r="K1217" s="558">
        <f>'Progetto del paramento slu'!$G$60*(sezione!$AL$31-C1217)/C1217</f>
        <v>-2.835525858268058E-3</v>
      </c>
      <c r="L1217" s="558">
        <f>'Progetto del paramento slu'!$G$60*(sezione!$AM$31-C1217)/C1217</f>
        <v>-1.0082219685052175E-3</v>
      </c>
      <c r="M1217" s="559">
        <f>'Progetto del paramento slu'!$G$60*(sezione!$AN$31-C1217)/C1217</f>
        <v>8.1908192125762296E-4</v>
      </c>
      <c r="N1217" s="559">
        <f>'Progetto del paramento slu'!$G$60*(sezione!$AO$31-C1217)/C1217</f>
        <v>2.1480302047215071E-3</v>
      </c>
      <c r="O1217" s="559">
        <f>'Progetto del paramento slu'!$G$60*(sezione!$AP$31-C1217)/C1217</f>
        <v>8.1914820894243368E-4</v>
      </c>
      <c r="P1217" s="553">
        <f>-'Progetto del paramento slu'!$G$47*'Progetto del paramento slu'!$G$41*IF(DATI!$G$218="dx",DATI!$E$61,DATI!$E$64*DATI!$E$63)*1000*C1217*sezione!$AD$5</f>
        <v>-2969904.2837939458</v>
      </c>
      <c r="Q1217" s="553">
        <f>'Foglio deposito bis'!$F$58*IF(ABS(K1217)&lt;'Progetto del paramento slu'!$G$58,ABS(K1217)*'Progetto del paramento slu'!$G$54,'Progetto del paramento slu'!$G$53)*IF(K1217&lt;0,-1,1)</f>
        <v>0</v>
      </c>
      <c r="R1217" s="553">
        <f>'Foglio deposito bis'!$F$59*IF(ABS(L1217)&lt;'Progetto del paramento slu'!$G$58,ABS(L1217)*'Progetto del paramento slu'!$G$54,'Progetto del paramento slu'!$G$53)*IF(L1217&lt;0,-1,1)</f>
        <v>-81561.13528317865</v>
      </c>
      <c r="S1217" s="553">
        <f>'Foglio deposito bis'!$F$60*IF(ABS(M1217)&lt;'Progetto del paramento slu'!$G$58,ABS(M1217)*'Progetto del paramento slu'!$G$54,'Progetto del paramento slu'!$G$53)*IF(M1217&lt;0,-1,1)</f>
        <v>0</v>
      </c>
      <c r="T1217" s="553">
        <f>'Foglio deposito bis'!$F$61*IF(ABS(N1217)&lt;'Progetto del paramento slu'!$G$58,ABS(N1217)*'Progetto del paramento slu'!$G$54,'Progetto del paramento slu'!$G$53)*IF(N1217&lt;0,-1,1)</f>
        <v>240946.49743184328</v>
      </c>
      <c r="U1217" s="553">
        <f>'Foglio deposito bis'!$F$62*IF(ABS(O1217)&lt;'Progetto del paramento slu'!$G$58,ABS(O1217)*'Progetto del paramento slu'!$G$54,'Progetto del paramento slu'!$G$53)*IF(O1217&lt;0,-1,1)</f>
        <v>135712.4042381942</v>
      </c>
      <c r="V1217" s="479">
        <f t="shared" si="92"/>
        <v>-2674806.5174070871</v>
      </c>
      <c r="W1217" s="559"/>
      <c r="X1217" s="559"/>
    </row>
    <row r="1218" spans="1:24" x14ac:dyDescent="0.25">
      <c r="A1218" s="553">
        <f t="shared" si="91"/>
        <v>2749367.5341474628</v>
      </c>
      <c r="B1218" s="3">
        <f t="shared" si="89"/>
        <v>52.899999999999942</v>
      </c>
      <c r="C1218" s="553">
        <f>'Foglio deposito bis'!$E$157/sezione!$B$247*B1218</f>
        <v>214.75251815082737</v>
      </c>
      <c r="D1218" s="611">
        <f>-'Progetto del paramento slu'!$G$47*'Progetto del paramento slu'!$G$41*IF(DATI!$G$218="dx",DATI!$E$61,DATI!$E$64*DATI!$E$63)*1000*C1218^2*sezione!$AD$5*(1-sezione!$AD$6)</f>
        <v>-379648666.76858914</v>
      </c>
      <c r="E1218" s="553">
        <f>-'Foglio deposito bis'!$F$58*(C1218-sezione!$AL$31)*IF(ABS(K1218)&lt;'Progetto del paramento slu'!$G$58,ABS(K1218)*'Progetto del paramento slu'!$G$54,'Progetto del paramento slu'!$G$53)</f>
        <v>0</v>
      </c>
      <c r="F1218" s="553">
        <f>-'Foglio deposito bis'!$F$59*(C1218-sezione!$AM$31)*IF(ABS(L1218)&lt;'Progetto del paramento slu'!$G$58,ABS(L1218)*'Progetto del paramento slu'!$G$54,'Progetto del paramento slu'!$G$53)</f>
        <v>-5528027.6932184836</v>
      </c>
      <c r="G1218" s="553">
        <f>-'Foglio deposito bis'!$F$60*(C1218-sezione!$AN$31)*IF(ABS(M1218)&lt;'Progetto del paramento slu'!$G$58,ABS(M1218)*'Progetto del paramento slu'!$G$54,'Progetto del paramento slu'!$G$53)</f>
        <v>0</v>
      </c>
      <c r="H1218" s="553">
        <f>-'Foglio deposito bis'!$F$61*(C1218-sezione!$AO$31)*IF(ABS(N1218)&lt;'Progetto del paramento slu'!$G$58,ABS(N1218)*'Progetto del paramento slu'!$G$54,'Progetto del paramento slu'!$G$53)</f>
        <v>30177942.063716508</v>
      </c>
      <c r="I1218" s="479">
        <f>-'Foglio deposito bis'!$F$62*(C1218-sezione!$AP$31)*IF(ABS(O1218)&lt;'Progetto del paramento slu'!$G$58,ABS(O1218)*'Progetto del paramento slu'!$G$54,'Progetto del paramento slu'!$G$53)</f>
        <v>5529072.2416889258</v>
      </c>
      <c r="J1218" s="479">
        <f t="shared" si="90"/>
        <v>-349469680.15640217</v>
      </c>
      <c r="K1218" s="558">
        <f>'Progetto del paramento slu'!$G$60*(sezione!$AL$31-C1218)/C1218</f>
        <v>-2.848086806126885E-3</v>
      </c>
      <c r="L1218" s="558">
        <f>'Progetto del paramento slu'!$G$60*(sezione!$AM$31-C1218)/C1218</f>
        <v>-1.0553255229758182E-3</v>
      </c>
      <c r="M1218" s="559">
        <f>'Progetto del paramento slu'!$G$60*(sezione!$AN$31-C1218)/C1218</f>
        <v>7.3743576017524842E-4</v>
      </c>
      <c r="N1218" s="559">
        <f>'Progetto del paramento slu'!$G$60*(sezione!$AO$31-C1218)/C1218</f>
        <v>2.0412621479214787E-3</v>
      </c>
      <c r="O1218" s="559">
        <f>'Progetto del paramento slu'!$G$60*(sezione!$AP$31-C1218)/C1218</f>
        <v>7.3750079478473183E-4</v>
      </c>
      <c r="P1218" s="553">
        <f>-'Progetto del paramento slu'!$G$47*'Progetto del paramento slu'!$G$41*IF(DATI!$G$218="dx",DATI!$E$61,DATI!$E$64*DATI!$E$63)*1000*C1218*sezione!$AD$5</f>
        <v>-3027127.8730770661</v>
      </c>
      <c r="Q1218" s="553">
        <f>'Foglio deposito bis'!$F$58*IF(ABS(K1218)&lt;'Progetto del paramento slu'!$G$58,ABS(K1218)*'Progetto del paramento slu'!$G$54,'Progetto del paramento slu'!$G$53)*IF(K1218&lt;0,-1,1)</f>
        <v>0</v>
      </c>
      <c r="R1218" s="553">
        <f>'Foglio deposito bis'!$F$59*IF(ABS(L1218)&lt;'Progetto del paramento slu'!$G$58,ABS(L1218)*'Progetto del paramento slu'!$G$54,'Progetto del paramento slu'!$G$53)*IF(L1218&lt;0,-1,1)</f>
        <v>-85371.62493576089</v>
      </c>
      <c r="S1218" s="553">
        <f>'Foglio deposito bis'!$F$60*IF(ABS(M1218)&lt;'Progetto del paramento slu'!$G$58,ABS(M1218)*'Progetto del paramento slu'!$G$54,'Progetto del paramento slu'!$G$53)*IF(M1218&lt;0,-1,1)</f>
        <v>0</v>
      </c>
      <c r="T1218" s="553">
        <f>'Foglio deposito bis'!$F$61*IF(ABS(N1218)&lt;'Progetto del paramento slu'!$G$58,ABS(N1218)*'Progetto del paramento slu'!$G$54,'Progetto del paramento slu'!$G$53)*IF(N1218&lt;0,-1,1)</f>
        <v>240946.49743184328</v>
      </c>
      <c r="U1218" s="553">
        <f>'Foglio deposito bis'!$F$62*IF(ABS(O1218)&lt;'Progetto del paramento slu'!$G$58,ABS(O1218)*'Progetto del paramento slu'!$G$54,'Progetto del paramento slu'!$G$53)*IF(O1218&lt;0,-1,1)</f>
        <v>122185.46643352153</v>
      </c>
      <c r="V1218" s="479">
        <f t="shared" si="92"/>
        <v>-2749367.5341474628</v>
      </c>
      <c r="W1218" s="559"/>
      <c r="X1218" s="559"/>
    </row>
    <row r="1219" spans="1:24" x14ac:dyDescent="0.25">
      <c r="A1219" s="553">
        <f t="shared" si="91"/>
        <v>2823285.2326148413</v>
      </c>
      <c r="B1219" s="3">
        <f t="shared" si="89"/>
        <v>53.899999999999942</v>
      </c>
      <c r="C1219" s="553">
        <f>'Foglio deposito bis'!$E$157/sezione!$B$247*B1219</f>
        <v>218.81211206672205</v>
      </c>
      <c r="D1219" s="611">
        <f>-'Progetto del paramento slu'!$G$47*'Progetto del paramento slu'!$G$41*IF(DATI!$G$218="dx",DATI!$E$61,DATI!$E$64*DATI!$E$63)*1000*C1219^2*sezione!$AD$5*(1-sezione!$AD$6)</f>
        <v>-394137779.37570733</v>
      </c>
      <c r="E1219" s="553">
        <f>-'Foglio deposito bis'!$F$58*(C1219-sezione!$AL$31)*IF(ABS(K1219)&lt;'Progetto del paramento slu'!$G$58,ABS(K1219)*'Progetto del paramento slu'!$G$54,'Progetto del paramento slu'!$G$53)</f>
        <v>0</v>
      </c>
      <c r="F1219" s="553">
        <f>-'Foglio deposito bis'!$F$59*(C1219-sezione!$AM$31)*IF(ABS(L1219)&lt;'Progetto del paramento slu'!$G$58,ABS(L1219)*'Progetto del paramento slu'!$G$54,'Progetto del paramento slu'!$G$53)</f>
        <v>-6127080.2444391837</v>
      </c>
      <c r="G1219" s="553">
        <f>-'Foglio deposito bis'!$F$60*(C1219-sezione!$AN$31)*IF(ABS(M1219)&lt;'Progetto del paramento slu'!$G$58,ABS(M1219)*'Progetto del paramento slu'!$G$54,'Progetto del paramento slu'!$G$53)</f>
        <v>0</v>
      </c>
      <c r="H1219" s="553">
        <f>-'Foglio deposito bis'!$F$61*(C1219-sezione!$AO$31)*IF(ABS(N1219)&lt;'Progetto del paramento slu'!$G$58,ABS(N1219)*'Progetto del paramento slu'!$G$54,'Progetto del paramento slu'!$G$53)</f>
        <v>29199797.128686063</v>
      </c>
      <c r="I1219" s="479">
        <f>-'Foglio deposito bis'!$F$62*(C1219-sezione!$AP$31)*IF(ABS(O1219)&lt;'Progetto del paramento slu'!$G$58,ABS(O1219)*'Progetto del paramento slu'!$G$54,'Progetto del paramento slu'!$G$53)</f>
        <v>4496524.2132680127</v>
      </c>
      <c r="J1219" s="479">
        <f t="shared" si="90"/>
        <v>-366568538.2781924</v>
      </c>
      <c r="K1219" s="558">
        <f>'Progetto del paramento slu'!$G$60*(sezione!$AL$31-C1219)/C1219</f>
        <v>-2.8601816705772212E-3</v>
      </c>
      <c r="L1219" s="558">
        <f>'Progetto del paramento slu'!$G$60*(sezione!$AM$31-C1219)/C1219</f>
        <v>-1.1006812646645789E-3</v>
      </c>
      <c r="M1219" s="559">
        <f>'Progetto del paramento slu'!$G$60*(sezione!$AN$31-C1219)/C1219</f>
        <v>6.5881914124806332E-4</v>
      </c>
      <c r="N1219" s="559">
        <f>'Progetto del paramento slu'!$G$60*(sezione!$AO$31-C1219)/C1219</f>
        <v>1.9384558000936213E-3</v>
      </c>
      <c r="O1219" s="559">
        <f>'Progetto del paramento slu'!$G$60*(sezione!$AP$31-C1219)/C1219</f>
        <v>6.5888296927852112E-4</v>
      </c>
      <c r="P1219" s="553">
        <f>-'Progetto del paramento slu'!$G$47*'Progetto del paramento slu'!$G$41*IF(DATI!$G$218="dx",DATI!$E$61,DATI!$E$64*DATI!$E$63)*1000*C1219*sezione!$AD$5</f>
        <v>-3084351.4623601865</v>
      </c>
      <c r="Q1219" s="553">
        <f>'Foglio deposito bis'!$F$58*IF(ABS(K1219)&lt;'Progetto del paramento slu'!$G$58,ABS(K1219)*'Progetto del paramento slu'!$G$54,'Progetto del paramento slu'!$G$53)*IF(K1219&lt;0,-1,1)</f>
        <v>0</v>
      </c>
      <c r="R1219" s="553">
        <f>'Foglio deposito bis'!$F$59*IF(ABS(L1219)&lt;'Progetto del paramento slu'!$G$58,ABS(L1219)*'Progetto del paramento slu'!$G$54,'Progetto del paramento slu'!$G$53)*IF(L1219&lt;0,-1,1)</f>
        <v>-89040.723506614711</v>
      </c>
      <c r="S1219" s="553">
        <f>'Foglio deposito bis'!$F$60*IF(ABS(M1219)&lt;'Progetto del paramento slu'!$G$58,ABS(M1219)*'Progetto del paramento slu'!$G$54,'Progetto del paramento slu'!$G$53)*IF(M1219&lt;0,-1,1)</f>
        <v>0</v>
      </c>
      <c r="T1219" s="553">
        <f>'Foglio deposito bis'!$F$61*IF(ABS(N1219)&lt;'Progetto del paramento slu'!$G$58,ABS(N1219)*'Progetto del paramento slu'!$G$54,'Progetto del paramento slu'!$G$53)*IF(N1219&lt;0,-1,1)</f>
        <v>240946.49743184328</v>
      </c>
      <c r="U1219" s="553">
        <f>'Foglio deposito bis'!$F$62*IF(ABS(O1219)&lt;'Progetto del paramento slu'!$G$58,ABS(O1219)*'Progetto del paramento slu'!$G$54,'Progetto del paramento slu'!$G$53)*IF(O1219&lt;0,-1,1)</f>
        <v>109160.4558201168</v>
      </c>
      <c r="V1219" s="479">
        <f t="shared" si="92"/>
        <v>-2823285.2326148413</v>
      </c>
      <c r="W1219" s="559"/>
      <c r="X1219" s="559"/>
    </row>
    <row r="1220" spans="1:24" x14ac:dyDescent="0.25">
      <c r="A1220" s="553">
        <f t="shared" si="91"/>
        <v>2904223.3479706915</v>
      </c>
      <c r="B1220" s="3">
        <f t="shared" si="89"/>
        <v>54.899999999999942</v>
      </c>
      <c r="C1220" s="553">
        <f>'Foglio deposito bis'!$E$157/sezione!$B$247*B1220</f>
        <v>222.8717059826167</v>
      </c>
      <c r="D1220" s="611">
        <f>-'Progetto del paramento slu'!$G$47*'Progetto del paramento slu'!$G$41*IF(DATI!$G$218="dx",DATI!$E$61,DATI!$E$64*DATI!$E$63)*1000*C1220^2*sezione!$AD$5*(1-sezione!$AD$6)</f>
        <v>-408898223.67958796</v>
      </c>
      <c r="E1220" s="553">
        <f>-'Foglio deposito bis'!$F$58*(C1220-sezione!$AL$31)*IF(ABS(K1220)&lt;'Progetto del paramento slu'!$G$58,ABS(K1220)*'Progetto del paramento slu'!$G$54,'Progetto del paramento slu'!$G$53)</f>
        <v>0</v>
      </c>
      <c r="F1220" s="553">
        <f>-'Foglio deposito bis'!$F$59*(C1220-sezione!$AM$31)*IF(ABS(L1220)&lt;'Progetto del paramento slu'!$G$58,ABS(L1220)*'Progetto del paramento slu'!$G$54,'Progetto del paramento slu'!$G$53)</f>
        <v>-6746182.5146262934</v>
      </c>
      <c r="G1220" s="553">
        <f>-'Foglio deposito bis'!$F$60*(C1220-sezione!$AN$31)*IF(ABS(M1220)&lt;'Progetto del paramento slu'!$G$58,ABS(M1220)*'Progetto del paramento slu'!$G$54,'Progetto del paramento slu'!$G$53)</f>
        <v>0</v>
      </c>
      <c r="H1220" s="553">
        <f>-'Foglio deposito bis'!$F$61*(C1220-sezione!$AO$31)*IF(ABS(N1220)&lt;'Progetto del paramento slu'!$G$58,ABS(N1220)*'Progetto del paramento slu'!$G$54,'Progetto del paramento slu'!$G$53)</f>
        <v>27328129.496906914</v>
      </c>
      <c r="I1220" s="479">
        <f>-'Foglio deposito bis'!$F$62*(C1220-sezione!$AP$31)*IF(ABS(O1220)&lt;'Progetto del paramento slu'!$G$58,ABS(O1220)*'Progetto del paramento slu'!$G$54,'Progetto del paramento slu'!$G$53)</f>
        <v>3587347.9420160386</v>
      </c>
      <c r="J1220" s="479">
        <f t="shared" si="90"/>
        <v>-384728928.75529122</v>
      </c>
      <c r="K1220" s="558">
        <f>'Progetto del paramento slu'!$G$60*(sezione!$AL$31-C1220)/C1220</f>
        <v>-2.8718359206577819E-3</v>
      </c>
      <c r="L1220" s="558">
        <f>'Progetto del paramento slu'!$G$60*(sezione!$AM$31-C1220)/C1220</f>
        <v>-1.1443847024666812E-3</v>
      </c>
      <c r="M1220" s="559">
        <f>'Progetto del paramento slu'!$G$60*(sezione!$AN$31-C1220)/C1220</f>
        <v>5.8306651572441936E-4</v>
      </c>
      <c r="N1220" s="559">
        <f>'Progetto del paramento slu'!$G$60*(sezione!$AO$31-C1220)/C1220</f>
        <v>1.8393946744088561E-3</v>
      </c>
      <c r="O1220" s="559">
        <f>'Progetto del paramento slu'!$G$60*(sezione!$AP$31-C1220)/C1220</f>
        <v>5.8312918113137156E-4</v>
      </c>
      <c r="P1220" s="553">
        <f>-'Progetto del paramento slu'!$G$47*'Progetto del paramento slu'!$G$41*IF(DATI!$G$218="dx",DATI!$E$61,DATI!$E$64*DATI!$E$63)*1000*C1220*sezione!$AD$5</f>
        <v>-3141575.0516433069</v>
      </c>
      <c r="Q1220" s="553">
        <f>'Foglio deposito bis'!$F$58*IF(ABS(K1220)&lt;'Progetto del paramento slu'!$G$58,ABS(K1220)*'Progetto del paramento slu'!$G$54,'Progetto del paramento slu'!$G$53)*IF(K1220&lt;0,-1,1)</f>
        <v>0</v>
      </c>
      <c r="R1220" s="553">
        <f>'Foglio deposito bis'!$F$59*IF(ABS(L1220)&lt;'Progetto del paramento slu'!$G$58,ABS(L1220)*'Progetto del paramento slu'!$G$54,'Progetto del paramento slu'!$G$53)*IF(L1220&lt;0,-1,1)</f>
        <v>-92576.157284359069</v>
      </c>
      <c r="S1220" s="553">
        <f>'Foglio deposito bis'!$F$60*IF(ABS(M1220)&lt;'Progetto del paramento slu'!$G$58,ABS(M1220)*'Progetto del paramento slu'!$G$54,'Progetto del paramento slu'!$G$53)*IF(M1220&lt;0,-1,1)</f>
        <v>0</v>
      </c>
      <c r="T1220" s="553">
        <f>'Foglio deposito bis'!$F$61*IF(ABS(N1220)&lt;'Progetto del paramento slu'!$G$58,ABS(N1220)*'Progetto del paramento slu'!$G$54,'Progetto del paramento slu'!$G$53)*IF(N1220&lt;0,-1,1)</f>
        <v>233317.91627436387</v>
      </c>
      <c r="U1220" s="553">
        <f>'Foglio deposito bis'!$F$62*IF(ABS(O1220)&lt;'Progetto del paramento slu'!$G$58,ABS(O1220)*'Progetto del paramento slu'!$G$54,'Progetto del paramento slu'!$G$53)*IF(O1220&lt;0,-1,1)</f>
        <v>96609.944682610338</v>
      </c>
      <c r="V1220" s="479">
        <f t="shared" si="92"/>
        <v>-2904223.3479706915</v>
      </c>
      <c r="W1220" s="559"/>
      <c r="X1220" s="559"/>
    </row>
    <row r="1221" spans="1:24" x14ac:dyDescent="0.25">
      <c r="A1221" s="553">
        <f t="shared" si="91"/>
        <v>2989073.1922563361</v>
      </c>
      <c r="B1221" s="3">
        <f t="shared" si="89"/>
        <v>55.899999999999942</v>
      </c>
      <c r="C1221" s="553">
        <f>'Foglio deposito bis'!$E$157/sezione!$B$247*B1221</f>
        <v>226.93129989851136</v>
      </c>
      <c r="D1221" s="611">
        <f>-'Progetto del paramento slu'!$G$47*'Progetto del paramento slu'!$G$41*IF(DATI!$G$218="dx",DATI!$E$61,DATI!$E$64*DATI!$E$63)*1000*C1221^2*sezione!$AD$5*(1-sezione!$AD$6)</f>
        <v>-423929999.68023103</v>
      </c>
      <c r="E1221" s="553">
        <f>-'Foglio deposito bis'!$F$58*(C1221-sezione!$AL$31)*IF(ABS(K1221)&lt;'Progetto del paramento slu'!$G$58,ABS(K1221)*'Progetto del paramento slu'!$G$54,'Progetto del paramento slu'!$G$53)</f>
        <v>0</v>
      </c>
      <c r="F1221" s="553">
        <f>-'Foglio deposito bis'!$F$59*(C1221-sezione!$AM$31)*IF(ABS(L1221)&lt;'Progetto del paramento slu'!$G$58,ABS(L1221)*'Progetto del paramento slu'!$G$54,'Progetto del paramento slu'!$G$53)</f>
        <v>-7384258.4902395811</v>
      </c>
      <c r="G1221" s="553">
        <f>-'Foglio deposito bis'!$F$60*(C1221-sezione!$AN$31)*IF(ABS(M1221)&lt;'Progetto del paramento slu'!$G$58,ABS(M1221)*'Progetto del paramento slu'!$G$54,'Progetto del paramento slu'!$G$53)</f>
        <v>0</v>
      </c>
      <c r="H1221" s="553">
        <f>-'Foglio deposito bis'!$F$61*(C1221-sezione!$AO$31)*IF(ABS(N1221)&lt;'Progetto del paramento slu'!$G$58,ABS(N1221)*'Progetto del paramento slu'!$G$54,'Progetto del paramento slu'!$G$53)</f>
        <v>25011031.693946596</v>
      </c>
      <c r="I1221" s="479">
        <f>-'Foglio deposito bis'!$F$62*(C1221-sezione!$AP$31)*IF(ABS(O1221)&lt;'Progetto del paramento slu'!$G$58,ABS(O1221)*'Progetto del paramento slu'!$G$54,'Progetto del paramento slu'!$G$53)</f>
        <v>2794922.4033979899</v>
      </c>
      <c r="J1221" s="479">
        <f t="shared" si="90"/>
        <v>-403508304.07312602</v>
      </c>
      <c r="K1221" s="558">
        <f>'Progetto del paramento slu'!$G$60*(sezione!$AL$31-C1221)/C1221</f>
        <v>-2.8830732029358178E-3</v>
      </c>
      <c r="L1221" s="558">
        <f>'Progetto del paramento slu'!$G$60*(sezione!$AM$31-C1221)/C1221</f>
        <v>-1.1865245110093167E-3</v>
      </c>
      <c r="M1221" s="559">
        <f>'Progetto del paramento slu'!$G$60*(sezione!$AN$31-C1221)/C1221</f>
        <v>5.1002418091718475E-4</v>
      </c>
      <c r="N1221" s="559">
        <f>'Progetto del paramento slu'!$G$60*(sezione!$AO$31-C1221)/C1221</f>
        <v>1.7438777750455492E-3</v>
      </c>
      <c r="O1221" s="559">
        <f>'Progetto del paramento slu'!$G$60*(sezione!$AP$31-C1221)/C1221</f>
        <v>5.1008572529717894E-4</v>
      </c>
      <c r="P1221" s="553">
        <f>-'Progetto del paramento slu'!$G$47*'Progetto del paramento slu'!$G$41*IF(DATI!$G$218="dx",DATI!$E$61,DATI!$E$64*DATI!$E$63)*1000*C1221*sezione!$AD$5</f>
        <v>-3198798.6409264272</v>
      </c>
      <c r="Q1221" s="553">
        <f>'Foglio deposito bis'!$F$58*IF(ABS(K1221)&lt;'Progetto del paramento slu'!$G$58,ABS(K1221)*'Progetto del paramento slu'!$G$54,'Progetto del paramento slu'!$G$53)*IF(K1221&lt;0,-1,1)</f>
        <v>0</v>
      </c>
      <c r="R1221" s="553">
        <f>'Foglio deposito bis'!$F$59*IF(ABS(L1221)&lt;'Progetto del paramento slu'!$G$58,ABS(L1221)*'Progetto del paramento slu'!$G$54,'Progetto del paramento slu'!$G$53)*IF(L1221&lt;0,-1,1)</f>
        <v>-95985.099692595584</v>
      </c>
      <c r="S1221" s="553">
        <f>'Foglio deposito bis'!$F$60*IF(ABS(M1221)&lt;'Progetto del paramento slu'!$G$58,ABS(M1221)*'Progetto del paramento slu'!$G$54,'Progetto del paramento slu'!$G$53)*IF(M1221&lt;0,-1,1)</f>
        <v>0</v>
      </c>
      <c r="T1221" s="553">
        <f>'Foglio deposito bis'!$F$61*IF(ABS(N1221)&lt;'Progetto del paramento slu'!$G$58,ABS(N1221)*'Progetto del paramento slu'!$G$54,'Progetto del paramento slu'!$G$53)*IF(N1221&lt;0,-1,1)</f>
        <v>221202.08042983687</v>
      </c>
      <c r="U1221" s="553">
        <f>'Foglio deposito bis'!$F$62*IF(ABS(O1221)&lt;'Progetto del paramento slu'!$G$58,ABS(O1221)*'Progetto del paramento slu'!$G$54,'Progetto del paramento slu'!$G$53)*IF(O1221&lt;0,-1,1)</f>
        <v>84508.467932850064</v>
      </c>
      <c r="V1221" s="479">
        <f t="shared" si="92"/>
        <v>-2989073.1922563361</v>
      </c>
      <c r="W1221" s="559"/>
      <c r="X1221" s="559"/>
    </row>
    <row r="1222" spans="1:24" x14ac:dyDescent="0.25">
      <c r="A1222" s="553">
        <f t="shared" si="91"/>
        <v>3072951.9906719439</v>
      </c>
      <c r="B1222" s="3">
        <f t="shared" si="89"/>
        <v>56.899999999999942</v>
      </c>
      <c r="C1222" s="553">
        <f>'Foglio deposito bis'!$E$157/sezione!$B$247*B1222</f>
        <v>230.99089381440604</v>
      </c>
      <c r="D1222" s="611">
        <f>-'Progetto del paramento slu'!$G$47*'Progetto del paramento slu'!$G$41*IF(DATI!$G$218="dx",DATI!$E$61,DATI!$E$64*DATI!$E$63)*1000*C1222^2*sezione!$AD$5*(1-sezione!$AD$6)</f>
        <v>-439233107.37763667</v>
      </c>
      <c r="E1222" s="553">
        <f>-'Foglio deposito bis'!$F$58*(C1222-sezione!$AL$31)*IF(ABS(K1222)&lt;'Progetto del paramento slu'!$G$58,ABS(K1222)*'Progetto del paramento slu'!$G$54,'Progetto del paramento slu'!$G$53)</f>
        <v>0</v>
      </c>
      <c r="F1222" s="553">
        <f>-'Foglio deposito bis'!$F$59*(C1222-sezione!$AM$31)*IF(ABS(L1222)&lt;'Progetto del paramento slu'!$G$58,ABS(L1222)*'Progetto del paramento slu'!$G$54,'Progetto del paramento slu'!$G$53)</f>
        <v>-8040307.8001669478</v>
      </c>
      <c r="G1222" s="553">
        <f>-'Foglio deposito bis'!$F$60*(C1222-sezione!$AN$31)*IF(ABS(M1222)&lt;'Progetto del paramento slu'!$G$58,ABS(M1222)*'Progetto del paramento slu'!$G$54,'Progetto del paramento slu'!$G$53)</f>
        <v>0</v>
      </c>
      <c r="H1222" s="553">
        <f>-'Foglio deposito bis'!$F$61*(C1222-sezione!$AO$31)*IF(ABS(N1222)&lt;'Progetto del paramento slu'!$G$58,ABS(N1222)*'Progetto del paramento slu'!$G$54,'Progetto del paramento slu'!$G$53)</f>
        <v>22838727.711272355</v>
      </c>
      <c r="I1222" s="479">
        <f>-'Foglio deposito bis'!$F$62*(C1222-sezione!$AP$31)*IF(ABS(O1222)&lt;'Progetto del paramento slu'!$G$58,ABS(O1222)*'Progetto del paramento slu'!$G$54,'Progetto del paramento slu'!$G$53)</f>
        <v>2113092.0227582958</v>
      </c>
      <c r="J1222" s="479">
        <f t="shared" si="90"/>
        <v>-422321595.44377297</v>
      </c>
      <c r="K1222" s="558">
        <f>'Progetto del paramento slu'!$G$60*(sezione!$AL$31-C1222)/C1222</f>
        <v>-2.8939155016539935E-3</v>
      </c>
      <c r="L1222" s="558">
        <f>'Progetto del paramento slu'!$G$60*(sezione!$AM$31-C1222)/C1222</f>
        <v>-1.2271831312024746E-3</v>
      </c>
      <c r="M1222" s="559">
        <f>'Progetto del paramento slu'!$G$60*(sezione!$AN$31-C1222)/C1222</f>
        <v>4.3954923924904399E-4</v>
      </c>
      <c r="N1222" s="559">
        <f>'Progetto del paramento slu'!$G$60*(sezione!$AO$31-C1222)/C1222</f>
        <v>1.6517182359410574E-3</v>
      </c>
      <c r="O1222" s="559">
        <f>'Progetto del paramento slu'!$G$60*(sezione!$AP$31-C1222)/C1222</f>
        <v>4.3960970200548818E-4</v>
      </c>
      <c r="P1222" s="553">
        <f>-'Progetto del paramento slu'!$G$47*'Progetto del paramento slu'!$G$41*IF(DATI!$G$218="dx",DATI!$E$61,DATI!$E$64*DATI!$E$63)*1000*C1222*sezione!$AD$5</f>
        <v>-3256022.2302095476</v>
      </c>
      <c r="Q1222" s="553">
        <f>'Foglio deposito bis'!$F$58*IF(ABS(K1222)&lt;'Progetto del paramento slu'!$G$58,ABS(K1222)*'Progetto del paramento slu'!$G$54,'Progetto del paramento slu'!$G$53)*IF(K1222&lt;0,-1,1)</f>
        <v>0</v>
      </c>
      <c r="R1222" s="553">
        <f>'Foglio deposito bis'!$F$59*IF(ABS(L1222)&lt;'Progetto del paramento slu'!$G$58,ABS(L1222)*'Progetto del paramento slu'!$G$54,'Progetto del paramento slu'!$G$53)*IF(L1222&lt;0,-1,1)</f>
        <v>-99274.219872071597</v>
      </c>
      <c r="S1222" s="553">
        <f>'Foglio deposito bis'!$F$60*IF(ABS(M1222)&lt;'Progetto del paramento slu'!$G$58,ABS(M1222)*'Progetto del paramento slu'!$G$54,'Progetto del paramento slu'!$G$53)*IF(M1222&lt;0,-1,1)</f>
        <v>0</v>
      </c>
      <c r="T1222" s="553">
        <f>'Foglio deposito bis'!$F$61*IF(ABS(N1222)&lt;'Progetto del paramento slu'!$G$58,ABS(N1222)*'Progetto del paramento slu'!$G$54,'Progetto del paramento slu'!$G$53)*IF(N1222&lt;0,-1,1)</f>
        <v>209512.10876262182</v>
      </c>
      <c r="U1222" s="553">
        <f>'Foglio deposito bis'!$F$62*IF(ABS(O1222)&lt;'Progetto del paramento slu'!$G$58,ABS(O1222)*'Progetto del paramento slu'!$G$54,'Progetto del paramento slu'!$G$53)*IF(O1222&lt;0,-1,1)</f>
        <v>72832.350647053157</v>
      </c>
      <c r="V1222" s="479">
        <f t="shared" si="92"/>
        <v>-3072951.9906719439</v>
      </c>
      <c r="W1222" s="559"/>
      <c r="X1222" s="559"/>
    </row>
    <row r="1223" spans="1:24" x14ac:dyDescent="0.25">
      <c r="A1223" s="553">
        <f t="shared" si="91"/>
        <v>3155910.0564750317</v>
      </c>
      <c r="B1223" s="3">
        <f t="shared" si="89"/>
        <v>57.899999999999942</v>
      </c>
      <c r="C1223" s="553">
        <f>'Foglio deposito bis'!$E$157/sezione!$B$247*B1223</f>
        <v>235.05048773030069</v>
      </c>
      <c r="D1223" s="611">
        <f>-'Progetto del paramento slu'!$G$47*'Progetto del paramento slu'!$G$41*IF(DATI!$G$218="dx",DATI!$E$61,DATI!$E$64*DATI!$E$63)*1000*C1223^2*sezione!$AD$5*(1-sezione!$AD$6)</f>
        <v>-454807546.77180481</v>
      </c>
      <c r="E1223" s="553">
        <f>-'Foglio deposito bis'!$F$58*(C1223-sezione!$AL$31)*IF(ABS(K1223)&lt;'Progetto del paramento slu'!$G$58,ABS(K1223)*'Progetto del paramento slu'!$G$54,'Progetto del paramento slu'!$G$53)</f>
        <v>0</v>
      </c>
      <c r="F1223" s="553">
        <f>-'Foglio deposito bis'!$F$59*(C1223-sezione!$AM$31)*IF(ABS(L1223)&lt;'Progetto del paramento slu'!$G$58,ABS(L1223)*'Progetto del paramento slu'!$G$54,'Progetto del paramento slu'!$G$53)</f>
        <v>-8713399.1835631002</v>
      </c>
      <c r="G1223" s="553">
        <f>-'Foglio deposito bis'!$F$60*(C1223-sezione!$AN$31)*IF(ABS(M1223)&lt;'Progetto del paramento slu'!$G$58,ABS(M1223)*'Progetto del paramento slu'!$G$54,'Progetto del paramento slu'!$G$53)</f>
        <v>0</v>
      </c>
      <c r="H1223" s="553">
        <f>-'Foglio deposito bis'!$F$61*(C1223-sezione!$AO$31)*IF(ABS(N1223)&lt;'Progetto del paramento slu'!$G$58,ABS(N1223)*'Progetto del paramento slu'!$G$54,'Progetto del paramento slu'!$G$53)</f>
        <v>20803715.278403074</v>
      </c>
      <c r="I1223" s="479">
        <f>-'Foglio deposito bis'!$F$62*(C1223-sezione!$AP$31)*IF(ABS(O1223)&lt;'Progetto del paramento slu'!$G$58,ABS(O1223)*'Progetto del paramento slu'!$G$54,'Progetto del paramento slu'!$G$53)</f>
        <v>1536126.4810307305</v>
      </c>
      <c r="J1223" s="479">
        <f t="shared" si="90"/>
        <v>-441181104.19593418</v>
      </c>
      <c r="K1223" s="558">
        <f>'Progetto del paramento slu'!$G$60*(sezione!$AL$31-C1223)/C1223</f>
        <v>-2.9043832822817309E-3</v>
      </c>
      <c r="L1223" s="558">
        <f>'Progetto del paramento slu'!$G$60*(sezione!$AM$31-C1223)/C1223</f>
        <v>-1.2664373085564907E-3</v>
      </c>
      <c r="M1223" s="559">
        <f>'Progetto del paramento slu'!$G$60*(sezione!$AN$31-C1223)/C1223</f>
        <v>3.7150866516874972E-4</v>
      </c>
      <c r="N1223" s="559">
        <f>'Progetto del paramento slu'!$G$60*(sezione!$AO$31-C1223)/C1223</f>
        <v>1.5627421006052882E-3</v>
      </c>
      <c r="O1223" s="559">
        <f>'Progetto del paramento slu'!$G$60*(sezione!$AP$31-C1223)/C1223</f>
        <v>3.7156808366342462E-4</v>
      </c>
      <c r="P1223" s="553">
        <f>-'Progetto del paramento slu'!$G$47*'Progetto del paramento slu'!$G$41*IF(DATI!$G$218="dx",DATI!$E$61,DATI!$E$64*DATI!$E$63)*1000*C1223*sezione!$AD$5</f>
        <v>-3313245.8194926684</v>
      </c>
      <c r="Q1223" s="553">
        <f>'Foglio deposito bis'!$F$58*IF(ABS(K1223)&lt;'Progetto del paramento slu'!$G$58,ABS(K1223)*'Progetto del paramento slu'!$G$54,'Progetto del paramento slu'!$G$53)*IF(K1223&lt;0,-1,1)</f>
        <v>0</v>
      </c>
      <c r="R1223" s="553">
        <f>'Foglio deposito bis'!$F$59*IF(ABS(L1223)&lt;'Progetto del paramento slu'!$G$58,ABS(L1223)*'Progetto del paramento slu'!$G$54,'Progetto del paramento slu'!$G$53)*IF(L1223&lt;0,-1,1)</f>
        <v>-102449.72622842235</v>
      </c>
      <c r="S1223" s="553">
        <f>'Foglio deposito bis'!$F$60*IF(ABS(M1223)&lt;'Progetto del paramento slu'!$G$58,ABS(M1223)*'Progetto del paramento slu'!$G$54,'Progetto del paramento slu'!$G$53)*IF(M1223&lt;0,-1,1)</f>
        <v>0</v>
      </c>
      <c r="T1223" s="553">
        <f>'Foglio deposito bis'!$F$61*IF(ABS(N1223)&lt;'Progetto del paramento slu'!$G$58,ABS(N1223)*'Progetto del paramento slu'!$G$54,'Progetto del paramento slu'!$G$53)*IF(N1223&lt;0,-1,1)</f>
        <v>198225.93577130378</v>
      </c>
      <c r="U1223" s="553">
        <f>'Foglio deposito bis'!$F$62*IF(ABS(O1223)&lt;'Progetto del paramento slu'!$G$58,ABS(O1223)*'Progetto del paramento slu'!$G$54,'Progetto del paramento slu'!$G$53)*IF(O1223&lt;0,-1,1)</f>
        <v>61559.553474755383</v>
      </c>
      <c r="V1223" s="479">
        <f t="shared" si="92"/>
        <v>-3155910.0564750317</v>
      </c>
      <c r="W1223" s="559"/>
      <c r="X1223" s="559"/>
    </row>
    <row r="1224" spans="1:24" x14ac:dyDescent="0.25">
      <c r="A1224" s="553">
        <f t="shared" si="91"/>
        <v>3237994.2860635184</v>
      </c>
      <c r="B1224" s="3">
        <f t="shared" si="89"/>
        <v>58.899999999999942</v>
      </c>
      <c r="C1224" s="553">
        <f>'Foglio deposito bis'!$E$157/sezione!$B$247*B1224</f>
        <v>239.11008164619534</v>
      </c>
      <c r="D1224" s="611">
        <f>-'Progetto del paramento slu'!$G$47*'Progetto del paramento slu'!$G$41*IF(DATI!$G$218="dx",DATI!$E$61,DATI!$E$64*DATI!$E$63)*1000*C1224^2*sezione!$AD$5*(1-sezione!$AD$6)</f>
        <v>-470653317.86273545</v>
      </c>
      <c r="E1224" s="553">
        <f>-'Foglio deposito bis'!$F$58*(C1224-sezione!$AL$31)*IF(ABS(K1224)&lt;'Progetto del paramento slu'!$G$58,ABS(K1224)*'Progetto del paramento slu'!$G$54,'Progetto del paramento slu'!$G$53)</f>
        <v>0</v>
      </c>
      <c r="F1224" s="553">
        <f>-'Foglio deposito bis'!$F$59*(C1224-sezione!$AM$31)*IF(ABS(L1224)&lt;'Progetto del paramento slu'!$G$58,ABS(L1224)*'Progetto del paramento slu'!$G$54,'Progetto del paramento slu'!$G$53)</f>
        <v>-9402664.6231036503</v>
      </c>
      <c r="G1224" s="553">
        <f>-'Foglio deposito bis'!$F$60*(C1224-sezione!$AN$31)*IF(ABS(M1224)&lt;'Progetto del paramento slu'!$G$58,ABS(M1224)*'Progetto del paramento slu'!$G$54,'Progetto del paramento slu'!$G$53)</f>
        <v>0</v>
      </c>
      <c r="H1224" s="553">
        <f>-'Foglio deposito bis'!$F$61*(C1224-sezione!$AO$31)*IF(ABS(N1224)&lt;'Progetto del paramento slu'!$G$58,ABS(N1224)*'Progetto del paramento slu'!$G$54,'Progetto del paramento slu'!$G$53)</f>
        <v>18899001.616910636</v>
      </c>
      <c r="I1224" s="479">
        <f>-'Foglio deposito bis'!$F$62*(C1224-sezione!$AP$31)*IF(ABS(O1224)&lt;'Progetto del paramento slu'!$G$58,ABS(O1224)*'Progetto del paramento slu'!$G$54,'Progetto del paramento slu'!$G$53)</f>
        <v>1058684.6149430224</v>
      </c>
      <c r="J1224" s="479">
        <f t="shared" si="90"/>
        <v>-460098296.25398546</v>
      </c>
      <c r="K1224" s="558">
        <f>'Progetto del paramento slu'!$G$60*(sezione!$AL$31-C1224)/C1224</f>
        <v>-2.9144956204433313E-3</v>
      </c>
      <c r="L1224" s="558">
        <f>'Progetto del paramento slu'!$G$60*(sezione!$AM$31-C1224)/C1224</f>
        <v>-1.3043585766624923E-3</v>
      </c>
      <c r="M1224" s="559">
        <f>'Progetto del paramento slu'!$G$60*(sezione!$AN$31-C1224)/C1224</f>
        <v>3.0577846711834659E-4</v>
      </c>
      <c r="N1224" s="559">
        <f>'Progetto del paramento slu'!$G$60*(sezione!$AO$31-C1224)/C1224</f>
        <v>1.476787226231684E-3</v>
      </c>
      <c r="O1224" s="559">
        <f>'Progetto del paramento slu'!$G$60*(sezione!$AP$31-C1224)/C1224</f>
        <v>3.0583687681005585E-4</v>
      </c>
      <c r="P1224" s="553">
        <f>-'Progetto del paramento slu'!$G$47*'Progetto del paramento slu'!$G$41*IF(DATI!$G$218="dx",DATI!$E$61,DATI!$E$64*DATI!$E$63)*1000*C1224*sezione!$AD$5</f>
        <v>-3370469.4087757887</v>
      </c>
      <c r="Q1224" s="553">
        <f>'Foglio deposito bis'!$F$58*IF(ABS(K1224)&lt;'Progetto del paramento slu'!$G$58,ABS(K1224)*'Progetto del paramento slu'!$G$54,'Progetto del paramento slu'!$G$53)*IF(K1224&lt;0,-1,1)</f>
        <v>0</v>
      </c>
      <c r="R1224" s="553">
        <f>'Foglio deposito bis'!$F$59*IF(ABS(L1224)&lt;'Progetto del paramento slu'!$G$58,ABS(L1224)*'Progetto del paramento slu'!$G$54,'Progetto del paramento slu'!$G$53)*IF(L1224&lt;0,-1,1)</f>
        <v>-105517.4055438104</v>
      </c>
      <c r="S1224" s="553">
        <f>'Foglio deposito bis'!$F$60*IF(ABS(M1224)&lt;'Progetto del paramento slu'!$G$58,ABS(M1224)*'Progetto del paramento slu'!$G$54,'Progetto del paramento slu'!$G$53)*IF(M1224&lt;0,-1,1)</f>
        <v>0</v>
      </c>
      <c r="T1224" s="553">
        <f>'Foglio deposito bis'!$F$61*IF(ABS(N1224)&lt;'Progetto del paramento slu'!$G$58,ABS(N1224)*'Progetto del paramento slu'!$G$54,'Progetto del paramento slu'!$G$53)*IF(N1224&lt;0,-1,1)</f>
        <v>187322.99446050584</v>
      </c>
      <c r="U1224" s="553">
        <f>'Foglio deposito bis'!$F$62*IF(ABS(O1224)&lt;'Progetto del paramento slu'!$G$58,ABS(O1224)*'Progetto del paramento slu'!$G$54,'Progetto del paramento slu'!$G$53)*IF(O1224&lt;0,-1,1)</f>
        <v>50669.533795574658</v>
      </c>
      <c r="V1224" s="479">
        <f t="shared" si="92"/>
        <v>-3237994.2860635184</v>
      </c>
      <c r="W1224" s="559"/>
      <c r="X1224" s="559"/>
    </row>
    <row r="1225" spans="1:24" x14ac:dyDescent="0.25">
      <c r="A1225" s="553">
        <f t="shared" si="91"/>
        <v>3319248.4441893897</v>
      </c>
      <c r="B1225" s="3">
        <f t="shared" si="89"/>
        <v>59.899999999999942</v>
      </c>
      <c r="C1225" s="553">
        <f>'Foglio deposito bis'!$E$157/sezione!$B$247*B1225</f>
        <v>243.16967556209002</v>
      </c>
      <c r="D1225" s="611">
        <f>-'Progetto del paramento slu'!$G$47*'Progetto del paramento slu'!$G$41*IF(DATI!$G$218="dx",DATI!$E$61,DATI!$E$64*DATI!$E$63)*1000*C1225^2*sezione!$AD$5*(1-sezione!$AD$6)</f>
        <v>-486770420.65042865</v>
      </c>
      <c r="E1225" s="553">
        <f>-'Foglio deposito bis'!$F$58*(C1225-sezione!$AL$31)*IF(ABS(K1225)&lt;'Progetto del paramento slu'!$G$58,ABS(K1225)*'Progetto del paramento slu'!$G$54,'Progetto del paramento slu'!$G$53)</f>
        <v>0</v>
      </c>
      <c r="F1225" s="553">
        <f>-'Foglio deposito bis'!$F$59*(C1225-sezione!$AM$31)*IF(ABS(L1225)&lt;'Progetto del paramento slu'!$G$58,ABS(L1225)*'Progetto del paramento slu'!$G$54,'Progetto del paramento slu'!$G$53)</f>
        <v>-10107294.065893229</v>
      </c>
      <c r="G1225" s="553">
        <f>-'Foglio deposito bis'!$F$60*(C1225-sezione!$AN$31)*IF(ABS(M1225)&lt;'Progetto del paramento slu'!$G$58,ABS(M1225)*'Progetto del paramento slu'!$G$54,'Progetto del paramento slu'!$G$53)</f>
        <v>0</v>
      </c>
      <c r="H1225" s="553">
        <f>-'Foglio deposito bis'!$F$61*(C1225-sezione!$AO$31)*IF(ABS(N1225)&lt;'Progetto del paramento slu'!$G$58,ABS(N1225)*'Progetto del paramento slu'!$G$54,'Progetto del paramento slu'!$G$53)</f>
        <v>17118060.91186798</v>
      </c>
      <c r="I1225" s="479">
        <f>-'Foglio deposito bis'!$F$62*(C1225-sezione!$AP$31)*IF(ABS(O1225)&lt;'Progetto del paramento slu'!$G$58,ABS(O1225)*'Progetto del paramento slu'!$G$54,'Progetto del paramento slu'!$G$53)</f>
        <v>675781.93322773208</v>
      </c>
      <c r="J1225" s="479">
        <f t="shared" si="90"/>
        <v>-479083871.87122619</v>
      </c>
      <c r="K1225" s="558">
        <f>'Progetto del paramento slu'!$G$60*(sezione!$AL$31-C1225)/C1225</f>
        <v>-2.9242703179317565E-3</v>
      </c>
      <c r="L1225" s="558">
        <f>'Progetto del paramento slu'!$G$60*(sezione!$AM$31-C1225)/C1225</f>
        <v>-1.341013692244087E-3</v>
      </c>
      <c r="M1225" s="559">
        <f>'Progetto del paramento slu'!$G$60*(sezione!$AN$31-C1225)/C1225</f>
        <v>2.4224293344358254E-4</v>
      </c>
      <c r="N1225" s="559">
        <f>'Progetto del paramento slu'!$G$60*(sezione!$AO$31-C1225)/C1225</f>
        <v>1.3937022975800694E-3</v>
      </c>
      <c r="O1225" s="559">
        <f>'Progetto del paramento slu'!$G$60*(sezione!$AP$31-C1225)/C1225</f>
        <v>2.4230036801522984E-4</v>
      </c>
      <c r="P1225" s="553">
        <f>-'Progetto del paramento slu'!$G$47*'Progetto del paramento slu'!$G$41*IF(DATI!$G$218="dx",DATI!$E$61,DATI!$E$64*DATI!$E$63)*1000*C1225*sezione!$AD$5</f>
        <v>-3427692.9980589096</v>
      </c>
      <c r="Q1225" s="553">
        <f>'Foglio deposito bis'!$F$58*IF(ABS(K1225)&lt;'Progetto del paramento slu'!$G$58,ABS(K1225)*'Progetto del paramento slu'!$G$54,'Progetto del paramento slu'!$G$53)*IF(K1225&lt;0,-1,1)</f>
        <v>0</v>
      </c>
      <c r="R1225" s="553">
        <f>'Foglio deposito bis'!$F$59*IF(ABS(L1225)&lt;'Progetto del paramento slu'!$G$58,ABS(L1225)*'Progetto del paramento slu'!$G$54,'Progetto del paramento slu'!$G$53)*IF(L1225&lt;0,-1,1)</f>
        <v>-108482.65817087168</v>
      </c>
      <c r="S1225" s="553">
        <f>'Foglio deposito bis'!$F$60*IF(ABS(M1225)&lt;'Progetto del paramento slu'!$G$58,ABS(M1225)*'Progetto del paramento slu'!$G$54,'Progetto del paramento slu'!$G$53)*IF(M1225&lt;0,-1,1)</f>
        <v>0</v>
      </c>
      <c r="T1225" s="553">
        <f>'Foglio deposito bis'!$F$61*IF(ABS(N1225)&lt;'Progetto del paramento slu'!$G$58,ABS(N1225)*'Progetto del paramento slu'!$G$54,'Progetto del paramento slu'!$G$53)*IF(N1225&lt;0,-1,1)</f>
        <v>176784.09125691312</v>
      </c>
      <c r="U1225" s="553">
        <f>'Foglio deposito bis'!$F$62*IF(ABS(O1225)&lt;'Progetto del paramento slu'!$G$58,ABS(O1225)*'Progetto del paramento slu'!$G$54,'Progetto del paramento slu'!$G$53)*IF(O1225&lt;0,-1,1)</f>
        <v>40143.120783478364</v>
      </c>
      <c r="V1225" s="479">
        <f t="shared" si="92"/>
        <v>-3319248.4441893897</v>
      </c>
      <c r="W1225" s="559"/>
      <c r="X1225" s="559"/>
    </row>
    <row r="1226" spans="1:24" x14ac:dyDescent="0.25">
      <c r="A1226" s="553">
        <f t="shared" si="91"/>
        <v>3399713.4210724765</v>
      </c>
      <c r="B1226" s="3">
        <f t="shared" si="89"/>
        <v>60.899999999999942</v>
      </c>
      <c r="C1226" s="553">
        <f>'Foglio deposito bis'!$E$157/sezione!$B$247*B1226</f>
        <v>247.22926947798467</v>
      </c>
      <c r="D1226" s="611">
        <f>-'Progetto del paramento slu'!$G$47*'Progetto del paramento slu'!$G$41*IF(DATI!$G$218="dx",DATI!$E$61,DATI!$E$64*DATI!$E$63)*1000*C1226^2*sezione!$AD$5*(1-sezione!$AD$6)</f>
        <v>-503158855.1348843</v>
      </c>
      <c r="E1226" s="553">
        <f>-'Foglio deposito bis'!$F$58*(C1226-sezione!$AL$31)*IF(ABS(K1226)&lt;'Progetto del paramento slu'!$G$58,ABS(K1226)*'Progetto del paramento slu'!$G$54,'Progetto del paramento slu'!$G$53)</f>
        <v>0</v>
      </c>
      <c r="F1226" s="553">
        <f>-'Foglio deposito bis'!$F$59*(C1226-sezione!$AM$31)*IF(ABS(L1226)&lt;'Progetto del paramento slu'!$G$58,ABS(L1226)*'Progetto del paramento slu'!$G$54,'Progetto del paramento slu'!$G$53)</f>
        <v>-10826530.664481133</v>
      </c>
      <c r="G1226" s="553">
        <f>-'Foglio deposito bis'!$F$60*(C1226-sezione!$AN$31)*IF(ABS(M1226)&lt;'Progetto del paramento slu'!$G$58,ABS(M1226)*'Progetto del paramento slu'!$G$54,'Progetto del paramento slu'!$G$53)</f>
        <v>0</v>
      </c>
      <c r="H1226" s="553">
        <f>-'Foglio deposito bis'!$F$61*(C1226-sezione!$AO$31)*IF(ABS(N1226)&lt;'Progetto del paramento slu'!$G$58,ABS(N1226)*'Progetto del paramento slu'!$G$54,'Progetto del paramento slu'!$G$53)</f>
        <v>15454795.973302238</v>
      </c>
      <c r="I1226" s="479">
        <f>-'Foglio deposito bis'!$F$62*(C1226-sezione!$AP$31)*IF(ABS(O1226)&lt;'Progetto del paramento slu'!$G$58,ABS(O1226)*'Progetto del paramento slu'!$G$54,'Progetto del paramento slu'!$G$53)</f>
        <v>382761.33320642018</v>
      </c>
      <c r="J1226" s="479">
        <f t="shared" si="90"/>
        <v>-498147828.49285674</v>
      </c>
      <c r="K1226" s="558">
        <f>'Progetto del paramento slu'!$G$60*(sezione!$AL$31-C1226)/C1226</f>
        <v>-2.933724007292483E-3</v>
      </c>
      <c r="L1226" s="558">
        <f>'Progetto del paramento slu'!$G$60*(sezione!$AM$31-C1226)/C1226</f>
        <v>-1.3764650273468111E-3</v>
      </c>
      <c r="M1226" s="559">
        <f>'Progetto del paramento slu'!$G$60*(sezione!$AN$31-C1226)/C1226</f>
        <v>1.8079395259886042E-4</v>
      </c>
      <c r="N1226" s="559">
        <f>'Progetto del paramento slu'!$G$60*(sezione!$AO$31-C1226)/C1226</f>
        <v>1.3133459380138945E-3</v>
      </c>
      <c r="O1226" s="559">
        <f>'Progetto del paramento slu'!$G$60*(sezione!$AP$31-C1226)/C1226</f>
        <v>1.8085044407409312E-4</v>
      </c>
      <c r="P1226" s="553">
        <f>-'Progetto del paramento slu'!$G$47*'Progetto del paramento slu'!$G$41*IF(DATI!$G$218="dx",DATI!$E$61,DATI!$E$64*DATI!$E$63)*1000*C1226*sezione!$AD$5</f>
        <v>-3484916.587342029</v>
      </c>
      <c r="Q1226" s="553">
        <f>'Foglio deposito bis'!$F$58*IF(ABS(K1226)&lt;'Progetto del paramento slu'!$G$58,ABS(K1226)*'Progetto del paramento slu'!$G$54,'Progetto del paramento slu'!$G$53)*IF(K1226&lt;0,-1,1)</f>
        <v>0</v>
      </c>
      <c r="R1226" s="553">
        <f>'Foglio deposito bis'!$F$59*IF(ABS(L1226)&lt;'Progetto del paramento slu'!$G$58,ABS(L1226)*'Progetto del paramento slu'!$G$54,'Progetto del paramento slu'!$G$53)*IF(L1226&lt;0,-1,1)</f>
        <v>-111350.52975927739</v>
      </c>
      <c r="S1226" s="553">
        <f>'Foglio deposito bis'!$F$60*IF(ABS(M1226)&lt;'Progetto del paramento slu'!$G$58,ABS(M1226)*'Progetto del paramento slu'!$G$54,'Progetto del paramento slu'!$G$53)*IF(M1226&lt;0,-1,1)</f>
        <v>0</v>
      </c>
      <c r="T1226" s="553">
        <f>'Foglio deposito bis'!$F$61*IF(ABS(N1226)&lt;'Progetto del paramento slu'!$G$58,ABS(N1226)*'Progetto del paramento slu'!$G$54,'Progetto del paramento slu'!$G$53)*IF(N1226&lt;0,-1,1)</f>
        <v>166591.29324884075</v>
      </c>
      <c r="U1226" s="553">
        <f>'Foglio deposito bis'!$F$62*IF(ABS(O1226)&lt;'Progetto del paramento slu'!$G$58,ABS(O1226)*'Progetto del paramento slu'!$G$54,'Progetto del paramento slu'!$G$53)*IF(O1226&lt;0,-1,1)</f>
        <v>29962.402779989574</v>
      </c>
      <c r="V1226" s="479">
        <f t="shared" si="92"/>
        <v>-3399713.4210724765</v>
      </c>
      <c r="W1226" s="559"/>
      <c r="X1226" s="559"/>
    </row>
    <row r="1227" spans="1:24" x14ac:dyDescent="0.25">
      <c r="A1227" s="553">
        <f t="shared" si="91"/>
        <v>3479427.464592075</v>
      </c>
      <c r="B1227" s="3">
        <f t="shared" si="89"/>
        <v>61.899999999999942</v>
      </c>
      <c r="C1227" s="553">
        <f>'Foglio deposito bis'!$E$157/sezione!$B$247*B1227</f>
        <v>251.28886339387932</v>
      </c>
      <c r="D1227" s="611">
        <f>-'Progetto del paramento slu'!$G$47*'Progetto del paramento slu'!$G$41*IF(DATI!$G$218="dx",DATI!$E$61,DATI!$E$64*DATI!$E$63)*1000*C1227^2*sezione!$AD$5*(1-sezione!$AD$6)</f>
        <v>-519818621.3161025</v>
      </c>
      <c r="E1227" s="553">
        <f>-'Foglio deposito bis'!$F$58*(C1227-sezione!$AL$31)*IF(ABS(K1227)&lt;'Progetto del paramento slu'!$G$58,ABS(K1227)*'Progetto del paramento slu'!$G$54,'Progetto del paramento slu'!$G$53)</f>
        <v>0</v>
      </c>
      <c r="F1227" s="553">
        <f>-'Foglio deposito bis'!$F$59*(C1227-sezione!$AM$31)*IF(ABS(L1227)&lt;'Progetto del paramento slu'!$G$58,ABS(L1227)*'Progetto del paramento slu'!$G$54,'Progetto del paramento slu'!$G$53)</f>
        <v>-11559666.479167938</v>
      </c>
      <c r="G1227" s="553">
        <f>-'Foglio deposito bis'!$F$60*(C1227-sezione!$AN$31)*IF(ABS(M1227)&lt;'Progetto del paramento slu'!$G$58,ABS(M1227)*'Progetto del paramento slu'!$G$54,'Progetto del paramento slu'!$G$53)</f>
        <v>0</v>
      </c>
      <c r="H1227" s="553">
        <f>-'Foglio deposito bis'!$F$61*(C1227-sezione!$AO$31)*IF(ABS(N1227)&lt;'Progetto del paramento slu'!$G$58,ABS(N1227)*'Progetto del paramento slu'!$G$54,'Progetto del paramento slu'!$G$53)</f>
        <v>13903503.613823552</v>
      </c>
      <c r="I1227" s="479">
        <f>-'Foglio deposito bis'!$F$62*(C1227-sezione!$AP$31)*IF(ABS(O1227)&lt;'Progetto del paramento slu'!$G$58,ABS(O1227)*'Progetto del paramento slu'!$G$54,'Progetto del paramento slu'!$G$53)</f>
        <v>175266.65583091046</v>
      </c>
      <c r="J1227" s="479">
        <f t="shared" si="90"/>
        <v>-517299517.52561599</v>
      </c>
      <c r="K1227" s="558">
        <f>'Progetto del paramento slu'!$G$60*(sezione!$AL$31-C1227)/C1227</f>
        <v>-2.9428722462699875E-3</v>
      </c>
      <c r="L1227" s="558">
        <f>'Progetto del paramento slu'!$G$60*(sezione!$AM$31-C1227)/C1227</f>
        <v>-1.4107709235124525E-3</v>
      </c>
      <c r="M1227" s="559">
        <f>'Progetto del paramento slu'!$G$60*(sezione!$AN$31-C1227)/C1227</f>
        <v>1.2133039924508246E-4</v>
      </c>
      <c r="N1227" s="559">
        <f>'Progetto del paramento slu'!$G$60*(sezione!$AO$31-C1227)/C1227</f>
        <v>1.2355859067051077E-3</v>
      </c>
      <c r="O1227" s="559">
        <f>'Progetto del paramento slu'!$G$60*(sezione!$AP$31-C1227)/C1227</f>
        <v>1.2138597809551337E-4</v>
      </c>
      <c r="P1227" s="553">
        <f>-'Progetto del paramento slu'!$G$47*'Progetto del paramento slu'!$G$41*IF(DATI!$G$218="dx",DATI!$E$61,DATI!$E$64*DATI!$E$63)*1000*C1227*sezione!$AD$5</f>
        <v>-3542140.1766251493</v>
      </c>
      <c r="Q1227" s="553">
        <f>'Foglio deposito bis'!$F$58*IF(ABS(K1227)&lt;'Progetto del paramento slu'!$G$58,ABS(K1227)*'Progetto del paramento slu'!$G$54,'Progetto del paramento slu'!$G$53)*IF(K1227&lt;0,-1,1)</f>
        <v>0</v>
      </c>
      <c r="R1227" s="553">
        <f>'Foglio deposito bis'!$F$59*IF(ABS(L1227)&lt;'Progetto del paramento slu'!$G$58,ABS(L1227)*'Progetto del paramento slu'!$G$54,'Progetto del paramento slu'!$G$53)*IF(L1227&lt;0,-1,1)</f>
        <v>-114125.73990702383</v>
      </c>
      <c r="S1227" s="553">
        <f>'Foglio deposito bis'!$F$60*IF(ABS(M1227)&lt;'Progetto del paramento slu'!$G$58,ABS(M1227)*'Progetto del paramento slu'!$G$54,'Progetto del paramento slu'!$G$53)*IF(M1227&lt;0,-1,1)</f>
        <v>0</v>
      </c>
      <c r="T1227" s="553">
        <f>'Foglio deposito bis'!$F$61*IF(ABS(N1227)&lt;'Progetto del paramento slu'!$G$58,ABS(N1227)*'Progetto del paramento slu'!$G$54,'Progetto del paramento slu'!$G$53)*IF(N1227&lt;0,-1,1)</f>
        <v>156727.8263557303</v>
      </c>
      <c r="U1227" s="553">
        <f>'Foglio deposito bis'!$F$62*IF(ABS(O1227)&lt;'Progetto del paramento slu'!$G$58,ABS(O1227)*'Progetto del paramento slu'!$G$54,'Progetto del paramento slu'!$G$53)*IF(O1227&lt;0,-1,1)</f>
        <v>20110.625584367957</v>
      </c>
      <c r="V1227" s="479">
        <f t="shared" si="92"/>
        <v>-3479427.464592075</v>
      </c>
      <c r="W1227" s="559"/>
      <c r="X1227" s="559"/>
    </row>
    <row r="1228" spans="1:24" x14ac:dyDescent="0.25">
      <c r="A1228" s="553">
        <f t="shared" si="91"/>
        <v>3558426.3903299104</v>
      </c>
      <c r="B1228" s="3">
        <f t="shared" si="89"/>
        <v>62.899999999999942</v>
      </c>
      <c r="C1228" s="553">
        <f>'Foglio deposito bis'!$E$157/sezione!$B$247*B1228</f>
        <v>255.34845730977401</v>
      </c>
      <c r="D1228" s="611">
        <f>-'Progetto del paramento slu'!$G$47*'Progetto del paramento slu'!$G$41*IF(DATI!$G$218="dx",DATI!$E$61,DATI!$E$64*DATI!$E$63)*1000*C1228^2*sezione!$AD$5*(1-sezione!$AD$6)</f>
        <v>-536749719.19408327</v>
      </c>
      <c r="E1228" s="553">
        <f>-'Foglio deposito bis'!$F$58*(C1228-sezione!$AL$31)*IF(ABS(K1228)&lt;'Progetto del paramento slu'!$G$58,ABS(K1228)*'Progetto del paramento slu'!$G$54,'Progetto del paramento slu'!$G$53)</f>
        <v>0</v>
      </c>
      <c r="F1228" s="553">
        <f>-'Foglio deposito bis'!$F$59*(C1228-sezione!$AM$31)*IF(ABS(L1228)&lt;'Progetto del paramento slu'!$G$58,ABS(L1228)*'Progetto del paramento slu'!$G$54,'Progetto del paramento slu'!$G$53)</f>
        <v>-12306038.590266891</v>
      </c>
      <c r="G1228" s="553">
        <f>-'Foglio deposito bis'!$F$60*(C1228-sezione!$AN$31)*IF(ABS(M1228)&lt;'Progetto del paramento slu'!$G$58,ABS(M1228)*'Progetto del paramento slu'!$G$54,'Progetto del paramento slu'!$G$53)</f>
        <v>0</v>
      </c>
      <c r="H1228" s="553">
        <f>-'Foglio deposito bis'!$F$61*(C1228-sezione!$AO$31)*IF(ABS(N1228)&lt;'Progetto del paramento slu'!$G$58,ABS(N1228)*'Progetto del paramento slu'!$G$54,'Progetto del paramento slu'!$G$53)</f>
        <v>12458843.328864975</v>
      </c>
      <c r="I1228" s="479">
        <f>-'Foglio deposito bis'!$F$62*(C1228-sezione!$AP$31)*IF(ABS(O1228)&lt;'Progetto del paramento slu'!$G$58,ABS(O1228)*'Progetto del paramento slu'!$G$54,'Progetto del paramento slu'!$G$53)</f>
        <v>49218.763296155958</v>
      </c>
      <c r="J1228" s="479">
        <f t="shared" si="90"/>
        <v>-536547695.69218904</v>
      </c>
      <c r="K1228" s="558">
        <f>'Progetto del paramento slu'!$G$60*(sezione!$AL$31-C1228)/C1228</f>
        <v>-2.9517296032450274E-3</v>
      </c>
      <c r="L1228" s="558">
        <f>'Progetto del paramento slu'!$G$60*(sezione!$AM$31-C1228)/C1228</f>
        <v>-1.4439860121688525E-3</v>
      </c>
      <c r="M1228" s="559">
        <f>'Progetto del paramento slu'!$G$60*(sezione!$AN$31-C1228)/C1228</f>
        <v>6.3757578907322476E-5</v>
      </c>
      <c r="N1228" s="559">
        <f>'Progetto del paramento slu'!$G$60*(sezione!$AO$31-C1228)/C1228</f>
        <v>1.160298372417268E-3</v>
      </c>
      <c r="O1228" s="559">
        <f>'Progetto del paramento slu'!$G$60*(sezione!$AP$31-C1228)/C1228</f>
        <v>6.3812274151228267E-5</v>
      </c>
      <c r="P1228" s="553">
        <f>-'Progetto del paramento slu'!$G$47*'Progetto del paramento slu'!$G$41*IF(DATI!$G$218="dx",DATI!$E$61,DATI!$E$64*DATI!$E$63)*1000*C1228*sezione!$AD$5</f>
        <v>-3599363.7659082706</v>
      </c>
      <c r="Q1228" s="553">
        <f>'Foglio deposito bis'!$F$58*IF(ABS(K1228)&lt;'Progetto del paramento slu'!$G$58,ABS(K1228)*'Progetto del paramento slu'!$G$54,'Progetto del paramento slu'!$G$53)*IF(K1228&lt;0,-1,1)</f>
        <v>0</v>
      </c>
      <c r="R1228" s="553">
        <f>'Foglio deposito bis'!$F$59*IF(ABS(L1228)&lt;'Progetto del paramento slu'!$G$58,ABS(L1228)*'Progetto del paramento slu'!$G$54,'Progetto del paramento slu'!$G$53)*IF(L1228&lt;0,-1,1)</f>
        <v>-116812.70807868928</v>
      </c>
      <c r="S1228" s="553">
        <f>'Foglio deposito bis'!$F$60*IF(ABS(M1228)&lt;'Progetto del paramento slu'!$G$58,ABS(M1228)*'Progetto del paramento slu'!$G$54,'Progetto del paramento slu'!$G$53)*IF(M1228&lt;0,-1,1)</f>
        <v>0</v>
      </c>
      <c r="T1228" s="553">
        <f>'Foglio deposito bis'!$F$61*IF(ABS(N1228)&lt;'Progetto del paramento slu'!$G$58,ABS(N1228)*'Progetto del paramento slu'!$G$54,'Progetto del paramento slu'!$G$53)*IF(N1228&lt;0,-1,1)</f>
        <v>147177.98321120843</v>
      </c>
      <c r="U1228" s="553">
        <f>'Foglio deposito bis'!$F$62*IF(ABS(O1228)&lt;'Progetto del paramento slu'!$G$58,ABS(O1228)*'Progetto del paramento slu'!$G$54,'Progetto del paramento slu'!$G$53)*IF(O1228&lt;0,-1,1)</f>
        <v>10572.100445840757</v>
      </c>
      <c r="V1228" s="479">
        <f t="shared" si="92"/>
        <v>-3558426.3903299104</v>
      </c>
      <c r="W1228" s="559"/>
      <c r="X1228" s="559"/>
    </row>
    <row r="1229" spans="1:24" x14ac:dyDescent="0.25">
      <c r="A1229" s="553">
        <f t="shared" si="91"/>
        <v>3636743.771890759</v>
      </c>
      <c r="B1229" s="3">
        <f t="shared" si="89"/>
        <v>63.899999999999942</v>
      </c>
      <c r="C1229" s="553">
        <f>'Foglio deposito bis'!$E$157/sezione!$B$247*B1229</f>
        <v>259.40805122566866</v>
      </c>
      <c r="D1229" s="611">
        <f>-'Progetto del paramento slu'!$G$47*'Progetto del paramento slu'!$G$41*IF(DATI!$G$218="dx",DATI!$E$61,DATI!$E$64*DATI!$E$63)*1000*C1229^2*sezione!$AD$5*(1-sezione!$AD$6)</f>
        <v>-553952148.76882637</v>
      </c>
      <c r="E1229" s="553">
        <f>-'Foglio deposito bis'!$F$58*(C1229-sezione!$AL$31)*IF(ABS(K1229)&lt;'Progetto del paramento slu'!$G$58,ABS(K1229)*'Progetto del paramento slu'!$G$54,'Progetto del paramento slu'!$G$53)</f>
        <v>0</v>
      </c>
      <c r="F1229" s="553">
        <f>-'Foglio deposito bis'!$F$59*(C1229-sezione!$AM$31)*IF(ABS(L1229)&lt;'Progetto del paramento slu'!$G$58,ABS(L1229)*'Progetto del paramento slu'!$G$54,'Progetto del paramento slu'!$G$53)</f>
        <v>-13065025.575411214</v>
      </c>
      <c r="G1229" s="553">
        <f>-'Foglio deposito bis'!$F$60*(C1229-sezione!$AN$31)*IF(ABS(M1229)&lt;'Progetto del paramento slu'!$G$58,ABS(M1229)*'Progetto del paramento slu'!$G$54,'Progetto del paramento slu'!$G$53)</f>
        <v>0</v>
      </c>
      <c r="H1229" s="553">
        <f>-'Foglio deposito bis'!$F$61*(C1229-sezione!$AO$31)*IF(ABS(N1229)&lt;'Progetto del paramento slu'!$G$58,ABS(N1229)*'Progetto del paramento slu'!$G$54,'Progetto del paramento slu'!$G$53)</f>
        <v>11115808.917744821</v>
      </c>
      <c r="I1229" s="479">
        <f>-'Foglio deposito bis'!$F$62*(C1229-sezione!$AP$31)*IF(ABS(O1229)&lt;'Progetto del paramento slu'!$G$58,ABS(O1229)*'Progetto del paramento slu'!$G$54,'Progetto del paramento slu'!$G$53)</f>
        <v>793.86288663002961</v>
      </c>
      <c r="J1229" s="479">
        <f t="shared" si="90"/>
        <v>-555900571.56360602</v>
      </c>
      <c r="K1229" s="558">
        <f>'Progetto del paramento slu'!$G$60*(sezione!$AL$31-C1229)/C1229</f>
        <v>-2.9603097346496436E-3</v>
      </c>
      <c r="L1229" s="558">
        <f>'Progetto del paramento slu'!$G$60*(sezione!$AM$31-C1229)/C1229</f>
        <v>-1.4761615049361629E-3</v>
      </c>
      <c r="M1229" s="559">
        <f>'Progetto del paramento slu'!$G$60*(sezione!$AN$31-C1229)/C1229</f>
        <v>7.9867247773175142E-6</v>
      </c>
      <c r="N1229" s="559">
        <f>'Progetto del paramento slu'!$G$60*(sezione!$AO$31-C1229)/C1229</f>
        <v>1.0873672554780305E-3</v>
      </c>
      <c r="O1229" s="559">
        <f>'Progetto del paramento slu'!$G$60*(sezione!$AP$31-C1229)/C1229</f>
        <v>8.0405640706144437E-6</v>
      </c>
      <c r="P1229" s="553">
        <f>-'Progetto del paramento slu'!$G$47*'Progetto del paramento slu'!$G$41*IF(DATI!$G$218="dx",DATI!$E$61,DATI!$E$64*DATI!$E$63)*1000*C1229*sezione!$AD$5</f>
        <v>-3656587.3551913905</v>
      </c>
      <c r="Q1229" s="553">
        <f>'Foglio deposito bis'!$F$58*IF(ABS(K1229)&lt;'Progetto del paramento slu'!$G$58,ABS(K1229)*'Progetto del paramento slu'!$G$54,'Progetto del paramento slu'!$G$53)*IF(K1229&lt;0,-1,1)</f>
        <v>0</v>
      </c>
      <c r="R1229" s="553">
        <f>'Foglio deposito bis'!$F$59*IF(ABS(L1229)&lt;'Progetto del paramento slu'!$G$58,ABS(L1229)*'Progetto del paramento slu'!$G$54,'Progetto del paramento slu'!$G$53)*IF(L1229&lt;0,-1,1)</f>
        <v>-119415.57709005219</v>
      </c>
      <c r="S1229" s="553">
        <f>'Foglio deposito bis'!$F$60*IF(ABS(M1229)&lt;'Progetto del paramento slu'!$G$58,ABS(M1229)*'Progetto del paramento slu'!$G$54,'Progetto del paramento slu'!$G$53)*IF(M1229&lt;0,-1,1)</f>
        <v>0</v>
      </c>
      <c r="T1229" s="553">
        <f>'Foglio deposito bis'!$F$61*IF(ABS(N1229)&lt;'Progetto del paramento slu'!$G$58,ABS(N1229)*'Progetto del paramento slu'!$G$54,'Progetto del paramento slu'!$G$53)*IF(N1229&lt;0,-1,1)</f>
        <v>137927.03969562307</v>
      </c>
      <c r="U1229" s="553">
        <f>'Foglio deposito bis'!$F$62*IF(ABS(O1229)&lt;'Progetto del paramento slu'!$G$58,ABS(O1229)*'Progetto del paramento slu'!$G$54,'Progetto del paramento slu'!$G$53)*IF(O1229&lt;0,-1,1)</f>
        <v>1332.1206950609505</v>
      </c>
      <c r="V1229" s="479">
        <f t="shared" si="92"/>
        <v>-3636743.771890759</v>
      </c>
      <c r="W1229" s="559"/>
      <c r="X1229" s="559"/>
    </row>
    <row r="1230" spans="1:24" x14ac:dyDescent="0.25">
      <c r="A1230" s="553">
        <f t="shared" si="91"/>
        <v>3714411.1136279493</v>
      </c>
      <c r="B1230" s="3">
        <f t="shared" si="89"/>
        <v>64.899999999999949</v>
      </c>
      <c r="C1230" s="553">
        <f>'Foglio deposito bis'!$E$157/sezione!$B$247*B1230</f>
        <v>263.46764514156337</v>
      </c>
      <c r="D1230" s="611">
        <f>-'Progetto del paramento slu'!$G$47*'Progetto del paramento slu'!$G$41*IF(DATI!$G$218="dx",DATI!$E$61,DATI!$E$64*DATI!$E$63)*1000*C1230^2*sezione!$AD$5*(1-sezione!$AD$6)</f>
        <v>-571425910.04033232</v>
      </c>
      <c r="E1230" s="553">
        <f>-'Foglio deposito bis'!$F$58*(C1230-sezione!$AL$31)*IF(ABS(K1230)&lt;'Progetto del paramento slu'!$G$58,ABS(K1230)*'Progetto del paramento slu'!$G$54,'Progetto del paramento slu'!$G$53)</f>
        <v>0</v>
      </c>
      <c r="F1230" s="553">
        <f>-'Foglio deposito bis'!$F$59*(C1230-sezione!$AM$31)*IF(ABS(L1230)&lt;'Progetto del paramento slu'!$G$58,ABS(L1230)*'Progetto del paramento slu'!$G$54,'Progetto del paramento slu'!$G$53)</f>
        <v>-13836044.312534114</v>
      </c>
      <c r="G1230" s="553">
        <f>-'Foglio deposito bis'!$F$60*(C1230-sezione!$AN$31)*IF(ABS(M1230)&lt;'Progetto del paramento slu'!$G$58,ABS(M1230)*'Progetto del paramento slu'!$G$54,'Progetto del paramento slu'!$G$53)</f>
        <v>0</v>
      </c>
      <c r="H1230" s="553">
        <f>-'Foglio deposito bis'!$F$61*(C1230-sezione!$AO$31)*IF(ABS(N1230)&lt;'Progetto del paramento slu'!$G$58,ABS(N1230)*'Progetto del paramento slu'!$G$54,'Progetto del paramento slu'!$G$53)</f>
        <v>9869702.7283595968</v>
      </c>
      <c r="I1230" s="479">
        <f>-'Foglio deposito bis'!$F$62*(C1230-sezione!$AP$31)*IF(ABS(O1230)&lt;'Progetto del paramento slu'!$G$58,ABS(O1230)*'Progetto del paramento slu'!$G$54,'Progetto del paramento slu'!$G$53)</f>
        <v>-26403.834781443609</v>
      </c>
      <c r="J1230" s="479">
        <f t="shared" si="90"/>
        <v>-575418655.45928824</v>
      </c>
      <c r="K1230" s="558">
        <f>'Progetto del paramento slu'!$G$60*(sezione!$AL$31-C1230)/C1230</f>
        <v>-2.9686254552251496E-3</v>
      </c>
      <c r="L1230" s="558">
        <f>'Progetto del paramento slu'!$G$60*(sezione!$AM$31-C1230)/C1230</f>
        <v>-1.5073454570943118E-3</v>
      </c>
      <c r="M1230" s="559">
        <f>'Progetto del paramento slu'!$G$60*(sezione!$AN$31-C1230)/C1230</f>
        <v>-4.6065458963473868E-5</v>
      </c>
      <c r="N1230" s="559">
        <f>'Progetto del paramento slu'!$G$60*(sezione!$AO$31-C1230)/C1230</f>
        <v>1.0166836305862265E-3</v>
      </c>
      <c r="O1230" s="559">
        <f>'Progetto del paramento slu'!$G$60*(sezione!$AP$31-C1230)/C1230</f>
        <v>-4.6012449243263181E-5</v>
      </c>
      <c r="P1230" s="553">
        <f>-'Progetto del paramento slu'!$G$47*'Progetto del paramento slu'!$G$41*IF(DATI!$G$218="dx",DATI!$E$61,DATI!$E$64*DATI!$E$63)*1000*C1230*sezione!$AD$5</f>
        <v>-3713810.9444745113</v>
      </c>
      <c r="Q1230" s="553">
        <f>'Foglio deposito bis'!$F$58*IF(ABS(K1230)&lt;'Progetto del paramento slu'!$G$58,ABS(K1230)*'Progetto del paramento slu'!$G$54,'Progetto del paramento slu'!$G$53)*IF(K1230&lt;0,-1,1)</f>
        <v>0</v>
      </c>
      <c r="R1230" s="553">
        <f>'Foglio deposito bis'!$F$59*IF(ABS(L1230)&lt;'Progetto del paramento slu'!$G$58,ABS(L1230)*'Progetto del paramento slu'!$G$54,'Progetto del paramento slu'!$G$53)*IF(L1230&lt;0,-1,1)</f>
        <v>-121938.23442155804</v>
      </c>
      <c r="S1230" s="553">
        <f>'Foglio deposito bis'!$F$60*IF(ABS(M1230)&lt;'Progetto del paramento slu'!$G$58,ABS(M1230)*'Progetto del paramento slu'!$G$54,'Progetto del paramento slu'!$G$53)*IF(M1230&lt;0,-1,1)</f>
        <v>0</v>
      </c>
      <c r="T1230" s="553">
        <f>'Foglio deposito bis'!$F$61*IF(ABS(N1230)&lt;'Progetto del paramento slu'!$G$58,ABS(N1230)*'Progetto del paramento slu'!$G$54,'Progetto del paramento slu'!$G$53)*IF(N1230&lt;0,-1,1)</f>
        <v>128961.1791851404</v>
      </c>
      <c r="U1230" s="553">
        <f>'Foglio deposito bis'!$F$62*IF(ABS(O1230)&lt;'Progetto del paramento slu'!$G$58,ABS(O1230)*'Progetto del paramento slu'!$G$54,'Progetto del paramento slu'!$G$53)*IF(O1230&lt;0,-1,1)</f>
        <v>-7623.1139170200631</v>
      </c>
      <c r="V1230" s="479">
        <f t="shared" si="92"/>
        <v>-3714411.1136279493</v>
      </c>
      <c r="W1230" s="559"/>
      <c r="X1230" s="559"/>
    </row>
    <row r="1231" spans="1:24" x14ac:dyDescent="0.25">
      <c r="A1231" s="553">
        <f t="shared" si="91"/>
        <v>3791458.0076427083</v>
      </c>
      <c r="B1231" s="3">
        <f t="shared" si="89"/>
        <v>65.899999999999949</v>
      </c>
      <c r="C1231" s="553">
        <f>'Foglio deposito bis'!$E$157/sezione!$B$247*B1231</f>
        <v>267.52723905745802</v>
      </c>
      <c r="D1231" s="611">
        <f>-'Progetto del paramento slu'!$G$47*'Progetto del paramento slu'!$G$41*IF(DATI!$G$218="dx",DATI!$E$61,DATI!$E$64*DATI!$E$63)*1000*C1231^2*sezione!$AD$5*(1-sezione!$AD$6)</f>
        <v>-589171003.00860059</v>
      </c>
      <c r="E1231" s="553">
        <f>-'Foglio deposito bis'!$F$58*(C1231-sezione!$AL$31)*IF(ABS(K1231)&lt;'Progetto del paramento slu'!$G$58,ABS(K1231)*'Progetto del paramento slu'!$G$54,'Progetto del paramento slu'!$G$53)</f>
        <v>0</v>
      </c>
      <c r="F1231" s="553">
        <f>-'Foglio deposito bis'!$F$59*(C1231-sezione!$AM$31)*IF(ABS(L1231)&lt;'Progetto del paramento slu'!$G$58,ABS(L1231)*'Progetto del paramento slu'!$G$54,'Progetto del paramento slu'!$G$53)</f>
        <v>-14618547.073927898</v>
      </c>
      <c r="G1231" s="553">
        <f>-'Foglio deposito bis'!$F$60*(C1231-sezione!$AN$31)*IF(ABS(M1231)&lt;'Progetto del paramento slu'!$G$58,ABS(M1231)*'Progetto del paramento slu'!$G$54,'Progetto del paramento slu'!$G$53)</f>
        <v>0</v>
      </c>
      <c r="H1231" s="553">
        <f>-'Foglio deposito bis'!$F$61*(C1231-sezione!$AO$31)*IF(ABS(N1231)&lt;'Progetto del paramento slu'!$G$58,ABS(N1231)*'Progetto del paramento slu'!$G$54,'Progetto del paramento slu'!$G$53)</f>
        <v>8716112.2468215581</v>
      </c>
      <c r="I1231" s="479">
        <f>-'Foglio deposito bis'!$F$62*(C1231-sezione!$AP$31)*IF(ABS(O1231)&lt;'Progetto del paramento slu'!$G$58,ABS(O1231)*'Progetto del paramento slu'!$G$54,'Progetto del paramento slu'!$G$53)</f>
        <v>-122678.35095460176</v>
      </c>
      <c r="J1231" s="479">
        <f t="shared" si="90"/>
        <v>-595196116.1866616</v>
      </c>
      <c r="K1231" s="558">
        <f>'Progetto del paramento slu'!$G$60*(sezione!$AL$31-C1231)/C1231</f>
        <v>-2.9766888018833417E-3</v>
      </c>
      <c r="L1231" s="558">
        <f>'Progetto del paramento slu'!$G$60*(sezione!$AM$31-C1231)/C1231</f>
        <v>-1.5375830070625317E-3</v>
      </c>
      <c r="M1231" s="559">
        <f>'Progetto del paramento slu'!$G$60*(sezione!$AN$31-C1231)/C1231</f>
        <v>-9.8477212241721525E-5</v>
      </c>
      <c r="N1231" s="559">
        <f>'Progetto del paramento slu'!$G$60*(sezione!$AO$31-C1231)/C1231</f>
        <v>9.4814518399159503E-4</v>
      </c>
      <c r="O1231" s="559">
        <f>'Progetto del paramento slu'!$G$60*(sezione!$AP$31-C1231)/C1231</f>
        <v>-9.8425006917872153E-5</v>
      </c>
      <c r="P1231" s="553">
        <f>-'Progetto del paramento slu'!$G$47*'Progetto del paramento slu'!$G$41*IF(DATI!$G$218="dx",DATI!$E$61,DATI!$E$64*DATI!$E$63)*1000*C1231*sezione!$AD$5</f>
        <v>-3771034.5337576317</v>
      </c>
      <c r="Q1231" s="553">
        <f>'Foglio deposito bis'!$F$58*IF(ABS(K1231)&lt;'Progetto del paramento slu'!$G$58,ABS(K1231)*'Progetto del paramento slu'!$G$54,'Progetto del paramento slu'!$G$53)*IF(K1231&lt;0,-1,1)</f>
        <v>0</v>
      </c>
      <c r="R1231" s="553">
        <f>'Foglio deposito bis'!$F$59*IF(ABS(L1231)&lt;'Progetto del paramento slu'!$G$58,ABS(L1231)*'Progetto del paramento slu'!$G$54,'Progetto del paramento slu'!$G$53)*IF(L1231&lt;0,-1,1)</f>
        <v>-124384.33159125793</v>
      </c>
      <c r="S1231" s="553">
        <f>'Foglio deposito bis'!$F$60*IF(ABS(M1231)&lt;'Progetto del paramento slu'!$G$58,ABS(M1231)*'Progetto del paramento slu'!$G$54,'Progetto del paramento slu'!$G$53)*IF(M1231&lt;0,-1,1)</f>
        <v>0</v>
      </c>
      <c r="T1231" s="553">
        <f>'Foglio deposito bis'!$F$61*IF(ABS(N1231)&lt;'Progetto del paramento slu'!$G$58,ABS(N1231)*'Progetto del paramento slu'!$G$54,'Progetto del paramento slu'!$G$53)*IF(N1231&lt;0,-1,1)</f>
        <v>120267.42369773777</v>
      </c>
      <c r="U1231" s="553">
        <f>'Foglio deposito bis'!$F$62*IF(ABS(O1231)&lt;'Progetto del paramento slu'!$G$58,ABS(O1231)*'Progetto del paramento slu'!$G$54,'Progetto del paramento slu'!$G$53)*IF(O1231&lt;0,-1,1)</f>
        <v>-16306.565991556765</v>
      </c>
      <c r="V1231" s="479">
        <f t="shared" si="92"/>
        <v>-3791458.0076427083</v>
      </c>
      <c r="W1231" s="559"/>
      <c r="X1231" s="559"/>
    </row>
    <row r="1232" spans="1:24" x14ac:dyDescent="0.25">
      <c r="A1232" s="553">
        <f t="shared" si="91"/>
        <v>3867912.2767028608</v>
      </c>
      <c r="B1232" s="3">
        <f t="shared" si="89"/>
        <v>66.899999999999949</v>
      </c>
      <c r="C1232" s="553">
        <f>'Foglio deposito bis'!$E$157/sezione!$B$247*B1232</f>
        <v>271.58683297335267</v>
      </c>
      <c r="D1232" s="611">
        <f>-'Progetto del paramento slu'!$G$47*'Progetto del paramento slu'!$G$41*IF(DATI!$G$218="dx",DATI!$E$61,DATI!$E$64*DATI!$E$63)*1000*C1232^2*sezione!$AD$5*(1-sezione!$AD$6)</f>
        <v>-607187427.67363119</v>
      </c>
      <c r="E1232" s="553">
        <f>-'Foglio deposito bis'!$F$58*(C1232-sezione!$AL$31)*IF(ABS(K1232)&lt;'Progetto del paramento slu'!$G$58,ABS(K1232)*'Progetto del paramento slu'!$G$54,'Progetto del paramento slu'!$G$53)</f>
        <v>0</v>
      </c>
      <c r="F1232" s="553">
        <f>-'Foglio deposito bis'!$F$59*(C1232-sezione!$AM$31)*IF(ABS(L1232)&lt;'Progetto del paramento slu'!$G$58,ABS(L1232)*'Progetto del paramento slu'!$G$54,'Progetto del paramento slu'!$G$53)</f>
        <v>-15412018.880925715</v>
      </c>
      <c r="G1232" s="553">
        <f>-'Foglio deposito bis'!$F$60*(C1232-sezione!$AN$31)*IF(ABS(M1232)&lt;'Progetto del paramento slu'!$G$58,ABS(M1232)*'Progetto del paramento slu'!$G$54,'Progetto del paramento slu'!$G$53)</f>
        <v>0</v>
      </c>
      <c r="H1232" s="553">
        <f>-'Foglio deposito bis'!$F$61*(C1232-sezione!$AO$31)*IF(ABS(N1232)&lt;'Progetto del paramento slu'!$G$58,ABS(N1232)*'Progetto del paramento slu'!$G$54,'Progetto del paramento slu'!$G$53)</f>
        <v>7650888.7866801359</v>
      </c>
      <c r="I1232" s="479">
        <f>-'Foglio deposito bis'!$F$62*(C1232-sezione!$AP$31)*IF(ABS(O1232)&lt;'Progetto del paramento slu'!$G$58,ABS(O1232)*'Progetto del paramento slu'!$G$54,'Progetto del paramento slu'!$G$53)</f>
        <v>-286448.59776133555</v>
      </c>
      <c r="J1232" s="479">
        <f t="shared" si="90"/>
        <v>-615235006.36563814</v>
      </c>
      <c r="K1232" s="558">
        <f>'Progetto del paramento slu'!$G$60*(sezione!$AL$31-C1232)/C1232</f>
        <v>-2.9845110918402425E-3</v>
      </c>
      <c r="L1232" s="558">
        <f>'Progetto del paramento slu'!$G$60*(sezione!$AM$31-C1232)/C1232</f>
        <v>-1.5669165944009094E-3</v>
      </c>
      <c r="M1232" s="559">
        <f>'Progetto del paramento slu'!$G$60*(sezione!$AN$31-C1232)/C1232</f>
        <v>-1.4932209696157613E-4</v>
      </c>
      <c r="N1232" s="559">
        <f>'Progetto del paramento slu'!$G$60*(sezione!$AO$31-C1232)/C1232</f>
        <v>8.8165571935793895E-4</v>
      </c>
      <c r="O1232" s="559">
        <f>'Progetto del paramento slu'!$G$60*(sezione!$AP$31-C1232)/C1232</f>
        <v>-1.4927067198636427E-4</v>
      </c>
      <c r="P1232" s="553">
        <f>-'Progetto del paramento slu'!$G$47*'Progetto del paramento slu'!$G$41*IF(DATI!$G$218="dx",DATI!$E$61,DATI!$E$64*DATI!$E$63)*1000*C1232*sezione!$AD$5</f>
        <v>-3828258.1230407525</v>
      </c>
      <c r="Q1232" s="553">
        <f>'Foglio deposito bis'!$F$58*IF(ABS(K1232)&lt;'Progetto del paramento slu'!$G$58,ABS(K1232)*'Progetto del paramento slu'!$G$54,'Progetto del paramento slu'!$G$53)*IF(K1232&lt;0,-1,1)</f>
        <v>0</v>
      </c>
      <c r="R1232" s="553">
        <f>'Foglio deposito bis'!$F$59*IF(ABS(L1232)&lt;'Progetto del paramento slu'!$G$58,ABS(L1232)*'Progetto del paramento slu'!$G$54,'Progetto del paramento slu'!$G$53)*IF(L1232&lt;0,-1,1)</f>
        <v>-126757.30179026423</v>
      </c>
      <c r="S1232" s="553">
        <f>'Foglio deposito bis'!$F$60*IF(ABS(M1232)&lt;'Progetto del paramento slu'!$G$58,ABS(M1232)*'Progetto del paramento slu'!$G$54,'Progetto del paramento slu'!$G$53)*IF(M1232&lt;0,-1,1)</f>
        <v>0</v>
      </c>
      <c r="T1232" s="553">
        <f>'Foglio deposito bis'!$F$61*IF(ABS(N1232)&lt;'Progetto del paramento slu'!$G$58,ABS(N1232)*'Progetto del paramento slu'!$G$54,'Progetto del paramento slu'!$G$53)*IF(N1232&lt;0,-1,1)</f>
        <v>111833.57121444281</v>
      </c>
      <c r="U1232" s="553">
        <f>'Foglio deposito bis'!$F$62*IF(ABS(O1232)&lt;'Progetto del paramento slu'!$G$58,ABS(O1232)*'Progetto del paramento slu'!$G$54,'Progetto del paramento slu'!$G$53)*IF(O1232&lt;0,-1,1)</f>
        <v>-24730.42308628669</v>
      </c>
      <c r="V1232" s="479">
        <f t="shared" si="92"/>
        <v>-3867912.2767028608</v>
      </c>
      <c r="W1232" s="559"/>
      <c r="X1232" s="559"/>
    </row>
    <row r="1233" spans="1:24" x14ac:dyDescent="0.25">
      <c r="A1233" s="553">
        <f t="shared" si="91"/>
        <v>3943800.1045324663</v>
      </c>
      <c r="B1233" s="3">
        <f t="shared" si="89"/>
        <v>67.899999999999949</v>
      </c>
      <c r="C1233" s="553">
        <f>'Foglio deposito bis'!$E$157/sezione!$B$247*B1233</f>
        <v>275.64642688924732</v>
      </c>
      <c r="D1233" s="611">
        <f>-'Progetto del paramento slu'!$G$47*'Progetto del paramento slu'!$G$41*IF(DATI!$G$218="dx",DATI!$E$61,DATI!$E$64*DATI!$E$63)*1000*C1233^2*sezione!$AD$5*(1-sezione!$AD$6)</f>
        <v>-625475184.03542447</v>
      </c>
      <c r="E1233" s="553">
        <f>-'Foglio deposito bis'!$F$58*(C1233-sezione!$AL$31)*IF(ABS(K1233)&lt;'Progetto del paramento slu'!$G$58,ABS(K1233)*'Progetto del paramento slu'!$G$54,'Progetto del paramento slu'!$G$53)</f>
        <v>0</v>
      </c>
      <c r="F1233" s="553">
        <f>-'Foglio deposito bis'!$F$59*(C1233-sezione!$AM$31)*IF(ABS(L1233)&lt;'Progetto del paramento slu'!$G$58,ABS(L1233)*'Progetto del paramento slu'!$G$54,'Progetto del paramento slu'!$G$53)</f>
        <v>-16215975.092337402</v>
      </c>
      <c r="G1233" s="553">
        <f>-'Foglio deposito bis'!$F$60*(C1233-sezione!$AN$31)*IF(ABS(M1233)&lt;'Progetto del paramento slu'!$G$58,ABS(M1233)*'Progetto del paramento slu'!$G$54,'Progetto del paramento slu'!$G$53)</f>
        <v>0</v>
      </c>
      <c r="H1233" s="553">
        <f>-'Foglio deposito bis'!$F$61*(C1233-sezione!$AO$31)*IF(ABS(N1233)&lt;'Progetto del paramento slu'!$G$58,ABS(N1233)*'Progetto del paramento slu'!$G$54,'Progetto del paramento slu'!$G$53)</f>
        <v>6670128.0612756871</v>
      </c>
      <c r="I1233" s="479">
        <f>-'Foglio deposito bis'!$F$62*(C1233-sezione!$AP$31)*IF(ABS(O1233)&lt;'Progetto del paramento slu'!$G$58,ABS(O1233)*'Progetto del paramento slu'!$G$54,'Progetto del paramento slu'!$G$53)</f>
        <v>-514732.43688204652</v>
      </c>
      <c r="J1233" s="479">
        <f t="shared" si="90"/>
        <v>-635535763.50336814</v>
      </c>
      <c r="K1233" s="558">
        <f>'Progetto del paramento slu'!$G$60*(sezione!$AL$31-C1233)/C1233</f>
        <v>-2.9921029756128457E-3</v>
      </c>
      <c r="L1233" s="558">
        <f>'Progetto del paramento slu'!$G$60*(sezione!$AM$31-C1233)/C1233</f>
        <v>-1.5953861585481712E-3</v>
      </c>
      <c r="M1233" s="559">
        <f>'Progetto del paramento slu'!$G$60*(sezione!$AN$31-C1233)/C1233</f>
        <v>-1.9866934148349687E-4</v>
      </c>
      <c r="N1233" s="559">
        <f>'Progetto del paramento slu'!$G$60*(sezione!$AO$31-C1233)/C1233</f>
        <v>8.1712470729081188E-4</v>
      </c>
      <c r="O1233" s="559">
        <f>'Progetto del paramento slu'!$G$60*(sezione!$AP$31-C1233)/C1233</f>
        <v>-1.9861867387169018E-4</v>
      </c>
      <c r="P1233" s="553">
        <f>-'Progetto del paramento slu'!$G$47*'Progetto del paramento slu'!$G$41*IF(DATI!$G$218="dx",DATI!$E$61,DATI!$E$64*DATI!$E$63)*1000*C1233*sezione!$AD$5</f>
        <v>-3885481.7123238728</v>
      </c>
      <c r="Q1233" s="553">
        <f>'Foglio deposito bis'!$F$58*IF(ABS(K1233)&lt;'Progetto del paramento slu'!$G$58,ABS(K1233)*'Progetto del paramento slu'!$G$54,'Progetto del paramento slu'!$G$53)*IF(K1233&lt;0,-1,1)</f>
        <v>0</v>
      </c>
      <c r="R1233" s="553">
        <f>'Foglio deposito bis'!$F$59*IF(ABS(L1233)&lt;'Progetto del paramento slu'!$G$58,ABS(L1233)*'Progetto del paramento slu'!$G$54,'Progetto del paramento slu'!$G$53)*IF(L1233&lt;0,-1,1)</f>
        <v>-129060.37595984471</v>
      </c>
      <c r="S1233" s="553">
        <f>'Foglio deposito bis'!$F$60*IF(ABS(M1233)&lt;'Progetto del paramento slu'!$G$58,ABS(M1233)*'Progetto del paramento slu'!$G$54,'Progetto del paramento slu'!$G$53)*IF(M1233&lt;0,-1,1)</f>
        <v>0</v>
      </c>
      <c r="T1233" s="553">
        <f>'Foglio deposito bis'!$F$61*IF(ABS(N1233)&lt;'Progetto del paramento slu'!$G$58,ABS(N1233)*'Progetto del paramento slu'!$G$54,'Progetto del paramento slu'!$G$53)*IF(N1233&lt;0,-1,1)</f>
        <v>103648.1385391978</v>
      </c>
      <c r="U1233" s="553">
        <f>'Foglio deposito bis'!$F$62*IF(ABS(O1233)&lt;'Progetto del paramento slu'!$G$58,ABS(O1233)*'Progetto del paramento slu'!$G$54,'Progetto del paramento slu'!$G$53)*IF(O1233&lt;0,-1,1)</f>
        <v>-32906.154787946507</v>
      </c>
      <c r="V1233" s="479">
        <f t="shared" si="92"/>
        <v>-3943800.1045324663</v>
      </c>
      <c r="W1233" s="559"/>
      <c r="X1233" s="559"/>
    </row>
    <row r="1234" spans="1:24" x14ac:dyDescent="0.25">
      <c r="A1234" s="553">
        <f t="shared" si="91"/>
        <v>4019146.1547554969</v>
      </c>
      <c r="B1234" s="3">
        <f t="shared" si="89"/>
        <v>68.899999999999949</v>
      </c>
      <c r="C1234" s="553">
        <f>'Foglio deposito bis'!$E$157/sezione!$B$247*B1234</f>
        <v>279.70602080514197</v>
      </c>
      <c r="D1234" s="611">
        <f>-'Progetto del paramento slu'!$G$47*'Progetto del paramento slu'!$G$41*IF(DATI!$G$218="dx",DATI!$E$61,DATI!$E$64*DATI!$E$63)*1000*C1234^2*sezione!$AD$5*(1-sezione!$AD$6)</f>
        <v>-644034272.09398031</v>
      </c>
      <c r="E1234" s="553">
        <f>-'Foglio deposito bis'!$F$58*(C1234-sezione!$AL$31)*IF(ABS(K1234)&lt;'Progetto del paramento slu'!$G$58,ABS(K1234)*'Progetto del paramento slu'!$G$54,'Progetto del paramento slu'!$G$53)</f>
        <v>0</v>
      </c>
      <c r="F1234" s="553">
        <f>-'Foglio deposito bis'!$F$59*(C1234-sezione!$AM$31)*IF(ABS(L1234)&lt;'Progetto del paramento slu'!$G$58,ABS(L1234)*'Progetto del paramento slu'!$G$54,'Progetto del paramento slu'!$G$53)</f>
        <v>-17029959.202890951</v>
      </c>
      <c r="G1234" s="553">
        <f>-'Foglio deposito bis'!$F$60*(C1234-sezione!$AN$31)*IF(ABS(M1234)&lt;'Progetto del paramento slu'!$G$58,ABS(M1234)*'Progetto del paramento slu'!$G$54,'Progetto del paramento slu'!$G$53)</f>
        <v>0</v>
      </c>
      <c r="H1234" s="553">
        <f>-'Foglio deposito bis'!$F$61*(C1234-sezione!$AO$31)*IF(ABS(N1234)&lt;'Progetto del paramento slu'!$G$58,ABS(N1234)*'Progetto del paramento slu'!$G$54,'Progetto del paramento slu'!$G$53)</f>
        <v>5770152.447905587</v>
      </c>
      <c r="I1234" s="479">
        <f>-'Foglio deposito bis'!$F$62*(C1234-sezione!$AP$31)*IF(ABS(O1234)&lt;'Progetto del paramento slu'!$G$58,ABS(O1234)*'Progetto del paramento slu'!$G$54,'Progetto del paramento slu'!$G$53)</f>
        <v>-804720.85849174333</v>
      </c>
      <c r="J1234" s="479">
        <f t="shared" si="90"/>
        <v>-656098799.70745754</v>
      </c>
      <c r="K1234" s="558">
        <f>'Progetto del paramento slu'!$G$60*(sezione!$AL$31-C1234)/C1234</f>
        <v>-2.9994744854007576E-3</v>
      </c>
      <c r="L1234" s="558">
        <f>'Progetto del paramento slu'!$G$60*(sezione!$AM$31-C1234)/C1234</f>
        <v>-1.6230293202528423E-3</v>
      </c>
      <c r="M1234" s="559">
        <f>'Progetto del paramento slu'!$G$60*(sezione!$AN$31-C1234)/C1234</f>
        <v>-2.4658415510492646E-4</v>
      </c>
      <c r="N1234" s="559">
        <f>'Progetto del paramento slu'!$G$60*(sezione!$AO$31-C1234)/C1234</f>
        <v>7.544668740935577E-4</v>
      </c>
      <c r="O1234" s="559">
        <f>'Progetto del paramento slu'!$G$60*(sezione!$AP$31-C1234)/C1234</f>
        <v>-2.46534222872101E-4</v>
      </c>
      <c r="P1234" s="553">
        <f>-'Progetto del paramento slu'!$G$47*'Progetto del paramento slu'!$G$41*IF(DATI!$G$218="dx",DATI!$E$61,DATI!$E$64*DATI!$E$63)*1000*C1234*sezione!$AD$5</f>
        <v>-3942705.3016069923</v>
      </c>
      <c r="Q1234" s="553">
        <f>'Foglio deposito bis'!$F$58*IF(ABS(K1234)&lt;'Progetto del paramento slu'!$G$58,ABS(K1234)*'Progetto del paramento slu'!$G$54,'Progetto del paramento slu'!$G$53)*IF(K1234&lt;0,-1,1)</f>
        <v>0</v>
      </c>
      <c r="R1234" s="553">
        <f>'Foglio deposito bis'!$F$59*IF(ABS(L1234)&lt;'Progetto del paramento slu'!$G$58,ABS(L1234)*'Progetto del paramento slu'!$G$54,'Progetto del paramento slu'!$G$53)*IF(L1234&lt;0,-1,1)</f>
        <v>-131296.59746847948</v>
      </c>
      <c r="S1234" s="553">
        <f>'Foglio deposito bis'!$F$60*IF(ABS(M1234)&lt;'Progetto del paramento slu'!$G$58,ABS(M1234)*'Progetto del paramento slu'!$G$54,'Progetto del paramento slu'!$G$53)*IF(M1234&lt;0,-1,1)</f>
        <v>0</v>
      </c>
      <c r="T1234" s="553">
        <f>'Foglio deposito bis'!$F$61*IF(ABS(N1234)&lt;'Progetto del paramento slu'!$G$58,ABS(N1234)*'Progetto del paramento slu'!$G$54,'Progetto del paramento slu'!$G$53)*IF(N1234&lt;0,-1,1)</f>
        <v>95700.309134642011</v>
      </c>
      <c r="U1234" s="553">
        <f>'Foglio deposito bis'!$F$62*IF(ABS(O1234)&lt;'Progetto del paramento slu'!$G$58,ABS(O1234)*'Progetto del paramento slu'!$G$54,'Progetto del paramento slu'!$G$53)*IF(O1234&lt;0,-1,1)</f>
        <v>-40844.564814667014</v>
      </c>
      <c r="V1234" s="479">
        <f t="shared" si="92"/>
        <v>-4019146.1547554969</v>
      </c>
      <c r="W1234" s="559"/>
      <c r="X1234" s="559"/>
    </row>
    <row r="1235" spans="1:24" x14ac:dyDescent="0.25">
      <c r="A1235" s="553">
        <f t="shared" si="91"/>
        <v>4093973.6796297478</v>
      </c>
      <c r="B1235" s="3">
        <f t="shared" si="89"/>
        <v>69.899999999999949</v>
      </c>
      <c r="C1235" s="553">
        <f>'Foglio deposito bis'!$E$157/sezione!$B$247*B1235</f>
        <v>283.76561472103668</v>
      </c>
      <c r="D1235" s="611">
        <f>-'Progetto del paramento slu'!$G$47*'Progetto del paramento slu'!$G$41*IF(DATI!$G$218="dx",DATI!$E$61,DATI!$E$64*DATI!$E$63)*1000*C1235^2*sezione!$AD$5*(1-sezione!$AD$6)</f>
        <v>-662864691.84929872</v>
      </c>
      <c r="E1235" s="553">
        <f>-'Foglio deposito bis'!$F$58*(C1235-sezione!$AL$31)*IF(ABS(K1235)&lt;'Progetto del paramento slu'!$G$58,ABS(K1235)*'Progetto del paramento slu'!$G$54,'Progetto del paramento slu'!$G$53)</f>
        <v>0</v>
      </c>
      <c r="F1235" s="553">
        <f>-'Foglio deposito bis'!$F$59*(C1235-sezione!$AM$31)*IF(ABS(L1235)&lt;'Progetto del paramento slu'!$G$58,ABS(L1235)*'Progetto del paramento slu'!$G$54,'Progetto del paramento slu'!$G$53)</f>
        <v>-17853540.830648955</v>
      </c>
      <c r="G1235" s="553">
        <f>-'Foglio deposito bis'!$F$60*(C1235-sezione!$AN$31)*IF(ABS(M1235)&lt;'Progetto del paramento slu'!$G$58,ABS(M1235)*'Progetto del paramento slu'!$G$54,'Progetto del paramento slu'!$G$53)</f>
        <v>0</v>
      </c>
      <c r="H1235" s="553">
        <f>-'Foglio deposito bis'!$F$61*(C1235-sezione!$AO$31)*IF(ABS(N1235)&lt;'Progetto del paramento slu'!$G$58,ABS(N1235)*'Progetto del paramento slu'!$G$54,'Progetto del paramento slu'!$G$53)</f>
        <v>4947494.7743795104</v>
      </c>
      <c r="I1235" s="479">
        <f>-'Foglio deposito bis'!$F$62*(C1235-sezione!$AP$31)*IF(ABS(O1235)&lt;'Progetto del paramento slu'!$G$58,ABS(O1235)*'Progetto del paramento slu'!$G$54,'Progetto del paramento slu'!$G$53)</f>
        <v>-1153765.5972475559</v>
      </c>
      <c r="J1235" s="479">
        <f t="shared" si="90"/>
        <v>-676924503.50281572</v>
      </c>
      <c r="K1235" s="558">
        <f>'Progetto del paramento slu'!$G$60*(sezione!$AL$31-C1235)/C1235</f>
        <v>-3.0066350793149102E-3</v>
      </c>
      <c r="L1235" s="558">
        <f>'Progetto del paramento slu'!$G$60*(sezione!$AM$31-C1235)/C1235</f>
        <v>-1.6498815474309135E-3</v>
      </c>
      <c r="M1235" s="559">
        <f>'Progetto del paramento slu'!$G$60*(sezione!$AN$31-C1235)/C1235</f>
        <v>-2.9312801554691665E-4</v>
      </c>
      <c r="N1235" s="559">
        <f>'Progetto del paramento slu'!$G$60*(sezione!$AO$31-C1235)/C1235</f>
        <v>6.9360182582326292E-4</v>
      </c>
      <c r="O1235" s="559">
        <f>'Progetto del paramento slu'!$G$60*(sezione!$AP$31-C1235)/C1235</f>
        <v>-2.9307879765218595E-4</v>
      </c>
      <c r="P1235" s="553">
        <f>-'Progetto del paramento slu'!$G$47*'Progetto del paramento slu'!$G$41*IF(DATI!$G$218="dx",DATI!$E$61,DATI!$E$64*DATI!$E$63)*1000*C1235*sezione!$AD$5</f>
        <v>-3999928.8908901135</v>
      </c>
      <c r="Q1235" s="553">
        <f>'Foglio deposito bis'!$F$58*IF(ABS(K1235)&lt;'Progetto del paramento slu'!$G$58,ABS(K1235)*'Progetto del paramento slu'!$G$54,'Progetto del paramento slu'!$G$53)*IF(K1235&lt;0,-1,1)</f>
        <v>0</v>
      </c>
      <c r="R1235" s="553">
        <f>'Foglio deposito bis'!$F$59*IF(ABS(L1235)&lt;'Progetto del paramento slu'!$G$58,ABS(L1235)*'Progetto del paramento slu'!$G$54,'Progetto del paramento slu'!$G$53)*IF(L1235&lt;0,-1,1)</f>
        <v>-133468.83552908467</v>
      </c>
      <c r="S1235" s="553">
        <f>'Foglio deposito bis'!$F$60*IF(ABS(M1235)&lt;'Progetto del paramento slu'!$G$58,ABS(M1235)*'Progetto del paramento slu'!$G$54,'Progetto del paramento slu'!$G$53)*IF(M1235&lt;0,-1,1)</f>
        <v>0</v>
      </c>
      <c r="T1235" s="553">
        <f>'Foglio deposito bis'!$F$61*IF(ABS(N1235)&lt;'Progetto del paramento slu'!$G$58,ABS(N1235)*'Progetto del paramento slu'!$G$54,'Progetto del paramento slu'!$G$53)*IF(N1235&lt;0,-1,1)</f>
        <v>87979.885435509786</v>
      </c>
      <c r="U1235" s="553">
        <f>'Foglio deposito bis'!$F$62*IF(ABS(O1235)&lt;'Progetto del paramento slu'!$G$58,ABS(O1235)*'Progetto del paramento slu'!$G$54,'Progetto del paramento slu'!$G$53)*IF(O1235&lt;0,-1,1)</f>
        <v>-48555.838646059419</v>
      </c>
      <c r="V1235" s="479">
        <f t="shared" si="92"/>
        <v>-4093973.6796297478</v>
      </c>
      <c r="W1235" s="559"/>
      <c r="X1235" s="559"/>
    </row>
    <row r="1236" spans="1:24" x14ac:dyDescent="0.25">
      <c r="A1236" s="553">
        <f t="shared" si="91"/>
        <v>4168304.6195790013</v>
      </c>
      <c r="B1236" s="3">
        <f t="shared" si="89"/>
        <v>70.899999999999949</v>
      </c>
      <c r="C1236" s="553">
        <f>'Foglio deposito bis'!$E$157/sezione!$B$247*B1236</f>
        <v>287.82520863693134</v>
      </c>
      <c r="D1236" s="611">
        <f>-'Progetto del paramento slu'!$G$47*'Progetto del paramento slu'!$G$41*IF(DATI!$G$218="dx",DATI!$E$61,DATI!$E$64*DATI!$E$63)*1000*C1236^2*sezione!$AD$5*(1-sezione!$AD$6)</f>
        <v>-681966443.30137956</v>
      </c>
      <c r="E1236" s="553">
        <f>-'Foglio deposito bis'!$F$58*(C1236-sezione!$AL$31)*IF(ABS(K1236)&lt;'Progetto del paramento slu'!$G$58,ABS(K1236)*'Progetto del paramento slu'!$G$54,'Progetto del paramento slu'!$G$53)</f>
        <v>0</v>
      </c>
      <c r="F1236" s="553">
        <f>-'Foglio deposito bis'!$F$59*(C1236-sezione!$AM$31)*IF(ABS(L1236)&lt;'Progetto del paramento slu'!$G$58,ABS(L1236)*'Progetto del paramento slu'!$G$54,'Progetto del paramento slu'!$G$53)</f>
        <v>-18686313.874742366</v>
      </c>
      <c r="G1236" s="553">
        <f>-'Foglio deposito bis'!$F$60*(C1236-sezione!$AN$31)*IF(ABS(M1236)&lt;'Progetto del paramento slu'!$G$58,ABS(M1236)*'Progetto del paramento slu'!$G$54,'Progetto del paramento slu'!$G$53)</f>
        <v>0</v>
      </c>
      <c r="H1236" s="553">
        <f>-'Foglio deposito bis'!$F$61*(C1236-sezione!$AO$31)*IF(ABS(N1236)&lt;'Progetto del paramento slu'!$G$58,ABS(N1236)*'Progetto del paramento slu'!$G$54,'Progetto del paramento slu'!$G$53)</f>
        <v>4198883.4776575333</v>
      </c>
      <c r="I1236" s="479">
        <f>-'Foglio deposito bis'!$F$62*(C1236-sezione!$AP$31)*IF(ABS(O1236)&lt;'Progetto del paramento slu'!$G$58,ABS(O1236)*'Progetto del paramento slu'!$G$54,'Progetto del paramento slu'!$G$53)</f>
        <v>-1559367.7962885674</v>
      </c>
      <c r="J1236" s="479">
        <f t="shared" si="90"/>
        <v>-698013241.494753</v>
      </c>
      <c r="K1236" s="558">
        <f>'Progetto del paramento slu'!$G$60*(sezione!$AL$31-C1236)/C1236</f>
        <v>-3.0135936818633602E-3</v>
      </c>
      <c r="L1236" s="558">
        <f>'Progetto del paramento slu'!$G$60*(sezione!$AM$31-C1236)/C1236</f>
        <v>-1.6759763069876001E-3</v>
      </c>
      <c r="M1236" s="559">
        <f>'Progetto del paramento slu'!$G$60*(sezione!$AN$31-C1236)/C1236</f>
        <v>-3.3835893211184016E-4</v>
      </c>
      <c r="N1236" s="559">
        <f>'Progetto del paramento slu'!$G$60*(sezione!$AO$31-C1236)/C1236</f>
        <v>6.3445370416143987E-4</v>
      </c>
      <c r="O1236" s="559">
        <f>'Progetto del paramento slu'!$G$60*(sezione!$AP$31-C1236)/C1236</f>
        <v>-3.3831040840462336E-4</v>
      </c>
      <c r="P1236" s="553">
        <f>-'Progetto del paramento slu'!$G$47*'Progetto del paramento slu'!$G$41*IF(DATI!$G$218="dx",DATI!$E$61,DATI!$E$64*DATI!$E$63)*1000*C1236*sezione!$AD$5</f>
        <v>-4057152.4801732339</v>
      </c>
      <c r="Q1236" s="553">
        <f>'Foglio deposito bis'!$F$58*IF(ABS(K1236)&lt;'Progetto del paramento slu'!$G$58,ABS(K1236)*'Progetto del paramento slu'!$G$54,'Progetto del paramento slu'!$G$53)*IF(K1236&lt;0,-1,1)</f>
        <v>0</v>
      </c>
      <c r="R1236" s="553">
        <f>'Foglio deposito bis'!$F$59*IF(ABS(L1236)&lt;'Progetto del paramento slu'!$G$58,ABS(L1236)*'Progetto del paramento slu'!$G$54,'Progetto del paramento slu'!$G$53)*IF(L1236&lt;0,-1,1)</f>
        <v>-135579.79748078701</v>
      </c>
      <c r="S1236" s="553">
        <f>'Foglio deposito bis'!$F$60*IF(ABS(M1236)&lt;'Progetto del paramento slu'!$G$58,ABS(M1236)*'Progetto del paramento slu'!$G$54,'Progetto del paramento slu'!$G$53)*IF(M1236&lt;0,-1,1)</f>
        <v>0</v>
      </c>
      <c r="T1236" s="553">
        <f>'Foglio deposito bis'!$F$61*IF(ABS(N1236)&lt;'Progetto del paramento slu'!$G$58,ABS(N1236)*'Progetto del paramento slu'!$G$54,'Progetto del paramento slu'!$G$53)*IF(N1236&lt;0,-1,1)</f>
        <v>80477.245197566139</v>
      </c>
      <c r="U1236" s="553">
        <f>'Foglio deposito bis'!$F$62*IF(ABS(O1236)&lt;'Progetto del paramento slu'!$G$58,ABS(O1236)*'Progetto del paramento slu'!$G$54,'Progetto del paramento slu'!$G$53)*IF(O1236&lt;0,-1,1)</f>
        <v>-56049.587122546443</v>
      </c>
      <c r="V1236" s="479">
        <f t="shared" si="92"/>
        <v>-4168304.6195790013</v>
      </c>
      <c r="W1236" s="559"/>
      <c r="X1236" s="559"/>
    </row>
    <row r="1237" spans="1:24" x14ac:dyDescent="0.25">
      <c r="A1237" s="553">
        <f t="shared" si="91"/>
        <v>4242159.6944193216</v>
      </c>
      <c r="B1237" s="3">
        <f t="shared" si="89"/>
        <v>71.899999999999949</v>
      </c>
      <c r="C1237" s="553">
        <f>'Foglio deposito bis'!$E$157/sezione!$B$247*B1237</f>
        <v>291.88480255282599</v>
      </c>
      <c r="D1237" s="611">
        <f>-'Progetto del paramento slu'!$G$47*'Progetto del paramento slu'!$G$41*IF(DATI!$G$218="dx",DATI!$E$61,DATI!$E$64*DATI!$E$63)*1000*C1237^2*sezione!$AD$5*(1-sezione!$AD$6)</f>
        <v>-701339526.45022261</v>
      </c>
      <c r="E1237" s="553">
        <f>-'Foglio deposito bis'!$F$58*(C1237-sezione!$AL$31)*IF(ABS(K1237)&lt;'Progetto del paramento slu'!$G$58,ABS(K1237)*'Progetto del paramento slu'!$G$54,'Progetto del paramento slu'!$G$53)</f>
        <v>0</v>
      </c>
      <c r="F1237" s="553">
        <f>-'Foglio deposito bis'!$F$59*(C1237-sezione!$AM$31)*IF(ABS(L1237)&lt;'Progetto del paramento slu'!$G$58,ABS(L1237)*'Progetto del paramento slu'!$G$54,'Progetto del paramento slu'!$G$53)</f>
        <v>-19527894.826840099</v>
      </c>
      <c r="G1237" s="553">
        <f>-'Foglio deposito bis'!$F$60*(C1237-sezione!$AN$31)*IF(ABS(M1237)&lt;'Progetto del paramento slu'!$G$58,ABS(M1237)*'Progetto del paramento slu'!$G$54,'Progetto del paramento slu'!$G$53)</f>
        <v>0</v>
      </c>
      <c r="H1237" s="553">
        <f>-'Foglio deposito bis'!$F$61*(C1237-sezione!$AO$31)*IF(ABS(N1237)&lt;'Progetto del paramento slu'!$G$58,ABS(N1237)*'Progetto del paramento slu'!$G$54,'Progetto del paramento slu'!$G$53)</f>
        <v>3521229.0009884294</v>
      </c>
      <c r="I1237" s="479">
        <f>-'Foglio deposito bis'!$F$62*(C1237-sezione!$AP$31)*IF(ABS(O1237)&lt;'Progetto del paramento slu'!$G$58,ABS(O1237)*'Progetto del paramento slu'!$G$54,'Progetto del paramento slu'!$G$53)</f>
        <v>-2019167.6172162336</v>
      </c>
      <c r="J1237" s="479">
        <f t="shared" si="90"/>
        <v>-719365359.8932904</v>
      </c>
      <c r="K1237" s="558">
        <f>'Progetto del paramento slu'!$G$60*(sezione!$AL$31-C1237)/C1237</f>
        <v>-3.0203587210585847E-3</v>
      </c>
      <c r="L1237" s="558">
        <f>'Progetto del paramento slu'!$G$60*(sezione!$AM$31-C1237)/C1237</f>
        <v>-1.7013452039696918E-3</v>
      </c>
      <c r="M1237" s="559">
        <f>'Progetto del paramento slu'!$G$60*(sezione!$AN$31-C1237)/C1237</f>
        <v>-3.8233168688079917E-4</v>
      </c>
      <c r="N1237" s="559">
        <f>'Progetto del paramento slu'!$G$60*(sezione!$AO$31-C1237)/C1237</f>
        <v>5.7695087100203179E-4</v>
      </c>
      <c r="O1237" s="559">
        <f>'Progetto del paramento slu'!$G$60*(sezione!$AP$31-C1237)/C1237</f>
        <v>-3.822838380512905E-4</v>
      </c>
      <c r="P1237" s="553">
        <f>-'Progetto del paramento slu'!$G$47*'Progetto del paramento slu'!$G$41*IF(DATI!$G$218="dx",DATI!$E$61,DATI!$E$64*DATI!$E$63)*1000*C1237*sezione!$AD$5</f>
        <v>-4114376.0694563542</v>
      </c>
      <c r="Q1237" s="553">
        <f>'Foglio deposito bis'!$F$58*IF(ABS(K1237)&lt;'Progetto del paramento slu'!$G$58,ABS(K1237)*'Progetto del paramento slu'!$G$54,'Progetto del paramento slu'!$G$53)*IF(K1237&lt;0,-1,1)</f>
        <v>0</v>
      </c>
      <c r="R1237" s="553">
        <f>'Foglio deposito bis'!$F$59*IF(ABS(L1237)&lt;'Progetto del paramento slu'!$G$58,ABS(L1237)*'Progetto del paramento slu'!$G$54,'Progetto del paramento slu'!$G$53)*IF(L1237&lt;0,-1,1)</f>
        <v>-137632.04004579384</v>
      </c>
      <c r="S1237" s="553">
        <f>'Foglio deposito bis'!$F$60*IF(ABS(M1237)&lt;'Progetto del paramento slu'!$G$58,ABS(M1237)*'Progetto del paramento slu'!$G$54,'Progetto del paramento slu'!$G$53)*IF(M1237&lt;0,-1,1)</f>
        <v>0</v>
      </c>
      <c r="T1237" s="553">
        <f>'Foglio deposito bis'!$F$61*IF(ABS(N1237)&lt;'Progetto del paramento slu'!$G$58,ABS(N1237)*'Progetto del paramento slu'!$G$54,'Progetto del paramento slu'!$G$53)*IF(N1237&lt;0,-1,1)</f>
        <v>73183.301489189762</v>
      </c>
      <c r="U1237" s="553">
        <f>'Foglio deposito bis'!$F$62*IF(ABS(O1237)&lt;'Progetto del paramento slu'!$G$58,ABS(O1237)*'Progetto del paramento slu'!$G$54,'Progetto del paramento slu'!$G$53)*IF(O1237&lt;0,-1,1)</f>
        <v>-63334.886406363432</v>
      </c>
      <c r="V1237" s="479">
        <f t="shared" si="92"/>
        <v>-4242159.6944193216</v>
      </c>
      <c r="W1237" s="559"/>
      <c r="X1237" s="559"/>
    </row>
    <row r="1238" spans="1:24" x14ac:dyDescent="0.25">
      <c r="A1238" s="553">
        <f t="shared" si="91"/>
        <v>4315558.4870770033</v>
      </c>
      <c r="B1238" s="3">
        <f t="shared" si="89"/>
        <v>72.899999999999949</v>
      </c>
      <c r="C1238" s="553">
        <f>'Foglio deposito bis'!$E$157/sezione!$B$247*B1238</f>
        <v>295.94439646872064</v>
      </c>
      <c r="D1238" s="611">
        <f>-'Progetto del paramento slu'!$G$47*'Progetto del paramento slu'!$G$41*IF(DATI!$G$218="dx",DATI!$E$61,DATI!$E$64*DATI!$E$63)*1000*C1238^2*sezione!$AD$5*(1-sezione!$AD$6)</f>
        <v>-720983941.2958287</v>
      </c>
      <c r="E1238" s="553">
        <f>-'Foglio deposito bis'!$F$58*(C1238-sezione!$AL$31)*IF(ABS(K1238)&lt;'Progetto del paramento slu'!$G$58,ABS(K1238)*'Progetto del paramento slu'!$G$54,'Progetto del paramento slu'!$G$53)</f>
        <v>0</v>
      </c>
      <c r="F1238" s="553">
        <f>-'Foglio deposito bis'!$F$59*(C1238-sezione!$AM$31)*IF(ABS(L1238)&lt;'Progetto del paramento slu'!$G$58,ABS(L1238)*'Progetto del paramento slu'!$G$54,'Progetto del paramento slu'!$G$53)</f>
        <v>-20377921.221592184</v>
      </c>
      <c r="G1238" s="553">
        <f>-'Foglio deposito bis'!$F$60*(C1238-sezione!$AN$31)*IF(ABS(M1238)&lt;'Progetto del paramento slu'!$G$58,ABS(M1238)*'Progetto del paramento slu'!$G$54,'Progetto del paramento slu'!$G$53)</f>
        <v>0</v>
      </c>
      <c r="H1238" s="553">
        <f>-'Foglio deposito bis'!$F$61*(C1238-sezione!$AO$31)*IF(ABS(N1238)&lt;'Progetto del paramento slu'!$G$58,ABS(N1238)*'Progetto del paramento slu'!$G$54,'Progetto del paramento slu'!$G$53)</f>
        <v>2911611.3106251699</v>
      </c>
      <c r="I1238" s="479">
        <f>-'Foglio deposito bis'!$F$62*(C1238-sezione!$AP$31)*IF(ABS(O1238)&lt;'Progetto del paramento slu'!$G$58,ABS(O1238)*'Progetto del paramento slu'!$G$54,'Progetto del paramento slu'!$G$53)</f>
        <v>-2530934.7052204045</v>
      </c>
      <c r="J1238" s="479">
        <f t="shared" si="90"/>
        <v>-740981185.91201615</v>
      </c>
      <c r="K1238" s="558">
        <f>'Progetto del paramento slu'!$G$60*(sezione!$AL$31-C1238)/C1238</f>
        <v>-3.0269381624706757E-3</v>
      </c>
      <c r="L1238" s="558">
        <f>'Progetto del paramento slu'!$G$60*(sezione!$AM$31-C1238)/C1238</f>
        <v>-1.7260181092650323E-3</v>
      </c>
      <c r="M1238" s="559">
        <f>'Progetto del paramento slu'!$G$60*(sezione!$AN$31-C1238)/C1238</f>
        <v>-4.2509805605938896E-4</v>
      </c>
      <c r="N1238" s="559">
        <f>'Progetto del paramento slu'!$G$60*(sezione!$AO$31-C1238)/C1238</f>
        <v>5.2102561899926064E-4</v>
      </c>
      <c r="O1238" s="559">
        <f>'Progetto del paramento slu'!$G$60*(sezione!$AP$31-C1238)/C1238</f>
        <v>-4.2505086359242495E-4</v>
      </c>
      <c r="P1238" s="553">
        <f>-'Progetto del paramento slu'!$G$47*'Progetto del paramento slu'!$G$41*IF(DATI!$G$218="dx",DATI!$E$61,DATI!$E$64*DATI!$E$63)*1000*C1238*sezione!$AD$5</f>
        <v>-4171599.6587394746</v>
      </c>
      <c r="Q1238" s="553">
        <f>'Foglio deposito bis'!$F$58*IF(ABS(K1238)&lt;'Progetto del paramento slu'!$G$58,ABS(K1238)*'Progetto del paramento slu'!$G$54,'Progetto del paramento slu'!$G$53)*IF(K1238&lt;0,-1,1)</f>
        <v>0</v>
      </c>
      <c r="R1238" s="553">
        <f>'Foglio deposito bis'!$F$59*IF(ABS(L1238)&lt;'Progetto del paramento slu'!$G$58,ABS(L1238)*'Progetto del paramento slu'!$G$54,'Progetto del paramento slu'!$G$53)*IF(L1238&lt;0,-1,1)</f>
        <v>-139627.97965977172</v>
      </c>
      <c r="S1238" s="553">
        <f>'Foglio deposito bis'!$F$60*IF(ABS(M1238)&lt;'Progetto del paramento slu'!$G$58,ABS(M1238)*'Progetto del paramento slu'!$G$54,'Progetto del paramento slu'!$G$53)*IF(M1238&lt;0,-1,1)</f>
        <v>0</v>
      </c>
      <c r="T1238" s="553">
        <f>'Foglio deposito bis'!$F$61*IF(ABS(N1238)&lt;'Progetto del paramento slu'!$G$58,ABS(N1238)*'Progetto del paramento slu'!$G$54,'Progetto del paramento slu'!$G$53)*IF(N1238&lt;0,-1,1)</f>
        <v>66089.465975830608</v>
      </c>
      <c r="U1238" s="553">
        <f>'Foglio deposito bis'!$F$62*IF(ABS(O1238)&lt;'Progetto del paramento slu'!$G$58,ABS(O1238)*'Progetto del paramento slu'!$G$54,'Progetto del paramento slu'!$G$53)*IF(O1238&lt;0,-1,1)</f>
        <v>-70420.314653587368</v>
      </c>
      <c r="V1238" s="479">
        <f t="shared" si="92"/>
        <v>-4315558.4870770033</v>
      </c>
      <c r="W1238" s="559"/>
      <c r="X1238" s="559"/>
    </row>
    <row r="1239" spans="1:24" x14ac:dyDescent="0.25">
      <c r="A1239" s="553">
        <f t="shared" si="91"/>
        <v>4388519.520509392</v>
      </c>
      <c r="B1239" s="3">
        <f t="shared" si="89"/>
        <v>73.899999999999949</v>
      </c>
      <c r="C1239" s="553">
        <f>'Foglio deposito bis'!$E$157/sezione!$B$247*B1239</f>
        <v>300.00399038461529</v>
      </c>
      <c r="D1239" s="32">
        <f>-'Progetto del paramento slu'!$G$47*'Progetto del paramento slu'!$G$41*IF(DATI!$G$218="dx",DATI!$E$61,DATI!$E$64*DATI!$E$63)*1000*C1239^2*sezione!$AD$5*(1-sezione!$AD$6)</f>
        <v>-740899687.83819687</v>
      </c>
      <c r="E1239" s="553">
        <f>-'Foglio deposito bis'!$F$58*(C1239-sezione!$AL$31)*IF(ABS(K1239)&lt;'Progetto del paramento slu'!$G$58,ABS(K1239)*'Progetto del paramento slu'!$G$54,'Progetto del paramento slu'!$G$53)</f>
        <v>0</v>
      </c>
      <c r="F1239" s="553">
        <f>-'Foglio deposito bis'!$F$59*(C1239-sezione!$AM$31)*IF(ABS(L1239)&lt;'Progetto del paramento slu'!$G$58,ABS(L1239)*'Progetto del paramento slu'!$G$54,'Progetto del paramento slu'!$G$53)</f>
        <v>-21236050.212882739</v>
      </c>
      <c r="G1239" s="553">
        <f>-'Foglio deposito bis'!$F$60*(C1239-sezione!$AN$31)*IF(ABS(M1239)&lt;'Progetto del paramento slu'!$G$58,ABS(M1239)*'Progetto del paramento slu'!$G$54,'Progetto del paramento slu'!$G$53)</f>
        <v>0</v>
      </c>
      <c r="H1239" s="553">
        <f>-'Foglio deposito bis'!$F$61*(C1239-sezione!$AO$31)*IF(ABS(N1239)&lt;'Progetto del paramento slu'!$G$58,ABS(N1239)*'Progetto del paramento slu'!$G$54,'Progetto del paramento slu'!$G$53)</f>
        <v>2367268.426068191</v>
      </c>
      <c r="I1239" s="479">
        <f>-'Foglio deposito bis'!$F$62*(C1239-sezione!$AP$31)*IF(ABS(O1239)&lt;'Progetto del paramento slu'!$G$58,ABS(O1239)*'Progetto del paramento slu'!$G$54,'Progetto del paramento slu'!$G$53)</f>
        <v>-3092559.4283493962</v>
      </c>
      <c r="J1239" s="479">
        <f t="shared" si="90"/>
        <v>-762861029.05336082</v>
      </c>
      <c r="K1239" s="558">
        <f>'Progetto del paramento slu'!$G$60*(sezione!$AL$31-C1239)/C1239</f>
        <v>-3.0333395405157267E-3</v>
      </c>
      <c r="L1239" s="558">
        <f>'Progetto del paramento slu'!$G$60*(sezione!$AM$31-C1239)/C1239</f>
        <v>-1.750023276933976E-3</v>
      </c>
      <c r="M1239" s="559">
        <f>'Progetto del paramento slu'!$G$60*(sezione!$AN$31-C1239)/C1239</f>
        <v>-4.6670701335222537E-4</v>
      </c>
      <c r="N1239" s="559">
        <f>'Progetto del paramento slu'!$G$60*(sezione!$AO$31-C1239)/C1239</f>
        <v>4.6661390561632076E-4</v>
      </c>
      <c r="O1239" s="559">
        <f>'Progetto del paramento slu'!$G$60*(sezione!$AP$31-C1239)/C1239</f>
        <v>-4.6666045948427309E-4</v>
      </c>
      <c r="P1239" s="553">
        <f>-'Progetto del paramento slu'!$G$47*'Progetto del paramento slu'!$G$41*IF(DATI!$G$218="dx",DATI!$E$61,DATI!$E$64*DATI!$E$63)*1000*C1239*sezione!$AD$5</f>
        <v>-4228823.2480225954</v>
      </c>
      <c r="Q1239" s="553">
        <f>'Foglio deposito bis'!$F$58*IF(ABS(K1239)&lt;'Progetto del paramento slu'!$G$58,ABS(K1239)*'Progetto del paramento slu'!$G$54,'Progetto del paramento slu'!$G$53)*IF(K1239&lt;0,-1,1)</f>
        <v>0</v>
      </c>
      <c r="R1239" s="553">
        <f>'Foglio deposito bis'!$F$59*IF(ABS(L1239)&lt;'Progetto del paramento slu'!$G$58,ABS(L1239)*'Progetto del paramento slu'!$G$54,'Progetto del paramento slu'!$G$53)*IF(L1239&lt;0,-1,1)</f>
        <v>-141569.90196349306</v>
      </c>
      <c r="S1239" s="553">
        <f>'Foglio deposito bis'!$F$60*IF(ABS(M1239)&lt;'Progetto del paramento slu'!$G$58,ABS(M1239)*'Progetto del paramento slu'!$G$54,'Progetto del paramento slu'!$G$53)*IF(M1239&lt;0,-1,1)</f>
        <v>0</v>
      </c>
      <c r="T1239" s="553">
        <f>'Foglio deposito bis'!$F$61*IF(ABS(N1239)&lt;'Progetto del paramento slu'!$G$58,ABS(N1239)*'Progetto del paramento slu'!$G$54,'Progetto del paramento slu'!$G$53)*IF(N1239&lt;0,-1,1)</f>
        <v>59187.615185431066</v>
      </c>
      <c r="U1239" s="553">
        <f>'Foglio deposito bis'!$F$62*IF(ABS(O1239)&lt;'Progetto del paramento slu'!$G$58,ABS(O1239)*'Progetto del paramento slu'!$G$54,'Progetto del paramento slu'!$G$53)*IF(O1239&lt;0,-1,1)</f>
        <v>-77313.985708734908</v>
      </c>
      <c r="V1239" s="479">
        <f t="shared" si="92"/>
        <v>-4388519.520509392</v>
      </c>
      <c r="W1239" s="559"/>
      <c r="X1239" s="559"/>
    </row>
    <row r="1240" spans="1:24" x14ac:dyDescent="0.25">
      <c r="P1240" s="553"/>
      <c r="Q1240" s="553"/>
      <c r="R1240" s="553"/>
      <c r="S1240" s="553"/>
      <c r="T1240" s="553"/>
      <c r="U1240" s="553"/>
      <c r="V1240" s="479"/>
    </row>
    <row r="1241" spans="1:24" x14ac:dyDescent="0.25">
      <c r="P1241" s="553"/>
      <c r="Q1241" s="553"/>
      <c r="R1241" s="553"/>
      <c r="S1241" s="553"/>
      <c r="T1241" s="553"/>
      <c r="U1241" s="553"/>
      <c r="V1241" s="479"/>
    </row>
    <row r="1242" spans="1:24" ht="15.75" x14ac:dyDescent="0.25">
      <c r="A1242" s="1035" t="s">
        <v>952</v>
      </c>
      <c r="B1242" s="1036"/>
      <c r="C1242" s="1036"/>
      <c r="D1242" s="1036"/>
      <c r="E1242" s="1036"/>
      <c r="F1242" s="1036"/>
      <c r="G1242" s="1036"/>
      <c r="H1242" s="1036"/>
      <c r="I1242" s="1036"/>
      <c r="J1242" s="1036"/>
      <c r="K1242" s="1036"/>
      <c r="L1242" s="1036"/>
      <c r="M1242" s="1036"/>
      <c r="N1242" s="1036"/>
      <c r="O1242" s="1037"/>
      <c r="P1242" s="553"/>
      <c r="Q1242" s="553"/>
      <c r="R1242" s="553"/>
      <c r="S1242" s="553"/>
      <c r="T1242" s="553"/>
      <c r="U1242" s="553"/>
      <c r="V1242" s="479"/>
      <c r="W1242" s="613"/>
      <c r="X1242" s="613"/>
    </row>
    <row r="1243" spans="1:24" x14ac:dyDescent="0.25">
      <c r="A1243" s="541">
        <v>1</v>
      </c>
      <c r="B1243" s="541">
        <v>2</v>
      </c>
      <c r="C1243" s="541">
        <v>3</v>
      </c>
      <c r="D1243" s="541">
        <v>4</v>
      </c>
      <c r="E1243" s="541">
        <v>5</v>
      </c>
      <c r="F1243" s="541">
        <v>6</v>
      </c>
      <c r="G1243" s="541">
        <v>7</v>
      </c>
      <c r="H1243" s="541">
        <v>8</v>
      </c>
      <c r="I1243" s="541">
        <v>9</v>
      </c>
      <c r="J1243" s="541">
        <v>10</v>
      </c>
      <c r="K1243" s="541">
        <v>11</v>
      </c>
      <c r="L1243" s="541">
        <v>12</v>
      </c>
      <c r="M1243" s="541">
        <v>13</v>
      </c>
      <c r="N1243" s="541">
        <v>14</v>
      </c>
      <c r="O1243" s="541">
        <v>15</v>
      </c>
      <c r="P1243" s="606">
        <v>4</v>
      </c>
      <c r="Q1243" s="606">
        <v>5</v>
      </c>
      <c r="R1243" s="606">
        <v>6</v>
      </c>
      <c r="S1243" s="606">
        <v>7</v>
      </c>
      <c r="T1243" s="606">
        <v>8</v>
      </c>
      <c r="U1243" s="606">
        <v>9</v>
      </c>
      <c r="V1243" s="606">
        <v>10</v>
      </c>
      <c r="W1243" s="47"/>
      <c r="X1243" s="47"/>
    </row>
    <row r="1244" spans="1:24" x14ac:dyDescent="0.25">
      <c r="A1244" s="561" t="s">
        <v>929</v>
      </c>
      <c r="B1244" s="83" t="s">
        <v>917</v>
      </c>
      <c r="C1244" s="541" t="s">
        <v>134</v>
      </c>
      <c r="D1244" s="541" t="s">
        <v>911</v>
      </c>
      <c r="E1244" s="541" t="s">
        <v>912</v>
      </c>
      <c r="F1244" s="541" t="s">
        <v>913</v>
      </c>
      <c r="G1244" s="541" t="s">
        <v>914</v>
      </c>
      <c r="H1244" s="541" t="s">
        <v>915</v>
      </c>
      <c r="I1244" s="541" t="s">
        <v>916</v>
      </c>
      <c r="J1244" s="562" t="s">
        <v>910</v>
      </c>
      <c r="K1244" s="561" t="s">
        <v>923</v>
      </c>
      <c r="L1244" s="561" t="s">
        <v>924</v>
      </c>
      <c r="M1244" s="561" t="s">
        <v>925</v>
      </c>
      <c r="N1244" s="561" t="s">
        <v>926</v>
      </c>
      <c r="O1244" s="561" t="s">
        <v>927</v>
      </c>
      <c r="P1244" s="606" t="s">
        <v>293</v>
      </c>
      <c r="Q1244" s="606" t="s">
        <v>968</v>
      </c>
      <c r="R1244" s="606" t="s">
        <v>969</v>
      </c>
      <c r="S1244" s="606" t="s">
        <v>970</v>
      </c>
      <c r="T1244" s="606" t="s">
        <v>971</v>
      </c>
      <c r="U1244" s="606" t="s">
        <v>972</v>
      </c>
      <c r="V1244" s="607" t="s">
        <v>1021</v>
      </c>
      <c r="W1244" s="58"/>
      <c r="X1244" s="58"/>
    </row>
    <row r="1245" spans="1:24" x14ac:dyDescent="0.25">
      <c r="A1245" s="553">
        <f>ABS(V1245)</f>
        <v>959957.07423402858</v>
      </c>
      <c r="B1245" s="3">
        <v>0</v>
      </c>
      <c r="C1245" s="42">
        <v>0.01</v>
      </c>
      <c r="D1245" s="611">
        <f>-'Progetto del paramento slu'!$G$47*'Progetto del paramento slu'!$G$41*IF(DATI!$G$218="dx",DATI!$E$61,DATI!$E$64*DATI!$E$63)*1000*C1245^2*sezione!$AD$5*(1-sezione!$AD$6)</f>
        <v>-0.82319997600000006</v>
      </c>
      <c r="E1245" s="553">
        <f>-'Foglio deposito bis'!$F$68*(C1245-sezione!$AL$32)*IF(ABS(K1245)&lt;'Progetto del paramento slu'!$G$58,ABS(K1245)*'Progetto del paramento slu'!$G$54,'Progetto del paramento slu'!$G$53)</f>
        <v>0</v>
      </c>
      <c r="F1245" s="553">
        <f>-'Foglio deposito bis'!$F$69*(C1245-sezione!$AM$32)*IF(ABS(L1245)&lt;'Progetto del paramento slu'!$G$58,ABS(L1245)*'Progetto del paramento slu'!$G$54,'Progetto del paramento slu'!$G$53)</f>
        <v>23048192.059822816</v>
      </c>
      <c r="G1245" s="553">
        <f>-'Foglio deposito bis'!$F$70*(C1245-sezione!$AN$32)*IF(ABS(M1245)&lt;'Progetto del paramento slu'!$G$58,ABS(M1245)*'Progetto del paramento slu'!$G$54,'Progetto del paramento slu'!$G$53)</f>
        <v>0</v>
      </c>
      <c r="H1245" s="553">
        <f>-'Foglio deposito bis'!$F$71*(C1245-sezione!$AO$32)*IF(ABS(N1245)&lt;'Progetto del paramento slu'!$G$58,ABS(N1245)*'Progetto del paramento slu'!$G$54,'Progetto del paramento slu'!$G$53)</f>
        <v>106996766.90527661</v>
      </c>
      <c r="I1245" s="479">
        <f>-'Foglio deposito bis'!$F$72*(C1245-sezione!$AP$32)*IF(ABS(O1245)&lt;'Progetto del paramento slu'!$G$58,ABS(O1245)*'Progetto del paramento slu'!$G$54,'Progetto del paramento slu'!$G$53)</f>
        <v>127846703.26488177</v>
      </c>
      <c r="J1245" s="479">
        <f t="shared" ref="J1245:J1308" si="93">D1245+E1245+F1245+G1245+H1245+I1245</f>
        <v>257891661.40678123</v>
      </c>
      <c r="K1245" s="558">
        <f>'Progetto del paramento slu'!$G$60*(sezione!$AL$32-C1245)/C1245</f>
        <v>13.996500000000001</v>
      </c>
      <c r="L1245" s="558">
        <f>'Progetto del paramento slu'!$G$60*(sezione!$AM$32-C1245)/C1245</f>
        <v>52.496499999999997</v>
      </c>
      <c r="M1245" s="559">
        <f>'Progetto del paramento slu'!$G$60*(sezione!$AN$32-C1245)/C1245</f>
        <v>90.996499999999997</v>
      </c>
      <c r="N1245" s="559">
        <f>'Progetto del paramento slu'!$G$60*(sezione!$AO$32-C1245)/C1245</f>
        <v>118.99650000000001</v>
      </c>
      <c r="O1245" s="559">
        <f>'Progetto del paramento slu'!$G$60*(sezione!$AP$32-C1245)/C1245</f>
        <v>90.998249999999956</v>
      </c>
      <c r="P1245" s="553">
        <f>-'Progetto del paramento slu'!$G$47*'Progetto del paramento slu'!$G$41*IF(DATI!$G$218="dx",DATI!$E$61,DATI!$E$64*DATI!$E$63)*1000*C1245*sezione!$AD$5</f>
        <v>-140.9589</v>
      </c>
      <c r="Q1245" s="553">
        <f>'Foglio deposito bis'!$F$68*IF(ABS(K1245)&lt;'Progetto del paramento slu'!$G$58,ABS(K1245)*'Progetto del paramento slu'!$G$54,'Progetto del paramento slu'!$G$53)*IF(K1245&lt;0,-1,1)</f>
        <v>0</v>
      </c>
      <c r="R1245" s="553">
        <f>'Foglio deposito bis'!$F$69*IF(ABS(L1245)&lt;'Progetto del paramento slu'!$G$58,ABS(L1245)*'Progetto del paramento slu'!$G$54,'Progetto del paramento slu'!$G$53)*IF(L1245&lt;0,-1,1)</f>
        <v>153664.85805602249</v>
      </c>
      <c r="S1245" s="553">
        <f>'Foglio deposito bis'!$F$70*IF(ABS(M1245)&lt;'Progetto del paramento slu'!$G$58,ABS(M1245)*'Progetto del paramento slu'!$G$54,'Progetto del paramento slu'!$G$53)*IF(M1245&lt;0,-1,1)</f>
        <v>0</v>
      </c>
      <c r="T1245" s="553">
        <f>'Foglio deposito bis'!$F$71*IF(ABS(N1245)&lt;'Progetto del paramento slu'!$G$58,ABS(N1245)*'Progetto del paramento slu'!$G$54,'Progetto del paramento slu'!$G$53)*IF(N1245&lt;0,-1,1)</f>
        <v>314705.62929873407</v>
      </c>
      <c r="U1245" s="553">
        <f>'Foglio deposito bis'!$F$72*IF(ABS(O1245)&lt;'Progetto del paramento slu'!$G$58,ABS(O1245)*'Progetto del paramento slu'!$G$54,'Progetto del paramento slu'!$G$53)*IF(O1245&lt;0,-1,1)</f>
        <v>491727.54577927204</v>
      </c>
      <c r="V1245" s="479">
        <f t="shared" ref="V1245" si="94">P1245+Q1245+R1245+S1245+T1245+U1245</f>
        <v>959957.07423402858</v>
      </c>
      <c r="W1245" s="559"/>
      <c r="X1245" s="559"/>
    </row>
    <row r="1246" spans="1:24" x14ac:dyDescent="0.25">
      <c r="A1246" s="553">
        <f t="shared" ref="A1246:A1309" si="95">ABS(V1246)</f>
        <v>957236.84404103132</v>
      </c>
      <c r="B1246" s="3">
        <f>B1245+0.05</f>
        <v>0.05</v>
      </c>
      <c r="C1246" s="553">
        <f>'Foglio deposito bis'!$E$158/sezione!$B$247*B1246</f>
        <v>0.20298037889039247</v>
      </c>
      <c r="D1246" s="611">
        <f>-'Progetto del paramento slu'!$G$47*'Progetto del paramento slu'!$G$41*IF(DATI!$G$218="dx",DATI!$E$61,DATI!$E$64*DATI!$E$63)*1000*C1246^2*sezione!$AD$5*(1-sezione!$AD$6)</f>
        <v>-339.16690376541118</v>
      </c>
      <c r="E1246" s="553">
        <f>-'Foglio deposito bis'!$F$68*(C1246-sezione!$AL$32)*IF(ABS(K1246)&lt;'Progetto del paramento slu'!$G$58,ABS(K1246)*'Progetto del paramento slu'!$G$54,'Progetto del paramento slu'!$G$53)</f>
        <v>0</v>
      </c>
      <c r="F1246" s="553">
        <f>-'Foglio deposito bis'!$F$69*(C1246-sezione!$AM$32)*IF(ABS(L1246)&lt;'Progetto del paramento slu'!$G$58,ABS(L1246)*'Progetto del paramento slu'!$G$54,'Progetto del paramento slu'!$G$53)</f>
        <v>23018537.757293023</v>
      </c>
      <c r="G1246" s="553">
        <f>-'Foglio deposito bis'!$F$70*(C1246-sezione!$AN$32)*IF(ABS(M1246)&lt;'Progetto del paramento slu'!$G$58,ABS(M1246)*'Progetto del paramento slu'!$G$54,'Progetto del paramento slu'!$G$53)</f>
        <v>0</v>
      </c>
      <c r="H1246" s="553">
        <f>-'Foglio deposito bis'!$F$71*(C1246-sezione!$AO$32)*IF(ABS(N1246)&lt;'Progetto del paramento slu'!$G$58,ABS(N1246)*'Progetto del paramento slu'!$G$54,'Progetto del paramento slu'!$G$53)</f>
        <v>106936034.89369559</v>
      </c>
      <c r="I1246" s="479">
        <f>-'Foglio deposito bis'!$F$72*(C1246-sezione!$AP$32)*IF(ABS(O1246)&lt;'Progetto del paramento slu'!$G$58,ABS(O1246)*'Progetto del paramento slu'!$G$54,'Progetto del paramento slu'!$G$53)</f>
        <v>127751809.49678643</v>
      </c>
      <c r="J1246" s="479">
        <f t="shared" si="93"/>
        <v>257706042.98087126</v>
      </c>
      <c r="K1246" s="558">
        <f>'Progetto del paramento slu'!$G$60*(sezione!$AL$32-C1246)/C1246</f>
        <v>0.68622183796936698</v>
      </c>
      <c r="L1246" s="558">
        <f>'Progetto del paramento slu'!$G$60*(sezione!$AM$32-C1246)/C1246</f>
        <v>2.5829568923851265</v>
      </c>
      <c r="M1246" s="559">
        <f>'Progetto del paramento slu'!$G$60*(sezione!$AN$32-C1246)/C1246</f>
        <v>4.4796919468008856</v>
      </c>
      <c r="N1246" s="559">
        <f>'Progetto del paramento slu'!$G$60*(sezione!$AO$32-C1246)/C1246</f>
        <v>5.8591356227396192</v>
      </c>
      <c r="O1246" s="559">
        <f>'Progetto del paramento slu'!$G$60*(sezione!$AP$32-C1246)/C1246</f>
        <v>4.4797781620306294</v>
      </c>
      <c r="P1246" s="553">
        <f>-'Progetto del paramento slu'!$G$47*'Progetto del paramento slu'!$G$41*IF(DATI!$G$218="dx",DATI!$E$61,DATI!$E$64*DATI!$E$63)*1000*C1246*sezione!$AD$5</f>
        <v>-2861.1890929972942</v>
      </c>
      <c r="Q1246" s="553">
        <f>'Foglio deposito bis'!$F$68*IF(ABS(K1246)&lt;'Progetto del paramento slu'!$G$58,ABS(K1246)*'Progetto del paramento slu'!$G$54,'Progetto del paramento slu'!$G$53)*IF(K1246&lt;0,-1,1)</f>
        <v>0</v>
      </c>
      <c r="R1246" s="553">
        <f>'Foglio deposito bis'!$F$69*IF(ABS(L1246)&lt;'Progetto del paramento slu'!$G$58,ABS(L1246)*'Progetto del paramento slu'!$G$54,'Progetto del paramento slu'!$G$53)*IF(L1246&lt;0,-1,1)</f>
        <v>153664.85805602249</v>
      </c>
      <c r="S1246" s="553">
        <f>'Foglio deposito bis'!$F$70*IF(ABS(M1246)&lt;'Progetto del paramento slu'!$G$58,ABS(M1246)*'Progetto del paramento slu'!$G$54,'Progetto del paramento slu'!$G$53)*IF(M1246&lt;0,-1,1)</f>
        <v>0</v>
      </c>
      <c r="T1246" s="553">
        <f>'Foglio deposito bis'!$F$71*IF(ABS(N1246)&lt;'Progetto del paramento slu'!$G$58,ABS(N1246)*'Progetto del paramento slu'!$G$54,'Progetto del paramento slu'!$G$53)*IF(N1246&lt;0,-1,1)</f>
        <v>314705.62929873407</v>
      </c>
      <c r="U1246" s="553">
        <f>'Foglio deposito bis'!$F$72*IF(ABS(O1246)&lt;'Progetto del paramento slu'!$G$58,ABS(O1246)*'Progetto del paramento slu'!$G$54,'Progetto del paramento slu'!$G$53)*IF(O1246&lt;0,-1,1)</f>
        <v>491727.54577927204</v>
      </c>
      <c r="V1246" s="479">
        <f t="shared" ref="V1246:V1309" si="96">P1246+Q1246+R1246+S1246+T1246+U1246</f>
        <v>957236.84404103132</v>
      </c>
      <c r="W1246" s="559"/>
      <c r="X1246" s="559"/>
    </row>
    <row r="1247" spans="1:24" x14ac:dyDescent="0.25">
      <c r="A1247" s="553">
        <f t="shared" si="95"/>
        <v>954375.65494803409</v>
      </c>
      <c r="B1247" s="3">
        <f t="shared" ref="B1247:B1310" si="97">B1246+0.05</f>
        <v>0.1</v>
      </c>
      <c r="C1247" s="553">
        <f>'Foglio deposito bis'!$E$158/sezione!$B$247*B1247</f>
        <v>0.40596075778078494</v>
      </c>
      <c r="D1247" s="611">
        <f>-'Progetto del paramento slu'!$G$47*'Progetto del paramento slu'!$G$41*IF(DATI!$G$218="dx",DATI!$E$61,DATI!$E$64*DATI!$E$63)*1000*C1247^2*sezione!$AD$5*(1-sezione!$AD$6)</f>
        <v>-1356.6676150616447</v>
      </c>
      <c r="E1247" s="553">
        <f>-'Foglio deposito bis'!$F$68*(C1247-sezione!$AL$32)*IF(ABS(K1247)&lt;'Progetto del paramento slu'!$G$58,ABS(K1247)*'Progetto del paramento slu'!$G$54,'Progetto del paramento slu'!$G$53)</f>
        <v>0</v>
      </c>
      <c r="F1247" s="553">
        <f>-'Foglio deposito bis'!$F$69*(C1247-sezione!$AM$32)*IF(ABS(L1247)&lt;'Progetto del paramento slu'!$G$58,ABS(L1247)*'Progetto del paramento slu'!$G$54,'Progetto del paramento slu'!$G$53)</f>
        <v>22987346.806182675</v>
      </c>
      <c r="G1247" s="553">
        <f>-'Foglio deposito bis'!$F$70*(C1247-sezione!$AN$32)*IF(ABS(M1247)&lt;'Progetto del paramento slu'!$G$58,ABS(M1247)*'Progetto del paramento slu'!$G$54,'Progetto del paramento slu'!$G$53)</f>
        <v>0</v>
      </c>
      <c r="H1247" s="553">
        <f>-'Foglio deposito bis'!$F$71*(C1247-sezione!$AO$32)*IF(ABS(N1247)&lt;'Progetto del paramento slu'!$G$58,ABS(N1247)*'Progetto del paramento slu'!$G$54,'Progetto del paramento slu'!$G$53)</f>
        <v>106872155.82582159</v>
      </c>
      <c r="I1247" s="479">
        <f>-'Foglio deposito bis'!$F$72*(C1247-sezione!$AP$32)*IF(ABS(O1247)&lt;'Progetto del paramento slu'!$G$58,ABS(O1247)*'Progetto del paramento slu'!$G$54,'Progetto del paramento slu'!$G$53)</f>
        <v>127651998.45323332</v>
      </c>
      <c r="J1247" s="479">
        <f t="shared" si="93"/>
        <v>257510144.41762251</v>
      </c>
      <c r="K1247" s="558">
        <f>'Progetto del paramento slu'!$G$60*(sezione!$AL$32-C1247)/C1247</f>
        <v>0.34136091898468351</v>
      </c>
      <c r="L1247" s="558">
        <f>'Progetto del paramento slu'!$G$60*(sezione!$AM$32-C1247)/C1247</f>
        <v>1.2897284461925633</v>
      </c>
      <c r="M1247" s="559">
        <f>'Progetto del paramento slu'!$G$60*(sezione!$AN$32-C1247)/C1247</f>
        <v>2.2380959734004424</v>
      </c>
      <c r="N1247" s="559">
        <f>'Progetto del paramento slu'!$G$60*(sezione!$AO$32-C1247)/C1247</f>
        <v>2.9278178113698097</v>
      </c>
      <c r="O1247" s="559">
        <f>'Progetto del paramento slu'!$G$60*(sezione!$AP$32-C1247)/C1247</f>
        <v>2.2381390810153148</v>
      </c>
      <c r="P1247" s="553">
        <f>-'Progetto del paramento slu'!$G$47*'Progetto del paramento slu'!$G$41*IF(DATI!$G$218="dx",DATI!$E$61,DATI!$E$64*DATI!$E$63)*1000*C1247*sezione!$AD$5</f>
        <v>-5722.3781859945884</v>
      </c>
      <c r="Q1247" s="553">
        <f>'Foglio deposito bis'!$F$68*IF(ABS(K1247)&lt;'Progetto del paramento slu'!$G$58,ABS(K1247)*'Progetto del paramento slu'!$G$54,'Progetto del paramento slu'!$G$53)*IF(K1247&lt;0,-1,1)</f>
        <v>0</v>
      </c>
      <c r="R1247" s="553">
        <f>'Foglio deposito bis'!$F$69*IF(ABS(L1247)&lt;'Progetto del paramento slu'!$G$58,ABS(L1247)*'Progetto del paramento slu'!$G$54,'Progetto del paramento slu'!$G$53)*IF(L1247&lt;0,-1,1)</f>
        <v>153664.85805602249</v>
      </c>
      <c r="S1247" s="553">
        <f>'Foglio deposito bis'!$F$70*IF(ABS(M1247)&lt;'Progetto del paramento slu'!$G$58,ABS(M1247)*'Progetto del paramento slu'!$G$54,'Progetto del paramento slu'!$G$53)*IF(M1247&lt;0,-1,1)</f>
        <v>0</v>
      </c>
      <c r="T1247" s="553">
        <f>'Foglio deposito bis'!$F$71*IF(ABS(N1247)&lt;'Progetto del paramento slu'!$G$58,ABS(N1247)*'Progetto del paramento slu'!$G$54,'Progetto del paramento slu'!$G$53)*IF(N1247&lt;0,-1,1)</f>
        <v>314705.62929873407</v>
      </c>
      <c r="U1247" s="553">
        <f>'Foglio deposito bis'!$F$72*IF(ABS(O1247)&lt;'Progetto del paramento slu'!$G$58,ABS(O1247)*'Progetto del paramento slu'!$G$54,'Progetto del paramento slu'!$G$53)*IF(O1247&lt;0,-1,1)</f>
        <v>491727.54577927204</v>
      </c>
      <c r="V1247" s="479">
        <f t="shared" si="96"/>
        <v>954375.65494803409</v>
      </c>
      <c r="W1247" s="559"/>
      <c r="X1247" s="559"/>
    </row>
    <row r="1248" spans="1:24" x14ac:dyDescent="0.25">
      <c r="A1248" s="553">
        <f t="shared" si="95"/>
        <v>951514.46585503663</v>
      </c>
      <c r="B1248" s="3">
        <f t="shared" si="97"/>
        <v>0.15000000000000002</v>
      </c>
      <c r="C1248" s="553">
        <f>'Foglio deposito bis'!$E$158/sezione!$B$247*B1248</f>
        <v>0.60894113667117744</v>
      </c>
      <c r="D1248" s="611">
        <f>-'Progetto del paramento slu'!$G$47*'Progetto del paramento slu'!$G$41*IF(DATI!$G$218="dx",DATI!$E$61,DATI!$E$64*DATI!$E$63)*1000*C1248^2*sezione!$AD$5*(1-sezione!$AD$6)</f>
        <v>-3052.5021338887004</v>
      </c>
      <c r="E1248" s="553">
        <f>-'Foglio deposito bis'!$F$68*(C1248-sezione!$AL$32)*IF(ABS(K1248)&lt;'Progetto del paramento slu'!$G$58,ABS(K1248)*'Progetto del paramento slu'!$G$54,'Progetto del paramento slu'!$G$53)</f>
        <v>0</v>
      </c>
      <c r="F1248" s="553">
        <f>-'Foglio deposito bis'!$F$69*(C1248-sezione!$AM$32)*IF(ABS(L1248)&lt;'Progetto del paramento slu'!$G$58,ABS(L1248)*'Progetto del paramento slu'!$G$54,'Progetto del paramento slu'!$G$53)</f>
        <v>22956155.855072327</v>
      </c>
      <c r="G1248" s="553">
        <f>-'Foglio deposito bis'!$F$70*(C1248-sezione!$AN$32)*IF(ABS(M1248)&lt;'Progetto del paramento slu'!$G$58,ABS(M1248)*'Progetto del paramento slu'!$G$54,'Progetto del paramento slu'!$G$53)</f>
        <v>0</v>
      </c>
      <c r="H1248" s="553">
        <f>-'Foglio deposito bis'!$F$71*(C1248-sezione!$AO$32)*IF(ABS(N1248)&lt;'Progetto del paramento slu'!$G$58,ABS(N1248)*'Progetto del paramento slu'!$G$54,'Progetto del paramento slu'!$G$53)</f>
        <v>106808276.75794758</v>
      </c>
      <c r="I1248" s="479">
        <f>-'Foglio deposito bis'!$F$72*(C1248-sezione!$AP$32)*IF(ABS(O1248)&lt;'Progetto del paramento slu'!$G$58,ABS(O1248)*'Progetto del paramento slu'!$G$54,'Progetto del paramento slu'!$G$53)</f>
        <v>127552187.4096802</v>
      </c>
      <c r="J1248" s="479">
        <f t="shared" si="93"/>
        <v>257313567.52056623</v>
      </c>
      <c r="K1248" s="558">
        <f>'Progetto del paramento slu'!$G$60*(sezione!$AL$32-C1248)/C1248</f>
        <v>0.22640727932312232</v>
      </c>
      <c r="L1248" s="558">
        <f>'Progetto del paramento slu'!$G$60*(sezione!$AM$32-C1248)/C1248</f>
        <v>0.85865229746170879</v>
      </c>
      <c r="M1248" s="559">
        <f>'Progetto del paramento slu'!$G$60*(sezione!$AN$32-C1248)/C1248</f>
        <v>1.4908973156002949</v>
      </c>
      <c r="N1248" s="559">
        <f>'Progetto del paramento slu'!$G$60*(sezione!$AO$32-C1248)/C1248</f>
        <v>1.9507118742465397</v>
      </c>
      <c r="O1248" s="559">
        <f>'Progetto del paramento slu'!$G$60*(sezione!$AP$32-C1248)/C1248</f>
        <v>1.4909260540102096</v>
      </c>
      <c r="P1248" s="553">
        <f>-'Progetto del paramento slu'!$G$47*'Progetto del paramento slu'!$G$41*IF(DATI!$G$218="dx",DATI!$E$61,DATI!$E$64*DATI!$E$63)*1000*C1248*sezione!$AD$5</f>
        <v>-8583.5672789918845</v>
      </c>
      <c r="Q1248" s="553">
        <f>'Foglio deposito bis'!$F$68*IF(ABS(K1248)&lt;'Progetto del paramento slu'!$G$58,ABS(K1248)*'Progetto del paramento slu'!$G$54,'Progetto del paramento slu'!$G$53)*IF(K1248&lt;0,-1,1)</f>
        <v>0</v>
      </c>
      <c r="R1248" s="553">
        <f>'Foglio deposito bis'!$F$69*IF(ABS(L1248)&lt;'Progetto del paramento slu'!$G$58,ABS(L1248)*'Progetto del paramento slu'!$G$54,'Progetto del paramento slu'!$G$53)*IF(L1248&lt;0,-1,1)</f>
        <v>153664.85805602249</v>
      </c>
      <c r="S1248" s="553">
        <f>'Foglio deposito bis'!$F$70*IF(ABS(M1248)&lt;'Progetto del paramento slu'!$G$58,ABS(M1248)*'Progetto del paramento slu'!$G$54,'Progetto del paramento slu'!$G$53)*IF(M1248&lt;0,-1,1)</f>
        <v>0</v>
      </c>
      <c r="T1248" s="553">
        <f>'Foglio deposito bis'!$F$71*IF(ABS(N1248)&lt;'Progetto del paramento slu'!$G$58,ABS(N1248)*'Progetto del paramento slu'!$G$54,'Progetto del paramento slu'!$G$53)*IF(N1248&lt;0,-1,1)</f>
        <v>314705.62929873407</v>
      </c>
      <c r="U1248" s="553">
        <f>'Foglio deposito bis'!$F$72*IF(ABS(O1248)&lt;'Progetto del paramento slu'!$G$58,ABS(O1248)*'Progetto del paramento slu'!$G$54,'Progetto del paramento slu'!$G$53)*IF(O1248&lt;0,-1,1)</f>
        <v>491727.54577927204</v>
      </c>
      <c r="V1248" s="479">
        <f t="shared" si="96"/>
        <v>951514.46585503663</v>
      </c>
      <c r="W1248" s="559"/>
      <c r="X1248" s="559"/>
    </row>
    <row r="1249" spans="1:24" x14ac:dyDescent="0.25">
      <c r="A1249" s="553">
        <f t="shared" si="95"/>
        <v>948653.2767620394</v>
      </c>
      <c r="B1249" s="3">
        <f t="shared" si="97"/>
        <v>0.2</v>
      </c>
      <c r="C1249" s="553">
        <f>'Foglio deposito bis'!$E$158/sezione!$B$247*B1249</f>
        <v>0.81192151556156988</v>
      </c>
      <c r="D1249" s="611">
        <f>-'Progetto del paramento slu'!$G$47*'Progetto del paramento slu'!$G$41*IF(DATI!$G$218="dx",DATI!$E$61,DATI!$E$64*DATI!$E$63)*1000*C1249^2*sezione!$AD$5*(1-sezione!$AD$6)</f>
        <v>-5426.6704602465788</v>
      </c>
      <c r="E1249" s="553">
        <f>-'Foglio deposito bis'!$F$68*(C1249-sezione!$AL$32)*IF(ABS(K1249)&lt;'Progetto del paramento slu'!$G$58,ABS(K1249)*'Progetto del paramento slu'!$G$54,'Progetto del paramento slu'!$G$53)</f>
        <v>0</v>
      </c>
      <c r="F1249" s="553">
        <f>-'Foglio deposito bis'!$F$69*(C1249-sezione!$AM$32)*IF(ABS(L1249)&lt;'Progetto del paramento slu'!$G$58,ABS(L1249)*'Progetto del paramento slu'!$G$54,'Progetto del paramento slu'!$G$53)</f>
        <v>22924964.903961971</v>
      </c>
      <c r="G1249" s="553">
        <f>-'Foglio deposito bis'!$F$70*(C1249-sezione!$AN$32)*IF(ABS(M1249)&lt;'Progetto del paramento slu'!$G$58,ABS(M1249)*'Progetto del paramento slu'!$G$54,'Progetto del paramento slu'!$G$53)</f>
        <v>0</v>
      </c>
      <c r="H1249" s="553">
        <f>-'Foglio deposito bis'!$F$71*(C1249-sezione!$AO$32)*IF(ABS(N1249)&lt;'Progetto del paramento slu'!$G$58,ABS(N1249)*'Progetto del paramento slu'!$G$54,'Progetto del paramento slu'!$G$53)</f>
        <v>106744397.69007361</v>
      </c>
      <c r="I1249" s="479">
        <f>-'Foglio deposito bis'!$F$72*(C1249-sezione!$AP$32)*IF(ABS(O1249)&lt;'Progetto del paramento slu'!$G$58,ABS(O1249)*'Progetto del paramento slu'!$G$54,'Progetto del paramento slu'!$G$53)</f>
        <v>127452376.3661271</v>
      </c>
      <c r="J1249" s="479">
        <f t="shared" si="93"/>
        <v>257116312.28970245</v>
      </c>
      <c r="K1249" s="558">
        <f>'Progetto del paramento slu'!$G$60*(sezione!$AL$32-C1249)/C1249</f>
        <v>0.16893045949234173</v>
      </c>
      <c r="L1249" s="558">
        <f>'Progetto del paramento slu'!$G$60*(sezione!$AM$32-C1249)/C1249</f>
        <v>0.64311422309628152</v>
      </c>
      <c r="M1249" s="559">
        <f>'Progetto del paramento slu'!$G$60*(sezione!$AN$32-C1249)/C1249</f>
        <v>1.1172979867002215</v>
      </c>
      <c r="N1249" s="559">
        <f>'Progetto del paramento slu'!$G$60*(sezione!$AO$32-C1249)/C1249</f>
        <v>1.4621589056849051</v>
      </c>
      <c r="O1249" s="559">
        <f>'Progetto del paramento slu'!$G$60*(sezione!$AP$32-C1249)/C1249</f>
        <v>1.1173195405076577</v>
      </c>
      <c r="P1249" s="553">
        <f>-'Progetto del paramento slu'!$G$47*'Progetto del paramento slu'!$G$41*IF(DATI!$G$218="dx",DATI!$E$61,DATI!$E$64*DATI!$E$63)*1000*C1249*sezione!$AD$5</f>
        <v>-11444.756371989177</v>
      </c>
      <c r="Q1249" s="553">
        <f>'Foglio deposito bis'!$F$68*IF(ABS(K1249)&lt;'Progetto del paramento slu'!$G$58,ABS(K1249)*'Progetto del paramento slu'!$G$54,'Progetto del paramento slu'!$G$53)*IF(K1249&lt;0,-1,1)</f>
        <v>0</v>
      </c>
      <c r="R1249" s="553">
        <f>'Foglio deposito bis'!$F$69*IF(ABS(L1249)&lt;'Progetto del paramento slu'!$G$58,ABS(L1249)*'Progetto del paramento slu'!$G$54,'Progetto del paramento slu'!$G$53)*IF(L1249&lt;0,-1,1)</f>
        <v>153664.85805602249</v>
      </c>
      <c r="S1249" s="553">
        <f>'Foglio deposito bis'!$F$70*IF(ABS(M1249)&lt;'Progetto del paramento slu'!$G$58,ABS(M1249)*'Progetto del paramento slu'!$G$54,'Progetto del paramento slu'!$G$53)*IF(M1249&lt;0,-1,1)</f>
        <v>0</v>
      </c>
      <c r="T1249" s="553">
        <f>'Foglio deposito bis'!$F$71*IF(ABS(N1249)&lt;'Progetto del paramento slu'!$G$58,ABS(N1249)*'Progetto del paramento slu'!$G$54,'Progetto del paramento slu'!$G$53)*IF(N1249&lt;0,-1,1)</f>
        <v>314705.62929873407</v>
      </c>
      <c r="U1249" s="553">
        <f>'Foglio deposito bis'!$F$72*IF(ABS(O1249)&lt;'Progetto del paramento slu'!$G$58,ABS(O1249)*'Progetto del paramento slu'!$G$54,'Progetto del paramento slu'!$G$53)*IF(O1249&lt;0,-1,1)</f>
        <v>491727.54577927204</v>
      </c>
      <c r="V1249" s="479">
        <f t="shared" si="96"/>
        <v>948653.2767620394</v>
      </c>
      <c r="W1249" s="559"/>
      <c r="X1249" s="559"/>
    </row>
    <row r="1250" spans="1:24" x14ac:dyDescent="0.25">
      <c r="A1250" s="553">
        <f t="shared" si="95"/>
        <v>945792.08766904217</v>
      </c>
      <c r="B1250" s="3">
        <f t="shared" si="97"/>
        <v>0.25</v>
      </c>
      <c r="C1250" s="553">
        <f>'Foglio deposito bis'!$E$158/sezione!$B$247*B1250</f>
        <v>1.0149018944519623</v>
      </c>
      <c r="D1250" s="611">
        <f>-'Progetto del paramento slu'!$G$47*'Progetto del paramento slu'!$G$41*IF(DATI!$G$218="dx",DATI!$E$61,DATI!$E$64*DATI!$E$63)*1000*C1250^2*sezione!$AD$5*(1-sezione!$AD$6)</f>
        <v>-8479.1725941352797</v>
      </c>
      <c r="E1250" s="553">
        <f>-'Foglio deposito bis'!$F$68*(C1250-sezione!$AL$32)*IF(ABS(K1250)&lt;'Progetto del paramento slu'!$G$58,ABS(K1250)*'Progetto del paramento slu'!$G$54,'Progetto del paramento slu'!$G$53)</f>
        <v>0</v>
      </c>
      <c r="F1250" s="553">
        <f>-'Foglio deposito bis'!$F$69*(C1250-sezione!$AM$32)*IF(ABS(L1250)&lt;'Progetto del paramento slu'!$G$58,ABS(L1250)*'Progetto del paramento slu'!$G$54,'Progetto del paramento slu'!$G$53)</f>
        <v>22893773.952851627</v>
      </c>
      <c r="G1250" s="553">
        <f>-'Foglio deposito bis'!$F$70*(C1250-sezione!$AN$32)*IF(ABS(M1250)&lt;'Progetto del paramento slu'!$G$58,ABS(M1250)*'Progetto del paramento slu'!$G$54,'Progetto del paramento slu'!$G$53)</f>
        <v>0</v>
      </c>
      <c r="H1250" s="553">
        <f>-'Foglio deposito bis'!$F$71*(C1250-sezione!$AO$32)*IF(ABS(N1250)&lt;'Progetto del paramento slu'!$G$58,ABS(N1250)*'Progetto del paramento slu'!$G$54,'Progetto del paramento slu'!$G$53)</f>
        <v>106680518.62219961</v>
      </c>
      <c r="I1250" s="479">
        <f>-'Foglio deposito bis'!$F$72*(C1250-sezione!$AP$32)*IF(ABS(O1250)&lt;'Progetto del paramento slu'!$G$58,ABS(O1250)*'Progetto del paramento slu'!$G$54,'Progetto del paramento slu'!$G$53)</f>
        <v>127352565.32257397</v>
      </c>
      <c r="J1250" s="479">
        <f t="shared" si="93"/>
        <v>256918378.72503108</v>
      </c>
      <c r="K1250" s="558">
        <f>'Progetto del paramento slu'!$G$60*(sezione!$AL$32-C1250)/C1250</f>
        <v>0.13444436759387343</v>
      </c>
      <c r="L1250" s="558">
        <f>'Progetto del paramento slu'!$G$60*(sezione!$AM$32-C1250)/C1250</f>
        <v>0.51379137847702527</v>
      </c>
      <c r="M1250" s="559">
        <f>'Progetto del paramento slu'!$G$60*(sezione!$AN$32-C1250)/C1250</f>
        <v>0.8931383893601772</v>
      </c>
      <c r="N1250" s="559">
        <f>'Progetto del paramento slu'!$G$60*(sezione!$AO$32-C1250)/C1250</f>
        <v>1.169027124547924</v>
      </c>
      <c r="O1250" s="559">
        <f>'Progetto del paramento slu'!$G$60*(sezione!$AP$32-C1250)/C1250</f>
        <v>0.89315563240612605</v>
      </c>
      <c r="P1250" s="553">
        <f>-'Progetto del paramento slu'!$G$47*'Progetto del paramento slu'!$G$41*IF(DATI!$G$218="dx",DATI!$E$61,DATI!$E$64*DATI!$E$63)*1000*C1250*sezione!$AD$5</f>
        <v>-14305.945464986471</v>
      </c>
      <c r="Q1250" s="553">
        <f>'Foglio deposito bis'!$F$68*IF(ABS(K1250)&lt;'Progetto del paramento slu'!$G$58,ABS(K1250)*'Progetto del paramento slu'!$G$54,'Progetto del paramento slu'!$G$53)*IF(K1250&lt;0,-1,1)</f>
        <v>0</v>
      </c>
      <c r="R1250" s="553">
        <f>'Foglio deposito bis'!$F$69*IF(ABS(L1250)&lt;'Progetto del paramento slu'!$G$58,ABS(L1250)*'Progetto del paramento slu'!$G$54,'Progetto del paramento slu'!$G$53)*IF(L1250&lt;0,-1,1)</f>
        <v>153664.85805602249</v>
      </c>
      <c r="S1250" s="553">
        <f>'Foglio deposito bis'!$F$70*IF(ABS(M1250)&lt;'Progetto del paramento slu'!$G$58,ABS(M1250)*'Progetto del paramento slu'!$G$54,'Progetto del paramento slu'!$G$53)*IF(M1250&lt;0,-1,1)</f>
        <v>0</v>
      </c>
      <c r="T1250" s="553">
        <f>'Foglio deposito bis'!$F$71*IF(ABS(N1250)&lt;'Progetto del paramento slu'!$G$58,ABS(N1250)*'Progetto del paramento slu'!$G$54,'Progetto del paramento slu'!$G$53)*IF(N1250&lt;0,-1,1)</f>
        <v>314705.62929873407</v>
      </c>
      <c r="U1250" s="553">
        <f>'Foglio deposito bis'!$F$72*IF(ABS(O1250)&lt;'Progetto del paramento slu'!$G$58,ABS(O1250)*'Progetto del paramento slu'!$G$54,'Progetto del paramento slu'!$G$53)*IF(O1250&lt;0,-1,1)</f>
        <v>491727.54577927204</v>
      </c>
      <c r="V1250" s="479">
        <f t="shared" si="96"/>
        <v>945792.08766904217</v>
      </c>
      <c r="W1250" s="559"/>
      <c r="X1250" s="559"/>
    </row>
    <row r="1251" spans="1:24" x14ac:dyDescent="0.25">
      <c r="A1251" s="553">
        <f t="shared" si="95"/>
        <v>942930.89857604483</v>
      </c>
      <c r="B1251" s="3">
        <f t="shared" si="97"/>
        <v>0.3</v>
      </c>
      <c r="C1251" s="553">
        <f>'Foglio deposito bis'!$E$158/sezione!$B$247*B1251</f>
        <v>1.2178822733423547</v>
      </c>
      <c r="D1251" s="611">
        <f>-'Progetto del paramento slu'!$G$47*'Progetto del paramento slu'!$G$41*IF(DATI!$G$218="dx",DATI!$E$61,DATI!$E$64*DATI!$E$63)*1000*C1251^2*sezione!$AD$5*(1-sezione!$AD$6)</f>
        <v>-12210.0085355548</v>
      </c>
      <c r="E1251" s="553">
        <f>-'Foglio deposito bis'!$F$68*(C1251-sezione!$AL$32)*IF(ABS(K1251)&lt;'Progetto del paramento slu'!$G$58,ABS(K1251)*'Progetto del paramento slu'!$G$54,'Progetto del paramento slu'!$G$53)</f>
        <v>0</v>
      </c>
      <c r="F1251" s="553">
        <f>-'Foglio deposito bis'!$F$69*(C1251-sezione!$AM$32)*IF(ABS(L1251)&lt;'Progetto del paramento slu'!$G$58,ABS(L1251)*'Progetto del paramento slu'!$G$54,'Progetto del paramento slu'!$G$53)</f>
        <v>22862583.001741275</v>
      </c>
      <c r="G1251" s="553">
        <f>-'Foglio deposito bis'!$F$70*(C1251-sezione!$AN$32)*IF(ABS(M1251)&lt;'Progetto del paramento slu'!$G$58,ABS(M1251)*'Progetto del paramento slu'!$G$54,'Progetto del paramento slu'!$G$53)</f>
        <v>0</v>
      </c>
      <c r="H1251" s="553">
        <f>-'Foglio deposito bis'!$F$71*(C1251-sezione!$AO$32)*IF(ABS(N1251)&lt;'Progetto del paramento slu'!$G$58,ABS(N1251)*'Progetto del paramento slu'!$G$54,'Progetto del paramento slu'!$G$53)</f>
        <v>106616639.55432563</v>
      </c>
      <c r="I1251" s="479">
        <f>-'Foglio deposito bis'!$F$72*(C1251-sezione!$AP$32)*IF(ABS(O1251)&lt;'Progetto del paramento slu'!$G$58,ABS(O1251)*'Progetto del paramento slu'!$G$54,'Progetto del paramento slu'!$G$53)</f>
        <v>127252754.27902086</v>
      </c>
      <c r="J1251" s="479">
        <f t="shared" si="93"/>
        <v>256719766.82655221</v>
      </c>
      <c r="K1251" s="558">
        <f>'Progetto del paramento slu'!$G$60*(sezione!$AL$32-C1251)/C1251</f>
        <v>0.11145363966156117</v>
      </c>
      <c r="L1251" s="558">
        <f>'Progetto del paramento slu'!$G$60*(sezione!$AM$32-C1251)/C1251</f>
        <v>0.42757614873085448</v>
      </c>
      <c r="M1251" s="559">
        <f>'Progetto del paramento slu'!$G$60*(sezione!$AN$32-C1251)/C1251</f>
        <v>0.74369865780014777</v>
      </c>
      <c r="N1251" s="559">
        <f>'Progetto del paramento slu'!$G$60*(sezione!$AO$32-C1251)/C1251</f>
        <v>0.97360593712327004</v>
      </c>
      <c r="O1251" s="559">
        <f>'Progetto del paramento slu'!$G$60*(sezione!$AP$32-C1251)/C1251</f>
        <v>0.74371302700510511</v>
      </c>
      <c r="P1251" s="553">
        <f>-'Progetto del paramento slu'!$G$47*'Progetto del paramento slu'!$G$41*IF(DATI!$G$218="dx",DATI!$E$61,DATI!$E$64*DATI!$E$63)*1000*C1251*sezione!$AD$5</f>
        <v>-17167.134557983765</v>
      </c>
      <c r="Q1251" s="553">
        <f>'Foglio deposito bis'!$F$68*IF(ABS(K1251)&lt;'Progetto del paramento slu'!$G$58,ABS(K1251)*'Progetto del paramento slu'!$G$54,'Progetto del paramento slu'!$G$53)*IF(K1251&lt;0,-1,1)</f>
        <v>0</v>
      </c>
      <c r="R1251" s="553">
        <f>'Foglio deposito bis'!$F$69*IF(ABS(L1251)&lt;'Progetto del paramento slu'!$G$58,ABS(L1251)*'Progetto del paramento slu'!$G$54,'Progetto del paramento slu'!$G$53)*IF(L1251&lt;0,-1,1)</f>
        <v>153664.85805602249</v>
      </c>
      <c r="S1251" s="553">
        <f>'Foglio deposito bis'!$F$70*IF(ABS(M1251)&lt;'Progetto del paramento slu'!$G$58,ABS(M1251)*'Progetto del paramento slu'!$G$54,'Progetto del paramento slu'!$G$53)*IF(M1251&lt;0,-1,1)</f>
        <v>0</v>
      </c>
      <c r="T1251" s="553">
        <f>'Foglio deposito bis'!$F$71*IF(ABS(N1251)&lt;'Progetto del paramento slu'!$G$58,ABS(N1251)*'Progetto del paramento slu'!$G$54,'Progetto del paramento slu'!$G$53)*IF(N1251&lt;0,-1,1)</f>
        <v>314705.62929873407</v>
      </c>
      <c r="U1251" s="553">
        <f>'Foglio deposito bis'!$F$72*IF(ABS(O1251)&lt;'Progetto del paramento slu'!$G$58,ABS(O1251)*'Progetto del paramento slu'!$G$54,'Progetto del paramento slu'!$G$53)*IF(O1251&lt;0,-1,1)</f>
        <v>491727.54577927204</v>
      </c>
      <c r="V1251" s="479">
        <f t="shared" si="96"/>
        <v>942930.89857604483</v>
      </c>
      <c r="W1251" s="559"/>
      <c r="X1251" s="559"/>
    </row>
    <row r="1252" spans="1:24" x14ac:dyDescent="0.25">
      <c r="A1252" s="553">
        <f t="shared" si="95"/>
        <v>940069.70948304748</v>
      </c>
      <c r="B1252" s="3">
        <f t="shared" si="97"/>
        <v>0.35</v>
      </c>
      <c r="C1252" s="553">
        <f>'Foglio deposito bis'!$E$158/sezione!$B$247*B1252</f>
        <v>1.4208626522327472</v>
      </c>
      <c r="D1252" s="611">
        <f>-'Progetto del paramento slu'!$G$47*'Progetto del paramento slu'!$G$41*IF(DATI!$G$218="dx",DATI!$E$61,DATI!$E$64*DATI!$E$63)*1000*C1252^2*sezione!$AD$5*(1-sezione!$AD$6)</f>
        <v>-16619.178284505146</v>
      </c>
      <c r="E1252" s="553">
        <f>-'Foglio deposito bis'!$F$68*(C1252-sezione!$AL$32)*IF(ABS(K1252)&lt;'Progetto del paramento slu'!$G$58,ABS(K1252)*'Progetto del paramento slu'!$G$54,'Progetto del paramento slu'!$G$53)</f>
        <v>0</v>
      </c>
      <c r="F1252" s="553">
        <f>-'Foglio deposito bis'!$F$69*(C1252-sezione!$AM$32)*IF(ABS(L1252)&lt;'Progetto del paramento slu'!$G$58,ABS(L1252)*'Progetto del paramento slu'!$G$54,'Progetto del paramento slu'!$G$53)</f>
        <v>22831392.050630927</v>
      </c>
      <c r="G1252" s="553">
        <f>-'Foglio deposito bis'!$F$70*(C1252-sezione!$AN$32)*IF(ABS(M1252)&lt;'Progetto del paramento slu'!$G$58,ABS(M1252)*'Progetto del paramento slu'!$G$54,'Progetto del paramento slu'!$G$53)</f>
        <v>0</v>
      </c>
      <c r="H1252" s="553">
        <f>-'Foglio deposito bis'!$F$71*(C1252-sezione!$AO$32)*IF(ABS(N1252)&lt;'Progetto del paramento slu'!$G$58,ABS(N1252)*'Progetto del paramento slu'!$G$54,'Progetto del paramento slu'!$G$53)</f>
        <v>106552760.48645163</v>
      </c>
      <c r="I1252" s="479">
        <f>-'Foglio deposito bis'!$F$72*(C1252-sezione!$AP$32)*IF(ABS(O1252)&lt;'Progetto del paramento slu'!$G$58,ABS(O1252)*'Progetto del paramento slu'!$G$54,'Progetto del paramento slu'!$G$53)</f>
        <v>127152943.23546773</v>
      </c>
      <c r="J1252" s="479">
        <f t="shared" si="93"/>
        <v>256520476.59426579</v>
      </c>
      <c r="K1252" s="558">
        <f>'Progetto del paramento slu'!$G$60*(sezione!$AL$32-C1252)/C1252</f>
        <v>9.5031691138481006E-2</v>
      </c>
      <c r="L1252" s="558">
        <f>'Progetto del paramento slu'!$G$60*(sezione!$AM$32-C1252)/C1252</f>
        <v>0.36599384176930372</v>
      </c>
      <c r="M1252" s="559">
        <f>'Progetto del paramento slu'!$G$60*(sezione!$AN$32-C1252)/C1252</f>
        <v>0.63695599240012657</v>
      </c>
      <c r="N1252" s="559">
        <f>'Progetto del paramento slu'!$G$60*(sezione!$AO$32-C1252)/C1252</f>
        <v>0.83401937467708853</v>
      </c>
      <c r="O1252" s="559">
        <f>'Progetto del paramento slu'!$G$60*(sezione!$AP$32-C1252)/C1252</f>
        <v>0.63696830886151856</v>
      </c>
      <c r="P1252" s="553">
        <f>-'Progetto del paramento slu'!$G$47*'Progetto del paramento slu'!$G$41*IF(DATI!$G$218="dx",DATI!$E$61,DATI!$E$64*DATI!$E$63)*1000*C1252*sezione!$AD$5</f>
        <v>-20028.323650981059</v>
      </c>
      <c r="Q1252" s="553">
        <f>'Foglio deposito bis'!$F$68*IF(ABS(K1252)&lt;'Progetto del paramento slu'!$G$58,ABS(K1252)*'Progetto del paramento slu'!$G$54,'Progetto del paramento slu'!$G$53)*IF(K1252&lt;0,-1,1)</f>
        <v>0</v>
      </c>
      <c r="R1252" s="553">
        <f>'Foglio deposito bis'!$F$69*IF(ABS(L1252)&lt;'Progetto del paramento slu'!$G$58,ABS(L1252)*'Progetto del paramento slu'!$G$54,'Progetto del paramento slu'!$G$53)*IF(L1252&lt;0,-1,1)</f>
        <v>153664.85805602249</v>
      </c>
      <c r="S1252" s="553">
        <f>'Foglio deposito bis'!$F$70*IF(ABS(M1252)&lt;'Progetto del paramento slu'!$G$58,ABS(M1252)*'Progetto del paramento slu'!$G$54,'Progetto del paramento slu'!$G$53)*IF(M1252&lt;0,-1,1)</f>
        <v>0</v>
      </c>
      <c r="T1252" s="553">
        <f>'Foglio deposito bis'!$F$71*IF(ABS(N1252)&lt;'Progetto del paramento slu'!$G$58,ABS(N1252)*'Progetto del paramento slu'!$G$54,'Progetto del paramento slu'!$G$53)*IF(N1252&lt;0,-1,1)</f>
        <v>314705.62929873407</v>
      </c>
      <c r="U1252" s="553">
        <f>'Foglio deposito bis'!$F$72*IF(ABS(O1252)&lt;'Progetto del paramento slu'!$G$58,ABS(O1252)*'Progetto del paramento slu'!$G$54,'Progetto del paramento slu'!$G$53)*IF(O1252&lt;0,-1,1)</f>
        <v>491727.54577927204</v>
      </c>
      <c r="V1252" s="479">
        <f t="shared" si="96"/>
        <v>940069.70948304748</v>
      </c>
      <c r="W1252" s="559"/>
      <c r="X1252" s="559"/>
    </row>
    <row r="1253" spans="1:24" x14ac:dyDescent="0.25">
      <c r="A1253" s="553">
        <f t="shared" si="95"/>
        <v>937208.52039005025</v>
      </c>
      <c r="B1253" s="3">
        <f t="shared" si="97"/>
        <v>0.39999999999999997</v>
      </c>
      <c r="C1253" s="553">
        <f>'Foglio deposito bis'!$E$158/sezione!$B$247*B1253</f>
        <v>1.6238430311231395</v>
      </c>
      <c r="D1253" s="611">
        <f>-'Progetto del paramento slu'!$G$47*'Progetto del paramento slu'!$G$41*IF(DATI!$G$218="dx",DATI!$E$61,DATI!$E$64*DATI!$E$63)*1000*C1253^2*sezione!$AD$5*(1-sezione!$AD$6)</f>
        <v>-21706.681840986312</v>
      </c>
      <c r="E1253" s="553">
        <f>-'Foglio deposito bis'!$F$68*(C1253-sezione!$AL$32)*IF(ABS(K1253)&lt;'Progetto del paramento slu'!$G$58,ABS(K1253)*'Progetto del paramento slu'!$G$54,'Progetto del paramento slu'!$G$53)</f>
        <v>0</v>
      </c>
      <c r="F1253" s="553">
        <f>-'Foglio deposito bis'!$F$69*(C1253-sezione!$AM$32)*IF(ABS(L1253)&lt;'Progetto del paramento slu'!$G$58,ABS(L1253)*'Progetto del paramento slu'!$G$54,'Progetto del paramento slu'!$G$53)</f>
        <v>22800201.099520579</v>
      </c>
      <c r="G1253" s="553">
        <f>-'Foglio deposito bis'!$F$70*(C1253-sezione!$AN$32)*IF(ABS(M1253)&lt;'Progetto del paramento slu'!$G$58,ABS(M1253)*'Progetto del paramento slu'!$G$54,'Progetto del paramento slu'!$G$53)</f>
        <v>0</v>
      </c>
      <c r="H1253" s="553">
        <f>-'Foglio deposito bis'!$F$71*(C1253-sezione!$AO$32)*IF(ABS(N1253)&lt;'Progetto del paramento slu'!$G$58,ABS(N1253)*'Progetto del paramento slu'!$G$54,'Progetto del paramento slu'!$G$53)</f>
        <v>106488881.41857761</v>
      </c>
      <c r="I1253" s="479">
        <f>-'Foglio deposito bis'!$F$72*(C1253-sezione!$AP$32)*IF(ABS(O1253)&lt;'Progetto del paramento slu'!$G$58,ABS(O1253)*'Progetto del paramento slu'!$G$54,'Progetto del paramento slu'!$G$53)</f>
        <v>127053132.19191459</v>
      </c>
      <c r="J1253" s="479">
        <f t="shared" si="93"/>
        <v>256320508.02817178</v>
      </c>
      <c r="K1253" s="558">
        <f>'Progetto del paramento slu'!$G$60*(sezione!$AL$32-C1253)/C1253</f>
        <v>8.271522974617089E-2</v>
      </c>
      <c r="L1253" s="558">
        <f>'Progetto del paramento slu'!$G$60*(sezione!$AM$32-C1253)/C1253</f>
        <v>0.3198071115481409</v>
      </c>
      <c r="M1253" s="559">
        <f>'Progetto del paramento slu'!$G$60*(sezione!$AN$32-C1253)/C1253</f>
        <v>0.55689899335011073</v>
      </c>
      <c r="N1253" s="559">
        <f>'Progetto del paramento slu'!$G$60*(sezione!$AO$32-C1253)/C1253</f>
        <v>0.72932945284245254</v>
      </c>
      <c r="O1253" s="559">
        <f>'Progetto del paramento slu'!$G$60*(sezione!$AP$32-C1253)/C1253</f>
        <v>0.55690977025382871</v>
      </c>
      <c r="P1253" s="553">
        <f>-'Progetto del paramento slu'!$G$47*'Progetto del paramento slu'!$G$41*IF(DATI!$G$218="dx",DATI!$E$61,DATI!$E$64*DATI!$E$63)*1000*C1253*sezione!$AD$5</f>
        <v>-22889.51274397835</v>
      </c>
      <c r="Q1253" s="553">
        <f>'Foglio deposito bis'!$F$68*IF(ABS(K1253)&lt;'Progetto del paramento slu'!$G$58,ABS(K1253)*'Progetto del paramento slu'!$G$54,'Progetto del paramento slu'!$G$53)*IF(K1253&lt;0,-1,1)</f>
        <v>0</v>
      </c>
      <c r="R1253" s="553">
        <f>'Foglio deposito bis'!$F$69*IF(ABS(L1253)&lt;'Progetto del paramento slu'!$G$58,ABS(L1253)*'Progetto del paramento slu'!$G$54,'Progetto del paramento slu'!$G$53)*IF(L1253&lt;0,-1,1)</f>
        <v>153664.85805602249</v>
      </c>
      <c r="S1253" s="553">
        <f>'Foglio deposito bis'!$F$70*IF(ABS(M1253)&lt;'Progetto del paramento slu'!$G$58,ABS(M1253)*'Progetto del paramento slu'!$G$54,'Progetto del paramento slu'!$G$53)*IF(M1253&lt;0,-1,1)</f>
        <v>0</v>
      </c>
      <c r="T1253" s="553">
        <f>'Foglio deposito bis'!$F$71*IF(ABS(N1253)&lt;'Progetto del paramento slu'!$G$58,ABS(N1253)*'Progetto del paramento slu'!$G$54,'Progetto del paramento slu'!$G$53)*IF(N1253&lt;0,-1,1)</f>
        <v>314705.62929873407</v>
      </c>
      <c r="U1253" s="553">
        <f>'Foglio deposito bis'!$F$72*IF(ABS(O1253)&lt;'Progetto del paramento slu'!$G$58,ABS(O1253)*'Progetto del paramento slu'!$G$54,'Progetto del paramento slu'!$G$53)*IF(O1253&lt;0,-1,1)</f>
        <v>491727.54577927204</v>
      </c>
      <c r="V1253" s="479">
        <f t="shared" si="96"/>
        <v>937208.52039005025</v>
      </c>
      <c r="W1253" s="559"/>
      <c r="X1253" s="559"/>
    </row>
    <row r="1254" spans="1:24" x14ac:dyDescent="0.25">
      <c r="A1254" s="553">
        <f t="shared" si="95"/>
        <v>934347.33129705302</v>
      </c>
      <c r="B1254" s="3">
        <f t="shared" si="97"/>
        <v>0.44999999999999996</v>
      </c>
      <c r="C1254" s="553">
        <f>'Foglio deposito bis'!$E$158/sezione!$B$247*B1254</f>
        <v>1.8268234100135321</v>
      </c>
      <c r="D1254" s="611">
        <f>-'Progetto del paramento slu'!$G$47*'Progetto del paramento slu'!$G$41*IF(DATI!$G$218="dx",DATI!$E$61,DATI!$E$64*DATI!$E$63)*1000*C1254^2*sezione!$AD$5*(1-sezione!$AD$6)</f>
        <v>-27472.519204998302</v>
      </c>
      <c r="E1254" s="553">
        <f>-'Foglio deposito bis'!$F$68*(C1254-sezione!$AL$32)*IF(ABS(K1254)&lt;'Progetto del paramento slu'!$G$58,ABS(K1254)*'Progetto del paramento slu'!$G$54,'Progetto del paramento slu'!$G$53)</f>
        <v>0</v>
      </c>
      <c r="F1254" s="553">
        <f>-'Foglio deposito bis'!$F$69*(C1254-sezione!$AM$32)*IF(ABS(L1254)&lt;'Progetto del paramento slu'!$G$58,ABS(L1254)*'Progetto del paramento slu'!$G$54,'Progetto del paramento slu'!$G$53)</f>
        <v>22769010.148410223</v>
      </c>
      <c r="G1254" s="553">
        <f>-'Foglio deposito bis'!$F$70*(C1254-sezione!$AN$32)*IF(ABS(M1254)&lt;'Progetto del paramento slu'!$G$58,ABS(M1254)*'Progetto del paramento slu'!$G$54,'Progetto del paramento slu'!$G$53)</f>
        <v>0</v>
      </c>
      <c r="H1254" s="553">
        <f>-'Foglio deposito bis'!$F$71*(C1254-sezione!$AO$32)*IF(ABS(N1254)&lt;'Progetto del paramento slu'!$G$58,ABS(N1254)*'Progetto del paramento slu'!$G$54,'Progetto del paramento slu'!$G$53)</f>
        <v>106425002.35070361</v>
      </c>
      <c r="I1254" s="479">
        <f>-'Foglio deposito bis'!$F$72*(C1254-sezione!$AP$32)*IF(ABS(O1254)&lt;'Progetto del paramento slu'!$G$58,ABS(O1254)*'Progetto del paramento slu'!$G$54,'Progetto del paramento slu'!$G$53)</f>
        <v>126953321.14836147</v>
      </c>
      <c r="J1254" s="479">
        <f t="shared" si="93"/>
        <v>256119861.12827033</v>
      </c>
      <c r="K1254" s="558">
        <f>'Progetto del paramento slu'!$G$60*(sezione!$AL$32-C1254)/C1254</f>
        <v>7.3135759774374129E-2</v>
      </c>
      <c r="L1254" s="558">
        <f>'Progetto del paramento slu'!$G$60*(sezione!$AM$32-C1254)/C1254</f>
        <v>0.28388409915390295</v>
      </c>
      <c r="M1254" s="559">
        <f>'Progetto del paramento slu'!$G$60*(sezione!$AN$32-C1254)/C1254</f>
        <v>0.49463243853343175</v>
      </c>
      <c r="N1254" s="559">
        <f>'Progetto del paramento slu'!$G$60*(sezione!$AO$32-C1254)/C1254</f>
        <v>0.64790395808218004</v>
      </c>
      <c r="O1254" s="559">
        <f>'Progetto del paramento slu'!$G$60*(sezione!$AP$32-C1254)/C1254</f>
        <v>0.49464201800340329</v>
      </c>
      <c r="P1254" s="553">
        <f>-'Progetto del paramento slu'!$G$47*'Progetto del paramento slu'!$G$41*IF(DATI!$G$218="dx",DATI!$E$61,DATI!$E$64*DATI!$E$63)*1000*C1254*sezione!$AD$5</f>
        <v>-25750.701836975648</v>
      </c>
      <c r="Q1254" s="553">
        <f>'Foglio deposito bis'!$F$68*IF(ABS(K1254)&lt;'Progetto del paramento slu'!$G$58,ABS(K1254)*'Progetto del paramento slu'!$G$54,'Progetto del paramento slu'!$G$53)*IF(K1254&lt;0,-1,1)</f>
        <v>0</v>
      </c>
      <c r="R1254" s="553">
        <f>'Foglio deposito bis'!$F$69*IF(ABS(L1254)&lt;'Progetto del paramento slu'!$G$58,ABS(L1254)*'Progetto del paramento slu'!$G$54,'Progetto del paramento slu'!$G$53)*IF(L1254&lt;0,-1,1)</f>
        <v>153664.85805602249</v>
      </c>
      <c r="S1254" s="553">
        <f>'Foglio deposito bis'!$F$70*IF(ABS(M1254)&lt;'Progetto del paramento slu'!$G$58,ABS(M1254)*'Progetto del paramento slu'!$G$54,'Progetto del paramento slu'!$G$53)*IF(M1254&lt;0,-1,1)</f>
        <v>0</v>
      </c>
      <c r="T1254" s="553">
        <f>'Foglio deposito bis'!$F$71*IF(ABS(N1254)&lt;'Progetto del paramento slu'!$G$58,ABS(N1254)*'Progetto del paramento slu'!$G$54,'Progetto del paramento slu'!$G$53)*IF(N1254&lt;0,-1,1)</f>
        <v>314705.62929873407</v>
      </c>
      <c r="U1254" s="553">
        <f>'Foglio deposito bis'!$F$72*IF(ABS(O1254)&lt;'Progetto del paramento slu'!$G$58,ABS(O1254)*'Progetto del paramento slu'!$G$54,'Progetto del paramento slu'!$G$53)*IF(O1254&lt;0,-1,1)</f>
        <v>491727.54577927204</v>
      </c>
      <c r="V1254" s="479">
        <f t="shared" si="96"/>
        <v>934347.33129705302</v>
      </c>
      <c r="W1254" s="559"/>
      <c r="X1254" s="559"/>
    </row>
    <row r="1255" spans="1:24" x14ac:dyDescent="0.25">
      <c r="A1255" s="553">
        <f t="shared" si="95"/>
        <v>931486.14220405568</v>
      </c>
      <c r="B1255" s="3">
        <f t="shared" si="97"/>
        <v>0.49999999999999994</v>
      </c>
      <c r="C1255" s="553">
        <f>'Foglio deposito bis'!$E$158/sezione!$B$247*B1255</f>
        <v>2.0298037889039242</v>
      </c>
      <c r="D1255" s="611">
        <f>-'Progetto del paramento slu'!$G$47*'Progetto del paramento slu'!$G$41*IF(DATI!$G$218="dx",DATI!$E$61,DATI!$E$64*DATI!$E$63)*1000*C1255^2*sezione!$AD$5*(1-sezione!$AD$6)</f>
        <v>-33916.690376541104</v>
      </c>
      <c r="E1255" s="553">
        <f>-'Foglio deposito bis'!$F$68*(C1255-sezione!$AL$32)*IF(ABS(K1255)&lt;'Progetto del paramento slu'!$G$58,ABS(K1255)*'Progetto del paramento slu'!$G$54,'Progetto del paramento slu'!$G$53)</f>
        <v>0</v>
      </c>
      <c r="F1255" s="553">
        <f>-'Foglio deposito bis'!$F$69*(C1255-sezione!$AM$32)*IF(ABS(L1255)&lt;'Progetto del paramento slu'!$G$58,ABS(L1255)*'Progetto del paramento slu'!$G$54,'Progetto del paramento slu'!$G$53)</f>
        <v>22737819.197299875</v>
      </c>
      <c r="G1255" s="553">
        <f>-'Foglio deposito bis'!$F$70*(C1255-sezione!$AN$32)*IF(ABS(M1255)&lt;'Progetto del paramento slu'!$G$58,ABS(M1255)*'Progetto del paramento slu'!$G$54,'Progetto del paramento slu'!$G$53)</f>
        <v>0</v>
      </c>
      <c r="H1255" s="553">
        <f>-'Foglio deposito bis'!$F$71*(C1255-sezione!$AO$32)*IF(ABS(N1255)&lt;'Progetto del paramento slu'!$G$58,ABS(N1255)*'Progetto del paramento slu'!$G$54,'Progetto del paramento slu'!$G$53)</f>
        <v>106361123.28282964</v>
      </c>
      <c r="I1255" s="479">
        <f>-'Foglio deposito bis'!$F$72*(C1255-sezione!$AP$32)*IF(ABS(O1255)&lt;'Progetto del paramento slu'!$G$58,ABS(O1255)*'Progetto del paramento slu'!$G$54,'Progetto del paramento slu'!$G$53)</f>
        <v>126853510.10480838</v>
      </c>
      <c r="J1255" s="479">
        <f t="shared" si="93"/>
        <v>255918535.89456135</v>
      </c>
      <c r="K1255" s="558">
        <f>'Progetto del paramento slu'!$G$60*(sezione!$AL$32-C1255)/C1255</f>
        <v>6.5472183796936714E-2</v>
      </c>
      <c r="L1255" s="558">
        <f>'Progetto del paramento slu'!$G$60*(sezione!$AM$32-C1255)/C1255</f>
        <v>0.25514568923851266</v>
      </c>
      <c r="M1255" s="559">
        <f>'Progetto del paramento slu'!$G$60*(sezione!$AN$32-C1255)/C1255</f>
        <v>0.44481919468008874</v>
      </c>
      <c r="N1255" s="559">
        <f>'Progetto del paramento slu'!$G$60*(sezione!$AO$32-C1255)/C1255</f>
        <v>0.58276356227396209</v>
      </c>
      <c r="O1255" s="559">
        <f>'Progetto del paramento slu'!$G$60*(sezione!$AP$32-C1255)/C1255</f>
        <v>0.44482781620306311</v>
      </c>
      <c r="P1255" s="553">
        <f>-'Progetto del paramento slu'!$G$47*'Progetto del paramento slu'!$G$41*IF(DATI!$G$218="dx",DATI!$E$61,DATI!$E$64*DATI!$E$63)*1000*C1255*sezione!$AD$5</f>
        <v>-28611.890929972938</v>
      </c>
      <c r="Q1255" s="553">
        <f>'Foglio deposito bis'!$F$68*IF(ABS(K1255)&lt;'Progetto del paramento slu'!$G$58,ABS(K1255)*'Progetto del paramento slu'!$G$54,'Progetto del paramento slu'!$G$53)*IF(K1255&lt;0,-1,1)</f>
        <v>0</v>
      </c>
      <c r="R1255" s="553">
        <f>'Foglio deposito bis'!$F$69*IF(ABS(L1255)&lt;'Progetto del paramento slu'!$G$58,ABS(L1255)*'Progetto del paramento slu'!$G$54,'Progetto del paramento slu'!$G$53)*IF(L1255&lt;0,-1,1)</f>
        <v>153664.85805602249</v>
      </c>
      <c r="S1255" s="553">
        <f>'Foglio deposito bis'!$F$70*IF(ABS(M1255)&lt;'Progetto del paramento slu'!$G$58,ABS(M1255)*'Progetto del paramento slu'!$G$54,'Progetto del paramento slu'!$G$53)*IF(M1255&lt;0,-1,1)</f>
        <v>0</v>
      </c>
      <c r="T1255" s="553">
        <f>'Foglio deposito bis'!$F$71*IF(ABS(N1255)&lt;'Progetto del paramento slu'!$G$58,ABS(N1255)*'Progetto del paramento slu'!$G$54,'Progetto del paramento slu'!$G$53)*IF(N1255&lt;0,-1,1)</f>
        <v>314705.62929873407</v>
      </c>
      <c r="U1255" s="553">
        <f>'Foglio deposito bis'!$F$72*IF(ABS(O1255)&lt;'Progetto del paramento slu'!$G$58,ABS(O1255)*'Progetto del paramento slu'!$G$54,'Progetto del paramento slu'!$G$53)*IF(O1255&lt;0,-1,1)</f>
        <v>491727.54577927204</v>
      </c>
      <c r="V1255" s="479">
        <f t="shared" si="96"/>
        <v>931486.14220405568</v>
      </c>
      <c r="W1255" s="559"/>
      <c r="X1255" s="559"/>
    </row>
    <row r="1256" spans="1:24" x14ac:dyDescent="0.25">
      <c r="A1256" s="553">
        <f t="shared" si="95"/>
        <v>928624.95311105833</v>
      </c>
      <c r="B1256" s="3">
        <f t="shared" si="97"/>
        <v>0.54999999999999993</v>
      </c>
      <c r="C1256" s="553">
        <f>'Foglio deposito bis'!$E$158/sezione!$B$247*B1256</f>
        <v>2.2327841677943168</v>
      </c>
      <c r="D1256" s="611">
        <f>-'Progetto del paramento slu'!$G$47*'Progetto del paramento slu'!$G$41*IF(DATI!$G$218="dx",DATI!$E$61,DATI!$E$64*DATI!$E$63)*1000*C1256^2*sezione!$AD$5*(1-sezione!$AD$6)</f>
        <v>-41039.195355614742</v>
      </c>
      <c r="E1256" s="553">
        <f>-'Foglio deposito bis'!$F$68*(C1256-sezione!$AL$32)*IF(ABS(K1256)&lt;'Progetto del paramento slu'!$G$58,ABS(K1256)*'Progetto del paramento slu'!$G$54,'Progetto del paramento slu'!$G$53)</f>
        <v>0</v>
      </c>
      <c r="F1256" s="553">
        <f>-'Foglio deposito bis'!$F$69*(C1256-sezione!$AM$32)*IF(ABS(L1256)&lt;'Progetto del paramento slu'!$G$58,ABS(L1256)*'Progetto del paramento slu'!$G$54,'Progetto del paramento slu'!$G$53)</f>
        <v>22706628.246189527</v>
      </c>
      <c r="G1256" s="553">
        <f>-'Foglio deposito bis'!$F$70*(C1256-sezione!$AN$32)*IF(ABS(M1256)&lt;'Progetto del paramento slu'!$G$58,ABS(M1256)*'Progetto del paramento slu'!$G$54,'Progetto del paramento slu'!$G$53)</f>
        <v>0</v>
      </c>
      <c r="H1256" s="553">
        <f>-'Foglio deposito bis'!$F$71*(C1256-sezione!$AO$32)*IF(ABS(N1256)&lt;'Progetto del paramento slu'!$G$58,ABS(N1256)*'Progetto del paramento slu'!$G$54,'Progetto del paramento slu'!$G$53)</f>
        <v>106297244.21495563</v>
      </c>
      <c r="I1256" s="479">
        <f>-'Foglio deposito bis'!$F$72*(C1256-sezione!$AP$32)*IF(ABS(O1256)&lt;'Progetto del paramento slu'!$G$58,ABS(O1256)*'Progetto del paramento slu'!$G$54,'Progetto del paramento slu'!$G$53)</f>
        <v>126753699.06125526</v>
      </c>
      <c r="J1256" s="479">
        <f t="shared" si="93"/>
        <v>255716532.32704479</v>
      </c>
      <c r="K1256" s="558">
        <f>'Progetto del paramento slu'!$G$60*(sezione!$AL$32-C1256)/C1256</f>
        <v>5.9201985269942477E-2</v>
      </c>
      <c r="L1256" s="558">
        <f>'Progetto del paramento slu'!$G$60*(sezione!$AM$32-C1256)/C1256</f>
        <v>0.23163244476228428</v>
      </c>
      <c r="M1256" s="559">
        <f>'Progetto del paramento slu'!$G$60*(sezione!$AN$32-C1256)/C1256</f>
        <v>0.4040629042546261</v>
      </c>
      <c r="N1256" s="559">
        <f>'Progetto del paramento slu'!$G$60*(sezione!$AO$32-C1256)/C1256</f>
        <v>0.52946687479451093</v>
      </c>
      <c r="O1256" s="559">
        <f>'Progetto del paramento slu'!$G$60*(sezione!$AP$32-C1256)/C1256</f>
        <v>0.40407074200278464</v>
      </c>
      <c r="P1256" s="553">
        <f>-'Progetto del paramento slu'!$G$47*'Progetto del paramento slu'!$G$41*IF(DATI!$G$218="dx",DATI!$E$61,DATI!$E$64*DATI!$E$63)*1000*C1256*sezione!$AD$5</f>
        <v>-31473.080022970229</v>
      </c>
      <c r="Q1256" s="553">
        <f>'Foglio deposito bis'!$F$68*IF(ABS(K1256)&lt;'Progetto del paramento slu'!$G$58,ABS(K1256)*'Progetto del paramento slu'!$G$54,'Progetto del paramento slu'!$G$53)*IF(K1256&lt;0,-1,1)</f>
        <v>0</v>
      </c>
      <c r="R1256" s="553">
        <f>'Foglio deposito bis'!$F$69*IF(ABS(L1256)&lt;'Progetto del paramento slu'!$G$58,ABS(L1256)*'Progetto del paramento slu'!$G$54,'Progetto del paramento slu'!$G$53)*IF(L1256&lt;0,-1,1)</f>
        <v>153664.85805602249</v>
      </c>
      <c r="S1256" s="553">
        <f>'Foglio deposito bis'!$F$70*IF(ABS(M1256)&lt;'Progetto del paramento slu'!$G$58,ABS(M1256)*'Progetto del paramento slu'!$G$54,'Progetto del paramento slu'!$G$53)*IF(M1256&lt;0,-1,1)</f>
        <v>0</v>
      </c>
      <c r="T1256" s="553">
        <f>'Foglio deposito bis'!$F$71*IF(ABS(N1256)&lt;'Progetto del paramento slu'!$G$58,ABS(N1256)*'Progetto del paramento slu'!$G$54,'Progetto del paramento slu'!$G$53)*IF(N1256&lt;0,-1,1)</f>
        <v>314705.62929873407</v>
      </c>
      <c r="U1256" s="553">
        <f>'Foglio deposito bis'!$F$72*IF(ABS(O1256)&lt;'Progetto del paramento slu'!$G$58,ABS(O1256)*'Progetto del paramento slu'!$G$54,'Progetto del paramento slu'!$G$53)*IF(O1256&lt;0,-1,1)</f>
        <v>491727.54577927204</v>
      </c>
      <c r="V1256" s="479">
        <f t="shared" si="96"/>
        <v>928624.95311105833</v>
      </c>
      <c r="W1256" s="559"/>
      <c r="X1256" s="559"/>
    </row>
    <row r="1257" spans="1:24" x14ac:dyDescent="0.25">
      <c r="A1257" s="553">
        <f t="shared" si="95"/>
        <v>925763.76401806111</v>
      </c>
      <c r="B1257" s="3">
        <f t="shared" si="97"/>
        <v>0.6</v>
      </c>
      <c r="C1257" s="553">
        <f>'Foglio deposito bis'!$E$158/sezione!$B$247*B1257</f>
        <v>2.4357645466847093</v>
      </c>
      <c r="D1257" s="611">
        <f>-'Progetto del paramento slu'!$G$47*'Progetto del paramento slu'!$G$41*IF(DATI!$G$218="dx",DATI!$E$61,DATI!$E$64*DATI!$E$63)*1000*C1257^2*sezione!$AD$5*(1-sezione!$AD$6)</f>
        <v>-48840.0341422192</v>
      </c>
      <c r="E1257" s="553">
        <f>-'Foglio deposito bis'!$F$68*(C1257-sezione!$AL$32)*IF(ABS(K1257)&lt;'Progetto del paramento slu'!$G$58,ABS(K1257)*'Progetto del paramento slu'!$G$54,'Progetto del paramento slu'!$G$53)</f>
        <v>0</v>
      </c>
      <c r="F1257" s="553">
        <f>-'Foglio deposito bis'!$F$69*(C1257-sezione!$AM$32)*IF(ABS(L1257)&lt;'Progetto del paramento slu'!$G$58,ABS(L1257)*'Progetto del paramento slu'!$G$54,'Progetto del paramento slu'!$G$53)</f>
        <v>22675437.295079179</v>
      </c>
      <c r="G1257" s="553">
        <f>-'Foglio deposito bis'!$F$70*(C1257-sezione!$AN$32)*IF(ABS(M1257)&lt;'Progetto del paramento slu'!$G$58,ABS(M1257)*'Progetto del paramento slu'!$G$54,'Progetto del paramento slu'!$G$53)</f>
        <v>0</v>
      </c>
      <c r="H1257" s="553">
        <f>-'Foglio deposito bis'!$F$71*(C1257-sezione!$AO$32)*IF(ABS(N1257)&lt;'Progetto del paramento slu'!$G$58,ABS(N1257)*'Progetto del paramento slu'!$G$54,'Progetto del paramento slu'!$G$53)</f>
        <v>106233365.14708163</v>
      </c>
      <c r="I1257" s="479">
        <f>-'Foglio deposito bis'!$F$72*(C1257-sezione!$AP$32)*IF(ABS(O1257)&lt;'Progetto del paramento slu'!$G$58,ABS(O1257)*'Progetto del paramento slu'!$G$54,'Progetto del paramento slu'!$G$53)</f>
        <v>126653888.01770213</v>
      </c>
      <c r="J1257" s="479">
        <f t="shared" si="93"/>
        <v>255513850.42572072</v>
      </c>
      <c r="K1257" s="558">
        <f>'Progetto del paramento slu'!$G$60*(sezione!$AL$32-C1257)/C1257</f>
        <v>5.3976819830780592E-2</v>
      </c>
      <c r="L1257" s="558">
        <f>'Progetto del paramento slu'!$G$60*(sezione!$AM$32-C1257)/C1257</f>
        <v>0.21203807436542721</v>
      </c>
      <c r="M1257" s="559">
        <f>'Progetto del paramento slu'!$G$60*(sezione!$AN$32-C1257)/C1257</f>
        <v>0.37009932890007385</v>
      </c>
      <c r="N1257" s="559">
        <f>'Progetto del paramento slu'!$G$60*(sezione!$AO$32-C1257)/C1257</f>
        <v>0.48505296856163505</v>
      </c>
      <c r="O1257" s="559">
        <f>'Progetto del paramento slu'!$G$60*(sezione!$AP$32-C1257)/C1257</f>
        <v>0.37010651350255253</v>
      </c>
      <c r="P1257" s="553">
        <f>-'Progetto del paramento slu'!$G$47*'Progetto del paramento slu'!$G$41*IF(DATI!$G$218="dx",DATI!$E$61,DATI!$E$64*DATI!$E$63)*1000*C1257*sezione!$AD$5</f>
        <v>-34334.269115967531</v>
      </c>
      <c r="Q1257" s="553">
        <f>'Foglio deposito bis'!$F$68*IF(ABS(K1257)&lt;'Progetto del paramento slu'!$G$58,ABS(K1257)*'Progetto del paramento slu'!$G$54,'Progetto del paramento slu'!$G$53)*IF(K1257&lt;0,-1,1)</f>
        <v>0</v>
      </c>
      <c r="R1257" s="553">
        <f>'Foglio deposito bis'!$F$69*IF(ABS(L1257)&lt;'Progetto del paramento slu'!$G$58,ABS(L1257)*'Progetto del paramento slu'!$G$54,'Progetto del paramento slu'!$G$53)*IF(L1257&lt;0,-1,1)</f>
        <v>153664.85805602249</v>
      </c>
      <c r="S1257" s="553">
        <f>'Foglio deposito bis'!$F$70*IF(ABS(M1257)&lt;'Progetto del paramento slu'!$G$58,ABS(M1257)*'Progetto del paramento slu'!$G$54,'Progetto del paramento slu'!$G$53)*IF(M1257&lt;0,-1,1)</f>
        <v>0</v>
      </c>
      <c r="T1257" s="553">
        <f>'Foglio deposito bis'!$F$71*IF(ABS(N1257)&lt;'Progetto del paramento slu'!$G$58,ABS(N1257)*'Progetto del paramento slu'!$G$54,'Progetto del paramento slu'!$G$53)*IF(N1257&lt;0,-1,1)</f>
        <v>314705.62929873407</v>
      </c>
      <c r="U1257" s="553">
        <f>'Foglio deposito bis'!$F$72*IF(ABS(O1257)&lt;'Progetto del paramento slu'!$G$58,ABS(O1257)*'Progetto del paramento slu'!$G$54,'Progetto del paramento slu'!$G$53)*IF(O1257&lt;0,-1,1)</f>
        <v>491727.54577927204</v>
      </c>
      <c r="V1257" s="479">
        <f t="shared" si="96"/>
        <v>925763.76401806111</v>
      </c>
      <c r="W1257" s="559"/>
      <c r="X1257" s="559"/>
    </row>
    <row r="1258" spans="1:24" x14ac:dyDescent="0.25">
      <c r="A1258" s="553">
        <f t="shared" si="95"/>
        <v>922902.57492506376</v>
      </c>
      <c r="B1258" s="3">
        <f t="shared" si="97"/>
        <v>0.65</v>
      </c>
      <c r="C1258" s="553">
        <f>'Foglio deposito bis'!$E$158/sezione!$B$247*B1258</f>
        <v>2.6387449255751023</v>
      </c>
      <c r="D1258" s="611">
        <f>-'Progetto del paramento slu'!$G$47*'Progetto del paramento slu'!$G$41*IF(DATI!$G$218="dx",DATI!$E$61,DATI!$E$64*DATI!$E$63)*1000*C1258^2*sezione!$AD$5*(1-sezione!$AD$6)</f>
        <v>-57319.206736354492</v>
      </c>
      <c r="E1258" s="553">
        <f>-'Foglio deposito bis'!$F$68*(C1258-sezione!$AL$32)*IF(ABS(K1258)&lt;'Progetto del paramento slu'!$G$58,ABS(K1258)*'Progetto del paramento slu'!$G$54,'Progetto del paramento slu'!$G$53)</f>
        <v>0</v>
      </c>
      <c r="F1258" s="553">
        <f>-'Foglio deposito bis'!$F$69*(C1258-sezione!$AM$32)*IF(ABS(L1258)&lt;'Progetto del paramento slu'!$G$58,ABS(L1258)*'Progetto del paramento slu'!$G$54,'Progetto del paramento slu'!$G$53)</f>
        <v>22644246.343968824</v>
      </c>
      <c r="G1258" s="553">
        <f>-'Foglio deposito bis'!$F$70*(C1258-sezione!$AN$32)*IF(ABS(M1258)&lt;'Progetto del paramento slu'!$G$58,ABS(M1258)*'Progetto del paramento slu'!$G$54,'Progetto del paramento slu'!$G$53)</f>
        <v>0</v>
      </c>
      <c r="H1258" s="553">
        <f>-'Foglio deposito bis'!$F$71*(C1258-sezione!$AO$32)*IF(ABS(N1258)&lt;'Progetto del paramento slu'!$G$58,ABS(N1258)*'Progetto del paramento slu'!$G$54,'Progetto del paramento slu'!$G$53)</f>
        <v>106169486.07920763</v>
      </c>
      <c r="I1258" s="479">
        <f>-'Foglio deposito bis'!$F$72*(C1258-sezione!$AP$32)*IF(ABS(O1258)&lt;'Progetto del paramento slu'!$G$58,ABS(O1258)*'Progetto del paramento slu'!$G$54,'Progetto del paramento slu'!$G$53)</f>
        <v>126554076.97414902</v>
      </c>
      <c r="J1258" s="479">
        <f t="shared" si="93"/>
        <v>255310490.19058913</v>
      </c>
      <c r="K1258" s="558">
        <f>'Progetto del paramento slu'!$G$60*(sezione!$AL$32-C1258)/C1258</f>
        <v>4.9555525997643617E-2</v>
      </c>
      <c r="L1258" s="558">
        <f>'Progetto del paramento slu'!$G$60*(sezione!$AM$32-C1258)/C1258</f>
        <v>0.19545822249116354</v>
      </c>
      <c r="M1258" s="559">
        <f>'Progetto del paramento slu'!$G$60*(sezione!$AN$32-C1258)/C1258</f>
        <v>0.34136091898468346</v>
      </c>
      <c r="N1258" s="559">
        <f>'Progetto del paramento slu'!$G$60*(sezione!$AO$32-C1258)/C1258</f>
        <v>0.44747197097997071</v>
      </c>
      <c r="O1258" s="559">
        <f>'Progetto del paramento slu'!$G$60*(sezione!$AP$32-C1258)/C1258</f>
        <v>0.34136755092543303</v>
      </c>
      <c r="P1258" s="553">
        <f>-'Progetto del paramento slu'!$G$47*'Progetto del paramento slu'!$G$41*IF(DATI!$G$218="dx",DATI!$E$61,DATI!$E$64*DATI!$E$63)*1000*C1258*sezione!$AD$5</f>
        <v>-37195.458208964832</v>
      </c>
      <c r="Q1258" s="553">
        <f>'Foglio deposito bis'!$F$68*IF(ABS(K1258)&lt;'Progetto del paramento slu'!$G$58,ABS(K1258)*'Progetto del paramento slu'!$G$54,'Progetto del paramento slu'!$G$53)*IF(K1258&lt;0,-1,1)</f>
        <v>0</v>
      </c>
      <c r="R1258" s="553">
        <f>'Foglio deposito bis'!$F$69*IF(ABS(L1258)&lt;'Progetto del paramento slu'!$G$58,ABS(L1258)*'Progetto del paramento slu'!$G$54,'Progetto del paramento slu'!$G$53)*IF(L1258&lt;0,-1,1)</f>
        <v>153664.85805602249</v>
      </c>
      <c r="S1258" s="553">
        <f>'Foglio deposito bis'!$F$70*IF(ABS(M1258)&lt;'Progetto del paramento slu'!$G$58,ABS(M1258)*'Progetto del paramento slu'!$G$54,'Progetto del paramento slu'!$G$53)*IF(M1258&lt;0,-1,1)</f>
        <v>0</v>
      </c>
      <c r="T1258" s="553">
        <f>'Foglio deposito bis'!$F$71*IF(ABS(N1258)&lt;'Progetto del paramento slu'!$G$58,ABS(N1258)*'Progetto del paramento slu'!$G$54,'Progetto del paramento slu'!$G$53)*IF(N1258&lt;0,-1,1)</f>
        <v>314705.62929873407</v>
      </c>
      <c r="U1258" s="553">
        <f>'Foglio deposito bis'!$F$72*IF(ABS(O1258)&lt;'Progetto del paramento slu'!$G$58,ABS(O1258)*'Progetto del paramento slu'!$G$54,'Progetto del paramento slu'!$G$53)*IF(O1258&lt;0,-1,1)</f>
        <v>491727.54577927204</v>
      </c>
      <c r="V1258" s="479">
        <f t="shared" si="96"/>
        <v>922902.57492506376</v>
      </c>
      <c r="W1258" s="559"/>
      <c r="X1258" s="559"/>
    </row>
    <row r="1259" spans="1:24" x14ac:dyDescent="0.25">
      <c r="A1259" s="553">
        <f t="shared" si="95"/>
        <v>920041.38583206641</v>
      </c>
      <c r="B1259" s="3">
        <f t="shared" si="97"/>
        <v>0.70000000000000007</v>
      </c>
      <c r="C1259" s="553">
        <f>'Foglio deposito bis'!$E$158/sezione!$B$247*B1259</f>
        <v>2.8417253044654949</v>
      </c>
      <c r="D1259" s="611">
        <f>-'Progetto del paramento slu'!$G$47*'Progetto del paramento slu'!$G$41*IF(DATI!$G$218="dx",DATI!$E$61,DATI!$E$64*DATI!$E$63)*1000*C1259^2*sezione!$AD$5*(1-sezione!$AD$6)</f>
        <v>-66476.713138020612</v>
      </c>
      <c r="E1259" s="553">
        <f>-'Foglio deposito bis'!$F$68*(C1259-sezione!$AL$32)*IF(ABS(K1259)&lt;'Progetto del paramento slu'!$G$58,ABS(K1259)*'Progetto del paramento slu'!$G$54,'Progetto del paramento slu'!$G$53)</f>
        <v>0</v>
      </c>
      <c r="F1259" s="553">
        <f>-'Foglio deposito bis'!$F$69*(C1259-sezione!$AM$32)*IF(ABS(L1259)&lt;'Progetto del paramento slu'!$G$58,ABS(L1259)*'Progetto del paramento slu'!$G$54,'Progetto del paramento slu'!$G$53)</f>
        <v>22613055.392858479</v>
      </c>
      <c r="G1259" s="553">
        <f>-'Foglio deposito bis'!$F$70*(C1259-sezione!$AN$32)*IF(ABS(M1259)&lt;'Progetto del paramento slu'!$G$58,ABS(M1259)*'Progetto del paramento slu'!$G$54,'Progetto del paramento slu'!$G$53)</f>
        <v>0</v>
      </c>
      <c r="H1259" s="553">
        <f>-'Foglio deposito bis'!$F$71*(C1259-sezione!$AO$32)*IF(ABS(N1259)&lt;'Progetto del paramento slu'!$G$58,ABS(N1259)*'Progetto del paramento slu'!$G$54,'Progetto del paramento slu'!$G$53)</f>
        <v>106105607.01133363</v>
      </c>
      <c r="I1259" s="479">
        <f>-'Foglio deposito bis'!$F$72*(C1259-sezione!$AP$32)*IF(ABS(O1259)&lt;'Progetto del paramento slu'!$G$58,ABS(O1259)*'Progetto del paramento slu'!$G$54,'Progetto del paramento slu'!$G$53)</f>
        <v>126454265.93059589</v>
      </c>
      <c r="J1259" s="479">
        <f t="shared" si="93"/>
        <v>255106451.62164998</v>
      </c>
      <c r="K1259" s="558">
        <f>'Progetto del paramento slu'!$G$60*(sezione!$AL$32-C1259)/C1259</f>
        <v>4.5765845569240494E-2</v>
      </c>
      <c r="L1259" s="558">
        <f>'Progetto del paramento slu'!$G$60*(sezione!$AM$32-C1259)/C1259</f>
        <v>0.18124692088465186</v>
      </c>
      <c r="M1259" s="559">
        <f>'Progetto del paramento slu'!$G$60*(sezione!$AN$32-C1259)/C1259</f>
        <v>0.3167279962000632</v>
      </c>
      <c r="N1259" s="559">
        <f>'Progetto del paramento slu'!$G$60*(sezione!$AO$32-C1259)/C1259</f>
        <v>0.41525968733854424</v>
      </c>
      <c r="O1259" s="559">
        <f>'Progetto del paramento slu'!$G$60*(sezione!$AP$32-C1259)/C1259</f>
        <v>0.31673415443075925</v>
      </c>
      <c r="P1259" s="553">
        <f>-'Progetto del paramento slu'!$G$47*'Progetto del paramento slu'!$G$41*IF(DATI!$G$218="dx",DATI!$E$61,DATI!$E$64*DATI!$E$63)*1000*C1259*sezione!$AD$5</f>
        <v>-40056.647301962119</v>
      </c>
      <c r="Q1259" s="553">
        <f>'Foglio deposito bis'!$F$68*IF(ABS(K1259)&lt;'Progetto del paramento slu'!$G$58,ABS(K1259)*'Progetto del paramento slu'!$G$54,'Progetto del paramento slu'!$G$53)*IF(K1259&lt;0,-1,1)</f>
        <v>0</v>
      </c>
      <c r="R1259" s="553">
        <f>'Foglio deposito bis'!$F$69*IF(ABS(L1259)&lt;'Progetto del paramento slu'!$G$58,ABS(L1259)*'Progetto del paramento slu'!$G$54,'Progetto del paramento slu'!$G$53)*IF(L1259&lt;0,-1,1)</f>
        <v>153664.85805602249</v>
      </c>
      <c r="S1259" s="553">
        <f>'Foglio deposito bis'!$F$70*IF(ABS(M1259)&lt;'Progetto del paramento slu'!$G$58,ABS(M1259)*'Progetto del paramento slu'!$G$54,'Progetto del paramento slu'!$G$53)*IF(M1259&lt;0,-1,1)</f>
        <v>0</v>
      </c>
      <c r="T1259" s="553">
        <f>'Foglio deposito bis'!$F$71*IF(ABS(N1259)&lt;'Progetto del paramento slu'!$G$58,ABS(N1259)*'Progetto del paramento slu'!$G$54,'Progetto del paramento slu'!$G$53)*IF(N1259&lt;0,-1,1)</f>
        <v>314705.62929873407</v>
      </c>
      <c r="U1259" s="553">
        <f>'Foglio deposito bis'!$F$72*IF(ABS(O1259)&lt;'Progetto del paramento slu'!$G$58,ABS(O1259)*'Progetto del paramento slu'!$G$54,'Progetto del paramento slu'!$G$53)*IF(O1259&lt;0,-1,1)</f>
        <v>491727.54577927204</v>
      </c>
      <c r="V1259" s="479">
        <f t="shared" si="96"/>
        <v>920041.38583206641</v>
      </c>
      <c r="W1259" s="559"/>
      <c r="X1259" s="559"/>
    </row>
    <row r="1260" spans="1:24" x14ac:dyDescent="0.25">
      <c r="A1260" s="553">
        <f t="shared" si="95"/>
        <v>917180.19673906919</v>
      </c>
      <c r="B1260" s="3">
        <f t="shared" si="97"/>
        <v>0.75000000000000011</v>
      </c>
      <c r="C1260" s="553">
        <f>'Foglio deposito bis'!$E$158/sezione!$B$247*B1260</f>
        <v>3.0447056833558874</v>
      </c>
      <c r="D1260" s="611">
        <f>-'Progetto del paramento slu'!$G$47*'Progetto del paramento slu'!$G$41*IF(DATI!$G$218="dx",DATI!$E$61,DATI!$E$64*DATI!$E$63)*1000*C1260^2*sezione!$AD$5*(1-sezione!$AD$6)</f>
        <v>-76312.55334721753</v>
      </c>
      <c r="E1260" s="553">
        <f>-'Foglio deposito bis'!$F$68*(C1260-sezione!$AL$32)*IF(ABS(K1260)&lt;'Progetto del paramento slu'!$G$58,ABS(K1260)*'Progetto del paramento slu'!$G$54,'Progetto del paramento slu'!$G$53)</f>
        <v>0</v>
      </c>
      <c r="F1260" s="553">
        <f>-'Foglio deposito bis'!$F$69*(C1260-sezione!$AM$32)*IF(ABS(L1260)&lt;'Progetto del paramento slu'!$G$58,ABS(L1260)*'Progetto del paramento slu'!$G$54,'Progetto del paramento slu'!$G$53)</f>
        <v>22581864.441748127</v>
      </c>
      <c r="G1260" s="553">
        <f>-'Foglio deposito bis'!$F$70*(C1260-sezione!$AN$32)*IF(ABS(M1260)&lt;'Progetto del paramento slu'!$G$58,ABS(M1260)*'Progetto del paramento slu'!$G$54,'Progetto del paramento slu'!$G$53)</f>
        <v>0</v>
      </c>
      <c r="H1260" s="553">
        <f>-'Foglio deposito bis'!$F$71*(C1260-sezione!$AO$32)*IF(ABS(N1260)&lt;'Progetto del paramento slu'!$G$58,ABS(N1260)*'Progetto del paramento slu'!$G$54,'Progetto del paramento slu'!$G$53)</f>
        <v>106041727.94345963</v>
      </c>
      <c r="I1260" s="479">
        <f>-'Foglio deposito bis'!$F$72*(C1260-sezione!$AP$32)*IF(ABS(O1260)&lt;'Progetto del paramento slu'!$G$58,ABS(O1260)*'Progetto del paramento slu'!$G$54,'Progetto del paramento slu'!$G$53)</f>
        <v>126354454.88704276</v>
      </c>
      <c r="J1260" s="479">
        <f t="shared" si="93"/>
        <v>254901734.7189033</v>
      </c>
      <c r="K1260" s="558">
        <f>'Progetto del paramento slu'!$G$60*(sezione!$AL$32-C1260)/C1260</f>
        <v>4.2481455864624464E-2</v>
      </c>
      <c r="L1260" s="558">
        <f>'Progetto del paramento slu'!$G$60*(sezione!$AM$32-C1260)/C1260</f>
        <v>0.16893045949234173</v>
      </c>
      <c r="M1260" s="559">
        <f>'Progetto del paramento slu'!$G$60*(sezione!$AN$32-C1260)/C1260</f>
        <v>0.29537946312005897</v>
      </c>
      <c r="N1260" s="559">
        <f>'Progetto del paramento slu'!$G$60*(sezione!$AO$32-C1260)/C1260</f>
        <v>0.38734237484930795</v>
      </c>
      <c r="O1260" s="559">
        <f>'Progetto del paramento slu'!$G$60*(sezione!$AP$32-C1260)/C1260</f>
        <v>0.29538521080204189</v>
      </c>
      <c r="P1260" s="553">
        <f>-'Progetto del paramento slu'!$G$47*'Progetto del paramento slu'!$G$41*IF(DATI!$G$218="dx",DATI!$E$61,DATI!$E$64*DATI!$E$63)*1000*C1260*sezione!$AD$5</f>
        <v>-42917.83639495942</v>
      </c>
      <c r="Q1260" s="553">
        <f>'Foglio deposito bis'!$F$68*IF(ABS(K1260)&lt;'Progetto del paramento slu'!$G$58,ABS(K1260)*'Progetto del paramento slu'!$G$54,'Progetto del paramento slu'!$G$53)*IF(K1260&lt;0,-1,1)</f>
        <v>0</v>
      </c>
      <c r="R1260" s="553">
        <f>'Foglio deposito bis'!$F$69*IF(ABS(L1260)&lt;'Progetto del paramento slu'!$G$58,ABS(L1260)*'Progetto del paramento slu'!$G$54,'Progetto del paramento slu'!$G$53)*IF(L1260&lt;0,-1,1)</f>
        <v>153664.85805602249</v>
      </c>
      <c r="S1260" s="553">
        <f>'Foglio deposito bis'!$F$70*IF(ABS(M1260)&lt;'Progetto del paramento slu'!$G$58,ABS(M1260)*'Progetto del paramento slu'!$G$54,'Progetto del paramento slu'!$G$53)*IF(M1260&lt;0,-1,1)</f>
        <v>0</v>
      </c>
      <c r="T1260" s="553">
        <f>'Foglio deposito bis'!$F$71*IF(ABS(N1260)&lt;'Progetto del paramento slu'!$G$58,ABS(N1260)*'Progetto del paramento slu'!$G$54,'Progetto del paramento slu'!$G$53)*IF(N1260&lt;0,-1,1)</f>
        <v>314705.62929873407</v>
      </c>
      <c r="U1260" s="553">
        <f>'Foglio deposito bis'!$F$72*IF(ABS(O1260)&lt;'Progetto del paramento slu'!$G$58,ABS(O1260)*'Progetto del paramento slu'!$G$54,'Progetto del paramento slu'!$G$53)*IF(O1260&lt;0,-1,1)</f>
        <v>491727.54577927204</v>
      </c>
      <c r="V1260" s="479">
        <f t="shared" si="96"/>
        <v>917180.19673906919</v>
      </c>
      <c r="W1260" s="559"/>
      <c r="X1260" s="559"/>
    </row>
    <row r="1261" spans="1:24" x14ac:dyDescent="0.25">
      <c r="A1261" s="553">
        <f t="shared" si="95"/>
        <v>914319.00764607196</v>
      </c>
      <c r="B1261" s="3">
        <f t="shared" si="97"/>
        <v>0.80000000000000016</v>
      </c>
      <c r="C1261" s="553">
        <f>'Foglio deposito bis'!$E$158/sezione!$B$247*B1261</f>
        <v>3.24768606224628</v>
      </c>
      <c r="D1261" s="611">
        <f>-'Progetto del paramento slu'!$G$47*'Progetto del paramento slu'!$G$41*IF(DATI!$G$218="dx",DATI!$E$61,DATI!$E$64*DATI!$E$63)*1000*C1261^2*sezione!$AD$5*(1-sezione!$AD$6)</f>
        <v>-86826.727363945276</v>
      </c>
      <c r="E1261" s="553">
        <f>-'Foglio deposito bis'!$F$68*(C1261-sezione!$AL$32)*IF(ABS(K1261)&lt;'Progetto del paramento slu'!$G$58,ABS(K1261)*'Progetto del paramento slu'!$G$54,'Progetto del paramento slu'!$G$53)</f>
        <v>0</v>
      </c>
      <c r="F1261" s="553">
        <f>-'Foglio deposito bis'!$F$69*(C1261-sezione!$AM$32)*IF(ABS(L1261)&lt;'Progetto del paramento slu'!$G$58,ABS(L1261)*'Progetto del paramento slu'!$G$54,'Progetto del paramento slu'!$G$53)</f>
        <v>22550673.490637776</v>
      </c>
      <c r="G1261" s="553">
        <f>-'Foglio deposito bis'!$F$70*(C1261-sezione!$AN$32)*IF(ABS(M1261)&lt;'Progetto del paramento slu'!$G$58,ABS(M1261)*'Progetto del paramento slu'!$G$54,'Progetto del paramento slu'!$G$53)</f>
        <v>0</v>
      </c>
      <c r="H1261" s="553">
        <f>-'Foglio deposito bis'!$F$71*(C1261-sezione!$AO$32)*IF(ABS(N1261)&lt;'Progetto del paramento slu'!$G$58,ABS(N1261)*'Progetto del paramento slu'!$G$54,'Progetto del paramento slu'!$G$53)</f>
        <v>105977848.87558565</v>
      </c>
      <c r="I1261" s="479">
        <f>-'Foglio deposito bis'!$F$72*(C1261-sezione!$AP$32)*IF(ABS(O1261)&lt;'Progetto del paramento slu'!$G$58,ABS(O1261)*'Progetto del paramento slu'!$G$54,'Progetto del paramento slu'!$G$53)</f>
        <v>126254643.84348966</v>
      </c>
      <c r="J1261" s="479">
        <f t="shared" si="93"/>
        <v>254696339.48234916</v>
      </c>
      <c r="K1261" s="558">
        <f>'Progetto del paramento slu'!$G$60*(sezione!$AL$32-C1261)/C1261</f>
        <v>3.960761487308543E-2</v>
      </c>
      <c r="L1261" s="558">
        <f>'Progetto del paramento slu'!$G$60*(sezione!$AM$32-C1261)/C1261</f>
        <v>0.15815355577407036</v>
      </c>
      <c r="M1261" s="559">
        <f>'Progetto del paramento slu'!$G$60*(sezione!$AN$32-C1261)/C1261</f>
        <v>0.27669949667505533</v>
      </c>
      <c r="N1261" s="559">
        <f>'Progetto del paramento slu'!$G$60*(sezione!$AO$32-C1261)/C1261</f>
        <v>0.36291472642122619</v>
      </c>
      <c r="O1261" s="559">
        <f>'Progetto del paramento slu'!$G$60*(sezione!$AP$32-C1261)/C1261</f>
        <v>0.27670488512691432</v>
      </c>
      <c r="P1261" s="553">
        <f>-'Progetto del paramento slu'!$G$47*'Progetto del paramento slu'!$G$41*IF(DATI!$G$218="dx",DATI!$E$61,DATI!$E$64*DATI!$E$63)*1000*C1261*sezione!$AD$5</f>
        <v>-45779.025487956715</v>
      </c>
      <c r="Q1261" s="553">
        <f>'Foglio deposito bis'!$F$68*IF(ABS(K1261)&lt;'Progetto del paramento slu'!$G$58,ABS(K1261)*'Progetto del paramento slu'!$G$54,'Progetto del paramento slu'!$G$53)*IF(K1261&lt;0,-1,1)</f>
        <v>0</v>
      </c>
      <c r="R1261" s="553">
        <f>'Foglio deposito bis'!$F$69*IF(ABS(L1261)&lt;'Progetto del paramento slu'!$G$58,ABS(L1261)*'Progetto del paramento slu'!$G$54,'Progetto del paramento slu'!$G$53)*IF(L1261&lt;0,-1,1)</f>
        <v>153664.85805602249</v>
      </c>
      <c r="S1261" s="553">
        <f>'Foglio deposito bis'!$F$70*IF(ABS(M1261)&lt;'Progetto del paramento slu'!$G$58,ABS(M1261)*'Progetto del paramento slu'!$G$54,'Progetto del paramento slu'!$G$53)*IF(M1261&lt;0,-1,1)</f>
        <v>0</v>
      </c>
      <c r="T1261" s="553">
        <f>'Foglio deposito bis'!$F$71*IF(ABS(N1261)&lt;'Progetto del paramento slu'!$G$58,ABS(N1261)*'Progetto del paramento slu'!$G$54,'Progetto del paramento slu'!$G$53)*IF(N1261&lt;0,-1,1)</f>
        <v>314705.62929873407</v>
      </c>
      <c r="U1261" s="553">
        <f>'Foglio deposito bis'!$F$72*IF(ABS(O1261)&lt;'Progetto del paramento slu'!$G$58,ABS(O1261)*'Progetto del paramento slu'!$G$54,'Progetto del paramento slu'!$G$53)*IF(O1261&lt;0,-1,1)</f>
        <v>491727.54577927204</v>
      </c>
      <c r="V1261" s="479">
        <f t="shared" si="96"/>
        <v>914319.00764607196</v>
      </c>
      <c r="W1261" s="559"/>
      <c r="X1261" s="559"/>
    </row>
    <row r="1262" spans="1:24" x14ac:dyDescent="0.25">
      <c r="A1262" s="553">
        <f t="shared" si="95"/>
        <v>911457.8185530745</v>
      </c>
      <c r="B1262" s="3">
        <f t="shared" si="97"/>
        <v>0.8500000000000002</v>
      </c>
      <c r="C1262" s="553">
        <f>'Foglio deposito bis'!$E$158/sezione!$B$247*B1262</f>
        <v>3.4506664411366725</v>
      </c>
      <c r="D1262" s="611">
        <f>-'Progetto del paramento slu'!$G$47*'Progetto del paramento slu'!$G$41*IF(DATI!$G$218="dx",DATI!$E$61,DATI!$E$64*DATI!$E$63)*1000*C1262^2*sezione!$AD$5*(1-sezione!$AD$6)</f>
        <v>-98019.235188203849</v>
      </c>
      <c r="E1262" s="553">
        <f>-'Foglio deposito bis'!$F$68*(C1262-sezione!$AL$32)*IF(ABS(K1262)&lt;'Progetto del paramento slu'!$G$58,ABS(K1262)*'Progetto del paramento slu'!$G$54,'Progetto del paramento slu'!$G$53)</f>
        <v>0</v>
      </c>
      <c r="F1262" s="553">
        <f>-'Foglio deposito bis'!$F$69*(C1262-sezione!$AM$32)*IF(ABS(L1262)&lt;'Progetto del paramento slu'!$G$58,ABS(L1262)*'Progetto del paramento slu'!$G$54,'Progetto del paramento slu'!$G$53)</f>
        <v>22519482.539527427</v>
      </c>
      <c r="G1262" s="553">
        <f>-'Foglio deposito bis'!$F$70*(C1262-sezione!$AN$32)*IF(ABS(M1262)&lt;'Progetto del paramento slu'!$G$58,ABS(M1262)*'Progetto del paramento slu'!$G$54,'Progetto del paramento slu'!$G$53)</f>
        <v>0</v>
      </c>
      <c r="H1262" s="553">
        <f>-'Foglio deposito bis'!$F$71*(C1262-sezione!$AO$32)*IF(ABS(N1262)&lt;'Progetto del paramento slu'!$G$58,ABS(N1262)*'Progetto del paramento slu'!$G$54,'Progetto del paramento slu'!$G$53)</f>
        <v>105913969.80771165</v>
      </c>
      <c r="I1262" s="479">
        <f>-'Foglio deposito bis'!$F$72*(C1262-sezione!$AP$32)*IF(ABS(O1262)&lt;'Progetto del paramento slu'!$G$58,ABS(O1262)*'Progetto del paramento slu'!$G$54,'Progetto del paramento slu'!$G$53)</f>
        <v>126154832.79993653</v>
      </c>
      <c r="J1262" s="479">
        <f t="shared" si="93"/>
        <v>254490265.91198739</v>
      </c>
      <c r="K1262" s="558">
        <f>'Progetto del paramento slu'!$G$60*(sezione!$AL$32-C1262)/C1262</f>
        <v>3.7071872821727463E-2</v>
      </c>
      <c r="L1262" s="558">
        <f>'Progetto del paramento slu'!$G$60*(sezione!$AM$32-C1262)/C1262</f>
        <v>0.14864452308147799</v>
      </c>
      <c r="M1262" s="559">
        <f>'Progetto del paramento slu'!$G$60*(sezione!$AN$32-C1262)/C1262</f>
        <v>0.26021717334122851</v>
      </c>
      <c r="N1262" s="559">
        <f>'Progetto del paramento slu'!$G$60*(sezione!$AO$32-C1262)/C1262</f>
        <v>0.34136091898468346</v>
      </c>
      <c r="O1262" s="559">
        <f>'Progetto del paramento slu'!$G$60*(sezione!$AP$32-C1262)/C1262</f>
        <v>0.26022224482533113</v>
      </c>
      <c r="P1262" s="553">
        <f>-'Progetto del paramento slu'!$G$47*'Progetto del paramento slu'!$G$41*IF(DATI!$G$218="dx",DATI!$E$61,DATI!$E$64*DATI!$E$63)*1000*C1262*sezione!$AD$5</f>
        <v>-48640.214580954016</v>
      </c>
      <c r="Q1262" s="553">
        <f>'Foglio deposito bis'!$F$68*IF(ABS(K1262)&lt;'Progetto del paramento slu'!$G$58,ABS(K1262)*'Progetto del paramento slu'!$G$54,'Progetto del paramento slu'!$G$53)*IF(K1262&lt;0,-1,1)</f>
        <v>0</v>
      </c>
      <c r="R1262" s="553">
        <f>'Foglio deposito bis'!$F$69*IF(ABS(L1262)&lt;'Progetto del paramento slu'!$G$58,ABS(L1262)*'Progetto del paramento slu'!$G$54,'Progetto del paramento slu'!$G$53)*IF(L1262&lt;0,-1,1)</f>
        <v>153664.85805602249</v>
      </c>
      <c r="S1262" s="553">
        <f>'Foglio deposito bis'!$F$70*IF(ABS(M1262)&lt;'Progetto del paramento slu'!$G$58,ABS(M1262)*'Progetto del paramento slu'!$G$54,'Progetto del paramento slu'!$G$53)*IF(M1262&lt;0,-1,1)</f>
        <v>0</v>
      </c>
      <c r="T1262" s="553">
        <f>'Foglio deposito bis'!$F$71*IF(ABS(N1262)&lt;'Progetto del paramento slu'!$G$58,ABS(N1262)*'Progetto del paramento slu'!$G$54,'Progetto del paramento slu'!$G$53)*IF(N1262&lt;0,-1,1)</f>
        <v>314705.62929873407</v>
      </c>
      <c r="U1262" s="553">
        <f>'Foglio deposito bis'!$F$72*IF(ABS(O1262)&lt;'Progetto del paramento slu'!$G$58,ABS(O1262)*'Progetto del paramento slu'!$G$54,'Progetto del paramento slu'!$G$53)*IF(O1262&lt;0,-1,1)</f>
        <v>491727.54577927204</v>
      </c>
      <c r="V1262" s="479">
        <f t="shared" si="96"/>
        <v>911457.8185530745</v>
      </c>
      <c r="W1262" s="559"/>
      <c r="X1262" s="559"/>
    </row>
    <row r="1263" spans="1:24" x14ac:dyDescent="0.25">
      <c r="A1263" s="553">
        <f t="shared" si="95"/>
        <v>908596.62946007727</v>
      </c>
      <c r="B1263" s="3">
        <f t="shared" si="97"/>
        <v>0.90000000000000024</v>
      </c>
      <c r="C1263" s="553">
        <f>'Foglio deposito bis'!$E$158/sezione!$B$247*B1263</f>
        <v>3.6536468200270655</v>
      </c>
      <c r="D1263" s="611">
        <f>-'Progetto del paramento slu'!$G$47*'Progetto del paramento slu'!$G$41*IF(DATI!$G$218="dx",DATI!$E$61,DATI!$E$64*DATI!$E$63)*1000*C1263^2*sezione!$AD$5*(1-sezione!$AD$6)</f>
        <v>-109890.07681999328</v>
      </c>
      <c r="E1263" s="553">
        <f>-'Foglio deposito bis'!$F$68*(C1263-sezione!$AL$32)*IF(ABS(K1263)&lt;'Progetto del paramento slu'!$G$58,ABS(K1263)*'Progetto del paramento slu'!$G$54,'Progetto del paramento slu'!$G$53)</f>
        <v>0</v>
      </c>
      <c r="F1263" s="553">
        <f>-'Foglio deposito bis'!$F$69*(C1263-sezione!$AM$32)*IF(ABS(L1263)&lt;'Progetto del paramento slu'!$G$58,ABS(L1263)*'Progetto del paramento slu'!$G$54,'Progetto del paramento slu'!$G$53)</f>
        <v>22488291.588417079</v>
      </c>
      <c r="G1263" s="553">
        <f>-'Foglio deposito bis'!$F$70*(C1263-sezione!$AN$32)*IF(ABS(M1263)&lt;'Progetto del paramento slu'!$G$58,ABS(M1263)*'Progetto del paramento slu'!$G$54,'Progetto del paramento slu'!$G$53)</f>
        <v>0</v>
      </c>
      <c r="H1263" s="553">
        <f>-'Foglio deposito bis'!$F$71*(C1263-sezione!$AO$32)*IF(ABS(N1263)&lt;'Progetto del paramento slu'!$G$58,ABS(N1263)*'Progetto del paramento slu'!$G$54,'Progetto del paramento slu'!$G$53)</f>
        <v>105850090.73983766</v>
      </c>
      <c r="I1263" s="479">
        <f>-'Foglio deposito bis'!$F$72*(C1263-sezione!$AP$32)*IF(ABS(O1263)&lt;'Progetto del paramento slu'!$G$58,ABS(O1263)*'Progetto del paramento slu'!$G$54,'Progetto del paramento slu'!$G$53)</f>
        <v>126055021.75638342</v>
      </c>
      <c r="J1263" s="479">
        <f t="shared" si="93"/>
        <v>254283514.00781816</v>
      </c>
      <c r="K1263" s="558">
        <f>'Progetto del paramento slu'!$G$60*(sezione!$AL$32-C1263)/C1263</f>
        <v>3.4817879887187049E-2</v>
      </c>
      <c r="L1263" s="558">
        <f>'Progetto del paramento slu'!$G$60*(sezione!$AM$32-C1263)/C1263</f>
        <v>0.14019204957695142</v>
      </c>
      <c r="M1263" s="559">
        <f>'Progetto del paramento slu'!$G$60*(sezione!$AN$32-C1263)/C1263</f>
        <v>0.24556621926671579</v>
      </c>
      <c r="N1263" s="559">
        <f>'Progetto del paramento slu'!$G$60*(sezione!$AO$32-C1263)/C1263</f>
        <v>0.32220197904108988</v>
      </c>
      <c r="O1263" s="559">
        <f>'Progetto del paramento slu'!$G$60*(sezione!$AP$32-C1263)/C1263</f>
        <v>0.24557100900170159</v>
      </c>
      <c r="P1263" s="553">
        <f>-'Progetto del paramento slu'!$G$47*'Progetto del paramento slu'!$G$41*IF(DATI!$G$218="dx",DATI!$E$61,DATI!$E$64*DATI!$E$63)*1000*C1263*sezione!$AD$5</f>
        <v>-51501.40367395131</v>
      </c>
      <c r="Q1263" s="553">
        <f>'Foglio deposito bis'!$F$68*IF(ABS(K1263)&lt;'Progetto del paramento slu'!$G$58,ABS(K1263)*'Progetto del paramento slu'!$G$54,'Progetto del paramento slu'!$G$53)*IF(K1263&lt;0,-1,1)</f>
        <v>0</v>
      </c>
      <c r="R1263" s="553">
        <f>'Foglio deposito bis'!$F$69*IF(ABS(L1263)&lt;'Progetto del paramento slu'!$G$58,ABS(L1263)*'Progetto del paramento slu'!$G$54,'Progetto del paramento slu'!$G$53)*IF(L1263&lt;0,-1,1)</f>
        <v>153664.85805602249</v>
      </c>
      <c r="S1263" s="553">
        <f>'Foglio deposito bis'!$F$70*IF(ABS(M1263)&lt;'Progetto del paramento slu'!$G$58,ABS(M1263)*'Progetto del paramento slu'!$G$54,'Progetto del paramento slu'!$G$53)*IF(M1263&lt;0,-1,1)</f>
        <v>0</v>
      </c>
      <c r="T1263" s="553">
        <f>'Foglio deposito bis'!$F$71*IF(ABS(N1263)&lt;'Progetto del paramento slu'!$G$58,ABS(N1263)*'Progetto del paramento slu'!$G$54,'Progetto del paramento slu'!$G$53)*IF(N1263&lt;0,-1,1)</f>
        <v>314705.62929873407</v>
      </c>
      <c r="U1263" s="553">
        <f>'Foglio deposito bis'!$F$72*IF(ABS(O1263)&lt;'Progetto del paramento slu'!$G$58,ABS(O1263)*'Progetto del paramento slu'!$G$54,'Progetto del paramento slu'!$G$53)*IF(O1263&lt;0,-1,1)</f>
        <v>491727.54577927204</v>
      </c>
      <c r="V1263" s="479">
        <f t="shared" si="96"/>
        <v>908596.62946007727</v>
      </c>
      <c r="W1263" s="559"/>
      <c r="X1263" s="559"/>
    </row>
    <row r="1264" spans="1:24" x14ac:dyDescent="0.25">
      <c r="A1264" s="553">
        <f t="shared" si="95"/>
        <v>905735.44036708004</v>
      </c>
      <c r="B1264" s="3">
        <f t="shared" si="97"/>
        <v>0.95000000000000029</v>
      </c>
      <c r="C1264" s="553">
        <f>'Foglio deposito bis'!$E$158/sezione!$B$247*B1264</f>
        <v>3.8566271989174581</v>
      </c>
      <c r="D1264" s="611">
        <f>-'Progetto del paramento slu'!$G$47*'Progetto del paramento slu'!$G$41*IF(DATI!$G$218="dx",DATI!$E$61,DATI!$E$64*DATI!$E$63)*1000*C1264^2*sezione!$AD$5*(1-sezione!$AD$6)</f>
        <v>-122439.25225931351</v>
      </c>
      <c r="E1264" s="553">
        <f>-'Foglio deposito bis'!$F$68*(C1264-sezione!$AL$32)*IF(ABS(K1264)&lt;'Progetto del paramento slu'!$G$58,ABS(K1264)*'Progetto del paramento slu'!$G$54,'Progetto del paramento slu'!$G$53)</f>
        <v>0</v>
      </c>
      <c r="F1264" s="553">
        <f>-'Foglio deposito bis'!$F$69*(C1264-sezione!$AM$32)*IF(ABS(L1264)&lt;'Progetto del paramento slu'!$G$58,ABS(L1264)*'Progetto del paramento slu'!$G$54,'Progetto del paramento slu'!$G$53)</f>
        <v>22457100.637306727</v>
      </c>
      <c r="G1264" s="553">
        <f>-'Foglio deposito bis'!$F$70*(C1264-sezione!$AN$32)*IF(ABS(M1264)&lt;'Progetto del paramento slu'!$G$58,ABS(M1264)*'Progetto del paramento slu'!$G$54,'Progetto del paramento slu'!$G$53)</f>
        <v>0</v>
      </c>
      <c r="H1264" s="553">
        <f>-'Foglio deposito bis'!$F$71*(C1264-sezione!$AO$32)*IF(ABS(N1264)&lt;'Progetto del paramento slu'!$G$58,ABS(N1264)*'Progetto del paramento slu'!$G$54,'Progetto del paramento slu'!$G$53)</f>
        <v>105786211.67196366</v>
      </c>
      <c r="I1264" s="479">
        <f>-'Foglio deposito bis'!$F$72*(C1264-sezione!$AP$32)*IF(ABS(O1264)&lt;'Progetto del paramento slu'!$G$58,ABS(O1264)*'Progetto del paramento slu'!$G$54,'Progetto del paramento slu'!$G$53)</f>
        <v>125955210.71283029</v>
      </c>
      <c r="J1264" s="479">
        <f t="shared" si="93"/>
        <v>254076083.76984137</v>
      </c>
      <c r="K1264" s="558">
        <f>'Progetto del paramento slu'!$G$60*(sezione!$AL$32-C1264)/C1264</f>
        <v>3.2801149366808779E-2</v>
      </c>
      <c r="L1264" s="558">
        <f>'Progetto del paramento slu'!$G$60*(sezione!$AM$32-C1264)/C1264</f>
        <v>0.13262931012553292</v>
      </c>
      <c r="M1264" s="559">
        <f>'Progetto del paramento slu'!$G$60*(sezione!$AN$32-C1264)/C1264</f>
        <v>0.23245747088425708</v>
      </c>
      <c r="N1264" s="559">
        <f>'Progetto del paramento slu'!$G$60*(sezione!$AO$32-C1264)/C1264</f>
        <v>0.30505976961787462</v>
      </c>
      <c r="O1264" s="559">
        <f>'Progetto del paramento slu'!$G$60*(sezione!$AP$32-C1264)/C1264</f>
        <v>0.23246200852792781</v>
      </c>
      <c r="P1264" s="553">
        <f>-'Progetto del paramento slu'!$G$47*'Progetto del paramento slu'!$G$41*IF(DATI!$G$218="dx",DATI!$E$61,DATI!$E$64*DATI!$E$63)*1000*C1264*sezione!$AD$5</f>
        <v>-54362.592766948612</v>
      </c>
      <c r="Q1264" s="553">
        <f>'Foglio deposito bis'!$F$68*IF(ABS(K1264)&lt;'Progetto del paramento slu'!$G$58,ABS(K1264)*'Progetto del paramento slu'!$G$54,'Progetto del paramento slu'!$G$53)*IF(K1264&lt;0,-1,1)</f>
        <v>0</v>
      </c>
      <c r="R1264" s="553">
        <f>'Foglio deposito bis'!$F$69*IF(ABS(L1264)&lt;'Progetto del paramento slu'!$G$58,ABS(L1264)*'Progetto del paramento slu'!$G$54,'Progetto del paramento slu'!$G$53)*IF(L1264&lt;0,-1,1)</f>
        <v>153664.85805602249</v>
      </c>
      <c r="S1264" s="553">
        <f>'Foglio deposito bis'!$F$70*IF(ABS(M1264)&lt;'Progetto del paramento slu'!$G$58,ABS(M1264)*'Progetto del paramento slu'!$G$54,'Progetto del paramento slu'!$G$53)*IF(M1264&lt;0,-1,1)</f>
        <v>0</v>
      </c>
      <c r="T1264" s="553">
        <f>'Foglio deposito bis'!$F$71*IF(ABS(N1264)&lt;'Progetto del paramento slu'!$G$58,ABS(N1264)*'Progetto del paramento slu'!$G$54,'Progetto del paramento slu'!$G$53)*IF(N1264&lt;0,-1,1)</f>
        <v>314705.62929873407</v>
      </c>
      <c r="U1264" s="553">
        <f>'Foglio deposito bis'!$F$72*IF(ABS(O1264)&lt;'Progetto del paramento slu'!$G$58,ABS(O1264)*'Progetto del paramento slu'!$G$54,'Progetto del paramento slu'!$G$53)*IF(O1264&lt;0,-1,1)</f>
        <v>491727.54577927204</v>
      </c>
      <c r="V1264" s="479">
        <f t="shared" si="96"/>
        <v>905735.44036708004</v>
      </c>
      <c r="W1264" s="559"/>
      <c r="X1264" s="559"/>
    </row>
    <row r="1265" spans="1:24" x14ac:dyDescent="0.25">
      <c r="A1265" s="553">
        <f t="shared" si="95"/>
        <v>902874.25127408269</v>
      </c>
      <c r="B1265" s="3">
        <f t="shared" si="97"/>
        <v>1.0000000000000002</v>
      </c>
      <c r="C1265" s="553">
        <f>'Foglio deposito bis'!$E$158/sezione!$B$247*B1265</f>
        <v>4.0596075778078502</v>
      </c>
      <c r="D1265" s="611">
        <f>-'Progetto del paramento slu'!$G$47*'Progetto del paramento slu'!$G$41*IF(DATI!$G$218="dx",DATI!$E$61,DATI!$E$64*DATI!$E$63)*1000*C1265^2*sezione!$AD$5*(1-sezione!$AD$6)</f>
        <v>-135666.76150616453</v>
      </c>
      <c r="E1265" s="553">
        <f>-'Foglio deposito bis'!$F$68*(C1265-sezione!$AL$32)*IF(ABS(K1265)&lt;'Progetto del paramento slu'!$G$58,ABS(K1265)*'Progetto del paramento slu'!$G$54,'Progetto del paramento slu'!$G$53)</f>
        <v>0</v>
      </c>
      <c r="F1265" s="553">
        <f>-'Foglio deposito bis'!$F$69*(C1265-sezione!$AM$32)*IF(ABS(L1265)&lt;'Progetto del paramento slu'!$G$58,ABS(L1265)*'Progetto del paramento slu'!$G$54,'Progetto del paramento slu'!$G$53)</f>
        <v>22425909.686196379</v>
      </c>
      <c r="G1265" s="553">
        <f>-'Foglio deposito bis'!$F$70*(C1265-sezione!$AN$32)*IF(ABS(M1265)&lt;'Progetto del paramento slu'!$G$58,ABS(M1265)*'Progetto del paramento slu'!$G$54,'Progetto del paramento slu'!$G$53)</f>
        <v>0</v>
      </c>
      <c r="H1265" s="553">
        <f>-'Foglio deposito bis'!$F$71*(C1265-sezione!$AO$32)*IF(ABS(N1265)&lt;'Progetto del paramento slu'!$G$58,ABS(N1265)*'Progetto del paramento slu'!$G$54,'Progetto del paramento slu'!$G$53)</f>
        <v>105722332.60408966</v>
      </c>
      <c r="I1265" s="479">
        <f>-'Foglio deposito bis'!$F$72*(C1265-sezione!$AP$32)*IF(ABS(O1265)&lt;'Progetto del paramento slu'!$G$58,ABS(O1265)*'Progetto del paramento slu'!$G$54,'Progetto del paramento slu'!$G$53)</f>
        <v>125855399.66927718</v>
      </c>
      <c r="J1265" s="479">
        <f t="shared" si="93"/>
        <v>253867975.19805706</v>
      </c>
      <c r="K1265" s="558">
        <f>'Progetto del paramento slu'!$G$60*(sezione!$AL$32-C1265)/C1265</f>
        <v>3.0986091898468345E-2</v>
      </c>
      <c r="L1265" s="558">
        <f>'Progetto del paramento slu'!$G$60*(sezione!$AM$32-C1265)/C1265</f>
        <v>0.1258228446192563</v>
      </c>
      <c r="M1265" s="559">
        <f>'Progetto del paramento slu'!$G$60*(sezione!$AN$32-C1265)/C1265</f>
        <v>0.22065959734004426</v>
      </c>
      <c r="N1265" s="559">
        <f>'Progetto del paramento slu'!$G$60*(sezione!$AO$32-C1265)/C1265</f>
        <v>0.28963178113698096</v>
      </c>
      <c r="O1265" s="559">
        <f>'Progetto del paramento slu'!$G$60*(sezione!$AP$32-C1265)/C1265</f>
        <v>0.22066390810153144</v>
      </c>
      <c r="P1265" s="553">
        <f>-'Progetto del paramento slu'!$G$47*'Progetto del paramento slu'!$G$41*IF(DATI!$G$218="dx",DATI!$E$61,DATI!$E$64*DATI!$E$63)*1000*C1265*sezione!$AD$5</f>
        <v>-57223.781859945899</v>
      </c>
      <c r="Q1265" s="553">
        <f>'Foglio deposito bis'!$F$68*IF(ABS(K1265)&lt;'Progetto del paramento slu'!$G$58,ABS(K1265)*'Progetto del paramento slu'!$G$54,'Progetto del paramento slu'!$G$53)*IF(K1265&lt;0,-1,1)</f>
        <v>0</v>
      </c>
      <c r="R1265" s="553">
        <f>'Foglio deposito bis'!$F$69*IF(ABS(L1265)&lt;'Progetto del paramento slu'!$G$58,ABS(L1265)*'Progetto del paramento slu'!$G$54,'Progetto del paramento slu'!$G$53)*IF(L1265&lt;0,-1,1)</f>
        <v>153664.85805602249</v>
      </c>
      <c r="S1265" s="553">
        <f>'Foglio deposito bis'!$F$70*IF(ABS(M1265)&lt;'Progetto del paramento slu'!$G$58,ABS(M1265)*'Progetto del paramento slu'!$G$54,'Progetto del paramento slu'!$G$53)*IF(M1265&lt;0,-1,1)</f>
        <v>0</v>
      </c>
      <c r="T1265" s="553">
        <f>'Foglio deposito bis'!$F$71*IF(ABS(N1265)&lt;'Progetto del paramento slu'!$G$58,ABS(N1265)*'Progetto del paramento slu'!$G$54,'Progetto del paramento slu'!$G$53)*IF(N1265&lt;0,-1,1)</f>
        <v>314705.62929873407</v>
      </c>
      <c r="U1265" s="553">
        <f>'Foglio deposito bis'!$F$72*IF(ABS(O1265)&lt;'Progetto del paramento slu'!$G$58,ABS(O1265)*'Progetto del paramento slu'!$G$54,'Progetto del paramento slu'!$G$53)*IF(O1265&lt;0,-1,1)</f>
        <v>491727.54577927204</v>
      </c>
      <c r="V1265" s="479">
        <f t="shared" si="96"/>
        <v>902874.25127408269</v>
      </c>
      <c r="W1265" s="559"/>
      <c r="X1265" s="559"/>
    </row>
    <row r="1266" spans="1:24" x14ac:dyDescent="0.25">
      <c r="A1266" s="553">
        <f t="shared" si="95"/>
        <v>900013.06218108535</v>
      </c>
      <c r="B1266" s="3">
        <f t="shared" si="97"/>
        <v>1.0500000000000003</v>
      </c>
      <c r="C1266" s="553">
        <f>'Foglio deposito bis'!$E$158/sezione!$B$247*B1266</f>
        <v>4.2625879566982432</v>
      </c>
      <c r="D1266" s="611">
        <f>-'Progetto del paramento slu'!$G$47*'Progetto del paramento slu'!$G$41*IF(DATI!$G$218="dx",DATI!$E$61,DATI!$E$64*DATI!$E$63)*1000*C1266^2*sezione!$AD$5*(1-sezione!$AD$6)</f>
        <v>-149572.60456054643</v>
      </c>
      <c r="E1266" s="553">
        <f>-'Foglio deposito bis'!$F$68*(C1266-sezione!$AL$32)*IF(ABS(K1266)&lt;'Progetto del paramento slu'!$G$58,ABS(K1266)*'Progetto del paramento slu'!$G$54,'Progetto del paramento slu'!$G$53)</f>
        <v>0</v>
      </c>
      <c r="F1266" s="553">
        <f>-'Foglio deposito bis'!$F$69*(C1266-sezione!$AM$32)*IF(ABS(L1266)&lt;'Progetto del paramento slu'!$G$58,ABS(L1266)*'Progetto del paramento slu'!$G$54,'Progetto del paramento slu'!$G$53)</f>
        <v>22394718.735086028</v>
      </c>
      <c r="G1266" s="553">
        <f>-'Foglio deposito bis'!$F$70*(C1266-sezione!$AN$32)*IF(ABS(M1266)&lt;'Progetto del paramento slu'!$G$58,ABS(M1266)*'Progetto del paramento slu'!$G$54,'Progetto del paramento slu'!$G$53)</f>
        <v>0</v>
      </c>
      <c r="H1266" s="553">
        <f>-'Foglio deposito bis'!$F$71*(C1266-sezione!$AO$32)*IF(ABS(N1266)&lt;'Progetto del paramento slu'!$G$58,ABS(N1266)*'Progetto del paramento slu'!$G$54,'Progetto del paramento slu'!$G$53)</f>
        <v>105658453.53621566</v>
      </c>
      <c r="I1266" s="479">
        <f>-'Foglio deposito bis'!$F$72*(C1266-sezione!$AP$32)*IF(ABS(O1266)&lt;'Progetto del paramento slu'!$G$58,ABS(O1266)*'Progetto del paramento slu'!$G$54,'Progetto del paramento slu'!$G$53)</f>
        <v>125755588.62572406</v>
      </c>
      <c r="J1266" s="479">
        <f t="shared" si="93"/>
        <v>253659188.29246521</v>
      </c>
      <c r="K1266" s="558">
        <f>'Progetto del paramento slu'!$G$60*(sezione!$AL$32-C1266)/C1266</f>
        <v>2.9343897046160326E-2</v>
      </c>
      <c r="L1266" s="558">
        <f>'Progetto del paramento slu'!$G$60*(sezione!$AM$32-C1266)/C1266</f>
        <v>0.11966461392310122</v>
      </c>
      <c r="M1266" s="559">
        <f>'Progetto del paramento slu'!$G$60*(sezione!$AN$32-C1266)/C1266</f>
        <v>0.20998533080004211</v>
      </c>
      <c r="N1266" s="559">
        <f>'Progetto del paramento slu'!$G$60*(sezione!$AO$32-C1266)/C1266</f>
        <v>0.27567312489236273</v>
      </c>
      <c r="O1266" s="559">
        <f>'Progetto del paramento slu'!$G$60*(sezione!$AP$32-C1266)/C1266</f>
        <v>0.20998943628717279</v>
      </c>
      <c r="P1266" s="553">
        <f>-'Progetto del paramento slu'!$G$47*'Progetto del paramento slu'!$G$41*IF(DATI!$G$218="dx",DATI!$E$61,DATI!$E$64*DATI!$E$63)*1000*C1266*sezione!$AD$5</f>
        <v>-60084.9709529432</v>
      </c>
      <c r="Q1266" s="553">
        <f>'Foglio deposito bis'!$F$68*IF(ABS(K1266)&lt;'Progetto del paramento slu'!$G$58,ABS(K1266)*'Progetto del paramento slu'!$G$54,'Progetto del paramento slu'!$G$53)*IF(K1266&lt;0,-1,1)</f>
        <v>0</v>
      </c>
      <c r="R1266" s="553">
        <f>'Foglio deposito bis'!$F$69*IF(ABS(L1266)&lt;'Progetto del paramento slu'!$G$58,ABS(L1266)*'Progetto del paramento slu'!$G$54,'Progetto del paramento slu'!$G$53)*IF(L1266&lt;0,-1,1)</f>
        <v>153664.85805602249</v>
      </c>
      <c r="S1266" s="553">
        <f>'Foglio deposito bis'!$F$70*IF(ABS(M1266)&lt;'Progetto del paramento slu'!$G$58,ABS(M1266)*'Progetto del paramento slu'!$G$54,'Progetto del paramento slu'!$G$53)*IF(M1266&lt;0,-1,1)</f>
        <v>0</v>
      </c>
      <c r="T1266" s="553">
        <f>'Foglio deposito bis'!$F$71*IF(ABS(N1266)&lt;'Progetto del paramento slu'!$G$58,ABS(N1266)*'Progetto del paramento slu'!$G$54,'Progetto del paramento slu'!$G$53)*IF(N1266&lt;0,-1,1)</f>
        <v>314705.62929873407</v>
      </c>
      <c r="U1266" s="553">
        <f>'Foglio deposito bis'!$F$72*IF(ABS(O1266)&lt;'Progetto del paramento slu'!$G$58,ABS(O1266)*'Progetto del paramento slu'!$G$54,'Progetto del paramento slu'!$G$53)*IF(O1266&lt;0,-1,1)</f>
        <v>491727.54577927204</v>
      </c>
      <c r="V1266" s="479">
        <f t="shared" si="96"/>
        <v>900013.06218108535</v>
      </c>
      <c r="W1266" s="559"/>
      <c r="X1266" s="559"/>
    </row>
    <row r="1267" spans="1:24" x14ac:dyDescent="0.25">
      <c r="A1267" s="553">
        <f t="shared" si="95"/>
        <v>897151.87308808812</v>
      </c>
      <c r="B1267" s="3">
        <f t="shared" si="97"/>
        <v>1.1000000000000003</v>
      </c>
      <c r="C1267" s="553">
        <f>'Foglio deposito bis'!$E$158/sezione!$B$247*B1267</f>
        <v>4.4655683355886353</v>
      </c>
      <c r="D1267" s="611">
        <f>-'Progetto del paramento slu'!$G$47*'Progetto del paramento slu'!$G$41*IF(DATI!$G$218="dx",DATI!$E$61,DATI!$E$64*DATI!$E$63)*1000*C1267^2*sezione!$AD$5*(1-sezione!$AD$6)</f>
        <v>-164156.78142245905</v>
      </c>
      <c r="E1267" s="553">
        <f>-'Foglio deposito bis'!$F$68*(C1267-sezione!$AL$32)*IF(ABS(K1267)&lt;'Progetto del paramento slu'!$G$58,ABS(K1267)*'Progetto del paramento slu'!$G$54,'Progetto del paramento slu'!$G$53)</f>
        <v>0</v>
      </c>
      <c r="F1267" s="553">
        <f>-'Foglio deposito bis'!$F$69*(C1267-sezione!$AM$32)*IF(ABS(L1267)&lt;'Progetto del paramento slu'!$G$58,ABS(L1267)*'Progetto del paramento slu'!$G$54,'Progetto del paramento slu'!$G$53)</f>
        <v>22363527.783975676</v>
      </c>
      <c r="G1267" s="553">
        <f>-'Foglio deposito bis'!$F$70*(C1267-sezione!$AN$32)*IF(ABS(M1267)&lt;'Progetto del paramento slu'!$G$58,ABS(M1267)*'Progetto del paramento slu'!$G$54,'Progetto del paramento slu'!$G$53)</f>
        <v>0</v>
      </c>
      <c r="H1267" s="553">
        <f>-'Foglio deposito bis'!$F$71*(C1267-sezione!$AO$32)*IF(ABS(N1267)&lt;'Progetto del paramento slu'!$G$58,ABS(N1267)*'Progetto del paramento slu'!$G$54,'Progetto del paramento slu'!$G$53)</f>
        <v>105594574.46834168</v>
      </c>
      <c r="I1267" s="479">
        <f>-'Foglio deposito bis'!$F$72*(C1267-sezione!$AP$32)*IF(ABS(O1267)&lt;'Progetto del paramento slu'!$G$58,ABS(O1267)*'Progetto del paramento slu'!$G$54,'Progetto del paramento slu'!$G$53)</f>
        <v>125655777.58217093</v>
      </c>
      <c r="J1267" s="479">
        <f t="shared" si="93"/>
        <v>253449723.05306584</v>
      </c>
      <c r="K1267" s="558">
        <f>'Progetto del paramento slu'!$G$60*(sezione!$AL$32-C1267)/C1267</f>
        <v>2.7850992634971219E-2</v>
      </c>
      <c r="L1267" s="558">
        <f>'Progetto del paramento slu'!$G$60*(sezione!$AM$32-C1267)/C1267</f>
        <v>0.11406622238114207</v>
      </c>
      <c r="M1267" s="559">
        <f>'Progetto del paramento slu'!$G$60*(sezione!$AN$32-C1267)/C1267</f>
        <v>0.20028145212731294</v>
      </c>
      <c r="N1267" s="559">
        <f>'Progetto del paramento slu'!$G$60*(sezione!$AO$32-C1267)/C1267</f>
        <v>0.26298343739725538</v>
      </c>
      <c r="O1267" s="559">
        <f>'Progetto del paramento slu'!$G$60*(sezione!$AP$32-C1267)/C1267</f>
        <v>0.20028537100139224</v>
      </c>
      <c r="P1267" s="553">
        <f>-'Progetto del paramento slu'!$G$47*'Progetto del paramento slu'!$G$41*IF(DATI!$G$218="dx",DATI!$E$61,DATI!$E$64*DATI!$E$63)*1000*C1267*sezione!$AD$5</f>
        <v>-62946.160045940487</v>
      </c>
      <c r="Q1267" s="553">
        <f>'Foglio deposito bis'!$F$68*IF(ABS(K1267)&lt;'Progetto del paramento slu'!$G$58,ABS(K1267)*'Progetto del paramento slu'!$G$54,'Progetto del paramento slu'!$G$53)*IF(K1267&lt;0,-1,1)</f>
        <v>0</v>
      </c>
      <c r="R1267" s="553">
        <f>'Foglio deposito bis'!$F$69*IF(ABS(L1267)&lt;'Progetto del paramento slu'!$G$58,ABS(L1267)*'Progetto del paramento slu'!$G$54,'Progetto del paramento slu'!$G$53)*IF(L1267&lt;0,-1,1)</f>
        <v>153664.85805602249</v>
      </c>
      <c r="S1267" s="553">
        <f>'Foglio deposito bis'!$F$70*IF(ABS(M1267)&lt;'Progetto del paramento slu'!$G$58,ABS(M1267)*'Progetto del paramento slu'!$G$54,'Progetto del paramento slu'!$G$53)*IF(M1267&lt;0,-1,1)</f>
        <v>0</v>
      </c>
      <c r="T1267" s="553">
        <f>'Foglio deposito bis'!$F$71*IF(ABS(N1267)&lt;'Progetto del paramento slu'!$G$58,ABS(N1267)*'Progetto del paramento slu'!$G$54,'Progetto del paramento slu'!$G$53)*IF(N1267&lt;0,-1,1)</f>
        <v>314705.62929873407</v>
      </c>
      <c r="U1267" s="553">
        <f>'Foglio deposito bis'!$F$72*IF(ABS(O1267)&lt;'Progetto del paramento slu'!$G$58,ABS(O1267)*'Progetto del paramento slu'!$G$54,'Progetto del paramento slu'!$G$53)*IF(O1267&lt;0,-1,1)</f>
        <v>491727.54577927204</v>
      </c>
      <c r="V1267" s="479">
        <f t="shared" si="96"/>
        <v>897151.87308808812</v>
      </c>
      <c r="W1267" s="559"/>
      <c r="X1267" s="559"/>
    </row>
    <row r="1268" spans="1:24" x14ac:dyDescent="0.25">
      <c r="A1268" s="553">
        <f t="shared" si="95"/>
        <v>894290.68399509089</v>
      </c>
      <c r="B1268" s="3">
        <f t="shared" si="97"/>
        <v>1.1500000000000004</v>
      </c>
      <c r="C1268" s="553">
        <f>'Foglio deposito bis'!$E$158/sezione!$B$247*B1268</f>
        <v>4.6685487144790283</v>
      </c>
      <c r="D1268" s="611">
        <f>-'Progetto del paramento slu'!$G$47*'Progetto del paramento slu'!$G$41*IF(DATI!$G$218="dx",DATI!$E$61,DATI!$E$64*DATI!$E$63)*1000*C1268^2*sezione!$AD$5*(1-sezione!$AD$6)</f>
        <v>-179419.29209190264</v>
      </c>
      <c r="E1268" s="553">
        <f>-'Foglio deposito bis'!$F$68*(C1268-sezione!$AL$32)*IF(ABS(K1268)&lt;'Progetto del paramento slu'!$G$58,ABS(K1268)*'Progetto del paramento slu'!$G$54,'Progetto del paramento slu'!$G$53)</f>
        <v>0</v>
      </c>
      <c r="F1268" s="553">
        <f>-'Foglio deposito bis'!$F$69*(C1268-sezione!$AM$32)*IF(ABS(L1268)&lt;'Progetto del paramento slu'!$G$58,ABS(L1268)*'Progetto del paramento slu'!$G$54,'Progetto del paramento slu'!$G$53)</f>
        <v>22332336.832865331</v>
      </c>
      <c r="G1268" s="553">
        <f>-'Foglio deposito bis'!$F$70*(C1268-sezione!$AN$32)*IF(ABS(M1268)&lt;'Progetto del paramento slu'!$G$58,ABS(M1268)*'Progetto del paramento slu'!$G$54,'Progetto del paramento slu'!$G$53)</f>
        <v>0</v>
      </c>
      <c r="H1268" s="553">
        <f>-'Foglio deposito bis'!$F$71*(C1268-sezione!$AO$32)*IF(ABS(N1268)&lt;'Progetto del paramento slu'!$G$58,ABS(N1268)*'Progetto del paramento slu'!$G$54,'Progetto del paramento slu'!$G$53)</f>
        <v>105530695.40046768</v>
      </c>
      <c r="I1268" s="479">
        <f>-'Foglio deposito bis'!$F$72*(C1268-sezione!$AP$32)*IF(ABS(O1268)&lt;'Progetto del paramento slu'!$G$58,ABS(O1268)*'Progetto del paramento slu'!$G$54,'Progetto del paramento slu'!$G$53)</f>
        <v>125555966.53861782</v>
      </c>
      <c r="J1268" s="479">
        <f t="shared" si="93"/>
        <v>253239579.47985893</v>
      </c>
      <c r="K1268" s="558">
        <f>'Progetto del paramento slu'!$G$60*(sezione!$AL$32-C1268)/C1268</f>
        <v>2.648790599866812E-2</v>
      </c>
      <c r="L1268" s="558">
        <f>'Progetto del paramento slu'!$G$60*(sezione!$AM$32-C1268)/C1268</f>
        <v>0.10895464749500547</v>
      </c>
      <c r="M1268" s="559">
        <f>'Progetto del paramento slu'!$G$60*(sezione!$AN$32-C1268)/C1268</f>
        <v>0.19142138899134281</v>
      </c>
      <c r="N1268" s="559">
        <f>'Progetto del paramento slu'!$G$60*(sezione!$AO$32-C1268)/C1268</f>
        <v>0.25139720098867907</v>
      </c>
      <c r="O1268" s="559">
        <f>'Progetto del paramento slu'!$G$60*(sezione!$AP$32-C1268)/C1268</f>
        <v>0.19142513747959256</v>
      </c>
      <c r="P1268" s="553">
        <f>-'Progetto del paramento slu'!$G$47*'Progetto del paramento slu'!$G$41*IF(DATI!$G$218="dx",DATI!$E$61,DATI!$E$64*DATI!$E$63)*1000*C1268*sezione!$AD$5</f>
        <v>-65807.349138937789</v>
      </c>
      <c r="Q1268" s="553">
        <f>'Foglio deposito bis'!$F$68*IF(ABS(K1268)&lt;'Progetto del paramento slu'!$G$58,ABS(K1268)*'Progetto del paramento slu'!$G$54,'Progetto del paramento slu'!$G$53)*IF(K1268&lt;0,-1,1)</f>
        <v>0</v>
      </c>
      <c r="R1268" s="553">
        <f>'Foglio deposito bis'!$F$69*IF(ABS(L1268)&lt;'Progetto del paramento slu'!$G$58,ABS(L1268)*'Progetto del paramento slu'!$G$54,'Progetto del paramento slu'!$G$53)*IF(L1268&lt;0,-1,1)</f>
        <v>153664.85805602249</v>
      </c>
      <c r="S1268" s="553">
        <f>'Foglio deposito bis'!$F$70*IF(ABS(M1268)&lt;'Progetto del paramento slu'!$G$58,ABS(M1268)*'Progetto del paramento slu'!$G$54,'Progetto del paramento slu'!$G$53)*IF(M1268&lt;0,-1,1)</f>
        <v>0</v>
      </c>
      <c r="T1268" s="553">
        <f>'Foglio deposito bis'!$F$71*IF(ABS(N1268)&lt;'Progetto del paramento slu'!$G$58,ABS(N1268)*'Progetto del paramento slu'!$G$54,'Progetto del paramento slu'!$G$53)*IF(N1268&lt;0,-1,1)</f>
        <v>314705.62929873407</v>
      </c>
      <c r="U1268" s="553">
        <f>'Foglio deposito bis'!$F$72*IF(ABS(O1268)&lt;'Progetto del paramento slu'!$G$58,ABS(O1268)*'Progetto del paramento slu'!$G$54,'Progetto del paramento slu'!$G$53)*IF(O1268&lt;0,-1,1)</f>
        <v>491727.54577927204</v>
      </c>
      <c r="V1268" s="479">
        <f t="shared" si="96"/>
        <v>894290.68399509089</v>
      </c>
      <c r="W1268" s="559"/>
      <c r="X1268" s="559"/>
    </row>
    <row r="1269" spans="1:24" x14ac:dyDescent="0.25">
      <c r="A1269" s="553">
        <f t="shared" si="95"/>
        <v>891429.49490209343</v>
      </c>
      <c r="B1269" s="3">
        <f t="shared" si="97"/>
        <v>1.2000000000000004</v>
      </c>
      <c r="C1269" s="553">
        <f>'Foglio deposito bis'!$E$158/sezione!$B$247*B1269</f>
        <v>4.8715290933694204</v>
      </c>
      <c r="D1269" s="611">
        <f>-'Progetto del paramento slu'!$G$47*'Progetto del paramento slu'!$G$41*IF(DATI!$G$218="dx",DATI!$E$61,DATI!$E$64*DATI!$E$63)*1000*C1269^2*sezione!$AD$5*(1-sezione!$AD$6)</f>
        <v>-195360.13656887691</v>
      </c>
      <c r="E1269" s="553">
        <f>-'Foglio deposito bis'!$F$68*(C1269-sezione!$AL$32)*IF(ABS(K1269)&lt;'Progetto del paramento slu'!$G$58,ABS(K1269)*'Progetto del paramento slu'!$G$54,'Progetto del paramento slu'!$G$53)</f>
        <v>0</v>
      </c>
      <c r="F1269" s="553">
        <f>-'Foglio deposito bis'!$F$69*(C1269-sezione!$AM$32)*IF(ABS(L1269)&lt;'Progetto del paramento slu'!$G$58,ABS(L1269)*'Progetto del paramento slu'!$G$54,'Progetto del paramento slu'!$G$53)</f>
        <v>22301145.881754976</v>
      </c>
      <c r="G1269" s="553">
        <f>-'Foglio deposito bis'!$F$70*(C1269-sezione!$AN$32)*IF(ABS(M1269)&lt;'Progetto del paramento slu'!$G$58,ABS(M1269)*'Progetto del paramento slu'!$G$54,'Progetto del paramento slu'!$G$53)</f>
        <v>0</v>
      </c>
      <c r="H1269" s="553">
        <f>-'Foglio deposito bis'!$F$71*(C1269-sezione!$AO$32)*IF(ABS(N1269)&lt;'Progetto del paramento slu'!$G$58,ABS(N1269)*'Progetto del paramento slu'!$G$54,'Progetto del paramento slu'!$G$53)</f>
        <v>105466816.33259368</v>
      </c>
      <c r="I1269" s="479">
        <f>-'Foglio deposito bis'!$F$72*(C1269-sezione!$AP$32)*IF(ABS(O1269)&lt;'Progetto del paramento slu'!$G$58,ABS(O1269)*'Progetto del paramento slu'!$G$54,'Progetto del paramento slu'!$G$53)</f>
        <v>125456155.49506469</v>
      </c>
      <c r="J1269" s="479">
        <f t="shared" si="93"/>
        <v>253028757.57284445</v>
      </c>
      <c r="K1269" s="558">
        <f>'Progetto del paramento slu'!$G$60*(sezione!$AL$32-C1269)/C1269</f>
        <v>2.5238409915390288E-2</v>
      </c>
      <c r="L1269" s="558">
        <f>'Progetto del paramento slu'!$G$60*(sezione!$AM$32-C1269)/C1269</f>
        <v>0.10426903718271359</v>
      </c>
      <c r="M1269" s="559">
        <f>'Progetto del paramento slu'!$G$60*(sezione!$AN$32-C1269)/C1269</f>
        <v>0.18329966445003687</v>
      </c>
      <c r="N1269" s="559">
        <f>'Progetto del paramento slu'!$G$60*(sezione!$AO$32-C1269)/C1269</f>
        <v>0.24077648428081744</v>
      </c>
      <c r="O1269" s="559">
        <f>'Progetto del paramento slu'!$G$60*(sezione!$AP$32-C1269)/C1269</f>
        <v>0.18330325675127621</v>
      </c>
      <c r="P1269" s="553">
        <f>-'Progetto del paramento slu'!$G$47*'Progetto del paramento slu'!$G$41*IF(DATI!$G$218="dx",DATI!$E$61,DATI!$E$64*DATI!$E$63)*1000*C1269*sezione!$AD$5</f>
        <v>-68668.53823193509</v>
      </c>
      <c r="Q1269" s="553">
        <f>'Foglio deposito bis'!$F$68*IF(ABS(K1269)&lt;'Progetto del paramento slu'!$G$58,ABS(K1269)*'Progetto del paramento slu'!$G$54,'Progetto del paramento slu'!$G$53)*IF(K1269&lt;0,-1,1)</f>
        <v>0</v>
      </c>
      <c r="R1269" s="553">
        <f>'Foglio deposito bis'!$F$69*IF(ABS(L1269)&lt;'Progetto del paramento slu'!$G$58,ABS(L1269)*'Progetto del paramento slu'!$G$54,'Progetto del paramento slu'!$G$53)*IF(L1269&lt;0,-1,1)</f>
        <v>153664.85805602249</v>
      </c>
      <c r="S1269" s="553">
        <f>'Foglio deposito bis'!$F$70*IF(ABS(M1269)&lt;'Progetto del paramento slu'!$G$58,ABS(M1269)*'Progetto del paramento slu'!$G$54,'Progetto del paramento slu'!$G$53)*IF(M1269&lt;0,-1,1)</f>
        <v>0</v>
      </c>
      <c r="T1269" s="553">
        <f>'Foglio deposito bis'!$F$71*IF(ABS(N1269)&lt;'Progetto del paramento slu'!$G$58,ABS(N1269)*'Progetto del paramento slu'!$G$54,'Progetto del paramento slu'!$G$53)*IF(N1269&lt;0,-1,1)</f>
        <v>314705.62929873407</v>
      </c>
      <c r="U1269" s="553">
        <f>'Foglio deposito bis'!$F$72*IF(ABS(O1269)&lt;'Progetto del paramento slu'!$G$58,ABS(O1269)*'Progetto del paramento slu'!$G$54,'Progetto del paramento slu'!$G$53)*IF(O1269&lt;0,-1,1)</f>
        <v>491727.54577927204</v>
      </c>
      <c r="V1269" s="479">
        <f t="shared" si="96"/>
        <v>891429.49490209343</v>
      </c>
      <c r="W1269" s="559"/>
      <c r="X1269" s="559"/>
    </row>
    <row r="1270" spans="1:24" x14ac:dyDescent="0.25">
      <c r="A1270" s="553">
        <f t="shared" si="95"/>
        <v>888568.3058090962</v>
      </c>
      <c r="B1270" s="3">
        <f t="shared" si="97"/>
        <v>1.2500000000000004</v>
      </c>
      <c r="C1270" s="553">
        <f>'Foglio deposito bis'!$E$158/sezione!$B$247*B1270</f>
        <v>5.0745094722598134</v>
      </c>
      <c r="D1270" s="611">
        <f>-'Progetto del paramento slu'!$G$47*'Progetto del paramento slu'!$G$41*IF(DATI!$G$218="dx",DATI!$E$61,DATI!$E$64*DATI!$E$63)*1000*C1270^2*sezione!$AD$5*(1-sezione!$AD$6)</f>
        <v>-211979.31485338212</v>
      </c>
      <c r="E1270" s="553">
        <f>-'Foglio deposito bis'!$F$68*(C1270-sezione!$AL$32)*IF(ABS(K1270)&lt;'Progetto del paramento slu'!$G$58,ABS(K1270)*'Progetto del paramento slu'!$G$54,'Progetto del paramento slu'!$G$53)</f>
        <v>0</v>
      </c>
      <c r="F1270" s="553">
        <f>-'Foglio deposito bis'!$F$69*(C1270-sezione!$AM$32)*IF(ABS(L1270)&lt;'Progetto del paramento slu'!$G$58,ABS(L1270)*'Progetto del paramento slu'!$G$54,'Progetto del paramento slu'!$G$53)</f>
        <v>22269954.930644628</v>
      </c>
      <c r="G1270" s="553">
        <f>-'Foglio deposito bis'!$F$70*(C1270-sezione!$AN$32)*IF(ABS(M1270)&lt;'Progetto del paramento slu'!$G$58,ABS(M1270)*'Progetto del paramento slu'!$G$54,'Progetto del paramento slu'!$G$53)</f>
        <v>0</v>
      </c>
      <c r="H1270" s="553">
        <f>-'Foglio deposito bis'!$F$71*(C1270-sezione!$AO$32)*IF(ABS(N1270)&lt;'Progetto del paramento slu'!$G$58,ABS(N1270)*'Progetto del paramento slu'!$G$54,'Progetto del paramento slu'!$G$53)</f>
        <v>105402937.26471967</v>
      </c>
      <c r="I1270" s="479">
        <f>-'Foglio deposito bis'!$F$72*(C1270-sezione!$AP$32)*IF(ABS(O1270)&lt;'Progetto del paramento slu'!$G$58,ABS(O1270)*'Progetto del paramento slu'!$G$54,'Progetto del paramento slu'!$G$53)</f>
        <v>125356344.45151158</v>
      </c>
      <c r="J1270" s="479">
        <f t="shared" si="93"/>
        <v>252817257.33202249</v>
      </c>
      <c r="K1270" s="558">
        <f>'Progetto del paramento slu'!$G$60*(sezione!$AL$32-C1270)/C1270</f>
        <v>2.4088873518774673E-2</v>
      </c>
      <c r="L1270" s="558">
        <f>'Progetto del paramento slu'!$G$60*(sezione!$AM$32-C1270)/C1270</f>
        <v>9.9958275695405011E-2</v>
      </c>
      <c r="M1270" s="559">
        <f>'Progetto del paramento slu'!$G$60*(sezione!$AN$32-C1270)/C1270</f>
        <v>0.17582767787203535</v>
      </c>
      <c r="N1270" s="559">
        <f>'Progetto del paramento slu'!$G$60*(sezione!$AO$32-C1270)/C1270</f>
        <v>0.23100542490958473</v>
      </c>
      <c r="O1270" s="559">
        <f>'Progetto del paramento slu'!$G$60*(sezione!$AP$32-C1270)/C1270</f>
        <v>0.17583112648122512</v>
      </c>
      <c r="P1270" s="553">
        <f>-'Progetto del paramento slu'!$G$47*'Progetto del paramento slu'!$G$41*IF(DATI!$G$218="dx",DATI!$E$61,DATI!$E$64*DATI!$E$63)*1000*C1270*sezione!$AD$5</f>
        <v>-71529.727324932377</v>
      </c>
      <c r="Q1270" s="553">
        <f>'Foglio deposito bis'!$F$68*IF(ABS(K1270)&lt;'Progetto del paramento slu'!$G$58,ABS(K1270)*'Progetto del paramento slu'!$G$54,'Progetto del paramento slu'!$G$53)*IF(K1270&lt;0,-1,1)</f>
        <v>0</v>
      </c>
      <c r="R1270" s="553">
        <f>'Foglio deposito bis'!$F$69*IF(ABS(L1270)&lt;'Progetto del paramento slu'!$G$58,ABS(L1270)*'Progetto del paramento slu'!$G$54,'Progetto del paramento slu'!$G$53)*IF(L1270&lt;0,-1,1)</f>
        <v>153664.85805602249</v>
      </c>
      <c r="S1270" s="553">
        <f>'Foglio deposito bis'!$F$70*IF(ABS(M1270)&lt;'Progetto del paramento slu'!$G$58,ABS(M1270)*'Progetto del paramento slu'!$G$54,'Progetto del paramento slu'!$G$53)*IF(M1270&lt;0,-1,1)</f>
        <v>0</v>
      </c>
      <c r="T1270" s="553">
        <f>'Foglio deposito bis'!$F$71*IF(ABS(N1270)&lt;'Progetto del paramento slu'!$G$58,ABS(N1270)*'Progetto del paramento slu'!$G$54,'Progetto del paramento slu'!$G$53)*IF(N1270&lt;0,-1,1)</f>
        <v>314705.62929873407</v>
      </c>
      <c r="U1270" s="553">
        <f>'Foglio deposito bis'!$F$72*IF(ABS(O1270)&lt;'Progetto del paramento slu'!$G$58,ABS(O1270)*'Progetto del paramento slu'!$G$54,'Progetto del paramento slu'!$G$53)*IF(O1270&lt;0,-1,1)</f>
        <v>491727.54577927204</v>
      </c>
      <c r="V1270" s="479">
        <f t="shared" si="96"/>
        <v>888568.3058090962</v>
      </c>
      <c r="W1270" s="559"/>
      <c r="X1270" s="559"/>
    </row>
    <row r="1271" spans="1:24" x14ac:dyDescent="0.25">
      <c r="A1271" s="553">
        <f t="shared" si="95"/>
        <v>885707.11671609897</v>
      </c>
      <c r="B1271" s="3">
        <f t="shared" si="97"/>
        <v>1.3000000000000005</v>
      </c>
      <c r="C1271" s="553">
        <f>'Foglio deposito bis'!$E$158/sezione!$B$247*B1271</f>
        <v>5.2774898511502064</v>
      </c>
      <c r="D1271" s="611">
        <f>-'Progetto del paramento slu'!$G$47*'Progetto del paramento slu'!$G$41*IF(DATI!$G$218="dx",DATI!$E$61,DATI!$E$64*DATI!$E$63)*1000*C1271^2*sezione!$AD$5*(1-sezione!$AD$6)</f>
        <v>-229276.82694541811</v>
      </c>
      <c r="E1271" s="553">
        <f>-'Foglio deposito bis'!$F$68*(C1271-sezione!$AL$32)*IF(ABS(K1271)&lt;'Progetto del paramento slu'!$G$58,ABS(K1271)*'Progetto del paramento slu'!$G$54,'Progetto del paramento slu'!$G$53)</f>
        <v>0</v>
      </c>
      <c r="F1271" s="553">
        <f>-'Foglio deposito bis'!$F$69*(C1271-sezione!$AM$32)*IF(ABS(L1271)&lt;'Progetto del paramento slu'!$G$58,ABS(L1271)*'Progetto del paramento slu'!$G$54,'Progetto del paramento slu'!$G$53)</f>
        <v>22238763.97953428</v>
      </c>
      <c r="G1271" s="553">
        <f>-'Foglio deposito bis'!$F$70*(C1271-sezione!$AN$32)*IF(ABS(M1271)&lt;'Progetto del paramento slu'!$G$58,ABS(M1271)*'Progetto del paramento slu'!$G$54,'Progetto del paramento slu'!$G$53)</f>
        <v>0</v>
      </c>
      <c r="H1271" s="553">
        <f>-'Foglio deposito bis'!$F$71*(C1271-sezione!$AO$32)*IF(ABS(N1271)&lt;'Progetto del paramento slu'!$G$58,ABS(N1271)*'Progetto del paramento slu'!$G$54,'Progetto del paramento slu'!$G$53)</f>
        <v>105339058.19684567</v>
      </c>
      <c r="I1271" s="479">
        <f>-'Foglio deposito bis'!$F$72*(C1271-sezione!$AP$32)*IF(ABS(O1271)&lt;'Progetto del paramento slu'!$G$58,ABS(O1271)*'Progetto del paramento slu'!$G$54,'Progetto del paramento slu'!$G$53)</f>
        <v>125256533.40795848</v>
      </c>
      <c r="J1271" s="479">
        <f t="shared" si="93"/>
        <v>252605078.757393</v>
      </c>
      <c r="K1271" s="558">
        <f>'Progetto del paramento slu'!$G$60*(sezione!$AL$32-C1271)/C1271</f>
        <v>2.3027762998821796E-2</v>
      </c>
      <c r="L1271" s="558">
        <f>'Progetto del paramento slu'!$G$60*(sezione!$AM$32-C1271)/C1271</f>
        <v>9.5979111245581755E-2</v>
      </c>
      <c r="M1271" s="559">
        <f>'Progetto del paramento slu'!$G$60*(sezione!$AN$32-C1271)/C1271</f>
        <v>0.1689304594923417</v>
      </c>
      <c r="N1271" s="559">
        <f>'Progetto del paramento slu'!$G$60*(sezione!$AO$32-C1271)/C1271</f>
        <v>0.22198598548998524</v>
      </c>
      <c r="O1271" s="559">
        <f>'Progetto del paramento slu'!$G$60*(sezione!$AP$32-C1271)/C1271</f>
        <v>0.16893377546271646</v>
      </c>
      <c r="P1271" s="553">
        <f>-'Progetto del paramento slu'!$G$47*'Progetto del paramento slu'!$G$41*IF(DATI!$G$218="dx",DATI!$E$61,DATI!$E$64*DATI!$E$63)*1000*C1271*sezione!$AD$5</f>
        <v>-74390.916417929679</v>
      </c>
      <c r="Q1271" s="553">
        <f>'Foglio deposito bis'!$F$68*IF(ABS(K1271)&lt;'Progetto del paramento slu'!$G$58,ABS(K1271)*'Progetto del paramento slu'!$G$54,'Progetto del paramento slu'!$G$53)*IF(K1271&lt;0,-1,1)</f>
        <v>0</v>
      </c>
      <c r="R1271" s="553">
        <f>'Foglio deposito bis'!$F$69*IF(ABS(L1271)&lt;'Progetto del paramento slu'!$G$58,ABS(L1271)*'Progetto del paramento slu'!$G$54,'Progetto del paramento slu'!$G$53)*IF(L1271&lt;0,-1,1)</f>
        <v>153664.85805602249</v>
      </c>
      <c r="S1271" s="553">
        <f>'Foglio deposito bis'!$F$70*IF(ABS(M1271)&lt;'Progetto del paramento slu'!$G$58,ABS(M1271)*'Progetto del paramento slu'!$G$54,'Progetto del paramento slu'!$G$53)*IF(M1271&lt;0,-1,1)</f>
        <v>0</v>
      </c>
      <c r="T1271" s="553">
        <f>'Foglio deposito bis'!$F$71*IF(ABS(N1271)&lt;'Progetto del paramento slu'!$G$58,ABS(N1271)*'Progetto del paramento slu'!$G$54,'Progetto del paramento slu'!$G$53)*IF(N1271&lt;0,-1,1)</f>
        <v>314705.62929873407</v>
      </c>
      <c r="U1271" s="553">
        <f>'Foglio deposito bis'!$F$72*IF(ABS(O1271)&lt;'Progetto del paramento slu'!$G$58,ABS(O1271)*'Progetto del paramento slu'!$G$54,'Progetto del paramento slu'!$G$53)*IF(O1271&lt;0,-1,1)</f>
        <v>491727.54577927204</v>
      </c>
      <c r="V1271" s="479">
        <f t="shared" si="96"/>
        <v>885707.11671609897</v>
      </c>
      <c r="W1271" s="559"/>
      <c r="X1271" s="559"/>
    </row>
    <row r="1272" spans="1:24" x14ac:dyDescent="0.25">
      <c r="A1272" s="553">
        <f t="shared" si="95"/>
        <v>882845.92762310163</v>
      </c>
      <c r="B1272" s="3">
        <f t="shared" si="97"/>
        <v>1.3500000000000005</v>
      </c>
      <c r="C1272" s="553">
        <f>'Foglio deposito bis'!$E$158/sezione!$B$247*B1272</f>
        <v>5.4804702300405985</v>
      </c>
      <c r="D1272" s="611">
        <f>-'Progetto del paramento slu'!$G$47*'Progetto del paramento slu'!$G$41*IF(DATI!$G$218="dx",DATI!$E$61,DATI!$E$64*DATI!$E$63)*1000*C1272^2*sezione!$AD$5*(1-sezione!$AD$6)</f>
        <v>-247252.67284498489</v>
      </c>
      <c r="E1272" s="553">
        <f>-'Foglio deposito bis'!$F$68*(C1272-sezione!$AL$32)*IF(ABS(K1272)&lt;'Progetto del paramento slu'!$G$58,ABS(K1272)*'Progetto del paramento slu'!$G$54,'Progetto del paramento slu'!$G$53)</f>
        <v>0</v>
      </c>
      <c r="F1272" s="553">
        <f>-'Foglio deposito bis'!$F$69*(C1272-sezione!$AM$32)*IF(ABS(L1272)&lt;'Progetto del paramento slu'!$G$58,ABS(L1272)*'Progetto del paramento slu'!$G$54,'Progetto del paramento slu'!$G$53)</f>
        <v>22207573.028423931</v>
      </c>
      <c r="G1272" s="553">
        <f>-'Foglio deposito bis'!$F$70*(C1272-sezione!$AN$32)*IF(ABS(M1272)&lt;'Progetto del paramento slu'!$G$58,ABS(M1272)*'Progetto del paramento slu'!$G$54,'Progetto del paramento slu'!$G$53)</f>
        <v>0</v>
      </c>
      <c r="H1272" s="553">
        <f>-'Foglio deposito bis'!$F$71*(C1272-sezione!$AO$32)*IF(ABS(N1272)&lt;'Progetto del paramento slu'!$G$58,ABS(N1272)*'Progetto del paramento slu'!$G$54,'Progetto del paramento slu'!$G$53)</f>
        <v>105275179.12897168</v>
      </c>
      <c r="I1272" s="479">
        <f>-'Foglio deposito bis'!$F$72*(C1272-sezione!$AP$32)*IF(ABS(O1272)&lt;'Progetto del paramento slu'!$G$58,ABS(O1272)*'Progetto del paramento slu'!$G$54,'Progetto del paramento slu'!$G$53)</f>
        <v>125156722.36440533</v>
      </c>
      <c r="J1272" s="479">
        <f t="shared" si="93"/>
        <v>252392221.84895596</v>
      </c>
      <c r="K1272" s="558">
        <f>'Progetto del paramento slu'!$G$60*(sezione!$AL$32-C1272)/C1272</f>
        <v>2.2045253258124699E-2</v>
      </c>
      <c r="L1272" s="558">
        <f>'Progetto del paramento slu'!$G$60*(sezione!$AM$32-C1272)/C1272</f>
        <v>9.229469971796761E-2</v>
      </c>
      <c r="M1272" s="559">
        <f>'Progetto del paramento slu'!$G$60*(sezione!$AN$32-C1272)/C1272</f>
        <v>0.16254414617781052</v>
      </c>
      <c r="N1272" s="559">
        <f>'Progetto del paramento slu'!$G$60*(sezione!$AO$32-C1272)/C1272</f>
        <v>0.2136346526940599</v>
      </c>
      <c r="O1272" s="559">
        <f>'Progetto del paramento slu'!$G$60*(sezione!$AP$32-C1272)/C1272</f>
        <v>0.16254733933446772</v>
      </c>
      <c r="P1272" s="553">
        <f>-'Progetto del paramento slu'!$G$47*'Progetto del paramento slu'!$G$41*IF(DATI!$G$218="dx",DATI!$E$61,DATI!$E$64*DATI!$E$63)*1000*C1272*sezione!$AD$5</f>
        <v>-77252.105510926966</v>
      </c>
      <c r="Q1272" s="553">
        <f>'Foglio deposito bis'!$F$68*IF(ABS(K1272)&lt;'Progetto del paramento slu'!$G$58,ABS(K1272)*'Progetto del paramento slu'!$G$54,'Progetto del paramento slu'!$G$53)*IF(K1272&lt;0,-1,1)</f>
        <v>0</v>
      </c>
      <c r="R1272" s="553">
        <f>'Foglio deposito bis'!$F$69*IF(ABS(L1272)&lt;'Progetto del paramento slu'!$G$58,ABS(L1272)*'Progetto del paramento slu'!$G$54,'Progetto del paramento slu'!$G$53)*IF(L1272&lt;0,-1,1)</f>
        <v>153664.85805602249</v>
      </c>
      <c r="S1272" s="553">
        <f>'Foglio deposito bis'!$F$70*IF(ABS(M1272)&lt;'Progetto del paramento slu'!$G$58,ABS(M1272)*'Progetto del paramento slu'!$G$54,'Progetto del paramento slu'!$G$53)*IF(M1272&lt;0,-1,1)</f>
        <v>0</v>
      </c>
      <c r="T1272" s="553">
        <f>'Foglio deposito bis'!$F$71*IF(ABS(N1272)&lt;'Progetto del paramento slu'!$G$58,ABS(N1272)*'Progetto del paramento slu'!$G$54,'Progetto del paramento slu'!$G$53)*IF(N1272&lt;0,-1,1)</f>
        <v>314705.62929873407</v>
      </c>
      <c r="U1272" s="553">
        <f>'Foglio deposito bis'!$F$72*IF(ABS(O1272)&lt;'Progetto del paramento slu'!$G$58,ABS(O1272)*'Progetto del paramento slu'!$G$54,'Progetto del paramento slu'!$G$53)*IF(O1272&lt;0,-1,1)</f>
        <v>491727.54577927204</v>
      </c>
      <c r="V1272" s="479">
        <f t="shared" si="96"/>
        <v>882845.92762310163</v>
      </c>
      <c r="W1272" s="559"/>
      <c r="X1272" s="559"/>
    </row>
    <row r="1273" spans="1:24" x14ac:dyDescent="0.25">
      <c r="A1273" s="553">
        <f t="shared" si="95"/>
        <v>879984.73853010428</v>
      </c>
      <c r="B1273" s="3">
        <f t="shared" si="97"/>
        <v>1.4000000000000006</v>
      </c>
      <c r="C1273" s="553">
        <f>'Foglio deposito bis'!$E$158/sezione!$B$247*B1273</f>
        <v>5.6834506089309915</v>
      </c>
      <c r="D1273" s="611">
        <f>-'Progetto del paramento slu'!$G$47*'Progetto del paramento slu'!$G$41*IF(DATI!$G$218="dx",DATI!$E$61,DATI!$E$64*DATI!$E$63)*1000*C1273^2*sezione!$AD$5*(1-sezione!$AD$6)</f>
        <v>-265906.85255208256</v>
      </c>
      <c r="E1273" s="553">
        <f>-'Foglio deposito bis'!$F$68*(C1273-sezione!$AL$32)*IF(ABS(K1273)&lt;'Progetto del paramento slu'!$G$58,ABS(K1273)*'Progetto del paramento slu'!$G$54,'Progetto del paramento slu'!$G$53)</f>
        <v>0</v>
      </c>
      <c r="F1273" s="553">
        <f>-'Foglio deposito bis'!$F$69*(C1273-sezione!$AM$32)*IF(ABS(L1273)&lt;'Progetto del paramento slu'!$G$58,ABS(L1273)*'Progetto del paramento slu'!$G$54,'Progetto del paramento slu'!$G$53)</f>
        <v>22176382.077313576</v>
      </c>
      <c r="G1273" s="553">
        <f>-'Foglio deposito bis'!$F$70*(C1273-sezione!$AN$32)*IF(ABS(M1273)&lt;'Progetto del paramento slu'!$G$58,ABS(M1273)*'Progetto del paramento slu'!$G$54,'Progetto del paramento slu'!$G$53)</f>
        <v>0</v>
      </c>
      <c r="H1273" s="553">
        <f>-'Foglio deposito bis'!$F$71*(C1273-sezione!$AO$32)*IF(ABS(N1273)&lt;'Progetto del paramento slu'!$G$58,ABS(N1273)*'Progetto del paramento slu'!$G$54,'Progetto del paramento slu'!$G$53)</f>
        <v>105211300.06109768</v>
      </c>
      <c r="I1273" s="479">
        <f>-'Foglio deposito bis'!$F$72*(C1273-sezione!$AP$32)*IF(ABS(O1273)&lt;'Progetto del paramento slu'!$G$58,ABS(O1273)*'Progetto del paramento slu'!$G$54,'Progetto del paramento slu'!$G$53)</f>
        <v>125056911.32085222</v>
      </c>
      <c r="J1273" s="479">
        <f t="shared" si="93"/>
        <v>252178686.60671139</v>
      </c>
      <c r="K1273" s="558">
        <f>'Progetto del paramento slu'!$G$60*(sezione!$AL$32-C1273)/C1273</f>
        <v>2.1132922784620242E-2</v>
      </c>
      <c r="L1273" s="558">
        <f>'Progetto del paramento slu'!$G$60*(sezione!$AM$32-C1273)/C1273</f>
        <v>8.8873460442325899E-2</v>
      </c>
      <c r="M1273" s="559">
        <f>'Progetto del paramento slu'!$G$60*(sezione!$AN$32-C1273)/C1273</f>
        <v>0.15661399810003157</v>
      </c>
      <c r="N1273" s="559">
        <f>'Progetto del paramento slu'!$G$60*(sezione!$AO$32-C1273)/C1273</f>
        <v>0.20587984366927206</v>
      </c>
      <c r="O1273" s="559">
        <f>'Progetto del paramento slu'!$G$60*(sezione!$AP$32-C1273)/C1273</f>
        <v>0.15661707721537957</v>
      </c>
      <c r="P1273" s="553">
        <f>-'Progetto del paramento slu'!$G$47*'Progetto del paramento slu'!$G$41*IF(DATI!$G$218="dx",DATI!$E$61,DATI!$E$64*DATI!$E$63)*1000*C1273*sezione!$AD$5</f>
        <v>-80113.294603924282</v>
      </c>
      <c r="Q1273" s="553">
        <f>'Foglio deposito bis'!$F$68*IF(ABS(K1273)&lt;'Progetto del paramento slu'!$G$58,ABS(K1273)*'Progetto del paramento slu'!$G$54,'Progetto del paramento slu'!$G$53)*IF(K1273&lt;0,-1,1)</f>
        <v>0</v>
      </c>
      <c r="R1273" s="553">
        <f>'Foglio deposito bis'!$F$69*IF(ABS(L1273)&lt;'Progetto del paramento slu'!$G$58,ABS(L1273)*'Progetto del paramento slu'!$G$54,'Progetto del paramento slu'!$G$53)*IF(L1273&lt;0,-1,1)</f>
        <v>153664.85805602249</v>
      </c>
      <c r="S1273" s="553">
        <f>'Foglio deposito bis'!$F$70*IF(ABS(M1273)&lt;'Progetto del paramento slu'!$G$58,ABS(M1273)*'Progetto del paramento slu'!$G$54,'Progetto del paramento slu'!$G$53)*IF(M1273&lt;0,-1,1)</f>
        <v>0</v>
      </c>
      <c r="T1273" s="553">
        <f>'Foglio deposito bis'!$F$71*IF(ABS(N1273)&lt;'Progetto del paramento slu'!$G$58,ABS(N1273)*'Progetto del paramento slu'!$G$54,'Progetto del paramento slu'!$G$53)*IF(N1273&lt;0,-1,1)</f>
        <v>314705.62929873407</v>
      </c>
      <c r="U1273" s="553">
        <f>'Foglio deposito bis'!$F$72*IF(ABS(O1273)&lt;'Progetto del paramento slu'!$G$58,ABS(O1273)*'Progetto del paramento slu'!$G$54,'Progetto del paramento slu'!$G$53)*IF(O1273&lt;0,-1,1)</f>
        <v>491727.54577927204</v>
      </c>
      <c r="V1273" s="479">
        <f t="shared" si="96"/>
        <v>879984.73853010428</v>
      </c>
      <c r="W1273" s="559"/>
      <c r="X1273" s="559"/>
    </row>
    <row r="1274" spans="1:24" x14ac:dyDescent="0.25">
      <c r="A1274" s="553">
        <f t="shared" si="95"/>
        <v>877123.54943710705</v>
      </c>
      <c r="B1274" s="3">
        <f t="shared" si="97"/>
        <v>1.4500000000000006</v>
      </c>
      <c r="C1274" s="553">
        <f>'Foglio deposito bis'!$E$158/sezione!$B$247*B1274</f>
        <v>5.8864309878213836</v>
      </c>
      <c r="D1274" s="611">
        <f>-'Progetto del paramento slu'!$G$47*'Progetto del paramento slu'!$G$41*IF(DATI!$G$218="dx",DATI!$E$61,DATI!$E$64*DATI!$E$63)*1000*C1274^2*sezione!$AD$5*(1-sezione!$AD$6)</f>
        <v>-285239.36606671097</v>
      </c>
      <c r="E1274" s="553">
        <f>-'Foglio deposito bis'!$F$68*(C1274-sezione!$AL$32)*IF(ABS(K1274)&lt;'Progetto del paramento slu'!$G$58,ABS(K1274)*'Progetto del paramento slu'!$G$54,'Progetto del paramento slu'!$G$53)</f>
        <v>0</v>
      </c>
      <c r="F1274" s="553">
        <f>-'Foglio deposito bis'!$F$69*(C1274-sezione!$AM$32)*IF(ABS(L1274)&lt;'Progetto del paramento slu'!$G$58,ABS(L1274)*'Progetto del paramento slu'!$G$54,'Progetto del paramento slu'!$G$53)</f>
        <v>22145191.126203232</v>
      </c>
      <c r="G1274" s="553">
        <f>-'Foglio deposito bis'!$F$70*(C1274-sezione!$AN$32)*IF(ABS(M1274)&lt;'Progetto del paramento slu'!$G$58,ABS(M1274)*'Progetto del paramento slu'!$G$54,'Progetto del paramento slu'!$G$53)</f>
        <v>0</v>
      </c>
      <c r="H1274" s="553">
        <f>-'Foglio deposito bis'!$F$71*(C1274-sezione!$AO$32)*IF(ABS(N1274)&lt;'Progetto del paramento slu'!$G$58,ABS(N1274)*'Progetto del paramento slu'!$G$54,'Progetto del paramento slu'!$G$53)</f>
        <v>105147420.99322371</v>
      </c>
      <c r="I1274" s="479">
        <f>-'Foglio deposito bis'!$F$72*(C1274-sezione!$AP$32)*IF(ABS(O1274)&lt;'Progetto del paramento slu'!$G$58,ABS(O1274)*'Progetto del paramento slu'!$G$54,'Progetto del paramento slu'!$G$53)</f>
        <v>124957100.27729912</v>
      </c>
      <c r="J1274" s="479">
        <f t="shared" si="93"/>
        <v>251964473.03065938</v>
      </c>
      <c r="K1274" s="558">
        <f>'Progetto del paramento slu'!$G$60*(sezione!$AL$32-C1274)/C1274</f>
        <v>2.0283511654116095E-2</v>
      </c>
      <c r="L1274" s="558">
        <f>'Progetto del paramento slu'!$G$60*(sezione!$AM$32-C1274)/C1274</f>
        <v>8.5688168702935372E-2</v>
      </c>
      <c r="M1274" s="559">
        <f>'Progetto del paramento slu'!$G$60*(sezione!$AN$32-C1274)/C1274</f>
        <v>0.15109282575175464</v>
      </c>
      <c r="N1274" s="559">
        <f>'Progetto del paramento slu'!$G$60*(sezione!$AO$32-C1274)/C1274</f>
        <v>0.19865984905998685</v>
      </c>
      <c r="O1274" s="559">
        <f>'Progetto del paramento slu'!$G$60*(sezione!$AP$32-C1274)/C1274</f>
        <v>0.15109579869071132</v>
      </c>
      <c r="P1274" s="553">
        <f>-'Progetto del paramento slu'!$G$47*'Progetto del paramento slu'!$G$41*IF(DATI!$G$218="dx",DATI!$E$61,DATI!$E$64*DATI!$E$63)*1000*C1274*sezione!$AD$5</f>
        <v>-82974.483696921568</v>
      </c>
      <c r="Q1274" s="553">
        <f>'Foglio deposito bis'!$F$68*IF(ABS(K1274)&lt;'Progetto del paramento slu'!$G$58,ABS(K1274)*'Progetto del paramento slu'!$G$54,'Progetto del paramento slu'!$G$53)*IF(K1274&lt;0,-1,1)</f>
        <v>0</v>
      </c>
      <c r="R1274" s="553">
        <f>'Foglio deposito bis'!$F$69*IF(ABS(L1274)&lt;'Progetto del paramento slu'!$G$58,ABS(L1274)*'Progetto del paramento slu'!$G$54,'Progetto del paramento slu'!$G$53)*IF(L1274&lt;0,-1,1)</f>
        <v>153664.85805602249</v>
      </c>
      <c r="S1274" s="553">
        <f>'Foglio deposito bis'!$F$70*IF(ABS(M1274)&lt;'Progetto del paramento slu'!$G$58,ABS(M1274)*'Progetto del paramento slu'!$G$54,'Progetto del paramento slu'!$G$53)*IF(M1274&lt;0,-1,1)</f>
        <v>0</v>
      </c>
      <c r="T1274" s="553">
        <f>'Foglio deposito bis'!$F$71*IF(ABS(N1274)&lt;'Progetto del paramento slu'!$G$58,ABS(N1274)*'Progetto del paramento slu'!$G$54,'Progetto del paramento slu'!$G$53)*IF(N1274&lt;0,-1,1)</f>
        <v>314705.62929873407</v>
      </c>
      <c r="U1274" s="553">
        <f>'Foglio deposito bis'!$F$72*IF(ABS(O1274)&lt;'Progetto del paramento slu'!$G$58,ABS(O1274)*'Progetto del paramento slu'!$G$54,'Progetto del paramento slu'!$G$53)*IF(O1274&lt;0,-1,1)</f>
        <v>491727.54577927204</v>
      </c>
      <c r="V1274" s="479">
        <f t="shared" si="96"/>
        <v>877123.54943710705</v>
      </c>
      <c r="W1274" s="559"/>
      <c r="X1274" s="559"/>
    </row>
    <row r="1275" spans="1:24" x14ac:dyDescent="0.25">
      <c r="A1275" s="553">
        <f t="shared" si="95"/>
        <v>874262.36034410982</v>
      </c>
      <c r="B1275" s="3">
        <f t="shared" si="97"/>
        <v>1.5000000000000007</v>
      </c>
      <c r="C1275" s="553">
        <f>'Foglio deposito bis'!$E$158/sezione!$B$247*B1275</f>
        <v>6.0894113667117766</v>
      </c>
      <c r="D1275" s="611">
        <f>-'Progetto del paramento slu'!$G$47*'Progetto del paramento slu'!$G$41*IF(DATI!$G$218="dx",DATI!$E$61,DATI!$E$64*DATI!$E$63)*1000*C1275^2*sezione!$AD$5*(1-sezione!$AD$6)</f>
        <v>-305250.21338887035</v>
      </c>
      <c r="E1275" s="553">
        <f>-'Foglio deposito bis'!$F$68*(C1275-sezione!$AL$32)*IF(ABS(K1275)&lt;'Progetto del paramento slu'!$G$58,ABS(K1275)*'Progetto del paramento slu'!$G$54,'Progetto del paramento slu'!$G$53)</f>
        <v>0</v>
      </c>
      <c r="F1275" s="553">
        <f>-'Foglio deposito bis'!$F$69*(C1275-sezione!$AM$32)*IF(ABS(L1275)&lt;'Progetto del paramento slu'!$G$58,ABS(L1275)*'Progetto del paramento slu'!$G$54,'Progetto del paramento slu'!$G$53)</f>
        <v>22114000.17509288</v>
      </c>
      <c r="G1275" s="553">
        <f>-'Foglio deposito bis'!$F$70*(C1275-sezione!$AN$32)*IF(ABS(M1275)&lt;'Progetto del paramento slu'!$G$58,ABS(M1275)*'Progetto del paramento slu'!$G$54,'Progetto del paramento slu'!$G$53)</f>
        <v>0</v>
      </c>
      <c r="H1275" s="553">
        <f>-'Foglio deposito bis'!$F$71*(C1275-sezione!$AO$32)*IF(ABS(N1275)&lt;'Progetto del paramento slu'!$G$58,ABS(N1275)*'Progetto del paramento slu'!$G$54,'Progetto del paramento slu'!$G$53)</f>
        <v>105083541.9253497</v>
      </c>
      <c r="I1275" s="479">
        <f>-'Foglio deposito bis'!$F$72*(C1275-sezione!$AP$32)*IF(ABS(O1275)&lt;'Progetto del paramento slu'!$G$58,ABS(O1275)*'Progetto del paramento slu'!$G$54,'Progetto del paramento slu'!$G$53)</f>
        <v>124857289.23374599</v>
      </c>
      <c r="J1275" s="479">
        <f t="shared" si="93"/>
        <v>251749581.12079969</v>
      </c>
      <c r="K1275" s="558">
        <f>'Progetto del paramento slu'!$G$60*(sezione!$AL$32-C1275)/C1275</f>
        <v>1.9490727932312223E-2</v>
      </c>
      <c r="L1275" s="558">
        <f>'Progetto del paramento slu'!$G$60*(sezione!$AM$32-C1275)/C1275</f>
        <v>8.2715229746170835E-2</v>
      </c>
      <c r="M1275" s="559">
        <f>'Progetto del paramento slu'!$G$60*(sezione!$AN$32-C1275)/C1275</f>
        <v>0.14593973156002946</v>
      </c>
      <c r="N1275" s="559">
        <f>'Progetto del paramento slu'!$G$60*(sezione!$AO$32-C1275)/C1275</f>
        <v>0.19192118742465392</v>
      </c>
      <c r="O1275" s="559">
        <f>'Progetto del paramento slu'!$G$60*(sezione!$AP$32-C1275)/C1275</f>
        <v>0.14594260540102094</v>
      </c>
      <c r="P1275" s="553">
        <f>-'Progetto del paramento slu'!$G$47*'Progetto del paramento slu'!$G$41*IF(DATI!$G$218="dx",DATI!$E$61,DATI!$E$64*DATI!$E$63)*1000*C1275*sezione!$AD$5</f>
        <v>-85835.67278991887</v>
      </c>
      <c r="Q1275" s="553">
        <f>'Foglio deposito bis'!$F$68*IF(ABS(K1275)&lt;'Progetto del paramento slu'!$G$58,ABS(K1275)*'Progetto del paramento slu'!$G$54,'Progetto del paramento slu'!$G$53)*IF(K1275&lt;0,-1,1)</f>
        <v>0</v>
      </c>
      <c r="R1275" s="553">
        <f>'Foglio deposito bis'!$F$69*IF(ABS(L1275)&lt;'Progetto del paramento slu'!$G$58,ABS(L1275)*'Progetto del paramento slu'!$G$54,'Progetto del paramento slu'!$G$53)*IF(L1275&lt;0,-1,1)</f>
        <v>153664.85805602249</v>
      </c>
      <c r="S1275" s="553">
        <f>'Foglio deposito bis'!$F$70*IF(ABS(M1275)&lt;'Progetto del paramento slu'!$G$58,ABS(M1275)*'Progetto del paramento slu'!$G$54,'Progetto del paramento slu'!$G$53)*IF(M1275&lt;0,-1,1)</f>
        <v>0</v>
      </c>
      <c r="T1275" s="553">
        <f>'Foglio deposito bis'!$F$71*IF(ABS(N1275)&lt;'Progetto del paramento slu'!$G$58,ABS(N1275)*'Progetto del paramento slu'!$G$54,'Progetto del paramento slu'!$G$53)*IF(N1275&lt;0,-1,1)</f>
        <v>314705.62929873407</v>
      </c>
      <c r="U1275" s="553">
        <f>'Foglio deposito bis'!$F$72*IF(ABS(O1275)&lt;'Progetto del paramento slu'!$G$58,ABS(O1275)*'Progetto del paramento slu'!$G$54,'Progetto del paramento slu'!$G$53)*IF(O1275&lt;0,-1,1)</f>
        <v>491727.54577927204</v>
      </c>
      <c r="V1275" s="479">
        <f t="shared" si="96"/>
        <v>874262.36034410982</v>
      </c>
      <c r="W1275" s="559"/>
      <c r="X1275" s="559"/>
    </row>
    <row r="1276" spans="1:24" x14ac:dyDescent="0.25">
      <c r="A1276" s="553">
        <f t="shared" si="95"/>
        <v>871401.17125111236</v>
      </c>
      <c r="B1276" s="3">
        <f t="shared" si="97"/>
        <v>1.5500000000000007</v>
      </c>
      <c r="C1276" s="553">
        <f>'Foglio deposito bis'!$E$158/sezione!$B$247*B1276</f>
        <v>6.2923917456021696</v>
      </c>
      <c r="D1276" s="611">
        <f>-'Progetto del paramento slu'!$G$47*'Progetto del paramento slu'!$G$41*IF(DATI!$G$218="dx",DATI!$E$61,DATI!$E$64*DATI!$E$63)*1000*C1276^2*sezione!$AD$5*(1-sezione!$AD$6)</f>
        <v>-325939.39451856038</v>
      </c>
      <c r="E1276" s="553">
        <f>-'Foglio deposito bis'!$F$68*(C1276-sezione!$AL$32)*IF(ABS(K1276)&lt;'Progetto del paramento slu'!$G$58,ABS(K1276)*'Progetto del paramento slu'!$G$54,'Progetto del paramento slu'!$G$53)</f>
        <v>0</v>
      </c>
      <c r="F1276" s="553">
        <f>-'Foglio deposito bis'!$F$69*(C1276-sezione!$AM$32)*IF(ABS(L1276)&lt;'Progetto del paramento slu'!$G$58,ABS(L1276)*'Progetto del paramento slu'!$G$54,'Progetto del paramento slu'!$G$53)</f>
        <v>22082809.223982532</v>
      </c>
      <c r="G1276" s="553">
        <f>-'Foglio deposito bis'!$F$70*(C1276-sezione!$AN$32)*IF(ABS(M1276)&lt;'Progetto del paramento slu'!$G$58,ABS(M1276)*'Progetto del paramento slu'!$G$54,'Progetto del paramento slu'!$G$53)</f>
        <v>0</v>
      </c>
      <c r="H1276" s="553">
        <f>-'Foglio deposito bis'!$F$71*(C1276-sezione!$AO$32)*IF(ABS(N1276)&lt;'Progetto del paramento slu'!$G$58,ABS(N1276)*'Progetto del paramento slu'!$G$54,'Progetto del paramento slu'!$G$53)</f>
        <v>105019662.8574757</v>
      </c>
      <c r="I1276" s="479">
        <f>-'Foglio deposito bis'!$F$72*(C1276-sezione!$AP$32)*IF(ABS(O1276)&lt;'Progetto del paramento slu'!$G$58,ABS(O1276)*'Progetto del paramento slu'!$G$54,'Progetto del paramento slu'!$G$53)</f>
        <v>124757478.19019285</v>
      </c>
      <c r="J1276" s="479">
        <f t="shared" si="93"/>
        <v>251534010.87713253</v>
      </c>
      <c r="K1276" s="558">
        <f>'Progetto del paramento slu'!$G$60*(sezione!$AL$32-C1276)/C1276</f>
        <v>1.8749091547398927E-2</v>
      </c>
      <c r="L1276" s="558">
        <f>'Progetto del paramento slu'!$G$60*(sezione!$AM$32-C1276)/C1276</f>
        <v>7.9934093302745965E-2</v>
      </c>
      <c r="M1276" s="559">
        <f>'Progetto del paramento slu'!$G$60*(sezione!$AN$32-C1276)/C1276</f>
        <v>0.141119095058093</v>
      </c>
      <c r="N1276" s="559">
        <f>'Progetto del paramento slu'!$G$60*(sezione!$AO$32-C1276)/C1276</f>
        <v>0.18561727815289086</v>
      </c>
      <c r="O1276" s="559">
        <f>'Progetto del paramento slu'!$G$60*(sezione!$AP$32-C1276)/C1276</f>
        <v>0.14112187619453637</v>
      </c>
      <c r="P1276" s="553">
        <f>-'Progetto del paramento slu'!$G$47*'Progetto del paramento slu'!$G$41*IF(DATI!$G$218="dx",DATI!$E$61,DATI!$E$64*DATI!$E$63)*1000*C1276*sezione!$AD$5</f>
        <v>-88696.861882916171</v>
      </c>
      <c r="Q1276" s="553">
        <f>'Foglio deposito bis'!$F$68*IF(ABS(K1276)&lt;'Progetto del paramento slu'!$G$58,ABS(K1276)*'Progetto del paramento slu'!$G$54,'Progetto del paramento slu'!$G$53)*IF(K1276&lt;0,-1,1)</f>
        <v>0</v>
      </c>
      <c r="R1276" s="553">
        <f>'Foglio deposito bis'!$F$69*IF(ABS(L1276)&lt;'Progetto del paramento slu'!$G$58,ABS(L1276)*'Progetto del paramento slu'!$G$54,'Progetto del paramento slu'!$G$53)*IF(L1276&lt;0,-1,1)</f>
        <v>153664.85805602249</v>
      </c>
      <c r="S1276" s="553">
        <f>'Foglio deposito bis'!$F$70*IF(ABS(M1276)&lt;'Progetto del paramento slu'!$G$58,ABS(M1276)*'Progetto del paramento slu'!$G$54,'Progetto del paramento slu'!$G$53)*IF(M1276&lt;0,-1,1)</f>
        <v>0</v>
      </c>
      <c r="T1276" s="553">
        <f>'Foglio deposito bis'!$F$71*IF(ABS(N1276)&lt;'Progetto del paramento slu'!$G$58,ABS(N1276)*'Progetto del paramento slu'!$G$54,'Progetto del paramento slu'!$G$53)*IF(N1276&lt;0,-1,1)</f>
        <v>314705.62929873407</v>
      </c>
      <c r="U1276" s="553">
        <f>'Foglio deposito bis'!$F$72*IF(ABS(O1276)&lt;'Progetto del paramento slu'!$G$58,ABS(O1276)*'Progetto del paramento slu'!$G$54,'Progetto del paramento slu'!$G$53)*IF(O1276&lt;0,-1,1)</f>
        <v>491727.54577927204</v>
      </c>
      <c r="V1276" s="479">
        <f t="shared" si="96"/>
        <v>871401.17125111236</v>
      </c>
      <c r="W1276" s="559"/>
      <c r="X1276" s="559"/>
    </row>
    <row r="1277" spans="1:24" x14ac:dyDescent="0.25">
      <c r="A1277" s="553">
        <f t="shared" si="95"/>
        <v>868539.98215811513</v>
      </c>
      <c r="B1277" s="3">
        <f t="shared" si="97"/>
        <v>1.6000000000000008</v>
      </c>
      <c r="C1277" s="553">
        <f>'Foglio deposito bis'!$E$158/sezione!$B$247*B1277</f>
        <v>6.4953721244925617</v>
      </c>
      <c r="D1277" s="611">
        <f>-'Progetto del paramento slu'!$G$47*'Progetto del paramento slu'!$G$41*IF(DATI!$G$218="dx",DATI!$E$61,DATI!$E$64*DATI!$E$63)*1000*C1277^2*sezione!$AD$5*(1-sezione!$AD$6)</f>
        <v>-347306.90945578134</v>
      </c>
      <c r="E1277" s="553">
        <f>-'Foglio deposito bis'!$F$68*(C1277-sezione!$AL$32)*IF(ABS(K1277)&lt;'Progetto del paramento slu'!$G$58,ABS(K1277)*'Progetto del paramento slu'!$G$54,'Progetto del paramento slu'!$G$53)</f>
        <v>0</v>
      </c>
      <c r="F1277" s="553">
        <f>-'Foglio deposito bis'!$F$69*(C1277-sezione!$AM$32)*IF(ABS(L1277)&lt;'Progetto del paramento slu'!$G$58,ABS(L1277)*'Progetto del paramento slu'!$G$54,'Progetto del paramento slu'!$G$53)</f>
        <v>22051618.272872176</v>
      </c>
      <c r="G1277" s="553">
        <f>-'Foglio deposito bis'!$F$70*(C1277-sezione!$AN$32)*IF(ABS(M1277)&lt;'Progetto del paramento slu'!$G$58,ABS(M1277)*'Progetto del paramento slu'!$G$54,'Progetto del paramento slu'!$G$53)</f>
        <v>0</v>
      </c>
      <c r="H1277" s="553">
        <f>-'Foglio deposito bis'!$F$71*(C1277-sezione!$AO$32)*IF(ABS(N1277)&lt;'Progetto del paramento slu'!$G$58,ABS(N1277)*'Progetto del paramento slu'!$G$54,'Progetto del paramento slu'!$G$53)</f>
        <v>104955783.7896017</v>
      </c>
      <c r="I1277" s="479">
        <f>-'Foglio deposito bis'!$F$72*(C1277-sezione!$AP$32)*IF(ABS(O1277)&lt;'Progetto del paramento slu'!$G$58,ABS(O1277)*'Progetto del paramento slu'!$G$54,'Progetto del paramento slu'!$G$53)</f>
        <v>124657667.14663973</v>
      </c>
      <c r="J1277" s="479">
        <f t="shared" si="93"/>
        <v>251317762.29965782</v>
      </c>
      <c r="K1277" s="558">
        <f>'Progetto del paramento slu'!$G$60*(sezione!$AL$32-C1277)/C1277</f>
        <v>1.805380743654271E-2</v>
      </c>
      <c r="L1277" s="558">
        <f>'Progetto del paramento slu'!$G$60*(sezione!$AM$32-C1277)/C1277</f>
        <v>7.7326777887035167E-2</v>
      </c>
      <c r="M1277" s="559">
        <f>'Progetto del paramento slu'!$G$60*(sezione!$AN$32-C1277)/C1277</f>
        <v>0.13659974833752761</v>
      </c>
      <c r="N1277" s="559">
        <f>'Progetto del paramento slu'!$G$60*(sezione!$AO$32-C1277)/C1277</f>
        <v>0.17970736321061304</v>
      </c>
      <c r="O1277" s="559">
        <f>'Progetto del paramento slu'!$G$60*(sezione!$AP$32-C1277)/C1277</f>
        <v>0.13660244256345713</v>
      </c>
      <c r="P1277" s="553">
        <f>-'Progetto del paramento slu'!$G$47*'Progetto del paramento slu'!$G$41*IF(DATI!$G$218="dx",DATI!$E$61,DATI!$E$64*DATI!$E$63)*1000*C1277*sezione!$AD$5</f>
        <v>-91558.050975913458</v>
      </c>
      <c r="Q1277" s="553">
        <f>'Foglio deposito bis'!$F$68*IF(ABS(K1277)&lt;'Progetto del paramento slu'!$G$58,ABS(K1277)*'Progetto del paramento slu'!$G$54,'Progetto del paramento slu'!$G$53)*IF(K1277&lt;0,-1,1)</f>
        <v>0</v>
      </c>
      <c r="R1277" s="553">
        <f>'Foglio deposito bis'!$F$69*IF(ABS(L1277)&lt;'Progetto del paramento slu'!$G$58,ABS(L1277)*'Progetto del paramento slu'!$G$54,'Progetto del paramento slu'!$G$53)*IF(L1277&lt;0,-1,1)</f>
        <v>153664.85805602249</v>
      </c>
      <c r="S1277" s="553">
        <f>'Foglio deposito bis'!$F$70*IF(ABS(M1277)&lt;'Progetto del paramento slu'!$G$58,ABS(M1277)*'Progetto del paramento slu'!$G$54,'Progetto del paramento slu'!$G$53)*IF(M1277&lt;0,-1,1)</f>
        <v>0</v>
      </c>
      <c r="T1277" s="553">
        <f>'Foglio deposito bis'!$F$71*IF(ABS(N1277)&lt;'Progetto del paramento slu'!$G$58,ABS(N1277)*'Progetto del paramento slu'!$G$54,'Progetto del paramento slu'!$G$53)*IF(N1277&lt;0,-1,1)</f>
        <v>314705.62929873407</v>
      </c>
      <c r="U1277" s="553">
        <f>'Foglio deposito bis'!$F$72*IF(ABS(O1277)&lt;'Progetto del paramento slu'!$G$58,ABS(O1277)*'Progetto del paramento slu'!$G$54,'Progetto del paramento slu'!$G$53)*IF(O1277&lt;0,-1,1)</f>
        <v>491727.54577927204</v>
      </c>
      <c r="V1277" s="479">
        <f t="shared" si="96"/>
        <v>868539.98215811513</v>
      </c>
      <c r="W1277" s="559"/>
      <c r="X1277" s="559"/>
    </row>
    <row r="1278" spans="1:24" x14ac:dyDescent="0.25">
      <c r="A1278" s="553">
        <f t="shared" si="95"/>
        <v>865678.7930651179</v>
      </c>
      <c r="B1278" s="3">
        <f t="shared" si="97"/>
        <v>1.6500000000000008</v>
      </c>
      <c r="C1278" s="553">
        <f>'Foglio deposito bis'!$E$158/sezione!$B$247*B1278</f>
        <v>6.6983525033829547</v>
      </c>
      <c r="D1278" s="611">
        <f>-'Progetto del paramento slu'!$G$47*'Progetto del paramento slu'!$G$41*IF(DATI!$G$218="dx",DATI!$E$61,DATI!$E$64*DATI!$E$63)*1000*C1278^2*sezione!$AD$5*(1-sezione!$AD$6)</f>
        <v>-369352.75820053311</v>
      </c>
      <c r="E1278" s="553">
        <f>-'Foglio deposito bis'!$F$68*(C1278-sezione!$AL$32)*IF(ABS(K1278)&lt;'Progetto del paramento slu'!$G$58,ABS(K1278)*'Progetto del paramento slu'!$G$54,'Progetto del paramento slu'!$G$53)</f>
        <v>0</v>
      </c>
      <c r="F1278" s="553">
        <f>-'Foglio deposito bis'!$F$69*(C1278-sezione!$AM$32)*IF(ABS(L1278)&lt;'Progetto del paramento slu'!$G$58,ABS(L1278)*'Progetto del paramento slu'!$G$54,'Progetto del paramento slu'!$G$53)</f>
        <v>22020427.321761832</v>
      </c>
      <c r="G1278" s="553">
        <f>-'Foglio deposito bis'!$F$70*(C1278-sezione!$AN$32)*IF(ABS(M1278)&lt;'Progetto del paramento slu'!$G$58,ABS(M1278)*'Progetto del paramento slu'!$G$54,'Progetto del paramento slu'!$G$53)</f>
        <v>0</v>
      </c>
      <c r="H1278" s="553">
        <f>-'Foglio deposito bis'!$F$71*(C1278-sezione!$AO$32)*IF(ABS(N1278)&lt;'Progetto del paramento slu'!$G$58,ABS(N1278)*'Progetto del paramento slu'!$G$54,'Progetto del paramento slu'!$G$53)</f>
        <v>104891904.7217277</v>
      </c>
      <c r="I1278" s="479">
        <f>-'Foglio deposito bis'!$F$72*(C1278-sezione!$AP$32)*IF(ABS(O1278)&lt;'Progetto del paramento slu'!$G$58,ABS(O1278)*'Progetto del paramento slu'!$G$54,'Progetto del paramento slu'!$G$53)</f>
        <v>124557856.10308664</v>
      </c>
      <c r="J1278" s="479">
        <f t="shared" si="93"/>
        <v>251100835.38837564</v>
      </c>
      <c r="K1278" s="558">
        <f>'Progetto del paramento slu'!$G$60*(sezione!$AL$32-C1278)/C1278</f>
        <v>1.7400661756647475E-2</v>
      </c>
      <c r="L1278" s="558">
        <f>'Progetto del paramento slu'!$G$60*(sezione!$AM$32-C1278)/C1278</f>
        <v>7.4877481587428033E-2</v>
      </c>
      <c r="M1278" s="559">
        <f>'Progetto del paramento slu'!$G$60*(sezione!$AN$32-C1278)/C1278</f>
        <v>0.13235430141820859</v>
      </c>
      <c r="N1278" s="559">
        <f>'Progetto del paramento slu'!$G$60*(sezione!$AO$32-C1278)/C1278</f>
        <v>0.17415562493150352</v>
      </c>
      <c r="O1278" s="559">
        <f>'Progetto del paramento slu'!$G$60*(sezione!$AP$32-C1278)/C1278</f>
        <v>0.13235691400092811</v>
      </c>
      <c r="P1278" s="553">
        <f>-'Progetto del paramento slu'!$G$47*'Progetto del paramento slu'!$G$41*IF(DATI!$G$218="dx",DATI!$E$61,DATI!$E$64*DATI!$E$63)*1000*C1278*sezione!$AD$5</f>
        <v>-94419.24006891076</v>
      </c>
      <c r="Q1278" s="553">
        <f>'Foglio deposito bis'!$F$68*IF(ABS(K1278)&lt;'Progetto del paramento slu'!$G$58,ABS(K1278)*'Progetto del paramento slu'!$G$54,'Progetto del paramento slu'!$G$53)*IF(K1278&lt;0,-1,1)</f>
        <v>0</v>
      </c>
      <c r="R1278" s="553">
        <f>'Foglio deposito bis'!$F$69*IF(ABS(L1278)&lt;'Progetto del paramento slu'!$G$58,ABS(L1278)*'Progetto del paramento slu'!$G$54,'Progetto del paramento slu'!$G$53)*IF(L1278&lt;0,-1,1)</f>
        <v>153664.85805602249</v>
      </c>
      <c r="S1278" s="553">
        <f>'Foglio deposito bis'!$F$70*IF(ABS(M1278)&lt;'Progetto del paramento slu'!$G$58,ABS(M1278)*'Progetto del paramento slu'!$G$54,'Progetto del paramento slu'!$G$53)*IF(M1278&lt;0,-1,1)</f>
        <v>0</v>
      </c>
      <c r="T1278" s="553">
        <f>'Foglio deposito bis'!$F$71*IF(ABS(N1278)&lt;'Progetto del paramento slu'!$G$58,ABS(N1278)*'Progetto del paramento slu'!$G$54,'Progetto del paramento slu'!$G$53)*IF(N1278&lt;0,-1,1)</f>
        <v>314705.62929873407</v>
      </c>
      <c r="U1278" s="553">
        <f>'Foglio deposito bis'!$F$72*IF(ABS(O1278)&lt;'Progetto del paramento slu'!$G$58,ABS(O1278)*'Progetto del paramento slu'!$G$54,'Progetto del paramento slu'!$G$53)*IF(O1278&lt;0,-1,1)</f>
        <v>491727.54577927204</v>
      </c>
      <c r="V1278" s="479">
        <f t="shared" si="96"/>
        <v>865678.7930651179</v>
      </c>
      <c r="W1278" s="559"/>
      <c r="X1278" s="559"/>
    </row>
    <row r="1279" spans="1:24" x14ac:dyDescent="0.25">
      <c r="A1279" s="553">
        <f t="shared" si="95"/>
        <v>862817.60397212056</v>
      </c>
      <c r="B1279" s="3">
        <f t="shared" si="97"/>
        <v>1.7000000000000008</v>
      </c>
      <c r="C1279" s="553">
        <f>'Foglio deposito bis'!$E$158/sezione!$B$247*B1279</f>
        <v>6.9013328822733468</v>
      </c>
      <c r="D1279" s="611">
        <f>-'Progetto del paramento slu'!$G$47*'Progetto del paramento slu'!$G$41*IF(DATI!$G$218="dx",DATI!$E$61,DATI!$E$64*DATI!$E$63)*1000*C1279^2*sezione!$AD$5*(1-sezione!$AD$6)</f>
        <v>-392076.94075281563</v>
      </c>
      <c r="E1279" s="553">
        <f>-'Foglio deposito bis'!$F$68*(C1279-sezione!$AL$32)*IF(ABS(K1279)&lt;'Progetto del paramento slu'!$G$58,ABS(K1279)*'Progetto del paramento slu'!$G$54,'Progetto del paramento slu'!$G$53)</f>
        <v>0</v>
      </c>
      <c r="F1279" s="553">
        <f>-'Foglio deposito bis'!$F$69*(C1279-sezione!$AM$32)*IF(ABS(L1279)&lt;'Progetto del paramento slu'!$G$58,ABS(L1279)*'Progetto del paramento slu'!$G$54,'Progetto del paramento slu'!$G$53)</f>
        <v>21989236.37065148</v>
      </c>
      <c r="G1279" s="553">
        <f>-'Foglio deposito bis'!$F$70*(C1279-sezione!$AN$32)*IF(ABS(M1279)&lt;'Progetto del paramento slu'!$G$58,ABS(M1279)*'Progetto del paramento slu'!$G$54,'Progetto del paramento slu'!$G$53)</f>
        <v>0</v>
      </c>
      <c r="H1279" s="553">
        <f>-'Foglio deposito bis'!$F$71*(C1279-sezione!$AO$32)*IF(ABS(N1279)&lt;'Progetto del paramento slu'!$G$58,ABS(N1279)*'Progetto del paramento slu'!$G$54,'Progetto del paramento slu'!$G$53)</f>
        <v>104828025.65385371</v>
      </c>
      <c r="I1279" s="479">
        <f>-'Foglio deposito bis'!$F$72*(C1279-sezione!$AP$32)*IF(ABS(O1279)&lt;'Progetto del paramento slu'!$G$58,ABS(O1279)*'Progetto del paramento slu'!$G$54,'Progetto del paramento slu'!$G$53)</f>
        <v>124458045.05953349</v>
      </c>
      <c r="J1279" s="479">
        <f t="shared" si="93"/>
        <v>250883230.14328587</v>
      </c>
      <c r="K1279" s="558">
        <f>'Progetto del paramento slu'!$G$60*(sezione!$AL$32-C1279)/C1279</f>
        <v>1.678593641086373E-2</v>
      </c>
      <c r="L1279" s="558">
        <f>'Progetto del paramento slu'!$G$60*(sezione!$AM$32-C1279)/C1279</f>
        <v>7.257226154073898E-2</v>
      </c>
      <c r="M1279" s="559">
        <f>'Progetto del paramento slu'!$G$60*(sezione!$AN$32-C1279)/C1279</f>
        <v>0.12835858667061423</v>
      </c>
      <c r="N1279" s="559">
        <f>'Progetto del paramento slu'!$G$60*(sezione!$AO$32-C1279)/C1279</f>
        <v>0.1689304594923417</v>
      </c>
      <c r="O1279" s="559">
        <f>'Progetto del paramento slu'!$G$60*(sezione!$AP$32-C1279)/C1279</f>
        <v>0.12836112241266553</v>
      </c>
      <c r="P1279" s="553">
        <f>-'Progetto del paramento slu'!$G$47*'Progetto del paramento slu'!$G$41*IF(DATI!$G$218="dx",DATI!$E$61,DATI!$E$64*DATI!$E$63)*1000*C1279*sezione!$AD$5</f>
        <v>-97280.429161908047</v>
      </c>
      <c r="Q1279" s="553">
        <f>'Foglio deposito bis'!$F$68*IF(ABS(K1279)&lt;'Progetto del paramento slu'!$G$58,ABS(K1279)*'Progetto del paramento slu'!$G$54,'Progetto del paramento slu'!$G$53)*IF(K1279&lt;0,-1,1)</f>
        <v>0</v>
      </c>
      <c r="R1279" s="553">
        <f>'Foglio deposito bis'!$F$69*IF(ABS(L1279)&lt;'Progetto del paramento slu'!$G$58,ABS(L1279)*'Progetto del paramento slu'!$G$54,'Progetto del paramento slu'!$G$53)*IF(L1279&lt;0,-1,1)</f>
        <v>153664.85805602249</v>
      </c>
      <c r="S1279" s="553">
        <f>'Foglio deposito bis'!$F$70*IF(ABS(M1279)&lt;'Progetto del paramento slu'!$G$58,ABS(M1279)*'Progetto del paramento slu'!$G$54,'Progetto del paramento slu'!$G$53)*IF(M1279&lt;0,-1,1)</f>
        <v>0</v>
      </c>
      <c r="T1279" s="553">
        <f>'Foglio deposito bis'!$F$71*IF(ABS(N1279)&lt;'Progetto del paramento slu'!$G$58,ABS(N1279)*'Progetto del paramento slu'!$G$54,'Progetto del paramento slu'!$G$53)*IF(N1279&lt;0,-1,1)</f>
        <v>314705.62929873407</v>
      </c>
      <c r="U1279" s="553">
        <f>'Foglio deposito bis'!$F$72*IF(ABS(O1279)&lt;'Progetto del paramento slu'!$G$58,ABS(O1279)*'Progetto del paramento slu'!$G$54,'Progetto del paramento slu'!$G$53)*IF(O1279&lt;0,-1,1)</f>
        <v>491727.54577927204</v>
      </c>
      <c r="V1279" s="479">
        <f t="shared" si="96"/>
        <v>862817.60397212056</v>
      </c>
      <c r="W1279" s="559"/>
      <c r="X1279" s="559"/>
    </row>
    <row r="1280" spans="1:24" x14ac:dyDescent="0.25">
      <c r="A1280" s="553">
        <f t="shared" si="95"/>
        <v>859956.41487912321</v>
      </c>
      <c r="B1280" s="3">
        <f t="shared" si="97"/>
        <v>1.7500000000000009</v>
      </c>
      <c r="C1280" s="553">
        <f>'Foglio deposito bis'!$E$158/sezione!$B$247*B1280</f>
        <v>7.1043132611637398</v>
      </c>
      <c r="D1280" s="611">
        <f>-'Progetto del paramento slu'!$G$47*'Progetto del paramento slu'!$G$41*IF(DATI!$G$218="dx",DATI!$E$61,DATI!$E$64*DATI!$E$63)*1000*C1280^2*sezione!$AD$5*(1-sezione!$AD$6)</f>
        <v>-415479.45711262908</v>
      </c>
      <c r="E1280" s="553">
        <f>-'Foglio deposito bis'!$F$68*(C1280-sezione!$AL$32)*IF(ABS(K1280)&lt;'Progetto del paramento slu'!$G$58,ABS(K1280)*'Progetto del paramento slu'!$G$54,'Progetto del paramento slu'!$G$53)</f>
        <v>0</v>
      </c>
      <c r="F1280" s="553">
        <f>-'Foglio deposito bis'!$F$69*(C1280-sezione!$AM$32)*IF(ABS(L1280)&lt;'Progetto del paramento slu'!$G$58,ABS(L1280)*'Progetto del paramento slu'!$G$54,'Progetto del paramento slu'!$G$53)</f>
        <v>21958045.419541128</v>
      </c>
      <c r="G1280" s="553">
        <f>-'Foglio deposito bis'!$F$70*(C1280-sezione!$AN$32)*IF(ABS(M1280)&lt;'Progetto del paramento slu'!$G$58,ABS(M1280)*'Progetto del paramento slu'!$G$54,'Progetto del paramento slu'!$G$53)</f>
        <v>0</v>
      </c>
      <c r="H1280" s="553">
        <f>-'Foglio deposito bis'!$F$71*(C1280-sezione!$AO$32)*IF(ABS(N1280)&lt;'Progetto del paramento slu'!$G$58,ABS(N1280)*'Progetto del paramento slu'!$G$54,'Progetto del paramento slu'!$G$53)</f>
        <v>104764146.58597971</v>
      </c>
      <c r="I1280" s="479">
        <f>-'Foglio deposito bis'!$F$72*(C1280-sezione!$AP$32)*IF(ABS(O1280)&lt;'Progetto del paramento slu'!$G$58,ABS(O1280)*'Progetto del paramento slu'!$G$54,'Progetto del paramento slu'!$G$53)</f>
        <v>124358234.01598038</v>
      </c>
      <c r="J1280" s="479">
        <f t="shared" si="93"/>
        <v>250664946.56438857</v>
      </c>
      <c r="K1280" s="558">
        <f>'Progetto del paramento slu'!$G$60*(sezione!$AL$32-C1280)/C1280</f>
        <v>1.6206338227696192E-2</v>
      </c>
      <c r="L1280" s="558">
        <f>'Progetto del paramento slu'!$G$60*(sezione!$AM$32-C1280)/C1280</f>
        <v>7.0398768353860705E-2</v>
      </c>
      <c r="M1280" s="559">
        <f>'Progetto del paramento slu'!$G$60*(sezione!$AN$32-C1280)/C1280</f>
        <v>0.12459119848002523</v>
      </c>
      <c r="N1280" s="559">
        <f>'Progetto del paramento slu'!$G$60*(sezione!$AO$32-C1280)/C1280</f>
        <v>0.16400387493541765</v>
      </c>
      <c r="O1280" s="559">
        <f>'Progetto del paramento slu'!$G$60*(sezione!$AP$32-C1280)/C1280</f>
        <v>0.12459366177230365</v>
      </c>
      <c r="P1280" s="553">
        <f>-'Progetto del paramento slu'!$G$47*'Progetto del paramento slu'!$G$41*IF(DATI!$G$218="dx",DATI!$E$61,DATI!$E$64*DATI!$E$63)*1000*C1280*sezione!$AD$5</f>
        <v>-100141.61825490535</v>
      </c>
      <c r="Q1280" s="553">
        <f>'Foglio deposito bis'!$F$68*IF(ABS(K1280)&lt;'Progetto del paramento slu'!$G$58,ABS(K1280)*'Progetto del paramento slu'!$G$54,'Progetto del paramento slu'!$G$53)*IF(K1280&lt;0,-1,1)</f>
        <v>0</v>
      </c>
      <c r="R1280" s="553">
        <f>'Foglio deposito bis'!$F$69*IF(ABS(L1280)&lt;'Progetto del paramento slu'!$G$58,ABS(L1280)*'Progetto del paramento slu'!$G$54,'Progetto del paramento slu'!$G$53)*IF(L1280&lt;0,-1,1)</f>
        <v>153664.85805602249</v>
      </c>
      <c r="S1280" s="553">
        <f>'Foglio deposito bis'!$F$70*IF(ABS(M1280)&lt;'Progetto del paramento slu'!$G$58,ABS(M1280)*'Progetto del paramento slu'!$G$54,'Progetto del paramento slu'!$G$53)*IF(M1280&lt;0,-1,1)</f>
        <v>0</v>
      </c>
      <c r="T1280" s="553">
        <f>'Foglio deposito bis'!$F$71*IF(ABS(N1280)&lt;'Progetto del paramento slu'!$G$58,ABS(N1280)*'Progetto del paramento slu'!$G$54,'Progetto del paramento slu'!$G$53)*IF(N1280&lt;0,-1,1)</f>
        <v>314705.62929873407</v>
      </c>
      <c r="U1280" s="553">
        <f>'Foglio deposito bis'!$F$72*IF(ABS(O1280)&lt;'Progetto del paramento slu'!$G$58,ABS(O1280)*'Progetto del paramento slu'!$G$54,'Progetto del paramento slu'!$G$53)*IF(O1280&lt;0,-1,1)</f>
        <v>491727.54577927204</v>
      </c>
      <c r="V1280" s="479">
        <f t="shared" si="96"/>
        <v>859956.41487912321</v>
      </c>
      <c r="W1280" s="559"/>
      <c r="X1280" s="559"/>
    </row>
    <row r="1281" spans="1:24" x14ac:dyDescent="0.25">
      <c r="A1281" s="553">
        <f t="shared" si="95"/>
        <v>857095.22578612599</v>
      </c>
      <c r="B1281" s="3">
        <f t="shared" si="97"/>
        <v>1.8000000000000009</v>
      </c>
      <c r="C1281" s="553">
        <f>'Foglio deposito bis'!$E$158/sezione!$B$247*B1281</f>
        <v>7.3072936400541328</v>
      </c>
      <c r="D1281" s="611">
        <f>-'Progetto del paramento slu'!$G$47*'Progetto del paramento slu'!$G$41*IF(DATI!$G$218="dx",DATI!$E$61,DATI!$E$64*DATI!$E$63)*1000*C1281^2*sezione!$AD$5*(1-sezione!$AD$6)</f>
        <v>-439560.30727997341</v>
      </c>
      <c r="E1281" s="553">
        <f>-'Foglio deposito bis'!$F$68*(C1281-sezione!$AL$32)*IF(ABS(K1281)&lt;'Progetto del paramento slu'!$G$58,ABS(K1281)*'Progetto del paramento slu'!$G$54,'Progetto del paramento slu'!$G$53)</f>
        <v>0</v>
      </c>
      <c r="F1281" s="553">
        <f>-'Foglio deposito bis'!$F$69*(C1281-sezione!$AM$32)*IF(ABS(L1281)&lt;'Progetto del paramento slu'!$G$58,ABS(L1281)*'Progetto del paramento slu'!$G$54,'Progetto del paramento slu'!$G$53)</f>
        <v>21926854.46843078</v>
      </c>
      <c r="G1281" s="553">
        <f>-'Foglio deposito bis'!$F$70*(C1281-sezione!$AN$32)*IF(ABS(M1281)&lt;'Progetto del paramento slu'!$G$58,ABS(M1281)*'Progetto del paramento slu'!$G$54,'Progetto del paramento slu'!$G$53)</f>
        <v>0</v>
      </c>
      <c r="H1281" s="553">
        <f>-'Foglio deposito bis'!$F$71*(C1281-sezione!$AO$32)*IF(ABS(N1281)&lt;'Progetto del paramento slu'!$G$58,ABS(N1281)*'Progetto del paramento slu'!$G$54,'Progetto del paramento slu'!$G$53)</f>
        <v>104700267.51810572</v>
      </c>
      <c r="I1281" s="479">
        <f>-'Foglio deposito bis'!$F$72*(C1281-sezione!$AP$32)*IF(ABS(O1281)&lt;'Progetto del paramento slu'!$G$58,ABS(O1281)*'Progetto del paramento slu'!$G$54,'Progetto del paramento slu'!$G$53)</f>
        <v>124258422.97242728</v>
      </c>
      <c r="J1281" s="479">
        <f t="shared" si="93"/>
        <v>250445984.65168381</v>
      </c>
      <c r="K1281" s="558">
        <f>'Progetto del paramento slu'!$G$60*(sezione!$AL$32-C1281)/C1281</f>
        <v>1.5658939943593516E-2</v>
      </c>
      <c r="L1281" s="558">
        <f>'Progetto del paramento slu'!$G$60*(sezione!$AM$32-C1281)/C1281</f>
        <v>6.8346024788475693E-2</v>
      </c>
      <c r="M1281" s="559">
        <f>'Progetto del paramento slu'!$G$60*(sezione!$AN$32-C1281)/C1281</f>
        <v>0.12103310963335787</v>
      </c>
      <c r="N1281" s="559">
        <f>'Progetto del paramento slu'!$G$60*(sezione!$AO$32-C1281)/C1281</f>
        <v>0.15935098952054488</v>
      </c>
      <c r="O1281" s="559">
        <f>'Progetto del paramento slu'!$G$60*(sezione!$AP$32-C1281)/C1281</f>
        <v>0.12103550450085077</v>
      </c>
      <c r="P1281" s="553">
        <f>-'Progetto del paramento slu'!$G$47*'Progetto del paramento slu'!$G$41*IF(DATI!$G$218="dx",DATI!$E$61,DATI!$E$64*DATI!$E$63)*1000*C1281*sezione!$AD$5</f>
        <v>-103002.80734790265</v>
      </c>
      <c r="Q1281" s="553">
        <f>'Foglio deposito bis'!$F$68*IF(ABS(K1281)&lt;'Progetto del paramento slu'!$G$58,ABS(K1281)*'Progetto del paramento slu'!$G$54,'Progetto del paramento slu'!$G$53)*IF(K1281&lt;0,-1,1)</f>
        <v>0</v>
      </c>
      <c r="R1281" s="553">
        <f>'Foglio deposito bis'!$F$69*IF(ABS(L1281)&lt;'Progetto del paramento slu'!$G$58,ABS(L1281)*'Progetto del paramento slu'!$G$54,'Progetto del paramento slu'!$G$53)*IF(L1281&lt;0,-1,1)</f>
        <v>153664.85805602249</v>
      </c>
      <c r="S1281" s="553">
        <f>'Foglio deposito bis'!$F$70*IF(ABS(M1281)&lt;'Progetto del paramento slu'!$G$58,ABS(M1281)*'Progetto del paramento slu'!$G$54,'Progetto del paramento slu'!$G$53)*IF(M1281&lt;0,-1,1)</f>
        <v>0</v>
      </c>
      <c r="T1281" s="553">
        <f>'Foglio deposito bis'!$F$71*IF(ABS(N1281)&lt;'Progetto del paramento slu'!$G$58,ABS(N1281)*'Progetto del paramento slu'!$G$54,'Progetto del paramento slu'!$G$53)*IF(N1281&lt;0,-1,1)</f>
        <v>314705.62929873407</v>
      </c>
      <c r="U1281" s="553">
        <f>'Foglio deposito bis'!$F$72*IF(ABS(O1281)&lt;'Progetto del paramento slu'!$G$58,ABS(O1281)*'Progetto del paramento slu'!$G$54,'Progetto del paramento slu'!$G$53)*IF(O1281&lt;0,-1,1)</f>
        <v>491727.54577927204</v>
      </c>
      <c r="V1281" s="479">
        <f t="shared" si="96"/>
        <v>857095.22578612599</v>
      </c>
      <c r="W1281" s="559"/>
      <c r="X1281" s="559"/>
    </row>
    <row r="1282" spans="1:24" x14ac:dyDescent="0.25">
      <c r="A1282" s="553">
        <f t="shared" si="95"/>
        <v>854234.03669312876</v>
      </c>
      <c r="B1282" s="3">
        <f t="shared" si="97"/>
        <v>1.850000000000001</v>
      </c>
      <c r="C1282" s="553">
        <f>'Foglio deposito bis'!$E$158/sezione!$B$247*B1282</f>
        <v>7.510274018944525</v>
      </c>
      <c r="D1282" s="611">
        <f>-'Progetto del paramento slu'!$G$47*'Progetto del paramento slu'!$G$41*IF(DATI!$G$218="dx",DATI!$E$61,DATI!$E$64*DATI!$E$63)*1000*C1282^2*sezione!$AD$5*(1-sezione!$AD$6)</f>
        <v>-464319.49125484831</v>
      </c>
      <c r="E1282" s="553">
        <f>-'Foglio deposito bis'!$F$68*(C1282-sezione!$AL$32)*IF(ABS(K1282)&lt;'Progetto del paramento slu'!$G$58,ABS(K1282)*'Progetto del paramento slu'!$G$54,'Progetto del paramento slu'!$G$53)</f>
        <v>0</v>
      </c>
      <c r="F1282" s="553">
        <f>-'Foglio deposito bis'!$F$69*(C1282-sezione!$AM$32)*IF(ABS(L1282)&lt;'Progetto del paramento slu'!$G$58,ABS(L1282)*'Progetto del paramento slu'!$G$54,'Progetto del paramento slu'!$G$53)</f>
        <v>21895663.517320428</v>
      </c>
      <c r="G1282" s="553">
        <f>-'Foglio deposito bis'!$F$70*(C1282-sezione!$AN$32)*IF(ABS(M1282)&lt;'Progetto del paramento slu'!$G$58,ABS(M1282)*'Progetto del paramento slu'!$G$54,'Progetto del paramento slu'!$G$53)</f>
        <v>0</v>
      </c>
      <c r="H1282" s="553">
        <f>-'Foglio deposito bis'!$F$71*(C1282-sezione!$AO$32)*IF(ABS(N1282)&lt;'Progetto del paramento slu'!$G$58,ABS(N1282)*'Progetto del paramento slu'!$G$54,'Progetto del paramento slu'!$G$53)</f>
        <v>104636388.45023172</v>
      </c>
      <c r="I1282" s="479">
        <f>-'Foglio deposito bis'!$F$72*(C1282-sezione!$AP$32)*IF(ABS(O1282)&lt;'Progetto del paramento slu'!$G$58,ABS(O1282)*'Progetto del paramento slu'!$G$54,'Progetto del paramento slu'!$G$53)</f>
        <v>124158611.92887415</v>
      </c>
      <c r="J1282" s="479">
        <f t="shared" si="93"/>
        <v>250226344.40517145</v>
      </c>
      <c r="K1282" s="558">
        <f>'Progetto del paramento slu'!$G$60*(sezione!$AL$32-C1282)/C1282</f>
        <v>1.5141130755928827E-2</v>
      </c>
      <c r="L1282" s="558">
        <f>'Progetto del paramento slu'!$G$60*(sezione!$AM$32-C1282)/C1282</f>
        <v>6.6404240334733106E-2</v>
      </c>
      <c r="M1282" s="559">
        <f>'Progetto del paramento slu'!$G$60*(sezione!$AN$32-C1282)/C1282</f>
        <v>0.1176673499135374</v>
      </c>
      <c r="N1282" s="559">
        <f>'Progetto del paramento slu'!$G$60*(sezione!$AO$32-C1282)/C1282</f>
        <v>0.15494961142539504</v>
      </c>
      <c r="O1282" s="559">
        <f>'Progetto del paramento slu'!$G$60*(sezione!$AP$32-C1282)/C1282</f>
        <v>0.11766968005488183</v>
      </c>
      <c r="P1282" s="553">
        <f>-'Progetto del paramento slu'!$G$47*'Progetto del paramento slu'!$G$41*IF(DATI!$G$218="dx",DATI!$E$61,DATI!$E$64*DATI!$E$63)*1000*C1282*sezione!$AD$5</f>
        <v>-105863.99644089994</v>
      </c>
      <c r="Q1282" s="553">
        <f>'Foglio deposito bis'!$F$68*IF(ABS(K1282)&lt;'Progetto del paramento slu'!$G$58,ABS(K1282)*'Progetto del paramento slu'!$G$54,'Progetto del paramento slu'!$G$53)*IF(K1282&lt;0,-1,1)</f>
        <v>0</v>
      </c>
      <c r="R1282" s="553">
        <f>'Foglio deposito bis'!$F$69*IF(ABS(L1282)&lt;'Progetto del paramento slu'!$G$58,ABS(L1282)*'Progetto del paramento slu'!$G$54,'Progetto del paramento slu'!$G$53)*IF(L1282&lt;0,-1,1)</f>
        <v>153664.85805602249</v>
      </c>
      <c r="S1282" s="553">
        <f>'Foglio deposito bis'!$F$70*IF(ABS(M1282)&lt;'Progetto del paramento slu'!$G$58,ABS(M1282)*'Progetto del paramento slu'!$G$54,'Progetto del paramento slu'!$G$53)*IF(M1282&lt;0,-1,1)</f>
        <v>0</v>
      </c>
      <c r="T1282" s="553">
        <f>'Foglio deposito bis'!$F$71*IF(ABS(N1282)&lt;'Progetto del paramento slu'!$G$58,ABS(N1282)*'Progetto del paramento slu'!$G$54,'Progetto del paramento slu'!$G$53)*IF(N1282&lt;0,-1,1)</f>
        <v>314705.62929873407</v>
      </c>
      <c r="U1282" s="553">
        <f>'Foglio deposito bis'!$F$72*IF(ABS(O1282)&lt;'Progetto del paramento slu'!$G$58,ABS(O1282)*'Progetto del paramento slu'!$G$54,'Progetto del paramento slu'!$G$53)*IF(O1282&lt;0,-1,1)</f>
        <v>491727.54577927204</v>
      </c>
      <c r="V1282" s="479">
        <f t="shared" si="96"/>
        <v>854234.03669312876</v>
      </c>
      <c r="W1282" s="559"/>
      <c r="X1282" s="559"/>
    </row>
    <row r="1283" spans="1:24" x14ac:dyDescent="0.25">
      <c r="A1283" s="553">
        <f t="shared" si="95"/>
        <v>851372.8476001313</v>
      </c>
      <c r="B1283" s="3">
        <f t="shared" si="97"/>
        <v>1.900000000000001</v>
      </c>
      <c r="C1283" s="553">
        <f>'Foglio deposito bis'!$E$158/sezione!$B$247*B1283</f>
        <v>7.713254397834918</v>
      </c>
      <c r="D1283" s="611">
        <f>-'Progetto del paramento slu'!$G$47*'Progetto del paramento slu'!$G$41*IF(DATI!$G$218="dx",DATI!$E$61,DATI!$E$64*DATI!$E$63)*1000*C1283^2*sezione!$AD$5*(1-sezione!$AD$6)</f>
        <v>-489757.00903725426</v>
      </c>
      <c r="E1283" s="553">
        <f>-'Foglio deposito bis'!$F$68*(C1283-sezione!$AL$32)*IF(ABS(K1283)&lt;'Progetto del paramento slu'!$G$58,ABS(K1283)*'Progetto del paramento slu'!$G$54,'Progetto del paramento slu'!$G$53)</f>
        <v>0</v>
      </c>
      <c r="F1283" s="553">
        <f>-'Foglio deposito bis'!$F$69*(C1283-sezione!$AM$32)*IF(ABS(L1283)&lt;'Progetto del paramento slu'!$G$58,ABS(L1283)*'Progetto del paramento slu'!$G$54,'Progetto del paramento slu'!$G$53)</f>
        <v>21864472.56621008</v>
      </c>
      <c r="G1283" s="553">
        <f>-'Foglio deposito bis'!$F$70*(C1283-sezione!$AN$32)*IF(ABS(M1283)&lt;'Progetto del paramento slu'!$G$58,ABS(M1283)*'Progetto del paramento slu'!$G$54,'Progetto del paramento slu'!$G$53)</f>
        <v>0</v>
      </c>
      <c r="H1283" s="553">
        <f>-'Foglio deposito bis'!$F$71*(C1283-sezione!$AO$32)*IF(ABS(N1283)&lt;'Progetto del paramento slu'!$G$58,ABS(N1283)*'Progetto del paramento slu'!$G$54,'Progetto del paramento slu'!$G$53)</f>
        <v>104572509.38235773</v>
      </c>
      <c r="I1283" s="479">
        <f>-'Foglio deposito bis'!$F$72*(C1283-sezione!$AP$32)*IF(ABS(O1283)&lt;'Progetto del paramento slu'!$G$58,ABS(O1283)*'Progetto del paramento slu'!$G$54,'Progetto del paramento slu'!$G$53)</f>
        <v>124058800.88532101</v>
      </c>
      <c r="J1283" s="479">
        <f t="shared" si="93"/>
        <v>250006025.82485157</v>
      </c>
      <c r="K1283" s="558">
        <f>'Progetto del paramento slu'!$G$60*(sezione!$AL$32-C1283)/C1283</f>
        <v>1.4650574683404386E-2</v>
      </c>
      <c r="L1283" s="558">
        <f>'Progetto del paramento slu'!$G$60*(sezione!$AM$32-C1283)/C1283</f>
        <v>6.4564655062766443E-2</v>
      </c>
      <c r="M1283" s="559">
        <f>'Progetto del paramento slu'!$G$60*(sezione!$AN$32-C1283)/C1283</f>
        <v>0.1144787354421285</v>
      </c>
      <c r="N1283" s="559">
        <f>'Progetto del paramento slu'!$G$60*(sezione!$AO$32-C1283)/C1283</f>
        <v>0.15077988480893728</v>
      </c>
      <c r="O1283" s="559">
        <f>'Progetto del paramento slu'!$G$60*(sezione!$AP$32-C1283)/C1283</f>
        <v>0.11448100426396388</v>
      </c>
      <c r="P1283" s="553">
        <f>-'Progetto del paramento slu'!$G$47*'Progetto del paramento slu'!$G$41*IF(DATI!$G$218="dx",DATI!$E$61,DATI!$E$64*DATI!$E$63)*1000*C1283*sezione!$AD$5</f>
        <v>-108725.18553389725</v>
      </c>
      <c r="Q1283" s="553">
        <f>'Foglio deposito bis'!$F$68*IF(ABS(K1283)&lt;'Progetto del paramento slu'!$G$58,ABS(K1283)*'Progetto del paramento slu'!$G$54,'Progetto del paramento slu'!$G$53)*IF(K1283&lt;0,-1,1)</f>
        <v>0</v>
      </c>
      <c r="R1283" s="553">
        <f>'Foglio deposito bis'!$F$69*IF(ABS(L1283)&lt;'Progetto del paramento slu'!$G$58,ABS(L1283)*'Progetto del paramento slu'!$G$54,'Progetto del paramento slu'!$G$53)*IF(L1283&lt;0,-1,1)</f>
        <v>153664.85805602249</v>
      </c>
      <c r="S1283" s="553">
        <f>'Foglio deposito bis'!$F$70*IF(ABS(M1283)&lt;'Progetto del paramento slu'!$G$58,ABS(M1283)*'Progetto del paramento slu'!$G$54,'Progetto del paramento slu'!$G$53)*IF(M1283&lt;0,-1,1)</f>
        <v>0</v>
      </c>
      <c r="T1283" s="553">
        <f>'Foglio deposito bis'!$F$71*IF(ABS(N1283)&lt;'Progetto del paramento slu'!$G$58,ABS(N1283)*'Progetto del paramento slu'!$G$54,'Progetto del paramento slu'!$G$53)*IF(N1283&lt;0,-1,1)</f>
        <v>314705.62929873407</v>
      </c>
      <c r="U1283" s="553">
        <f>'Foglio deposito bis'!$F$72*IF(ABS(O1283)&lt;'Progetto del paramento slu'!$G$58,ABS(O1283)*'Progetto del paramento slu'!$G$54,'Progetto del paramento slu'!$G$53)*IF(O1283&lt;0,-1,1)</f>
        <v>491727.54577927204</v>
      </c>
      <c r="V1283" s="479">
        <f t="shared" si="96"/>
        <v>851372.8476001313</v>
      </c>
      <c r="W1283" s="559"/>
      <c r="X1283" s="559"/>
    </row>
    <row r="1284" spans="1:24" x14ac:dyDescent="0.25">
      <c r="A1284" s="553">
        <f t="shared" si="95"/>
        <v>848511.65850713407</v>
      </c>
      <c r="B1284" s="3">
        <f t="shared" si="97"/>
        <v>1.9500000000000011</v>
      </c>
      <c r="C1284" s="553">
        <f>'Foglio deposito bis'!$E$158/sezione!$B$247*B1284</f>
        <v>7.9162347767253101</v>
      </c>
      <c r="D1284" s="611">
        <f>-'Progetto del paramento slu'!$G$47*'Progetto del paramento slu'!$G$41*IF(DATI!$G$218="dx",DATI!$E$61,DATI!$E$64*DATI!$E$63)*1000*C1284^2*sezione!$AD$5*(1-sezione!$AD$6)</f>
        <v>-515872.86062719091</v>
      </c>
      <c r="E1284" s="553">
        <f>-'Foglio deposito bis'!$F$68*(C1284-sezione!$AL$32)*IF(ABS(K1284)&lt;'Progetto del paramento slu'!$G$58,ABS(K1284)*'Progetto del paramento slu'!$G$54,'Progetto del paramento slu'!$G$53)</f>
        <v>0</v>
      </c>
      <c r="F1284" s="553">
        <f>-'Foglio deposito bis'!$F$69*(C1284-sezione!$AM$32)*IF(ABS(L1284)&lt;'Progetto del paramento slu'!$G$58,ABS(L1284)*'Progetto del paramento slu'!$G$54,'Progetto del paramento slu'!$G$53)</f>
        <v>21833281.615099732</v>
      </c>
      <c r="G1284" s="553">
        <f>-'Foglio deposito bis'!$F$70*(C1284-sezione!$AN$32)*IF(ABS(M1284)&lt;'Progetto del paramento slu'!$G$58,ABS(M1284)*'Progetto del paramento slu'!$G$54,'Progetto del paramento slu'!$G$53)</f>
        <v>0</v>
      </c>
      <c r="H1284" s="553">
        <f>-'Foglio deposito bis'!$F$71*(C1284-sezione!$AO$32)*IF(ABS(N1284)&lt;'Progetto del paramento slu'!$G$58,ABS(N1284)*'Progetto del paramento slu'!$G$54,'Progetto del paramento slu'!$G$53)</f>
        <v>104508630.31448373</v>
      </c>
      <c r="I1284" s="479">
        <f>-'Foglio deposito bis'!$F$72*(C1284-sezione!$AP$32)*IF(ABS(O1284)&lt;'Progetto del paramento slu'!$G$58,ABS(O1284)*'Progetto del paramento slu'!$G$54,'Progetto del paramento slu'!$G$53)</f>
        <v>123958989.84176792</v>
      </c>
      <c r="J1284" s="479">
        <f t="shared" si="93"/>
        <v>249785028.91072419</v>
      </c>
      <c r="K1284" s="558">
        <f>'Progetto del paramento slu'!$G$60*(sezione!$AL$32-C1284)/C1284</f>
        <v>1.4185175332547864E-2</v>
      </c>
      <c r="L1284" s="558">
        <f>'Progetto del paramento slu'!$G$60*(sezione!$AM$32-C1284)/C1284</f>
        <v>6.2819407497054502E-2</v>
      </c>
      <c r="M1284" s="559">
        <f>'Progetto del paramento slu'!$G$60*(sezione!$AN$32-C1284)/C1284</f>
        <v>0.11145363966156112</v>
      </c>
      <c r="N1284" s="559">
        <f>'Progetto del paramento slu'!$G$60*(sezione!$AO$32-C1284)/C1284</f>
        <v>0.14682399032665683</v>
      </c>
      <c r="O1284" s="559">
        <f>'Progetto del paramento slu'!$G$60*(sezione!$AP$32-C1284)/C1284</f>
        <v>0.11145585030847764</v>
      </c>
      <c r="P1284" s="553">
        <f>-'Progetto del paramento slu'!$G$47*'Progetto del paramento slu'!$G$41*IF(DATI!$G$218="dx",DATI!$E$61,DATI!$E$64*DATI!$E$63)*1000*C1284*sezione!$AD$5</f>
        <v>-111586.37462689453</v>
      </c>
      <c r="Q1284" s="553">
        <f>'Foglio deposito bis'!$F$68*IF(ABS(K1284)&lt;'Progetto del paramento slu'!$G$58,ABS(K1284)*'Progetto del paramento slu'!$G$54,'Progetto del paramento slu'!$G$53)*IF(K1284&lt;0,-1,1)</f>
        <v>0</v>
      </c>
      <c r="R1284" s="553">
        <f>'Foglio deposito bis'!$F$69*IF(ABS(L1284)&lt;'Progetto del paramento slu'!$G$58,ABS(L1284)*'Progetto del paramento slu'!$G$54,'Progetto del paramento slu'!$G$53)*IF(L1284&lt;0,-1,1)</f>
        <v>153664.85805602249</v>
      </c>
      <c r="S1284" s="553">
        <f>'Foglio deposito bis'!$F$70*IF(ABS(M1284)&lt;'Progetto del paramento slu'!$G$58,ABS(M1284)*'Progetto del paramento slu'!$G$54,'Progetto del paramento slu'!$G$53)*IF(M1284&lt;0,-1,1)</f>
        <v>0</v>
      </c>
      <c r="T1284" s="553">
        <f>'Foglio deposito bis'!$F$71*IF(ABS(N1284)&lt;'Progetto del paramento slu'!$G$58,ABS(N1284)*'Progetto del paramento slu'!$G$54,'Progetto del paramento slu'!$G$53)*IF(N1284&lt;0,-1,1)</f>
        <v>314705.62929873407</v>
      </c>
      <c r="U1284" s="553">
        <f>'Foglio deposito bis'!$F$72*IF(ABS(O1284)&lt;'Progetto del paramento slu'!$G$58,ABS(O1284)*'Progetto del paramento slu'!$G$54,'Progetto del paramento slu'!$G$53)*IF(O1284&lt;0,-1,1)</f>
        <v>491727.54577927204</v>
      </c>
      <c r="V1284" s="479">
        <f t="shared" si="96"/>
        <v>848511.65850713407</v>
      </c>
      <c r="W1284" s="559"/>
      <c r="X1284" s="559"/>
    </row>
    <row r="1285" spans="1:24" x14ac:dyDescent="0.25">
      <c r="A1285" s="553">
        <f t="shared" si="95"/>
        <v>845650.46941413684</v>
      </c>
      <c r="B1285" s="3">
        <f t="shared" si="97"/>
        <v>2.0000000000000009</v>
      </c>
      <c r="C1285" s="553">
        <f>'Foglio deposito bis'!$E$158/sezione!$B$247*B1285</f>
        <v>8.1192151556157022</v>
      </c>
      <c r="D1285" s="611">
        <f>-'Progetto del paramento slu'!$G$47*'Progetto del paramento slu'!$G$41*IF(DATI!$G$218="dx",DATI!$E$61,DATI!$E$64*DATI!$E$63)*1000*C1285^2*sezione!$AD$5*(1-sezione!$AD$6)</f>
        <v>-542667.04602465837</v>
      </c>
      <c r="E1285" s="553">
        <f>-'Foglio deposito bis'!$F$68*(C1285-sezione!$AL$32)*IF(ABS(K1285)&lt;'Progetto del paramento slu'!$G$58,ABS(K1285)*'Progetto del paramento slu'!$G$54,'Progetto del paramento slu'!$G$53)</f>
        <v>0</v>
      </c>
      <c r="F1285" s="553">
        <f>-'Foglio deposito bis'!$F$69*(C1285-sezione!$AM$32)*IF(ABS(L1285)&lt;'Progetto del paramento slu'!$G$58,ABS(L1285)*'Progetto del paramento slu'!$G$54,'Progetto del paramento slu'!$G$53)</f>
        <v>21802090.66398938</v>
      </c>
      <c r="G1285" s="553">
        <f>-'Foglio deposito bis'!$F$70*(C1285-sezione!$AN$32)*IF(ABS(M1285)&lt;'Progetto del paramento slu'!$G$58,ABS(M1285)*'Progetto del paramento slu'!$G$54,'Progetto del paramento slu'!$G$53)</f>
        <v>0</v>
      </c>
      <c r="H1285" s="553">
        <f>-'Foglio deposito bis'!$F$71*(C1285-sezione!$AO$32)*IF(ABS(N1285)&lt;'Progetto del paramento slu'!$G$58,ABS(N1285)*'Progetto del paramento slu'!$G$54,'Progetto del paramento slu'!$G$53)</f>
        <v>104444751.24660975</v>
      </c>
      <c r="I1285" s="479">
        <f>-'Foglio deposito bis'!$F$72*(C1285-sezione!$AP$32)*IF(ABS(O1285)&lt;'Progetto del paramento slu'!$G$58,ABS(O1285)*'Progetto del paramento slu'!$G$54,'Progetto del paramento slu'!$G$53)</f>
        <v>123859178.79821479</v>
      </c>
      <c r="J1285" s="479">
        <f t="shared" si="93"/>
        <v>249563353.66278926</v>
      </c>
      <c r="K1285" s="558">
        <f>'Progetto del paramento slu'!$G$60*(sezione!$AL$32-C1285)/C1285</f>
        <v>1.3743045949234169E-2</v>
      </c>
      <c r="L1285" s="558">
        <f>'Progetto del paramento slu'!$G$60*(sezione!$AM$32-C1285)/C1285</f>
        <v>6.1161422309628129E-2</v>
      </c>
      <c r="M1285" s="559">
        <f>'Progetto del paramento slu'!$G$60*(sezione!$AN$32-C1285)/C1285</f>
        <v>0.10857979867002208</v>
      </c>
      <c r="N1285" s="559">
        <f>'Progetto del paramento slu'!$G$60*(sezione!$AO$32-C1285)/C1285</f>
        <v>0.14306589056849045</v>
      </c>
      <c r="O1285" s="559">
        <f>'Progetto del paramento slu'!$G$60*(sezione!$AP$32-C1285)/C1285</f>
        <v>0.10858195405076571</v>
      </c>
      <c r="P1285" s="553">
        <f>-'Progetto del paramento slu'!$G$47*'Progetto del paramento slu'!$G$41*IF(DATI!$G$218="dx",DATI!$E$61,DATI!$E$64*DATI!$E$63)*1000*C1285*sezione!$AD$5</f>
        <v>-114447.56371989183</v>
      </c>
      <c r="Q1285" s="553">
        <f>'Foglio deposito bis'!$F$68*IF(ABS(K1285)&lt;'Progetto del paramento slu'!$G$58,ABS(K1285)*'Progetto del paramento slu'!$G$54,'Progetto del paramento slu'!$G$53)*IF(K1285&lt;0,-1,1)</f>
        <v>0</v>
      </c>
      <c r="R1285" s="553">
        <f>'Foglio deposito bis'!$F$69*IF(ABS(L1285)&lt;'Progetto del paramento slu'!$G$58,ABS(L1285)*'Progetto del paramento slu'!$G$54,'Progetto del paramento slu'!$G$53)*IF(L1285&lt;0,-1,1)</f>
        <v>153664.85805602249</v>
      </c>
      <c r="S1285" s="553">
        <f>'Foglio deposito bis'!$F$70*IF(ABS(M1285)&lt;'Progetto del paramento slu'!$G$58,ABS(M1285)*'Progetto del paramento slu'!$G$54,'Progetto del paramento slu'!$G$53)*IF(M1285&lt;0,-1,1)</f>
        <v>0</v>
      </c>
      <c r="T1285" s="553">
        <f>'Foglio deposito bis'!$F$71*IF(ABS(N1285)&lt;'Progetto del paramento slu'!$G$58,ABS(N1285)*'Progetto del paramento slu'!$G$54,'Progetto del paramento slu'!$G$53)*IF(N1285&lt;0,-1,1)</f>
        <v>314705.62929873407</v>
      </c>
      <c r="U1285" s="553">
        <f>'Foglio deposito bis'!$F$72*IF(ABS(O1285)&lt;'Progetto del paramento slu'!$G$58,ABS(O1285)*'Progetto del paramento slu'!$G$54,'Progetto del paramento slu'!$G$53)*IF(O1285&lt;0,-1,1)</f>
        <v>491727.54577927204</v>
      </c>
      <c r="V1285" s="479">
        <f t="shared" si="96"/>
        <v>845650.46941413684</v>
      </c>
      <c r="W1285" s="559"/>
      <c r="X1285" s="559"/>
    </row>
    <row r="1286" spans="1:24" x14ac:dyDescent="0.25">
      <c r="A1286" s="553">
        <f t="shared" si="95"/>
        <v>842789.28032113949</v>
      </c>
      <c r="B1286" s="3">
        <f t="shared" si="97"/>
        <v>2.0500000000000007</v>
      </c>
      <c r="C1286" s="553">
        <f>'Foglio deposito bis'!$E$158/sezione!$B$247*B1286</f>
        <v>8.3221955345060934</v>
      </c>
      <c r="D1286" s="611">
        <f>-'Progetto del paramento slu'!$G$47*'Progetto del paramento slu'!$G$41*IF(DATI!$G$218="dx",DATI!$E$61,DATI!$E$64*DATI!$E$63)*1000*C1286^2*sezione!$AD$5*(1-sezione!$AD$6)</f>
        <v>-570139.56522965652</v>
      </c>
      <c r="E1286" s="553">
        <f>-'Foglio deposito bis'!$F$68*(C1286-sezione!$AL$32)*IF(ABS(K1286)&lt;'Progetto del paramento slu'!$G$58,ABS(K1286)*'Progetto del paramento slu'!$G$54,'Progetto del paramento slu'!$G$53)</f>
        <v>0</v>
      </c>
      <c r="F1286" s="553">
        <f>-'Foglio deposito bis'!$F$69*(C1286-sezione!$AM$32)*IF(ABS(L1286)&lt;'Progetto del paramento slu'!$G$58,ABS(L1286)*'Progetto del paramento slu'!$G$54,'Progetto del paramento slu'!$G$53)</f>
        <v>21770899.712879032</v>
      </c>
      <c r="G1286" s="553">
        <f>-'Foglio deposito bis'!$F$70*(C1286-sezione!$AN$32)*IF(ABS(M1286)&lt;'Progetto del paramento slu'!$G$58,ABS(M1286)*'Progetto del paramento slu'!$G$54,'Progetto del paramento slu'!$G$53)</f>
        <v>0</v>
      </c>
      <c r="H1286" s="553">
        <f>-'Foglio deposito bis'!$F$71*(C1286-sezione!$AO$32)*IF(ABS(N1286)&lt;'Progetto del paramento slu'!$G$58,ABS(N1286)*'Progetto del paramento slu'!$G$54,'Progetto del paramento slu'!$G$53)</f>
        <v>104380872.17873575</v>
      </c>
      <c r="I1286" s="479">
        <f>-'Foglio deposito bis'!$F$72*(C1286-sezione!$AP$32)*IF(ABS(O1286)&lt;'Progetto del paramento slu'!$G$58,ABS(O1286)*'Progetto del paramento slu'!$G$54,'Progetto del paramento slu'!$G$53)</f>
        <v>123759367.75466168</v>
      </c>
      <c r="J1286" s="479">
        <f t="shared" si="93"/>
        <v>249341000.08104682</v>
      </c>
      <c r="K1286" s="558">
        <f>'Progetto del paramento slu'!$G$60*(sezione!$AL$32-C1286)/C1286</f>
        <v>1.3322483852911387E-2</v>
      </c>
      <c r="L1286" s="558">
        <f>'Progetto del paramento slu'!$G$60*(sezione!$AM$32-C1286)/C1286</f>
        <v>5.9584314448417705E-2</v>
      </c>
      <c r="M1286" s="559">
        <f>'Progetto del paramento slu'!$G$60*(sezione!$AN$32-C1286)/C1286</f>
        <v>0.10584614504392402</v>
      </c>
      <c r="N1286" s="559">
        <f>'Progetto del paramento slu'!$G$60*(sezione!$AO$32-C1286)/C1286</f>
        <v>0.13949111274974679</v>
      </c>
      <c r="O1286" s="559">
        <f>'Progetto del paramento slu'!$G$60*(sezione!$AP$32-C1286)/C1286</f>
        <v>0.10584824785440558</v>
      </c>
      <c r="P1286" s="553">
        <f>-'Progetto del paramento slu'!$G$47*'Progetto del paramento slu'!$G$41*IF(DATI!$G$218="dx",DATI!$E$61,DATI!$E$64*DATI!$E$63)*1000*C1286*sezione!$AD$5</f>
        <v>-117308.7528128891</v>
      </c>
      <c r="Q1286" s="553">
        <f>'Foglio deposito bis'!$F$68*IF(ABS(K1286)&lt;'Progetto del paramento slu'!$G$58,ABS(K1286)*'Progetto del paramento slu'!$G$54,'Progetto del paramento slu'!$G$53)*IF(K1286&lt;0,-1,1)</f>
        <v>0</v>
      </c>
      <c r="R1286" s="553">
        <f>'Foglio deposito bis'!$F$69*IF(ABS(L1286)&lt;'Progetto del paramento slu'!$G$58,ABS(L1286)*'Progetto del paramento slu'!$G$54,'Progetto del paramento slu'!$G$53)*IF(L1286&lt;0,-1,1)</f>
        <v>153664.85805602249</v>
      </c>
      <c r="S1286" s="553">
        <f>'Foglio deposito bis'!$F$70*IF(ABS(M1286)&lt;'Progetto del paramento slu'!$G$58,ABS(M1286)*'Progetto del paramento slu'!$G$54,'Progetto del paramento slu'!$G$53)*IF(M1286&lt;0,-1,1)</f>
        <v>0</v>
      </c>
      <c r="T1286" s="553">
        <f>'Foglio deposito bis'!$F$71*IF(ABS(N1286)&lt;'Progetto del paramento slu'!$G$58,ABS(N1286)*'Progetto del paramento slu'!$G$54,'Progetto del paramento slu'!$G$53)*IF(N1286&lt;0,-1,1)</f>
        <v>314705.62929873407</v>
      </c>
      <c r="U1286" s="553">
        <f>'Foglio deposito bis'!$F$72*IF(ABS(O1286)&lt;'Progetto del paramento slu'!$G$58,ABS(O1286)*'Progetto del paramento slu'!$G$54,'Progetto del paramento slu'!$G$53)*IF(O1286&lt;0,-1,1)</f>
        <v>491727.54577927204</v>
      </c>
      <c r="V1286" s="479">
        <f t="shared" si="96"/>
        <v>842789.28032113949</v>
      </c>
      <c r="W1286" s="559"/>
      <c r="X1286" s="559"/>
    </row>
    <row r="1287" spans="1:24" x14ac:dyDescent="0.25">
      <c r="A1287" s="553">
        <f t="shared" si="95"/>
        <v>839928.09122814215</v>
      </c>
      <c r="B1287" s="3">
        <f t="shared" si="97"/>
        <v>2.1000000000000005</v>
      </c>
      <c r="C1287" s="553">
        <f>'Foglio deposito bis'!$E$158/sezione!$B$247*B1287</f>
        <v>8.5251759133964864</v>
      </c>
      <c r="D1287" s="611">
        <f>-'Progetto del paramento slu'!$G$47*'Progetto del paramento slu'!$G$41*IF(DATI!$G$218="dx",DATI!$E$61,DATI!$E$64*DATI!$E$63)*1000*C1287^2*sezione!$AD$5*(1-sezione!$AD$6)</f>
        <v>-598290.41824218573</v>
      </c>
      <c r="E1287" s="553">
        <f>-'Foglio deposito bis'!$F$68*(C1287-sezione!$AL$32)*IF(ABS(K1287)&lt;'Progetto del paramento slu'!$G$58,ABS(K1287)*'Progetto del paramento slu'!$G$54,'Progetto del paramento slu'!$G$53)</f>
        <v>0</v>
      </c>
      <c r="F1287" s="553">
        <f>-'Foglio deposito bis'!$F$69*(C1287-sezione!$AM$32)*IF(ABS(L1287)&lt;'Progetto del paramento slu'!$G$58,ABS(L1287)*'Progetto del paramento slu'!$G$54,'Progetto del paramento slu'!$G$53)</f>
        <v>21739708.761768684</v>
      </c>
      <c r="G1287" s="553">
        <f>-'Foglio deposito bis'!$F$70*(C1287-sezione!$AN$32)*IF(ABS(M1287)&lt;'Progetto del paramento slu'!$G$58,ABS(M1287)*'Progetto del paramento slu'!$G$54,'Progetto del paramento slu'!$G$53)</f>
        <v>0</v>
      </c>
      <c r="H1287" s="553">
        <f>-'Foglio deposito bis'!$F$71*(C1287-sezione!$AO$32)*IF(ABS(N1287)&lt;'Progetto del paramento slu'!$G$58,ABS(N1287)*'Progetto del paramento slu'!$G$54,'Progetto del paramento slu'!$G$53)</f>
        <v>104316993.11086175</v>
      </c>
      <c r="I1287" s="479">
        <f>-'Foglio deposito bis'!$F$72*(C1287-sezione!$AP$32)*IF(ABS(O1287)&lt;'Progetto del paramento slu'!$G$58,ABS(O1287)*'Progetto del paramento slu'!$G$54,'Progetto del paramento slu'!$G$53)</f>
        <v>123659556.71110855</v>
      </c>
      <c r="J1287" s="479">
        <f t="shared" si="93"/>
        <v>249117968.1654968</v>
      </c>
      <c r="K1287" s="558">
        <f>'Progetto del paramento slu'!$G$60*(sezione!$AL$32-C1287)/C1287</f>
        <v>1.292194852308016E-2</v>
      </c>
      <c r="L1287" s="558">
        <f>'Progetto del paramento slu'!$G$60*(sezione!$AM$32-C1287)/C1287</f>
        <v>5.808230696155061E-2</v>
      </c>
      <c r="M1287" s="559">
        <f>'Progetto del paramento slu'!$G$60*(sezione!$AN$32-C1287)/C1287</f>
        <v>0.10324266540002106</v>
      </c>
      <c r="N1287" s="559">
        <f>'Progetto del paramento slu'!$G$60*(sezione!$AO$32-C1287)/C1287</f>
        <v>0.13608656244618136</v>
      </c>
      <c r="O1287" s="559">
        <f>'Progetto del paramento slu'!$G$60*(sezione!$AP$32-C1287)/C1287</f>
        <v>0.10324471814358639</v>
      </c>
      <c r="P1287" s="553">
        <f>-'Progetto del paramento slu'!$G$47*'Progetto del paramento slu'!$G$41*IF(DATI!$G$218="dx",DATI!$E$61,DATI!$E$64*DATI!$E$63)*1000*C1287*sezione!$AD$5</f>
        <v>-120169.9419058864</v>
      </c>
      <c r="Q1287" s="553">
        <f>'Foglio deposito bis'!$F$68*IF(ABS(K1287)&lt;'Progetto del paramento slu'!$G$58,ABS(K1287)*'Progetto del paramento slu'!$G$54,'Progetto del paramento slu'!$G$53)*IF(K1287&lt;0,-1,1)</f>
        <v>0</v>
      </c>
      <c r="R1287" s="553">
        <f>'Foglio deposito bis'!$F$69*IF(ABS(L1287)&lt;'Progetto del paramento slu'!$G$58,ABS(L1287)*'Progetto del paramento slu'!$G$54,'Progetto del paramento slu'!$G$53)*IF(L1287&lt;0,-1,1)</f>
        <v>153664.85805602249</v>
      </c>
      <c r="S1287" s="553">
        <f>'Foglio deposito bis'!$F$70*IF(ABS(M1287)&lt;'Progetto del paramento slu'!$G$58,ABS(M1287)*'Progetto del paramento slu'!$G$54,'Progetto del paramento slu'!$G$53)*IF(M1287&lt;0,-1,1)</f>
        <v>0</v>
      </c>
      <c r="T1287" s="553">
        <f>'Foglio deposito bis'!$F$71*IF(ABS(N1287)&lt;'Progetto del paramento slu'!$G$58,ABS(N1287)*'Progetto del paramento slu'!$G$54,'Progetto del paramento slu'!$G$53)*IF(N1287&lt;0,-1,1)</f>
        <v>314705.62929873407</v>
      </c>
      <c r="U1287" s="553">
        <f>'Foglio deposito bis'!$F$72*IF(ABS(O1287)&lt;'Progetto del paramento slu'!$G$58,ABS(O1287)*'Progetto del paramento slu'!$G$54,'Progetto del paramento slu'!$G$53)*IF(O1287&lt;0,-1,1)</f>
        <v>491727.54577927204</v>
      </c>
      <c r="V1287" s="479">
        <f t="shared" si="96"/>
        <v>839928.09122814215</v>
      </c>
      <c r="W1287" s="559"/>
      <c r="X1287" s="559"/>
    </row>
    <row r="1288" spans="1:24" x14ac:dyDescent="0.25">
      <c r="A1288" s="553">
        <f t="shared" si="95"/>
        <v>837066.90213514492</v>
      </c>
      <c r="B1288" s="3">
        <f t="shared" si="97"/>
        <v>2.1500000000000004</v>
      </c>
      <c r="C1288" s="553">
        <f>'Foglio deposito bis'!$E$158/sezione!$B$247*B1288</f>
        <v>8.7281562922868776</v>
      </c>
      <c r="D1288" s="611">
        <f>-'Progetto del paramento slu'!$G$47*'Progetto del paramento slu'!$G$41*IF(DATI!$G$218="dx",DATI!$E$61,DATI!$E$64*DATI!$E$63)*1000*C1288^2*sezione!$AD$5*(1-sezione!$AD$6)</f>
        <v>-627119.60506224527</v>
      </c>
      <c r="E1288" s="553">
        <f>-'Foglio deposito bis'!$F$68*(C1288-sezione!$AL$32)*IF(ABS(K1288)&lt;'Progetto del paramento slu'!$G$58,ABS(K1288)*'Progetto del paramento slu'!$G$54,'Progetto del paramento slu'!$G$53)</f>
        <v>0</v>
      </c>
      <c r="F1288" s="553">
        <f>-'Foglio deposito bis'!$F$69*(C1288-sezione!$AM$32)*IF(ABS(L1288)&lt;'Progetto del paramento slu'!$G$58,ABS(L1288)*'Progetto del paramento slu'!$G$54,'Progetto del paramento slu'!$G$53)</f>
        <v>21708517.810658332</v>
      </c>
      <c r="G1288" s="553">
        <f>-'Foglio deposito bis'!$F$70*(C1288-sezione!$AN$32)*IF(ABS(M1288)&lt;'Progetto del paramento slu'!$G$58,ABS(M1288)*'Progetto del paramento slu'!$G$54,'Progetto del paramento slu'!$G$53)</f>
        <v>0</v>
      </c>
      <c r="H1288" s="553">
        <f>-'Foglio deposito bis'!$F$71*(C1288-sezione!$AO$32)*IF(ABS(N1288)&lt;'Progetto del paramento slu'!$G$58,ABS(N1288)*'Progetto del paramento slu'!$G$54,'Progetto del paramento slu'!$G$53)</f>
        <v>104253114.04298773</v>
      </c>
      <c r="I1288" s="479">
        <f>-'Foglio deposito bis'!$F$72*(C1288-sezione!$AP$32)*IF(ABS(O1288)&lt;'Progetto del paramento slu'!$G$58,ABS(O1288)*'Progetto del paramento slu'!$G$54,'Progetto del paramento slu'!$G$53)</f>
        <v>123559745.66755544</v>
      </c>
      <c r="J1288" s="479">
        <f t="shared" si="93"/>
        <v>248894257.91613925</v>
      </c>
      <c r="K1288" s="558">
        <f>'Progetto del paramento slu'!$G$60*(sezione!$AL$32-C1288)/C1288</f>
        <v>1.254004274347365E-2</v>
      </c>
      <c r="L1288" s="558">
        <f>'Progetto del paramento slu'!$G$60*(sezione!$AM$32-C1288)/C1288</f>
        <v>5.6650160288026184E-2</v>
      </c>
      <c r="M1288" s="559">
        <f>'Progetto del paramento slu'!$G$60*(sezione!$AN$32-C1288)/C1288</f>
        <v>0.10076027783257871</v>
      </c>
      <c r="N1288" s="559">
        <f>'Progetto del paramento slu'!$G$60*(sezione!$AO$32-C1288)/C1288</f>
        <v>0.13284036331952601</v>
      </c>
      <c r="O1288" s="559">
        <f>'Progetto del paramento slu'!$G$60*(sezione!$AP$32-C1288)/C1288</f>
        <v>0.10076228283792162</v>
      </c>
      <c r="P1288" s="553">
        <f>-'Progetto del paramento slu'!$G$47*'Progetto del paramento slu'!$G$41*IF(DATI!$G$218="dx",DATI!$E$61,DATI!$E$64*DATI!$E$63)*1000*C1288*sezione!$AD$5</f>
        <v>-123031.13099888367</v>
      </c>
      <c r="Q1288" s="553">
        <f>'Foglio deposito bis'!$F$68*IF(ABS(K1288)&lt;'Progetto del paramento slu'!$G$58,ABS(K1288)*'Progetto del paramento slu'!$G$54,'Progetto del paramento slu'!$G$53)*IF(K1288&lt;0,-1,1)</f>
        <v>0</v>
      </c>
      <c r="R1288" s="553">
        <f>'Foglio deposito bis'!$F$69*IF(ABS(L1288)&lt;'Progetto del paramento slu'!$G$58,ABS(L1288)*'Progetto del paramento slu'!$G$54,'Progetto del paramento slu'!$G$53)*IF(L1288&lt;0,-1,1)</f>
        <v>153664.85805602249</v>
      </c>
      <c r="S1288" s="553">
        <f>'Foglio deposito bis'!$F$70*IF(ABS(M1288)&lt;'Progetto del paramento slu'!$G$58,ABS(M1288)*'Progetto del paramento slu'!$G$54,'Progetto del paramento slu'!$G$53)*IF(M1288&lt;0,-1,1)</f>
        <v>0</v>
      </c>
      <c r="T1288" s="553">
        <f>'Foglio deposito bis'!$F$71*IF(ABS(N1288)&lt;'Progetto del paramento slu'!$G$58,ABS(N1288)*'Progetto del paramento slu'!$G$54,'Progetto del paramento slu'!$G$53)*IF(N1288&lt;0,-1,1)</f>
        <v>314705.62929873407</v>
      </c>
      <c r="U1288" s="553">
        <f>'Foglio deposito bis'!$F$72*IF(ABS(O1288)&lt;'Progetto del paramento slu'!$G$58,ABS(O1288)*'Progetto del paramento slu'!$G$54,'Progetto del paramento slu'!$G$53)*IF(O1288&lt;0,-1,1)</f>
        <v>491727.54577927204</v>
      </c>
      <c r="V1288" s="479">
        <f t="shared" si="96"/>
        <v>837066.90213514492</v>
      </c>
      <c r="W1288" s="559"/>
      <c r="X1288" s="559"/>
    </row>
    <row r="1289" spans="1:24" x14ac:dyDescent="0.25">
      <c r="A1289" s="553">
        <f t="shared" si="95"/>
        <v>834205.71304214769</v>
      </c>
      <c r="B1289" s="3">
        <f t="shared" si="97"/>
        <v>2.2000000000000002</v>
      </c>
      <c r="C1289" s="553">
        <f>'Foglio deposito bis'!$E$158/sezione!$B$247*B1289</f>
        <v>8.9311366711772688</v>
      </c>
      <c r="D1289" s="611">
        <f>-'Progetto del paramento slu'!$G$47*'Progetto del paramento slu'!$G$41*IF(DATI!$G$218="dx",DATI!$E$61,DATI!$E$64*DATI!$E$63)*1000*C1289^2*sezione!$AD$5*(1-sezione!$AD$6)</f>
        <v>-656627.12568983599</v>
      </c>
      <c r="E1289" s="553">
        <f>-'Foglio deposito bis'!$F$68*(C1289-sezione!$AL$32)*IF(ABS(K1289)&lt;'Progetto del paramento slu'!$G$58,ABS(K1289)*'Progetto del paramento slu'!$G$54,'Progetto del paramento slu'!$G$53)</f>
        <v>0</v>
      </c>
      <c r="F1289" s="553">
        <f>-'Foglio deposito bis'!$F$69*(C1289-sezione!$AM$32)*IF(ABS(L1289)&lt;'Progetto del paramento slu'!$G$58,ABS(L1289)*'Progetto del paramento slu'!$G$54,'Progetto del paramento slu'!$G$53)</f>
        <v>21677326.859547984</v>
      </c>
      <c r="G1289" s="553">
        <f>-'Foglio deposito bis'!$F$70*(C1289-sezione!$AN$32)*IF(ABS(M1289)&lt;'Progetto del paramento slu'!$G$58,ABS(M1289)*'Progetto del paramento slu'!$G$54,'Progetto del paramento slu'!$G$53)</f>
        <v>0</v>
      </c>
      <c r="H1289" s="553">
        <f>-'Foglio deposito bis'!$F$71*(C1289-sezione!$AO$32)*IF(ABS(N1289)&lt;'Progetto del paramento slu'!$G$58,ABS(N1289)*'Progetto del paramento slu'!$G$54,'Progetto del paramento slu'!$G$53)</f>
        <v>104189234.97511373</v>
      </c>
      <c r="I1289" s="479">
        <f>-'Foglio deposito bis'!$F$72*(C1289-sezione!$AP$32)*IF(ABS(O1289)&lt;'Progetto del paramento slu'!$G$58,ABS(O1289)*'Progetto del paramento slu'!$G$54,'Progetto del paramento slu'!$G$53)</f>
        <v>123459934.62400231</v>
      </c>
      <c r="J1289" s="479">
        <f t="shared" si="93"/>
        <v>248669869.3329742</v>
      </c>
      <c r="K1289" s="558">
        <f>'Progetto del paramento slu'!$G$60*(sezione!$AL$32-C1289)/C1289</f>
        <v>1.2175496317485613E-2</v>
      </c>
      <c r="L1289" s="558">
        <f>'Progetto del paramento slu'!$G$60*(sezione!$AM$32-C1289)/C1289</f>
        <v>5.5283111190571062E-2</v>
      </c>
      <c r="M1289" s="559">
        <f>'Progetto del paramento slu'!$G$60*(sezione!$AN$32-C1289)/C1289</f>
        <v>9.8390726063656495E-2</v>
      </c>
      <c r="N1289" s="559">
        <f>'Progetto del paramento slu'!$G$60*(sezione!$AO$32-C1289)/C1289</f>
        <v>0.12974171869862772</v>
      </c>
      <c r="O1289" s="559">
        <f>'Progetto del paramento slu'!$G$60*(sezione!$AP$32-C1289)/C1289</f>
        <v>9.8392685500696131E-2</v>
      </c>
      <c r="P1289" s="553">
        <f>-'Progetto del paramento slu'!$G$47*'Progetto del paramento slu'!$G$41*IF(DATI!$G$218="dx",DATI!$E$61,DATI!$E$64*DATI!$E$63)*1000*C1289*sezione!$AD$5</f>
        <v>-125892.32009188095</v>
      </c>
      <c r="Q1289" s="553">
        <f>'Foglio deposito bis'!$F$68*IF(ABS(K1289)&lt;'Progetto del paramento slu'!$G$58,ABS(K1289)*'Progetto del paramento slu'!$G$54,'Progetto del paramento slu'!$G$53)*IF(K1289&lt;0,-1,1)</f>
        <v>0</v>
      </c>
      <c r="R1289" s="553">
        <f>'Foglio deposito bis'!$F$69*IF(ABS(L1289)&lt;'Progetto del paramento slu'!$G$58,ABS(L1289)*'Progetto del paramento slu'!$G$54,'Progetto del paramento slu'!$G$53)*IF(L1289&lt;0,-1,1)</f>
        <v>153664.85805602249</v>
      </c>
      <c r="S1289" s="553">
        <f>'Foglio deposito bis'!$F$70*IF(ABS(M1289)&lt;'Progetto del paramento slu'!$G$58,ABS(M1289)*'Progetto del paramento slu'!$G$54,'Progetto del paramento slu'!$G$53)*IF(M1289&lt;0,-1,1)</f>
        <v>0</v>
      </c>
      <c r="T1289" s="553">
        <f>'Foglio deposito bis'!$F$71*IF(ABS(N1289)&lt;'Progetto del paramento slu'!$G$58,ABS(N1289)*'Progetto del paramento slu'!$G$54,'Progetto del paramento slu'!$G$53)*IF(N1289&lt;0,-1,1)</f>
        <v>314705.62929873407</v>
      </c>
      <c r="U1289" s="553">
        <f>'Foglio deposito bis'!$F$72*IF(ABS(O1289)&lt;'Progetto del paramento slu'!$G$58,ABS(O1289)*'Progetto del paramento slu'!$G$54,'Progetto del paramento slu'!$G$53)*IF(O1289&lt;0,-1,1)</f>
        <v>491727.54577927204</v>
      </c>
      <c r="V1289" s="479">
        <f t="shared" si="96"/>
        <v>834205.71304214769</v>
      </c>
      <c r="W1289" s="559"/>
      <c r="X1289" s="559"/>
    </row>
    <row r="1290" spans="1:24" x14ac:dyDescent="0.25">
      <c r="A1290" s="553">
        <f t="shared" si="95"/>
        <v>831344.52394915035</v>
      </c>
      <c r="B1290" s="3">
        <f t="shared" si="97"/>
        <v>2.25</v>
      </c>
      <c r="C1290" s="553">
        <f>'Foglio deposito bis'!$E$158/sezione!$B$247*B1290</f>
        <v>9.1341170500676618</v>
      </c>
      <c r="D1290" s="611">
        <f>-'Progetto del paramento slu'!$G$47*'Progetto del paramento slu'!$G$41*IF(DATI!$G$218="dx",DATI!$E$61,DATI!$E$64*DATI!$E$63)*1000*C1290^2*sezione!$AD$5*(1-sezione!$AD$6)</f>
        <v>-686812.98012495774</v>
      </c>
      <c r="E1290" s="553">
        <f>-'Foglio deposito bis'!$F$68*(C1290-sezione!$AL$32)*IF(ABS(K1290)&lt;'Progetto del paramento slu'!$G$58,ABS(K1290)*'Progetto del paramento slu'!$G$54,'Progetto del paramento slu'!$G$53)</f>
        <v>0</v>
      </c>
      <c r="F1290" s="553">
        <f>-'Foglio deposito bis'!$F$69*(C1290-sezione!$AM$32)*IF(ABS(L1290)&lt;'Progetto del paramento slu'!$G$58,ABS(L1290)*'Progetto del paramento slu'!$G$54,'Progetto del paramento slu'!$G$53)</f>
        <v>21646135.908437632</v>
      </c>
      <c r="G1290" s="553">
        <f>-'Foglio deposito bis'!$F$70*(C1290-sezione!$AN$32)*IF(ABS(M1290)&lt;'Progetto del paramento slu'!$G$58,ABS(M1290)*'Progetto del paramento slu'!$G$54,'Progetto del paramento slu'!$G$53)</f>
        <v>0</v>
      </c>
      <c r="H1290" s="553">
        <f>-'Foglio deposito bis'!$F$71*(C1290-sezione!$AO$32)*IF(ABS(N1290)&lt;'Progetto del paramento slu'!$G$58,ABS(N1290)*'Progetto del paramento slu'!$G$54,'Progetto del paramento slu'!$G$53)</f>
        <v>104125355.90723974</v>
      </c>
      <c r="I1290" s="479">
        <f>-'Foglio deposito bis'!$F$72*(C1290-sezione!$AP$32)*IF(ABS(O1290)&lt;'Progetto del paramento slu'!$G$58,ABS(O1290)*'Progetto del paramento slu'!$G$54,'Progetto del paramento slu'!$G$53)</f>
        <v>123360123.58044919</v>
      </c>
      <c r="J1290" s="479">
        <f t="shared" si="93"/>
        <v>248444802.41600162</v>
      </c>
      <c r="K1290" s="558">
        <f>'Progetto del paramento slu'!$G$60*(sezione!$AL$32-C1290)/C1290</f>
        <v>1.1827151954874821E-2</v>
      </c>
      <c r="L1290" s="558">
        <f>'Progetto del paramento slu'!$G$60*(sezione!$AM$32-C1290)/C1290</f>
        <v>5.3976819830780585E-2</v>
      </c>
      <c r="M1290" s="559">
        <f>'Progetto del paramento slu'!$G$60*(sezione!$AN$32-C1290)/C1290</f>
        <v>9.6126487706686331E-2</v>
      </c>
      <c r="N1290" s="559">
        <f>'Progetto del paramento slu'!$G$60*(sezione!$AO$32-C1290)/C1290</f>
        <v>0.12678079161643599</v>
      </c>
      <c r="O1290" s="559">
        <f>'Progetto del paramento slu'!$G$60*(sezione!$AP$32-C1290)/C1290</f>
        <v>9.6128403600680659E-2</v>
      </c>
      <c r="P1290" s="553">
        <f>-'Progetto del paramento slu'!$G$47*'Progetto del paramento slu'!$G$41*IF(DATI!$G$218="dx",DATI!$E$61,DATI!$E$64*DATI!$E$63)*1000*C1290*sezione!$AD$5</f>
        <v>-128753.50918487825</v>
      </c>
      <c r="Q1290" s="553">
        <f>'Foglio deposito bis'!$F$68*IF(ABS(K1290)&lt;'Progetto del paramento slu'!$G$58,ABS(K1290)*'Progetto del paramento slu'!$G$54,'Progetto del paramento slu'!$G$53)*IF(K1290&lt;0,-1,1)</f>
        <v>0</v>
      </c>
      <c r="R1290" s="553">
        <f>'Foglio deposito bis'!$F$69*IF(ABS(L1290)&lt;'Progetto del paramento slu'!$G$58,ABS(L1290)*'Progetto del paramento slu'!$G$54,'Progetto del paramento slu'!$G$53)*IF(L1290&lt;0,-1,1)</f>
        <v>153664.85805602249</v>
      </c>
      <c r="S1290" s="553">
        <f>'Foglio deposito bis'!$F$70*IF(ABS(M1290)&lt;'Progetto del paramento slu'!$G$58,ABS(M1290)*'Progetto del paramento slu'!$G$54,'Progetto del paramento slu'!$G$53)*IF(M1290&lt;0,-1,1)</f>
        <v>0</v>
      </c>
      <c r="T1290" s="553">
        <f>'Foglio deposito bis'!$F$71*IF(ABS(N1290)&lt;'Progetto del paramento slu'!$G$58,ABS(N1290)*'Progetto del paramento slu'!$G$54,'Progetto del paramento slu'!$G$53)*IF(N1290&lt;0,-1,1)</f>
        <v>314705.62929873407</v>
      </c>
      <c r="U1290" s="553">
        <f>'Foglio deposito bis'!$F$72*IF(ABS(O1290)&lt;'Progetto del paramento slu'!$G$58,ABS(O1290)*'Progetto del paramento slu'!$G$54,'Progetto del paramento slu'!$G$53)*IF(O1290&lt;0,-1,1)</f>
        <v>491727.54577927204</v>
      </c>
      <c r="V1290" s="479">
        <f t="shared" si="96"/>
        <v>831344.52394915035</v>
      </c>
      <c r="W1290" s="559"/>
      <c r="X1290" s="559"/>
    </row>
    <row r="1291" spans="1:24" x14ac:dyDescent="0.25">
      <c r="A1291" s="553">
        <f t="shared" si="95"/>
        <v>828483.334856153</v>
      </c>
      <c r="B1291" s="3">
        <f t="shared" si="97"/>
        <v>2.2999999999999998</v>
      </c>
      <c r="C1291" s="553">
        <f>'Foglio deposito bis'!$E$158/sezione!$B$247*B1291</f>
        <v>9.3370974289580531</v>
      </c>
      <c r="D1291" s="611">
        <f>-'Progetto del paramento slu'!$G$47*'Progetto del paramento slu'!$G$41*IF(DATI!$G$218="dx",DATI!$E$61,DATI!$E$64*DATI!$E$63)*1000*C1291^2*sezione!$AD$5*(1-sezione!$AD$6)</f>
        <v>-717677.16836760985</v>
      </c>
      <c r="E1291" s="553">
        <f>-'Foglio deposito bis'!$F$68*(C1291-sezione!$AL$32)*IF(ABS(K1291)&lt;'Progetto del paramento slu'!$G$58,ABS(K1291)*'Progetto del paramento slu'!$G$54,'Progetto del paramento slu'!$G$53)</f>
        <v>0</v>
      </c>
      <c r="F1291" s="553">
        <f>-'Foglio deposito bis'!$F$69*(C1291-sezione!$AM$32)*IF(ABS(L1291)&lt;'Progetto del paramento slu'!$G$58,ABS(L1291)*'Progetto del paramento slu'!$G$54,'Progetto del paramento slu'!$G$53)</f>
        <v>21614944.95732728</v>
      </c>
      <c r="G1291" s="553">
        <f>-'Foglio deposito bis'!$F$70*(C1291-sezione!$AN$32)*IF(ABS(M1291)&lt;'Progetto del paramento slu'!$G$58,ABS(M1291)*'Progetto del paramento slu'!$G$54,'Progetto del paramento slu'!$G$53)</f>
        <v>0</v>
      </c>
      <c r="H1291" s="553">
        <f>-'Foglio deposito bis'!$F$71*(C1291-sezione!$AO$32)*IF(ABS(N1291)&lt;'Progetto del paramento slu'!$G$58,ABS(N1291)*'Progetto del paramento slu'!$G$54,'Progetto del paramento slu'!$G$53)</f>
        <v>104061476.83936575</v>
      </c>
      <c r="I1291" s="479">
        <f>-'Foglio deposito bis'!$F$72*(C1291-sezione!$AP$32)*IF(ABS(O1291)&lt;'Progetto del paramento slu'!$G$58,ABS(O1291)*'Progetto del paramento slu'!$G$54,'Progetto del paramento slu'!$G$53)</f>
        <v>123260312.53689608</v>
      </c>
      <c r="J1291" s="479">
        <f t="shared" si="93"/>
        <v>248219057.16522151</v>
      </c>
      <c r="K1291" s="558">
        <f>'Progetto del paramento slu'!$G$60*(sezione!$AL$32-C1291)/C1291</f>
        <v>1.1493952999334067E-2</v>
      </c>
      <c r="L1291" s="558">
        <f>'Progetto del paramento slu'!$G$60*(sezione!$AM$32-C1291)/C1291</f>
        <v>5.2727323747502747E-2</v>
      </c>
      <c r="M1291" s="559">
        <f>'Progetto del paramento slu'!$G$60*(sezione!$AN$32-C1291)/C1291</f>
        <v>9.3960694495671432E-2</v>
      </c>
      <c r="N1291" s="559">
        <f>'Progetto del paramento slu'!$G$60*(sezione!$AO$32-C1291)/C1291</f>
        <v>0.12394860049433956</v>
      </c>
      <c r="O1291" s="559">
        <f>'Progetto del paramento slu'!$G$60*(sezione!$AP$32-C1291)/C1291</f>
        <v>9.3962568739796304E-2</v>
      </c>
      <c r="P1291" s="553">
        <f>-'Progetto del paramento slu'!$G$47*'Progetto del paramento slu'!$G$41*IF(DATI!$G$218="dx",DATI!$E$61,DATI!$E$64*DATI!$E$63)*1000*C1291*sezione!$AD$5</f>
        <v>-131614.69827787552</v>
      </c>
      <c r="Q1291" s="553">
        <f>'Foglio deposito bis'!$F$68*IF(ABS(K1291)&lt;'Progetto del paramento slu'!$G$58,ABS(K1291)*'Progetto del paramento slu'!$G$54,'Progetto del paramento slu'!$G$53)*IF(K1291&lt;0,-1,1)</f>
        <v>0</v>
      </c>
      <c r="R1291" s="553">
        <f>'Foglio deposito bis'!$F$69*IF(ABS(L1291)&lt;'Progetto del paramento slu'!$G$58,ABS(L1291)*'Progetto del paramento slu'!$G$54,'Progetto del paramento slu'!$G$53)*IF(L1291&lt;0,-1,1)</f>
        <v>153664.85805602249</v>
      </c>
      <c r="S1291" s="553">
        <f>'Foglio deposito bis'!$F$70*IF(ABS(M1291)&lt;'Progetto del paramento slu'!$G$58,ABS(M1291)*'Progetto del paramento slu'!$G$54,'Progetto del paramento slu'!$G$53)*IF(M1291&lt;0,-1,1)</f>
        <v>0</v>
      </c>
      <c r="T1291" s="553">
        <f>'Foglio deposito bis'!$F$71*IF(ABS(N1291)&lt;'Progetto del paramento slu'!$G$58,ABS(N1291)*'Progetto del paramento slu'!$G$54,'Progetto del paramento slu'!$G$53)*IF(N1291&lt;0,-1,1)</f>
        <v>314705.62929873407</v>
      </c>
      <c r="U1291" s="553">
        <f>'Foglio deposito bis'!$F$72*IF(ABS(O1291)&lt;'Progetto del paramento slu'!$G$58,ABS(O1291)*'Progetto del paramento slu'!$G$54,'Progetto del paramento slu'!$G$53)*IF(O1291&lt;0,-1,1)</f>
        <v>491727.54577927204</v>
      </c>
      <c r="V1291" s="479">
        <f t="shared" si="96"/>
        <v>828483.334856153</v>
      </c>
      <c r="W1291" s="559"/>
      <c r="X1291" s="559"/>
    </row>
    <row r="1292" spans="1:24" x14ac:dyDescent="0.25">
      <c r="A1292" s="553">
        <f t="shared" si="95"/>
        <v>825622.14576315577</v>
      </c>
      <c r="B1292" s="3">
        <f t="shared" si="97"/>
        <v>2.3499999999999996</v>
      </c>
      <c r="C1292" s="553">
        <f>'Foglio deposito bis'!$E$158/sezione!$B$247*B1292</f>
        <v>9.5400778078484443</v>
      </c>
      <c r="D1292" s="611">
        <f>-'Progetto del paramento slu'!$G$47*'Progetto del paramento slu'!$G$41*IF(DATI!$G$218="dx",DATI!$E$61,DATI!$E$64*DATI!$E$63)*1000*C1292^2*sezione!$AD$5*(1-sezione!$AD$6)</f>
        <v>-749219.690417793</v>
      </c>
      <c r="E1292" s="553">
        <f>-'Foglio deposito bis'!$F$68*(C1292-sezione!$AL$32)*IF(ABS(K1292)&lt;'Progetto del paramento slu'!$G$58,ABS(K1292)*'Progetto del paramento slu'!$G$54,'Progetto del paramento slu'!$G$53)</f>
        <v>0</v>
      </c>
      <c r="F1292" s="553">
        <f>-'Foglio deposito bis'!$F$69*(C1292-sezione!$AM$32)*IF(ABS(L1292)&lt;'Progetto del paramento slu'!$G$58,ABS(L1292)*'Progetto del paramento slu'!$G$54,'Progetto del paramento slu'!$G$53)</f>
        <v>21583754.006216936</v>
      </c>
      <c r="G1292" s="553">
        <f>-'Foglio deposito bis'!$F$70*(C1292-sezione!$AN$32)*IF(ABS(M1292)&lt;'Progetto del paramento slu'!$G$58,ABS(M1292)*'Progetto del paramento slu'!$G$54,'Progetto del paramento slu'!$G$53)</f>
        <v>0</v>
      </c>
      <c r="H1292" s="553">
        <f>-'Foglio deposito bis'!$F$71*(C1292-sezione!$AO$32)*IF(ABS(N1292)&lt;'Progetto del paramento slu'!$G$58,ABS(N1292)*'Progetto del paramento slu'!$G$54,'Progetto del paramento slu'!$G$53)</f>
        <v>103997597.77149175</v>
      </c>
      <c r="I1292" s="479">
        <f>-'Foglio deposito bis'!$F$72*(C1292-sezione!$AP$32)*IF(ABS(O1292)&lt;'Progetto del paramento slu'!$G$58,ABS(O1292)*'Progetto del paramento slu'!$G$54,'Progetto del paramento slu'!$G$53)</f>
        <v>123160501.49334295</v>
      </c>
      <c r="J1292" s="479">
        <f t="shared" si="93"/>
        <v>247992633.58063385</v>
      </c>
      <c r="K1292" s="558">
        <f>'Progetto del paramento slu'!$G$60*(sezione!$AL$32-C1292)/C1292</f>
        <v>1.1174932722752494E-2</v>
      </c>
      <c r="L1292" s="558">
        <f>'Progetto del paramento slu'!$G$60*(sezione!$AM$32-C1292)/C1292</f>
        <v>5.1530997710321852E-2</v>
      </c>
      <c r="M1292" s="559">
        <f>'Progetto del paramento slu'!$G$60*(sezione!$AN$32-C1292)/C1292</f>
        <v>9.1887062697891209E-2</v>
      </c>
      <c r="N1292" s="559">
        <f>'Progetto del paramento slu'!$G$60*(sezione!$AO$32-C1292)/C1292</f>
        <v>0.12123692814339619</v>
      </c>
      <c r="O1292" s="559">
        <f>'Progetto del paramento slu'!$G$60*(sezione!$AP$32-C1292)/C1292</f>
        <v>9.1888897064481515E-2</v>
      </c>
      <c r="P1292" s="553">
        <f>-'Progetto del paramento slu'!$G$47*'Progetto del paramento slu'!$G$41*IF(DATI!$G$218="dx",DATI!$E$61,DATI!$E$64*DATI!$E$63)*1000*C1292*sezione!$AD$5</f>
        <v>-134475.88737087281</v>
      </c>
      <c r="Q1292" s="553">
        <f>'Foglio deposito bis'!$F$68*IF(ABS(K1292)&lt;'Progetto del paramento slu'!$G$58,ABS(K1292)*'Progetto del paramento slu'!$G$54,'Progetto del paramento slu'!$G$53)*IF(K1292&lt;0,-1,1)</f>
        <v>0</v>
      </c>
      <c r="R1292" s="553">
        <f>'Foglio deposito bis'!$F$69*IF(ABS(L1292)&lt;'Progetto del paramento slu'!$G$58,ABS(L1292)*'Progetto del paramento slu'!$G$54,'Progetto del paramento slu'!$G$53)*IF(L1292&lt;0,-1,1)</f>
        <v>153664.85805602249</v>
      </c>
      <c r="S1292" s="553">
        <f>'Foglio deposito bis'!$F$70*IF(ABS(M1292)&lt;'Progetto del paramento slu'!$G$58,ABS(M1292)*'Progetto del paramento slu'!$G$54,'Progetto del paramento slu'!$G$53)*IF(M1292&lt;0,-1,1)</f>
        <v>0</v>
      </c>
      <c r="T1292" s="553">
        <f>'Foglio deposito bis'!$F$71*IF(ABS(N1292)&lt;'Progetto del paramento slu'!$G$58,ABS(N1292)*'Progetto del paramento slu'!$G$54,'Progetto del paramento slu'!$G$53)*IF(N1292&lt;0,-1,1)</f>
        <v>314705.62929873407</v>
      </c>
      <c r="U1292" s="553">
        <f>'Foglio deposito bis'!$F$72*IF(ABS(O1292)&lt;'Progetto del paramento slu'!$G$58,ABS(O1292)*'Progetto del paramento slu'!$G$54,'Progetto del paramento slu'!$G$53)*IF(O1292&lt;0,-1,1)</f>
        <v>491727.54577927204</v>
      </c>
      <c r="V1292" s="479">
        <f t="shared" si="96"/>
        <v>825622.14576315577</v>
      </c>
      <c r="W1292" s="559"/>
      <c r="X1292" s="559"/>
    </row>
    <row r="1293" spans="1:24" x14ac:dyDescent="0.25">
      <c r="A1293" s="553">
        <f t="shared" si="95"/>
        <v>822760.95667015854</v>
      </c>
      <c r="B1293" s="3">
        <f t="shared" si="97"/>
        <v>2.3999999999999995</v>
      </c>
      <c r="C1293" s="553">
        <f>'Foglio deposito bis'!$E$158/sezione!$B$247*B1293</f>
        <v>9.7430581867388355</v>
      </c>
      <c r="D1293" s="611">
        <f>-'Progetto del paramento slu'!$G$47*'Progetto del paramento slu'!$G$41*IF(DATI!$G$218="dx",DATI!$E$61,DATI!$E$64*DATI!$E$63)*1000*C1293^2*sezione!$AD$5*(1-sezione!$AD$6)</f>
        <v>-781440.54627550684</v>
      </c>
      <c r="E1293" s="553">
        <f>-'Foglio deposito bis'!$F$68*(C1293-sezione!$AL$32)*IF(ABS(K1293)&lt;'Progetto del paramento slu'!$G$58,ABS(K1293)*'Progetto del paramento slu'!$G$54,'Progetto del paramento slu'!$G$53)</f>
        <v>0</v>
      </c>
      <c r="F1293" s="553">
        <f>-'Foglio deposito bis'!$F$69*(C1293-sezione!$AM$32)*IF(ABS(L1293)&lt;'Progetto del paramento slu'!$G$58,ABS(L1293)*'Progetto del paramento slu'!$G$54,'Progetto del paramento slu'!$G$53)</f>
        <v>21552563.05510658</v>
      </c>
      <c r="G1293" s="553">
        <f>-'Foglio deposito bis'!$F$70*(C1293-sezione!$AN$32)*IF(ABS(M1293)&lt;'Progetto del paramento slu'!$G$58,ABS(M1293)*'Progetto del paramento slu'!$G$54,'Progetto del paramento slu'!$G$53)</f>
        <v>0</v>
      </c>
      <c r="H1293" s="553">
        <f>-'Foglio deposito bis'!$F$71*(C1293-sezione!$AO$32)*IF(ABS(N1293)&lt;'Progetto del paramento slu'!$G$58,ABS(N1293)*'Progetto del paramento slu'!$G$54,'Progetto del paramento slu'!$G$53)</f>
        <v>103933718.70361775</v>
      </c>
      <c r="I1293" s="479">
        <f>-'Foglio deposito bis'!$F$72*(C1293-sezione!$AP$32)*IF(ABS(O1293)&lt;'Progetto del paramento slu'!$G$58,ABS(O1293)*'Progetto del paramento slu'!$G$54,'Progetto del paramento slu'!$G$53)</f>
        <v>123060690.44978984</v>
      </c>
      <c r="J1293" s="479">
        <f t="shared" si="93"/>
        <v>247765531.66223866</v>
      </c>
      <c r="K1293" s="558">
        <f>'Progetto del paramento slu'!$G$60*(sezione!$AL$32-C1293)/C1293</f>
        <v>1.0869204957695151E-2</v>
      </c>
      <c r="L1293" s="558">
        <f>'Progetto del paramento slu'!$G$60*(sezione!$AM$32-C1293)/C1293</f>
        <v>5.0384518591356821E-2</v>
      </c>
      <c r="M1293" s="559">
        <f>'Progetto del paramento slu'!$G$60*(sezione!$AN$32-C1293)/C1293</f>
        <v>8.9899832225018475E-2</v>
      </c>
      <c r="N1293" s="559">
        <f>'Progetto del paramento slu'!$G$60*(sezione!$AO$32-C1293)/C1293</f>
        <v>0.11863824214040879</v>
      </c>
      <c r="O1293" s="559">
        <f>'Progetto del paramento slu'!$G$60*(sezione!$AP$32-C1293)/C1293</f>
        <v>8.9901628375638157E-2</v>
      </c>
      <c r="P1293" s="553">
        <f>-'Progetto del paramento slu'!$G$47*'Progetto del paramento slu'!$G$41*IF(DATI!$G$218="dx",DATI!$E$61,DATI!$E$64*DATI!$E$63)*1000*C1293*sezione!$AD$5</f>
        <v>-137337.07646387006</v>
      </c>
      <c r="Q1293" s="553">
        <f>'Foglio deposito bis'!$F$68*IF(ABS(K1293)&lt;'Progetto del paramento slu'!$G$58,ABS(K1293)*'Progetto del paramento slu'!$G$54,'Progetto del paramento slu'!$G$53)*IF(K1293&lt;0,-1,1)</f>
        <v>0</v>
      </c>
      <c r="R1293" s="553">
        <f>'Foglio deposito bis'!$F$69*IF(ABS(L1293)&lt;'Progetto del paramento slu'!$G$58,ABS(L1293)*'Progetto del paramento slu'!$G$54,'Progetto del paramento slu'!$G$53)*IF(L1293&lt;0,-1,1)</f>
        <v>153664.85805602249</v>
      </c>
      <c r="S1293" s="553">
        <f>'Foglio deposito bis'!$F$70*IF(ABS(M1293)&lt;'Progetto del paramento slu'!$G$58,ABS(M1293)*'Progetto del paramento slu'!$G$54,'Progetto del paramento slu'!$G$53)*IF(M1293&lt;0,-1,1)</f>
        <v>0</v>
      </c>
      <c r="T1293" s="553">
        <f>'Foglio deposito bis'!$F$71*IF(ABS(N1293)&lt;'Progetto del paramento slu'!$G$58,ABS(N1293)*'Progetto del paramento slu'!$G$54,'Progetto del paramento slu'!$G$53)*IF(N1293&lt;0,-1,1)</f>
        <v>314705.62929873407</v>
      </c>
      <c r="U1293" s="553">
        <f>'Foglio deposito bis'!$F$72*IF(ABS(O1293)&lt;'Progetto del paramento slu'!$G$58,ABS(O1293)*'Progetto del paramento slu'!$G$54,'Progetto del paramento slu'!$G$53)*IF(O1293&lt;0,-1,1)</f>
        <v>491727.54577927204</v>
      </c>
      <c r="V1293" s="479">
        <f t="shared" si="96"/>
        <v>822760.95667015854</v>
      </c>
      <c r="W1293" s="559"/>
      <c r="X1293" s="559"/>
    </row>
    <row r="1294" spans="1:24" x14ac:dyDescent="0.25">
      <c r="A1294" s="553">
        <f t="shared" si="95"/>
        <v>819899.76757716131</v>
      </c>
      <c r="B1294" s="3">
        <f t="shared" si="97"/>
        <v>2.4499999999999993</v>
      </c>
      <c r="C1294" s="553">
        <f>'Foglio deposito bis'!$E$158/sezione!$B$247*B1294</f>
        <v>9.9460385656292285</v>
      </c>
      <c r="D1294" s="611">
        <f>-'Progetto del paramento slu'!$G$47*'Progetto del paramento slu'!$G$41*IF(DATI!$G$218="dx",DATI!$E$61,DATI!$E$64*DATI!$E$63)*1000*C1294^2*sezione!$AD$5*(1-sezione!$AD$6)</f>
        <v>-814339.73594075185</v>
      </c>
      <c r="E1294" s="553">
        <f>-'Foglio deposito bis'!$F$68*(C1294-sezione!$AL$32)*IF(ABS(K1294)&lt;'Progetto del paramento slu'!$G$58,ABS(K1294)*'Progetto del paramento slu'!$G$54,'Progetto del paramento slu'!$G$53)</f>
        <v>0</v>
      </c>
      <c r="F1294" s="553">
        <f>-'Foglio deposito bis'!$F$69*(C1294-sezione!$AM$32)*IF(ABS(L1294)&lt;'Progetto del paramento slu'!$G$58,ABS(L1294)*'Progetto del paramento slu'!$G$54,'Progetto del paramento slu'!$G$53)</f>
        <v>21521372.103996232</v>
      </c>
      <c r="G1294" s="553">
        <f>-'Foglio deposito bis'!$F$70*(C1294-sezione!$AN$32)*IF(ABS(M1294)&lt;'Progetto del paramento slu'!$G$58,ABS(M1294)*'Progetto del paramento slu'!$G$54,'Progetto del paramento slu'!$G$53)</f>
        <v>0</v>
      </c>
      <c r="H1294" s="553">
        <f>-'Foglio deposito bis'!$F$71*(C1294-sezione!$AO$32)*IF(ABS(N1294)&lt;'Progetto del paramento slu'!$G$58,ABS(N1294)*'Progetto del paramento slu'!$G$54,'Progetto del paramento slu'!$G$53)</f>
        <v>103869839.63574377</v>
      </c>
      <c r="I1294" s="479">
        <f>-'Foglio deposito bis'!$F$72*(C1294-sezione!$AP$32)*IF(ABS(O1294)&lt;'Progetto del paramento slu'!$G$58,ABS(O1294)*'Progetto del paramento slu'!$G$54,'Progetto del paramento slu'!$G$53)</f>
        <v>122960879.40623671</v>
      </c>
      <c r="J1294" s="479">
        <f t="shared" si="93"/>
        <v>247537751.41003597</v>
      </c>
      <c r="K1294" s="558">
        <f>'Progetto del paramento slu'!$G$60*(sezione!$AL$32-C1294)/C1294</f>
        <v>1.0575955876925862E-2</v>
      </c>
      <c r="L1294" s="558">
        <f>'Progetto del paramento slu'!$G$60*(sezione!$AM$32-C1294)/C1294</f>
        <v>4.9284834538471975E-2</v>
      </c>
      <c r="M1294" s="559">
        <f>'Progetto del paramento slu'!$G$60*(sezione!$AN$32-C1294)/C1294</f>
        <v>8.79937132000181E-2</v>
      </c>
      <c r="N1294" s="559">
        <f>'Progetto del paramento slu'!$G$60*(sezione!$AO$32-C1294)/C1294</f>
        <v>0.11614562495386982</v>
      </c>
      <c r="O1294" s="559">
        <f>'Progetto del paramento slu'!$G$60*(sezione!$AP$32-C1294)/C1294</f>
        <v>8.7995472694502669E-2</v>
      </c>
      <c r="P1294" s="553">
        <f>-'Progetto del paramento slu'!$G$47*'Progetto del paramento slu'!$G$41*IF(DATI!$G$218="dx",DATI!$E$61,DATI!$E$64*DATI!$E$63)*1000*C1294*sezione!$AD$5</f>
        <v>-140198.26555686738</v>
      </c>
      <c r="Q1294" s="553">
        <f>'Foglio deposito bis'!$F$68*IF(ABS(K1294)&lt;'Progetto del paramento slu'!$G$58,ABS(K1294)*'Progetto del paramento slu'!$G$54,'Progetto del paramento slu'!$G$53)*IF(K1294&lt;0,-1,1)</f>
        <v>0</v>
      </c>
      <c r="R1294" s="553">
        <f>'Foglio deposito bis'!$F$69*IF(ABS(L1294)&lt;'Progetto del paramento slu'!$G$58,ABS(L1294)*'Progetto del paramento slu'!$G$54,'Progetto del paramento slu'!$G$53)*IF(L1294&lt;0,-1,1)</f>
        <v>153664.85805602249</v>
      </c>
      <c r="S1294" s="553">
        <f>'Foglio deposito bis'!$F$70*IF(ABS(M1294)&lt;'Progetto del paramento slu'!$G$58,ABS(M1294)*'Progetto del paramento slu'!$G$54,'Progetto del paramento slu'!$G$53)*IF(M1294&lt;0,-1,1)</f>
        <v>0</v>
      </c>
      <c r="T1294" s="553">
        <f>'Foglio deposito bis'!$F$71*IF(ABS(N1294)&lt;'Progetto del paramento slu'!$G$58,ABS(N1294)*'Progetto del paramento slu'!$G$54,'Progetto del paramento slu'!$G$53)*IF(N1294&lt;0,-1,1)</f>
        <v>314705.62929873407</v>
      </c>
      <c r="U1294" s="553">
        <f>'Foglio deposito bis'!$F$72*IF(ABS(O1294)&lt;'Progetto del paramento slu'!$G$58,ABS(O1294)*'Progetto del paramento slu'!$G$54,'Progetto del paramento slu'!$G$53)*IF(O1294&lt;0,-1,1)</f>
        <v>491727.54577927204</v>
      </c>
      <c r="V1294" s="479">
        <f t="shared" si="96"/>
        <v>819899.76757716131</v>
      </c>
      <c r="W1294" s="559"/>
      <c r="X1294" s="559"/>
    </row>
    <row r="1295" spans="1:24" x14ac:dyDescent="0.25">
      <c r="A1295" s="553">
        <f t="shared" si="95"/>
        <v>817038.57848416385</v>
      </c>
      <c r="B1295" s="3">
        <f t="shared" si="97"/>
        <v>2.4999999999999991</v>
      </c>
      <c r="C1295" s="553">
        <f>'Foglio deposito bis'!$E$158/sezione!$B$247*B1295</f>
        <v>10.14901894451962</v>
      </c>
      <c r="D1295" s="611">
        <f>-'Progetto del paramento slu'!$G$47*'Progetto del paramento slu'!$G$41*IF(DATI!$G$218="dx",DATI!$E$61,DATI!$E$64*DATI!$E$63)*1000*C1295^2*sezione!$AD$5*(1-sezione!$AD$6)</f>
        <v>-847917.25941352721</v>
      </c>
      <c r="E1295" s="553">
        <f>-'Foglio deposito bis'!$F$68*(C1295-sezione!$AL$32)*IF(ABS(K1295)&lt;'Progetto del paramento slu'!$G$58,ABS(K1295)*'Progetto del paramento slu'!$G$54,'Progetto del paramento slu'!$G$53)</f>
        <v>0</v>
      </c>
      <c r="F1295" s="553">
        <f>-'Foglio deposito bis'!$F$69*(C1295-sezione!$AM$32)*IF(ABS(L1295)&lt;'Progetto del paramento slu'!$G$58,ABS(L1295)*'Progetto del paramento slu'!$G$54,'Progetto del paramento slu'!$G$53)</f>
        <v>21490181.152885884</v>
      </c>
      <c r="G1295" s="553">
        <f>-'Foglio deposito bis'!$F$70*(C1295-sezione!$AN$32)*IF(ABS(M1295)&lt;'Progetto del paramento slu'!$G$58,ABS(M1295)*'Progetto del paramento slu'!$G$54,'Progetto del paramento slu'!$G$53)</f>
        <v>0</v>
      </c>
      <c r="H1295" s="553">
        <f>-'Foglio deposito bis'!$F$71*(C1295-sezione!$AO$32)*IF(ABS(N1295)&lt;'Progetto del paramento slu'!$G$58,ABS(N1295)*'Progetto del paramento slu'!$G$54,'Progetto del paramento slu'!$G$53)</f>
        <v>103805960.56786977</v>
      </c>
      <c r="I1295" s="479">
        <f>-'Foglio deposito bis'!$F$72*(C1295-sezione!$AP$32)*IF(ABS(O1295)&lt;'Progetto del paramento slu'!$G$58,ABS(O1295)*'Progetto del paramento slu'!$G$54,'Progetto del paramento slu'!$G$53)</f>
        <v>122861068.36268359</v>
      </c>
      <c r="J1295" s="479">
        <f t="shared" si="93"/>
        <v>247309292.82402572</v>
      </c>
      <c r="K1295" s="558">
        <f>'Progetto del paramento slu'!$G$60*(sezione!$AL$32-C1295)/C1295</f>
        <v>1.0294436759387345E-2</v>
      </c>
      <c r="L1295" s="558">
        <f>'Progetto del paramento slu'!$G$60*(sezione!$AM$32-C1295)/C1295</f>
        <v>4.8229137847702552E-2</v>
      </c>
      <c r="M1295" s="559">
        <f>'Progetto del paramento slu'!$G$60*(sezione!$AN$32-C1295)/C1295</f>
        <v>8.6163838936017756E-2</v>
      </c>
      <c r="N1295" s="559">
        <f>'Progetto del paramento slu'!$G$60*(sezione!$AO$32-C1295)/C1295</f>
        <v>0.11375271245479243</v>
      </c>
      <c r="O1295" s="559">
        <f>'Progetto del paramento slu'!$G$60*(sezione!$AP$32-C1295)/C1295</f>
        <v>8.6165563240612641E-2</v>
      </c>
      <c r="P1295" s="553">
        <f>-'Progetto del paramento slu'!$G$47*'Progetto del paramento slu'!$G$41*IF(DATI!$G$218="dx",DATI!$E$61,DATI!$E$64*DATI!$E$63)*1000*C1295*sezione!$AD$5</f>
        <v>-143059.45464986467</v>
      </c>
      <c r="Q1295" s="553">
        <f>'Foglio deposito bis'!$F$68*IF(ABS(K1295)&lt;'Progetto del paramento slu'!$G$58,ABS(K1295)*'Progetto del paramento slu'!$G$54,'Progetto del paramento slu'!$G$53)*IF(K1295&lt;0,-1,1)</f>
        <v>0</v>
      </c>
      <c r="R1295" s="553">
        <f>'Foglio deposito bis'!$F$69*IF(ABS(L1295)&lt;'Progetto del paramento slu'!$G$58,ABS(L1295)*'Progetto del paramento slu'!$G$54,'Progetto del paramento slu'!$G$53)*IF(L1295&lt;0,-1,1)</f>
        <v>153664.85805602249</v>
      </c>
      <c r="S1295" s="553">
        <f>'Foglio deposito bis'!$F$70*IF(ABS(M1295)&lt;'Progetto del paramento slu'!$G$58,ABS(M1295)*'Progetto del paramento slu'!$G$54,'Progetto del paramento slu'!$G$53)*IF(M1295&lt;0,-1,1)</f>
        <v>0</v>
      </c>
      <c r="T1295" s="553">
        <f>'Foglio deposito bis'!$F$71*IF(ABS(N1295)&lt;'Progetto del paramento slu'!$G$58,ABS(N1295)*'Progetto del paramento slu'!$G$54,'Progetto del paramento slu'!$G$53)*IF(N1295&lt;0,-1,1)</f>
        <v>314705.62929873407</v>
      </c>
      <c r="U1295" s="553">
        <f>'Foglio deposito bis'!$F$72*IF(ABS(O1295)&lt;'Progetto del paramento slu'!$G$58,ABS(O1295)*'Progetto del paramento slu'!$G$54,'Progetto del paramento slu'!$G$53)*IF(O1295&lt;0,-1,1)</f>
        <v>491727.54577927204</v>
      </c>
      <c r="V1295" s="479">
        <f t="shared" si="96"/>
        <v>817038.57848416385</v>
      </c>
      <c r="W1295" s="559"/>
      <c r="X1295" s="559"/>
    </row>
    <row r="1296" spans="1:24" x14ac:dyDescent="0.25">
      <c r="A1296" s="553">
        <f t="shared" si="95"/>
        <v>814177.38939116662</v>
      </c>
      <c r="B1296" s="3">
        <f t="shared" si="97"/>
        <v>2.5499999999999989</v>
      </c>
      <c r="C1296" s="553">
        <f>'Foglio deposito bis'!$E$158/sezione!$B$247*B1296</f>
        <v>10.351999323410011</v>
      </c>
      <c r="D1296" s="611">
        <f>-'Progetto del paramento slu'!$G$47*'Progetto del paramento slu'!$G$41*IF(DATI!$G$218="dx",DATI!$E$61,DATI!$E$64*DATI!$E$63)*1000*C1296^2*sezione!$AD$5*(1-sezione!$AD$6)</f>
        <v>-882173.11669383361</v>
      </c>
      <c r="E1296" s="553">
        <f>-'Foglio deposito bis'!$F$68*(C1296-sezione!$AL$32)*IF(ABS(K1296)&lt;'Progetto del paramento slu'!$G$58,ABS(K1296)*'Progetto del paramento slu'!$G$54,'Progetto del paramento slu'!$G$53)</f>
        <v>0</v>
      </c>
      <c r="F1296" s="553">
        <f>-'Foglio deposito bis'!$F$69*(C1296-sezione!$AM$32)*IF(ABS(L1296)&lt;'Progetto del paramento slu'!$G$58,ABS(L1296)*'Progetto del paramento slu'!$G$54,'Progetto del paramento slu'!$G$53)</f>
        <v>21458990.201775536</v>
      </c>
      <c r="G1296" s="553">
        <f>-'Foglio deposito bis'!$F$70*(C1296-sezione!$AN$32)*IF(ABS(M1296)&lt;'Progetto del paramento slu'!$G$58,ABS(M1296)*'Progetto del paramento slu'!$G$54,'Progetto del paramento slu'!$G$53)</f>
        <v>0</v>
      </c>
      <c r="H1296" s="553">
        <f>-'Foglio deposito bis'!$F$71*(C1296-sezione!$AO$32)*IF(ABS(N1296)&lt;'Progetto del paramento slu'!$G$58,ABS(N1296)*'Progetto del paramento slu'!$G$54,'Progetto del paramento slu'!$G$53)</f>
        <v>103742081.4999958</v>
      </c>
      <c r="I1296" s="479">
        <f>-'Foglio deposito bis'!$F$72*(C1296-sezione!$AP$32)*IF(ABS(O1296)&lt;'Progetto del paramento slu'!$G$58,ABS(O1296)*'Progetto del paramento slu'!$G$54,'Progetto del paramento slu'!$G$53)</f>
        <v>122761257.31913048</v>
      </c>
      <c r="J1296" s="479">
        <f t="shared" si="93"/>
        <v>247080155.90420797</v>
      </c>
      <c r="K1296" s="558">
        <f>'Progetto del paramento slu'!$G$60*(sezione!$AL$32-C1296)/C1296</f>
        <v>1.0023957607242496E-2</v>
      </c>
      <c r="L1296" s="558">
        <f>'Progetto del paramento slu'!$G$60*(sezione!$AM$32-C1296)/C1296</f>
        <v>4.7214841027159365E-2</v>
      </c>
      <c r="M1296" s="559">
        <f>'Progetto del paramento slu'!$G$60*(sezione!$AN$32-C1296)/C1296</f>
        <v>8.4405724447076225E-2</v>
      </c>
      <c r="N1296" s="559">
        <f>'Progetto del paramento slu'!$G$60*(sezione!$AO$32-C1296)/C1296</f>
        <v>0.11145363966156123</v>
      </c>
      <c r="O1296" s="559">
        <f>'Progetto del paramento slu'!$G$60*(sezione!$AP$32-C1296)/C1296</f>
        <v>8.4407414941777087E-2</v>
      </c>
      <c r="P1296" s="553">
        <f>-'Progetto del paramento slu'!$G$47*'Progetto del paramento slu'!$G$41*IF(DATI!$G$218="dx",DATI!$E$61,DATI!$E$64*DATI!$E$63)*1000*C1296*sezione!$AD$5</f>
        <v>-145920.64374286195</v>
      </c>
      <c r="Q1296" s="553">
        <f>'Foglio deposito bis'!$F$68*IF(ABS(K1296)&lt;'Progetto del paramento slu'!$G$58,ABS(K1296)*'Progetto del paramento slu'!$G$54,'Progetto del paramento slu'!$G$53)*IF(K1296&lt;0,-1,1)</f>
        <v>0</v>
      </c>
      <c r="R1296" s="553">
        <f>'Foglio deposito bis'!$F$69*IF(ABS(L1296)&lt;'Progetto del paramento slu'!$G$58,ABS(L1296)*'Progetto del paramento slu'!$G$54,'Progetto del paramento slu'!$G$53)*IF(L1296&lt;0,-1,1)</f>
        <v>153664.85805602249</v>
      </c>
      <c r="S1296" s="553">
        <f>'Foglio deposito bis'!$F$70*IF(ABS(M1296)&lt;'Progetto del paramento slu'!$G$58,ABS(M1296)*'Progetto del paramento slu'!$G$54,'Progetto del paramento slu'!$G$53)*IF(M1296&lt;0,-1,1)</f>
        <v>0</v>
      </c>
      <c r="T1296" s="553">
        <f>'Foglio deposito bis'!$F$71*IF(ABS(N1296)&lt;'Progetto del paramento slu'!$G$58,ABS(N1296)*'Progetto del paramento slu'!$G$54,'Progetto del paramento slu'!$G$53)*IF(N1296&lt;0,-1,1)</f>
        <v>314705.62929873407</v>
      </c>
      <c r="U1296" s="553">
        <f>'Foglio deposito bis'!$F$72*IF(ABS(O1296)&lt;'Progetto del paramento slu'!$G$58,ABS(O1296)*'Progetto del paramento slu'!$G$54,'Progetto del paramento slu'!$G$53)*IF(O1296&lt;0,-1,1)</f>
        <v>491727.54577927204</v>
      </c>
      <c r="V1296" s="479">
        <f t="shared" si="96"/>
        <v>814177.38939116662</v>
      </c>
      <c r="W1296" s="559"/>
      <c r="X1296" s="559"/>
    </row>
    <row r="1297" spans="1:24" x14ac:dyDescent="0.25">
      <c r="A1297" s="553">
        <f t="shared" si="95"/>
        <v>811316.20029816939</v>
      </c>
      <c r="B1297" s="3">
        <f t="shared" si="97"/>
        <v>2.5999999999999988</v>
      </c>
      <c r="C1297" s="553">
        <f>'Foglio deposito bis'!$E$158/sezione!$B$247*B1297</f>
        <v>10.554979702300404</v>
      </c>
      <c r="D1297" s="611">
        <f>-'Progetto del paramento slu'!$G$47*'Progetto del paramento slu'!$G$41*IF(DATI!$G$218="dx",DATI!$E$61,DATI!$E$64*DATI!$E$63)*1000*C1297^2*sezione!$AD$5*(1-sezione!$AD$6)</f>
        <v>-917107.30778167106</v>
      </c>
      <c r="E1297" s="553">
        <f>-'Foglio deposito bis'!$F$68*(C1297-sezione!$AL$32)*IF(ABS(K1297)&lt;'Progetto del paramento slu'!$G$58,ABS(K1297)*'Progetto del paramento slu'!$G$54,'Progetto del paramento slu'!$G$53)</f>
        <v>0</v>
      </c>
      <c r="F1297" s="553">
        <f>-'Foglio deposito bis'!$F$69*(C1297-sezione!$AM$32)*IF(ABS(L1297)&lt;'Progetto del paramento slu'!$G$58,ABS(L1297)*'Progetto del paramento slu'!$G$54,'Progetto del paramento slu'!$G$53)</f>
        <v>21427799.25066518</v>
      </c>
      <c r="G1297" s="553">
        <f>-'Foglio deposito bis'!$F$70*(C1297-sezione!$AN$32)*IF(ABS(M1297)&lt;'Progetto del paramento slu'!$G$58,ABS(M1297)*'Progetto del paramento slu'!$G$54,'Progetto del paramento slu'!$G$53)</f>
        <v>0</v>
      </c>
      <c r="H1297" s="553">
        <f>-'Foglio deposito bis'!$F$71*(C1297-sezione!$AO$32)*IF(ABS(N1297)&lt;'Progetto del paramento slu'!$G$58,ABS(N1297)*'Progetto del paramento slu'!$G$54,'Progetto del paramento slu'!$G$53)</f>
        <v>103678202.43212178</v>
      </c>
      <c r="I1297" s="479">
        <f>-'Foglio deposito bis'!$F$72*(C1297-sezione!$AP$32)*IF(ABS(O1297)&lt;'Progetto del paramento slu'!$G$58,ABS(O1297)*'Progetto del paramento slu'!$G$54,'Progetto del paramento slu'!$G$53)</f>
        <v>122661446.27557735</v>
      </c>
      <c r="J1297" s="479">
        <f t="shared" si="93"/>
        <v>246850340.65058264</v>
      </c>
      <c r="K1297" s="558">
        <f>'Progetto del paramento slu'!$G$60*(sezione!$AL$32-C1297)/C1297</f>
        <v>9.7638814994109088E-3</v>
      </c>
      <c r="L1297" s="558">
        <f>'Progetto del paramento slu'!$G$60*(sezione!$AM$32-C1297)/C1297</f>
        <v>4.6239555622790911E-2</v>
      </c>
      <c r="M1297" s="559">
        <f>'Progetto del paramento slu'!$G$60*(sezione!$AN$32-C1297)/C1297</f>
        <v>8.2715229746170918E-2</v>
      </c>
      <c r="N1297" s="559">
        <f>'Progetto del paramento slu'!$G$60*(sezione!$AO$32-C1297)/C1297</f>
        <v>0.10924299274499273</v>
      </c>
      <c r="O1297" s="559">
        <f>'Progetto del paramento slu'!$G$60*(sezione!$AP$32-C1297)/C1297</f>
        <v>8.2716887731358296E-2</v>
      </c>
      <c r="P1297" s="553">
        <f>-'Progetto del paramento slu'!$G$47*'Progetto del paramento slu'!$G$41*IF(DATI!$G$218="dx",DATI!$E$61,DATI!$E$64*DATI!$E$63)*1000*C1297*sezione!$AD$5</f>
        <v>-148781.83283585924</v>
      </c>
      <c r="Q1297" s="553">
        <f>'Foglio deposito bis'!$F$68*IF(ABS(K1297)&lt;'Progetto del paramento slu'!$G$58,ABS(K1297)*'Progetto del paramento slu'!$G$54,'Progetto del paramento slu'!$G$53)*IF(K1297&lt;0,-1,1)</f>
        <v>0</v>
      </c>
      <c r="R1297" s="553">
        <f>'Foglio deposito bis'!$F$69*IF(ABS(L1297)&lt;'Progetto del paramento slu'!$G$58,ABS(L1297)*'Progetto del paramento slu'!$G$54,'Progetto del paramento slu'!$G$53)*IF(L1297&lt;0,-1,1)</f>
        <v>153664.85805602249</v>
      </c>
      <c r="S1297" s="553">
        <f>'Foglio deposito bis'!$F$70*IF(ABS(M1297)&lt;'Progetto del paramento slu'!$G$58,ABS(M1297)*'Progetto del paramento slu'!$G$54,'Progetto del paramento slu'!$G$53)*IF(M1297&lt;0,-1,1)</f>
        <v>0</v>
      </c>
      <c r="T1297" s="553">
        <f>'Foglio deposito bis'!$F$71*IF(ABS(N1297)&lt;'Progetto del paramento slu'!$G$58,ABS(N1297)*'Progetto del paramento slu'!$G$54,'Progetto del paramento slu'!$G$53)*IF(N1297&lt;0,-1,1)</f>
        <v>314705.62929873407</v>
      </c>
      <c r="U1297" s="553">
        <f>'Foglio deposito bis'!$F$72*IF(ABS(O1297)&lt;'Progetto del paramento slu'!$G$58,ABS(O1297)*'Progetto del paramento slu'!$G$54,'Progetto del paramento slu'!$G$53)*IF(O1297&lt;0,-1,1)</f>
        <v>491727.54577927204</v>
      </c>
      <c r="V1297" s="479">
        <f t="shared" si="96"/>
        <v>811316.20029816939</v>
      </c>
      <c r="W1297" s="559"/>
      <c r="X1297" s="559"/>
    </row>
    <row r="1298" spans="1:24" x14ac:dyDescent="0.25">
      <c r="A1298" s="553">
        <f t="shared" si="95"/>
        <v>808455.01120517217</v>
      </c>
      <c r="B1298" s="3">
        <f t="shared" si="97"/>
        <v>2.6499999999999986</v>
      </c>
      <c r="C1298" s="553">
        <f>'Foglio deposito bis'!$E$158/sezione!$B$247*B1298</f>
        <v>10.757960081190795</v>
      </c>
      <c r="D1298" s="611">
        <f>-'Progetto del paramento slu'!$G$47*'Progetto del paramento slu'!$G$41*IF(DATI!$G$218="dx",DATI!$E$61,DATI!$E$64*DATI!$E$63)*1000*C1298^2*sezione!$AD$5*(1-sezione!$AD$6)</f>
        <v>-952719.83267703897</v>
      </c>
      <c r="E1298" s="553">
        <f>-'Foglio deposito bis'!$F$68*(C1298-sezione!$AL$32)*IF(ABS(K1298)&lt;'Progetto del paramento slu'!$G$58,ABS(K1298)*'Progetto del paramento slu'!$G$54,'Progetto del paramento slu'!$G$53)</f>
        <v>0</v>
      </c>
      <c r="F1298" s="553">
        <f>-'Foglio deposito bis'!$F$69*(C1298-sezione!$AM$32)*IF(ABS(L1298)&lt;'Progetto del paramento slu'!$G$58,ABS(L1298)*'Progetto del paramento slu'!$G$54,'Progetto del paramento slu'!$G$53)</f>
        <v>21396608.299554836</v>
      </c>
      <c r="G1298" s="553">
        <f>-'Foglio deposito bis'!$F$70*(C1298-sezione!$AN$32)*IF(ABS(M1298)&lt;'Progetto del paramento slu'!$G$58,ABS(M1298)*'Progetto del paramento slu'!$G$54,'Progetto del paramento slu'!$G$53)</f>
        <v>0</v>
      </c>
      <c r="H1298" s="553">
        <f>-'Foglio deposito bis'!$F$71*(C1298-sezione!$AO$32)*IF(ABS(N1298)&lt;'Progetto del paramento slu'!$G$58,ABS(N1298)*'Progetto del paramento slu'!$G$54,'Progetto del paramento slu'!$G$53)</f>
        <v>103614323.36424778</v>
      </c>
      <c r="I1298" s="479">
        <f>-'Foglio deposito bis'!$F$72*(C1298-sezione!$AP$32)*IF(ABS(O1298)&lt;'Progetto del paramento slu'!$G$58,ABS(O1298)*'Progetto del paramento slu'!$G$54,'Progetto del paramento slu'!$G$53)</f>
        <v>122561635.23202424</v>
      </c>
      <c r="J1298" s="479">
        <f t="shared" si="93"/>
        <v>246619847.06314981</v>
      </c>
      <c r="K1298" s="558">
        <f>'Progetto del paramento slu'!$G$60*(sezione!$AL$32-C1298)/C1298</f>
        <v>9.5136195843276861E-3</v>
      </c>
      <c r="L1298" s="558">
        <f>'Progetto del paramento slu'!$G$60*(sezione!$AM$32-C1298)/C1298</f>
        <v>4.5301073441228829E-2</v>
      </c>
      <c r="M1298" s="559">
        <f>'Progetto del paramento slu'!$G$60*(sezione!$AN$32-C1298)/C1298</f>
        <v>8.1088527298129959E-2</v>
      </c>
      <c r="N1298" s="559">
        <f>'Progetto del paramento slu'!$G$60*(sezione!$AO$32-C1298)/C1298</f>
        <v>0.10711576646678533</v>
      </c>
      <c r="O1298" s="559">
        <f>'Progetto del paramento slu'!$G$60*(sezione!$AP$32-C1298)/C1298</f>
        <v>8.1090154000577966E-2</v>
      </c>
      <c r="P1298" s="553">
        <f>-'Progetto del paramento slu'!$G$47*'Progetto del paramento slu'!$G$41*IF(DATI!$G$218="dx",DATI!$E$61,DATI!$E$64*DATI!$E$63)*1000*C1298*sezione!$AD$5</f>
        <v>-151643.02192885653</v>
      </c>
      <c r="Q1298" s="553">
        <f>'Foglio deposito bis'!$F$68*IF(ABS(K1298)&lt;'Progetto del paramento slu'!$G$58,ABS(K1298)*'Progetto del paramento slu'!$G$54,'Progetto del paramento slu'!$G$53)*IF(K1298&lt;0,-1,1)</f>
        <v>0</v>
      </c>
      <c r="R1298" s="553">
        <f>'Foglio deposito bis'!$F$69*IF(ABS(L1298)&lt;'Progetto del paramento slu'!$G$58,ABS(L1298)*'Progetto del paramento slu'!$G$54,'Progetto del paramento slu'!$G$53)*IF(L1298&lt;0,-1,1)</f>
        <v>153664.85805602249</v>
      </c>
      <c r="S1298" s="553">
        <f>'Foglio deposito bis'!$F$70*IF(ABS(M1298)&lt;'Progetto del paramento slu'!$G$58,ABS(M1298)*'Progetto del paramento slu'!$G$54,'Progetto del paramento slu'!$G$53)*IF(M1298&lt;0,-1,1)</f>
        <v>0</v>
      </c>
      <c r="T1298" s="553">
        <f>'Foglio deposito bis'!$F$71*IF(ABS(N1298)&lt;'Progetto del paramento slu'!$G$58,ABS(N1298)*'Progetto del paramento slu'!$G$54,'Progetto del paramento slu'!$G$53)*IF(N1298&lt;0,-1,1)</f>
        <v>314705.62929873407</v>
      </c>
      <c r="U1298" s="553">
        <f>'Foglio deposito bis'!$F$72*IF(ABS(O1298)&lt;'Progetto del paramento slu'!$G$58,ABS(O1298)*'Progetto del paramento slu'!$G$54,'Progetto del paramento slu'!$G$53)*IF(O1298&lt;0,-1,1)</f>
        <v>491727.54577927204</v>
      </c>
      <c r="V1298" s="479">
        <f t="shared" si="96"/>
        <v>808455.01120517217</v>
      </c>
      <c r="W1298" s="559"/>
      <c r="X1298" s="559"/>
    </row>
    <row r="1299" spans="1:24" x14ac:dyDescent="0.25">
      <c r="A1299" s="553">
        <f t="shared" si="95"/>
        <v>805593.82211217482</v>
      </c>
      <c r="B1299" s="3">
        <f t="shared" si="97"/>
        <v>2.6999999999999984</v>
      </c>
      <c r="C1299" s="553">
        <f>'Foglio deposito bis'!$E$158/sezione!$B$247*B1299</f>
        <v>10.960940460081186</v>
      </c>
      <c r="D1299" s="611">
        <f>-'Progetto del paramento slu'!$G$47*'Progetto del paramento slu'!$G$41*IF(DATI!$G$218="dx",DATI!$E$61,DATI!$E$64*DATI!$E$63)*1000*C1299^2*sezione!$AD$5*(1-sezione!$AD$6)</f>
        <v>-989010.69137993769</v>
      </c>
      <c r="E1299" s="553">
        <f>-'Foglio deposito bis'!$F$68*(C1299-sezione!$AL$32)*IF(ABS(K1299)&lt;'Progetto del paramento slu'!$G$58,ABS(K1299)*'Progetto del paramento slu'!$G$54,'Progetto del paramento slu'!$G$53)</f>
        <v>0</v>
      </c>
      <c r="F1299" s="553">
        <f>-'Foglio deposito bis'!$F$69*(C1299-sezione!$AM$32)*IF(ABS(L1299)&lt;'Progetto del paramento slu'!$G$58,ABS(L1299)*'Progetto del paramento slu'!$G$54,'Progetto del paramento slu'!$G$53)</f>
        <v>21365417.348444484</v>
      </c>
      <c r="G1299" s="553">
        <f>-'Foglio deposito bis'!$F$70*(C1299-sezione!$AN$32)*IF(ABS(M1299)&lt;'Progetto del paramento slu'!$G$58,ABS(M1299)*'Progetto del paramento slu'!$G$54,'Progetto del paramento slu'!$G$53)</f>
        <v>0</v>
      </c>
      <c r="H1299" s="553">
        <f>-'Foglio deposito bis'!$F$71*(C1299-sezione!$AO$32)*IF(ABS(N1299)&lt;'Progetto del paramento slu'!$G$58,ABS(N1299)*'Progetto del paramento slu'!$G$54,'Progetto del paramento slu'!$G$53)</f>
        <v>103550444.29637378</v>
      </c>
      <c r="I1299" s="479">
        <f>-'Foglio deposito bis'!$F$72*(C1299-sezione!$AP$32)*IF(ABS(O1299)&lt;'Progetto del paramento slu'!$G$58,ABS(O1299)*'Progetto del paramento slu'!$G$54,'Progetto del paramento slu'!$G$53)</f>
        <v>122461824.18847111</v>
      </c>
      <c r="J1299" s="479">
        <f t="shared" si="93"/>
        <v>246388675.14190942</v>
      </c>
      <c r="K1299" s="558">
        <f>'Progetto del paramento slu'!$G$60*(sezione!$AL$32-C1299)/C1299</f>
        <v>9.2726266290623603E-3</v>
      </c>
      <c r="L1299" s="558">
        <f>'Progetto del paramento slu'!$G$60*(sezione!$AM$32-C1299)/C1299</f>
        <v>4.4397349858983852E-2</v>
      </c>
      <c r="M1299" s="559">
        <f>'Progetto del paramento slu'!$G$60*(sezione!$AN$32-C1299)/C1299</f>
        <v>7.952207308890534E-2</v>
      </c>
      <c r="N1299" s="559">
        <f>'Progetto del paramento slu'!$G$60*(sezione!$AO$32-C1299)/C1299</f>
        <v>0.10506732634703006</v>
      </c>
      <c r="O1299" s="559">
        <f>'Progetto del paramento slu'!$G$60*(sezione!$AP$32-C1299)/C1299</f>
        <v>7.952366966723394E-2</v>
      </c>
      <c r="P1299" s="553">
        <f>-'Progetto del paramento slu'!$G$47*'Progetto del paramento slu'!$G$41*IF(DATI!$G$218="dx",DATI!$E$61,DATI!$E$64*DATI!$E$63)*1000*C1299*sezione!$AD$5</f>
        <v>-154504.21102185379</v>
      </c>
      <c r="Q1299" s="553">
        <f>'Foglio deposito bis'!$F$68*IF(ABS(K1299)&lt;'Progetto del paramento slu'!$G$58,ABS(K1299)*'Progetto del paramento slu'!$G$54,'Progetto del paramento slu'!$G$53)*IF(K1299&lt;0,-1,1)</f>
        <v>0</v>
      </c>
      <c r="R1299" s="553">
        <f>'Foglio deposito bis'!$F$69*IF(ABS(L1299)&lt;'Progetto del paramento slu'!$G$58,ABS(L1299)*'Progetto del paramento slu'!$G$54,'Progetto del paramento slu'!$G$53)*IF(L1299&lt;0,-1,1)</f>
        <v>153664.85805602249</v>
      </c>
      <c r="S1299" s="553">
        <f>'Foglio deposito bis'!$F$70*IF(ABS(M1299)&lt;'Progetto del paramento slu'!$G$58,ABS(M1299)*'Progetto del paramento slu'!$G$54,'Progetto del paramento slu'!$G$53)*IF(M1299&lt;0,-1,1)</f>
        <v>0</v>
      </c>
      <c r="T1299" s="553">
        <f>'Foglio deposito bis'!$F$71*IF(ABS(N1299)&lt;'Progetto del paramento slu'!$G$58,ABS(N1299)*'Progetto del paramento slu'!$G$54,'Progetto del paramento slu'!$G$53)*IF(N1299&lt;0,-1,1)</f>
        <v>314705.62929873407</v>
      </c>
      <c r="U1299" s="553">
        <f>'Foglio deposito bis'!$F$72*IF(ABS(O1299)&lt;'Progetto del paramento slu'!$G$58,ABS(O1299)*'Progetto del paramento slu'!$G$54,'Progetto del paramento slu'!$G$53)*IF(O1299&lt;0,-1,1)</f>
        <v>491727.54577927204</v>
      </c>
      <c r="V1299" s="479">
        <f t="shared" si="96"/>
        <v>805593.82211217482</v>
      </c>
      <c r="W1299" s="559"/>
      <c r="X1299" s="559"/>
    </row>
    <row r="1300" spans="1:24" x14ac:dyDescent="0.25">
      <c r="A1300" s="553">
        <f t="shared" si="95"/>
        <v>802732.63301917748</v>
      </c>
      <c r="B1300" s="3">
        <f t="shared" si="97"/>
        <v>2.7499999999999982</v>
      </c>
      <c r="C1300" s="553">
        <f>'Foglio deposito bis'!$E$158/sezione!$B$247*B1300</f>
        <v>11.163920838971578</v>
      </c>
      <c r="D1300" s="611">
        <f>-'Progetto del paramento slu'!$G$47*'Progetto del paramento slu'!$G$41*IF(DATI!$G$218="dx",DATI!$E$61,DATI!$E$64*DATI!$E$63)*1000*C1300^2*sezione!$AD$5*(1-sezione!$AD$6)</f>
        <v>-1025979.8838903673</v>
      </c>
      <c r="E1300" s="553">
        <f>-'Foglio deposito bis'!$F$68*(C1300-sezione!$AL$32)*IF(ABS(K1300)&lt;'Progetto del paramento slu'!$G$58,ABS(K1300)*'Progetto del paramento slu'!$G$54,'Progetto del paramento slu'!$G$53)</f>
        <v>0</v>
      </c>
      <c r="F1300" s="553">
        <f>-'Foglio deposito bis'!$F$69*(C1300-sezione!$AM$32)*IF(ABS(L1300)&lt;'Progetto del paramento slu'!$G$58,ABS(L1300)*'Progetto del paramento slu'!$G$54,'Progetto del paramento slu'!$G$53)</f>
        <v>21334226.397334132</v>
      </c>
      <c r="G1300" s="553">
        <f>-'Foglio deposito bis'!$F$70*(C1300-sezione!$AN$32)*IF(ABS(M1300)&lt;'Progetto del paramento slu'!$G$58,ABS(M1300)*'Progetto del paramento slu'!$G$54,'Progetto del paramento slu'!$G$53)</f>
        <v>0</v>
      </c>
      <c r="H1300" s="553">
        <f>-'Foglio deposito bis'!$F$71*(C1300-sezione!$AO$32)*IF(ABS(N1300)&lt;'Progetto del paramento slu'!$G$58,ABS(N1300)*'Progetto del paramento slu'!$G$54,'Progetto del paramento slu'!$G$53)</f>
        <v>103486565.22849979</v>
      </c>
      <c r="I1300" s="479">
        <f>-'Foglio deposito bis'!$F$72*(C1300-sezione!$AP$32)*IF(ABS(O1300)&lt;'Progetto del paramento slu'!$G$58,ABS(O1300)*'Progetto del paramento slu'!$G$54,'Progetto del paramento slu'!$G$53)</f>
        <v>122362013.14491799</v>
      </c>
      <c r="J1300" s="479">
        <f t="shared" si="93"/>
        <v>246156824.88686156</v>
      </c>
      <c r="K1300" s="558">
        <f>'Progetto del paramento slu'!$G$60*(sezione!$AL$32-C1300)/C1300</f>
        <v>9.0403970539885015E-3</v>
      </c>
      <c r="L1300" s="558">
        <f>'Progetto del paramento slu'!$G$60*(sezione!$AM$32-C1300)/C1300</f>
        <v>4.3526488952456872E-2</v>
      </c>
      <c r="M1300" s="559">
        <f>'Progetto del paramento slu'!$G$60*(sezione!$AN$32-C1300)/C1300</f>
        <v>7.8012580850925259E-2</v>
      </c>
      <c r="N1300" s="559">
        <f>'Progetto del paramento slu'!$G$60*(sezione!$AO$32-C1300)/C1300</f>
        <v>0.10309337495890225</v>
      </c>
      <c r="O1300" s="559">
        <f>'Progetto del paramento slu'!$G$60*(sezione!$AP$32-C1300)/C1300</f>
        <v>7.8014148400556968E-2</v>
      </c>
      <c r="P1300" s="553">
        <f>-'Progetto del paramento slu'!$G$47*'Progetto del paramento slu'!$G$41*IF(DATI!$G$218="dx",DATI!$E$61,DATI!$E$64*DATI!$E$63)*1000*C1300*sezione!$AD$5</f>
        <v>-157365.40011485107</v>
      </c>
      <c r="Q1300" s="553">
        <f>'Foglio deposito bis'!$F$68*IF(ABS(K1300)&lt;'Progetto del paramento slu'!$G$58,ABS(K1300)*'Progetto del paramento slu'!$G$54,'Progetto del paramento slu'!$G$53)*IF(K1300&lt;0,-1,1)</f>
        <v>0</v>
      </c>
      <c r="R1300" s="553">
        <f>'Foglio deposito bis'!$F$69*IF(ABS(L1300)&lt;'Progetto del paramento slu'!$G$58,ABS(L1300)*'Progetto del paramento slu'!$G$54,'Progetto del paramento slu'!$G$53)*IF(L1300&lt;0,-1,1)</f>
        <v>153664.85805602249</v>
      </c>
      <c r="S1300" s="553">
        <f>'Foglio deposito bis'!$F$70*IF(ABS(M1300)&lt;'Progetto del paramento slu'!$G$58,ABS(M1300)*'Progetto del paramento slu'!$G$54,'Progetto del paramento slu'!$G$53)*IF(M1300&lt;0,-1,1)</f>
        <v>0</v>
      </c>
      <c r="T1300" s="553">
        <f>'Foglio deposito bis'!$F$71*IF(ABS(N1300)&lt;'Progetto del paramento slu'!$G$58,ABS(N1300)*'Progetto del paramento slu'!$G$54,'Progetto del paramento slu'!$G$53)*IF(N1300&lt;0,-1,1)</f>
        <v>314705.62929873407</v>
      </c>
      <c r="U1300" s="553">
        <f>'Foglio deposito bis'!$F$72*IF(ABS(O1300)&lt;'Progetto del paramento slu'!$G$58,ABS(O1300)*'Progetto del paramento slu'!$G$54,'Progetto del paramento slu'!$G$53)*IF(O1300&lt;0,-1,1)</f>
        <v>491727.54577927204</v>
      </c>
      <c r="V1300" s="479">
        <f t="shared" si="96"/>
        <v>802732.63301917748</v>
      </c>
      <c r="W1300" s="559"/>
      <c r="X1300" s="559"/>
    </row>
    <row r="1301" spans="1:24" x14ac:dyDescent="0.25">
      <c r="A1301" s="553">
        <f t="shared" si="95"/>
        <v>799871.44392618025</v>
      </c>
      <c r="B1301" s="3">
        <f t="shared" si="97"/>
        <v>2.799999999999998</v>
      </c>
      <c r="C1301" s="553">
        <f>'Foglio deposito bis'!$E$158/sezione!$B$247*B1301</f>
        <v>11.366901217861971</v>
      </c>
      <c r="D1301" s="611">
        <f>-'Progetto del paramento slu'!$G$47*'Progetto del paramento slu'!$G$41*IF(DATI!$G$218="dx",DATI!$E$61,DATI!$E$64*DATI!$E$63)*1000*C1301^2*sezione!$AD$5*(1-sezione!$AD$6)</f>
        <v>-1063627.4102083282</v>
      </c>
      <c r="E1301" s="553">
        <f>-'Foglio deposito bis'!$F$68*(C1301-sezione!$AL$32)*IF(ABS(K1301)&lt;'Progetto del paramento slu'!$G$58,ABS(K1301)*'Progetto del paramento slu'!$G$54,'Progetto del paramento slu'!$G$53)</f>
        <v>0</v>
      </c>
      <c r="F1301" s="553">
        <f>-'Foglio deposito bis'!$F$69*(C1301-sezione!$AM$32)*IF(ABS(L1301)&lt;'Progetto del paramento slu'!$G$58,ABS(L1301)*'Progetto del paramento slu'!$G$54,'Progetto del paramento slu'!$G$53)</f>
        <v>21303035.446223788</v>
      </c>
      <c r="G1301" s="553">
        <f>-'Foglio deposito bis'!$F$70*(C1301-sezione!$AN$32)*IF(ABS(M1301)&lt;'Progetto del paramento slu'!$G$58,ABS(M1301)*'Progetto del paramento slu'!$G$54,'Progetto del paramento slu'!$G$53)</f>
        <v>0</v>
      </c>
      <c r="H1301" s="553">
        <f>-'Foglio deposito bis'!$F$71*(C1301-sezione!$AO$32)*IF(ABS(N1301)&lt;'Progetto del paramento slu'!$G$58,ABS(N1301)*'Progetto del paramento slu'!$G$54,'Progetto del paramento slu'!$G$53)</f>
        <v>103422686.16062579</v>
      </c>
      <c r="I1301" s="479">
        <f>-'Foglio deposito bis'!$F$72*(C1301-sezione!$AP$32)*IF(ABS(O1301)&lt;'Progetto del paramento slu'!$G$58,ABS(O1301)*'Progetto del paramento slu'!$G$54,'Progetto del paramento slu'!$G$53)</f>
        <v>122262202.1013649</v>
      </c>
      <c r="J1301" s="479">
        <f t="shared" si="93"/>
        <v>245924296.29800612</v>
      </c>
      <c r="K1301" s="558">
        <f>'Progetto del paramento slu'!$G$60*(sezione!$AL$32-C1301)/C1301</f>
        <v>8.8164613923101334E-3</v>
      </c>
      <c r="L1301" s="558">
        <f>'Progetto del paramento slu'!$G$60*(sezione!$AM$32-C1301)/C1301</f>
        <v>4.2686730221163004E-2</v>
      </c>
      <c r="M1301" s="559">
        <f>'Progetto del paramento slu'!$G$60*(sezione!$AN$32-C1301)/C1301</f>
        <v>7.6556999050015867E-2</v>
      </c>
      <c r="N1301" s="559">
        <f>'Progetto del paramento slu'!$G$60*(sezione!$AO$32-C1301)/C1301</f>
        <v>0.10118992183463614</v>
      </c>
      <c r="O1301" s="559">
        <f>'Progetto del paramento slu'!$G$60*(sezione!$AP$32-C1301)/C1301</f>
        <v>7.6558538607689866E-2</v>
      </c>
      <c r="P1301" s="553">
        <f>-'Progetto del paramento slu'!$G$47*'Progetto del paramento slu'!$G$41*IF(DATI!$G$218="dx",DATI!$E$61,DATI!$E$64*DATI!$E$63)*1000*C1301*sezione!$AD$5</f>
        <v>-160226.58920784836</v>
      </c>
      <c r="Q1301" s="553">
        <f>'Foglio deposito bis'!$F$68*IF(ABS(K1301)&lt;'Progetto del paramento slu'!$G$58,ABS(K1301)*'Progetto del paramento slu'!$G$54,'Progetto del paramento slu'!$G$53)*IF(K1301&lt;0,-1,1)</f>
        <v>0</v>
      </c>
      <c r="R1301" s="553">
        <f>'Foglio deposito bis'!$F$69*IF(ABS(L1301)&lt;'Progetto del paramento slu'!$G$58,ABS(L1301)*'Progetto del paramento slu'!$G$54,'Progetto del paramento slu'!$G$53)*IF(L1301&lt;0,-1,1)</f>
        <v>153664.85805602249</v>
      </c>
      <c r="S1301" s="553">
        <f>'Foglio deposito bis'!$F$70*IF(ABS(M1301)&lt;'Progetto del paramento slu'!$G$58,ABS(M1301)*'Progetto del paramento slu'!$G$54,'Progetto del paramento slu'!$G$53)*IF(M1301&lt;0,-1,1)</f>
        <v>0</v>
      </c>
      <c r="T1301" s="553">
        <f>'Foglio deposito bis'!$F$71*IF(ABS(N1301)&lt;'Progetto del paramento slu'!$G$58,ABS(N1301)*'Progetto del paramento slu'!$G$54,'Progetto del paramento slu'!$G$53)*IF(N1301&lt;0,-1,1)</f>
        <v>314705.62929873407</v>
      </c>
      <c r="U1301" s="553">
        <f>'Foglio deposito bis'!$F$72*IF(ABS(O1301)&lt;'Progetto del paramento slu'!$G$58,ABS(O1301)*'Progetto del paramento slu'!$G$54,'Progetto del paramento slu'!$G$53)*IF(O1301&lt;0,-1,1)</f>
        <v>491727.54577927204</v>
      </c>
      <c r="V1301" s="479">
        <f t="shared" si="96"/>
        <v>799871.44392618025</v>
      </c>
      <c r="W1301" s="559"/>
      <c r="X1301" s="559"/>
    </row>
    <row r="1302" spans="1:24" x14ac:dyDescent="0.25">
      <c r="A1302" s="553">
        <f t="shared" si="95"/>
        <v>797010.25483318302</v>
      </c>
      <c r="B1302" s="3">
        <f t="shared" si="97"/>
        <v>2.8499999999999979</v>
      </c>
      <c r="C1302" s="553">
        <f>'Foglio deposito bis'!$E$158/sezione!$B$247*B1302</f>
        <v>11.569881596752362</v>
      </c>
      <c r="D1302" s="611">
        <f>-'Progetto del paramento slu'!$G$47*'Progetto del paramento slu'!$G$41*IF(DATI!$G$218="dx",DATI!$E$61,DATI!$E$64*DATI!$E$63)*1000*C1302^2*sezione!$AD$5*(1-sezione!$AD$6)</f>
        <v>-1101953.2703338189</v>
      </c>
      <c r="E1302" s="553">
        <f>-'Foglio deposito bis'!$F$68*(C1302-sezione!$AL$32)*IF(ABS(K1302)&lt;'Progetto del paramento slu'!$G$58,ABS(K1302)*'Progetto del paramento slu'!$G$54,'Progetto del paramento slu'!$G$53)</f>
        <v>0</v>
      </c>
      <c r="F1302" s="553">
        <f>-'Foglio deposito bis'!$F$69*(C1302-sezione!$AM$32)*IF(ABS(L1302)&lt;'Progetto del paramento slu'!$G$58,ABS(L1302)*'Progetto del paramento slu'!$G$54,'Progetto del paramento slu'!$G$53)</f>
        <v>21271844.495113436</v>
      </c>
      <c r="G1302" s="553">
        <f>-'Foglio deposito bis'!$F$70*(C1302-sezione!$AN$32)*IF(ABS(M1302)&lt;'Progetto del paramento slu'!$G$58,ABS(M1302)*'Progetto del paramento slu'!$G$54,'Progetto del paramento slu'!$G$53)</f>
        <v>0</v>
      </c>
      <c r="H1302" s="553">
        <f>-'Foglio deposito bis'!$F$71*(C1302-sezione!$AO$32)*IF(ABS(N1302)&lt;'Progetto del paramento slu'!$G$58,ABS(N1302)*'Progetto del paramento slu'!$G$54,'Progetto del paramento slu'!$G$53)</f>
        <v>103358807.0927518</v>
      </c>
      <c r="I1302" s="479">
        <f>-'Foglio deposito bis'!$F$72*(C1302-sezione!$AP$32)*IF(ABS(O1302)&lt;'Progetto del paramento slu'!$G$58,ABS(O1302)*'Progetto del paramento slu'!$G$54,'Progetto del paramento slu'!$G$53)</f>
        <v>122162391.05781175</v>
      </c>
      <c r="J1302" s="479">
        <f t="shared" si="93"/>
        <v>245691089.37534317</v>
      </c>
      <c r="K1302" s="558">
        <f>'Progetto del paramento slu'!$G$60*(sezione!$AL$32-C1302)/C1302</f>
        <v>8.6003831222696073E-3</v>
      </c>
      <c r="L1302" s="558">
        <f>'Progetto del paramento slu'!$G$60*(sezione!$AM$32-C1302)/C1302</f>
        <v>4.1876436708511024E-2</v>
      </c>
      <c r="M1302" s="559">
        <f>'Progetto del paramento slu'!$G$60*(sezione!$AN$32-C1302)/C1302</f>
        <v>7.5152490294752447E-2</v>
      </c>
      <c r="N1302" s="559">
        <f>'Progetto del paramento slu'!$G$60*(sezione!$AO$32-C1302)/C1302</f>
        <v>9.9353256539291654E-2</v>
      </c>
      <c r="O1302" s="559">
        <f>'Progetto del paramento slu'!$G$60*(sezione!$AP$32-C1302)/C1302</f>
        <v>7.5154002842642689E-2</v>
      </c>
      <c r="P1302" s="553">
        <f>-'Progetto del paramento slu'!$G$47*'Progetto del paramento slu'!$G$41*IF(DATI!$G$218="dx",DATI!$E$61,DATI!$E$64*DATI!$E$63)*1000*C1302*sezione!$AD$5</f>
        <v>-163087.77830084565</v>
      </c>
      <c r="Q1302" s="553">
        <f>'Foglio deposito bis'!$F$68*IF(ABS(K1302)&lt;'Progetto del paramento slu'!$G$58,ABS(K1302)*'Progetto del paramento slu'!$G$54,'Progetto del paramento slu'!$G$53)*IF(K1302&lt;0,-1,1)</f>
        <v>0</v>
      </c>
      <c r="R1302" s="553">
        <f>'Foglio deposito bis'!$F$69*IF(ABS(L1302)&lt;'Progetto del paramento slu'!$G$58,ABS(L1302)*'Progetto del paramento slu'!$G$54,'Progetto del paramento slu'!$G$53)*IF(L1302&lt;0,-1,1)</f>
        <v>153664.85805602249</v>
      </c>
      <c r="S1302" s="553">
        <f>'Foglio deposito bis'!$F$70*IF(ABS(M1302)&lt;'Progetto del paramento slu'!$G$58,ABS(M1302)*'Progetto del paramento slu'!$G$54,'Progetto del paramento slu'!$G$53)*IF(M1302&lt;0,-1,1)</f>
        <v>0</v>
      </c>
      <c r="T1302" s="553">
        <f>'Foglio deposito bis'!$F$71*IF(ABS(N1302)&lt;'Progetto del paramento slu'!$G$58,ABS(N1302)*'Progetto del paramento slu'!$G$54,'Progetto del paramento slu'!$G$53)*IF(N1302&lt;0,-1,1)</f>
        <v>314705.62929873407</v>
      </c>
      <c r="U1302" s="553">
        <f>'Foglio deposito bis'!$F$72*IF(ABS(O1302)&lt;'Progetto del paramento slu'!$G$58,ABS(O1302)*'Progetto del paramento slu'!$G$54,'Progetto del paramento slu'!$G$53)*IF(O1302&lt;0,-1,1)</f>
        <v>491727.54577927204</v>
      </c>
      <c r="V1302" s="479">
        <f t="shared" si="96"/>
        <v>797010.25483318302</v>
      </c>
      <c r="W1302" s="559"/>
      <c r="X1302" s="559"/>
    </row>
    <row r="1303" spans="1:24" x14ac:dyDescent="0.25">
      <c r="A1303" s="553">
        <f t="shared" si="95"/>
        <v>794149.06574018567</v>
      </c>
      <c r="B1303" s="3">
        <f t="shared" si="97"/>
        <v>2.8999999999999977</v>
      </c>
      <c r="C1303" s="553">
        <f>'Foglio deposito bis'!$E$158/sezione!$B$247*B1303</f>
        <v>11.772861975642753</v>
      </c>
      <c r="D1303" s="611">
        <f>-'Progetto del paramento slu'!$G$47*'Progetto del paramento slu'!$G$41*IF(DATI!$G$218="dx",DATI!$E$61,DATI!$E$64*DATI!$E$63)*1000*C1303^2*sezione!$AD$5*(1-sezione!$AD$6)</f>
        <v>-1140957.4642668411</v>
      </c>
      <c r="E1303" s="553">
        <f>-'Foglio deposito bis'!$F$68*(C1303-sezione!$AL$32)*IF(ABS(K1303)&lt;'Progetto del paramento slu'!$G$58,ABS(K1303)*'Progetto del paramento slu'!$G$54,'Progetto del paramento slu'!$G$53)</f>
        <v>0</v>
      </c>
      <c r="F1303" s="553">
        <f>-'Foglio deposito bis'!$F$69*(C1303-sezione!$AM$32)*IF(ABS(L1303)&lt;'Progetto del paramento slu'!$G$58,ABS(L1303)*'Progetto del paramento slu'!$G$54,'Progetto del paramento slu'!$G$53)</f>
        <v>21240653.544003088</v>
      </c>
      <c r="G1303" s="553">
        <f>-'Foglio deposito bis'!$F$70*(C1303-sezione!$AN$32)*IF(ABS(M1303)&lt;'Progetto del paramento slu'!$G$58,ABS(M1303)*'Progetto del paramento slu'!$G$54,'Progetto del paramento slu'!$G$53)</f>
        <v>0</v>
      </c>
      <c r="H1303" s="553">
        <f>-'Foglio deposito bis'!$F$71*(C1303-sezione!$AO$32)*IF(ABS(N1303)&lt;'Progetto del paramento slu'!$G$58,ABS(N1303)*'Progetto del paramento slu'!$G$54,'Progetto del paramento slu'!$G$53)</f>
        <v>103294928.0248778</v>
      </c>
      <c r="I1303" s="479">
        <f>-'Foglio deposito bis'!$F$72*(C1303-sezione!$AP$32)*IF(ABS(O1303)&lt;'Progetto del paramento slu'!$G$58,ABS(O1303)*'Progetto del paramento slu'!$G$54,'Progetto del paramento slu'!$G$53)</f>
        <v>122062580.01425865</v>
      </c>
      <c r="J1303" s="479">
        <f t="shared" si="93"/>
        <v>245457204.1188727</v>
      </c>
      <c r="K1303" s="558">
        <f>'Progetto del paramento slu'!$G$60*(sezione!$AL$32-C1303)/C1303</f>
        <v>8.3917558270580617E-3</v>
      </c>
      <c r="L1303" s="558">
        <f>'Progetto del paramento slu'!$G$60*(sezione!$AM$32-C1303)/C1303</f>
        <v>4.109408435146774E-2</v>
      </c>
      <c r="M1303" s="559">
        <f>'Progetto del paramento slu'!$G$60*(sezione!$AN$32-C1303)/C1303</f>
        <v>7.3796412875877404E-2</v>
      </c>
      <c r="N1303" s="559">
        <f>'Progetto del paramento slu'!$G$60*(sezione!$AO$32-C1303)/C1303</f>
        <v>9.7579924529993534E-2</v>
      </c>
      <c r="O1303" s="559">
        <f>'Progetto del paramento slu'!$G$60*(sezione!$AP$32-C1303)/C1303</f>
        <v>7.3797899345355758E-2</v>
      </c>
      <c r="P1303" s="553">
        <f>-'Progetto del paramento slu'!$G$47*'Progetto del paramento slu'!$G$41*IF(DATI!$G$218="dx",DATI!$E$61,DATI!$E$64*DATI!$E$63)*1000*C1303*sezione!$AD$5</f>
        <v>-165948.96739384293</v>
      </c>
      <c r="Q1303" s="553">
        <f>'Foglio deposito bis'!$F$68*IF(ABS(K1303)&lt;'Progetto del paramento slu'!$G$58,ABS(K1303)*'Progetto del paramento slu'!$G$54,'Progetto del paramento slu'!$G$53)*IF(K1303&lt;0,-1,1)</f>
        <v>0</v>
      </c>
      <c r="R1303" s="553">
        <f>'Foglio deposito bis'!$F$69*IF(ABS(L1303)&lt;'Progetto del paramento slu'!$G$58,ABS(L1303)*'Progetto del paramento slu'!$G$54,'Progetto del paramento slu'!$G$53)*IF(L1303&lt;0,-1,1)</f>
        <v>153664.85805602249</v>
      </c>
      <c r="S1303" s="553">
        <f>'Foglio deposito bis'!$F$70*IF(ABS(M1303)&lt;'Progetto del paramento slu'!$G$58,ABS(M1303)*'Progetto del paramento slu'!$G$54,'Progetto del paramento slu'!$G$53)*IF(M1303&lt;0,-1,1)</f>
        <v>0</v>
      </c>
      <c r="T1303" s="553">
        <f>'Foglio deposito bis'!$F$71*IF(ABS(N1303)&lt;'Progetto del paramento slu'!$G$58,ABS(N1303)*'Progetto del paramento slu'!$G$54,'Progetto del paramento slu'!$G$53)*IF(N1303&lt;0,-1,1)</f>
        <v>314705.62929873407</v>
      </c>
      <c r="U1303" s="553">
        <f>'Foglio deposito bis'!$F$72*IF(ABS(O1303)&lt;'Progetto del paramento slu'!$G$58,ABS(O1303)*'Progetto del paramento slu'!$G$54,'Progetto del paramento slu'!$G$53)*IF(O1303&lt;0,-1,1)</f>
        <v>491727.54577927204</v>
      </c>
      <c r="V1303" s="479">
        <f t="shared" si="96"/>
        <v>794149.06574018567</v>
      </c>
      <c r="W1303" s="559"/>
      <c r="X1303" s="559"/>
    </row>
    <row r="1304" spans="1:24" x14ac:dyDescent="0.25">
      <c r="A1304" s="553">
        <f t="shared" si="95"/>
        <v>791287.87664718833</v>
      </c>
      <c r="B1304" s="3">
        <f t="shared" si="97"/>
        <v>2.9499999999999975</v>
      </c>
      <c r="C1304" s="553">
        <f>'Foglio deposito bis'!$E$158/sezione!$B$247*B1304</f>
        <v>11.975842354533146</v>
      </c>
      <c r="D1304" s="611">
        <f>-'Progetto del paramento slu'!$G$47*'Progetto del paramento slu'!$G$41*IF(DATI!$G$218="dx",DATI!$E$61,DATI!$E$64*DATI!$E$63)*1000*C1304^2*sezione!$AD$5*(1-sezione!$AD$6)</f>
        <v>-1180639.9920073943</v>
      </c>
      <c r="E1304" s="553">
        <f>-'Foglio deposito bis'!$F$68*(C1304-sezione!$AL$32)*IF(ABS(K1304)&lt;'Progetto del paramento slu'!$G$58,ABS(K1304)*'Progetto del paramento slu'!$G$54,'Progetto del paramento slu'!$G$53)</f>
        <v>0</v>
      </c>
      <c r="F1304" s="553">
        <f>-'Foglio deposito bis'!$F$69*(C1304-sezione!$AM$32)*IF(ABS(L1304)&lt;'Progetto del paramento slu'!$G$58,ABS(L1304)*'Progetto del paramento slu'!$G$54,'Progetto del paramento slu'!$G$53)</f>
        <v>21209462.592892736</v>
      </c>
      <c r="G1304" s="553">
        <f>-'Foglio deposito bis'!$F$70*(C1304-sezione!$AN$32)*IF(ABS(M1304)&lt;'Progetto del paramento slu'!$G$58,ABS(M1304)*'Progetto del paramento slu'!$G$54,'Progetto del paramento slu'!$G$53)</f>
        <v>0</v>
      </c>
      <c r="H1304" s="553">
        <f>-'Foglio deposito bis'!$F$71*(C1304-sezione!$AO$32)*IF(ABS(N1304)&lt;'Progetto del paramento slu'!$G$58,ABS(N1304)*'Progetto del paramento slu'!$G$54,'Progetto del paramento slu'!$G$53)</f>
        <v>103231048.95700379</v>
      </c>
      <c r="I1304" s="479">
        <f>-'Foglio deposito bis'!$F$72*(C1304-sezione!$AP$32)*IF(ABS(O1304)&lt;'Progetto del paramento slu'!$G$58,ABS(O1304)*'Progetto del paramento slu'!$G$54,'Progetto del paramento slu'!$G$53)</f>
        <v>121962768.97070554</v>
      </c>
      <c r="J1304" s="479">
        <f t="shared" si="93"/>
        <v>245222640.52859467</v>
      </c>
      <c r="K1304" s="558">
        <f>'Progetto del paramento slu'!$G$60*(sezione!$AL$32-C1304)/C1304</f>
        <v>8.1902006435486032E-3</v>
      </c>
      <c r="L1304" s="558">
        <f>'Progetto del paramento slu'!$G$60*(sezione!$AM$32-C1304)/C1304</f>
        <v>4.0338252413307261E-2</v>
      </c>
      <c r="M1304" s="559">
        <f>'Progetto del paramento slu'!$G$60*(sezione!$AN$32-C1304)/C1304</f>
        <v>7.2486304183065925E-2</v>
      </c>
      <c r="N1304" s="559">
        <f>'Progetto del paramento slu'!$G$60*(sezione!$AO$32-C1304)/C1304</f>
        <v>9.5866705470163127E-2</v>
      </c>
      <c r="O1304" s="559">
        <f>'Progetto del paramento slu'!$G$60*(sezione!$AP$32-C1304)/C1304</f>
        <v>7.2487765458146322E-2</v>
      </c>
      <c r="P1304" s="553">
        <f>-'Progetto del paramento slu'!$G$47*'Progetto del paramento slu'!$G$41*IF(DATI!$G$218="dx",DATI!$E$61,DATI!$E$64*DATI!$E$63)*1000*C1304*sezione!$AD$5</f>
        <v>-168810.15648684022</v>
      </c>
      <c r="Q1304" s="553">
        <f>'Foglio deposito bis'!$F$68*IF(ABS(K1304)&lt;'Progetto del paramento slu'!$G$58,ABS(K1304)*'Progetto del paramento slu'!$G$54,'Progetto del paramento slu'!$G$53)*IF(K1304&lt;0,-1,1)</f>
        <v>0</v>
      </c>
      <c r="R1304" s="553">
        <f>'Foglio deposito bis'!$F$69*IF(ABS(L1304)&lt;'Progetto del paramento slu'!$G$58,ABS(L1304)*'Progetto del paramento slu'!$G$54,'Progetto del paramento slu'!$G$53)*IF(L1304&lt;0,-1,1)</f>
        <v>153664.85805602249</v>
      </c>
      <c r="S1304" s="553">
        <f>'Foglio deposito bis'!$F$70*IF(ABS(M1304)&lt;'Progetto del paramento slu'!$G$58,ABS(M1304)*'Progetto del paramento slu'!$G$54,'Progetto del paramento slu'!$G$53)*IF(M1304&lt;0,-1,1)</f>
        <v>0</v>
      </c>
      <c r="T1304" s="553">
        <f>'Foglio deposito bis'!$F$71*IF(ABS(N1304)&lt;'Progetto del paramento slu'!$G$58,ABS(N1304)*'Progetto del paramento slu'!$G$54,'Progetto del paramento slu'!$G$53)*IF(N1304&lt;0,-1,1)</f>
        <v>314705.62929873407</v>
      </c>
      <c r="U1304" s="553">
        <f>'Foglio deposito bis'!$F$72*IF(ABS(O1304)&lt;'Progetto del paramento slu'!$G$58,ABS(O1304)*'Progetto del paramento slu'!$G$54,'Progetto del paramento slu'!$G$53)*IF(O1304&lt;0,-1,1)</f>
        <v>491727.54577927204</v>
      </c>
      <c r="V1304" s="479">
        <f t="shared" si="96"/>
        <v>791287.87664718833</v>
      </c>
      <c r="W1304" s="559"/>
      <c r="X1304" s="559"/>
    </row>
    <row r="1305" spans="1:24" x14ac:dyDescent="0.25">
      <c r="A1305" s="553">
        <f t="shared" si="95"/>
        <v>788426.6875541911</v>
      </c>
      <c r="B1305" s="3">
        <f t="shared" si="97"/>
        <v>2.9999999999999973</v>
      </c>
      <c r="C1305" s="553">
        <f>'Foglio deposito bis'!$E$158/sezione!$B$247*B1305</f>
        <v>12.178822733423537</v>
      </c>
      <c r="D1305" s="611">
        <f>-'Progetto del paramento slu'!$G$47*'Progetto del paramento slu'!$G$41*IF(DATI!$G$218="dx",DATI!$E$61,DATI!$E$64*DATI!$E$63)*1000*C1305^2*sezione!$AD$5*(1-sezione!$AD$6)</f>
        <v>-1221000.8535554782</v>
      </c>
      <c r="E1305" s="553">
        <f>-'Foglio deposito bis'!$F$68*(C1305-sezione!$AL$32)*IF(ABS(K1305)&lt;'Progetto del paramento slu'!$G$58,ABS(K1305)*'Progetto del paramento slu'!$G$54,'Progetto del paramento slu'!$G$53)</f>
        <v>0</v>
      </c>
      <c r="F1305" s="553">
        <f>-'Foglio deposito bis'!$F$69*(C1305-sezione!$AM$32)*IF(ABS(L1305)&lt;'Progetto del paramento slu'!$G$58,ABS(L1305)*'Progetto del paramento slu'!$G$54,'Progetto del paramento slu'!$G$53)</f>
        <v>21178271.641782384</v>
      </c>
      <c r="G1305" s="553">
        <f>-'Foglio deposito bis'!$F$70*(C1305-sezione!$AN$32)*IF(ABS(M1305)&lt;'Progetto del paramento slu'!$G$58,ABS(M1305)*'Progetto del paramento slu'!$G$54,'Progetto del paramento slu'!$G$53)</f>
        <v>0</v>
      </c>
      <c r="H1305" s="553">
        <f>-'Foglio deposito bis'!$F$71*(C1305-sezione!$AO$32)*IF(ABS(N1305)&lt;'Progetto del paramento slu'!$G$58,ABS(N1305)*'Progetto del paramento slu'!$G$54,'Progetto del paramento slu'!$G$53)</f>
        <v>103167169.88912982</v>
      </c>
      <c r="I1305" s="479">
        <f>-'Foglio deposito bis'!$F$72*(C1305-sezione!$AP$32)*IF(ABS(O1305)&lt;'Progetto del paramento slu'!$G$58,ABS(O1305)*'Progetto del paramento slu'!$G$54,'Progetto del paramento slu'!$G$53)</f>
        <v>121862957.9271524</v>
      </c>
      <c r="J1305" s="479">
        <f t="shared" si="93"/>
        <v>244987398.60450912</v>
      </c>
      <c r="K1305" s="558">
        <f>'Progetto del paramento slu'!$G$60*(sezione!$AL$32-C1305)/C1305</f>
        <v>7.9953639661561274E-3</v>
      </c>
      <c r="L1305" s="558">
        <f>'Progetto del paramento slu'!$G$60*(sezione!$AM$32-C1305)/C1305</f>
        <v>3.9607614873085471E-2</v>
      </c>
      <c r="M1305" s="559">
        <f>'Progetto del paramento slu'!$G$60*(sezione!$AN$32-C1305)/C1305</f>
        <v>7.1219865780014824E-2</v>
      </c>
      <c r="N1305" s="559">
        <f>'Progetto del paramento slu'!$G$60*(sezione!$AO$32-C1305)/C1305</f>
        <v>9.4210593712327081E-2</v>
      </c>
      <c r="O1305" s="559">
        <f>'Progetto del paramento slu'!$G$60*(sezione!$AP$32-C1305)/C1305</f>
        <v>7.1221302700510566E-2</v>
      </c>
      <c r="P1305" s="553">
        <f>-'Progetto del paramento slu'!$G$47*'Progetto del paramento slu'!$G$41*IF(DATI!$G$218="dx",DATI!$E$61,DATI!$E$64*DATI!$E$63)*1000*C1305*sezione!$AD$5</f>
        <v>-171671.34557983751</v>
      </c>
      <c r="Q1305" s="553">
        <f>'Foglio deposito bis'!$F$68*IF(ABS(K1305)&lt;'Progetto del paramento slu'!$G$58,ABS(K1305)*'Progetto del paramento slu'!$G$54,'Progetto del paramento slu'!$G$53)*IF(K1305&lt;0,-1,1)</f>
        <v>0</v>
      </c>
      <c r="R1305" s="553">
        <f>'Foglio deposito bis'!$F$69*IF(ABS(L1305)&lt;'Progetto del paramento slu'!$G$58,ABS(L1305)*'Progetto del paramento slu'!$G$54,'Progetto del paramento slu'!$G$53)*IF(L1305&lt;0,-1,1)</f>
        <v>153664.85805602249</v>
      </c>
      <c r="S1305" s="553">
        <f>'Foglio deposito bis'!$F$70*IF(ABS(M1305)&lt;'Progetto del paramento slu'!$G$58,ABS(M1305)*'Progetto del paramento slu'!$G$54,'Progetto del paramento slu'!$G$53)*IF(M1305&lt;0,-1,1)</f>
        <v>0</v>
      </c>
      <c r="T1305" s="553">
        <f>'Foglio deposito bis'!$F$71*IF(ABS(N1305)&lt;'Progetto del paramento slu'!$G$58,ABS(N1305)*'Progetto del paramento slu'!$G$54,'Progetto del paramento slu'!$G$53)*IF(N1305&lt;0,-1,1)</f>
        <v>314705.62929873407</v>
      </c>
      <c r="U1305" s="553">
        <f>'Foglio deposito bis'!$F$72*IF(ABS(O1305)&lt;'Progetto del paramento slu'!$G$58,ABS(O1305)*'Progetto del paramento slu'!$G$54,'Progetto del paramento slu'!$G$53)*IF(O1305&lt;0,-1,1)</f>
        <v>491727.54577927204</v>
      </c>
      <c r="V1305" s="479">
        <f t="shared" si="96"/>
        <v>788426.6875541911</v>
      </c>
      <c r="W1305" s="559"/>
      <c r="X1305" s="559"/>
    </row>
    <row r="1306" spans="1:24" x14ac:dyDescent="0.25">
      <c r="A1306" s="553">
        <f t="shared" si="95"/>
        <v>785565.49846119387</v>
      </c>
      <c r="B1306" s="3">
        <f t="shared" si="97"/>
        <v>3.0499999999999972</v>
      </c>
      <c r="C1306" s="553">
        <f>'Foglio deposito bis'!$E$158/sezione!$B$247*B1306</f>
        <v>12.381803112313928</v>
      </c>
      <c r="D1306" s="611">
        <f>-'Progetto del paramento slu'!$G$47*'Progetto del paramento slu'!$G$41*IF(DATI!$G$218="dx",DATI!$E$61,DATI!$E$64*DATI!$E$63)*1000*C1306^2*sezione!$AD$5*(1-sezione!$AD$6)</f>
        <v>-1262040.0489110923</v>
      </c>
      <c r="E1306" s="553">
        <f>-'Foglio deposito bis'!$F$68*(C1306-sezione!$AL$32)*IF(ABS(K1306)&lt;'Progetto del paramento slu'!$G$58,ABS(K1306)*'Progetto del paramento slu'!$G$54,'Progetto del paramento slu'!$G$53)</f>
        <v>0</v>
      </c>
      <c r="F1306" s="553">
        <f>-'Foglio deposito bis'!$F$69*(C1306-sezione!$AM$32)*IF(ABS(L1306)&lt;'Progetto del paramento slu'!$G$58,ABS(L1306)*'Progetto del paramento slu'!$G$54,'Progetto del paramento slu'!$G$53)</f>
        <v>21147080.69067204</v>
      </c>
      <c r="G1306" s="553">
        <f>-'Foglio deposito bis'!$F$70*(C1306-sezione!$AN$32)*IF(ABS(M1306)&lt;'Progetto del paramento slu'!$G$58,ABS(M1306)*'Progetto del paramento slu'!$G$54,'Progetto del paramento slu'!$G$53)</f>
        <v>0</v>
      </c>
      <c r="H1306" s="553">
        <f>-'Foglio deposito bis'!$F$71*(C1306-sezione!$AO$32)*IF(ABS(N1306)&lt;'Progetto del paramento slu'!$G$58,ABS(N1306)*'Progetto del paramento slu'!$G$54,'Progetto del paramento slu'!$G$53)</f>
        <v>103103290.82125582</v>
      </c>
      <c r="I1306" s="479">
        <f>-'Foglio deposito bis'!$F$72*(C1306-sezione!$AP$32)*IF(ABS(O1306)&lt;'Progetto del paramento slu'!$G$58,ABS(O1306)*'Progetto del paramento slu'!$G$54,'Progetto del paramento slu'!$G$53)</f>
        <v>121763146.8835993</v>
      </c>
      <c r="J1306" s="479">
        <f t="shared" si="93"/>
        <v>244751478.34661606</v>
      </c>
      <c r="K1306" s="558">
        <f>'Progetto del paramento slu'!$G$60*(sezione!$AL$32-C1306)/C1306</f>
        <v>7.8069153765470117E-3</v>
      </c>
      <c r="L1306" s="558">
        <f>'Progetto del paramento slu'!$G$60*(sezione!$AM$32-C1306)/C1306</f>
        <v>3.8900932662051295E-2</v>
      </c>
      <c r="M1306" s="559">
        <f>'Progetto del paramento slu'!$G$60*(sezione!$AN$32-C1306)/C1306</f>
        <v>6.9994949947555576E-2</v>
      </c>
      <c r="N1306" s="559">
        <f>'Progetto del paramento slu'!$G$60*(sezione!$AO$32-C1306)/C1306</f>
        <v>9.2608780700649596E-2</v>
      </c>
      <c r="O1306" s="559">
        <f>'Progetto del paramento slu'!$G$60*(sezione!$AP$32-C1306)/C1306</f>
        <v>6.9996363311977602E-2</v>
      </c>
      <c r="P1306" s="553">
        <f>-'Progetto del paramento slu'!$G$47*'Progetto del paramento slu'!$G$41*IF(DATI!$G$218="dx",DATI!$E$61,DATI!$E$64*DATI!$E$63)*1000*C1306*sezione!$AD$5</f>
        <v>-174532.53467283476</v>
      </c>
      <c r="Q1306" s="553">
        <f>'Foglio deposito bis'!$F$68*IF(ABS(K1306)&lt;'Progetto del paramento slu'!$G$58,ABS(K1306)*'Progetto del paramento slu'!$G$54,'Progetto del paramento slu'!$G$53)*IF(K1306&lt;0,-1,1)</f>
        <v>0</v>
      </c>
      <c r="R1306" s="553">
        <f>'Foglio deposito bis'!$F$69*IF(ABS(L1306)&lt;'Progetto del paramento slu'!$G$58,ABS(L1306)*'Progetto del paramento slu'!$G$54,'Progetto del paramento slu'!$G$53)*IF(L1306&lt;0,-1,1)</f>
        <v>153664.85805602249</v>
      </c>
      <c r="S1306" s="553">
        <f>'Foglio deposito bis'!$F$70*IF(ABS(M1306)&lt;'Progetto del paramento slu'!$G$58,ABS(M1306)*'Progetto del paramento slu'!$G$54,'Progetto del paramento slu'!$G$53)*IF(M1306&lt;0,-1,1)</f>
        <v>0</v>
      </c>
      <c r="T1306" s="553">
        <f>'Foglio deposito bis'!$F$71*IF(ABS(N1306)&lt;'Progetto del paramento slu'!$G$58,ABS(N1306)*'Progetto del paramento slu'!$G$54,'Progetto del paramento slu'!$G$53)*IF(N1306&lt;0,-1,1)</f>
        <v>314705.62929873407</v>
      </c>
      <c r="U1306" s="553">
        <f>'Foglio deposito bis'!$F$72*IF(ABS(O1306)&lt;'Progetto del paramento slu'!$G$58,ABS(O1306)*'Progetto del paramento slu'!$G$54,'Progetto del paramento slu'!$G$53)*IF(O1306&lt;0,-1,1)</f>
        <v>491727.54577927204</v>
      </c>
      <c r="V1306" s="479">
        <f t="shared" si="96"/>
        <v>785565.49846119387</v>
      </c>
      <c r="W1306" s="559"/>
      <c r="X1306" s="559"/>
    </row>
    <row r="1307" spans="1:24" x14ac:dyDescent="0.25">
      <c r="A1307" s="553">
        <f t="shared" si="95"/>
        <v>782704.30936819664</v>
      </c>
      <c r="B1307" s="3">
        <f t="shared" si="97"/>
        <v>3.099999999999997</v>
      </c>
      <c r="C1307" s="553">
        <f>'Foglio deposito bis'!$E$158/sezione!$B$247*B1307</f>
        <v>12.58478349120432</v>
      </c>
      <c r="D1307" s="611">
        <f>-'Progetto del paramento slu'!$G$47*'Progetto del paramento slu'!$G$41*IF(DATI!$G$218="dx",DATI!$E$61,DATI!$E$64*DATI!$E$63)*1000*C1307^2*sezione!$AD$5*(1-sezione!$AD$6)</f>
        <v>-1303757.5780742378</v>
      </c>
      <c r="E1307" s="553">
        <f>-'Foglio deposito bis'!$F$68*(C1307-sezione!$AL$32)*IF(ABS(K1307)&lt;'Progetto del paramento slu'!$G$58,ABS(K1307)*'Progetto del paramento slu'!$G$54,'Progetto del paramento slu'!$G$53)</f>
        <v>0</v>
      </c>
      <c r="F1307" s="553">
        <f>-'Foglio deposito bis'!$F$69*(C1307-sezione!$AM$32)*IF(ABS(L1307)&lt;'Progetto del paramento slu'!$G$58,ABS(L1307)*'Progetto del paramento slu'!$G$54,'Progetto del paramento slu'!$G$53)</f>
        <v>21115889.739561688</v>
      </c>
      <c r="G1307" s="553">
        <f>-'Foglio deposito bis'!$F$70*(C1307-sezione!$AN$32)*IF(ABS(M1307)&lt;'Progetto del paramento slu'!$G$58,ABS(M1307)*'Progetto del paramento slu'!$G$54,'Progetto del paramento slu'!$G$53)</f>
        <v>0</v>
      </c>
      <c r="H1307" s="553">
        <f>-'Foglio deposito bis'!$F$71*(C1307-sezione!$AO$32)*IF(ABS(N1307)&lt;'Progetto del paramento slu'!$G$58,ABS(N1307)*'Progetto del paramento slu'!$G$54,'Progetto del paramento slu'!$G$53)</f>
        <v>103039411.7533818</v>
      </c>
      <c r="I1307" s="479">
        <f>-'Foglio deposito bis'!$F$72*(C1307-sezione!$AP$32)*IF(ABS(O1307)&lt;'Progetto del paramento slu'!$G$58,ABS(O1307)*'Progetto del paramento slu'!$G$54,'Progetto del paramento slu'!$G$53)</f>
        <v>121663335.84004618</v>
      </c>
      <c r="J1307" s="479">
        <f t="shared" si="93"/>
        <v>244514879.75491542</v>
      </c>
      <c r="K1307" s="558">
        <f>'Progetto del paramento slu'!$G$60*(sezione!$AL$32-C1307)/C1307</f>
        <v>7.6245457736994803E-3</v>
      </c>
      <c r="L1307" s="558">
        <f>'Progetto del paramento slu'!$G$60*(sezione!$AM$32-C1307)/C1307</f>
        <v>3.821704665137305E-2</v>
      </c>
      <c r="M1307" s="559">
        <f>'Progetto del paramento slu'!$G$60*(sezione!$AN$32-C1307)/C1307</f>
        <v>6.8809547529046625E-2</v>
      </c>
      <c r="N1307" s="559">
        <f>'Progetto del paramento slu'!$G$60*(sezione!$AO$32-C1307)/C1307</f>
        <v>9.1058639076445569E-2</v>
      </c>
      <c r="O1307" s="559">
        <f>'Progetto del paramento slu'!$G$60*(sezione!$AP$32-C1307)/C1307</f>
        <v>6.8810938097268293E-2</v>
      </c>
      <c r="P1307" s="553">
        <f>-'Progetto del paramento slu'!$G$47*'Progetto del paramento slu'!$G$41*IF(DATI!$G$218="dx",DATI!$E$61,DATI!$E$64*DATI!$E$63)*1000*C1307*sezione!$AD$5</f>
        <v>-177393.72376583205</v>
      </c>
      <c r="Q1307" s="553">
        <f>'Foglio deposito bis'!$F$68*IF(ABS(K1307)&lt;'Progetto del paramento slu'!$G$58,ABS(K1307)*'Progetto del paramento slu'!$G$54,'Progetto del paramento slu'!$G$53)*IF(K1307&lt;0,-1,1)</f>
        <v>0</v>
      </c>
      <c r="R1307" s="553">
        <f>'Foglio deposito bis'!$F$69*IF(ABS(L1307)&lt;'Progetto del paramento slu'!$G$58,ABS(L1307)*'Progetto del paramento slu'!$G$54,'Progetto del paramento slu'!$G$53)*IF(L1307&lt;0,-1,1)</f>
        <v>153664.85805602249</v>
      </c>
      <c r="S1307" s="553">
        <f>'Foglio deposito bis'!$F$70*IF(ABS(M1307)&lt;'Progetto del paramento slu'!$G$58,ABS(M1307)*'Progetto del paramento slu'!$G$54,'Progetto del paramento slu'!$G$53)*IF(M1307&lt;0,-1,1)</f>
        <v>0</v>
      </c>
      <c r="T1307" s="553">
        <f>'Foglio deposito bis'!$F$71*IF(ABS(N1307)&lt;'Progetto del paramento slu'!$G$58,ABS(N1307)*'Progetto del paramento slu'!$G$54,'Progetto del paramento slu'!$G$53)*IF(N1307&lt;0,-1,1)</f>
        <v>314705.62929873407</v>
      </c>
      <c r="U1307" s="553">
        <f>'Foglio deposito bis'!$F$72*IF(ABS(O1307)&lt;'Progetto del paramento slu'!$G$58,ABS(O1307)*'Progetto del paramento slu'!$G$54,'Progetto del paramento slu'!$G$53)*IF(O1307&lt;0,-1,1)</f>
        <v>491727.54577927204</v>
      </c>
      <c r="V1307" s="479">
        <f t="shared" si="96"/>
        <v>782704.30936819664</v>
      </c>
      <c r="W1307" s="559"/>
      <c r="X1307" s="559"/>
    </row>
    <row r="1308" spans="1:24" x14ac:dyDescent="0.25">
      <c r="A1308" s="553">
        <f t="shared" si="95"/>
        <v>779843.12027519918</v>
      </c>
      <c r="B1308" s="3">
        <f t="shared" si="97"/>
        <v>3.1499999999999968</v>
      </c>
      <c r="C1308" s="553">
        <f>'Foglio deposito bis'!$E$158/sezione!$B$247*B1308</f>
        <v>12.787763870094713</v>
      </c>
      <c r="D1308" s="611">
        <f>-'Progetto del paramento slu'!$G$47*'Progetto del paramento slu'!$G$41*IF(DATI!$G$218="dx",DATI!$E$61,DATI!$E$64*DATI!$E$63)*1000*C1308^2*sezione!$AD$5*(1-sezione!$AD$6)</f>
        <v>-1346153.4410449138</v>
      </c>
      <c r="E1308" s="553">
        <f>-'Foglio deposito bis'!$F$68*(C1308-sezione!$AL$32)*IF(ABS(K1308)&lt;'Progetto del paramento slu'!$G$58,ABS(K1308)*'Progetto del paramento slu'!$G$54,'Progetto del paramento slu'!$G$53)</f>
        <v>0</v>
      </c>
      <c r="F1308" s="553">
        <f>-'Foglio deposito bis'!$F$69*(C1308-sezione!$AM$32)*IF(ABS(L1308)&lt;'Progetto del paramento slu'!$G$58,ABS(L1308)*'Progetto del paramento slu'!$G$54,'Progetto del paramento slu'!$G$53)</f>
        <v>21084698.788451336</v>
      </c>
      <c r="G1308" s="553">
        <f>-'Foglio deposito bis'!$F$70*(C1308-sezione!$AN$32)*IF(ABS(M1308)&lt;'Progetto del paramento slu'!$G$58,ABS(M1308)*'Progetto del paramento slu'!$G$54,'Progetto del paramento slu'!$G$53)</f>
        <v>0</v>
      </c>
      <c r="H1308" s="553">
        <f>-'Foglio deposito bis'!$F$71*(C1308-sezione!$AO$32)*IF(ABS(N1308)&lt;'Progetto del paramento slu'!$G$58,ABS(N1308)*'Progetto del paramento slu'!$G$54,'Progetto del paramento slu'!$G$53)</f>
        <v>102975532.68550783</v>
      </c>
      <c r="I1308" s="479">
        <f>-'Foglio deposito bis'!$F$72*(C1308-sezione!$AP$32)*IF(ABS(O1308)&lt;'Progetto del paramento slu'!$G$58,ABS(O1308)*'Progetto del paramento slu'!$G$54,'Progetto del paramento slu'!$G$53)</f>
        <v>121563524.79649305</v>
      </c>
      <c r="J1308" s="479">
        <f t="shared" si="93"/>
        <v>244277602.8294073</v>
      </c>
      <c r="K1308" s="558">
        <f>'Progetto del paramento slu'!$G$60*(sezione!$AL$32-C1308)/C1308</f>
        <v>7.4479656820534553E-3</v>
      </c>
      <c r="L1308" s="558">
        <f>'Progetto del paramento slu'!$G$60*(sezione!$AM$32-C1308)/C1308</f>
        <v>3.7554871307700459E-2</v>
      </c>
      <c r="M1308" s="559">
        <f>'Progetto del paramento slu'!$G$60*(sezione!$AN$32-C1308)/C1308</f>
        <v>6.7661776933347462E-2</v>
      </c>
      <c r="N1308" s="559">
        <f>'Progetto del paramento slu'!$G$60*(sezione!$AO$32-C1308)/C1308</f>
        <v>8.955770829745438E-2</v>
      </c>
      <c r="O1308" s="559">
        <f>'Progetto del paramento slu'!$G$60*(sezione!$AP$32-C1308)/C1308</f>
        <v>6.7663145429057686E-2</v>
      </c>
      <c r="P1308" s="553">
        <f>-'Progetto del paramento slu'!$G$47*'Progetto del paramento slu'!$G$41*IF(DATI!$G$218="dx",DATI!$E$61,DATI!$E$64*DATI!$E$63)*1000*C1308*sezione!$AD$5</f>
        <v>-180254.91285882937</v>
      </c>
      <c r="Q1308" s="553">
        <f>'Foglio deposito bis'!$F$68*IF(ABS(K1308)&lt;'Progetto del paramento slu'!$G$58,ABS(K1308)*'Progetto del paramento slu'!$G$54,'Progetto del paramento slu'!$G$53)*IF(K1308&lt;0,-1,1)</f>
        <v>0</v>
      </c>
      <c r="R1308" s="553">
        <f>'Foglio deposito bis'!$F$69*IF(ABS(L1308)&lt;'Progetto del paramento slu'!$G$58,ABS(L1308)*'Progetto del paramento slu'!$G$54,'Progetto del paramento slu'!$G$53)*IF(L1308&lt;0,-1,1)</f>
        <v>153664.85805602249</v>
      </c>
      <c r="S1308" s="553">
        <f>'Foglio deposito bis'!$F$70*IF(ABS(M1308)&lt;'Progetto del paramento slu'!$G$58,ABS(M1308)*'Progetto del paramento slu'!$G$54,'Progetto del paramento slu'!$G$53)*IF(M1308&lt;0,-1,1)</f>
        <v>0</v>
      </c>
      <c r="T1308" s="553">
        <f>'Foglio deposito bis'!$F$71*IF(ABS(N1308)&lt;'Progetto del paramento slu'!$G$58,ABS(N1308)*'Progetto del paramento slu'!$G$54,'Progetto del paramento slu'!$G$53)*IF(N1308&lt;0,-1,1)</f>
        <v>314705.62929873407</v>
      </c>
      <c r="U1308" s="553">
        <f>'Foglio deposito bis'!$F$72*IF(ABS(O1308)&lt;'Progetto del paramento slu'!$G$58,ABS(O1308)*'Progetto del paramento slu'!$G$54,'Progetto del paramento slu'!$G$53)*IF(O1308&lt;0,-1,1)</f>
        <v>491727.54577927204</v>
      </c>
      <c r="V1308" s="479">
        <f t="shared" si="96"/>
        <v>779843.12027519918</v>
      </c>
      <c r="W1308" s="559"/>
      <c r="X1308" s="559"/>
    </row>
    <row r="1309" spans="1:24" x14ac:dyDescent="0.25">
      <c r="A1309" s="553">
        <f t="shared" si="95"/>
        <v>776981.93118220195</v>
      </c>
      <c r="B1309" s="3">
        <f t="shared" si="97"/>
        <v>3.1999999999999966</v>
      </c>
      <c r="C1309" s="553">
        <f>'Foglio deposito bis'!$E$158/sezione!$B$247*B1309</f>
        <v>12.990744248985104</v>
      </c>
      <c r="D1309" s="611">
        <f>-'Progetto del paramento slu'!$G$47*'Progetto del paramento slu'!$G$41*IF(DATI!$G$218="dx",DATI!$E$61,DATI!$E$64*DATI!$E$63)*1000*C1309^2*sezione!$AD$5*(1-sezione!$AD$6)</f>
        <v>-1389227.6378231212</v>
      </c>
      <c r="E1309" s="553">
        <f>-'Foglio deposito bis'!$F$68*(C1309-sezione!$AL$32)*IF(ABS(K1309)&lt;'Progetto del paramento slu'!$G$58,ABS(K1309)*'Progetto del paramento slu'!$G$54,'Progetto del paramento slu'!$G$53)</f>
        <v>0</v>
      </c>
      <c r="F1309" s="553">
        <f>-'Foglio deposito bis'!$F$69*(C1309-sezione!$AM$32)*IF(ABS(L1309)&lt;'Progetto del paramento slu'!$G$58,ABS(L1309)*'Progetto del paramento slu'!$G$54,'Progetto del paramento slu'!$G$53)</f>
        <v>21053507.837340988</v>
      </c>
      <c r="G1309" s="553">
        <f>-'Foglio deposito bis'!$F$70*(C1309-sezione!$AN$32)*IF(ABS(M1309)&lt;'Progetto del paramento slu'!$G$58,ABS(M1309)*'Progetto del paramento slu'!$G$54,'Progetto del paramento slu'!$G$53)</f>
        <v>0</v>
      </c>
      <c r="H1309" s="553">
        <f>-'Foglio deposito bis'!$F$71*(C1309-sezione!$AO$32)*IF(ABS(N1309)&lt;'Progetto del paramento slu'!$G$58,ABS(N1309)*'Progetto del paramento slu'!$G$54,'Progetto del paramento slu'!$G$53)</f>
        <v>102911653.61763383</v>
      </c>
      <c r="I1309" s="479">
        <f>-'Foglio deposito bis'!$F$72*(C1309-sezione!$AP$32)*IF(ABS(O1309)&lt;'Progetto del paramento slu'!$G$58,ABS(O1309)*'Progetto del paramento slu'!$G$54,'Progetto del paramento slu'!$G$53)</f>
        <v>121463713.75293994</v>
      </c>
      <c r="J1309" s="479">
        <f t="shared" ref="J1309:J1372" si="98">D1309+E1309+F1309+G1309+H1309+I1309</f>
        <v>244039647.57009163</v>
      </c>
      <c r="K1309" s="558">
        <f>'Progetto del paramento slu'!$G$60*(sezione!$AL$32-C1309)/C1309</f>
        <v>7.2769037182713724E-3</v>
      </c>
      <c r="L1309" s="558">
        <f>'Progetto del paramento slu'!$G$60*(sezione!$AM$32-C1309)/C1309</f>
        <v>3.6913388943517644E-2</v>
      </c>
      <c r="M1309" s="559">
        <f>'Progetto del paramento slu'!$G$60*(sezione!$AN$32-C1309)/C1309</f>
        <v>6.6549874168763914E-2</v>
      </c>
      <c r="N1309" s="559">
        <f>'Progetto del paramento slu'!$G$60*(sezione!$AO$32-C1309)/C1309</f>
        <v>8.8103681605306655E-2</v>
      </c>
      <c r="O1309" s="559">
        <f>'Progetto del paramento slu'!$G$60*(sezione!$AP$32-C1309)/C1309</f>
        <v>6.6551221281728662E-2</v>
      </c>
      <c r="P1309" s="553">
        <f>-'Progetto del paramento slu'!$G$47*'Progetto del paramento slu'!$G$41*IF(DATI!$G$218="dx",DATI!$E$61,DATI!$E$64*DATI!$E$63)*1000*C1309*sezione!$AD$5</f>
        <v>-183116.10195182665</v>
      </c>
      <c r="Q1309" s="553">
        <f>'Foglio deposito bis'!$F$68*IF(ABS(K1309)&lt;'Progetto del paramento slu'!$G$58,ABS(K1309)*'Progetto del paramento slu'!$G$54,'Progetto del paramento slu'!$G$53)*IF(K1309&lt;0,-1,1)</f>
        <v>0</v>
      </c>
      <c r="R1309" s="553">
        <f>'Foglio deposito bis'!$F$69*IF(ABS(L1309)&lt;'Progetto del paramento slu'!$G$58,ABS(L1309)*'Progetto del paramento slu'!$G$54,'Progetto del paramento slu'!$G$53)*IF(L1309&lt;0,-1,1)</f>
        <v>153664.85805602249</v>
      </c>
      <c r="S1309" s="553">
        <f>'Foglio deposito bis'!$F$70*IF(ABS(M1309)&lt;'Progetto del paramento slu'!$G$58,ABS(M1309)*'Progetto del paramento slu'!$G$54,'Progetto del paramento slu'!$G$53)*IF(M1309&lt;0,-1,1)</f>
        <v>0</v>
      </c>
      <c r="T1309" s="553">
        <f>'Foglio deposito bis'!$F$71*IF(ABS(N1309)&lt;'Progetto del paramento slu'!$G$58,ABS(N1309)*'Progetto del paramento slu'!$G$54,'Progetto del paramento slu'!$G$53)*IF(N1309&lt;0,-1,1)</f>
        <v>314705.62929873407</v>
      </c>
      <c r="U1309" s="553">
        <f>'Foglio deposito bis'!$F$72*IF(ABS(O1309)&lt;'Progetto del paramento slu'!$G$58,ABS(O1309)*'Progetto del paramento slu'!$G$54,'Progetto del paramento slu'!$G$53)*IF(O1309&lt;0,-1,1)</f>
        <v>491727.54577927204</v>
      </c>
      <c r="V1309" s="479">
        <f t="shared" si="96"/>
        <v>776981.93118220195</v>
      </c>
      <c r="W1309" s="559"/>
      <c r="X1309" s="559"/>
    </row>
    <row r="1310" spans="1:24" x14ac:dyDescent="0.25">
      <c r="A1310" s="553">
        <f t="shared" ref="A1310:A1373" si="99">ABS(V1310)</f>
        <v>774120.74208920472</v>
      </c>
      <c r="B1310" s="3">
        <f t="shared" si="97"/>
        <v>3.2499999999999964</v>
      </c>
      <c r="C1310" s="553">
        <f>'Foglio deposito bis'!$E$158/sezione!$B$247*B1310</f>
        <v>13.193724627875495</v>
      </c>
      <c r="D1310" s="611">
        <f>-'Progetto del paramento slu'!$G$47*'Progetto del paramento slu'!$G$41*IF(DATI!$G$218="dx",DATI!$E$61,DATI!$E$64*DATI!$E$63)*1000*C1310^2*sezione!$AD$5*(1-sezione!$AD$6)</f>
        <v>-1432980.1684088588</v>
      </c>
      <c r="E1310" s="553">
        <f>-'Foglio deposito bis'!$F$68*(C1310-sezione!$AL$32)*IF(ABS(K1310)&lt;'Progetto del paramento slu'!$G$58,ABS(K1310)*'Progetto del paramento slu'!$G$54,'Progetto del paramento slu'!$G$53)</f>
        <v>0</v>
      </c>
      <c r="F1310" s="553">
        <f>-'Foglio deposito bis'!$F$69*(C1310-sezione!$AM$32)*IF(ABS(L1310)&lt;'Progetto del paramento slu'!$G$58,ABS(L1310)*'Progetto del paramento slu'!$G$54,'Progetto del paramento slu'!$G$53)</f>
        <v>21022316.886230636</v>
      </c>
      <c r="G1310" s="553">
        <f>-'Foglio deposito bis'!$F$70*(C1310-sezione!$AN$32)*IF(ABS(M1310)&lt;'Progetto del paramento slu'!$G$58,ABS(M1310)*'Progetto del paramento slu'!$G$54,'Progetto del paramento slu'!$G$53)</f>
        <v>0</v>
      </c>
      <c r="H1310" s="553">
        <f>-'Foglio deposito bis'!$F$71*(C1310-sezione!$AO$32)*IF(ABS(N1310)&lt;'Progetto del paramento slu'!$G$58,ABS(N1310)*'Progetto del paramento slu'!$G$54,'Progetto del paramento slu'!$G$53)</f>
        <v>102847774.54975982</v>
      </c>
      <c r="I1310" s="479">
        <f>-'Foglio deposito bis'!$F$72*(C1310-sezione!$AP$32)*IF(ABS(O1310)&lt;'Progetto del paramento slu'!$G$58,ABS(O1310)*'Progetto del paramento slu'!$G$54,'Progetto del paramento slu'!$G$53)</f>
        <v>121363902.70938681</v>
      </c>
      <c r="J1310" s="479">
        <f t="shared" si="98"/>
        <v>243801013.97696841</v>
      </c>
      <c r="K1310" s="558">
        <f>'Progetto del paramento slu'!$G$60*(sezione!$AL$32-C1310)/C1310</f>
        <v>7.1111051995287359E-3</v>
      </c>
      <c r="L1310" s="558">
        <f>'Progetto del paramento slu'!$G$60*(sezione!$AM$32-C1310)/C1310</f>
        <v>3.6291644498232759E-2</v>
      </c>
      <c r="M1310" s="559">
        <f>'Progetto del paramento slu'!$G$60*(sezione!$AN$32-C1310)/C1310</f>
        <v>6.5472183796936784E-2</v>
      </c>
      <c r="N1310" s="559">
        <f>'Progetto del paramento slu'!$G$60*(sezione!$AO$32-C1310)/C1310</f>
        <v>8.6694394195994257E-2</v>
      </c>
      <c r="O1310" s="559">
        <f>'Progetto del paramento slu'!$G$60*(sezione!$AP$32-C1310)/C1310</f>
        <v>6.5473510185086695E-2</v>
      </c>
      <c r="P1310" s="553">
        <f>-'Progetto del paramento slu'!$G$47*'Progetto del paramento slu'!$G$41*IF(DATI!$G$218="dx",DATI!$E$61,DATI!$E$64*DATI!$E$63)*1000*C1310*sezione!$AD$5</f>
        <v>-185977.29104482391</v>
      </c>
      <c r="Q1310" s="553">
        <f>'Foglio deposito bis'!$F$68*IF(ABS(K1310)&lt;'Progetto del paramento slu'!$G$58,ABS(K1310)*'Progetto del paramento slu'!$G$54,'Progetto del paramento slu'!$G$53)*IF(K1310&lt;0,-1,1)</f>
        <v>0</v>
      </c>
      <c r="R1310" s="553">
        <f>'Foglio deposito bis'!$F$69*IF(ABS(L1310)&lt;'Progetto del paramento slu'!$G$58,ABS(L1310)*'Progetto del paramento slu'!$G$54,'Progetto del paramento slu'!$G$53)*IF(L1310&lt;0,-1,1)</f>
        <v>153664.85805602249</v>
      </c>
      <c r="S1310" s="553">
        <f>'Foglio deposito bis'!$F$70*IF(ABS(M1310)&lt;'Progetto del paramento slu'!$G$58,ABS(M1310)*'Progetto del paramento slu'!$G$54,'Progetto del paramento slu'!$G$53)*IF(M1310&lt;0,-1,1)</f>
        <v>0</v>
      </c>
      <c r="T1310" s="553">
        <f>'Foglio deposito bis'!$F$71*IF(ABS(N1310)&lt;'Progetto del paramento slu'!$G$58,ABS(N1310)*'Progetto del paramento slu'!$G$54,'Progetto del paramento slu'!$G$53)*IF(N1310&lt;0,-1,1)</f>
        <v>314705.62929873407</v>
      </c>
      <c r="U1310" s="553">
        <f>'Foglio deposito bis'!$F$72*IF(ABS(O1310)&lt;'Progetto del paramento slu'!$G$58,ABS(O1310)*'Progetto del paramento slu'!$G$54,'Progetto del paramento slu'!$G$53)*IF(O1310&lt;0,-1,1)</f>
        <v>491727.54577927204</v>
      </c>
      <c r="V1310" s="479">
        <f t="shared" ref="V1310:V1373" si="100">P1310+Q1310+R1310+S1310+T1310+U1310</f>
        <v>774120.74208920472</v>
      </c>
      <c r="W1310" s="559"/>
      <c r="X1310" s="559"/>
    </row>
    <row r="1311" spans="1:24" x14ac:dyDescent="0.25">
      <c r="A1311" s="553">
        <f t="shared" si="99"/>
        <v>771259.55299620738</v>
      </c>
      <c r="B1311" s="3">
        <f t="shared" ref="B1311:B1347" si="101">B1310+0.05</f>
        <v>3.2999999999999963</v>
      </c>
      <c r="C1311" s="553">
        <f>'Foglio deposito bis'!$E$158/sezione!$B$247*B1311</f>
        <v>13.396705006765888</v>
      </c>
      <c r="D1311" s="611">
        <f>-'Progetto del paramento slu'!$G$47*'Progetto del paramento slu'!$G$41*IF(DATI!$G$218="dx",DATI!$E$61,DATI!$E$64*DATI!$E$63)*1000*C1311^2*sezione!$AD$5*(1-sezione!$AD$6)</f>
        <v>-1477411.0328021275</v>
      </c>
      <c r="E1311" s="553">
        <f>-'Foglio deposito bis'!$F$68*(C1311-sezione!$AL$32)*IF(ABS(K1311)&lt;'Progetto del paramento slu'!$G$58,ABS(K1311)*'Progetto del paramento slu'!$G$54,'Progetto del paramento slu'!$G$53)</f>
        <v>0</v>
      </c>
      <c r="F1311" s="553">
        <f>-'Foglio deposito bis'!$F$69*(C1311-sezione!$AM$32)*IF(ABS(L1311)&lt;'Progetto del paramento slu'!$G$58,ABS(L1311)*'Progetto del paramento slu'!$G$54,'Progetto del paramento slu'!$G$53)</f>
        <v>20991125.935120288</v>
      </c>
      <c r="G1311" s="553">
        <f>-'Foglio deposito bis'!$F$70*(C1311-sezione!$AN$32)*IF(ABS(M1311)&lt;'Progetto del paramento slu'!$G$58,ABS(M1311)*'Progetto del paramento slu'!$G$54,'Progetto del paramento slu'!$G$53)</f>
        <v>0</v>
      </c>
      <c r="H1311" s="553">
        <f>-'Foglio deposito bis'!$F$71*(C1311-sezione!$AO$32)*IF(ABS(N1311)&lt;'Progetto del paramento slu'!$G$58,ABS(N1311)*'Progetto del paramento slu'!$G$54,'Progetto del paramento slu'!$G$53)</f>
        <v>102783895.48188582</v>
      </c>
      <c r="I1311" s="479">
        <f>-'Foglio deposito bis'!$F$72*(C1311-sezione!$AP$32)*IF(ABS(O1311)&lt;'Progetto del paramento slu'!$G$58,ABS(O1311)*'Progetto del paramento slu'!$G$54,'Progetto del paramento slu'!$G$53)</f>
        <v>121264091.6658337</v>
      </c>
      <c r="J1311" s="479">
        <f t="shared" si="98"/>
        <v>243561702.05003768</v>
      </c>
      <c r="K1311" s="558">
        <f>'Progetto del paramento slu'!$G$60*(sezione!$AL$32-C1311)/C1311</f>
        <v>6.9503308783237551E-3</v>
      </c>
      <c r="L1311" s="558">
        <f>'Progetto del paramento slu'!$G$60*(sezione!$AM$32-C1311)/C1311</f>
        <v>3.5688740793714077E-2</v>
      </c>
      <c r="M1311" s="559">
        <f>'Progetto del paramento slu'!$G$60*(sezione!$AN$32-C1311)/C1311</f>
        <v>6.4427150709104403E-2</v>
      </c>
      <c r="N1311" s="559">
        <f>'Progetto del paramento slu'!$G$60*(sezione!$AO$32-C1311)/C1311</f>
        <v>8.5327812465751912E-2</v>
      </c>
      <c r="O1311" s="559">
        <f>'Progetto del paramento slu'!$G$60*(sezione!$AP$32-C1311)/C1311</f>
        <v>6.4428457000464165E-2</v>
      </c>
      <c r="P1311" s="553">
        <f>-'Progetto del paramento slu'!$G$47*'Progetto del paramento slu'!$G$41*IF(DATI!$G$218="dx",DATI!$E$61,DATI!$E$64*DATI!$E$63)*1000*C1311*sezione!$AD$5</f>
        <v>-188838.48013782123</v>
      </c>
      <c r="Q1311" s="553">
        <f>'Foglio deposito bis'!$F$68*IF(ABS(K1311)&lt;'Progetto del paramento slu'!$G$58,ABS(K1311)*'Progetto del paramento slu'!$G$54,'Progetto del paramento slu'!$G$53)*IF(K1311&lt;0,-1,1)</f>
        <v>0</v>
      </c>
      <c r="R1311" s="553">
        <f>'Foglio deposito bis'!$F$69*IF(ABS(L1311)&lt;'Progetto del paramento slu'!$G$58,ABS(L1311)*'Progetto del paramento slu'!$G$54,'Progetto del paramento slu'!$G$53)*IF(L1311&lt;0,-1,1)</f>
        <v>153664.85805602249</v>
      </c>
      <c r="S1311" s="553">
        <f>'Foglio deposito bis'!$F$70*IF(ABS(M1311)&lt;'Progetto del paramento slu'!$G$58,ABS(M1311)*'Progetto del paramento slu'!$G$54,'Progetto del paramento slu'!$G$53)*IF(M1311&lt;0,-1,1)</f>
        <v>0</v>
      </c>
      <c r="T1311" s="553">
        <f>'Foglio deposito bis'!$F$71*IF(ABS(N1311)&lt;'Progetto del paramento slu'!$G$58,ABS(N1311)*'Progetto del paramento slu'!$G$54,'Progetto del paramento slu'!$G$53)*IF(N1311&lt;0,-1,1)</f>
        <v>314705.62929873407</v>
      </c>
      <c r="U1311" s="553">
        <f>'Foglio deposito bis'!$F$72*IF(ABS(O1311)&lt;'Progetto del paramento slu'!$G$58,ABS(O1311)*'Progetto del paramento slu'!$G$54,'Progetto del paramento slu'!$G$53)*IF(O1311&lt;0,-1,1)</f>
        <v>491727.54577927204</v>
      </c>
      <c r="V1311" s="479">
        <f t="shared" si="100"/>
        <v>771259.55299620738</v>
      </c>
      <c r="W1311" s="559"/>
      <c r="X1311" s="559"/>
    </row>
    <row r="1312" spans="1:24" x14ac:dyDescent="0.25">
      <c r="A1312" s="553">
        <f t="shared" si="99"/>
        <v>768398.36390321003</v>
      </c>
      <c r="B1312" s="3">
        <f t="shared" si="101"/>
        <v>3.3499999999999961</v>
      </c>
      <c r="C1312" s="553">
        <f>'Foglio deposito bis'!$E$158/sezione!$B$247*B1312</f>
        <v>13.599685385656279</v>
      </c>
      <c r="D1312" s="611">
        <f>-'Progetto del paramento slu'!$G$47*'Progetto del paramento slu'!$G$41*IF(DATI!$G$218="dx",DATI!$E$61,DATI!$E$64*DATI!$E$63)*1000*C1312^2*sezione!$AD$5*(1-sezione!$AD$6)</f>
        <v>-1522520.2310029268</v>
      </c>
      <c r="E1312" s="553">
        <f>-'Foglio deposito bis'!$F$68*(C1312-sezione!$AL$32)*IF(ABS(K1312)&lt;'Progetto del paramento slu'!$G$58,ABS(K1312)*'Progetto del paramento slu'!$G$54,'Progetto del paramento slu'!$G$53)</f>
        <v>0</v>
      </c>
      <c r="F1312" s="553">
        <f>-'Foglio deposito bis'!$F$69*(C1312-sezione!$AM$32)*IF(ABS(L1312)&lt;'Progetto del paramento slu'!$G$58,ABS(L1312)*'Progetto del paramento slu'!$G$54,'Progetto del paramento slu'!$G$53)</f>
        <v>20959934.98400994</v>
      </c>
      <c r="G1312" s="553">
        <f>-'Foglio deposito bis'!$F$70*(C1312-sezione!$AN$32)*IF(ABS(M1312)&lt;'Progetto del paramento slu'!$G$58,ABS(M1312)*'Progetto del paramento slu'!$G$54,'Progetto del paramento slu'!$G$53)</f>
        <v>0</v>
      </c>
      <c r="H1312" s="553">
        <f>-'Foglio deposito bis'!$F$71*(C1312-sezione!$AO$32)*IF(ABS(N1312)&lt;'Progetto del paramento slu'!$G$58,ABS(N1312)*'Progetto del paramento slu'!$G$54,'Progetto del paramento slu'!$G$53)</f>
        <v>102720016.41401182</v>
      </c>
      <c r="I1312" s="479">
        <f>-'Foglio deposito bis'!$F$72*(C1312-sezione!$AP$32)*IF(ABS(O1312)&lt;'Progetto del paramento slu'!$G$58,ABS(O1312)*'Progetto del paramento slu'!$G$54,'Progetto del paramento slu'!$G$53)</f>
        <v>121164280.62228057</v>
      </c>
      <c r="J1312" s="479">
        <f t="shared" si="98"/>
        <v>243321711.7892994</v>
      </c>
      <c r="K1312" s="558">
        <f>'Progetto del paramento slu'!$G$60*(sezione!$AL$32-C1312)/C1312</f>
        <v>6.79435579058758E-3</v>
      </c>
      <c r="L1312" s="558">
        <f>'Progetto del paramento slu'!$G$60*(sezione!$AM$32-C1312)/C1312</f>
        <v>3.5103834214703429E-2</v>
      </c>
      <c r="M1312" s="559">
        <f>'Progetto del paramento slu'!$G$60*(sezione!$AN$32-C1312)/C1312</f>
        <v>6.3413312638819275E-2</v>
      </c>
      <c r="N1312" s="559">
        <f>'Progetto del paramento slu'!$G$60*(sezione!$AO$32-C1312)/C1312</f>
        <v>8.400202421999442E-2</v>
      </c>
      <c r="O1312" s="559">
        <f>'Progetto del paramento slu'!$G$60*(sezione!$AP$32-C1312)/C1312</f>
        <v>6.3414599433293056E-2</v>
      </c>
      <c r="P1312" s="553">
        <f>-'Progetto del paramento slu'!$G$47*'Progetto del paramento slu'!$G$41*IF(DATI!$G$218="dx",DATI!$E$61,DATI!$E$64*DATI!$E$63)*1000*C1312*sezione!$AD$5</f>
        <v>-191699.66923081849</v>
      </c>
      <c r="Q1312" s="553">
        <f>'Foglio deposito bis'!$F$68*IF(ABS(K1312)&lt;'Progetto del paramento slu'!$G$58,ABS(K1312)*'Progetto del paramento slu'!$G$54,'Progetto del paramento slu'!$G$53)*IF(K1312&lt;0,-1,1)</f>
        <v>0</v>
      </c>
      <c r="R1312" s="553">
        <f>'Foglio deposito bis'!$F$69*IF(ABS(L1312)&lt;'Progetto del paramento slu'!$G$58,ABS(L1312)*'Progetto del paramento slu'!$G$54,'Progetto del paramento slu'!$G$53)*IF(L1312&lt;0,-1,1)</f>
        <v>153664.85805602249</v>
      </c>
      <c r="S1312" s="553">
        <f>'Foglio deposito bis'!$F$70*IF(ABS(M1312)&lt;'Progetto del paramento slu'!$G$58,ABS(M1312)*'Progetto del paramento slu'!$G$54,'Progetto del paramento slu'!$G$53)*IF(M1312&lt;0,-1,1)</f>
        <v>0</v>
      </c>
      <c r="T1312" s="553">
        <f>'Foglio deposito bis'!$F$71*IF(ABS(N1312)&lt;'Progetto del paramento slu'!$G$58,ABS(N1312)*'Progetto del paramento slu'!$G$54,'Progetto del paramento slu'!$G$53)*IF(N1312&lt;0,-1,1)</f>
        <v>314705.62929873407</v>
      </c>
      <c r="U1312" s="553">
        <f>'Foglio deposito bis'!$F$72*IF(ABS(O1312)&lt;'Progetto del paramento slu'!$G$58,ABS(O1312)*'Progetto del paramento slu'!$G$54,'Progetto del paramento slu'!$G$53)*IF(O1312&lt;0,-1,1)</f>
        <v>491727.54577927204</v>
      </c>
      <c r="V1312" s="479">
        <f t="shared" si="100"/>
        <v>768398.36390321003</v>
      </c>
      <c r="W1312" s="559"/>
      <c r="X1312" s="559"/>
    </row>
    <row r="1313" spans="1:24" x14ac:dyDescent="0.25">
      <c r="A1313" s="553">
        <f t="shared" si="99"/>
        <v>765537.1748102128</v>
      </c>
      <c r="B1313" s="3">
        <f t="shared" si="101"/>
        <v>3.3999999999999959</v>
      </c>
      <c r="C1313" s="553">
        <f>'Foglio deposito bis'!$E$158/sezione!$B$247*B1313</f>
        <v>13.802665764546671</v>
      </c>
      <c r="D1313" s="611">
        <f>-'Progetto del paramento slu'!$G$47*'Progetto del paramento slu'!$G$41*IF(DATI!$G$218="dx",DATI!$E$61,DATI!$E$64*DATI!$E$63)*1000*C1313^2*sezione!$AD$5*(1-sezione!$AD$6)</f>
        <v>-1568307.7630112572</v>
      </c>
      <c r="E1313" s="553">
        <f>-'Foglio deposito bis'!$F$68*(C1313-sezione!$AL$32)*IF(ABS(K1313)&lt;'Progetto del paramento slu'!$G$58,ABS(K1313)*'Progetto del paramento slu'!$G$54,'Progetto del paramento slu'!$G$53)</f>
        <v>0</v>
      </c>
      <c r="F1313" s="553">
        <f>-'Foglio deposito bis'!$F$69*(C1313-sezione!$AM$32)*IF(ABS(L1313)&lt;'Progetto del paramento slu'!$G$58,ABS(L1313)*'Progetto del paramento slu'!$G$54,'Progetto del paramento slu'!$G$53)</f>
        <v>20928744.032899588</v>
      </c>
      <c r="G1313" s="553">
        <f>-'Foglio deposito bis'!$F$70*(C1313-sezione!$AN$32)*IF(ABS(M1313)&lt;'Progetto del paramento slu'!$G$58,ABS(M1313)*'Progetto del paramento slu'!$G$54,'Progetto del paramento slu'!$G$53)</f>
        <v>0</v>
      </c>
      <c r="H1313" s="553">
        <f>-'Foglio deposito bis'!$F$71*(C1313-sezione!$AO$32)*IF(ABS(N1313)&lt;'Progetto del paramento slu'!$G$58,ABS(N1313)*'Progetto del paramento slu'!$G$54,'Progetto del paramento slu'!$G$53)</f>
        <v>102656137.34613784</v>
      </c>
      <c r="I1313" s="479">
        <f>-'Foglio deposito bis'!$F$72*(C1313-sezione!$AP$32)*IF(ABS(O1313)&lt;'Progetto del paramento slu'!$G$58,ABS(O1313)*'Progetto del paramento slu'!$G$54,'Progetto del paramento slu'!$G$53)</f>
        <v>121064469.57872745</v>
      </c>
      <c r="J1313" s="479">
        <f t="shared" si="98"/>
        <v>243081043.19475362</v>
      </c>
      <c r="K1313" s="558">
        <f>'Progetto del paramento slu'!$G$60*(sezione!$AL$32-C1313)/C1313</f>
        <v>6.6429682054318807E-3</v>
      </c>
      <c r="L1313" s="558">
        <f>'Progetto del paramento slu'!$G$60*(sezione!$AM$32-C1313)/C1313</f>
        <v>3.4536130770369551E-2</v>
      </c>
      <c r="M1313" s="559">
        <f>'Progetto del paramento slu'!$G$60*(sezione!$AN$32-C1313)/C1313</f>
        <v>6.242929333530723E-2</v>
      </c>
      <c r="N1313" s="559">
        <f>'Progetto del paramento slu'!$G$60*(sezione!$AO$32-C1313)/C1313</f>
        <v>8.2715229746170987E-2</v>
      </c>
      <c r="O1313" s="559">
        <f>'Progetto del paramento slu'!$G$60*(sezione!$AP$32-C1313)/C1313</f>
        <v>6.2430561206332877E-2</v>
      </c>
      <c r="P1313" s="553">
        <f>-'Progetto del paramento slu'!$G$47*'Progetto del paramento slu'!$G$41*IF(DATI!$G$218="dx",DATI!$E$61,DATI!$E$64*DATI!$E$63)*1000*C1313*sezione!$AD$5</f>
        <v>-194560.85832381577</v>
      </c>
      <c r="Q1313" s="553">
        <f>'Foglio deposito bis'!$F$68*IF(ABS(K1313)&lt;'Progetto del paramento slu'!$G$58,ABS(K1313)*'Progetto del paramento slu'!$G$54,'Progetto del paramento slu'!$G$53)*IF(K1313&lt;0,-1,1)</f>
        <v>0</v>
      </c>
      <c r="R1313" s="553">
        <f>'Foglio deposito bis'!$F$69*IF(ABS(L1313)&lt;'Progetto del paramento slu'!$G$58,ABS(L1313)*'Progetto del paramento slu'!$G$54,'Progetto del paramento slu'!$G$53)*IF(L1313&lt;0,-1,1)</f>
        <v>153664.85805602249</v>
      </c>
      <c r="S1313" s="553">
        <f>'Foglio deposito bis'!$F$70*IF(ABS(M1313)&lt;'Progetto del paramento slu'!$G$58,ABS(M1313)*'Progetto del paramento slu'!$G$54,'Progetto del paramento slu'!$G$53)*IF(M1313&lt;0,-1,1)</f>
        <v>0</v>
      </c>
      <c r="T1313" s="553">
        <f>'Foglio deposito bis'!$F$71*IF(ABS(N1313)&lt;'Progetto del paramento slu'!$G$58,ABS(N1313)*'Progetto del paramento slu'!$G$54,'Progetto del paramento slu'!$G$53)*IF(N1313&lt;0,-1,1)</f>
        <v>314705.62929873407</v>
      </c>
      <c r="U1313" s="553">
        <f>'Foglio deposito bis'!$F$72*IF(ABS(O1313)&lt;'Progetto del paramento slu'!$G$58,ABS(O1313)*'Progetto del paramento slu'!$G$54,'Progetto del paramento slu'!$G$53)*IF(O1313&lt;0,-1,1)</f>
        <v>491727.54577927204</v>
      </c>
      <c r="V1313" s="479">
        <f t="shared" si="100"/>
        <v>765537.1748102128</v>
      </c>
      <c r="W1313" s="559"/>
      <c r="X1313" s="559"/>
    </row>
    <row r="1314" spans="1:24" x14ac:dyDescent="0.25">
      <c r="A1314" s="553">
        <f t="shared" si="99"/>
        <v>762675.98571721558</v>
      </c>
      <c r="B1314" s="3">
        <f t="shared" si="101"/>
        <v>3.4499999999999957</v>
      </c>
      <c r="C1314" s="553">
        <f>'Foglio deposito bis'!$E$158/sezione!$B$247*B1314</f>
        <v>14.005646143437064</v>
      </c>
      <c r="D1314" s="611">
        <f>-'Progetto del paramento slu'!$G$47*'Progetto del paramento slu'!$G$41*IF(DATI!$G$218="dx",DATI!$E$61,DATI!$E$64*DATI!$E$63)*1000*C1314^2*sezione!$AD$5*(1-sezione!$AD$6)</f>
        <v>-1614773.6288271188</v>
      </c>
      <c r="E1314" s="553">
        <f>-'Foglio deposito bis'!$F$68*(C1314-sezione!$AL$32)*IF(ABS(K1314)&lt;'Progetto del paramento slu'!$G$58,ABS(K1314)*'Progetto del paramento slu'!$G$54,'Progetto del paramento slu'!$G$53)</f>
        <v>0</v>
      </c>
      <c r="F1314" s="553">
        <f>-'Foglio deposito bis'!$F$69*(C1314-sezione!$AM$32)*IF(ABS(L1314)&lt;'Progetto del paramento slu'!$G$58,ABS(L1314)*'Progetto del paramento slu'!$G$54,'Progetto del paramento slu'!$G$53)</f>
        <v>20897553.081789237</v>
      </c>
      <c r="G1314" s="553">
        <f>-'Foglio deposito bis'!$F$70*(C1314-sezione!$AN$32)*IF(ABS(M1314)&lt;'Progetto del paramento slu'!$G$58,ABS(M1314)*'Progetto del paramento slu'!$G$54,'Progetto del paramento slu'!$G$53)</f>
        <v>0</v>
      </c>
      <c r="H1314" s="553">
        <f>-'Foglio deposito bis'!$F$71*(C1314-sezione!$AO$32)*IF(ABS(N1314)&lt;'Progetto del paramento slu'!$G$58,ABS(N1314)*'Progetto del paramento slu'!$G$54,'Progetto del paramento slu'!$G$53)</f>
        <v>102592258.27826384</v>
      </c>
      <c r="I1314" s="479">
        <f>-'Foglio deposito bis'!$F$72*(C1314-sezione!$AP$32)*IF(ABS(O1314)&lt;'Progetto del paramento slu'!$G$58,ABS(O1314)*'Progetto del paramento slu'!$G$54,'Progetto del paramento slu'!$G$53)</f>
        <v>120964658.53517434</v>
      </c>
      <c r="J1314" s="479">
        <f t="shared" si="98"/>
        <v>242839696.26640028</v>
      </c>
      <c r="K1314" s="558">
        <f>'Progetto del paramento slu'!$G$60*(sezione!$AL$32-C1314)/C1314</f>
        <v>6.4959686662227224E-3</v>
      </c>
      <c r="L1314" s="558">
        <f>'Progetto del paramento slu'!$G$60*(sezione!$AM$32-C1314)/C1314</f>
        <v>3.3984882498335207E-2</v>
      </c>
      <c r="M1314" s="559">
        <f>'Progetto del paramento slu'!$G$60*(sezione!$AN$32-C1314)/C1314</f>
        <v>6.1473796330447694E-2</v>
      </c>
      <c r="N1314" s="559">
        <f>'Progetto del paramento slu'!$G$60*(sezione!$AO$32-C1314)/C1314</f>
        <v>8.1465733662893142E-2</v>
      </c>
      <c r="O1314" s="559">
        <f>'Progetto del paramento slu'!$G$60*(sezione!$AP$32-C1314)/C1314</f>
        <v>6.147504582653094E-2</v>
      </c>
      <c r="P1314" s="553">
        <f>-'Progetto del paramento slu'!$G$47*'Progetto del paramento slu'!$G$41*IF(DATI!$G$218="dx",DATI!$E$61,DATI!$E$64*DATI!$E$63)*1000*C1314*sezione!$AD$5</f>
        <v>-197422.04741681306</v>
      </c>
      <c r="Q1314" s="553">
        <f>'Foglio deposito bis'!$F$68*IF(ABS(K1314)&lt;'Progetto del paramento slu'!$G$58,ABS(K1314)*'Progetto del paramento slu'!$G$54,'Progetto del paramento slu'!$G$53)*IF(K1314&lt;0,-1,1)</f>
        <v>0</v>
      </c>
      <c r="R1314" s="553">
        <f>'Foglio deposito bis'!$F$69*IF(ABS(L1314)&lt;'Progetto del paramento slu'!$G$58,ABS(L1314)*'Progetto del paramento slu'!$G$54,'Progetto del paramento slu'!$G$53)*IF(L1314&lt;0,-1,1)</f>
        <v>153664.85805602249</v>
      </c>
      <c r="S1314" s="553">
        <f>'Foglio deposito bis'!$F$70*IF(ABS(M1314)&lt;'Progetto del paramento slu'!$G$58,ABS(M1314)*'Progetto del paramento slu'!$G$54,'Progetto del paramento slu'!$G$53)*IF(M1314&lt;0,-1,1)</f>
        <v>0</v>
      </c>
      <c r="T1314" s="553">
        <f>'Foglio deposito bis'!$F$71*IF(ABS(N1314)&lt;'Progetto del paramento slu'!$G$58,ABS(N1314)*'Progetto del paramento slu'!$G$54,'Progetto del paramento slu'!$G$53)*IF(N1314&lt;0,-1,1)</f>
        <v>314705.62929873407</v>
      </c>
      <c r="U1314" s="553">
        <f>'Foglio deposito bis'!$F$72*IF(ABS(O1314)&lt;'Progetto del paramento slu'!$G$58,ABS(O1314)*'Progetto del paramento slu'!$G$54,'Progetto del paramento slu'!$G$53)*IF(O1314&lt;0,-1,1)</f>
        <v>491727.54577927204</v>
      </c>
      <c r="V1314" s="479">
        <f t="shared" si="100"/>
        <v>762675.98571721558</v>
      </c>
      <c r="W1314" s="559"/>
      <c r="X1314" s="559"/>
    </row>
    <row r="1315" spans="1:24" x14ac:dyDescent="0.25">
      <c r="A1315" s="553">
        <f t="shared" si="99"/>
        <v>759814.79662421835</v>
      </c>
      <c r="B1315" s="3">
        <f t="shared" si="101"/>
        <v>3.4999999999999956</v>
      </c>
      <c r="C1315" s="553">
        <f>'Foglio deposito bis'!$E$158/sezione!$B$247*B1315</f>
        <v>14.208626522327455</v>
      </c>
      <c r="D1315" s="611">
        <f>-'Progetto del paramento slu'!$G$47*'Progetto del paramento slu'!$G$41*IF(DATI!$G$218="dx",DATI!$E$61,DATI!$E$64*DATI!$E$63)*1000*C1315^2*sezione!$AD$5*(1-sezione!$AD$6)</f>
        <v>-1661917.8284505105</v>
      </c>
      <c r="E1315" s="553">
        <f>-'Foglio deposito bis'!$F$68*(C1315-sezione!$AL$32)*IF(ABS(K1315)&lt;'Progetto del paramento slu'!$G$58,ABS(K1315)*'Progetto del paramento slu'!$G$54,'Progetto del paramento slu'!$G$53)</f>
        <v>0</v>
      </c>
      <c r="F1315" s="553">
        <f>-'Foglio deposito bis'!$F$69*(C1315-sezione!$AM$32)*IF(ABS(L1315)&lt;'Progetto del paramento slu'!$G$58,ABS(L1315)*'Progetto del paramento slu'!$G$54,'Progetto del paramento slu'!$G$53)</f>
        <v>20866362.130678888</v>
      </c>
      <c r="G1315" s="553">
        <f>-'Foglio deposito bis'!$F$70*(C1315-sezione!$AN$32)*IF(ABS(M1315)&lt;'Progetto del paramento slu'!$G$58,ABS(M1315)*'Progetto del paramento slu'!$G$54,'Progetto del paramento slu'!$G$53)</f>
        <v>0</v>
      </c>
      <c r="H1315" s="553">
        <f>-'Foglio deposito bis'!$F$71*(C1315-sezione!$AO$32)*IF(ABS(N1315)&lt;'Progetto del paramento slu'!$G$58,ABS(N1315)*'Progetto del paramento slu'!$G$54,'Progetto del paramento slu'!$G$53)</f>
        <v>102528379.21038985</v>
      </c>
      <c r="I1315" s="479">
        <f>-'Foglio deposito bis'!$F$72*(C1315-sezione!$AP$32)*IF(ABS(O1315)&lt;'Progetto del paramento slu'!$G$58,ABS(O1315)*'Progetto del paramento slu'!$G$54,'Progetto del paramento slu'!$G$53)</f>
        <v>120864847.49162121</v>
      </c>
      <c r="J1315" s="479">
        <f t="shared" si="98"/>
        <v>242597671.00423944</v>
      </c>
      <c r="K1315" s="558">
        <f>'Progetto del paramento slu'!$G$60*(sezione!$AL$32-C1315)/C1315</f>
        <v>6.353169113848112E-3</v>
      </c>
      <c r="L1315" s="558">
        <f>'Progetto del paramento slu'!$G$60*(sezione!$AM$32-C1315)/C1315</f>
        <v>3.3449384176930427E-2</v>
      </c>
      <c r="M1315" s="559">
        <f>'Progetto del paramento slu'!$G$60*(sezione!$AN$32-C1315)/C1315</f>
        <v>6.0545599240012737E-2</v>
      </c>
      <c r="N1315" s="559">
        <f>'Progetto del paramento slu'!$G$60*(sezione!$AO$32-C1315)/C1315</f>
        <v>8.0251937467708964E-2</v>
      </c>
      <c r="O1315" s="559">
        <f>'Progetto del paramento slu'!$G$60*(sezione!$AP$32-C1315)/C1315</f>
        <v>6.0546830886151939E-2</v>
      </c>
      <c r="P1315" s="553">
        <f>-'Progetto del paramento slu'!$G$47*'Progetto del paramento slu'!$G$41*IF(DATI!$G$218="dx",DATI!$E$61,DATI!$E$64*DATI!$E$63)*1000*C1315*sezione!$AD$5</f>
        <v>-200283.23650981035</v>
      </c>
      <c r="Q1315" s="553">
        <f>'Foglio deposito bis'!$F$68*IF(ABS(K1315)&lt;'Progetto del paramento slu'!$G$58,ABS(K1315)*'Progetto del paramento slu'!$G$54,'Progetto del paramento slu'!$G$53)*IF(K1315&lt;0,-1,1)</f>
        <v>0</v>
      </c>
      <c r="R1315" s="553">
        <f>'Foglio deposito bis'!$F$69*IF(ABS(L1315)&lt;'Progetto del paramento slu'!$G$58,ABS(L1315)*'Progetto del paramento slu'!$G$54,'Progetto del paramento slu'!$G$53)*IF(L1315&lt;0,-1,1)</f>
        <v>153664.85805602249</v>
      </c>
      <c r="S1315" s="553">
        <f>'Foglio deposito bis'!$F$70*IF(ABS(M1315)&lt;'Progetto del paramento slu'!$G$58,ABS(M1315)*'Progetto del paramento slu'!$G$54,'Progetto del paramento slu'!$G$53)*IF(M1315&lt;0,-1,1)</f>
        <v>0</v>
      </c>
      <c r="T1315" s="553">
        <f>'Foglio deposito bis'!$F$71*IF(ABS(N1315)&lt;'Progetto del paramento slu'!$G$58,ABS(N1315)*'Progetto del paramento slu'!$G$54,'Progetto del paramento slu'!$G$53)*IF(N1315&lt;0,-1,1)</f>
        <v>314705.62929873407</v>
      </c>
      <c r="U1315" s="553">
        <f>'Foglio deposito bis'!$F$72*IF(ABS(O1315)&lt;'Progetto del paramento slu'!$G$58,ABS(O1315)*'Progetto del paramento slu'!$G$54,'Progetto del paramento slu'!$G$53)*IF(O1315&lt;0,-1,1)</f>
        <v>491727.54577927204</v>
      </c>
      <c r="V1315" s="479">
        <f t="shared" si="100"/>
        <v>759814.79662421835</v>
      </c>
      <c r="W1315" s="559"/>
      <c r="X1315" s="559"/>
    </row>
    <row r="1316" spans="1:24" x14ac:dyDescent="0.25">
      <c r="A1316" s="553">
        <f t="shared" si="99"/>
        <v>756953.60753122088</v>
      </c>
      <c r="B1316" s="3">
        <f t="shared" si="101"/>
        <v>3.5499999999999954</v>
      </c>
      <c r="C1316" s="553">
        <f>'Foglio deposito bis'!$E$158/sezione!$B$247*B1316</f>
        <v>14.411606901217846</v>
      </c>
      <c r="D1316" s="611">
        <f>-'Progetto del paramento slu'!$G$47*'Progetto del paramento slu'!$G$41*IF(DATI!$G$218="dx",DATI!$E$61,DATI!$E$64*DATI!$E$63)*1000*C1316^2*sezione!$AD$5*(1-sezione!$AD$6)</f>
        <v>-1709740.3618814331</v>
      </c>
      <c r="E1316" s="553">
        <f>-'Foglio deposito bis'!$F$68*(C1316-sezione!$AL$32)*IF(ABS(K1316)&lt;'Progetto del paramento slu'!$G$58,ABS(K1316)*'Progetto del paramento slu'!$G$54,'Progetto del paramento slu'!$G$53)</f>
        <v>0</v>
      </c>
      <c r="F1316" s="553">
        <f>-'Foglio deposito bis'!$F$69*(C1316-sezione!$AM$32)*IF(ABS(L1316)&lt;'Progetto del paramento slu'!$G$58,ABS(L1316)*'Progetto del paramento slu'!$G$54,'Progetto del paramento slu'!$G$53)</f>
        <v>20835171.17956854</v>
      </c>
      <c r="G1316" s="553">
        <f>-'Foglio deposito bis'!$F$70*(C1316-sezione!$AN$32)*IF(ABS(M1316)&lt;'Progetto del paramento slu'!$G$58,ABS(M1316)*'Progetto del paramento slu'!$G$54,'Progetto del paramento slu'!$G$53)</f>
        <v>0</v>
      </c>
      <c r="H1316" s="553">
        <f>-'Foglio deposito bis'!$F$71*(C1316-sezione!$AO$32)*IF(ABS(N1316)&lt;'Progetto del paramento slu'!$G$58,ABS(N1316)*'Progetto del paramento slu'!$G$54,'Progetto del paramento slu'!$G$53)</f>
        <v>102464500.14251585</v>
      </c>
      <c r="I1316" s="479">
        <f>-'Foglio deposito bis'!$F$72*(C1316-sezione!$AP$32)*IF(ABS(O1316)&lt;'Progetto del paramento slu'!$G$58,ABS(O1316)*'Progetto del paramento slu'!$G$54,'Progetto del paramento slu'!$G$53)</f>
        <v>120765036.4480681</v>
      </c>
      <c r="J1316" s="479">
        <f t="shared" si="98"/>
        <v>242354967.40827107</v>
      </c>
      <c r="K1316" s="558">
        <f>'Progetto del paramento slu'!$G$60*(sezione!$AL$32-C1316)/C1316</f>
        <v>6.214392084075605E-3</v>
      </c>
      <c r="L1316" s="558">
        <f>'Progetto del paramento slu'!$G$60*(sezione!$AM$32-C1316)/C1316</f>
        <v>3.2928970315283516E-2</v>
      </c>
      <c r="M1316" s="559">
        <f>'Progetto del paramento slu'!$G$60*(sezione!$AN$32-C1316)/C1316</f>
        <v>5.9643548546491426E-2</v>
      </c>
      <c r="N1316" s="559">
        <f>'Progetto del paramento slu'!$G$60*(sezione!$AO$32-C1316)/C1316</f>
        <v>7.9072332714642646E-2</v>
      </c>
      <c r="O1316" s="559">
        <f>'Progetto del paramento slu'!$G$60*(sezione!$AP$32-C1316)/C1316</f>
        <v>5.9644762845501915E-2</v>
      </c>
      <c r="P1316" s="553">
        <f>-'Progetto del paramento slu'!$G$47*'Progetto del paramento slu'!$G$41*IF(DATI!$G$218="dx",DATI!$E$61,DATI!$E$64*DATI!$E$63)*1000*C1316*sezione!$AD$5</f>
        <v>-203144.42560280763</v>
      </c>
      <c r="Q1316" s="553">
        <f>'Foglio deposito bis'!$F$68*IF(ABS(K1316)&lt;'Progetto del paramento slu'!$G$58,ABS(K1316)*'Progetto del paramento slu'!$G$54,'Progetto del paramento slu'!$G$53)*IF(K1316&lt;0,-1,1)</f>
        <v>0</v>
      </c>
      <c r="R1316" s="553">
        <f>'Foglio deposito bis'!$F$69*IF(ABS(L1316)&lt;'Progetto del paramento slu'!$G$58,ABS(L1316)*'Progetto del paramento slu'!$G$54,'Progetto del paramento slu'!$G$53)*IF(L1316&lt;0,-1,1)</f>
        <v>153664.85805602249</v>
      </c>
      <c r="S1316" s="553">
        <f>'Foglio deposito bis'!$F$70*IF(ABS(M1316)&lt;'Progetto del paramento slu'!$G$58,ABS(M1316)*'Progetto del paramento slu'!$G$54,'Progetto del paramento slu'!$G$53)*IF(M1316&lt;0,-1,1)</f>
        <v>0</v>
      </c>
      <c r="T1316" s="553">
        <f>'Foglio deposito bis'!$F$71*IF(ABS(N1316)&lt;'Progetto del paramento slu'!$G$58,ABS(N1316)*'Progetto del paramento slu'!$G$54,'Progetto del paramento slu'!$G$53)*IF(N1316&lt;0,-1,1)</f>
        <v>314705.62929873407</v>
      </c>
      <c r="U1316" s="553">
        <f>'Foglio deposito bis'!$F$72*IF(ABS(O1316)&lt;'Progetto del paramento slu'!$G$58,ABS(O1316)*'Progetto del paramento slu'!$G$54,'Progetto del paramento slu'!$G$53)*IF(O1316&lt;0,-1,1)</f>
        <v>491727.54577927204</v>
      </c>
      <c r="V1316" s="479">
        <f t="shared" si="100"/>
        <v>756953.60753122088</v>
      </c>
      <c r="W1316" s="559"/>
      <c r="X1316" s="559"/>
    </row>
    <row r="1317" spans="1:24" x14ac:dyDescent="0.25">
      <c r="A1317" s="553">
        <f t="shared" si="99"/>
        <v>754092.41843822366</v>
      </c>
      <c r="B1317" s="3">
        <f t="shared" si="101"/>
        <v>3.5999999999999952</v>
      </c>
      <c r="C1317" s="553">
        <f>'Foglio deposito bis'!$E$158/sezione!$B$247*B1317</f>
        <v>14.614587280108237</v>
      </c>
      <c r="D1317" s="611">
        <f>-'Progetto del paramento slu'!$G$47*'Progetto del paramento slu'!$G$41*IF(DATI!$G$218="dx",DATI!$E$61,DATI!$E$64*DATI!$E$63)*1000*C1317^2*sezione!$AD$5*(1-sezione!$AD$6)</f>
        <v>-1758241.2291198866</v>
      </c>
      <c r="E1317" s="553">
        <f>-'Foglio deposito bis'!$F$68*(C1317-sezione!$AL$32)*IF(ABS(K1317)&lt;'Progetto del paramento slu'!$G$58,ABS(K1317)*'Progetto del paramento slu'!$G$54,'Progetto del paramento slu'!$G$53)</f>
        <v>0</v>
      </c>
      <c r="F1317" s="553">
        <f>-'Foglio deposito bis'!$F$69*(C1317-sezione!$AM$32)*IF(ABS(L1317)&lt;'Progetto del paramento slu'!$G$58,ABS(L1317)*'Progetto del paramento slu'!$G$54,'Progetto del paramento slu'!$G$53)</f>
        <v>20803980.228458192</v>
      </c>
      <c r="G1317" s="553">
        <f>-'Foglio deposito bis'!$F$70*(C1317-sezione!$AN$32)*IF(ABS(M1317)&lt;'Progetto del paramento slu'!$G$58,ABS(M1317)*'Progetto del paramento slu'!$G$54,'Progetto del paramento slu'!$G$53)</f>
        <v>0</v>
      </c>
      <c r="H1317" s="553">
        <f>-'Foglio deposito bis'!$F$71*(C1317-sezione!$AO$32)*IF(ABS(N1317)&lt;'Progetto del paramento slu'!$G$58,ABS(N1317)*'Progetto del paramento slu'!$G$54,'Progetto del paramento slu'!$G$53)</f>
        <v>102400621.07464184</v>
      </c>
      <c r="I1317" s="479">
        <f>-'Foglio deposito bis'!$F$72*(C1317-sezione!$AP$32)*IF(ABS(O1317)&lt;'Progetto del paramento slu'!$G$58,ABS(O1317)*'Progetto del paramento slu'!$G$54,'Progetto del paramento slu'!$G$53)</f>
        <v>120665225.40451497</v>
      </c>
      <c r="J1317" s="479">
        <f t="shared" si="98"/>
        <v>242111585.47849512</v>
      </c>
      <c r="K1317" s="558">
        <f>'Progetto del paramento slu'!$G$60*(sezione!$AL$32-C1317)/C1317</f>
        <v>6.0794699717967773E-3</v>
      </c>
      <c r="L1317" s="558">
        <f>'Progetto del paramento slu'!$G$60*(sezione!$AM$32-C1317)/C1317</f>
        <v>3.2423012394237921E-2</v>
      </c>
      <c r="M1317" s="559">
        <f>'Progetto del paramento slu'!$G$60*(sezione!$AN$32-C1317)/C1317</f>
        <v>5.8766554816679056E-2</v>
      </c>
      <c r="N1317" s="559">
        <f>'Progetto del paramento slu'!$G$60*(sezione!$AO$32-C1317)/C1317</f>
        <v>7.7925494760272607E-2</v>
      </c>
      <c r="O1317" s="559">
        <f>'Progetto del paramento slu'!$G$60*(sezione!$AP$32-C1317)/C1317</f>
        <v>5.8767752250425506E-2</v>
      </c>
      <c r="P1317" s="553">
        <f>-'Progetto del paramento slu'!$G$47*'Progetto del paramento slu'!$G$41*IF(DATI!$G$218="dx",DATI!$E$61,DATI!$E$64*DATI!$E$63)*1000*C1317*sezione!$AD$5</f>
        <v>-206005.61469580489</v>
      </c>
      <c r="Q1317" s="553">
        <f>'Foglio deposito bis'!$F$68*IF(ABS(K1317)&lt;'Progetto del paramento slu'!$G$58,ABS(K1317)*'Progetto del paramento slu'!$G$54,'Progetto del paramento slu'!$G$53)*IF(K1317&lt;0,-1,1)</f>
        <v>0</v>
      </c>
      <c r="R1317" s="553">
        <f>'Foglio deposito bis'!$F$69*IF(ABS(L1317)&lt;'Progetto del paramento slu'!$G$58,ABS(L1317)*'Progetto del paramento slu'!$G$54,'Progetto del paramento slu'!$G$53)*IF(L1317&lt;0,-1,1)</f>
        <v>153664.85805602249</v>
      </c>
      <c r="S1317" s="553">
        <f>'Foglio deposito bis'!$F$70*IF(ABS(M1317)&lt;'Progetto del paramento slu'!$G$58,ABS(M1317)*'Progetto del paramento slu'!$G$54,'Progetto del paramento slu'!$G$53)*IF(M1317&lt;0,-1,1)</f>
        <v>0</v>
      </c>
      <c r="T1317" s="553">
        <f>'Foglio deposito bis'!$F$71*IF(ABS(N1317)&lt;'Progetto del paramento slu'!$G$58,ABS(N1317)*'Progetto del paramento slu'!$G$54,'Progetto del paramento slu'!$G$53)*IF(N1317&lt;0,-1,1)</f>
        <v>314705.62929873407</v>
      </c>
      <c r="U1317" s="553">
        <f>'Foglio deposito bis'!$F$72*IF(ABS(O1317)&lt;'Progetto del paramento slu'!$G$58,ABS(O1317)*'Progetto del paramento slu'!$G$54,'Progetto del paramento slu'!$G$53)*IF(O1317&lt;0,-1,1)</f>
        <v>491727.54577927204</v>
      </c>
      <c r="V1317" s="479">
        <f t="shared" si="100"/>
        <v>754092.41843822366</v>
      </c>
      <c r="W1317" s="559"/>
      <c r="X1317" s="559"/>
    </row>
    <row r="1318" spans="1:24" x14ac:dyDescent="0.25">
      <c r="A1318" s="553">
        <f t="shared" si="99"/>
        <v>751231.22934522643</v>
      </c>
      <c r="B1318" s="3">
        <f t="shared" si="101"/>
        <v>3.649999999999995</v>
      </c>
      <c r="C1318" s="553">
        <f>'Foglio deposito bis'!$E$158/sezione!$B$247*B1318</f>
        <v>14.81756765899863</v>
      </c>
      <c r="D1318" s="611">
        <f>-'Progetto del paramento slu'!$G$47*'Progetto del paramento slu'!$G$41*IF(DATI!$G$218="dx",DATI!$E$61,DATI!$E$64*DATI!$E$63)*1000*C1318^2*sezione!$AD$5*(1-sezione!$AD$6)</f>
        <v>-1807420.4301658713</v>
      </c>
      <c r="E1318" s="553">
        <f>-'Foglio deposito bis'!$F$68*(C1318-sezione!$AL$32)*IF(ABS(K1318)&lt;'Progetto del paramento slu'!$G$58,ABS(K1318)*'Progetto del paramento slu'!$G$54,'Progetto del paramento slu'!$G$53)</f>
        <v>0</v>
      </c>
      <c r="F1318" s="553">
        <f>-'Foglio deposito bis'!$F$69*(C1318-sezione!$AM$32)*IF(ABS(L1318)&lt;'Progetto del paramento slu'!$G$58,ABS(L1318)*'Progetto del paramento slu'!$G$54,'Progetto del paramento slu'!$G$53)</f>
        <v>20772789.27734784</v>
      </c>
      <c r="G1318" s="553">
        <f>-'Foglio deposito bis'!$F$70*(C1318-sezione!$AN$32)*IF(ABS(M1318)&lt;'Progetto del paramento slu'!$G$58,ABS(M1318)*'Progetto del paramento slu'!$G$54,'Progetto del paramento slu'!$G$53)</f>
        <v>0</v>
      </c>
      <c r="H1318" s="553">
        <f>-'Foglio deposito bis'!$F$71*(C1318-sezione!$AO$32)*IF(ABS(N1318)&lt;'Progetto del paramento slu'!$G$58,ABS(N1318)*'Progetto del paramento slu'!$G$54,'Progetto del paramento slu'!$G$53)</f>
        <v>102336742.00676785</v>
      </c>
      <c r="I1318" s="479">
        <f>-'Foglio deposito bis'!$F$72*(C1318-sezione!$AP$32)*IF(ABS(O1318)&lt;'Progetto del paramento slu'!$G$58,ABS(O1318)*'Progetto del paramento slu'!$G$54,'Progetto del paramento slu'!$G$53)</f>
        <v>120565414.36096185</v>
      </c>
      <c r="J1318" s="479">
        <f t="shared" si="98"/>
        <v>241867525.21491167</v>
      </c>
      <c r="K1318" s="558">
        <f>'Progetto del paramento slu'!$G$60*(sezione!$AL$32-C1318)/C1318</f>
        <v>5.9482443557447662E-3</v>
      </c>
      <c r="L1318" s="558">
        <f>'Progetto del paramento slu'!$G$60*(sezione!$AM$32-C1318)/C1318</f>
        <v>3.1930916334042873E-2</v>
      </c>
      <c r="M1318" s="559">
        <f>'Progetto del paramento slu'!$G$60*(sezione!$AN$32-C1318)/C1318</f>
        <v>5.7913588312340988E-2</v>
      </c>
      <c r="N1318" s="559">
        <f>'Progetto del paramento slu'!$G$60*(sezione!$AO$32-C1318)/C1318</f>
        <v>7.6810077023830511E-2</v>
      </c>
      <c r="O1318" s="559">
        <f>'Progetto del paramento slu'!$G$60*(sezione!$AP$32-C1318)/C1318</f>
        <v>5.7914769342885426E-2</v>
      </c>
      <c r="P1318" s="553">
        <f>-'Progetto del paramento slu'!$G$47*'Progetto del paramento slu'!$G$41*IF(DATI!$G$218="dx",DATI!$E$61,DATI!$E$64*DATI!$E$63)*1000*C1318*sezione!$AD$5</f>
        <v>-208866.80378880221</v>
      </c>
      <c r="Q1318" s="553">
        <f>'Foglio deposito bis'!$F$68*IF(ABS(K1318)&lt;'Progetto del paramento slu'!$G$58,ABS(K1318)*'Progetto del paramento slu'!$G$54,'Progetto del paramento slu'!$G$53)*IF(K1318&lt;0,-1,1)</f>
        <v>0</v>
      </c>
      <c r="R1318" s="553">
        <f>'Foglio deposito bis'!$F$69*IF(ABS(L1318)&lt;'Progetto del paramento slu'!$G$58,ABS(L1318)*'Progetto del paramento slu'!$G$54,'Progetto del paramento slu'!$G$53)*IF(L1318&lt;0,-1,1)</f>
        <v>153664.85805602249</v>
      </c>
      <c r="S1318" s="553">
        <f>'Foglio deposito bis'!$F$70*IF(ABS(M1318)&lt;'Progetto del paramento slu'!$G$58,ABS(M1318)*'Progetto del paramento slu'!$G$54,'Progetto del paramento slu'!$G$53)*IF(M1318&lt;0,-1,1)</f>
        <v>0</v>
      </c>
      <c r="T1318" s="553">
        <f>'Foglio deposito bis'!$F$71*IF(ABS(N1318)&lt;'Progetto del paramento slu'!$G$58,ABS(N1318)*'Progetto del paramento slu'!$G$54,'Progetto del paramento slu'!$G$53)*IF(N1318&lt;0,-1,1)</f>
        <v>314705.62929873407</v>
      </c>
      <c r="U1318" s="553">
        <f>'Foglio deposito bis'!$F$72*IF(ABS(O1318)&lt;'Progetto del paramento slu'!$G$58,ABS(O1318)*'Progetto del paramento slu'!$G$54,'Progetto del paramento slu'!$G$53)*IF(O1318&lt;0,-1,1)</f>
        <v>491727.54577927204</v>
      </c>
      <c r="V1318" s="479">
        <f t="shared" si="100"/>
        <v>751231.22934522643</v>
      </c>
      <c r="W1318" s="559"/>
      <c r="X1318" s="559"/>
    </row>
    <row r="1319" spans="1:24" x14ac:dyDescent="0.25">
      <c r="A1319" s="553">
        <f t="shared" si="99"/>
        <v>748370.0402522292</v>
      </c>
      <c r="B1319" s="3">
        <f t="shared" si="101"/>
        <v>3.6999999999999948</v>
      </c>
      <c r="C1319" s="553">
        <f>'Foglio deposito bis'!$E$158/sezione!$B$247*B1319</f>
        <v>15.020548037889021</v>
      </c>
      <c r="D1319" s="611">
        <f>-'Progetto del paramento slu'!$G$47*'Progetto del paramento slu'!$G$41*IF(DATI!$G$218="dx",DATI!$E$61,DATI!$E$64*DATI!$E$63)*1000*C1319^2*sezione!$AD$5*(1-sezione!$AD$6)</f>
        <v>-1857277.9650193863</v>
      </c>
      <c r="E1319" s="553">
        <f>-'Foglio deposito bis'!$F$68*(C1319-sezione!$AL$32)*IF(ABS(K1319)&lt;'Progetto del paramento slu'!$G$58,ABS(K1319)*'Progetto del paramento slu'!$G$54,'Progetto del paramento slu'!$G$53)</f>
        <v>0</v>
      </c>
      <c r="F1319" s="553">
        <f>-'Foglio deposito bis'!$F$69*(C1319-sezione!$AM$32)*IF(ABS(L1319)&lt;'Progetto del paramento slu'!$G$58,ABS(L1319)*'Progetto del paramento slu'!$G$54,'Progetto del paramento slu'!$G$53)</f>
        <v>20741598.326237489</v>
      </c>
      <c r="G1319" s="553">
        <f>-'Foglio deposito bis'!$F$70*(C1319-sezione!$AN$32)*IF(ABS(M1319)&lt;'Progetto del paramento slu'!$G$58,ABS(M1319)*'Progetto del paramento slu'!$G$54,'Progetto del paramento slu'!$G$53)</f>
        <v>0</v>
      </c>
      <c r="H1319" s="553">
        <f>-'Foglio deposito bis'!$F$71*(C1319-sezione!$AO$32)*IF(ABS(N1319)&lt;'Progetto del paramento slu'!$G$58,ABS(N1319)*'Progetto del paramento slu'!$G$54,'Progetto del paramento slu'!$G$53)</f>
        <v>102272862.93889385</v>
      </c>
      <c r="I1319" s="479">
        <f>-'Foglio deposito bis'!$F$72*(C1319-sezione!$AP$32)*IF(ABS(O1319)&lt;'Progetto del paramento slu'!$G$58,ABS(O1319)*'Progetto del paramento slu'!$G$54,'Progetto del paramento slu'!$G$53)</f>
        <v>120465603.31740874</v>
      </c>
      <c r="J1319" s="479">
        <f t="shared" si="98"/>
        <v>241622786.61752069</v>
      </c>
      <c r="K1319" s="558">
        <f>'Progetto del paramento slu'!$G$60*(sezione!$AL$32-C1319)/C1319</f>
        <v>5.820565377964433E-3</v>
      </c>
      <c r="L1319" s="558">
        <f>'Progetto del paramento slu'!$G$60*(sezione!$AM$32-C1319)/C1319</f>
        <v>3.1452120167366621E-2</v>
      </c>
      <c r="M1319" s="559">
        <f>'Progetto del paramento slu'!$G$60*(sezione!$AN$32-C1319)/C1319</f>
        <v>5.7083674956768811E-2</v>
      </c>
      <c r="N1319" s="559">
        <f>'Progetto del paramento slu'!$G$60*(sezione!$AO$32-C1319)/C1319</f>
        <v>7.5724805712697685E-2</v>
      </c>
      <c r="O1319" s="559">
        <f>'Progetto del paramento slu'!$G$60*(sezione!$AP$32-C1319)/C1319</f>
        <v>5.7084840027441026E-2</v>
      </c>
      <c r="P1319" s="553">
        <f>-'Progetto del paramento slu'!$G$47*'Progetto del paramento slu'!$G$41*IF(DATI!$G$218="dx",DATI!$E$61,DATI!$E$64*DATI!$E$63)*1000*C1319*sezione!$AD$5</f>
        <v>-211727.99288179947</v>
      </c>
      <c r="Q1319" s="553">
        <f>'Foglio deposito bis'!$F$68*IF(ABS(K1319)&lt;'Progetto del paramento slu'!$G$58,ABS(K1319)*'Progetto del paramento slu'!$G$54,'Progetto del paramento slu'!$G$53)*IF(K1319&lt;0,-1,1)</f>
        <v>0</v>
      </c>
      <c r="R1319" s="553">
        <f>'Foglio deposito bis'!$F$69*IF(ABS(L1319)&lt;'Progetto del paramento slu'!$G$58,ABS(L1319)*'Progetto del paramento slu'!$G$54,'Progetto del paramento slu'!$G$53)*IF(L1319&lt;0,-1,1)</f>
        <v>153664.85805602249</v>
      </c>
      <c r="S1319" s="553">
        <f>'Foglio deposito bis'!$F$70*IF(ABS(M1319)&lt;'Progetto del paramento slu'!$G$58,ABS(M1319)*'Progetto del paramento slu'!$G$54,'Progetto del paramento slu'!$G$53)*IF(M1319&lt;0,-1,1)</f>
        <v>0</v>
      </c>
      <c r="T1319" s="553">
        <f>'Foglio deposito bis'!$F$71*IF(ABS(N1319)&lt;'Progetto del paramento slu'!$G$58,ABS(N1319)*'Progetto del paramento slu'!$G$54,'Progetto del paramento slu'!$G$53)*IF(N1319&lt;0,-1,1)</f>
        <v>314705.62929873407</v>
      </c>
      <c r="U1319" s="553">
        <f>'Foglio deposito bis'!$F$72*IF(ABS(O1319)&lt;'Progetto del paramento slu'!$G$58,ABS(O1319)*'Progetto del paramento slu'!$G$54,'Progetto del paramento slu'!$G$53)*IF(O1319&lt;0,-1,1)</f>
        <v>491727.54577927204</v>
      </c>
      <c r="V1319" s="479">
        <f t="shared" si="100"/>
        <v>748370.0402522292</v>
      </c>
      <c r="W1319" s="559"/>
      <c r="X1319" s="559"/>
    </row>
    <row r="1320" spans="1:24" x14ac:dyDescent="0.25">
      <c r="A1320" s="553">
        <f t="shared" si="99"/>
        <v>745508.85115923185</v>
      </c>
      <c r="B1320" s="3">
        <f t="shared" si="101"/>
        <v>3.7499999999999947</v>
      </c>
      <c r="C1320" s="553">
        <f>'Foglio deposito bis'!$E$158/sezione!$B$247*B1320</f>
        <v>15.223528416779413</v>
      </c>
      <c r="D1320" s="611">
        <f>-'Progetto del paramento slu'!$G$47*'Progetto del paramento slu'!$G$41*IF(DATI!$G$218="dx",DATI!$E$61,DATI!$E$64*DATI!$E$63)*1000*C1320^2*sezione!$AD$5*(1-sezione!$AD$6)</f>
        <v>-1907813.8336804321</v>
      </c>
      <c r="E1320" s="553">
        <f>-'Foglio deposito bis'!$F$68*(C1320-sezione!$AL$32)*IF(ABS(K1320)&lt;'Progetto del paramento slu'!$G$58,ABS(K1320)*'Progetto del paramento slu'!$G$54,'Progetto del paramento slu'!$G$53)</f>
        <v>0</v>
      </c>
      <c r="F1320" s="553">
        <f>-'Foglio deposito bis'!$F$69*(C1320-sezione!$AM$32)*IF(ABS(L1320)&lt;'Progetto del paramento slu'!$G$58,ABS(L1320)*'Progetto del paramento slu'!$G$54,'Progetto del paramento slu'!$G$53)</f>
        <v>20710407.37512714</v>
      </c>
      <c r="G1320" s="553">
        <f>-'Foglio deposito bis'!$F$70*(C1320-sezione!$AN$32)*IF(ABS(M1320)&lt;'Progetto del paramento slu'!$G$58,ABS(M1320)*'Progetto del paramento slu'!$G$54,'Progetto del paramento slu'!$G$53)</f>
        <v>0</v>
      </c>
      <c r="H1320" s="553">
        <f>-'Foglio deposito bis'!$F$71*(C1320-sezione!$AO$32)*IF(ABS(N1320)&lt;'Progetto del paramento slu'!$G$58,ABS(N1320)*'Progetto del paramento slu'!$G$54,'Progetto del paramento slu'!$G$53)</f>
        <v>102208983.87101987</v>
      </c>
      <c r="I1320" s="479">
        <f>-'Foglio deposito bis'!$F$72*(C1320-sezione!$AP$32)*IF(ABS(O1320)&lt;'Progetto del paramento slu'!$G$58,ABS(O1320)*'Progetto del paramento slu'!$G$54,'Progetto del paramento slu'!$G$53)</f>
        <v>120365792.27385564</v>
      </c>
      <c r="J1320" s="479">
        <f t="shared" si="98"/>
        <v>241377369.68632221</v>
      </c>
      <c r="K1320" s="558">
        <f>'Progetto del paramento slu'!$G$60*(sezione!$AL$32-C1320)/C1320</f>
        <v>5.6962911729249079E-3</v>
      </c>
      <c r="L1320" s="558">
        <f>'Progetto del paramento slu'!$G$60*(sezione!$AM$32-C1320)/C1320</f>
        <v>3.0986091898468408E-2</v>
      </c>
      <c r="M1320" s="559">
        <f>'Progetto del paramento slu'!$G$60*(sezione!$AN$32-C1320)/C1320</f>
        <v>5.6275892624011899E-2</v>
      </c>
      <c r="N1320" s="559">
        <f>'Progetto del paramento slu'!$G$60*(sezione!$AO$32-C1320)/C1320</f>
        <v>7.4668474969861717E-2</v>
      </c>
      <c r="O1320" s="559">
        <f>'Progetto del paramento slu'!$G$60*(sezione!$AP$32-C1320)/C1320</f>
        <v>5.6277042160408491E-2</v>
      </c>
      <c r="P1320" s="553">
        <f>-'Progetto del paramento slu'!$G$47*'Progetto del paramento slu'!$G$41*IF(DATI!$G$218="dx",DATI!$E$61,DATI!$E$64*DATI!$E$63)*1000*C1320*sezione!$AD$5</f>
        <v>-214589.18197479675</v>
      </c>
      <c r="Q1320" s="553">
        <f>'Foglio deposito bis'!$F$68*IF(ABS(K1320)&lt;'Progetto del paramento slu'!$G$58,ABS(K1320)*'Progetto del paramento slu'!$G$54,'Progetto del paramento slu'!$G$53)*IF(K1320&lt;0,-1,1)</f>
        <v>0</v>
      </c>
      <c r="R1320" s="553">
        <f>'Foglio deposito bis'!$F$69*IF(ABS(L1320)&lt;'Progetto del paramento slu'!$G$58,ABS(L1320)*'Progetto del paramento slu'!$G$54,'Progetto del paramento slu'!$G$53)*IF(L1320&lt;0,-1,1)</f>
        <v>153664.85805602249</v>
      </c>
      <c r="S1320" s="553">
        <f>'Foglio deposito bis'!$F$70*IF(ABS(M1320)&lt;'Progetto del paramento slu'!$G$58,ABS(M1320)*'Progetto del paramento slu'!$G$54,'Progetto del paramento slu'!$G$53)*IF(M1320&lt;0,-1,1)</f>
        <v>0</v>
      </c>
      <c r="T1320" s="553">
        <f>'Foglio deposito bis'!$F$71*IF(ABS(N1320)&lt;'Progetto del paramento slu'!$G$58,ABS(N1320)*'Progetto del paramento slu'!$G$54,'Progetto del paramento slu'!$G$53)*IF(N1320&lt;0,-1,1)</f>
        <v>314705.62929873407</v>
      </c>
      <c r="U1320" s="553">
        <f>'Foglio deposito bis'!$F$72*IF(ABS(O1320)&lt;'Progetto del paramento slu'!$G$58,ABS(O1320)*'Progetto del paramento slu'!$G$54,'Progetto del paramento slu'!$G$53)*IF(O1320&lt;0,-1,1)</f>
        <v>491727.54577927204</v>
      </c>
      <c r="V1320" s="479">
        <f t="shared" si="100"/>
        <v>745508.85115923185</v>
      </c>
      <c r="W1320" s="559"/>
      <c r="X1320" s="559"/>
    </row>
    <row r="1321" spans="1:24" x14ac:dyDescent="0.25">
      <c r="A1321" s="553">
        <f t="shared" si="99"/>
        <v>742647.66206623451</v>
      </c>
      <c r="B1321" s="3">
        <f t="shared" si="101"/>
        <v>3.7999999999999945</v>
      </c>
      <c r="C1321" s="553">
        <f>'Foglio deposito bis'!$E$158/sezione!$B$247*B1321</f>
        <v>15.426508795669806</v>
      </c>
      <c r="D1321" s="611">
        <f>-'Progetto del paramento slu'!$G$47*'Progetto del paramento slu'!$G$41*IF(DATI!$G$218="dx",DATI!$E$61,DATI!$E$64*DATI!$E$63)*1000*C1321^2*sezione!$AD$5*(1-sezione!$AD$6)</f>
        <v>-1959028.0361490091</v>
      </c>
      <c r="E1321" s="553">
        <f>-'Foglio deposito bis'!$F$68*(C1321-sezione!$AL$32)*IF(ABS(K1321)&lt;'Progetto del paramento slu'!$G$58,ABS(K1321)*'Progetto del paramento slu'!$G$54,'Progetto del paramento slu'!$G$53)</f>
        <v>0</v>
      </c>
      <c r="F1321" s="553">
        <f>-'Foglio deposito bis'!$F$69*(C1321-sezione!$AM$32)*IF(ABS(L1321)&lt;'Progetto del paramento slu'!$G$58,ABS(L1321)*'Progetto del paramento slu'!$G$54,'Progetto del paramento slu'!$G$53)</f>
        <v>20679216.424016792</v>
      </c>
      <c r="G1321" s="553">
        <f>-'Foglio deposito bis'!$F$70*(C1321-sezione!$AN$32)*IF(ABS(M1321)&lt;'Progetto del paramento slu'!$G$58,ABS(M1321)*'Progetto del paramento slu'!$G$54,'Progetto del paramento slu'!$G$53)</f>
        <v>0</v>
      </c>
      <c r="H1321" s="553">
        <f>-'Foglio deposito bis'!$F$71*(C1321-sezione!$AO$32)*IF(ABS(N1321)&lt;'Progetto del paramento slu'!$G$58,ABS(N1321)*'Progetto del paramento slu'!$G$54,'Progetto del paramento slu'!$G$53)</f>
        <v>102145104.80314587</v>
      </c>
      <c r="I1321" s="479">
        <f>-'Foglio deposito bis'!$F$72*(C1321-sezione!$AP$32)*IF(ABS(O1321)&lt;'Progetto del paramento slu'!$G$58,ABS(O1321)*'Progetto del paramento slu'!$G$54,'Progetto del paramento slu'!$G$53)</f>
        <v>120265981.2303025</v>
      </c>
      <c r="J1321" s="479">
        <f t="shared" si="98"/>
        <v>241131274.42131615</v>
      </c>
      <c r="K1321" s="558">
        <f>'Progetto del paramento slu'!$G$60*(sezione!$AL$32-C1321)/C1321</f>
        <v>5.5752873417022116E-3</v>
      </c>
      <c r="L1321" s="558">
        <f>'Progetto del paramento slu'!$G$60*(sezione!$AM$32-C1321)/C1321</f>
        <v>3.053232753138329E-2</v>
      </c>
      <c r="M1321" s="559">
        <f>'Progetto del paramento slu'!$G$60*(sezione!$AN$32-C1321)/C1321</f>
        <v>5.5489367721064366E-2</v>
      </c>
      <c r="N1321" s="559">
        <f>'Progetto del paramento slu'!$G$60*(sezione!$AO$32-C1321)/C1321</f>
        <v>7.3639942404468792E-2</v>
      </c>
      <c r="O1321" s="559">
        <f>'Progetto del paramento slu'!$G$60*(sezione!$AP$32-C1321)/C1321</f>
        <v>5.5490502131982061E-2</v>
      </c>
      <c r="P1321" s="553">
        <f>-'Progetto del paramento slu'!$G$47*'Progetto del paramento slu'!$G$41*IF(DATI!$G$218="dx",DATI!$E$61,DATI!$E$64*DATI!$E$63)*1000*C1321*sezione!$AD$5</f>
        <v>-217450.37106779407</v>
      </c>
      <c r="Q1321" s="553">
        <f>'Foglio deposito bis'!$F$68*IF(ABS(K1321)&lt;'Progetto del paramento slu'!$G$58,ABS(K1321)*'Progetto del paramento slu'!$G$54,'Progetto del paramento slu'!$G$53)*IF(K1321&lt;0,-1,1)</f>
        <v>0</v>
      </c>
      <c r="R1321" s="553">
        <f>'Foglio deposito bis'!$F$69*IF(ABS(L1321)&lt;'Progetto del paramento slu'!$G$58,ABS(L1321)*'Progetto del paramento slu'!$G$54,'Progetto del paramento slu'!$G$53)*IF(L1321&lt;0,-1,1)</f>
        <v>153664.85805602249</v>
      </c>
      <c r="S1321" s="553">
        <f>'Foglio deposito bis'!$F$70*IF(ABS(M1321)&lt;'Progetto del paramento slu'!$G$58,ABS(M1321)*'Progetto del paramento slu'!$G$54,'Progetto del paramento slu'!$G$53)*IF(M1321&lt;0,-1,1)</f>
        <v>0</v>
      </c>
      <c r="T1321" s="553">
        <f>'Foglio deposito bis'!$F$71*IF(ABS(N1321)&lt;'Progetto del paramento slu'!$G$58,ABS(N1321)*'Progetto del paramento slu'!$G$54,'Progetto del paramento slu'!$G$53)*IF(N1321&lt;0,-1,1)</f>
        <v>314705.62929873407</v>
      </c>
      <c r="U1321" s="553">
        <f>'Foglio deposito bis'!$F$72*IF(ABS(O1321)&lt;'Progetto del paramento slu'!$G$58,ABS(O1321)*'Progetto del paramento slu'!$G$54,'Progetto del paramento slu'!$G$53)*IF(O1321&lt;0,-1,1)</f>
        <v>491727.54577927204</v>
      </c>
      <c r="V1321" s="479">
        <f t="shared" si="100"/>
        <v>742647.66206623451</v>
      </c>
      <c r="W1321" s="559"/>
      <c r="X1321" s="559"/>
    </row>
    <row r="1322" spans="1:24" x14ac:dyDescent="0.25">
      <c r="A1322" s="553">
        <f t="shared" si="99"/>
        <v>739786.47297323728</v>
      </c>
      <c r="B1322" s="3">
        <f t="shared" si="101"/>
        <v>3.8499999999999943</v>
      </c>
      <c r="C1322" s="553">
        <f>'Foglio deposito bis'!$E$158/sezione!$B$247*B1322</f>
        <v>15.629489174560197</v>
      </c>
      <c r="D1322" s="611">
        <f>-'Progetto del paramento slu'!$G$47*'Progetto del paramento slu'!$G$41*IF(DATI!$G$218="dx",DATI!$E$61,DATI!$E$64*DATI!$E$63)*1000*C1322^2*sezione!$AD$5*(1-sezione!$AD$6)</f>
        <v>-2010920.5724251166</v>
      </c>
      <c r="E1322" s="553">
        <f>-'Foglio deposito bis'!$F$68*(C1322-sezione!$AL$32)*IF(ABS(K1322)&lt;'Progetto del paramento slu'!$G$58,ABS(K1322)*'Progetto del paramento slu'!$G$54,'Progetto del paramento slu'!$G$53)</f>
        <v>0</v>
      </c>
      <c r="F1322" s="553">
        <f>-'Foglio deposito bis'!$F$69*(C1322-sezione!$AM$32)*IF(ABS(L1322)&lt;'Progetto del paramento slu'!$G$58,ABS(L1322)*'Progetto del paramento slu'!$G$54,'Progetto del paramento slu'!$G$53)</f>
        <v>20648025.47290644</v>
      </c>
      <c r="G1322" s="553">
        <f>-'Foglio deposito bis'!$F$70*(C1322-sezione!$AN$32)*IF(ABS(M1322)&lt;'Progetto del paramento slu'!$G$58,ABS(M1322)*'Progetto del paramento slu'!$G$54,'Progetto del paramento slu'!$G$53)</f>
        <v>0</v>
      </c>
      <c r="H1322" s="553">
        <f>-'Foglio deposito bis'!$F$71*(C1322-sezione!$AO$32)*IF(ABS(N1322)&lt;'Progetto del paramento slu'!$G$58,ABS(N1322)*'Progetto del paramento slu'!$G$54,'Progetto del paramento slu'!$G$53)</f>
        <v>102081225.73527187</v>
      </c>
      <c r="I1322" s="479">
        <f>-'Foglio deposito bis'!$F$72*(C1322-sezione!$AP$32)*IF(ABS(O1322)&lt;'Progetto del paramento slu'!$G$58,ABS(O1322)*'Progetto del paramento slu'!$G$54,'Progetto del paramento slu'!$G$53)</f>
        <v>120166170.18674937</v>
      </c>
      <c r="J1322" s="479">
        <f t="shared" si="98"/>
        <v>240884500.82250255</v>
      </c>
      <c r="K1322" s="558">
        <f>'Progetto del paramento slu'!$G$60*(sezione!$AL$32-C1322)/C1322</f>
        <v>5.4574264671346491E-3</v>
      </c>
      <c r="L1322" s="558">
        <f>'Progetto del paramento slu'!$G$60*(sezione!$AM$32-C1322)/C1322</f>
        <v>3.0090349251754935E-2</v>
      </c>
      <c r="M1322" s="559">
        <f>'Progetto del paramento slu'!$G$60*(sezione!$AN$32-C1322)/C1322</f>
        <v>5.4723272036375226E-2</v>
      </c>
      <c r="N1322" s="559">
        <f>'Progetto del paramento slu'!$G$60*(sezione!$AO$32-C1322)/C1322</f>
        <v>7.2638124970644521E-2</v>
      </c>
      <c r="O1322" s="559">
        <f>'Progetto del paramento slu'!$G$60*(sezione!$AP$32-C1322)/C1322</f>
        <v>5.4724391714683587E-2</v>
      </c>
      <c r="P1322" s="553">
        <f>-'Progetto del paramento slu'!$G$47*'Progetto del paramento slu'!$G$41*IF(DATI!$G$218="dx",DATI!$E$61,DATI!$E$64*DATI!$E$63)*1000*C1322*sezione!$AD$5</f>
        <v>-220311.56016079136</v>
      </c>
      <c r="Q1322" s="553">
        <f>'Foglio deposito bis'!$F$68*IF(ABS(K1322)&lt;'Progetto del paramento slu'!$G$58,ABS(K1322)*'Progetto del paramento slu'!$G$54,'Progetto del paramento slu'!$G$53)*IF(K1322&lt;0,-1,1)</f>
        <v>0</v>
      </c>
      <c r="R1322" s="553">
        <f>'Foglio deposito bis'!$F$69*IF(ABS(L1322)&lt;'Progetto del paramento slu'!$G$58,ABS(L1322)*'Progetto del paramento slu'!$G$54,'Progetto del paramento slu'!$G$53)*IF(L1322&lt;0,-1,1)</f>
        <v>153664.85805602249</v>
      </c>
      <c r="S1322" s="553">
        <f>'Foglio deposito bis'!$F$70*IF(ABS(M1322)&lt;'Progetto del paramento slu'!$G$58,ABS(M1322)*'Progetto del paramento slu'!$G$54,'Progetto del paramento slu'!$G$53)*IF(M1322&lt;0,-1,1)</f>
        <v>0</v>
      </c>
      <c r="T1322" s="553">
        <f>'Foglio deposito bis'!$F$71*IF(ABS(N1322)&lt;'Progetto del paramento slu'!$G$58,ABS(N1322)*'Progetto del paramento slu'!$G$54,'Progetto del paramento slu'!$G$53)*IF(N1322&lt;0,-1,1)</f>
        <v>314705.62929873407</v>
      </c>
      <c r="U1322" s="553">
        <f>'Foglio deposito bis'!$F$72*IF(ABS(O1322)&lt;'Progetto del paramento slu'!$G$58,ABS(O1322)*'Progetto del paramento slu'!$G$54,'Progetto del paramento slu'!$G$53)*IF(O1322&lt;0,-1,1)</f>
        <v>491727.54577927204</v>
      </c>
      <c r="V1322" s="479">
        <f t="shared" si="100"/>
        <v>739786.47297323728</v>
      </c>
      <c r="W1322" s="559"/>
      <c r="X1322" s="559"/>
    </row>
    <row r="1323" spans="1:24" x14ac:dyDescent="0.25">
      <c r="A1323" s="553">
        <f t="shared" si="99"/>
        <v>736925.28388024005</v>
      </c>
      <c r="B1323" s="3">
        <f t="shared" si="101"/>
        <v>3.8999999999999941</v>
      </c>
      <c r="C1323" s="553">
        <f>'Foglio deposito bis'!$E$158/sezione!$B$247*B1323</f>
        <v>15.832469553450588</v>
      </c>
      <c r="D1323" s="611">
        <f>-'Progetto del paramento slu'!$G$47*'Progetto del paramento slu'!$G$41*IF(DATI!$G$218="dx",DATI!$E$61,DATI!$E$64*DATI!$E$63)*1000*C1323^2*sezione!$AD$5*(1-sezione!$AD$6)</f>
        <v>-2063491.4425087553</v>
      </c>
      <c r="E1323" s="553">
        <f>-'Foglio deposito bis'!$F$68*(C1323-sezione!$AL$32)*IF(ABS(K1323)&lt;'Progetto del paramento slu'!$G$58,ABS(K1323)*'Progetto del paramento slu'!$G$54,'Progetto del paramento slu'!$G$53)</f>
        <v>0</v>
      </c>
      <c r="F1323" s="553">
        <f>-'Foglio deposito bis'!$F$69*(C1323-sezione!$AM$32)*IF(ABS(L1323)&lt;'Progetto del paramento slu'!$G$58,ABS(L1323)*'Progetto del paramento slu'!$G$54,'Progetto del paramento slu'!$G$53)</f>
        <v>20616834.521796092</v>
      </c>
      <c r="G1323" s="553">
        <f>-'Foglio deposito bis'!$F$70*(C1323-sezione!$AN$32)*IF(ABS(M1323)&lt;'Progetto del paramento slu'!$G$58,ABS(M1323)*'Progetto del paramento slu'!$G$54,'Progetto del paramento slu'!$G$53)</f>
        <v>0</v>
      </c>
      <c r="H1323" s="553">
        <f>-'Foglio deposito bis'!$F$71*(C1323-sezione!$AO$32)*IF(ABS(N1323)&lt;'Progetto del paramento slu'!$G$58,ABS(N1323)*'Progetto del paramento slu'!$G$54,'Progetto del paramento slu'!$G$53)</f>
        <v>102017346.66739787</v>
      </c>
      <c r="I1323" s="479">
        <f>-'Foglio deposito bis'!$F$72*(C1323-sezione!$AP$32)*IF(ABS(O1323)&lt;'Progetto del paramento slu'!$G$58,ABS(O1323)*'Progetto del paramento slu'!$G$54,'Progetto del paramento slu'!$G$53)</f>
        <v>120066359.14319627</v>
      </c>
      <c r="J1323" s="479">
        <f t="shared" si="98"/>
        <v>240637048.88988149</v>
      </c>
      <c r="K1323" s="558">
        <f>'Progetto del paramento slu'!$G$60*(sezione!$AL$32-C1323)/C1323</f>
        <v>5.3425876662739503E-3</v>
      </c>
      <c r="L1323" s="558">
        <f>'Progetto del paramento slu'!$G$60*(sezione!$AM$32-C1323)/C1323</f>
        <v>2.9659703748527312E-2</v>
      </c>
      <c r="M1323" s="559">
        <f>'Progetto del paramento slu'!$G$60*(sezione!$AN$32-C1323)/C1323</f>
        <v>5.3976819830780683E-2</v>
      </c>
      <c r="N1323" s="559">
        <f>'Progetto del paramento slu'!$G$60*(sezione!$AO$32-C1323)/C1323</f>
        <v>7.1661995163328565E-2</v>
      </c>
      <c r="O1323" s="559">
        <f>'Progetto del paramento slu'!$G$60*(sezione!$AP$32-C1323)/C1323</f>
        <v>5.3977925154238937E-2</v>
      </c>
      <c r="P1323" s="553">
        <f>-'Progetto del paramento slu'!$G$47*'Progetto del paramento slu'!$G$41*IF(DATI!$G$218="dx",DATI!$E$61,DATI!$E$64*DATI!$E$63)*1000*C1323*sezione!$AD$5</f>
        <v>-223172.74925378861</v>
      </c>
      <c r="Q1323" s="553">
        <f>'Foglio deposito bis'!$F$68*IF(ABS(K1323)&lt;'Progetto del paramento slu'!$G$58,ABS(K1323)*'Progetto del paramento slu'!$G$54,'Progetto del paramento slu'!$G$53)*IF(K1323&lt;0,-1,1)</f>
        <v>0</v>
      </c>
      <c r="R1323" s="553">
        <f>'Foglio deposito bis'!$F$69*IF(ABS(L1323)&lt;'Progetto del paramento slu'!$G$58,ABS(L1323)*'Progetto del paramento slu'!$G$54,'Progetto del paramento slu'!$G$53)*IF(L1323&lt;0,-1,1)</f>
        <v>153664.85805602249</v>
      </c>
      <c r="S1323" s="553">
        <f>'Foglio deposito bis'!$F$70*IF(ABS(M1323)&lt;'Progetto del paramento slu'!$G$58,ABS(M1323)*'Progetto del paramento slu'!$G$54,'Progetto del paramento slu'!$G$53)*IF(M1323&lt;0,-1,1)</f>
        <v>0</v>
      </c>
      <c r="T1323" s="553">
        <f>'Foglio deposito bis'!$F$71*IF(ABS(N1323)&lt;'Progetto del paramento slu'!$G$58,ABS(N1323)*'Progetto del paramento slu'!$G$54,'Progetto del paramento slu'!$G$53)*IF(N1323&lt;0,-1,1)</f>
        <v>314705.62929873407</v>
      </c>
      <c r="U1323" s="553">
        <f>'Foglio deposito bis'!$F$72*IF(ABS(O1323)&lt;'Progetto del paramento slu'!$G$58,ABS(O1323)*'Progetto del paramento slu'!$G$54,'Progetto del paramento slu'!$G$53)*IF(O1323&lt;0,-1,1)</f>
        <v>491727.54577927204</v>
      </c>
      <c r="V1323" s="479">
        <f t="shared" si="100"/>
        <v>736925.28388024005</v>
      </c>
      <c r="W1323" s="559"/>
      <c r="X1323" s="559"/>
    </row>
    <row r="1324" spans="1:24" x14ac:dyDescent="0.25">
      <c r="A1324" s="553">
        <f t="shared" si="99"/>
        <v>734064.09478724271</v>
      </c>
      <c r="B1324" s="3">
        <f t="shared" si="101"/>
        <v>3.949999999999994</v>
      </c>
      <c r="C1324" s="553">
        <f>'Foglio deposito bis'!$E$158/sezione!$B$247*B1324</f>
        <v>16.035449932340981</v>
      </c>
      <c r="D1324" s="611">
        <f>-'Progetto del paramento slu'!$G$47*'Progetto del paramento slu'!$G$41*IF(DATI!$G$218="dx",DATI!$E$61,DATI!$E$64*DATI!$E$63)*1000*C1324^2*sezione!$AD$5*(1-sezione!$AD$6)</f>
        <v>-2116740.6463999245</v>
      </c>
      <c r="E1324" s="553">
        <f>-'Foglio deposito bis'!$F$68*(C1324-sezione!$AL$32)*IF(ABS(K1324)&lt;'Progetto del paramento slu'!$G$58,ABS(K1324)*'Progetto del paramento slu'!$G$54,'Progetto del paramento slu'!$G$53)</f>
        <v>0</v>
      </c>
      <c r="F1324" s="553">
        <f>-'Foglio deposito bis'!$F$69*(C1324-sezione!$AM$32)*IF(ABS(L1324)&lt;'Progetto del paramento slu'!$G$58,ABS(L1324)*'Progetto del paramento slu'!$G$54,'Progetto del paramento slu'!$G$53)</f>
        <v>20585643.570685741</v>
      </c>
      <c r="G1324" s="553">
        <f>-'Foglio deposito bis'!$F$70*(C1324-sezione!$AN$32)*IF(ABS(M1324)&lt;'Progetto del paramento slu'!$G$58,ABS(M1324)*'Progetto del paramento slu'!$G$54,'Progetto del paramento slu'!$G$53)</f>
        <v>0</v>
      </c>
      <c r="H1324" s="553">
        <f>-'Foglio deposito bis'!$F$71*(C1324-sezione!$AO$32)*IF(ABS(N1324)&lt;'Progetto del paramento slu'!$G$58,ABS(N1324)*'Progetto del paramento slu'!$G$54,'Progetto del paramento slu'!$G$53)</f>
        <v>101953467.59952389</v>
      </c>
      <c r="I1324" s="479">
        <f>-'Foglio deposito bis'!$F$72*(C1324-sezione!$AP$32)*IF(ABS(O1324)&lt;'Progetto del paramento slu'!$G$58,ABS(O1324)*'Progetto del paramento slu'!$G$54,'Progetto del paramento slu'!$G$53)</f>
        <v>119966548.09964313</v>
      </c>
      <c r="J1324" s="479">
        <f t="shared" si="98"/>
        <v>240388918.62345284</v>
      </c>
      <c r="K1324" s="558">
        <f>'Progetto del paramento slu'!$G$60*(sezione!$AL$32-C1324)/C1324</f>
        <v>5.2306561768274435E-3</v>
      </c>
      <c r="L1324" s="558">
        <f>'Progetto del paramento slu'!$G$60*(sezione!$AM$32-C1324)/C1324</f>
        <v>2.9239960663102915E-2</v>
      </c>
      <c r="M1324" s="559">
        <f>'Progetto del paramento slu'!$G$60*(sezione!$AN$32-C1324)/C1324</f>
        <v>5.3249265149378382E-2</v>
      </c>
      <c r="N1324" s="559">
        <f>'Progetto del paramento slu'!$G$60*(sezione!$AO$32-C1324)/C1324</f>
        <v>7.0710577503033278E-2</v>
      </c>
      <c r="O1324" s="559">
        <f>'Progetto del paramento slu'!$G$60*(sezione!$AP$32-C1324)/C1324</f>
        <v>5.3250356481400467E-2</v>
      </c>
      <c r="P1324" s="553">
        <f>-'Progetto del paramento slu'!$G$47*'Progetto del paramento slu'!$G$41*IF(DATI!$G$218="dx",DATI!$E$61,DATI!$E$64*DATI!$E$63)*1000*C1324*sezione!$AD$5</f>
        <v>-226033.9383467859</v>
      </c>
      <c r="Q1324" s="553">
        <f>'Foglio deposito bis'!$F$68*IF(ABS(K1324)&lt;'Progetto del paramento slu'!$G$58,ABS(K1324)*'Progetto del paramento slu'!$G$54,'Progetto del paramento slu'!$G$53)*IF(K1324&lt;0,-1,1)</f>
        <v>0</v>
      </c>
      <c r="R1324" s="553">
        <f>'Foglio deposito bis'!$F$69*IF(ABS(L1324)&lt;'Progetto del paramento slu'!$G$58,ABS(L1324)*'Progetto del paramento slu'!$G$54,'Progetto del paramento slu'!$G$53)*IF(L1324&lt;0,-1,1)</f>
        <v>153664.85805602249</v>
      </c>
      <c r="S1324" s="553">
        <f>'Foglio deposito bis'!$F$70*IF(ABS(M1324)&lt;'Progetto del paramento slu'!$G$58,ABS(M1324)*'Progetto del paramento slu'!$G$54,'Progetto del paramento slu'!$G$53)*IF(M1324&lt;0,-1,1)</f>
        <v>0</v>
      </c>
      <c r="T1324" s="553">
        <f>'Foglio deposito bis'!$F$71*IF(ABS(N1324)&lt;'Progetto del paramento slu'!$G$58,ABS(N1324)*'Progetto del paramento slu'!$G$54,'Progetto del paramento slu'!$G$53)*IF(N1324&lt;0,-1,1)</f>
        <v>314705.62929873407</v>
      </c>
      <c r="U1324" s="553">
        <f>'Foglio deposito bis'!$F$72*IF(ABS(O1324)&lt;'Progetto del paramento slu'!$G$58,ABS(O1324)*'Progetto del paramento slu'!$G$54,'Progetto del paramento slu'!$G$53)*IF(O1324&lt;0,-1,1)</f>
        <v>491727.54577927204</v>
      </c>
      <c r="V1324" s="479">
        <f t="shared" si="100"/>
        <v>734064.09478724271</v>
      </c>
      <c r="W1324" s="559"/>
      <c r="X1324" s="559"/>
    </row>
    <row r="1325" spans="1:24" x14ac:dyDescent="0.25">
      <c r="A1325" s="553">
        <f t="shared" si="99"/>
        <v>731202.90569424548</v>
      </c>
      <c r="B1325" s="3">
        <f t="shared" si="101"/>
        <v>3.9999999999999938</v>
      </c>
      <c r="C1325" s="553">
        <f>'Foglio deposito bis'!$E$158/sezione!$B$247*B1325</f>
        <v>16.238430311231372</v>
      </c>
      <c r="D1325" s="611">
        <f>-'Progetto del paramento slu'!$G$47*'Progetto del paramento slu'!$G$41*IF(DATI!$G$218="dx",DATI!$E$61,DATI!$E$64*DATI!$E$63)*1000*C1325^2*sezione!$AD$5*(1-sezione!$AD$6)</f>
        <v>-2170668.1840986246</v>
      </c>
      <c r="E1325" s="553">
        <f>-'Foglio deposito bis'!$F$68*(C1325-sezione!$AL$32)*IF(ABS(K1325)&lt;'Progetto del paramento slu'!$G$58,ABS(K1325)*'Progetto del paramento slu'!$G$54,'Progetto del paramento slu'!$G$53)</f>
        <v>0</v>
      </c>
      <c r="F1325" s="553">
        <f>-'Foglio deposito bis'!$F$69*(C1325-sezione!$AM$32)*IF(ABS(L1325)&lt;'Progetto del paramento slu'!$G$58,ABS(L1325)*'Progetto del paramento slu'!$G$54,'Progetto del paramento slu'!$G$53)</f>
        <v>20554452.619575392</v>
      </c>
      <c r="G1325" s="553">
        <f>-'Foglio deposito bis'!$F$70*(C1325-sezione!$AN$32)*IF(ABS(M1325)&lt;'Progetto del paramento slu'!$G$58,ABS(M1325)*'Progetto del paramento slu'!$G$54,'Progetto del paramento slu'!$G$53)</f>
        <v>0</v>
      </c>
      <c r="H1325" s="553">
        <f>-'Foglio deposito bis'!$F$71*(C1325-sezione!$AO$32)*IF(ABS(N1325)&lt;'Progetto del paramento slu'!$G$58,ABS(N1325)*'Progetto del paramento slu'!$G$54,'Progetto del paramento slu'!$G$53)</f>
        <v>101889588.53164989</v>
      </c>
      <c r="I1325" s="479">
        <f>-'Foglio deposito bis'!$F$72*(C1325-sezione!$AP$32)*IF(ABS(O1325)&lt;'Progetto del paramento slu'!$G$58,ABS(O1325)*'Progetto del paramento slu'!$G$54,'Progetto del paramento slu'!$G$53)</f>
        <v>119866737.05609001</v>
      </c>
      <c r="J1325" s="479">
        <f t="shared" si="98"/>
        <v>240140110.02321666</v>
      </c>
      <c r="K1325" s="558">
        <f>'Progetto del paramento slu'!$G$60*(sezione!$AL$32-C1325)/C1325</f>
        <v>5.1215229746171013E-3</v>
      </c>
      <c r="L1325" s="558">
        <f>'Progetto del paramento slu'!$G$60*(sezione!$AM$32-C1325)/C1325</f>
        <v>2.8830711154814129E-2</v>
      </c>
      <c r="M1325" s="559">
        <f>'Progetto del paramento slu'!$G$60*(sezione!$AN$32-C1325)/C1325</f>
        <v>5.2539899335011159E-2</v>
      </c>
      <c r="N1325" s="559">
        <f>'Progetto del paramento slu'!$G$60*(sezione!$AO$32-C1325)/C1325</f>
        <v>6.9782945284245362E-2</v>
      </c>
      <c r="O1325" s="559">
        <f>'Progetto del paramento slu'!$G$60*(sezione!$AP$32-C1325)/C1325</f>
        <v>5.2540977025382955E-2</v>
      </c>
      <c r="P1325" s="553">
        <f>-'Progetto del paramento slu'!$G$47*'Progetto del paramento slu'!$G$41*IF(DATI!$G$218="dx",DATI!$E$61,DATI!$E$64*DATI!$E$63)*1000*C1325*sezione!$AD$5</f>
        <v>-228895.12743978316</v>
      </c>
      <c r="Q1325" s="553">
        <f>'Foglio deposito bis'!$F$68*IF(ABS(K1325)&lt;'Progetto del paramento slu'!$G$58,ABS(K1325)*'Progetto del paramento slu'!$G$54,'Progetto del paramento slu'!$G$53)*IF(K1325&lt;0,-1,1)</f>
        <v>0</v>
      </c>
      <c r="R1325" s="553">
        <f>'Foglio deposito bis'!$F$69*IF(ABS(L1325)&lt;'Progetto del paramento slu'!$G$58,ABS(L1325)*'Progetto del paramento slu'!$G$54,'Progetto del paramento slu'!$G$53)*IF(L1325&lt;0,-1,1)</f>
        <v>153664.85805602249</v>
      </c>
      <c r="S1325" s="553">
        <f>'Foglio deposito bis'!$F$70*IF(ABS(M1325)&lt;'Progetto del paramento slu'!$G$58,ABS(M1325)*'Progetto del paramento slu'!$G$54,'Progetto del paramento slu'!$G$53)*IF(M1325&lt;0,-1,1)</f>
        <v>0</v>
      </c>
      <c r="T1325" s="553">
        <f>'Foglio deposito bis'!$F$71*IF(ABS(N1325)&lt;'Progetto del paramento slu'!$G$58,ABS(N1325)*'Progetto del paramento slu'!$G$54,'Progetto del paramento slu'!$G$53)*IF(N1325&lt;0,-1,1)</f>
        <v>314705.62929873407</v>
      </c>
      <c r="U1325" s="553">
        <f>'Foglio deposito bis'!$F$72*IF(ABS(O1325)&lt;'Progetto del paramento slu'!$G$58,ABS(O1325)*'Progetto del paramento slu'!$G$54,'Progetto del paramento slu'!$G$53)*IF(O1325&lt;0,-1,1)</f>
        <v>491727.54577927204</v>
      </c>
      <c r="V1325" s="479">
        <f t="shared" si="100"/>
        <v>731202.90569424548</v>
      </c>
      <c r="W1325" s="559"/>
      <c r="X1325" s="559"/>
    </row>
    <row r="1326" spans="1:24" x14ac:dyDescent="0.25">
      <c r="A1326" s="553">
        <f t="shared" si="99"/>
        <v>728341.71660124813</v>
      </c>
      <c r="B1326" s="3">
        <f t="shared" si="101"/>
        <v>4.0499999999999936</v>
      </c>
      <c r="C1326" s="553">
        <f>'Foglio deposito bis'!$E$158/sezione!$B$247*B1326</f>
        <v>16.441410690121764</v>
      </c>
      <c r="D1326" s="611">
        <f>-'Progetto del paramento slu'!$G$47*'Progetto del paramento slu'!$G$41*IF(DATI!$G$218="dx",DATI!$E$61,DATI!$E$64*DATI!$E$63)*1000*C1326^2*sezione!$AD$5*(1-sezione!$AD$6)</f>
        <v>-2225274.055604856</v>
      </c>
      <c r="E1326" s="553">
        <f>-'Foglio deposito bis'!$F$68*(C1326-sezione!$AL$32)*IF(ABS(K1326)&lt;'Progetto del paramento slu'!$G$58,ABS(K1326)*'Progetto del paramento slu'!$G$54,'Progetto del paramento slu'!$G$53)</f>
        <v>0</v>
      </c>
      <c r="F1326" s="553">
        <f>-'Foglio deposito bis'!$F$69*(C1326-sezione!$AM$32)*IF(ABS(L1326)&lt;'Progetto del paramento slu'!$G$58,ABS(L1326)*'Progetto del paramento slu'!$G$54,'Progetto del paramento slu'!$G$53)</f>
        <v>20523261.668465044</v>
      </c>
      <c r="G1326" s="553">
        <f>-'Foglio deposito bis'!$F$70*(C1326-sezione!$AN$32)*IF(ABS(M1326)&lt;'Progetto del paramento slu'!$G$58,ABS(M1326)*'Progetto del paramento slu'!$G$54,'Progetto del paramento slu'!$G$53)</f>
        <v>0</v>
      </c>
      <c r="H1326" s="553">
        <f>-'Foglio deposito bis'!$F$71*(C1326-sezione!$AO$32)*IF(ABS(N1326)&lt;'Progetto del paramento slu'!$G$58,ABS(N1326)*'Progetto del paramento slu'!$G$54,'Progetto del paramento slu'!$G$53)</f>
        <v>101825709.46377589</v>
      </c>
      <c r="I1326" s="479">
        <f>-'Foglio deposito bis'!$F$72*(C1326-sezione!$AP$32)*IF(ABS(O1326)&lt;'Progetto del paramento slu'!$G$58,ABS(O1326)*'Progetto del paramento slu'!$G$54,'Progetto del paramento slu'!$G$53)</f>
        <v>119766926.01253691</v>
      </c>
      <c r="J1326" s="479">
        <f t="shared" si="98"/>
        <v>239890623.08917299</v>
      </c>
      <c r="K1326" s="558">
        <f>'Progetto del paramento slu'!$G$60*(sezione!$AL$32-C1326)/C1326</f>
        <v>5.0150844193749154E-3</v>
      </c>
      <c r="L1326" s="558">
        <f>'Progetto del paramento slu'!$G$60*(sezione!$AM$32-C1326)/C1326</f>
        <v>2.8431566572655935E-2</v>
      </c>
      <c r="M1326" s="559">
        <f>'Progetto del paramento slu'!$G$60*(sezione!$AN$32-C1326)/C1326</f>
        <v>5.184804872593695E-2</v>
      </c>
      <c r="N1326" s="559">
        <f>'Progetto del paramento slu'!$G$60*(sezione!$AO$32-C1326)/C1326</f>
        <v>6.8878217564686789E-2</v>
      </c>
      <c r="O1326" s="559">
        <f>'Progetto del paramento slu'!$G$60*(sezione!$AP$32-C1326)/C1326</f>
        <v>5.1849113111489348E-2</v>
      </c>
      <c r="P1326" s="553">
        <f>-'Progetto del paramento slu'!$G$47*'Progetto del paramento slu'!$G$41*IF(DATI!$G$218="dx",DATI!$E$61,DATI!$E$64*DATI!$E$63)*1000*C1326*sezione!$AD$5</f>
        <v>-231756.31653278045</v>
      </c>
      <c r="Q1326" s="553">
        <f>'Foglio deposito bis'!$F$68*IF(ABS(K1326)&lt;'Progetto del paramento slu'!$G$58,ABS(K1326)*'Progetto del paramento slu'!$G$54,'Progetto del paramento slu'!$G$53)*IF(K1326&lt;0,-1,1)</f>
        <v>0</v>
      </c>
      <c r="R1326" s="553">
        <f>'Foglio deposito bis'!$F$69*IF(ABS(L1326)&lt;'Progetto del paramento slu'!$G$58,ABS(L1326)*'Progetto del paramento slu'!$G$54,'Progetto del paramento slu'!$G$53)*IF(L1326&lt;0,-1,1)</f>
        <v>153664.85805602249</v>
      </c>
      <c r="S1326" s="553">
        <f>'Foglio deposito bis'!$F$70*IF(ABS(M1326)&lt;'Progetto del paramento slu'!$G$58,ABS(M1326)*'Progetto del paramento slu'!$G$54,'Progetto del paramento slu'!$G$53)*IF(M1326&lt;0,-1,1)</f>
        <v>0</v>
      </c>
      <c r="T1326" s="553">
        <f>'Foglio deposito bis'!$F$71*IF(ABS(N1326)&lt;'Progetto del paramento slu'!$G$58,ABS(N1326)*'Progetto del paramento slu'!$G$54,'Progetto del paramento slu'!$G$53)*IF(N1326&lt;0,-1,1)</f>
        <v>314705.62929873407</v>
      </c>
      <c r="U1326" s="553">
        <f>'Foglio deposito bis'!$F$72*IF(ABS(O1326)&lt;'Progetto del paramento slu'!$G$58,ABS(O1326)*'Progetto del paramento slu'!$G$54,'Progetto del paramento slu'!$G$53)*IF(O1326&lt;0,-1,1)</f>
        <v>491727.54577927204</v>
      </c>
      <c r="V1326" s="479">
        <f t="shared" si="100"/>
        <v>728341.71660124813</v>
      </c>
      <c r="W1326" s="559"/>
      <c r="X1326" s="559"/>
    </row>
    <row r="1327" spans="1:24" x14ac:dyDescent="0.25">
      <c r="A1327" s="553">
        <f t="shared" si="99"/>
        <v>725480.5275082509</v>
      </c>
      <c r="B1327" s="3">
        <f t="shared" si="101"/>
        <v>4.0999999999999934</v>
      </c>
      <c r="C1327" s="553">
        <f>'Foglio deposito bis'!$E$158/sezione!$B$247*B1327</f>
        <v>16.644391069012155</v>
      </c>
      <c r="D1327" s="611">
        <f>-'Progetto del paramento slu'!$G$47*'Progetto del paramento slu'!$G$41*IF(DATI!$G$218="dx",DATI!$E$61,DATI!$E$64*DATI!$E$63)*1000*C1327^2*sezione!$AD$5*(1-sezione!$AD$6)</f>
        <v>-2280558.2609186172</v>
      </c>
      <c r="E1327" s="553">
        <f>-'Foglio deposito bis'!$F$68*(C1327-sezione!$AL$32)*IF(ABS(K1327)&lt;'Progetto del paramento slu'!$G$58,ABS(K1327)*'Progetto del paramento slu'!$G$54,'Progetto del paramento slu'!$G$53)</f>
        <v>0</v>
      </c>
      <c r="F1327" s="553">
        <f>-'Foglio deposito bis'!$F$69*(C1327-sezione!$AM$32)*IF(ABS(L1327)&lt;'Progetto del paramento slu'!$G$58,ABS(L1327)*'Progetto del paramento slu'!$G$54,'Progetto del paramento slu'!$G$53)</f>
        <v>20492070.717354693</v>
      </c>
      <c r="G1327" s="553">
        <f>-'Foglio deposito bis'!$F$70*(C1327-sezione!$AN$32)*IF(ABS(M1327)&lt;'Progetto del paramento slu'!$G$58,ABS(M1327)*'Progetto del paramento slu'!$G$54,'Progetto del paramento slu'!$G$53)</f>
        <v>0</v>
      </c>
      <c r="H1327" s="553">
        <f>-'Foglio deposito bis'!$F$71*(C1327-sezione!$AO$32)*IF(ABS(N1327)&lt;'Progetto del paramento slu'!$G$58,ABS(N1327)*'Progetto del paramento slu'!$G$54,'Progetto del paramento slu'!$G$53)</f>
        <v>101761830.39590189</v>
      </c>
      <c r="I1327" s="479">
        <f>-'Foglio deposito bis'!$F$72*(C1327-sezione!$AP$32)*IF(ABS(O1327)&lt;'Progetto del paramento slu'!$G$58,ABS(O1327)*'Progetto del paramento slu'!$G$54,'Progetto del paramento slu'!$G$53)</f>
        <v>119667114.9689838</v>
      </c>
      <c r="J1327" s="479">
        <f t="shared" si="98"/>
        <v>239640457.82132176</v>
      </c>
      <c r="K1327" s="558">
        <f>'Progetto del paramento slu'!$G$60*(sezione!$AL$32-C1327)/C1327</f>
        <v>4.9112419264557092E-3</v>
      </c>
      <c r="L1327" s="558">
        <f>'Progetto del paramento slu'!$G$60*(sezione!$AM$32-C1327)/C1327</f>
        <v>2.804215722420891E-2</v>
      </c>
      <c r="M1327" s="559">
        <f>'Progetto del paramento slu'!$G$60*(sezione!$AN$32-C1327)/C1327</f>
        <v>5.1173072521962112E-2</v>
      </c>
      <c r="N1327" s="559">
        <f>'Progetto del paramento slu'!$G$60*(sezione!$AO$32-C1327)/C1327</f>
        <v>6.799555637487352E-2</v>
      </c>
      <c r="O1327" s="559">
        <f>'Progetto del paramento slu'!$G$60*(sezione!$AP$32-C1327)/C1327</f>
        <v>5.1174123927202893E-2</v>
      </c>
      <c r="P1327" s="553">
        <f>-'Progetto del paramento slu'!$G$47*'Progetto del paramento slu'!$G$41*IF(DATI!$G$218="dx",DATI!$E$61,DATI!$E$64*DATI!$E$63)*1000*C1327*sezione!$AD$5</f>
        <v>-234617.50562577773</v>
      </c>
      <c r="Q1327" s="553">
        <f>'Foglio deposito bis'!$F$68*IF(ABS(K1327)&lt;'Progetto del paramento slu'!$G$58,ABS(K1327)*'Progetto del paramento slu'!$G$54,'Progetto del paramento slu'!$G$53)*IF(K1327&lt;0,-1,1)</f>
        <v>0</v>
      </c>
      <c r="R1327" s="553">
        <f>'Foglio deposito bis'!$F$69*IF(ABS(L1327)&lt;'Progetto del paramento slu'!$G$58,ABS(L1327)*'Progetto del paramento slu'!$G$54,'Progetto del paramento slu'!$G$53)*IF(L1327&lt;0,-1,1)</f>
        <v>153664.85805602249</v>
      </c>
      <c r="S1327" s="553">
        <f>'Foglio deposito bis'!$F$70*IF(ABS(M1327)&lt;'Progetto del paramento slu'!$G$58,ABS(M1327)*'Progetto del paramento slu'!$G$54,'Progetto del paramento slu'!$G$53)*IF(M1327&lt;0,-1,1)</f>
        <v>0</v>
      </c>
      <c r="T1327" s="553">
        <f>'Foglio deposito bis'!$F$71*IF(ABS(N1327)&lt;'Progetto del paramento slu'!$G$58,ABS(N1327)*'Progetto del paramento slu'!$G$54,'Progetto del paramento slu'!$G$53)*IF(N1327&lt;0,-1,1)</f>
        <v>314705.62929873407</v>
      </c>
      <c r="U1327" s="553">
        <f>'Foglio deposito bis'!$F$72*IF(ABS(O1327)&lt;'Progetto del paramento slu'!$G$58,ABS(O1327)*'Progetto del paramento slu'!$G$54,'Progetto del paramento slu'!$G$53)*IF(O1327&lt;0,-1,1)</f>
        <v>491727.54577927204</v>
      </c>
      <c r="V1327" s="479">
        <f t="shared" si="100"/>
        <v>725480.5275082509</v>
      </c>
      <c r="W1327" s="559"/>
      <c r="X1327" s="559"/>
    </row>
    <row r="1328" spans="1:24" x14ac:dyDescent="0.25">
      <c r="A1328" s="553">
        <f t="shared" si="99"/>
        <v>722619.33841525367</v>
      </c>
      <c r="B1328" s="3">
        <f t="shared" si="101"/>
        <v>4.1499999999999932</v>
      </c>
      <c r="C1328" s="553">
        <f>'Foglio deposito bis'!$E$158/sezione!$B$247*B1328</f>
        <v>16.847371447902546</v>
      </c>
      <c r="D1328" s="611">
        <f>-'Progetto del paramento slu'!$G$47*'Progetto del paramento slu'!$G$41*IF(DATI!$G$218="dx",DATI!$E$61,DATI!$E$64*DATI!$E$63)*1000*C1328^2*sezione!$AD$5*(1-sezione!$AD$6)</f>
        <v>-2336520.8000399093</v>
      </c>
      <c r="E1328" s="553">
        <f>-'Foglio deposito bis'!$F$68*(C1328-sezione!$AL$32)*IF(ABS(K1328)&lt;'Progetto del paramento slu'!$G$58,ABS(K1328)*'Progetto del paramento slu'!$G$54,'Progetto del paramento slu'!$G$53)</f>
        <v>0</v>
      </c>
      <c r="F1328" s="553">
        <f>-'Foglio deposito bis'!$F$69*(C1328-sezione!$AM$32)*IF(ABS(L1328)&lt;'Progetto del paramento slu'!$G$58,ABS(L1328)*'Progetto del paramento slu'!$G$54,'Progetto del paramento slu'!$G$53)</f>
        <v>20460879.766244341</v>
      </c>
      <c r="G1328" s="553">
        <f>-'Foglio deposito bis'!$F$70*(C1328-sezione!$AN$32)*IF(ABS(M1328)&lt;'Progetto del paramento slu'!$G$58,ABS(M1328)*'Progetto del paramento slu'!$G$54,'Progetto del paramento slu'!$G$53)</f>
        <v>0</v>
      </c>
      <c r="H1328" s="553">
        <f>-'Foglio deposito bis'!$F$71*(C1328-sezione!$AO$32)*IF(ABS(N1328)&lt;'Progetto del paramento slu'!$G$58,ABS(N1328)*'Progetto del paramento slu'!$G$54,'Progetto del paramento slu'!$G$53)</f>
        <v>101697951.32802789</v>
      </c>
      <c r="I1328" s="479">
        <f>-'Foglio deposito bis'!$F$72*(C1328-sezione!$AP$32)*IF(ABS(O1328)&lt;'Progetto del paramento slu'!$G$58,ABS(O1328)*'Progetto del paramento slu'!$G$54,'Progetto del paramento slu'!$G$53)</f>
        <v>119567303.92543066</v>
      </c>
      <c r="J1328" s="479">
        <f t="shared" si="98"/>
        <v>239389614.21966296</v>
      </c>
      <c r="K1328" s="558">
        <f>'Progetto del paramento slu'!$G$60*(sezione!$AL$32-C1328)/C1328</f>
        <v>4.8099016622815448E-3</v>
      </c>
      <c r="L1328" s="558">
        <f>'Progetto del paramento slu'!$G$60*(sezione!$AM$32-C1328)/C1328</f>
        <v>2.7662131233555792E-2</v>
      </c>
      <c r="M1328" s="559">
        <f>'Progetto del paramento slu'!$G$60*(sezione!$AN$32-C1328)/C1328</f>
        <v>5.0514360804830037E-2</v>
      </c>
      <c r="N1328" s="559">
        <f>'Progetto del paramento slu'!$G$60*(sezione!$AO$32-C1328)/C1328</f>
        <v>6.7134164129393117E-2</v>
      </c>
      <c r="O1328" s="559">
        <f>'Progetto del paramento slu'!$G$60*(sezione!$AP$32-C1328)/C1328</f>
        <v>5.0515399542537802E-2</v>
      </c>
      <c r="P1328" s="553">
        <f>-'Progetto del paramento slu'!$G$47*'Progetto del paramento slu'!$G$41*IF(DATI!$G$218="dx",DATI!$E$61,DATI!$E$64*DATI!$E$63)*1000*C1328*sezione!$AD$5</f>
        <v>-237478.69471877499</v>
      </c>
      <c r="Q1328" s="553">
        <f>'Foglio deposito bis'!$F$68*IF(ABS(K1328)&lt;'Progetto del paramento slu'!$G$58,ABS(K1328)*'Progetto del paramento slu'!$G$54,'Progetto del paramento slu'!$G$53)*IF(K1328&lt;0,-1,1)</f>
        <v>0</v>
      </c>
      <c r="R1328" s="553">
        <f>'Foglio deposito bis'!$F$69*IF(ABS(L1328)&lt;'Progetto del paramento slu'!$G$58,ABS(L1328)*'Progetto del paramento slu'!$G$54,'Progetto del paramento slu'!$G$53)*IF(L1328&lt;0,-1,1)</f>
        <v>153664.85805602249</v>
      </c>
      <c r="S1328" s="553">
        <f>'Foglio deposito bis'!$F$70*IF(ABS(M1328)&lt;'Progetto del paramento slu'!$G$58,ABS(M1328)*'Progetto del paramento slu'!$G$54,'Progetto del paramento slu'!$G$53)*IF(M1328&lt;0,-1,1)</f>
        <v>0</v>
      </c>
      <c r="T1328" s="553">
        <f>'Foglio deposito bis'!$F$71*IF(ABS(N1328)&lt;'Progetto del paramento slu'!$G$58,ABS(N1328)*'Progetto del paramento slu'!$G$54,'Progetto del paramento slu'!$G$53)*IF(N1328&lt;0,-1,1)</f>
        <v>314705.62929873407</v>
      </c>
      <c r="U1328" s="553">
        <f>'Foglio deposito bis'!$F$72*IF(ABS(O1328)&lt;'Progetto del paramento slu'!$G$58,ABS(O1328)*'Progetto del paramento slu'!$G$54,'Progetto del paramento slu'!$G$53)*IF(O1328&lt;0,-1,1)</f>
        <v>491727.54577927204</v>
      </c>
      <c r="V1328" s="479">
        <f t="shared" si="100"/>
        <v>722619.33841525367</v>
      </c>
      <c r="W1328" s="559"/>
      <c r="X1328" s="559"/>
    </row>
    <row r="1329" spans="1:24" x14ac:dyDescent="0.25">
      <c r="A1329" s="553">
        <f t="shared" si="99"/>
        <v>719758.14932225633</v>
      </c>
      <c r="B1329" s="3">
        <f t="shared" si="101"/>
        <v>4.1999999999999931</v>
      </c>
      <c r="C1329" s="553">
        <f>'Foglio deposito bis'!$E$158/sezione!$B$247*B1329</f>
        <v>17.050351826792937</v>
      </c>
      <c r="D1329" s="611">
        <f>-'Progetto del paramento slu'!$G$47*'Progetto del paramento slu'!$G$41*IF(DATI!$G$218="dx",DATI!$E$61,DATI!$E$64*DATI!$E$63)*1000*C1329^2*sezione!$AD$5*(1-sezione!$AD$6)</f>
        <v>-2393161.6729687322</v>
      </c>
      <c r="E1329" s="553">
        <f>-'Foglio deposito bis'!$F$68*(C1329-sezione!$AL$32)*IF(ABS(K1329)&lt;'Progetto del paramento slu'!$G$58,ABS(K1329)*'Progetto del paramento slu'!$G$54,'Progetto del paramento slu'!$G$53)</f>
        <v>0</v>
      </c>
      <c r="F1329" s="553">
        <f>-'Foglio deposito bis'!$F$69*(C1329-sezione!$AM$32)*IF(ABS(L1329)&lt;'Progetto del paramento slu'!$G$58,ABS(L1329)*'Progetto del paramento slu'!$G$54,'Progetto del paramento slu'!$G$53)</f>
        <v>20429688.815133996</v>
      </c>
      <c r="G1329" s="553">
        <f>-'Foglio deposito bis'!$F$70*(C1329-sezione!$AN$32)*IF(ABS(M1329)&lt;'Progetto del paramento slu'!$G$58,ABS(M1329)*'Progetto del paramento slu'!$G$54,'Progetto del paramento slu'!$G$53)</f>
        <v>0</v>
      </c>
      <c r="H1329" s="553">
        <f>-'Foglio deposito bis'!$F$71*(C1329-sezione!$AO$32)*IF(ABS(N1329)&lt;'Progetto del paramento slu'!$G$58,ABS(N1329)*'Progetto del paramento slu'!$G$54,'Progetto del paramento slu'!$G$53)</f>
        <v>101634072.26015389</v>
      </c>
      <c r="I1329" s="479">
        <f>-'Foglio deposito bis'!$F$72*(C1329-sezione!$AP$32)*IF(ABS(O1329)&lt;'Progetto del paramento slu'!$G$58,ABS(O1329)*'Progetto del paramento slu'!$G$54,'Progetto del paramento slu'!$G$53)</f>
        <v>119467492.88187756</v>
      </c>
      <c r="J1329" s="479">
        <f t="shared" si="98"/>
        <v>239138092.28419673</v>
      </c>
      <c r="K1329" s="558">
        <f>'Progetto del paramento slu'!$G$60*(sezione!$AL$32-C1329)/C1329</f>
        <v>4.7109742615400983E-3</v>
      </c>
      <c r="L1329" s="558">
        <f>'Progetto del paramento slu'!$G$60*(sezione!$AM$32-C1329)/C1329</f>
        <v>2.7291153480775369E-2</v>
      </c>
      <c r="M1329" s="559">
        <f>'Progetto del paramento slu'!$G$60*(sezione!$AN$32-C1329)/C1329</f>
        <v>4.9871332700010637E-2</v>
      </c>
      <c r="N1329" s="559">
        <f>'Progetto del paramento slu'!$G$60*(sezione!$AO$32-C1329)/C1329</f>
        <v>6.6293281223090833E-2</v>
      </c>
      <c r="O1329" s="559">
        <f>'Progetto del paramento slu'!$G$60*(sezione!$AP$32-C1329)/C1329</f>
        <v>4.9872359071793312E-2</v>
      </c>
      <c r="P1329" s="553">
        <f>-'Progetto del paramento slu'!$G$47*'Progetto del paramento slu'!$G$41*IF(DATI!$G$218="dx",DATI!$E$61,DATI!$E$64*DATI!$E$63)*1000*C1329*sezione!$AD$5</f>
        <v>-240339.88381177228</v>
      </c>
      <c r="Q1329" s="553">
        <f>'Foglio deposito bis'!$F$68*IF(ABS(K1329)&lt;'Progetto del paramento slu'!$G$58,ABS(K1329)*'Progetto del paramento slu'!$G$54,'Progetto del paramento slu'!$G$53)*IF(K1329&lt;0,-1,1)</f>
        <v>0</v>
      </c>
      <c r="R1329" s="553">
        <f>'Foglio deposito bis'!$F$69*IF(ABS(L1329)&lt;'Progetto del paramento slu'!$G$58,ABS(L1329)*'Progetto del paramento slu'!$G$54,'Progetto del paramento slu'!$G$53)*IF(L1329&lt;0,-1,1)</f>
        <v>153664.85805602249</v>
      </c>
      <c r="S1329" s="553">
        <f>'Foglio deposito bis'!$F$70*IF(ABS(M1329)&lt;'Progetto del paramento slu'!$G$58,ABS(M1329)*'Progetto del paramento slu'!$G$54,'Progetto del paramento slu'!$G$53)*IF(M1329&lt;0,-1,1)</f>
        <v>0</v>
      </c>
      <c r="T1329" s="553">
        <f>'Foglio deposito bis'!$F$71*IF(ABS(N1329)&lt;'Progetto del paramento slu'!$G$58,ABS(N1329)*'Progetto del paramento slu'!$G$54,'Progetto del paramento slu'!$G$53)*IF(N1329&lt;0,-1,1)</f>
        <v>314705.62929873407</v>
      </c>
      <c r="U1329" s="553">
        <f>'Foglio deposito bis'!$F$72*IF(ABS(O1329)&lt;'Progetto del paramento slu'!$G$58,ABS(O1329)*'Progetto del paramento slu'!$G$54,'Progetto del paramento slu'!$G$53)*IF(O1329&lt;0,-1,1)</f>
        <v>491727.54577927204</v>
      </c>
      <c r="V1329" s="479">
        <f t="shared" si="100"/>
        <v>719758.14932225633</v>
      </c>
      <c r="W1329" s="559"/>
      <c r="X1329" s="559"/>
    </row>
    <row r="1330" spans="1:24" x14ac:dyDescent="0.25">
      <c r="A1330" s="553">
        <f t="shared" si="99"/>
        <v>716896.96022925898</v>
      </c>
      <c r="B1330" s="3">
        <f t="shared" si="101"/>
        <v>4.2499999999999929</v>
      </c>
      <c r="C1330" s="553">
        <f>'Foglio deposito bis'!$E$158/sezione!$B$247*B1330</f>
        <v>17.253332205683332</v>
      </c>
      <c r="D1330" s="611">
        <f>-'Progetto del paramento slu'!$G$47*'Progetto del paramento slu'!$G$41*IF(DATI!$G$218="dx",DATI!$E$61,DATI!$E$64*DATI!$E$63)*1000*C1330^2*sezione!$AD$5*(1-sezione!$AD$6)</f>
        <v>-2450480.8797050877</v>
      </c>
      <c r="E1330" s="553">
        <f>-'Foglio deposito bis'!$F$68*(C1330-sezione!$AL$32)*IF(ABS(K1330)&lt;'Progetto del paramento slu'!$G$58,ABS(K1330)*'Progetto del paramento slu'!$G$54,'Progetto del paramento slu'!$G$53)</f>
        <v>0</v>
      </c>
      <c r="F1330" s="553">
        <f>-'Foglio deposito bis'!$F$69*(C1330-sezione!$AM$32)*IF(ABS(L1330)&lt;'Progetto del paramento slu'!$G$58,ABS(L1330)*'Progetto del paramento slu'!$G$54,'Progetto del paramento slu'!$G$53)</f>
        <v>20398497.864023641</v>
      </c>
      <c r="G1330" s="553">
        <f>-'Foglio deposito bis'!$F$70*(C1330-sezione!$AN$32)*IF(ABS(M1330)&lt;'Progetto del paramento slu'!$G$58,ABS(M1330)*'Progetto del paramento slu'!$G$54,'Progetto del paramento slu'!$G$53)</f>
        <v>0</v>
      </c>
      <c r="H1330" s="553">
        <f>-'Foglio deposito bis'!$F$71*(C1330-sezione!$AO$32)*IF(ABS(N1330)&lt;'Progetto del paramento slu'!$G$58,ABS(N1330)*'Progetto del paramento slu'!$G$54,'Progetto del paramento slu'!$G$53)</f>
        <v>101570193.19227991</v>
      </c>
      <c r="I1330" s="479">
        <f>-'Foglio deposito bis'!$F$72*(C1330-sezione!$AP$32)*IF(ABS(O1330)&lt;'Progetto del paramento slu'!$G$58,ABS(O1330)*'Progetto del paramento slu'!$G$54,'Progetto del paramento slu'!$G$53)</f>
        <v>119367681.83832443</v>
      </c>
      <c r="J1330" s="479">
        <f t="shared" si="98"/>
        <v>238885892.01492289</v>
      </c>
      <c r="K1330" s="558">
        <f>'Progetto del paramento slu'!$G$60*(sezione!$AL$32-C1330)/C1330</f>
        <v>4.6143745643455079E-3</v>
      </c>
      <c r="L1330" s="558">
        <f>'Progetto del paramento slu'!$G$60*(sezione!$AM$32-C1330)/C1330</f>
        <v>2.6928904616295653E-2</v>
      </c>
      <c r="M1330" s="559">
        <f>'Progetto del paramento slu'!$G$60*(sezione!$AN$32-C1330)/C1330</f>
        <v>4.9243434668245802E-2</v>
      </c>
      <c r="N1330" s="559">
        <f>'Progetto del paramento slu'!$G$60*(sezione!$AO$32-C1330)/C1330</f>
        <v>6.5472183796936825E-2</v>
      </c>
      <c r="O1330" s="559">
        <f>'Progetto del paramento slu'!$G$60*(sezione!$AP$32-C1330)/C1330</f>
        <v>4.9244448965066315E-2</v>
      </c>
      <c r="P1330" s="553">
        <f>-'Progetto del paramento slu'!$G$47*'Progetto del paramento slu'!$G$41*IF(DATI!$G$218="dx",DATI!$E$61,DATI!$E$64*DATI!$E$63)*1000*C1330*sezione!$AD$5</f>
        <v>-243201.07290476965</v>
      </c>
      <c r="Q1330" s="553">
        <f>'Foglio deposito bis'!$F$68*IF(ABS(K1330)&lt;'Progetto del paramento slu'!$G$58,ABS(K1330)*'Progetto del paramento slu'!$G$54,'Progetto del paramento slu'!$G$53)*IF(K1330&lt;0,-1,1)</f>
        <v>0</v>
      </c>
      <c r="R1330" s="553">
        <f>'Foglio deposito bis'!$F$69*IF(ABS(L1330)&lt;'Progetto del paramento slu'!$G$58,ABS(L1330)*'Progetto del paramento slu'!$G$54,'Progetto del paramento slu'!$G$53)*IF(L1330&lt;0,-1,1)</f>
        <v>153664.85805602249</v>
      </c>
      <c r="S1330" s="553">
        <f>'Foglio deposito bis'!$F$70*IF(ABS(M1330)&lt;'Progetto del paramento slu'!$G$58,ABS(M1330)*'Progetto del paramento slu'!$G$54,'Progetto del paramento slu'!$G$53)*IF(M1330&lt;0,-1,1)</f>
        <v>0</v>
      </c>
      <c r="T1330" s="553">
        <f>'Foglio deposito bis'!$F$71*IF(ABS(N1330)&lt;'Progetto del paramento slu'!$G$58,ABS(N1330)*'Progetto del paramento slu'!$G$54,'Progetto del paramento slu'!$G$53)*IF(N1330&lt;0,-1,1)</f>
        <v>314705.62929873407</v>
      </c>
      <c r="U1330" s="553">
        <f>'Foglio deposito bis'!$F$72*IF(ABS(O1330)&lt;'Progetto del paramento slu'!$G$58,ABS(O1330)*'Progetto del paramento slu'!$G$54,'Progetto del paramento slu'!$G$53)*IF(O1330&lt;0,-1,1)</f>
        <v>491727.54577927204</v>
      </c>
      <c r="V1330" s="479">
        <f t="shared" si="100"/>
        <v>716896.96022925898</v>
      </c>
      <c r="W1330" s="559"/>
      <c r="X1330" s="559"/>
    </row>
    <row r="1331" spans="1:24" x14ac:dyDescent="0.25">
      <c r="A1331" s="553">
        <f t="shared" si="99"/>
        <v>714035.77113626176</v>
      </c>
      <c r="B1331" s="3">
        <f t="shared" si="101"/>
        <v>4.2999999999999927</v>
      </c>
      <c r="C1331" s="553">
        <f>'Foglio deposito bis'!$E$158/sezione!$B$247*B1331</f>
        <v>17.456312584573723</v>
      </c>
      <c r="D1331" s="611">
        <f>-'Progetto del paramento slu'!$G$47*'Progetto del paramento slu'!$G$41*IF(DATI!$G$218="dx",DATI!$E$61,DATI!$E$64*DATI!$E$63)*1000*C1331^2*sezione!$AD$5*(1-sezione!$AD$6)</f>
        <v>-2508478.4202489723</v>
      </c>
      <c r="E1331" s="553">
        <f>-'Foglio deposito bis'!$F$68*(C1331-sezione!$AL$32)*IF(ABS(K1331)&lt;'Progetto del paramento slu'!$G$58,ABS(K1331)*'Progetto del paramento slu'!$G$54,'Progetto del paramento slu'!$G$53)</f>
        <v>0</v>
      </c>
      <c r="F1331" s="553">
        <f>-'Foglio deposito bis'!$F$69*(C1331-sezione!$AM$32)*IF(ABS(L1331)&lt;'Progetto del paramento slu'!$G$58,ABS(L1331)*'Progetto del paramento slu'!$G$54,'Progetto del paramento slu'!$G$53)</f>
        <v>20367306.912913296</v>
      </c>
      <c r="G1331" s="553">
        <f>-'Foglio deposito bis'!$F$70*(C1331-sezione!$AN$32)*IF(ABS(M1331)&lt;'Progetto del paramento slu'!$G$58,ABS(M1331)*'Progetto del paramento slu'!$G$54,'Progetto del paramento slu'!$G$53)</f>
        <v>0</v>
      </c>
      <c r="H1331" s="553">
        <f>-'Foglio deposito bis'!$F$71*(C1331-sezione!$AO$32)*IF(ABS(N1331)&lt;'Progetto del paramento slu'!$G$58,ABS(N1331)*'Progetto del paramento slu'!$G$54,'Progetto del paramento slu'!$G$53)</f>
        <v>101506314.12440592</v>
      </c>
      <c r="I1331" s="479">
        <f>-'Foglio deposito bis'!$F$72*(C1331-sezione!$AP$32)*IF(ABS(O1331)&lt;'Progetto del paramento slu'!$G$58,ABS(O1331)*'Progetto del paramento slu'!$G$54,'Progetto del paramento slu'!$G$53)</f>
        <v>119267870.79477131</v>
      </c>
      <c r="J1331" s="479">
        <f t="shared" si="98"/>
        <v>238633013.41184157</v>
      </c>
      <c r="K1331" s="558">
        <f>'Progetto del paramento slu'!$G$60*(sezione!$AL$32-C1331)/C1331</f>
        <v>4.5200213717368392E-3</v>
      </c>
      <c r="L1331" s="558">
        <f>'Progetto del paramento slu'!$G$60*(sezione!$AM$32-C1331)/C1331</f>
        <v>2.657508014401315E-2</v>
      </c>
      <c r="M1331" s="559">
        <f>'Progetto del paramento slu'!$G$60*(sezione!$AN$32-C1331)/C1331</f>
        <v>4.8630138916289457E-2</v>
      </c>
      <c r="N1331" s="559">
        <f>'Progetto del paramento slu'!$G$60*(sezione!$AO$32-C1331)/C1331</f>
        <v>6.467018165976314E-2</v>
      </c>
      <c r="O1331" s="559">
        <f>'Progetto del paramento slu'!$G$60*(sezione!$AP$32-C1331)/C1331</f>
        <v>4.8631141418960903E-2</v>
      </c>
      <c r="P1331" s="553">
        <f>-'Progetto del paramento slu'!$G$47*'Progetto del paramento slu'!$G$41*IF(DATI!$G$218="dx",DATI!$E$61,DATI!$E$64*DATI!$E$63)*1000*C1331*sezione!$AD$5</f>
        <v>-246062.26199776691</v>
      </c>
      <c r="Q1331" s="553">
        <f>'Foglio deposito bis'!$F$68*IF(ABS(K1331)&lt;'Progetto del paramento slu'!$G$58,ABS(K1331)*'Progetto del paramento slu'!$G$54,'Progetto del paramento slu'!$G$53)*IF(K1331&lt;0,-1,1)</f>
        <v>0</v>
      </c>
      <c r="R1331" s="553">
        <f>'Foglio deposito bis'!$F$69*IF(ABS(L1331)&lt;'Progetto del paramento slu'!$G$58,ABS(L1331)*'Progetto del paramento slu'!$G$54,'Progetto del paramento slu'!$G$53)*IF(L1331&lt;0,-1,1)</f>
        <v>153664.85805602249</v>
      </c>
      <c r="S1331" s="553">
        <f>'Foglio deposito bis'!$F$70*IF(ABS(M1331)&lt;'Progetto del paramento slu'!$G$58,ABS(M1331)*'Progetto del paramento slu'!$G$54,'Progetto del paramento slu'!$G$53)*IF(M1331&lt;0,-1,1)</f>
        <v>0</v>
      </c>
      <c r="T1331" s="553">
        <f>'Foglio deposito bis'!$F$71*IF(ABS(N1331)&lt;'Progetto del paramento slu'!$G$58,ABS(N1331)*'Progetto del paramento slu'!$G$54,'Progetto del paramento slu'!$G$53)*IF(N1331&lt;0,-1,1)</f>
        <v>314705.62929873407</v>
      </c>
      <c r="U1331" s="553">
        <f>'Foglio deposito bis'!$F$72*IF(ABS(O1331)&lt;'Progetto del paramento slu'!$G$58,ABS(O1331)*'Progetto del paramento slu'!$G$54,'Progetto del paramento slu'!$G$53)*IF(O1331&lt;0,-1,1)</f>
        <v>491727.54577927204</v>
      </c>
      <c r="V1331" s="479">
        <f t="shared" si="100"/>
        <v>714035.77113626176</v>
      </c>
      <c r="W1331" s="559"/>
      <c r="X1331" s="559"/>
    </row>
    <row r="1332" spans="1:24" x14ac:dyDescent="0.25">
      <c r="A1332" s="553">
        <f t="shared" si="99"/>
        <v>711174.58204326441</v>
      </c>
      <c r="B1332" s="3">
        <f t="shared" si="101"/>
        <v>4.3499999999999925</v>
      </c>
      <c r="C1332" s="553">
        <f>'Foglio deposito bis'!$E$158/sezione!$B$247*B1332</f>
        <v>17.659292963464114</v>
      </c>
      <c r="D1332" s="611">
        <f>-'Progetto del paramento slu'!$G$47*'Progetto del paramento slu'!$G$41*IF(DATI!$G$218="dx",DATI!$E$61,DATI!$E$64*DATI!$E$63)*1000*C1332^2*sezione!$AD$5*(1-sezione!$AD$6)</f>
        <v>-2567154.2946003885</v>
      </c>
      <c r="E1332" s="553">
        <f>-'Foglio deposito bis'!$F$68*(C1332-sezione!$AL$32)*IF(ABS(K1332)&lt;'Progetto del paramento slu'!$G$58,ABS(K1332)*'Progetto del paramento slu'!$G$54,'Progetto del paramento slu'!$G$53)</f>
        <v>0</v>
      </c>
      <c r="F1332" s="553">
        <f>-'Foglio deposito bis'!$F$69*(C1332-sezione!$AM$32)*IF(ABS(L1332)&lt;'Progetto del paramento slu'!$G$58,ABS(L1332)*'Progetto del paramento slu'!$G$54,'Progetto del paramento slu'!$G$53)</f>
        <v>20336115.961802945</v>
      </c>
      <c r="G1332" s="553">
        <f>-'Foglio deposito bis'!$F$70*(C1332-sezione!$AN$32)*IF(ABS(M1332)&lt;'Progetto del paramento slu'!$G$58,ABS(M1332)*'Progetto del paramento slu'!$G$54,'Progetto del paramento slu'!$G$53)</f>
        <v>0</v>
      </c>
      <c r="H1332" s="553">
        <f>-'Foglio deposito bis'!$F$71*(C1332-sezione!$AO$32)*IF(ABS(N1332)&lt;'Progetto del paramento slu'!$G$58,ABS(N1332)*'Progetto del paramento slu'!$G$54,'Progetto del paramento slu'!$G$53)</f>
        <v>101442435.05653191</v>
      </c>
      <c r="I1332" s="479">
        <f>-'Foglio deposito bis'!$F$72*(C1332-sezione!$AP$32)*IF(ABS(O1332)&lt;'Progetto del paramento slu'!$G$58,ABS(O1332)*'Progetto del paramento slu'!$G$54,'Progetto del paramento slu'!$G$53)</f>
        <v>119168059.7512182</v>
      </c>
      <c r="J1332" s="479">
        <f t="shared" si="98"/>
        <v>238379456.47495267</v>
      </c>
      <c r="K1332" s="558">
        <f>'Progetto del paramento slu'!$G$60*(sezione!$AL$32-C1332)/C1332</f>
        <v>4.4278372180387151E-3</v>
      </c>
      <c r="L1332" s="558">
        <f>'Progetto del paramento slu'!$G$60*(sezione!$AM$32-C1332)/C1332</f>
        <v>2.6229389567645183E-2</v>
      </c>
      <c r="M1332" s="559">
        <f>'Progetto del paramento slu'!$G$60*(sezione!$AN$32-C1332)/C1332</f>
        <v>4.803094191725165E-2</v>
      </c>
      <c r="N1332" s="559">
        <f>'Progetto del paramento slu'!$G$60*(sezione!$AO$32-C1332)/C1332</f>
        <v>6.3886616353329068E-2</v>
      </c>
      <c r="O1332" s="559">
        <f>'Progetto del paramento slu'!$G$60*(sezione!$AP$32-C1332)/C1332</f>
        <v>4.8031932896903877E-2</v>
      </c>
      <c r="P1332" s="553">
        <f>-'Progetto del paramento slu'!$G$47*'Progetto del paramento slu'!$G$41*IF(DATI!$G$218="dx",DATI!$E$61,DATI!$E$64*DATI!$E$63)*1000*C1332*sezione!$AD$5</f>
        <v>-248923.4510907642</v>
      </c>
      <c r="Q1332" s="553">
        <f>'Foglio deposito bis'!$F$68*IF(ABS(K1332)&lt;'Progetto del paramento slu'!$G$58,ABS(K1332)*'Progetto del paramento slu'!$G$54,'Progetto del paramento slu'!$G$53)*IF(K1332&lt;0,-1,1)</f>
        <v>0</v>
      </c>
      <c r="R1332" s="553">
        <f>'Foglio deposito bis'!$F$69*IF(ABS(L1332)&lt;'Progetto del paramento slu'!$G$58,ABS(L1332)*'Progetto del paramento slu'!$G$54,'Progetto del paramento slu'!$G$53)*IF(L1332&lt;0,-1,1)</f>
        <v>153664.85805602249</v>
      </c>
      <c r="S1332" s="553">
        <f>'Foglio deposito bis'!$F$70*IF(ABS(M1332)&lt;'Progetto del paramento slu'!$G$58,ABS(M1332)*'Progetto del paramento slu'!$G$54,'Progetto del paramento slu'!$G$53)*IF(M1332&lt;0,-1,1)</f>
        <v>0</v>
      </c>
      <c r="T1332" s="553">
        <f>'Foglio deposito bis'!$F$71*IF(ABS(N1332)&lt;'Progetto del paramento slu'!$G$58,ABS(N1332)*'Progetto del paramento slu'!$G$54,'Progetto del paramento slu'!$G$53)*IF(N1332&lt;0,-1,1)</f>
        <v>314705.62929873407</v>
      </c>
      <c r="U1332" s="553">
        <f>'Foglio deposito bis'!$F$72*IF(ABS(O1332)&lt;'Progetto del paramento slu'!$G$58,ABS(O1332)*'Progetto del paramento slu'!$G$54,'Progetto del paramento slu'!$G$53)*IF(O1332&lt;0,-1,1)</f>
        <v>491727.54577927204</v>
      </c>
      <c r="V1332" s="479">
        <f t="shared" si="100"/>
        <v>711174.58204326441</v>
      </c>
      <c r="W1332" s="559"/>
      <c r="X1332" s="559"/>
    </row>
    <row r="1333" spans="1:24" x14ac:dyDescent="0.25">
      <c r="A1333" s="553">
        <f t="shared" si="99"/>
        <v>708313.39295026718</v>
      </c>
      <c r="B1333" s="3">
        <f t="shared" si="101"/>
        <v>4.3999999999999924</v>
      </c>
      <c r="C1333" s="553">
        <f>'Foglio deposito bis'!$E$158/sezione!$B$247*B1333</f>
        <v>17.862273342354506</v>
      </c>
      <c r="D1333" s="611">
        <f>-'Progetto del paramento slu'!$G$47*'Progetto del paramento slu'!$G$41*IF(DATI!$G$218="dx",DATI!$E$61,DATI!$E$64*DATI!$E$63)*1000*C1333^2*sezione!$AD$5*(1-sezione!$AD$6)</f>
        <v>-2626508.5027593346</v>
      </c>
      <c r="E1333" s="553">
        <f>-'Foglio deposito bis'!$F$68*(C1333-sezione!$AL$32)*IF(ABS(K1333)&lt;'Progetto del paramento slu'!$G$58,ABS(K1333)*'Progetto del paramento slu'!$G$54,'Progetto del paramento slu'!$G$53)</f>
        <v>0</v>
      </c>
      <c r="F1333" s="553">
        <f>-'Foglio deposito bis'!$F$69*(C1333-sezione!$AM$32)*IF(ABS(L1333)&lt;'Progetto del paramento slu'!$G$58,ABS(L1333)*'Progetto del paramento slu'!$G$54,'Progetto del paramento slu'!$G$53)</f>
        <v>20304925.010692593</v>
      </c>
      <c r="G1333" s="553">
        <f>-'Foglio deposito bis'!$F$70*(C1333-sezione!$AN$32)*IF(ABS(M1333)&lt;'Progetto del paramento slu'!$G$58,ABS(M1333)*'Progetto del paramento slu'!$G$54,'Progetto del paramento slu'!$G$53)</f>
        <v>0</v>
      </c>
      <c r="H1333" s="553">
        <f>-'Foglio deposito bis'!$F$71*(C1333-sezione!$AO$32)*IF(ABS(N1333)&lt;'Progetto del paramento slu'!$G$58,ABS(N1333)*'Progetto del paramento slu'!$G$54,'Progetto del paramento slu'!$G$53)</f>
        <v>101378555.98865791</v>
      </c>
      <c r="I1333" s="479">
        <f>-'Foglio deposito bis'!$F$72*(C1333-sezione!$AP$32)*IF(ABS(O1333)&lt;'Progetto del paramento slu'!$G$58,ABS(O1333)*'Progetto del paramento slu'!$G$54,'Progetto del paramento slu'!$G$53)</f>
        <v>119068248.70766507</v>
      </c>
      <c r="J1333" s="479">
        <f t="shared" si="98"/>
        <v>238125221.20425624</v>
      </c>
      <c r="K1333" s="558">
        <f>'Progetto del paramento slu'!$G$60*(sezione!$AL$32-C1333)/C1333</f>
        <v>4.3377481587428207E-3</v>
      </c>
      <c r="L1333" s="558">
        <f>'Progetto del paramento slu'!$G$60*(sezione!$AM$32-C1333)/C1333</f>
        <v>2.5891555595285578E-2</v>
      </c>
      <c r="M1333" s="559">
        <f>'Progetto del paramento slu'!$G$60*(sezione!$AN$32-C1333)/C1333</f>
        <v>4.7445363031828336E-2</v>
      </c>
      <c r="N1333" s="559">
        <f>'Progetto del paramento slu'!$G$60*(sezione!$AO$32-C1333)/C1333</f>
        <v>6.3120859349313968E-2</v>
      </c>
      <c r="O1333" s="559">
        <f>'Progetto del paramento slu'!$G$60*(sezione!$AP$32-C1333)/C1333</f>
        <v>4.7446342750348154E-2</v>
      </c>
      <c r="P1333" s="553">
        <f>-'Progetto del paramento slu'!$G$47*'Progetto del paramento slu'!$G$41*IF(DATI!$G$218="dx",DATI!$E$61,DATI!$E$64*DATI!$E$63)*1000*C1333*sezione!$AD$5</f>
        <v>-251784.64018376145</v>
      </c>
      <c r="Q1333" s="553">
        <f>'Foglio deposito bis'!$F$68*IF(ABS(K1333)&lt;'Progetto del paramento slu'!$G$58,ABS(K1333)*'Progetto del paramento slu'!$G$54,'Progetto del paramento slu'!$G$53)*IF(K1333&lt;0,-1,1)</f>
        <v>0</v>
      </c>
      <c r="R1333" s="553">
        <f>'Foglio deposito bis'!$F$69*IF(ABS(L1333)&lt;'Progetto del paramento slu'!$G$58,ABS(L1333)*'Progetto del paramento slu'!$G$54,'Progetto del paramento slu'!$G$53)*IF(L1333&lt;0,-1,1)</f>
        <v>153664.85805602249</v>
      </c>
      <c r="S1333" s="553">
        <f>'Foglio deposito bis'!$F$70*IF(ABS(M1333)&lt;'Progetto del paramento slu'!$G$58,ABS(M1333)*'Progetto del paramento slu'!$G$54,'Progetto del paramento slu'!$G$53)*IF(M1333&lt;0,-1,1)</f>
        <v>0</v>
      </c>
      <c r="T1333" s="553">
        <f>'Foglio deposito bis'!$F$71*IF(ABS(N1333)&lt;'Progetto del paramento slu'!$G$58,ABS(N1333)*'Progetto del paramento slu'!$G$54,'Progetto del paramento slu'!$G$53)*IF(N1333&lt;0,-1,1)</f>
        <v>314705.62929873407</v>
      </c>
      <c r="U1333" s="553">
        <f>'Foglio deposito bis'!$F$72*IF(ABS(O1333)&lt;'Progetto del paramento slu'!$G$58,ABS(O1333)*'Progetto del paramento slu'!$G$54,'Progetto del paramento slu'!$G$53)*IF(O1333&lt;0,-1,1)</f>
        <v>491727.54577927204</v>
      </c>
      <c r="V1333" s="479">
        <f t="shared" si="100"/>
        <v>708313.39295026718</v>
      </c>
      <c r="W1333" s="559"/>
      <c r="X1333" s="559"/>
    </row>
    <row r="1334" spans="1:24" x14ac:dyDescent="0.25">
      <c r="A1334" s="553">
        <f t="shared" si="99"/>
        <v>705452.20385726984</v>
      </c>
      <c r="B1334" s="3">
        <f t="shared" si="101"/>
        <v>4.4499999999999922</v>
      </c>
      <c r="C1334" s="553">
        <f>'Foglio deposito bis'!$E$158/sezione!$B$247*B1334</f>
        <v>18.065253721244897</v>
      </c>
      <c r="D1334" s="611">
        <f>-'Progetto del paramento slu'!$G$47*'Progetto del paramento slu'!$G$41*IF(DATI!$G$218="dx",DATI!$E$61,DATI!$E$64*DATI!$E$63)*1000*C1334^2*sezione!$AD$5*(1-sezione!$AD$6)</f>
        <v>-2686541.044725812</v>
      </c>
      <c r="E1334" s="553">
        <f>-'Foglio deposito bis'!$F$68*(C1334-sezione!$AL$32)*IF(ABS(K1334)&lt;'Progetto del paramento slu'!$G$58,ABS(K1334)*'Progetto del paramento slu'!$G$54,'Progetto del paramento slu'!$G$53)</f>
        <v>0</v>
      </c>
      <c r="F1334" s="553">
        <f>-'Foglio deposito bis'!$F$69*(C1334-sezione!$AM$32)*IF(ABS(L1334)&lt;'Progetto del paramento slu'!$G$58,ABS(L1334)*'Progetto del paramento slu'!$G$54,'Progetto del paramento slu'!$G$53)</f>
        <v>20273734.059582248</v>
      </c>
      <c r="G1334" s="553">
        <f>-'Foglio deposito bis'!$F$70*(C1334-sezione!$AN$32)*IF(ABS(M1334)&lt;'Progetto del paramento slu'!$G$58,ABS(M1334)*'Progetto del paramento slu'!$G$54,'Progetto del paramento slu'!$G$53)</f>
        <v>0</v>
      </c>
      <c r="H1334" s="553">
        <f>-'Foglio deposito bis'!$F$71*(C1334-sezione!$AO$32)*IF(ABS(N1334)&lt;'Progetto del paramento slu'!$G$58,ABS(N1334)*'Progetto del paramento slu'!$G$54,'Progetto del paramento slu'!$G$53)</f>
        <v>101314676.92078392</v>
      </c>
      <c r="I1334" s="479">
        <f>-'Foglio deposito bis'!$F$72*(C1334-sezione!$AP$32)*IF(ABS(O1334)&lt;'Progetto del paramento slu'!$G$58,ABS(O1334)*'Progetto del paramento slu'!$G$54,'Progetto del paramento slu'!$G$53)</f>
        <v>118968437.66411196</v>
      </c>
      <c r="J1334" s="479">
        <f t="shared" si="98"/>
        <v>237870307.59975231</v>
      </c>
      <c r="K1334" s="558">
        <f>'Progetto del paramento slu'!$G$60*(sezione!$AL$32-C1334)/C1334</f>
        <v>4.249683572689531E-3</v>
      </c>
      <c r="L1334" s="558">
        <f>'Progetto del paramento slu'!$G$60*(sezione!$AM$32-C1334)/C1334</f>
        <v>2.5561313397585744E-2</v>
      </c>
      <c r="M1334" s="559">
        <f>'Progetto del paramento slu'!$G$60*(sezione!$AN$32-C1334)/C1334</f>
        <v>4.6872943222481957E-2</v>
      </c>
      <c r="N1334" s="559">
        <f>'Progetto del paramento slu'!$G$60*(sezione!$AO$32-C1334)/C1334</f>
        <v>6.2372310367861013E-2</v>
      </c>
      <c r="O1334" s="559">
        <f>'Progetto del paramento slu'!$G$60*(sezione!$AP$32-C1334)/C1334</f>
        <v>4.6873911932928523E-2</v>
      </c>
      <c r="P1334" s="553">
        <f>-'Progetto del paramento slu'!$G$47*'Progetto del paramento slu'!$G$41*IF(DATI!$G$218="dx",DATI!$E$61,DATI!$E$64*DATI!$E$63)*1000*C1334*sezione!$AD$5</f>
        <v>-254645.82927675874</v>
      </c>
      <c r="Q1334" s="553">
        <f>'Foglio deposito bis'!$F$68*IF(ABS(K1334)&lt;'Progetto del paramento slu'!$G$58,ABS(K1334)*'Progetto del paramento slu'!$G$54,'Progetto del paramento slu'!$G$53)*IF(K1334&lt;0,-1,1)</f>
        <v>0</v>
      </c>
      <c r="R1334" s="553">
        <f>'Foglio deposito bis'!$F$69*IF(ABS(L1334)&lt;'Progetto del paramento slu'!$G$58,ABS(L1334)*'Progetto del paramento slu'!$G$54,'Progetto del paramento slu'!$G$53)*IF(L1334&lt;0,-1,1)</f>
        <v>153664.85805602249</v>
      </c>
      <c r="S1334" s="553">
        <f>'Foglio deposito bis'!$F$70*IF(ABS(M1334)&lt;'Progetto del paramento slu'!$G$58,ABS(M1334)*'Progetto del paramento slu'!$G$54,'Progetto del paramento slu'!$G$53)*IF(M1334&lt;0,-1,1)</f>
        <v>0</v>
      </c>
      <c r="T1334" s="553">
        <f>'Foglio deposito bis'!$F$71*IF(ABS(N1334)&lt;'Progetto del paramento slu'!$G$58,ABS(N1334)*'Progetto del paramento slu'!$G$54,'Progetto del paramento slu'!$G$53)*IF(N1334&lt;0,-1,1)</f>
        <v>314705.62929873407</v>
      </c>
      <c r="U1334" s="553">
        <f>'Foglio deposito bis'!$F$72*IF(ABS(O1334)&lt;'Progetto del paramento slu'!$G$58,ABS(O1334)*'Progetto del paramento slu'!$G$54,'Progetto del paramento slu'!$G$53)*IF(O1334&lt;0,-1,1)</f>
        <v>491727.54577927204</v>
      </c>
      <c r="V1334" s="479">
        <f t="shared" si="100"/>
        <v>705452.20385726984</v>
      </c>
      <c r="W1334" s="559"/>
      <c r="X1334" s="559"/>
    </row>
    <row r="1335" spans="1:24" x14ac:dyDescent="0.25">
      <c r="A1335" s="553">
        <f t="shared" si="99"/>
        <v>702591.01476427261</v>
      </c>
      <c r="B1335" s="3">
        <f t="shared" si="101"/>
        <v>4.499999999999992</v>
      </c>
      <c r="C1335" s="553">
        <f>'Foglio deposito bis'!$E$158/sezione!$B$247*B1335</f>
        <v>18.268234100135288</v>
      </c>
      <c r="D1335" s="611">
        <f>-'Progetto del paramento slu'!$G$47*'Progetto del paramento slu'!$G$41*IF(DATI!$G$218="dx",DATI!$E$61,DATI!$E$64*DATI!$E$63)*1000*C1335^2*sezione!$AD$5*(1-sezione!$AD$6)</f>
        <v>-2747251.9204998203</v>
      </c>
      <c r="E1335" s="553">
        <f>-'Foglio deposito bis'!$F$68*(C1335-sezione!$AL$32)*IF(ABS(K1335)&lt;'Progetto del paramento slu'!$G$58,ABS(K1335)*'Progetto del paramento slu'!$G$54,'Progetto del paramento slu'!$G$53)</f>
        <v>0</v>
      </c>
      <c r="F1335" s="553">
        <f>-'Foglio deposito bis'!$F$69*(C1335-sezione!$AM$32)*IF(ABS(L1335)&lt;'Progetto del paramento slu'!$G$58,ABS(L1335)*'Progetto del paramento slu'!$G$54,'Progetto del paramento slu'!$G$53)</f>
        <v>20242543.108471893</v>
      </c>
      <c r="G1335" s="553">
        <f>-'Foglio deposito bis'!$F$70*(C1335-sezione!$AN$32)*IF(ABS(M1335)&lt;'Progetto del paramento slu'!$G$58,ABS(M1335)*'Progetto del paramento slu'!$G$54,'Progetto del paramento slu'!$G$53)</f>
        <v>0</v>
      </c>
      <c r="H1335" s="553">
        <f>-'Foglio deposito bis'!$F$71*(C1335-sezione!$AO$32)*IF(ABS(N1335)&lt;'Progetto del paramento slu'!$G$58,ABS(N1335)*'Progetto del paramento slu'!$G$54,'Progetto del paramento slu'!$G$53)</f>
        <v>101250797.85290992</v>
      </c>
      <c r="I1335" s="479">
        <f>-'Foglio deposito bis'!$F$72*(C1335-sezione!$AP$32)*IF(ABS(O1335)&lt;'Progetto del paramento slu'!$G$58,ABS(O1335)*'Progetto del paramento slu'!$G$54,'Progetto del paramento slu'!$G$53)</f>
        <v>118868626.62055883</v>
      </c>
      <c r="J1335" s="479">
        <f t="shared" si="98"/>
        <v>237614715.66144082</v>
      </c>
      <c r="K1335" s="558">
        <f>'Progetto del paramento slu'!$G$60*(sezione!$AL$32-C1335)/C1335</f>
        <v>4.1635759774374254E-3</v>
      </c>
      <c r="L1335" s="558">
        <f>'Progetto del paramento slu'!$G$60*(sezione!$AM$32-C1335)/C1335</f>
        <v>2.5238409915390347E-2</v>
      </c>
      <c r="M1335" s="559">
        <f>'Progetto del paramento slu'!$G$60*(sezione!$AN$32-C1335)/C1335</f>
        <v>4.6313243853343268E-2</v>
      </c>
      <c r="N1335" s="559">
        <f>'Progetto del paramento slu'!$G$60*(sezione!$AO$32-C1335)/C1335</f>
        <v>6.1640395808218125E-2</v>
      </c>
      <c r="O1335" s="559">
        <f>'Progetto del paramento slu'!$G$60*(sezione!$AP$32-C1335)/C1335</f>
        <v>4.6314201800340425E-2</v>
      </c>
      <c r="P1335" s="553">
        <f>-'Progetto del paramento slu'!$G$47*'Progetto del paramento slu'!$G$41*IF(DATI!$G$218="dx",DATI!$E$61,DATI!$E$64*DATI!$E$63)*1000*C1335*sezione!$AD$5</f>
        <v>-257507.01836975603</v>
      </c>
      <c r="Q1335" s="553">
        <f>'Foglio deposito bis'!$F$68*IF(ABS(K1335)&lt;'Progetto del paramento slu'!$G$58,ABS(K1335)*'Progetto del paramento slu'!$G$54,'Progetto del paramento slu'!$G$53)*IF(K1335&lt;0,-1,1)</f>
        <v>0</v>
      </c>
      <c r="R1335" s="553">
        <f>'Foglio deposito bis'!$F$69*IF(ABS(L1335)&lt;'Progetto del paramento slu'!$G$58,ABS(L1335)*'Progetto del paramento slu'!$G$54,'Progetto del paramento slu'!$G$53)*IF(L1335&lt;0,-1,1)</f>
        <v>153664.85805602249</v>
      </c>
      <c r="S1335" s="553">
        <f>'Foglio deposito bis'!$F$70*IF(ABS(M1335)&lt;'Progetto del paramento slu'!$G$58,ABS(M1335)*'Progetto del paramento slu'!$G$54,'Progetto del paramento slu'!$G$53)*IF(M1335&lt;0,-1,1)</f>
        <v>0</v>
      </c>
      <c r="T1335" s="553">
        <f>'Foglio deposito bis'!$F$71*IF(ABS(N1335)&lt;'Progetto del paramento slu'!$G$58,ABS(N1335)*'Progetto del paramento slu'!$G$54,'Progetto del paramento slu'!$G$53)*IF(N1335&lt;0,-1,1)</f>
        <v>314705.62929873407</v>
      </c>
      <c r="U1335" s="553">
        <f>'Foglio deposito bis'!$F$72*IF(ABS(O1335)&lt;'Progetto del paramento slu'!$G$58,ABS(O1335)*'Progetto del paramento slu'!$G$54,'Progetto del paramento slu'!$G$53)*IF(O1335&lt;0,-1,1)</f>
        <v>491727.54577927204</v>
      </c>
      <c r="V1335" s="479">
        <f t="shared" si="100"/>
        <v>702591.01476427261</v>
      </c>
      <c r="W1335" s="559"/>
      <c r="X1335" s="559"/>
    </row>
    <row r="1336" spans="1:24" x14ac:dyDescent="0.25">
      <c r="A1336" s="553">
        <f t="shared" si="99"/>
        <v>699729.82567127526</v>
      </c>
      <c r="B1336" s="3">
        <f t="shared" si="101"/>
        <v>4.5499999999999918</v>
      </c>
      <c r="C1336" s="553">
        <f>'Foglio deposito bis'!$E$158/sezione!$B$247*B1336</f>
        <v>18.471214479025683</v>
      </c>
      <c r="D1336" s="611">
        <f>-'Progetto del paramento slu'!$G$47*'Progetto del paramento slu'!$G$41*IF(DATI!$G$218="dx",DATI!$E$61,DATI!$E$64*DATI!$E$63)*1000*C1336^2*sezione!$AD$5*(1-sezione!$AD$6)</f>
        <v>-2808641.1300813602</v>
      </c>
      <c r="E1336" s="553">
        <f>-'Foglio deposito bis'!$F$68*(C1336-sezione!$AL$32)*IF(ABS(K1336)&lt;'Progetto del paramento slu'!$G$58,ABS(K1336)*'Progetto del paramento slu'!$G$54,'Progetto del paramento slu'!$G$53)</f>
        <v>0</v>
      </c>
      <c r="F1336" s="553">
        <f>-'Foglio deposito bis'!$F$69*(C1336-sezione!$AM$32)*IF(ABS(L1336)&lt;'Progetto del paramento slu'!$G$58,ABS(L1336)*'Progetto del paramento slu'!$G$54,'Progetto del paramento slu'!$G$53)</f>
        <v>20211352.157361545</v>
      </c>
      <c r="G1336" s="553">
        <f>-'Foglio deposito bis'!$F$70*(C1336-sezione!$AN$32)*IF(ABS(M1336)&lt;'Progetto del paramento slu'!$G$58,ABS(M1336)*'Progetto del paramento slu'!$G$54,'Progetto del paramento slu'!$G$53)</f>
        <v>0</v>
      </c>
      <c r="H1336" s="553">
        <f>-'Foglio deposito bis'!$F$71*(C1336-sezione!$AO$32)*IF(ABS(N1336)&lt;'Progetto del paramento slu'!$G$58,ABS(N1336)*'Progetto del paramento slu'!$G$54,'Progetto del paramento slu'!$G$53)</f>
        <v>101186918.78503594</v>
      </c>
      <c r="I1336" s="479">
        <f>-'Foglio deposito bis'!$F$72*(C1336-sezione!$AP$32)*IF(ABS(O1336)&lt;'Progetto del paramento slu'!$G$58,ABS(O1336)*'Progetto del paramento slu'!$G$54,'Progetto del paramento slu'!$G$53)</f>
        <v>118768815.57700571</v>
      </c>
      <c r="J1336" s="479">
        <f t="shared" si="98"/>
        <v>237358445.38932183</v>
      </c>
      <c r="K1336" s="558">
        <f>'Progetto del paramento slu'!$G$60*(sezione!$AL$32-C1336)/C1336</f>
        <v>4.0793608568062438E-3</v>
      </c>
      <c r="L1336" s="558">
        <f>'Progetto del paramento slu'!$G$60*(sezione!$AM$32-C1336)/C1336</f>
        <v>2.4922603213023413E-2</v>
      </c>
      <c r="M1336" s="559">
        <f>'Progetto del paramento slu'!$G$60*(sezione!$AN$32-C1336)/C1336</f>
        <v>4.5765845569240585E-2</v>
      </c>
      <c r="N1336" s="559">
        <f>'Progetto del paramento slu'!$G$60*(sezione!$AO$32-C1336)/C1336</f>
        <v>6.092456728285308E-2</v>
      </c>
      <c r="O1336" s="559">
        <f>'Progetto del paramento slu'!$G$60*(sezione!$AP$32-C1336)/C1336</f>
        <v>4.5766792989347667E-2</v>
      </c>
      <c r="P1336" s="553">
        <f>-'Progetto del paramento slu'!$G$47*'Progetto del paramento slu'!$G$41*IF(DATI!$G$218="dx",DATI!$E$61,DATI!$E$64*DATI!$E$63)*1000*C1336*sezione!$AD$5</f>
        <v>-260368.20746275334</v>
      </c>
      <c r="Q1336" s="553">
        <f>'Foglio deposito bis'!$F$68*IF(ABS(K1336)&lt;'Progetto del paramento slu'!$G$58,ABS(K1336)*'Progetto del paramento slu'!$G$54,'Progetto del paramento slu'!$G$53)*IF(K1336&lt;0,-1,1)</f>
        <v>0</v>
      </c>
      <c r="R1336" s="553">
        <f>'Foglio deposito bis'!$F$69*IF(ABS(L1336)&lt;'Progetto del paramento slu'!$G$58,ABS(L1336)*'Progetto del paramento slu'!$G$54,'Progetto del paramento slu'!$G$53)*IF(L1336&lt;0,-1,1)</f>
        <v>153664.85805602249</v>
      </c>
      <c r="S1336" s="553">
        <f>'Foglio deposito bis'!$F$70*IF(ABS(M1336)&lt;'Progetto del paramento slu'!$G$58,ABS(M1336)*'Progetto del paramento slu'!$G$54,'Progetto del paramento slu'!$G$53)*IF(M1336&lt;0,-1,1)</f>
        <v>0</v>
      </c>
      <c r="T1336" s="553">
        <f>'Foglio deposito bis'!$F$71*IF(ABS(N1336)&lt;'Progetto del paramento slu'!$G$58,ABS(N1336)*'Progetto del paramento slu'!$G$54,'Progetto del paramento slu'!$G$53)*IF(N1336&lt;0,-1,1)</f>
        <v>314705.62929873407</v>
      </c>
      <c r="U1336" s="553">
        <f>'Foglio deposito bis'!$F$72*IF(ABS(O1336)&lt;'Progetto del paramento slu'!$G$58,ABS(O1336)*'Progetto del paramento slu'!$G$54,'Progetto del paramento slu'!$G$53)*IF(O1336&lt;0,-1,1)</f>
        <v>491727.54577927204</v>
      </c>
      <c r="V1336" s="479">
        <f t="shared" si="100"/>
        <v>699729.82567127526</v>
      </c>
      <c r="W1336" s="559"/>
      <c r="X1336" s="559"/>
    </row>
    <row r="1337" spans="1:24" x14ac:dyDescent="0.25">
      <c r="A1337" s="553">
        <f t="shared" si="99"/>
        <v>696868.63657827792</v>
      </c>
      <c r="B1337" s="3">
        <f t="shared" si="101"/>
        <v>4.5999999999999917</v>
      </c>
      <c r="C1337" s="553">
        <f>'Foglio deposito bis'!$E$158/sezione!$B$247*B1337</f>
        <v>18.674194857916074</v>
      </c>
      <c r="D1337" s="611">
        <f>-'Progetto del paramento slu'!$G$47*'Progetto del paramento slu'!$G$41*IF(DATI!$G$218="dx",DATI!$E$61,DATI!$E$64*DATI!$E$63)*1000*C1337^2*sezione!$AD$5*(1-sezione!$AD$6)</f>
        <v>-2870708.6734704301</v>
      </c>
      <c r="E1337" s="553">
        <f>-'Foglio deposito bis'!$F$68*(C1337-sezione!$AL$32)*IF(ABS(K1337)&lt;'Progetto del paramento slu'!$G$58,ABS(K1337)*'Progetto del paramento slu'!$G$54,'Progetto del paramento slu'!$G$53)</f>
        <v>0</v>
      </c>
      <c r="F1337" s="553">
        <f>-'Foglio deposito bis'!$F$69*(C1337-sezione!$AM$32)*IF(ABS(L1337)&lt;'Progetto del paramento slu'!$G$58,ABS(L1337)*'Progetto del paramento slu'!$G$54,'Progetto del paramento slu'!$G$53)</f>
        <v>20180161.206251197</v>
      </c>
      <c r="G1337" s="553">
        <f>-'Foglio deposito bis'!$F$70*(C1337-sezione!$AN$32)*IF(ABS(M1337)&lt;'Progetto del paramento slu'!$G$58,ABS(M1337)*'Progetto del paramento slu'!$G$54,'Progetto del paramento slu'!$G$53)</f>
        <v>0</v>
      </c>
      <c r="H1337" s="553">
        <f>-'Foglio deposito bis'!$F$71*(C1337-sezione!$AO$32)*IF(ABS(N1337)&lt;'Progetto del paramento slu'!$G$58,ABS(N1337)*'Progetto del paramento slu'!$G$54,'Progetto del paramento slu'!$G$53)</f>
        <v>101123039.71716194</v>
      </c>
      <c r="I1337" s="479">
        <f>-'Foglio deposito bis'!$F$72*(C1337-sezione!$AP$32)*IF(ABS(O1337)&lt;'Progetto del paramento slu'!$G$58,ABS(O1337)*'Progetto del paramento slu'!$G$54,'Progetto del paramento slu'!$G$53)</f>
        <v>118669004.5334526</v>
      </c>
      <c r="J1337" s="479">
        <f t="shared" si="98"/>
        <v>237101496.78339529</v>
      </c>
      <c r="K1337" s="558">
        <f>'Progetto del paramento slu'!$G$60*(sezione!$AL$32-C1337)/C1337</f>
        <v>3.9969764996670466E-3</v>
      </c>
      <c r="L1337" s="558">
        <f>'Progetto del paramento slu'!$G$60*(sezione!$AM$32-C1337)/C1337</f>
        <v>2.4613661873751424E-2</v>
      </c>
      <c r="M1337" s="559">
        <f>'Progetto del paramento slu'!$G$60*(sezione!$AN$32-C1337)/C1337</f>
        <v>4.5230347247835805E-2</v>
      </c>
      <c r="N1337" s="559">
        <f>'Progetto del paramento slu'!$G$60*(sezione!$AO$32-C1337)/C1337</f>
        <v>6.022430024716989E-2</v>
      </c>
      <c r="O1337" s="559">
        <f>'Progetto del paramento slu'!$G$60*(sezione!$AP$32-C1337)/C1337</f>
        <v>4.5231284369898234E-2</v>
      </c>
      <c r="P1337" s="553">
        <f>-'Progetto del paramento slu'!$G$47*'Progetto del paramento slu'!$G$41*IF(DATI!$G$218="dx",DATI!$E$61,DATI!$E$64*DATI!$E$63)*1000*C1337*sezione!$AD$5</f>
        <v>-263229.39655575063</v>
      </c>
      <c r="Q1337" s="553">
        <f>'Foglio deposito bis'!$F$68*IF(ABS(K1337)&lt;'Progetto del paramento slu'!$G$58,ABS(K1337)*'Progetto del paramento slu'!$G$54,'Progetto del paramento slu'!$G$53)*IF(K1337&lt;0,-1,1)</f>
        <v>0</v>
      </c>
      <c r="R1337" s="553">
        <f>'Foglio deposito bis'!$F$69*IF(ABS(L1337)&lt;'Progetto del paramento slu'!$G$58,ABS(L1337)*'Progetto del paramento slu'!$G$54,'Progetto del paramento slu'!$G$53)*IF(L1337&lt;0,-1,1)</f>
        <v>153664.85805602249</v>
      </c>
      <c r="S1337" s="553">
        <f>'Foglio deposito bis'!$F$70*IF(ABS(M1337)&lt;'Progetto del paramento slu'!$G$58,ABS(M1337)*'Progetto del paramento slu'!$G$54,'Progetto del paramento slu'!$G$53)*IF(M1337&lt;0,-1,1)</f>
        <v>0</v>
      </c>
      <c r="T1337" s="553">
        <f>'Foglio deposito bis'!$F$71*IF(ABS(N1337)&lt;'Progetto del paramento slu'!$G$58,ABS(N1337)*'Progetto del paramento slu'!$G$54,'Progetto del paramento slu'!$G$53)*IF(N1337&lt;0,-1,1)</f>
        <v>314705.62929873407</v>
      </c>
      <c r="U1337" s="553">
        <f>'Foglio deposito bis'!$F$72*IF(ABS(O1337)&lt;'Progetto del paramento slu'!$G$58,ABS(O1337)*'Progetto del paramento slu'!$G$54,'Progetto del paramento slu'!$G$53)*IF(O1337&lt;0,-1,1)</f>
        <v>491727.54577927204</v>
      </c>
      <c r="V1337" s="479">
        <f t="shared" si="100"/>
        <v>696868.63657827792</v>
      </c>
      <c r="W1337" s="559"/>
      <c r="X1337" s="559"/>
    </row>
    <row r="1338" spans="1:24" x14ac:dyDescent="0.25">
      <c r="A1338" s="553">
        <f t="shared" si="99"/>
        <v>694007.44748528069</v>
      </c>
      <c r="B1338" s="3">
        <f t="shared" si="101"/>
        <v>4.6499999999999915</v>
      </c>
      <c r="C1338" s="553">
        <f>'Foglio deposito bis'!$E$158/sezione!$B$247*B1338</f>
        <v>18.877175236806465</v>
      </c>
      <c r="D1338" s="611">
        <f>-'Progetto del paramento slu'!$G$47*'Progetto del paramento slu'!$G$41*IF(DATI!$G$218="dx",DATI!$E$61,DATI!$E$64*DATI!$E$63)*1000*C1338^2*sezione!$AD$5*(1-sezione!$AD$6)</f>
        <v>-2933454.5506670303</v>
      </c>
      <c r="E1338" s="553">
        <f>-'Foglio deposito bis'!$F$68*(C1338-sezione!$AL$32)*IF(ABS(K1338)&lt;'Progetto del paramento slu'!$G$58,ABS(K1338)*'Progetto del paramento slu'!$G$54,'Progetto del paramento slu'!$G$53)</f>
        <v>0</v>
      </c>
      <c r="F1338" s="553">
        <f>-'Foglio deposito bis'!$F$69*(C1338-sezione!$AM$32)*IF(ABS(L1338)&lt;'Progetto del paramento slu'!$G$58,ABS(L1338)*'Progetto del paramento slu'!$G$54,'Progetto del paramento slu'!$G$53)</f>
        <v>20148970.255140848</v>
      </c>
      <c r="G1338" s="553">
        <f>-'Foglio deposito bis'!$F$70*(C1338-sezione!$AN$32)*IF(ABS(M1338)&lt;'Progetto del paramento slu'!$G$58,ABS(M1338)*'Progetto del paramento slu'!$G$54,'Progetto del paramento slu'!$G$53)</f>
        <v>0</v>
      </c>
      <c r="H1338" s="553">
        <f>-'Foglio deposito bis'!$F$71*(C1338-sezione!$AO$32)*IF(ABS(N1338)&lt;'Progetto del paramento slu'!$G$58,ABS(N1338)*'Progetto del paramento slu'!$G$54,'Progetto del paramento slu'!$G$53)</f>
        <v>101059160.64928792</v>
      </c>
      <c r="I1338" s="479">
        <f>-'Foglio deposito bis'!$F$72*(C1338-sezione!$AP$32)*IF(ABS(O1338)&lt;'Progetto del paramento slu'!$G$58,ABS(O1338)*'Progetto del paramento slu'!$G$54,'Progetto del paramento slu'!$G$53)</f>
        <v>118569193.48989947</v>
      </c>
      <c r="J1338" s="479">
        <f t="shared" si="98"/>
        <v>236843869.84366122</v>
      </c>
      <c r="K1338" s="558">
        <f>'Progetto del paramento slu'!$G$60*(sezione!$AL$32-C1338)/C1338</f>
        <v>3.9163638491329922E-3</v>
      </c>
      <c r="L1338" s="558">
        <f>'Progetto del paramento slu'!$G$60*(sezione!$AM$32-C1338)/C1338</f>
        <v>2.4311364434248722E-2</v>
      </c>
      <c r="M1338" s="559">
        <f>'Progetto del paramento slu'!$G$60*(sezione!$AN$32-C1338)/C1338</f>
        <v>4.4706365019364452E-2</v>
      </c>
      <c r="N1338" s="559">
        <f>'Progetto del paramento slu'!$G$60*(sezione!$AO$32-C1338)/C1338</f>
        <v>5.9539092717630429E-2</v>
      </c>
      <c r="O1338" s="559">
        <f>'Progetto del paramento slu'!$G$60*(sezione!$AP$32-C1338)/C1338</f>
        <v>4.4707292064845569E-2</v>
      </c>
      <c r="P1338" s="553">
        <f>-'Progetto del paramento slu'!$G$47*'Progetto del paramento slu'!$G$41*IF(DATI!$G$218="dx",DATI!$E$61,DATI!$E$64*DATI!$E$63)*1000*C1338*sezione!$AD$5</f>
        <v>-266090.58564874792</v>
      </c>
      <c r="Q1338" s="553">
        <f>'Foglio deposito bis'!$F$68*IF(ABS(K1338)&lt;'Progetto del paramento slu'!$G$58,ABS(K1338)*'Progetto del paramento slu'!$G$54,'Progetto del paramento slu'!$G$53)*IF(K1338&lt;0,-1,1)</f>
        <v>0</v>
      </c>
      <c r="R1338" s="553">
        <f>'Foglio deposito bis'!$F$69*IF(ABS(L1338)&lt;'Progetto del paramento slu'!$G$58,ABS(L1338)*'Progetto del paramento slu'!$G$54,'Progetto del paramento slu'!$G$53)*IF(L1338&lt;0,-1,1)</f>
        <v>153664.85805602249</v>
      </c>
      <c r="S1338" s="553">
        <f>'Foglio deposito bis'!$F$70*IF(ABS(M1338)&lt;'Progetto del paramento slu'!$G$58,ABS(M1338)*'Progetto del paramento slu'!$G$54,'Progetto del paramento slu'!$G$53)*IF(M1338&lt;0,-1,1)</f>
        <v>0</v>
      </c>
      <c r="T1338" s="553">
        <f>'Foglio deposito bis'!$F$71*IF(ABS(N1338)&lt;'Progetto del paramento slu'!$G$58,ABS(N1338)*'Progetto del paramento slu'!$G$54,'Progetto del paramento slu'!$G$53)*IF(N1338&lt;0,-1,1)</f>
        <v>314705.62929873407</v>
      </c>
      <c r="U1338" s="553">
        <f>'Foglio deposito bis'!$F$72*IF(ABS(O1338)&lt;'Progetto del paramento slu'!$G$58,ABS(O1338)*'Progetto del paramento slu'!$G$54,'Progetto del paramento slu'!$G$53)*IF(O1338&lt;0,-1,1)</f>
        <v>491727.54577927204</v>
      </c>
      <c r="V1338" s="479">
        <f t="shared" si="100"/>
        <v>694007.44748528069</v>
      </c>
      <c r="W1338" s="559"/>
      <c r="X1338" s="559"/>
    </row>
    <row r="1339" spans="1:24" x14ac:dyDescent="0.25">
      <c r="A1339" s="553">
        <f t="shared" si="99"/>
        <v>691146.25839228346</v>
      </c>
      <c r="B1339" s="3">
        <f t="shared" si="101"/>
        <v>4.6999999999999913</v>
      </c>
      <c r="C1339" s="553">
        <f>'Foglio deposito bis'!$E$158/sezione!$B$247*B1339</f>
        <v>19.080155615696857</v>
      </c>
      <c r="D1339" s="611">
        <f>-'Progetto del paramento slu'!$G$47*'Progetto del paramento slu'!$G$41*IF(DATI!$G$218="dx",DATI!$E$61,DATI!$E$64*DATI!$E$63)*1000*C1339^2*sezione!$AD$5*(1-sezione!$AD$6)</f>
        <v>-2996878.7616711617</v>
      </c>
      <c r="E1339" s="553">
        <f>-'Foglio deposito bis'!$F$68*(C1339-sezione!$AL$32)*IF(ABS(K1339)&lt;'Progetto del paramento slu'!$G$58,ABS(K1339)*'Progetto del paramento slu'!$G$54,'Progetto del paramento slu'!$G$53)</f>
        <v>0</v>
      </c>
      <c r="F1339" s="553">
        <f>-'Foglio deposito bis'!$F$69*(C1339-sezione!$AM$32)*IF(ABS(L1339)&lt;'Progetto del paramento slu'!$G$58,ABS(L1339)*'Progetto del paramento slu'!$G$54,'Progetto del paramento slu'!$G$53)</f>
        <v>20117779.304030493</v>
      </c>
      <c r="G1339" s="553">
        <f>-'Foglio deposito bis'!$F$70*(C1339-sezione!$AN$32)*IF(ABS(M1339)&lt;'Progetto del paramento slu'!$G$58,ABS(M1339)*'Progetto del paramento slu'!$G$54,'Progetto del paramento slu'!$G$53)</f>
        <v>0</v>
      </c>
      <c r="H1339" s="553">
        <f>-'Foglio deposito bis'!$F$71*(C1339-sezione!$AO$32)*IF(ABS(N1339)&lt;'Progetto del paramento slu'!$G$58,ABS(N1339)*'Progetto del paramento slu'!$G$54,'Progetto del paramento slu'!$G$53)</f>
        <v>100995281.58141392</v>
      </c>
      <c r="I1339" s="479">
        <f>-'Foglio deposito bis'!$F$72*(C1339-sezione!$AP$32)*IF(ABS(O1339)&lt;'Progetto del paramento slu'!$G$58,ABS(O1339)*'Progetto del paramento slu'!$G$54,'Progetto del paramento slu'!$G$53)</f>
        <v>118469382.44634636</v>
      </c>
      <c r="J1339" s="479">
        <f t="shared" si="98"/>
        <v>236585564.57011962</v>
      </c>
      <c r="K1339" s="558">
        <f>'Progetto del paramento slu'!$G$60*(sezione!$AL$32-C1339)/C1339</f>
        <v>3.8374663613762591E-3</v>
      </c>
      <c r="L1339" s="558">
        <f>'Progetto del paramento slu'!$G$60*(sezione!$AM$32-C1339)/C1339</f>
        <v>2.401549885516097E-2</v>
      </c>
      <c r="M1339" s="559">
        <f>'Progetto del paramento slu'!$G$60*(sezione!$AN$32-C1339)/C1339</f>
        <v>4.4193531348945679E-2</v>
      </c>
      <c r="N1339" s="559">
        <f>'Progetto del paramento slu'!$G$60*(sezione!$AO$32-C1339)/C1339</f>
        <v>5.8868464071698198E-2</v>
      </c>
      <c r="O1339" s="559">
        <f>'Progetto del paramento slu'!$G$60*(sezione!$AP$32-C1339)/C1339</f>
        <v>4.4194448532240832E-2</v>
      </c>
      <c r="P1339" s="553">
        <f>-'Progetto del paramento slu'!$G$47*'Progetto del paramento slu'!$G$41*IF(DATI!$G$218="dx",DATI!$E$61,DATI!$E$64*DATI!$E$63)*1000*C1339*sezione!$AD$5</f>
        <v>-268951.77474174515</v>
      </c>
      <c r="Q1339" s="553">
        <f>'Foglio deposito bis'!$F$68*IF(ABS(K1339)&lt;'Progetto del paramento slu'!$G$58,ABS(K1339)*'Progetto del paramento slu'!$G$54,'Progetto del paramento slu'!$G$53)*IF(K1339&lt;0,-1,1)</f>
        <v>0</v>
      </c>
      <c r="R1339" s="553">
        <f>'Foglio deposito bis'!$F$69*IF(ABS(L1339)&lt;'Progetto del paramento slu'!$G$58,ABS(L1339)*'Progetto del paramento slu'!$G$54,'Progetto del paramento slu'!$G$53)*IF(L1339&lt;0,-1,1)</f>
        <v>153664.85805602249</v>
      </c>
      <c r="S1339" s="553">
        <f>'Foglio deposito bis'!$F$70*IF(ABS(M1339)&lt;'Progetto del paramento slu'!$G$58,ABS(M1339)*'Progetto del paramento slu'!$G$54,'Progetto del paramento slu'!$G$53)*IF(M1339&lt;0,-1,1)</f>
        <v>0</v>
      </c>
      <c r="T1339" s="553">
        <f>'Foglio deposito bis'!$F$71*IF(ABS(N1339)&lt;'Progetto del paramento slu'!$G$58,ABS(N1339)*'Progetto del paramento slu'!$G$54,'Progetto del paramento slu'!$G$53)*IF(N1339&lt;0,-1,1)</f>
        <v>314705.62929873407</v>
      </c>
      <c r="U1339" s="553">
        <f>'Foglio deposito bis'!$F$72*IF(ABS(O1339)&lt;'Progetto del paramento slu'!$G$58,ABS(O1339)*'Progetto del paramento slu'!$G$54,'Progetto del paramento slu'!$G$53)*IF(O1339&lt;0,-1,1)</f>
        <v>491727.54577927204</v>
      </c>
      <c r="V1339" s="479">
        <f t="shared" si="100"/>
        <v>691146.25839228346</v>
      </c>
      <c r="W1339" s="559"/>
      <c r="X1339" s="559"/>
    </row>
    <row r="1340" spans="1:24" x14ac:dyDescent="0.25">
      <c r="A1340" s="553">
        <f t="shared" si="99"/>
        <v>688285.06929928623</v>
      </c>
      <c r="B1340" s="3">
        <f t="shared" si="101"/>
        <v>4.7499999999999911</v>
      </c>
      <c r="C1340" s="553">
        <f>'Foglio deposito bis'!$E$158/sezione!$B$247*B1340</f>
        <v>19.283135994587248</v>
      </c>
      <c r="D1340" s="611">
        <f>-'Progetto del paramento slu'!$G$47*'Progetto del paramento slu'!$G$41*IF(DATI!$G$218="dx",DATI!$E$61,DATI!$E$64*DATI!$E$63)*1000*C1340^2*sezione!$AD$5*(1-sezione!$AD$6)</f>
        <v>-3060981.306482824</v>
      </c>
      <c r="E1340" s="553">
        <f>-'Foglio deposito bis'!$F$68*(C1340-sezione!$AL$32)*IF(ABS(K1340)&lt;'Progetto del paramento slu'!$G$58,ABS(K1340)*'Progetto del paramento slu'!$G$54,'Progetto del paramento slu'!$G$53)</f>
        <v>0</v>
      </c>
      <c r="F1340" s="553">
        <f>-'Foglio deposito bis'!$F$69*(C1340-sezione!$AM$32)*IF(ABS(L1340)&lt;'Progetto del paramento slu'!$G$58,ABS(L1340)*'Progetto del paramento slu'!$G$54,'Progetto del paramento slu'!$G$53)</f>
        <v>20086588.352920149</v>
      </c>
      <c r="G1340" s="553">
        <f>-'Foglio deposito bis'!$F$70*(C1340-sezione!$AN$32)*IF(ABS(M1340)&lt;'Progetto del paramento slu'!$G$58,ABS(M1340)*'Progetto del paramento slu'!$G$54,'Progetto del paramento slu'!$G$53)</f>
        <v>0</v>
      </c>
      <c r="H1340" s="553">
        <f>-'Foglio deposito bis'!$F$71*(C1340-sezione!$AO$32)*IF(ABS(N1340)&lt;'Progetto del paramento slu'!$G$58,ABS(N1340)*'Progetto del paramento slu'!$G$54,'Progetto del paramento slu'!$G$53)</f>
        <v>100931402.51353994</v>
      </c>
      <c r="I1340" s="479">
        <f>-'Foglio deposito bis'!$F$72*(C1340-sezione!$AP$32)*IF(ABS(O1340)&lt;'Progetto del paramento slu'!$G$58,ABS(O1340)*'Progetto del paramento slu'!$G$54,'Progetto del paramento slu'!$G$53)</f>
        <v>118369571.40279323</v>
      </c>
      <c r="J1340" s="479">
        <f t="shared" si="98"/>
        <v>236326580.96277049</v>
      </c>
      <c r="K1340" s="558">
        <f>'Progetto del paramento slu'!$G$60*(sezione!$AL$32-C1340)/C1340</f>
        <v>3.7602298733617717E-3</v>
      </c>
      <c r="L1340" s="558">
        <f>'Progetto del paramento slu'!$G$60*(sezione!$AM$32-C1340)/C1340</f>
        <v>2.3725862025106646E-2</v>
      </c>
      <c r="M1340" s="559">
        <f>'Progetto del paramento slu'!$G$60*(sezione!$AN$32-C1340)/C1340</f>
        <v>4.3691494176851517E-2</v>
      </c>
      <c r="N1340" s="559">
        <f>'Progetto del paramento slu'!$G$60*(sezione!$AO$32-C1340)/C1340</f>
        <v>5.821195392357506E-2</v>
      </c>
      <c r="O1340" s="559">
        <f>'Progetto del paramento slu'!$G$60*(sezione!$AP$32-C1340)/C1340</f>
        <v>4.3692401705585665E-2</v>
      </c>
      <c r="P1340" s="553">
        <f>-'Progetto del paramento slu'!$G$47*'Progetto del paramento slu'!$G$41*IF(DATI!$G$218="dx",DATI!$E$61,DATI!$E$64*DATI!$E$63)*1000*C1340*sezione!$AD$5</f>
        <v>-271812.96383474243</v>
      </c>
      <c r="Q1340" s="553">
        <f>'Foglio deposito bis'!$F$68*IF(ABS(K1340)&lt;'Progetto del paramento slu'!$G$58,ABS(K1340)*'Progetto del paramento slu'!$G$54,'Progetto del paramento slu'!$G$53)*IF(K1340&lt;0,-1,1)</f>
        <v>0</v>
      </c>
      <c r="R1340" s="553">
        <f>'Foglio deposito bis'!$F$69*IF(ABS(L1340)&lt;'Progetto del paramento slu'!$G$58,ABS(L1340)*'Progetto del paramento slu'!$G$54,'Progetto del paramento slu'!$G$53)*IF(L1340&lt;0,-1,1)</f>
        <v>153664.85805602249</v>
      </c>
      <c r="S1340" s="553">
        <f>'Foglio deposito bis'!$F$70*IF(ABS(M1340)&lt;'Progetto del paramento slu'!$G$58,ABS(M1340)*'Progetto del paramento slu'!$G$54,'Progetto del paramento slu'!$G$53)*IF(M1340&lt;0,-1,1)</f>
        <v>0</v>
      </c>
      <c r="T1340" s="553">
        <f>'Foglio deposito bis'!$F$71*IF(ABS(N1340)&lt;'Progetto del paramento slu'!$G$58,ABS(N1340)*'Progetto del paramento slu'!$G$54,'Progetto del paramento slu'!$G$53)*IF(N1340&lt;0,-1,1)</f>
        <v>314705.62929873407</v>
      </c>
      <c r="U1340" s="553">
        <f>'Foglio deposito bis'!$F$72*IF(ABS(O1340)&lt;'Progetto del paramento slu'!$G$58,ABS(O1340)*'Progetto del paramento slu'!$G$54,'Progetto del paramento slu'!$G$53)*IF(O1340&lt;0,-1,1)</f>
        <v>491727.54577927204</v>
      </c>
      <c r="V1340" s="479">
        <f t="shared" si="100"/>
        <v>688285.06929928623</v>
      </c>
      <c r="W1340" s="559"/>
      <c r="X1340" s="559"/>
    </row>
    <row r="1341" spans="1:24" x14ac:dyDescent="0.25">
      <c r="A1341" s="553">
        <f t="shared" si="99"/>
        <v>685423.88020628889</v>
      </c>
      <c r="B1341" s="3">
        <f t="shared" si="101"/>
        <v>4.7999999999999909</v>
      </c>
      <c r="C1341" s="553">
        <f>'Foglio deposito bis'!$E$158/sezione!$B$247*B1341</f>
        <v>19.486116373477639</v>
      </c>
      <c r="D1341" s="611">
        <f>-'Progetto del paramento slu'!$G$47*'Progetto del paramento slu'!$G$41*IF(DATI!$G$218="dx",DATI!$E$61,DATI!$E$64*DATI!$E$63)*1000*C1341^2*sezione!$AD$5*(1-sezione!$AD$6)</f>
        <v>-3125762.1851020171</v>
      </c>
      <c r="E1341" s="553">
        <f>-'Foglio deposito bis'!$F$68*(C1341-sezione!$AL$32)*IF(ABS(K1341)&lt;'Progetto del paramento slu'!$G$58,ABS(K1341)*'Progetto del paramento slu'!$G$54,'Progetto del paramento slu'!$G$53)</f>
        <v>0</v>
      </c>
      <c r="F1341" s="553">
        <f>-'Foglio deposito bis'!$F$69*(C1341-sezione!$AM$32)*IF(ABS(L1341)&lt;'Progetto del paramento slu'!$G$58,ABS(L1341)*'Progetto del paramento slu'!$G$54,'Progetto del paramento slu'!$G$53)</f>
        <v>20055397.401809797</v>
      </c>
      <c r="G1341" s="553">
        <f>-'Foglio deposito bis'!$F$70*(C1341-sezione!$AN$32)*IF(ABS(M1341)&lt;'Progetto del paramento slu'!$G$58,ABS(M1341)*'Progetto del paramento slu'!$G$54,'Progetto del paramento slu'!$G$53)</f>
        <v>0</v>
      </c>
      <c r="H1341" s="553">
        <f>-'Foglio deposito bis'!$F$71*(C1341-sezione!$AO$32)*IF(ABS(N1341)&lt;'Progetto del paramento slu'!$G$58,ABS(N1341)*'Progetto del paramento slu'!$G$54,'Progetto del paramento slu'!$G$53)</f>
        <v>100867523.44566594</v>
      </c>
      <c r="I1341" s="479">
        <f>-'Foglio deposito bis'!$F$72*(C1341-sezione!$AP$32)*IF(ABS(O1341)&lt;'Progetto del paramento slu'!$G$58,ABS(O1341)*'Progetto del paramento slu'!$G$54,'Progetto del paramento slu'!$G$53)</f>
        <v>118269760.35924011</v>
      </c>
      <c r="J1341" s="479">
        <f t="shared" si="98"/>
        <v>236066919.02161384</v>
      </c>
      <c r="K1341" s="558">
        <f>'Progetto del paramento slu'!$G$60*(sezione!$AL$32-C1341)/C1341</f>
        <v>3.6846024788475869E-3</v>
      </c>
      <c r="L1341" s="558">
        <f>'Progetto del paramento slu'!$G$60*(sezione!$AM$32-C1341)/C1341</f>
        <v>2.344225929567845E-2</v>
      </c>
      <c r="M1341" s="559">
        <f>'Progetto del paramento slu'!$G$60*(sezione!$AN$32-C1341)/C1341</f>
        <v>4.3199916112509319E-2</v>
      </c>
      <c r="N1341" s="559">
        <f>'Progetto del paramento slu'!$G$60*(sezione!$AO$32-C1341)/C1341</f>
        <v>5.7569121070204503E-2</v>
      </c>
      <c r="O1341" s="559">
        <f>'Progetto del paramento slu'!$G$60*(sezione!$AP$32-C1341)/C1341</f>
        <v>4.3200814187819153E-2</v>
      </c>
      <c r="P1341" s="553">
        <f>-'Progetto del paramento slu'!$G$47*'Progetto del paramento slu'!$G$41*IF(DATI!$G$218="dx",DATI!$E$61,DATI!$E$64*DATI!$E$63)*1000*C1341*sezione!$AD$5</f>
        <v>-274674.15292773972</v>
      </c>
      <c r="Q1341" s="553">
        <f>'Foglio deposito bis'!$F$68*IF(ABS(K1341)&lt;'Progetto del paramento slu'!$G$58,ABS(K1341)*'Progetto del paramento slu'!$G$54,'Progetto del paramento slu'!$G$53)*IF(K1341&lt;0,-1,1)</f>
        <v>0</v>
      </c>
      <c r="R1341" s="553">
        <f>'Foglio deposito bis'!$F$69*IF(ABS(L1341)&lt;'Progetto del paramento slu'!$G$58,ABS(L1341)*'Progetto del paramento slu'!$G$54,'Progetto del paramento slu'!$G$53)*IF(L1341&lt;0,-1,1)</f>
        <v>153664.85805602249</v>
      </c>
      <c r="S1341" s="553">
        <f>'Foglio deposito bis'!$F$70*IF(ABS(M1341)&lt;'Progetto del paramento slu'!$G$58,ABS(M1341)*'Progetto del paramento slu'!$G$54,'Progetto del paramento slu'!$G$53)*IF(M1341&lt;0,-1,1)</f>
        <v>0</v>
      </c>
      <c r="T1341" s="553">
        <f>'Foglio deposito bis'!$F$71*IF(ABS(N1341)&lt;'Progetto del paramento slu'!$G$58,ABS(N1341)*'Progetto del paramento slu'!$G$54,'Progetto del paramento slu'!$G$53)*IF(N1341&lt;0,-1,1)</f>
        <v>314705.62929873407</v>
      </c>
      <c r="U1341" s="553">
        <f>'Foglio deposito bis'!$F$72*IF(ABS(O1341)&lt;'Progetto del paramento slu'!$G$58,ABS(O1341)*'Progetto del paramento slu'!$G$54,'Progetto del paramento slu'!$G$53)*IF(O1341&lt;0,-1,1)</f>
        <v>491727.54577927204</v>
      </c>
      <c r="V1341" s="479">
        <f t="shared" si="100"/>
        <v>685423.88020628889</v>
      </c>
      <c r="W1341" s="559"/>
      <c r="X1341" s="559"/>
    </row>
    <row r="1342" spans="1:24" x14ac:dyDescent="0.25">
      <c r="A1342" s="553">
        <f t="shared" si="99"/>
        <v>682562.69111329154</v>
      </c>
      <c r="B1342" s="3">
        <f t="shared" si="101"/>
        <v>4.8499999999999908</v>
      </c>
      <c r="C1342" s="553">
        <f>'Foglio deposito bis'!$E$158/sezione!$B$247*B1342</f>
        <v>19.68909675236803</v>
      </c>
      <c r="D1342" s="611">
        <f>-'Progetto del paramento slu'!$G$47*'Progetto del paramento slu'!$G$41*IF(DATI!$G$218="dx",DATI!$E$61,DATI!$E$64*DATI!$E$63)*1000*C1342^2*sezione!$AD$5*(1-sezione!$AD$6)</f>
        <v>-3191221.3975287406</v>
      </c>
      <c r="E1342" s="553">
        <f>-'Foglio deposito bis'!$F$68*(C1342-sezione!$AL$32)*IF(ABS(K1342)&lt;'Progetto del paramento slu'!$G$58,ABS(K1342)*'Progetto del paramento slu'!$G$54,'Progetto del paramento slu'!$G$53)</f>
        <v>0</v>
      </c>
      <c r="F1342" s="553">
        <f>-'Foglio deposito bis'!$F$69*(C1342-sezione!$AM$32)*IF(ABS(L1342)&lt;'Progetto del paramento slu'!$G$58,ABS(L1342)*'Progetto del paramento slu'!$G$54,'Progetto del paramento slu'!$G$53)</f>
        <v>20024206.450699449</v>
      </c>
      <c r="G1342" s="553">
        <f>-'Foglio deposito bis'!$F$70*(C1342-sezione!$AN$32)*IF(ABS(M1342)&lt;'Progetto del paramento slu'!$G$58,ABS(M1342)*'Progetto del paramento slu'!$G$54,'Progetto del paramento slu'!$G$53)</f>
        <v>0</v>
      </c>
      <c r="H1342" s="553">
        <f>-'Foglio deposito bis'!$F$71*(C1342-sezione!$AO$32)*IF(ABS(N1342)&lt;'Progetto del paramento slu'!$G$58,ABS(N1342)*'Progetto del paramento slu'!$G$54,'Progetto del paramento slu'!$G$53)</f>
        <v>100803644.37779196</v>
      </c>
      <c r="I1342" s="479">
        <f>-'Foglio deposito bis'!$F$72*(C1342-sezione!$AP$32)*IF(ABS(O1342)&lt;'Progetto del paramento slu'!$G$58,ABS(O1342)*'Progetto del paramento slu'!$G$54,'Progetto del paramento slu'!$G$53)</f>
        <v>118169949.31568702</v>
      </c>
      <c r="J1342" s="479">
        <f t="shared" si="98"/>
        <v>235806578.74664968</v>
      </c>
      <c r="K1342" s="558">
        <f>'Progetto del paramento slu'!$G$60*(sezione!$AL$32-C1342)/C1342</f>
        <v>3.6105344120553442E-3</v>
      </c>
      <c r="L1342" s="558">
        <f>'Progetto del paramento slu'!$G$60*(sezione!$AM$32-C1342)/C1342</f>
        <v>2.3164504045207542E-2</v>
      </c>
      <c r="M1342" s="559">
        <f>'Progetto del paramento slu'!$G$60*(sezione!$AN$32-C1342)/C1342</f>
        <v>4.2718473678359743E-2</v>
      </c>
      <c r="N1342" s="559">
        <f>'Progetto del paramento slu'!$G$60*(sezione!$AO$32-C1342)/C1342</f>
        <v>5.6939542502470436E-2</v>
      </c>
      <c r="O1342" s="559">
        <f>'Progetto del paramento slu'!$G$60*(sezione!$AP$32-C1342)/C1342</f>
        <v>4.2719362495161221E-2</v>
      </c>
      <c r="P1342" s="553">
        <f>-'Progetto del paramento slu'!$G$47*'Progetto del paramento slu'!$G$41*IF(DATI!$G$218="dx",DATI!$E$61,DATI!$E$64*DATI!$E$63)*1000*C1342*sezione!$AD$5</f>
        <v>-277535.34202073701</v>
      </c>
      <c r="Q1342" s="553">
        <f>'Foglio deposito bis'!$F$68*IF(ABS(K1342)&lt;'Progetto del paramento slu'!$G$58,ABS(K1342)*'Progetto del paramento slu'!$G$54,'Progetto del paramento slu'!$G$53)*IF(K1342&lt;0,-1,1)</f>
        <v>0</v>
      </c>
      <c r="R1342" s="553">
        <f>'Foglio deposito bis'!$F$69*IF(ABS(L1342)&lt;'Progetto del paramento slu'!$G$58,ABS(L1342)*'Progetto del paramento slu'!$G$54,'Progetto del paramento slu'!$G$53)*IF(L1342&lt;0,-1,1)</f>
        <v>153664.85805602249</v>
      </c>
      <c r="S1342" s="553">
        <f>'Foglio deposito bis'!$F$70*IF(ABS(M1342)&lt;'Progetto del paramento slu'!$G$58,ABS(M1342)*'Progetto del paramento slu'!$G$54,'Progetto del paramento slu'!$G$53)*IF(M1342&lt;0,-1,1)</f>
        <v>0</v>
      </c>
      <c r="T1342" s="553">
        <f>'Foglio deposito bis'!$F$71*IF(ABS(N1342)&lt;'Progetto del paramento slu'!$G$58,ABS(N1342)*'Progetto del paramento slu'!$G$54,'Progetto del paramento slu'!$G$53)*IF(N1342&lt;0,-1,1)</f>
        <v>314705.62929873407</v>
      </c>
      <c r="U1342" s="553">
        <f>'Foglio deposito bis'!$F$72*IF(ABS(O1342)&lt;'Progetto del paramento slu'!$G$58,ABS(O1342)*'Progetto del paramento slu'!$G$54,'Progetto del paramento slu'!$G$53)*IF(O1342&lt;0,-1,1)</f>
        <v>491727.54577927204</v>
      </c>
      <c r="V1342" s="479">
        <f t="shared" si="100"/>
        <v>682562.69111329154</v>
      </c>
      <c r="W1342" s="559"/>
      <c r="X1342" s="559"/>
    </row>
    <row r="1343" spans="1:24" x14ac:dyDescent="0.25">
      <c r="A1343" s="553">
        <f t="shared" si="99"/>
        <v>679701.50202029431</v>
      </c>
      <c r="B1343" s="3">
        <f t="shared" si="101"/>
        <v>4.8999999999999906</v>
      </c>
      <c r="C1343" s="553">
        <f>'Foglio deposito bis'!$E$158/sezione!$B$247*B1343</f>
        <v>19.892077131258425</v>
      </c>
      <c r="D1343" s="611">
        <f>-'Progetto del paramento slu'!$G$47*'Progetto del paramento slu'!$G$41*IF(DATI!$G$218="dx",DATI!$E$61,DATI!$E$64*DATI!$E$63)*1000*C1343^2*sezione!$AD$5*(1-sezione!$AD$6)</f>
        <v>-3257358.9437629962</v>
      </c>
      <c r="E1343" s="553">
        <f>-'Foglio deposito bis'!$F$68*(C1343-sezione!$AL$32)*IF(ABS(K1343)&lt;'Progetto del paramento slu'!$G$58,ABS(K1343)*'Progetto del paramento slu'!$G$54,'Progetto del paramento slu'!$G$53)</f>
        <v>0</v>
      </c>
      <c r="F1343" s="553">
        <f>-'Foglio deposito bis'!$F$69*(C1343-sezione!$AM$32)*IF(ABS(L1343)&lt;'Progetto del paramento slu'!$G$58,ABS(L1343)*'Progetto del paramento slu'!$G$54,'Progetto del paramento slu'!$G$53)</f>
        <v>19993015.4995891</v>
      </c>
      <c r="G1343" s="553">
        <f>-'Foglio deposito bis'!$F$70*(C1343-sezione!$AN$32)*IF(ABS(M1343)&lt;'Progetto del paramento slu'!$G$58,ABS(M1343)*'Progetto del paramento slu'!$G$54,'Progetto del paramento slu'!$G$53)</f>
        <v>0</v>
      </c>
      <c r="H1343" s="553">
        <f>-'Foglio deposito bis'!$F$71*(C1343-sezione!$AO$32)*IF(ABS(N1343)&lt;'Progetto del paramento slu'!$G$58,ABS(N1343)*'Progetto del paramento slu'!$G$54,'Progetto del paramento slu'!$G$53)</f>
        <v>100739765.30991796</v>
      </c>
      <c r="I1343" s="479">
        <f>-'Foglio deposito bis'!$F$72*(C1343-sezione!$AP$32)*IF(ABS(O1343)&lt;'Progetto del paramento slu'!$G$58,ABS(O1343)*'Progetto del paramento slu'!$G$54,'Progetto del paramento slu'!$G$53)</f>
        <v>118070138.27213387</v>
      </c>
      <c r="J1343" s="479">
        <f t="shared" si="98"/>
        <v>235545560.13787794</v>
      </c>
      <c r="K1343" s="558">
        <f>'Progetto del paramento slu'!$G$60*(sezione!$AL$32-C1343)/C1343</f>
        <v>3.5379779384629418E-3</v>
      </c>
      <c r="L1343" s="558">
        <f>'Progetto del paramento slu'!$G$60*(sezione!$AM$32-C1343)/C1343</f>
        <v>2.2892417269236034E-2</v>
      </c>
      <c r="M1343" s="559">
        <f>'Progetto del paramento slu'!$G$60*(sezione!$AN$32-C1343)/C1343</f>
        <v>4.2246856600009125E-2</v>
      </c>
      <c r="N1343" s="559">
        <f>'Progetto del paramento slu'!$G$60*(sezione!$AO$32-C1343)/C1343</f>
        <v>5.6322812476935005E-2</v>
      </c>
      <c r="O1343" s="559">
        <f>'Progetto del paramento slu'!$G$60*(sezione!$AP$32-C1343)/C1343</f>
        <v>4.2247736347251409E-2</v>
      </c>
      <c r="P1343" s="553">
        <f>-'Progetto del paramento slu'!$G$47*'Progetto del paramento slu'!$G$41*IF(DATI!$G$218="dx",DATI!$E$61,DATI!$E$64*DATI!$E$63)*1000*C1343*sezione!$AD$5</f>
        <v>-280396.53111373429</v>
      </c>
      <c r="Q1343" s="553">
        <f>'Foglio deposito bis'!$F$68*IF(ABS(K1343)&lt;'Progetto del paramento slu'!$G$58,ABS(K1343)*'Progetto del paramento slu'!$G$54,'Progetto del paramento slu'!$G$53)*IF(K1343&lt;0,-1,1)</f>
        <v>0</v>
      </c>
      <c r="R1343" s="553">
        <f>'Foglio deposito bis'!$F$69*IF(ABS(L1343)&lt;'Progetto del paramento slu'!$G$58,ABS(L1343)*'Progetto del paramento slu'!$G$54,'Progetto del paramento slu'!$G$53)*IF(L1343&lt;0,-1,1)</f>
        <v>153664.85805602249</v>
      </c>
      <c r="S1343" s="553">
        <f>'Foglio deposito bis'!$F$70*IF(ABS(M1343)&lt;'Progetto del paramento slu'!$G$58,ABS(M1343)*'Progetto del paramento slu'!$G$54,'Progetto del paramento slu'!$G$53)*IF(M1343&lt;0,-1,1)</f>
        <v>0</v>
      </c>
      <c r="T1343" s="553">
        <f>'Foglio deposito bis'!$F$71*IF(ABS(N1343)&lt;'Progetto del paramento slu'!$G$58,ABS(N1343)*'Progetto del paramento slu'!$G$54,'Progetto del paramento slu'!$G$53)*IF(N1343&lt;0,-1,1)</f>
        <v>314705.62929873407</v>
      </c>
      <c r="U1343" s="553">
        <f>'Foglio deposito bis'!$F$72*IF(ABS(O1343)&lt;'Progetto del paramento slu'!$G$58,ABS(O1343)*'Progetto del paramento slu'!$G$54,'Progetto del paramento slu'!$G$53)*IF(O1343&lt;0,-1,1)</f>
        <v>491727.54577927204</v>
      </c>
      <c r="V1343" s="479">
        <f t="shared" si="100"/>
        <v>679701.50202029431</v>
      </c>
      <c r="W1343" s="559"/>
      <c r="X1343" s="559"/>
    </row>
    <row r="1344" spans="1:24" x14ac:dyDescent="0.25">
      <c r="A1344" s="553">
        <f t="shared" si="99"/>
        <v>676840.31292729708</v>
      </c>
      <c r="B1344" s="3">
        <f t="shared" si="101"/>
        <v>4.9499999999999904</v>
      </c>
      <c r="C1344" s="553">
        <f>'Foglio deposito bis'!$E$158/sezione!$B$247*B1344</f>
        <v>20.095057510148816</v>
      </c>
      <c r="D1344" s="611">
        <f>-'Progetto del paramento slu'!$G$47*'Progetto del paramento slu'!$G$41*IF(DATI!$G$218="dx",DATI!$E$61,DATI!$E$64*DATI!$E$63)*1000*C1344^2*sezione!$AD$5*(1-sezione!$AD$6)</f>
        <v>-3324174.8238047818</v>
      </c>
      <c r="E1344" s="553">
        <f>-'Foglio deposito bis'!$F$68*(C1344-sezione!$AL$32)*IF(ABS(K1344)&lt;'Progetto del paramento slu'!$G$58,ABS(K1344)*'Progetto del paramento slu'!$G$54,'Progetto del paramento slu'!$G$53)</f>
        <v>0</v>
      </c>
      <c r="F1344" s="553">
        <f>-'Foglio deposito bis'!$F$69*(C1344-sezione!$AM$32)*IF(ABS(L1344)&lt;'Progetto del paramento slu'!$G$58,ABS(L1344)*'Progetto del paramento slu'!$G$54,'Progetto del paramento slu'!$G$53)</f>
        <v>19961824.548478745</v>
      </c>
      <c r="G1344" s="553">
        <f>-'Foglio deposito bis'!$F$70*(C1344-sezione!$AN$32)*IF(ABS(M1344)&lt;'Progetto del paramento slu'!$G$58,ABS(M1344)*'Progetto del paramento slu'!$G$54,'Progetto del paramento slu'!$G$53)</f>
        <v>0</v>
      </c>
      <c r="H1344" s="553">
        <f>-'Foglio deposito bis'!$F$71*(C1344-sezione!$AO$32)*IF(ABS(N1344)&lt;'Progetto del paramento slu'!$G$58,ABS(N1344)*'Progetto del paramento slu'!$G$54,'Progetto del paramento slu'!$G$53)</f>
        <v>100675886.24204396</v>
      </c>
      <c r="I1344" s="479">
        <f>-'Foglio deposito bis'!$F$72*(C1344-sezione!$AP$32)*IF(ABS(O1344)&lt;'Progetto del paramento slu'!$G$58,ABS(O1344)*'Progetto del paramento slu'!$G$54,'Progetto del paramento slu'!$G$53)</f>
        <v>117970327.22858076</v>
      </c>
      <c r="J1344" s="479">
        <f t="shared" si="98"/>
        <v>235283863.19529867</v>
      </c>
      <c r="K1344" s="558">
        <f>'Progetto del paramento slu'!$G$60*(sezione!$AL$32-C1344)/C1344</f>
        <v>3.4668872522158416E-3</v>
      </c>
      <c r="L1344" s="558">
        <f>'Progetto del paramento slu'!$G$60*(sezione!$AM$32-C1344)/C1344</f>
        <v>2.2625827195809405E-2</v>
      </c>
      <c r="M1344" s="559">
        <f>'Progetto del paramento slu'!$G$60*(sezione!$AN$32-C1344)/C1344</f>
        <v>4.1784767139402969E-2</v>
      </c>
      <c r="N1344" s="559">
        <f>'Progetto del paramento slu'!$G$60*(sezione!$AO$32-C1344)/C1344</f>
        <v>5.5718541643834656E-2</v>
      </c>
      <c r="O1344" s="559">
        <f>'Progetto del paramento slu'!$G$60*(sezione!$AP$32-C1344)/C1344</f>
        <v>4.1785638000309482E-2</v>
      </c>
      <c r="P1344" s="553">
        <f>-'Progetto del paramento slu'!$G$47*'Progetto del paramento slu'!$G$41*IF(DATI!$G$218="dx",DATI!$E$61,DATI!$E$64*DATI!$E$63)*1000*C1344*sezione!$AD$5</f>
        <v>-283257.72020673158</v>
      </c>
      <c r="Q1344" s="553">
        <f>'Foglio deposito bis'!$F$68*IF(ABS(K1344)&lt;'Progetto del paramento slu'!$G$58,ABS(K1344)*'Progetto del paramento slu'!$G$54,'Progetto del paramento slu'!$G$53)*IF(K1344&lt;0,-1,1)</f>
        <v>0</v>
      </c>
      <c r="R1344" s="553">
        <f>'Foglio deposito bis'!$F$69*IF(ABS(L1344)&lt;'Progetto del paramento slu'!$G$58,ABS(L1344)*'Progetto del paramento slu'!$G$54,'Progetto del paramento slu'!$G$53)*IF(L1344&lt;0,-1,1)</f>
        <v>153664.85805602249</v>
      </c>
      <c r="S1344" s="553">
        <f>'Foglio deposito bis'!$F$70*IF(ABS(M1344)&lt;'Progetto del paramento slu'!$G$58,ABS(M1344)*'Progetto del paramento slu'!$G$54,'Progetto del paramento slu'!$G$53)*IF(M1344&lt;0,-1,1)</f>
        <v>0</v>
      </c>
      <c r="T1344" s="553">
        <f>'Foglio deposito bis'!$F$71*IF(ABS(N1344)&lt;'Progetto del paramento slu'!$G$58,ABS(N1344)*'Progetto del paramento slu'!$G$54,'Progetto del paramento slu'!$G$53)*IF(N1344&lt;0,-1,1)</f>
        <v>314705.62929873407</v>
      </c>
      <c r="U1344" s="553">
        <f>'Foglio deposito bis'!$F$72*IF(ABS(O1344)&lt;'Progetto del paramento slu'!$G$58,ABS(O1344)*'Progetto del paramento slu'!$G$54,'Progetto del paramento slu'!$G$53)*IF(O1344&lt;0,-1,1)</f>
        <v>491727.54577927204</v>
      </c>
      <c r="V1344" s="479">
        <f t="shared" si="100"/>
        <v>676840.31292729708</v>
      </c>
      <c r="W1344" s="559"/>
      <c r="X1344" s="559"/>
    </row>
    <row r="1345" spans="1:24" x14ac:dyDescent="0.25">
      <c r="A1345" s="553">
        <f t="shared" si="99"/>
        <v>673979.12383429974</v>
      </c>
      <c r="B1345" s="3">
        <f t="shared" si="101"/>
        <v>4.9999999999999902</v>
      </c>
      <c r="C1345" s="553">
        <f>'Foglio deposito bis'!$E$158/sezione!$B$247*B1345</f>
        <v>20.298037889039207</v>
      </c>
      <c r="D1345" s="611">
        <f>-'Progetto del paramento slu'!$G$47*'Progetto del paramento slu'!$G$41*IF(DATI!$G$218="dx",DATI!$E$61,DATI!$E$64*DATI!$E$63)*1000*C1345^2*sezione!$AD$5*(1-sezione!$AD$6)</f>
        <v>-3391669.0376540986</v>
      </c>
      <c r="E1345" s="553">
        <f>-'Foglio deposito bis'!$F$68*(C1345-sezione!$AL$32)*IF(ABS(K1345)&lt;'Progetto del paramento slu'!$G$58,ABS(K1345)*'Progetto del paramento slu'!$G$54,'Progetto del paramento slu'!$G$53)</f>
        <v>0</v>
      </c>
      <c r="F1345" s="553">
        <f>-'Foglio deposito bis'!$F$69*(C1345-sezione!$AM$32)*IF(ABS(L1345)&lt;'Progetto del paramento slu'!$G$58,ABS(L1345)*'Progetto del paramento slu'!$G$54,'Progetto del paramento slu'!$G$53)</f>
        <v>19930633.597368397</v>
      </c>
      <c r="G1345" s="553">
        <f>-'Foglio deposito bis'!$F$70*(C1345-sezione!$AN$32)*IF(ABS(M1345)&lt;'Progetto del paramento slu'!$G$58,ABS(M1345)*'Progetto del paramento slu'!$G$54,'Progetto del paramento slu'!$G$53)</f>
        <v>0</v>
      </c>
      <c r="H1345" s="553">
        <f>-'Foglio deposito bis'!$F$71*(C1345-sezione!$AO$32)*IF(ABS(N1345)&lt;'Progetto del paramento slu'!$G$58,ABS(N1345)*'Progetto del paramento slu'!$G$54,'Progetto del paramento slu'!$G$53)</f>
        <v>100612007.17416996</v>
      </c>
      <c r="I1345" s="479">
        <f>-'Foglio deposito bis'!$F$72*(C1345-sezione!$AP$32)*IF(ABS(O1345)&lt;'Progetto del paramento slu'!$G$58,ABS(O1345)*'Progetto del paramento slu'!$G$54,'Progetto del paramento slu'!$G$53)</f>
        <v>117870516.18502763</v>
      </c>
      <c r="J1345" s="479">
        <f t="shared" si="98"/>
        <v>235021487.91891187</v>
      </c>
      <c r="K1345" s="558">
        <f>'Progetto del paramento slu'!$G$60*(sezione!$AL$32-C1345)/C1345</f>
        <v>3.3972183796936836E-3</v>
      </c>
      <c r="L1345" s="558">
        <f>'Progetto del paramento slu'!$G$60*(sezione!$AM$32-C1345)/C1345</f>
        <v>2.2364568923851309E-2</v>
      </c>
      <c r="M1345" s="559">
        <f>'Progetto del paramento slu'!$G$60*(sezione!$AN$32-C1345)/C1345</f>
        <v>4.1331919468008939E-2</v>
      </c>
      <c r="N1345" s="559">
        <f>'Progetto del paramento slu'!$G$60*(sezione!$AO$32-C1345)/C1345</f>
        <v>5.5126356227396311E-2</v>
      </c>
      <c r="O1345" s="559">
        <f>'Progetto del paramento slu'!$G$60*(sezione!$AP$32-C1345)/C1345</f>
        <v>4.1332781620306382E-2</v>
      </c>
      <c r="P1345" s="553">
        <f>-'Progetto del paramento slu'!$G$47*'Progetto del paramento slu'!$G$41*IF(DATI!$G$218="dx",DATI!$E$61,DATI!$E$64*DATI!$E$63)*1000*C1345*sezione!$AD$5</f>
        <v>-286118.90929972887</v>
      </c>
      <c r="Q1345" s="553">
        <f>'Foglio deposito bis'!$F$68*IF(ABS(K1345)&lt;'Progetto del paramento slu'!$G$58,ABS(K1345)*'Progetto del paramento slu'!$G$54,'Progetto del paramento slu'!$G$53)*IF(K1345&lt;0,-1,1)</f>
        <v>0</v>
      </c>
      <c r="R1345" s="553">
        <f>'Foglio deposito bis'!$F$69*IF(ABS(L1345)&lt;'Progetto del paramento slu'!$G$58,ABS(L1345)*'Progetto del paramento slu'!$G$54,'Progetto del paramento slu'!$G$53)*IF(L1345&lt;0,-1,1)</f>
        <v>153664.85805602249</v>
      </c>
      <c r="S1345" s="553">
        <f>'Foglio deposito bis'!$F$70*IF(ABS(M1345)&lt;'Progetto del paramento slu'!$G$58,ABS(M1345)*'Progetto del paramento slu'!$G$54,'Progetto del paramento slu'!$G$53)*IF(M1345&lt;0,-1,1)</f>
        <v>0</v>
      </c>
      <c r="T1345" s="553">
        <f>'Foglio deposito bis'!$F$71*IF(ABS(N1345)&lt;'Progetto del paramento slu'!$G$58,ABS(N1345)*'Progetto del paramento slu'!$G$54,'Progetto del paramento slu'!$G$53)*IF(N1345&lt;0,-1,1)</f>
        <v>314705.62929873407</v>
      </c>
      <c r="U1345" s="553">
        <f>'Foglio deposito bis'!$F$72*IF(ABS(O1345)&lt;'Progetto del paramento slu'!$G$58,ABS(O1345)*'Progetto del paramento slu'!$G$54,'Progetto del paramento slu'!$G$53)*IF(O1345&lt;0,-1,1)</f>
        <v>491727.54577927204</v>
      </c>
      <c r="V1345" s="479">
        <f t="shared" si="100"/>
        <v>673979.12383429974</v>
      </c>
      <c r="W1345" s="559"/>
      <c r="X1345" s="559"/>
    </row>
    <row r="1346" spans="1:24" x14ac:dyDescent="0.25">
      <c r="A1346" s="553">
        <f t="shared" si="99"/>
        <v>671117.93474130239</v>
      </c>
      <c r="B1346" s="3">
        <f t="shared" si="101"/>
        <v>5.0499999999999901</v>
      </c>
      <c r="C1346" s="553">
        <f>'Foglio deposito bis'!$E$158/sezione!$B$247*B1346</f>
        <v>20.501018267929599</v>
      </c>
      <c r="D1346" s="611">
        <f>-'Progetto del paramento slu'!$G$47*'Progetto del paramento slu'!$G$41*IF(DATI!$G$218="dx",DATI!$E$61,DATI!$E$64*DATI!$E$63)*1000*C1346^2*sezione!$AD$5*(1-sezione!$AD$6)</f>
        <v>-3459841.5853109458</v>
      </c>
      <c r="E1346" s="553">
        <f>-'Foglio deposito bis'!$F$68*(C1346-sezione!$AL$32)*IF(ABS(K1346)&lt;'Progetto del paramento slu'!$G$58,ABS(K1346)*'Progetto del paramento slu'!$G$54,'Progetto del paramento slu'!$G$53)</f>
        <v>0</v>
      </c>
      <c r="F1346" s="553">
        <f>-'Foglio deposito bis'!$F$69*(C1346-sezione!$AM$32)*IF(ABS(L1346)&lt;'Progetto del paramento slu'!$G$58,ABS(L1346)*'Progetto del paramento slu'!$G$54,'Progetto del paramento slu'!$G$53)</f>
        <v>19899442.646258049</v>
      </c>
      <c r="G1346" s="553">
        <f>-'Foglio deposito bis'!$F$70*(C1346-sezione!$AN$32)*IF(ABS(M1346)&lt;'Progetto del paramento slu'!$G$58,ABS(M1346)*'Progetto del paramento slu'!$G$54,'Progetto del paramento slu'!$G$53)</f>
        <v>0</v>
      </c>
      <c r="H1346" s="553">
        <f>-'Foglio deposito bis'!$F$71*(C1346-sezione!$AO$32)*IF(ABS(N1346)&lt;'Progetto del paramento slu'!$G$58,ABS(N1346)*'Progetto del paramento slu'!$G$54,'Progetto del paramento slu'!$G$53)</f>
        <v>100548128.10629596</v>
      </c>
      <c r="I1346" s="479">
        <f>-'Foglio deposito bis'!$F$72*(C1346-sezione!$AP$32)*IF(ABS(O1346)&lt;'Progetto del paramento slu'!$G$58,ABS(O1346)*'Progetto del paramento slu'!$G$54,'Progetto del paramento slu'!$G$53)</f>
        <v>117770705.14147453</v>
      </c>
      <c r="J1346" s="479">
        <f t="shared" si="98"/>
        <v>234758434.30871761</v>
      </c>
      <c r="K1346" s="558">
        <f>'Progetto del paramento slu'!$G$60*(sezione!$AL$32-C1346)/C1346</f>
        <v>3.3289290888056278E-3</v>
      </c>
      <c r="L1346" s="558">
        <f>'Progetto del paramento slu'!$G$60*(sezione!$AM$32-C1346)/C1346</f>
        <v>2.2108484083021105E-2</v>
      </c>
      <c r="M1346" s="559">
        <f>'Progetto del paramento slu'!$G$60*(sezione!$AN$32-C1346)/C1346</f>
        <v>4.0888039077236579E-2</v>
      </c>
      <c r="N1346" s="559">
        <f>'Progetto del paramento slu'!$G$60*(sezione!$AO$32-C1346)/C1346</f>
        <v>5.4545897254847833E-2</v>
      </c>
      <c r="O1346" s="559">
        <f>'Progetto del paramento slu'!$G$60*(sezione!$AP$32-C1346)/C1346</f>
        <v>4.0888892693372661E-2</v>
      </c>
      <c r="P1346" s="553">
        <f>-'Progetto del paramento slu'!$G$47*'Progetto del paramento slu'!$G$41*IF(DATI!$G$218="dx",DATI!$E$61,DATI!$E$64*DATI!$E$63)*1000*C1346*sezione!$AD$5</f>
        <v>-288980.09839272615</v>
      </c>
      <c r="Q1346" s="553">
        <f>'Foglio deposito bis'!$F$68*IF(ABS(K1346)&lt;'Progetto del paramento slu'!$G$58,ABS(K1346)*'Progetto del paramento slu'!$G$54,'Progetto del paramento slu'!$G$53)*IF(K1346&lt;0,-1,1)</f>
        <v>0</v>
      </c>
      <c r="R1346" s="553">
        <f>'Foglio deposito bis'!$F$69*IF(ABS(L1346)&lt;'Progetto del paramento slu'!$G$58,ABS(L1346)*'Progetto del paramento slu'!$G$54,'Progetto del paramento slu'!$G$53)*IF(L1346&lt;0,-1,1)</f>
        <v>153664.85805602249</v>
      </c>
      <c r="S1346" s="553">
        <f>'Foglio deposito bis'!$F$70*IF(ABS(M1346)&lt;'Progetto del paramento slu'!$G$58,ABS(M1346)*'Progetto del paramento slu'!$G$54,'Progetto del paramento slu'!$G$53)*IF(M1346&lt;0,-1,1)</f>
        <v>0</v>
      </c>
      <c r="T1346" s="553">
        <f>'Foglio deposito bis'!$F$71*IF(ABS(N1346)&lt;'Progetto del paramento slu'!$G$58,ABS(N1346)*'Progetto del paramento slu'!$G$54,'Progetto del paramento slu'!$G$53)*IF(N1346&lt;0,-1,1)</f>
        <v>314705.62929873407</v>
      </c>
      <c r="U1346" s="553">
        <f>'Foglio deposito bis'!$F$72*IF(ABS(O1346)&lt;'Progetto del paramento slu'!$G$58,ABS(O1346)*'Progetto del paramento slu'!$G$54,'Progetto del paramento slu'!$G$53)*IF(O1346&lt;0,-1,1)</f>
        <v>491727.54577927204</v>
      </c>
      <c r="V1346" s="479">
        <f t="shared" si="100"/>
        <v>671117.93474130239</v>
      </c>
      <c r="W1346" s="559"/>
      <c r="X1346" s="559"/>
    </row>
    <row r="1347" spans="1:24" x14ac:dyDescent="0.25">
      <c r="A1347" s="553">
        <f t="shared" si="99"/>
        <v>668256.74564830516</v>
      </c>
      <c r="B1347" s="3">
        <f t="shared" si="101"/>
        <v>5.0999999999999899</v>
      </c>
      <c r="C1347" s="553">
        <f>'Foglio deposito bis'!$E$158/sezione!$B$247*B1347</f>
        <v>20.70399864681999</v>
      </c>
      <c r="D1347" s="611">
        <f>-'Progetto del paramento slu'!$G$47*'Progetto del paramento slu'!$G$41*IF(DATI!$G$218="dx",DATI!$E$61,DATI!$E$64*DATI!$E$63)*1000*C1347^2*sezione!$AD$5*(1-sezione!$AD$6)</f>
        <v>-3528692.4667753233</v>
      </c>
      <c r="E1347" s="553">
        <f>-'Foglio deposito bis'!$F$68*(C1347-sezione!$AL$32)*IF(ABS(K1347)&lt;'Progetto del paramento slu'!$G$58,ABS(K1347)*'Progetto del paramento slu'!$G$54,'Progetto del paramento slu'!$G$53)</f>
        <v>0</v>
      </c>
      <c r="F1347" s="553">
        <f>-'Foglio deposito bis'!$F$69*(C1347-sezione!$AM$32)*IF(ABS(L1347)&lt;'Progetto del paramento slu'!$G$58,ABS(L1347)*'Progetto del paramento slu'!$G$54,'Progetto del paramento slu'!$G$53)</f>
        <v>19868251.695147697</v>
      </c>
      <c r="G1347" s="553">
        <f>-'Foglio deposito bis'!$F$70*(C1347-sezione!$AN$32)*IF(ABS(M1347)&lt;'Progetto del paramento slu'!$G$58,ABS(M1347)*'Progetto del paramento slu'!$G$54,'Progetto del paramento slu'!$G$53)</f>
        <v>0</v>
      </c>
      <c r="H1347" s="553">
        <f>-'Foglio deposito bis'!$F$71*(C1347-sezione!$AO$32)*IF(ABS(N1347)&lt;'Progetto del paramento slu'!$G$58,ABS(N1347)*'Progetto del paramento slu'!$G$54,'Progetto del paramento slu'!$G$53)</f>
        <v>100484249.03842197</v>
      </c>
      <c r="I1347" s="479">
        <f>-'Foglio deposito bis'!$F$72*(C1347-sezione!$AP$32)*IF(ABS(O1347)&lt;'Progetto del paramento slu'!$G$58,ABS(O1347)*'Progetto del paramento slu'!$G$54,'Progetto del paramento slu'!$G$53)</f>
        <v>117670894.09792139</v>
      </c>
      <c r="J1347" s="479">
        <f t="shared" si="98"/>
        <v>234494702.36471575</v>
      </c>
      <c r="K1347" s="558">
        <f>'Progetto del paramento slu'!$G$60*(sezione!$AL$32-C1347)/C1347</f>
        <v>3.2619788036212594E-3</v>
      </c>
      <c r="L1347" s="558">
        <f>'Progetto del paramento slu'!$G$60*(sezione!$AM$32-C1347)/C1347</f>
        <v>2.1857420513579723E-2</v>
      </c>
      <c r="M1347" s="559">
        <f>'Progetto del paramento slu'!$G$60*(sezione!$AN$32-C1347)/C1347</f>
        <v>4.045286222353818E-2</v>
      </c>
      <c r="N1347" s="559">
        <f>'Progetto del paramento slu'!$G$60*(sezione!$AO$32-C1347)/C1347</f>
        <v>5.397681983078071E-2</v>
      </c>
      <c r="O1347" s="559">
        <f>'Progetto del paramento slu'!$G$60*(sezione!$AP$32-C1347)/C1347</f>
        <v>4.0453707470888618E-2</v>
      </c>
      <c r="P1347" s="553">
        <f>-'Progetto del paramento slu'!$G$47*'Progetto del paramento slu'!$G$41*IF(DATI!$G$218="dx",DATI!$E$61,DATI!$E$64*DATI!$E$63)*1000*C1347*sezione!$AD$5</f>
        <v>-291841.28748572344</v>
      </c>
      <c r="Q1347" s="553">
        <f>'Foglio deposito bis'!$F$68*IF(ABS(K1347)&lt;'Progetto del paramento slu'!$G$58,ABS(K1347)*'Progetto del paramento slu'!$G$54,'Progetto del paramento slu'!$G$53)*IF(K1347&lt;0,-1,1)</f>
        <v>0</v>
      </c>
      <c r="R1347" s="553">
        <f>'Foglio deposito bis'!$F$69*IF(ABS(L1347)&lt;'Progetto del paramento slu'!$G$58,ABS(L1347)*'Progetto del paramento slu'!$G$54,'Progetto del paramento slu'!$G$53)*IF(L1347&lt;0,-1,1)</f>
        <v>153664.85805602249</v>
      </c>
      <c r="S1347" s="553">
        <f>'Foglio deposito bis'!$F$70*IF(ABS(M1347)&lt;'Progetto del paramento slu'!$G$58,ABS(M1347)*'Progetto del paramento slu'!$G$54,'Progetto del paramento slu'!$G$53)*IF(M1347&lt;0,-1,1)</f>
        <v>0</v>
      </c>
      <c r="T1347" s="553">
        <f>'Foglio deposito bis'!$F$71*IF(ABS(N1347)&lt;'Progetto del paramento slu'!$G$58,ABS(N1347)*'Progetto del paramento slu'!$G$54,'Progetto del paramento slu'!$G$53)*IF(N1347&lt;0,-1,1)</f>
        <v>314705.62929873407</v>
      </c>
      <c r="U1347" s="553">
        <f>'Foglio deposito bis'!$F$72*IF(ABS(O1347)&lt;'Progetto del paramento slu'!$G$58,ABS(O1347)*'Progetto del paramento slu'!$G$54,'Progetto del paramento slu'!$G$53)*IF(O1347&lt;0,-1,1)</f>
        <v>491727.54577927204</v>
      </c>
      <c r="V1347" s="479">
        <f t="shared" si="100"/>
        <v>668256.74564830516</v>
      </c>
      <c r="W1347" s="559"/>
      <c r="X1347" s="559"/>
    </row>
    <row r="1348" spans="1:24" x14ac:dyDescent="0.25">
      <c r="A1348" s="553">
        <f t="shared" si="99"/>
        <v>656811.98927631602</v>
      </c>
      <c r="B1348" s="3">
        <f>B1347+0.2</f>
        <v>5.2999999999999901</v>
      </c>
      <c r="C1348" s="553">
        <f>'Foglio deposito bis'!$E$158/sezione!$B$247*B1348</f>
        <v>21.515920162381562</v>
      </c>
      <c r="D1348" s="611">
        <f>-'Progetto del paramento slu'!$G$47*'Progetto del paramento slu'!$G$41*IF(DATI!$G$218="dx",DATI!$E$61,DATI!$E$64*DATI!$E$63)*1000*C1348^2*sezione!$AD$5*(1-sezione!$AD$6)</f>
        <v>-3810879.3307081456</v>
      </c>
      <c r="E1348" s="553">
        <f>-'Foglio deposito bis'!$F$68*(C1348-sezione!$AL$32)*IF(ABS(K1348)&lt;'Progetto del paramento slu'!$G$58,ABS(K1348)*'Progetto del paramento slu'!$G$54,'Progetto del paramento slu'!$G$53)</f>
        <v>0</v>
      </c>
      <c r="F1348" s="553">
        <f>-'Foglio deposito bis'!$F$69*(C1348-sezione!$AM$32)*IF(ABS(L1348)&lt;'Progetto del paramento slu'!$G$58,ABS(L1348)*'Progetto del paramento slu'!$G$54,'Progetto del paramento slu'!$G$53)</f>
        <v>19743487.890706297</v>
      </c>
      <c r="G1348" s="553">
        <f>-'Foglio deposito bis'!$F$70*(C1348-sezione!$AN$32)*IF(ABS(M1348)&lt;'Progetto del paramento slu'!$G$58,ABS(M1348)*'Progetto del paramento slu'!$G$54,'Progetto del paramento slu'!$G$53)</f>
        <v>0</v>
      </c>
      <c r="H1348" s="553">
        <f>-'Foglio deposito bis'!$F$71*(C1348-sezione!$AO$32)*IF(ABS(N1348)&lt;'Progetto del paramento slu'!$G$58,ABS(N1348)*'Progetto del paramento slu'!$G$54,'Progetto del paramento slu'!$G$53)</f>
        <v>100228732.76692598</v>
      </c>
      <c r="I1348" s="479">
        <f>-'Foglio deposito bis'!$F$72*(C1348-sezione!$AP$32)*IF(ABS(O1348)&lt;'Progetto del paramento slu'!$G$58,ABS(O1348)*'Progetto del paramento slu'!$G$54,'Progetto del paramento slu'!$G$53)</f>
        <v>117271649.92370892</v>
      </c>
      <c r="J1348" s="479">
        <f t="shared" si="98"/>
        <v>233432991.25063306</v>
      </c>
      <c r="K1348" s="558">
        <f>'Progetto del paramento slu'!$G$60*(sezione!$AL$32-C1348)/C1348</f>
        <v>3.0068097921638519E-3</v>
      </c>
      <c r="L1348" s="558">
        <f>'Progetto del paramento slu'!$G$60*(sezione!$AM$32-C1348)/C1348</f>
        <v>2.0900536720614444E-2</v>
      </c>
      <c r="M1348" s="559">
        <f>'Progetto del paramento slu'!$G$60*(sezione!$AN$32-C1348)/C1348</f>
        <v>3.8794263649065033E-2</v>
      </c>
      <c r="N1348" s="559">
        <f>'Progetto del paramento slu'!$G$60*(sezione!$AO$32-C1348)/C1348</f>
        <v>5.1807883233392742E-2</v>
      </c>
      <c r="O1348" s="559">
        <f>'Progetto del paramento slu'!$G$60*(sezione!$AP$32-C1348)/C1348</f>
        <v>3.8795077000289037E-2</v>
      </c>
      <c r="P1348" s="553">
        <f>-'Progetto del paramento slu'!$G$47*'Progetto del paramento slu'!$G$41*IF(DATI!$G$218="dx",DATI!$E$61,DATI!$E$64*DATI!$E$63)*1000*C1348*sezione!$AD$5</f>
        <v>-303286.04385771259</v>
      </c>
      <c r="Q1348" s="553">
        <f>'Foglio deposito bis'!$F$68*IF(ABS(K1348)&lt;'Progetto del paramento slu'!$G$58,ABS(K1348)*'Progetto del paramento slu'!$G$54,'Progetto del paramento slu'!$G$53)*IF(K1348&lt;0,-1,1)</f>
        <v>0</v>
      </c>
      <c r="R1348" s="553">
        <f>'Foglio deposito bis'!$F$69*IF(ABS(L1348)&lt;'Progetto del paramento slu'!$G$58,ABS(L1348)*'Progetto del paramento slu'!$G$54,'Progetto del paramento slu'!$G$53)*IF(L1348&lt;0,-1,1)</f>
        <v>153664.85805602249</v>
      </c>
      <c r="S1348" s="553">
        <f>'Foglio deposito bis'!$F$70*IF(ABS(M1348)&lt;'Progetto del paramento slu'!$G$58,ABS(M1348)*'Progetto del paramento slu'!$G$54,'Progetto del paramento slu'!$G$53)*IF(M1348&lt;0,-1,1)</f>
        <v>0</v>
      </c>
      <c r="T1348" s="553">
        <f>'Foglio deposito bis'!$F$71*IF(ABS(N1348)&lt;'Progetto del paramento slu'!$G$58,ABS(N1348)*'Progetto del paramento slu'!$G$54,'Progetto del paramento slu'!$G$53)*IF(N1348&lt;0,-1,1)</f>
        <v>314705.62929873407</v>
      </c>
      <c r="U1348" s="553">
        <f>'Foglio deposito bis'!$F$72*IF(ABS(O1348)&lt;'Progetto del paramento slu'!$G$58,ABS(O1348)*'Progetto del paramento slu'!$G$54,'Progetto del paramento slu'!$G$53)*IF(O1348&lt;0,-1,1)</f>
        <v>491727.54577927204</v>
      </c>
      <c r="V1348" s="479">
        <f t="shared" si="100"/>
        <v>656811.98927631602</v>
      </c>
      <c r="W1348" s="559"/>
      <c r="X1348" s="559"/>
    </row>
    <row r="1349" spans="1:24" x14ac:dyDescent="0.25">
      <c r="A1349" s="553">
        <f t="shared" si="99"/>
        <v>645367.23290432687</v>
      </c>
      <c r="B1349" s="3">
        <f t="shared" ref="B1349:B1412" si="102">B1348+0.2</f>
        <v>5.4999999999999902</v>
      </c>
      <c r="C1349" s="553">
        <f>'Foglio deposito bis'!$E$158/sezione!$B$247*B1349</f>
        <v>22.32784167794313</v>
      </c>
      <c r="D1349" s="611">
        <f>-'Progetto del paramento slu'!$G$47*'Progetto del paramento slu'!$G$41*IF(DATI!$G$218="dx",DATI!$E$61,DATI!$E$64*DATI!$E$63)*1000*C1349^2*sezione!$AD$5*(1-sezione!$AD$6)</f>
        <v>-4103919.5355614601</v>
      </c>
      <c r="E1349" s="553">
        <f>-'Foglio deposito bis'!$F$68*(C1349-sezione!$AL$32)*IF(ABS(K1349)&lt;'Progetto del paramento slu'!$G$58,ABS(K1349)*'Progetto del paramento slu'!$G$54,'Progetto del paramento slu'!$G$53)</f>
        <v>0</v>
      </c>
      <c r="F1349" s="553">
        <f>-'Foglio deposito bis'!$F$69*(C1349-sezione!$AM$32)*IF(ABS(L1349)&lt;'Progetto del paramento slu'!$G$58,ABS(L1349)*'Progetto del paramento slu'!$G$54,'Progetto del paramento slu'!$G$53)</f>
        <v>19618724.086264901</v>
      </c>
      <c r="G1349" s="553">
        <f>-'Foglio deposito bis'!$F$70*(C1349-sezione!$AN$32)*IF(ABS(M1349)&lt;'Progetto del paramento slu'!$G$58,ABS(M1349)*'Progetto del paramento slu'!$G$54,'Progetto del paramento slu'!$G$53)</f>
        <v>0</v>
      </c>
      <c r="H1349" s="553">
        <f>-'Foglio deposito bis'!$F$71*(C1349-sezione!$AO$32)*IF(ABS(N1349)&lt;'Progetto del paramento slu'!$G$58,ABS(N1349)*'Progetto del paramento slu'!$G$54,'Progetto del paramento slu'!$G$53)</f>
        <v>99973216.495429993</v>
      </c>
      <c r="I1349" s="479">
        <f>-'Foglio deposito bis'!$F$72*(C1349-sezione!$AP$32)*IF(ABS(O1349)&lt;'Progetto del paramento slu'!$G$58,ABS(O1349)*'Progetto del paramento slu'!$G$54,'Progetto del paramento slu'!$G$53)</f>
        <v>116872405.74949646</v>
      </c>
      <c r="J1349" s="479">
        <f t="shared" si="98"/>
        <v>232360426.79562989</v>
      </c>
      <c r="K1349" s="558">
        <f>'Progetto del paramento slu'!$G$60*(sezione!$AL$32-C1349)/C1349</f>
        <v>2.7701985269942575E-3</v>
      </c>
      <c r="L1349" s="558">
        <f>'Progetto del paramento slu'!$G$60*(sezione!$AM$32-C1349)/C1349</f>
        <v>2.0013244476228466E-2</v>
      </c>
      <c r="M1349" s="559">
        <f>'Progetto del paramento slu'!$G$60*(sezione!$AN$32-C1349)/C1349</f>
        <v>3.725629042546267E-2</v>
      </c>
      <c r="N1349" s="559">
        <f>'Progetto del paramento slu'!$G$60*(sezione!$AO$32-C1349)/C1349</f>
        <v>4.9796687479451186E-2</v>
      </c>
      <c r="O1349" s="559">
        <f>'Progetto del paramento slu'!$G$60*(sezione!$AP$32-C1349)/C1349</f>
        <v>3.7257074200278524E-2</v>
      </c>
      <c r="P1349" s="553">
        <f>-'Progetto del paramento slu'!$G$47*'Progetto del paramento slu'!$G$41*IF(DATI!$G$218="dx",DATI!$E$61,DATI!$E$64*DATI!$E$63)*1000*C1349*sezione!$AD$5</f>
        <v>-314730.8002297018</v>
      </c>
      <c r="Q1349" s="553">
        <f>'Foglio deposito bis'!$F$68*IF(ABS(K1349)&lt;'Progetto del paramento slu'!$G$58,ABS(K1349)*'Progetto del paramento slu'!$G$54,'Progetto del paramento slu'!$G$53)*IF(K1349&lt;0,-1,1)</f>
        <v>0</v>
      </c>
      <c r="R1349" s="553">
        <f>'Foglio deposito bis'!$F$69*IF(ABS(L1349)&lt;'Progetto del paramento slu'!$G$58,ABS(L1349)*'Progetto del paramento slu'!$G$54,'Progetto del paramento slu'!$G$53)*IF(L1349&lt;0,-1,1)</f>
        <v>153664.85805602249</v>
      </c>
      <c r="S1349" s="553">
        <f>'Foglio deposito bis'!$F$70*IF(ABS(M1349)&lt;'Progetto del paramento slu'!$G$58,ABS(M1349)*'Progetto del paramento slu'!$G$54,'Progetto del paramento slu'!$G$53)*IF(M1349&lt;0,-1,1)</f>
        <v>0</v>
      </c>
      <c r="T1349" s="553">
        <f>'Foglio deposito bis'!$F$71*IF(ABS(N1349)&lt;'Progetto del paramento slu'!$G$58,ABS(N1349)*'Progetto del paramento slu'!$G$54,'Progetto del paramento slu'!$G$53)*IF(N1349&lt;0,-1,1)</f>
        <v>314705.62929873407</v>
      </c>
      <c r="U1349" s="553">
        <f>'Foglio deposito bis'!$F$72*IF(ABS(O1349)&lt;'Progetto del paramento slu'!$G$58,ABS(O1349)*'Progetto del paramento slu'!$G$54,'Progetto del paramento slu'!$G$53)*IF(O1349&lt;0,-1,1)</f>
        <v>491727.54577927204</v>
      </c>
      <c r="V1349" s="479">
        <f t="shared" si="100"/>
        <v>645367.23290432687</v>
      </c>
      <c r="W1349" s="559"/>
      <c r="X1349" s="559"/>
    </row>
    <row r="1350" spans="1:24" x14ac:dyDescent="0.25">
      <c r="A1350" s="553">
        <f t="shared" si="99"/>
        <v>633922.47653233761</v>
      </c>
      <c r="B1350" s="3">
        <f t="shared" si="102"/>
        <v>5.6999999999999904</v>
      </c>
      <c r="C1350" s="553">
        <f>'Foglio deposito bis'!$E$158/sezione!$B$247*B1350</f>
        <v>23.139763193504702</v>
      </c>
      <c r="D1350" s="611">
        <f>-'Progetto del paramento slu'!$G$47*'Progetto del paramento slu'!$G$41*IF(DATI!$G$218="dx",DATI!$E$61,DATI!$E$64*DATI!$E$63)*1000*C1350^2*sezione!$AD$5*(1-sezione!$AD$6)</f>
        <v>-4407813.0813352689</v>
      </c>
      <c r="E1350" s="553">
        <f>-'Foglio deposito bis'!$F$68*(C1350-sezione!$AL$32)*IF(ABS(K1350)&lt;'Progetto del paramento slu'!$G$58,ABS(K1350)*'Progetto del paramento slu'!$G$54,'Progetto del paramento slu'!$G$53)</f>
        <v>0</v>
      </c>
      <c r="F1350" s="553">
        <f>-'Foglio deposito bis'!$F$69*(C1350-sezione!$AM$32)*IF(ABS(L1350)&lt;'Progetto del paramento slu'!$G$58,ABS(L1350)*'Progetto del paramento slu'!$G$54,'Progetto del paramento slu'!$G$53)</f>
        <v>19493960.281823497</v>
      </c>
      <c r="G1350" s="553">
        <f>-'Foglio deposito bis'!$F$70*(C1350-sezione!$AN$32)*IF(ABS(M1350)&lt;'Progetto del paramento slu'!$G$58,ABS(M1350)*'Progetto del paramento slu'!$G$54,'Progetto del paramento slu'!$G$53)</f>
        <v>0</v>
      </c>
      <c r="H1350" s="553">
        <f>-'Foglio deposito bis'!$F$71*(C1350-sezione!$AO$32)*IF(ABS(N1350)&lt;'Progetto del paramento slu'!$G$58,ABS(N1350)*'Progetto del paramento slu'!$G$54,'Progetto del paramento slu'!$G$53)</f>
        <v>99717700.223934025</v>
      </c>
      <c r="I1350" s="479">
        <f>-'Foglio deposito bis'!$F$72*(C1350-sezione!$AP$32)*IF(ABS(O1350)&lt;'Progetto del paramento slu'!$G$58,ABS(O1350)*'Progetto del paramento slu'!$G$54,'Progetto del paramento slu'!$G$53)</f>
        <v>116473161.57528397</v>
      </c>
      <c r="J1350" s="479">
        <f t="shared" si="98"/>
        <v>231277008.99970621</v>
      </c>
      <c r="K1350" s="558">
        <f>'Progetto del paramento slu'!$G$60*(sezione!$AL$32-C1350)/C1350</f>
        <v>2.5501915611348086E-3</v>
      </c>
      <c r="L1350" s="558">
        <f>'Progetto del paramento slu'!$G$60*(sezione!$AM$32-C1350)/C1350</f>
        <v>1.9188218354255531E-2</v>
      </c>
      <c r="M1350" s="559">
        <f>'Progetto del paramento slu'!$G$60*(sezione!$AN$32-C1350)/C1350</f>
        <v>3.5826245147376257E-2</v>
      </c>
      <c r="N1350" s="559">
        <f>'Progetto del paramento slu'!$G$60*(sezione!$AO$32-C1350)/C1350</f>
        <v>4.7926628269645874E-2</v>
      </c>
      <c r="O1350" s="559">
        <f>'Progetto del paramento slu'!$G$60*(sezione!$AP$32-C1350)/C1350</f>
        <v>3.5827001421321378E-2</v>
      </c>
      <c r="P1350" s="553">
        <f>-'Progetto del paramento slu'!$G$47*'Progetto del paramento slu'!$G$41*IF(DATI!$G$218="dx",DATI!$E$61,DATI!$E$64*DATI!$E$63)*1000*C1350*sezione!$AD$5</f>
        <v>-326175.556601691</v>
      </c>
      <c r="Q1350" s="553">
        <f>'Foglio deposito bis'!$F$68*IF(ABS(K1350)&lt;'Progetto del paramento slu'!$G$58,ABS(K1350)*'Progetto del paramento slu'!$G$54,'Progetto del paramento slu'!$G$53)*IF(K1350&lt;0,-1,1)</f>
        <v>0</v>
      </c>
      <c r="R1350" s="553">
        <f>'Foglio deposito bis'!$F$69*IF(ABS(L1350)&lt;'Progetto del paramento slu'!$G$58,ABS(L1350)*'Progetto del paramento slu'!$G$54,'Progetto del paramento slu'!$G$53)*IF(L1350&lt;0,-1,1)</f>
        <v>153664.85805602249</v>
      </c>
      <c r="S1350" s="553">
        <f>'Foglio deposito bis'!$F$70*IF(ABS(M1350)&lt;'Progetto del paramento slu'!$G$58,ABS(M1350)*'Progetto del paramento slu'!$G$54,'Progetto del paramento slu'!$G$53)*IF(M1350&lt;0,-1,1)</f>
        <v>0</v>
      </c>
      <c r="T1350" s="553">
        <f>'Foglio deposito bis'!$F$71*IF(ABS(N1350)&lt;'Progetto del paramento slu'!$G$58,ABS(N1350)*'Progetto del paramento slu'!$G$54,'Progetto del paramento slu'!$G$53)*IF(N1350&lt;0,-1,1)</f>
        <v>314705.62929873407</v>
      </c>
      <c r="U1350" s="553">
        <f>'Foglio deposito bis'!$F$72*IF(ABS(O1350)&lt;'Progetto del paramento slu'!$G$58,ABS(O1350)*'Progetto del paramento slu'!$G$54,'Progetto del paramento slu'!$G$53)*IF(O1350&lt;0,-1,1)</f>
        <v>491727.54577927204</v>
      </c>
      <c r="V1350" s="479">
        <f t="shared" si="100"/>
        <v>633922.47653233761</v>
      </c>
      <c r="W1350" s="559"/>
      <c r="X1350" s="559"/>
    </row>
    <row r="1351" spans="1:24" x14ac:dyDescent="0.25">
      <c r="A1351" s="553">
        <f t="shared" si="99"/>
        <v>622477.72016034834</v>
      </c>
      <c r="B1351" s="3">
        <f t="shared" si="102"/>
        <v>5.8999999999999906</v>
      </c>
      <c r="C1351" s="553">
        <f>'Foglio deposito bis'!$E$158/sezione!$B$247*B1351</f>
        <v>23.951684709066274</v>
      </c>
      <c r="D1351" s="611">
        <f>-'Progetto del paramento slu'!$G$47*'Progetto del paramento slu'!$G$41*IF(DATI!$G$218="dx",DATI!$E$61,DATI!$E$64*DATI!$E$63)*1000*C1351^2*sezione!$AD$5*(1-sezione!$AD$6)</f>
        <v>-4722559.9680295717</v>
      </c>
      <c r="E1351" s="553">
        <f>-'Foglio deposito bis'!$F$68*(C1351-sezione!$AL$32)*IF(ABS(K1351)&lt;'Progetto del paramento slu'!$G$58,ABS(K1351)*'Progetto del paramento slu'!$G$54,'Progetto del paramento slu'!$G$53)</f>
        <v>0</v>
      </c>
      <c r="F1351" s="553">
        <f>-'Foglio deposito bis'!$F$69*(C1351-sezione!$AM$32)*IF(ABS(L1351)&lt;'Progetto del paramento slu'!$G$58,ABS(L1351)*'Progetto del paramento slu'!$G$54,'Progetto del paramento slu'!$G$53)</f>
        <v>19369196.477382101</v>
      </c>
      <c r="G1351" s="553">
        <f>-'Foglio deposito bis'!$F$70*(C1351-sezione!$AN$32)*IF(ABS(M1351)&lt;'Progetto del paramento slu'!$G$58,ABS(M1351)*'Progetto del paramento slu'!$G$54,'Progetto del paramento slu'!$G$53)</f>
        <v>0</v>
      </c>
      <c r="H1351" s="553">
        <f>-'Foglio deposito bis'!$F$71*(C1351-sezione!$AO$32)*IF(ABS(N1351)&lt;'Progetto del paramento slu'!$G$58,ABS(N1351)*'Progetto del paramento slu'!$G$54,'Progetto del paramento slu'!$G$53)</f>
        <v>99462183.952438027</v>
      </c>
      <c r="I1351" s="479">
        <f>-'Foglio deposito bis'!$F$72*(C1351-sezione!$AP$32)*IF(ABS(O1351)&lt;'Progetto del paramento slu'!$G$58,ABS(O1351)*'Progetto del paramento slu'!$G$54,'Progetto del paramento slu'!$G$53)</f>
        <v>116073917.40107149</v>
      </c>
      <c r="J1351" s="479">
        <f t="shared" si="98"/>
        <v>230182737.86286205</v>
      </c>
      <c r="K1351" s="558">
        <f>'Progetto del paramento slu'!$G$60*(sezione!$AL$32-C1351)/C1351</f>
        <v>2.3451003217743057E-3</v>
      </c>
      <c r="L1351" s="558">
        <f>'Progetto del paramento slu'!$G$60*(sezione!$AM$32-C1351)/C1351</f>
        <v>1.8419126206653647E-2</v>
      </c>
      <c r="M1351" s="559">
        <f>'Progetto del paramento slu'!$G$60*(sezione!$AN$32-C1351)/C1351</f>
        <v>3.4493152091532989E-2</v>
      </c>
      <c r="N1351" s="559">
        <f>'Progetto del paramento slu'!$G$60*(sezione!$AO$32-C1351)/C1351</f>
        <v>4.6183352735081597E-2</v>
      </c>
      <c r="O1351" s="559">
        <f>'Progetto del paramento slu'!$G$60*(sezione!$AP$32-C1351)/C1351</f>
        <v>3.4493882729073187E-2</v>
      </c>
      <c r="P1351" s="553">
        <f>-'Progetto del paramento slu'!$G$47*'Progetto del paramento slu'!$G$41*IF(DATI!$G$218="dx",DATI!$E$61,DATI!$E$64*DATI!$E$63)*1000*C1351*sezione!$AD$5</f>
        <v>-337620.31297368021</v>
      </c>
      <c r="Q1351" s="553">
        <f>'Foglio deposito bis'!$F$68*IF(ABS(K1351)&lt;'Progetto del paramento slu'!$G$58,ABS(K1351)*'Progetto del paramento slu'!$G$54,'Progetto del paramento slu'!$G$53)*IF(K1351&lt;0,-1,1)</f>
        <v>0</v>
      </c>
      <c r="R1351" s="553">
        <f>'Foglio deposito bis'!$F$69*IF(ABS(L1351)&lt;'Progetto del paramento slu'!$G$58,ABS(L1351)*'Progetto del paramento slu'!$G$54,'Progetto del paramento slu'!$G$53)*IF(L1351&lt;0,-1,1)</f>
        <v>153664.85805602249</v>
      </c>
      <c r="S1351" s="553">
        <f>'Foglio deposito bis'!$F$70*IF(ABS(M1351)&lt;'Progetto del paramento slu'!$G$58,ABS(M1351)*'Progetto del paramento slu'!$G$54,'Progetto del paramento slu'!$G$53)*IF(M1351&lt;0,-1,1)</f>
        <v>0</v>
      </c>
      <c r="T1351" s="553">
        <f>'Foglio deposito bis'!$F$71*IF(ABS(N1351)&lt;'Progetto del paramento slu'!$G$58,ABS(N1351)*'Progetto del paramento slu'!$G$54,'Progetto del paramento slu'!$G$53)*IF(N1351&lt;0,-1,1)</f>
        <v>314705.62929873407</v>
      </c>
      <c r="U1351" s="553">
        <f>'Foglio deposito bis'!$F$72*IF(ABS(O1351)&lt;'Progetto del paramento slu'!$G$58,ABS(O1351)*'Progetto del paramento slu'!$G$54,'Progetto del paramento slu'!$G$53)*IF(O1351&lt;0,-1,1)</f>
        <v>491727.54577927204</v>
      </c>
      <c r="V1351" s="479">
        <f t="shared" si="100"/>
        <v>622477.72016034834</v>
      </c>
      <c r="W1351" s="559"/>
      <c r="X1351" s="559"/>
    </row>
    <row r="1352" spans="1:24" x14ac:dyDescent="0.25">
      <c r="A1352" s="553">
        <f t="shared" si="99"/>
        <v>611032.96378835919</v>
      </c>
      <c r="B1352" s="3">
        <f t="shared" si="102"/>
        <v>6.0999999999999908</v>
      </c>
      <c r="C1352" s="553">
        <f>'Foglio deposito bis'!$E$158/sezione!$B$247*B1352</f>
        <v>24.763606224627843</v>
      </c>
      <c r="D1352" s="611">
        <f>-'Progetto del paramento slu'!$G$47*'Progetto del paramento slu'!$G$41*IF(DATI!$G$218="dx",DATI!$E$61,DATI!$E$64*DATI!$E$63)*1000*C1352^2*sezione!$AD$5*(1-sezione!$AD$6)</f>
        <v>-5048160.1956443638</v>
      </c>
      <c r="E1352" s="553">
        <f>-'Foglio deposito bis'!$F$68*(C1352-sezione!$AL$32)*IF(ABS(K1352)&lt;'Progetto del paramento slu'!$G$58,ABS(K1352)*'Progetto del paramento slu'!$G$54,'Progetto del paramento slu'!$G$53)</f>
        <v>0</v>
      </c>
      <c r="F1352" s="553">
        <f>-'Foglio deposito bis'!$F$69*(C1352-sezione!$AM$32)*IF(ABS(L1352)&lt;'Progetto del paramento slu'!$G$58,ABS(L1352)*'Progetto del paramento slu'!$G$54,'Progetto del paramento slu'!$G$53)</f>
        <v>19244432.672940701</v>
      </c>
      <c r="G1352" s="553">
        <f>-'Foglio deposito bis'!$F$70*(C1352-sezione!$AN$32)*IF(ABS(M1352)&lt;'Progetto del paramento slu'!$G$58,ABS(M1352)*'Progetto del paramento slu'!$G$54,'Progetto del paramento slu'!$G$53)</f>
        <v>0</v>
      </c>
      <c r="H1352" s="553">
        <f>-'Foglio deposito bis'!$F$71*(C1352-sezione!$AO$32)*IF(ABS(N1352)&lt;'Progetto del paramento slu'!$G$58,ABS(N1352)*'Progetto del paramento slu'!$G$54,'Progetto del paramento slu'!$G$53)</f>
        <v>99206667.680942029</v>
      </c>
      <c r="I1352" s="479">
        <f>-'Foglio deposito bis'!$F$72*(C1352-sezione!$AP$32)*IF(ABS(O1352)&lt;'Progetto del paramento slu'!$G$58,ABS(O1352)*'Progetto del paramento slu'!$G$54,'Progetto del paramento slu'!$G$53)</f>
        <v>115674673.22685902</v>
      </c>
      <c r="J1352" s="479">
        <f t="shared" si="98"/>
        <v>229077613.38509738</v>
      </c>
      <c r="K1352" s="558">
        <f>'Progetto del paramento slu'!$G$60*(sezione!$AL$32-C1352)/C1352</f>
        <v>2.153457688273509E-3</v>
      </c>
      <c r="L1352" s="558">
        <f>'Progetto del paramento slu'!$G$60*(sezione!$AM$32-C1352)/C1352</f>
        <v>1.770046633102566E-2</v>
      </c>
      <c r="M1352" s="559">
        <f>'Progetto del paramento slu'!$G$60*(sezione!$AN$32-C1352)/C1352</f>
        <v>3.3247474973777814E-2</v>
      </c>
      <c r="N1352" s="559">
        <f>'Progetto del paramento slu'!$G$60*(sezione!$AO$32-C1352)/C1352</f>
        <v>4.4554390350324831E-2</v>
      </c>
      <c r="O1352" s="559">
        <f>'Progetto del paramento slu'!$G$60*(sezione!$AP$32-C1352)/C1352</f>
        <v>3.3248181655988827E-2</v>
      </c>
      <c r="P1352" s="553">
        <f>-'Progetto del paramento slu'!$G$47*'Progetto del paramento slu'!$G$41*IF(DATI!$G$218="dx",DATI!$E$61,DATI!$E$64*DATI!$E$63)*1000*C1352*sezione!$AD$5</f>
        <v>-349065.06934566936</v>
      </c>
      <c r="Q1352" s="553">
        <f>'Foglio deposito bis'!$F$68*IF(ABS(K1352)&lt;'Progetto del paramento slu'!$G$58,ABS(K1352)*'Progetto del paramento slu'!$G$54,'Progetto del paramento slu'!$G$53)*IF(K1352&lt;0,-1,1)</f>
        <v>0</v>
      </c>
      <c r="R1352" s="553">
        <f>'Foglio deposito bis'!$F$69*IF(ABS(L1352)&lt;'Progetto del paramento slu'!$G$58,ABS(L1352)*'Progetto del paramento slu'!$G$54,'Progetto del paramento slu'!$G$53)*IF(L1352&lt;0,-1,1)</f>
        <v>153664.85805602249</v>
      </c>
      <c r="S1352" s="553">
        <f>'Foglio deposito bis'!$F$70*IF(ABS(M1352)&lt;'Progetto del paramento slu'!$G$58,ABS(M1352)*'Progetto del paramento slu'!$G$54,'Progetto del paramento slu'!$G$53)*IF(M1352&lt;0,-1,1)</f>
        <v>0</v>
      </c>
      <c r="T1352" s="553">
        <f>'Foglio deposito bis'!$F$71*IF(ABS(N1352)&lt;'Progetto del paramento slu'!$G$58,ABS(N1352)*'Progetto del paramento slu'!$G$54,'Progetto del paramento slu'!$G$53)*IF(N1352&lt;0,-1,1)</f>
        <v>314705.62929873407</v>
      </c>
      <c r="U1352" s="553">
        <f>'Foglio deposito bis'!$F$72*IF(ABS(O1352)&lt;'Progetto del paramento slu'!$G$58,ABS(O1352)*'Progetto del paramento slu'!$G$54,'Progetto del paramento slu'!$G$53)*IF(O1352&lt;0,-1,1)</f>
        <v>491727.54577927204</v>
      </c>
      <c r="V1352" s="479">
        <f t="shared" si="100"/>
        <v>611032.96378835919</v>
      </c>
      <c r="W1352" s="559"/>
      <c r="X1352" s="559"/>
    </row>
    <row r="1353" spans="1:24" x14ac:dyDescent="0.25">
      <c r="A1353" s="553">
        <f t="shared" si="99"/>
        <v>599588.20741637005</v>
      </c>
      <c r="B1353" s="3">
        <f t="shared" si="102"/>
        <v>6.2999999999999909</v>
      </c>
      <c r="C1353" s="553">
        <f>'Foglio deposito bis'!$E$158/sezione!$B$247*B1353</f>
        <v>25.575527740189415</v>
      </c>
      <c r="D1353" s="611">
        <f>-'Progetto del paramento slu'!$G$47*'Progetto del paramento slu'!$G$41*IF(DATI!$G$218="dx",DATI!$E$61,DATI!$E$64*DATI!$E$63)*1000*C1353^2*sezione!$AD$5*(1-sezione!$AD$6)</f>
        <v>-5384613.7641796526</v>
      </c>
      <c r="E1353" s="553">
        <f>-'Foglio deposito bis'!$F$68*(C1353-sezione!$AL$32)*IF(ABS(K1353)&lt;'Progetto del paramento slu'!$G$58,ABS(K1353)*'Progetto del paramento slu'!$G$54,'Progetto del paramento slu'!$G$53)</f>
        <v>0</v>
      </c>
      <c r="F1353" s="553">
        <f>-'Foglio deposito bis'!$F$69*(C1353-sezione!$AM$32)*IF(ABS(L1353)&lt;'Progetto del paramento slu'!$G$58,ABS(L1353)*'Progetto del paramento slu'!$G$54,'Progetto del paramento slu'!$G$53)</f>
        <v>19119668.868499301</v>
      </c>
      <c r="G1353" s="553">
        <f>-'Foglio deposito bis'!$F$70*(C1353-sezione!$AN$32)*IF(ABS(M1353)&lt;'Progetto del paramento slu'!$G$58,ABS(M1353)*'Progetto del paramento slu'!$G$54,'Progetto del paramento slu'!$G$53)</f>
        <v>0</v>
      </c>
      <c r="H1353" s="553">
        <f>-'Foglio deposito bis'!$F$71*(C1353-sezione!$AO$32)*IF(ABS(N1353)&lt;'Progetto del paramento slu'!$G$58,ABS(N1353)*'Progetto del paramento slu'!$G$54,'Progetto del paramento slu'!$G$53)</f>
        <v>98951151.409446061</v>
      </c>
      <c r="I1353" s="479">
        <f>-'Foglio deposito bis'!$F$72*(C1353-sezione!$AP$32)*IF(ABS(O1353)&lt;'Progetto del paramento slu'!$G$58,ABS(O1353)*'Progetto del paramento slu'!$G$54,'Progetto del paramento slu'!$G$53)</f>
        <v>115275429.05264653</v>
      </c>
      <c r="J1353" s="479">
        <f t="shared" si="98"/>
        <v>227961635.56641224</v>
      </c>
      <c r="K1353" s="558">
        <f>'Progetto del paramento slu'!$G$60*(sezione!$AL$32-C1353)/C1353</f>
        <v>1.97398284102673E-3</v>
      </c>
      <c r="L1353" s="558">
        <f>'Progetto del paramento slu'!$G$60*(sezione!$AM$32-C1353)/C1353</f>
        <v>1.7027435653850238E-2</v>
      </c>
      <c r="M1353" s="559">
        <f>'Progetto del paramento slu'!$G$60*(sezione!$AN$32-C1353)/C1353</f>
        <v>3.2080888466673743E-2</v>
      </c>
      <c r="N1353" s="559">
        <f>'Progetto del paramento slu'!$G$60*(sezione!$AO$32-C1353)/C1353</f>
        <v>4.3028854148727209E-2</v>
      </c>
      <c r="O1353" s="559">
        <f>'Progetto del paramento slu'!$G$60*(sezione!$AP$32-C1353)/C1353</f>
        <v>3.2081572714528855E-2</v>
      </c>
      <c r="P1353" s="553">
        <f>-'Progetto del paramento slu'!$G$47*'Progetto del paramento slu'!$G$41*IF(DATI!$G$218="dx",DATI!$E$61,DATI!$E$64*DATI!$E$63)*1000*C1353*sezione!$AD$5</f>
        <v>-360509.82571765856</v>
      </c>
      <c r="Q1353" s="553">
        <f>'Foglio deposito bis'!$F$68*IF(ABS(K1353)&lt;'Progetto del paramento slu'!$G$58,ABS(K1353)*'Progetto del paramento slu'!$G$54,'Progetto del paramento slu'!$G$53)*IF(K1353&lt;0,-1,1)</f>
        <v>0</v>
      </c>
      <c r="R1353" s="553">
        <f>'Foglio deposito bis'!$F$69*IF(ABS(L1353)&lt;'Progetto del paramento slu'!$G$58,ABS(L1353)*'Progetto del paramento slu'!$G$54,'Progetto del paramento slu'!$G$53)*IF(L1353&lt;0,-1,1)</f>
        <v>153664.85805602249</v>
      </c>
      <c r="S1353" s="553">
        <f>'Foglio deposito bis'!$F$70*IF(ABS(M1353)&lt;'Progetto del paramento slu'!$G$58,ABS(M1353)*'Progetto del paramento slu'!$G$54,'Progetto del paramento slu'!$G$53)*IF(M1353&lt;0,-1,1)</f>
        <v>0</v>
      </c>
      <c r="T1353" s="553">
        <f>'Foglio deposito bis'!$F$71*IF(ABS(N1353)&lt;'Progetto del paramento slu'!$G$58,ABS(N1353)*'Progetto del paramento slu'!$G$54,'Progetto del paramento slu'!$G$53)*IF(N1353&lt;0,-1,1)</f>
        <v>314705.62929873407</v>
      </c>
      <c r="U1353" s="553">
        <f>'Foglio deposito bis'!$F$72*IF(ABS(O1353)&lt;'Progetto del paramento slu'!$G$58,ABS(O1353)*'Progetto del paramento slu'!$G$54,'Progetto del paramento slu'!$G$53)*IF(O1353&lt;0,-1,1)</f>
        <v>491727.54577927204</v>
      </c>
      <c r="V1353" s="479">
        <f t="shared" si="100"/>
        <v>599588.20741637005</v>
      </c>
      <c r="W1353" s="559"/>
      <c r="X1353" s="559"/>
    </row>
    <row r="1354" spans="1:24" x14ac:dyDescent="0.25">
      <c r="A1354" s="553">
        <f t="shared" si="99"/>
        <v>588143.4510443809</v>
      </c>
      <c r="B1354" s="3">
        <f t="shared" si="102"/>
        <v>6.4999999999999911</v>
      </c>
      <c r="C1354" s="553">
        <f>'Foglio deposito bis'!$E$158/sezione!$B$247*B1354</f>
        <v>26.387449255750983</v>
      </c>
      <c r="D1354" s="611">
        <f>-'Progetto del paramento slu'!$G$47*'Progetto del paramento slu'!$G$41*IF(DATI!$G$218="dx",DATI!$E$61,DATI!$E$64*DATI!$E$63)*1000*C1354^2*sezione!$AD$5*(1-sezione!$AD$6)</f>
        <v>-5731920.6736354316</v>
      </c>
      <c r="E1354" s="553">
        <f>-'Foglio deposito bis'!$F$68*(C1354-sezione!$AL$32)*IF(ABS(K1354)&lt;'Progetto del paramento slu'!$G$58,ABS(K1354)*'Progetto del paramento slu'!$G$54,'Progetto del paramento slu'!$G$53)</f>
        <v>0</v>
      </c>
      <c r="F1354" s="553">
        <f>-'Foglio deposito bis'!$F$69*(C1354-sezione!$AM$32)*IF(ABS(L1354)&lt;'Progetto del paramento slu'!$G$58,ABS(L1354)*'Progetto del paramento slu'!$G$54,'Progetto del paramento slu'!$G$53)</f>
        <v>18994905.064057905</v>
      </c>
      <c r="G1354" s="553">
        <f>-'Foglio deposito bis'!$F$70*(C1354-sezione!$AN$32)*IF(ABS(M1354)&lt;'Progetto del paramento slu'!$G$58,ABS(M1354)*'Progetto del paramento slu'!$G$54,'Progetto del paramento slu'!$G$53)</f>
        <v>0</v>
      </c>
      <c r="H1354" s="553">
        <f>-'Foglio deposito bis'!$F$71*(C1354-sezione!$AO$32)*IF(ABS(N1354)&lt;'Progetto del paramento slu'!$G$58,ABS(N1354)*'Progetto del paramento slu'!$G$54,'Progetto del paramento slu'!$G$53)</f>
        <v>98695635.137950063</v>
      </c>
      <c r="I1354" s="479">
        <f>-'Foglio deposito bis'!$F$72*(C1354-sezione!$AP$32)*IF(ABS(O1354)&lt;'Progetto del paramento slu'!$G$58,ABS(O1354)*'Progetto del paramento slu'!$G$54,'Progetto del paramento slu'!$G$53)</f>
        <v>114876184.87843405</v>
      </c>
      <c r="J1354" s="479">
        <f t="shared" si="98"/>
        <v>226834804.40680659</v>
      </c>
      <c r="K1354" s="558">
        <f>'Progetto del paramento slu'!$G$60*(sezione!$AL$32-C1354)/C1354</f>
        <v>1.8055525997643692E-3</v>
      </c>
      <c r="L1354" s="558">
        <f>'Progetto del paramento slu'!$G$60*(sezione!$AM$32-C1354)/C1354</f>
        <v>1.6395822249116385E-2</v>
      </c>
      <c r="M1354" s="559">
        <f>'Progetto del paramento slu'!$G$60*(sezione!$AN$32-C1354)/C1354</f>
        <v>3.0986091898468401E-2</v>
      </c>
      <c r="N1354" s="559">
        <f>'Progetto del paramento slu'!$G$60*(sezione!$AO$32-C1354)/C1354</f>
        <v>4.1597197097997134E-2</v>
      </c>
      <c r="O1354" s="559">
        <f>'Progetto del paramento slu'!$G$60*(sezione!$AP$32-C1354)/C1354</f>
        <v>3.0986755092543356E-2</v>
      </c>
      <c r="P1354" s="553">
        <f>-'Progetto del paramento slu'!$G$47*'Progetto del paramento slu'!$G$41*IF(DATI!$G$218="dx",DATI!$E$61,DATI!$E$64*DATI!$E$63)*1000*C1354*sezione!$AD$5</f>
        <v>-371954.58208964777</v>
      </c>
      <c r="Q1354" s="553">
        <f>'Foglio deposito bis'!$F$68*IF(ABS(K1354)&lt;'Progetto del paramento slu'!$G$58,ABS(K1354)*'Progetto del paramento slu'!$G$54,'Progetto del paramento slu'!$G$53)*IF(K1354&lt;0,-1,1)</f>
        <v>0</v>
      </c>
      <c r="R1354" s="553">
        <f>'Foglio deposito bis'!$F$69*IF(ABS(L1354)&lt;'Progetto del paramento slu'!$G$58,ABS(L1354)*'Progetto del paramento slu'!$G$54,'Progetto del paramento slu'!$G$53)*IF(L1354&lt;0,-1,1)</f>
        <v>153664.85805602249</v>
      </c>
      <c r="S1354" s="553">
        <f>'Foglio deposito bis'!$F$70*IF(ABS(M1354)&lt;'Progetto del paramento slu'!$G$58,ABS(M1354)*'Progetto del paramento slu'!$G$54,'Progetto del paramento slu'!$G$53)*IF(M1354&lt;0,-1,1)</f>
        <v>0</v>
      </c>
      <c r="T1354" s="553">
        <f>'Foglio deposito bis'!$F$71*IF(ABS(N1354)&lt;'Progetto del paramento slu'!$G$58,ABS(N1354)*'Progetto del paramento slu'!$G$54,'Progetto del paramento slu'!$G$53)*IF(N1354&lt;0,-1,1)</f>
        <v>314705.62929873407</v>
      </c>
      <c r="U1354" s="553">
        <f>'Foglio deposito bis'!$F$72*IF(ABS(O1354)&lt;'Progetto del paramento slu'!$G$58,ABS(O1354)*'Progetto del paramento slu'!$G$54,'Progetto del paramento slu'!$G$53)*IF(O1354&lt;0,-1,1)</f>
        <v>491727.54577927204</v>
      </c>
      <c r="V1354" s="479">
        <f t="shared" si="100"/>
        <v>588143.4510443809</v>
      </c>
      <c r="W1354" s="559"/>
      <c r="X1354" s="559"/>
    </row>
    <row r="1355" spans="1:24" x14ac:dyDescent="0.25">
      <c r="A1355" s="553">
        <f t="shared" si="99"/>
        <v>576698.69467239175</v>
      </c>
      <c r="B1355" s="3">
        <f t="shared" si="102"/>
        <v>6.6999999999999913</v>
      </c>
      <c r="C1355" s="553">
        <f>'Foglio deposito bis'!$E$158/sezione!$B$247*B1355</f>
        <v>27.199370771312555</v>
      </c>
      <c r="D1355" s="611">
        <f>-'Progetto del paramento slu'!$G$47*'Progetto del paramento slu'!$G$41*IF(DATI!$G$218="dx",DATI!$E$61,DATI!$E$64*DATI!$E$63)*1000*C1355^2*sezione!$AD$5*(1-sezione!$AD$6)</f>
        <v>-6090080.9240117073</v>
      </c>
      <c r="E1355" s="553">
        <f>-'Foglio deposito bis'!$F$68*(C1355-sezione!$AL$32)*IF(ABS(K1355)&lt;'Progetto del paramento slu'!$G$58,ABS(K1355)*'Progetto del paramento slu'!$G$54,'Progetto del paramento slu'!$G$53)</f>
        <v>0</v>
      </c>
      <c r="F1355" s="553">
        <f>-'Foglio deposito bis'!$F$69*(C1355-sezione!$AM$32)*IF(ABS(L1355)&lt;'Progetto del paramento slu'!$G$58,ABS(L1355)*'Progetto del paramento slu'!$G$54,'Progetto del paramento slu'!$G$53)</f>
        <v>18870141.259616505</v>
      </c>
      <c r="G1355" s="553">
        <f>-'Foglio deposito bis'!$F$70*(C1355-sezione!$AN$32)*IF(ABS(M1355)&lt;'Progetto del paramento slu'!$G$58,ABS(M1355)*'Progetto del paramento slu'!$G$54,'Progetto del paramento slu'!$G$53)</f>
        <v>0</v>
      </c>
      <c r="H1355" s="553">
        <f>-'Foglio deposito bis'!$F$71*(C1355-sezione!$AO$32)*IF(ABS(N1355)&lt;'Progetto del paramento slu'!$G$58,ABS(N1355)*'Progetto del paramento slu'!$G$54,'Progetto del paramento slu'!$G$53)</f>
        <v>98440118.86645408</v>
      </c>
      <c r="I1355" s="479">
        <f>-'Foglio deposito bis'!$F$72*(C1355-sezione!$AP$32)*IF(ABS(O1355)&lt;'Progetto del paramento slu'!$G$58,ABS(O1355)*'Progetto del paramento slu'!$G$54,'Progetto del paramento slu'!$G$53)</f>
        <v>114476940.70422159</v>
      </c>
      <c r="J1355" s="479">
        <f t="shared" si="98"/>
        <v>225697119.90628046</v>
      </c>
      <c r="K1355" s="558">
        <f>'Progetto del paramento slu'!$G$60*(sezione!$AL$32-C1355)/C1355</f>
        <v>1.6471778952937906E-3</v>
      </c>
      <c r="L1355" s="558">
        <f>'Progetto del paramento slu'!$G$60*(sezione!$AM$32-C1355)/C1355</f>
        <v>1.5801917107351713E-2</v>
      </c>
      <c r="M1355" s="559">
        <f>'Progetto del paramento slu'!$G$60*(sezione!$AN$32-C1355)/C1355</f>
        <v>2.9956656319409639E-2</v>
      </c>
      <c r="N1355" s="559">
        <f>'Progetto del paramento slu'!$G$60*(sezione!$AO$32-C1355)/C1355</f>
        <v>4.0251012109997215E-2</v>
      </c>
      <c r="O1355" s="559">
        <f>'Progetto del paramento slu'!$G$60*(sezione!$AP$32-C1355)/C1355</f>
        <v>2.9957299716646537E-2</v>
      </c>
      <c r="P1355" s="553">
        <f>-'Progetto del paramento slu'!$G$47*'Progetto del paramento slu'!$G$41*IF(DATI!$G$218="dx",DATI!$E$61,DATI!$E$64*DATI!$E$63)*1000*C1355*sezione!$AD$5</f>
        <v>-383399.33846163691</v>
      </c>
      <c r="Q1355" s="553">
        <f>'Foglio deposito bis'!$F$68*IF(ABS(K1355)&lt;'Progetto del paramento slu'!$G$58,ABS(K1355)*'Progetto del paramento slu'!$G$54,'Progetto del paramento slu'!$G$53)*IF(K1355&lt;0,-1,1)</f>
        <v>0</v>
      </c>
      <c r="R1355" s="553">
        <f>'Foglio deposito bis'!$F$69*IF(ABS(L1355)&lt;'Progetto del paramento slu'!$G$58,ABS(L1355)*'Progetto del paramento slu'!$G$54,'Progetto del paramento slu'!$G$53)*IF(L1355&lt;0,-1,1)</f>
        <v>153664.85805602249</v>
      </c>
      <c r="S1355" s="553">
        <f>'Foglio deposito bis'!$F$70*IF(ABS(M1355)&lt;'Progetto del paramento slu'!$G$58,ABS(M1355)*'Progetto del paramento slu'!$G$54,'Progetto del paramento slu'!$G$53)*IF(M1355&lt;0,-1,1)</f>
        <v>0</v>
      </c>
      <c r="T1355" s="553">
        <f>'Foglio deposito bis'!$F$71*IF(ABS(N1355)&lt;'Progetto del paramento slu'!$G$58,ABS(N1355)*'Progetto del paramento slu'!$G$54,'Progetto del paramento slu'!$G$53)*IF(N1355&lt;0,-1,1)</f>
        <v>314705.62929873407</v>
      </c>
      <c r="U1355" s="553">
        <f>'Foglio deposito bis'!$F$72*IF(ABS(O1355)&lt;'Progetto del paramento slu'!$G$58,ABS(O1355)*'Progetto del paramento slu'!$G$54,'Progetto del paramento slu'!$G$53)*IF(O1355&lt;0,-1,1)</f>
        <v>491727.54577927204</v>
      </c>
      <c r="V1355" s="479">
        <f t="shared" si="100"/>
        <v>576698.69467239175</v>
      </c>
      <c r="W1355" s="559"/>
      <c r="X1355" s="559"/>
    </row>
    <row r="1356" spans="1:24" x14ac:dyDescent="0.25">
      <c r="A1356" s="553">
        <f t="shared" si="99"/>
        <v>565253.93830040249</v>
      </c>
      <c r="B1356" s="3">
        <f t="shared" si="102"/>
        <v>6.8999999999999915</v>
      </c>
      <c r="C1356" s="553">
        <f>'Foglio deposito bis'!$E$158/sezione!$B$247*B1356</f>
        <v>28.011292286874127</v>
      </c>
      <c r="D1356" s="611">
        <f>-'Progetto del paramento slu'!$G$47*'Progetto del paramento slu'!$G$41*IF(DATI!$G$218="dx",DATI!$E$61,DATI!$E$64*DATI!$E$63)*1000*C1356^2*sezione!$AD$5*(1-sezione!$AD$6)</f>
        <v>-6459094.5153084751</v>
      </c>
      <c r="E1356" s="553">
        <f>-'Foglio deposito bis'!$F$68*(C1356-sezione!$AL$32)*IF(ABS(K1356)&lt;'Progetto del paramento slu'!$G$58,ABS(K1356)*'Progetto del paramento slu'!$G$54,'Progetto del paramento slu'!$G$53)</f>
        <v>0</v>
      </c>
      <c r="F1356" s="553">
        <f>-'Foglio deposito bis'!$F$69*(C1356-sezione!$AM$32)*IF(ABS(L1356)&lt;'Progetto del paramento slu'!$G$58,ABS(L1356)*'Progetto del paramento slu'!$G$54,'Progetto del paramento slu'!$G$53)</f>
        <v>18745377.455175102</v>
      </c>
      <c r="G1356" s="553">
        <f>-'Foglio deposito bis'!$F$70*(C1356-sezione!$AN$32)*IF(ABS(M1356)&lt;'Progetto del paramento slu'!$G$58,ABS(M1356)*'Progetto del paramento slu'!$G$54,'Progetto del paramento slu'!$G$53)</f>
        <v>0</v>
      </c>
      <c r="H1356" s="553">
        <f>-'Foglio deposito bis'!$F$71*(C1356-sezione!$AO$32)*IF(ABS(N1356)&lt;'Progetto del paramento slu'!$G$58,ABS(N1356)*'Progetto del paramento slu'!$G$54,'Progetto del paramento slu'!$G$53)</f>
        <v>98184602.594958082</v>
      </c>
      <c r="I1356" s="479">
        <f>-'Foglio deposito bis'!$F$72*(C1356-sezione!$AP$32)*IF(ABS(O1356)&lt;'Progetto del paramento slu'!$G$58,ABS(O1356)*'Progetto del paramento slu'!$G$54,'Progetto del paramento slu'!$G$53)</f>
        <v>114077696.53000911</v>
      </c>
      <c r="J1356" s="479">
        <f t="shared" si="98"/>
        <v>224548582.06483382</v>
      </c>
      <c r="K1356" s="558">
        <f>'Progetto del paramento slu'!$G$60*(sezione!$AL$32-C1356)/C1356</f>
        <v>1.4979843331113611E-3</v>
      </c>
      <c r="L1356" s="558">
        <f>'Progetto del paramento slu'!$G$60*(sezione!$AM$32-C1356)/C1356</f>
        <v>1.5242441249167606E-2</v>
      </c>
      <c r="M1356" s="559">
        <f>'Progetto del paramento slu'!$G$60*(sezione!$AN$32-C1356)/C1356</f>
        <v>2.8986898165223846E-2</v>
      </c>
      <c r="N1356" s="559">
        <f>'Progetto del paramento slu'!$G$60*(sezione!$AO$32-C1356)/C1356</f>
        <v>3.8982866831446569E-2</v>
      </c>
      <c r="O1356" s="559">
        <f>'Progetto del paramento slu'!$G$60*(sezione!$AP$32-C1356)/C1356</f>
        <v>2.8987522913265475E-2</v>
      </c>
      <c r="P1356" s="553">
        <f>-'Progetto del paramento slu'!$G$47*'Progetto del paramento slu'!$G$41*IF(DATI!$G$218="dx",DATI!$E$61,DATI!$E$64*DATI!$E$63)*1000*C1356*sezione!$AD$5</f>
        <v>-394844.09483362612</v>
      </c>
      <c r="Q1356" s="553">
        <f>'Foglio deposito bis'!$F$68*IF(ABS(K1356)&lt;'Progetto del paramento slu'!$G$58,ABS(K1356)*'Progetto del paramento slu'!$G$54,'Progetto del paramento slu'!$G$53)*IF(K1356&lt;0,-1,1)</f>
        <v>0</v>
      </c>
      <c r="R1356" s="553">
        <f>'Foglio deposito bis'!$F$69*IF(ABS(L1356)&lt;'Progetto del paramento slu'!$G$58,ABS(L1356)*'Progetto del paramento slu'!$G$54,'Progetto del paramento slu'!$G$53)*IF(L1356&lt;0,-1,1)</f>
        <v>153664.85805602249</v>
      </c>
      <c r="S1356" s="553">
        <f>'Foglio deposito bis'!$F$70*IF(ABS(M1356)&lt;'Progetto del paramento slu'!$G$58,ABS(M1356)*'Progetto del paramento slu'!$G$54,'Progetto del paramento slu'!$G$53)*IF(M1356&lt;0,-1,1)</f>
        <v>0</v>
      </c>
      <c r="T1356" s="553">
        <f>'Foglio deposito bis'!$F$71*IF(ABS(N1356)&lt;'Progetto del paramento slu'!$G$58,ABS(N1356)*'Progetto del paramento slu'!$G$54,'Progetto del paramento slu'!$G$53)*IF(N1356&lt;0,-1,1)</f>
        <v>314705.62929873407</v>
      </c>
      <c r="U1356" s="553">
        <f>'Foglio deposito bis'!$F$72*IF(ABS(O1356)&lt;'Progetto del paramento slu'!$G$58,ABS(O1356)*'Progetto del paramento slu'!$G$54,'Progetto del paramento slu'!$G$53)*IF(O1356&lt;0,-1,1)</f>
        <v>491727.54577927204</v>
      </c>
      <c r="V1356" s="479">
        <f t="shared" si="100"/>
        <v>565253.93830040249</v>
      </c>
      <c r="W1356" s="559"/>
      <c r="X1356" s="559"/>
    </row>
    <row r="1357" spans="1:24" x14ac:dyDescent="0.25">
      <c r="A1357" s="553">
        <f t="shared" si="99"/>
        <v>553809.18192841334</v>
      </c>
      <c r="B1357" s="3">
        <f t="shared" si="102"/>
        <v>7.0999999999999917</v>
      </c>
      <c r="C1357" s="553">
        <f>'Foglio deposito bis'!$E$158/sezione!$B$247*B1357</f>
        <v>28.823213802435696</v>
      </c>
      <c r="D1357" s="611">
        <f>-'Progetto del paramento slu'!$G$47*'Progetto del paramento slu'!$G$41*IF(DATI!$G$218="dx",DATI!$E$61,DATI!$E$64*DATI!$E$63)*1000*C1357^2*sezione!$AD$5*(1-sezione!$AD$6)</f>
        <v>-6838961.4475257332</v>
      </c>
      <c r="E1357" s="553">
        <f>-'Foglio deposito bis'!$F$68*(C1357-sezione!$AL$32)*IF(ABS(K1357)&lt;'Progetto del paramento slu'!$G$58,ABS(K1357)*'Progetto del paramento slu'!$G$54,'Progetto del paramento slu'!$G$53)</f>
        <v>0</v>
      </c>
      <c r="F1357" s="553">
        <f>-'Foglio deposito bis'!$F$69*(C1357-sezione!$AM$32)*IF(ABS(L1357)&lt;'Progetto del paramento slu'!$G$58,ABS(L1357)*'Progetto del paramento slu'!$G$54,'Progetto del paramento slu'!$G$53)</f>
        <v>18620613.650733702</v>
      </c>
      <c r="G1357" s="553">
        <f>-'Foglio deposito bis'!$F$70*(C1357-sezione!$AN$32)*IF(ABS(M1357)&lt;'Progetto del paramento slu'!$G$58,ABS(M1357)*'Progetto del paramento slu'!$G$54,'Progetto del paramento slu'!$G$53)</f>
        <v>0</v>
      </c>
      <c r="H1357" s="553">
        <f>-'Foglio deposito bis'!$F$71*(C1357-sezione!$AO$32)*IF(ABS(N1357)&lt;'Progetto del paramento slu'!$G$58,ABS(N1357)*'Progetto del paramento slu'!$G$54,'Progetto del paramento slu'!$G$53)</f>
        <v>97929086.323462099</v>
      </c>
      <c r="I1357" s="479">
        <f>-'Foglio deposito bis'!$F$72*(C1357-sezione!$AP$32)*IF(ABS(O1357)&lt;'Progetto del paramento slu'!$G$58,ABS(O1357)*'Progetto del paramento slu'!$G$54,'Progetto del paramento slu'!$G$53)</f>
        <v>113678452.35579661</v>
      </c>
      <c r="J1357" s="479">
        <f t="shared" si="98"/>
        <v>223389190.88246667</v>
      </c>
      <c r="K1357" s="558">
        <f>'Progetto del paramento slu'!$G$60*(sezione!$AL$32-C1357)/C1357</f>
        <v>1.3571960420378018E-3</v>
      </c>
      <c r="L1357" s="558">
        <f>'Progetto del paramento slu'!$G$60*(sezione!$AM$32-C1357)/C1357</f>
        <v>1.4714485157641757E-2</v>
      </c>
      <c r="M1357" s="559">
        <f>'Progetto del paramento slu'!$G$60*(sezione!$AN$32-C1357)/C1357</f>
        <v>2.8071774273245712E-2</v>
      </c>
      <c r="N1357" s="559">
        <f>'Progetto del paramento slu'!$G$60*(sezione!$AO$32-C1357)/C1357</f>
        <v>3.7786166357321314E-2</v>
      </c>
      <c r="O1357" s="559">
        <f>'Progetto del paramento slu'!$G$60*(sezione!$AP$32-C1357)/C1357</f>
        <v>2.8072381422750953E-2</v>
      </c>
      <c r="P1357" s="553">
        <f>-'Progetto del paramento slu'!$G$47*'Progetto del paramento slu'!$G$41*IF(DATI!$G$218="dx",DATI!$E$61,DATI!$E$64*DATI!$E$63)*1000*C1357*sezione!$AD$5</f>
        <v>-406288.85120561527</v>
      </c>
      <c r="Q1357" s="553">
        <f>'Foglio deposito bis'!$F$68*IF(ABS(K1357)&lt;'Progetto del paramento slu'!$G$58,ABS(K1357)*'Progetto del paramento slu'!$G$54,'Progetto del paramento slu'!$G$53)*IF(K1357&lt;0,-1,1)</f>
        <v>0</v>
      </c>
      <c r="R1357" s="553">
        <f>'Foglio deposito bis'!$F$69*IF(ABS(L1357)&lt;'Progetto del paramento slu'!$G$58,ABS(L1357)*'Progetto del paramento slu'!$G$54,'Progetto del paramento slu'!$G$53)*IF(L1357&lt;0,-1,1)</f>
        <v>153664.85805602249</v>
      </c>
      <c r="S1357" s="553">
        <f>'Foglio deposito bis'!$F$70*IF(ABS(M1357)&lt;'Progetto del paramento slu'!$G$58,ABS(M1357)*'Progetto del paramento slu'!$G$54,'Progetto del paramento slu'!$G$53)*IF(M1357&lt;0,-1,1)</f>
        <v>0</v>
      </c>
      <c r="T1357" s="553">
        <f>'Foglio deposito bis'!$F$71*IF(ABS(N1357)&lt;'Progetto del paramento slu'!$G$58,ABS(N1357)*'Progetto del paramento slu'!$G$54,'Progetto del paramento slu'!$G$53)*IF(N1357&lt;0,-1,1)</f>
        <v>314705.62929873407</v>
      </c>
      <c r="U1357" s="553">
        <f>'Foglio deposito bis'!$F$72*IF(ABS(O1357)&lt;'Progetto del paramento slu'!$G$58,ABS(O1357)*'Progetto del paramento slu'!$G$54,'Progetto del paramento slu'!$G$53)*IF(O1357&lt;0,-1,1)</f>
        <v>491727.54577927204</v>
      </c>
      <c r="V1357" s="479">
        <f t="shared" si="100"/>
        <v>553809.18192841334</v>
      </c>
      <c r="W1357" s="559"/>
      <c r="X1357" s="559"/>
    </row>
    <row r="1358" spans="1:24" x14ac:dyDescent="0.25">
      <c r="A1358" s="553">
        <f t="shared" si="99"/>
        <v>542364.42555642407</v>
      </c>
      <c r="B1358" s="3">
        <f t="shared" si="102"/>
        <v>7.2999999999999918</v>
      </c>
      <c r="C1358" s="553">
        <f>'Foglio deposito bis'!$E$158/sezione!$B$247*B1358</f>
        <v>29.635135317997268</v>
      </c>
      <c r="D1358" s="611">
        <f>-'Progetto del paramento slu'!$G$47*'Progetto del paramento slu'!$G$41*IF(DATI!$G$218="dx",DATI!$E$61,DATI!$E$64*DATI!$E$63)*1000*C1358^2*sezione!$AD$5*(1-sezione!$AD$6)</f>
        <v>-7229681.7206634879</v>
      </c>
      <c r="E1358" s="553">
        <f>-'Foglio deposito bis'!$F$68*(C1358-sezione!$AL$32)*IF(ABS(K1358)&lt;'Progetto del paramento slu'!$G$58,ABS(K1358)*'Progetto del paramento slu'!$G$54,'Progetto del paramento slu'!$G$53)</f>
        <v>0</v>
      </c>
      <c r="F1358" s="553">
        <f>-'Foglio deposito bis'!$F$69*(C1358-sezione!$AM$32)*IF(ABS(L1358)&lt;'Progetto del paramento slu'!$G$58,ABS(L1358)*'Progetto del paramento slu'!$G$54,'Progetto del paramento slu'!$G$53)</f>
        <v>18495849.846292306</v>
      </c>
      <c r="G1358" s="553">
        <f>-'Foglio deposito bis'!$F$70*(C1358-sezione!$AN$32)*IF(ABS(M1358)&lt;'Progetto del paramento slu'!$G$58,ABS(M1358)*'Progetto del paramento slu'!$G$54,'Progetto del paramento slu'!$G$53)</f>
        <v>0</v>
      </c>
      <c r="H1358" s="553">
        <f>-'Foglio deposito bis'!$F$71*(C1358-sezione!$AO$32)*IF(ABS(N1358)&lt;'Progetto del paramento slu'!$G$58,ABS(N1358)*'Progetto del paramento slu'!$G$54,'Progetto del paramento slu'!$G$53)</f>
        <v>97673570.051966131</v>
      </c>
      <c r="I1358" s="479">
        <f>-'Foglio deposito bis'!$F$72*(C1358-sezione!$AP$32)*IF(ABS(O1358)&lt;'Progetto del paramento slu'!$G$58,ABS(O1358)*'Progetto del paramento slu'!$G$54,'Progetto del paramento slu'!$G$53)</f>
        <v>113279208.18158415</v>
      </c>
      <c r="J1358" s="479">
        <f t="shared" si="98"/>
        <v>222218946.35917908</v>
      </c>
      <c r="K1358" s="558">
        <f>'Progetto del paramento slu'!$G$60*(sezione!$AL$32-C1358)/C1358</f>
        <v>1.2241221778723822E-3</v>
      </c>
      <c r="L1358" s="558">
        <f>'Progetto del paramento slu'!$G$60*(sezione!$AM$32-C1358)/C1358</f>
        <v>1.4215458167021433E-2</v>
      </c>
      <c r="M1358" s="559">
        <f>'Progetto del paramento slu'!$G$60*(sezione!$AN$32-C1358)/C1358</f>
        <v>2.7206794156170486E-2</v>
      </c>
      <c r="N1358" s="559">
        <f>'Progetto del paramento slu'!$G$60*(sezione!$AO$32-C1358)/C1358</f>
        <v>3.6655038511915247E-2</v>
      </c>
      <c r="O1358" s="559">
        <f>'Progetto del paramento slu'!$G$60*(sezione!$AP$32-C1358)/C1358</f>
        <v>2.7207384671442708E-2</v>
      </c>
      <c r="P1358" s="553">
        <f>-'Progetto del paramento slu'!$G$47*'Progetto del paramento slu'!$G$41*IF(DATI!$G$218="dx",DATI!$E$61,DATI!$E$64*DATI!$E$63)*1000*C1358*sezione!$AD$5</f>
        <v>-417733.60757760447</v>
      </c>
      <c r="Q1358" s="553">
        <f>'Foglio deposito bis'!$F$68*IF(ABS(K1358)&lt;'Progetto del paramento slu'!$G$58,ABS(K1358)*'Progetto del paramento slu'!$G$54,'Progetto del paramento slu'!$G$53)*IF(K1358&lt;0,-1,1)</f>
        <v>0</v>
      </c>
      <c r="R1358" s="553">
        <f>'Foglio deposito bis'!$F$69*IF(ABS(L1358)&lt;'Progetto del paramento slu'!$G$58,ABS(L1358)*'Progetto del paramento slu'!$G$54,'Progetto del paramento slu'!$G$53)*IF(L1358&lt;0,-1,1)</f>
        <v>153664.85805602249</v>
      </c>
      <c r="S1358" s="553">
        <f>'Foglio deposito bis'!$F$70*IF(ABS(M1358)&lt;'Progetto del paramento slu'!$G$58,ABS(M1358)*'Progetto del paramento slu'!$G$54,'Progetto del paramento slu'!$G$53)*IF(M1358&lt;0,-1,1)</f>
        <v>0</v>
      </c>
      <c r="T1358" s="553">
        <f>'Foglio deposito bis'!$F$71*IF(ABS(N1358)&lt;'Progetto del paramento slu'!$G$58,ABS(N1358)*'Progetto del paramento slu'!$G$54,'Progetto del paramento slu'!$G$53)*IF(N1358&lt;0,-1,1)</f>
        <v>314705.62929873407</v>
      </c>
      <c r="U1358" s="553">
        <f>'Foglio deposito bis'!$F$72*IF(ABS(O1358)&lt;'Progetto del paramento slu'!$G$58,ABS(O1358)*'Progetto del paramento slu'!$G$54,'Progetto del paramento slu'!$G$53)*IF(O1358&lt;0,-1,1)</f>
        <v>491727.54577927204</v>
      </c>
      <c r="V1358" s="479">
        <f t="shared" si="100"/>
        <v>542364.42555642407</v>
      </c>
      <c r="W1358" s="559"/>
      <c r="X1358" s="559"/>
    </row>
    <row r="1359" spans="1:24" x14ac:dyDescent="0.25">
      <c r="A1359" s="553">
        <f t="shared" si="99"/>
        <v>530919.66918443493</v>
      </c>
      <c r="B1359" s="3">
        <f t="shared" si="102"/>
        <v>7.499999999999992</v>
      </c>
      <c r="C1359" s="553">
        <f>'Foglio deposito bis'!$E$158/sezione!$B$247*B1359</f>
        <v>30.447056833558836</v>
      </c>
      <c r="D1359" s="611">
        <f>-'Progetto del paramento slu'!$G$47*'Progetto del paramento slu'!$G$41*IF(DATI!$G$218="dx",DATI!$E$61,DATI!$E$64*DATI!$E$63)*1000*C1359^2*sezione!$AD$5*(1-sezione!$AD$6)</f>
        <v>-7631255.3347217338</v>
      </c>
      <c r="E1359" s="553">
        <f>-'Foglio deposito bis'!$F$68*(C1359-sezione!$AL$32)*IF(ABS(K1359)&lt;'Progetto del paramento slu'!$G$58,ABS(K1359)*'Progetto del paramento slu'!$G$54,'Progetto del paramento slu'!$G$53)</f>
        <v>0</v>
      </c>
      <c r="F1359" s="553">
        <f>-'Foglio deposito bis'!$F$69*(C1359-sezione!$AM$32)*IF(ABS(L1359)&lt;'Progetto del paramento slu'!$G$58,ABS(L1359)*'Progetto del paramento slu'!$G$54,'Progetto del paramento slu'!$G$53)</f>
        <v>18371086.041850906</v>
      </c>
      <c r="G1359" s="553">
        <f>-'Foglio deposito bis'!$F$70*(C1359-sezione!$AN$32)*IF(ABS(M1359)&lt;'Progetto del paramento slu'!$G$58,ABS(M1359)*'Progetto del paramento slu'!$G$54,'Progetto del paramento slu'!$G$53)</f>
        <v>0</v>
      </c>
      <c r="H1359" s="553">
        <f>-'Foglio deposito bis'!$F$71*(C1359-sezione!$AO$32)*IF(ABS(N1359)&lt;'Progetto del paramento slu'!$G$58,ABS(N1359)*'Progetto del paramento slu'!$G$54,'Progetto del paramento slu'!$G$53)</f>
        <v>97418053.780470133</v>
      </c>
      <c r="I1359" s="479">
        <f>-'Foglio deposito bis'!$F$72*(C1359-sezione!$AP$32)*IF(ABS(O1359)&lt;'Progetto del paramento slu'!$G$58,ABS(O1359)*'Progetto del paramento slu'!$G$54,'Progetto del paramento slu'!$G$53)</f>
        <v>112879964.00737166</v>
      </c>
      <c r="J1359" s="479">
        <f t="shared" si="98"/>
        <v>221037848.49497098</v>
      </c>
      <c r="K1359" s="558">
        <f>'Progetto del paramento slu'!$G$60*(sezione!$AL$32-C1359)/C1359</f>
        <v>1.098145586462452E-3</v>
      </c>
      <c r="L1359" s="558">
        <f>'Progetto del paramento slu'!$G$60*(sezione!$AM$32-C1359)/C1359</f>
        <v>1.3743045949234197E-2</v>
      </c>
      <c r="M1359" s="559">
        <f>'Progetto del paramento slu'!$G$60*(sezione!$AN$32-C1359)/C1359</f>
        <v>2.6387946312005941E-2</v>
      </c>
      <c r="N1359" s="559">
        <f>'Progetto del paramento slu'!$G$60*(sezione!$AO$32-C1359)/C1359</f>
        <v>3.5584237484930836E-2</v>
      </c>
      <c r="O1359" s="559">
        <f>'Progetto del paramento slu'!$G$60*(sezione!$AP$32-C1359)/C1359</f>
        <v>2.6388521080204234E-2</v>
      </c>
      <c r="P1359" s="553">
        <f>-'Progetto del paramento slu'!$G$47*'Progetto del paramento slu'!$G$41*IF(DATI!$G$218="dx",DATI!$E$61,DATI!$E$64*DATI!$E$63)*1000*C1359*sezione!$AD$5</f>
        <v>-429178.36394959368</v>
      </c>
      <c r="Q1359" s="553">
        <f>'Foglio deposito bis'!$F$68*IF(ABS(K1359)&lt;'Progetto del paramento slu'!$G$58,ABS(K1359)*'Progetto del paramento slu'!$G$54,'Progetto del paramento slu'!$G$53)*IF(K1359&lt;0,-1,1)</f>
        <v>0</v>
      </c>
      <c r="R1359" s="553">
        <f>'Foglio deposito bis'!$F$69*IF(ABS(L1359)&lt;'Progetto del paramento slu'!$G$58,ABS(L1359)*'Progetto del paramento slu'!$G$54,'Progetto del paramento slu'!$G$53)*IF(L1359&lt;0,-1,1)</f>
        <v>153664.85805602249</v>
      </c>
      <c r="S1359" s="553">
        <f>'Foglio deposito bis'!$F$70*IF(ABS(M1359)&lt;'Progetto del paramento slu'!$G$58,ABS(M1359)*'Progetto del paramento slu'!$G$54,'Progetto del paramento slu'!$G$53)*IF(M1359&lt;0,-1,1)</f>
        <v>0</v>
      </c>
      <c r="T1359" s="553">
        <f>'Foglio deposito bis'!$F$71*IF(ABS(N1359)&lt;'Progetto del paramento slu'!$G$58,ABS(N1359)*'Progetto del paramento slu'!$G$54,'Progetto del paramento slu'!$G$53)*IF(N1359&lt;0,-1,1)</f>
        <v>314705.62929873407</v>
      </c>
      <c r="U1359" s="553">
        <f>'Foglio deposito bis'!$F$72*IF(ABS(O1359)&lt;'Progetto del paramento slu'!$G$58,ABS(O1359)*'Progetto del paramento slu'!$G$54,'Progetto del paramento slu'!$G$53)*IF(O1359&lt;0,-1,1)</f>
        <v>491727.54577927204</v>
      </c>
      <c r="V1359" s="479">
        <f t="shared" si="100"/>
        <v>530919.66918443493</v>
      </c>
      <c r="W1359" s="559"/>
      <c r="X1359" s="559"/>
    </row>
    <row r="1360" spans="1:24" x14ac:dyDescent="0.25">
      <c r="A1360" s="553">
        <f t="shared" si="99"/>
        <v>519474.91281244572</v>
      </c>
      <c r="B1360" s="3">
        <f t="shared" si="102"/>
        <v>7.6999999999999922</v>
      </c>
      <c r="C1360" s="553">
        <f>'Foglio deposito bis'!$E$158/sezione!$B$247*B1360</f>
        <v>31.258978349120408</v>
      </c>
      <c r="D1360" s="611">
        <f>-'Progetto del paramento slu'!$G$47*'Progetto del paramento slu'!$G$41*IF(DATI!$G$218="dx",DATI!$E$61,DATI!$E$64*DATI!$E$63)*1000*C1360^2*sezione!$AD$5*(1-sezione!$AD$6)</f>
        <v>-8043682.2897004746</v>
      </c>
      <c r="E1360" s="553">
        <f>-'Foglio deposito bis'!$F$68*(C1360-sezione!$AL$32)*IF(ABS(K1360)&lt;'Progetto del paramento slu'!$G$58,ABS(K1360)*'Progetto del paramento slu'!$G$54,'Progetto del paramento slu'!$G$53)</f>
        <v>0</v>
      </c>
      <c r="F1360" s="553">
        <f>-'Foglio deposito bis'!$F$69*(C1360-sezione!$AM$32)*IF(ABS(L1360)&lt;'Progetto del paramento slu'!$G$58,ABS(L1360)*'Progetto del paramento slu'!$G$54,'Progetto del paramento slu'!$G$53)</f>
        <v>18246322.237409506</v>
      </c>
      <c r="G1360" s="553">
        <f>-'Foglio deposito bis'!$F$70*(C1360-sezione!$AN$32)*IF(ABS(M1360)&lt;'Progetto del paramento slu'!$G$58,ABS(M1360)*'Progetto del paramento slu'!$G$54,'Progetto del paramento slu'!$G$53)</f>
        <v>0</v>
      </c>
      <c r="H1360" s="553">
        <f>-'Foglio deposito bis'!$F$71*(C1360-sezione!$AO$32)*IF(ABS(N1360)&lt;'Progetto del paramento slu'!$G$58,ABS(N1360)*'Progetto del paramento slu'!$G$54,'Progetto del paramento slu'!$G$53)</f>
        <v>97162537.50897415</v>
      </c>
      <c r="I1360" s="479">
        <f>-'Foglio deposito bis'!$F$72*(C1360-sezione!$AP$32)*IF(ABS(O1360)&lt;'Progetto del paramento slu'!$G$58,ABS(O1360)*'Progetto del paramento slu'!$G$54,'Progetto del paramento slu'!$G$53)</f>
        <v>112480719.83315919</v>
      </c>
      <c r="J1360" s="479">
        <f t="shared" si="98"/>
        <v>219845897.28984237</v>
      </c>
      <c r="K1360" s="558">
        <f>'Progetto del paramento slu'!$G$60*(sezione!$AL$32-C1360)/C1360</f>
        <v>9.787132335673228E-4</v>
      </c>
      <c r="L1360" s="558">
        <f>'Progetto del paramento slu'!$G$60*(sezione!$AM$32-C1360)/C1360</f>
        <v>1.3295174625877461E-2</v>
      </c>
      <c r="M1360" s="559">
        <f>'Progetto del paramento slu'!$G$60*(sezione!$AN$32-C1360)/C1360</f>
        <v>2.5611636018187597E-2</v>
      </c>
      <c r="N1360" s="559">
        <f>'Progetto del paramento slu'!$G$60*(sezione!$AO$32-C1360)/C1360</f>
        <v>3.4569062485322245E-2</v>
      </c>
      <c r="O1360" s="559">
        <f>'Progetto del paramento slu'!$G$60*(sezione!$AP$32-C1360)/C1360</f>
        <v>2.5612195857341778E-2</v>
      </c>
      <c r="P1360" s="553">
        <f>-'Progetto del paramento slu'!$G$47*'Progetto del paramento slu'!$G$41*IF(DATI!$G$218="dx",DATI!$E$61,DATI!$E$64*DATI!$E$63)*1000*C1360*sezione!$AD$5</f>
        <v>-440623.12032158289</v>
      </c>
      <c r="Q1360" s="553">
        <f>'Foglio deposito bis'!$F$68*IF(ABS(K1360)&lt;'Progetto del paramento slu'!$G$58,ABS(K1360)*'Progetto del paramento slu'!$G$54,'Progetto del paramento slu'!$G$53)*IF(K1360&lt;0,-1,1)</f>
        <v>0</v>
      </c>
      <c r="R1360" s="553">
        <f>'Foglio deposito bis'!$F$69*IF(ABS(L1360)&lt;'Progetto del paramento slu'!$G$58,ABS(L1360)*'Progetto del paramento slu'!$G$54,'Progetto del paramento slu'!$G$53)*IF(L1360&lt;0,-1,1)</f>
        <v>153664.85805602249</v>
      </c>
      <c r="S1360" s="553">
        <f>'Foglio deposito bis'!$F$70*IF(ABS(M1360)&lt;'Progetto del paramento slu'!$G$58,ABS(M1360)*'Progetto del paramento slu'!$G$54,'Progetto del paramento slu'!$G$53)*IF(M1360&lt;0,-1,1)</f>
        <v>0</v>
      </c>
      <c r="T1360" s="553">
        <f>'Foglio deposito bis'!$F$71*IF(ABS(N1360)&lt;'Progetto del paramento slu'!$G$58,ABS(N1360)*'Progetto del paramento slu'!$G$54,'Progetto del paramento slu'!$G$53)*IF(N1360&lt;0,-1,1)</f>
        <v>314705.62929873407</v>
      </c>
      <c r="U1360" s="553">
        <f>'Foglio deposito bis'!$F$72*IF(ABS(O1360)&lt;'Progetto del paramento slu'!$G$58,ABS(O1360)*'Progetto del paramento slu'!$G$54,'Progetto del paramento slu'!$G$53)*IF(O1360&lt;0,-1,1)</f>
        <v>491727.54577927204</v>
      </c>
      <c r="V1360" s="479">
        <f t="shared" si="100"/>
        <v>519474.91281244572</v>
      </c>
      <c r="W1360" s="559"/>
      <c r="X1360" s="559"/>
    </row>
    <row r="1361" spans="1:24" x14ac:dyDescent="0.25">
      <c r="A1361" s="553">
        <f t="shared" si="99"/>
        <v>508030.15644045663</v>
      </c>
      <c r="B1361" s="3">
        <f t="shared" si="102"/>
        <v>7.8999999999999924</v>
      </c>
      <c r="C1361" s="553">
        <f>'Foglio deposito bis'!$E$158/sezione!$B$247*B1361</f>
        <v>32.070899864681977</v>
      </c>
      <c r="D1361" s="611">
        <f>-'Progetto del paramento slu'!$G$47*'Progetto del paramento slu'!$G$41*IF(DATI!$G$218="dx",DATI!$E$61,DATI!$E$64*DATI!$E$63)*1000*C1361^2*sezione!$AD$5*(1-sezione!$AD$6)</f>
        <v>-8466962.5855997037</v>
      </c>
      <c r="E1361" s="553">
        <f>-'Foglio deposito bis'!$F$68*(C1361-sezione!$AL$32)*IF(ABS(K1361)&lt;'Progetto del paramento slu'!$G$58,ABS(K1361)*'Progetto del paramento slu'!$G$54,'Progetto del paramento slu'!$G$53)</f>
        <v>0</v>
      </c>
      <c r="F1361" s="553">
        <f>-'Foglio deposito bis'!$F$69*(C1361-sezione!$AM$32)*IF(ABS(L1361)&lt;'Progetto del paramento slu'!$G$58,ABS(L1361)*'Progetto del paramento slu'!$G$54,'Progetto del paramento slu'!$G$53)</f>
        <v>18121558.43296811</v>
      </c>
      <c r="G1361" s="553">
        <f>-'Foglio deposito bis'!$F$70*(C1361-sezione!$AN$32)*IF(ABS(M1361)&lt;'Progetto del paramento slu'!$G$58,ABS(M1361)*'Progetto del paramento slu'!$G$54,'Progetto del paramento slu'!$G$53)</f>
        <v>0</v>
      </c>
      <c r="H1361" s="553">
        <f>-'Foglio deposito bis'!$F$71*(C1361-sezione!$AO$32)*IF(ABS(N1361)&lt;'Progetto del paramento slu'!$G$58,ABS(N1361)*'Progetto del paramento slu'!$G$54,'Progetto del paramento slu'!$G$53)</f>
        <v>96907021.237478167</v>
      </c>
      <c r="I1361" s="479">
        <f>-'Foglio deposito bis'!$F$72*(C1361-sezione!$AP$32)*IF(ABS(O1361)&lt;'Progetto del paramento slu'!$G$58,ABS(O1361)*'Progetto del paramento slu'!$G$54,'Progetto del paramento slu'!$G$53)</f>
        <v>112081475.65894671</v>
      </c>
      <c r="J1361" s="479">
        <f t="shared" si="98"/>
        <v>218643092.74379328</v>
      </c>
      <c r="K1361" s="558">
        <f>'Progetto del paramento slu'!$G$60*(sezione!$AL$32-C1361)/C1361</f>
        <v>8.6532808841371998E-4</v>
      </c>
      <c r="L1361" s="558">
        <f>'Progetto del paramento slu'!$G$60*(sezione!$AM$32-C1361)/C1361</f>
        <v>1.2869980331551449E-2</v>
      </c>
      <c r="M1361" s="559">
        <f>'Progetto del paramento slu'!$G$60*(sezione!$AN$32-C1361)/C1361</f>
        <v>2.4874632574689182E-2</v>
      </c>
      <c r="N1361" s="559">
        <f>'Progetto del paramento slu'!$G$60*(sezione!$AO$32-C1361)/C1361</f>
        <v>3.3605288751516624E-2</v>
      </c>
      <c r="O1361" s="559">
        <f>'Progetto del paramento slu'!$G$60*(sezione!$AP$32-C1361)/C1361</f>
        <v>2.4875178240700221E-2</v>
      </c>
      <c r="P1361" s="553">
        <f>-'Progetto del paramento slu'!$G$47*'Progetto del paramento slu'!$G$41*IF(DATI!$G$218="dx",DATI!$E$61,DATI!$E$64*DATI!$E$63)*1000*C1361*sezione!$AD$5</f>
        <v>-452067.87669357198</v>
      </c>
      <c r="Q1361" s="553">
        <f>'Foglio deposito bis'!$F$68*IF(ABS(K1361)&lt;'Progetto del paramento slu'!$G$58,ABS(K1361)*'Progetto del paramento slu'!$G$54,'Progetto del paramento slu'!$G$53)*IF(K1361&lt;0,-1,1)</f>
        <v>0</v>
      </c>
      <c r="R1361" s="553">
        <f>'Foglio deposito bis'!$F$69*IF(ABS(L1361)&lt;'Progetto del paramento slu'!$G$58,ABS(L1361)*'Progetto del paramento slu'!$G$54,'Progetto del paramento slu'!$G$53)*IF(L1361&lt;0,-1,1)</f>
        <v>153664.85805602249</v>
      </c>
      <c r="S1361" s="553">
        <f>'Foglio deposito bis'!$F$70*IF(ABS(M1361)&lt;'Progetto del paramento slu'!$G$58,ABS(M1361)*'Progetto del paramento slu'!$G$54,'Progetto del paramento slu'!$G$53)*IF(M1361&lt;0,-1,1)</f>
        <v>0</v>
      </c>
      <c r="T1361" s="553">
        <f>'Foglio deposito bis'!$F$71*IF(ABS(N1361)&lt;'Progetto del paramento slu'!$G$58,ABS(N1361)*'Progetto del paramento slu'!$G$54,'Progetto del paramento slu'!$G$53)*IF(N1361&lt;0,-1,1)</f>
        <v>314705.62929873407</v>
      </c>
      <c r="U1361" s="553">
        <f>'Foglio deposito bis'!$F$72*IF(ABS(O1361)&lt;'Progetto del paramento slu'!$G$58,ABS(O1361)*'Progetto del paramento slu'!$G$54,'Progetto del paramento slu'!$G$53)*IF(O1361&lt;0,-1,1)</f>
        <v>491727.54577927204</v>
      </c>
      <c r="V1361" s="479">
        <f t="shared" si="100"/>
        <v>508030.15644045663</v>
      </c>
      <c r="W1361" s="559"/>
      <c r="X1361" s="559"/>
    </row>
    <row r="1362" spans="1:24" x14ac:dyDescent="0.25">
      <c r="A1362" s="553">
        <f t="shared" si="99"/>
        <v>496585.40006846737</v>
      </c>
      <c r="B1362" s="3">
        <f t="shared" si="102"/>
        <v>8.0999999999999925</v>
      </c>
      <c r="C1362" s="553">
        <f>'Foglio deposito bis'!$E$158/sezione!$B$247*B1362</f>
        <v>32.882821380243549</v>
      </c>
      <c r="D1362" s="611">
        <f>-'Progetto del paramento slu'!$G$47*'Progetto del paramento slu'!$G$41*IF(DATI!$G$218="dx",DATI!$E$61,DATI!$E$64*DATI!$E$63)*1000*C1362^2*sezione!$AD$5*(1-sezione!$AD$6)</f>
        <v>-8901096.2224194333</v>
      </c>
      <c r="E1362" s="553">
        <f>-'Foglio deposito bis'!$F$68*(C1362-sezione!$AL$32)*IF(ABS(K1362)&lt;'Progetto del paramento slu'!$G$58,ABS(K1362)*'Progetto del paramento slu'!$G$54,'Progetto del paramento slu'!$G$53)</f>
        <v>0</v>
      </c>
      <c r="F1362" s="553">
        <f>-'Foglio deposito bis'!$F$69*(C1362-sezione!$AM$32)*IF(ABS(L1362)&lt;'Progetto del paramento slu'!$G$58,ABS(L1362)*'Progetto del paramento slu'!$G$54,'Progetto del paramento slu'!$G$53)</f>
        <v>17996794.62852671</v>
      </c>
      <c r="G1362" s="553">
        <f>-'Foglio deposito bis'!$F$70*(C1362-sezione!$AN$32)*IF(ABS(M1362)&lt;'Progetto del paramento slu'!$G$58,ABS(M1362)*'Progetto del paramento slu'!$G$54,'Progetto del paramento slu'!$G$53)</f>
        <v>0</v>
      </c>
      <c r="H1362" s="553">
        <f>-'Foglio deposito bis'!$F$71*(C1362-sezione!$AO$32)*IF(ABS(N1362)&lt;'Progetto del paramento slu'!$G$58,ABS(N1362)*'Progetto del paramento slu'!$G$54,'Progetto del paramento slu'!$G$53)</f>
        <v>96651504.965982169</v>
      </c>
      <c r="I1362" s="479">
        <f>-'Foglio deposito bis'!$F$72*(C1362-sezione!$AP$32)*IF(ABS(O1362)&lt;'Progetto del paramento slu'!$G$58,ABS(O1362)*'Progetto del paramento slu'!$G$54,'Progetto del paramento slu'!$G$53)</f>
        <v>111682231.48473422</v>
      </c>
      <c r="J1362" s="479">
        <f t="shared" si="98"/>
        <v>217429434.85682368</v>
      </c>
      <c r="K1362" s="558">
        <f>'Progetto del paramento slu'!$G$60*(sezione!$AL$32-C1362)/C1362</f>
        <v>7.5754220968745484E-4</v>
      </c>
      <c r="L1362" s="558">
        <f>'Progetto del paramento slu'!$G$60*(sezione!$AM$32-C1362)/C1362</f>
        <v>1.2465783286327956E-2</v>
      </c>
      <c r="M1362" s="559">
        <f>'Progetto del paramento slu'!$G$60*(sezione!$AN$32-C1362)/C1362</f>
        <v>2.4174024362968456E-2</v>
      </c>
      <c r="N1362" s="559">
        <f>'Progetto del paramento slu'!$G$60*(sezione!$AO$32-C1362)/C1362</f>
        <v>3.2689108782343365E-2</v>
      </c>
      <c r="O1362" s="559">
        <f>'Progetto del paramento slu'!$G$60*(sezione!$AP$32-C1362)/C1362</f>
        <v>2.4174556555744655E-2</v>
      </c>
      <c r="P1362" s="553">
        <f>-'Progetto del paramento slu'!$G$47*'Progetto del paramento slu'!$G$41*IF(DATI!$G$218="dx",DATI!$E$61,DATI!$E$64*DATI!$E$63)*1000*C1362*sezione!$AD$5</f>
        <v>-463512.63306556124</v>
      </c>
      <c r="Q1362" s="553">
        <f>'Foglio deposito bis'!$F$68*IF(ABS(K1362)&lt;'Progetto del paramento slu'!$G$58,ABS(K1362)*'Progetto del paramento slu'!$G$54,'Progetto del paramento slu'!$G$53)*IF(K1362&lt;0,-1,1)</f>
        <v>0</v>
      </c>
      <c r="R1362" s="553">
        <f>'Foglio deposito bis'!$F$69*IF(ABS(L1362)&lt;'Progetto del paramento slu'!$G$58,ABS(L1362)*'Progetto del paramento slu'!$G$54,'Progetto del paramento slu'!$G$53)*IF(L1362&lt;0,-1,1)</f>
        <v>153664.85805602249</v>
      </c>
      <c r="S1362" s="553">
        <f>'Foglio deposito bis'!$F$70*IF(ABS(M1362)&lt;'Progetto del paramento slu'!$G$58,ABS(M1362)*'Progetto del paramento slu'!$G$54,'Progetto del paramento slu'!$G$53)*IF(M1362&lt;0,-1,1)</f>
        <v>0</v>
      </c>
      <c r="T1362" s="553">
        <f>'Foglio deposito bis'!$F$71*IF(ABS(N1362)&lt;'Progetto del paramento slu'!$G$58,ABS(N1362)*'Progetto del paramento slu'!$G$54,'Progetto del paramento slu'!$G$53)*IF(N1362&lt;0,-1,1)</f>
        <v>314705.62929873407</v>
      </c>
      <c r="U1362" s="553">
        <f>'Foglio deposito bis'!$F$72*IF(ABS(O1362)&lt;'Progetto del paramento slu'!$G$58,ABS(O1362)*'Progetto del paramento slu'!$G$54,'Progetto del paramento slu'!$G$53)*IF(O1362&lt;0,-1,1)</f>
        <v>491727.54577927204</v>
      </c>
      <c r="V1362" s="479">
        <f t="shared" si="100"/>
        <v>496585.40006846737</v>
      </c>
      <c r="W1362" s="559"/>
      <c r="X1362" s="559"/>
    </row>
    <row r="1363" spans="1:24" x14ac:dyDescent="0.25">
      <c r="A1363" s="553">
        <f t="shared" si="99"/>
        <v>485140.64369647822</v>
      </c>
      <c r="B1363" s="3">
        <f t="shared" si="102"/>
        <v>8.2999999999999918</v>
      </c>
      <c r="C1363" s="553">
        <f>'Foglio deposito bis'!$E$158/sezione!$B$247*B1363</f>
        <v>33.694742895805113</v>
      </c>
      <c r="D1363" s="611">
        <f>-'Progetto del paramento slu'!$G$47*'Progetto del paramento slu'!$G$41*IF(DATI!$G$218="dx",DATI!$E$61,DATI!$E$64*DATI!$E$63)*1000*C1363^2*sezione!$AD$5*(1-sezione!$AD$6)</f>
        <v>-9346083.2001596503</v>
      </c>
      <c r="E1363" s="553">
        <f>-'Foglio deposito bis'!$F$68*(C1363-sezione!$AL$32)*IF(ABS(K1363)&lt;'Progetto del paramento slu'!$G$58,ABS(K1363)*'Progetto del paramento slu'!$G$54,'Progetto del paramento slu'!$G$53)</f>
        <v>0</v>
      </c>
      <c r="F1363" s="553">
        <f>-'Foglio deposito bis'!$F$69*(C1363-sezione!$AM$32)*IF(ABS(L1363)&lt;'Progetto del paramento slu'!$G$58,ABS(L1363)*'Progetto del paramento slu'!$G$54,'Progetto del paramento slu'!$G$53)</f>
        <v>17872030.824085306</v>
      </c>
      <c r="G1363" s="553">
        <f>-'Foglio deposito bis'!$F$70*(C1363-sezione!$AN$32)*IF(ABS(M1363)&lt;'Progetto del paramento slu'!$G$58,ABS(M1363)*'Progetto del paramento slu'!$G$54,'Progetto del paramento slu'!$G$53)</f>
        <v>0</v>
      </c>
      <c r="H1363" s="553">
        <f>-'Foglio deposito bis'!$F$71*(C1363-sezione!$AO$32)*IF(ABS(N1363)&lt;'Progetto del paramento slu'!$G$58,ABS(N1363)*'Progetto del paramento slu'!$G$54,'Progetto del paramento slu'!$G$53)</f>
        <v>96395988.694486186</v>
      </c>
      <c r="I1363" s="479">
        <f>-'Foglio deposito bis'!$F$72*(C1363-sezione!$AP$32)*IF(ABS(O1363)&lt;'Progetto del paramento slu'!$G$58,ABS(O1363)*'Progetto del paramento slu'!$G$54,'Progetto del paramento slu'!$G$53)</f>
        <v>111282987.31052175</v>
      </c>
      <c r="J1363" s="479">
        <f t="shared" si="98"/>
        <v>216204923.62893361</v>
      </c>
      <c r="K1363" s="558">
        <f>'Progetto del paramento slu'!$G$60*(sezione!$AL$32-C1363)/C1363</f>
        <v>6.5495083114076966E-4</v>
      </c>
      <c r="L1363" s="558">
        <f>'Progetto del paramento slu'!$G$60*(sezione!$AM$32-C1363)/C1363</f>
        <v>1.2081065616777886E-2</v>
      </c>
      <c r="M1363" s="559">
        <f>'Progetto del paramento slu'!$G$60*(sezione!$AN$32-C1363)/C1363</f>
        <v>2.3507180402415003E-2</v>
      </c>
      <c r="N1363" s="559">
        <f>'Progetto del paramento slu'!$G$60*(sezione!$AO$32-C1363)/C1363</f>
        <v>3.1817082064696543E-2</v>
      </c>
      <c r="O1363" s="559">
        <f>'Progetto del paramento slu'!$G$60*(sezione!$AP$32-C1363)/C1363</f>
        <v>2.3507699771268882E-2</v>
      </c>
      <c r="P1363" s="553">
        <f>-'Progetto del paramento slu'!$G$47*'Progetto del paramento slu'!$G$41*IF(DATI!$G$218="dx",DATI!$E$61,DATI!$E$64*DATI!$E$63)*1000*C1363*sezione!$AD$5</f>
        <v>-474957.38943755039</v>
      </c>
      <c r="Q1363" s="553">
        <f>'Foglio deposito bis'!$F$68*IF(ABS(K1363)&lt;'Progetto del paramento slu'!$G$58,ABS(K1363)*'Progetto del paramento slu'!$G$54,'Progetto del paramento slu'!$G$53)*IF(K1363&lt;0,-1,1)</f>
        <v>0</v>
      </c>
      <c r="R1363" s="553">
        <f>'Foglio deposito bis'!$F$69*IF(ABS(L1363)&lt;'Progetto del paramento slu'!$G$58,ABS(L1363)*'Progetto del paramento slu'!$G$54,'Progetto del paramento slu'!$G$53)*IF(L1363&lt;0,-1,1)</f>
        <v>153664.85805602249</v>
      </c>
      <c r="S1363" s="553">
        <f>'Foglio deposito bis'!$F$70*IF(ABS(M1363)&lt;'Progetto del paramento slu'!$G$58,ABS(M1363)*'Progetto del paramento slu'!$G$54,'Progetto del paramento slu'!$G$53)*IF(M1363&lt;0,-1,1)</f>
        <v>0</v>
      </c>
      <c r="T1363" s="553">
        <f>'Foglio deposito bis'!$F$71*IF(ABS(N1363)&lt;'Progetto del paramento slu'!$G$58,ABS(N1363)*'Progetto del paramento slu'!$G$54,'Progetto del paramento slu'!$G$53)*IF(N1363&lt;0,-1,1)</f>
        <v>314705.62929873407</v>
      </c>
      <c r="U1363" s="553">
        <f>'Foglio deposito bis'!$F$72*IF(ABS(O1363)&lt;'Progetto del paramento slu'!$G$58,ABS(O1363)*'Progetto del paramento slu'!$G$54,'Progetto del paramento slu'!$G$53)*IF(O1363&lt;0,-1,1)</f>
        <v>491727.54577927204</v>
      </c>
      <c r="V1363" s="479">
        <f t="shared" si="100"/>
        <v>485140.64369647822</v>
      </c>
      <c r="W1363" s="559"/>
      <c r="X1363" s="559"/>
    </row>
    <row r="1364" spans="1:24" x14ac:dyDescent="0.25">
      <c r="A1364" s="553">
        <f t="shared" si="99"/>
        <v>473695.88732448901</v>
      </c>
      <c r="B1364" s="3">
        <f t="shared" si="102"/>
        <v>8.4999999999999911</v>
      </c>
      <c r="C1364" s="553">
        <f>'Foglio deposito bis'!$E$158/sezione!$B$247*B1364</f>
        <v>34.506664411366685</v>
      </c>
      <c r="D1364" s="611">
        <f>-'Progetto del paramento slu'!$G$47*'Progetto del paramento slu'!$G$41*IF(DATI!$G$218="dx",DATI!$E$61,DATI!$E$64*DATI!$E$63)*1000*C1364^2*sezione!$AD$5*(1-sezione!$AD$6)</f>
        <v>-9801923.518820364</v>
      </c>
      <c r="E1364" s="553">
        <f>-'Foglio deposito bis'!$F$68*(C1364-sezione!$AL$32)*IF(ABS(K1364)&lt;'Progetto del paramento slu'!$G$58,ABS(K1364)*'Progetto del paramento slu'!$G$54,'Progetto del paramento slu'!$G$53)</f>
        <v>0</v>
      </c>
      <c r="F1364" s="553">
        <f>-'Foglio deposito bis'!$F$69*(C1364-sezione!$AM$32)*IF(ABS(L1364)&lt;'Progetto del paramento slu'!$G$58,ABS(L1364)*'Progetto del paramento slu'!$G$54,'Progetto del paramento slu'!$G$53)</f>
        <v>17747267.01964391</v>
      </c>
      <c r="G1364" s="553">
        <f>-'Foglio deposito bis'!$F$70*(C1364-sezione!$AN$32)*IF(ABS(M1364)&lt;'Progetto del paramento slu'!$G$58,ABS(M1364)*'Progetto del paramento slu'!$G$54,'Progetto del paramento slu'!$G$53)</f>
        <v>0</v>
      </c>
      <c r="H1364" s="553">
        <f>-'Foglio deposito bis'!$F$71*(C1364-sezione!$AO$32)*IF(ABS(N1364)&lt;'Progetto del paramento slu'!$G$58,ABS(N1364)*'Progetto del paramento slu'!$G$54,'Progetto del paramento slu'!$G$53)</f>
        <v>96140472.422990218</v>
      </c>
      <c r="I1364" s="479">
        <f>-'Foglio deposito bis'!$F$72*(C1364-sezione!$AP$32)*IF(ABS(O1364)&lt;'Progetto del paramento slu'!$G$58,ABS(O1364)*'Progetto del paramento slu'!$G$54,'Progetto del paramento slu'!$G$53)</f>
        <v>110883743.1363093</v>
      </c>
      <c r="J1364" s="479">
        <f t="shared" si="98"/>
        <v>214969559.06012306</v>
      </c>
      <c r="K1364" s="558">
        <f>'Progetto del paramento slu'!$G$60*(sezione!$AL$32-C1364)/C1364</f>
        <v>5.5718728217275121E-4</v>
      </c>
      <c r="L1364" s="558">
        <f>'Progetto del paramento slu'!$G$60*(sezione!$AM$32-C1364)/C1364</f>
        <v>1.1714452308147816E-2</v>
      </c>
      <c r="M1364" s="559">
        <f>'Progetto del paramento slu'!$G$60*(sezione!$AN$32-C1364)/C1364</f>
        <v>2.2871717334122885E-2</v>
      </c>
      <c r="N1364" s="559">
        <f>'Progetto del paramento slu'!$G$60*(sezione!$AO$32-C1364)/C1364</f>
        <v>3.0986091898468383E-2</v>
      </c>
      <c r="O1364" s="559">
        <f>'Progetto del paramento slu'!$G$60*(sezione!$AP$32-C1364)/C1364</f>
        <v>2.2872224482533142E-2</v>
      </c>
      <c r="P1364" s="553">
        <f>-'Progetto del paramento slu'!$G$47*'Progetto del paramento slu'!$G$41*IF(DATI!$G$218="dx",DATI!$E$61,DATI!$E$64*DATI!$E$63)*1000*C1364*sezione!$AD$5</f>
        <v>-486402.14580953959</v>
      </c>
      <c r="Q1364" s="553">
        <f>'Foglio deposito bis'!$F$68*IF(ABS(K1364)&lt;'Progetto del paramento slu'!$G$58,ABS(K1364)*'Progetto del paramento slu'!$G$54,'Progetto del paramento slu'!$G$53)*IF(K1364&lt;0,-1,1)</f>
        <v>0</v>
      </c>
      <c r="R1364" s="553">
        <f>'Foglio deposito bis'!$F$69*IF(ABS(L1364)&lt;'Progetto del paramento slu'!$G$58,ABS(L1364)*'Progetto del paramento slu'!$G$54,'Progetto del paramento slu'!$G$53)*IF(L1364&lt;0,-1,1)</f>
        <v>153664.85805602249</v>
      </c>
      <c r="S1364" s="553">
        <f>'Foglio deposito bis'!$F$70*IF(ABS(M1364)&lt;'Progetto del paramento slu'!$G$58,ABS(M1364)*'Progetto del paramento slu'!$G$54,'Progetto del paramento slu'!$G$53)*IF(M1364&lt;0,-1,1)</f>
        <v>0</v>
      </c>
      <c r="T1364" s="553">
        <f>'Foglio deposito bis'!$F$71*IF(ABS(N1364)&lt;'Progetto del paramento slu'!$G$58,ABS(N1364)*'Progetto del paramento slu'!$G$54,'Progetto del paramento slu'!$G$53)*IF(N1364&lt;0,-1,1)</f>
        <v>314705.62929873407</v>
      </c>
      <c r="U1364" s="553">
        <f>'Foglio deposito bis'!$F$72*IF(ABS(O1364)&lt;'Progetto del paramento slu'!$G$58,ABS(O1364)*'Progetto del paramento slu'!$G$54,'Progetto del paramento slu'!$G$53)*IF(O1364&lt;0,-1,1)</f>
        <v>491727.54577927204</v>
      </c>
      <c r="V1364" s="479">
        <f t="shared" si="100"/>
        <v>473695.88732448901</v>
      </c>
      <c r="W1364" s="559"/>
      <c r="X1364" s="559"/>
    </row>
    <row r="1365" spans="1:24" x14ac:dyDescent="0.25">
      <c r="A1365" s="553">
        <f t="shared" si="99"/>
        <v>462251.13095249992</v>
      </c>
      <c r="B1365" s="3">
        <f t="shared" si="102"/>
        <v>8.6999999999999904</v>
      </c>
      <c r="C1365" s="553">
        <f>'Foglio deposito bis'!$E$158/sezione!$B$247*B1365</f>
        <v>35.31858592692825</v>
      </c>
      <c r="D1365" s="611">
        <f>-'Progetto del paramento slu'!$G$47*'Progetto del paramento slu'!$G$41*IF(DATI!$G$218="dx",DATI!$E$61,DATI!$E$64*DATI!$E$63)*1000*C1365^2*sezione!$AD$5*(1-sezione!$AD$6)</f>
        <v>-10268617.178401565</v>
      </c>
      <c r="E1365" s="553">
        <f>-'Foglio deposito bis'!$F$68*(C1365-sezione!$AL$32)*IF(ABS(K1365)&lt;'Progetto del paramento slu'!$G$58,ABS(K1365)*'Progetto del paramento slu'!$G$54,'Progetto del paramento slu'!$G$53)</f>
        <v>0</v>
      </c>
      <c r="F1365" s="553">
        <f>-'Foglio deposito bis'!$F$69*(C1365-sezione!$AM$32)*IF(ABS(L1365)&lt;'Progetto del paramento slu'!$G$58,ABS(L1365)*'Progetto del paramento slu'!$G$54,'Progetto del paramento slu'!$G$53)</f>
        <v>17622503.21520251</v>
      </c>
      <c r="G1365" s="553">
        <f>-'Foglio deposito bis'!$F$70*(C1365-sezione!$AN$32)*IF(ABS(M1365)&lt;'Progetto del paramento slu'!$G$58,ABS(M1365)*'Progetto del paramento slu'!$G$54,'Progetto del paramento slu'!$G$53)</f>
        <v>0</v>
      </c>
      <c r="H1365" s="553">
        <f>-'Foglio deposito bis'!$F$71*(C1365-sezione!$AO$32)*IF(ABS(N1365)&lt;'Progetto del paramento slu'!$G$58,ABS(N1365)*'Progetto del paramento slu'!$G$54,'Progetto del paramento slu'!$G$53)</f>
        <v>95884956.151494235</v>
      </c>
      <c r="I1365" s="479">
        <f>-'Foglio deposito bis'!$F$72*(C1365-sezione!$AP$32)*IF(ABS(O1365)&lt;'Progetto del paramento slu'!$G$58,ABS(O1365)*'Progetto del paramento slu'!$G$54,'Progetto del paramento slu'!$G$53)</f>
        <v>110484498.96209681</v>
      </c>
      <c r="J1365" s="479">
        <f t="shared" si="98"/>
        <v>213723341.150392</v>
      </c>
      <c r="K1365" s="558">
        <f>'Progetto del paramento slu'!$G$60*(sezione!$AL$32-C1365)/C1365</f>
        <v>4.6391860901935509E-4</v>
      </c>
      <c r="L1365" s="558">
        <f>'Progetto del paramento slu'!$G$60*(sezione!$AM$32-C1365)/C1365</f>
        <v>1.1364694783822581E-2</v>
      </c>
      <c r="M1365" s="559">
        <f>'Progetto del paramento slu'!$G$60*(sezione!$AN$32-C1365)/C1365</f>
        <v>2.2265470958625806E-2</v>
      </c>
      <c r="N1365" s="559">
        <f>'Progetto del paramento slu'!$G$60*(sezione!$AO$32-C1365)/C1365</f>
        <v>3.0193308176664525E-2</v>
      </c>
      <c r="O1365" s="559">
        <f>'Progetto del paramento slu'!$G$60*(sezione!$AP$32-C1365)/C1365</f>
        <v>2.2265966448451927E-2</v>
      </c>
      <c r="P1365" s="553">
        <f>-'Progetto del paramento slu'!$G$47*'Progetto del paramento slu'!$G$41*IF(DATI!$G$218="dx",DATI!$E$61,DATI!$E$64*DATI!$E$63)*1000*C1365*sezione!$AD$5</f>
        <v>-497846.90218152868</v>
      </c>
      <c r="Q1365" s="553">
        <f>'Foglio deposito bis'!$F$68*IF(ABS(K1365)&lt;'Progetto del paramento slu'!$G$58,ABS(K1365)*'Progetto del paramento slu'!$G$54,'Progetto del paramento slu'!$G$53)*IF(K1365&lt;0,-1,1)</f>
        <v>0</v>
      </c>
      <c r="R1365" s="553">
        <f>'Foglio deposito bis'!$F$69*IF(ABS(L1365)&lt;'Progetto del paramento slu'!$G$58,ABS(L1365)*'Progetto del paramento slu'!$G$54,'Progetto del paramento slu'!$G$53)*IF(L1365&lt;0,-1,1)</f>
        <v>153664.85805602249</v>
      </c>
      <c r="S1365" s="553">
        <f>'Foglio deposito bis'!$F$70*IF(ABS(M1365)&lt;'Progetto del paramento slu'!$G$58,ABS(M1365)*'Progetto del paramento slu'!$G$54,'Progetto del paramento slu'!$G$53)*IF(M1365&lt;0,-1,1)</f>
        <v>0</v>
      </c>
      <c r="T1365" s="553">
        <f>'Foglio deposito bis'!$F$71*IF(ABS(N1365)&lt;'Progetto del paramento slu'!$G$58,ABS(N1365)*'Progetto del paramento slu'!$G$54,'Progetto del paramento slu'!$G$53)*IF(N1365&lt;0,-1,1)</f>
        <v>314705.62929873407</v>
      </c>
      <c r="U1365" s="553">
        <f>'Foglio deposito bis'!$F$72*IF(ABS(O1365)&lt;'Progetto del paramento slu'!$G$58,ABS(O1365)*'Progetto del paramento slu'!$G$54,'Progetto del paramento slu'!$G$53)*IF(O1365&lt;0,-1,1)</f>
        <v>491727.54577927204</v>
      </c>
      <c r="V1365" s="479">
        <f t="shared" si="100"/>
        <v>462251.13095249992</v>
      </c>
      <c r="W1365" s="559"/>
      <c r="X1365" s="559"/>
    </row>
    <row r="1366" spans="1:24" x14ac:dyDescent="0.25">
      <c r="A1366" s="553">
        <f t="shared" si="99"/>
        <v>450806.37458051083</v>
      </c>
      <c r="B1366" s="3">
        <f t="shared" si="102"/>
        <v>8.8999999999999897</v>
      </c>
      <c r="C1366" s="553">
        <f>'Foglio deposito bis'!$E$158/sezione!$B$247*B1366</f>
        <v>36.130507442489815</v>
      </c>
      <c r="D1366" s="611">
        <f>-'Progetto del paramento slu'!$G$47*'Progetto del paramento slu'!$G$41*IF(DATI!$G$218="dx",DATI!$E$61,DATI!$E$64*DATI!$E$63)*1000*C1366^2*sezione!$AD$5*(1-sezione!$AD$6)</f>
        <v>-10746164.178903261</v>
      </c>
      <c r="E1366" s="553">
        <f>-'Foglio deposito bis'!$F$68*(C1366-sezione!$AL$32)*IF(ABS(K1366)&lt;'Progetto del paramento slu'!$G$58,ABS(K1366)*'Progetto del paramento slu'!$G$54,'Progetto del paramento slu'!$G$53)</f>
        <v>0</v>
      </c>
      <c r="F1366" s="553">
        <f>-'Foglio deposito bis'!$F$69*(C1366-sezione!$AM$32)*IF(ABS(L1366)&lt;'Progetto del paramento slu'!$G$58,ABS(L1366)*'Progetto del paramento slu'!$G$54,'Progetto del paramento slu'!$G$53)</f>
        <v>17497739.410761114</v>
      </c>
      <c r="G1366" s="553">
        <f>-'Foglio deposito bis'!$F$70*(C1366-sezione!$AN$32)*IF(ABS(M1366)&lt;'Progetto del paramento slu'!$G$58,ABS(M1366)*'Progetto del paramento slu'!$G$54,'Progetto del paramento slu'!$G$53)</f>
        <v>0</v>
      </c>
      <c r="H1366" s="553">
        <f>-'Foglio deposito bis'!$F$71*(C1366-sezione!$AO$32)*IF(ABS(N1366)&lt;'Progetto del paramento slu'!$G$58,ABS(N1366)*'Progetto del paramento slu'!$G$54,'Progetto del paramento slu'!$G$53)</f>
        <v>95629439.879998237</v>
      </c>
      <c r="I1366" s="479">
        <f>-'Foglio deposito bis'!$F$72*(C1366-sezione!$AP$32)*IF(ABS(O1366)&lt;'Progetto del paramento slu'!$G$58,ABS(O1366)*'Progetto del paramento slu'!$G$54,'Progetto del paramento slu'!$G$53)</f>
        <v>110085254.78788432</v>
      </c>
      <c r="J1366" s="479">
        <f t="shared" si="98"/>
        <v>212466269.8997404</v>
      </c>
      <c r="K1366" s="558">
        <f>'Progetto del paramento slu'!$G$60*(sezione!$AL$32-C1366)/C1366</f>
        <v>3.7484178634476328E-4</v>
      </c>
      <c r="L1366" s="558">
        <f>'Progetto del paramento slu'!$G$60*(sezione!$AM$32-C1366)/C1366</f>
        <v>1.1030656698792862E-2</v>
      </c>
      <c r="M1366" s="559">
        <f>'Progetto del paramento slu'!$G$60*(sezione!$AN$32-C1366)/C1366</f>
        <v>2.1686471611240959E-2</v>
      </c>
      <c r="N1366" s="559">
        <f>'Progetto del paramento slu'!$G$60*(sezione!$AO$32-C1366)/C1366</f>
        <v>2.9436155183930487E-2</v>
      </c>
      <c r="O1366" s="559">
        <f>'Progetto del paramento slu'!$G$60*(sezione!$AP$32-C1366)/C1366</f>
        <v>2.1686955966464243E-2</v>
      </c>
      <c r="P1366" s="553">
        <f>-'Progetto del paramento slu'!$G$47*'Progetto del paramento slu'!$G$41*IF(DATI!$G$218="dx",DATI!$E$61,DATI!$E$64*DATI!$E$63)*1000*C1366*sezione!$AD$5</f>
        <v>-509291.65855351777</v>
      </c>
      <c r="Q1366" s="553">
        <f>'Foglio deposito bis'!$F$68*IF(ABS(K1366)&lt;'Progetto del paramento slu'!$G$58,ABS(K1366)*'Progetto del paramento slu'!$G$54,'Progetto del paramento slu'!$G$53)*IF(K1366&lt;0,-1,1)</f>
        <v>0</v>
      </c>
      <c r="R1366" s="553">
        <f>'Foglio deposito bis'!$F$69*IF(ABS(L1366)&lt;'Progetto del paramento slu'!$G$58,ABS(L1366)*'Progetto del paramento slu'!$G$54,'Progetto del paramento slu'!$G$53)*IF(L1366&lt;0,-1,1)</f>
        <v>153664.85805602249</v>
      </c>
      <c r="S1366" s="553">
        <f>'Foglio deposito bis'!$F$70*IF(ABS(M1366)&lt;'Progetto del paramento slu'!$G$58,ABS(M1366)*'Progetto del paramento slu'!$G$54,'Progetto del paramento slu'!$G$53)*IF(M1366&lt;0,-1,1)</f>
        <v>0</v>
      </c>
      <c r="T1366" s="553">
        <f>'Foglio deposito bis'!$F$71*IF(ABS(N1366)&lt;'Progetto del paramento slu'!$G$58,ABS(N1366)*'Progetto del paramento slu'!$G$54,'Progetto del paramento slu'!$G$53)*IF(N1366&lt;0,-1,1)</f>
        <v>314705.62929873407</v>
      </c>
      <c r="U1366" s="553">
        <f>'Foglio deposito bis'!$F$72*IF(ABS(O1366)&lt;'Progetto del paramento slu'!$G$58,ABS(O1366)*'Progetto del paramento slu'!$G$54,'Progetto del paramento slu'!$G$53)*IF(O1366&lt;0,-1,1)</f>
        <v>491727.54577927204</v>
      </c>
      <c r="V1366" s="479">
        <f t="shared" si="100"/>
        <v>450806.37458051083</v>
      </c>
      <c r="W1366" s="559"/>
      <c r="X1366" s="559"/>
    </row>
    <row r="1367" spans="1:24" x14ac:dyDescent="0.25">
      <c r="A1367" s="553">
        <f t="shared" si="99"/>
        <v>439361.61820852163</v>
      </c>
      <c r="B1367" s="3">
        <f t="shared" si="102"/>
        <v>9.099999999999989</v>
      </c>
      <c r="C1367" s="553">
        <f>'Foglio deposito bis'!$E$158/sezione!$B$247*B1367</f>
        <v>36.942428958051387</v>
      </c>
      <c r="D1367" s="611">
        <f>-'Progetto del paramento slu'!$G$47*'Progetto del paramento slu'!$G$41*IF(DATI!$G$218="dx",DATI!$E$61,DATI!$E$64*DATI!$E$63)*1000*C1367^2*sezione!$AD$5*(1-sezione!$AD$6)</f>
        <v>-11234564.520325454</v>
      </c>
      <c r="E1367" s="553">
        <f>-'Foglio deposito bis'!$F$68*(C1367-sezione!$AL$32)*IF(ABS(K1367)&lt;'Progetto del paramento slu'!$G$58,ABS(K1367)*'Progetto del paramento slu'!$G$54,'Progetto del paramento slu'!$G$53)</f>
        <v>0</v>
      </c>
      <c r="F1367" s="553">
        <f>-'Foglio deposito bis'!$F$69*(C1367-sezione!$AM$32)*IF(ABS(L1367)&lt;'Progetto del paramento slu'!$G$58,ABS(L1367)*'Progetto del paramento slu'!$G$54,'Progetto del paramento slu'!$G$53)</f>
        <v>17372975.606319714</v>
      </c>
      <c r="G1367" s="553">
        <f>-'Foglio deposito bis'!$F$70*(C1367-sezione!$AN$32)*IF(ABS(M1367)&lt;'Progetto del paramento slu'!$G$58,ABS(M1367)*'Progetto del paramento slu'!$G$54,'Progetto del paramento slu'!$G$53)</f>
        <v>0</v>
      </c>
      <c r="H1367" s="553">
        <f>-'Foglio deposito bis'!$F$71*(C1367-sezione!$AO$32)*IF(ABS(N1367)&lt;'Progetto del paramento slu'!$G$58,ABS(N1367)*'Progetto del paramento slu'!$G$54,'Progetto del paramento slu'!$G$53)</f>
        <v>95373923.608502254</v>
      </c>
      <c r="I1367" s="479">
        <f>-'Foglio deposito bis'!$F$72*(C1367-sezione!$AP$32)*IF(ABS(O1367)&lt;'Progetto del paramento slu'!$G$58,ABS(O1367)*'Progetto del paramento slu'!$G$54,'Progetto del paramento slu'!$G$53)</f>
        <v>109686010.61367185</v>
      </c>
      <c r="J1367" s="479">
        <f t="shared" si="98"/>
        <v>211198345.30816835</v>
      </c>
      <c r="K1367" s="558">
        <f>'Progetto del paramento slu'!$G$60*(sezione!$AL$32-C1367)/C1367</f>
        <v>2.8968042840311979E-4</v>
      </c>
      <c r="L1367" s="558">
        <f>'Progetto del paramento slu'!$G$60*(sezione!$AM$32-C1367)/C1367</f>
        <v>1.0711301606511701E-2</v>
      </c>
      <c r="M1367" s="559">
        <f>'Progetto del paramento slu'!$G$60*(sezione!$AN$32-C1367)/C1367</f>
        <v>2.113292278462028E-2</v>
      </c>
      <c r="N1367" s="559">
        <f>'Progetto del paramento slu'!$G$60*(sezione!$AO$32-C1367)/C1367</f>
        <v>2.8712283641426518E-2</v>
      </c>
      <c r="O1367" s="559">
        <f>'Progetto del paramento slu'!$G$60*(sezione!$AP$32-C1367)/C1367</f>
        <v>2.1133396494673821E-2</v>
      </c>
      <c r="P1367" s="553">
        <f>-'Progetto del paramento slu'!$G$47*'Progetto del paramento slu'!$G$41*IF(DATI!$G$218="dx",DATI!$E$61,DATI!$E$64*DATI!$E$63)*1000*C1367*sezione!$AD$5</f>
        <v>-520736.41492550698</v>
      </c>
      <c r="Q1367" s="553">
        <f>'Foglio deposito bis'!$F$68*IF(ABS(K1367)&lt;'Progetto del paramento slu'!$G$58,ABS(K1367)*'Progetto del paramento slu'!$G$54,'Progetto del paramento slu'!$G$53)*IF(K1367&lt;0,-1,1)</f>
        <v>0</v>
      </c>
      <c r="R1367" s="553">
        <f>'Foglio deposito bis'!$F$69*IF(ABS(L1367)&lt;'Progetto del paramento slu'!$G$58,ABS(L1367)*'Progetto del paramento slu'!$G$54,'Progetto del paramento slu'!$G$53)*IF(L1367&lt;0,-1,1)</f>
        <v>153664.85805602249</v>
      </c>
      <c r="S1367" s="553">
        <f>'Foglio deposito bis'!$F$70*IF(ABS(M1367)&lt;'Progetto del paramento slu'!$G$58,ABS(M1367)*'Progetto del paramento slu'!$G$54,'Progetto del paramento slu'!$G$53)*IF(M1367&lt;0,-1,1)</f>
        <v>0</v>
      </c>
      <c r="T1367" s="553">
        <f>'Foglio deposito bis'!$F$71*IF(ABS(N1367)&lt;'Progetto del paramento slu'!$G$58,ABS(N1367)*'Progetto del paramento slu'!$G$54,'Progetto del paramento slu'!$G$53)*IF(N1367&lt;0,-1,1)</f>
        <v>314705.62929873407</v>
      </c>
      <c r="U1367" s="553">
        <f>'Foglio deposito bis'!$F$72*IF(ABS(O1367)&lt;'Progetto del paramento slu'!$G$58,ABS(O1367)*'Progetto del paramento slu'!$G$54,'Progetto del paramento slu'!$G$53)*IF(O1367&lt;0,-1,1)</f>
        <v>491727.54577927204</v>
      </c>
      <c r="V1367" s="479">
        <f t="shared" si="100"/>
        <v>439361.61820852163</v>
      </c>
      <c r="W1367" s="559"/>
      <c r="X1367" s="559"/>
    </row>
    <row r="1368" spans="1:24" x14ac:dyDescent="0.25">
      <c r="A1368" s="553">
        <f t="shared" si="99"/>
        <v>427916.86183653254</v>
      </c>
      <c r="B1368" s="3">
        <f t="shared" si="102"/>
        <v>9.2999999999999883</v>
      </c>
      <c r="C1368" s="553">
        <f>'Foglio deposito bis'!$E$158/sezione!$B$247*B1368</f>
        <v>37.754350473612952</v>
      </c>
      <c r="D1368" s="611">
        <f>-'Progetto del paramento slu'!$G$47*'Progetto del paramento slu'!$G$41*IF(DATI!$G$218="dx",DATI!$E$61,DATI!$E$64*DATI!$E$63)*1000*C1368^2*sezione!$AD$5*(1-sezione!$AD$6)</f>
        <v>-11733818.202668136</v>
      </c>
      <c r="E1368" s="553">
        <f>-'Foglio deposito bis'!$F$68*(C1368-sezione!$AL$32)*IF(ABS(K1368)&lt;'Progetto del paramento slu'!$G$58,ABS(K1368)*'Progetto del paramento slu'!$G$54,'Progetto del paramento slu'!$G$53)</f>
        <v>0</v>
      </c>
      <c r="F1368" s="553">
        <f>-'Foglio deposito bis'!$F$69*(C1368-sezione!$AM$32)*IF(ABS(L1368)&lt;'Progetto del paramento slu'!$G$58,ABS(L1368)*'Progetto del paramento slu'!$G$54,'Progetto del paramento slu'!$G$53)</f>
        <v>17248211.801878314</v>
      </c>
      <c r="G1368" s="553">
        <f>-'Foglio deposito bis'!$F$70*(C1368-sezione!$AN$32)*IF(ABS(M1368)&lt;'Progetto del paramento slu'!$G$58,ABS(M1368)*'Progetto del paramento slu'!$G$54,'Progetto del paramento slu'!$G$53)</f>
        <v>0</v>
      </c>
      <c r="H1368" s="553">
        <f>-'Foglio deposito bis'!$F$71*(C1368-sezione!$AO$32)*IF(ABS(N1368)&lt;'Progetto del paramento slu'!$G$58,ABS(N1368)*'Progetto del paramento slu'!$G$54,'Progetto del paramento slu'!$G$53)</f>
        <v>95118407.337006271</v>
      </c>
      <c r="I1368" s="479">
        <f>-'Foglio deposito bis'!$F$72*(C1368-sezione!$AP$32)*IF(ABS(O1368)&lt;'Progetto del paramento slu'!$G$58,ABS(O1368)*'Progetto del paramento slu'!$G$54,'Progetto del paramento slu'!$G$53)</f>
        <v>109286766.43945937</v>
      </c>
      <c r="J1368" s="479">
        <f t="shared" si="98"/>
        <v>209919567.3756758</v>
      </c>
      <c r="K1368" s="558">
        <f>'Progetto del paramento slu'!$G$60*(sezione!$AL$32-C1368)/C1368</f>
        <v>2.0818192456649397E-4</v>
      </c>
      <c r="L1368" s="558">
        <f>'Progetto del paramento slu'!$G$60*(sezione!$AM$32-C1368)/C1368</f>
        <v>1.0405682217124353E-2</v>
      </c>
      <c r="M1368" s="559">
        <f>'Progetto del paramento slu'!$G$60*(sezione!$AN$32-C1368)/C1368</f>
        <v>2.0603182509682211E-2</v>
      </c>
      <c r="N1368" s="559">
        <f>'Progetto del paramento slu'!$G$60*(sezione!$AO$32-C1368)/C1368</f>
        <v>2.8019546358815199E-2</v>
      </c>
      <c r="O1368" s="559">
        <f>'Progetto del paramento slu'!$G$60*(sezione!$AP$32-C1368)/C1368</f>
        <v>2.0603646032422769E-2</v>
      </c>
      <c r="P1368" s="553">
        <f>-'Progetto del paramento slu'!$G$47*'Progetto del paramento slu'!$G$41*IF(DATI!$G$218="dx",DATI!$E$61,DATI!$E$64*DATI!$E$63)*1000*C1368*sezione!$AD$5</f>
        <v>-532181.17129749607</v>
      </c>
      <c r="Q1368" s="553">
        <f>'Foglio deposito bis'!$F$68*IF(ABS(K1368)&lt;'Progetto del paramento slu'!$G$58,ABS(K1368)*'Progetto del paramento slu'!$G$54,'Progetto del paramento slu'!$G$53)*IF(K1368&lt;0,-1,1)</f>
        <v>0</v>
      </c>
      <c r="R1368" s="553">
        <f>'Foglio deposito bis'!$F$69*IF(ABS(L1368)&lt;'Progetto del paramento slu'!$G$58,ABS(L1368)*'Progetto del paramento slu'!$G$54,'Progetto del paramento slu'!$G$53)*IF(L1368&lt;0,-1,1)</f>
        <v>153664.85805602249</v>
      </c>
      <c r="S1368" s="553">
        <f>'Foglio deposito bis'!$F$70*IF(ABS(M1368)&lt;'Progetto del paramento slu'!$G$58,ABS(M1368)*'Progetto del paramento slu'!$G$54,'Progetto del paramento slu'!$G$53)*IF(M1368&lt;0,-1,1)</f>
        <v>0</v>
      </c>
      <c r="T1368" s="553">
        <f>'Foglio deposito bis'!$F$71*IF(ABS(N1368)&lt;'Progetto del paramento slu'!$G$58,ABS(N1368)*'Progetto del paramento slu'!$G$54,'Progetto del paramento slu'!$G$53)*IF(N1368&lt;0,-1,1)</f>
        <v>314705.62929873407</v>
      </c>
      <c r="U1368" s="553">
        <f>'Foglio deposito bis'!$F$72*IF(ABS(O1368)&lt;'Progetto del paramento slu'!$G$58,ABS(O1368)*'Progetto del paramento slu'!$G$54,'Progetto del paramento slu'!$G$53)*IF(O1368&lt;0,-1,1)</f>
        <v>491727.54577927204</v>
      </c>
      <c r="V1368" s="479">
        <f t="shared" si="100"/>
        <v>427916.86183653254</v>
      </c>
      <c r="W1368" s="559"/>
      <c r="X1368" s="559"/>
    </row>
    <row r="1369" spans="1:24" x14ac:dyDescent="0.25">
      <c r="A1369" s="553">
        <f t="shared" si="99"/>
        <v>416472.10546454339</v>
      </c>
      <c r="B1369" s="3">
        <f t="shared" si="102"/>
        <v>9.4999999999999876</v>
      </c>
      <c r="C1369" s="553">
        <f>'Foglio deposito bis'!$E$158/sezione!$B$247*B1369</f>
        <v>38.566271989174517</v>
      </c>
      <c r="D1369" s="611">
        <f>-'Progetto del paramento slu'!$G$47*'Progetto del paramento slu'!$G$41*IF(DATI!$G$218="dx",DATI!$E$61,DATI!$E$64*DATI!$E$63)*1000*C1369^2*sezione!$AD$5*(1-sezione!$AD$6)</f>
        <v>-12243925.225931309</v>
      </c>
      <c r="E1369" s="553">
        <f>-'Foglio deposito bis'!$F$68*(C1369-sezione!$AL$32)*IF(ABS(K1369)&lt;'Progetto del paramento slu'!$G$58,ABS(K1369)*'Progetto del paramento slu'!$G$54,'Progetto del paramento slu'!$G$53)</f>
        <v>0</v>
      </c>
      <c r="F1369" s="553">
        <f>-'Foglio deposito bis'!$F$69*(C1369-sezione!$AM$32)*IF(ABS(L1369)&lt;'Progetto del paramento slu'!$G$58,ABS(L1369)*'Progetto del paramento slu'!$G$54,'Progetto del paramento slu'!$G$53)</f>
        <v>17123447.997436915</v>
      </c>
      <c r="G1369" s="553">
        <f>-'Foglio deposito bis'!$F$70*(C1369-sezione!$AN$32)*IF(ABS(M1369)&lt;'Progetto del paramento slu'!$G$58,ABS(M1369)*'Progetto del paramento slu'!$G$54,'Progetto del paramento slu'!$G$53)</f>
        <v>0</v>
      </c>
      <c r="H1369" s="553">
        <f>-'Foglio deposito bis'!$F$71*(C1369-sezione!$AO$32)*IF(ABS(N1369)&lt;'Progetto del paramento slu'!$G$58,ABS(N1369)*'Progetto del paramento slu'!$G$54,'Progetto del paramento slu'!$G$53)</f>
        <v>94862891.065510273</v>
      </c>
      <c r="I1369" s="479">
        <f>-'Foglio deposito bis'!$F$72*(C1369-sezione!$AP$32)*IF(ABS(O1369)&lt;'Progetto del paramento slu'!$G$58,ABS(O1369)*'Progetto del paramento slu'!$G$54,'Progetto del paramento slu'!$G$53)</f>
        <v>108887522.26524691</v>
      </c>
      <c r="J1369" s="479">
        <f t="shared" si="98"/>
        <v>208629936.10226279</v>
      </c>
      <c r="K1369" s="558">
        <f>'Progetto del paramento slu'!$G$60*(sezione!$AL$32-C1369)/C1369</f>
        <v>1.3011493668088395E-4</v>
      </c>
      <c r="L1369" s="558">
        <f>'Progetto del paramento slu'!$G$60*(sezione!$AM$32-C1369)/C1369</f>
        <v>1.0112931012553315E-2</v>
      </c>
      <c r="M1369" s="559">
        <f>'Progetto del paramento slu'!$G$60*(sezione!$AN$32-C1369)/C1369</f>
        <v>2.0095747088425747E-2</v>
      </c>
      <c r="N1369" s="559">
        <f>'Progetto del paramento slu'!$G$60*(sezione!$AO$32-C1369)/C1369</f>
        <v>2.7355976961787515E-2</v>
      </c>
      <c r="O1369" s="559">
        <f>'Progetto del paramento slu'!$G$60*(sezione!$AP$32-C1369)/C1369</f>
        <v>2.0096200852792821E-2</v>
      </c>
      <c r="P1369" s="553">
        <f>-'Progetto del paramento slu'!$G$47*'Progetto del paramento slu'!$G$41*IF(DATI!$G$218="dx",DATI!$E$61,DATI!$E$64*DATI!$E$63)*1000*C1369*sezione!$AD$5</f>
        <v>-543625.92766948522</v>
      </c>
      <c r="Q1369" s="553">
        <f>'Foglio deposito bis'!$F$68*IF(ABS(K1369)&lt;'Progetto del paramento slu'!$G$58,ABS(K1369)*'Progetto del paramento slu'!$G$54,'Progetto del paramento slu'!$G$53)*IF(K1369&lt;0,-1,1)</f>
        <v>0</v>
      </c>
      <c r="R1369" s="553">
        <f>'Foglio deposito bis'!$F$69*IF(ABS(L1369)&lt;'Progetto del paramento slu'!$G$58,ABS(L1369)*'Progetto del paramento slu'!$G$54,'Progetto del paramento slu'!$G$53)*IF(L1369&lt;0,-1,1)</f>
        <v>153664.85805602249</v>
      </c>
      <c r="S1369" s="553">
        <f>'Foglio deposito bis'!$F$70*IF(ABS(M1369)&lt;'Progetto del paramento slu'!$G$58,ABS(M1369)*'Progetto del paramento slu'!$G$54,'Progetto del paramento slu'!$G$53)*IF(M1369&lt;0,-1,1)</f>
        <v>0</v>
      </c>
      <c r="T1369" s="553">
        <f>'Foglio deposito bis'!$F$71*IF(ABS(N1369)&lt;'Progetto del paramento slu'!$G$58,ABS(N1369)*'Progetto del paramento slu'!$G$54,'Progetto del paramento slu'!$G$53)*IF(N1369&lt;0,-1,1)</f>
        <v>314705.62929873407</v>
      </c>
      <c r="U1369" s="553">
        <f>'Foglio deposito bis'!$F$72*IF(ABS(O1369)&lt;'Progetto del paramento slu'!$G$58,ABS(O1369)*'Progetto del paramento slu'!$G$54,'Progetto del paramento slu'!$G$53)*IF(O1369&lt;0,-1,1)</f>
        <v>491727.54577927204</v>
      </c>
      <c r="V1369" s="479">
        <f t="shared" si="100"/>
        <v>416472.10546454339</v>
      </c>
      <c r="W1369" s="559"/>
      <c r="X1369" s="559"/>
    </row>
    <row r="1370" spans="1:24" x14ac:dyDescent="0.25">
      <c r="A1370" s="553">
        <f t="shared" si="99"/>
        <v>405027.34909255436</v>
      </c>
      <c r="B1370" s="3">
        <f t="shared" si="102"/>
        <v>9.6999999999999869</v>
      </c>
      <c r="C1370" s="553">
        <f>'Foglio deposito bis'!$E$158/sezione!$B$247*B1370</f>
        <v>39.378193504736082</v>
      </c>
      <c r="D1370" s="611">
        <f>-'Progetto del paramento slu'!$G$47*'Progetto del paramento slu'!$G$41*IF(DATI!$G$218="dx",DATI!$E$61,DATI!$E$64*DATI!$E$63)*1000*C1370^2*sezione!$AD$5*(1-sezione!$AD$6)</f>
        <v>-12764885.590114977</v>
      </c>
      <c r="E1370" s="553">
        <f>-'Foglio deposito bis'!$F$68*(C1370-sezione!$AL$32)*IF(ABS(K1370)&lt;'Progetto del paramento slu'!$G$58,ABS(K1370)*'Progetto del paramento slu'!$G$54,'Progetto del paramento slu'!$G$53)</f>
        <v>0</v>
      </c>
      <c r="F1370" s="553">
        <f>-'Foglio deposito bis'!$F$69*(C1370-sezione!$AM$32)*IF(ABS(L1370)&lt;'Progetto del paramento slu'!$G$58,ABS(L1370)*'Progetto del paramento slu'!$G$54,'Progetto del paramento slu'!$G$53)</f>
        <v>16998684.192995515</v>
      </c>
      <c r="G1370" s="553">
        <f>-'Foglio deposito bis'!$F$70*(C1370-sezione!$AN$32)*IF(ABS(M1370)&lt;'Progetto del paramento slu'!$G$58,ABS(M1370)*'Progetto del paramento slu'!$G$54,'Progetto del paramento slu'!$G$53)</f>
        <v>0</v>
      </c>
      <c r="H1370" s="553">
        <f>-'Foglio deposito bis'!$F$71*(C1370-sezione!$AO$32)*IF(ABS(N1370)&lt;'Progetto del paramento slu'!$G$58,ABS(N1370)*'Progetto del paramento slu'!$G$54,'Progetto del paramento slu'!$G$53)</f>
        <v>94607374.79401429</v>
      </c>
      <c r="I1370" s="479">
        <f>-'Foglio deposito bis'!$F$72*(C1370-sezione!$AP$32)*IF(ABS(O1370)&lt;'Progetto del paramento slu'!$G$58,ABS(O1370)*'Progetto del paramento slu'!$G$54,'Progetto del paramento slu'!$G$53)</f>
        <v>108488278.09103443</v>
      </c>
      <c r="J1370" s="479">
        <f t="shared" si="98"/>
        <v>207329451.48792925</v>
      </c>
      <c r="K1370" s="558">
        <f>'Progetto del paramento slu'!$G$60*(sezione!$AL$32-C1370)/C1370</f>
        <v>5.526720602767021E-5</v>
      </c>
      <c r="L1370" s="558">
        <f>'Progetto del paramento slu'!$G$60*(sezione!$AM$32-C1370)/C1370</f>
        <v>9.8322520226037623E-3</v>
      </c>
      <c r="M1370" s="559">
        <f>'Progetto del paramento slu'!$G$60*(sezione!$AN$32-C1370)/C1370</f>
        <v>1.9609236839179856E-2</v>
      </c>
      <c r="N1370" s="559">
        <f>'Progetto del paramento slu'!$G$60*(sezione!$AO$32-C1370)/C1370</f>
        <v>2.6719771251235199E-2</v>
      </c>
      <c r="O1370" s="559">
        <f>'Progetto del paramento slu'!$G$60*(sezione!$AP$32-C1370)/C1370</f>
        <v>1.9609681247580599E-2</v>
      </c>
      <c r="P1370" s="553">
        <f>-'Progetto del paramento slu'!$G$47*'Progetto del paramento slu'!$G$41*IF(DATI!$G$218="dx",DATI!$E$61,DATI!$E$64*DATI!$E$63)*1000*C1370*sezione!$AD$5</f>
        <v>-555070.68404147425</v>
      </c>
      <c r="Q1370" s="553">
        <f>'Foglio deposito bis'!$F$68*IF(ABS(K1370)&lt;'Progetto del paramento slu'!$G$58,ABS(K1370)*'Progetto del paramento slu'!$G$54,'Progetto del paramento slu'!$G$53)*IF(K1370&lt;0,-1,1)</f>
        <v>0</v>
      </c>
      <c r="R1370" s="553">
        <f>'Foglio deposito bis'!$F$69*IF(ABS(L1370)&lt;'Progetto del paramento slu'!$G$58,ABS(L1370)*'Progetto del paramento slu'!$G$54,'Progetto del paramento slu'!$G$53)*IF(L1370&lt;0,-1,1)</f>
        <v>153664.85805602249</v>
      </c>
      <c r="S1370" s="553">
        <f>'Foglio deposito bis'!$F$70*IF(ABS(M1370)&lt;'Progetto del paramento slu'!$G$58,ABS(M1370)*'Progetto del paramento slu'!$G$54,'Progetto del paramento slu'!$G$53)*IF(M1370&lt;0,-1,1)</f>
        <v>0</v>
      </c>
      <c r="T1370" s="553">
        <f>'Foglio deposito bis'!$F$71*IF(ABS(N1370)&lt;'Progetto del paramento slu'!$G$58,ABS(N1370)*'Progetto del paramento slu'!$G$54,'Progetto del paramento slu'!$G$53)*IF(N1370&lt;0,-1,1)</f>
        <v>314705.62929873407</v>
      </c>
      <c r="U1370" s="553">
        <f>'Foglio deposito bis'!$F$72*IF(ABS(O1370)&lt;'Progetto del paramento slu'!$G$58,ABS(O1370)*'Progetto del paramento slu'!$G$54,'Progetto del paramento slu'!$G$53)*IF(O1370&lt;0,-1,1)</f>
        <v>491727.54577927204</v>
      </c>
      <c r="V1370" s="479">
        <f t="shared" si="100"/>
        <v>405027.34909255436</v>
      </c>
      <c r="W1370" s="559"/>
      <c r="X1370" s="559"/>
    </row>
    <row r="1371" spans="1:24" x14ac:dyDescent="0.25">
      <c r="A1371" s="553">
        <f t="shared" si="99"/>
        <v>393582.5927205651</v>
      </c>
      <c r="B1371" s="3">
        <f t="shared" si="102"/>
        <v>9.8999999999999861</v>
      </c>
      <c r="C1371" s="553">
        <f>'Foglio deposito bis'!$E$158/sezione!$B$247*B1371</f>
        <v>40.190115020297654</v>
      </c>
      <c r="D1371" s="611">
        <f>-'Progetto del paramento slu'!$G$47*'Progetto del paramento slu'!$G$41*IF(DATI!$G$218="dx",DATI!$E$61,DATI!$E$64*DATI!$E$63)*1000*C1371^2*sezione!$AD$5*(1-sezione!$AD$6)</f>
        <v>-13296699.295219144</v>
      </c>
      <c r="E1371" s="553">
        <f>-'Foglio deposito bis'!$F$68*(C1371-sezione!$AL$32)*IF(ABS(K1371)&lt;'Progetto del paramento slu'!$G$58,ABS(K1371)*'Progetto del paramento slu'!$G$54,'Progetto del paramento slu'!$G$53)</f>
        <v>0</v>
      </c>
      <c r="F1371" s="553">
        <f>-'Foglio deposito bis'!$F$69*(C1371-sezione!$AM$32)*IF(ABS(L1371)&lt;'Progetto del paramento slu'!$G$58,ABS(L1371)*'Progetto del paramento slu'!$G$54,'Progetto del paramento slu'!$G$53)</f>
        <v>16873920.388554119</v>
      </c>
      <c r="G1371" s="553">
        <f>-'Foglio deposito bis'!$F$70*(C1371-sezione!$AN$32)*IF(ABS(M1371)&lt;'Progetto del paramento slu'!$G$58,ABS(M1371)*'Progetto del paramento slu'!$G$54,'Progetto del paramento slu'!$G$53)</f>
        <v>0</v>
      </c>
      <c r="H1371" s="553">
        <f>-'Foglio deposito bis'!$F$71*(C1371-sezione!$AO$32)*IF(ABS(N1371)&lt;'Progetto del paramento slu'!$G$58,ABS(N1371)*'Progetto del paramento slu'!$G$54,'Progetto del paramento slu'!$G$53)</f>
        <v>94351858.522518322</v>
      </c>
      <c r="I1371" s="479">
        <f>-'Foglio deposito bis'!$F$72*(C1371-sezione!$AP$32)*IF(ABS(O1371)&lt;'Progetto del paramento slu'!$G$58,ABS(O1371)*'Progetto del paramento slu'!$G$54,'Progetto del paramento slu'!$G$53)</f>
        <v>108089033.91682196</v>
      </c>
      <c r="J1371" s="479">
        <f t="shared" si="98"/>
        <v>206018113.53267527</v>
      </c>
      <c r="K1371" s="558">
        <f>'Progetto del paramento slu'!$G$60*(sezione!$AL$32-C1371)/C1371</f>
        <v>-1.6556373892080994E-5</v>
      </c>
      <c r="L1371" s="558">
        <f>'Progetto del paramento slu'!$G$60*(sezione!$AM$32-C1371)/C1371</f>
        <v>9.5629135979046955E-3</v>
      </c>
      <c r="M1371" s="559">
        <f>'Progetto del paramento slu'!$G$60*(sezione!$AN$32-C1371)/C1371</f>
        <v>1.9142383569701476E-2</v>
      </c>
      <c r="N1371" s="559">
        <f>'Progetto del paramento slu'!$G$60*(sezione!$AO$32-C1371)/C1371</f>
        <v>2.6109270821917312E-2</v>
      </c>
      <c r="O1371" s="559">
        <f>'Progetto del paramento slu'!$G$60*(sezione!$AP$32-C1371)/C1371</f>
        <v>1.9142819000154729E-2</v>
      </c>
      <c r="P1371" s="553">
        <f>-'Progetto del paramento slu'!$G$47*'Progetto del paramento slu'!$G$41*IF(DATI!$G$218="dx",DATI!$E$61,DATI!$E$64*DATI!$E$63)*1000*C1371*sezione!$AD$5</f>
        <v>-566515.44041346351</v>
      </c>
      <c r="Q1371" s="553">
        <f>'Foglio deposito bis'!$F$68*IF(ABS(K1371)&lt;'Progetto del paramento slu'!$G$58,ABS(K1371)*'Progetto del paramento slu'!$G$54,'Progetto del paramento slu'!$G$53)*IF(K1371&lt;0,-1,1)</f>
        <v>0</v>
      </c>
      <c r="R1371" s="553">
        <f>'Foglio deposito bis'!$F$69*IF(ABS(L1371)&lt;'Progetto del paramento slu'!$G$58,ABS(L1371)*'Progetto del paramento slu'!$G$54,'Progetto del paramento slu'!$G$53)*IF(L1371&lt;0,-1,1)</f>
        <v>153664.85805602249</v>
      </c>
      <c r="S1371" s="553">
        <f>'Foglio deposito bis'!$F$70*IF(ABS(M1371)&lt;'Progetto del paramento slu'!$G$58,ABS(M1371)*'Progetto del paramento slu'!$G$54,'Progetto del paramento slu'!$G$53)*IF(M1371&lt;0,-1,1)</f>
        <v>0</v>
      </c>
      <c r="T1371" s="553">
        <f>'Foglio deposito bis'!$F$71*IF(ABS(N1371)&lt;'Progetto del paramento slu'!$G$58,ABS(N1371)*'Progetto del paramento slu'!$G$54,'Progetto del paramento slu'!$G$53)*IF(N1371&lt;0,-1,1)</f>
        <v>314705.62929873407</v>
      </c>
      <c r="U1371" s="553">
        <f>'Foglio deposito bis'!$F$72*IF(ABS(O1371)&lt;'Progetto del paramento slu'!$G$58,ABS(O1371)*'Progetto del paramento slu'!$G$54,'Progetto del paramento slu'!$G$53)*IF(O1371&lt;0,-1,1)</f>
        <v>491727.54577927204</v>
      </c>
      <c r="V1371" s="479">
        <f t="shared" si="100"/>
        <v>393582.5927205651</v>
      </c>
      <c r="W1371" s="559"/>
      <c r="X1371" s="559"/>
    </row>
    <row r="1372" spans="1:24" x14ac:dyDescent="0.25">
      <c r="A1372" s="553">
        <f t="shared" si="99"/>
        <v>382137.83634857606</v>
      </c>
      <c r="B1372" s="3">
        <f t="shared" si="102"/>
        <v>10.099999999999985</v>
      </c>
      <c r="C1372" s="553">
        <f>'Foglio deposito bis'!$E$158/sezione!$B$247*B1372</f>
        <v>41.002036535859219</v>
      </c>
      <c r="D1372" s="611">
        <f>-'Progetto del paramento slu'!$G$47*'Progetto del paramento slu'!$G$41*IF(DATI!$G$218="dx",DATI!$E$61,DATI!$E$64*DATI!$E$63)*1000*C1372^2*sezione!$AD$5*(1-sezione!$AD$6)</f>
        <v>-13839366.341243796</v>
      </c>
      <c r="E1372" s="553">
        <f>-'Foglio deposito bis'!$F$68*(C1372-sezione!$AL$32)*IF(ABS(K1372)&lt;'Progetto del paramento slu'!$G$58,ABS(K1372)*'Progetto del paramento slu'!$G$54,'Progetto del paramento slu'!$G$53)</f>
        <v>0</v>
      </c>
      <c r="F1372" s="553">
        <f>-'Foglio deposito bis'!$F$69*(C1372-sezione!$AM$32)*IF(ABS(L1372)&lt;'Progetto del paramento slu'!$G$58,ABS(L1372)*'Progetto del paramento slu'!$G$54,'Progetto del paramento slu'!$G$53)</f>
        <v>16749156.584112719</v>
      </c>
      <c r="G1372" s="553">
        <f>-'Foglio deposito bis'!$F$70*(C1372-sezione!$AN$32)*IF(ABS(M1372)&lt;'Progetto del paramento slu'!$G$58,ABS(M1372)*'Progetto del paramento slu'!$G$54,'Progetto del paramento slu'!$G$53)</f>
        <v>0</v>
      </c>
      <c r="H1372" s="553">
        <f>-'Foglio deposito bis'!$F$71*(C1372-sezione!$AO$32)*IF(ABS(N1372)&lt;'Progetto del paramento slu'!$G$58,ABS(N1372)*'Progetto del paramento slu'!$G$54,'Progetto del paramento slu'!$G$53)</f>
        <v>94096342.251022324</v>
      </c>
      <c r="I1372" s="479">
        <f>-'Foglio deposito bis'!$F$72*(C1372-sezione!$AP$32)*IF(ABS(O1372)&lt;'Progetto del paramento slu'!$G$58,ABS(O1372)*'Progetto del paramento slu'!$G$54,'Progetto del paramento slu'!$G$53)</f>
        <v>107689789.74260947</v>
      </c>
      <c r="J1372" s="479">
        <f t="shared" si="98"/>
        <v>204695922.23650071</v>
      </c>
      <c r="K1372" s="558">
        <f>'Progetto del paramento slu'!$G$60*(sezione!$AL$32-C1372)/C1372</f>
        <v>-8.5535455597187987E-5</v>
      </c>
      <c r="L1372" s="558">
        <f>'Progetto del paramento slu'!$G$60*(sezione!$AM$32-C1372)/C1372</f>
        <v>9.3042420415105458E-3</v>
      </c>
      <c r="M1372" s="559">
        <f>'Progetto del paramento slu'!$G$60*(sezione!$AN$32-C1372)/C1372</f>
        <v>1.8694019538618281E-2</v>
      </c>
      <c r="N1372" s="559">
        <f>'Progetto del paramento slu'!$G$60*(sezione!$AO$32-C1372)/C1372</f>
        <v>2.5522948627423898E-2</v>
      </c>
      <c r="O1372" s="559">
        <f>'Progetto del paramento slu'!$G$60*(sezione!$AP$32-C1372)/C1372</f>
        <v>1.8694446346686319E-2</v>
      </c>
      <c r="P1372" s="553">
        <f>-'Progetto del paramento slu'!$G$47*'Progetto del paramento slu'!$G$41*IF(DATI!$G$218="dx",DATI!$E$61,DATI!$E$64*DATI!$E$63)*1000*C1372*sezione!$AD$5</f>
        <v>-577960.19678545254</v>
      </c>
      <c r="Q1372" s="553">
        <f>'Foglio deposito bis'!$F$68*IF(ABS(K1372)&lt;'Progetto del paramento slu'!$G$58,ABS(K1372)*'Progetto del paramento slu'!$G$54,'Progetto del paramento slu'!$G$53)*IF(K1372&lt;0,-1,1)</f>
        <v>0</v>
      </c>
      <c r="R1372" s="553">
        <f>'Foglio deposito bis'!$F$69*IF(ABS(L1372)&lt;'Progetto del paramento slu'!$G$58,ABS(L1372)*'Progetto del paramento slu'!$G$54,'Progetto del paramento slu'!$G$53)*IF(L1372&lt;0,-1,1)</f>
        <v>153664.85805602249</v>
      </c>
      <c r="S1372" s="553">
        <f>'Foglio deposito bis'!$F$70*IF(ABS(M1372)&lt;'Progetto del paramento slu'!$G$58,ABS(M1372)*'Progetto del paramento slu'!$G$54,'Progetto del paramento slu'!$G$53)*IF(M1372&lt;0,-1,1)</f>
        <v>0</v>
      </c>
      <c r="T1372" s="553">
        <f>'Foglio deposito bis'!$F$71*IF(ABS(N1372)&lt;'Progetto del paramento slu'!$G$58,ABS(N1372)*'Progetto del paramento slu'!$G$54,'Progetto del paramento slu'!$G$53)*IF(N1372&lt;0,-1,1)</f>
        <v>314705.62929873407</v>
      </c>
      <c r="U1372" s="553">
        <f>'Foglio deposito bis'!$F$72*IF(ABS(O1372)&lt;'Progetto del paramento slu'!$G$58,ABS(O1372)*'Progetto del paramento slu'!$G$54,'Progetto del paramento slu'!$G$53)*IF(O1372&lt;0,-1,1)</f>
        <v>491727.54577927204</v>
      </c>
      <c r="V1372" s="479">
        <f t="shared" si="100"/>
        <v>382137.83634857606</v>
      </c>
      <c r="W1372" s="559"/>
      <c r="X1372" s="559"/>
    </row>
    <row r="1373" spans="1:24" x14ac:dyDescent="0.25">
      <c r="A1373" s="553">
        <f t="shared" si="99"/>
        <v>370693.07997658692</v>
      </c>
      <c r="B1373" s="3">
        <f t="shared" si="102"/>
        <v>10.299999999999985</v>
      </c>
      <c r="C1373" s="553">
        <f>'Foglio deposito bis'!$E$158/sezione!$B$247*B1373</f>
        <v>41.813958051420784</v>
      </c>
      <c r="D1373" s="611">
        <f>-'Progetto del paramento slu'!$G$47*'Progetto del paramento slu'!$G$41*IF(DATI!$G$218="dx",DATI!$E$61,DATI!$E$64*DATI!$E$63)*1000*C1373^2*sezione!$AD$5*(1-sezione!$AD$6)</f>
        <v>-14392886.728188943</v>
      </c>
      <c r="E1373" s="553">
        <f>-'Foglio deposito bis'!$F$68*(C1373-sezione!$AL$32)*IF(ABS(K1373)&lt;'Progetto del paramento slu'!$G$58,ABS(K1373)*'Progetto del paramento slu'!$G$54,'Progetto del paramento slu'!$G$53)</f>
        <v>0</v>
      </c>
      <c r="F1373" s="553">
        <f>-'Foglio deposito bis'!$F$69*(C1373-sezione!$AM$32)*IF(ABS(L1373)&lt;'Progetto del paramento slu'!$G$58,ABS(L1373)*'Progetto del paramento slu'!$G$54,'Progetto del paramento slu'!$G$53)</f>
        <v>16624392.779671321</v>
      </c>
      <c r="G1373" s="553">
        <f>-'Foglio deposito bis'!$F$70*(C1373-sezione!$AN$32)*IF(ABS(M1373)&lt;'Progetto del paramento slu'!$G$58,ABS(M1373)*'Progetto del paramento slu'!$G$54,'Progetto del paramento slu'!$G$53)</f>
        <v>0</v>
      </c>
      <c r="H1373" s="553">
        <f>-'Foglio deposito bis'!$F$71*(C1373-sezione!$AO$32)*IF(ABS(N1373)&lt;'Progetto del paramento slu'!$G$58,ABS(N1373)*'Progetto del paramento slu'!$G$54,'Progetto del paramento slu'!$G$53)</f>
        <v>93840825.979526341</v>
      </c>
      <c r="I1373" s="479">
        <f>-'Foglio deposito bis'!$F$72*(C1373-sezione!$AP$32)*IF(ABS(O1373)&lt;'Progetto del paramento slu'!$G$58,ABS(O1373)*'Progetto del paramento slu'!$G$54,'Progetto del paramento slu'!$G$53)</f>
        <v>107290545.56839699</v>
      </c>
      <c r="J1373" s="479">
        <f t="shared" ref="J1373:J1436" si="103">D1373+E1373+F1373+G1373+H1373+I1373</f>
        <v>203362877.59940571</v>
      </c>
      <c r="K1373" s="558">
        <f>'Progetto del paramento slu'!$G$60*(sezione!$AL$32-C1373)/C1373</f>
        <v>-1.5183573801277628E-4</v>
      </c>
      <c r="L1373" s="558">
        <f>'Progetto del paramento slu'!$G$60*(sezione!$AM$32-C1373)/C1373</f>
        <v>9.0556159824520897E-3</v>
      </c>
      <c r="M1373" s="559">
        <f>'Progetto del paramento slu'!$G$60*(sezione!$AN$32-C1373)/C1373</f>
        <v>1.8263067702916955E-2</v>
      </c>
      <c r="N1373" s="559">
        <f>'Progetto del paramento slu'!$G$60*(sezione!$AO$32-C1373)/C1373</f>
        <v>2.49593962268914E-2</v>
      </c>
      <c r="O1373" s="559">
        <f>'Progetto del paramento slu'!$G$60*(sezione!$AP$32-C1373)/C1373</f>
        <v>1.8263486223449692E-2</v>
      </c>
      <c r="P1373" s="553">
        <f>-'Progetto del paramento slu'!$G$47*'Progetto del paramento slu'!$G$41*IF(DATI!$G$218="dx",DATI!$E$61,DATI!$E$64*DATI!$E$63)*1000*C1373*sezione!$AD$5</f>
        <v>-589404.95315744169</v>
      </c>
      <c r="Q1373" s="553">
        <f>'Foglio deposito bis'!$F$68*IF(ABS(K1373)&lt;'Progetto del paramento slu'!$G$58,ABS(K1373)*'Progetto del paramento slu'!$G$54,'Progetto del paramento slu'!$G$53)*IF(K1373&lt;0,-1,1)</f>
        <v>0</v>
      </c>
      <c r="R1373" s="553">
        <f>'Foglio deposito bis'!$F$69*IF(ABS(L1373)&lt;'Progetto del paramento slu'!$G$58,ABS(L1373)*'Progetto del paramento slu'!$G$54,'Progetto del paramento slu'!$G$53)*IF(L1373&lt;0,-1,1)</f>
        <v>153664.85805602249</v>
      </c>
      <c r="S1373" s="553">
        <f>'Foglio deposito bis'!$F$70*IF(ABS(M1373)&lt;'Progetto del paramento slu'!$G$58,ABS(M1373)*'Progetto del paramento slu'!$G$54,'Progetto del paramento slu'!$G$53)*IF(M1373&lt;0,-1,1)</f>
        <v>0</v>
      </c>
      <c r="T1373" s="553">
        <f>'Foglio deposito bis'!$F$71*IF(ABS(N1373)&lt;'Progetto del paramento slu'!$G$58,ABS(N1373)*'Progetto del paramento slu'!$G$54,'Progetto del paramento slu'!$G$53)*IF(N1373&lt;0,-1,1)</f>
        <v>314705.62929873407</v>
      </c>
      <c r="U1373" s="553">
        <f>'Foglio deposito bis'!$F$72*IF(ABS(O1373)&lt;'Progetto del paramento slu'!$G$58,ABS(O1373)*'Progetto del paramento slu'!$G$54,'Progetto del paramento slu'!$G$53)*IF(O1373&lt;0,-1,1)</f>
        <v>491727.54577927204</v>
      </c>
      <c r="V1373" s="479">
        <f t="shared" si="100"/>
        <v>370693.07997658692</v>
      </c>
      <c r="W1373" s="559"/>
      <c r="X1373" s="559"/>
    </row>
    <row r="1374" spans="1:24" x14ac:dyDescent="0.25">
      <c r="A1374" s="553">
        <f t="shared" ref="A1374:A1437" si="104">ABS(V1374)</f>
        <v>359248.32360459777</v>
      </c>
      <c r="B1374" s="3">
        <f t="shared" si="102"/>
        <v>10.499999999999984</v>
      </c>
      <c r="C1374" s="553">
        <f>'Foglio deposito bis'!$E$158/sezione!$B$247*B1374</f>
        <v>42.625879566982356</v>
      </c>
      <c r="D1374" s="611">
        <f>-'Progetto del paramento slu'!$G$47*'Progetto del paramento slu'!$G$41*IF(DATI!$G$218="dx",DATI!$E$61,DATI!$E$64*DATI!$E$63)*1000*C1374^2*sezione!$AD$5*(1-sezione!$AD$6)</f>
        <v>-14957260.456054587</v>
      </c>
      <c r="E1374" s="553">
        <f>-'Foglio deposito bis'!$F$68*(C1374-sezione!$AL$32)*IF(ABS(K1374)&lt;'Progetto del paramento slu'!$G$58,ABS(K1374)*'Progetto del paramento slu'!$G$54,'Progetto del paramento slu'!$G$53)</f>
        <v>0</v>
      </c>
      <c r="F1374" s="553">
        <f>-'Foglio deposito bis'!$F$69*(C1374-sezione!$AM$32)*IF(ABS(L1374)&lt;'Progetto del paramento slu'!$G$58,ABS(L1374)*'Progetto del paramento slu'!$G$54,'Progetto del paramento slu'!$G$53)</f>
        <v>16499628.975229923</v>
      </c>
      <c r="G1374" s="553">
        <f>-'Foglio deposito bis'!$F$70*(C1374-sezione!$AN$32)*IF(ABS(M1374)&lt;'Progetto del paramento slu'!$G$58,ABS(M1374)*'Progetto del paramento slu'!$G$54,'Progetto del paramento slu'!$G$53)</f>
        <v>0</v>
      </c>
      <c r="H1374" s="553">
        <f>-'Foglio deposito bis'!$F$71*(C1374-sezione!$AO$32)*IF(ABS(N1374)&lt;'Progetto del paramento slu'!$G$58,ABS(N1374)*'Progetto del paramento slu'!$G$54,'Progetto del paramento slu'!$G$53)</f>
        <v>93585309.708030358</v>
      </c>
      <c r="I1374" s="479">
        <f>-'Foglio deposito bis'!$F$72*(C1374-sezione!$AP$32)*IF(ABS(O1374)&lt;'Progetto del paramento slu'!$G$58,ABS(O1374)*'Progetto del paramento slu'!$G$54,'Progetto del paramento slu'!$G$53)</f>
        <v>106891301.39418451</v>
      </c>
      <c r="J1374" s="479">
        <f t="shared" si="103"/>
        <v>202018979.62139022</v>
      </c>
      <c r="K1374" s="558">
        <f>'Progetto del paramento slu'!$G$60*(sezione!$AL$32-C1374)/C1374</f>
        <v>-2.1561029538396173E-4</v>
      </c>
      <c r="L1374" s="558">
        <f>'Progetto del paramento slu'!$G$60*(sezione!$AM$32-C1374)/C1374</f>
        <v>8.8164613923101438E-3</v>
      </c>
      <c r="M1374" s="559">
        <f>'Progetto del paramento slu'!$G$60*(sezione!$AN$32-C1374)/C1374</f>
        <v>1.784853308000425E-2</v>
      </c>
      <c r="N1374" s="559">
        <f>'Progetto del paramento slu'!$G$60*(sezione!$AO$32-C1374)/C1374</f>
        <v>2.4417312489236329E-2</v>
      </c>
      <c r="O1374" s="559">
        <f>'Progetto del paramento slu'!$G$60*(sezione!$AP$32-C1374)/C1374</f>
        <v>1.7848943628717317E-2</v>
      </c>
      <c r="P1374" s="553">
        <f>-'Progetto del paramento slu'!$G$47*'Progetto del paramento slu'!$G$41*IF(DATI!$G$218="dx",DATI!$E$61,DATI!$E$64*DATI!$E$63)*1000*C1374*sezione!$AD$5</f>
        <v>-600849.70952943084</v>
      </c>
      <c r="Q1374" s="553">
        <f>'Foglio deposito bis'!$F$68*IF(ABS(K1374)&lt;'Progetto del paramento slu'!$G$58,ABS(K1374)*'Progetto del paramento slu'!$G$54,'Progetto del paramento slu'!$G$53)*IF(K1374&lt;0,-1,1)</f>
        <v>0</v>
      </c>
      <c r="R1374" s="553">
        <f>'Foglio deposito bis'!$F$69*IF(ABS(L1374)&lt;'Progetto del paramento slu'!$G$58,ABS(L1374)*'Progetto del paramento slu'!$G$54,'Progetto del paramento slu'!$G$53)*IF(L1374&lt;0,-1,1)</f>
        <v>153664.85805602249</v>
      </c>
      <c r="S1374" s="553">
        <f>'Foglio deposito bis'!$F$70*IF(ABS(M1374)&lt;'Progetto del paramento slu'!$G$58,ABS(M1374)*'Progetto del paramento slu'!$G$54,'Progetto del paramento slu'!$G$53)*IF(M1374&lt;0,-1,1)</f>
        <v>0</v>
      </c>
      <c r="T1374" s="553">
        <f>'Foglio deposito bis'!$F$71*IF(ABS(N1374)&lt;'Progetto del paramento slu'!$G$58,ABS(N1374)*'Progetto del paramento slu'!$G$54,'Progetto del paramento slu'!$G$53)*IF(N1374&lt;0,-1,1)</f>
        <v>314705.62929873407</v>
      </c>
      <c r="U1374" s="553">
        <f>'Foglio deposito bis'!$F$72*IF(ABS(O1374)&lt;'Progetto del paramento slu'!$G$58,ABS(O1374)*'Progetto del paramento slu'!$G$54,'Progetto del paramento slu'!$G$53)*IF(O1374&lt;0,-1,1)</f>
        <v>491727.54577927204</v>
      </c>
      <c r="V1374" s="479">
        <f t="shared" ref="V1374:V1437" si="105">P1374+Q1374+R1374+S1374+T1374+U1374</f>
        <v>359248.32360459777</v>
      </c>
      <c r="W1374" s="559"/>
      <c r="X1374" s="559"/>
    </row>
    <row r="1375" spans="1:24" x14ac:dyDescent="0.25">
      <c r="A1375" s="553">
        <f t="shared" si="104"/>
        <v>347803.5672326085</v>
      </c>
      <c r="B1375" s="3">
        <f t="shared" si="102"/>
        <v>10.699999999999983</v>
      </c>
      <c r="C1375" s="553">
        <f>'Foglio deposito bis'!$E$158/sezione!$B$247*B1375</f>
        <v>43.43780108254392</v>
      </c>
      <c r="D1375" s="611">
        <f>-'Progetto del paramento slu'!$G$47*'Progetto del paramento slu'!$G$41*IF(DATI!$G$218="dx",DATI!$E$61,DATI!$E$64*DATI!$E$63)*1000*C1375^2*sezione!$AD$5*(1-sezione!$AD$6)</f>
        <v>-15532487.52484072</v>
      </c>
      <c r="E1375" s="553">
        <f>-'Foglio deposito bis'!$F$68*(C1375-sezione!$AL$32)*IF(ABS(K1375)&lt;'Progetto del paramento slu'!$G$58,ABS(K1375)*'Progetto del paramento slu'!$G$54,'Progetto del paramento slu'!$G$53)</f>
        <v>0</v>
      </c>
      <c r="F1375" s="553">
        <f>-'Foglio deposito bis'!$F$69*(C1375-sezione!$AM$32)*IF(ABS(L1375)&lt;'Progetto del paramento slu'!$G$58,ABS(L1375)*'Progetto del paramento slu'!$G$54,'Progetto del paramento slu'!$G$53)</f>
        <v>16374865.170788521</v>
      </c>
      <c r="G1375" s="553">
        <f>-'Foglio deposito bis'!$F$70*(C1375-sezione!$AN$32)*IF(ABS(M1375)&lt;'Progetto del paramento slu'!$G$58,ABS(M1375)*'Progetto del paramento slu'!$G$54,'Progetto del paramento slu'!$G$53)</f>
        <v>0</v>
      </c>
      <c r="H1375" s="553">
        <f>-'Foglio deposito bis'!$F$71*(C1375-sezione!$AO$32)*IF(ABS(N1375)&lt;'Progetto del paramento slu'!$G$58,ABS(N1375)*'Progetto del paramento slu'!$G$54,'Progetto del paramento slu'!$G$53)</f>
        <v>93329793.436534375</v>
      </c>
      <c r="I1375" s="479">
        <f>-'Foglio deposito bis'!$F$72*(C1375-sezione!$AP$32)*IF(ABS(O1375)&lt;'Progetto del paramento slu'!$G$58,ABS(O1375)*'Progetto del paramento slu'!$G$54,'Progetto del paramento slu'!$G$53)</f>
        <v>106492057.21997203</v>
      </c>
      <c r="J1375" s="479">
        <f t="shared" si="103"/>
        <v>200664228.3024542</v>
      </c>
      <c r="K1375" s="558">
        <f>'Progetto del paramento slu'!$G$60*(sezione!$AL$32-C1375)/C1375</f>
        <v>-2.7700075715248552E-4</v>
      </c>
      <c r="L1375" s="558">
        <f>'Progetto del paramento slu'!$G$60*(sezione!$AM$32-C1375)/C1375</f>
        <v>8.5862471606781791E-3</v>
      </c>
      <c r="M1375" s="559">
        <f>'Progetto del paramento slu'!$G$60*(sezione!$AN$32-C1375)/C1375</f>
        <v>1.7449495078508844E-2</v>
      </c>
      <c r="N1375" s="559">
        <f>'Progetto del paramento slu'!$G$60*(sezione!$AO$32-C1375)/C1375</f>
        <v>2.3895493564203875E-2</v>
      </c>
      <c r="O1375" s="559">
        <f>'Progetto del paramento slu'!$G$60*(sezione!$AP$32-C1375)/C1375</f>
        <v>1.744989795341419E-2</v>
      </c>
      <c r="P1375" s="553">
        <f>-'Progetto del paramento slu'!$G$47*'Progetto del paramento slu'!$G$41*IF(DATI!$G$218="dx",DATI!$E$61,DATI!$E$64*DATI!$E$63)*1000*C1375*sezione!$AD$5</f>
        <v>-612294.4659014201</v>
      </c>
      <c r="Q1375" s="553">
        <f>'Foglio deposito bis'!$F$68*IF(ABS(K1375)&lt;'Progetto del paramento slu'!$G$58,ABS(K1375)*'Progetto del paramento slu'!$G$54,'Progetto del paramento slu'!$G$53)*IF(K1375&lt;0,-1,1)</f>
        <v>0</v>
      </c>
      <c r="R1375" s="553">
        <f>'Foglio deposito bis'!$F$69*IF(ABS(L1375)&lt;'Progetto del paramento slu'!$G$58,ABS(L1375)*'Progetto del paramento slu'!$G$54,'Progetto del paramento slu'!$G$53)*IF(L1375&lt;0,-1,1)</f>
        <v>153664.85805602249</v>
      </c>
      <c r="S1375" s="553">
        <f>'Foglio deposito bis'!$F$70*IF(ABS(M1375)&lt;'Progetto del paramento slu'!$G$58,ABS(M1375)*'Progetto del paramento slu'!$G$54,'Progetto del paramento slu'!$G$53)*IF(M1375&lt;0,-1,1)</f>
        <v>0</v>
      </c>
      <c r="T1375" s="553">
        <f>'Foglio deposito bis'!$F$71*IF(ABS(N1375)&lt;'Progetto del paramento slu'!$G$58,ABS(N1375)*'Progetto del paramento slu'!$G$54,'Progetto del paramento slu'!$G$53)*IF(N1375&lt;0,-1,1)</f>
        <v>314705.62929873407</v>
      </c>
      <c r="U1375" s="553">
        <f>'Foglio deposito bis'!$F$72*IF(ABS(O1375)&lt;'Progetto del paramento slu'!$G$58,ABS(O1375)*'Progetto del paramento slu'!$G$54,'Progetto del paramento slu'!$G$53)*IF(O1375&lt;0,-1,1)</f>
        <v>491727.54577927204</v>
      </c>
      <c r="V1375" s="479">
        <f t="shared" si="105"/>
        <v>347803.5672326085</v>
      </c>
      <c r="W1375" s="559"/>
      <c r="X1375" s="559"/>
    </row>
    <row r="1376" spans="1:24" x14ac:dyDescent="0.25">
      <c r="A1376" s="553">
        <f t="shared" si="104"/>
        <v>336358.81086061947</v>
      </c>
      <c r="B1376" s="3">
        <f t="shared" si="102"/>
        <v>10.899999999999983</v>
      </c>
      <c r="C1376" s="553">
        <f>'Foglio deposito bis'!$E$158/sezione!$B$247*B1376</f>
        <v>44.249722598105485</v>
      </c>
      <c r="D1376" s="611">
        <f>-'Progetto del paramento slu'!$G$47*'Progetto del paramento slu'!$G$41*IF(DATI!$G$218="dx",DATI!$E$61,DATI!$E$64*DATI!$E$63)*1000*C1376^2*sezione!$AD$5*(1-sezione!$AD$6)</f>
        <v>-16118567.934547346</v>
      </c>
      <c r="E1376" s="553">
        <f>-'Foglio deposito bis'!$F$68*(C1376-sezione!$AL$32)*IF(ABS(K1376)&lt;'Progetto del paramento slu'!$G$58,ABS(K1376)*'Progetto del paramento slu'!$G$54,'Progetto del paramento slu'!$G$53)</f>
        <v>0</v>
      </c>
      <c r="F1376" s="553">
        <f>-'Foglio deposito bis'!$F$69*(C1376-sezione!$AM$32)*IF(ABS(L1376)&lt;'Progetto del paramento slu'!$G$58,ABS(L1376)*'Progetto del paramento slu'!$G$54,'Progetto del paramento slu'!$G$53)</f>
        <v>16250101.366347125</v>
      </c>
      <c r="G1376" s="553">
        <f>-'Foglio deposito bis'!$F$70*(C1376-sezione!$AN$32)*IF(ABS(M1376)&lt;'Progetto del paramento slu'!$G$58,ABS(M1376)*'Progetto del paramento slu'!$G$54,'Progetto del paramento slu'!$G$53)</f>
        <v>0</v>
      </c>
      <c r="H1376" s="553">
        <f>-'Foglio deposito bis'!$F$71*(C1376-sezione!$AO$32)*IF(ABS(N1376)&lt;'Progetto del paramento slu'!$G$58,ABS(N1376)*'Progetto del paramento slu'!$G$54,'Progetto del paramento slu'!$G$53)</f>
        <v>93074277.165038392</v>
      </c>
      <c r="I1376" s="479">
        <f>-'Foglio deposito bis'!$F$72*(C1376-sezione!$AP$32)*IF(ABS(O1376)&lt;'Progetto del paramento slu'!$G$58,ABS(O1376)*'Progetto del paramento slu'!$G$54,'Progetto del paramento slu'!$G$53)</f>
        <v>106092813.04575957</v>
      </c>
      <c r="J1376" s="479">
        <f t="shared" si="103"/>
        <v>199298623.64259773</v>
      </c>
      <c r="K1376" s="558">
        <f>'Progetto del paramento slu'!$G$60*(sezione!$AL$32-C1376)/C1376</f>
        <v>-3.3613835793867819E-4</v>
      </c>
      <c r="L1376" s="558">
        <f>'Progetto del paramento slu'!$G$60*(sezione!$AM$32-C1376)/C1376</f>
        <v>8.3644811577299576E-3</v>
      </c>
      <c r="M1376" s="559">
        <f>'Progetto del paramento slu'!$G$60*(sezione!$AN$32-C1376)/C1376</f>
        <v>1.7065100673398594E-2</v>
      </c>
      <c r="N1376" s="559">
        <f>'Progetto del paramento slu'!$G$60*(sezione!$AO$32-C1376)/C1376</f>
        <v>2.3392823957521233E-2</v>
      </c>
      <c r="O1376" s="559">
        <f>'Progetto del paramento slu'!$G$60*(sezione!$AP$32-C1376)/C1376</f>
        <v>1.7065496156103841E-2</v>
      </c>
      <c r="P1376" s="553">
        <f>-'Progetto del paramento slu'!$G$47*'Progetto del paramento slu'!$G$41*IF(DATI!$G$218="dx",DATI!$E$61,DATI!$E$64*DATI!$E$63)*1000*C1376*sezione!$AD$5</f>
        <v>-623739.22227340913</v>
      </c>
      <c r="Q1376" s="553">
        <f>'Foglio deposito bis'!$F$68*IF(ABS(K1376)&lt;'Progetto del paramento slu'!$G$58,ABS(K1376)*'Progetto del paramento slu'!$G$54,'Progetto del paramento slu'!$G$53)*IF(K1376&lt;0,-1,1)</f>
        <v>0</v>
      </c>
      <c r="R1376" s="553">
        <f>'Foglio deposito bis'!$F$69*IF(ABS(L1376)&lt;'Progetto del paramento slu'!$G$58,ABS(L1376)*'Progetto del paramento slu'!$G$54,'Progetto del paramento slu'!$G$53)*IF(L1376&lt;0,-1,1)</f>
        <v>153664.85805602249</v>
      </c>
      <c r="S1376" s="553">
        <f>'Foglio deposito bis'!$F$70*IF(ABS(M1376)&lt;'Progetto del paramento slu'!$G$58,ABS(M1376)*'Progetto del paramento slu'!$G$54,'Progetto del paramento slu'!$G$53)*IF(M1376&lt;0,-1,1)</f>
        <v>0</v>
      </c>
      <c r="T1376" s="553">
        <f>'Foglio deposito bis'!$F$71*IF(ABS(N1376)&lt;'Progetto del paramento slu'!$G$58,ABS(N1376)*'Progetto del paramento slu'!$G$54,'Progetto del paramento slu'!$G$53)*IF(N1376&lt;0,-1,1)</f>
        <v>314705.62929873407</v>
      </c>
      <c r="U1376" s="553">
        <f>'Foglio deposito bis'!$F$72*IF(ABS(O1376)&lt;'Progetto del paramento slu'!$G$58,ABS(O1376)*'Progetto del paramento slu'!$G$54,'Progetto del paramento slu'!$G$53)*IF(O1376&lt;0,-1,1)</f>
        <v>491727.54577927204</v>
      </c>
      <c r="V1376" s="479">
        <f t="shared" si="105"/>
        <v>336358.81086061947</v>
      </c>
      <c r="W1376" s="559"/>
      <c r="X1376" s="559"/>
    </row>
    <row r="1377" spans="1:24" x14ac:dyDescent="0.25">
      <c r="A1377" s="553">
        <f t="shared" si="104"/>
        <v>324914.05448863033</v>
      </c>
      <c r="B1377" s="3">
        <f t="shared" si="102"/>
        <v>11.099999999999982</v>
      </c>
      <c r="C1377" s="553">
        <f>'Foglio deposito bis'!$E$158/sezione!$B$247*B1377</f>
        <v>45.06164411366705</v>
      </c>
      <c r="D1377" s="611">
        <f>-'Progetto del paramento slu'!$G$47*'Progetto del paramento slu'!$G$41*IF(DATI!$G$218="dx",DATI!$E$61,DATI!$E$64*DATI!$E$63)*1000*C1377^2*sezione!$AD$5*(1-sezione!$AD$6)</f>
        <v>-16715501.685174467</v>
      </c>
      <c r="E1377" s="553">
        <f>-'Foglio deposito bis'!$F$68*(C1377-sezione!$AL$32)*IF(ABS(K1377)&lt;'Progetto del paramento slu'!$G$58,ABS(K1377)*'Progetto del paramento slu'!$G$54,'Progetto del paramento slu'!$G$53)</f>
        <v>0</v>
      </c>
      <c r="F1377" s="553">
        <f>-'Foglio deposito bis'!$F$69*(C1377-sezione!$AM$32)*IF(ABS(L1377)&lt;'Progetto del paramento slu'!$G$58,ABS(L1377)*'Progetto del paramento slu'!$G$54,'Progetto del paramento slu'!$G$53)</f>
        <v>16125337.561905725</v>
      </c>
      <c r="G1377" s="553">
        <f>-'Foglio deposito bis'!$F$70*(C1377-sezione!$AN$32)*IF(ABS(M1377)&lt;'Progetto del paramento slu'!$G$58,ABS(M1377)*'Progetto del paramento slu'!$G$54,'Progetto del paramento slu'!$G$53)</f>
        <v>0</v>
      </c>
      <c r="H1377" s="553">
        <f>-'Foglio deposito bis'!$F$71*(C1377-sezione!$AO$32)*IF(ABS(N1377)&lt;'Progetto del paramento slu'!$G$58,ABS(N1377)*'Progetto del paramento slu'!$G$54,'Progetto del paramento slu'!$G$53)</f>
        <v>92818760.893542394</v>
      </c>
      <c r="I1377" s="479">
        <f>-'Foglio deposito bis'!$F$72*(C1377-sezione!$AP$32)*IF(ABS(O1377)&lt;'Progetto del paramento slu'!$G$58,ABS(O1377)*'Progetto del paramento slu'!$G$54,'Progetto del paramento slu'!$G$53)</f>
        <v>105693568.87154709</v>
      </c>
      <c r="J1377" s="479">
        <f t="shared" si="103"/>
        <v>197922165.64182073</v>
      </c>
      <c r="K1377" s="558">
        <f>'Progetto del paramento slu'!$G$60*(sezione!$AL$32-C1377)/C1377</f>
        <v>-3.9314487401185492E-4</v>
      </c>
      <c r="L1377" s="558">
        <f>'Progetto del paramento slu'!$G$60*(sezione!$AM$32-C1377)/C1377</f>
        <v>8.1507067224555439E-3</v>
      </c>
      <c r="M1377" s="559">
        <f>'Progetto del paramento slu'!$G$60*(sezione!$AN$32-C1377)/C1377</f>
        <v>1.6694558318922942E-2</v>
      </c>
      <c r="N1377" s="559">
        <f>'Progetto del paramento slu'!$G$60*(sezione!$AO$32-C1377)/C1377</f>
        <v>2.2908268570899233E-2</v>
      </c>
      <c r="O1377" s="559">
        <f>'Progetto del paramento slu'!$G$60*(sezione!$AP$32-C1377)/C1377</f>
        <v>1.6694946675813681E-2</v>
      </c>
      <c r="P1377" s="553">
        <f>-'Progetto del paramento slu'!$G$47*'Progetto del paramento slu'!$G$41*IF(DATI!$G$218="dx",DATI!$E$61,DATI!$E$64*DATI!$E$63)*1000*C1377*sezione!$AD$5</f>
        <v>-635183.97864539828</v>
      </c>
      <c r="Q1377" s="553">
        <f>'Foglio deposito bis'!$F$68*IF(ABS(K1377)&lt;'Progetto del paramento slu'!$G$58,ABS(K1377)*'Progetto del paramento slu'!$G$54,'Progetto del paramento slu'!$G$53)*IF(K1377&lt;0,-1,1)</f>
        <v>0</v>
      </c>
      <c r="R1377" s="553">
        <f>'Foglio deposito bis'!$F$69*IF(ABS(L1377)&lt;'Progetto del paramento slu'!$G$58,ABS(L1377)*'Progetto del paramento slu'!$G$54,'Progetto del paramento slu'!$G$53)*IF(L1377&lt;0,-1,1)</f>
        <v>153664.85805602249</v>
      </c>
      <c r="S1377" s="553">
        <f>'Foglio deposito bis'!$F$70*IF(ABS(M1377)&lt;'Progetto del paramento slu'!$G$58,ABS(M1377)*'Progetto del paramento slu'!$G$54,'Progetto del paramento slu'!$G$53)*IF(M1377&lt;0,-1,1)</f>
        <v>0</v>
      </c>
      <c r="T1377" s="553">
        <f>'Foglio deposito bis'!$F$71*IF(ABS(N1377)&lt;'Progetto del paramento slu'!$G$58,ABS(N1377)*'Progetto del paramento slu'!$G$54,'Progetto del paramento slu'!$G$53)*IF(N1377&lt;0,-1,1)</f>
        <v>314705.62929873407</v>
      </c>
      <c r="U1377" s="553">
        <f>'Foglio deposito bis'!$F$72*IF(ABS(O1377)&lt;'Progetto del paramento slu'!$G$58,ABS(O1377)*'Progetto del paramento slu'!$G$54,'Progetto del paramento slu'!$G$53)*IF(O1377&lt;0,-1,1)</f>
        <v>491727.54577927204</v>
      </c>
      <c r="V1377" s="479">
        <f t="shared" si="105"/>
        <v>324914.05448863033</v>
      </c>
      <c r="W1377" s="559"/>
      <c r="X1377" s="559"/>
    </row>
    <row r="1378" spans="1:24" x14ac:dyDescent="0.25">
      <c r="A1378" s="553">
        <f t="shared" si="104"/>
        <v>313469.29811664118</v>
      </c>
      <c r="B1378" s="3">
        <f t="shared" si="102"/>
        <v>11.299999999999981</v>
      </c>
      <c r="C1378" s="553">
        <f>'Foglio deposito bis'!$E$158/sezione!$B$247*B1378</f>
        <v>45.873565629228622</v>
      </c>
      <c r="D1378" s="611">
        <f>-'Progetto del paramento slu'!$G$47*'Progetto del paramento slu'!$G$41*IF(DATI!$G$218="dx",DATI!$E$61,DATI!$E$64*DATI!$E$63)*1000*C1378^2*sezione!$AD$5*(1-sezione!$AD$6)</f>
        <v>-17323288.776722085</v>
      </c>
      <c r="E1378" s="553">
        <f>-'Foglio deposito bis'!$F$68*(C1378-sezione!$AL$32)*IF(ABS(K1378)&lt;'Progetto del paramento slu'!$G$58,ABS(K1378)*'Progetto del paramento slu'!$G$54,'Progetto del paramento slu'!$G$53)</f>
        <v>0</v>
      </c>
      <c r="F1378" s="553">
        <f>-'Foglio deposito bis'!$F$69*(C1378-sezione!$AM$32)*IF(ABS(L1378)&lt;'Progetto del paramento slu'!$G$58,ABS(L1378)*'Progetto del paramento slu'!$G$54,'Progetto del paramento slu'!$G$53)</f>
        <v>16000573.757464325</v>
      </c>
      <c r="G1378" s="553">
        <f>-'Foglio deposito bis'!$F$70*(C1378-sezione!$AN$32)*IF(ABS(M1378)&lt;'Progetto del paramento slu'!$G$58,ABS(M1378)*'Progetto del paramento slu'!$G$54,'Progetto del paramento slu'!$G$53)</f>
        <v>0</v>
      </c>
      <c r="H1378" s="553">
        <f>-'Foglio deposito bis'!$F$71*(C1378-sezione!$AO$32)*IF(ABS(N1378)&lt;'Progetto del paramento slu'!$G$58,ABS(N1378)*'Progetto del paramento slu'!$G$54,'Progetto del paramento slu'!$G$53)</f>
        <v>92563244.622046426</v>
      </c>
      <c r="I1378" s="479">
        <f>-'Foglio deposito bis'!$F$72*(C1378-sezione!$AP$32)*IF(ABS(O1378)&lt;'Progetto del paramento slu'!$G$58,ABS(O1378)*'Progetto del paramento slu'!$G$54,'Progetto del paramento slu'!$G$53)</f>
        <v>105294324.6973346</v>
      </c>
      <c r="J1378" s="479">
        <f t="shared" si="103"/>
        <v>196534854.30012327</v>
      </c>
      <c r="K1378" s="558">
        <f>'Progetto del paramento slu'!$G$60*(sezione!$AL$32-C1378)/C1378</f>
        <v>-4.4813346031253031E-4</v>
      </c>
      <c r="L1378" s="558">
        <f>'Progetto del paramento slu'!$G$60*(sezione!$AM$32-C1378)/C1378</f>
        <v>7.9444995238280129E-3</v>
      </c>
      <c r="M1378" s="559">
        <f>'Progetto del paramento slu'!$G$60*(sezione!$AN$32-C1378)/C1378</f>
        <v>1.6337132507968553E-2</v>
      </c>
      <c r="N1378" s="559">
        <f>'Progetto del paramento slu'!$G$60*(sezione!$AO$32-C1378)/C1378</f>
        <v>2.2440865587343498E-2</v>
      </c>
      <c r="O1378" s="559">
        <f>'Progetto del paramento slu'!$G$60*(sezione!$AP$32-C1378)/C1378</f>
        <v>1.6337513991286006E-2</v>
      </c>
      <c r="P1378" s="553">
        <f>-'Progetto del paramento slu'!$G$47*'Progetto del paramento slu'!$G$41*IF(DATI!$G$218="dx",DATI!$E$61,DATI!$E$64*DATI!$E$63)*1000*C1378*sezione!$AD$5</f>
        <v>-646628.73501738743</v>
      </c>
      <c r="Q1378" s="553">
        <f>'Foglio deposito bis'!$F$68*IF(ABS(K1378)&lt;'Progetto del paramento slu'!$G$58,ABS(K1378)*'Progetto del paramento slu'!$G$54,'Progetto del paramento slu'!$G$53)*IF(K1378&lt;0,-1,1)</f>
        <v>0</v>
      </c>
      <c r="R1378" s="553">
        <f>'Foglio deposito bis'!$F$69*IF(ABS(L1378)&lt;'Progetto del paramento slu'!$G$58,ABS(L1378)*'Progetto del paramento slu'!$G$54,'Progetto del paramento slu'!$G$53)*IF(L1378&lt;0,-1,1)</f>
        <v>153664.85805602249</v>
      </c>
      <c r="S1378" s="553">
        <f>'Foglio deposito bis'!$F$70*IF(ABS(M1378)&lt;'Progetto del paramento slu'!$G$58,ABS(M1378)*'Progetto del paramento slu'!$G$54,'Progetto del paramento slu'!$G$53)*IF(M1378&lt;0,-1,1)</f>
        <v>0</v>
      </c>
      <c r="T1378" s="553">
        <f>'Foglio deposito bis'!$F$71*IF(ABS(N1378)&lt;'Progetto del paramento slu'!$G$58,ABS(N1378)*'Progetto del paramento slu'!$G$54,'Progetto del paramento slu'!$G$53)*IF(N1378&lt;0,-1,1)</f>
        <v>314705.62929873407</v>
      </c>
      <c r="U1378" s="553">
        <f>'Foglio deposito bis'!$F$72*IF(ABS(O1378)&lt;'Progetto del paramento slu'!$G$58,ABS(O1378)*'Progetto del paramento slu'!$G$54,'Progetto del paramento slu'!$G$53)*IF(O1378&lt;0,-1,1)</f>
        <v>491727.54577927204</v>
      </c>
      <c r="V1378" s="479">
        <f t="shared" si="105"/>
        <v>313469.29811664118</v>
      </c>
      <c r="W1378" s="559"/>
      <c r="X1378" s="559"/>
    </row>
    <row r="1379" spans="1:24" x14ac:dyDescent="0.25">
      <c r="A1379" s="553">
        <f t="shared" si="104"/>
        <v>302024.54174465203</v>
      </c>
      <c r="B1379" s="3">
        <f t="shared" si="102"/>
        <v>11.49999999999998</v>
      </c>
      <c r="C1379" s="553">
        <f>'Foglio deposito bis'!$E$158/sezione!$B$247*B1379</f>
        <v>46.685487144790187</v>
      </c>
      <c r="D1379" s="611">
        <f>-'Progetto del paramento slu'!$G$47*'Progetto del paramento slu'!$G$41*IF(DATI!$G$218="dx",DATI!$E$61,DATI!$E$64*DATI!$E$63)*1000*C1379^2*sezione!$AD$5*(1-sezione!$AD$6)</f>
        <v>-17941929.20919019</v>
      </c>
      <c r="E1379" s="553">
        <f>-'Foglio deposito bis'!$F$68*(C1379-sezione!$AL$32)*IF(ABS(K1379)&lt;'Progetto del paramento slu'!$G$58,ABS(K1379)*'Progetto del paramento slu'!$G$54,'Progetto del paramento slu'!$G$53)</f>
        <v>0</v>
      </c>
      <c r="F1379" s="553">
        <f>-'Foglio deposito bis'!$F$69*(C1379-sezione!$AM$32)*IF(ABS(L1379)&lt;'Progetto del paramento slu'!$G$58,ABS(L1379)*'Progetto del paramento slu'!$G$54,'Progetto del paramento slu'!$G$53)</f>
        <v>15875809.953022927</v>
      </c>
      <c r="G1379" s="553">
        <f>-'Foglio deposito bis'!$F$70*(C1379-sezione!$AN$32)*IF(ABS(M1379)&lt;'Progetto del paramento slu'!$G$58,ABS(M1379)*'Progetto del paramento slu'!$G$54,'Progetto del paramento slu'!$G$53)</f>
        <v>0</v>
      </c>
      <c r="H1379" s="553">
        <f>-'Foglio deposito bis'!$F$71*(C1379-sezione!$AO$32)*IF(ABS(N1379)&lt;'Progetto del paramento slu'!$G$58,ABS(N1379)*'Progetto del paramento slu'!$G$54,'Progetto del paramento slu'!$G$53)</f>
        <v>92307728.350550443</v>
      </c>
      <c r="I1379" s="479">
        <f>-'Foglio deposito bis'!$F$72*(C1379-sezione!$AP$32)*IF(ABS(O1379)&lt;'Progetto del paramento slu'!$G$58,ABS(O1379)*'Progetto del paramento slu'!$G$54,'Progetto del paramento slu'!$G$53)</f>
        <v>104895080.52312213</v>
      </c>
      <c r="J1379" s="479">
        <f t="shared" si="103"/>
        <v>195136689.61750531</v>
      </c>
      <c r="K1379" s="558">
        <f>'Progetto del paramento slu'!$G$60*(sezione!$AL$32-C1379)/C1379</f>
        <v>-5.0120940013318176E-4</v>
      </c>
      <c r="L1379" s="558">
        <f>'Progetto del paramento slu'!$G$60*(sezione!$AM$32-C1379)/C1379</f>
        <v>7.745464749500568E-3</v>
      </c>
      <c r="M1379" s="559">
        <f>'Progetto del paramento slu'!$G$60*(sezione!$AN$32-C1379)/C1379</f>
        <v>1.5992138899134319E-2</v>
      </c>
      <c r="N1379" s="559">
        <f>'Progetto del paramento slu'!$G$60*(sezione!$AO$32-C1379)/C1379</f>
        <v>2.198972009886796E-2</v>
      </c>
      <c r="O1379" s="559">
        <f>'Progetto del paramento slu'!$G$60*(sezione!$AP$32-C1379)/C1379</f>
        <v>1.5992513747959295E-2</v>
      </c>
      <c r="P1379" s="553">
        <f>-'Progetto del paramento slu'!$G$47*'Progetto del paramento slu'!$G$41*IF(DATI!$G$218="dx",DATI!$E$61,DATI!$E$64*DATI!$E$63)*1000*C1379*sezione!$AD$5</f>
        <v>-658073.49138937658</v>
      </c>
      <c r="Q1379" s="553">
        <f>'Foglio deposito bis'!$F$68*IF(ABS(K1379)&lt;'Progetto del paramento slu'!$G$58,ABS(K1379)*'Progetto del paramento slu'!$G$54,'Progetto del paramento slu'!$G$53)*IF(K1379&lt;0,-1,1)</f>
        <v>0</v>
      </c>
      <c r="R1379" s="553">
        <f>'Foglio deposito bis'!$F$69*IF(ABS(L1379)&lt;'Progetto del paramento slu'!$G$58,ABS(L1379)*'Progetto del paramento slu'!$G$54,'Progetto del paramento slu'!$G$53)*IF(L1379&lt;0,-1,1)</f>
        <v>153664.85805602249</v>
      </c>
      <c r="S1379" s="553">
        <f>'Foglio deposito bis'!$F$70*IF(ABS(M1379)&lt;'Progetto del paramento slu'!$G$58,ABS(M1379)*'Progetto del paramento slu'!$G$54,'Progetto del paramento slu'!$G$53)*IF(M1379&lt;0,-1,1)</f>
        <v>0</v>
      </c>
      <c r="T1379" s="553">
        <f>'Foglio deposito bis'!$F$71*IF(ABS(N1379)&lt;'Progetto del paramento slu'!$G$58,ABS(N1379)*'Progetto del paramento slu'!$G$54,'Progetto del paramento slu'!$G$53)*IF(N1379&lt;0,-1,1)</f>
        <v>314705.62929873407</v>
      </c>
      <c r="U1379" s="553">
        <f>'Foglio deposito bis'!$F$72*IF(ABS(O1379)&lt;'Progetto del paramento slu'!$G$58,ABS(O1379)*'Progetto del paramento slu'!$G$54,'Progetto del paramento slu'!$G$53)*IF(O1379&lt;0,-1,1)</f>
        <v>491727.54577927204</v>
      </c>
      <c r="V1379" s="479">
        <f t="shared" si="105"/>
        <v>302024.54174465203</v>
      </c>
      <c r="W1379" s="559"/>
      <c r="X1379" s="559"/>
    </row>
    <row r="1380" spans="1:24" x14ac:dyDescent="0.25">
      <c r="A1380" s="553">
        <f t="shared" si="104"/>
        <v>290579.78537266288</v>
      </c>
      <c r="B1380" s="3">
        <f t="shared" si="102"/>
        <v>11.69999999999998</v>
      </c>
      <c r="C1380" s="553">
        <f>'Foglio deposito bis'!$E$158/sezione!$B$247*B1380</f>
        <v>47.497408660351752</v>
      </c>
      <c r="D1380" s="611">
        <f>-'Progetto del paramento slu'!$G$47*'Progetto del paramento slu'!$G$41*IF(DATI!$G$218="dx",DATI!$E$61,DATI!$E$64*DATI!$E$63)*1000*C1380^2*sezione!$AD$5*(1-sezione!$AD$6)</f>
        <v>-18571422.982578784</v>
      </c>
      <c r="E1380" s="553">
        <f>-'Foglio deposito bis'!$F$68*(C1380-sezione!$AL$32)*IF(ABS(K1380)&lt;'Progetto del paramento slu'!$G$58,ABS(K1380)*'Progetto del paramento slu'!$G$54,'Progetto del paramento slu'!$G$53)</f>
        <v>0</v>
      </c>
      <c r="F1380" s="553">
        <f>-'Foglio deposito bis'!$F$69*(C1380-sezione!$AM$32)*IF(ABS(L1380)&lt;'Progetto del paramento slu'!$G$58,ABS(L1380)*'Progetto del paramento slu'!$G$54,'Progetto del paramento slu'!$G$53)</f>
        <v>15751046.148581527</v>
      </c>
      <c r="G1380" s="553">
        <f>-'Foglio deposito bis'!$F$70*(C1380-sezione!$AN$32)*IF(ABS(M1380)&lt;'Progetto del paramento slu'!$G$58,ABS(M1380)*'Progetto del paramento slu'!$G$54,'Progetto del paramento slu'!$G$53)</f>
        <v>0</v>
      </c>
      <c r="H1380" s="553">
        <f>-'Foglio deposito bis'!$F$71*(C1380-sezione!$AO$32)*IF(ABS(N1380)&lt;'Progetto del paramento slu'!$G$58,ABS(N1380)*'Progetto del paramento slu'!$G$54,'Progetto del paramento slu'!$G$53)</f>
        <v>92052212.079054445</v>
      </c>
      <c r="I1380" s="479">
        <f>-'Foglio deposito bis'!$F$72*(C1380-sezione!$AP$32)*IF(ABS(O1380)&lt;'Progetto del paramento slu'!$G$58,ABS(O1380)*'Progetto del paramento slu'!$G$54,'Progetto del paramento slu'!$G$53)</f>
        <v>104495836.34890965</v>
      </c>
      <c r="J1380" s="479">
        <f t="shared" si="103"/>
        <v>193727671.59396684</v>
      </c>
      <c r="K1380" s="558">
        <f>'Progetto del paramento slu'!$G$60*(sezione!$AL$32-C1380)/C1380</f>
        <v>-5.5247077790868267E-4</v>
      </c>
      <c r="L1380" s="558">
        <f>'Progetto del paramento slu'!$G$60*(sezione!$AM$32-C1380)/C1380</f>
        <v>7.5532345828424399E-3</v>
      </c>
      <c r="M1380" s="559">
        <f>'Progetto del paramento slu'!$G$60*(sezione!$AN$32-C1380)/C1380</f>
        <v>1.5658939943593561E-2</v>
      </c>
      <c r="N1380" s="559">
        <f>'Progetto del paramento slu'!$G$60*(sezione!$AO$32-C1380)/C1380</f>
        <v>2.1553998387776198E-2</v>
      </c>
      <c r="O1380" s="559">
        <f>'Progetto del paramento slu'!$G$60*(sezione!$AP$32-C1380)/C1380</f>
        <v>1.5659308384746315E-2</v>
      </c>
      <c r="P1380" s="553">
        <f>-'Progetto del paramento slu'!$G$47*'Progetto del paramento slu'!$G$41*IF(DATI!$G$218="dx",DATI!$E$61,DATI!$E$64*DATI!$E$63)*1000*C1380*sezione!$AD$5</f>
        <v>-669518.24776136572</v>
      </c>
      <c r="Q1380" s="553">
        <f>'Foglio deposito bis'!$F$68*IF(ABS(K1380)&lt;'Progetto del paramento slu'!$G$58,ABS(K1380)*'Progetto del paramento slu'!$G$54,'Progetto del paramento slu'!$G$53)*IF(K1380&lt;0,-1,1)</f>
        <v>0</v>
      </c>
      <c r="R1380" s="553">
        <f>'Foglio deposito bis'!$F$69*IF(ABS(L1380)&lt;'Progetto del paramento slu'!$G$58,ABS(L1380)*'Progetto del paramento slu'!$G$54,'Progetto del paramento slu'!$G$53)*IF(L1380&lt;0,-1,1)</f>
        <v>153664.85805602249</v>
      </c>
      <c r="S1380" s="553">
        <f>'Foglio deposito bis'!$F$70*IF(ABS(M1380)&lt;'Progetto del paramento slu'!$G$58,ABS(M1380)*'Progetto del paramento slu'!$G$54,'Progetto del paramento slu'!$G$53)*IF(M1380&lt;0,-1,1)</f>
        <v>0</v>
      </c>
      <c r="T1380" s="553">
        <f>'Foglio deposito bis'!$F$71*IF(ABS(N1380)&lt;'Progetto del paramento slu'!$G$58,ABS(N1380)*'Progetto del paramento slu'!$G$54,'Progetto del paramento slu'!$G$53)*IF(N1380&lt;0,-1,1)</f>
        <v>314705.62929873407</v>
      </c>
      <c r="U1380" s="553">
        <f>'Foglio deposito bis'!$F$72*IF(ABS(O1380)&lt;'Progetto del paramento slu'!$G$58,ABS(O1380)*'Progetto del paramento slu'!$G$54,'Progetto del paramento slu'!$G$53)*IF(O1380&lt;0,-1,1)</f>
        <v>491727.54577927204</v>
      </c>
      <c r="V1380" s="479">
        <f t="shared" si="105"/>
        <v>290579.78537266288</v>
      </c>
      <c r="W1380" s="559"/>
      <c r="X1380" s="559"/>
    </row>
    <row r="1381" spans="1:24" x14ac:dyDescent="0.25">
      <c r="A1381" s="553">
        <f t="shared" si="104"/>
        <v>279135.02900067379</v>
      </c>
      <c r="B1381" s="3">
        <f t="shared" si="102"/>
        <v>11.899999999999979</v>
      </c>
      <c r="C1381" s="553">
        <f>'Foglio deposito bis'!$E$158/sezione!$B$247*B1381</f>
        <v>48.309330175913324</v>
      </c>
      <c r="D1381" s="611">
        <f>-'Progetto del paramento slu'!$G$47*'Progetto del paramento slu'!$G$41*IF(DATI!$G$218="dx",DATI!$E$61,DATI!$E$64*DATI!$E$63)*1000*C1381^2*sezione!$AD$5*(1-sezione!$AD$6)</f>
        <v>-19211770.096887883</v>
      </c>
      <c r="E1381" s="553">
        <f>-'Foglio deposito bis'!$F$68*(C1381-sezione!$AL$32)*IF(ABS(K1381)&lt;'Progetto del paramento slu'!$G$58,ABS(K1381)*'Progetto del paramento slu'!$G$54,'Progetto del paramento slu'!$G$53)</f>
        <v>0</v>
      </c>
      <c r="F1381" s="553">
        <f>-'Foglio deposito bis'!$F$69*(C1381-sezione!$AM$32)*IF(ABS(L1381)&lt;'Progetto del paramento slu'!$G$58,ABS(L1381)*'Progetto del paramento slu'!$G$54,'Progetto del paramento slu'!$G$53)</f>
        <v>15626282.344140131</v>
      </c>
      <c r="G1381" s="553">
        <f>-'Foglio deposito bis'!$F$70*(C1381-sezione!$AN$32)*IF(ABS(M1381)&lt;'Progetto del paramento slu'!$G$58,ABS(M1381)*'Progetto del paramento slu'!$G$54,'Progetto del paramento slu'!$G$53)</f>
        <v>0</v>
      </c>
      <c r="H1381" s="553">
        <f>-'Foglio deposito bis'!$F$71*(C1381-sezione!$AO$32)*IF(ABS(N1381)&lt;'Progetto del paramento slu'!$G$58,ABS(N1381)*'Progetto del paramento slu'!$G$54,'Progetto del paramento slu'!$G$53)</f>
        <v>91796695.807558462</v>
      </c>
      <c r="I1381" s="479">
        <f>-'Foglio deposito bis'!$F$72*(C1381-sezione!$AP$32)*IF(ABS(O1381)&lt;'Progetto del paramento slu'!$G$58,ABS(O1381)*'Progetto del paramento slu'!$G$54,'Progetto del paramento slu'!$G$53)</f>
        <v>104096592.17469719</v>
      </c>
      <c r="J1381" s="479">
        <f t="shared" si="103"/>
        <v>192307800.22950789</v>
      </c>
      <c r="K1381" s="558">
        <f>'Progetto del paramento slu'!$G$60*(sezione!$AL$32-C1381)/C1381</f>
        <v>-6.0200908416231842E-4</v>
      </c>
      <c r="L1381" s="558">
        <f>'Progetto del paramento slu'!$G$60*(sezione!$AM$32-C1381)/C1381</f>
        <v>7.3674659343913066E-3</v>
      </c>
      <c r="M1381" s="559">
        <f>'Progetto del paramento slu'!$G$60*(sezione!$AN$32-C1381)/C1381</f>
        <v>1.5336940952944932E-2</v>
      </c>
      <c r="N1381" s="559">
        <f>'Progetto del paramento slu'!$G$60*(sezione!$AO$32-C1381)/C1381</f>
        <v>2.1132922784620294E-2</v>
      </c>
      <c r="O1381" s="559">
        <f>'Progetto del paramento slu'!$G$60*(sezione!$AP$32-C1381)/C1381</f>
        <v>1.5337303201809403E-2</v>
      </c>
      <c r="P1381" s="553">
        <f>-'Progetto del paramento slu'!$G$47*'Progetto del paramento slu'!$G$41*IF(DATI!$G$218="dx",DATI!$E$61,DATI!$E$64*DATI!$E$63)*1000*C1381*sezione!$AD$5</f>
        <v>-680963.00413335487</v>
      </c>
      <c r="Q1381" s="553">
        <f>'Foglio deposito bis'!$F$68*IF(ABS(K1381)&lt;'Progetto del paramento slu'!$G$58,ABS(K1381)*'Progetto del paramento slu'!$G$54,'Progetto del paramento slu'!$G$53)*IF(K1381&lt;0,-1,1)</f>
        <v>0</v>
      </c>
      <c r="R1381" s="553">
        <f>'Foglio deposito bis'!$F$69*IF(ABS(L1381)&lt;'Progetto del paramento slu'!$G$58,ABS(L1381)*'Progetto del paramento slu'!$G$54,'Progetto del paramento slu'!$G$53)*IF(L1381&lt;0,-1,1)</f>
        <v>153664.85805602249</v>
      </c>
      <c r="S1381" s="553">
        <f>'Foglio deposito bis'!$F$70*IF(ABS(M1381)&lt;'Progetto del paramento slu'!$G$58,ABS(M1381)*'Progetto del paramento slu'!$G$54,'Progetto del paramento slu'!$G$53)*IF(M1381&lt;0,-1,1)</f>
        <v>0</v>
      </c>
      <c r="T1381" s="553">
        <f>'Foglio deposito bis'!$F$71*IF(ABS(N1381)&lt;'Progetto del paramento slu'!$G$58,ABS(N1381)*'Progetto del paramento slu'!$G$54,'Progetto del paramento slu'!$G$53)*IF(N1381&lt;0,-1,1)</f>
        <v>314705.62929873407</v>
      </c>
      <c r="U1381" s="553">
        <f>'Foglio deposito bis'!$F$72*IF(ABS(O1381)&lt;'Progetto del paramento slu'!$G$58,ABS(O1381)*'Progetto del paramento slu'!$G$54,'Progetto del paramento slu'!$G$53)*IF(O1381&lt;0,-1,1)</f>
        <v>491727.54577927204</v>
      </c>
      <c r="V1381" s="479">
        <f t="shared" si="105"/>
        <v>279135.02900067379</v>
      </c>
      <c r="W1381" s="559"/>
      <c r="X1381" s="559"/>
    </row>
    <row r="1382" spans="1:24" x14ac:dyDescent="0.25">
      <c r="A1382" s="553">
        <f t="shared" si="104"/>
        <v>267690.27262868464</v>
      </c>
      <c r="B1382" s="3">
        <f t="shared" si="102"/>
        <v>12.099999999999978</v>
      </c>
      <c r="C1382" s="553">
        <f>'Foglio deposito bis'!$E$158/sezione!$B$247*B1382</f>
        <v>49.121251691474889</v>
      </c>
      <c r="D1382" s="611">
        <f>-'Progetto del paramento slu'!$G$47*'Progetto del paramento slu'!$G$41*IF(DATI!$G$218="dx",DATI!$E$61,DATI!$E$64*DATI!$E$63)*1000*C1382^2*sezione!$AD$5*(1-sezione!$AD$6)</f>
        <v>-19862970.552117467</v>
      </c>
      <c r="E1382" s="553">
        <f>-'Foglio deposito bis'!$F$68*(C1382-sezione!$AL$32)*IF(ABS(K1382)&lt;'Progetto del paramento slu'!$G$58,ABS(K1382)*'Progetto del paramento slu'!$G$54,'Progetto del paramento slu'!$G$53)</f>
        <v>0</v>
      </c>
      <c r="F1382" s="553">
        <f>-'Foglio deposito bis'!$F$69*(C1382-sezione!$AM$32)*IF(ABS(L1382)&lt;'Progetto del paramento slu'!$G$58,ABS(L1382)*'Progetto del paramento slu'!$G$54,'Progetto del paramento slu'!$G$53)</f>
        <v>15501518.539698731</v>
      </c>
      <c r="G1382" s="553">
        <f>-'Foglio deposito bis'!$F$70*(C1382-sezione!$AN$32)*IF(ABS(M1382)&lt;'Progetto del paramento slu'!$G$58,ABS(M1382)*'Progetto del paramento slu'!$G$54,'Progetto del paramento slu'!$G$53)</f>
        <v>0</v>
      </c>
      <c r="H1382" s="553">
        <f>-'Foglio deposito bis'!$F$71*(C1382-sezione!$AO$32)*IF(ABS(N1382)&lt;'Progetto del paramento slu'!$G$58,ABS(N1382)*'Progetto del paramento slu'!$G$54,'Progetto del paramento slu'!$G$53)</f>
        <v>91541179.536062494</v>
      </c>
      <c r="I1382" s="479">
        <f>-'Foglio deposito bis'!$F$72*(C1382-sezione!$AP$32)*IF(ABS(O1382)&lt;'Progetto del paramento slu'!$G$58,ABS(O1382)*'Progetto del paramento slu'!$G$54,'Progetto del paramento slu'!$G$53)</f>
        <v>103697348.0004847</v>
      </c>
      <c r="J1382" s="479">
        <f t="shared" si="103"/>
        <v>190877075.52412847</v>
      </c>
      <c r="K1382" s="558">
        <f>'Progetto del paramento slu'!$G$60*(sezione!$AL$32-C1382)/C1382</f>
        <v>-6.4990976045715585E-4</v>
      </c>
      <c r="L1382" s="558">
        <f>'Progetto del paramento slu'!$G$60*(sezione!$AM$32-C1382)/C1382</f>
        <v>7.1878383982856651E-3</v>
      </c>
      <c r="M1382" s="559">
        <f>'Progetto del paramento slu'!$G$60*(sezione!$AN$32-C1382)/C1382</f>
        <v>1.5025586557028486E-2</v>
      </c>
      <c r="N1382" s="559">
        <f>'Progetto del paramento slu'!$G$60*(sezione!$AO$32-C1382)/C1382</f>
        <v>2.0725767036114173E-2</v>
      </c>
      <c r="O1382" s="559">
        <f>'Progetto del paramento slu'!$G$60*(sezione!$AP$32-C1382)/C1382</f>
        <v>1.502594281830842E-2</v>
      </c>
      <c r="P1382" s="553">
        <f>-'Progetto del paramento slu'!$G$47*'Progetto del paramento slu'!$G$41*IF(DATI!$G$218="dx",DATI!$E$61,DATI!$E$64*DATI!$E$63)*1000*C1382*sezione!$AD$5</f>
        <v>-692407.76050534402</v>
      </c>
      <c r="Q1382" s="553">
        <f>'Foglio deposito bis'!$F$68*IF(ABS(K1382)&lt;'Progetto del paramento slu'!$G$58,ABS(K1382)*'Progetto del paramento slu'!$G$54,'Progetto del paramento slu'!$G$53)*IF(K1382&lt;0,-1,1)</f>
        <v>0</v>
      </c>
      <c r="R1382" s="553">
        <f>'Foglio deposito bis'!$F$69*IF(ABS(L1382)&lt;'Progetto del paramento slu'!$G$58,ABS(L1382)*'Progetto del paramento slu'!$G$54,'Progetto del paramento slu'!$G$53)*IF(L1382&lt;0,-1,1)</f>
        <v>153664.85805602249</v>
      </c>
      <c r="S1382" s="553">
        <f>'Foglio deposito bis'!$F$70*IF(ABS(M1382)&lt;'Progetto del paramento slu'!$G$58,ABS(M1382)*'Progetto del paramento slu'!$G$54,'Progetto del paramento slu'!$G$53)*IF(M1382&lt;0,-1,1)</f>
        <v>0</v>
      </c>
      <c r="T1382" s="553">
        <f>'Foglio deposito bis'!$F$71*IF(ABS(N1382)&lt;'Progetto del paramento slu'!$G$58,ABS(N1382)*'Progetto del paramento slu'!$G$54,'Progetto del paramento slu'!$G$53)*IF(N1382&lt;0,-1,1)</f>
        <v>314705.62929873407</v>
      </c>
      <c r="U1382" s="553">
        <f>'Foglio deposito bis'!$F$72*IF(ABS(O1382)&lt;'Progetto del paramento slu'!$G$58,ABS(O1382)*'Progetto del paramento slu'!$G$54,'Progetto del paramento slu'!$G$53)*IF(O1382&lt;0,-1,1)</f>
        <v>491727.54577927204</v>
      </c>
      <c r="V1382" s="479">
        <f t="shared" si="105"/>
        <v>267690.27262868464</v>
      </c>
      <c r="W1382" s="559"/>
      <c r="X1382" s="559"/>
    </row>
    <row r="1383" spans="1:24" x14ac:dyDescent="0.25">
      <c r="A1383" s="553">
        <f t="shared" si="104"/>
        <v>256245.5162566955</v>
      </c>
      <c r="B1383" s="3">
        <f t="shared" si="102"/>
        <v>12.299999999999978</v>
      </c>
      <c r="C1383" s="553">
        <f>'Foglio deposito bis'!$E$158/sezione!$B$247*B1383</f>
        <v>49.933173207036454</v>
      </c>
      <c r="D1383" s="611">
        <f>-'Progetto del paramento slu'!$G$47*'Progetto del paramento slu'!$G$41*IF(DATI!$G$218="dx",DATI!$E$61,DATI!$E$64*DATI!$E$63)*1000*C1383^2*sezione!$AD$5*(1-sezione!$AD$6)</f>
        <v>-20525024.348267544</v>
      </c>
      <c r="E1383" s="553">
        <f>-'Foglio deposito bis'!$F$68*(C1383-sezione!$AL$32)*IF(ABS(K1383)&lt;'Progetto del paramento slu'!$G$58,ABS(K1383)*'Progetto del paramento slu'!$G$54,'Progetto del paramento slu'!$G$53)</f>
        <v>0</v>
      </c>
      <c r="F1383" s="553">
        <f>-'Foglio deposito bis'!$F$69*(C1383-sezione!$AM$32)*IF(ABS(L1383)&lt;'Progetto del paramento slu'!$G$58,ABS(L1383)*'Progetto del paramento slu'!$G$54,'Progetto del paramento slu'!$G$53)</f>
        <v>15376754.735257333</v>
      </c>
      <c r="G1383" s="553">
        <f>-'Foglio deposito bis'!$F$70*(C1383-sezione!$AN$32)*IF(ABS(M1383)&lt;'Progetto del paramento slu'!$G$58,ABS(M1383)*'Progetto del paramento slu'!$G$54,'Progetto del paramento slu'!$G$53)</f>
        <v>0</v>
      </c>
      <c r="H1383" s="553">
        <f>-'Foglio deposito bis'!$F$71*(C1383-sezione!$AO$32)*IF(ABS(N1383)&lt;'Progetto del paramento slu'!$G$58,ABS(N1383)*'Progetto del paramento slu'!$G$54,'Progetto del paramento slu'!$G$53)</f>
        <v>91285663.264566496</v>
      </c>
      <c r="I1383" s="479">
        <f>-'Foglio deposito bis'!$F$72*(C1383-sezione!$AP$32)*IF(ABS(O1383)&lt;'Progetto del paramento slu'!$G$58,ABS(O1383)*'Progetto del paramento slu'!$G$54,'Progetto del paramento slu'!$G$53)</f>
        <v>103298103.82627223</v>
      </c>
      <c r="J1383" s="479">
        <f t="shared" si="103"/>
        <v>189435497.4778285</v>
      </c>
      <c r="K1383" s="558">
        <f>'Progetto del paramento slu'!$G$60*(sezione!$AL$32-C1383)/C1383</f>
        <v>-6.9625269118142976E-4</v>
      </c>
      <c r="L1383" s="558">
        <f>'Progetto del paramento slu'!$G$60*(sezione!$AM$32-C1383)/C1383</f>
        <v>7.0140524080696395E-3</v>
      </c>
      <c r="M1383" s="559">
        <f>'Progetto del paramento slu'!$G$60*(sezione!$AN$32-C1383)/C1383</f>
        <v>1.4724357507320707E-2</v>
      </c>
      <c r="N1383" s="559">
        <f>'Progetto del paramento slu'!$G$60*(sezione!$AO$32-C1383)/C1383</f>
        <v>2.0331852124957847E-2</v>
      </c>
      <c r="O1383" s="559">
        <f>'Progetto del paramento slu'!$G$60*(sezione!$AP$32-C1383)/C1383</f>
        <v>1.4724707975734302E-2</v>
      </c>
      <c r="P1383" s="553">
        <f>-'Progetto del paramento slu'!$G$47*'Progetto del paramento slu'!$G$41*IF(DATI!$G$218="dx",DATI!$E$61,DATI!$E$64*DATI!$E$63)*1000*C1383*sezione!$AD$5</f>
        <v>-703852.51687733305</v>
      </c>
      <c r="Q1383" s="553">
        <f>'Foglio deposito bis'!$F$68*IF(ABS(K1383)&lt;'Progetto del paramento slu'!$G$58,ABS(K1383)*'Progetto del paramento slu'!$G$54,'Progetto del paramento slu'!$G$53)*IF(K1383&lt;0,-1,1)</f>
        <v>0</v>
      </c>
      <c r="R1383" s="553">
        <f>'Foglio deposito bis'!$F$69*IF(ABS(L1383)&lt;'Progetto del paramento slu'!$G$58,ABS(L1383)*'Progetto del paramento slu'!$G$54,'Progetto del paramento slu'!$G$53)*IF(L1383&lt;0,-1,1)</f>
        <v>153664.85805602249</v>
      </c>
      <c r="S1383" s="553">
        <f>'Foglio deposito bis'!$F$70*IF(ABS(M1383)&lt;'Progetto del paramento slu'!$G$58,ABS(M1383)*'Progetto del paramento slu'!$G$54,'Progetto del paramento slu'!$G$53)*IF(M1383&lt;0,-1,1)</f>
        <v>0</v>
      </c>
      <c r="T1383" s="553">
        <f>'Foglio deposito bis'!$F$71*IF(ABS(N1383)&lt;'Progetto del paramento slu'!$G$58,ABS(N1383)*'Progetto del paramento slu'!$G$54,'Progetto del paramento slu'!$G$53)*IF(N1383&lt;0,-1,1)</f>
        <v>314705.62929873407</v>
      </c>
      <c r="U1383" s="553">
        <f>'Foglio deposito bis'!$F$72*IF(ABS(O1383)&lt;'Progetto del paramento slu'!$G$58,ABS(O1383)*'Progetto del paramento slu'!$G$54,'Progetto del paramento slu'!$G$53)*IF(O1383&lt;0,-1,1)</f>
        <v>491727.54577927204</v>
      </c>
      <c r="V1383" s="479">
        <f t="shared" si="105"/>
        <v>256245.5162566955</v>
      </c>
      <c r="W1383" s="559"/>
      <c r="X1383" s="559"/>
    </row>
    <row r="1384" spans="1:24" x14ac:dyDescent="0.25">
      <c r="A1384" s="553">
        <f t="shared" si="104"/>
        <v>244800.75988470635</v>
      </c>
      <c r="B1384" s="3">
        <f t="shared" si="102"/>
        <v>12.499999999999977</v>
      </c>
      <c r="C1384" s="553">
        <f>'Foglio deposito bis'!$E$158/sezione!$B$247*B1384</f>
        <v>50.745094722598026</v>
      </c>
      <c r="D1384" s="611">
        <f>-'Progetto del paramento slu'!$G$47*'Progetto del paramento slu'!$G$41*IF(DATI!$G$218="dx",DATI!$E$61,DATI!$E$64*DATI!$E$63)*1000*C1384^2*sezione!$AD$5*(1-sezione!$AD$6)</f>
        <v>-21197931.485338125</v>
      </c>
      <c r="E1384" s="553">
        <f>-'Foglio deposito bis'!$F$68*(C1384-sezione!$AL$32)*IF(ABS(K1384)&lt;'Progetto del paramento slu'!$G$58,ABS(K1384)*'Progetto del paramento slu'!$G$54,'Progetto del paramento slu'!$G$53)</f>
        <v>0</v>
      </c>
      <c r="F1384" s="553">
        <f>-'Foglio deposito bis'!$F$69*(C1384-sezione!$AM$32)*IF(ABS(L1384)&lt;'Progetto del paramento slu'!$G$58,ABS(L1384)*'Progetto del paramento slu'!$G$54,'Progetto del paramento slu'!$G$53)</f>
        <v>15251990.930815933</v>
      </c>
      <c r="G1384" s="553">
        <f>-'Foglio deposito bis'!$F$70*(C1384-sezione!$AN$32)*IF(ABS(M1384)&lt;'Progetto del paramento slu'!$G$58,ABS(M1384)*'Progetto del paramento slu'!$G$54,'Progetto del paramento slu'!$G$53)</f>
        <v>0</v>
      </c>
      <c r="H1384" s="553">
        <f>-'Foglio deposito bis'!$F$71*(C1384-sezione!$AO$32)*IF(ABS(N1384)&lt;'Progetto del paramento slu'!$G$58,ABS(N1384)*'Progetto del paramento slu'!$G$54,'Progetto del paramento slu'!$G$53)</f>
        <v>91030146.993070513</v>
      </c>
      <c r="I1384" s="479">
        <f>-'Foglio deposito bis'!$F$72*(C1384-sezione!$AP$32)*IF(ABS(O1384)&lt;'Progetto del paramento slu'!$G$58,ABS(O1384)*'Progetto del paramento slu'!$G$54,'Progetto del paramento slu'!$G$53)</f>
        <v>102898859.65205975</v>
      </c>
      <c r="J1384" s="479">
        <f t="shared" si="103"/>
        <v>187983066.09060806</v>
      </c>
      <c r="K1384" s="558">
        <f>'Progetto del paramento slu'!$G$60*(sezione!$AL$32-C1384)/C1384</f>
        <v>-7.4111264812252694E-4</v>
      </c>
      <c r="L1384" s="558">
        <f>'Progetto del paramento slu'!$G$60*(sezione!$AM$32-C1384)/C1384</f>
        <v>6.8458275695405246E-3</v>
      </c>
      <c r="M1384" s="559">
        <f>'Progetto del paramento slu'!$G$60*(sezione!$AN$32-C1384)/C1384</f>
        <v>1.4432767787203576E-2</v>
      </c>
      <c r="N1384" s="559">
        <f>'Progetto del paramento slu'!$G$60*(sezione!$AO$32-C1384)/C1384</f>
        <v>1.9950542490958522E-2</v>
      </c>
      <c r="O1384" s="559">
        <f>'Progetto del paramento slu'!$G$60*(sezione!$AP$32-C1384)/C1384</f>
        <v>1.4433112648122552E-2</v>
      </c>
      <c r="P1384" s="553">
        <f>-'Progetto del paramento slu'!$G$47*'Progetto del paramento slu'!$G$41*IF(DATI!$G$218="dx",DATI!$E$61,DATI!$E$64*DATI!$E$63)*1000*C1384*sezione!$AD$5</f>
        <v>-715297.27324932232</v>
      </c>
      <c r="Q1384" s="553">
        <f>'Foglio deposito bis'!$F$68*IF(ABS(K1384)&lt;'Progetto del paramento slu'!$G$58,ABS(K1384)*'Progetto del paramento slu'!$G$54,'Progetto del paramento slu'!$G$53)*IF(K1384&lt;0,-1,1)</f>
        <v>0</v>
      </c>
      <c r="R1384" s="553">
        <f>'Foglio deposito bis'!$F$69*IF(ABS(L1384)&lt;'Progetto del paramento slu'!$G$58,ABS(L1384)*'Progetto del paramento slu'!$G$54,'Progetto del paramento slu'!$G$53)*IF(L1384&lt;0,-1,1)</f>
        <v>153664.85805602249</v>
      </c>
      <c r="S1384" s="553">
        <f>'Foglio deposito bis'!$F$70*IF(ABS(M1384)&lt;'Progetto del paramento slu'!$G$58,ABS(M1384)*'Progetto del paramento slu'!$G$54,'Progetto del paramento slu'!$G$53)*IF(M1384&lt;0,-1,1)</f>
        <v>0</v>
      </c>
      <c r="T1384" s="553">
        <f>'Foglio deposito bis'!$F$71*IF(ABS(N1384)&lt;'Progetto del paramento slu'!$G$58,ABS(N1384)*'Progetto del paramento slu'!$G$54,'Progetto del paramento slu'!$G$53)*IF(N1384&lt;0,-1,1)</f>
        <v>314705.62929873407</v>
      </c>
      <c r="U1384" s="553">
        <f>'Foglio deposito bis'!$F$72*IF(ABS(O1384)&lt;'Progetto del paramento slu'!$G$58,ABS(O1384)*'Progetto del paramento slu'!$G$54,'Progetto del paramento slu'!$G$53)*IF(O1384&lt;0,-1,1)</f>
        <v>491727.54577927204</v>
      </c>
      <c r="V1384" s="479">
        <f t="shared" si="105"/>
        <v>244800.75988470635</v>
      </c>
      <c r="W1384" s="559"/>
      <c r="X1384" s="559"/>
    </row>
    <row r="1385" spans="1:24" x14ac:dyDescent="0.25">
      <c r="A1385" s="553">
        <f t="shared" si="104"/>
        <v>233356.0035127172</v>
      </c>
      <c r="B1385" s="3">
        <f t="shared" si="102"/>
        <v>12.699999999999976</v>
      </c>
      <c r="C1385" s="553">
        <f>'Foglio deposito bis'!$E$158/sezione!$B$247*B1385</f>
        <v>51.557016238159591</v>
      </c>
      <c r="D1385" s="611">
        <f>-'Progetto del paramento slu'!$G$47*'Progetto del paramento slu'!$G$41*IF(DATI!$G$218="dx",DATI!$E$61,DATI!$E$64*DATI!$E$63)*1000*C1385^2*sezione!$AD$5*(1-sezione!$AD$6)</f>
        <v>-21881691.963329181</v>
      </c>
      <c r="E1385" s="553">
        <f>-'Foglio deposito bis'!$F$68*(C1385-sezione!$AL$32)*IF(ABS(K1385)&lt;'Progetto del paramento slu'!$G$58,ABS(K1385)*'Progetto del paramento slu'!$G$54,'Progetto del paramento slu'!$G$53)</f>
        <v>0</v>
      </c>
      <c r="F1385" s="553">
        <f>-'Foglio deposito bis'!$F$69*(C1385-sezione!$AM$32)*IF(ABS(L1385)&lt;'Progetto del paramento slu'!$G$58,ABS(L1385)*'Progetto del paramento slu'!$G$54,'Progetto del paramento slu'!$G$53)</f>
        <v>15127227.126374533</v>
      </c>
      <c r="G1385" s="553">
        <f>-'Foglio deposito bis'!$F$70*(C1385-sezione!$AN$32)*IF(ABS(M1385)&lt;'Progetto del paramento slu'!$G$58,ABS(M1385)*'Progetto del paramento slu'!$G$54,'Progetto del paramento slu'!$G$53)</f>
        <v>0</v>
      </c>
      <c r="H1385" s="553">
        <f>-'Foglio deposito bis'!$F$71*(C1385-sezione!$AO$32)*IF(ABS(N1385)&lt;'Progetto del paramento slu'!$G$58,ABS(N1385)*'Progetto del paramento slu'!$G$54,'Progetto del paramento slu'!$G$53)</f>
        <v>90774630.72157453</v>
      </c>
      <c r="I1385" s="479">
        <f>-'Foglio deposito bis'!$F$72*(C1385-sezione!$AP$32)*IF(ABS(O1385)&lt;'Progetto del paramento slu'!$G$58,ABS(O1385)*'Progetto del paramento slu'!$G$54,'Progetto del paramento slu'!$G$53)</f>
        <v>102499615.47784728</v>
      </c>
      <c r="J1385" s="479">
        <f t="shared" si="103"/>
        <v>186519781.36246717</v>
      </c>
      <c r="K1385" s="558">
        <f>'Progetto del paramento slu'!$G$60*(sezione!$AL$32-C1385)/C1385</f>
        <v>-7.8455969303398306E-4</v>
      </c>
      <c r="L1385" s="558">
        <f>'Progetto del paramento slu'!$G$60*(sezione!$AM$32-C1385)/C1385</f>
        <v>6.6829011511225639E-3</v>
      </c>
      <c r="M1385" s="559">
        <f>'Progetto del paramento slu'!$G$60*(sezione!$AN$32-C1385)/C1385</f>
        <v>1.4150361995279111E-2</v>
      </c>
      <c r="N1385" s="559">
        <f>'Progetto del paramento slu'!$G$60*(sezione!$AO$32-C1385)/C1385</f>
        <v>1.9581242609211146E-2</v>
      </c>
      <c r="O1385" s="559">
        <f>'Progetto del paramento slu'!$G$60*(sezione!$AP$32-C1385)/C1385</f>
        <v>1.4150701425317476E-2</v>
      </c>
      <c r="P1385" s="553">
        <f>-'Progetto del paramento slu'!$G$47*'Progetto del paramento slu'!$G$41*IF(DATI!$G$218="dx",DATI!$E$61,DATI!$E$64*DATI!$E$63)*1000*C1385*sezione!$AD$5</f>
        <v>-726742.02962131135</v>
      </c>
      <c r="Q1385" s="553">
        <f>'Foglio deposito bis'!$F$68*IF(ABS(K1385)&lt;'Progetto del paramento slu'!$G$58,ABS(K1385)*'Progetto del paramento slu'!$G$54,'Progetto del paramento slu'!$G$53)*IF(K1385&lt;0,-1,1)</f>
        <v>0</v>
      </c>
      <c r="R1385" s="553">
        <f>'Foglio deposito bis'!$F$69*IF(ABS(L1385)&lt;'Progetto del paramento slu'!$G$58,ABS(L1385)*'Progetto del paramento slu'!$G$54,'Progetto del paramento slu'!$G$53)*IF(L1385&lt;0,-1,1)</f>
        <v>153664.85805602249</v>
      </c>
      <c r="S1385" s="553">
        <f>'Foglio deposito bis'!$F$70*IF(ABS(M1385)&lt;'Progetto del paramento slu'!$G$58,ABS(M1385)*'Progetto del paramento slu'!$G$54,'Progetto del paramento slu'!$G$53)*IF(M1385&lt;0,-1,1)</f>
        <v>0</v>
      </c>
      <c r="T1385" s="553">
        <f>'Foglio deposito bis'!$F$71*IF(ABS(N1385)&lt;'Progetto del paramento slu'!$G$58,ABS(N1385)*'Progetto del paramento slu'!$G$54,'Progetto del paramento slu'!$G$53)*IF(N1385&lt;0,-1,1)</f>
        <v>314705.62929873407</v>
      </c>
      <c r="U1385" s="553">
        <f>'Foglio deposito bis'!$F$72*IF(ABS(O1385)&lt;'Progetto del paramento slu'!$G$58,ABS(O1385)*'Progetto del paramento slu'!$G$54,'Progetto del paramento slu'!$G$53)*IF(O1385&lt;0,-1,1)</f>
        <v>491727.54577927204</v>
      </c>
      <c r="V1385" s="479">
        <f t="shared" si="105"/>
        <v>233356.0035127172</v>
      </c>
      <c r="W1385" s="559"/>
      <c r="X1385" s="559"/>
    </row>
    <row r="1386" spans="1:24" x14ac:dyDescent="0.25">
      <c r="A1386" s="553">
        <f t="shared" si="104"/>
        <v>221911.24714072805</v>
      </c>
      <c r="B1386" s="3">
        <f t="shared" si="102"/>
        <v>12.899999999999975</v>
      </c>
      <c r="C1386" s="553">
        <f>'Foglio deposito bis'!$E$158/sezione!$B$247*B1386</f>
        <v>52.368937753721156</v>
      </c>
      <c r="D1386" s="611">
        <f>-'Progetto del paramento slu'!$G$47*'Progetto del paramento slu'!$G$41*IF(DATI!$G$218="dx",DATI!$E$61,DATI!$E$64*DATI!$E$63)*1000*C1386^2*sezione!$AD$5*(1-sezione!$AD$6)</f>
        <v>-22576305.782240737</v>
      </c>
      <c r="E1386" s="553">
        <f>-'Foglio deposito bis'!$F$68*(C1386-sezione!$AL$32)*IF(ABS(K1386)&lt;'Progetto del paramento slu'!$G$58,ABS(K1386)*'Progetto del paramento slu'!$G$54,'Progetto del paramento slu'!$G$53)</f>
        <v>0</v>
      </c>
      <c r="F1386" s="553">
        <f>-'Foglio deposito bis'!$F$69*(C1386-sezione!$AM$32)*IF(ABS(L1386)&lt;'Progetto del paramento slu'!$G$58,ABS(L1386)*'Progetto del paramento slu'!$G$54,'Progetto del paramento slu'!$G$53)</f>
        <v>15002463.321933135</v>
      </c>
      <c r="G1386" s="553">
        <f>-'Foglio deposito bis'!$F$70*(C1386-sezione!$AN$32)*IF(ABS(M1386)&lt;'Progetto del paramento slu'!$G$58,ABS(M1386)*'Progetto del paramento slu'!$G$54,'Progetto del paramento slu'!$G$53)</f>
        <v>0</v>
      </c>
      <c r="H1386" s="553">
        <f>-'Foglio deposito bis'!$F$71*(C1386-sezione!$AO$32)*IF(ABS(N1386)&lt;'Progetto del paramento slu'!$G$58,ABS(N1386)*'Progetto del paramento slu'!$G$54,'Progetto del paramento slu'!$G$53)</f>
        <v>90519114.450078532</v>
      </c>
      <c r="I1386" s="479">
        <f>-'Foglio deposito bis'!$F$72*(C1386-sezione!$AP$32)*IF(ABS(O1386)&lt;'Progetto del paramento slu'!$G$58,ABS(O1386)*'Progetto del paramento slu'!$G$54,'Progetto del paramento slu'!$G$53)</f>
        <v>102100371.30363479</v>
      </c>
      <c r="J1386" s="479">
        <f t="shared" si="103"/>
        <v>185045643.29340571</v>
      </c>
      <c r="K1386" s="558">
        <f>'Progetto del paramento slu'!$G$60*(sezione!$AL$32-C1386)/C1386</f>
        <v>-8.2665954275438624E-4</v>
      </c>
      <c r="L1386" s="558">
        <f>'Progetto del paramento slu'!$G$60*(sezione!$AM$32-C1386)/C1386</f>
        <v>6.5250267146710521E-3</v>
      </c>
      <c r="M1386" s="559">
        <f>'Progetto del paramento slu'!$G$60*(sezione!$AN$32-C1386)/C1386</f>
        <v>1.3876712972096489E-2</v>
      </c>
      <c r="N1386" s="559">
        <f>'Progetto del paramento slu'!$G$60*(sezione!$AO$32-C1386)/C1386</f>
        <v>1.9223393886587715E-2</v>
      </c>
      <c r="O1386" s="559">
        <f>'Progetto del paramento slu'!$G$60*(sezione!$AP$32-C1386)/C1386</f>
        <v>1.3877047139653638E-2</v>
      </c>
      <c r="P1386" s="553">
        <f>-'Progetto del paramento slu'!$G$47*'Progetto del paramento slu'!$G$41*IF(DATI!$G$218="dx",DATI!$E$61,DATI!$E$64*DATI!$E$63)*1000*C1386*sezione!$AD$5</f>
        <v>-738186.78599330049</v>
      </c>
      <c r="Q1386" s="553">
        <f>'Foglio deposito bis'!$F$68*IF(ABS(K1386)&lt;'Progetto del paramento slu'!$G$58,ABS(K1386)*'Progetto del paramento slu'!$G$54,'Progetto del paramento slu'!$G$53)*IF(K1386&lt;0,-1,1)</f>
        <v>0</v>
      </c>
      <c r="R1386" s="553">
        <f>'Foglio deposito bis'!$F$69*IF(ABS(L1386)&lt;'Progetto del paramento slu'!$G$58,ABS(L1386)*'Progetto del paramento slu'!$G$54,'Progetto del paramento slu'!$G$53)*IF(L1386&lt;0,-1,1)</f>
        <v>153664.85805602249</v>
      </c>
      <c r="S1386" s="553">
        <f>'Foglio deposito bis'!$F$70*IF(ABS(M1386)&lt;'Progetto del paramento slu'!$G$58,ABS(M1386)*'Progetto del paramento slu'!$G$54,'Progetto del paramento slu'!$G$53)*IF(M1386&lt;0,-1,1)</f>
        <v>0</v>
      </c>
      <c r="T1386" s="553">
        <f>'Foglio deposito bis'!$F$71*IF(ABS(N1386)&lt;'Progetto del paramento slu'!$G$58,ABS(N1386)*'Progetto del paramento slu'!$G$54,'Progetto del paramento slu'!$G$53)*IF(N1386&lt;0,-1,1)</f>
        <v>314705.62929873407</v>
      </c>
      <c r="U1386" s="553">
        <f>'Foglio deposito bis'!$F$72*IF(ABS(O1386)&lt;'Progetto del paramento slu'!$G$58,ABS(O1386)*'Progetto del paramento slu'!$G$54,'Progetto del paramento slu'!$G$53)*IF(O1386&lt;0,-1,1)</f>
        <v>491727.54577927204</v>
      </c>
      <c r="V1386" s="479">
        <f t="shared" si="105"/>
        <v>221911.24714072805</v>
      </c>
      <c r="W1386" s="559"/>
      <c r="X1386" s="559"/>
    </row>
    <row r="1387" spans="1:24" x14ac:dyDescent="0.25">
      <c r="A1387" s="553">
        <f t="shared" si="104"/>
        <v>210466.49076873914</v>
      </c>
      <c r="B1387" s="3">
        <f t="shared" si="102"/>
        <v>13.099999999999975</v>
      </c>
      <c r="C1387" s="553">
        <f>'Foglio deposito bis'!$E$158/sezione!$B$247*B1387</f>
        <v>53.18085926928272</v>
      </c>
      <c r="D1387" s="611">
        <f>-'Progetto del paramento slu'!$G$47*'Progetto del paramento slu'!$G$41*IF(DATI!$G$218="dx",DATI!$E$61,DATI!$E$64*DATI!$E$63)*1000*C1387^2*sezione!$AD$5*(1-sezione!$AD$6)</f>
        <v>-23281772.94207279</v>
      </c>
      <c r="E1387" s="553">
        <f>-'Foglio deposito bis'!$F$68*(C1387-sezione!$AL$32)*IF(ABS(K1387)&lt;'Progetto del paramento slu'!$G$58,ABS(K1387)*'Progetto del paramento slu'!$G$54,'Progetto del paramento slu'!$G$53)</f>
        <v>0</v>
      </c>
      <c r="F1387" s="553">
        <f>-'Foglio deposito bis'!$F$69*(C1387-sezione!$AM$32)*IF(ABS(L1387)&lt;'Progetto del paramento slu'!$G$58,ABS(L1387)*'Progetto del paramento slu'!$G$54,'Progetto del paramento slu'!$G$53)</f>
        <v>14877699.517491737</v>
      </c>
      <c r="G1387" s="553">
        <f>-'Foglio deposito bis'!$F$70*(C1387-sezione!$AN$32)*IF(ABS(M1387)&lt;'Progetto del paramento slu'!$G$58,ABS(M1387)*'Progetto del paramento slu'!$G$54,'Progetto del paramento slu'!$G$53)</f>
        <v>0</v>
      </c>
      <c r="H1387" s="553">
        <f>-'Foglio deposito bis'!$F$71*(C1387-sezione!$AO$32)*IF(ABS(N1387)&lt;'Progetto del paramento slu'!$G$58,ABS(N1387)*'Progetto del paramento slu'!$G$54,'Progetto del paramento slu'!$G$53)</f>
        <v>90263598.178582564</v>
      </c>
      <c r="I1387" s="479">
        <f>-'Foglio deposito bis'!$F$72*(C1387-sezione!$AP$32)*IF(ABS(O1387)&lt;'Progetto del paramento slu'!$G$58,ABS(O1387)*'Progetto del paramento slu'!$G$54,'Progetto del paramento slu'!$G$53)</f>
        <v>101701127.12942232</v>
      </c>
      <c r="J1387" s="479">
        <f t="shared" si="103"/>
        <v>183560651.88342384</v>
      </c>
      <c r="K1387" s="558">
        <f>'Progetto del paramento slu'!$G$60*(sezione!$AL$32-C1387)/C1387</f>
        <v>-8.6747390088027327E-4</v>
      </c>
      <c r="L1387" s="558">
        <f>'Progetto del paramento slu'!$G$60*(sezione!$AM$32-C1387)/C1387</f>
        <v>6.3719728716989752E-3</v>
      </c>
      <c r="M1387" s="559">
        <f>'Progetto del paramento slu'!$G$60*(sezione!$AN$32-C1387)/C1387</f>
        <v>1.3611419644278222E-2</v>
      </c>
      <c r="N1387" s="559">
        <f>'Progetto del paramento slu'!$G$60*(sezione!$AO$32-C1387)/C1387</f>
        <v>1.8876471842517679E-2</v>
      </c>
      <c r="O1387" s="559">
        <f>'Progetto del paramento slu'!$G$60*(sezione!$AP$32-C1387)/C1387</f>
        <v>1.3611748710040606E-2</v>
      </c>
      <c r="P1387" s="553">
        <f>-'Progetto del paramento slu'!$G$47*'Progetto del paramento slu'!$G$41*IF(DATI!$G$218="dx",DATI!$E$61,DATI!$E$64*DATI!$E$63)*1000*C1387*sezione!$AD$5</f>
        <v>-749631.54236528953</v>
      </c>
      <c r="Q1387" s="553">
        <f>'Foglio deposito bis'!$F$68*IF(ABS(K1387)&lt;'Progetto del paramento slu'!$G$58,ABS(K1387)*'Progetto del paramento slu'!$G$54,'Progetto del paramento slu'!$G$53)*IF(K1387&lt;0,-1,1)</f>
        <v>0</v>
      </c>
      <c r="R1387" s="553">
        <f>'Foglio deposito bis'!$F$69*IF(ABS(L1387)&lt;'Progetto del paramento slu'!$G$58,ABS(L1387)*'Progetto del paramento slu'!$G$54,'Progetto del paramento slu'!$G$53)*IF(L1387&lt;0,-1,1)</f>
        <v>153664.85805602249</v>
      </c>
      <c r="S1387" s="553">
        <f>'Foglio deposito bis'!$F$70*IF(ABS(M1387)&lt;'Progetto del paramento slu'!$G$58,ABS(M1387)*'Progetto del paramento slu'!$G$54,'Progetto del paramento slu'!$G$53)*IF(M1387&lt;0,-1,1)</f>
        <v>0</v>
      </c>
      <c r="T1387" s="553">
        <f>'Foglio deposito bis'!$F$71*IF(ABS(N1387)&lt;'Progetto del paramento slu'!$G$58,ABS(N1387)*'Progetto del paramento slu'!$G$54,'Progetto del paramento slu'!$G$53)*IF(N1387&lt;0,-1,1)</f>
        <v>314705.62929873407</v>
      </c>
      <c r="U1387" s="553">
        <f>'Foglio deposito bis'!$F$72*IF(ABS(O1387)&lt;'Progetto del paramento slu'!$G$58,ABS(O1387)*'Progetto del paramento slu'!$G$54,'Progetto del paramento slu'!$G$53)*IF(O1387&lt;0,-1,1)</f>
        <v>491727.54577927204</v>
      </c>
      <c r="V1387" s="479">
        <f t="shared" si="105"/>
        <v>210466.49076873914</v>
      </c>
      <c r="W1387" s="559"/>
      <c r="X1387" s="559"/>
    </row>
    <row r="1388" spans="1:24" x14ac:dyDescent="0.25">
      <c r="A1388" s="553">
        <f t="shared" si="104"/>
        <v>199021.73439674976</v>
      </c>
      <c r="B1388" s="3">
        <f t="shared" si="102"/>
        <v>13.299999999999974</v>
      </c>
      <c r="C1388" s="553">
        <f>'Foglio deposito bis'!$E$158/sezione!$B$247*B1388</f>
        <v>53.992780784844292</v>
      </c>
      <c r="D1388" s="611">
        <f>-'Progetto del paramento slu'!$G$47*'Progetto del paramento slu'!$G$41*IF(DATI!$G$218="dx",DATI!$E$61,DATI!$E$64*DATI!$E$63)*1000*C1388^2*sezione!$AD$5*(1-sezione!$AD$6)</f>
        <v>-23998093.44282534</v>
      </c>
      <c r="E1388" s="553">
        <f>-'Foglio deposito bis'!$F$68*(C1388-sezione!$AL$32)*IF(ABS(K1388)&lt;'Progetto del paramento slu'!$G$58,ABS(K1388)*'Progetto del paramento slu'!$G$54,'Progetto del paramento slu'!$G$53)</f>
        <v>0</v>
      </c>
      <c r="F1388" s="553">
        <f>-'Foglio deposito bis'!$F$69*(C1388-sezione!$AM$32)*IF(ABS(L1388)&lt;'Progetto del paramento slu'!$G$58,ABS(L1388)*'Progetto del paramento slu'!$G$54,'Progetto del paramento slu'!$G$53)</f>
        <v>14752935.713050338</v>
      </c>
      <c r="G1388" s="553">
        <f>-'Foglio deposito bis'!$F$70*(C1388-sezione!$AN$32)*IF(ABS(M1388)&lt;'Progetto del paramento slu'!$G$58,ABS(M1388)*'Progetto del paramento slu'!$G$54,'Progetto del paramento slu'!$G$53)</f>
        <v>0</v>
      </c>
      <c r="H1388" s="553">
        <f>-'Foglio deposito bis'!$F$71*(C1388-sezione!$AO$32)*IF(ABS(N1388)&lt;'Progetto del paramento slu'!$G$58,ABS(N1388)*'Progetto del paramento slu'!$G$54,'Progetto del paramento slu'!$G$53)</f>
        <v>90008081.907086566</v>
      </c>
      <c r="I1388" s="479">
        <f>-'Foglio deposito bis'!$F$72*(C1388-sezione!$AP$32)*IF(ABS(O1388)&lt;'Progetto del paramento slu'!$G$58,ABS(O1388)*'Progetto del paramento slu'!$G$54,'Progetto del paramento slu'!$G$53)</f>
        <v>101301882.95520985</v>
      </c>
      <c r="J1388" s="479">
        <f t="shared" si="103"/>
        <v>182064807.13252142</v>
      </c>
      <c r="K1388" s="558">
        <f>'Progetto del paramento slu'!$G$60*(sezione!$AL$32-C1388)/C1388</f>
        <v>-9.0706075951365282E-4</v>
      </c>
      <c r="L1388" s="558">
        <f>'Progetto del paramento slu'!$G$60*(sezione!$AM$32-C1388)/C1388</f>
        <v>6.2235221518238022E-3</v>
      </c>
      <c r="M1388" s="559">
        <f>'Progetto del paramento slu'!$G$60*(sezione!$AN$32-C1388)/C1388</f>
        <v>1.3354105063161259E-2</v>
      </c>
      <c r="N1388" s="559">
        <f>'Progetto del paramento slu'!$G$60*(sezione!$AO$32-C1388)/C1388</f>
        <v>1.8539983544133953E-2</v>
      </c>
      <c r="O1388" s="559">
        <f>'Progetto del paramento slu'!$G$60*(sezione!$AP$32-C1388)/C1388</f>
        <v>1.3354429180566311E-2</v>
      </c>
      <c r="P1388" s="553">
        <f>-'Progetto del paramento slu'!$G$47*'Progetto del paramento slu'!$G$41*IF(DATI!$G$218="dx",DATI!$E$61,DATI!$E$64*DATI!$E$63)*1000*C1388*sezione!$AD$5</f>
        <v>-761076.29873727879</v>
      </c>
      <c r="Q1388" s="553">
        <f>'Foglio deposito bis'!$F$68*IF(ABS(K1388)&lt;'Progetto del paramento slu'!$G$58,ABS(K1388)*'Progetto del paramento slu'!$G$54,'Progetto del paramento slu'!$G$53)*IF(K1388&lt;0,-1,1)</f>
        <v>0</v>
      </c>
      <c r="R1388" s="553">
        <f>'Foglio deposito bis'!$F$69*IF(ABS(L1388)&lt;'Progetto del paramento slu'!$G$58,ABS(L1388)*'Progetto del paramento slu'!$G$54,'Progetto del paramento slu'!$G$53)*IF(L1388&lt;0,-1,1)</f>
        <v>153664.85805602249</v>
      </c>
      <c r="S1388" s="553">
        <f>'Foglio deposito bis'!$F$70*IF(ABS(M1388)&lt;'Progetto del paramento slu'!$G$58,ABS(M1388)*'Progetto del paramento slu'!$G$54,'Progetto del paramento slu'!$G$53)*IF(M1388&lt;0,-1,1)</f>
        <v>0</v>
      </c>
      <c r="T1388" s="553">
        <f>'Foglio deposito bis'!$F$71*IF(ABS(N1388)&lt;'Progetto del paramento slu'!$G$58,ABS(N1388)*'Progetto del paramento slu'!$G$54,'Progetto del paramento slu'!$G$53)*IF(N1388&lt;0,-1,1)</f>
        <v>314705.62929873407</v>
      </c>
      <c r="U1388" s="553">
        <f>'Foglio deposito bis'!$F$72*IF(ABS(O1388)&lt;'Progetto del paramento slu'!$G$58,ABS(O1388)*'Progetto del paramento slu'!$G$54,'Progetto del paramento slu'!$G$53)*IF(O1388&lt;0,-1,1)</f>
        <v>491727.54577927204</v>
      </c>
      <c r="V1388" s="479">
        <f t="shared" si="105"/>
        <v>199021.73439674976</v>
      </c>
      <c r="W1388" s="559"/>
      <c r="X1388" s="559"/>
    </row>
    <row r="1389" spans="1:24" x14ac:dyDescent="0.25">
      <c r="A1389" s="553">
        <f t="shared" si="104"/>
        <v>187576.97802476061</v>
      </c>
      <c r="B1389" s="3">
        <f t="shared" si="102"/>
        <v>13.499999999999973</v>
      </c>
      <c r="C1389" s="553">
        <f>'Foglio deposito bis'!$E$158/sezione!$B$247*B1389</f>
        <v>54.804702300405857</v>
      </c>
      <c r="D1389" s="611">
        <f>-'Progetto del paramento slu'!$G$47*'Progetto del paramento slu'!$G$41*IF(DATI!$G$218="dx",DATI!$E$61,DATI!$E$64*DATI!$E$63)*1000*C1389^2*sezione!$AD$5*(1-sezione!$AD$6)</f>
        <v>-24725267.284498375</v>
      </c>
      <c r="E1389" s="553">
        <f>-'Foglio deposito bis'!$F$68*(C1389-sezione!$AL$32)*IF(ABS(K1389)&lt;'Progetto del paramento slu'!$G$58,ABS(K1389)*'Progetto del paramento slu'!$G$54,'Progetto del paramento slu'!$G$53)</f>
        <v>0</v>
      </c>
      <c r="F1389" s="553">
        <f>-'Foglio deposito bis'!$F$69*(C1389-sezione!$AM$32)*IF(ABS(L1389)&lt;'Progetto del paramento slu'!$G$58,ABS(L1389)*'Progetto del paramento slu'!$G$54,'Progetto del paramento slu'!$G$53)</f>
        <v>14628171.908608938</v>
      </c>
      <c r="G1389" s="553">
        <f>-'Foglio deposito bis'!$F$70*(C1389-sezione!$AN$32)*IF(ABS(M1389)&lt;'Progetto del paramento slu'!$G$58,ABS(M1389)*'Progetto del paramento slu'!$G$54,'Progetto del paramento slu'!$G$53)</f>
        <v>0</v>
      </c>
      <c r="H1389" s="553">
        <f>-'Foglio deposito bis'!$F$71*(C1389-sezione!$AO$32)*IF(ABS(N1389)&lt;'Progetto del paramento slu'!$G$58,ABS(N1389)*'Progetto del paramento slu'!$G$54,'Progetto del paramento slu'!$G$53)</f>
        <v>89752565.635590598</v>
      </c>
      <c r="I1389" s="479">
        <f>-'Foglio deposito bis'!$F$72*(C1389-sezione!$AP$32)*IF(ABS(O1389)&lt;'Progetto del paramento slu'!$G$58,ABS(O1389)*'Progetto del paramento slu'!$G$54,'Progetto del paramento slu'!$G$53)</f>
        <v>100902638.78099737</v>
      </c>
      <c r="J1389" s="479">
        <f t="shared" si="103"/>
        <v>180558109.04069853</v>
      </c>
      <c r="K1389" s="558">
        <f>'Progetto del paramento slu'!$G$60*(sezione!$AL$32-C1389)/C1389</f>
        <v>-9.4547467418752446E-4</v>
      </c>
      <c r="L1389" s="558">
        <f>'Progetto del paramento slu'!$G$60*(sezione!$AM$32-C1389)/C1389</f>
        <v>6.0794699717967825E-3</v>
      </c>
      <c r="M1389" s="559">
        <f>'Progetto del paramento slu'!$G$60*(sezione!$AN$32-C1389)/C1389</f>
        <v>1.310441461778109E-2</v>
      </c>
      <c r="N1389" s="559">
        <f>'Progetto del paramento slu'!$G$60*(sezione!$AO$32-C1389)/C1389</f>
        <v>1.8213465269406044E-2</v>
      </c>
      <c r="O1389" s="559">
        <f>'Progetto del paramento slu'!$G$60*(sezione!$AP$32-C1389)/C1389</f>
        <v>1.310473393344681E-2</v>
      </c>
      <c r="P1389" s="553">
        <f>-'Progetto del paramento slu'!$G$47*'Progetto del paramento slu'!$G$41*IF(DATI!$G$218="dx",DATI!$E$61,DATI!$E$64*DATI!$E$63)*1000*C1389*sezione!$AD$5</f>
        <v>-772521.05510926794</v>
      </c>
      <c r="Q1389" s="553">
        <f>'Foglio deposito bis'!$F$68*IF(ABS(K1389)&lt;'Progetto del paramento slu'!$G$58,ABS(K1389)*'Progetto del paramento slu'!$G$54,'Progetto del paramento slu'!$G$53)*IF(K1389&lt;0,-1,1)</f>
        <v>0</v>
      </c>
      <c r="R1389" s="553">
        <f>'Foglio deposito bis'!$F$69*IF(ABS(L1389)&lt;'Progetto del paramento slu'!$G$58,ABS(L1389)*'Progetto del paramento slu'!$G$54,'Progetto del paramento slu'!$G$53)*IF(L1389&lt;0,-1,1)</f>
        <v>153664.85805602249</v>
      </c>
      <c r="S1389" s="553">
        <f>'Foglio deposito bis'!$F$70*IF(ABS(M1389)&lt;'Progetto del paramento slu'!$G$58,ABS(M1389)*'Progetto del paramento slu'!$G$54,'Progetto del paramento slu'!$G$53)*IF(M1389&lt;0,-1,1)</f>
        <v>0</v>
      </c>
      <c r="T1389" s="553">
        <f>'Foglio deposito bis'!$F$71*IF(ABS(N1389)&lt;'Progetto del paramento slu'!$G$58,ABS(N1389)*'Progetto del paramento slu'!$G$54,'Progetto del paramento slu'!$G$53)*IF(N1389&lt;0,-1,1)</f>
        <v>314705.62929873407</v>
      </c>
      <c r="U1389" s="553">
        <f>'Foglio deposito bis'!$F$72*IF(ABS(O1389)&lt;'Progetto del paramento slu'!$G$58,ABS(O1389)*'Progetto del paramento slu'!$G$54,'Progetto del paramento slu'!$G$53)*IF(O1389&lt;0,-1,1)</f>
        <v>491727.54577927204</v>
      </c>
      <c r="V1389" s="479">
        <f t="shared" si="105"/>
        <v>187576.97802476061</v>
      </c>
      <c r="W1389" s="559"/>
      <c r="X1389" s="559"/>
    </row>
    <row r="1390" spans="1:24" x14ac:dyDescent="0.25">
      <c r="A1390" s="553">
        <f t="shared" si="104"/>
        <v>176132.22165277146</v>
      </c>
      <c r="B1390" s="3">
        <f t="shared" si="102"/>
        <v>13.699999999999973</v>
      </c>
      <c r="C1390" s="553">
        <f>'Foglio deposito bis'!$E$158/sezione!$B$247*B1390</f>
        <v>55.616623815967422</v>
      </c>
      <c r="D1390" s="611">
        <f>-'Progetto del paramento slu'!$G$47*'Progetto del paramento slu'!$G$41*IF(DATI!$G$218="dx",DATI!$E$61,DATI!$E$64*DATI!$E$63)*1000*C1390^2*sezione!$AD$5*(1-sezione!$AD$6)</f>
        <v>-25463294.467091903</v>
      </c>
      <c r="E1390" s="553">
        <f>-'Foglio deposito bis'!$F$68*(C1390-sezione!$AL$32)*IF(ABS(K1390)&lt;'Progetto del paramento slu'!$G$58,ABS(K1390)*'Progetto del paramento slu'!$G$54,'Progetto del paramento slu'!$G$53)</f>
        <v>0</v>
      </c>
      <c r="F1390" s="553">
        <f>-'Foglio deposito bis'!$F$69*(C1390-sezione!$AM$32)*IF(ABS(L1390)&lt;'Progetto del paramento slu'!$G$58,ABS(L1390)*'Progetto del paramento slu'!$G$54,'Progetto del paramento slu'!$G$53)</f>
        <v>14503408.10416754</v>
      </c>
      <c r="G1390" s="553">
        <f>-'Foglio deposito bis'!$F$70*(C1390-sezione!$AN$32)*IF(ABS(M1390)&lt;'Progetto del paramento slu'!$G$58,ABS(M1390)*'Progetto del paramento slu'!$G$54,'Progetto del paramento slu'!$G$53)</f>
        <v>0</v>
      </c>
      <c r="H1390" s="553">
        <f>-'Foglio deposito bis'!$F$71*(C1390-sezione!$AO$32)*IF(ABS(N1390)&lt;'Progetto del paramento slu'!$G$58,ABS(N1390)*'Progetto del paramento slu'!$G$54,'Progetto del paramento slu'!$G$53)</f>
        <v>89497049.3640946</v>
      </c>
      <c r="I1390" s="479">
        <f>-'Foglio deposito bis'!$F$72*(C1390-sezione!$AP$32)*IF(ABS(O1390)&lt;'Progetto del paramento slu'!$G$58,ABS(O1390)*'Progetto del paramento slu'!$G$54,'Progetto del paramento slu'!$G$53)</f>
        <v>100503394.6067849</v>
      </c>
      <c r="J1390" s="479">
        <f t="shared" si="103"/>
        <v>179040557.60795513</v>
      </c>
      <c r="K1390" s="558">
        <f>'Progetto del paramento slu'!$G$60*(sezione!$AL$32-C1390)/C1390</f>
        <v>-9.8276701471033414E-4</v>
      </c>
      <c r="L1390" s="558">
        <f>'Progetto del paramento slu'!$G$60*(sezione!$AM$32-C1390)/C1390</f>
        <v>5.9396236948362473E-3</v>
      </c>
      <c r="M1390" s="559">
        <f>'Progetto del paramento slu'!$G$60*(sezione!$AN$32-C1390)/C1390</f>
        <v>1.2862014404382829E-2</v>
      </c>
      <c r="N1390" s="559">
        <f>'Progetto del paramento slu'!$G$60*(sezione!$AO$32-C1390)/C1390</f>
        <v>1.7896480374962158E-2</v>
      </c>
      <c r="O1390" s="559">
        <f>'Progetto del paramento slu'!$G$60*(sezione!$AP$32-C1390)/C1390</f>
        <v>1.2862329058505984E-2</v>
      </c>
      <c r="P1390" s="553">
        <f>-'Progetto del paramento slu'!$G$47*'Progetto del paramento slu'!$G$41*IF(DATI!$G$218="dx",DATI!$E$61,DATI!$E$64*DATI!$E$63)*1000*C1390*sezione!$AD$5</f>
        <v>-783965.81148125709</v>
      </c>
      <c r="Q1390" s="553">
        <f>'Foglio deposito bis'!$F$68*IF(ABS(K1390)&lt;'Progetto del paramento slu'!$G$58,ABS(K1390)*'Progetto del paramento slu'!$G$54,'Progetto del paramento slu'!$G$53)*IF(K1390&lt;0,-1,1)</f>
        <v>0</v>
      </c>
      <c r="R1390" s="553">
        <f>'Foglio deposito bis'!$F$69*IF(ABS(L1390)&lt;'Progetto del paramento slu'!$G$58,ABS(L1390)*'Progetto del paramento slu'!$G$54,'Progetto del paramento slu'!$G$53)*IF(L1390&lt;0,-1,1)</f>
        <v>153664.85805602249</v>
      </c>
      <c r="S1390" s="553">
        <f>'Foglio deposito bis'!$F$70*IF(ABS(M1390)&lt;'Progetto del paramento slu'!$G$58,ABS(M1390)*'Progetto del paramento slu'!$G$54,'Progetto del paramento slu'!$G$53)*IF(M1390&lt;0,-1,1)</f>
        <v>0</v>
      </c>
      <c r="T1390" s="553">
        <f>'Foglio deposito bis'!$F$71*IF(ABS(N1390)&lt;'Progetto del paramento slu'!$G$58,ABS(N1390)*'Progetto del paramento slu'!$G$54,'Progetto del paramento slu'!$G$53)*IF(N1390&lt;0,-1,1)</f>
        <v>314705.62929873407</v>
      </c>
      <c r="U1390" s="553">
        <f>'Foglio deposito bis'!$F$72*IF(ABS(O1390)&lt;'Progetto del paramento slu'!$G$58,ABS(O1390)*'Progetto del paramento slu'!$G$54,'Progetto del paramento slu'!$G$53)*IF(O1390&lt;0,-1,1)</f>
        <v>491727.54577927204</v>
      </c>
      <c r="V1390" s="479">
        <f t="shared" si="105"/>
        <v>176132.22165277146</v>
      </c>
      <c r="W1390" s="559"/>
      <c r="X1390" s="559"/>
    </row>
    <row r="1391" spans="1:24" x14ac:dyDescent="0.25">
      <c r="A1391" s="553">
        <f t="shared" si="104"/>
        <v>164687.46528078231</v>
      </c>
      <c r="B1391" s="3">
        <f t="shared" si="102"/>
        <v>13.899999999999972</v>
      </c>
      <c r="C1391" s="553">
        <f>'Foglio deposito bis'!$E$158/sezione!$B$247*B1391</f>
        <v>56.428545331528994</v>
      </c>
      <c r="D1391" s="611">
        <f>-'Progetto del paramento slu'!$G$47*'Progetto del paramento slu'!$G$41*IF(DATI!$G$218="dx",DATI!$E$61,DATI!$E$64*DATI!$E$63)*1000*C1391^2*sezione!$AD$5*(1-sezione!$AD$6)</f>
        <v>-26212174.990605932</v>
      </c>
      <c r="E1391" s="553">
        <f>-'Foglio deposito bis'!$F$68*(C1391-sezione!$AL$32)*IF(ABS(K1391)&lt;'Progetto del paramento slu'!$G$58,ABS(K1391)*'Progetto del paramento slu'!$G$54,'Progetto del paramento slu'!$G$53)</f>
        <v>0</v>
      </c>
      <c r="F1391" s="553">
        <f>-'Foglio deposito bis'!$F$69*(C1391-sezione!$AM$32)*IF(ABS(L1391)&lt;'Progetto del paramento slu'!$G$58,ABS(L1391)*'Progetto del paramento slu'!$G$54,'Progetto del paramento slu'!$G$53)</f>
        <v>14378644.29972614</v>
      </c>
      <c r="G1391" s="553">
        <f>-'Foglio deposito bis'!$F$70*(C1391-sezione!$AN$32)*IF(ABS(M1391)&lt;'Progetto del paramento slu'!$G$58,ABS(M1391)*'Progetto del paramento slu'!$G$54,'Progetto del paramento slu'!$G$53)</f>
        <v>0</v>
      </c>
      <c r="H1391" s="553">
        <f>-'Foglio deposito bis'!$F$71*(C1391-sezione!$AO$32)*IF(ABS(N1391)&lt;'Progetto del paramento slu'!$G$58,ABS(N1391)*'Progetto del paramento slu'!$G$54,'Progetto del paramento slu'!$G$53)</f>
        <v>89241533.092598617</v>
      </c>
      <c r="I1391" s="479">
        <f>-'Foglio deposito bis'!$F$72*(C1391-sezione!$AP$32)*IF(ABS(O1391)&lt;'Progetto del paramento slu'!$G$58,ABS(O1391)*'Progetto del paramento slu'!$G$54,'Progetto del paramento slu'!$G$53)</f>
        <v>100104150.43257242</v>
      </c>
      <c r="J1391" s="479">
        <f t="shared" si="103"/>
        <v>177512152.83429125</v>
      </c>
      <c r="K1391" s="558">
        <f>'Progetto del paramento slu'!$G$60*(sezione!$AL$32-C1391)/C1391</f>
        <v>-1.01898619435479E-3</v>
      </c>
      <c r="L1391" s="558">
        <f>'Progetto del paramento slu'!$G$60*(sezione!$AM$32-C1391)/C1391</f>
        <v>5.8038017711695379E-3</v>
      </c>
      <c r="M1391" s="559">
        <f>'Progetto del paramento slu'!$G$60*(sezione!$AN$32-C1391)/C1391</f>
        <v>1.2626589736693866E-2</v>
      </c>
      <c r="N1391" s="559">
        <f>'Progetto del paramento slu'!$G$60*(sezione!$AO$32-C1391)/C1391</f>
        <v>1.7588617347984285E-2</v>
      </c>
      <c r="O1391" s="559">
        <f>'Progetto del paramento slu'!$G$60*(sezione!$AP$32-C1391)/C1391</f>
        <v>1.2626899863419564E-2</v>
      </c>
      <c r="P1391" s="553">
        <f>-'Progetto del paramento slu'!$G$47*'Progetto del paramento slu'!$G$41*IF(DATI!$G$218="dx",DATI!$E$61,DATI!$E$64*DATI!$E$63)*1000*C1391*sezione!$AD$5</f>
        <v>-795410.56785324623</v>
      </c>
      <c r="Q1391" s="553">
        <f>'Foglio deposito bis'!$F$68*IF(ABS(K1391)&lt;'Progetto del paramento slu'!$G$58,ABS(K1391)*'Progetto del paramento slu'!$G$54,'Progetto del paramento slu'!$G$53)*IF(K1391&lt;0,-1,1)</f>
        <v>0</v>
      </c>
      <c r="R1391" s="553">
        <f>'Foglio deposito bis'!$F$69*IF(ABS(L1391)&lt;'Progetto del paramento slu'!$G$58,ABS(L1391)*'Progetto del paramento slu'!$G$54,'Progetto del paramento slu'!$G$53)*IF(L1391&lt;0,-1,1)</f>
        <v>153664.85805602249</v>
      </c>
      <c r="S1391" s="553">
        <f>'Foglio deposito bis'!$F$70*IF(ABS(M1391)&lt;'Progetto del paramento slu'!$G$58,ABS(M1391)*'Progetto del paramento slu'!$G$54,'Progetto del paramento slu'!$G$53)*IF(M1391&lt;0,-1,1)</f>
        <v>0</v>
      </c>
      <c r="T1391" s="553">
        <f>'Foglio deposito bis'!$F$71*IF(ABS(N1391)&lt;'Progetto del paramento slu'!$G$58,ABS(N1391)*'Progetto del paramento slu'!$G$54,'Progetto del paramento slu'!$G$53)*IF(N1391&lt;0,-1,1)</f>
        <v>314705.62929873407</v>
      </c>
      <c r="U1391" s="553">
        <f>'Foglio deposito bis'!$F$72*IF(ABS(O1391)&lt;'Progetto del paramento slu'!$G$58,ABS(O1391)*'Progetto del paramento slu'!$G$54,'Progetto del paramento slu'!$G$53)*IF(O1391&lt;0,-1,1)</f>
        <v>491727.54577927204</v>
      </c>
      <c r="V1391" s="479">
        <f t="shared" si="105"/>
        <v>164687.46528078231</v>
      </c>
      <c r="W1391" s="559"/>
      <c r="X1391" s="559"/>
    </row>
    <row r="1392" spans="1:24" x14ac:dyDescent="0.25">
      <c r="A1392" s="553">
        <f t="shared" si="104"/>
        <v>153242.70890879317</v>
      </c>
      <c r="B1392" s="3">
        <f t="shared" si="102"/>
        <v>14.099999999999971</v>
      </c>
      <c r="C1392" s="553">
        <f>'Foglio deposito bis'!$E$158/sezione!$B$247*B1392</f>
        <v>57.240466847090559</v>
      </c>
      <c r="D1392" s="611">
        <f>-'Progetto del paramento slu'!$G$47*'Progetto del paramento slu'!$G$41*IF(DATI!$G$218="dx",DATI!$E$61,DATI!$E$64*DATI!$E$63)*1000*C1392^2*sezione!$AD$5*(1-sezione!$AD$6)</f>
        <v>-26971908.85504045</v>
      </c>
      <c r="E1392" s="553">
        <f>-'Foglio deposito bis'!$F$68*(C1392-sezione!$AL$32)*IF(ABS(K1392)&lt;'Progetto del paramento slu'!$G$58,ABS(K1392)*'Progetto del paramento slu'!$G$54,'Progetto del paramento slu'!$G$53)</f>
        <v>0</v>
      </c>
      <c r="F1392" s="553">
        <f>-'Foglio deposito bis'!$F$69*(C1392-sezione!$AM$32)*IF(ABS(L1392)&lt;'Progetto del paramento slu'!$G$58,ABS(L1392)*'Progetto del paramento slu'!$G$54,'Progetto del paramento slu'!$G$53)</f>
        <v>14253880.495284744</v>
      </c>
      <c r="G1392" s="553">
        <f>-'Foglio deposito bis'!$F$70*(C1392-sezione!$AN$32)*IF(ABS(M1392)&lt;'Progetto del paramento slu'!$G$58,ABS(M1392)*'Progetto del paramento slu'!$G$54,'Progetto del paramento slu'!$G$53)</f>
        <v>0</v>
      </c>
      <c r="H1392" s="553">
        <f>-'Foglio deposito bis'!$F$71*(C1392-sezione!$AO$32)*IF(ABS(N1392)&lt;'Progetto del paramento slu'!$G$58,ABS(N1392)*'Progetto del paramento slu'!$G$54,'Progetto del paramento slu'!$G$53)</f>
        <v>88986016.821102634</v>
      </c>
      <c r="I1392" s="479">
        <f>-'Foglio deposito bis'!$F$72*(C1392-sezione!$AP$32)*IF(ABS(O1392)&lt;'Progetto del paramento slu'!$G$58,ABS(O1392)*'Progetto del paramento slu'!$G$54,'Progetto del paramento slu'!$G$53)</f>
        <v>99704906.258359954</v>
      </c>
      <c r="J1392" s="479">
        <f t="shared" si="103"/>
        <v>175972894.71970689</v>
      </c>
      <c r="K1392" s="558">
        <f>'Progetto del paramento slu'!$G$60*(sezione!$AL$32-C1392)/C1392</f>
        <v>-1.0541778795412468E-3</v>
      </c>
      <c r="L1392" s="558">
        <f>'Progetto del paramento slu'!$G$60*(sezione!$AM$32-C1392)/C1392</f>
        <v>5.6718329517203249E-3</v>
      </c>
      <c r="M1392" s="559">
        <f>'Progetto del paramento slu'!$G$60*(sezione!$AN$32-C1392)/C1392</f>
        <v>1.2397843782981897E-2</v>
      </c>
      <c r="N1392" s="559">
        <f>'Progetto del paramento slu'!$G$60*(sezione!$AO$32-C1392)/C1392</f>
        <v>1.7289488023899405E-2</v>
      </c>
      <c r="O1392" s="559">
        <f>'Progetto del paramento slu'!$G$60*(sezione!$AP$32-C1392)/C1392</f>
        <v>1.2398149510746949E-2</v>
      </c>
      <c r="P1392" s="553">
        <f>-'Progetto del paramento slu'!$G$47*'Progetto del paramento slu'!$G$41*IF(DATI!$G$218="dx",DATI!$E$61,DATI!$E$64*DATI!$E$63)*1000*C1392*sezione!$AD$5</f>
        <v>-806855.32422523538</v>
      </c>
      <c r="Q1392" s="553">
        <f>'Foglio deposito bis'!$F$68*IF(ABS(K1392)&lt;'Progetto del paramento slu'!$G$58,ABS(K1392)*'Progetto del paramento slu'!$G$54,'Progetto del paramento slu'!$G$53)*IF(K1392&lt;0,-1,1)</f>
        <v>0</v>
      </c>
      <c r="R1392" s="553">
        <f>'Foglio deposito bis'!$F$69*IF(ABS(L1392)&lt;'Progetto del paramento slu'!$G$58,ABS(L1392)*'Progetto del paramento slu'!$G$54,'Progetto del paramento slu'!$G$53)*IF(L1392&lt;0,-1,1)</f>
        <v>153664.85805602249</v>
      </c>
      <c r="S1392" s="553">
        <f>'Foglio deposito bis'!$F$70*IF(ABS(M1392)&lt;'Progetto del paramento slu'!$G$58,ABS(M1392)*'Progetto del paramento slu'!$G$54,'Progetto del paramento slu'!$G$53)*IF(M1392&lt;0,-1,1)</f>
        <v>0</v>
      </c>
      <c r="T1392" s="553">
        <f>'Foglio deposito bis'!$F$71*IF(ABS(N1392)&lt;'Progetto del paramento slu'!$G$58,ABS(N1392)*'Progetto del paramento slu'!$G$54,'Progetto del paramento slu'!$G$53)*IF(N1392&lt;0,-1,1)</f>
        <v>314705.62929873407</v>
      </c>
      <c r="U1392" s="553">
        <f>'Foglio deposito bis'!$F$72*IF(ABS(O1392)&lt;'Progetto del paramento slu'!$G$58,ABS(O1392)*'Progetto del paramento slu'!$G$54,'Progetto del paramento slu'!$G$53)*IF(O1392&lt;0,-1,1)</f>
        <v>491727.54577927204</v>
      </c>
      <c r="V1392" s="479">
        <f t="shared" si="105"/>
        <v>153242.70890879317</v>
      </c>
      <c r="W1392" s="559"/>
      <c r="X1392" s="559"/>
    </row>
    <row r="1393" spans="1:24" x14ac:dyDescent="0.25">
      <c r="A1393" s="553">
        <f t="shared" si="104"/>
        <v>141797.95253680425</v>
      </c>
      <c r="B1393" s="3">
        <f t="shared" si="102"/>
        <v>14.299999999999971</v>
      </c>
      <c r="C1393" s="553">
        <f>'Foglio deposito bis'!$E$158/sezione!$B$247*B1393</f>
        <v>58.052388362652124</v>
      </c>
      <c r="D1393" s="611">
        <f>-'Progetto del paramento slu'!$G$47*'Progetto del paramento slu'!$G$41*IF(DATI!$G$218="dx",DATI!$E$61,DATI!$E$64*DATI!$E$63)*1000*C1393^2*sezione!$AD$5*(1-sezione!$AD$6)</f>
        <v>-27742496.060395453</v>
      </c>
      <c r="E1393" s="553">
        <f>-'Foglio deposito bis'!$F$68*(C1393-sezione!$AL$32)*IF(ABS(K1393)&lt;'Progetto del paramento slu'!$G$58,ABS(K1393)*'Progetto del paramento slu'!$G$54,'Progetto del paramento slu'!$G$53)</f>
        <v>0</v>
      </c>
      <c r="F1393" s="553">
        <f>-'Foglio deposito bis'!$F$69*(C1393-sezione!$AM$32)*IF(ABS(L1393)&lt;'Progetto del paramento slu'!$G$58,ABS(L1393)*'Progetto del paramento slu'!$G$54,'Progetto del paramento slu'!$G$53)</f>
        <v>14129116.690843342</v>
      </c>
      <c r="G1393" s="553">
        <f>-'Foglio deposito bis'!$F$70*(C1393-sezione!$AN$32)*IF(ABS(M1393)&lt;'Progetto del paramento slu'!$G$58,ABS(M1393)*'Progetto del paramento slu'!$G$54,'Progetto del paramento slu'!$G$53)</f>
        <v>0</v>
      </c>
      <c r="H1393" s="553">
        <f>-'Foglio deposito bis'!$F$71*(C1393-sezione!$AO$32)*IF(ABS(N1393)&lt;'Progetto del paramento slu'!$G$58,ABS(N1393)*'Progetto del paramento slu'!$G$54,'Progetto del paramento slu'!$G$53)</f>
        <v>88730500.549606666</v>
      </c>
      <c r="I1393" s="479">
        <f>-'Foglio deposito bis'!$F$72*(C1393-sezione!$AP$32)*IF(ABS(O1393)&lt;'Progetto del paramento slu'!$G$58,ABS(O1393)*'Progetto del paramento slu'!$G$54,'Progetto del paramento slu'!$G$53)</f>
        <v>99305662.084147468</v>
      </c>
      <c r="J1393" s="479">
        <f t="shared" si="103"/>
        <v>174422783.26420203</v>
      </c>
      <c r="K1393" s="558">
        <f>'Progetto del paramento slu'!$G$60*(sezione!$AL$32-C1393)/C1393</f>
        <v>-1.088385181925285E-3</v>
      </c>
      <c r="L1393" s="558">
        <f>'Progetto del paramento slu'!$G$60*(sezione!$AM$32-C1393)/C1393</f>
        <v>5.5435555677801809E-3</v>
      </c>
      <c r="M1393" s="559">
        <f>'Progetto del paramento slu'!$G$60*(sezione!$AN$32-C1393)/C1393</f>
        <v>1.2175496317485648E-2</v>
      </c>
      <c r="N1393" s="559">
        <f>'Progetto del paramento slu'!$G$60*(sezione!$AO$32-C1393)/C1393</f>
        <v>1.699872595363508E-2</v>
      </c>
      <c r="O1393" s="559">
        <f>'Progetto del paramento slu'!$G$60*(sezione!$AP$32-C1393)/C1393</f>
        <v>1.2175797769337899E-2</v>
      </c>
      <c r="P1393" s="553">
        <f>-'Progetto del paramento slu'!$G$47*'Progetto del paramento slu'!$G$41*IF(DATI!$G$218="dx",DATI!$E$61,DATI!$E$64*DATI!$E$63)*1000*C1393*sezione!$AD$5</f>
        <v>-818300.08059722441</v>
      </c>
      <c r="Q1393" s="553">
        <f>'Foglio deposito bis'!$F$68*IF(ABS(K1393)&lt;'Progetto del paramento slu'!$G$58,ABS(K1393)*'Progetto del paramento slu'!$G$54,'Progetto del paramento slu'!$G$53)*IF(K1393&lt;0,-1,1)</f>
        <v>0</v>
      </c>
      <c r="R1393" s="553">
        <f>'Foglio deposito bis'!$F$69*IF(ABS(L1393)&lt;'Progetto del paramento slu'!$G$58,ABS(L1393)*'Progetto del paramento slu'!$G$54,'Progetto del paramento slu'!$G$53)*IF(L1393&lt;0,-1,1)</f>
        <v>153664.85805602249</v>
      </c>
      <c r="S1393" s="553">
        <f>'Foglio deposito bis'!$F$70*IF(ABS(M1393)&lt;'Progetto del paramento slu'!$G$58,ABS(M1393)*'Progetto del paramento slu'!$G$54,'Progetto del paramento slu'!$G$53)*IF(M1393&lt;0,-1,1)</f>
        <v>0</v>
      </c>
      <c r="T1393" s="553">
        <f>'Foglio deposito bis'!$F$71*IF(ABS(N1393)&lt;'Progetto del paramento slu'!$G$58,ABS(N1393)*'Progetto del paramento slu'!$G$54,'Progetto del paramento slu'!$G$53)*IF(N1393&lt;0,-1,1)</f>
        <v>314705.62929873407</v>
      </c>
      <c r="U1393" s="553">
        <f>'Foglio deposito bis'!$F$72*IF(ABS(O1393)&lt;'Progetto del paramento slu'!$G$58,ABS(O1393)*'Progetto del paramento slu'!$G$54,'Progetto del paramento slu'!$G$53)*IF(O1393&lt;0,-1,1)</f>
        <v>491727.54577927204</v>
      </c>
      <c r="V1393" s="479">
        <f t="shared" si="105"/>
        <v>141797.95253680425</v>
      </c>
      <c r="W1393" s="559"/>
      <c r="X1393" s="559"/>
    </row>
    <row r="1394" spans="1:24" x14ac:dyDescent="0.25">
      <c r="A1394" s="553">
        <f t="shared" si="104"/>
        <v>130353.1961648151</v>
      </c>
      <c r="B1394" s="3">
        <f t="shared" si="102"/>
        <v>14.49999999999997</v>
      </c>
      <c r="C1394" s="553">
        <f>'Foglio deposito bis'!$E$158/sezione!$B$247*B1394</f>
        <v>58.864309878213689</v>
      </c>
      <c r="D1394" s="611">
        <f>-'Progetto del paramento slu'!$G$47*'Progetto del paramento slu'!$G$41*IF(DATI!$G$218="dx",DATI!$E$61,DATI!$E$64*DATI!$E$63)*1000*C1394^2*sezione!$AD$5*(1-sezione!$AD$6)</f>
        <v>-28523936.606670953</v>
      </c>
      <c r="E1394" s="553">
        <f>-'Foglio deposito bis'!$F$68*(C1394-sezione!$AL$32)*IF(ABS(K1394)&lt;'Progetto del paramento slu'!$G$58,ABS(K1394)*'Progetto del paramento slu'!$G$54,'Progetto del paramento slu'!$G$53)</f>
        <v>0</v>
      </c>
      <c r="F1394" s="553">
        <f>-'Foglio deposito bis'!$F$69*(C1394-sezione!$AM$32)*IF(ABS(L1394)&lt;'Progetto del paramento slu'!$G$58,ABS(L1394)*'Progetto del paramento slu'!$G$54,'Progetto del paramento slu'!$G$53)</f>
        <v>14004352.886401946</v>
      </c>
      <c r="G1394" s="553">
        <f>-'Foglio deposito bis'!$F$70*(C1394-sezione!$AN$32)*IF(ABS(M1394)&lt;'Progetto del paramento slu'!$G$58,ABS(M1394)*'Progetto del paramento slu'!$G$54,'Progetto del paramento slu'!$G$53)</f>
        <v>0</v>
      </c>
      <c r="H1394" s="553">
        <f>-'Foglio deposito bis'!$F$71*(C1394-sezione!$AO$32)*IF(ABS(N1394)&lt;'Progetto del paramento slu'!$G$58,ABS(N1394)*'Progetto del paramento slu'!$G$54,'Progetto del paramento slu'!$G$53)</f>
        <v>88474984.278110668</v>
      </c>
      <c r="I1394" s="479">
        <f>-'Foglio deposito bis'!$F$72*(C1394-sezione!$AP$32)*IF(ABS(O1394)&lt;'Progetto del paramento slu'!$G$58,ABS(O1394)*'Progetto del paramento slu'!$G$54,'Progetto del paramento slu'!$G$53)</f>
        <v>98906417.909934983</v>
      </c>
      <c r="J1394" s="479">
        <f t="shared" si="103"/>
        <v>172861818.46777666</v>
      </c>
      <c r="K1394" s="558">
        <f>'Progetto del paramento slu'!$G$60*(sezione!$AL$32-C1394)/C1394</f>
        <v>-1.1216488345883843E-3</v>
      </c>
      <c r="L1394" s="558">
        <f>'Progetto del paramento slu'!$G$60*(sezione!$AM$32-C1394)/C1394</f>
        <v>5.4188168702935585E-3</v>
      </c>
      <c r="M1394" s="559">
        <f>'Progetto del paramento slu'!$G$60*(sezione!$AN$32-C1394)/C1394</f>
        <v>1.1959282575175499E-2</v>
      </c>
      <c r="N1394" s="559">
        <f>'Progetto del paramento slu'!$G$60*(sezione!$AO$32-C1394)/C1394</f>
        <v>1.6715984905998731E-2</v>
      </c>
      <c r="O1394" s="559">
        <f>'Progetto del paramento slu'!$G$60*(sezione!$AP$32-C1394)/C1394</f>
        <v>1.1959579869071171E-2</v>
      </c>
      <c r="P1394" s="553">
        <f>-'Progetto del paramento slu'!$G$47*'Progetto del paramento slu'!$G$41*IF(DATI!$G$218="dx",DATI!$E$61,DATI!$E$64*DATI!$E$63)*1000*C1394*sezione!$AD$5</f>
        <v>-829744.83696921356</v>
      </c>
      <c r="Q1394" s="553">
        <f>'Foglio deposito bis'!$F$68*IF(ABS(K1394)&lt;'Progetto del paramento slu'!$G$58,ABS(K1394)*'Progetto del paramento slu'!$G$54,'Progetto del paramento slu'!$G$53)*IF(K1394&lt;0,-1,1)</f>
        <v>0</v>
      </c>
      <c r="R1394" s="553">
        <f>'Foglio deposito bis'!$F$69*IF(ABS(L1394)&lt;'Progetto del paramento slu'!$G$58,ABS(L1394)*'Progetto del paramento slu'!$G$54,'Progetto del paramento slu'!$G$53)*IF(L1394&lt;0,-1,1)</f>
        <v>153664.85805602249</v>
      </c>
      <c r="S1394" s="553">
        <f>'Foglio deposito bis'!$F$70*IF(ABS(M1394)&lt;'Progetto del paramento slu'!$G$58,ABS(M1394)*'Progetto del paramento slu'!$G$54,'Progetto del paramento slu'!$G$53)*IF(M1394&lt;0,-1,1)</f>
        <v>0</v>
      </c>
      <c r="T1394" s="553">
        <f>'Foglio deposito bis'!$F$71*IF(ABS(N1394)&lt;'Progetto del paramento slu'!$G$58,ABS(N1394)*'Progetto del paramento slu'!$G$54,'Progetto del paramento slu'!$G$53)*IF(N1394&lt;0,-1,1)</f>
        <v>314705.62929873407</v>
      </c>
      <c r="U1394" s="553">
        <f>'Foglio deposito bis'!$F$72*IF(ABS(O1394)&lt;'Progetto del paramento slu'!$G$58,ABS(O1394)*'Progetto del paramento slu'!$G$54,'Progetto del paramento slu'!$G$53)*IF(O1394&lt;0,-1,1)</f>
        <v>491727.54577927204</v>
      </c>
      <c r="V1394" s="479">
        <f t="shared" si="105"/>
        <v>130353.1961648151</v>
      </c>
      <c r="W1394" s="559"/>
      <c r="X1394" s="559"/>
    </row>
    <row r="1395" spans="1:24" x14ac:dyDescent="0.25">
      <c r="A1395" s="553">
        <f t="shared" si="104"/>
        <v>118908.43979282596</v>
      </c>
      <c r="B1395" s="3">
        <f t="shared" si="102"/>
        <v>14.699999999999969</v>
      </c>
      <c r="C1395" s="553">
        <f>'Foglio deposito bis'!$E$158/sezione!$B$247*B1395</f>
        <v>59.676231393775261</v>
      </c>
      <c r="D1395" s="611">
        <f>-'Progetto del paramento slu'!$G$47*'Progetto del paramento slu'!$G$41*IF(DATI!$G$218="dx",DATI!$E$61,DATI!$E$64*DATI!$E$63)*1000*C1395^2*sezione!$AD$5*(1-sezione!$AD$6)</f>
        <v>-29316230.493866954</v>
      </c>
      <c r="E1395" s="553">
        <f>-'Foglio deposito bis'!$F$68*(C1395-sezione!$AL$32)*IF(ABS(K1395)&lt;'Progetto del paramento slu'!$G$58,ABS(K1395)*'Progetto del paramento slu'!$G$54,'Progetto del paramento slu'!$G$53)</f>
        <v>0</v>
      </c>
      <c r="F1395" s="553">
        <f>-'Foglio deposito bis'!$F$69*(C1395-sezione!$AM$32)*IF(ABS(L1395)&lt;'Progetto del paramento slu'!$G$58,ABS(L1395)*'Progetto del paramento slu'!$G$54,'Progetto del paramento slu'!$G$53)</f>
        <v>13879589.081960546</v>
      </c>
      <c r="G1395" s="553">
        <f>-'Foglio deposito bis'!$F$70*(C1395-sezione!$AN$32)*IF(ABS(M1395)&lt;'Progetto del paramento slu'!$G$58,ABS(M1395)*'Progetto del paramento slu'!$G$54,'Progetto del paramento slu'!$G$53)</f>
        <v>0</v>
      </c>
      <c r="H1395" s="553">
        <f>-'Foglio deposito bis'!$F$71*(C1395-sezione!$AO$32)*IF(ABS(N1395)&lt;'Progetto del paramento slu'!$G$58,ABS(N1395)*'Progetto del paramento slu'!$G$54,'Progetto del paramento slu'!$G$53)</f>
        <v>88219468.00661467</v>
      </c>
      <c r="I1395" s="479">
        <f>-'Foglio deposito bis'!$F$72*(C1395-sezione!$AP$32)*IF(ABS(O1395)&lt;'Progetto del paramento slu'!$G$58,ABS(O1395)*'Progetto del paramento slu'!$G$54,'Progetto del paramento slu'!$G$53)</f>
        <v>98507173.735722512</v>
      </c>
      <c r="J1395" s="479">
        <f t="shared" si="103"/>
        <v>171290000.33043078</v>
      </c>
      <c r="K1395" s="558">
        <f>'Progetto del paramento slu'!$G$60*(sezione!$AL$32-C1395)/C1395</f>
        <v>-1.1540073538456857E-3</v>
      </c>
      <c r="L1395" s="558">
        <f>'Progetto del paramento slu'!$G$60*(sezione!$AM$32-C1395)/C1395</f>
        <v>5.2974724230786807E-3</v>
      </c>
      <c r="M1395" s="559">
        <f>'Progetto del paramento slu'!$G$60*(sezione!$AN$32-C1395)/C1395</f>
        <v>1.1748952200003045E-2</v>
      </c>
      <c r="N1395" s="559">
        <f>'Progetto del paramento slu'!$G$60*(sezione!$AO$32-C1395)/C1395</f>
        <v>1.6440937492311673E-2</v>
      </c>
      <c r="O1395" s="559">
        <f>'Progetto del paramento slu'!$G$60*(sezione!$AP$32-C1395)/C1395</f>
        <v>1.1749245449083807E-2</v>
      </c>
      <c r="P1395" s="553">
        <f>-'Progetto del paramento slu'!$G$47*'Progetto del paramento slu'!$G$41*IF(DATI!$G$218="dx",DATI!$E$61,DATI!$E$64*DATI!$E$63)*1000*C1395*sezione!$AD$5</f>
        <v>-841189.59334120271</v>
      </c>
      <c r="Q1395" s="553">
        <f>'Foglio deposito bis'!$F$68*IF(ABS(K1395)&lt;'Progetto del paramento slu'!$G$58,ABS(K1395)*'Progetto del paramento slu'!$G$54,'Progetto del paramento slu'!$G$53)*IF(K1395&lt;0,-1,1)</f>
        <v>0</v>
      </c>
      <c r="R1395" s="553">
        <f>'Foglio deposito bis'!$F$69*IF(ABS(L1395)&lt;'Progetto del paramento slu'!$G$58,ABS(L1395)*'Progetto del paramento slu'!$G$54,'Progetto del paramento slu'!$G$53)*IF(L1395&lt;0,-1,1)</f>
        <v>153664.85805602249</v>
      </c>
      <c r="S1395" s="553">
        <f>'Foglio deposito bis'!$F$70*IF(ABS(M1395)&lt;'Progetto del paramento slu'!$G$58,ABS(M1395)*'Progetto del paramento slu'!$G$54,'Progetto del paramento slu'!$G$53)*IF(M1395&lt;0,-1,1)</f>
        <v>0</v>
      </c>
      <c r="T1395" s="553">
        <f>'Foglio deposito bis'!$F$71*IF(ABS(N1395)&lt;'Progetto del paramento slu'!$G$58,ABS(N1395)*'Progetto del paramento slu'!$G$54,'Progetto del paramento slu'!$G$53)*IF(N1395&lt;0,-1,1)</f>
        <v>314705.62929873407</v>
      </c>
      <c r="U1395" s="553">
        <f>'Foglio deposito bis'!$F$72*IF(ABS(O1395)&lt;'Progetto del paramento slu'!$G$58,ABS(O1395)*'Progetto del paramento slu'!$G$54,'Progetto del paramento slu'!$G$53)*IF(O1395&lt;0,-1,1)</f>
        <v>491727.54577927204</v>
      </c>
      <c r="V1395" s="479">
        <f t="shared" si="105"/>
        <v>118908.43979282596</v>
      </c>
      <c r="W1395" s="559"/>
      <c r="X1395" s="559"/>
    </row>
    <row r="1396" spans="1:24" x14ac:dyDescent="0.25">
      <c r="A1396" s="553">
        <f t="shared" si="104"/>
        <v>107463.68342083681</v>
      </c>
      <c r="B1396" s="3">
        <f t="shared" si="102"/>
        <v>14.899999999999968</v>
      </c>
      <c r="C1396" s="553">
        <f>'Foglio deposito bis'!$E$158/sezione!$B$247*B1396</f>
        <v>60.488152909336826</v>
      </c>
      <c r="D1396" s="611">
        <f>-'Progetto del paramento slu'!$G$47*'Progetto del paramento slu'!$G$41*IF(DATI!$G$218="dx",DATI!$E$61,DATI!$E$64*DATI!$E$63)*1000*C1396^2*sezione!$AD$5*(1-sezione!$AD$6)</f>
        <v>-30119377.721983444</v>
      </c>
      <c r="E1396" s="553">
        <f>-'Foglio deposito bis'!$F$68*(C1396-sezione!$AL$32)*IF(ABS(K1396)&lt;'Progetto del paramento slu'!$G$58,ABS(K1396)*'Progetto del paramento slu'!$G$54,'Progetto del paramento slu'!$G$53)</f>
        <v>0</v>
      </c>
      <c r="F1396" s="553">
        <f>-'Foglio deposito bis'!$F$69*(C1396-sezione!$AM$32)*IF(ABS(L1396)&lt;'Progetto del paramento slu'!$G$58,ABS(L1396)*'Progetto del paramento slu'!$G$54,'Progetto del paramento slu'!$G$53)</f>
        <v>13754825.277519144</v>
      </c>
      <c r="G1396" s="553">
        <f>-'Foglio deposito bis'!$F$70*(C1396-sezione!$AN$32)*IF(ABS(M1396)&lt;'Progetto del paramento slu'!$G$58,ABS(M1396)*'Progetto del paramento slu'!$G$54,'Progetto del paramento slu'!$G$53)</f>
        <v>0</v>
      </c>
      <c r="H1396" s="553">
        <f>-'Foglio deposito bis'!$F$71*(C1396-sezione!$AO$32)*IF(ABS(N1396)&lt;'Progetto del paramento slu'!$G$58,ABS(N1396)*'Progetto del paramento slu'!$G$54,'Progetto del paramento slu'!$G$53)</f>
        <v>87963951.735118702</v>
      </c>
      <c r="I1396" s="479">
        <f>-'Foglio deposito bis'!$F$72*(C1396-sezione!$AP$32)*IF(ABS(O1396)&lt;'Progetto del paramento slu'!$G$58,ABS(O1396)*'Progetto del paramento slu'!$G$54,'Progetto del paramento slu'!$G$53)</f>
        <v>98107929.561510041</v>
      </c>
      <c r="J1396" s="479">
        <f t="shared" si="103"/>
        <v>169707328.85216445</v>
      </c>
      <c r="K1396" s="558">
        <f>'Progetto del paramento slu'!$G$60*(sezione!$AL$32-C1396)/C1396</f>
        <v>-1.1854971880222533E-3</v>
      </c>
      <c r="L1396" s="558">
        <f>'Progetto del paramento slu'!$G$60*(sezione!$AM$32-C1396)/C1396</f>
        <v>5.1793855449165501E-3</v>
      </c>
      <c r="M1396" s="559">
        <f>'Progetto del paramento slu'!$G$60*(sezione!$AN$32-C1396)/C1396</f>
        <v>1.1544268277855353E-2</v>
      </c>
      <c r="N1396" s="559">
        <f>'Progetto del paramento slu'!$G$60*(sezione!$AO$32-C1396)/C1396</f>
        <v>1.6173273901810847E-2</v>
      </c>
      <c r="O1396" s="559">
        <f>'Progetto del paramento slu'!$G$60*(sezione!$AP$32-C1396)/C1396</f>
        <v>1.1544557590706843E-2</v>
      </c>
      <c r="P1396" s="553">
        <f>-'Progetto del paramento slu'!$G$47*'Progetto del paramento slu'!$G$41*IF(DATI!$G$218="dx",DATI!$E$61,DATI!$E$64*DATI!$E$63)*1000*C1396*sezione!$AD$5</f>
        <v>-852634.34971319186</v>
      </c>
      <c r="Q1396" s="553">
        <f>'Foglio deposito bis'!$F$68*IF(ABS(K1396)&lt;'Progetto del paramento slu'!$G$58,ABS(K1396)*'Progetto del paramento slu'!$G$54,'Progetto del paramento slu'!$G$53)*IF(K1396&lt;0,-1,1)</f>
        <v>0</v>
      </c>
      <c r="R1396" s="553">
        <f>'Foglio deposito bis'!$F$69*IF(ABS(L1396)&lt;'Progetto del paramento slu'!$G$58,ABS(L1396)*'Progetto del paramento slu'!$G$54,'Progetto del paramento slu'!$G$53)*IF(L1396&lt;0,-1,1)</f>
        <v>153664.85805602249</v>
      </c>
      <c r="S1396" s="553">
        <f>'Foglio deposito bis'!$F$70*IF(ABS(M1396)&lt;'Progetto del paramento slu'!$G$58,ABS(M1396)*'Progetto del paramento slu'!$G$54,'Progetto del paramento slu'!$G$53)*IF(M1396&lt;0,-1,1)</f>
        <v>0</v>
      </c>
      <c r="T1396" s="553">
        <f>'Foglio deposito bis'!$F$71*IF(ABS(N1396)&lt;'Progetto del paramento slu'!$G$58,ABS(N1396)*'Progetto del paramento slu'!$G$54,'Progetto del paramento slu'!$G$53)*IF(N1396&lt;0,-1,1)</f>
        <v>314705.62929873407</v>
      </c>
      <c r="U1396" s="553">
        <f>'Foglio deposito bis'!$F$72*IF(ABS(O1396)&lt;'Progetto del paramento slu'!$G$58,ABS(O1396)*'Progetto del paramento slu'!$G$54,'Progetto del paramento slu'!$G$53)*IF(O1396&lt;0,-1,1)</f>
        <v>491727.54577927204</v>
      </c>
      <c r="V1396" s="479">
        <f t="shared" si="105"/>
        <v>107463.68342083681</v>
      </c>
      <c r="W1396" s="559"/>
      <c r="X1396" s="559"/>
    </row>
    <row r="1397" spans="1:24" x14ac:dyDescent="0.25">
      <c r="A1397" s="553">
        <f t="shared" si="104"/>
        <v>96018.927048847661</v>
      </c>
      <c r="B1397" s="3">
        <f t="shared" si="102"/>
        <v>15.099999999999968</v>
      </c>
      <c r="C1397" s="553">
        <f>'Foglio deposito bis'!$E$158/sezione!$B$247*B1397</f>
        <v>61.300074424898391</v>
      </c>
      <c r="D1397" s="611">
        <f>-'Progetto del paramento slu'!$G$47*'Progetto del paramento slu'!$G$41*IF(DATI!$G$218="dx",DATI!$E$61,DATI!$E$64*DATI!$E$63)*1000*C1397^2*sezione!$AD$5*(1-sezione!$AD$6)</f>
        <v>-30933378.291020423</v>
      </c>
      <c r="E1397" s="553">
        <f>-'Foglio deposito bis'!$F$68*(C1397-sezione!$AL$32)*IF(ABS(K1397)&lt;'Progetto del paramento slu'!$G$58,ABS(K1397)*'Progetto del paramento slu'!$G$54,'Progetto del paramento slu'!$G$53)</f>
        <v>0</v>
      </c>
      <c r="F1397" s="553">
        <f>-'Foglio deposito bis'!$F$69*(C1397-sezione!$AM$32)*IF(ABS(L1397)&lt;'Progetto del paramento slu'!$G$58,ABS(L1397)*'Progetto del paramento slu'!$G$54,'Progetto del paramento slu'!$G$53)</f>
        <v>13630061.47307775</v>
      </c>
      <c r="G1397" s="553">
        <f>-'Foglio deposito bis'!$F$70*(C1397-sezione!$AN$32)*IF(ABS(M1397)&lt;'Progetto del paramento slu'!$G$58,ABS(M1397)*'Progetto del paramento slu'!$G$54,'Progetto del paramento slu'!$G$53)</f>
        <v>0</v>
      </c>
      <c r="H1397" s="553">
        <f>-'Foglio deposito bis'!$F$71*(C1397-sezione!$AO$32)*IF(ABS(N1397)&lt;'Progetto del paramento slu'!$G$58,ABS(N1397)*'Progetto del paramento slu'!$G$54,'Progetto del paramento slu'!$G$53)</f>
        <v>87708435.463622704</v>
      </c>
      <c r="I1397" s="479">
        <f>-'Foglio deposito bis'!$F$72*(C1397-sezione!$AP$32)*IF(ABS(O1397)&lt;'Progetto del paramento slu'!$G$58,ABS(O1397)*'Progetto del paramento slu'!$G$54,'Progetto del paramento slu'!$G$53)</f>
        <v>97708685.387297571</v>
      </c>
      <c r="J1397" s="479">
        <f t="shared" si="103"/>
        <v>168113804.03297761</v>
      </c>
      <c r="K1397" s="558">
        <f>'Progetto del paramento slu'!$G$60*(sezione!$AL$32-C1397)/C1397</f>
        <v>-1.2161528544060646E-3</v>
      </c>
      <c r="L1397" s="558">
        <f>'Progetto del paramento slu'!$G$60*(sezione!$AM$32-C1397)/C1397</f>
        <v>5.0644267959772584E-3</v>
      </c>
      <c r="M1397" s="559">
        <f>'Progetto del paramento slu'!$G$60*(sezione!$AN$32-C1397)/C1397</f>
        <v>1.1345006446360582E-2</v>
      </c>
      <c r="N1397" s="559">
        <f>'Progetto del paramento slu'!$G$60*(sezione!$AO$32-C1397)/C1397</f>
        <v>1.5912700737548451E-2</v>
      </c>
      <c r="O1397" s="559">
        <f>'Progetto del paramento slu'!$G$60*(sezione!$AP$32-C1397)/C1397</f>
        <v>1.1345291927253774E-2</v>
      </c>
      <c r="P1397" s="553">
        <f>-'Progetto del paramento slu'!$G$47*'Progetto del paramento slu'!$G$41*IF(DATI!$G$218="dx",DATI!$E$61,DATI!$E$64*DATI!$E$63)*1000*C1397*sezione!$AD$5</f>
        <v>-864079.106085181</v>
      </c>
      <c r="Q1397" s="553">
        <f>'Foglio deposito bis'!$F$68*IF(ABS(K1397)&lt;'Progetto del paramento slu'!$G$58,ABS(K1397)*'Progetto del paramento slu'!$G$54,'Progetto del paramento slu'!$G$53)*IF(K1397&lt;0,-1,1)</f>
        <v>0</v>
      </c>
      <c r="R1397" s="553">
        <f>'Foglio deposito bis'!$F$69*IF(ABS(L1397)&lt;'Progetto del paramento slu'!$G$58,ABS(L1397)*'Progetto del paramento slu'!$G$54,'Progetto del paramento slu'!$G$53)*IF(L1397&lt;0,-1,1)</f>
        <v>153664.85805602249</v>
      </c>
      <c r="S1397" s="553">
        <f>'Foglio deposito bis'!$F$70*IF(ABS(M1397)&lt;'Progetto del paramento slu'!$G$58,ABS(M1397)*'Progetto del paramento slu'!$G$54,'Progetto del paramento slu'!$G$53)*IF(M1397&lt;0,-1,1)</f>
        <v>0</v>
      </c>
      <c r="T1397" s="553">
        <f>'Foglio deposito bis'!$F$71*IF(ABS(N1397)&lt;'Progetto del paramento slu'!$G$58,ABS(N1397)*'Progetto del paramento slu'!$G$54,'Progetto del paramento slu'!$G$53)*IF(N1397&lt;0,-1,1)</f>
        <v>314705.62929873407</v>
      </c>
      <c r="U1397" s="553">
        <f>'Foglio deposito bis'!$F$72*IF(ABS(O1397)&lt;'Progetto del paramento slu'!$G$58,ABS(O1397)*'Progetto del paramento slu'!$G$54,'Progetto del paramento slu'!$G$53)*IF(O1397&lt;0,-1,1)</f>
        <v>491727.54577927204</v>
      </c>
      <c r="V1397" s="479">
        <f t="shared" si="105"/>
        <v>96018.927048847661</v>
      </c>
      <c r="W1397" s="559"/>
      <c r="X1397" s="559"/>
    </row>
    <row r="1398" spans="1:24" x14ac:dyDescent="0.25">
      <c r="A1398" s="553">
        <f t="shared" si="104"/>
        <v>84574.170676858281</v>
      </c>
      <c r="B1398" s="3">
        <f t="shared" si="102"/>
        <v>15.299999999999967</v>
      </c>
      <c r="C1398" s="553">
        <f>'Foglio deposito bis'!$E$158/sezione!$B$247*B1398</f>
        <v>62.111995940459963</v>
      </c>
      <c r="D1398" s="611">
        <f>-'Progetto del paramento slu'!$G$47*'Progetto del paramento slu'!$G$41*IF(DATI!$G$218="dx",DATI!$E$61,DATI!$E$64*DATI!$E$63)*1000*C1398^2*sezione!$AD$5*(1-sezione!$AD$6)</f>
        <v>-31758232.200977903</v>
      </c>
      <c r="E1398" s="553">
        <f>-'Foglio deposito bis'!$F$68*(C1398-sezione!$AL$32)*IF(ABS(K1398)&lt;'Progetto del paramento slu'!$G$58,ABS(K1398)*'Progetto del paramento slu'!$G$54,'Progetto del paramento slu'!$G$53)</f>
        <v>0</v>
      </c>
      <c r="F1398" s="553">
        <f>-'Foglio deposito bis'!$F$69*(C1398-sezione!$AM$32)*IF(ABS(L1398)&lt;'Progetto del paramento slu'!$G$58,ABS(L1398)*'Progetto del paramento slu'!$G$54,'Progetto del paramento slu'!$G$53)</f>
        <v>13505297.668636348</v>
      </c>
      <c r="G1398" s="553">
        <f>-'Foglio deposito bis'!$F$70*(C1398-sezione!$AN$32)*IF(ABS(M1398)&lt;'Progetto del paramento slu'!$G$58,ABS(M1398)*'Progetto del paramento slu'!$G$54,'Progetto del paramento slu'!$G$53)</f>
        <v>0</v>
      </c>
      <c r="H1398" s="553">
        <f>-'Foglio deposito bis'!$F$71*(C1398-sezione!$AO$32)*IF(ABS(N1398)&lt;'Progetto del paramento slu'!$G$58,ABS(N1398)*'Progetto del paramento slu'!$G$54,'Progetto del paramento slu'!$G$53)</f>
        <v>87452919.192126721</v>
      </c>
      <c r="I1398" s="479">
        <f>-'Foglio deposito bis'!$F$72*(C1398-sezione!$AP$32)*IF(ABS(O1398)&lt;'Progetto del paramento slu'!$G$58,ABS(O1398)*'Progetto del paramento slu'!$G$54,'Progetto del paramento slu'!$G$53)</f>
        <v>97309441.213085085</v>
      </c>
      <c r="J1398" s="479">
        <f t="shared" si="103"/>
        <v>166509425.87287027</v>
      </c>
      <c r="K1398" s="558">
        <f>'Progetto del paramento slu'!$G$60*(sezione!$AL$32-C1398)/C1398</f>
        <v>-1.2460070654595802E-3</v>
      </c>
      <c r="L1398" s="558">
        <f>'Progetto del paramento slu'!$G$60*(sezione!$AM$32-C1398)/C1398</f>
        <v>4.9524735045265748E-3</v>
      </c>
      <c r="M1398" s="559">
        <f>'Progetto del paramento slu'!$G$60*(sezione!$AN$32-C1398)/C1398</f>
        <v>1.1150954074512729E-2</v>
      </c>
      <c r="N1398" s="559">
        <f>'Progetto del paramento slu'!$G$60*(sezione!$AO$32-C1398)/C1398</f>
        <v>1.5658939943593568E-2</v>
      </c>
      <c r="O1398" s="559">
        <f>'Progetto del paramento slu'!$G$60*(sezione!$AP$32-C1398)/C1398</f>
        <v>1.115123582362954E-2</v>
      </c>
      <c r="P1398" s="553">
        <f>-'Progetto del paramento slu'!$G$47*'Progetto del paramento slu'!$G$41*IF(DATI!$G$218="dx",DATI!$E$61,DATI!$E$64*DATI!$E$63)*1000*C1398*sezione!$AD$5</f>
        <v>-875523.86245717027</v>
      </c>
      <c r="Q1398" s="553">
        <f>'Foglio deposito bis'!$F$68*IF(ABS(K1398)&lt;'Progetto del paramento slu'!$G$58,ABS(K1398)*'Progetto del paramento slu'!$G$54,'Progetto del paramento slu'!$G$53)*IF(K1398&lt;0,-1,1)</f>
        <v>0</v>
      </c>
      <c r="R1398" s="553">
        <f>'Foglio deposito bis'!$F$69*IF(ABS(L1398)&lt;'Progetto del paramento slu'!$G$58,ABS(L1398)*'Progetto del paramento slu'!$G$54,'Progetto del paramento slu'!$G$53)*IF(L1398&lt;0,-1,1)</f>
        <v>153664.85805602249</v>
      </c>
      <c r="S1398" s="553">
        <f>'Foglio deposito bis'!$F$70*IF(ABS(M1398)&lt;'Progetto del paramento slu'!$G$58,ABS(M1398)*'Progetto del paramento slu'!$G$54,'Progetto del paramento slu'!$G$53)*IF(M1398&lt;0,-1,1)</f>
        <v>0</v>
      </c>
      <c r="T1398" s="553">
        <f>'Foglio deposito bis'!$F$71*IF(ABS(N1398)&lt;'Progetto del paramento slu'!$G$58,ABS(N1398)*'Progetto del paramento slu'!$G$54,'Progetto del paramento slu'!$G$53)*IF(N1398&lt;0,-1,1)</f>
        <v>314705.62929873407</v>
      </c>
      <c r="U1398" s="553">
        <f>'Foglio deposito bis'!$F$72*IF(ABS(O1398)&lt;'Progetto del paramento slu'!$G$58,ABS(O1398)*'Progetto del paramento slu'!$G$54,'Progetto del paramento slu'!$G$53)*IF(O1398&lt;0,-1,1)</f>
        <v>491727.54577927204</v>
      </c>
      <c r="V1398" s="479">
        <f t="shared" si="105"/>
        <v>84574.170676858281</v>
      </c>
      <c r="W1398" s="559"/>
      <c r="X1398" s="559"/>
    </row>
    <row r="1399" spans="1:24" x14ac:dyDescent="0.25">
      <c r="A1399" s="553">
        <f t="shared" si="104"/>
        <v>73129.414304869133</v>
      </c>
      <c r="B1399" s="3">
        <f t="shared" si="102"/>
        <v>15.499999999999966</v>
      </c>
      <c r="C1399" s="553">
        <f>'Foglio deposito bis'!$E$158/sezione!$B$247*B1399</f>
        <v>62.923917456021528</v>
      </c>
      <c r="D1399" s="611">
        <f>-'Progetto del paramento slu'!$G$47*'Progetto del paramento slu'!$G$41*IF(DATI!$G$218="dx",DATI!$E$61,DATI!$E$64*DATI!$E$63)*1000*C1399^2*sezione!$AD$5*(1-sezione!$AD$6)</f>
        <v>-32593939.451855868</v>
      </c>
      <c r="E1399" s="553">
        <f>-'Foglio deposito bis'!$F$68*(C1399-sezione!$AL$32)*IF(ABS(K1399)&lt;'Progetto del paramento slu'!$G$58,ABS(K1399)*'Progetto del paramento slu'!$G$54,'Progetto del paramento slu'!$G$53)</f>
        <v>0</v>
      </c>
      <c r="F1399" s="553">
        <f>-'Foglio deposito bis'!$F$69*(C1399-sezione!$AM$32)*IF(ABS(L1399)&lt;'Progetto del paramento slu'!$G$58,ABS(L1399)*'Progetto del paramento slu'!$G$54,'Progetto del paramento slu'!$G$53)</f>
        <v>13380533.86419495</v>
      </c>
      <c r="G1399" s="553">
        <f>-'Foglio deposito bis'!$F$70*(C1399-sezione!$AN$32)*IF(ABS(M1399)&lt;'Progetto del paramento slu'!$G$58,ABS(M1399)*'Progetto del paramento slu'!$G$54,'Progetto del paramento slu'!$G$53)</f>
        <v>0</v>
      </c>
      <c r="H1399" s="553">
        <f>-'Foglio deposito bis'!$F$71*(C1399-sezione!$AO$32)*IF(ABS(N1399)&lt;'Progetto del paramento slu'!$G$58,ABS(N1399)*'Progetto del paramento slu'!$G$54,'Progetto del paramento slu'!$G$53)</f>
        <v>87197402.920630738</v>
      </c>
      <c r="I1399" s="479">
        <f>-'Foglio deposito bis'!$F$72*(C1399-sezione!$AP$32)*IF(ABS(O1399)&lt;'Progetto del paramento slu'!$G$58,ABS(O1399)*'Progetto del paramento slu'!$G$54,'Progetto del paramento slu'!$G$53)</f>
        <v>96910197.038872615</v>
      </c>
      <c r="J1399" s="479">
        <f t="shared" si="103"/>
        <v>164894194.37184244</v>
      </c>
      <c r="K1399" s="558">
        <f>'Progetto del paramento slu'!$G$60*(sezione!$AL$32-C1399)/C1399</f>
        <v>-1.2750908452601015E-3</v>
      </c>
      <c r="L1399" s="558">
        <f>'Progetto del paramento slu'!$G$60*(sezione!$AM$32-C1399)/C1399</f>
        <v>4.8434093302746192E-3</v>
      </c>
      <c r="M1399" s="559">
        <f>'Progetto del paramento slu'!$G$60*(sezione!$AN$32-C1399)/C1399</f>
        <v>1.0961909505809339E-2</v>
      </c>
      <c r="N1399" s="559">
        <f>'Progetto del paramento slu'!$G$60*(sezione!$AO$32-C1399)/C1399</f>
        <v>1.5411727815289138E-2</v>
      </c>
      <c r="O1399" s="559">
        <f>'Progetto del paramento slu'!$G$60*(sezione!$AP$32-C1399)/C1399</f>
        <v>1.0962187619453678E-2</v>
      </c>
      <c r="P1399" s="553">
        <f>-'Progetto del paramento slu'!$G$47*'Progetto del paramento slu'!$G$41*IF(DATI!$G$218="dx",DATI!$E$61,DATI!$E$64*DATI!$E$63)*1000*C1399*sezione!$AD$5</f>
        <v>-886968.61882915942</v>
      </c>
      <c r="Q1399" s="553">
        <f>'Foglio deposito bis'!$F$68*IF(ABS(K1399)&lt;'Progetto del paramento slu'!$G$58,ABS(K1399)*'Progetto del paramento slu'!$G$54,'Progetto del paramento slu'!$G$53)*IF(K1399&lt;0,-1,1)</f>
        <v>0</v>
      </c>
      <c r="R1399" s="553">
        <f>'Foglio deposito bis'!$F$69*IF(ABS(L1399)&lt;'Progetto del paramento slu'!$G$58,ABS(L1399)*'Progetto del paramento slu'!$G$54,'Progetto del paramento slu'!$G$53)*IF(L1399&lt;0,-1,1)</f>
        <v>153664.85805602249</v>
      </c>
      <c r="S1399" s="553">
        <f>'Foglio deposito bis'!$F$70*IF(ABS(M1399)&lt;'Progetto del paramento slu'!$G$58,ABS(M1399)*'Progetto del paramento slu'!$G$54,'Progetto del paramento slu'!$G$53)*IF(M1399&lt;0,-1,1)</f>
        <v>0</v>
      </c>
      <c r="T1399" s="553">
        <f>'Foglio deposito bis'!$F$71*IF(ABS(N1399)&lt;'Progetto del paramento slu'!$G$58,ABS(N1399)*'Progetto del paramento slu'!$G$54,'Progetto del paramento slu'!$G$53)*IF(N1399&lt;0,-1,1)</f>
        <v>314705.62929873407</v>
      </c>
      <c r="U1399" s="553">
        <f>'Foglio deposito bis'!$F$72*IF(ABS(O1399)&lt;'Progetto del paramento slu'!$G$58,ABS(O1399)*'Progetto del paramento slu'!$G$54,'Progetto del paramento slu'!$G$53)*IF(O1399&lt;0,-1,1)</f>
        <v>491727.54577927204</v>
      </c>
      <c r="V1399" s="479">
        <f t="shared" si="105"/>
        <v>73129.414304869133</v>
      </c>
      <c r="W1399" s="559"/>
      <c r="X1399" s="559"/>
    </row>
    <row r="1400" spans="1:24" x14ac:dyDescent="0.25">
      <c r="A1400" s="553">
        <f t="shared" si="104"/>
        <v>61684.657932880218</v>
      </c>
      <c r="B1400" s="3">
        <f t="shared" si="102"/>
        <v>15.699999999999966</v>
      </c>
      <c r="C1400" s="553">
        <f>'Foglio deposito bis'!$E$158/sezione!$B$247*B1400</f>
        <v>63.735838971583092</v>
      </c>
      <c r="D1400" s="611">
        <f>-'Progetto del paramento slu'!$G$47*'Progetto del paramento slu'!$G$41*IF(DATI!$G$218="dx",DATI!$E$61,DATI!$E$64*DATI!$E$63)*1000*C1400^2*sezione!$AD$5*(1-sezione!$AD$6)</f>
        <v>-33440500.04365433</v>
      </c>
      <c r="E1400" s="553">
        <f>-'Foglio deposito bis'!$F$68*(C1400-sezione!$AL$32)*IF(ABS(K1400)&lt;'Progetto del paramento slu'!$G$58,ABS(K1400)*'Progetto del paramento slu'!$G$54,'Progetto del paramento slu'!$G$53)</f>
        <v>0</v>
      </c>
      <c r="F1400" s="553">
        <f>-'Foglio deposito bis'!$F$69*(C1400-sezione!$AM$32)*IF(ABS(L1400)&lt;'Progetto del paramento slu'!$G$58,ABS(L1400)*'Progetto del paramento slu'!$G$54,'Progetto del paramento slu'!$G$53)</f>
        <v>13255770.059753552</v>
      </c>
      <c r="G1400" s="553">
        <f>-'Foglio deposito bis'!$F$70*(C1400-sezione!$AN$32)*IF(ABS(M1400)&lt;'Progetto del paramento slu'!$G$58,ABS(M1400)*'Progetto del paramento slu'!$G$54,'Progetto del paramento slu'!$G$53)</f>
        <v>0</v>
      </c>
      <c r="H1400" s="553">
        <f>-'Foglio deposito bis'!$F$71*(C1400-sezione!$AO$32)*IF(ABS(N1400)&lt;'Progetto del paramento slu'!$G$58,ABS(N1400)*'Progetto del paramento slu'!$G$54,'Progetto del paramento slu'!$G$53)</f>
        <v>86941886.64913474</v>
      </c>
      <c r="I1400" s="479">
        <f>-'Foglio deposito bis'!$F$72*(C1400-sezione!$AP$32)*IF(ABS(O1400)&lt;'Progetto del paramento slu'!$G$58,ABS(O1400)*'Progetto del paramento slu'!$G$54,'Progetto del paramento slu'!$G$53)</f>
        <v>96510952.864660129</v>
      </c>
      <c r="J1400" s="479">
        <f t="shared" si="103"/>
        <v>163268109.52989408</v>
      </c>
      <c r="K1400" s="558">
        <f>'Progetto del paramento slu'!$G$60*(sezione!$AL$32-C1400)/C1400</f>
        <v>-1.3034336370402275E-3</v>
      </c>
      <c r="L1400" s="558">
        <f>'Progetto del paramento slu'!$G$60*(sezione!$AM$32-C1400)/C1400</f>
        <v>4.737123861099147E-3</v>
      </c>
      <c r="M1400" s="559">
        <f>'Progetto del paramento slu'!$G$60*(sezione!$AN$32-C1400)/C1400</f>
        <v>1.0777681359238522E-2</v>
      </c>
      <c r="N1400" s="559">
        <f>'Progetto del paramento slu'!$G$60*(sezione!$AO$32-C1400)/C1400</f>
        <v>1.5170814085158066E-2</v>
      </c>
      <c r="O1400" s="559">
        <f>'Progetto del paramento slu'!$G$60*(sezione!$AP$32-C1400)/C1400</f>
        <v>1.0777955930033884E-2</v>
      </c>
      <c r="P1400" s="553">
        <f>-'Progetto del paramento slu'!$G$47*'Progetto del paramento slu'!$G$41*IF(DATI!$G$218="dx",DATI!$E$61,DATI!$E$64*DATI!$E$63)*1000*C1400*sezione!$AD$5</f>
        <v>-898413.37520114845</v>
      </c>
      <c r="Q1400" s="553">
        <f>'Foglio deposito bis'!$F$68*IF(ABS(K1400)&lt;'Progetto del paramento slu'!$G$58,ABS(K1400)*'Progetto del paramento slu'!$G$54,'Progetto del paramento slu'!$G$53)*IF(K1400&lt;0,-1,1)</f>
        <v>0</v>
      </c>
      <c r="R1400" s="553">
        <f>'Foglio deposito bis'!$F$69*IF(ABS(L1400)&lt;'Progetto del paramento slu'!$G$58,ABS(L1400)*'Progetto del paramento slu'!$G$54,'Progetto del paramento slu'!$G$53)*IF(L1400&lt;0,-1,1)</f>
        <v>153664.85805602249</v>
      </c>
      <c r="S1400" s="553">
        <f>'Foglio deposito bis'!$F$70*IF(ABS(M1400)&lt;'Progetto del paramento slu'!$G$58,ABS(M1400)*'Progetto del paramento slu'!$G$54,'Progetto del paramento slu'!$G$53)*IF(M1400&lt;0,-1,1)</f>
        <v>0</v>
      </c>
      <c r="T1400" s="553">
        <f>'Foglio deposito bis'!$F$71*IF(ABS(N1400)&lt;'Progetto del paramento slu'!$G$58,ABS(N1400)*'Progetto del paramento slu'!$G$54,'Progetto del paramento slu'!$G$53)*IF(N1400&lt;0,-1,1)</f>
        <v>314705.62929873407</v>
      </c>
      <c r="U1400" s="553">
        <f>'Foglio deposito bis'!$F$72*IF(ABS(O1400)&lt;'Progetto del paramento slu'!$G$58,ABS(O1400)*'Progetto del paramento slu'!$G$54,'Progetto del paramento slu'!$G$53)*IF(O1400&lt;0,-1,1)</f>
        <v>491727.54577927204</v>
      </c>
      <c r="V1400" s="479">
        <f t="shared" si="105"/>
        <v>61684.657932880218</v>
      </c>
      <c r="W1400" s="559"/>
      <c r="X1400" s="559"/>
    </row>
    <row r="1401" spans="1:24" x14ac:dyDescent="0.25">
      <c r="A1401" s="553">
        <f t="shared" si="104"/>
        <v>50239.90156089107</v>
      </c>
      <c r="B1401" s="3">
        <f t="shared" si="102"/>
        <v>15.899999999999965</v>
      </c>
      <c r="C1401" s="553">
        <f>'Foglio deposito bis'!$E$158/sezione!$B$247*B1401</f>
        <v>64.547760487144657</v>
      </c>
      <c r="D1401" s="611">
        <f>-'Progetto del paramento slu'!$G$47*'Progetto del paramento slu'!$G$41*IF(DATI!$G$218="dx",DATI!$E$61,DATI!$E$64*DATI!$E$63)*1000*C1401^2*sezione!$AD$5*(1-sezione!$AD$6)</f>
        <v>-34297913.976373278</v>
      </c>
      <c r="E1401" s="553">
        <f>-'Foglio deposito bis'!$F$68*(C1401-sezione!$AL$32)*IF(ABS(K1401)&lt;'Progetto del paramento slu'!$G$58,ABS(K1401)*'Progetto del paramento slu'!$G$54,'Progetto del paramento slu'!$G$53)</f>
        <v>0</v>
      </c>
      <c r="F1401" s="553">
        <f>-'Foglio deposito bis'!$F$69*(C1401-sezione!$AM$32)*IF(ABS(L1401)&lt;'Progetto del paramento slu'!$G$58,ABS(L1401)*'Progetto del paramento slu'!$G$54,'Progetto del paramento slu'!$G$53)</f>
        <v>13131006.255312152</v>
      </c>
      <c r="G1401" s="553">
        <f>-'Foglio deposito bis'!$F$70*(C1401-sezione!$AN$32)*IF(ABS(M1401)&lt;'Progetto del paramento slu'!$G$58,ABS(M1401)*'Progetto del paramento slu'!$G$54,'Progetto del paramento slu'!$G$53)</f>
        <v>0</v>
      </c>
      <c r="H1401" s="553">
        <f>-'Foglio deposito bis'!$F$71*(C1401-sezione!$AO$32)*IF(ABS(N1401)&lt;'Progetto del paramento slu'!$G$58,ABS(N1401)*'Progetto del paramento slu'!$G$54,'Progetto del paramento slu'!$G$53)</f>
        <v>86686370.377638772</v>
      </c>
      <c r="I1401" s="479">
        <f>-'Foglio deposito bis'!$F$72*(C1401-sezione!$AP$32)*IF(ABS(O1401)&lt;'Progetto del paramento slu'!$G$58,ABS(O1401)*'Progetto del paramento slu'!$G$54,'Progetto del paramento slu'!$G$53)</f>
        <v>96111708.690447643</v>
      </c>
      <c r="J1401" s="479">
        <f t="shared" si="103"/>
        <v>161631171.34702528</v>
      </c>
      <c r="K1401" s="558">
        <f>'Progetto del paramento slu'!$G$60*(sezione!$AL$32-C1401)/C1401</f>
        <v>-1.3310634026120485E-3</v>
      </c>
      <c r="L1401" s="558">
        <f>'Progetto del paramento slu'!$G$60*(sezione!$AM$32-C1401)/C1401</f>
        <v>4.6335122402048189E-3</v>
      </c>
      <c r="M1401" s="559">
        <f>'Progetto del paramento slu'!$G$60*(sezione!$AN$32-C1401)/C1401</f>
        <v>1.0598087883021684E-2</v>
      </c>
      <c r="N1401" s="559">
        <f>'Progetto del paramento slu'!$G$60*(sezione!$AO$32-C1401)/C1401</f>
        <v>1.4935961077797587E-2</v>
      </c>
      <c r="O1401" s="559">
        <f>'Progetto del paramento slu'!$G$60*(sezione!$AP$32-C1401)/C1401</f>
        <v>1.0598359000096352E-2</v>
      </c>
      <c r="P1401" s="553">
        <f>-'Progetto del paramento slu'!$G$47*'Progetto del paramento slu'!$G$41*IF(DATI!$G$218="dx",DATI!$E$61,DATI!$E$64*DATI!$E$63)*1000*C1401*sezione!$AD$5</f>
        <v>-909858.13157313759</v>
      </c>
      <c r="Q1401" s="553">
        <f>'Foglio deposito bis'!$F$68*IF(ABS(K1401)&lt;'Progetto del paramento slu'!$G$58,ABS(K1401)*'Progetto del paramento slu'!$G$54,'Progetto del paramento slu'!$G$53)*IF(K1401&lt;0,-1,1)</f>
        <v>0</v>
      </c>
      <c r="R1401" s="553">
        <f>'Foglio deposito bis'!$F$69*IF(ABS(L1401)&lt;'Progetto del paramento slu'!$G$58,ABS(L1401)*'Progetto del paramento slu'!$G$54,'Progetto del paramento slu'!$G$53)*IF(L1401&lt;0,-1,1)</f>
        <v>153664.85805602249</v>
      </c>
      <c r="S1401" s="553">
        <f>'Foglio deposito bis'!$F$70*IF(ABS(M1401)&lt;'Progetto del paramento slu'!$G$58,ABS(M1401)*'Progetto del paramento slu'!$G$54,'Progetto del paramento slu'!$G$53)*IF(M1401&lt;0,-1,1)</f>
        <v>0</v>
      </c>
      <c r="T1401" s="553">
        <f>'Foglio deposito bis'!$F$71*IF(ABS(N1401)&lt;'Progetto del paramento slu'!$G$58,ABS(N1401)*'Progetto del paramento slu'!$G$54,'Progetto del paramento slu'!$G$53)*IF(N1401&lt;0,-1,1)</f>
        <v>314705.62929873407</v>
      </c>
      <c r="U1401" s="553">
        <f>'Foglio deposito bis'!$F$72*IF(ABS(O1401)&lt;'Progetto del paramento slu'!$G$58,ABS(O1401)*'Progetto del paramento slu'!$G$54,'Progetto del paramento slu'!$G$53)*IF(O1401&lt;0,-1,1)</f>
        <v>491727.54577927204</v>
      </c>
      <c r="V1401" s="479">
        <f t="shared" si="105"/>
        <v>50239.90156089107</v>
      </c>
      <c r="W1401" s="559"/>
      <c r="X1401" s="559"/>
    </row>
    <row r="1402" spans="1:24" x14ac:dyDescent="0.25">
      <c r="A1402" s="553">
        <f t="shared" si="104"/>
        <v>38795.14518890169</v>
      </c>
      <c r="B1402" s="3">
        <f t="shared" si="102"/>
        <v>16.099999999999966</v>
      </c>
      <c r="C1402" s="553">
        <f>'Foglio deposito bis'!$E$158/sezione!$B$247*B1402</f>
        <v>65.359682002706236</v>
      </c>
      <c r="D1402" s="611">
        <f>-'Progetto del paramento slu'!$G$47*'Progetto del paramento slu'!$G$41*IF(DATI!$G$218="dx",DATI!$E$61,DATI!$E$64*DATI!$E$63)*1000*C1402^2*sezione!$AD$5*(1-sezione!$AD$6)</f>
        <v>-35166181.250012748</v>
      </c>
      <c r="E1402" s="553">
        <f>-'Foglio deposito bis'!$F$68*(C1402-sezione!$AL$32)*IF(ABS(K1402)&lt;'Progetto del paramento slu'!$G$58,ABS(K1402)*'Progetto del paramento slu'!$G$54,'Progetto del paramento slu'!$G$53)</f>
        <v>0</v>
      </c>
      <c r="F1402" s="553">
        <f>-'Foglio deposito bis'!$F$69*(C1402-sezione!$AM$32)*IF(ABS(L1402)&lt;'Progetto del paramento slu'!$G$58,ABS(L1402)*'Progetto del paramento slu'!$G$54,'Progetto del paramento slu'!$G$53)</f>
        <v>13006242.450870752</v>
      </c>
      <c r="G1402" s="553">
        <f>-'Foglio deposito bis'!$F$70*(C1402-sezione!$AN$32)*IF(ABS(M1402)&lt;'Progetto del paramento slu'!$G$58,ABS(M1402)*'Progetto del paramento slu'!$G$54,'Progetto del paramento slu'!$G$53)</f>
        <v>0</v>
      </c>
      <c r="H1402" s="553">
        <f>-'Foglio deposito bis'!$F$71*(C1402-sezione!$AO$32)*IF(ABS(N1402)&lt;'Progetto del paramento slu'!$G$58,ABS(N1402)*'Progetto del paramento slu'!$G$54,'Progetto del paramento slu'!$G$53)</f>
        <v>86430854.106142774</v>
      </c>
      <c r="I1402" s="479">
        <f>-'Foglio deposito bis'!$F$72*(C1402-sezione!$AP$32)*IF(ABS(O1402)&lt;'Progetto del paramento slu'!$G$58,ABS(O1402)*'Progetto del paramento slu'!$G$54,'Progetto del paramento slu'!$G$53)</f>
        <v>95712464.516235173</v>
      </c>
      <c r="J1402" s="479">
        <f t="shared" si="103"/>
        <v>159983379.82323596</v>
      </c>
      <c r="K1402" s="558">
        <f>'Progetto del paramento slu'!$G$60*(sezione!$AL$32-C1402)/C1402</f>
        <v>-1.3580067143808433E-3</v>
      </c>
      <c r="L1402" s="558">
        <f>'Progetto del paramento slu'!$G$60*(sezione!$AM$32-C1402)/C1402</f>
        <v>4.532474821071838E-3</v>
      </c>
      <c r="M1402" s="559">
        <f>'Progetto del paramento slu'!$G$60*(sezione!$AN$32-C1402)/C1402</f>
        <v>1.0422956356524521E-2</v>
      </c>
      <c r="N1402" s="559">
        <f>'Progetto del paramento slu'!$G$60*(sezione!$AO$32-C1402)/C1402</f>
        <v>1.4706942927762834E-2</v>
      </c>
      <c r="O1402" s="559">
        <f>'Progetto del paramento slu'!$G$60*(sezione!$AP$32-C1402)/C1402</f>
        <v>1.0423224105685216E-2</v>
      </c>
      <c r="P1402" s="553">
        <f>-'Progetto del paramento slu'!$G$47*'Progetto del paramento slu'!$G$41*IF(DATI!$G$218="dx",DATI!$E$61,DATI!$E$64*DATI!$E$63)*1000*C1402*sezione!$AD$5</f>
        <v>-921302.88794512686</v>
      </c>
      <c r="Q1402" s="553">
        <f>'Foglio deposito bis'!$F$68*IF(ABS(K1402)&lt;'Progetto del paramento slu'!$G$58,ABS(K1402)*'Progetto del paramento slu'!$G$54,'Progetto del paramento slu'!$G$53)*IF(K1402&lt;0,-1,1)</f>
        <v>0</v>
      </c>
      <c r="R1402" s="553">
        <f>'Foglio deposito bis'!$F$69*IF(ABS(L1402)&lt;'Progetto del paramento slu'!$G$58,ABS(L1402)*'Progetto del paramento slu'!$G$54,'Progetto del paramento slu'!$G$53)*IF(L1402&lt;0,-1,1)</f>
        <v>153664.85805602249</v>
      </c>
      <c r="S1402" s="553">
        <f>'Foglio deposito bis'!$F$70*IF(ABS(M1402)&lt;'Progetto del paramento slu'!$G$58,ABS(M1402)*'Progetto del paramento slu'!$G$54,'Progetto del paramento slu'!$G$53)*IF(M1402&lt;0,-1,1)</f>
        <v>0</v>
      </c>
      <c r="T1402" s="553">
        <f>'Foglio deposito bis'!$F$71*IF(ABS(N1402)&lt;'Progetto del paramento slu'!$G$58,ABS(N1402)*'Progetto del paramento slu'!$G$54,'Progetto del paramento slu'!$G$53)*IF(N1402&lt;0,-1,1)</f>
        <v>314705.62929873407</v>
      </c>
      <c r="U1402" s="553">
        <f>'Foglio deposito bis'!$F$72*IF(ABS(O1402)&lt;'Progetto del paramento slu'!$G$58,ABS(O1402)*'Progetto del paramento slu'!$G$54,'Progetto del paramento slu'!$G$53)*IF(O1402&lt;0,-1,1)</f>
        <v>491727.54577927204</v>
      </c>
      <c r="V1402" s="479">
        <f t="shared" si="105"/>
        <v>38795.14518890169</v>
      </c>
      <c r="W1402" s="559"/>
      <c r="X1402" s="559"/>
    </row>
    <row r="1403" spans="1:24" x14ac:dyDescent="0.25">
      <c r="A1403" s="553">
        <f t="shared" si="104"/>
        <v>27350.388816912542</v>
      </c>
      <c r="B1403" s="3">
        <f t="shared" si="102"/>
        <v>16.299999999999965</v>
      </c>
      <c r="C1403" s="553">
        <f>'Foglio deposito bis'!$E$158/sezione!$B$247*B1403</f>
        <v>66.171603518267801</v>
      </c>
      <c r="D1403" s="611">
        <f>-'Progetto del paramento slu'!$G$47*'Progetto del paramento slu'!$G$41*IF(DATI!$G$218="dx",DATI!$E$61,DATI!$E$64*DATI!$E$63)*1000*C1403^2*sezione!$AD$5*(1-sezione!$AD$6)</f>
        <v>-36045301.864572681</v>
      </c>
      <c r="E1403" s="553">
        <f>-'Foglio deposito bis'!$F$68*(C1403-sezione!$AL$32)*IF(ABS(K1403)&lt;'Progetto del paramento slu'!$G$58,ABS(K1403)*'Progetto del paramento slu'!$G$54,'Progetto del paramento slu'!$G$53)</f>
        <v>0</v>
      </c>
      <c r="F1403" s="553">
        <f>-'Foglio deposito bis'!$F$69*(C1403-sezione!$AM$32)*IF(ABS(L1403)&lt;'Progetto del paramento slu'!$G$58,ABS(L1403)*'Progetto del paramento slu'!$G$54,'Progetto del paramento slu'!$G$53)</f>
        <v>12881478.646429354</v>
      </c>
      <c r="G1403" s="553">
        <f>-'Foglio deposito bis'!$F$70*(C1403-sezione!$AN$32)*IF(ABS(M1403)&lt;'Progetto del paramento slu'!$G$58,ABS(M1403)*'Progetto del paramento slu'!$G$54,'Progetto del paramento slu'!$G$53)</f>
        <v>0</v>
      </c>
      <c r="H1403" s="553">
        <f>-'Foglio deposito bis'!$F$71*(C1403-sezione!$AO$32)*IF(ABS(N1403)&lt;'Progetto del paramento slu'!$G$58,ABS(N1403)*'Progetto del paramento slu'!$G$54,'Progetto del paramento slu'!$G$53)</f>
        <v>86175337.834646776</v>
      </c>
      <c r="I1403" s="479">
        <f>-'Foglio deposito bis'!$F$72*(C1403-sezione!$AP$32)*IF(ABS(O1403)&lt;'Progetto del paramento slu'!$G$58,ABS(O1403)*'Progetto del paramento slu'!$G$54,'Progetto del paramento slu'!$G$53)</f>
        <v>95313220.342022702</v>
      </c>
      <c r="J1403" s="479">
        <f t="shared" si="103"/>
        <v>158324734.95852613</v>
      </c>
      <c r="K1403" s="558">
        <f>'Progetto del paramento slu'!$G$60*(sezione!$AL$32-C1403)/C1403</f>
        <v>-1.3842888405847591E-3</v>
      </c>
      <c r="L1403" s="558">
        <f>'Progetto del paramento slu'!$G$60*(sezione!$AM$32-C1403)/C1403</f>
        <v>4.4339168478071539E-3</v>
      </c>
      <c r="M1403" s="559">
        <f>'Progetto del paramento slu'!$G$60*(sezione!$AN$32-C1403)/C1403</f>
        <v>1.0252122536199065E-2</v>
      </c>
      <c r="N1403" s="559">
        <f>'Progetto del paramento slu'!$G$60*(sezione!$AO$32-C1403)/C1403</f>
        <v>1.4483544855029545E-2</v>
      </c>
      <c r="O1403" s="559">
        <f>'Progetto del paramento slu'!$G$60*(sezione!$AP$32-C1403)/C1403</f>
        <v>1.0252387000093987E-2</v>
      </c>
      <c r="P1403" s="553">
        <f>-'Progetto del paramento slu'!$G$47*'Progetto del paramento slu'!$G$41*IF(DATI!$G$218="dx",DATI!$E$61,DATI!$E$64*DATI!$E$63)*1000*C1403*sezione!$AD$5</f>
        <v>-932747.64431711601</v>
      </c>
      <c r="Q1403" s="553">
        <f>'Foglio deposito bis'!$F$68*IF(ABS(K1403)&lt;'Progetto del paramento slu'!$G$58,ABS(K1403)*'Progetto del paramento slu'!$G$54,'Progetto del paramento slu'!$G$53)*IF(K1403&lt;0,-1,1)</f>
        <v>0</v>
      </c>
      <c r="R1403" s="553">
        <f>'Foglio deposito bis'!$F$69*IF(ABS(L1403)&lt;'Progetto del paramento slu'!$G$58,ABS(L1403)*'Progetto del paramento slu'!$G$54,'Progetto del paramento slu'!$G$53)*IF(L1403&lt;0,-1,1)</f>
        <v>153664.85805602249</v>
      </c>
      <c r="S1403" s="553">
        <f>'Foglio deposito bis'!$F$70*IF(ABS(M1403)&lt;'Progetto del paramento slu'!$G$58,ABS(M1403)*'Progetto del paramento slu'!$G$54,'Progetto del paramento slu'!$G$53)*IF(M1403&lt;0,-1,1)</f>
        <v>0</v>
      </c>
      <c r="T1403" s="553">
        <f>'Foglio deposito bis'!$F$71*IF(ABS(N1403)&lt;'Progetto del paramento slu'!$G$58,ABS(N1403)*'Progetto del paramento slu'!$G$54,'Progetto del paramento slu'!$G$53)*IF(N1403&lt;0,-1,1)</f>
        <v>314705.62929873407</v>
      </c>
      <c r="U1403" s="553">
        <f>'Foglio deposito bis'!$F$72*IF(ABS(O1403)&lt;'Progetto del paramento slu'!$G$58,ABS(O1403)*'Progetto del paramento slu'!$G$54,'Progetto del paramento slu'!$G$53)*IF(O1403&lt;0,-1,1)</f>
        <v>491727.54577927204</v>
      </c>
      <c r="V1403" s="479">
        <f t="shared" si="105"/>
        <v>27350.388816912542</v>
      </c>
      <c r="W1403" s="559"/>
      <c r="X1403" s="559"/>
    </row>
    <row r="1404" spans="1:24" x14ac:dyDescent="0.25">
      <c r="A1404" s="553">
        <f t="shared" si="104"/>
        <v>15905.632444923627</v>
      </c>
      <c r="B1404" s="3">
        <f t="shared" si="102"/>
        <v>16.499999999999964</v>
      </c>
      <c r="C1404" s="553">
        <f>'Foglio deposito bis'!$E$158/sezione!$B$247*B1404</f>
        <v>66.983525033829366</v>
      </c>
      <c r="D1404" s="611">
        <f>-'Progetto del paramento slu'!$G$47*'Progetto del paramento slu'!$G$41*IF(DATI!$G$218="dx",DATI!$E$61,DATI!$E$64*DATI!$E$63)*1000*C1404^2*sezione!$AD$5*(1-sezione!$AD$6)</f>
        <v>-36935275.820053108</v>
      </c>
      <c r="E1404" s="553">
        <f>-'Foglio deposito bis'!$F$68*(C1404-sezione!$AL$32)*IF(ABS(K1404)&lt;'Progetto del paramento slu'!$G$58,ABS(K1404)*'Progetto del paramento slu'!$G$54,'Progetto del paramento slu'!$G$53)</f>
        <v>0</v>
      </c>
      <c r="F1404" s="553">
        <f>-'Foglio deposito bis'!$F$69*(C1404-sezione!$AM$32)*IF(ABS(L1404)&lt;'Progetto del paramento slu'!$G$58,ABS(L1404)*'Progetto del paramento slu'!$G$54,'Progetto del paramento slu'!$G$53)</f>
        <v>12756714.841987954</v>
      </c>
      <c r="G1404" s="553">
        <f>-'Foglio deposito bis'!$F$70*(C1404-sezione!$AN$32)*IF(ABS(M1404)&lt;'Progetto del paramento slu'!$G$58,ABS(M1404)*'Progetto del paramento slu'!$G$54,'Progetto del paramento slu'!$G$53)</f>
        <v>0</v>
      </c>
      <c r="H1404" s="553">
        <f>-'Foglio deposito bis'!$F$71*(C1404-sezione!$AO$32)*IF(ABS(N1404)&lt;'Progetto del paramento slu'!$G$58,ABS(N1404)*'Progetto del paramento slu'!$G$54,'Progetto del paramento slu'!$G$53)</f>
        <v>85919821.563150808</v>
      </c>
      <c r="I1404" s="479">
        <f>-'Foglio deposito bis'!$F$72*(C1404-sezione!$AP$32)*IF(ABS(O1404)&lt;'Progetto del paramento slu'!$G$58,ABS(O1404)*'Progetto del paramento slu'!$G$54,'Progetto del paramento slu'!$G$53)</f>
        <v>94913976.167810217</v>
      </c>
      <c r="J1404" s="479">
        <f t="shared" si="103"/>
        <v>156655236.75289586</v>
      </c>
      <c r="K1404" s="558">
        <f>'Progetto del paramento slu'!$G$60*(sezione!$AL$32-C1404)/C1404</f>
        <v>-1.4099338243352469E-3</v>
      </c>
      <c r="L1404" s="558">
        <f>'Progetto del paramento slu'!$G$60*(sezione!$AM$32-C1404)/C1404</f>
        <v>4.3377481587428251E-3</v>
      </c>
      <c r="M1404" s="559">
        <f>'Progetto del paramento slu'!$G$60*(sezione!$AN$32-C1404)/C1404</f>
        <v>1.0085430141820895E-2</v>
      </c>
      <c r="N1404" s="559">
        <f>'Progetto del paramento slu'!$G$60*(sezione!$AO$32-C1404)/C1404</f>
        <v>1.4265562493150401E-2</v>
      </c>
      <c r="O1404" s="559">
        <f>'Progetto del paramento slu'!$G$60*(sezione!$AP$32-C1404)/C1404</f>
        <v>1.0085691400092847E-2</v>
      </c>
      <c r="P1404" s="553">
        <f>-'Progetto del paramento slu'!$G$47*'Progetto del paramento slu'!$G$41*IF(DATI!$G$218="dx",DATI!$E$61,DATI!$E$64*DATI!$E$63)*1000*C1404*sezione!$AD$5</f>
        <v>-944192.40068910504</v>
      </c>
      <c r="Q1404" s="553">
        <f>'Foglio deposito bis'!$F$68*IF(ABS(K1404)&lt;'Progetto del paramento slu'!$G$58,ABS(K1404)*'Progetto del paramento slu'!$G$54,'Progetto del paramento slu'!$G$53)*IF(K1404&lt;0,-1,1)</f>
        <v>0</v>
      </c>
      <c r="R1404" s="553">
        <f>'Foglio deposito bis'!$F$69*IF(ABS(L1404)&lt;'Progetto del paramento slu'!$G$58,ABS(L1404)*'Progetto del paramento slu'!$G$54,'Progetto del paramento slu'!$G$53)*IF(L1404&lt;0,-1,1)</f>
        <v>153664.85805602249</v>
      </c>
      <c r="S1404" s="553">
        <f>'Foglio deposito bis'!$F$70*IF(ABS(M1404)&lt;'Progetto del paramento slu'!$G$58,ABS(M1404)*'Progetto del paramento slu'!$G$54,'Progetto del paramento slu'!$G$53)*IF(M1404&lt;0,-1,1)</f>
        <v>0</v>
      </c>
      <c r="T1404" s="553">
        <f>'Foglio deposito bis'!$F$71*IF(ABS(N1404)&lt;'Progetto del paramento slu'!$G$58,ABS(N1404)*'Progetto del paramento slu'!$G$54,'Progetto del paramento slu'!$G$53)*IF(N1404&lt;0,-1,1)</f>
        <v>314705.62929873407</v>
      </c>
      <c r="U1404" s="553">
        <f>'Foglio deposito bis'!$F$72*IF(ABS(O1404)&lt;'Progetto del paramento slu'!$G$58,ABS(O1404)*'Progetto del paramento slu'!$G$54,'Progetto del paramento slu'!$G$53)*IF(O1404&lt;0,-1,1)</f>
        <v>491727.54577927204</v>
      </c>
      <c r="V1404" s="479">
        <f t="shared" si="105"/>
        <v>15905.632444923627</v>
      </c>
      <c r="W1404" s="559"/>
      <c r="X1404" s="559"/>
    </row>
    <row r="1405" spans="1:24" x14ac:dyDescent="0.25">
      <c r="A1405" s="553">
        <f t="shared" si="104"/>
        <v>4460.8760729344795</v>
      </c>
      <c r="B1405" s="3">
        <f t="shared" si="102"/>
        <v>16.699999999999964</v>
      </c>
      <c r="C1405" s="553">
        <f>'Foglio deposito bis'!$E$158/sezione!$B$247*B1405</f>
        <v>67.795446549390931</v>
      </c>
      <c r="D1405" s="611">
        <f>-'Progetto del paramento slu'!$G$47*'Progetto del paramento slu'!$G$41*IF(DATI!$G$218="dx",DATI!$E$61,DATI!$E$64*DATI!$E$63)*1000*C1405^2*sezione!$AD$5*(1-sezione!$AD$6)</f>
        <v>-37836103.116454035</v>
      </c>
      <c r="E1405" s="553">
        <f>-'Foglio deposito bis'!$F$68*(C1405-sezione!$AL$32)*IF(ABS(K1405)&lt;'Progetto del paramento slu'!$G$58,ABS(K1405)*'Progetto del paramento slu'!$G$54,'Progetto del paramento slu'!$G$53)</f>
        <v>0</v>
      </c>
      <c r="F1405" s="553">
        <f>-'Foglio deposito bis'!$F$69*(C1405-sezione!$AM$32)*IF(ABS(L1405)&lt;'Progetto del paramento slu'!$G$58,ABS(L1405)*'Progetto del paramento slu'!$G$54,'Progetto del paramento slu'!$G$53)</f>
        <v>12631951.037546558</v>
      </c>
      <c r="G1405" s="553">
        <f>-'Foglio deposito bis'!$F$70*(C1405-sezione!$AN$32)*IF(ABS(M1405)&lt;'Progetto del paramento slu'!$G$58,ABS(M1405)*'Progetto del paramento slu'!$G$54,'Progetto del paramento slu'!$G$53)</f>
        <v>0</v>
      </c>
      <c r="H1405" s="553">
        <f>-'Foglio deposito bis'!$F$71*(C1405-sezione!$AO$32)*IF(ABS(N1405)&lt;'Progetto del paramento slu'!$G$58,ABS(N1405)*'Progetto del paramento slu'!$G$54,'Progetto del paramento slu'!$G$53)</f>
        <v>85664305.291654825</v>
      </c>
      <c r="I1405" s="479">
        <f>-'Foglio deposito bis'!$F$72*(C1405-sezione!$AP$32)*IF(ABS(O1405)&lt;'Progetto del paramento slu'!$G$58,ABS(O1405)*'Progetto del paramento slu'!$G$54,'Progetto del paramento slu'!$G$53)</f>
        <v>94514731.993597746</v>
      </c>
      <c r="J1405" s="479">
        <f t="shared" si="103"/>
        <v>154974885.20634508</v>
      </c>
      <c r="K1405" s="558">
        <f>'Progetto del paramento slu'!$G$60*(sezione!$AL$32-C1405)/C1405</f>
        <v>-1.4349645569779383E-3</v>
      </c>
      <c r="L1405" s="558">
        <f>'Progetto del paramento slu'!$G$60*(sezione!$AM$32-C1405)/C1405</f>
        <v>4.2438829113327307E-3</v>
      </c>
      <c r="M1405" s="559">
        <f>'Progetto del paramento slu'!$G$60*(sezione!$AN$32-C1405)/C1405</f>
        <v>9.9227303796434012E-3</v>
      </c>
      <c r="N1405" s="559">
        <f>'Progetto del paramento slu'!$G$60*(sezione!$AO$32-C1405)/C1405</f>
        <v>1.4052801265687524E-2</v>
      </c>
      <c r="O1405" s="559">
        <f>'Progetto del paramento slu'!$G$60*(sezione!$AP$32-C1405)/C1405</f>
        <v>9.9229885090737716E-3</v>
      </c>
      <c r="P1405" s="553">
        <f>-'Progetto del paramento slu'!$G$47*'Progetto del paramento slu'!$G$41*IF(DATI!$G$218="dx",DATI!$E$61,DATI!$E$64*DATI!$E$63)*1000*C1405*sezione!$AD$5</f>
        <v>-955637.15706109419</v>
      </c>
      <c r="Q1405" s="553">
        <f>'Foglio deposito bis'!$F$68*IF(ABS(K1405)&lt;'Progetto del paramento slu'!$G$58,ABS(K1405)*'Progetto del paramento slu'!$G$54,'Progetto del paramento slu'!$G$53)*IF(K1405&lt;0,-1,1)</f>
        <v>0</v>
      </c>
      <c r="R1405" s="553">
        <f>'Foglio deposito bis'!$F$69*IF(ABS(L1405)&lt;'Progetto del paramento slu'!$G$58,ABS(L1405)*'Progetto del paramento slu'!$G$54,'Progetto del paramento slu'!$G$53)*IF(L1405&lt;0,-1,1)</f>
        <v>153664.85805602249</v>
      </c>
      <c r="S1405" s="553">
        <f>'Foglio deposito bis'!$F$70*IF(ABS(M1405)&lt;'Progetto del paramento slu'!$G$58,ABS(M1405)*'Progetto del paramento slu'!$G$54,'Progetto del paramento slu'!$G$53)*IF(M1405&lt;0,-1,1)</f>
        <v>0</v>
      </c>
      <c r="T1405" s="553">
        <f>'Foglio deposito bis'!$F$71*IF(ABS(N1405)&lt;'Progetto del paramento slu'!$G$58,ABS(N1405)*'Progetto del paramento slu'!$G$54,'Progetto del paramento slu'!$G$53)*IF(N1405&lt;0,-1,1)</f>
        <v>314705.62929873407</v>
      </c>
      <c r="U1405" s="553">
        <f>'Foglio deposito bis'!$F$72*IF(ABS(O1405)&lt;'Progetto del paramento slu'!$G$58,ABS(O1405)*'Progetto del paramento slu'!$G$54,'Progetto del paramento slu'!$G$53)*IF(O1405&lt;0,-1,1)</f>
        <v>491727.54577927204</v>
      </c>
      <c r="V1405" s="479">
        <f t="shared" si="105"/>
        <v>4460.8760729344795</v>
      </c>
      <c r="W1405" s="559"/>
      <c r="X1405" s="559"/>
    </row>
    <row r="1406" spans="1:24" x14ac:dyDescent="0.25">
      <c r="A1406" s="553">
        <f t="shared" si="104"/>
        <v>6983.8802990549011</v>
      </c>
      <c r="B1406" s="3">
        <f t="shared" si="102"/>
        <v>16.899999999999963</v>
      </c>
      <c r="C1406" s="553">
        <f>'Foglio deposito bis'!$E$158/sezione!$B$247*B1406</f>
        <v>68.60736806495251</v>
      </c>
      <c r="D1406" s="611">
        <f>-'Progetto del paramento slu'!$G$47*'Progetto del paramento slu'!$G$41*IF(DATI!$G$218="dx",DATI!$E$61,DATI!$E$64*DATI!$E$63)*1000*C1406^2*sezione!$AD$5*(1-sezione!$AD$6)</f>
        <v>-38747783.75377547</v>
      </c>
      <c r="E1406" s="553">
        <f>-'Foglio deposito bis'!$F$68*(C1406-sezione!$AL$32)*IF(ABS(K1406)&lt;'Progetto del paramento slu'!$G$58,ABS(K1406)*'Progetto del paramento slu'!$G$54,'Progetto del paramento slu'!$G$53)</f>
        <v>0</v>
      </c>
      <c r="F1406" s="553">
        <f>-'Foglio deposito bis'!$F$69*(C1406-sezione!$AM$32)*IF(ABS(L1406)&lt;'Progetto del paramento slu'!$G$58,ABS(L1406)*'Progetto del paramento slu'!$G$54,'Progetto del paramento slu'!$G$53)</f>
        <v>12507187.233105157</v>
      </c>
      <c r="G1406" s="553">
        <f>-'Foglio deposito bis'!$F$70*(C1406-sezione!$AN$32)*IF(ABS(M1406)&lt;'Progetto del paramento slu'!$G$58,ABS(M1406)*'Progetto del paramento slu'!$G$54,'Progetto del paramento slu'!$G$53)</f>
        <v>0</v>
      </c>
      <c r="H1406" s="553">
        <f>-'Foglio deposito bis'!$F$71*(C1406-sezione!$AO$32)*IF(ABS(N1406)&lt;'Progetto del paramento slu'!$G$58,ABS(N1406)*'Progetto del paramento slu'!$G$54,'Progetto del paramento slu'!$G$53)</f>
        <v>85408789.020158827</v>
      </c>
      <c r="I1406" s="479">
        <f>-'Foglio deposito bis'!$F$72*(C1406-sezione!$AP$32)*IF(ABS(O1406)&lt;'Progetto del paramento slu'!$G$58,ABS(O1406)*'Progetto del paramento slu'!$G$54,'Progetto del paramento slu'!$G$53)</f>
        <v>94115487.81938526</v>
      </c>
      <c r="J1406" s="479">
        <f t="shared" si="103"/>
        <v>153283680.31887376</v>
      </c>
      <c r="K1406" s="558">
        <f>'Progetto del paramento slu'!$G$60*(sezione!$AL$32-C1406)/C1406</f>
        <v>-1.4594028462444719E-3</v>
      </c>
      <c r="L1406" s="558">
        <f>'Progetto del paramento slu'!$G$60*(sezione!$AM$32-C1406)/C1406</f>
        <v>4.1522393265832295E-3</v>
      </c>
      <c r="M1406" s="559">
        <f>'Progetto del paramento slu'!$G$60*(sezione!$AN$32-C1406)/C1406</f>
        <v>9.763881499410933E-3</v>
      </c>
      <c r="N1406" s="559">
        <f>'Progetto del paramento slu'!$G$60*(sezione!$AO$32-C1406)/C1406</f>
        <v>1.3845075806921988E-2</v>
      </c>
      <c r="O1406" s="559">
        <f>'Progetto del paramento slu'!$G$60*(sezione!$AP$32-C1406)/C1406</f>
        <v>9.7641365740551451E-3</v>
      </c>
      <c r="P1406" s="553">
        <f>-'Progetto del paramento slu'!$G$47*'Progetto del paramento slu'!$G$41*IF(DATI!$G$218="dx",DATI!$E$61,DATI!$E$64*DATI!$E$63)*1000*C1406*sezione!$AD$5</f>
        <v>-967081.91343308345</v>
      </c>
      <c r="Q1406" s="553">
        <f>'Foglio deposito bis'!$F$68*IF(ABS(K1406)&lt;'Progetto del paramento slu'!$G$58,ABS(K1406)*'Progetto del paramento slu'!$G$54,'Progetto del paramento slu'!$G$53)*IF(K1406&lt;0,-1,1)</f>
        <v>0</v>
      </c>
      <c r="R1406" s="553">
        <f>'Foglio deposito bis'!$F$69*IF(ABS(L1406)&lt;'Progetto del paramento slu'!$G$58,ABS(L1406)*'Progetto del paramento slu'!$G$54,'Progetto del paramento slu'!$G$53)*IF(L1406&lt;0,-1,1)</f>
        <v>153664.85805602249</v>
      </c>
      <c r="S1406" s="553">
        <f>'Foglio deposito bis'!$F$70*IF(ABS(M1406)&lt;'Progetto del paramento slu'!$G$58,ABS(M1406)*'Progetto del paramento slu'!$G$54,'Progetto del paramento slu'!$G$53)*IF(M1406&lt;0,-1,1)</f>
        <v>0</v>
      </c>
      <c r="T1406" s="553">
        <f>'Foglio deposito bis'!$F$71*IF(ABS(N1406)&lt;'Progetto del paramento slu'!$G$58,ABS(N1406)*'Progetto del paramento slu'!$G$54,'Progetto del paramento slu'!$G$53)*IF(N1406&lt;0,-1,1)</f>
        <v>314705.62929873407</v>
      </c>
      <c r="U1406" s="553">
        <f>'Foglio deposito bis'!$F$72*IF(ABS(O1406)&lt;'Progetto del paramento slu'!$G$58,ABS(O1406)*'Progetto del paramento slu'!$G$54,'Progetto del paramento slu'!$G$53)*IF(O1406&lt;0,-1,1)</f>
        <v>491727.54577927204</v>
      </c>
      <c r="V1406" s="479">
        <f t="shared" si="105"/>
        <v>-6983.8802990549011</v>
      </c>
      <c r="W1406" s="559"/>
      <c r="X1406" s="559"/>
    </row>
    <row r="1407" spans="1:24" x14ac:dyDescent="0.25">
      <c r="A1407" s="553">
        <f t="shared" si="104"/>
        <v>18428.636671044049</v>
      </c>
      <c r="B1407" s="3">
        <f t="shared" si="102"/>
        <v>17.099999999999962</v>
      </c>
      <c r="C1407" s="553">
        <f>'Foglio deposito bis'!$E$158/sezione!$B$247*B1407</f>
        <v>69.419289580514075</v>
      </c>
      <c r="D1407" s="611">
        <f>-'Progetto del paramento slu'!$G$47*'Progetto del paramento slu'!$G$41*IF(DATI!$G$218="dx",DATI!$E$61,DATI!$E$64*DATI!$E$63)*1000*C1407^2*sezione!$AD$5*(1-sezione!$AD$6)</f>
        <v>-39670317.732017376</v>
      </c>
      <c r="E1407" s="553">
        <f>-'Foglio deposito bis'!$F$68*(C1407-sezione!$AL$32)*IF(ABS(K1407)&lt;'Progetto del paramento slu'!$G$58,ABS(K1407)*'Progetto del paramento slu'!$G$54,'Progetto del paramento slu'!$G$53)</f>
        <v>0</v>
      </c>
      <c r="F1407" s="553">
        <f>-'Foglio deposito bis'!$F$69*(C1407-sezione!$AM$32)*IF(ABS(L1407)&lt;'Progetto del paramento slu'!$G$58,ABS(L1407)*'Progetto del paramento slu'!$G$54,'Progetto del paramento slu'!$G$53)</f>
        <v>12382423.428663757</v>
      </c>
      <c r="G1407" s="553">
        <f>-'Foglio deposito bis'!$F$70*(C1407-sezione!$AN$32)*IF(ABS(M1407)&lt;'Progetto del paramento slu'!$G$58,ABS(M1407)*'Progetto del paramento slu'!$G$54,'Progetto del paramento slu'!$G$53)</f>
        <v>0</v>
      </c>
      <c r="H1407" s="553">
        <f>-'Foglio deposito bis'!$F$71*(C1407-sezione!$AO$32)*IF(ABS(N1407)&lt;'Progetto del paramento slu'!$G$58,ABS(N1407)*'Progetto del paramento slu'!$G$54,'Progetto del paramento slu'!$G$53)</f>
        <v>85153272.748662844</v>
      </c>
      <c r="I1407" s="479">
        <f>-'Foglio deposito bis'!$F$72*(C1407-sezione!$AP$32)*IF(ABS(O1407)&lt;'Progetto del paramento slu'!$G$58,ABS(O1407)*'Progetto del paramento slu'!$G$54,'Progetto del paramento slu'!$G$53)</f>
        <v>93716243.64517279</v>
      </c>
      <c r="J1407" s="479">
        <f t="shared" si="103"/>
        <v>151581622.090482</v>
      </c>
      <c r="K1407" s="558">
        <f>'Progetto del paramento slu'!$G$60*(sezione!$AL$32-C1407)/C1407</f>
        <v>-1.4832694796217297E-3</v>
      </c>
      <c r="L1407" s="558">
        <f>'Progetto del paramento slu'!$G$60*(sezione!$AM$32-C1407)/C1407</f>
        <v>4.0627394514185138E-3</v>
      </c>
      <c r="M1407" s="559">
        <f>'Progetto del paramento slu'!$G$60*(sezione!$AN$32-C1407)/C1407</f>
        <v>9.6087483824587577E-3</v>
      </c>
      <c r="N1407" s="559">
        <f>'Progetto del paramento slu'!$G$60*(sezione!$AO$32-C1407)/C1407</f>
        <v>1.3642209423215299E-2</v>
      </c>
      <c r="O1407" s="559">
        <f>'Progetto del paramento slu'!$G$60*(sezione!$AP$32-C1407)/C1407</f>
        <v>9.6090004737737975E-3</v>
      </c>
      <c r="P1407" s="553">
        <f>-'Progetto del paramento slu'!$G$47*'Progetto del paramento slu'!$G$41*IF(DATI!$G$218="dx",DATI!$E$61,DATI!$E$64*DATI!$E$63)*1000*C1407*sezione!$AD$5</f>
        <v>-978526.6698050726</v>
      </c>
      <c r="Q1407" s="553">
        <f>'Foglio deposito bis'!$F$68*IF(ABS(K1407)&lt;'Progetto del paramento slu'!$G$58,ABS(K1407)*'Progetto del paramento slu'!$G$54,'Progetto del paramento slu'!$G$53)*IF(K1407&lt;0,-1,1)</f>
        <v>0</v>
      </c>
      <c r="R1407" s="553">
        <f>'Foglio deposito bis'!$F$69*IF(ABS(L1407)&lt;'Progetto del paramento slu'!$G$58,ABS(L1407)*'Progetto del paramento slu'!$G$54,'Progetto del paramento slu'!$G$53)*IF(L1407&lt;0,-1,1)</f>
        <v>153664.85805602249</v>
      </c>
      <c r="S1407" s="553">
        <f>'Foglio deposito bis'!$F$70*IF(ABS(M1407)&lt;'Progetto del paramento slu'!$G$58,ABS(M1407)*'Progetto del paramento slu'!$G$54,'Progetto del paramento slu'!$G$53)*IF(M1407&lt;0,-1,1)</f>
        <v>0</v>
      </c>
      <c r="T1407" s="553">
        <f>'Foglio deposito bis'!$F$71*IF(ABS(N1407)&lt;'Progetto del paramento slu'!$G$58,ABS(N1407)*'Progetto del paramento slu'!$G$54,'Progetto del paramento slu'!$G$53)*IF(N1407&lt;0,-1,1)</f>
        <v>314705.62929873407</v>
      </c>
      <c r="U1407" s="553">
        <f>'Foglio deposito bis'!$F$72*IF(ABS(O1407)&lt;'Progetto del paramento slu'!$G$58,ABS(O1407)*'Progetto del paramento slu'!$G$54,'Progetto del paramento slu'!$G$53)*IF(O1407&lt;0,-1,1)</f>
        <v>491727.54577927204</v>
      </c>
      <c r="V1407" s="479">
        <f t="shared" si="105"/>
        <v>-18428.636671044049</v>
      </c>
      <c r="W1407" s="559"/>
      <c r="X1407" s="559"/>
    </row>
    <row r="1408" spans="1:24" x14ac:dyDescent="0.25">
      <c r="A1408" s="553">
        <f t="shared" si="104"/>
        <v>29873.393043032964</v>
      </c>
      <c r="B1408" s="3">
        <f t="shared" si="102"/>
        <v>17.299999999999962</v>
      </c>
      <c r="C1408" s="553">
        <f>'Foglio deposito bis'!$E$158/sezione!$B$247*B1408</f>
        <v>70.23121109607564</v>
      </c>
      <c r="D1408" s="611">
        <f>-'Progetto del paramento slu'!$G$47*'Progetto del paramento slu'!$G$41*IF(DATI!$G$218="dx",DATI!$E$61,DATI!$E$64*DATI!$E$63)*1000*C1408^2*sezione!$AD$5*(1-sezione!$AD$6)</f>
        <v>-40603705.051179774</v>
      </c>
      <c r="E1408" s="553">
        <f>-'Foglio deposito bis'!$F$68*(C1408-sezione!$AL$32)*IF(ABS(K1408)&lt;'Progetto del paramento slu'!$G$58,ABS(K1408)*'Progetto del paramento slu'!$G$54,'Progetto del paramento slu'!$G$53)</f>
        <v>0</v>
      </c>
      <c r="F1408" s="553">
        <f>-'Foglio deposito bis'!$F$69*(C1408-sezione!$AM$32)*IF(ABS(L1408)&lt;'Progetto del paramento slu'!$G$58,ABS(L1408)*'Progetto del paramento slu'!$G$54,'Progetto del paramento slu'!$G$53)</f>
        <v>12257659.624222359</v>
      </c>
      <c r="G1408" s="553">
        <f>-'Foglio deposito bis'!$F$70*(C1408-sezione!$AN$32)*IF(ABS(M1408)&lt;'Progetto del paramento slu'!$G$58,ABS(M1408)*'Progetto del paramento slu'!$G$54,'Progetto del paramento slu'!$G$53)</f>
        <v>0</v>
      </c>
      <c r="H1408" s="553">
        <f>-'Foglio deposito bis'!$F$71*(C1408-sezione!$AO$32)*IF(ABS(N1408)&lt;'Progetto del paramento slu'!$G$58,ABS(N1408)*'Progetto del paramento slu'!$G$54,'Progetto del paramento slu'!$G$53)</f>
        <v>84897756.477166876</v>
      </c>
      <c r="I1408" s="479">
        <f>-'Foglio deposito bis'!$F$72*(C1408-sezione!$AP$32)*IF(ABS(O1408)&lt;'Progetto del paramento slu'!$G$58,ABS(O1408)*'Progetto del paramento slu'!$G$54,'Progetto del paramento slu'!$G$53)</f>
        <v>93316999.470960319</v>
      </c>
      <c r="J1408" s="479">
        <f t="shared" si="103"/>
        <v>149868710.52116978</v>
      </c>
      <c r="K1408" s="558">
        <f>'Progetto del paramento slu'!$G$60*(sezione!$AL$32-C1408)/C1408</f>
        <v>-1.5065842833255245E-3</v>
      </c>
      <c r="L1408" s="558">
        <f>'Progetto del paramento slu'!$G$60*(sezione!$AM$32-C1408)/C1408</f>
        <v>3.9753089375292828E-3</v>
      </c>
      <c r="M1408" s="559">
        <f>'Progetto del paramento slu'!$G$60*(sezione!$AN$32-C1408)/C1408</f>
        <v>9.4572021583840919E-3</v>
      </c>
      <c r="N1408" s="559">
        <f>'Progetto del paramento slu'!$G$60*(sezione!$AO$32-C1408)/C1408</f>
        <v>1.3444033591733042E-2</v>
      </c>
      <c r="O1408" s="559">
        <f>'Progetto del paramento slu'!$G$60*(sezione!$AP$32-C1408)/C1408</f>
        <v>9.4574513353486694E-3</v>
      </c>
      <c r="P1408" s="553">
        <f>-'Progetto del paramento slu'!$G$47*'Progetto del paramento slu'!$G$41*IF(DATI!$G$218="dx",DATI!$E$61,DATI!$E$64*DATI!$E$63)*1000*C1408*sezione!$AD$5</f>
        <v>-989971.42617706163</v>
      </c>
      <c r="Q1408" s="553">
        <f>'Foglio deposito bis'!$F$68*IF(ABS(K1408)&lt;'Progetto del paramento slu'!$G$58,ABS(K1408)*'Progetto del paramento slu'!$G$54,'Progetto del paramento slu'!$G$53)*IF(K1408&lt;0,-1,1)</f>
        <v>0</v>
      </c>
      <c r="R1408" s="553">
        <f>'Foglio deposito bis'!$F$69*IF(ABS(L1408)&lt;'Progetto del paramento slu'!$G$58,ABS(L1408)*'Progetto del paramento slu'!$G$54,'Progetto del paramento slu'!$G$53)*IF(L1408&lt;0,-1,1)</f>
        <v>153664.85805602249</v>
      </c>
      <c r="S1408" s="553">
        <f>'Foglio deposito bis'!$F$70*IF(ABS(M1408)&lt;'Progetto del paramento slu'!$G$58,ABS(M1408)*'Progetto del paramento slu'!$G$54,'Progetto del paramento slu'!$G$53)*IF(M1408&lt;0,-1,1)</f>
        <v>0</v>
      </c>
      <c r="T1408" s="553">
        <f>'Foglio deposito bis'!$F$71*IF(ABS(N1408)&lt;'Progetto del paramento slu'!$G$58,ABS(N1408)*'Progetto del paramento slu'!$G$54,'Progetto del paramento slu'!$G$53)*IF(N1408&lt;0,-1,1)</f>
        <v>314705.62929873407</v>
      </c>
      <c r="U1408" s="553">
        <f>'Foglio deposito bis'!$F$72*IF(ABS(O1408)&lt;'Progetto del paramento slu'!$G$58,ABS(O1408)*'Progetto del paramento slu'!$G$54,'Progetto del paramento slu'!$G$53)*IF(O1408&lt;0,-1,1)</f>
        <v>491727.54577927204</v>
      </c>
      <c r="V1408" s="479">
        <f t="shared" si="105"/>
        <v>-29873.393043032964</v>
      </c>
      <c r="W1408" s="559"/>
      <c r="X1408" s="559"/>
    </row>
    <row r="1409" spans="1:24" x14ac:dyDescent="0.25">
      <c r="A1409" s="553">
        <f t="shared" si="104"/>
        <v>41318.14941502217</v>
      </c>
      <c r="B1409" s="3">
        <f t="shared" si="102"/>
        <v>17.499999999999961</v>
      </c>
      <c r="C1409" s="553">
        <f>'Foglio deposito bis'!$E$158/sezione!$B$247*B1409</f>
        <v>71.043132611637205</v>
      </c>
      <c r="D1409" s="611">
        <f>-'Progetto del paramento slu'!$G$47*'Progetto del paramento slu'!$G$41*IF(DATI!$G$218="dx",DATI!$E$61,DATI!$E$64*DATI!$E$63)*1000*C1409^2*sezione!$AD$5*(1-sezione!$AD$6)</f>
        <v>-41547945.711262673</v>
      </c>
      <c r="E1409" s="553">
        <f>-'Foglio deposito bis'!$F$68*(C1409-sezione!$AL$32)*IF(ABS(K1409)&lt;'Progetto del paramento slu'!$G$58,ABS(K1409)*'Progetto del paramento slu'!$G$54,'Progetto del paramento slu'!$G$53)</f>
        <v>0</v>
      </c>
      <c r="F1409" s="553">
        <f>-'Foglio deposito bis'!$F$69*(C1409-sezione!$AM$32)*IF(ABS(L1409)&lt;'Progetto del paramento slu'!$G$58,ABS(L1409)*'Progetto del paramento slu'!$G$54,'Progetto del paramento slu'!$G$53)</f>
        <v>12132895.819780961</v>
      </c>
      <c r="G1409" s="553">
        <f>-'Foglio deposito bis'!$F$70*(C1409-sezione!$AN$32)*IF(ABS(M1409)&lt;'Progetto del paramento slu'!$G$58,ABS(M1409)*'Progetto del paramento slu'!$G$54,'Progetto del paramento slu'!$G$53)</f>
        <v>0</v>
      </c>
      <c r="H1409" s="553">
        <f>-'Foglio deposito bis'!$F$71*(C1409-sezione!$AO$32)*IF(ABS(N1409)&lt;'Progetto del paramento slu'!$G$58,ABS(N1409)*'Progetto del paramento slu'!$G$54,'Progetto del paramento slu'!$G$53)</f>
        <v>84642240.205670878</v>
      </c>
      <c r="I1409" s="479">
        <f>-'Foglio deposito bis'!$F$72*(C1409-sezione!$AP$32)*IF(ABS(O1409)&lt;'Progetto del paramento slu'!$G$58,ABS(O1409)*'Progetto del paramento slu'!$G$54,'Progetto del paramento slu'!$G$53)</f>
        <v>92917755.296747848</v>
      </c>
      <c r="J1409" s="479">
        <f t="shared" si="103"/>
        <v>148144945.610937</v>
      </c>
      <c r="K1409" s="558">
        <f>'Progetto del paramento slu'!$G$60*(sezione!$AL$32-C1409)/C1409</f>
        <v>-1.5293661772303757E-3</v>
      </c>
      <c r="L1409" s="558">
        <f>'Progetto del paramento slu'!$G$60*(sezione!$AM$32-C1409)/C1409</f>
        <v>3.8898768353860919E-3</v>
      </c>
      <c r="M1409" s="559">
        <f>'Progetto del paramento slu'!$G$60*(sezione!$AN$32-C1409)/C1409</f>
        <v>9.3091198480025599E-3</v>
      </c>
      <c r="N1409" s="559">
        <f>'Progetto del paramento slu'!$G$60*(sezione!$AO$32-C1409)/C1409</f>
        <v>1.3250387493541809E-2</v>
      </c>
      <c r="O1409" s="559">
        <f>'Progetto del paramento slu'!$G$60*(sezione!$AP$32-C1409)/C1409</f>
        <v>9.3093661772304E-3</v>
      </c>
      <c r="P1409" s="553">
        <f>-'Progetto del paramento slu'!$G$47*'Progetto del paramento slu'!$G$41*IF(DATI!$G$218="dx",DATI!$E$61,DATI!$E$64*DATI!$E$63)*1000*C1409*sezione!$AD$5</f>
        <v>-1001416.1825490508</v>
      </c>
      <c r="Q1409" s="553">
        <f>'Foglio deposito bis'!$F$68*IF(ABS(K1409)&lt;'Progetto del paramento slu'!$G$58,ABS(K1409)*'Progetto del paramento slu'!$G$54,'Progetto del paramento slu'!$G$53)*IF(K1409&lt;0,-1,1)</f>
        <v>0</v>
      </c>
      <c r="R1409" s="553">
        <f>'Foglio deposito bis'!$F$69*IF(ABS(L1409)&lt;'Progetto del paramento slu'!$G$58,ABS(L1409)*'Progetto del paramento slu'!$G$54,'Progetto del paramento slu'!$G$53)*IF(L1409&lt;0,-1,1)</f>
        <v>153664.85805602249</v>
      </c>
      <c r="S1409" s="553">
        <f>'Foglio deposito bis'!$F$70*IF(ABS(M1409)&lt;'Progetto del paramento slu'!$G$58,ABS(M1409)*'Progetto del paramento slu'!$G$54,'Progetto del paramento slu'!$G$53)*IF(M1409&lt;0,-1,1)</f>
        <v>0</v>
      </c>
      <c r="T1409" s="553">
        <f>'Foglio deposito bis'!$F$71*IF(ABS(N1409)&lt;'Progetto del paramento slu'!$G$58,ABS(N1409)*'Progetto del paramento slu'!$G$54,'Progetto del paramento slu'!$G$53)*IF(N1409&lt;0,-1,1)</f>
        <v>314705.62929873407</v>
      </c>
      <c r="U1409" s="553">
        <f>'Foglio deposito bis'!$F$72*IF(ABS(O1409)&lt;'Progetto del paramento slu'!$G$58,ABS(O1409)*'Progetto del paramento slu'!$G$54,'Progetto del paramento slu'!$G$53)*IF(O1409&lt;0,-1,1)</f>
        <v>491727.54577927204</v>
      </c>
      <c r="V1409" s="479">
        <f t="shared" si="105"/>
        <v>-41318.14941502217</v>
      </c>
      <c r="W1409" s="559"/>
      <c r="X1409" s="559"/>
    </row>
    <row r="1410" spans="1:24" x14ac:dyDescent="0.25">
      <c r="A1410" s="553">
        <f t="shared" si="104"/>
        <v>52762.905787011317</v>
      </c>
      <c r="B1410" s="3">
        <f t="shared" si="102"/>
        <v>17.69999999999996</v>
      </c>
      <c r="C1410" s="553">
        <f>'Foglio deposito bis'!$E$158/sezione!$B$247*B1410</f>
        <v>71.85505412719877</v>
      </c>
      <c r="D1410" s="611">
        <f>-'Progetto del paramento slu'!$G$47*'Progetto del paramento slu'!$G$41*IF(DATI!$G$218="dx",DATI!$E$61,DATI!$E$64*DATI!$E$63)*1000*C1410^2*sezione!$AD$5*(1-sezione!$AD$6)</f>
        <v>-42503039.712266073</v>
      </c>
      <c r="E1410" s="553">
        <f>-'Foglio deposito bis'!$F$68*(C1410-sezione!$AL$32)*IF(ABS(K1410)&lt;'Progetto del paramento slu'!$G$58,ABS(K1410)*'Progetto del paramento slu'!$G$54,'Progetto del paramento slu'!$G$53)</f>
        <v>0</v>
      </c>
      <c r="F1410" s="553">
        <f>-'Foglio deposito bis'!$F$69*(C1410-sezione!$AM$32)*IF(ABS(L1410)&lt;'Progetto del paramento slu'!$G$58,ABS(L1410)*'Progetto del paramento slu'!$G$54,'Progetto del paramento slu'!$G$53)</f>
        <v>12008132.015339563</v>
      </c>
      <c r="G1410" s="553">
        <f>-'Foglio deposito bis'!$F$70*(C1410-sezione!$AN$32)*IF(ABS(M1410)&lt;'Progetto del paramento slu'!$G$58,ABS(M1410)*'Progetto del paramento slu'!$G$54,'Progetto del paramento slu'!$G$53)</f>
        <v>0</v>
      </c>
      <c r="H1410" s="553">
        <f>-'Foglio deposito bis'!$F$71*(C1410-sezione!$AO$32)*IF(ABS(N1410)&lt;'Progetto del paramento slu'!$G$58,ABS(N1410)*'Progetto del paramento slu'!$G$54,'Progetto del paramento slu'!$G$53)</f>
        <v>84386723.93417491</v>
      </c>
      <c r="I1410" s="479">
        <f>-'Foglio deposito bis'!$F$72*(C1410-sezione!$AP$32)*IF(ABS(O1410)&lt;'Progetto del paramento slu'!$G$58,ABS(O1410)*'Progetto del paramento slu'!$G$54,'Progetto del paramento slu'!$G$53)</f>
        <v>92518511.122535363</v>
      </c>
      <c r="J1410" s="479">
        <f t="shared" si="103"/>
        <v>146410327.35978377</v>
      </c>
      <c r="K1410" s="558">
        <f>'Progetto del paramento slu'!$G$60*(sezione!$AL$32-C1410)/C1410</f>
        <v>-1.5516332260752299E-3</v>
      </c>
      <c r="L1410" s="558">
        <f>'Progetto del paramento slu'!$G$60*(sezione!$AM$32-C1410)/C1410</f>
        <v>3.8063754022178878E-3</v>
      </c>
      <c r="M1410" s="559">
        <f>'Progetto del paramento slu'!$G$60*(sezione!$AN$32-C1410)/C1410</f>
        <v>9.1643840305110046E-3</v>
      </c>
      <c r="N1410" s="559">
        <f>'Progetto del paramento slu'!$G$60*(sezione!$AO$32-C1410)/C1410</f>
        <v>1.3061117578360548E-2</v>
      </c>
      <c r="O1410" s="559">
        <f>'Progetto del paramento slu'!$G$60*(sezione!$AP$32-C1410)/C1410</f>
        <v>9.1646275763577409E-3</v>
      </c>
      <c r="P1410" s="553">
        <f>-'Progetto del paramento slu'!$G$47*'Progetto del paramento slu'!$G$41*IF(DATI!$G$218="dx",DATI!$E$61,DATI!$E$64*DATI!$E$63)*1000*C1410*sezione!$AD$5</f>
        <v>-1012860.9389210398</v>
      </c>
      <c r="Q1410" s="553">
        <f>'Foglio deposito bis'!$F$68*IF(ABS(K1410)&lt;'Progetto del paramento slu'!$G$58,ABS(K1410)*'Progetto del paramento slu'!$G$54,'Progetto del paramento slu'!$G$53)*IF(K1410&lt;0,-1,1)</f>
        <v>0</v>
      </c>
      <c r="R1410" s="553">
        <f>'Foglio deposito bis'!$F$69*IF(ABS(L1410)&lt;'Progetto del paramento slu'!$G$58,ABS(L1410)*'Progetto del paramento slu'!$G$54,'Progetto del paramento slu'!$G$53)*IF(L1410&lt;0,-1,1)</f>
        <v>153664.85805602249</v>
      </c>
      <c r="S1410" s="553">
        <f>'Foglio deposito bis'!$F$70*IF(ABS(M1410)&lt;'Progetto del paramento slu'!$G$58,ABS(M1410)*'Progetto del paramento slu'!$G$54,'Progetto del paramento slu'!$G$53)*IF(M1410&lt;0,-1,1)</f>
        <v>0</v>
      </c>
      <c r="T1410" s="553">
        <f>'Foglio deposito bis'!$F$71*IF(ABS(N1410)&lt;'Progetto del paramento slu'!$G$58,ABS(N1410)*'Progetto del paramento slu'!$G$54,'Progetto del paramento slu'!$G$53)*IF(N1410&lt;0,-1,1)</f>
        <v>314705.62929873407</v>
      </c>
      <c r="U1410" s="553">
        <f>'Foglio deposito bis'!$F$72*IF(ABS(O1410)&lt;'Progetto del paramento slu'!$G$58,ABS(O1410)*'Progetto del paramento slu'!$G$54,'Progetto del paramento slu'!$G$53)*IF(O1410&lt;0,-1,1)</f>
        <v>491727.54577927204</v>
      </c>
      <c r="V1410" s="479">
        <f t="shared" si="105"/>
        <v>-52762.905787011317</v>
      </c>
      <c r="W1410" s="559"/>
      <c r="X1410" s="559"/>
    </row>
    <row r="1411" spans="1:24" x14ac:dyDescent="0.25">
      <c r="A1411" s="553">
        <f t="shared" si="104"/>
        <v>64207.662159000465</v>
      </c>
      <c r="B1411" s="3">
        <f t="shared" si="102"/>
        <v>17.899999999999959</v>
      </c>
      <c r="C1411" s="553">
        <f>'Foglio deposito bis'!$E$158/sezione!$B$247*B1411</f>
        <v>72.666975642760335</v>
      </c>
      <c r="D1411" s="611">
        <f>-'Progetto del paramento slu'!$G$47*'Progetto del paramento slu'!$G$41*IF(DATI!$G$218="dx",DATI!$E$61,DATI!$E$64*DATI!$E$63)*1000*C1411^2*sezione!$AD$5*(1-sezione!$AD$6)</f>
        <v>-43468987.054189965</v>
      </c>
      <c r="E1411" s="553">
        <f>-'Foglio deposito bis'!$F$68*(C1411-sezione!$AL$32)*IF(ABS(K1411)&lt;'Progetto del paramento slu'!$G$58,ABS(K1411)*'Progetto del paramento slu'!$G$54,'Progetto del paramento slu'!$G$53)</f>
        <v>0</v>
      </c>
      <c r="F1411" s="553">
        <f>-'Foglio deposito bis'!$F$69*(C1411-sezione!$AM$32)*IF(ABS(L1411)&lt;'Progetto del paramento slu'!$G$58,ABS(L1411)*'Progetto del paramento slu'!$G$54,'Progetto del paramento slu'!$G$53)</f>
        <v>11883368.210898163</v>
      </c>
      <c r="G1411" s="553">
        <f>-'Foglio deposito bis'!$F$70*(C1411-sezione!$AN$32)*IF(ABS(M1411)&lt;'Progetto del paramento slu'!$G$58,ABS(M1411)*'Progetto del paramento slu'!$G$54,'Progetto del paramento slu'!$G$53)</f>
        <v>0</v>
      </c>
      <c r="H1411" s="553">
        <f>-'Foglio deposito bis'!$F$71*(C1411-sezione!$AO$32)*IF(ABS(N1411)&lt;'Progetto del paramento slu'!$G$58,ABS(N1411)*'Progetto del paramento slu'!$G$54,'Progetto del paramento slu'!$G$53)</f>
        <v>84131207.662678912</v>
      </c>
      <c r="I1411" s="479">
        <f>-'Foglio deposito bis'!$F$72*(C1411-sezione!$AP$32)*IF(ABS(O1411)&lt;'Progetto del paramento slu'!$G$58,ABS(O1411)*'Progetto del paramento slu'!$G$54,'Progetto del paramento slu'!$G$53)</f>
        <v>92119266.948322892</v>
      </c>
      <c r="J1411" s="479">
        <f t="shared" si="103"/>
        <v>144664855.76771</v>
      </c>
      <c r="K1411" s="558">
        <f>'Progetto del paramento slu'!$G$60*(sezione!$AL$32-C1411)/C1411</f>
        <v>-1.5734026872364006E-3</v>
      </c>
      <c r="L1411" s="558">
        <f>'Progetto del paramento slu'!$G$60*(sezione!$AM$32-C1411)/C1411</f>
        <v>3.7247399228634982E-3</v>
      </c>
      <c r="M1411" s="559">
        <f>'Progetto del paramento slu'!$G$60*(sezione!$AN$32-C1411)/C1411</f>
        <v>9.0228825329633968E-3</v>
      </c>
      <c r="N1411" s="559">
        <f>'Progetto del paramento slu'!$G$60*(sezione!$AO$32-C1411)/C1411</f>
        <v>1.2876077158490595E-2</v>
      </c>
      <c r="O1411" s="559">
        <f>'Progetto del paramento slu'!$G$60*(sezione!$AP$32-C1411)/C1411</f>
        <v>9.0231233576274859E-3</v>
      </c>
      <c r="P1411" s="553">
        <f>-'Progetto del paramento slu'!$G$47*'Progetto del paramento slu'!$G$41*IF(DATI!$G$218="dx",DATI!$E$61,DATI!$E$64*DATI!$E$63)*1000*C1411*sezione!$AD$5</f>
        <v>-1024305.695293029</v>
      </c>
      <c r="Q1411" s="553">
        <f>'Foglio deposito bis'!$F$68*IF(ABS(K1411)&lt;'Progetto del paramento slu'!$G$58,ABS(K1411)*'Progetto del paramento slu'!$G$54,'Progetto del paramento slu'!$G$53)*IF(K1411&lt;0,-1,1)</f>
        <v>0</v>
      </c>
      <c r="R1411" s="553">
        <f>'Foglio deposito bis'!$F$69*IF(ABS(L1411)&lt;'Progetto del paramento slu'!$G$58,ABS(L1411)*'Progetto del paramento slu'!$G$54,'Progetto del paramento slu'!$G$53)*IF(L1411&lt;0,-1,1)</f>
        <v>153664.85805602249</v>
      </c>
      <c r="S1411" s="553">
        <f>'Foglio deposito bis'!$F$70*IF(ABS(M1411)&lt;'Progetto del paramento slu'!$G$58,ABS(M1411)*'Progetto del paramento slu'!$G$54,'Progetto del paramento slu'!$G$53)*IF(M1411&lt;0,-1,1)</f>
        <v>0</v>
      </c>
      <c r="T1411" s="553">
        <f>'Foglio deposito bis'!$F$71*IF(ABS(N1411)&lt;'Progetto del paramento slu'!$G$58,ABS(N1411)*'Progetto del paramento slu'!$G$54,'Progetto del paramento slu'!$G$53)*IF(N1411&lt;0,-1,1)</f>
        <v>314705.62929873407</v>
      </c>
      <c r="U1411" s="553">
        <f>'Foglio deposito bis'!$F$72*IF(ABS(O1411)&lt;'Progetto del paramento slu'!$G$58,ABS(O1411)*'Progetto del paramento slu'!$G$54,'Progetto del paramento slu'!$G$53)*IF(O1411&lt;0,-1,1)</f>
        <v>491727.54577927204</v>
      </c>
      <c r="V1411" s="479">
        <f t="shared" si="105"/>
        <v>-64207.662159000465</v>
      </c>
      <c r="W1411" s="559"/>
      <c r="X1411" s="559"/>
    </row>
    <row r="1412" spans="1:24" x14ac:dyDescent="0.25">
      <c r="A1412" s="553">
        <f t="shared" si="104"/>
        <v>75652.418530989613</v>
      </c>
      <c r="B1412" s="3">
        <f t="shared" si="102"/>
        <v>18.099999999999959</v>
      </c>
      <c r="C1412" s="553">
        <f>'Foglio deposito bis'!$E$158/sezione!$B$247*B1412</f>
        <v>73.478897158321899</v>
      </c>
      <c r="D1412" s="611">
        <f>-'Progetto del paramento slu'!$G$47*'Progetto del paramento slu'!$G$41*IF(DATI!$G$218="dx",DATI!$E$61,DATI!$E$64*DATI!$E$63)*1000*C1412^2*sezione!$AD$5*(1-sezione!$AD$6)</f>
        <v>-44445787.737034321</v>
      </c>
      <c r="E1412" s="553">
        <f>-'Foglio deposito bis'!$F$68*(C1412-sezione!$AL$32)*IF(ABS(K1412)&lt;'Progetto del paramento slu'!$G$58,ABS(K1412)*'Progetto del paramento slu'!$G$54,'Progetto del paramento slu'!$G$53)</f>
        <v>0</v>
      </c>
      <c r="F1412" s="553">
        <f>-'Foglio deposito bis'!$F$69*(C1412-sezione!$AM$32)*IF(ABS(L1412)&lt;'Progetto del paramento slu'!$G$58,ABS(L1412)*'Progetto del paramento slu'!$G$54,'Progetto del paramento slu'!$G$53)</f>
        <v>11758604.406456765</v>
      </c>
      <c r="G1412" s="553">
        <f>-'Foglio deposito bis'!$F$70*(C1412-sezione!$AN$32)*IF(ABS(M1412)&lt;'Progetto del paramento slu'!$G$58,ABS(M1412)*'Progetto del paramento slu'!$G$54,'Progetto del paramento slu'!$G$53)</f>
        <v>0</v>
      </c>
      <c r="H1412" s="553">
        <f>-'Foglio deposito bis'!$F$71*(C1412-sezione!$AO$32)*IF(ABS(N1412)&lt;'Progetto del paramento slu'!$G$58,ABS(N1412)*'Progetto del paramento slu'!$G$54,'Progetto del paramento slu'!$G$53)</f>
        <v>83875691.391182929</v>
      </c>
      <c r="I1412" s="479">
        <f>-'Foglio deposito bis'!$F$72*(C1412-sezione!$AP$32)*IF(ABS(O1412)&lt;'Progetto del paramento slu'!$G$58,ABS(O1412)*'Progetto del paramento slu'!$G$54,'Progetto del paramento slu'!$G$53)</f>
        <v>91720022.774110422</v>
      </c>
      <c r="J1412" s="479">
        <f t="shared" si="103"/>
        <v>142908530.83471578</v>
      </c>
      <c r="K1412" s="558">
        <f>'Progetto del paramento slu'!$G$60*(sezione!$AL$32-C1412)/C1412</f>
        <v>-1.5946910553332357E-3</v>
      </c>
      <c r="L1412" s="558">
        <f>'Progetto del paramento slu'!$G$60*(sezione!$AM$32-C1412)/C1412</f>
        <v>3.6449085425003663E-3</v>
      </c>
      <c r="M1412" s="559">
        <f>'Progetto del paramento slu'!$G$60*(sezione!$AN$32-C1412)/C1412</f>
        <v>8.8845081403339677E-3</v>
      </c>
      <c r="N1412" s="559">
        <f>'Progetto del paramento slu'!$G$60*(sezione!$AO$32-C1412)/C1412</f>
        <v>1.2695126029667497E-2</v>
      </c>
      <c r="O1412" s="559">
        <f>'Progetto del paramento slu'!$G$60*(sezione!$AP$32-C1412)/C1412</f>
        <v>8.8847463039520465E-3</v>
      </c>
      <c r="P1412" s="553">
        <f>-'Progetto del paramento slu'!$G$47*'Progetto del paramento slu'!$G$41*IF(DATI!$G$218="dx",DATI!$E$61,DATI!$E$64*DATI!$E$63)*1000*C1412*sezione!$AD$5</f>
        <v>-1035750.4516650181</v>
      </c>
      <c r="Q1412" s="553">
        <f>'Foglio deposito bis'!$F$68*IF(ABS(K1412)&lt;'Progetto del paramento slu'!$G$58,ABS(K1412)*'Progetto del paramento slu'!$G$54,'Progetto del paramento slu'!$G$53)*IF(K1412&lt;0,-1,1)</f>
        <v>0</v>
      </c>
      <c r="R1412" s="553">
        <f>'Foglio deposito bis'!$F$69*IF(ABS(L1412)&lt;'Progetto del paramento slu'!$G$58,ABS(L1412)*'Progetto del paramento slu'!$G$54,'Progetto del paramento slu'!$G$53)*IF(L1412&lt;0,-1,1)</f>
        <v>153664.85805602249</v>
      </c>
      <c r="S1412" s="553">
        <f>'Foglio deposito bis'!$F$70*IF(ABS(M1412)&lt;'Progetto del paramento slu'!$G$58,ABS(M1412)*'Progetto del paramento slu'!$G$54,'Progetto del paramento slu'!$G$53)*IF(M1412&lt;0,-1,1)</f>
        <v>0</v>
      </c>
      <c r="T1412" s="553">
        <f>'Foglio deposito bis'!$F$71*IF(ABS(N1412)&lt;'Progetto del paramento slu'!$G$58,ABS(N1412)*'Progetto del paramento slu'!$G$54,'Progetto del paramento slu'!$G$53)*IF(N1412&lt;0,-1,1)</f>
        <v>314705.62929873407</v>
      </c>
      <c r="U1412" s="553">
        <f>'Foglio deposito bis'!$F$72*IF(ABS(O1412)&lt;'Progetto del paramento slu'!$G$58,ABS(O1412)*'Progetto del paramento slu'!$G$54,'Progetto del paramento slu'!$G$53)*IF(O1412&lt;0,-1,1)</f>
        <v>491727.54577927204</v>
      </c>
      <c r="V1412" s="479">
        <f t="shared" si="105"/>
        <v>-75652.418530989613</v>
      </c>
      <c r="W1412" s="559"/>
      <c r="X1412" s="559"/>
    </row>
    <row r="1413" spans="1:24" x14ac:dyDescent="0.25">
      <c r="A1413" s="553">
        <f t="shared" si="104"/>
        <v>87097.174902978761</v>
      </c>
      <c r="B1413" s="3">
        <f t="shared" ref="B1413:B1436" si="106">B1412+0.2</f>
        <v>18.299999999999958</v>
      </c>
      <c r="C1413" s="553">
        <f>'Foglio deposito bis'!$E$158/sezione!$B$247*B1413</f>
        <v>74.290818673883479</v>
      </c>
      <c r="D1413" s="611">
        <f>-'Progetto del paramento slu'!$G$47*'Progetto del paramento slu'!$G$41*IF(DATI!$G$218="dx",DATI!$E$61,DATI!$E$64*DATI!$E$63)*1000*C1413^2*sezione!$AD$5*(1-sezione!$AD$6)</f>
        <v>-45433441.760799207</v>
      </c>
      <c r="E1413" s="553">
        <f>-'Foglio deposito bis'!$F$68*(C1413-sezione!$AL$32)*IF(ABS(K1413)&lt;'Progetto del paramento slu'!$G$58,ABS(K1413)*'Progetto del paramento slu'!$G$54,'Progetto del paramento slu'!$G$53)</f>
        <v>0</v>
      </c>
      <c r="F1413" s="553">
        <f>-'Foglio deposito bis'!$F$69*(C1413-sezione!$AM$32)*IF(ABS(L1413)&lt;'Progetto del paramento slu'!$G$58,ABS(L1413)*'Progetto del paramento slu'!$G$54,'Progetto del paramento slu'!$G$53)</f>
        <v>11633840.602015365</v>
      </c>
      <c r="G1413" s="553">
        <f>-'Foglio deposito bis'!$F$70*(C1413-sezione!$AN$32)*IF(ABS(M1413)&lt;'Progetto del paramento slu'!$G$58,ABS(M1413)*'Progetto del paramento slu'!$G$54,'Progetto del paramento slu'!$G$53)</f>
        <v>0</v>
      </c>
      <c r="H1413" s="553">
        <f>-'Foglio deposito bis'!$F$71*(C1413-sezione!$AO$32)*IF(ABS(N1413)&lt;'Progetto del paramento slu'!$G$58,ABS(N1413)*'Progetto del paramento slu'!$G$54,'Progetto del paramento slu'!$G$53)</f>
        <v>83620175.119686946</v>
      </c>
      <c r="I1413" s="479">
        <f>-'Foglio deposito bis'!$F$72*(C1413-sezione!$AP$32)*IF(ABS(O1413)&lt;'Progetto del paramento slu'!$G$58,ABS(O1413)*'Progetto del paramento slu'!$G$54,'Progetto del paramento slu'!$G$53)</f>
        <v>91320778.599897936</v>
      </c>
      <c r="J1413" s="479">
        <f t="shared" si="103"/>
        <v>141141352.56080103</v>
      </c>
      <c r="K1413" s="558">
        <f>'Progetto del paramento slu'!$G$60*(sezione!$AL$32-C1413)/C1413</f>
        <v>-1.615514103908829E-3</v>
      </c>
      <c r="L1413" s="558">
        <f>'Progetto del paramento slu'!$G$60*(sezione!$AM$32-C1413)/C1413</f>
        <v>3.5668221103418913E-3</v>
      </c>
      <c r="M1413" s="559">
        <f>'Progetto del paramento slu'!$G$60*(sezione!$AN$32-C1413)/C1413</f>
        <v>8.7491583245926114E-3</v>
      </c>
      <c r="N1413" s="559">
        <f>'Progetto del paramento slu'!$G$60*(sezione!$AO$32-C1413)/C1413</f>
        <v>1.2518130116774955E-2</v>
      </c>
      <c r="O1413" s="559">
        <f>'Progetto del paramento slu'!$G$60*(sezione!$AP$32-C1413)/C1413</f>
        <v>8.7493938853296163E-3</v>
      </c>
      <c r="P1413" s="553">
        <f>-'Progetto del paramento slu'!$G$47*'Progetto del paramento slu'!$G$41*IF(DATI!$G$218="dx",DATI!$E$61,DATI!$E$64*DATI!$E$63)*1000*C1413*sezione!$AD$5</f>
        <v>-1047195.2080370074</v>
      </c>
      <c r="Q1413" s="553">
        <f>'Foglio deposito bis'!$F$68*IF(ABS(K1413)&lt;'Progetto del paramento slu'!$G$58,ABS(K1413)*'Progetto del paramento slu'!$G$54,'Progetto del paramento slu'!$G$53)*IF(K1413&lt;0,-1,1)</f>
        <v>0</v>
      </c>
      <c r="R1413" s="553">
        <f>'Foglio deposito bis'!$F$69*IF(ABS(L1413)&lt;'Progetto del paramento slu'!$G$58,ABS(L1413)*'Progetto del paramento slu'!$G$54,'Progetto del paramento slu'!$G$53)*IF(L1413&lt;0,-1,1)</f>
        <v>153664.85805602249</v>
      </c>
      <c r="S1413" s="553">
        <f>'Foglio deposito bis'!$F$70*IF(ABS(M1413)&lt;'Progetto del paramento slu'!$G$58,ABS(M1413)*'Progetto del paramento slu'!$G$54,'Progetto del paramento slu'!$G$53)*IF(M1413&lt;0,-1,1)</f>
        <v>0</v>
      </c>
      <c r="T1413" s="553">
        <f>'Foglio deposito bis'!$F$71*IF(ABS(N1413)&lt;'Progetto del paramento slu'!$G$58,ABS(N1413)*'Progetto del paramento slu'!$G$54,'Progetto del paramento slu'!$G$53)*IF(N1413&lt;0,-1,1)</f>
        <v>314705.62929873407</v>
      </c>
      <c r="U1413" s="553">
        <f>'Foglio deposito bis'!$F$72*IF(ABS(O1413)&lt;'Progetto del paramento slu'!$G$58,ABS(O1413)*'Progetto del paramento slu'!$G$54,'Progetto del paramento slu'!$G$53)*IF(O1413&lt;0,-1,1)</f>
        <v>491727.54577927204</v>
      </c>
      <c r="V1413" s="479">
        <f t="shared" si="105"/>
        <v>-87097.174902978761</v>
      </c>
      <c r="W1413" s="559"/>
      <c r="X1413" s="559"/>
    </row>
    <row r="1414" spans="1:24" x14ac:dyDescent="0.25">
      <c r="A1414" s="553">
        <f t="shared" si="104"/>
        <v>98541.931274967908</v>
      </c>
      <c r="B1414" s="3">
        <f t="shared" si="106"/>
        <v>18.499999999999957</v>
      </c>
      <c r="C1414" s="553">
        <f>'Foglio deposito bis'!$E$158/sezione!$B$247*B1414</f>
        <v>75.102740189445043</v>
      </c>
      <c r="D1414" s="611">
        <f>-'Progetto del paramento slu'!$G$47*'Progetto del paramento slu'!$G$41*IF(DATI!$G$218="dx",DATI!$E$61,DATI!$E$64*DATI!$E$63)*1000*C1414^2*sezione!$AD$5*(1-sezione!$AD$6)</f>
        <v>-46431949.125484571</v>
      </c>
      <c r="E1414" s="553">
        <f>-'Foglio deposito bis'!$F$68*(C1414-sezione!$AL$32)*IF(ABS(K1414)&lt;'Progetto del paramento slu'!$G$58,ABS(K1414)*'Progetto del paramento slu'!$G$54,'Progetto del paramento slu'!$G$53)</f>
        <v>0</v>
      </c>
      <c r="F1414" s="553">
        <f>-'Foglio deposito bis'!$F$69*(C1414-sezione!$AM$32)*IF(ABS(L1414)&lt;'Progetto del paramento slu'!$G$58,ABS(L1414)*'Progetto del paramento slu'!$G$54,'Progetto del paramento slu'!$G$53)</f>
        <v>11509076.797573965</v>
      </c>
      <c r="G1414" s="553">
        <f>-'Foglio deposito bis'!$F$70*(C1414-sezione!$AN$32)*IF(ABS(M1414)&lt;'Progetto del paramento slu'!$G$58,ABS(M1414)*'Progetto del paramento slu'!$G$54,'Progetto del paramento slu'!$G$53)</f>
        <v>0</v>
      </c>
      <c r="H1414" s="553">
        <f>-'Foglio deposito bis'!$F$71*(C1414-sezione!$AO$32)*IF(ABS(N1414)&lt;'Progetto del paramento slu'!$G$58,ABS(N1414)*'Progetto del paramento slu'!$G$54,'Progetto del paramento slu'!$G$53)</f>
        <v>83364658.848190948</v>
      </c>
      <c r="I1414" s="479">
        <f>-'Foglio deposito bis'!$F$72*(C1414-sezione!$AP$32)*IF(ABS(O1414)&lt;'Progetto del paramento slu'!$G$58,ABS(O1414)*'Progetto del paramento slu'!$G$54,'Progetto del paramento slu'!$G$53)</f>
        <v>90921534.42568545</v>
      </c>
      <c r="J1414" s="479">
        <f t="shared" si="103"/>
        <v>139363320.9459658</v>
      </c>
      <c r="K1414" s="558">
        <f>'Progetto del paramento slu'!$G$60*(sezione!$AL$32-C1414)/C1414</f>
        <v>-1.6358869244071121E-3</v>
      </c>
      <c r="L1414" s="558">
        <f>'Progetto del paramento slu'!$G$60*(sezione!$AM$32-C1414)/C1414</f>
        <v>3.4904240334733298E-3</v>
      </c>
      <c r="M1414" s="559">
        <f>'Progetto del paramento slu'!$G$60*(sezione!$AN$32-C1414)/C1414</f>
        <v>8.6167349913537708E-3</v>
      </c>
      <c r="N1414" s="559">
        <f>'Progetto del paramento slu'!$G$60*(sezione!$AO$32-C1414)/C1414</f>
        <v>1.2344961142539548E-2</v>
      </c>
      <c r="O1414" s="559">
        <f>'Progetto del paramento slu'!$G$60*(sezione!$AP$32-C1414)/C1414</f>
        <v>8.6169680054882167E-3</v>
      </c>
      <c r="P1414" s="553">
        <f>-'Progetto del paramento slu'!$G$47*'Progetto del paramento slu'!$G$41*IF(DATI!$G$218="dx",DATI!$E$61,DATI!$E$64*DATI!$E$63)*1000*C1414*sezione!$AD$5</f>
        <v>-1058639.9644089965</v>
      </c>
      <c r="Q1414" s="553">
        <f>'Foglio deposito bis'!$F$68*IF(ABS(K1414)&lt;'Progetto del paramento slu'!$G$58,ABS(K1414)*'Progetto del paramento slu'!$G$54,'Progetto del paramento slu'!$G$53)*IF(K1414&lt;0,-1,1)</f>
        <v>0</v>
      </c>
      <c r="R1414" s="553">
        <f>'Foglio deposito bis'!$F$69*IF(ABS(L1414)&lt;'Progetto del paramento slu'!$G$58,ABS(L1414)*'Progetto del paramento slu'!$G$54,'Progetto del paramento slu'!$G$53)*IF(L1414&lt;0,-1,1)</f>
        <v>153664.85805602249</v>
      </c>
      <c r="S1414" s="553">
        <f>'Foglio deposito bis'!$F$70*IF(ABS(M1414)&lt;'Progetto del paramento slu'!$G$58,ABS(M1414)*'Progetto del paramento slu'!$G$54,'Progetto del paramento slu'!$G$53)*IF(M1414&lt;0,-1,1)</f>
        <v>0</v>
      </c>
      <c r="T1414" s="553">
        <f>'Foglio deposito bis'!$F$71*IF(ABS(N1414)&lt;'Progetto del paramento slu'!$G$58,ABS(N1414)*'Progetto del paramento slu'!$G$54,'Progetto del paramento slu'!$G$53)*IF(N1414&lt;0,-1,1)</f>
        <v>314705.62929873407</v>
      </c>
      <c r="U1414" s="553">
        <f>'Foglio deposito bis'!$F$72*IF(ABS(O1414)&lt;'Progetto del paramento slu'!$G$58,ABS(O1414)*'Progetto del paramento slu'!$G$54,'Progetto del paramento slu'!$G$53)*IF(O1414&lt;0,-1,1)</f>
        <v>491727.54577927204</v>
      </c>
      <c r="V1414" s="479">
        <f t="shared" si="105"/>
        <v>-98541.931274967908</v>
      </c>
      <c r="W1414" s="559"/>
      <c r="X1414" s="559"/>
    </row>
    <row r="1415" spans="1:24" x14ac:dyDescent="0.25">
      <c r="A1415" s="553">
        <f t="shared" si="104"/>
        <v>109986.68764695706</v>
      </c>
      <c r="B1415" s="3">
        <f t="shared" si="106"/>
        <v>18.699999999999957</v>
      </c>
      <c r="C1415" s="553">
        <f>'Foglio deposito bis'!$E$158/sezione!$B$247*B1415</f>
        <v>75.914661705006608</v>
      </c>
      <c r="D1415" s="611">
        <f>-'Progetto del paramento slu'!$G$47*'Progetto del paramento slu'!$G$41*IF(DATI!$G$218="dx",DATI!$E$61,DATI!$E$64*DATI!$E$63)*1000*C1415^2*sezione!$AD$5*(1-sezione!$AD$6)</f>
        <v>-47441309.831090435</v>
      </c>
      <c r="E1415" s="553">
        <f>-'Foglio deposito bis'!$F$68*(C1415-sezione!$AL$32)*IF(ABS(K1415)&lt;'Progetto del paramento slu'!$G$58,ABS(K1415)*'Progetto del paramento slu'!$G$54,'Progetto del paramento slu'!$G$53)</f>
        <v>0</v>
      </c>
      <c r="F1415" s="553">
        <f>-'Foglio deposito bis'!$F$69*(C1415-sezione!$AM$32)*IF(ABS(L1415)&lt;'Progetto del paramento slu'!$G$58,ABS(L1415)*'Progetto del paramento slu'!$G$54,'Progetto del paramento slu'!$G$53)</f>
        <v>11384312.993132567</v>
      </c>
      <c r="G1415" s="553">
        <f>-'Foglio deposito bis'!$F$70*(C1415-sezione!$AN$32)*IF(ABS(M1415)&lt;'Progetto del paramento slu'!$G$58,ABS(M1415)*'Progetto del paramento slu'!$G$54,'Progetto del paramento slu'!$G$53)</f>
        <v>0</v>
      </c>
      <c r="H1415" s="553">
        <f>-'Foglio deposito bis'!$F$71*(C1415-sezione!$AO$32)*IF(ABS(N1415)&lt;'Progetto del paramento slu'!$G$58,ABS(N1415)*'Progetto del paramento slu'!$G$54,'Progetto del paramento slu'!$G$53)</f>
        <v>83109142.57669498</v>
      </c>
      <c r="I1415" s="479">
        <f>-'Foglio deposito bis'!$F$72*(C1415-sezione!$AP$32)*IF(ABS(O1415)&lt;'Progetto del paramento slu'!$G$58,ABS(O1415)*'Progetto del paramento slu'!$G$54,'Progetto del paramento slu'!$G$53)</f>
        <v>90522290.25147298</v>
      </c>
      <c r="J1415" s="479">
        <f t="shared" si="103"/>
        <v>137574435.99021009</v>
      </c>
      <c r="K1415" s="558">
        <f>'Progetto del paramento slu'!$G$60*(sezione!$AL$32-C1415)/C1415</f>
        <v>-1.655823962648747E-3</v>
      </c>
      <c r="L1415" s="558">
        <f>'Progetto del paramento slu'!$G$60*(sezione!$AM$32-C1415)/C1415</f>
        <v>3.4156601400671983E-3</v>
      </c>
      <c r="M1415" s="559">
        <f>'Progetto del paramento slu'!$G$60*(sezione!$AN$32-C1415)/C1415</f>
        <v>8.4871442427831446E-3</v>
      </c>
      <c r="N1415" s="559">
        <f>'Progetto del paramento slu'!$G$60*(sezione!$AO$32-C1415)/C1415</f>
        <v>1.217549631748565E-2</v>
      </c>
      <c r="O1415" s="559">
        <f>'Progetto del paramento slu'!$G$60*(sezione!$AP$32-C1415)/C1415</f>
        <v>8.4873747647878084E-3</v>
      </c>
      <c r="P1415" s="553">
        <f>-'Progetto del paramento slu'!$G$47*'Progetto del paramento slu'!$G$41*IF(DATI!$G$218="dx",DATI!$E$61,DATI!$E$64*DATI!$E$63)*1000*C1415*sezione!$AD$5</f>
        <v>-1070084.7207809857</v>
      </c>
      <c r="Q1415" s="553">
        <f>'Foglio deposito bis'!$F$68*IF(ABS(K1415)&lt;'Progetto del paramento slu'!$G$58,ABS(K1415)*'Progetto del paramento slu'!$G$54,'Progetto del paramento slu'!$G$53)*IF(K1415&lt;0,-1,1)</f>
        <v>0</v>
      </c>
      <c r="R1415" s="553">
        <f>'Foglio deposito bis'!$F$69*IF(ABS(L1415)&lt;'Progetto del paramento slu'!$G$58,ABS(L1415)*'Progetto del paramento slu'!$G$54,'Progetto del paramento slu'!$G$53)*IF(L1415&lt;0,-1,1)</f>
        <v>153664.85805602249</v>
      </c>
      <c r="S1415" s="553">
        <f>'Foglio deposito bis'!$F$70*IF(ABS(M1415)&lt;'Progetto del paramento slu'!$G$58,ABS(M1415)*'Progetto del paramento slu'!$G$54,'Progetto del paramento slu'!$G$53)*IF(M1415&lt;0,-1,1)</f>
        <v>0</v>
      </c>
      <c r="T1415" s="553">
        <f>'Foglio deposito bis'!$F$71*IF(ABS(N1415)&lt;'Progetto del paramento slu'!$G$58,ABS(N1415)*'Progetto del paramento slu'!$G$54,'Progetto del paramento slu'!$G$53)*IF(N1415&lt;0,-1,1)</f>
        <v>314705.62929873407</v>
      </c>
      <c r="U1415" s="553">
        <f>'Foglio deposito bis'!$F$72*IF(ABS(O1415)&lt;'Progetto del paramento slu'!$G$58,ABS(O1415)*'Progetto del paramento slu'!$G$54,'Progetto del paramento slu'!$G$53)*IF(O1415&lt;0,-1,1)</f>
        <v>491727.54577927204</v>
      </c>
      <c r="V1415" s="479">
        <f t="shared" si="105"/>
        <v>-109986.68764695706</v>
      </c>
      <c r="W1415" s="559"/>
      <c r="X1415" s="559"/>
    </row>
    <row r="1416" spans="1:24" x14ac:dyDescent="0.25">
      <c r="A1416" s="553">
        <f t="shared" si="104"/>
        <v>121431.44401894597</v>
      </c>
      <c r="B1416" s="3">
        <f t="shared" si="106"/>
        <v>18.899999999999956</v>
      </c>
      <c r="C1416" s="553">
        <f>'Foglio deposito bis'!$E$158/sezione!$B$247*B1416</f>
        <v>76.726583220568173</v>
      </c>
      <c r="D1416" s="611">
        <f>-'Progetto del paramento slu'!$G$47*'Progetto del paramento slu'!$G$41*IF(DATI!$G$218="dx",DATI!$E$61,DATI!$E$64*DATI!$E$63)*1000*C1416^2*sezione!$AD$5*(1-sezione!$AD$6)</f>
        <v>-48461523.877616778</v>
      </c>
      <c r="E1416" s="553">
        <f>-'Foglio deposito bis'!$F$68*(C1416-sezione!$AL$32)*IF(ABS(K1416)&lt;'Progetto del paramento slu'!$G$58,ABS(K1416)*'Progetto del paramento slu'!$G$54,'Progetto del paramento slu'!$G$53)</f>
        <v>0</v>
      </c>
      <c r="F1416" s="553">
        <f>-'Foglio deposito bis'!$F$69*(C1416-sezione!$AM$32)*IF(ABS(L1416)&lt;'Progetto del paramento slu'!$G$58,ABS(L1416)*'Progetto del paramento slu'!$G$54,'Progetto del paramento slu'!$G$53)</f>
        <v>11259549.188691169</v>
      </c>
      <c r="G1416" s="553">
        <f>-'Foglio deposito bis'!$F$70*(C1416-sezione!$AN$32)*IF(ABS(M1416)&lt;'Progetto del paramento slu'!$G$58,ABS(M1416)*'Progetto del paramento slu'!$G$54,'Progetto del paramento slu'!$G$53)</f>
        <v>0</v>
      </c>
      <c r="H1416" s="553">
        <f>-'Foglio deposito bis'!$F$71*(C1416-sezione!$AO$32)*IF(ABS(N1416)&lt;'Progetto del paramento slu'!$G$58,ABS(N1416)*'Progetto del paramento slu'!$G$54,'Progetto del paramento slu'!$G$53)</f>
        <v>82853626.305198997</v>
      </c>
      <c r="I1416" s="479">
        <f>-'Foglio deposito bis'!$F$72*(C1416-sezione!$AP$32)*IF(ABS(O1416)&lt;'Progetto del paramento slu'!$G$58,ABS(O1416)*'Progetto del paramento slu'!$G$54,'Progetto del paramento slu'!$G$53)</f>
        <v>90123046.077260524</v>
      </c>
      <c r="J1416" s="479">
        <f t="shared" si="103"/>
        <v>135774697.6935339</v>
      </c>
      <c r="K1416" s="558">
        <f>'Progetto del paramento slu'!$G$60*(sezione!$AL$32-C1416)/C1416</f>
        <v>-1.6753390529910884E-3</v>
      </c>
      <c r="L1416" s="558">
        <f>'Progetto del paramento slu'!$G$60*(sezione!$AM$32-C1416)/C1416</f>
        <v>3.3424785512834189E-3</v>
      </c>
      <c r="M1416" s="559">
        <f>'Progetto del paramento slu'!$G$60*(sezione!$AN$32-C1416)/C1416</f>
        <v>8.3602961555579274E-3</v>
      </c>
      <c r="N1416" s="559">
        <f>'Progetto del paramento slu'!$G$60*(sezione!$AO$32-C1416)/C1416</f>
        <v>1.2009618049575751E-2</v>
      </c>
      <c r="O1416" s="559">
        <f>'Progetto del paramento slu'!$G$60*(sezione!$AP$32-C1416)/C1416</f>
        <v>8.3605242381762975E-3</v>
      </c>
      <c r="P1416" s="553">
        <f>-'Progetto del paramento slu'!$G$47*'Progetto del paramento slu'!$G$41*IF(DATI!$G$218="dx",DATI!$E$61,DATI!$E$64*DATI!$E$63)*1000*C1416*sezione!$AD$5</f>
        <v>-1081529.4771529746</v>
      </c>
      <c r="Q1416" s="553">
        <f>'Foglio deposito bis'!$F$68*IF(ABS(K1416)&lt;'Progetto del paramento slu'!$G$58,ABS(K1416)*'Progetto del paramento slu'!$G$54,'Progetto del paramento slu'!$G$53)*IF(K1416&lt;0,-1,1)</f>
        <v>0</v>
      </c>
      <c r="R1416" s="553">
        <f>'Foglio deposito bis'!$F$69*IF(ABS(L1416)&lt;'Progetto del paramento slu'!$G$58,ABS(L1416)*'Progetto del paramento slu'!$G$54,'Progetto del paramento slu'!$G$53)*IF(L1416&lt;0,-1,1)</f>
        <v>153664.85805602249</v>
      </c>
      <c r="S1416" s="553">
        <f>'Foglio deposito bis'!$F$70*IF(ABS(M1416)&lt;'Progetto del paramento slu'!$G$58,ABS(M1416)*'Progetto del paramento slu'!$G$54,'Progetto del paramento slu'!$G$53)*IF(M1416&lt;0,-1,1)</f>
        <v>0</v>
      </c>
      <c r="T1416" s="553">
        <f>'Foglio deposito bis'!$F$71*IF(ABS(N1416)&lt;'Progetto del paramento slu'!$G$58,ABS(N1416)*'Progetto del paramento slu'!$G$54,'Progetto del paramento slu'!$G$53)*IF(N1416&lt;0,-1,1)</f>
        <v>314705.62929873407</v>
      </c>
      <c r="U1416" s="553">
        <f>'Foglio deposito bis'!$F$72*IF(ABS(O1416)&lt;'Progetto del paramento slu'!$G$58,ABS(O1416)*'Progetto del paramento slu'!$G$54,'Progetto del paramento slu'!$G$53)*IF(O1416&lt;0,-1,1)</f>
        <v>491727.54577927204</v>
      </c>
      <c r="V1416" s="479">
        <f t="shared" si="105"/>
        <v>-121431.44401894597</v>
      </c>
      <c r="W1416" s="559"/>
      <c r="X1416" s="559"/>
    </row>
    <row r="1417" spans="1:24" x14ac:dyDescent="0.25">
      <c r="A1417" s="553">
        <f t="shared" si="104"/>
        <v>132876.20039093512</v>
      </c>
      <c r="B1417" s="3">
        <f t="shared" si="106"/>
        <v>19.099999999999955</v>
      </c>
      <c r="C1417" s="553">
        <f>'Foglio deposito bis'!$E$158/sezione!$B$247*B1417</f>
        <v>77.538504736129738</v>
      </c>
      <c r="D1417" s="611">
        <f>-'Progetto del paramento slu'!$G$47*'Progetto del paramento slu'!$G$41*IF(DATI!$G$218="dx",DATI!$E$61,DATI!$E$64*DATI!$E$63)*1000*C1417^2*sezione!$AD$5*(1-sezione!$AD$6)</f>
        <v>-49492591.265063629</v>
      </c>
      <c r="E1417" s="553">
        <f>-'Foglio deposito bis'!$F$68*(C1417-sezione!$AL$32)*IF(ABS(K1417)&lt;'Progetto del paramento slu'!$G$58,ABS(K1417)*'Progetto del paramento slu'!$G$54,'Progetto del paramento slu'!$G$53)</f>
        <v>0</v>
      </c>
      <c r="F1417" s="553">
        <f>-'Foglio deposito bis'!$F$69*(C1417-sezione!$AM$32)*IF(ABS(L1417)&lt;'Progetto del paramento slu'!$G$58,ABS(L1417)*'Progetto del paramento slu'!$G$54,'Progetto del paramento slu'!$G$53)</f>
        <v>11134785.384249769</v>
      </c>
      <c r="G1417" s="553">
        <f>-'Foglio deposito bis'!$F$70*(C1417-sezione!$AN$32)*IF(ABS(M1417)&lt;'Progetto del paramento slu'!$G$58,ABS(M1417)*'Progetto del paramento slu'!$G$54,'Progetto del paramento slu'!$G$53)</f>
        <v>0</v>
      </c>
      <c r="H1417" s="553">
        <f>-'Foglio deposito bis'!$F$71*(C1417-sezione!$AO$32)*IF(ABS(N1417)&lt;'Progetto del paramento slu'!$G$58,ABS(N1417)*'Progetto del paramento slu'!$G$54,'Progetto del paramento slu'!$G$53)</f>
        <v>82598110.033702999</v>
      </c>
      <c r="I1417" s="479">
        <f>-'Foglio deposito bis'!$F$72*(C1417-sezione!$AP$32)*IF(ABS(O1417)&lt;'Progetto del paramento slu'!$G$58,ABS(O1417)*'Progetto del paramento slu'!$G$54,'Progetto del paramento slu'!$G$53)</f>
        <v>89723801.903048024</v>
      </c>
      <c r="J1417" s="479">
        <f t="shared" si="103"/>
        <v>133964106.05593717</v>
      </c>
      <c r="K1417" s="558">
        <f>'Progetto del paramento slu'!$G$60*(sezione!$AL$32-C1417)/C1417</f>
        <v>-1.694445450341967E-3</v>
      </c>
      <c r="L1417" s="558">
        <f>'Progetto del paramento slu'!$G$60*(sezione!$AM$32-C1417)/C1417</f>
        <v>3.2708295612176243E-3</v>
      </c>
      <c r="M1417" s="559">
        <f>'Progetto del paramento slu'!$G$60*(sezione!$AN$32-C1417)/C1417</f>
        <v>8.2361045727772156E-3</v>
      </c>
      <c r="N1417" s="559">
        <f>'Progetto del paramento slu'!$G$60*(sezione!$AO$32-C1417)/C1417</f>
        <v>1.1847213672093281E-2</v>
      </c>
      <c r="O1417" s="559">
        <f>'Progetto del paramento slu'!$G$60*(sezione!$AP$32-C1417)/C1417</f>
        <v>8.2363302670959183E-3</v>
      </c>
      <c r="P1417" s="553">
        <f>-'Progetto del paramento slu'!$G$47*'Progetto del paramento slu'!$G$41*IF(DATI!$G$218="dx",DATI!$E$61,DATI!$E$64*DATI!$E$63)*1000*C1417*sezione!$AD$5</f>
        <v>-1092974.2335249637</v>
      </c>
      <c r="Q1417" s="553">
        <f>'Foglio deposito bis'!$F$68*IF(ABS(K1417)&lt;'Progetto del paramento slu'!$G$58,ABS(K1417)*'Progetto del paramento slu'!$G$54,'Progetto del paramento slu'!$G$53)*IF(K1417&lt;0,-1,1)</f>
        <v>0</v>
      </c>
      <c r="R1417" s="553">
        <f>'Foglio deposito bis'!$F$69*IF(ABS(L1417)&lt;'Progetto del paramento slu'!$G$58,ABS(L1417)*'Progetto del paramento slu'!$G$54,'Progetto del paramento slu'!$G$53)*IF(L1417&lt;0,-1,1)</f>
        <v>153664.85805602249</v>
      </c>
      <c r="S1417" s="553">
        <f>'Foglio deposito bis'!$F$70*IF(ABS(M1417)&lt;'Progetto del paramento slu'!$G$58,ABS(M1417)*'Progetto del paramento slu'!$G$54,'Progetto del paramento slu'!$G$53)*IF(M1417&lt;0,-1,1)</f>
        <v>0</v>
      </c>
      <c r="T1417" s="553">
        <f>'Foglio deposito bis'!$F$71*IF(ABS(N1417)&lt;'Progetto del paramento slu'!$G$58,ABS(N1417)*'Progetto del paramento slu'!$G$54,'Progetto del paramento slu'!$G$53)*IF(N1417&lt;0,-1,1)</f>
        <v>314705.62929873407</v>
      </c>
      <c r="U1417" s="553">
        <f>'Foglio deposito bis'!$F$72*IF(ABS(O1417)&lt;'Progetto del paramento slu'!$G$58,ABS(O1417)*'Progetto del paramento slu'!$G$54,'Progetto del paramento slu'!$G$53)*IF(O1417&lt;0,-1,1)</f>
        <v>491727.54577927204</v>
      </c>
      <c r="V1417" s="479">
        <f t="shared" si="105"/>
        <v>-132876.20039093512</v>
      </c>
      <c r="W1417" s="559"/>
      <c r="X1417" s="559"/>
    </row>
    <row r="1418" spans="1:24" x14ac:dyDescent="0.25">
      <c r="A1418" s="553">
        <f t="shared" si="104"/>
        <v>144320.95676292427</v>
      </c>
      <c r="B1418" s="3">
        <f t="shared" si="106"/>
        <v>19.299999999999955</v>
      </c>
      <c r="C1418" s="553">
        <f>'Foglio deposito bis'!$E$158/sezione!$B$247*B1418</f>
        <v>78.350426251691303</v>
      </c>
      <c r="D1418" s="611">
        <f>-'Progetto del paramento slu'!$G$47*'Progetto del paramento slu'!$G$41*IF(DATI!$G$218="dx",DATI!$E$61,DATI!$E$64*DATI!$E$63)*1000*C1418^2*sezione!$AD$5*(1-sezione!$AD$6)</f>
        <v>-50534511.99343095</v>
      </c>
      <c r="E1418" s="553">
        <f>-'Foglio deposito bis'!$F$68*(C1418-sezione!$AL$32)*IF(ABS(K1418)&lt;'Progetto del paramento slu'!$G$58,ABS(K1418)*'Progetto del paramento slu'!$G$54,'Progetto del paramento slu'!$G$53)</f>
        <v>0</v>
      </c>
      <c r="F1418" s="553">
        <f>-'Foglio deposito bis'!$F$69*(C1418-sezione!$AM$32)*IF(ABS(L1418)&lt;'Progetto del paramento slu'!$G$58,ABS(L1418)*'Progetto del paramento slu'!$G$54,'Progetto del paramento slu'!$G$53)</f>
        <v>11010021.579808373</v>
      </c>
      <c r="G1418" s="553">
        <f>-'Foglio deposito bis'!$F$70*(C1418-sezione!$AN$32)*IF(ABS(M1418)&lt;'Progetto del paramento slu'!$G$58,ABS(M1418)*'Progetto del paramento slu'!$G$54,'Progetto del paramento slu'!$G$53)</f>
        <v>0</v>
      </c>
      <c r="H1418" s="553">
        <f>-'Foglio deposito bis'!$F$71*(C1418-sezione!$AO$32)*IF(ABS(N1418)&lt;'Progetto del paramento slu'!$G$58,ABS(N1418)*'Progetto del paramento slu'!$G$54,'Progetto del paramento slu'!$G$53)</f>
        <v>82342593.762207016</v>
      </c>
      <c r="I1418" s="479">
        <f>-'Foglio deposito bis'!$F$72*(C1418-sezione!$AP$32)*IF(ABS(O1418)&lt;'Progetto del paramento slu'!$G$58,ABS(O1418)*'Progetto del paramento slu'!$G$54,'Progetto del paramento slu'!$G$53)</f>
        <v>89324557.728835538</v>
      </c>
      <c r="J1418" s="479">
        <f t="shared" si="103"/>
        <v>132142661.07741998</v>
      </c>
      <c r="K1418" s="558">
        <f>'Progetto del paramento slu'!$G$60*(sezione!$AL$32-C1418)/C1418</f>
        <v>-1.7131558601829826E-3</v>
      </c>
      <c r="L1418" s="558">
        <f>'Progetto del paramento slu'!$G$60*(sezione!$AM$32-C1418)/C1418</f>
        <v>3.2006655243138151E-3</v>
      </c>
      <c r="M1418" s="559">
        <f>'Progetto del paramento slu'!$G$60*(sezione!$AN$32-C1418)/C1418</f>
        <v>8.1144869088106125E-3</v>
      </c>
      <c r="N1418" s="559">
        <f>'Progetto del paramento slu'!$G$60*(sezione!$AO$32-C1418)/C1418</f>
        <v>1.1688175188444647E-2</v>
      </c>
      <c r="O1418" s="559">
        <f>'Progetto del paramento slu'!$G$60*(sezione!$AP$32-C1418)/C1418</f>
        <v>8.1147102643280844E-3</v>
      </c>
      <c r="P1418" s="553">
        <f>-'Progetto del paramento slu'!$G$47*'Progetto del paramento slu'!$G$41*IF(DATI!$G$218="dx",DATI!$E$61,DATI!$E$64*DATI!$E$63)*1000*C1418*sezione!$AD$5</f>
        <v>-1104418.9898969529</v>
      </c>
      <c r="Q1418" s="553">
        <f>'Foglio deposito bis'!$F$68*IF(ABS(K1418)&lt;'Progetto del paramento slu'!$G$58,ABS(K1418)*'Progetto del paramento slu'!$G$54,'Progetto del paramento slu'!$G$53)*IF(K1418&lt;0,-1,1)</f>
        <v>0</v>
      </c>
      <c r="R1418" s="553">
        <f>'Foglio deposito bis'!$F$69*IF(ABS(L1418)&lt;'Progetto del paramento slu'!$G$58,ABS(L1418)*'Progetto del paramento slu'!$G$54,'Progetto del paramento slu'!$G$53)*IF(L1418&lt;0,-1,1)</f>
        <v>153664.85805602249</v>
      </c>
      <c r="S1418" s="553">
        <f>'Foglio deposito bis'!$F$70*IF(ABS(M1418)&lt;'Progetto del paramento slu'!$G$58,ABS(M1418)*'Progetto del paramento slu'!$G$54,'Progetto del paramento slu'!$G$53)*IF(M1418&lt;0,-1,1)</f>
        <v>0</v>
      </c>
      <c r="T1418" s="553">
        <f>'Foglio deposito bis'!$F$71*IF(ABS(N1418)&lt;'Progetto del paramento slu'!$G$58,ABS(N1418)*'Progetto del paramento slu'!$G$54,'Progetto del paramento slu'!$G$53)*IF(N1418&lt;0,-1,1)</f>
        <v>314705.62929873407</v>
      </c>
      <c r="U1418" s="553">
        <f>'Foglio deposito bis'!$F$72*IF(ABS(O1418)&lt;'Progetto del paramento slu'!$G$58,ABS(O1418)*'Progetto del paramento slu'!$G$54,'Progetto del paramento slu'!$G$53)*IF(O1418&lt;0,-1,1)</f>
        <v>491727.54577927204</v>
      </c>
      <c r="V1418" s="479">
        <f t="shared" si="105"/>
        <v>-144320.95676292427</v>
      </c>
      <c r="W1418" s="559"/>
      <c r="X1418" s="559"/>
    </row>
    <row r="1419" spans="1:24" x14ac:dyDescent="0.25">
      <c r="A1419" s="553">
        <f t="shared" si="104"/>
        <v>155765.71313491341</v>
      </c>
      <c r="B1419" s="3">
        <f t="shared" si="106"/>
        <v>19.499999999999954</v>
      </c>
      <c r="C1419" s="553">
        <f>'Foglio deposito bis'!$E$158/sezione!$B$247*B1419</f>
        <v>79.162347767252868</v>
      </c>
      <c r="D1419" s="611">
        <f>-'Progetto del paramento slu'!$G$47*'Progetto del paramento slu'!$G$41*IF(DATI!$G$218="dx",DATI!$E$61,DATI!$E$64*DATI!$E$63)*1000*C1419^2*sezione!$AD$5*(1-sezione!$AD$6)</f>
        <v>-51587286.062718779</v>
      </c>
      <c r="E1419" s="553">
        <f>-'Foglio deposito bis'!$F$68*(C1419-sezione!$AL$32)*IF(ABS(K1419)&lt;'Progetto del paramento slu'!$G$58,ABS(K1419)*'Progetto del paramento slu'!$G$54,'Progetto del paramento slu'!$G$53)</f>
        <v>0</v>
      </c>
      <c r="F1419" s="553">
        <f>-'Foglio deposito bis'!$F$69*(C1419-sezione!$AM$32)*IF(ABS(L1419)&lt;'Progetto del paramento slu'!$G$58,ABS(L1419)*'Progetto del paramento slu'!$G$54,'Progetto del paramento slu'!$G$53)</f>
        <v>10885257.775366973</v>
      </c>
      <c r="G1419" s="553">
        <f>-'Foglio deposito bis'!$F$70*(C1419-sezione!$AN$32)*IF(ABS(M1419)&lt;'Progetto del paramento slu'!$G$58,ABS(M1419)*'Progetto del paramento slu'!$G$54,'Progetto del paramento slu'!$G$53)</f>
        <v>0</v>
      </c>
      <c r="H1419" s="553">
        <f>-'Foglio deposito bis'!$F$71*(C1419-sezione!$AO$32)*IF(ABS(N1419)&lt;'Progetto del paramento slu'!$G$58,ABS(N1419)*'Progetto del paramento slu'!$G$54,'Progetto del paramento slu'!$G$53)</f>
        <v>82087077.490711048</v>
      </c>
      <c r="I1419" s="479">
        <f>-'Foglio deposito bis'!$F$72*(C1419-sezione!$AP$32)*IF(ABS(O1419)&lt;'Progetto del paramento slu'!$G$58,ABS(O1419)*'Progetto del paramento slu'!$G$54,'Progetto del paramento slu'!$G$53)</f>
        <v>88925313.554623082</v>
      </c>
      <c r="J1419" s="479">
        <f t="shared" si="103"/>
        <v>130310362.75798233</v>
      </c>
      <c r="K1419" s="558">
        <f>'Progetto del paramento slu'!$G$60*(sezione!$AL$32-C1419)/C1419</f>
        <v>-1.7314824667452084E-3</v>
      </c>
      <c r="L1419" s="558">
        <f>'Progetto del paramento slu'!$G$60*(sezione!$AM$32-C1419)/C1419</f>
        <v>3.1319407497054684E-3</v>
      </c>
      <c r="M1419" s="559">
        <f>'Progetto del paramento slu'!$G$60*(sezione!$AN$32-C1419)/C1419</f>
        <v>7.9953639661561448E-3</v>
      </c>
      <c r="N1419" s="559">
        <f>'Progetto del paramento slu'!$G$60*(sezione!$AO$32-C1419)/C1419</f>
        <v>1.1532399032665728E-2</v>
      </c>
      <c r="O1419" s="559">
        <f>'Progetto del paramento slu'!$G$60*(sezione!$AP$32-C1419)/C1419</f>
        <v>7.9955850308477978E-3</v>
      </c>
      <c r="P1419" s="553">
        <f>-'Progetto del paramento slu'!$G$47*'Progetto del paramento slu'!$G$41*IF(DATI!$G$218="dx",DATI!$E$61,DATI!$E$64*DATI!$E$63)*1000*C1419*sezione!$AD$5</f>
        <v>-1115863.746268942</v>
      </c>
      <c r="Q1419" s="553">
        <f>'Foglio deposito bis'!$F$68*IF(ABS(K1419)&lt;'Progetto del paramento slu'!$G$58,ABS(K1419)*'Progetto del paramento slu'!$G$54,'Progetto del paramento slu'!$G$53)*IF(K1419&lt;0,-1,1)</f>
        <v>0</v>
      </c>
      <c r="R1419" s="553">
        <f>'Foglio deposito bis'!$F$69*IF(ABS(L1419)&lt;'Progetto del paramento slu'!$G$58,ABS(L1419)*'Progetto del paramento slu'!$G$54,'Progetto del paramento slu'!$G$53)*IF(L1419&lt;0,-1,1)</f>
        <v>153664.85805602249</v>
      </c>
      <c r="S1419" s="553">
        <f>'Foglio deposito bis'!$F$70*IF(ABS(M1419)&lt;'Progetto del paramento slu'!$G$58,ABS(M1419)*'Progetto del paramento slu'!$G$54,'Progetto del paramento slu'!$G$53)*IF(M1419&lt;0,-1,1)</f>
        <v>0</v>
      </c>
      <c r="T1419" s="553">
        <f>'Foglio deposito bis'!$F$71*IF(ABS(N1419)&lt;'Progetto del paramento slu'!$G$58,ABS(N1419)*'Progetto del paramento slu'!$G$54,'Progetto del paramento slu'!$G$53)*IF(N1419&lt;0,-1,1)</f>
        <v>314705.62929873407</v>
      </c>
      <c r="U1419" s="553">
        <f>'Foglio deposito bis'!$F$72*IF(ABS(O1419)&lt;'Progetto del paramento slu'!$G$58,ABS(O1419)*'Progetto del paramento slu'!$G$54,'Progetto del paramento slu'!$G$53)*IF(O1419&lt;0,-1,1)</f>
        <v>491727.54577927204</v>
      </c>
      <c r="V1419" s="479">
        <f t="shared" si="105"/>
        <v>-155765.71313491341</v>
      </c>
      <c r="W1419" s="559"/>
      <c r="X1419" s="559"/>
    </row>
    <row r="1420" spans="1:24" x14ac:dyDescent="0.25">
      <c r="A1420" s="553">
        <f t="shared" si="104"/>
        <v>167210.46950690256</v>
      </c>
      <c r="B1420" s="3">
        <f t="shared" si="106"/>
        <v>19.699999999999953</v>
      </c>
      <c r="C1420" s="553">
        <f>'Foglio deposito bis'!$E$158/sezione!$B$247*B1420</f>
        <v>79.974269282814447</v>
      </c>
      <c r="D1420" s="611">
        <f>-'Progetto del paramento slu'!$G$47*'Progetto del paramento slu'!$G$41*IF(DATI!$G$218="dx",DATI!$E$61,DATI!$E$64*DATI!$E$63)*1000*C1420^2*sezione!$AD$5*(1-sezione!$AD$6)</f>
        <v>-52650913.472927123</v>
      </c>
      <c r="E1420" s="553">
        <f>-'Foglio deposito bis'!$F$68*(C1420-sezione!$AL$32)*IF(ABS(K1420)&lt;'Progetto del paramento slu'!$G$58,ABS(K1420)*'Progetto del paramento slu'!$G$54,'Progetto del paramento slu'!$G$53)</f>
        <v>0</v>
      </c>
      <c r="F1420" s="553">
        <f>-'Foglio deposito bis'!$F$69*(C1420-sezione!$AM$32)*IF(ABS(L1420)&lt;'Progetto del paramento slu'!$G$58,ABS(L1420)*'Progetto del paramento slu'!$G$54,'Progetto del paramento slu'!$G$53)</f>
        <v>10760493.970925571</v>
      </c>
      <c r="G1420" s="553">
        <f>-'Foglio deposito bis'!$F$70*(C1420-sezione!$AN$32)*IF(ABS(M1420)&lt;'Progetto del paramento slu'!$G$58,ABS(M1420)*'Progetto del paramento slu'!$G$54,'Progetto del paramento slu'!$G$53)</f>
        <v>0</v>
      </c>
      <c r="H1420" s="553">
        <f>-'Foglio deposito bis'!$F$71*(C1420-sezione!$AO$32)*IF(ABS(N1420)&lt;'Progetto del paramento slu'!$G$58,ABS(N1420)*'Progetto del paramento slu'!$G$54,'Progetto del paramento slu'!$G$53)</f>
        <v>81831561.21921505</v>
      </c>
      <c r="I1420" s="479">
        <f>-'Foglio deposito bis'!$F$72*(C1420-sezione!$AP$32)*IF(ABS(O1420)&lt;'Progetto del paramento slu'!$G$58,ABS(O1420)*'Progetto del paramento slu'!$G$54,'Progetto del paramento slu'!$G$53)</f>
        <v>88526069.380410597</v>
      </c>
      <c r="J1420" s="479">
        <f t="shared" si="103"/>
        <v>128467211.09762409</v>
      </c>
      <c r="K1420" s="558">
        <f>'Progetto del paramento slu'!$G$60*(sezione!$AL$32-C1420)/C1420</f>
        <v>-1.7494369594686075E-3</v>
      </c>
      <c r="L1420" s="558">
        <f>'Progetto del paramento slu'!$G$60*(sezione!$AM$32-C1420)/C1420</f>
        <v>3.0646114019927217E-3</v>
      </c>
      <c r="M1420" s="559">
        <f>'Progetto del paramento slu'!$G$60*(sezione!$AN$32-C1420)/C1420</f>
        <v>7.8786597634540514E-3</v>
      </c>
      <c r="N1420" s="559">
        <f>'Progetto del paramento slu'!$G$60*(sezione!$AO$32-C1420)/C1420</f>
        <v>1.1379785844516835E-2</v>
      </c>
      <c r="O1420" s="559">
        <f>'Progetto del paramento slu'!$G$60*(sezione!$AP$32-C1420)/C1420</f>
        <v>7.8788785838341119E-3</v>
      </c>
      <c r="P1420" s="553">
        <f>-'Progetto del paramento slu'!$G$47*'Progetto del paramento slu'!$G$41*IF(DATI!$G$218="dx",DATI!$E$61,DATI!$E$64*DATI!$E$63)*1000*C1420*sezione!$AD$5</f>
        <v>-1127308.5026409312</v>
      </c>
      <c r="Q1420" s="553">
        <f>'Foglio deposito bis'!$F$68*IF(ABS(K1420)&lt;'Progetto del paramento slu'!$G$58,ABS(K1420)*'Progetto del paramento slu'!$G$54,'Progetto del paramento slu'!$G$53)*IF(K1420&lt;0,-1,1)</f>
        <v>0</v>
      </c>
      <c r="R1420" s="553">
        <f>'Foglio deposito bis'!$F$69*IF(ABS(L1420)&lt;'Progetto del paramento slu'!$G$58,ABS(L1420)*'Progetto del paramento slu'!$G$54,'Progetto del paramento slu'!$G$53)*IF(L1420&lt;0,-1,1)</f>
        <v>153664.85805602249</v>
      </c>
      <c r="S1420" s="553">
        <f>'Foglio deposito bis'!$F$70*IF(ABS(M1420)&lt;'Progetto del paramento slu'!$G$58,ABS(M1420)*'Progetto del paramento slu'!$G$54,'Progetto del paramento slu'!$G$53)*IF(M1420&lt;0,-1,1)</f>
        <v>0</v>
      </c>
      <c r="T1420" s="553">
        <f>'Foglio deposito bis'!$F$71*IF(ABS(N1420)&lt;'Progetto del paramento slu'!$G$58,ABS(N1420)*'Progetto del paramento slu'!$G$54,'Progetto del paramento slu'!$G$53)*IF(N1420&lt;0,-1,1)</f>
        <v>314705.62929873407</v>
      </c>
      <c r="U1420" s="553">
        <f>'Foglio deposito bis'!$F$72*IF(ABS(O1420)&lt;'Progetto del paramento slu'!$G$58,ABS(O1420)*'Progetto del paramento slu'!$G$54,'Progetto del paramento slu'!$G$53)*IF(O1420&lt;0,-1,1)</f>
        <v>491727.54577927204</v>
      </c>
      <c r="V1420" s="479">
        <f t="shared" si="105"/>
        <v>-167210.46950690256</v>
      </c>
      <c r="W1420" s="559"/>
      <c r="X1420" s="559"/>
    </row>
    <row r="1421" spans="1:24" x14ac:dyDescent="0.25">
      <c r="A1421" s="553">
        <f t="shared" si="104"/>
        <v>178655.22587889171</v>
      </c>
      <c r="B1421" s="3">
        <f t="shared" si="106"/>
        <v>19.899999999999952</v>
      </c>
      <c r="C1421" s="553">
        <f>'Foglio deposito bis'!$E$158/sezione!$B$247*B1421</f>
        <v>80.786190798376012</v>
      </c>
      <c r="D1421" s="611">
        <f>-'Progetto del paramento slu'!$G$47*'Progetto del paramento slu'!$G$41*IF(DATI!$G$218="dx",DATI!$E$61,DATI!$E$64*DATI!$E$63)*1000*C1421^2*sezione!$AD$5*(1-sezione!$AD$6)</f>
        <v>-53725394.224055938</v>
      </c>
      <c r="E1421" s="553">
        <f>-'Foglio deposito bis'!$F$68*(C1421-sezione!$AL$32)*IF(ABS(K1421)&lt;'Progetto del paramento slu'!$G$58,ABS(K1421)*'Progetto del paramento slu'!$G$54,'Progetto del paramento slu'!$G$53)</f>
        <v>0</v>
      </c>
      <c r="F1421" s="553">
        <f>-'Foglio deposito bis'!$F$69*(C1421-sezione!$AM$32)*IF(ABS(L1421)&lt;'Progetto del paramento slu'!$G$58,ABS(L1421)*'Progetto del paramento slu'!$G$54,'Progetto del paramento slu'!$G$53)</f>
        <v>10635730.166484173</v>
      </c>
      <c r="G1421" s="553">
        <f>-'Foglio deposito bis'!$F$70*(C1421-sezione!$AN$32)*IF(ABS(M1421)&lt;'Progetto del paramento slu'!$G$58,ABS(M1421)*'Progetto del paramento slu'!$G$54,'Progetto del paramento slu'!$G$53)</f>
        <v>0</v>
      </c>
      <c r="H1421" s="553">
        <f>-'Foglio deposito bis'!$F$71*(C1421-sezione!$AO$32)*IF(ABS(N1421)&lt;'Progetto del paramento slu'!$G$58,ABS(N1421)*'Progetto del paramento slu'!$G$54,'Progetto del paramento slu'!$G$53)</f>
        <v>81576044.947719052</v>
      </c>
      <c r="I1421" s="479">
        <f>-'Foglio deposito bis'!$F$72*(C1421-sezione!$AP$32)*IF(ABS(O1421)&lt;'Progetto del paramento slu'!$G$58,ABS(O1421)*'Progetto del paramento slu'!$G$54,'Progetto del paramento slu'!$G$53)</f>
        <v>88126825.206198111</v>
      </c>
      <c r="J1421" s="479">
        <f t="shared" si="103"/>
        <v>126613206.09634539</v>
      </c>
      <c r="K1421" s="558">
        <f>'Progetto del paramento slu'!$G$60*(sezione!$AL$32-C1421)/C1421</f>
        <v>-1.7670305578659081E-3</v>
      </c>
      <c r="L1421" s="558">
        <f>'Progetto del paramento slu'!$G$60*(sezione!$AM$32-C1421)/C1421</f>
        <v>2.9986354080028454E-3</v>
      </c>
      <c r="M1421" s="559">
        <f>'Progetto del paramento slu'!$G$60*(sezione!$AN$32-C1421)/C1421</f>
        <v>7.7643013738715972E-3</v>
      </c>
      <c r="N1421" s="559">
        <f>'Progetto del paramento slu'!$G$60*(sezione!$AO$32-C1421)/C1421</f>
        <v>1.1230240258139783E-2</v>
      </c>
      <c r="O1421" s="559">
        <f>'Progetto del paramento slu'!$G$60*(sezione!$AP$32-C1421)/C1421</f>
        <v>7.7645179950518598E-3</v>
      </c>
      <c r="P1421" s="553">
        <f>-'Progetto del paramento slu'!$G$47*'Progetto del paramento slu'!$G$41*IF(DATI!$G$218="dx",DATI!$E$61,DATI!$E$64*DATI!$E$63)*1000*C1421*sezione!$AD$5</f>
        <v>-1138753.2590129203</v>
      </c>
      <c r="Q1421" s="553">
        <f>'Foglio deposito bis'!$F$68*IF(ABS(K1421)&lt;'Progetto del paramento slu'!$G$58,ABS(K1421)*'Progetto del paramento slu'!$G$54,'Progetto del paramento slu'!$G$53)*IF(K1421&lt;0,-1,1)</f>
        <v>0</v>
      </c>
      <c r="R1421" s="553">
        <f>'Foglio deposito bis'!$F$69*IF(ABS(L1421)&lt;'Progetto del paramento slu'!$G$58,ABS(L1421)*'Progetto del paramento slu'!$G$54,'Progetto del paramento slu'!$G$53)*IF(L1421&lt;0,-1,1)</f>
        <v>153664.85805602249</v>
      </c>
      <c r="S1421" s="553">
        <f>'Foglio deposito bis'!$F$70*IF(ABS(M1421)&lt;'Progetto del paramento slu'!$G$58,ABS(M1421)*'Progetto del paramento slu'!$G$54,'Progetto del paramento slu'!$G$53)*IF(M1421&lt;0,-1,1)</f>
        <v>0</v>
      </c>
      <c r="T1421" s="553">
        <f>'Foglio deposito bis'!$F$71*IF(ABS(N1421)&lt;'Progetto del paramento slu'!$G$58,ABS(N1421)*'Progetto del paramento slu'!$G$54,'Progetto del paramento slu'!$G$53)*IF(N1421&lt;0,-1,1)</f>
        <v>314705.62929873407</v>
      </c>
      <c r="U1421" s="553">
        <f>'Foglio deposito bis'!$F$72*IF(ABS(O1421)&lt;'Progetto del paramento slu'!$G$58,ABS(O1421)*'Progetto del paramento slu'!$G$54,'Progetto del paramento slu'!$G$53)*IF(O1421&lt;0,-1,1)</f>
        <v>491727.54577927204</v>
      </c>
      <c r="V1421" s="479">
        <f t="shared" si="105"/>
        <v>-178655.22587889171</v>
      </c>
      <c r="W1421" s="559"/>
      <c r="X1421" s="559"/>
    </row>
    <row r="1422" spans="1:24" x14ac:dyDescent="0.25">
      <c r="A1422" s="553">
        <f t="shared" si="104"/>
        <v>190099.98225088086</v>
      </c>
      <c r="B1422" s="3">
        <f t="shared" si="106"/>
        <v>20.099999999999952</v>
      </c>
      <c r="C1422" s="553">
        <f>'Foglio deposito bis'!$E$158/sezione!$B$247*B1422</f>
        <v>81.598112313937577</v>
      </c>
      <c r="D1422" s="611">
        <f>-'Progetto del paramento slu'!$G$47*'Progetto del paramento slu'!$G$41*IF(DATI!$G$218="dx",DATI!$E$61,DATI!$E$64*DATI!$E$63)*1000*C1422^2*sezione!$AD$5*(1-sezione!$AD$6)</f>
        <v>-54810728.316105247</v>
      </c>
      <c r="E1422" s="553">
        <f>-'Foglio deposito bis'!$F$68*(C1422-sezione!$AL$32)*IF(ABS(K1422)&lt;'Progetto del paramento slu'!$G$58,ABS(K1422)*'Progetto del paramento slu'!$G$54,'Progetto del paramento slu'!$G$53)</f>
        <v>0</v>
      </c>
      <c r="F1422" s="553">
        <f>-'Foglio deposito bis'!$F$69*(C1422-sezione!$AM$32)*IF(ABS(L1422)&lt;'Progetto del paramento slu'!$G$58,ABS(L1422)*'Progetto del paramento slu'!$G$54,'Progetto del paramento slu'!$G$53)</f>
        <v>10510966.362042775</v>
      </c>
      <c r="G1422" s="553">
        <f>-'Foglio deposito bis'!$F$70*(C1422-sezione!$AN$32)*IF(ABS(M1422)&lt;'Progetto del paramento slu'!$G$58,ABS(M1422)*'Progetto del paramento slu'!$G$54,'Progetto del paramento slu'!$G$53)</f>
        <v>0</v>
      </c>
      <c r="H1422" s="553">
        <f>-'Foglio deposito bis'!$F$71*(C1422-sezione!$AO$32)*IF(ABS(N1422)&lt;'Progetto del paramento slu'!$G$58,ABS(N1422)*'Progetto del paramento slu'!$G$54,'Progetto del paramento slu'!$G$53)</f>
        <v>81320528.676223084</v>
      </c>
      <c r="I1422" s="479">
        <f>-'Foglio deposito bis'!$F$72*(C1422-sezione!$AP$32)*IF(ABS(O1422)&lt;'Progetto del paramento slu'!$G$58,ABS(O1422)*'Progetto del paramento slu'!$G$54,'Progetto del paramento slu'!$G$53)</f>
        <v>87727581.031985641</v>
      </c>
      <c r="J1422" s="479">
        <f t="shared" si="103"/>
        <v>124748347.75414625</v>
      </c>
      <c r="K1422" s="558">
        <f>'Progetto del paramento slu'!$G$60*(sezione!$AL$32-C1422)/C1422</f>
        <v>-1.784274034902068E-3</v>
      </c>
      <c r="L1422" s="558">
        <f>'Progetto del paramento slu'!$G$60*(sezione!$AM$32-C1422)/C1422</f>
        <v>2.933972369117245E-3</v>
      </c>
      <c r="M1422" s="559">
        <f>'Progetto del paramento slu'!$G$60*(sezione!$AN$32-C1422)/C1422</f>
        <v>7.6522187731365588E-3</v>
      </c>
      <c r="N1422" s="559">
        <f>'Progetto del paramento slu'!$G$60*(sezione!$AO$32-C1422)/C1422</f>
        <v>1.1083670703332422E-2</v>
      </c>
      <c r="O1422" s="559">
        <f>'Progetto del paramento slu'!$G$60*(sezione!$AP$32-C1422)/C1422</f>
        <v>7.6524332388821902E-3</v>
      </c>
      <c r="P1422" s="553">
        <f>-'Progetto del paramento slu'!$G$47*'Progetto del paramento slu'!$G$41*IF(DATI!$G$218="dx",DATI!$E$61,DATI!$E$64*DATI!$E$63)*1000*C1422*sezione!$AD$5</f>
        <v>-1150198.0153849095</v>
      </c>
      <c r="Q1422" s="553">
        <f>'Foglio deposito bis'!$F$68*IF(ABS(K1422)&lt;'Progetto del paramento slu'!$G$58,ABS(K1422)*'Progetto del paramento slu'!$G$54,'Progetto del paramento slu'!$G$53)*IF(K1422&lt;0,-1,1)</f>
        <v>0</v>
      </c>
      <c r="R1422" s="553">
        <f>'Foglio deposito bis'!$F$69*IF(ABS(L1422)&lt;'Progetto del paramento slu'!$G$58,ABS(L1422)*'Progetto del paramento slu'!$G$54,'Progetto del paramento slu'!$G$53)*IF(L1422&lt;0,-1,1)</f>
        <v>153664.85805602249</v>
      </c>
      <c r="S1422" s="553">
        <f>'Foglio deposito bis'!$F$70*IF(ABS(M1422)&lt;'Progetto del paramento slu'!$G$58,ABS(M1422)*'Progetto del paramento slu'!$G$54,'Progetto del paramento slu'!$G$53)*IF(M1422&lt;0,-1,1)</f>
        <v>0</v>
      </c>
      <c r="T1422" s="553">
        <f>'Foglio deposito bis'!$F$71*IF(ABS(N1422)&lt;'Progetto del paramento slu'!$G$58,ABS(N1422)*'Progetto del paramento slu'!$G$54,'Progetto del paramento slu'!$G$53)*IF(N1422&lt;0,-1,1)</f>
        <v>314705.62929873407</v>
      </c>
      <c r="U1422" s="553">
        <f>'Foglio deposito bis'!$F$72*IF(ABS(O1422)&lt;'Progetto del paramento slu'!$G$58,ABS(O1422)*'Progetto del paramento slu'!$G$54,'Progetto del paramento slu'!$G$53)*IF(O1422&lt;0,-1,1)</f>
        <v>491727.54577927204</v>
      </c>
      <c r="V1422" s="479">
        <f t="shared" si="105"/>
        <v>-190099.98225088086</v>
      </c>
      <c r="W1422" s="559"/>
      <c r="X1422" s="559"/>
    </row>
    <row r="1423" spans="1:24" x14ac:dyDescent="0.25">
      <c r="A1423" s="553">
        <f t="shared" si="104"/>
        <v>201544.73862287001</v>
      </c>
      <c r="B1423" s="3">
        <f t="shared" si="106"/>
        <v>20.299999999999951</v>
      </c>
      <c r="C1423" s="553">
        <f>'Foglio deposito bis'!$E$158/sezione!$B$247*B1423</f>
        <v>82.410033829499142</v>
      </c>
      <c r="D1423" s="611">
        <f>-'Progetto del paramento slu'!$G$47*'Progetto del paramento slu'!$G$41*IF(DATI!$G$218="dx",DATI!$E$61,DATI!$E$64*DATI!$E$63)*1000*C1423^2*sezione!$AD$5*(1-sezione!$AD$6)</f>
        <v>-55906915.749075048</v>
      </c>
      <c r="E1423" s="553">
        <f>-'Foglio deposito bis'!$F$68*(C1423-sezione!$AL$32)*IF(ABS(K1423)&lt;'Progetto del paramento slu'!$G$58,ABS(K1423)*'Progetto del paramento slu'!$G$54,'Progetto del paramento slu'!$G$53)</f>
        <v>0</v>
      </c>
      <c r="F1423" s="553">
        <f>-'Foglio deposito bis'!$F$69*(C1423-sezione!$AM$32)*IF(ABS(L1423)&lt;'Progetto del paramento slu'!$G$58,ABS(L1423)*'Progetto del paramento slu'!$G$54,'Progetto del paramento slu'!$G$53)</f>
        <v>10386202.557601377</v>
      </c>
      <c r="G1423" s="553">
        <f>-'Foglio deposito bis'!$F$70*(C1423-sezione!$AN$32)*IF(ABS(M1423)&lt;'Progetto del paramento slu'!$G$58,ABS(M1423)*'Progetto del paramento slu'!$G$54,'Progetto del paramento slu'!$G$53)</f>
        <v>0</v>
      </c>
      <c r="H1423" s="553">
        <f>-'Foglio deposito bis'!$F$71*(C1423-sezione!$AO$32)*IF(ABS(N1423)&lt;'Progetto del paramento slu'!$G$58,ABS(N1423)*'Progetto del paramento slu'!$G$54,'Progetto del paramento slu'!$G$53)</f>
        <v>81065012.404727101</v>
      </c>
      <c r="I1423" s="479">
        <f>-'Foglio deposito bis'!$F$72*(C1423-sezione!$AP$32)*IF(ABS(O1423)&lt;'Progetto del paramento slu'!$G$58,ABS(O1423)*'Progetto del paramento slu'!$G$54,'Progetto del paramento slu'!$G$53)</f>
        <v>87328336.85777317</v>
      </c>
      <c r="J1423" s="479">
        <f t="shared" si="103"/>
        <v>122872636.07102659</v>
      </c>
      <c r="K1423" s="558">
        <f>'Progetto del paramento slu'!$G$60*(sezione!$AL$32-C1423)/C1423</f>
        <v>-1.8011777389917026E-3</v>
      </c>
      <c r="L1423" s="558">
        <f>'Progetto del paramento slu'!$G$60*(sezione!$AM$32-C1423)/C1423</f>
        <v>2.8705834787811149E-3</v>
      </c>
      <c r="M1423" s="559">
        <f>'Progetto del paramento slu'!$G$60*(sezione!$AN$32-C1423)/C1423</f>
        <v>7.5423446965539329E-3</v>
      </c>
      <c r="N1423" s="559">
        <f>'Progetto del paramento slu'!$G$60*(sezione!$AO$32-C1423)/C1423</f>
        <v>1.0939989218570529E-2</v>
      </c>
      <c r="O1423" s="559">
        <f>'Progetto del paramento slu'!$G$60*(sezione!$AP$32-C1423)/C1423</f>
        <v>7.542557049336554E-3</v>
      </c>
      <c r="P1423" s="553">
        <f>-'Progetto del paramento slu'!$G$47*'Progetto del paramento slu'!$G$41*IF(DATI!$G$218="dx",DATI!$E$61,DATI!$E$64*DATI!$E$63)*1000*C1423*sezione!$AD$5</f>
        <v>-1161642.7717568986</v>
      </c>
      <c r="Q1423" s="553">
        <f>'Foglio deposito bis'!$F$68*IF(ABS(K1423)&lt;'Progetto del paramento slu'!$G$58,ABS(K1423)*'Progetto del paramento slu'!$G$54,'Progetto del paramento slu'!$G$53)*IF(K1423&lt;0,-1,1)</f>
        <v>0</v>
      </c>
      <c r="R1423" s="553">
        <f>'Foglio deposito bis'!$F$69*IF(ABS(L1423)&lt;'Progetto del paramento slu'!$G$58,ABS(L1423)*'Progetto del paramento slu'!$G$54,'Progetto del paramento slu'!$G$53)*IF(L1423&lt;0,-1,1)</f>
        <v>153664.85805602249</v>
      </c>
      <c r="S1423" s="553">
        <f>'Foglio deposito bis'!$F$70*IF(ABS(M1423)&lt;'Progetto del paramento slu'!$G$58,ABS(M1423)*'Progetto del paramento slu'!$G$54,'Progetto del paramento slu'!$G$53)*IF(M1423&lt;0,-1,1)</f>
        <v>0</v>
      </c>
      <c r="T1423" s="553">
        <f>'Foglio deposito bis'!$F$71*IF(ABS(N1423)&lt;'Progetto del paramento slu'!$G$58,ABS(N1423)*'Progetto del paramento slu'!$G$54,'Progetto del paramento slu'!$G$53)*IF(N1423&lt;0,-1,1)</f>
        <v>314705.62929873407</v>
      </c>
      <c r="U1423" s="553">
        <f>'Foglio deposito bis'!$F$72*IF(ABS(O1423)&lt;'Progetto del paramento slu'!$G$58,ABS(O1423)*'Progetto del paramento slu'!$G$54,'Progetto del paramento slu'!$G$53)*IF(O1423&lt;0,-1,1)</f>
        <v>491727.54577927204</v>
      </c>
      <c r="V1423" s="479">
        <f t="shared" si="105"/>
        <v>-201544.73862287001</v>
      </c>
      <c r="W1423" s="559"/>
      <c r="X1423" s="559"/>
    </row>
    <row r="1424" spans="1:24" x14ac:dyDescent="0.25">
      <c r="A1424" s="553">
        <f t="shared" si="104"/>
        <v>212989.49499485915</v>
      </c>
      <c r="B1424" s="3">
        <f t="shared" si="106"/>
        <v>20.49999999999995</v>
      </c>
      <c r="C1424" s="553">
        <f>'Foglio deposito bis'!$E$158/sezione!$B$247*B1424</f>
        <v>83.221955345060707</v>
      </c>
      <c r="D1424" s="611">
        <f>-'Progetto del paramento slu'!$G$47*'Progetto del paramento slu'!$G$41*IF(DATI!$G$218="dx",DATI!$E$61,DATI!$E$64*DATI!$E$63)*1000*C1424^2*sezione!$AD$5*(1-sezione!$AD$6)</f>
        <v>-57013956.522965334</v>
      </c>
      <c r="E1424" s="553">
        <f>-'Foglio deposito bis'!$F$68*(C1424-sezione!$AL$32)*IF(ABS(K1424)&lt;'Progetto del paramento slu'!$G$58,ABS(K1424)*'Progetto del paramento slu'!$G$54,'Progetto del paramento slu'!$G$53)</f>
        <v>0</v>
      </c>
      <c r="F1424" s="553">
        <f>-'Foglio deposito bis'!$F$69*(C1424-sezione!$AM$32)*IF(ABS(L1424)&lt;'Progetto del paramento slu'!$G$58,ABS(L1424)*'Progetto del paramento slu'!$G$54,'Progetto del paramento slu'!$G$53)</f>
        <v>10261438.753159977</v>
      </c>
      <c r="G1424" s="553">
        <f>-'Foglio deposito bis'!$F$70*(C1424-sezione!$AN$32)*IF(ABS(M1424)&lt;'Progetto del paramento slu'!$G$58,ABS(M1424)*'Progetto del paramento slu'!$G$54,'Progetto del paramento slu'!$G$53)</f>
        <v>0</v>
      </c>
      <c r="H1424" s="553">
        <f>-'Foglio deposito bis'!$F$71*(C1424-sezione!$AO$32)*IF(ABS(N1424)&lt;'Progetto del paramento slu'!$G$58,ABS(N1424)*'Progetto del paramento slu'!$G$54,'Progetto del paramento slu'!$G$53)</f>
        <v>80809496.133231118</v>
      </c>
      <c r="I1424" s="479">
        <f>-'Foglio deposito bis'!$F$72*(C1424-sezione!$AP$32)*IF(ABS(O1424)&lt;'Progetto del paramento slu'!$G$58,ABS(O1424)*'Progetto del paramento slu'!$G$54,'Progetto del paramento slu'!$G$53)</f>
        <v>86929092.683560699</v>
      </c>
      <c r="J1424" s="479">
        <f t="shared" si="103"/>
        <v>120986071.04698646</v>
      </c>
      <c r="K1424" s="558">
        <f>'Progetto del paramento slu'!$G$60*(sezione!$AL$32-C1424)/C1424</f>
        <v>-1.8177516147088568E-3</v>
      </c>
      <c r="L1424" s="558">
        <f>'Progetto del paramento slu'!$G$60*(sezione!$AM$32-C1424)/C1424</f>
        <v>2.8084314448417872E-3</v>
      </c>
      <c r="M1424" s="559">
        <f>'Progetto del paramento slu'!$G$60*(sezione!$AN$32-C1424)/C1424</f>
        <v>7.4346145043924314E-3</v>
      </c>
      <c r="N1424" s="559">
        <f>'Progetto del paramento slu'!$G$60*(sezione!$AO$32-C1424)/C1424</f>
        <v>1.0799111274974718E-2</v>
      </c>
      <c r="O1424" s="559">
        <f>'Progetto del paramento slu'!$G$60*(sezione!$AP$32-C1424)/C1424</f>
        <v>7.434824785440588E-3</v>
      </c>
      <c r="P1424" s="553">
        <f>-'Progetto del paramento slu'!$G$47*'Progetto del paramento slu'!$G$41*IF(DATI!$G$218="dx",DATI!$E$61,DATI!$E$64*DATI!$E$63)*1000*C1424*sezione!$AD$5</f>
        <v>-1173087.5281288878</v>
      </c>
      <c r="Q1424" s="553">
        <f>'Foglio deposito bis'!$F$68*IF(ABS(K1424)&lt;'Progetto del paramento slu'!$G$58,ABS(K1424)*'Progetto del paramento slu'!$G$54,'Progetto del paramento slu'!$G$53)*IF(K1424&lt;0,-1,1)</f>
        <v>0</v>
      </c>
      <c r="R1424" s="553">
        <f>'Foglio deposito bis'!$F$69*IF(ABS(L1424)&lt;'Progetto del paramento slu'!$G$58,ABS(L1424)*'Progetto del paramento slu'!$G$54,'Progetto del paramento slu'!$G$53)*IF(L1424&lt;0,-1,1)</f>
        <v>153664.85805602249</v>
      </c>
      <c r="S1424" s="553">
        <f>'Foglio deposito bis'!$F$70*IF(ABS(M1424)&lt;'Progetto del paramento slu'!$G$58,ABS(M1424)*'Progetto del paramento slu'!$G$54,'Progetto del paramento slu'!$G$53)*IF(M1424&lt;0,-1,1)</f>
        <v>0</v>
      </c>
      <c r="T1424" s="553">
        <f>'Foglio deposito bis'!$F$71*IF(ABS(N1424)&lt;'Progetto del paramento slu'!$G$58,ABS(N1424)*'Progetto del paramento slu'!$G$54,'Progetto del paramento slu'!$G$53)*IF(N1424&lt;0,-1,1)</f>
        <v>314705.62929873407</v>
      </c>
      <c r="U1424" s="553">
        <f>'Foglio deposito bis'!$F$72*IF(ABS(O1424)&lt;'Progetto del paramento slu'!$G$58,ABS(O1424)*'Progetto del paramento slu'!$G$54,'Progetto del paramento slu'!$G$53)*IF(O1424&lt;0,-1,1)</f>
        <v>491727.54577927204</v>
      </c>
      <c r="V1424" s="479">
        <f t="shared" si="105"/>
        <v>-212989.49499485915</v>
      </c>
      <c r="W1424" s="559"/>
      <c r="X1424" s="559"/>
    </row>
    <row r="1425" spans="1:24" x14ac:dyDescent="0.25">
      <c r="A1425" s="553">
        <f t="shared" si="104"/>
        <v>224434.2513668483</v>
      </c>
      <c r="B1425" s="3">
        <f t="shared" si="106"/>
        <v>20.69999999999995</v>
      </c>
      <c r="C1425" s="553">
        <f>'Foglio deposito bis'!$E$158/sezione!$B$247*B1425</f>
        <v>84.033876860622271</v>
      </c>
      <c r="D1425" s="611">
        <f>-'Progetto del paramento slu'!$G$47*'Progetto del paramento slu'!$G$41*IF(DATI!$G$218="dx",DATI!$E$61,DATI!$E$64*DATI!$E$63)*1000*C1425^2*sezione!$AD$5*(1-sezione!$AD$6)</f>
        <v>-58131850.637776114</v>
      </c>
      <c r="E1425" s="553">
        <f>-'Foglio deposito bis'!$F$68*(C1425-sezione!$AL$32)*IF(ABS(K1425)&lt;'Progetto del paramento slu'!$G$58,ABS(K1425)*'Progetto del paramento slu'!$G$54,'Progetto del paramento slu'!$G$53)</f>
        <v>0</v>
      </c>
      <c r="F1425" s="553">
        <f>-'Foglio deposito bis'!$F$69*(C1425-sezione!$AM$32)*IF(ABS(L1425)&lt;'Progetto del paramento slu'!$G$58,ABS(L1425)*'Progetto del paramento slu'!$G$54,'Progetto del paramento slu'!$G$53)</f>
        <v>10136674.948718579</v>
      </c>
      <c r="G1425" s="553">
        <f>-'Foglio deposito bis'!$F$70*(C1425-sezione!$AN$32)*IF(ABS(M1425)&lt;'Progetto del paramento slu'!$G$58,ABS(M1425)*'Progetto del paramento slu'!$G$54,'Progetto del paramento slu'!$G$53)</f>
        <v>0</v>
      </c>
      <c r="H1425" s="553">
        <f>-'Foglio deposito bis'!$F$71*(C1425-sezione!$AO$32)*IF(ABS(N1425)&lt;'Progetto del paramento slu'!$G$58,ABS(N1425)*'Progetto del paramento slu'!$G$54,'Progetto del paramento slu'!$G$53)</f>
        <v>80553979.86173512</v>
      </c>
      <c r="I1425" s="479">
        <f>-'Foglio deposito bis'!$F$72*(C1425-sezione!$AP$32)*IF(ABS(O1425)&lt;'Progetto del paramento slu'!$G$58,ABS(O1425)*'Progetto del paramento slu'!$G$54,'Progetto del paramento slu'!$G$53)</f>
        <v>86529848.509348214</v>
      </c>
      <c r="J1425" s="479">
        <f t="shared" si="103"/>
        <v>119088652.68202579</v>
      </c>
      <c r="K1425" s="558">
        <f>'Progetto del paramento slu'!$G$60*(sezione!$AL$32-C1425)/C1425</f>
        <v>-1.8340052222962108E-3</v>
      </c>
      <c r="L1425" s="558">
        <f>'Progetto del paramento slu'!$G$60*(sezione!$AM$32-C1425)/C1425</f>
        <v>2.7474804163892096E-3</v>
      </c>
      <c r="M1425" s="559">
        <f>'Progetto del paramento slu'!$G$60*(sezione!$AN$32-C1425)/C1425</f>
        <v>7.3289660550746299E-3</v>
      </c>
      <c r="N1425" s="559">
        <f>'Progetto del paramento slu'!$G$60*(sezione!$AO$32-C1425)/C1425</f>
        <v>1.0660955610482208E-2</v>
      </c>
      <c r="O1425" s="559">
        <f>'Progetto del paramento slu'!$G$60*(sezione!$AP$32-C1425)/C1425</f>
        <v>7.3291743044218375E-3</v>
      </c>
      <c r="P1425" s="553">
        <f>-'Progetto del paramento slu'!$G$47*'Progetto del paramento slu'!$G$41*IF(DATI!$G$218="dx",DATI!$E$61,DATI!$E$64*DATI!$E$63)*1000*C1425*sezione!$AD$5</f>
        <v>-1184532.2845008769</v>
      </c>
      <c r="Q1425" s="553">
        <f>'Foglio deposito bis'!$F$68*IF(ABS(K1425)&lt;'Progetto del paramento slu'!$G$58,ABS(K1425)*'Progetto del paramento slu'!$G$54,'Progetto del paramento slu'!$G$53)*IF(K1425&lt;0,-1,1)</f>
        <v>0</v>
      </c>
      <c r="R1425" s="553">
        <f>'Foglio deposito bis'!$F$69*IF(ABS(L1425)&lt;'Progetto del paramento slu'!$G$58,ABS(L1425)*'Progetto del paramento slu'!$G$54,'Progetto del paramento slu'!$G$53)*IF(L1425&lt;0,-1,1)</f>
        <v>153664.85805602249</v>
      </c>
      <c r="S1425" s="553">
        <f>'Foglio deposito bis'!$F$70*IF(ABS(M1425)&lt;'Progetto del paramento slu'!$G$58,ABS(M1425)*'Progetto del paramento slu'!$G$54,'Progetto del paramento slu'!$G$53)*IF(M1425&lt;0,-1,1)</f>
        <v>0</v>
      </c>
      <c r="T1425" s="553">
        <f>'Foglio deposito bis'!$F$71*IF(ABS(N1425)&lt;'Progetto del paramento slu'!$G$58,ABS(N1425)*'Progetto del paramento slu'!$G$54,'Progetto del paramento slu'!$G$53)*IF(N1425&lt;0,-1,1)</f>
        <v>314705.62929873407</v>
      </c>
      <c r="U1425" s="553">
        <f>'Foglio deposito bis'!$F$72*IF(ABS(O1425)&lt;'Progetto del paramento slu'!$G$58,ABS(O1425)*'Progetto del paramento slu'!$G$54,'Progetto del paramento slu'!$G$53)*IF(O1425&lt;0,-1,1)</f>
        <v>491727.54577927204</v>
      </c>
      <c r="V1425" s="479">
        <f t="shared" si="105"/>
        <v>-224434.2513668483</v>
      </c>
      <c r="W1425" s="559"/>
      <c r="X1425" s="559"/>
    </row>
    <row r="1426" spans="1:24" x14ac:dyDescent="0.25">
      <c r="A1426" s="553">
        <f t="shared" si="104"/>
        <v>235879.00773883745</v>
      </c>
      <c r="B1426" s="3">
        <f t="shared" si="106"/>
        <v>20.899999999999949</v>
      </c>
      <c r="C1426" s="553">
        <f>'Foglio deposito bis'!$E$158/sezione!$B$247*B1426</f>
        <v>84.845798376183836</v>
      </c>
      <c r="D1426" s="611">
        <f>-'Progetto del paramento slu'!$G$47*'Progetto del paramento slu'!$G$41*IF(DATI!$G$218="dx",DATI!$E$61,DATI!$E$64*DATI!$E$63)*1000*C1426^2*sezione!$AD$5*(1-sezione!$AD$6)</f>
        <v>-59260598.093507402</v>
      </c>
      <c r="E1426" s="553">
        <f>-'Foglio deposito bis'!$F$68*(C1426-sezione!$AL$32)*IF(ABS(K1426)&lt;'Progetto del paramento slu'!$G$58,ABS(K1426)*'Progetto del paramento slu'!$G$54,'Progetto del paramento slu'!$G$53)</f>
        <v>0</v>
      </c>
      <c r="F1426" s="553">
        <f>-'Foglio deposito bis'!$F$69*(C1426-sezione!$AM$32)*IF(ABS(L1426)&lt;'Progetto del paramento slu'!$G$58,ABS(L1426)*'Progetto del paramento slu'!$G$54,'Progetto del paramento slu'!$G$53)</f>
        <v>10011911.144277181</v>
      </c>
      <c r="G1426" s="553">
        <f>-'Foglio deposito bis'!$F$70*(C1426-sezione!$AN$32)*IF(ABS(M1426)&lt;'Progetto del paramento slu'!$G$58,ABS(M1426)*'Progetto del paramento slu'!$G$54,'Progetto del paramento slu'!$G$53)</f>
        <v>0</v>
      </c>
      <c r="H1426" s="553">
        <f>-'Foglio deposito bis'!$F$71*(C1426-sezione!$AO$32)*IF(ABS(N1426)&lt;'Progetto del paramento slu'!$G$58,ABS(N1426)*'Progetto del paramento slu'!$G$54,'Progetto del paramento slu'!$G$53)</f>
        <v>80298463.590239152</v>
      </c>
      <c r="I1426" s="479">
        <f>-'Foglio deposito bis'!$F$72*(C1426-sezione!$AP$32)*IF(ABS(O1426)&lt;'Progetto del paramento slu'!$G$58,ABS(O1426)*'Progetto del paramento slu'!$G$54,'Progetto del paramento slu'!$G$53)</f>
        <v>86130604.335135743</v>
      </c>
      <c r="J1426" s="479">
        <f t="shared" si="103"/>
        <v>117180380.97614467</v>
      </c>
      <c r="K1426" s="558">
        <f>'Progetto del paramento slu'!$G$60*(sezione!$AL$32-C1426)/C1426</f>
        <v>-1.8499477560541418E-3</v>
      </c>
      <c r="L1426" s="558">
        <f>'Progetto del paramento slu'!$G$60*(sezione!$AM$32-C1426)/C1426</f>
        <v>2.6876959147969686E-3</v>
      </c>
      <c r="M1426" s="559">
        <f>'Progetto del paramento slu'!$G$60*(sezione!$AN$32-C1426)/C1426</f>
        <v>7.2253395856480794E-3</v>
      </c>
      <c r="N1426" s="559">
        <f>'Progetto del paramento slu'!$G$60*(sezione!$AO$32-C1426)/C1426</f>
        <v>1.0525444073539796E-2</v>
      </c>
      <c r="O1426" s="559">
        <f>'Progetto del paramento slu'!$G$60*(sezione!$AP$32-C1426)/C1426</f>
        <v>7.2255458421785681E-3</v>
      </c>
      <c r="P1426" s="553">
        <f>-'Progetto del paramento slu'!$G$47*'Progetto del paramento slu'!$G$41*IF(DATI!$G$218="dx",DATI!$E$61,DATI!$E$64*DATI!$E$63)*1000*C1426*sezione!$AD$5</f>
        <v>-1195977.0408728661</v>
      </c>
      <c r="Q1426" s="553">
        <f>'Foglio deposito bis'!$F$68*IF(ABS(K1426)&lt;'Progetto del paramento slu'!$G$58,ABS(K1426)*'Progetto del paramento slu'!$G$54,'Progetto del paramento slu'!$G$53)*IF(K1426&lt;0,-1,1)</f>
        <v>0</v>
      </c>
      <c r="R1426" s="553">
        <f>'Foglio deposito bis'!$F$69*IF(ABS(L1426)&lt;'Progetto del paramento slu'!$G$58,ABS(L1426)*'Progetto del paramento slu'!$G$54,'Progetto del paramento slu'!$G$53)*IF(L1426&lt;0,-1,1)</f>
        <v>153664.85805602249</v>
      </c>
      <c r="S1426" s="553">
        <f>'Foglio deposito bis'!$F$70*IF(ABS(M1426)&lt;'Progetto del paramento slu'!$G$58,ABS(M1426)*'Progetto del paramento slu'!$G$54,'Progetto del paramento slu'!$G$53)*IF(M1426&lt;0,-1,1)</f>
        <v>0</v>
      </c>
      <c r="T1426" s="553">
        <f>'Foglio deposito bis'!$F$71*IF(ABS(N1426)&lt;'Progetto del paramento slu'!$G$58,ABS(N1426)*'Progetto del paramento slu'!$G$54,'Progetto del paramento slu'!$G$53)*IF(N1426&lt;0,-1,1)</f>
        <v>314705.62929873407</v>
      </c>
      <c r="U1426" s="553">
        <f>'Foglio deposito bis'!$F$72*IF(ABS(O1426)&lt;'Progetto del paramento slu'!$G$58,ABS(O1426)*'Progetto del paramento slu'!$G$54,'Progetto del paramento slu'!$G$53)*IF(O1426&lt;0,-1,1)</f>
        <v>491727.54577927204</v>
      </c>
      <c r="V1426" s="479">
        <f t="shared" si="105"/>
        <v>-235879.00773883745</v>
      </c>
      <c r="W1426" s="559"/>
      <c r="X1426" s="559"/>
    </row>
    <row r="1427" spans="1:24" x14ac:dyDescent="0.25">
      <c r="A1427" s="553">
        <f t="shared" si="104"/>
        <v>247323.76411082683</v>
      </c>
      <c r="B1427" s="3">
        <f t="shared" si="106"/>
        <v>21.099999999999948</v>
      </c>
      <c r="C1427" s="553">
        <f>'Foglio deposito bis'!$E$158/sezione!$B$247*B1427</f>
        <v>85.657719891745415</v>
      </c>
      <c r="D1427" s="611">
        <f>-'Progetto del paramento slu'!$G$47*'Progetto del paramento slu'!$G$41*IF(DATI!$G$218="dx",DATI!$E$61,DATI!$E$64*DATI!$E$63)*1000*C1427^2*sezione!$AD$5*(1-sezione!$AD$6)</f>
        <v>-60400198.890159197</v>
      </c>
      <c r="E1427" s="553">
        <f>-'Foglio deposito bis'!$F$68*(C1427-sezione!$AL$32)*IF(ABS(K1427)&lt;'Progetto del paramento slu'!$G$58,ABS(K1427)*'Progetto del paramento slu'!$G$54,'Progetto del paramento slu'!$G$53)</f>
        <v>0</v>
      </c>
      <c r="F1427" s="553">
        <f>-'Foglio deposito bis'!$F$69*(C1427-sezione!$AM$32)*IF(ABS(L1427)&lt;'Progetto del paramento slu'!$G$58,ABS(L1427)*'Progetto del paramento slu'!$G$54,'Progetto del paramento slu'!$G$53)</f>
        <v>9887147.3398357797</v>
      </c>
      <c r="G1427" s="553">
        <f>-'Foglio deposito bis'!$F$70*(C1427-sezione!$AN$32)*IF(ABS(M1427)&lt;'Progetto del paramento slu'!$G$58,ABS(M1427)*'Progetto del paramento slu'!$G$54,'Progetto del paramento slu'!$G$53)</f>
        <v>0</v>
      </c>
      <c r="H1427" s="553">
        <f>-'Foglio deposito bis'!$F$71*(C1427-sezione!$AO$32)*IF(ABS(N1427)&lt;'Progetto del paramento slu'!$G$58,ABS(N1427)*'Progetto del paramento slu'!$G$54,'Progetto del paramento slu'!$G$53)</f>
        <v>80042947.318743154</v>
      </c>
      <c r="I1427" s="479">
        <f>-'Foglio deposito bis'!$F$72*(C1427-sezione!$AP$32)*IF(ABS(O1427)&lt;'Progetto del paramento slu'!$G$58,ABS(O1427)*'Progetto del paramento slu'!$G$54,'Progetto del paramento slu'!$G$53)</f>
        <v>85731360.160923272</v>
      </c>
      <c r="J1427" s="479">
        <f t="shared" si="103"/>
        <v>115261255.92934301</v>
      </c>
      <c r="K1427" s="558">
        <f>'Progetto del paramento slu'!$G$60*(sezione!$AL$32-C1427)/C1427</f>
        <v>-1.8655880616839605E-3</v>
      </c>
      <c r="L1427" s="558">
        <f>'Progetto del paramento slu'!$G$60*(sezione!$AM$32-C1427)/C1427</f>
        <v>2.6290447686851482E-3</v>
      </c>
      <c r="M1427" s="559">
        <f>'Progetto del paramento slu'!$G$60*(sezione!$AN$32-C1427)/C1427</f>
        <v>7.1236775990542569E-3</v>
      </c>
      <c r="N1427" s="559">
        <f>'Progetto del paramento slu'!$G$60*(sezione!$AO$32-C1427)/C1427</f>
        <v>1.0392501475686336E-2</v>
      </c>
      <c r="O1427" s="559">
        <f>'Progetto del paramento slu'!$G$60*(sezione!$AP$32-C1427)/C1427</f>
        <v>7.1238819005465413E-3</v>
      </c>
      <c r="P1427" s="553">
        <f>-'Progetto del paramento slu'!$G$47*'Progetto del paramento slu'!$G$41*IF(DATI!$G$218="dx",DATI!$E$61,DATI!$E$64*DATI!$E$63)*1000*C1427*sezione!$AD$5</f>
        <v>-1207421.7972448554</v>
      </c>
      <c r="Q1427" s="553">
        <f>'Foglio deposito bis'!$F$68*IF(ABS(K1427)&lt;'Progetto del paramento slu'!$G$58,ABS(K1427)*'Progetto del paramento slu'!$G$54,'Progetto del paramento slu'!$G$53)*IF(K1427&lt;0,-1,1)</f>
        <v>0</v>
      </c>
      <c r="R1427" s="553">
        <f>'Foglio deposito bis'!$F$69*IF(ABS(L1427)&lt;'Progetto del paramento slu'!$G$58,ABS(L1427)*'Progetto del paramento slu'!$G$54,'Progetto del paramento slu'!$G$53)*IF(L1427&lt;0,-1,1)</f>
        <v>153664.85805602249</v>
      </c>
      <c r="S1427" s="553">
        <f>'Foglio deposito bis'!$F$70*IF(ABS(M1427)&lt;'Progetto del paramento slu'!$G$58,ABS(M1427)*'Progetto del paramento slu'!$G$54,'Progetto del paramento slu'!$G$53)*IF(M1427&lt;0,-1,1)</f>
        <v>0</v>
      </c>
      <c r="T1427" s="553">
        <f>'Foglio deposito bis'!$F$71*IF(ABS(N1427)&lt;'Progetto del paramento slu'!$G$58,ABS(N1427)*'Progetto del paramento slu'!$G$54,'Progetto del paramento slu'!$G$53)*IF(N1427&lt;0,-1,1)</f>
        <v>314705.62929873407</v>
      </c>
      <c r="U1427" s="553">
        <f>'Foglio deposito bis'!$F$72*IF(ABS(O1427)&lt;'Progetto del paramento slu'!$G$58,ABS(O1427)*'Progetto del paramento slu'!$G$54,'Progetto del paramento slu'!$G$53)*IF(O1427&lt;0,-1,1)</f>
        <v>491727.54577927204</v>
      </c>
      <c r="V1427" s="479">
        <f t="shared" si="105"/>
        <v>-247323.76411082683</v>
      </c>
      <c r="W1427" s="559"/>
      <c r="X1427" s="559"/>
    </row>
    <row r="1428" spans="1:24" x14ac:dyDescent="0.25">
      <c r="A1428" s="553">
        <f t="shared" si="104"/>
        <v>258768.52048281574</v>
      </c>
      <c r="B1428" s="3">
        <f t="shared" si="106"/>
        <v>21.299999999999947</v>
      </c>
      <c r="C1428" s="553">
        <f>'Foglio deposito bis'!$E$158/sezione!$B$247*B1428</f>
        <v>86.46964140730698</v>
      </c>
      <c r="D1428" s="611">
        <f>-'Progetto del paramento slu'!$G$47*'Progetto del paramento slu'!$G$41*IF(DATI!$G$218="dx",DATI!$E$61,DATI!$E$64*DATI!$E$63)*1000*C1428^2*sezione!$AD$5*(1-sezione!$AD$6)</f>
        <v>-61550653.027731456</v>
      </c>
      <c r="E1428" s="553">
        <f>-'Foglio deposito bis'!$F$68*(C1428-sezione!$AL$32)*IF(ABS(K1428)&lt;'Progetto del paramento slu'!$G$58,ABS(K1428)*'Progetto del paramento slu'!$G$54,'Progetto del paramento slu'!$G$53)</f>
        <v>0</v>
      </c>
      <c r="F1428" s="553">
        <f>-'Foglio deposito bis'!$F$69*(C1428-sezione!$AM$32)*IF(ABS(L1428)&lt;'Progetto del paramento slu'!$G$58,ABS(L1428)*'Progetto del paramento slu'!$G$54,'Progetto del paramento slu'!$G$53)</f>
        <v>9762383.5353943817</v>
      </c>
      <c r="G1428" s="553">
        <f>-'Foglio deposito bis'!$F$70*(C1428-sezione!$AN$32)*IF(ABS(M1428)&lt;'Progetto del paramento slu'!$G$58,ABS(M1428)*'Progetto del paramento slu'!$G$54,'Progetto del paramento slu'!$G$53)</f>
        <v>0</v>
      </c>
      <c r="H1428" s="553">
        <f>-'Foglio deposito bis'!$F$71*(C1428-sezione!$AO$32)*IF(ABS(N1428)&lt;'Progetto del paramento slu'!$G$58,ABS(N1428)*'Progetto del paramento slu'!$G$54,'Progetto del paramento slu'!$G$53)</f>
        <v>79787431.047247171</v>
      </c>
      <c r="I1428" s="479">
        <f>-'Foglio deposito bis'!$F$72*(C1428-sezione!$AP$32)*IF(ABS(O1428)&lt;'Progetto del paramento slu'!$G$58,ABS(O1428)*'Progetto del paramento slu'!$G$54,'Progetto del paramento slu'!$G$53)</f>
        <v>85332115.986710787</v>
      </c>
      <c r="J1428" s="479">
        <f t="shared" si="103"/>
        <v>113331277.54162088</v>
      </c>
      <c r="K1428" s="558">
        <f>'Progetto del paramento slu'!$G$60*(sezione!$AL$32-C1428)/C1428</f>
        <v>-1.8809346526540642E-3</v>
      </c>
      <c r="L1428" s="558">
        <f>'Progetto del paramento slu'!$G$60*(sezione!$AM$32-C1428)/C1428</f>
        <v>2.57149505254726E-3</v>
      </c>
      <c r="M1428" s="559">
        <f>'Progetto del paramento slu'!$G$60*(sezione!$AN$32-C1428)/C1428</f>
        <v>7.0239247577485826E-3</v>
      </c>
      <c r="N1428" s="559">
        <f>'Progetto del paramento slu'!$G$60*(sezione!$AO$32-C1428)/C1428</f>
        <v>1.0262055452440454E-2</v>
      </c>
      <c r="O1428" s="559">
        <f>'Progetto del paramento slu'!$G$60*(sezione!$AP$32-C1428)/C1428</f>
        <v>7.0241271409169966E-3</v>
      </c>
      <c r="P1428" s="553">
        <f>-'Progetto del paramento slu'!$G$47*'Progetto del paramento slu'!$G$41*IF(DATI!$G$218="dx",DATI!$E$61,DATI!$E$64*DATI!$E$63)*1000*C1428*sezione!$AD$5</f>
        <v>-1218866.5536168444</v>
      </c>
      <c r="Q1428" s="553">
        <f>'Foglio deposito bis'!$F$68*IF(ABS(K1428)&lt;'Progetto del paramento slu'!$G$58,ABS(K1428)*'Progetto del paramento slu'!$G$54,'Progetto del paramento slu'!$G$53)*IF(K1428&lt;0,-1,1)</f>
        <v>0</v>
      </c>
      <c r="R1428" s="553">
        <f>'Foglio deposito bis'!$F$69*IF(ABS(L1428)&lt;'Progetto del paramento slu'!$G$58,ABS(L1428)*'Progetto del paramento slu'!$G$54,'Progetto del paramento slu'!$G$53)*IF(L1428&lt;0,-1,1)</f>
        <v>153664.85805602249</v>
      </c>
      <c r="S1428" s="553">
        <f>'Foglio deposito bis'!$F$70*IF(ABS(M1428)&lt;'Progetto del paramento slu'!$G$58,ABS(M1428)*'Progetto del paramento slu'!$G$54,'Progetto del paramento slu'!$G$53)*IF(M1428&lt;0,-1,1)</f>
        <v>0</v>
      </c>
      <c r="T1428" s="553">
        <f>'Foglio deposito bis'!$F$71*IF(ABS(N1428)&lt;'Progetto del paramento slu'!$G$58,ABS(N1428)*'Progetto del paramento slu'!$G$54,'Progetto del paramento slu'!$G$53)*IF(N1428&lt;0,-1,1)</f>
        <v>314705.62929873407</v>
      </c>
      <c r="U1428" s="553">
        <f>'Foglio deposito bis'!$F$72*IF(ABS(O1428)&lt;'Progetto del paramento slu'!$G$58,ABS(O1428)*'Progetto del paramento slu'!$G$54,'Progetto del paramento slu'!$G$53)*IF(O1428&lt;0,-1,1)</f>
        <v>491727.54577927204</v>
      </c>
      <c r="V1428" s="479">
        <f t="shared" si="105"/>
        <v>-258768.52048281574</v>
      </c>
      <c r="W1428" s="559"/>
      <c r="X1428" s="559"/>
    </row>
    <row r="1429" spans="1:24" x14ac:dyDescent="0.25">
      <c r="A1429" s="553">
        <f t="shared" si="104"/>
        <v>270213.27685480489</v>
      </c>
      <c r="B1429" s="3">
        <f t="shared" si="106"/>
        <v>21.499999999999947</v>
      </c>
      <c r="C1429" s="553">
        <f>'Foglio deposito bis'!$E$158/sezione!$B$247*B1429</f>
        <v>87.281562922868545</v>
      </c>
      <c r="D1429" s="611">
        <f>-'Progetto del paramento slu'!$G$47*'Progetto del paramento slu'!$G$41*IF(DATI!$G$218="dx",DATI!$E$61,DATI!$E$64*DATI!$E$63)*1000*C1429^2*sezione!$AD$5*(1-sezione!$AD$6)</f>
        <v>-62711960.506224208</v>
      </c>
      <c r="E1429" s="553">
        <f>-'Foglio deposito bis'!$F$68*(C1429-sezione!$AL$32)*IF(ABS(K1429)&lt;'Progetto del paramento slu'!$G$58,ABS(K1429)*'Progetto del paramento slu'!$G$54,'Progetto del paramento slu'!$G$53)</f>
        <v>0</v>
      </c>
      <c r="F1429" s="553">
        <f>-'Foglio deposito bis'!$F$69*(C1429-sezione!$AM$32)*IF(ABS(L1429)&lt;'Progetto del paramento slu'!$G$58,ABS(L1429)*'Progetto del paramento slu'!$G$54,'Progetto del paramento slu'!$G$53)</f>
        <v>9637619.7309529837</v>
      </c>
      <c r="G1429" s="553">
        <f>-'Foglio deposito bis'!$F$70*(C1429-sezione!$AN$32)*IF(ABS(M1429)&lt;'Progetto del paramento slu'!$G$58,ABS(M1429)*'Progetto del paramento slu'!$G$54,'Progetto del paramento slu'!$G$53)</f>
        <v>0</v>
      </c>
      <c r="H1429" s="553">
        <f>-'Foglio deposito bis'!$F$71*(C1429-sezione!$AO$32)*IF(ABS(N1429)&lt;'Progetto del paramento slu'!$G$58,ABS(N1429)*'Progetto del paramento slu'!$G$54,'Progetto del paramento slu'!$G$53)</f>
        <v>79531914.775751188</v>
      </c>
      <c r="I1429" s="479">
        <f>-'Foglio deposito bis'!$F$72*(C1429-sezione!$AP$32)*IF(ABS(O1429)&lt;'Progetto del paramento slu'!$G$58,ABS(O1429)*'Progetto del paramento slu'!$G$54,'Progetto del paramento slu'!$G$53)</f>
        <v>84932871.812498316</v>
      </c>
      <c r="J1429" s="479">
        <f t="shared" si="103"/>
        <v>111390445.81297828</v>
      </c>
      <c r="K1429" s="558">
        <f>'Progetto del paramento slu'!$G$60*(sezione!$AL$32-C1429)/C1429</f>
        <v>-1.8959957256526308E-3</v>
      </c>
      <c r="L1429" s="558">
        <f>'Progetto del paramento slu'!$G$60*(sezione!$AM$32-C1429)/C1429</f>
        <v>2.5150160288026344E-3</v>
      </c>
      <c r="M1429" s="559">
        <f>'Progetto del paramento slu'!$G$60*(sezione!$AN$32-C1429)/C1429</f>
        <v>6.9260277832578999E-3</v>
      </c>
      <c r="N1429" s="559">
        <f>'Progetto del paramento slu'!$G$60*(sezione!$AO$32-C1429)/C1429</f>
        <v>1.0134036331952638E-2</v>
      </c>
      <c r="O1429" s="559">
        <f>'Progetto del paramento slu'!$G$60*(sezione!$AP$32-C1429)/C1429</f>
        <v>6.9262282837921881E-3</v>
      </c>
      <c r="P1429" s="553">
        <f>-'Progetto del paramento slu'!$G$47*'Progetto del paramento slu'!$G$41*IF(DATI!$G$218="dx",DATI!$E$61,DATI!$E$64*DATI!$E$63)*1000*C1429*sezione!$AD$5</f>
        <v>-1230311.3099888335</v>
      </c>
      <c r="Q1429" s="553">
        <f>'Foglio deposito bis'!$F$68*IF(ABS(K1429)&lt;'Progetto del paramento slu'!$G$58,ABS(K1429)*'Progetto del paramento slu'!$G$54,'Progetto del paramento slu'!$G$53)*IF(K1429&lt;0,-1,1)</f>
        <v>0</v>
      </c>
      <c r="R1429" s="553">
        <f>'Foglio deposito bis'!$F$69*IF(ABS(L1429)&lt;'Progetto del paramento slu'!$G$58,ABS(L1429)*'Progetto del paramento slu'!$G$54,'Progetto del paramento slu'!$G$53)*IF(L1429&lt;0,-1,1)</f>
        <v>153664.85805602249</v>
      </c>
      <c r="S1429" s="553">
        <f>'Foglio deposito bis'!$F$70*IF(ABS(M1429)&lt;'Progetto del paramento slu'!$G$58,ABS(M1429)*'Progetto del paramento slu'!$G$54,'Progetto del paramento slu'!$G$53)*IF(M1429&lt;0,-1,1)</f>
        <v>0</v>
      </c>
      <c r="T1429" s="553">
        <f>'Foglio deposito bis'!$F$71*IF(ABS(N1429)&lt;'Progetto del paramento slu'!$G$58,ABS(N1429)*'Progetto del paramento slu'!$G$54,'Progetto del paramento slu'!$G$53)*IF(N1429&lt;0,-1,1)</f>
        <v>314705.62929873407</v>
      </c>
      <c r="U1429" s="553">
        <f>'Foglio deposito bis'!$F$72*IF(ABS(O1429)&lt;'Progetto del paramento slu'!$G$58,ABS(O1429)*'Progetto del paramento slu'!$G$54,'Progetto del paramento slu'!$G$53)*IF(O1429&lt;0,-1,1)</f>
        <v>491727.54577927204</v>
      </c>
      <c r="V1429" s="479">
        <f t="shared" si="105"/>
        <v>-270213.27685480489</v>
      </c>
      <c r="W1429" s="559"/>
      <c r="X1429" s="559"/>
    </row>
    <row r="1430" spans="1:24" x14ac:dyDescent="0.25">
      <c r="A1430" s="553">
        <f t="shared" si="104"/>
        <v>281658.03322679404</v>
      </c>
      <c r="B1430" s="3">
        <f t="shared" si="106"/>
        <v>21.699999999999946</v>
      </c>
      <c r="C1430" s="553">
        <f>'Foglio deposito bis'!$E$158/sezione!$B$247*B1430</f>
        <v>88.09348443843011</v>
      </c>
      <c r="D1430" s="611">
        <f>-'Progetto del paramento slu'!$G$47*'Progetto del paramento slu'!$G$41*IF(DATI!$G$218="dx",DATI!$E$61,DATI!$E$64*DATI!$E$63)*1000*C1430^2*sezione!$AD$5*(1-sezione!$AD$6)</f>
        <v>-63884121.325637467</v>
      </c>
      <c r="E1430" s="553">
        <f>-'Foglio deposito bis'!$F$68*(C1430-sezione!$AL$32)*IF(ABS(K1430)&lt;'Progetto del paramento slu'!$G$58,ABS(K1430)*'Progetto del paramento slu'!$G$54,'Progetto del paramento slu'!$G$53)</f>
        <v>0</v>
      </c>
      <c r="F1430" s="553">
        <f>-'Foglio deposito bis'!$F$69*(C1430-sezione!$AM$32)*IF(ABS(L1430)&lt;'Progetto del paramento slu'!$G$58,ABS(L1430)*'Progetto del paramento slu'!$G$54,'Progetto del paramento slu'!$G$53)</f>
        <v>9512855.9265115838</v>
      </c>
      <c r="G1430" s="553">
        <f>-'Foglio deposito bis'!$F$70*(C1430-sezione!$AN$32)*IF(ABS(M1430)&lt;'Progetto del paramento slu'!$G$58,ABS(M1430)*'Progetto del paramento slu'!$G$54,'Progetto del paramento slu'!$G$53)</f>
        <v>0</v>
      </c>
      <c r="H1430" s="553">
        <f>-'Foglio deposito bis'!$F$71*(C1430-sezione!$AO$32)*IF(ABS(N1430)&lt;'Progetto del paramento slu'!$G$58,ABS(N1430)*'Progetto del paramento slu'!$G$54,'Progetto del paramento slu'!$G$53)</f>
        <v>79276398.504255205</v>
      </c>
      <c r="I1430" s="479">
        <f>-'Foglio deposito bis'!$F$72*(C1430-sezione!$AP$32)*IF(ABS(O1430)&lt;'Progetto del paramento slu'!$G$58,ABS(O1430)*'Progetto del paramento slu'!$G$54,'Progetto del paramento slu'!$G$53)</f>
        <v>84533627.638285846</v>
      </c>
      <c r="J1430" s="479">
        <f t="shared" si="103"/>
        <v>109438760.74341518</v>
      </c>
      <c r="K1430" s="558">
        <f>'Progetto del paramento slu'!$G$60*(sezione!$AL$32-C1430)/C1430</f>
        <v>-1.9107791751857865E-3</v>
      </c>
      <c r="L1430" s="558">
        <f>'Progetto del paramento slu'!$G$60*(sezione!$AM$32-C1430)/C1430</f>
        <v>2.4595780930533012E-3</v>
      </c>
      <c r="M1430" s="559">
        <f>'Progetto del paramento slu'!$G$60*(sezione!$AN$32-C1430)/C1430</f>
        <v>6.8299353612923898E-3</v>
      </c>
      <c r="N1430" s="559">
        <f>'Progetto del paramento slu'!$G$60*(sezione!$AO$32-C1430)/C1430</f>
        <v>1.0008377010920817E-2</v>
      </c>
      <c r="O1430" s="559">
        <f>'Progetto del paramento slu'!$G$60*(sezione!$AP$32-C1430)/C1430</f>
        <v>6.8301340138954862E-3</v>
      </c>
      <c r="P1430" s="553">
        <f>-'Progetto del paramento slu'!$G$47*'Progetto del paramento slu'!$G$41*IF(DATI!$G$218="dx",DATI!$E$61,DATI!$E$64*DATI!$E$63)*1000*C1430*sezione!$AD$5</f>
        <v>-1241756.0663608226</v>
      </c>
      <c r="Q1430" s="553">
        <f>'Foglio deposito bis'!$F$68*IF(ABS(K1430)&lt;'Progetto del paramento slu'!$G$58,ABS(K1430)*'Progetto del paramento slu'!$G$54,'Progetto del paramento slu'!$G$53)*IF(K1430&lt;0,-1,1)</f>
        <v>0</v>
      </c>
      <c r="R1430" s="553">
        <f>'Foglio deposito bis'!$F$69*IF(ABS(L1430)&lt;'Progetto del paramento slu'!$G$58,ABS(L1430)*'Progetto del paramento slu'!$G$54,'Progetto del paramento slu'!$G$53)*IF(L1430&lt;0,-1,1)</f>
        <v>153664.85805602249</v>
      </c>
      <c r="S1430" s="553">
        <f>'Foglio deposito bis'!$F$70*IF(ABS(M1430)&lt;'Progetto del paramento slu'!$G$58,ABS(M1430)*'Progetto del paramento slu'!$G$54,'Progetto del paramento slu'!$G$53)*IF(M1430&lt;0,-1,1)</f>
        <v>0</v>
      </c>
      <c r="T1430" s="553">
        <f>'Foglio deposito bis'!$F$71*IF(ABS(N1430)&lt;'Progetto del paramento slu'!$G$58,ABS(N1430)*'Progetto del paramento slu'!$G$54,'Progetto del paramento slu'!$G$53)*IF(N1430&lt;0,-1,1)</f>
        <v>314705.62929873407</v>
      </c>
      <c r="U1430" s="553">
        <f>'Foglio deposito bis'!$F$72*IF(ABS(O1430)&lt;'Progetto del paramento slu'!$G$58,ABS(O1430)*'Progetto del paramento slu'!$G$54,'Progetto del paramento slu'!$G$53)*IF(O1430&lt;0,-1,1)</f>
        <v>491727.54577927204</v>
      </c>
      <c r="V1430" s="479">
        <f t="shared" si="105"/>
        <v>-281658.03322679404</v>
      </c>
      <c r="W1430" s="559"/>
      <c r="X1430" s="559"/>
    </row>
    <row r="1431" spans="1:24" x14ac:dyDescent="0.25">
      <c r="A1431" s="553">
        <f t="shared" si="104"/>
        <v>293102.78959878319</v>
      </c>
      <c r="B1431" s="3">
        <f t="shared" si="106"/>
        <v>21.899999999999945</v>
      </c>
      <c r="C1431" s="553">
        <f>'Foglio deposito bis'!$E$158/sezione!$B$247*B1431</f>
        <v>88.905405953991675</v>
      </c>
      <c r="D1431" s="611">
        <f>-'Progetto del paramento slu'!$G$47*'Progetto del paramento slu'!$G$41*IF(DATI!$G$218="dx",DATI!$E$61,DATI!$E$64*DATI!$E$63)*1000*C1431^2*sezione!$AD$5*(1-sezione!$AD$6)</f>
        <v>-65067135.485971205</v>
      </c>
      <c r="E1431" s="553">
        <f>-'Foglio deposito bis'!$F$68*(C1431-sezione!$AL$32)*IF(ABS(K1431)&lt;'Progetto del paramento slu'!$G$58,ABS(K1431)*'Progetto del paramento slu'!$G$54,'Progetto del paramento slu'!$G$53)</f>
        <v>0</v>
      </c>
      <c r="F1431" s="553">
        <f>-'Foglio deposito bis'!$F$69*(C1431-sezione!$AM$32)*IF(ABS(L1431)&lt;'Progetto del paramento slu'!$G$58,ABS(L1431)*'Progetto del paramento slu'!$G$54,'Progetto del paramento slu'!$G$53)</f>
        <v>9388092.1220701877</v>
      </c>
      <c r="G1431" s="553">
        <f>-'Foglio deposito bis'!$F$70*(C1431-sezione!$AN$32)*IF(ABS(M1431)&lt;'Progetto del paramento slu'!$G$58,ABS(M1431)*'Progetto del paramento slu'!$G$54,'Progetto del paramento slu'!$G$53)</f>
        <v>0</v>
      </c>
      <c r="H1431" s="553">
        <f>-'Foglio deposito bis'!$F$71*(C1431-sezione!$AO$32)*IF(ABS(N1431)&lt;'Progetto del paramento slu'!$G$58,ABS(N1431)*'Progetto del paramento slu'!$G$54,'Progetto del paramento slu'!$G$53)</f>
        <v>79020882.232759222</v>
      </c>
      <c r="I1431" s="479">
        <f>-'Foglio deposito bis'!$F$72*(C1431-sezione!$AP$32)*IF(ABS(O1431)&lt;'Progetto del paramento slu'!$G$58,ABS(O1431)*'Progetto del paramento slu'!$G$54,'Progetto del paramento slu'!$G$53)</f>
        <v>84134383.46407336</v>
      </c>
      <c r="J1431" s="479">
        <f t="shared" si="103"/>
        <v>107476222.33293156</v>
      </c>
      <c r="K1431" s="558">
        <f>'Progetto del paramento slu'!$G$60*(sezione!$AL$32-C1431)/C1431</f>
        <v>-1.9252926073758704E-3</v>
      </c>
      <c r="L1431" s="558">
        <f>'Progetto del paramento slu'!$G$60*(sezione!$AM$32-C1431)/C1431</f>
        <v>2.4051527223404863E-3</v>
      </c>
      <c r="M1431" s="559">
        <f>'Progetto del paramento slu'!$G$60*(sezione!$AN$32-C1431)/C1431</f>
        <v>6.735598052056843E-3</v>
      </c>
      <c r="N1431" s="559">
        <f>'Progetto del paramento slu'!$G$60*(sezione!$AO$32-C1431)/C1431</f>
        <v>9.8850128373051023E-3</v>
      </c>
      <c r="O1431" s="559">
        <f>'Progetto del paramento slu'!$G$60*(sezione!$AP$32-C1431)/C1431</f>
        <v>6.7357948904809162E-3</v>
      </c>
      <c r="P1431" s="553">
        <f>-'Progetto del paramento slu'!$G$47*'Progetto del paramento slu'!$G$41*IF(DATI!$G$218="dx",DATI!$E$61,DATI!$E$64*DATI!$E$63)*1000*C1431*sezione!$AD$5</f>
        <v>-1253200.8227328118</v>
      </c>
      <c r="Q1431" s="553">
        <f>'Foglio deposito bis'!$F$68*IF(ABS(K1431)&lt;'Progetto del paramento slu'!$G$58,ABS(K1431)*'Progetto del paramento slu'!$G$54,'Progetto del paramento slu'!$G$53)*IF(K1431&lt;0,-1,1)</f>
        <v>0</v>
      </c>
      <c r="R1431" s="553">
        <f>'Foglio deposito bis'!$F$69*IF(ABS(L1431)&lt;'Progetto del paramento slu'!$G$58,ABS(L1431)*'Progetto del paramento slu'!$G$54,'Progetto del paramento slu'!$G$53)*IF(L1431&lt;0,-1,1)</f>
        <v>153664.85805602249</v>
      </c>
      <c r="S1431" s="553">
        <f>'Foglio deposito bis'!$F$70*IF(ABS(M1431)&lt;'Progetto del paramento slu'!$G$58,ABS(M1431)*'Progetto del paramento slu'!$G$54,'Progetto del paramento slu'!$G$53)*IF(M1431&lt;0,-1,1)</f>
        <v>0</v>
      </c>
      <c r="T1431" s="553">
        <f>'Foglio deposito bis'!$F$71*IF(ABS(N1431)&lt;'Progetto del paramento slu'!$G$58,ABS(N1431)*'Progetto del paramento slu'!$G$54,'Progetto del paramento slu'!$G$53)*IF(N1431&lt;0,-1,1)</f>
        <v>314705.62929873407</v>
      </c>
      <c r="U1431" s="553">
        <f>'Foglio deposito bis'!$F$72*IF(ABS(O1431)&lt;'Progetto del paramento slu'!$G$58,ABS(O1431)*'Progetto del paramento slu'!$G$54,'Progetto del paramento slu'!$G$53)*IF(O1431&lt;0,-1,1)</f>
        <v>491727.54577927204</v>
      </c>
      <c r="V1431" s="479">
        <f t="shared" si="105"/>
        <v>-293102.78959878319</v>
      </c>
      <c r="W1431" s="559"/>
      <c r="X1431" s="559"/>
    </row>
    <row r="1432" spans="1:24" x14ac:dyDescent="0.25">
      <c r="A1432" s="553">
        <f t="shared" si="104"/>
        <v>304547.54597077233</v>
      </c>
      <c r="B1432" s="3">
        <f t="shared" si="106"/>
        <v>22.099999999999945</v>
      </c>
      <c r="C1432" s="553">
        <f>'Foglio deposito bis'!$E$158/sezione!$B$247*B1432</f>
        <v>89.71732746955324</v>
      </c>
      <c r="D1432" s="611">
        <f>-'Progetto del paramento slu'!$G$47*'Progetto del paramento slu'!$G$41*IF(DATI!$G$218="dx",DATI!$E$61,DATI!$E$64*DATI!$E$63)*1000*C1432^2*sezione!$AD$5*(1-sezione!$AD$6)</f>
        <v>-66261002.987225436</v>
      </c>
      <c r="E1432" s="553">
        <f>-'Foglio deposito bis'!$F$68*(C1432-sezione!$AL$32)*IF(ABS(K1432)&lt;'Progetto del paramento slu'!$G$58,ABS(K1432)*'Progetto del paramento slu'!$G$54,'Progetto del paramento slu'!$G$53)</f>
        <v>0</v>
      </c>
      <c r="F1432" s="553">
        <f>-'Foglio deposito bis'!$F$69*(C1432-sezione!$AM$32)*IF(ABS(L1432)&lt;'Progetto del paramento slu'!$G$58,ABS(L1432)*'Progetto del paramento slu'!$G$54,'Progetto del paramento slu'!$G$53)</f>
        <v>9263328.3176287878</v>
      </c>
      <c r="G1432" s="553">
        <f>-'Foglio deposito bis'!$F$70*(C1432-sezione!$AN$32)*IF(ABS(M1432)&lt;'Progetto del paramento slu'!$G$58,ABS(M1432)*'Progetto del paramento slu'!$G$54,'Progetto del paramento slu'!$G$53)</f>
        <v>0</v>
      </c>
      <c r="H1432" s="553">
        <f>-'Foglio deposito bis'!$F$71*(C1432-sezione!$AO$32)*IF(ABS(N1432)&lt;'Progetto del paramento slu'!$G$58,ABS(N1432)*'Progetto del paramento slu'!$G$54,'Progetto del paramento slu'!$G$53)</f>
        <v>78765365.961263224</v>
      </c>
      <c r="I1432" s="479">
        <f>-'Foglio deposito bis'!$F$72*(C1432-sezione!$AP$32)*IF(ABS(O1432)&lt;'Progetto del paramento slu'!$G$58,ABS(O1432)*'Progetto del paramento slu'!$G$54,'Progetto del paramento slu'!$G$53)</f>
        <v>83735139.289860874</v>
      </c>
      <c r="J1432" s="479">
        <f t="shared" si="103"/>
        <v>105502830.58152744</v>
      </c>
      <c r="K1432" s="558">
        <f>'Progetto del paramento slu'!$G$60*(sezione!$AL$32-C1432)/C1432</f>
        <v>-1.9395433530104778E-3</v>
      </c>
      <c r="L1432" s="558">
        <f>'Progetto del paramento slu'!$G$60*(sezione!$AM$32-C1432)/C1432</f>
        <v>2.3517124262107084E-3</v>
      </c>
      <c r="M1432" s="559">
        <f>'Progetto del paramento slu'!$G$60*(sezione!$AN$32-C1432)/C1432</f>
        <v>6.6429682054318937E-3</v>
      </c>
      <c r="N1432" s="559">
        <f>'Progetto del paramento slu'!$G$60*(sezione!$AO$32-C1432)/C1432</f>
        <v>9.7638814994109382E-3</v>
      </c>
      <c r="O1432" s="559">
        <f>'Progetto del paramento slu'!$G$60*(sezione!$AP$32-C1432)/C1432</f>
        <v>6.6431632625127621E-3</v>
      </c>
      <c r="P1432" s="553">
        <f>-'Progetto del paramento slu'!$G$47*'Progetto del paramento slu'!$G$41*IF(DATI!$G$218="dx",DATI!$E$61,DATI!$E$64*DATI!$E$63)*1000*C1432*sezione!$AD$5</f>
        <v>-1264645.5791048009</v>
      </c>
      <c r="Q1432" s="553">
        <f>'Foglio deposito bis'!$F$68*IF(ABS(K1432)&lt;'Progetto del paramento slu'!$G$58,ABS(K1432)*'Progetto del paramento slu'!$G$54,'Progetto del paramento slu'!$G$53)*IF(K1432&lt;0,-1,1)</f>
        <v>0</v>
      </c>
      <c r="R1432" s="553">
        <f>'Foglio deposito bis'!$F$69*IF(ABS(L1432)&lt;'Progetto del paramento slu'!$G$58,ABS(L1432)*'Progetto del paramento slu'!$G$54,'Progetto del paramento slu'!$G$53)*IF(L1432&lt;0,-1,1)</f>
        <v>153664.85805602249</v>
      </c>
      <c r="S1432" s="553">
        <f>'Foglio deposito bis'!$F$70*IF(ABS(M1432)&lt;'Progetto del paramento slu'!$G$58,ABS(M1432)*'Progetto del paramento slu'!$G$54,'Progetto del paramento slu'!$G$53)*IF(M1432&lt;0,-1,1)</f>
        <v>0</v>
      </c>
      <c r="T1432" s="553">
        <f>'Foglio deposito bis'!$F$71*IF(ABS(N1432)&lt;'Progetto del paramento slu'!$G$58,ABS(N1432)*'Progetto del paramento slu'!$G$54,'Progetto del paramento slu'!$G$53)*IF(N1432&lt;0,-1,1)</f>
        <v>314705.62929873407</v>
      </c>
      <c r="U1432" s="553">
        <f>'Foglio deposito bis'!$F$72*IF(ABS(O1432)&lt;'Progetto del paramento slu'!$G$58,ABS(O1432)*'Progetto del paramento slu'!$G$54,'Progetto del paramento slu'!$G$53)*IF(O1432&lt;0,-1,1)</f>
        <v>491727.54577927204</v>
      </c>
      <c r="V1432" s="479">
        <f t="shared" si="105"/>
        <v>-304547.54597077233</v>
      </c>
      <c r="W1432" s="559"/>
      <c r="X1432" s="559"/>
    </row>
    <row r="1433" spans="1:24" x14ac:dyDescent="0.25">
      <c r="A1433" s="553">
        <f t="shared" si="104"/>
        <v>315992.30234276125</v>
      </c>
      <c r="B1433" s="3">
        <f t="shared" si="106"/>
        <v>22.299999999999944</v>
      </c>
      <c r="C1433" s="553">
        <f>'Foglio deposito bis'!$E$158/sezione!$B$247*B1433</f>
        <v>90.529248985114805</v>
      </c>
      <c r="D1433" s="611">
        <f>-'Progetto del paramento slu'!$G$47*'Progetto del paramento slu'!$G$41*IF(DATI!$G$218="dx",DATI!$E$61,DATI!$E$64*DATI!$E$63)*1000*C1433^2*sezione!$AD$5*(1-sezione!$AD$6)</f>
        <v>-67465723.829400182</v>
      </c>
      <c r="E1433" s="553">
        <f>-'Foglio deposito bis'!$F$68*(C1433-sezione!$AL$32)*IF(ABS(K1433)&lt;'Progetto del paramento slu'!$G$58,ABS(K1433)*'Progetto del paramento slu'!$G$54,'Progetto del paramento slu'!$G$53)</f>
        <v>0</v>
      </c>
      <c r="F1433" s="553">
        <f>-'Foglio deposito bis'!$F$69*(C1433-sezione!$AM$32)*IF(ABS(L1433)&lt;'Progetto del paramento slu'!$G$58,ABS(L1433)*'Progetto del paramento slu'!$G$54,'Progetto del paramento slu'!$G$53)</f>
        <v>9138564.5131873898</v>
      </c>
      <c r="G1433" s="553">
        <f>-'Foglio deposito bis'!$F$70*(C1433-sezione!$AN$32)*IF(ABS(M1433)&lt;'Progetto del paramento slu'!$G$58,ABS(M1433)*'Progetto del paramento slu'!$G$54,'Progetto del paramento slu'!$G$53)</f>
        <v>0</v>
      </c>
      <c r="H1433" s="553">
        <f>-'Foglio deposito bis'!$F$71*(C1433-sezione!$AO$32)*IF(ABS(N1433)&lt;'Progetto del paramento slu'!$G$58,ABS(N1433)*'Progetto del paramento slu'!$G$54,'Progetto del paramento slu'!$G$53)</f>
        <v>78509849.689767256</v>
      </c>
      <c r="I1433" s="479">
        <f>-'Foglio deposito bis'!$F$72*(C1433-sezione!$AP$32)*IF(ABS(O1433)&lt;'Progetto del paramento slu'!$G$58,ABS(O1433)*'Progetto del paramento slu'!$G$54,'Progetto del paramento slu'!$G$53)</f>
        <v>83335895.115648419</v>
      </c>
      <c r="J1433" s="479">
        <f t="shared" si="103"/>
        <v>103518585.48920289</v>
      </c>
      <c r="K1433" s="558">
        <f>'Progetto del paramento slu'!$G$60*(sezione!$AL$32-C1433)/C1433</f>
        <v>-1.9535384798893074E-3</v>
      </c>
      <c r="L1433" s="558">
        <f>'Progetto del paramento slu'!$G$60*(sezione!$AM$32-C1433)/C1433</f>
        <v>2.2992307004150963E-3</v>
      </c>
      <c r="M1433" s="559">
        <f>'Progetto del paramento slu'!$G$60*(sezione!$AN$32-C1433)/C1433</f>
        <v>6.551999880719501E-3</v>
      </c>
      <c r="N1433" s="559">
        <f>'Progetto del paramento slu'!$G$60*(sezione!$AO$32-C1433)/C1433</f>
        <v>9.6449229209408845E-3</v>
      </c>
      <c r="O1433" s="559">
        <f>'Progetto del paramento slu'!$G$60*(sezione!$AP$32-C1433)/C1433</f>
        <v>6.5521931884095106E-3</v>
      </c>
      <c r="P1433" s="553">
        <f>-'Progetto del paramento slu'!$G$47*'Progetto del paramento slu'!$G$41*IF(DATI!$G$218="dx",DATI!$E$61,DATI!$E$64*DATI!$E$63)*1000*C1433*sezione!$AD$5</f>
        <v>-1276090.3354767899</v>
      </c>
      <c r="Q1433" s="553">
        <f>'Foglio deposito bis'!$F$68*IF(ABS(K1433)&lt;'Progetto del paramento slu'!$G$58,ABS(K1433)*'Progetto del paramento slu'!$G$54,'Progetto del paramento slu'!$G$53)*IF(K1433&lt;0,-1,1)</f>
        <v>0</v>
      </c>
      <c r="R1433" s="553">
        <f>'Foglio deposito bis'!$F$69*IF(ABS(L1433)&lt;'Progetto del paramento slu'!$G$58,ABS(L1433)*'Progetto del paramento slu'!$G$54,'Progetto del paramento slu'!$G$53)*IF(L1433&lt;0,-1,1)</f>
        <v>153664.85805602249</v>
      </c>
      <c r="S1433" s="553">
        <f>'Foglio deposito bis'!$F$70*IF(ABS(M1433)&lt;'Progetto del paramento slu'!$G$58,ABS(M1433)*'Progetto del paramento slu'!$G$54,'Progetto del paramento slu'!$G$53)*IF(M1433&lt;0,-1,1)</f>
        <v>0</v>
      </c>
      <c r="T1433" s="553">
        <f>'Foglio deposito bis'!$F$71*IF(ABS(N1433)&lt;'Progetto del paramento slu'!$G$58,ABS(N1433)*'Progetto del paramento slu'!$G$54,'Progetto del paramento slu'!$G$53)*IF(N1433&lt;0,-1,1)</f>
        <v>314705.62929873407</v>
      </c>
      <c r="U1433" s="553">
        <f>'Foglio deposito bis'!$F$72*IF(ABS(O1433)&lt;'Progetto del paramento slu'!$G$58,ABS(O1433)*'Progetto del paramento slu'!$G$54,'Progetto del paramento slu'!$G$53)*IF(O1433&lt;0,-1,1)</f>
        <v>491727.54577927204</v>
      </c>
      <c r="V1433" s="479">
        <f t="shared" si="105"/>
        <v>-315992.30234276125</v>
      </c>
      <c r="W1433" s="559"/>
      <c r="X1433" s="559"/>
    </row>
    <row r="1434" spans="1:24" x14ac:dyDescent="0.25">
      <c r="A1434" s="553">
        <f t="shared" si="104"/>
        <v>327437.05871475063</v>
      </c>
      <c r="B1434" s="3">
        <f t="shared" si="106"/>
        <v>22.499999999999943</v>
      </c>
      <c r="C1434" s="553">
        <f>'Foglio deposito bis'!$E$158/sezione!$B$247*B1434</f>
        <v>91.341170500676384</v>
      </c>
      <c r="D1434" s="611">
        <f>-'Progetto del paramento slu'!$G$47*'Progetto del paramento slu'!$G$41*IF(DATI!$G$218="dx",DATI!$E$61,DATI!$E$64*DATI!$E$63)*1000*C1434^2*sezione!$AD$5*(1-sezione!$AD$6)</f>
        <v>-68681298.012495428</v>
      </c>
      <c r="E1434" s="553">
        <f>-'Foglio deposito bis'!$F$68*(C1434-sezione!$AL$32)*IF(ABS(K1434)&lt;'Progetto del paramento slu'!$G$58,ABS(K1434)*'Progetto del paramento slu'!$G$54,'Progetto del paramento slu'!$G$53)</f>
        <v>0</v>
      </c>
      <c r="F1434" s="553">
        <f>-'Foglio deposito bis'!$F$69*(C1434-sezione!$AM$32)*IF(ABS(L1434)&lt;'Progetto del paramento slu'!$G$58,ABS(L1434)*'Progetto del paramento slu'!$G$54,'Progetto del paramento slu'!$G$53)</f>
        <v>9013800.7087459881</v>
      </c>
      <c r="G1434" s="553">
        <f>-'Foglio deposito bis'!$F$70*(C1434-sezione!$AN$32)*IF(ABS(M1434)&lt;'Progetto del paramento slu'!$G$58,ABS(M1434)*'Progetto del paramento slu'!$G$54,'Progetto del paramento slu'!$G$53)</f>
        <v>0</v>
      </c>
      <c r="H1434" s="553">
        <f>-'Foglio deposito bis'!$F$71*(C1434-sezione!$AO$32)*IF(ABS(N1434)&lt;'Progetto del paramento slu'!$G$58,ABS(N1434)*'Progetto del paramento slu'!$G$54,'Progetto del paramento slu'!$G$53)</f>
        <v>78254333.418271258</v>
      </c>
      <c r="I1434" s="479">
        <f>-'Foglio deposito bis'!$F$72*(C1434-sezione!$AP$32)*IF(ABS(O1434)&lt;'Progetto del paramento slu'!$G$58,ABS(O1434)*'Progetto del paramento slu'!$G$54,'Progetto del paramento slu'!$G$53)</f>
        <v>82936650.941435918</v>
      </c>
      <c r="J1434" s="479">
        <f t="shared" si="103"/>
        <v>101523487.05595773</v>
      </c>
      <c r="K1434" s="558">
        <f>'Progetto del paramento slu'!$G$60*(sezione!$AL$32-C1434)/C1434</f>
        <v>-1.967284804512514E-3</v>
      </c>
      <c r="L1434" s="558">
        <f>'Progetto del paramento slu'!$G$60*(sezione!$AM$32-C1434)/C1434</f>
        <v>2.2476819830780726E-3</v>
      </c>
      <c r="M1434" s="559">
        <f>'Progetto del paramento slu'!$G$60*(sezione!$AN$32-C1434)/C1434</f>
        <v>6.4626487706686596E-3</v>
      </c>
      <c r="N1434" s="559">
        <f>'Progetto del paramento slu'!$G$60*(sezione!$AO$32-C1434)/C1434</f>
        <v>9.5280791616436326E-3</v>
      </c>
      <c r="O1434" s="559">
        <f>'Progetto del paramento slu'!$G$60*(sezione!$AP$32-C1434)/C1434</f>
        <v>6.4628403600680909E-3</v>
      </c>
      <c r="P1434" s="553">
        <f>-'Progetto del paramento slu'!$G$47*'Progetto del paramento slu'!$G$41*IF(DATI!$G$218="dx",DATI!$E$61,DATI!$E$64*DATI!$E$63)*1000*C1434*sezione!$AD$5</f>
        <v>-1287535.0918487792</v>
      </c>
      <c r="Q1434" s="553">
        <f>'Foglio deposito bis'!$F$68*IF(ABS(K1434)&lt;'Progetto del paramento slu'!$G$58,ABS(K1434)*'Progetto del paramento slu'!$G$54,'Progetto del paramento slu'!$G$53)*IF(K1434&lt;0,-1,1)</f>
        <v>0</v>
      </c>
      <c r="R1434" s="553">
        <f>'Foglio deposito bis'!$F$69*IF(ABS(L1434)&lt;'Progetto del paramento slu'!$G$58,ABS(L1434)*'Progetto del paramento slu'!$G$54,'Progetto del paramento slu'!$G$53)*IF(L1434&lt;0,-1,1)</f>
        <v>153664.85805602249</v>
      </c>
      <c r="S1434" s="553">
        <f>'Foglio deposito bis'!$F$70*IF(ABS(M1434)&lt;'Progetto del paramento slu'!$G$58,ABS(M1434)*'Progetto del paramento slu'!$G$54,'Progetto del paramento slu'!$G$53)*IF(M1434&lt;0,-1,1)</f>
        <v>0</v>
      </c>
      <c r="T1434" s="553">
        <f>'Foglio deposito bis'!$F$71*IF(ABS(N1434)&lt;'Progetto del paramento slu'!$G$58,ABS(N1434)*'Progetto del paramento slu'!$G$54,'Progetto del paramento slu'!$G$53)*IF(N1434&lt;0,-1,1)</f>
        <v>314705.62929873407</v>
      </c>
      <c r="U1434" s="553">
        <f>'Foglio deposito bis'!$F$72*IF(ABS(O1434)&lt;'Progetto del paramento slu'!$G$58,ABS(O1434)*'Progetto del paramento slu'!$G$54,'Progetto del paramento slu'!$G$53)*IF(O1434&lt;0,-1,1)</f>
        <v>491727.54577927204</v>
      </c>
      <c r="V1434" s="479">
        <f t="shared" si="105"/>
        <v>-327437.05871475063</v>
      </c>
      <c r="W1434" s="559"/>
      <c r="X1434" s="559"/>
    </row>
    <row r="1435" spans="1:24" x14ac:dyDescent="0.25">
      <c r="A1435" s="553">
        <f t="shared" si="104"/>
        <v>338881.81508673978</v>
      </c>
      <c r="B1435" s="3">
        <f t="shared" si="106"/>
        <v>22.699999999999942</v>
      </c>
      <c r="C1435" s="553">
        <f>'Foglio deposito bis'!$E$158/sezione!$B$247*B1435</f>
        <v>92.153092016237949</v>
      </c>
      <c r="D1435" s="611">
        <f>-'Progetto del paramento slu'!$G$47*'Progetto del paramento slu'!$G$41*IF(DATI!$G$218="dx",DATI!$E$61,DATI!$E$64*DATI!$E$63)*1000*C1435^2*sezione!$AD$5*(1-sezione!$AD$6)</f>
        <v>-69907725.536511153</v>
      </c>
      <c r="E1435" s="553">
        <f>-'Foglio deposito bis'!$F$68*(C1435-sezione!$AL$32)*IF(ABS(K1435)&lt;'Progetto del paramento slu'!$G$58,ABS(K1435)*'Progetto del paramento slu'!$G$54,'Progetto del paramento slu'!$G$53)</f>
        <v>0</v>
      </c>
      <c r="F1435" s="553">
        <f>-'Foglio deposito bis'!$F$69*(C1435-sezione!$AM$32)*IF(ABS(L1435)&lt;'Progetto del paramento slu'!$G$58,ABS(L1435)*'Progetto del paramento slu'!$G$54,'Progetto del paramento slu'!$G$53)</f>
        <v>8889036.9043045901</v>
      </c>
      <c r="G1435" s="553">
        <f>-'Foglio deposito bis'!$F$70*(C1435-sezione!$AN$32)*IF(ABS(M1435)&lt;'Progetto del paramento slu'!$G$58,ABS(M1435)*'Progetto del paramento slu'!$G$54,'Progetto del paramento slu'!$G$53)</f>
        <v>0</v>
      </c>
      <c r="H1435" s="553">
        <f>-'Foglio deposito bis'!$F$71*(C1435-sezione!$AO$32)*IF(ABS(N1435)&lt;'Progetto del paramento slu'!$G$58,ABS(N1435)*'Progetto del paramento slu'!$G$54,'Progetto del paramento slu'!$G$53)</f>
        <v>77998817.146775275</v>
      </c>
      <c r="I1435" s="479">
        <f>-'Foglio deposito bis'!$F$72*(C1435-sezione!$AP$32)*IF(ABS(O1435)&lt;'Progetto del paramento slu'!$G$58,ABS(O1435)*'Progetto del paramento slu'!$G$54,'Progetto del paramento slu'!$G$53)</f>
        <v>82537406.767223448</v>
      </c>
      <c r="J1435" s="479">
        <f t="shared" si="103"/>
        <v>99517535.281792164</v>
      </c>
      <c r="K1435" s="558">
        <f>'Progetto del paramento slu'!$G$60*(sezione!$AL$32-C1435)/C1435</f>
        <v>-1.9807889031511704E-3</v>
      </c>
      <c r="L1435" s="558">
        <f>'Progetto del paramento slu'!$G$60*(sezione!$AM$32-C1435)/C1435</f>
        <v>2.1970416131831118E-3</v>
      </c>
      <c r="M1435" s="559">
        <f>'Progetto del paramento slu'!$G$60*(sezione!$AN$32-C1435)/C1435</f>
        <v>6.3748721295173944E-3</v>
      </c>
      <c r="N1435" s="559">
        <f>'Progetto del paramento slu'!$G$60*(sezione!$AO$32-C1435)/C1435</f>
        <v>9.4132943232150528E-3</v>
      </c>
      <c r="O1435" s="559">
        <f>'Progetto del paramento slu'!$G$60*(sezione!$AP$32-C1435)/C1435</f>
        <v>6.3750620309044959E-3</v>
      </c>
      <c r="P1435" s="553">
        <f>-'Progetto del paramento slu'!$G$47*'Progetto del paramento slu'!$G$41*IF(DATI!$G$218="dx",DATI!$E$61,DATI!$E$64*DATI!$E$63)*1000*C1435*sezione!$AD$5</f>
        <v>-1298979.8482207684</v>
      </c>
      <c r="Q1435" s="553">
        <f>'Foglio deposito bis'!$F$68*IF(ABS(K1435)&lt;'Progetto del paramento slu'!$G$58,ABS(K1435)*'Progetto del paramento slu'!$G$54,'Progetto del paramento slu'!$G$53)*IF(K1435&lt;0,-1,1)</f>
        <v>0</v>
      </c>
      <c r="R1435" s="553">
        <f>'Foglio deposito bis'!$F$69*IF(ABS(L1435)&lt;'Progetto del paramento slu'!$G$58,ABS(L1435)*'Progetto del paramento slu'!$G$54,'Progetto del paramento slu'!$G$53)*IF(L1435&lt;0,-1,1)</f>
        <v>153664.85805602249</v>
      </c>
      <c r="S1435" s="553">
        <f>'Foglio deposito bis'!$F$70*IF(ABS(M1435)&lt;'Progetto del paramento slu'!$G$58,ABS(M1435)*'Progetto del paramento slu'!$G$54,'Progetto del paramento slu'!$G$53)*IF(M1435&lt;0,-1,1)</f>
        <v>0</v>
      </c>
      <c r="T1435" s="553">
        <f>'Foglio deposito bis'!$F$71*IF(ABS(N1435)&lt;'Progetto del paramento slu'!$G$58,ABS(N1435)*'Progetto del paramento slu'!$G$54,'Progetto del paramento slu'!$G$53)*IF(N1435&lt;0,-1,1)</f>
        <v>314705.62929873407</v>
      </c>
      <c r="U1435" s="553">
        <f>'Foglio deposito bis'!$F$72*IF(ABS(O1435)&lt;'Progetto del paramento slu'!$G$58,ABS(O1435)*'Progetto del paramento slu'!$G$54,'Progetto del paramento slu'!$G$53)*IF(O1435&lt;0,-1,1)</f>
        <v>491727.54577927204</v>
      </c>
      <c r="V1435" s="479">
        <f t="shared" si="105"/>
        <v>-338881.81508673978</v>
      </c>
      <c r="W1435" s="559"/>
      <c r="X1435" s="559"/>
    </row>
    <row r="1436" spans="1:24" x14ac:dyDescent="0.25">
      <c r="A1436" s="553">
        <f t="shared" si="104"/>
        <v>350326.57145872893</v>
      </c>
      <c r="B1436" s="3">
        <f t="shared" si="106"/>
        <v>22.899999999999942</v>
      </c>
      <c r="C1436" s="553">
        <f>'Foglio deposito bis'!$E$158/sezione!$B$247*B1436</f>
        <v>92.965013531799514</v>
      </c>
      <c r="D1436" s="611">
        <f>-'Progetto del paramento slu'!$G$47*'Progetto del paramento slu'!$G$41*IF(DATI!$G$218="dx",DATI!$E$61,DATI!$E$64*DATI!$E$63)*1000*C1436^2*sezione!$AD$5*(1-sezione!$AD$6)</f>
        <v>-71145006.401447326</v>
      </c>
      <c r="E1436" s="553">
        <f>-'Foglio deposito bis'!$F$68*(C1436-sezione!$AL$32)*IF(ABS(K1436)&lt;'Progetto del paramento slu'!$G$58,ABS(K1436)*'Progetto del paramento slu'!$G$54,'Progetto del paramento slu'!$G$53)</f>
        <v>0</v>
      </c>
      <c r="F1436" s="553">
        <f>-'Foglio deposito bis'!$F$69*(C1436-sezione!$AM$32)*IF(ABS(L1436)&lt;'Progetto del paramento slu'!$G$58,ABS(L1436)*'Progetto del paramento slu'!$G$54,'Progetto del paramento slu'!$G$53)</f>
        <v>8764273.0998631921</v>
      </c>
      <c r="G1436" s="553">
        <f>-'Foglio deposito bis'!$F$70*(C1436-sezione!$AN$32)*IF(ABS(M1436)&lt;'Progetto del paramento slu'!$G$58,ABS(M1436)*'Progetto del paramento slu'!$G$54,'Progetto del paramento slu'!$G$53)</f>
        <v>0</v>
      </c>
      <c r="H1436" s="553">
        <f>-'Foglio deposito bis'!$F$71*(C1436-sezione!$AO$32)*IF(ABS(N1436)&lt;'Progetto del paramento slu'!$G$58,ABS(N1436)*'Progetto del paramento slu'!$G$54,'Progetto del paramento slu'!$G$53)</f>
        <v>77743300.875279292</v>
      </c>
      <c r="I1436" s="479">
        <f>-'Foglio deposito bis'!$F$72*(C1436-sezione!$AP$32)*IF(ABS(O1436)&lt;'Progetto del paramento slu'!$G$58,ABS(O1436)*'Progetto del paramento slu'!$G$54,'Progetto del paramento slu'!$G$53)</f>
        <v>82138162.593010977</v>
      </c>
      <c r="J1436" s="479">
        <f t="shared" si="103"/>
        <v>97500730.166706145</v>
      </c>
      <c r="K1436" s="558">
        <f>'Progetto del paramento slu'!$G$60*(sezione!$AL$32-C1436)/C1436</f>
        <v>-1.9940571223376227E-3</v>
      </c>
      <c r="L1436" s="558">
        <f>'Progetto del paramento slu'!$G$60*(sezione!$AM$32-C1436)/C1436</f>
        <v>2.1472857912339148E-3</v>
      </c>
      <c r="M1436" s="559">
        <f>'Progetto del paramento slu'!$G$60*(sezione!$AN$32-C1436)/C1436</f>
        <v>6.2886287048054519E-3</v>
      </c>
      <c r="N1436" s="559">
        <f>'Progetto del paramento slu'!$G$60*(sezione!$AO$32-C1436)/C1436</f>
        <v>9.3005144601302076E-3</v>
      </c>
      <c r="O1436" s="559">
        <f>'Progetto del paramento slu'!$G$60*(sezione!$AP$32-C1436)/C1436</f>
        <v>6.2888169476651556E-3</v>
      </c>
      <c r="P1436" s="553">
        <f>-'Progetto del paramento slu'!$G$47*'Progetto del paramento slu'!$G$41*IF(DATI!$G$218="dx",DATI!$E$61,DATI!$E$64*DATI!$E$63)*1000*C1436*sezione!$AD$5</f>
        <v>-1310424.6045927575</v>
      </c>
      <c r="Q1436" s="553">
        <f>'Foglio deposito bis'!$F$68*IF(ABS(K1436)&lt;'Progetto del paramento slu'!$G$58,ABS(K1436)*'Progetto del paramento slu'!$G$54,'Progetto del paramento slu'!$G$53)*IF(K1436&lt;0,-1,1)</f>
        <v>0</v>
      </c>
      <c r="R1436" s="553">
        <f>'Foglio deposito bis'!$F$69*IF(ABS(L1436)&lt;'Progetto del paramento slu'!$G$58,ABS(L1436)*'Progetto del paramento slu'!$G$54,'Progetto del paramento slu'!$G$53)*IF(L1436&lt;0,-1,1)</f>
        <v>153664.85805602249</v>
      </c>
      <c r="S1436" s="553">
        <f>'Foglio deposito bis'!$F$70*IF(ABS(M1436)&lt;'Progetto del paramento slu'!$G$58,ABS(M1436)*'Progetto del paramento slu'!$G$54,'Progetto del paramento slu'!$G$53)*IF(M1436&lt;0,-1,1)</f>
        <v>0</v>
      </c>
      <c r="T1436" s="553">
        <f>'Foglio deposito bis'!$F$71*IF(ABS(N1436)&lt;'Progetto del paramento slu'!$G$58,ABS(N1436)*'Progetto del paramento slu'!$G$54,'Progetto del paramento slu'!$G$53)*IF(N1436&lt;0,-1,1)</f>
        <v>314705.62929873407</v>
      </c>
      <c r="U1436" s="553">
        <f>'Foglio deposito bis'!$F$72*IF(ABS(O1436)&lt;'Progetto del paramento slu'!$G$58,ABS(O1436)*'Progetto del paramento slu'!$G$54,'Progetto del paramento slu'!$G$53)*IF(O1436&lt;0,-1,1)</f>
        <v>491727.54577927204</v>
      </c>
      <c r="V1436" s="479">
        <f t="shared" si="105"/>
        <v>-350326.57145872893</v>
      </c>
      <c r="W1436" s="559"/>
      <c r="X1436" s="559"/>
    </row>
    <row r="1437" spans="1:24" x14ac:dyDescent="0.25">
      <c r="A1437" s="553">
        <f t="shared" si="104"/>
        <v>407550.35331867466</v>
      </c>
      <c r="B1437" s="3">
        <f t="shared" ref="B1437:B1487" si="107">B1436+1</f>
        <v>23.899999999999942</v>
      </c>
      <c r="C1437" s="553">
        <f>'Foglio deposito bis'!$E$158/sezione!$B$247*B1437</f>
        <v>97.024621109607367</v>
      </c>
      <c r="D1437" s="611">
        <f>-'Progetto del paramento slu'!$G$47*'Progetto del paramento slu'!$G$41*IF(DATI!$G$218="dx",DATI!$E$61,DATI!$E$64*DATI!$E$63)*1000*C1437^2*sezione!$AD$5*(1-sezione!$AD$6)</f>
        <v>-77494210.839935824</v>
      </c>
      <c r="E1437" s="553">
        <f>-'Foglio deposito bis'!$F$68*(C1437-sezione!$AL$32)*IF(ABS(K1437)&lt;'Progetto del paramento slu'!$G$58,ABS(K1437)*'Progetto del paramento slu'!$G$54,'Progetto del paramento slu'!$G$53)</f>
        <v>0</v>
      </c>
      <c r="F1437" s="553">
        <f>-'Foglio deposito bis'!$F$69*(C1437-sezione!$AM$32)*IF(ABS(L1437)&lt;'Progetto del paramento slu'!$G$58,ABS(L1437)*'Progetto del paramento slu'!$G$54,'Progetto del paramento slu'!$G$53)</f>
        <v>8140454.0776561955</v>
      </c>
      <c r="G1437" s="553">
        <f>-'Foglio deposito bis'!$F$70*(C1437-sezione!$AN$32)*IF(ABS(M1437)&lt;'Progetto del paramento slu'!$G$58,ABS(M1437)*'Progetto del paramento slu'!$G$54,'Progetto del paramento slu'!$G$53)</f>
        <v>0</v>
      </c>
      <c r="H1437" s="553">
        <f>-'Foglio deposito bis'!$F$71*(C1437-sezione!$AO$32)*IF(ABS(N1437)&lt;'Progetto del paramento slu'!$G$58,ABS(N1437)*'Progetto del paramento slu'!$G$54,'Progetto del paramento slu'!$G$53)</f>
        <v>76465719.517799363</v>
      </c>
      <c r="I1437" s="479">
        <f>-'Foglio deposito bis'!$F$72*(C1437-sezione!$AP$32)*IF(ABS(O1437)&lt;'Progetto del paramento slu'!$G$58,ABS(O1437)*'Progetto del paramento slu'!$G$54,'Progetto del paramento slu'!$G$53)</f>
        <v>80141941.721948579</v>
      </c>
      <c r="J1437" s="479">
        <f t="shared" ref="J1437:J1487" si="108">D1437+E1437+F1437+G1437+H1437+I1437</f>
        <v>87253904.477468312</v>
      </c>
      <c r="K1437" s="558">
        <f>'Progetto del paramento slu'!$G$60*(sezione!$AL$32-C1437)/C1437</f>
        <v>-2.0570672845829107E-3</v>
      </c>
      <c r="L1437" s="558">
        <f>'Progetto del paramento slu'!$G$60*(sezione!$AM$32-C1437)/C1437</f>
        <v>1.9109976828140848E-3</v>
      </c>
      <c r="M1437" s="559">
        <f>'Progetto del paramento slu'!$G$60*(sezione!$AN$32-C1437)/C1437</f>
        <v>5.8790626502110794E-3</v>
      </c>
      <c r="N1437" s="559">
        <f>'Progetto del paramento slu'!$G$60*(sezione!$AO$32-C1437)/C1437</f>
        <v>8.764928081045259E-3</v>
      </c>
      <c r="O1437" s="559">
        <f>'Progetto del paramento slu'!$G$60*(sezione!$AP$32-C1437)/C1437</f>
        <v>5.879243016800503E-3</v>
      </c>
      <c r="P1437" s="553">
        <f>-'Progetto del paramento slu'!$G$47*'Progetto del paramento slu'!$G$41*IF(DATI!$G$218="dx",DATI!$E$61,DATI!$E$64*DATI!$E$63)*1000*C1437*sezione!$AD$5</f>
        <v>-1367648.3864527033</v>
      </c>
      <c r="Q1437" s="553">
        <f>'Foglio deposito bis'!$F$68*IF(ABS(K1437)&lt;'Progetto del paramento slu'!$G$58,ABS(K1437)*'Progetto del paramento slu'!$G$54,'Progetto del paramento slu'!$G$53)*IF(K1437&lt;0,-1,1)</f>
        <v>0</v>
      </c>
      <c r="R1437" s="553">
        <f>'Foglio deposito bis'!$F$69*IF(ABS(L1437)&lt;'Progetto del paramento slu'!$G$58,ABS(L1437)*'Progetto del paramento slu'!$G$54,'Progetto del paramento slu'!$G$53)*IF(L1437&lt;0,-1,1)</f>
        <v>153664.85805602249</v>
      </c>
      <c r="S1437" s="553">
        <f>'Foglio deposito bis'!$F$70*IF(ABS(M1437)&lt;'Progetto del paramento slu'!$G$58,ABS(M1437)*'Progetto del paramento slu'!$G$54,'Progetto del paramento slu'!$G$53)*IF(M1437&lt;0,-1,1)</f>
        <v>0</v>
      </c>
      <c r="T1437" s="553">
        <f>'Foglio deposito bis'!$F$71*IF(ABS(N1437)&lt;'Progetto del paramento slu'!$G$58,ABS(N1437)*'Progetto del paramento slu'!$G$54,'Progetto del paramento slu'!$G$53)*IF(N1437&lt;0,-1,1)</f>
        <v>314705.62929873407</v>
      </c>
      <c r="U1437" s="553">
        <f>'Foglio deposito bis'!$F$72*IF(ABS(O1437)&lt;'Progetto del paramento slu'!$G$58,ABS(O1437)*'Progetto del paramento slu'!$G$54,'Progetto del paramento slu'!$G$53)*IF(O1437&lt;0,-1,1)</f>
        <v>491727.54577927204</v>
      </c>
      <c r="V1437" s="479">
        <f t="shared" si="105"/>
        <v>-407550.35331867466</v>
      </c>
      <c r="W1437" s="559"/>
      <c r="X1437" s="559"/>
    </row>
    <row r="1438" spans="1:24" x14ac:dyDescent="0.25">
      <c r="A1438" s="553">
        <f t="shared" ref="A1438:A1487" si="109">ABS(V1438)</f>
        <v>481426.34684714739</v>
      </c>
      <c r="B1438" s="3">
        <f t="shared" si="107"/>
        <v>24.899999999999942</v>
      </c>
      <c r="C1438" s="553">
        <f>'Foglio deposito bis'!$E$158/sezione!$B$247*B1438</f>
        <v>101.08422868741521</v>
      </c>
      <c r="D1438" s="611">
        <f>-'Progetto del paramento slu'!$G$47*'Progetto del paramento slu'!$G$41*IF(DATI!$G$218="dx",DATI!$E$61,DATI!$E$64*DATI!$E$63)*1000*C1438^2*sezione!$AD$5*(1-sezione!$AD$6)</f>
        <v>-84114748.801436633</v>
      </c>
      <c r="E1438" s="553">
        <f>-'Foglio deposito bis'!$F$68*(C1438-sezione!$AL$32)*IF(ABS(K1438)&lt;'Progetto del paramento slu'!$G$58,ABS(K1438)*'Progetto del paramento slu'!$G$54,'Progetto del paramento slu'!$G$53)</f>
        <v>0</v>
      </c>
      <c r="F1438" s="553">
        <f>-'Foglio deposito bis'!$F$69*(C1438-sezione!$AM$32)*IF(ABS(L1438)&lt;'Progetto del paramento slu'!$G$58,ABS(L1438)*'Progetto del paramento slu'!$G$54,'Progetto del paramento slu'!$G$53)</f>
        <v>6702079.2776227845</v>
      </c>
      <c r="G1438" s="553">
        <f>-'Foglio deposito bis'!$F$70*(C1438-sezione!$AN$32)*IF(ABS(M1438)&lt;'Progetto del paramento slu'!$G$58,ABS(M1438)*'Progetto del paramento slu'!$G$54,'Progetto del paramento slu'!$G$53)</f>
        <v>0</v>
      </c>
      <c r="H1438" s="553">
        <f>-'Foglio deposito bis'!$F$71*(C1438-sezione!$AO$32)*IF(ABS(N1438)&lt;'Progetto del paramento slu'!$G$58,ABS(N1438)*'Progetto del paramento slu'!$G$54,'Progetto del paramento slu'!$G$53)</f>
        <v>75188138.160319448</v>
      </c>
      <c r="I1438" s="479">
        <f>-'Foglio deposito bis'!$F$72*(C1438-sezione!$AP$32)*IF(ABS(O1438)&lt;'Progetto del paramento slu'!$G$58,ABS(O1438)*'Progetto del paramento slu'!$G$54,'Progetto del paramento slu'!$G$53)</f>
        <v>78145720.850886211</v>
      </c>
      <c r="J1438" s="479">
        <f t="shared" si="108"/>
        <v>75921189.487391815</v>
      </c>
      <c r="K1438" s="558">
        <f>'Progetto del paramento slu'!$G$60*(sezione!$AL$32-C1438)/C1438</f>
        <v>-2.1150163896197418E-3</v>
      </c>
      <c r="L1438" s="558">
        <f>'Progetto del paramento slu'!$G$60*(sezione!$AM$32-C1438)/C1438</f>
        <v>1.693688538925969E-3</v>
      </c>
      <c r="M1438" s="559">
        <f>'Progetto del paramento slu'!$G$60*(sezione!$AN$32-C1438)/C1438</f>
        <v>5.5023934674716798E-3</v>
      </c>
      <c r="N1438" s="559">
        <f>'Progetto del paramento slu'!$G$60*(sezione!$AO$32-C1438)/C1438</f>
        <v>8.2723606882321964E-3</v>
      </c>
      <c r="O1438" s="559">
        <f>'Progetto del paramento slu'!$G$60*(sezione!$AP$32-C1438)/C1438</f>
        <v>5.5025665904229739E-3</v>
      </c>
      <c r="P1438" s="553">
        <f>-'Progetto del paramento slu'!$G$47*'Progetto del paramento slu'!$G$41*IF(DATI!$G$218="dx",DATI!$E$61,DATI!$E$64*DATI!$E$63)*1000*C1438*sezione!$AD$5</f>
        <v>-1424872.168312649</v>
      </c>
      <c r="Q1438" s="553">
        <f>'Foglio deposito bis'!$F$68*IF(ABS(K1438)&lt;'Progetto del paramento slu'!$G$58,ABS(K1438)*'Progetto del paramento slu'!$G$54,'Progetto del paramento slu'!$G$53)*IF(K1438&lt;0,-1,1)</f>
        <v>0</v>
      </c>
      <c r="R1438" s="553">
        <f>'Foglio deposito bis'!$F$69*IF(ABS(L1438)&lt;'Progetto del paramento slu'!$G$58,ABS(L1438)*'Progetto del paramento slu'!$G$54,'Progetto del paramento slu'!$G$53)*IF(L1438&lt;0,-1,1)</f>
        <v>137012.64638749565</v>
      </c>
      <c r="S1438" s="553">
        <f>'Foglio deposito bis'!$F$70*IF(ABS(M1438)&lt;'Progetto del paramento slu'!$G$58,ABS(M1438)*'Progetto del paramento slu'!$G$54,'Progetto del paramento slu'!$G$53)*IF(M1438&lt;0,-1,1)</f>
        <v>0</v>
      </c>
      <c r="T1438" s="553">
        <f>'Foglio deposito bis'!$F$71*IF(ABS(N1438)&lt;'Progetto del paramento slu'!$G$58,ABS(N1438)*'Progetto del paramento slu'!$G$54,'Progetto del paramento slu'!$G$53)*IF(N1438&lt;0,-1,1)</f>
        <v>314705.62929873407</v>
      </c>
      <c r="U1438" s="553">
        <f>'Foglio deposito bis'!$F$72*IF(ABS(O1438)&lt;'Progetto del paramento slu'!$G$58,ABS(O1438)*'Progetto del paramento slu'!$G$54,'Progetto del paramento slu'!$G$53)*IF(O1438&lt;0,-1,1)</f>
        <v>491727.54577927204</v>
      </c>
      <c r="V1438" s="479">
        <f t="shared" ref="V1438:V1487" si="110">P1438+Q1438+R1438+S1438+T1438+U1438</f>
        <v>-481426.34684714739</v>
      </c>
      <c r="W1438" s="559"/>
      <c r="X1438" s="559"/>
    </row>
    <row r="1439" spans="1:24" x14ac:dyDescent="0.25">
      <c r="A1439" s="553">
        <f t="shared" si="109"/>
        <v>554872.08562957542</v>
      </c>
      <c r="B1439" s="3">
        <f t="shared" si="107"/>
        <v>25.899999999999942</v>
      </c>
      <c r="C1439" s="553">
        <f>'Foglio deposito bis'!$E$158/sezione!$B$247*B1439</f>
        <v>105.14383626522306</v>
      </c>
      <c r="D1439" s="611">
        <f>-'Progetto del paramento slu'!$G$47*'Progetto del paramento slu'!$G$41*IF(DATI!$G$218="dx",DATI!$E$61,DATI!$E$64*DATI!$E$63)*1000*C1439^2*sezione!$AD$5*(1-sezione!$AD$6)</f>
        <v>-91006620.285949767</v>
      </c>
      <c r="E1439" s="553">
        <f>-'Foglio deposito bis'!$F$68*(C1439-sezione!$AL$32)*IF(ABS(K1439)&lt;'Progetto del paramento slu'!$G$58,ABS(K1439)*'Progetto del paramento slu'!$G$54,'Progetto del paramento slu'!$G$53)</f>
        <v>0</v>
      </c>
      <c r="F1439" s="553">
        <f>-'Foglio deposito bis'!$F$69*(C1439-sezione!$AM$32)*IF(ABS(L1439)&lt;'Progetto del paramento slu'!$G$58,ABS(L1439)*'Progetto del paramento slu'!$G$54,'Progetto del paramento slu'!$G$53)</f>
        <v>5418206.9442792609</v>
      </c>
      <c r="G1439" s="553">
        <f>-'Foglio deposito bis'!$F$70*(C1439-sezione!$AN$32)*IF(ABS(M1439)&lt;'Progetto del paramento slu'!$G$58,ABS(M1439)*'Progetto del paramento slu'!$G$54,'Progetto del paramento slu'!$G$53)</f>
        <v>0</v>
      </c>
      <c r="H1439" s="553">
        <f>-'Foglio deposito bis'!$F$71*(C1439-sezione!$AO$32)*IF(ABS(N1439)&lt;'Progetto del paramento slu'!$G$58,ABS(N1439)*'Progetto del paramento slu'!$G$54,'Progetto del paramento slu'!$G$53)</f>
        <v>73910556.802839518</v>
      </c>
      <c r="I1439" s="479">
        <f>-'Foglio deposito bis'!$F$72*(C1439-sezione!$AP$32)*IF(ABS(O1439)&lt;'Progetto del paramento slu'!$G$58,ABS(O1439)*'Progetto del paramento slu'!$G$54,'Progetto del paramento slu'!$G$53)</f>
        <v>76149499.979823813</v>
      </c>
      <c r="J1439" s="479">
        <f t="shared" si="108"/>
        <v>64471643.440992817</v>
      </c>
      <c r="K1439" s="558">
        <f>'Progetto del paramento slu'!$G$60*(sezione!$AL$32-C1439)/C1439</f>
        <v>-2.1684906602907942E-3</v>
      </c>
      <c r="L1439" s="558">
        <f>'Progetto del paramento slu'!$G$60*(sezione!$AM$32-C1439)/C1439</f>
        <v>1.4931600239095218E-3</v>
      </c>
      <c r="M1439" s="559">
        <f>'Progetto del paramento slu'!$G$60*(sezione!$AN$32-C1439)/C1439</f>
        <v>5.1548107081098382E-3</v>
      </c>
      <c r="N1439" s="559">
        <f>'Progetto del paramento slu'!$G$60*(sezione!$AO$32-C1439)/C1439</f>
        <v>7.8178293875282492E-3</v>
      </c>
      <c r="O1439" s="559">
        <f>'Progetto del paramento slu'!$G$60*(sezione!$AP$32-C1439)/C1439</f>
        <v>5.1549771467772976E-3</v>
      </c>
      <c r="P1439" s="553">
        <f>-'Progetto del paramento slu'!$G$47*'Progetto del paramento slu'!$G$41*IF(DATI!$G$218="dx",DATI!$E$61,DATI!$E$64*DATI!$E$63)*1000*C1439*sezione!$AD$5</f>
        <v>-1482095.9501725952</v>
      </c>
      <c r="Q1439" s="553">
        <f>'Foglio deposito bis'!$F$68*IF(ABS(K1439)&lt;'Progetto del paramento slu'!$G$58,ABS(K1439)*'Progetto del paramento slu'!$G$54,'Progetto del paramento slu'!$G$53)*IF(K1439&lt;0,-1,1)</f>
        <v>0</v>
      </c>
      <c r="R1439" s="553">
        <f>'Foglio deposito bis'!$F$69*IF(ABS(L1439)&lt;'Progetto del paramento slu'!$G$58,ABS(L1439)*'Progetto del paramento slu'!$G$54,'Progetto del paramento slu'!$G$53)*IF(L1439&lt;0,-1,1)</f>
        <v>120790.68946501391</v>
      </c>
      <c r="S1439" s="553">
        <f>'Foglio deposito bis'!$F$70*IF(ABS(M1439)&lt;'Progetto del paramento slu'!$G$58,ABS(M1439)*'Progetto del paramento slu'!$G$54,'Progetto del paramento slu'!$G$53)*IF(M1439&lt;0,-1,1)</f>
        <v>0</v>
      </c>
      <c r="T1439" s="553">
        <f>'Foglio deposito bis'!$F$71*IF(ABS(N1439)&lt;'Progetto del paramento slu'!$G$58,ABS(N1439)*'Progetto del paramento slu'!$G$54,'Progetto del paramento slu'!$G$53)*IF(N1439&lt;0,-1,1)</f>
        <v>314705.62929873407</v>
      </c>
      <c r="U1439" s="553">
        <f>'Foglio deposito bis'!$F$72*IF(ABS(O1439)&lt;'Progetto del paramento slu'!$G$58,ABS(O1439)*'Progetto del paramento slu'!$G$54,'Progetto del paramento slu'!$G$53)*IF(O1439&lt;0,-1,1)</f>
        <v>491727.54577927204</v>
      </c>
      <c r="V1439" s="479">
        <f t="shared" si="110"/>
        <v>-554872.08562957542</v>
      </c>
      <c r="W1439" s="559"/>
      <c r="X1439" s="559"/>
    </row>
    <row r="1440" spans="1:24" x14ac:dyDescent="0.25">
      <c r="A1440" s="553">
        <f t="shared" si="109"/>
        <v>627111.73096051719</v>
      </c>
      <c r="B1440" s="3">
        <f t="shared" si="107"/>
        <v>26.899999999999942</v>
      </c>
      <c r="C1440" s="553">
        <f>'Foglio deposito bis'!$E$158/sezione!$B$247*B1440</f>
        <v>109.20344384303091</v>
      </c>
      <c r="D1440" s="611">
        <f>-'Progetto del paramento slu'!$G$47*'Progetto del paramento slu'!$G$41*IF(DATI!$G$218="dx",DATI!$E$61,DATI!$E$64*DATI!$E$63)*1000*C1440^2*sezione!$AD$5*(1-sezione!$AD$6)</f>
        <v>-98169825.29347524</v>
      </c>
      <c r="E1440" s="553">
        <f>-'Foglio deposito bis'!$F$68*(C1440-sezione!$AL$32)*IF(ABS(K1440)&lt;'Progetto del paramento slu'!$G$58,ABS(K1440)*'Progetto del paramento slu'!$G$54,'Progetto del paramento slu'!$G$53)</f>
        <v>0</v>
      </c>
      <c r="F1440" s="553">
        <f>-'Foglio deposito bis'!$F$69*(C1440-sezione!$AM$32)*IF(ABS(L1440)&lt;'Progetto del paramento slu'!$G$58,ABS(L1440)*'Progetto del paramento slu'!$G$54,'Progetto del paramento slu'!$G$53)</f>
        <v>4315248.6286585806</v>
      </c>
      <c r="G1440" s="553">
        <f>-'Foglio deposito bis'!$F$70*(C1440-sezione!$AN$32)*IF(ABS(M1440)&lt;'Progetto del paramento slu'!$G$58,ABS(M1440)*'Progetto del paramento slu'!$G$54,'Progetto del paramento slu'!$G$53)</f>
        <v>0</v>
      </c>
      <c r="H1440" s="553">
        <f>-'Foglio deposito bis'!$F$71*(C1440-sezione!$AO$32)*IF(ABS(N1440)&lt;'Progetto del paramento slu'!$G$58,ABS(N1440)*'Progetto del paramento slu'!$G$54,'Progetto del paramento slu'!$G$53)</f>
        <v>72632975.445359573</v>
      </c>
      <c r="I1440" s="479">
        <f>-'Foglio deposito bis'!$F$72*(C1440-sezione!$AP$32)*IF(ABS(O1440)&lt;'Progetto del paramento slu'!$G$58,ABS(O1440)*'Progetto del paramento slu'!$G$54,'Progetto del paramento slu'!$G$53)</f>
        <v>74153279.108761415</v>
      </c>
      <c r="J1440" s="479">
        <f t="shared" si="108"/>
        <v>52931677.889304325</v>
      </c>
      <c r="K1440" s="558">
        <f>'Progetto del paramento slu'!$G$60*(sezione!$AL$32-C1440)/C1440</f>
        <v>-2.2179891487558207E-3</v>
      </c>
      <c r="L1440" s="558">
        <f>'Progetto del paramento slu'!$G$60*(sezione!$AM$32-C1440)/C1440</f>
        <v>1.3075406921656727E-3</v>
      </c>
      <c r="M1440" s="559">
        <f>'Progetto del paramento slu'!$G$60*(sezione!$AN$32-C1440)/C1440</f>
        <v>4.8330705330871656E-3</v>
      </c>
      <c r="N1440" s="559">
        <f>'Progetto del paramento slu'!$G$60*(sezione!$AO$32-C1440)/C1440</f>
        <v>7.3970922355755244E-3</v>
      </c>
      <c r="O1440" s="559">
        <f>'Progetto del paramento slu'!$G$60*(sezione!$AP$32-C1440)/C1440</f>
        <v>4.8332307844435674E-3</v>
      </c>
      <c r="P1440" s="553">
        <f>-'Progetto del paramento slu'!$G$47*'Progetto del paramento slu'!$G$41*IF(DATI!$G$218="dx",DATI!$E$61,DATI!$E$64*DATI!$E$63)*1000*C1440*sezione!$AD$5</f>
        <v>-1539319.732032541</v>
      </c>
      <c r="Q1440" s="553">
        <f>'Foglio deposito bis'!$F$68*IF(ABS(K1440)&lt;'Progetto del paramento slu'!$G$58,ABS(K1440)*'Progetto del paramento slu'!$G$54,'Progetto del paramento slu'!$G$53)*IF(K1440&lt;0,-1,1)</f>
        <v>0</v>
      </c>
      <c r="R1440" s="553">
        <f>'Foglio deposito bis'!$F$69*IF(ABS(L1440)&lt;'Progetto del paramento slu'!$G$58,ABS(L1440)*'Progetto del paramento slu'!$G$54,'Progetto del paramento slu'!$G$53)*IF(L1440&lt;0,-1,1)</f>
        <v>105774.82599401781</v>
      </c>
      <c r="S1440" s="553">
        <f>'Foglio deposito bis'!$F$70*IF(ABS(M1440)&lt;'Progetto del paramento slu'!$G$58,ABS(M1440)*'Progetto del paramento slu'!$G$54,'Progetto del paramento slu'!$G$53)*IF(M1440&lt;0,-1,1)</f>
        <v>0</v>
      </c>
      <c r="T1440" s="553">
        <f>'Foglio deposito bis'!$F$71*IF(ABS(N1440)&lt;'Progetto del paramento slu'!$G$58,ABS(N1440)*'Progetto del paramento slu'!$G$54,'Progetto del paramento slu'!$G$53)*IF(N1440&lt;0,-1,1)</f>
        <v>314705.62929873407</v>
      </c>
      <c r="U1440" s="553">
        <f>'Foglio deposito bis'!$F$72*IF(ABS(O1440)&lt;'Progetto del paramento slu'!$G$58,ABS(O1440)*'Progetto del paramento slu'!$G$54,'Progetto del paramento slu'!$G$53)*IF(O1440&lt;0,-1,1)</f>
        <v>491727.54577927204</v>
      </c>
      <c r="V1440" s="479">
        <f t="shared" si="110"/>
        <v>-627111.73096051719</v>
      </c>
      <c r="W1440" s="559"/>
      <c r="X1440" s="559"/>
    </row>
    <row r="1441" spans="1:24" x14ac:dyDescent="0.25">
      <c r="A1441" s="553">
        <f t="shared" si="109"/>
        <v>698274.97030787519</v>
      </c>
      <c r="B1441" s="3">
        <f t="shared" si="107"/>
        <v>27.899999999999942</v>
      </c>
      <c r="C1441" s="553">
        <f>'Foglio deposito bis'!$E$158/sezione!$B$247*B1441</f>
        <v>113.26305142083876</v>
      </c>
      <c r="D1441" s="611">
        <f>-'Progetto del paramento slu'!$G$47*'Progetto del paramento slu'!$G$41*IF(DATI!$G$218="dx",DATI!$E$61,DATI!$E$64*DATI!$E$63)*1000*C1441^2*sezione!$AD$5*(1-sezione!$AD$6)</f>
        <v>-105604363.82401302</v>
      </c>
      <c r="E1441" s="553">
        <f>-'Foglio deposito bis'!$F$68*(C1441-sezione!$AL$32)*IF(ABS(K1441)&lt;'Progetto del paramento slu'!$G$58,ABS(K1441)*'Progetto del paramento slu'!$G$54,'Progetto del paramento slu'!$G$53)</f>
        <v>0</v>
      </c>
      <c r="F1441" s="553">
        <f>-'Foglio deposito bis'!$F$69*(C1441-sezione!$AM$32)*IF(ABS(L1441)&lt;'Progetto del paramento slu'!$G$58,ABS(L1441)*'Progetto del paramento slu'!$G$54,'Progetto del paramento slu'!$G$53)</f>
        <v>3373751.2105754944</v>
      </c>
      <c r="G1441" s="553">
        <f>-'Foglio deposito bis'!$F$70*(C1441-sezione!$AN$32)*IF(ABS(M1441)&lt;'Progetto del paramento slu'!$G$58,ABS(M1441)*'Progetto del paramento slu'!$G$54,'Progetto del paramento slu'!$G$53)</f>
        <v>0</v>
      </c>
      <c r="H1441" s="553">
        <f>-'Foglio deposito bis'!$F$71*(C1441-sezione!$AO$32)*IF(ABS(N1441)&lt;'Progetto del paramento slu'!$G$58,ABS(N1441)*'Progetto del paramento slu'!$G$54,'Progetto del paramento slu'!$G$53)</f>
        <v>71355394.087879643</v>
      </c>
      <c r="I1441" s="479">
        <f>-'Foglio deposito bis'!$F$72*(C1441-sezione!$AP$32)*IF(ABS(O1441)&lt;'Progetto del paramento slu'!$G$58,ABS(O1441)*'Progetto del paramento slu'!$G$54,'Progetto del paramento slu'!$G$53)</f>
        <v>72157058.237699032</v>
      </c>
      <c r="J1441" s="479">
        <f t="shared" si="108"/>
        <v>41281839.712141141</v>
      </c>
      <c r="K1441" s="558">
        <f>'Progetto del paramento slu'!$G$60*(sezione!$AL$32-C1441)/C1441</f>
        <v>-2.2639393584778342E-3</v>
      </c>
      <c r="L1441" s="558">
        <f>'Progetto del paramento slu'!$G$60*(sezione!$AM$32-C1441)/C1441</f>
        <v>1.1352274057081211E-3</v>
      </c>
      <c r="M1441" s="559">
        <f>'Progetto del paramento slu'!$G$60*(sezione!$AN$32-C1441)/C1441</f>
        <v>4.5343941698940769E-3</v>
      </c>
      <c r="N1441" s="559">
        <f>'Progetto del paramento slu'!$G$60*(sezione!$AO$32-C1441)/C1441</f>
        <v>7.0065154529384086E-3</v>
      </c>
      <c r="O1441" s="559">
        <f>'Progetto del paramento slu'!$G$60*(sezione!$AP$32-C1441)/C1441</f>
        <v>4.5345486774742635E-3</v>
      </c>
      <c r="P1441" s="553">
        <f>-'Progetto del paramento slu'!$G$47*'Progetto del paramento slu'!$G$41*IF(DATI!$G$218="dx",DATI!$E$61,DATI!$E$64*DATI!$E$63)*1000*C1441*sezione!$AD$5</f>
        <v>-1596543.5138924869</v>
      </c>
      <c r="Q1441" s="553">
        <f>'Foglio deposito bis'!$F$68*IF(ABS(K1441)&lt;'Progetto del paramento slu'!$G$58,ABS(K1441)*'Progetto del paramento slu'!$G$54,'Progetto del paramento slu'!$G$53)*IF(K1441&lt;0,-1,1)</f>
        <v>0</v>
      </c>
      <c r="R1441" s="553">
        <f>'Foglio deposito bis'!$F$69*IF(ABS(L1441)&lt;'Progetto del paramento slu'!$G$58,ABS(L1441)*'Progetto del paramento slu'!$G$54,'Progetto del paramento slu'!$G$53)*IF(L1441&lt;0,-1,1)</f>
        <v>91835.368506605635</v>
      </c>
      <c r="S1441" s="553">
        <f>'Foglio deposito bis'!$F$70*IF(ABS(M1441)&lt;'Progetto del paramento slu'!$G$58,ABS(M1441)*'Progetto del paramento slu'!$G$54,'Progetto del paramento slu'!$G$53)*IF(M1441&lt;0,-1,1)</f>
        <v>0</v>
      </c>
      <c r="T1441" s="553">
        <f>'Foglio deposito bis'!$F$71*IF(ABS(N1441)&lt;'Progetto del paramento slu'!$G$58,ABS(N1441)*'Progetto del paramento slu'!$G$54,'Progetto del paramento slu'!$G$53)*IF(N1441&lt;0,-1,1)</f>
        <v>314705.62929873407</v>
      </c>
      <c r="U1441" s="553">
        <f>'Foglio deposito bis'!$F$72*IF(ABS(O1441)&lt;'Progetto del paramento slu'!$G$58,ABS(O1441)*'Progetto del paramento slu'!$G$54,'Progetto del paramento slu'!$G$53)*IF(O1441&lt;0,-1,1)</f>
        <v>491727.54577927204</v>
      </c>
      <c r="V1441" s="479">
        <f t="shared" si="110"/>
        <v>-698274.97030787519</v>
      </c>
      <c r="W1441" s="559"/>
      <c r="X1441" s="559"/>
    </row>
    <row r="1442" spans="1:24" x14ac:dyDescent="0.25">
      <c r="A1442" s="553">
        <f t="shared" si="109"/>
        <v>768473.54131700401</v>
      </c>
      <c r="B1442" s="3">
        <f t="shared" si="107"/>
        <v>28.899999999999942</v>
      </c>
      <c r="C1442" s="553">
        <f>'Foglio deposito bis'!$E$158/sezione!$B$247*B1442</f>
        <v>117.3226589986466</v>
      </c>
      <c r="D1442" s="611">
        <f>-'Progetto del paramento slu'!$G$47*'Progetto del paramento slu'!$G$41*IF(DATI!$G$218="dx",DATI!$E$61,DATI!$E$64*DATI!$E$63)*1000*C1442^2*sezione!$AD$5*(1-sezione!$AD$6)</f>
        <v>-113310235.87756313</v>
      </c>
      <c r="E1442" s="553">
        <f>-'Foglio deposito bis'!$F$68*(C1442-sezione!$AL$32)*IF(ABS(K1442)&lt;'Progetto del paramento slu'!$G$58,ABS(K1442)*'Progetto del paramento slu'!$G$54,'Progetto del paramento slu'!$G$53)</f>
        <v>0</v>
      </c>
      <c r="F1442" s="553">
        <f>-'Foglio deposito bis'!$F$69*(C1442-sezione!$AM$32)*IF(ABS(L1442)&lt;'Progetto del paramento slu'!$G$58,ABS(L1442)*'Progetto del paramento slu'!$G$54,'Progetto del paramento slu'!$G$53)</f>
        <v>2576954.0432267939</v>
      </c>
      <c r="G1442" s="553">
        <f>-'Foglio deposito bis'!$F$70*(C1442-sezione!$AN$32)*IF(ABS(M1442)&lt;'Progetto del paramento slu'!$G$58,ABS(M1442)*'Progetto del paramento slu'!$G$54,'Progetto del paramento slu'!$G$53)</f>
        <v>0</v>
      </c>
      <c r="H1442" s="553">
        <f>-'Foglio deposito bis'!$F$71*(C1442-sezione!$AO$32)*IF(ABS(N1442)&lt;'Progetto del paramento slu'!$G$58,ABS(N1442)*'Progetto del paramento slu'!$G$54,'Progetto del paramento slu'!$G$53)</f>
        <v>70077812.730399728</v>
      </c>
      <c r="I1442" s="479">
        <f>-'Foglio deposito bis'!$F$72*(C1442-sezione!$AP$32)*IF(ABS(O1442)&lt;'Progetto del paramento slu'!$G$58,ABS(O1442)*'Progetto del paramento slu'!$G$54,'Progetto del paramento slu'!$G$53)</f>
        <v>70160837.366636649</v>
      </c>
      <c r="J1442" s="479">
        <f t="shared" si="108"/>
        <v>29505368.262700036</v>
      </c>
      <c r="K1442" s="558">
        <f>'Progetto del paramento slu'!$G$60*(sezione!$AL$32-C1442)/C1442</f>
        <v>-2.3067096228903661E-3</v>
      </c>
      <c r="L1442" s="558">
        <f>'Progetto del paramento slu'!$G$60*(sezione!$AM$32-C1442)/C1442</f>
        <v>9.7483891416112755E-4</v>
      </c>
      <c r="M1442" s="559">
        <f>'Progetto del paramento slu'!$G$60*(sezione!$AN$32-C1442)/C1442</f>
        <v>4.2563874512126215E-3</v>
      </c>
      <c r="N1442" s="559">
        <f>'Progetto del paramento slu'!$G$60*(sezione!$AO$32-C1442)/C1442</f>
        <v>6.6429682054318885E-3</v>
      </c>
      <c r="O1442" s="559">
        <f>'Progetto del paramento slu'!$G$60*(sezione!$AP$32-C1442)/C1442</f>
        <v>4.2565366125097565E-3</v>
      </c>
      <c r="P1442" s="553">
        <f>-'Progetto del paramento slu'!$G$47*'Progetto del paramento slu'!$G$41*IF(DATI!$G$218="dx",DATI!$E$61,DATI!$E$64*DATI!$E$63)*1000*C1442*sezione!$AD$5</f>
        <v>-1653767.2957524327</v>
      </c>
      <c r="Q1442" s="553">
        <f>'Foglio deposito bis'!$F$68*IF(ABS(K1442)&lt;'Progetto del paramento slu'!$G$58,ABS(K1442)*'Progetto del paramento slu'!$G$54,'Progetto del paramento slu'!$G$53)*IF(K1442&lt;0,-1,1)</f>
        <v>0</v>
      </c>
      <c r="R1442" s="553">
        <f>'Foglio deposito bis'!$F$69*IF(ABS(L1442)&lt;'Progetto del paramento slu'!$G$58,ABS(L1442)*'Progetto del paramento slu'!$G$54,'Progetto del paramento slu'!$G$53)*IF(L1442&lt;0,-1,1)</f>
        <v>78860.579357422757</v>
      </c>
      <c r="S1442" s="553">
        <f>'Foglio deposito bis'!$F$70*IF(ABS(M1442)&lt;'Progetto del paramento slu'!$G$58,ABS(M1442)*'Progetto del paramento slu'!$G$54,'Progetto del paramento slu'!$G$53)*IF(M1442&lt;0,-1,1)</f>
        <v>0</v>
      </c>
      <c r="T1442" s="553">
        <f>'Foglio deposito bis'!$F$71*IF(ABS(N1442)&lt;'Progetto del paramento slu'!$G$58,ABS(N1442)*'Progetto del paramento slu'!$G$54,'Progetto del paramento slu'!$G$53)*IF(N1442&lt;0,-1,1)</f>
        <v>314705.62929873407</v>
      </c>
      <c r="U1442" s="553">
        <f>'Foglio deposito bis'!$F$72*IF(ABS(O1442)&lt;'Progetto del paramento slu'!$G$58,ABS(O1442)*'Progetto del paramento slu'!$G$54,'Progetto del paramento slu'!$G$53)*IF(O1442&lt;0,-1,1)</f>
        <v>491727.54577927204</v>
      </c>
      <c r="V1442" s="479">
        <f t="shared" si="110"/>
        <v>-768473.54131700401</v>
      </c>
      <c r="W1442" s="559"/>
      <c r="X1442" s="559"/>
    </row>
    <row r="1443" spans="1:24" x14ac:dyDescent="0.25">
      <c r="A1443" s="553">
        <f t="shared" si="109"/>
        <v>837804.23345327773</v>
      </c>
      <c r="B1443" s="3">
        <f t="shared" si="107"/>
        <v>29.899999999999942</v>
      </c>
      <c r="C1443" s="553">
        <f>'Foglio deposito bis'!$E$158/sezione!$B$247*B1443</f>
        <v>121.38226657645446</v>
      </c>
      <c r="D1443" s="611">
        <f>-'Progetto del paramento slu'!$G$47*'Progetto del paramento slu'!$G$41*IF(DATI!$G$218="dx",DATI!$E$61,DATI!$E$64*DATI!$E$63)*1000*C1443^2*sezione!$AD$5*(1-sezione!$AD$6)</f>
        <v>-121287441.45412561</v>
      </c>
      <c r="E1443" s="553">
        <f>-'Foglio deposito bis'!$F$68*(C1443-sezione!$AL$32)*IF(ABS(K1443)&lt;'Progetto del paramento slu'!$G$58,ABS(K1443)*'Progetto del paramento slu'!$G$54,'Progetto del paramento slu'!$G$53)</f>
        <v>0</v>
      </c>
      <c r="F1443" s="553">
        <f>-'Foglio deposito bis'!$F$69*(C1443-sezione!$AM$32)*IF(ABS(L1443)&lt;'Progetto del paramento slu'!$G$58,ABS(L1443)*'Progetto del paramento slu'!$G$54,'Progetto del paramento slu'!$G$53)</f>
        <v>1910338.7068063475</v>
      </c>
      <c r="G1443" s="553">
        <f>-'Foglio deposito bis'!$F$70*(C1443-sezione!$AN$32)*IF(ABS(M1443)&lt;'Progetto del paramento slu'!$G$58,ABS(M1443)*'Progetto del paramento slu'!$G$54,'Progetto del paramento slu'!$G$53)</f>
        <v>0</v>
      </c>
      <c r="H1443" s="553">
        <f>-'Foglio deposito bis'!$F$71*(C1443-sezione!$AO$32)*IF(ABS(N1443)&lt;'Progetto del paramento slu'!$G$58,ABS(N1443)*'Progetto del paramento slu'!$G$54,'Progetto del paramento slu'!$G$53)</f>
        <v>68800231.372919798</v>
      </c>
      <c r="I1443" s="479">
        <f>-'Foglio deposito bis'!$F$72*(C1443-sezione!$AP$32)*IF(ABS(O1443)&lt;'Progetto del paramento slu'!$G$58,ABS(O1443)*'Progetto del paramento slu'!$G$54,'Progetto del paramento slu'!$G$53)</f>
        <v>68164616.495574251</v>
      </c>
      <c r="J1443" s="479">
        <f t="shared" si="108"/>
        <v>17587745.121174783</v>
      </c>
      <c r="K1443" s="558">
        <f>'Progetto del paramento slu'!$G$60*(sezione!$AL$32-C1443)/C1443</f>
        <v>-2.3466190000512232E-3</v>
      </c>
      <c r="L1443" s="558">
        <f>'Progetto del paramento slu'!$G$60*(sezione!$AM$32-C1443)/C1443</f>
        <v>8.2517874980791214E-4</v>
      </c>
      <c r="M1443" s="559">
        <f>'Progetto del paramento slu'!$G$60*(sezione!$AN$32-C1443)/C1443</f>
        <v>3.9969764996670475E-3</v>
      </c>
      <c r="N1443" s="559">
        <f>'Progetto del paramento slu'!$G$60*(sezione!$AO$32-C1443)/C1443</f>
        <v>6.3037384995646012E-3</v>
      </c>
      <c r="O1443" s="559">
        <f>'Progetto del paramento slu'!$G$60*(sezione!$AP$32-C1443)/C1443</f>
        <v>3.9971206722920379E-3</v>
      </c>
      <c r="P1443" s="553">
        <f>-'Progetto del paramento slu'!$G$47*'Progetto del paramento slu'!$G$41*IF(DATI!$G$218="dx",DATI!$E$61,DATI!$E$64*DATI!$E$63)*1000*C1443*sezione!$AD$5</f>
        <v>-1710991.0776123786</v>
      </c>
      <c r="Q1443" s="553">
        <f>'Foglio deposito bis'!$F$68*IF(ABS(K1443)&lt;'Progetto del paramento slu'!$G$58,ABS(K1443)*'Progetto del paramento slu'!$G$54,'Progetto del paramento slu'!$G$53)*IF(K1443&lt;0,-1,1)</f>
        <v>0</v>
      </c>
      <c r="R1443" s="553">
        <f>'Foglio deposito bis'!$F$69*IF(ABS(L1443)&lt;'Progetto del paramento slu'!$G$58,ABS(L1443)*'Progetto del paramento slu'!$G$54,'Progetto del paramento slu'!$G$53)*IF(L1443&lt;0,-1,1)</f>
        <v>66753.669081094864</v>
      </c>
      <c r="S1443" s="553">
        <f>'Foglio deposito bis'!$F$70*IF(ABS(M1443)&lt;'Progetto del paramento slu'!$G$58,ABS(M1443)*'Progetto del paramento slu'!$G$54,'Progetto del paramento slu'!$G$53)*IF(M1443&lt;0,-1,1)</f>
        <v>0</v>
      </c>
      <c r="T1443" s="553">
        <f>'Foglio deposito bis'!$F$71*IF(ABS(N1443)&lt;'Progetto del paramento slu'!$G$58,ABS(N1443)*'Progetto del paramento slu'!$G$54,'Progetto del paramento slu'!$G$53)*IF(N1443&lt;0,-1,1)</f>
        <v>314705.62929873407</v>
      </c>
      <c r="U1443" s="553">
        <f>'Foglio deposito bis'!$F$72*IF(ABS(O1443)&lt;'Progetto del paramento slu'!$G$58,ABS(O1443)*'Progetto del paramento slu'!$G$54,'Progetto del paramento slu'!$G$53)*IF(O1443&lt;0,-1,1)</f>
        <v>491727.54577927204</v>
      </c>
      <c r="V1443" s="479">
        <f t="shared" si="110"/>
        <v>-837804.23345327773</v>
      </c>
      <c r="W1443" s="559"/>
      <c r="X1443" s="559"/>
    </row>
    <row r="1444" spans="1:24" x14ac:dyDescent="0.25">
      <c r="A1444" s="553">
        <f t="shared" si="109"/>
        <v>906351.30680143973</v>
      </c>
      <c r="B1444" s="3">
        <f t="shared" si="107"/>
        <v>30.899999999999942</v>
      </c>
      <c r="C1444" s="553">
        <f>'Foglio deposito bis'!$E$158/sezione!$B$247*B1444</f>
        <v>125.44187415426231</v>
      </c>
      <c r="D1444" s="611">
        <f>-'Progetto del paramento slu'!$G$47*'Progetto del paramento slu'!$G$41*IF(DATI!$G$218="dx",DATI!$E$61,DATI!$E$64*DATI!$E$63)*1000*C1444^2*sezione!$AD$5*(1-sezione!$AD$6)</f>
        <v>-129535980.5537004</v>
      </c>
      <c r="E1444" s="553">
        <f>-'Foglio deposito bis'!$F$68*(C1444-sezione!$AL$32)*IF(ABS(K1444)&lt;'Progetto del paramento slu'!$G$58,ABS(K1444)*'Progetto del paramento slu'!$G$54,'Progetto del paramento slu'!$G$53)</f>
        <v>0</v>
      </c>
      <c r="F1444" s="553">
        <f>-'Foglio deposito bis'!$F$69*(C1444-sezione!$AM$32)*IF(ABS(L1444)&lt;'Progetto del paramento slu'!$G$58,ABS(L1444)*'Progetto del paramento slu'!$G$54,'Progetto del paramento slu'!$G$53)</f>
        <v>1361266.1886026768</v>
      </c>
      <c r="G1444" s="553">
        <f>-'Foglio deposito bis'!$F$70*(C1444-sezione!$AN$32)*IF(ABS(M1444)&lt;'Progetto del paramento slu'!$G$58,ABS(M1444)*'Progetto del paramento slu'!$G$54,'Progetto del paramento slu'!$G$53)</f>
        <v>0</v>
      </c>
      <c r="H1444" s="553">
        <f>-'Foglio deposito bis'!$F$71*(C1444-sezione!$AO$32)*IF(ABS(N1444)&lt;'Progetto del paramento slu'!$G$58,ABS(N1444)*'Progetto del paramento slu'!$G$54,'Progetto del paramento slu'!$G$53)</f>
        <v>67522650.015439853</v>
      </c>
      <c r="I1444" s="479">
        <f>-'Foglio deposito bis'!$F$72*(C1444-sezione!$AP$32)*IF(ABS(O1444)&lt;'Progetto del paramento slu'!$G$58,ABS(O1444)*'Progetto del paramento slu'!$G$54,'Progetto del paramento slu'!$G$53)</f>
        <v>66168395.624511868</v>
      </c>
      <c r="J1444" s="479">
        <f t="shared" si="108"/>
        <v>5516331.2748539895</v>
      </c>
      <c r="K1444" s="558">
        <f>'Progetto del paramento slu'!$G$60*(sezione!$AL$32-C1444)/C1444</f>
        <v>-2.3839452460042584E-3</v>
      </c>
      <c r="L1444" s="558">
        <f>'Progetto del paramento slu'!$G$60*(sezione!$AM$32-C1444)/C1444</f>
        <v>6.8520532748403114E-4</v>
      </c>
      <c r="M1444" s="559">
        <f>'Progetto del paramento slu'!$G$60*(sezione!$AN$32-C1444)/C1444</f>
        <v>3.7543559009723206E-3</v>
      </c>
      <c r="N1444" s="559">
        <f>'Progetto del paramento slu'!$G$60*(sezione!$AO$32-C1444)/C1444</f>
        <v>5.9864654089638036E-3</v>
      </c>
      <c r="O1444" s="559">
        <f>'Progetto del paramento slu'!$G$60*(sezione!$AP$32-C1444)/C1444</f>
        <v>3.754495407816567E-3</v>
      </c>
      <c r="P1444" s="553">
        <f>-'Progetto del paramento slu'!$G$47*'Progetto del paramento slu'!$G$41*IF(DATI!$G$218="dx",DATI!$E$61,DATI!$E$64*DATI!$E$63)*1000*C1444*sezione!$AD$5</f>
        <v>-1768214.8594723246</v>
      </c>
      <c r="Q1444" s="553">
        <f>'Foglio deposito bis'!$F$68*IF(ABS(K1444)&lt;'Progetto del paramento slu'!$G$58,ABS(K1444)*'Progetto del paramento slu'!$G$54,'Progetto del paramento slu'!$G$53)*IF(K1444&lt;0,-1,1)</f>
        <v>0</v>
      </c>
      <c r="R1444" s="553">
        <f>'Foglio deposito bis'!$F$69*IF(ABS(L1444)&lt;'Progetto del paramento slu'!$G$58,ABS(L1444)*'Progetto del paramento slu'!$G$54,'Progetto del paramento slu'!$G$53)*IF(L1444&lt;0,-1,1)</f>
        <v>55430.377592878831</v>
      </c>
      <c r="S1444" s="553">
        <f>'Foglio deposito bis'!$F$70*IF(ABS(M1444)&lt;'Progetto del paramento slu'!$G$58,ABS(M1444)*'Progetto del paramento slu'!$G$54,'Progetto del paramento slu'!$G$53)*IF(M1444&lt;0,-1,1)</f>
        <v>0</v>
      </c>
      <c r="T1444" s="553">
        <f>'Foglio deposito bis'!$F$71*IF(ABS(N1444)&lt;'Progetto del paramento slu'!$G$58,ABS(N1444)*'Progetto del paramento slu'!$G$54,'Progetto del paramento slu'!$G$53)*IF(N1444&lt;0,-1,1)</f>
        <v>314705.62929873407</v>
      </c>
      <c r="U1444" s="553">
        <f>'Foglio deposito bis'!$F$72*IF(ABS(O1444)&lt;'Progetto del paramento slu'!$G$58,ABS(O1444)*'Progetto del paramento slu'!$G$54,'Progetto del paramento slu'!$G$53)*IF(O1444&lt;0,-1,1)</f>
        <v>491727.54577927204</v>
      </c>
      <c r="V1444" s="479">
        <f t="shared" si="110"/>
        <v>-906351.30680143973</v>
      </c>
      <c r="W1444" s="559"/>
      <c r="X1444" s="559"/>
    </row>
    <row r="1445" spans="1:24" x14ac:dyDescent="0.25">
      <c r="A1445" s="553">
        <f t="shared" si="109"/>
        <v>974188.45591836539</v>
      </c>
      <c r="B1445" s="3">
        <f t="shared" si="107"/>
        <v>31.899999999999942</v>
      </c>
      <c r="C1445" s="553">
        <f>'Foglio deposito bis'!$E$158/sezione!$B$247*B1445</f>
        <v>129.50148173207015</v>
      </c>
      <c r="D1445" s="611">
        <f>-'Progetto del paramento slu'!$G$47*'Progetto del paramento slu'!$G$41*IF(DATI!$G$218="dx",DATI!$E$61,DATI!$E$64*DATI!$E$63)*1000*C1445^2*sezione!$AD$5*(1-sezione!$AD$6)</f>
        <v>-138055853.1762875</v>
      </c>
      <c r="E1445" s="553">
        <f>-'Foglio deposito bis'!$F$68*(C1445-sezione!$AL$32)*IF(ABS(K1445)&lt;'Progetto del paramento slu'!$G$58,ABS(K1445)*'Progetto del paramento slu'!$G$54,'Progetto del paramento slu'!$G$53)</f>
        <v>0</v>
      </c>
      <c r="F1445" s="553">
        <f>-'Foglio deposito bis'!$F$69*(C1445-sezione!$AM$32)*IF(ABS(L1445)&lt;'Progetto del paramento slu'!$G$58,ABS(L1445)*'Progetto del paramento slu'!$G$54,'Progetto del paramento slu'!$G$53)</f>
        <v>918682.30508442514</v>
      </c>
      <c r="G1445" s="553">
        <f>-'Foglio deposito bis'!$F$70*(C1445-sezione!$AN$32)*IF(ABS(M1445)&lt;'Progetto del paramento slu'!$G$58,ABS(M1445)*'Progetto del paramento slu'!$G$54,'Progetto del paramento slu'!$G$53)</f>
        <v>0</v>
      </c>
      <c r="H1445" s="553">
        <f>-'Foglio deposito bis'!$F$71*(C1445-sezione!$AO$32)*IF(ABS(N1445)&lt;'Progetto del paramento slu'!$G$58,ABS(N1445)*'Progetto del paramento slu'!$G$54,'Progetto del paramento slu'!$G$53)</f>
        <v>66245068.657959938</v>
      </c>
      <c r="I1445" s="479">
        <f>-'Foglio deposito bis'!$F$72*(C1445-sezione!$AP$32)*IF(ABS(O1445)&lt;'Progetto del paramento slu'!$G$58,ABS(O1445)*'Progetto del paramento slu'!$G$54,'Progetto del paramento slu'!$G$53)</f>
        <v>64172174.753449485</v>
      </c>
      <c r="J1445" s="479">
        <f t="shared" si="108"/>
        <v>-6719927.4597936422</v>
      </c>
      <c r="K1445" s="558">
        <f>'Progetto del paramento slu'!$G$60*(sezione!$AL$32-C1445)/C1445</f>
        <v>-2.4189312884492658E-3</v>
      </c>
      <c r="L1445" s="558">
        <f>'Progetto del paramento slu'!$G$60*(sezione!$AM$32-C1445)/C1445</f>
        <v>5.5400766831525277E-4</v>
      </c>
      <c r="M1445" s="559">
        <f>'Progetto del paramento slu'!$G$60*(sezione!$AN$32-C1445)/C1445</f>
        <v>3.5269466250797718E-3</v>
      </c>
      <c r="N1445" s="559">
        <f>'Progetto del paramento slu'!$G$60*(sezione!$AO$32-C1445)/C1445</f>
        <v>5.6890840481812399E-3</v>
      </c>
      <c r="O1445" s="559">
        <f>'Progetto del paramento slu'!$G$60*(sezione!$AP$32-C1445)/C1445</f>
        <v>3.5270817586687121E-3</v>
      </c>
      <c r="P1445" s="553">
        <f>-'Progetto del paramento slu'!$G$47*'Progetto del paramento slu'!$G$41*IF(DATI!$G$218="dx",DATI!$E$61,DATI!$E$64*DATI!$E$63)*1000*C1445*sezione!$AD$5</f>
        <v>-1825438.6413322703</v>
      </c>
      <c r="Q1445" s="553">
        <f>'Foglio deposito bis'!$F$68*IF(ABS(K1445)&lt;'Progetto del paramento slu'!$G$58,ABS(K1445)*'Progetto del paramento slu'!$G$54,'Progetto del paramento slu'!$G$53)*IF(K1445&lt;0,-1,1)</f>
        <v>0</v>
      </c>
      <c r="R1445" s="553">
        <f>'Foglio deposito bis'!$F$69*IF(ABS(L1445)&lt;'Progetto del paramento slu'!$G$58,ABS(L1445)*'Progetto del paramento slu'!$G$54,'Progetto del paramento slu'!$G$53)*IF(L1445&lt;0,-1,1)</f>
        <v>44817.010335898922</v>
      </c>
      <c r="S1445" s="553">
        <f>'Foglio deposito bis'!$F$70*IF(ABS(M1445)&lt;'Progetto del paramento slu'!$G$58,ABS(M1445)*'Progetto del paramento slu'!$G$54,'Progetto del paramento slu'!$G$53)*IF(M1445&lt;0,-1,1)</f>
        <v>0</v>
      </c>
      <c r="T1445" s="553">
        <f>'Foglio deposito bis'!$F$71*IF(ABS(N1445)&lt;'Progetto del paramento slu'!$G$58,ABS(N1445)*'Progetto del paramento slu'!$G$54,'Progetto del paramento slu'!$G$53)*IF(N1445&lt;0,-1,1)</f>
        <v>314705.62929873407</v>
      </c>
      <c r="U1445" s="553">
        <f>'Foglio deposito bis'!$F$72*IF(ABS(O1445)&lt;'Progetto del paramento slu'!$G$58,ABS(O1445)*'Progetto del paramento slu'!$G$54,'Progetto del paramento slu'!$G$53)*IF(O1445&lt;0,-1,1)</f>
        <v>491727.54577927204</v>
      </c>
      <c r="V1445" s="479">
        <f t="shared" si="110"/>
        <v>-974188.45591836539</v>
      </c>
      <c r="W1445" s="559"/>
      <c r="X1445" s="559"/>
    </row>
    <row r="1446" spans="1:24" x14ac:dyDescent="0.25">
      <c r="A1446" s="553">
        <f t="shared" si="109"/>
        <v>1041380.4155363869</v>
      </c>
      <c r="B1446" s="3">
        <f t="shared" si="107"/>
        <v>32.899999999999942</v>
      </c>
      <c r="C1446" s="553">
        <f>'Foglio deposito bis'!$E$158/sezione!$B$247*B1446</f>
        <v>133.56108930987801</v>
      </c>
      <c r="D1446" s="611">
        <f>-'Progetto del paramento slu'!$G$47*'Progetto del paramento slu'!$G$41*IF(DATI!$G$218="dx",DATI!$E$61,DATI!$E$64*DATI!$E$63)*1000*C1446^2*sezione!$AD$5*(1-sezione!$AD$6)</f>
        <v>-146847059.32188696</v>
      </c>
      <c r="E1446" s="553">
        <f>-'Foglio deposito bis'!$F$68*(C1446-sezione!$AL$32)*IF(ABS(K1446)&lt;'Progetto del paramento slu'!$G$58,ABS(K1446)*'Progetto del paramento slu'!$G$54,'Progetto del paramento slu'!$G$53)</f>
        <v>0</v>
      </c>
      <c r="F1446" s="553">
        <f>-'Foglio deposito bis'!$F$69*(C1446-sezione!$AM$32)*IF(ABS(L1446)&lt;'Progetto del paramento slu'!$G$58,ABS(L1446)*'Progetto del paramento slu'!$G$54,'Progetto del paramento slu'!$G$53)</f>
        <v>572876.84640185442</v>
      </c>
      <c r="G1446" s="553">
        <f>-'Foglio deposito bis'!$F$70*(C1446-sezione!$AN$32)*IF(ABS(M1446)&lt;'Progetto del paramento slu'!$G$58,ABS(M1446)*'Progetto del paramento slu'!$G$54,'Progetto del paramento slu'!$G$53)</f>
        <v>0</v>
      </c>
      <c r="H1446" s="553">
        <f>-'Foglio deposito bis'!$F$71*(C1446-sezione!$AO$32)*IF(ABS(N1446)&lt;'Progetto del paramento slu'!$G$58,ABS(N1446)*'Progetto del paramento slu'!$G$54,'Progetto del paramento slu'!$G$53)</f>
        <v>64967487.300480001</v>
      </c>
      <c r="I1446" s="479">
        <f>-'Foglio deposito bis'!$F$72*(C1446-sezione!$AP$32)*IF(ABS(O1446)&lt;'Progetto del paramento slu'!$G$58,ABS(O1446)*'Progetto del paramento slu'!$G$54,'Progetto del paramento slu'!$G$53)</f>
        <v>62175953.882387079</v>
      </c>
      <c r="J1446" s="479">
        <f t="shared" si="108"/>
        <v>-19130741.292618029</v>
      </c>
      <c r="K1446" s="558">
        <f>'Progetto del paramento slu'!$G$60*(sezione!$AL$32-C1446)/C1446</f>
        <v>-2.4517905198033919E-3</v>
      </c>
      <c r="L1446" s="558">
        <f>'Progetto del paramento slu'!$G$60*(sezione!$AM$32-C1446)/C1446</f>
        <v>4.3078555073728086E-4</v>
      </c>
      <c r="M1446" s="559">
        <f>'Progetto del paramento slu'!$G$60*(sezione!$AN$32-C1446)/C1446</f>
        <v>3.3133616212779535E-3</v>
      </c>
      <c r="N1446" s="559">
        <f>'Progetto del paramento slu'!$G$60*(sezione!$AO$32-C1446)/C1446</f>
        <v>5.4097805816711699E-3</v>
      </c>
      <c r="O1446" s="559">
        <f>'Progetto del paramento slu'!$G$60*(sezione!$AP$32-C1446)/C1446</f>
        <v>3.3134926474629751E-3</v>
      </c>
      <c r="P1446" s="553">
        <f>-'Progetto del paramento slu'!$G$47*'Progetto del paramento slu'!$G$41*IF(DATI!$G$218="dx",DATI!$E$61,DATI!$E$64*DATI!$E$63)*1000*C1446*sezione!$AD$5</f>
        <v>-1882662.4231922163</v>
      </c>
      <c r="Q1446" s="553">
        <f>'Foglio deposito bis'!$F$68*IF(ABS(K1446)&lt;'Progetto del paramento slu'!$G$58,ABS(K1446)*'Progetto del paramento slu'!$G$54,'Progetto del paramento slu'!$G$53)*IF(K1446&lt;0,-1,1)</f>
        <v>0</v>
      </c>
      <c r="R1446" s="553">
        <f>'Foglio deposito bis'!$F$69*IF(ABS(L1446)&lt;'Progetto del paramento slu'!$G$58,ABS(L1446)*'Progetto del paramento slu'!$G$54,'Progetto del paramento slu'!$G$53)*IF(L1446&lt;0,-1,1)</f>
        <v>34848.832577823516</v>
      </c>
      <c r="S1446" s="553">
        <f>'Foglio deposito bis'!$F$70*IF(ABS(M1446)&lt;'Progetto del paramento slu'!$G$58,ABS(M1446)*'Progetto del paramento slu'!$G$54,'Progetto del paramento slu'!$G$53)*IF(M1446&lt;0,-1,1)</f>
        <v>0</v>
      </c>
      <c r="T1446" s="553">
        <f>'Foglio deposito bis'!$F$71*IF(ABS(N1446)&lt;'Progetto del paramento slu'!$G$58,ABS(N1446)*'Progetto del paramento slu'!$G$54,'Progetto del paramento slu'!$G$53)*IF(N1446&lt;0,-1,1)</f>
        <v>314705.62929873407</v>
      </c>
      <c r="U1446" s="553">
        <f>'Foglio deposito bis'!$F$72*IF(ABS(O1446)&lt;'Progetto del paramento slu'!$G$58,ABS(O1446)*'Progetto del paramento slu'!$G$54,'Progetto del paramento slu'!$G$53)*IF(O1446&lt;0,-1,1)</f>
        <v>491727.54577927204</v>
      </c>
      <c r="V1446" s="479">
        <f t="shared" si="110"/>
        <v>-1041380.4155363869</v>
      </c>
      <c r="W1446" s="559"/>
      <c r="X1446" s="559"/>
    </row>
    <row r="1447" spans="1:24" x14ac:dyDescent="0.25">
      <c r="A1447" s="553">
        <f t="shared" si="109"/>
        <v>1107984.2820713357</v>
      </c>
      <c r="B1447" s="3">
        <f t="shared" si="107"/>
        <v>33.899999999999942</v>
      </c>
      <c r="C1447" s="553">
        <f>'Foglio deposito bis'!$E$158/sezione!$B$247*B1447</f>
        <v>137.62069688768585</v>
      </c>
      <c r="D1447" s="611">
        <f>-'Progetto del paramento slu'!$G$47*'Progetto del paramento slu'!$G$41*IF(DATI!$G$218="dx",DATI!$E$61,DATI!$E$64*DATI!$E$63)*1000*C1447^2*sezione!$AD$5*(1-sezione!$AD$6)</f>
        <v>-155909598.99049872</v>
      </c>
      <c r="E1447" s="553">
        <f>-'Foglio deposito bis'!$F$68*(C1447-sezione!$AL$32)*IF(ABS(K1447)&lt;'Progetto del paramento slu'!$G$58,ABS(K1447)*'Progetto del paramento slu'!$G$54,'Progetto del paramento slu'!$G$53)</f>
        <v>0</v>
      </c>
      <c r="F1447" s="553">
        <f>-'Foglio deposito bis'!$F$69*(C1447-sezione!$AM$32)*IF(ABS(L1447)&lt;'Progetto del paramento slu'!$G$58,ABS(L1447)*'Progetto del paramento slu'!$G$54,'Progetto del paramento slu'!$G$53)</f>
        <v>315285.35018012987</v>
      </c>
      <c r="G1447" s="553">
        <f>-'Foglio deposito bis'!$F$70*(C1447-sezione!$AN$32)*IF(ABS(M1447)&lt;'Progetto del paramento slu'!$G$58,ABS(M1447)*'Progetto del paramento slu'!$G$54,'Progetto del paramento slu'!$G$53)</f>
        <v>0</v>
      </c>
      <c r="H1447" s="553">
        <f>-'Foglio deposito bis'!$F$71*(C1447-sezione!$AO$32)*IF(ABS(N1447)&lt;'Progetto del paramento slu'!$G$58,ABS(N1447)*'Progetto del paramento slu'!$G$54,'Progetto del paramento slu'!$G$53)</f>
        <v>63689905.943000078</v>
      </c>
      <c r="I1447" s="479">
        <f>-'Foglio deposito bis'!$F$72*(C1447-sezione!$AP$32)*IF(ABS(O1447)&lt;'Progetto del paramento slu'!$G$58,ABS(O1447)*'Progetto del paramento slu'!$G$54,'Progetto del paramento slu'!$G$53)</f>
        <v>60179733.011324704</v>
      </c>
      <c r="J1447" s="479">
        <f t="shared" si="108"/>
        <v>-31724674.68599382</v>
      </c>
      <c r="K1447" s="558">
        <f>'Progetto del paramento slu'!$G$60*(sezione!$AL$32-C1447)/C1447</f>
        <v>-2.48271115343751E-3</v>
      </c>
      <c r="L1447" s="558">
        <f>'Progetto del paramento slu'!$G$60*(sezione!$AM$32-C1447)/C1447</f>
        <v>3.1483317460933755E-4</v>
      </c>
      <c r="M1447" s="559">
        <f>'Progetto del paramento slu'!$G$60*(sezione!$AN$32-C1447)/C1447</f>
        <v>3.1123775026561853E-3</v>
      </c>
      <c r="N1447" s="559">
        <f>'Progetto del paramento slu'!$G$60*(sezione!$AO$32-C1447)/C1447</f>
        <v>5.1469551957811655E-3</v>
      </c>
      <c r="O1447" s="559">
        <f>'Progetto del paramento slu'!$G$60*(sezione!$AP$32-C1447)/C1447</f>
        <v>3.1125046637620023E-3</v>
      </c>
      <c r="P1447" s="553">
        <f>-'Progetto del paramento slu'!$G$47*'Progetto del paramento slu'!$G$41*IF(DATI!$G$218="dx",DATI!$E$61,DATI!$E$64*DATI!$E$63)*1000*C1447*sezione!$AD$5</f>
        <v>-1939886.2050521623</v>
      </c>
      <c r="Q1447" s="553">
        <f>'Foglio deposito bis'!$F$68*IF(ABS(K1447)&lt;'Progetto del paramento slu'!$G$58,ABS(K1447)*'Progetto del paramento slu'!$G$54,'Progetto del paramento slu'!$G$53)*IF(K1447&lt;0,-1,1)</f>
        <v>0</v>
      </c>
      <c r="R1447" s="553">
        <f>'Foglio deposito bis'!$F$69*IF(ABS(L1447)&lt;'Progetto del paramento slu'!$G$58,ABS(L1447)*'Progetto del paramento slu'!$G$54,'Progetto del paramento slu'!$G$53)*IF(L1447&lt;0,-1,1)</f>
        <v>25468.747902820473</v>
      </c>
      <c r="S1447" s="553">
        <f>'Foglio deposito bis'!$F$70*IF(ABS(M1447)&lt;'Progetto del paramento slu'!$G$58,ABS(M1447)*'Progetto del paramento slu'!$G$54,'Progetto del paramento slu'!$G$53)*IF(M1447&lt;0,-1,1)</f>
        <v>0</v>
      </c>
      <c r="T1447" s="553">
        <f>'Foglio deposito bis'!$F$71*IF(ABS(N1447)&lt;'Progetto del paramento slu'!$G$58,ABS(N1447)*'Progetto del paramento slu'!$G$54,'Progetto del paramento slu'!$G$53)*IF(N1447&lt;0,-1,1)</f>
        <v>314705.62929873407</v>
      </c>
      <c r="U1447" s="553">
        <f>'Foglio deposito bis'!$F$72*IF(ABS(O1447)&lt;'Progetto del paramento slu'!$G$58,ABS(O1447)*'Progetto del paramento slu'!$G$54,'Progetto del paramento slu'!$G$53)*IF(O1447&lt;0,-1,1)</f>
        <v>491727.54577927204</v>
      </c>
      <c r="V1447" s="479">
        <f t="shared" si="110"/>
        <v>-1107984.2820713357</v>
      </c>
      <c r="W1447" s="559"/>
      <c r="X1447" s="559"/>
    </row>
    <row r="1448" spans="1:24" x14ac:dyDescent="0.25">
      <c r="A1448" s="553">
        <f t="shared" si="109"/>
        <v>1174050.6079372298</v>
      </c>
      <c r="B1448" s="3">
        <f t="shared" si="107"/>
        <v>34.899999999999942</v>
      </c>
      <c r="C1448" s="553">
        <f>'Foglio deposito bis'!$E$158/sezione!$B$247*B1448</f>
        <v>141.68030446549369</v>
      </c>
      <c r="D1448" s="611">
        <f>-'Progetto del paramento slu'!$G$47*'Progetto del paramento slu'!$G$41*IF(DATI!$G$218="dx",DATI!$E$61,DATI!$E$64*DATI!$E$63)*1000*C1448^2*sezione!$AD$5*(1-sezione!$AD$6)</f>
        <v>-165243472.1821228</v>
      </c>
      <c r="E1448" s="553">
        <f>-'Foglio deposito bis'!$F$68*(C1448-sezione!$AL$32)*IF(ABS(K1448)&lt;'Progetto del paramento slu'!$G$58,ABS(K1448)*'Progetto del paramento slu'!$G$54,'Progetto del paramento slu'!$G$53)</f>
        <v>0</v>
      </c>
      <c r="F1448" s="553">
        <f>-'Foglio deposito bis'!$F$69*(C1448-sezione!$AM$32)*IF(ABS(L1448)&lt;'Progetto del paramento slu'!$G$58,ABS(L1448)*'Progetto del paramento slu'!$G$54,'Progetto del paramento slu'!$G$53)</f>
        <v>138324.95431659766</v>
      </c>
      <c r="G1448" s="553">
        <f>-'Foglio deposito bis'!$F$70*(C1448-sezione!$AN$32)*IF(ABS(M1448)&lt;'Progetto del paramento slu'!$G$58,ABS(M1448)*'Progetto del paramento slu'!$G$54,'Progetto del paramento slu'!$G$53)</f>
        <v>0</v>
      </c>
      <c r="H1448" s="553">
        <f>-'Foglio deposito bis'!$F$71*(C1448-sezione!$AO$32)*IF(ABS(N1448)&lt;'Progetto del paramento slu'!$G$58,ABS(N1448)*'Progetto del paramento slu'!$G$54,'Progetto del paramento slu'!$G$53)</f>
        <v>62412324.585520148</v>
      </c>
      <c r="I1448" s="479">
        <f>-'Foglio deposito bis'!$F$72*(C1448-sezione!$AP$32)*IF(ABS(O1448)&lt;'Progetto del paramento slu'!$G$58,ABS(O1448)*'Progetto del paramento slu'!$G$54,'Progetto del paramento slu'!$G$53)</f>
        <v>58183512.140262321</v>
      </c>
      <c r="J1448" s="479">
        <f t="shared" si="108"/>
        <v>-44509310.502023742</v>
      </c>
      <c r="K1448" s="558">
        <f>'Progetto del paramento slu'!$G$60*(sezione!$AL$32-C1448)/C1448</f>
        <v>-2.5118598309894439E-3</v>
      </c>
      <c r="L1448" s="558">
        <f>'Progetto del paramento slu'!$G$60*(sezione!$AM$32-C1448)/C1448</f>
        <v>2.0552563378958586E-4</v>
      </c>
      <c r="M1448" s="559">
        <f>'Progetto del paramento slu'!$G$60*(sezione!$AN$32-C1448)/C1448</f>
        <v>2.9229110985686153E-3</v>
      </c>
      <c r="N1448" s="559">
        <f>'Progetto del paramento slu'!$G$60*(sezione!$AO$32-C1448)/C1448</f>
        <v>4.8991914365897277E-3</v>
      </c>
      <c r="O1448" s="559">
        <f>'Progetto del paramento slu'!$G$60*(sezione!$AP$32-C1448)/C1448</f>
        <v>2.9230346160897388E-3</v>
      </c>
      <c r="P1448" s="553">
        <f>-'Progetto del paramento slu'!$G$47*'Progetto del paramento slu'!$G$41*IF(DATI!$G$218="dx",DATI!$E$61,DATI!$E$64*DATI!$E$63)*1000*C1448*sezione!$AD$5</f>
        <v>-1997109.9869121078</v>
      </c>
      <c r="Q1448" s="553">
        <f>'Foglio deposito bis'!$F$68*IF(ABS(K1448)&lt;'Progetto del paramento slu'!$G$58,ABS(K1448)*'Progetto del paramento slu'!$G$54,'Progetto del paramento slu'!$G$53)*IF(K1448&lt;0,-1,1)</f>
        <v>0</v>
      </c>
      <c r="R1448" s="553">
        <f>'Foglio deposito bis'!$F$69*IF(ABS(L1448)&lt;'Progetto del paramento slu'!$G$58,ABS(L1448)*'Progetto del paramento slu'!$G$54,'Progetto del paramento slu'!$G$53)*IF(L1448&lt;0,-1,1)</f>
        <v>16626.203896872037</v>
      </c>
      <c r="S1448" s="553">
        <f>'Foglio deposito bis'!$F$70*IF(ABS(M1448)&lt;'Progetto del paramento slu'!$G$58,ABS(M1448)*'Progetto del paramento slu'!$G$54,'Progetto del paramento slu'!$G$53)*IF(M1448&lt;0,-1,1)</f>
        <v>0</v>
      </c>
      <c r="T1448" s="553">
        <f>'Foglio deposito bis'!$F$71*IF(ABS(N1448)&lt;'Progetto del paramento slu'!$G$58,ABS(N1448)*'Progetto del paramento slu'!$G$54,'Progetto del paramento slu'!$G$53)*IF(N1448&lt;0,-1,1)</f>
        <v>314705.62929873407</v>
      </c>
      <c r="U1448" s="553">
        <f>'Foglio deposito bis'!$F$72*IF(ABS(O1448)&lt;'Progetto del paramento slu'!$G$58,ABS(O1448)*'Progetto del paramento slu'!$G$54,'Progetto del paramento slu'!$G$53)*IF(O1448&lt;0,-1,1)</f>
        <v>491727.54577927204</v>
      </c>
      <c r="V1448" s="479">
        <f t="shared" si="110"/>
        <v>-1174050.6079372298</v>
      </c>
      <c r="W1448" s="559"/>
      <c r="X1448" s="559"/>
    </row>
    <row r="1449" spans="1:24" x14ac:dyDescent="0.25">
      <c r="A1449" s="553">
        <f t="shared" si="109"/>
        <v>1239624.3129671384</v>
      </c>
      <c r="B1449" s="3">
        <f t="shared" si="107"/>
        <v>35.899999999999942</v>
      </c>
      <c r="C1449" s="553">
        <f>'Foglio deposito bis'!$E$158/sezione!$B$247*B1449</f>
        <v>145.73991204330156</v>
      </c>
      <c r="D1449" s="611">
        <f>-'Progetto del paramento slu'!$G$47*'Progetto del paramento slu'!$G$41*IF(DATI!$G$218="dx",DATI!$E$61,DATI!$E$64*DATI!$E$63)*1000*C1449^2*sezione!$AD$5*(1-sezione!$AD$6)</f>
        <v>-174848678.89675927</v>
      </c>
      <c r="E1449" s="553">
        <f>-'Foglio deposito bis'!$F$68*(C1449-sezione!$AL$32)*IF(ABS(K1449)&lt;'Progetto del paramento slu'!$G$58,ABS(K1449)*'Progetto del paramento slu'!$G$54,'Progetto del paramento slu'!$G$53)</f>
        <v>0</v>
      </c>
      <c r="F1449" s="553">
        <f>-'Foglio deposito bis'!$F$69*(C1449-sezione!$AM$32)*IF(ABS(L1449)&lt;'Progetto del paramento slu'!$G$58,ABS(L1449)*'Progetto del paramento slu'!$G$54,'Progetto del paramento slu'!$G$53)</f>
        <v>35257.683850962727</v>
      </c>
      <c r="G1449" s="553">
        <f>-'Foglio deposito bis'!$F$70*(C1449-sezione!$AN$32)*IF(ABS(M1449)&lt;'Progetto del paramento slu'!$G$58,ABS(M1449)*'Progetto del paramento slu'!$G$54,'Progetto del paramento slu'!$G$53)</f>
        <v>0</v>
      </c>
      <c r="H1449" s="553">
        <f>-'Foglio deposito bis'!$F$71*(C1449-sezione!$AO$32)*IF(ABS(N1449)&lt;'Progetto del paramento slu'!$G$58,ABS(N1449)*'Progetto del paramento slu'!$G$54,'Progetto del paramento slu'!$G$53)</f>
        <v>61134743.228040218</v>
      </c>
      <c r="I1449" s="479">
        <f>-'Foglio deposito bis'!$F$72*(C1449-sezione!$AP$32)*IF(ABS(O1449)&lt;'Progetto del paramento slu'!$G$58,ABS(O1449)*'Progetto del paramento slu'!$G$54,'Progetto del paramento slu'!$G$53)</f>
        <v>56187291.269199923</v>
      </c>
      <c r="J1449" s="479">
        <f t="shared" si="108"/>
        <v>-57491386.715668157</v>
      </c>
      <c r="K1449" s="558">
        <f>'Progetto del paramento slu'!$G$60*(sezione!$AL$32-C1449)/C1449</f>
        <v>-2.5393846267836098E-3</v>
      </c>
      <c r="L1449" s="558">
        <f>'Progetto del paramento slu'!$G$60*(sezione!$AM$32-C1449)/C1449</f>
        <v>1.0230764956146307E-4</v>
      </c>
      <c r="M1449" s="559">
        <f>'Progetto del paramento slu'!$G$60*(sezione!$AN$32-C1449)/C1449</f>
        <v>2.7439999259065359E-3</v>
      </c>
      <c r="N1449" s="559">
        <f>'Progetto del paramento slu'!$G$60*(sezione!$AO$32-C1449)/C1449</f>
        <v>4.6652306723393164E-3</v>
      </c>
      <c r="O1449" s="559">
        <f>'Progetto del paramento slu'!$G$60*(sezione!$AP$32-C1449)/C1449</f>
        <v>2.7441200028281852E-3</v>
      </c>
      <c r="P1449" s="553">
        <f>-'Progetto del paramento slu'!$G$47*'Progetto del paramento slu'!$G$41*IF(DATI!$G$218="dx",DATI!$E$61,DATI!$E$64*DATI!$E$63)*1000*C1449*sezione!$AD$5</f>
        <v>-2054333.768772054</v>
      </c>
      <c r="Q1449" s="553">
        <f>'Foglio deposito bis'!$F$68*IF(ABS(K1449)&lt;'Progetto del paramento slu'!$G$58,ABS(K1449)*'Progetto del paramento slu'!$G$54,'Progetto del paramento slu'!$G$53)*IF(K1449&lt;0,-1,1)</f>
        <v>0</v>
      </c>
      <c r="R1449" s="553">
        <f>'Foglio deposito bis'!$F$69*IF(ABS(L1449)&lt;'Progetto del paramento slu'!$G$58,ABS(L1449)*'Progetto del paramento slu'!$G$54,'Progetto del paramento slu'!$G$53)*IF(L1449&lt;0,-1,1)</f>
        <v>8276.2807269095319</v>
      </c>
      <c r="S1449" s="553">
        <f>'Foglio deposito bis'!$F$70*IF(ABS(M1449)&lt;'Progetto del paramento slu'!$G$58,ABS(M1449)*'Progetto del paramento slu'!$G$54,'Progetto del paramento slu'!$G$53)*IF(M1449&lt;0,-1,1)</f>
        <v>0</v>
      </c>
      <c r="T1449" s="553">
        <f>'Foglio deposito bis'!$F$71*IF(ABS(N1449)&lt;'Progetto del paramento slu'!$G$58,ABS(N1449)*'Progetto del paramento slu'!$G$54,'Progetto del paramento slu'!$G$53)*IF(N1449&lt;0,-1,1)</f>
        <v>314705.62929873407</v>
      </c>
      <c r="U1449" s="553">
        <f>'Foglio deposito bis'!$F$72*IF(ABS(O1449)&lt;'Progetto del paramento slu'!$G$58,ABS(O1449)*'Progetto del paramento slu'!$G$54,'Progetto del paramento slu'!$G$53)*IF(O1449&lt;0,-1,1)</f>
        <v>491727.54577927204</v>
      </c>
      <c r="V1449" s="479">
        <f t="shared" si="110"/>
        <v>-1239624.3129671384</v>
      </c>
      <c r="W1449" s="559"/>
      <c r="X1449" s="559"/>
    </row>
    <row r="1450" spans="1:24" x14ac:dyDescent="0.25">
      <c r="A1450" s="553">
        <f t="shared" si="109"/>
        <v>1304745.4476355314</v>
      </c>
      <c r="B1450" s="3">
        <f t="shared" si="107"/>
        <v>36.899999999999942</v>
      </c>
      <c r="C1450" s="553">
        <f>'Foglio deposito bis'!$E$158/sezione!$B$247*B1450</f>
        <v>149.7995196211094</v>
      </c>
      <c r="D1450" s="611">
        <f>-'Progetto del paramento slu'!$G$47*'Progetto del paramento slu'!$G$41*IF(DATI!$G$218="dx",DATI!$E$61,DATI!$E$64*DATI!$E$63)*1000*C1450^2*sezione!$AD$5*(1-sezione!$AD$6)</f>
        <v>-184725219.13440797</v>
      </c>
      <c r="E1450" s="553">
        <f>-'Foglio deposito bis'!$F$68*(C1450-sezione!$AL$32)*IF(ABS(K1450)&lt;'Progetto del paramento slu'!$G$58,ABS(K1450)*'Progetto del paramento slu'!$G$54,'Progetto del paramento slu'!$G$53)</f>
        <v>0</v>
      </c>
      <c r="F1450" s="553">
        <f>-'Foglio deposito bis'!$F$69*(C1450-sezione!$AM$32)*IF(ABS(L1450)&lt;'Progetto del paramento slu'!$G$58,ABS(L1450)*'Progetto del paramento slu'!$G$54,'Progetto del paramento slu'!$G$53)</f>
        <v>75.967612665623108</v>
      </c>
      <c r="G1450" s="553">
        <f>-'Foglio deposito bis'!$F$70*(C1450-sezione!$AN$32)*IF(ABS(M1450)&lt;'Progetto del paramento slu'!$G$58,ABS(M1450)*'Progetto del paramento slu'!$G$54,'Progetto del paramento slu'!$G$53)</f>
        <v>0</v>
      </c>
      <c r="H1450" s="553">
        <f>-'Foglio deposito bis'!$F$71*(C1450-sezione!$AO$32)*IF(ABS(N1450)&lt;'Progetto del paramento slu'!$G$58,ABS(N1450)*'Progetto del paramento slu'!$G$54,'Progetto del paramento slu'!$G$53)</f>
        <v>59857161.870560296</v>
      </c>
      <c r="I1450" s="479">
        <f>-'Foglio deposito bis'!$F$72*(C1450-sezione!$AP$32)*IF(ABS(O1450)&lt;'Progetto del paramento slu'!$G$58,ABS(O1450)*'Progetto del paramento slu'!$G$54,'Progetto del paramento slu'!$G$53)</f>
        <v>54191070.39813754</v>
      </c>
      <c r="J1450" s="479">
        <f t="shared" si="108"/>
        <v>-70676910.898097485</v>
      </c>
      <c r="K1450" s="558">
        <f>'Progetto del paramento slu'!$G$60*(sezione!$AL$32-C1450)/C1450</f>
        <v>-2.5654175637271435E-3</v>
      </c>
      <c r="L1450" s="558">
        <f>'Progetto del paramento slu'!$G$60*(sezione!$AM$32-C1450)/C1450</f>
        <v>4.6841360232121306E-6</v>
      </c>
      <c r="M1450" s="559">
        <f>'Progetto del paramento slu'!$G$60*(sezione!$AN$32-C1450)/C1450</f>
        <v>2.5747858357735675E-3</v>
      </c>
      <c r="N1450" s="559">
        <f>'Progetto del paramento slu'!$G$60*(sezione!$AO$32-C1450)/C1450</f>
        <v>4.4439507083192812E-3</v>
      </c>
      <c r="O1450" s="559">
        <f>'Progetto del paramento slu'!$G$60*(sezione!$AP$32-C1450)/C1450</f>
        <v>2.5749026585780992E-3</v>
      </c>
      <c r="P1450" s="553">
        <f>-'Progetto del paramento slu'!$G$47*'Progetto del paramento slu'!$G$41*IF(DATI!$G$218="dx",DATI!$E$61,DATI!$E$64*DATI!$E$63)*1000*C1450*sezione!$AD$5</f>
        <v>-2111557.550632</v>
      </c>
      <c r="Q1450" s="553">
        <f>'Foglio deposito bis'!$F$68*IF(ABS(K1450)&lt;'Progetto del paramento slu'!$G$58,ABS(K1450)*'Progetto del paramento slu'!$G$54,'Progetto del paramento slu'!$G$53)*IF(K1450&lt;0,-1,1)</f>
        <v>0</v>
      </c>
      <c r="R1450" s="553">
        <f>'Foglio deposito bis'!$F$69*IF(ABS(L1450)&lt;'Progetto del paramento slu'!$G$58,ABS(L1450)*'Progetto del paramento slu'!$G$54,'Progetto del paramento slu'!$G$53)*IF(L1450&lt;0,-1,1)</f>
        <v>378.92791846266732</v>
      </c>
      <c r="S1450" s="553">
        <f>'Foglio deposito bis'!$F$70*IF(ABS(M1450)&lt;'Progetto del paramento slu'!$G$58,ABS(M1450)*'Progetto del paramento slu'!$G$54,'Progetto del paramento slu'!$G$53)*IF(M1450&lt;0,-1,1)</f>
        <v>0</v>
      </c>
      <c r="T1450" s="553">
        <f>'Foglio deposito bis'!$F$71*IF(ABS(N1450)&lt;'Progetto del paramento slu'!$G$58,ABS(N1450)*'Progetto del paramento slu'!$G$54,'Progetto del paramento slu'!$G$53)*IF(N1450&lt;0,-1,1)</f>
        <v>314705.62929873407</v>
      </c>
      <c r="U1450" s="553">
        <f>'Foglio deposito bis'!$F$72*IF(ABS(O1450)&lt;'Progetto del paramento slu'!$G$58,ABS(O1450)*'Progetto del paramento slu'!$G$54,'Progetto del paramento slu'!$G$53)*IF(O1450&lt;0,-1,1)</f>
        <v>491727.54577927204</v>
      </c>
      <c r="V1450" s="479">
        <f t="shared" si="110"/>
        <v>-1304745.4476355314</v>
      </c>
      <c r="W1450" s="559"/>
      <c r="X1450" s="559"/>
    </row>
    <row r="1451" spans="1:24" x14ac:dyDescent="0.25">
      <c r="A1451" s="553">
        <f t="shared" si="109"/>
        <v>1369449.8354538744</v>
      </c>
      <c r="B1451" s="3">
        <f t="shared" si="107"/>
        <v>37.899999999999942</v>
      </c>
      <c r="C1451" s="553">
        <f>'Foglio deposito bis'!$E$158/sezione!$B$247*B1451</f>
        <v>153.85912719891726</v>
      </c>
      <c r="D1451" s="611">
        <f>-'Progetto del paramento slu'!$G$47*'Progetto del paramento slu'!$G$41*IF(DATI!$G$218="dx",DATI!$E$61,DATI!$E$64*DATI!$E$63)*1000*C1451^2*sezione!$AD$5*(1-sezione!$AD$6)</f>
        <v>-194873092.89506912</v>
      </c>
      <c r="E1451" s="553">
        <f>-'Foglio deposito bis'!$F$68*(C1451-sezione!$AL$32)*IF(ABS(K1451)&lt;'Progetto del paramento slu'!$G$58,ABS(K1451)*'Progetto del paramento slu'!$G$54,'Progetto del paramento slu'!$G$53)</f>
        <v>0</v>
      </c>
      <c r="F1451" s="553">
        <f>-'Foglio deposito bis'!$F$69*(C1451-sezione!$AM$32)*IF(ABS(L1451)&lt;'Progetto del paramento slu'!$G$58,ABS(L1451)*'Progetto del paramento slu'!$G$54,'Progetto del paramento slu'!$G$53)</f>
        <v>-27406.278881863836</v>
      </c>
      <c r="G1451" s="553">
        <f>-'Foglio deposito bis'!$F$70*(C1451-sezione!$AN$32)*IF(ABS(M1451)&lt;'Progetto del paramento slu'!$G$58,ABS(M1451)*'Progetto del paramento slu'!$G$54,'Progetto del paramento slu'!$G$53)</f>
        <v>0</v>
      </c>
      <c r="H1451" s="553">
        <f>-'Foglio deposito bis'!$F$71*(C1451-sezione!$AO$32)*IF(ABS(N1451)&lt;'Progetto del paramento slu'!$G$58,ABS(N1451)*'Progetto del paramento slu'!$G$54,'Progetto del paramento slu'!$G$53)</f>
        <v>58579580.513080359</v>
      </c>
      <c r="I1451" s="479">
        <f>-'Foglio deposito bis'!$F$72*(C1451-sezione!$AP$32)*IF(ABS(O1451)&lt;'Progetto del paramento slu'!$G$58,ABS(O1451)*'Progetto del paramento slu'!$G$54,'Progetto del paramento slu'!$G$53)</f>
        <v>52194849.527075134</v>
      </c>
      <c r="J1451" s="479">
        <f t="shared" si="108"/>
        <v>-84126069.1337955</v>
      </c>
      <c r="K1451" s="558">
        <f>'Progetto del paramento slu'!$G$60*(sezione!$AL$32-C1451)/C1451</f>
        <v>-2.5900767309111239E-3</v>
      </c>
      <c r="L1451" s="558">
        <f>'Progetto del paramento slu'!$G$60*(sezione!$AM$32-C1451)/C1451</f>
        <v>-8.7787740916714854E-5</v>
      </c>
      <c r="M1451" s="559">
        <f>'Progetto del paramento slu'!$G$60*(sezione!$AN$32-C1451)/C1451</f>
        <v>2.4145012490776941E-3</v>
      </c>
      <c r="N1451" s="559">
        <f>'Progetto del paramento slu'!$G$60*(sezione!$AO$32-C1451)/C1451</f>
        <v>4.2343477872554469E-3</v>
      </c>
      <c r="O1451" s="559">
        <f>'Progetto del paramento slu'!$G$60*(sezione!$AP$32-C1451)/C1451</f>
        <v>2.4146149894863278E-3</v>
      </c>
      <c r="P1451" s="553">
        <f>-'Progetto del paramento slu'!$G$47*'Progetto del paramento slu'!$G$41*IF(DATI!$G$218="dx",DATI!$E$61,DATI!$E$64*DATI!$E$63)*1000*C1451*sezione!$AD$5</f>
        <v>-2168781.3324919459</v>
      </c>
      <c r="Q1451" s="553">
        <f>'Foglio deposito bis'!$F$68*IF(ABS(K1451)&lt;'Progetto del paramento slu'!$G$58,ABS(K1451)*'Progetto del paramento slu'!$G$54,'Progetto del paramento slu'!$G$53)*IF(K1451&lt;0,-1,1)</f>
        <v>0</v>
      </c>
      <c r="R1451" s="553">
        <f>'Foglio deposito bis'!$F$69*IF(ABS(L1451)&lt;'Progetto del paramento slu'!$G$58,ABS(L1451)*'Progetto del paramento slu'!$G$54,'Progetto del paramento slu'!$G$53)*IF(L1451&lt;0,-1,1)</f>
        <v>-7101.6780399342833</v>
      </c>
      <c r="S1451" s="553">
        <f>'Foglio deposito bis'!$F$70*IF(ABS(M1451)&lt;'Progetto del paramento slu'!$G$58,ABS(M1451)*'Progetto del paramento slu'!$G$54,'Progetto del paramento slu'!$G$53)*IF(M1451&lt;0,-1,1)</f>
        <v>0</v>
      </c>
      <c r="T1451" s="553">
        <f>'Foglio deposito bis'!$F$71*IF(ABS(N1451)&lt;'Progetto del paramento slu'!$G$58,ABS(N1451)*'Progetto del paramento slu'!$G$54,'Progetto del paramento slu'!$G$53)*IF(N1451&lt;0,-1,1)</f>
        <v>314705.62929873407</v>
      </c>
      <c r="U1451" s="553">
        <f>'Foglio deposito bis'!$F$72*IF(ABS(O1451)&lt;'Progetto del paramento slu'!$G$58,ABS(O1451)*'Progetto del paramento slu'!$G$54,'Progetto del paramento slu'!$G$53)*IF(O1451&lt;0,-1,1)</f>
        <v>491727.54577927204</v>
      </c>
      <c r="V1451" s="479">
        <f t="shared" si="110"/>
        <v>-1369449.8354538744</v>
      </c>
      <c r="W1451" s="559"/>
      <c r="X1451" s="559"/>
    </row>
    <row r="1452" spans="1:24" x14ac:dyDescent="0.25">
      <c r="A1452" s="553">
        <f t="shared" si="109"/>
        <v>1433769.6162820677</v>
      </c>
      <c r="B1452" s="3">
        <f t="shared" si="107"/>
        <v>38.899999999999942</v>
      </c>
      <c r="C1452" s="553">
        <f>'Foglio deposito bis'!$E$158/sezione!$B$247*B1452</f>
        <v>157.9187347767251</v>
      </c>
      <c r="D1452" s="611">
        <f>-'Progetto del paramento slu'!$G$47*'Progetto del paramento slu'!$G$41*IF(DATI!$G$218="dx",DATI!$E$61,DATI!$E$64*DATI!$E$63)*1000*C1452^2*sezione!$AD$5*(1-sezione!$AD$6)</f>
        <v>-205292300.1787425</v>
      </c>
      <c r="E1452" s="553">
        <f>-'Foglio deposito bis'!$F$68*(C1452-sezione!$AL$32)*IF(ABS(K1452)&lt;'Progetto del paramento slu'!$G$58,ABS(K1452)*'Progetto del paramento slu'!$G$54,'Progetto del paramento slu'!$G$53)</f>
        <v>0</v>
      </c>
      <c r="F1452" s="553">
        <f>-'Foglio deposito bis'!$F$69*(C1452-sezione!$AM$32)*IF(ABS(L1452)&lt;'Progetto del paramento slu'!$G$58,ABS(L1452)*'Progetto del paramento slu'!$G$54,'Progetto del paramento slu'!$G$53)</f>
        <v>-112427.6386734031</v>
      </c>
      <c r="G1452" s="553">
        <f>-'Foglio deposito bis'!$F$70*(C1452-sezione!$AN$32)*IF(ABS(M1452)&lt;'Progetto del paramento slu'!$G$58,ABS(M1452)*'Progetto del paramento slu'!$G$54,'Progetto del paramento slu'!$G$53)</f>
        <v>0</v>
      </c>
      <c r="H1452" s="553">
        <f>-'Foglio deposito bis'!$F$71*(C1452-sezione!$AO$32)*IF(ABS(N1452)&lt;'Progetto del paramento slu'!$G$58,ABS(N1452)*'Progetto del paramento slu'!$G$54,'Progetto del paramento slu'!$G$53)</f>
        <v>57301999.155600436</v>
      </c>
      <c r="I1452" s="479">
        <f>-'Foglio deposito bis'!$F$72*(C1452-sezione!$AP$32)*IF(ABS(O1452)&lt;'Progetto del paramento slu'!$G$58,ABS(O1452)*'Progetto del paramento slu'!$G$54,'Progetto del paramento slu'!$G$53)</f>
        <v>50198628.656012759</v>
      </c>
      <c r="J1452" s="479">
        <f t="shared" si="108"/>
        <v>-97904100.005802706</v>
      </c>
      <c r="K1452" s="558">
        <f>'Progetto del paramento slu'!$G$60*(sezione!$AL$32-C1452)/C1452</f>
        <v>-2.6134680745895011E-3</v>
      </c>
      <c r="L1452" s="558">
        <f>'Progetto del paramento slu'!$G$60*(sezione!$AM$32-C1452)/C1452</f>
        <v>-1.7550527971062953E-4</v>
      </c>
      <c r="M1452" s="559">
        <f>'Progetto del paramento slu'!$G$60*(sezione!$AN$32-C1452)/C1452</f>
        <v>2.2624575151682425E-3</v>
      </c>
      <c r="N1452" s="559">
        <f>'Progetto del paramento slu'!$G$60*(sezione!$AO$32-C1452)/C1452</f>
        <v>4.03552136598924E-3</v>
      </c>
      <c r="O1452" s="559">
        <f>'Progetto del paramento slu'!$G$60*(sezione!$AP$32-C1452)/C1452</f>
        <v>2.262568331658916E-3</v>
      </c>
      <c r="P1452" s="553">
        <f>-'Progetto del paramento slu'!$G$47*'Progetto del paramento slu'!$G$41*IF(DATI!$G$218="dx",DATI!$E$61,DATI!$E$64*DATI!$E$63)*1000*C1452*sezione!$AD$5</f>
        <v>-2226005.1143518914</v>
      </c>
      <c r="Q1452" s="553">
        <f>'Foglio deposito bis'!$F$68*IF(ABS(K1452)&lt;'Progetto del paramento slu'!$G$58,ABS(K1452)*'Progetto del paramento slu'!$G$54,'Progetto del paramento slu'!$G$53)*IF(K1452&lt;0,-1,1)</f>
        <v>0</v>
      </c>
      <c r="R1452" s="553">
        <f>'Foglio deposito bis'!$F$69*IF(ABS(L1452)&lt;'Progetto del paramento slu'!$G$58,ABS(L1452)*'Progetto del paramento slu'!$G$54,'Progetto del paramento slu'!$G$53)*IF(L1452&lt;0,-1,1)</f>
        <v>-14197.677008182238</v>
      </c>
      <c r="S1452" s="553">
        <f>'Foglio deposito bis'!$F$70*IF(ABS(M1452)&lt;'Progetto del paramento slu'!$G$58,ABS(M1452)*'Progetto del paramento slu'!$G$54,'Progetto del paramento slu'!$G$53)*IF(M1452&lt;0,-1,1)</f>
        <v>0</v>
      </c>
      <c r="T1452" s="553">
        <f>'Foglio deposito bis'!$F$71*IF(ABS(N1452)&lt;'Progetto del paramento slu'!$G$58,ABS(N1452)*'Progetto del paramento slu'!$G$54,'Progetto del paramento slu'!$G$53)*IF(N1452&lt;0,-1,1)</f>
        <v>314705.62929873407</v>
      </c>
      <c r="U1452" s="553">
        <f>'Foglio deposito bis'!$F$72*IF(ABS(O1452)&lt;'Progetto del paramento slu'!$G$58,ABS(O1452)*'Progetto del paramento slu'!$G$54,'Progetto del paramento slu'!$G$53)*IF(O1452&lt;0,-1,1)</f>
        <v>491727.54577927204</v>
      </c>
      <c r="V1452" s="479">
        <f t="shared" si="110"/>
        <v>-1433769.6162820677</v>
      </c>
      <c r="W1452" s="559"/>
      <c r="X1452" s="559"/>
    </row>
    <row r="1453" spans="1:24" x14ac:dyDescent="0.25">
      <c r="A1453" s="553">
        <f t="shared" si="109"/>
        <v>1497733.7079389202</v>
      </c>
      <c r="B1453" s="3">
        <f t="shared" si="107"/>
        <v>39.899999999999942</v>
      </c>
      <c r="C1453" s="553">
        <f>'Foglio deposito bis'!$E$158/sezione!$B$247*B1453</f>
        <v>161.97834235453294</v>
      </c>
      <c r="D1453" s="611">
        <f>-'Progetto del paramento slu'!$G$47*'Progetto del paramento slu'!$G$41*IF(DATI!$G$218="dx",DATI!$E$61,DATI!$E$64*DATI!$E$63)*1000*C1453^2*sezione!$AD$5*(1-sezione!$AD$6)</f>
        <v>-215982840.98542821</v>
      </c>
      <c r="E1453" s="553">
        <f>-'Foglio deposito bis'!$F$68*(C1453-sezione!$AL$32)*IF(ABS(K1453)&lt;'Progetto del paramento slu'!$G$58,ABS(K1453)*'Progetto del paramento slu'!$G$54,'Progetto del paramento slu'!$G$53)</f>
        <v>0</v>
      </c>
      <c r="F1453" s="553">
        <f>-'Foglio deposito bis'!$F$69*(C1453-sezione!$AM$32)*IF(ABS(L1453)&lt;'Progetto del paramento slu'!$G$58,ABS(L1453)*'Progetto del paramento slu'!$G$54,'Progetto del paramento slu'!$G$53)</f>
        <v>-250802.3741660548</v>
      </c>
      <c r="G1453" s="553">
        <f>-'Foglio deposito bis'!$F$70*(C1453-sezione!$AN$32)*IF(ABS(M1453)&lt;'Progetto del paramento slu'!$G$58,ABS(M1453)*'Progetto del paramento slu'!$G$54,'Progetto del paramento slu'!$G$53)</f>
        <v>0</v>
      </c>
      <c r="H1453" s="553">
        <f>-'Foglio deposito bis'!$F$71*(C1453-sezione!$AO$32)*IF(ABS(N1453)&lt;'Progetto del paramento slu'!$G$58,ABS(N1453)*'Progetto del paramento slu'!$G$54,'Progetto del paramento slu'!$G$53)</f>
        <v>56024417.798120506</v>
      </c>
      <c r="I1453" s="479">
        <f>-'Foglio deposito bis'!$F$72*(C1453-sezione!$AP$32)*IF(ABS(O1453)&lt;'Progetto del paramento slu'!$G$58,ABS(O1453)*'Progetto del paramento slu'!$G$54,'Progetto del paramento slu'!$G$53)</f>
        <v>48202407.784950368</v>
      </c>
      <c r="J1453" s="479">
        <f t="shared" si="108"/>
        <v>-112006817.77652338</v>
      </c>
      <c r="K1453" s="558">
        <f>'Progetto del paramento slu'!$G$60*(sezione!$AL$32-C1453)/C1453</f>
        <v>-2.6356869198378846E-3</v>
      </c>
      <c r="L1453" s="558">
        <f>'Progetto del paramento slu'!$G$60*(sezione!$AM$32-C1453)/C1453</f>
        <v>-2.5882594939206731E-4</v>
      </c>
      <c r="M1453" s="559">
        <f>'Progetto del paramento slu'!$G$60*(sezione!$AN$32-C1453)/C1453</f>
        <v>2.1180350210537502E-3</v>
      </c>
      <c r="N1453" s="559">
        <f>'Progetto del paramento slu'!$G$60*(sezione!$AO$32-C1453)/C1453</f>
        <v>3.8466611813779807E-3</v>
      </c>
      <c r="O1453" s="559">
        <f>'Progetto del paramento slu'!$G$60*(sezione!$AP$32-C1453)/C1453</f>
        <v>2.1181430601887674E-3</v>
      </c>
      <c r="P1453" s="553">
        <f>-'Progetto del paramento slu'!$G$47*'Progetto del paramento slu'!$G$41*IF(DATI!$G$218="dx",DATI!$E$61,DATI!$E$64*DATI!$E$63)*1000*C1453*sezione!$AD$5</f>
        <v>-2283228.896211837</v>
      </c>
      <c r="Q1453" s="553">
        <f>'Foglio deposito bis'!$F$68*IF(ABS(K1453)&lt;'Progetto del paramento slu'!$G$58,ABS(K1453)*'Progetto del paramento slu'!$G$54,'Progetto del paramento slu'!$G$53)*IF(K1453&lt;0,-1,1)</f>
        <v>0</v>
      </c>
      <c r="R1453" s="553">
        <f>'Foglio deposito bis'!$F$69*IF(ABS(L1453)&lt;'Progetto del paramento slu'!$G$58,ABS(L1453)*'Progetto del paramento slu'!$G$54,'Progetto del paramento slu'!$G$53)*IF(L1453&lt;0,-1,1)</f>
        <v>-20937.986805089447</v>
      </c>
      <c r="S1453" s="553">
        <f>'Foglio deposito bis'!$F$70*IF(ABS(M1453)&lt;'Progetto del paramento slu'!$G$58,ABS(M1453)*'Progetto del paramento slu'!$G$54,'Progetto del paramento slu'!$G$53)*IF(M1453&lt;0,-1,1)</f>
        <v>0</v>
      </c>
      <c r="T1453" s="553">
        <f>'Foglio deposito bis'!$F$71*IF(ABS(N1453)&lt;'Progetto del paramento slu'!$G$58,ABS(N1453)*'Progetto del paramento slu'!$G$54,'Progetto del paramento slu'!$G$53)*IF(N1453&lt;0,-1,1)</f>
        <v>314705.62929873407</v>
      </c>
      <c r="U1453" s="553">
        <f>'Foglio deposito bis'!$F$72*IF(ABS(O1453)&lt;'Progetto del paramento slu'!$G$58,ABS(O1453)*'Progetto del paramento slu'!$G$54,'Progetto del paramento slu'!$G$53)*IF(O1453&lt;0,-1,1)</f>
        <v>491727.54577927204</v>
      </c>
      <c r="V1453" s="479">
        <f t="shared" si="110"/>
        <v>-1497733.7079389202</v>
      </c>
      <c r="W1453" s="559"/>
      <c r="X1453" s="559"/>
    </row>
    <row r="1454" spans="1:24" x14ac:dyDescent="0.25">
      <c r="A1454" s="553">
        <f t="shared" si="109"/>
        <v>1561368.2000947027</v>
      </c>
      <c r="B1454" s="3">
        <f t="shared" si="107"/>
        <v>40.899999999999942</v>
      </c>
      <c r="C1454" s="553">
        <f>'Foglio deposito bis'!$E$158/sezione!$B$247*B1454</f>
        <v>166.03794993234081</v>
      </c>
      <c r="D1454" s="611">
        <f>-'Progetto del paramento slu'!$G$47*'Progetto del paramento slu'!$G$41*IF(DATI!$G$218="dx",DATI!$E$61,DATI!$E$64*DATI!$E$63)*1000*C1454^2*sezione!$AD$5*(1-sezione!$AD$6)</f>
        <v>-226944715.31512636</v>
      </c>
      <c r="E1454" s="553">
        <f>-'Foglio deposito bis'!$F$68*(C1454-sezione!$AL$32)*IF(ABS(K1454)&lt;'Progetto del paramento slu'!$G$58,ABS(K1454)*'Progetto del paramento slu'!$G$54,'Progetto del paramento slu'!$G$53)</f>
        <v>0</v>
      </c>
      <c r="F1454" s="553">
        <f>-'Foglio deposito bis'!$F$69*(C1454-sezione!$AM$32)*IF(ABS(L1454)&lt;'Progetto del paramento slu'!$G$58,ABS(L1454)*'Progetto del paramento slu'!$G$54,'Progetto del paramento slu'!$G$53)</f>
        <v>-438617.03481939639</v>
      </c>
      <c r="G1454" s="553">
        <f>-'Foglio deposito bis'!$F$70*(C1454-sezione!$AN$32)*IF(ABS(M1454)&lt;'Progetto del paramento slu'!$G$58,ABS(M1454)*'Progetto del paramento slu'!$G$54,'Progetto del paramento slu'!$G$53)</f>
        <v>0</v>
      </c>
      <c r="H1454" s="553">
        <f>-'Foglio deposito bis'!$F$71*(C1454-sezione!$AO$32)*IF(ABS(N1454)&lt;'Progetto del paramento slu'!$G$58,ABS(N1454)*'Progetto del paramento slu'!$G$54,'Progetto del paramento slu'!$G$53)</f>
        <v>54746836.440640569</v>
      </c>
      <c r="I1454" s="479">
        <f>-'Foglio deposito bis'!$F$72*(C1454-sezione!$AP$32)*IF(ABS(O1454)&lt;'Progetto del paramento slu'!$G$58,ABS(O1454)*'Progetto del paramento slu'!$G$54,'Progetto del paramento slu'!$G$53)</f>
        <v>46206186.91388797</v>
      </c>
      <c r="J1454" s="479">
        <f t="shared" si="108"/>
        <v>-126430308.99541721</v>
      </c>
      <c r="K1454" s="558">
        <f>'Progetto del paramento slu'!$G$60*(sezione!$AL$32-C1454)/C1454</f>
        <v>-2.6568192689861029E-3</v>
      </c>
      <c r="L1454" s="558">
        <f>'Progetto del paramento slu'!$G$60*(sezione!$AM$32-C1454)/C1454</f>
        <v>-3.3807225869788519E-4</v>
      </c>
      <c r="M1454" s="559">
        <f>'Progetto del paramento slu'!$G$60*(sezione!$AN$32-C1454)/C1454</f>
        <v>1.9806747515903325E-3</v>
      </c>
      <c r="N1454" s="559">
        <f>'Progetto del paramento slu'!$G$60*(sezione!$AO$32-C1454)/C1454</f>
        <v>3.6670362136181273E-3</v>
      </c>
      <c r="O1454" s="559">
        <f>'Progetto del paramento slu'!$G$60*(sezione!$AP$32-C1454)/C1454</f>
        <v>1.9807801491817066E-3</v>
      </c>
      <c r="P1454" s="553">
        <f>-'Progetto del paramento slu'!$G$47*'Progetto del paramento slu'!$G$41*IF(DATI!$G$218="dx",DATI!$E$61,DATI!$E$64*DATI!$E$63)*1000*C1454*sezione!$AD$5</f>
        <v>-2340452.6780717834</v>
      </c>
      <c r="Q1454" s="553">
        <f>'Foglio deposito bis'!$F$68*IF(ABS(K1454)&lt;'Progetto del paramento slu'!$G$58,ABS(K1454)*'Progetto del paramento slu'!$G$54,'Progetto del paramento slu'!$G$53)*IF(K1454&lt;0,-1,1)</f>
        <v>0</v>
      </c>
      <c r="R1454" s="553">
        <f>'Foglio deposito bis'!$F$69*IF(ABS(L1454)&lt;'Progetto del paramento slu'!$G$58,ABS(L1454)*'Progetto del paramento slu'!$G$54,'Progetto del paramento slu'!$G$53)*IF(L1454&lt;0,-1,1)</f>
        <v>-27348.697100925438</v>
      </c>
      <c r="S1454" s="553">
        <f>'Foglio deposito bis'!$F$70*IF(ABS(M1454)&lt;'Progetto del paramento slu'!$G$58,ABS(M1454)*'Progetto del paramento slu'!$G$54,'Progetto del paramento slu'!$G$53)*IF(M1454&lt;0,-1,1)</f>
        <v>0</v>
      </c>
      <c r="T1454" s="553">
        <f>'Foglio deposito bis'!$F$71*IF(ABS(N1454)&lt;'Progetto del paramento slu'!$G$58,ABS(N1454)*'Progetto del paramento slu'!$G$54,'Progetto del paramento slu'!$G$53)*IF(N1454&lt;0,-1,1)</f>
        <v>314705.62929873407</v>
      </c>
      <c r="U1454" s="553">
        <f>'Foglio deposito bis'!$F$72*IF(ABS(O1454)&lt;'Progetto del paramento slu'!$G$58,ABS(O1454)*'Progetto del paramento slu'!$G$54,'Progetto del paramento slu'!$G$53)*IF(O1454&lt;0,-1,1)</f>
        <v>491727.54577927204</v>
      </c>
      <c r="V1454" s="479">
        <f t="shared" si="110"/>
        <v>-1561368.2000947027</v>
      </c>
      <c r="W1454" s="559"/>
      <c r="X1454" s="559"/>
    </row>
    <row r="1455" spans="1:24" x14ac:dyDescent="0.25">
      <c r="A1455" s="553">
        <f t="shared" si="109"/>
        <v>1637526.5994092571</v>
      </c>
      <c r="B1455" s="3">
        <f t="shared" si="107"/>
        <v>41.899999999999942</v>
      </c>
      <c r="C1455" s="553">
        <f>'Foglio deposito bis'!$E$158/sezione!$B$247*B1455</f>
        <v>170.09755751014865</v>
      </c>
      <c r="D1455" s="611">
        <f>-'Progetto del paramento slu'!$G$47*'Progetto del paramento slu'!$G$41*IF(DATI!$G$218="dx",DATI!$E$61,DATI!$E$64*DATI!$E$63)*1000*C1455^2*sezione!$AD$5*(1-sezione!$AD$6)</f>
        <v>-238177923.16783673</v>
      </c>
      <c r="E1455" s="553">
        <f>-'Foglio deposito bis'!$F$68*(C1455-sezione!$AL$32)*IF(ABS(K1455)&lt;'Progetto del paramento slu'!$G$58,ABS(K1455)*'Progetto del paramento slu'!$G$54,'Progetto del paramento slu'!$G$53)</f>
        <v>0</v>
      </c>
      <c r="F1455" s="553">
        <f>-'Foglio deposito bis'!$F$69*(C1455-sezione!$AM$32)*IF(ABS(L1455)&lt;'Progetto del paramento slu'!$G$58,ABS(L1455)*'Progetto del paramento slu'!$G$54,'Progetto del paramento slu'!$G$53)</f>
        <v>-672331.76918993937</v>
      </c>
      <c r="G1455" s="553">
        <f>-'Foglio deposito bis'!$F$70*(C1455-sezione!$AN$32)*IF(ABS(M1455)&lt;'Progetto del paramento slu'!$G$58,ABS(M1455)*'Progetto del paramento slu'!$G$54,'Progetto del paramento slu'!$G$53)</f>
        <v>0</v>
      </c>
      <c r="H1455" s="553">
        <f>-'Foglio deposito bis'!$F$71*(C1455-sezione!$AO$32)*IF(ABS(N1455)&lt;'Progetto del paramento slu'!$G$58,ABS(N1455)*'Progetto del paramento slu'!$G$54,'Progetto del paramento slu'!$G$53)</f>
        <v>53469255.083160646</v>
      </c>
      <c r="I1455" s="479">
        <f>-'Foglio deposito bis'!$F$72*(C1455-sezione!$AP$32)*IF(ABS(O1455)&lt;'Progetto del paramento slu'!$G$58,ABS(O1455)*'Progetto del paramento slu'!$G$54,'Progetto del paramento slu'!$G$53)</f>
        <v>43056461.85861332</v>
      </c>
      <c r="J1455" s="479">
        <f t="shared" si="108"/>
        <v>-142324537.99525273</v>
      </c>
      <c r="K1455" s="558">
        <f>'Progetto del paramento slu'!$G$60*(sezione!$AL$32-C1455)/C1455</f>
        <v>-2.6769429141176994E-3</v>
      </c>
      <c r="L1455" s="558">
        <f>'Progetto del paramento slu'!$G$60*(sezione!$AM$32-C1455)/C1455</f>
        <v>-4.1353592794137226E-4</v>
      </c>
      <c r="M1455" s="559">
        <f>'Progetto del paramento slu'!$G$60*(sezione!$AN$32-C1455)/C1455</f>
        <v>1.8498710582349547E-3</v>
      </c>
      <c r="N1455" s="559">
        <f>'Progetto del paramento slu'!$G$60*(sezione!$AO$32-C1455)/C1455</f>
        <v>3.4959852299995564E-3</v>
      </c>
      <c r="O1455" s="559">
        <f>'Progetto del paramento slu'!$G$60*(sezione!$AP$32-C1455)/C1455</f>
        <v>1.8499739403706878E-3</v>
      </c>
      <c r="P1455" s="553">
        <f>-'Progetto del paramento slu'!$G$47*'Progetto del paramento slu'!$G$41*IF(DATI!$G$218="dx",DATI!$E$61,DATI!$E$64*DATI!$E$63)*1000*C1455*sezione!$AD$5</f>
        <v>-2397676.4599317294</v>
      </c>
      <c r="Q1455" s="553">
        <f>'Foglio deposito bis'!$F$68*IF(ABS(K1455)&lt;'Progetto del paramento slu'!$G$58,ABS(K1455)*'Progetto del paramento slu'!$G$54,'Progetto del paramento slu'!$G$53)*IF(K1455&lt;0,-1,1)</f>
        <v>0</v>
      </c>
      <c r="R1455" s="553">
        <f>'Foglio deposito bis'!$F$69*IF(ABS(L1455)&lt;'Progetto del paramento slu'!$G$58,ABS(L1455)*'Progetto del paramento slu'!$G$54,'Progetto del paramento slu'!$G$53)*IF(L1455&lt;0,-1,1)</f>
        <v>-33453.406905313372</v>
      </c>
      <c r="S1455" s="553">
        <f>'Foglio deposito bis'!$F$70*IF(ABS(M1455)&lt;'Progetto del paramento slu'!$G$58,ABS(M1455)*'Progetto del paramento slu'!$G$54,'Progetto del paramento slu'!$G$53)*IF(M1455&lt;0,-1,1)</f>
        <v>0</v>
      </c>
      <c r="T1455" s="553">
        <f>'Foglio deposito bis'!$F$71*IF(ABS(N1455)&lt;'Progetto del paramento slu'!$G$58,ABS(N1455)*'Progetto del paramento slu'!$G$54,'Progetto del paramento slu'!$G$53)*IF(N1455&lt;0,-1,1)</f>
        <v>314705.62929873407</v>
      </c>
      <c r="U1455" s="553">
        <f>'Foglio deposito bis'!$F$72*IF(ABS(O1455)&lt;'Progetto del paramento slu'!$G$58,ABS(O1455)*'Progetto del paramento slu'!$G$54,'Progetto del paramento slu'!$G$53)*IF(O1455&lt;0,-1,1)</f>
        <v>478897.63812905189</v>
      </c>
      <c r="V1455" s="479">
        <f t="shared" si="110"/>
        <v>-1637526.5994092571</v>
      </c>
      <c r="W1455" s="559"/>
      <c r="X1455" s="559"/>
    </row>
    <row r="1456" spans="1:24" x14ac:dyDescent="0.25">
      <c r="A1456" s="553">
        <f t="shared" si="109"/>
        <v>1732853.3087849091</v>
      </c>
      <c r="B1456" s="3">
        <f t="shared" si="107"/>
        <v>42.899999999999942</v>
      </c>
      <c r="C1456" s="553">
        <f>'Foglio deposito bis'!$E$158/sezione!$B$247*B1456</f>
        <v>174.15716508795649</v>
      </c>
      <c r="D1456" s="611">
        <f>-'Progetto del paramento slu'!$G$47*'Progetto del paramento slu'!$G$41*IF(DATI!$G$218="dx",DATI!$E$61,DATI!$E$64*DATI!$E$63)*1000*C1456^2*sezione!$AD$5*(1-sezione!$AD$6)</f>
        <v>-249682464.5435594</v>
      </c>
      <c r="E1456" s="553">
        <f>-'Foglio deposito bis'!$F$68*(C1456-sezione!$AL$32)*IF(ABS(K1456)&lt;'Progetto del paramento slu'!$G$58,ABS(K1456)*'Progetto del paramento slu'!$G$54,'Progetto del paramento slu'!$G$53)</f>
        <v>0</v>
      </c>
      <c r="F1456" s="553">
        <f>-'Foglio deposito bis'!$F$69*(C1456-sezione!$AM$32)*IF(ABS(L1456)&lt;'Progetto del paramento slu'!$G$58,ABS(L1456)*'Progetto del paramento slu'!$G$54,'Progetto del paramento slu'!$G$53)</f>
        <v>-948736.78191284544</v>
      </c>
      <c r="G1456" s="553">
        <f>-'Foglio deposito bis'!$F$70*(C1456-sezione!$AN$32)*IF(ABS(M1456)&lt;'Progetto del paramento slu'!$G$58,ABS(M1456)*'Progetto del paramento slu'!$G$54,'Progetto del paramento slu'!$G$53)</f>
        <v>0</v>
      </c>
      <c r="H1456" s="553">
        <f>-'Foglio deposito bis'!$F$71*(C1456-sezione!$AO$32)*IF(ABS(N1456)&lt;'Progetto del paramento slu'!$G$58,ABS(N1456)*'Progetto del paramento slu'!$G$54,'Progetto del paramento slu'!$G$53)</f>
        <v>52191673.725680716</v>
      </c>
      <c r="I1456" s="479">
        <f>-'Foglio deposito bis'!$F$72*(C1456-sezione!$AP$32)*IF(ABS(O1456)&lt;'Progetto del paramento slu'!$G$58,ABS(O1456)*'Progetto del paramento slu'!$G$54,'Progetto del paramento slu'!$G$53)</f>
        <v>38340915.213187143</v>
      </c>
      <c r="J1456" s="479">
        <f t="shared" si="108"/>
        <v>-160098612.38660437</v>
      </c>
      <c r="K1456" s="558">
        <f>'Progetto del paramento slu'!$G$60*(sezione!$AL$32-C1456)/C1456</f>
        <v>-2.6961283939750955E-3</v>
      </c>
      <c r="L1456" s="558">
        <f>'Progetto del paramento slu'!$G$60*(sezione!$AM$32-C1456)/C1456</f>
        <v>-4.8548147740660834E-4</v>
      </c>
      <c r="M1456" s="559">
        <f>'Progetto del paramento slu'!$G$60*(sezione!$AN$32-C1456)/C1456</f>
        <v>1.725165439161879E-3</v>
      </c>
      <c r="N1456" s="559">
        <f>'Progetto del paramento slu'!$G$60*(sezione!$AO$32-C1456)/C1456</f>
        <v>3.3329086512116878E-3</v>
      </c>
      <c r="O1456" s="559">
        <f>'Progetto del paramento slu'!$G$60*(sezione!$AP$32-C1456)/C1456</f>
        <v>1.7252659231126297E-3</v>
      </c>
      <c r="P1456" s="553">
        <f>-'Progetto del paramento slu'!$G$47*'Progetto del paramento slu'!$G$41*IF(DATI!$G$218="dx",DATI!$E$61,DATI!$E$64*DATI!$E$63)*1000*C1456*sezione!$AD$5</f>
        <v>-2454900.2417916749</v>
      </c>
      <c r="Q1456" s="553">
        <f>'Foglio deposito bis'!$F$68*IF(ABS(K1456)&lt;'Progetto del paramento slu'!$G$58,ABS(K1456)*'Progetto del paramento slu'!$G$54,'Progetto del paramento slu'!$G$53)*IF(K1456&lt;0,-1,1)</f>
        <v>0</v>
      </c>
      <c r="R1456" s="553">
        <f>'Foglio deposito bis'!$F$69*IF(ABS(L1456)&lt;'Progetto del paramento slu'!$G$58,ABS(L1456)*'Progetto del paramento slu'!$G$54,'Progetto del paramento slu'!$G$53)*IF(L1456&lt;0,-1,1)</f>
        <v>-39273.514854018882</v>
      </c>
      <c r="S1456" s="553">
        <f>'Foglio deposito bis'!$F$70*IF(ABS(M1456)&lt;'Progetto del paramento slu'!$G$58,ABS(M1456)*'Progetto del paramento slu'!$G$54,'Progetto del paramento slu'!$G$53)*IF(M1456&lt;0,-1,1)</f>
        <v>0</v>
      </c>
      <c r="T1456" s="553">
        <f>'Foglio deposito bis'!$F$71*IF(ABS(N1456)&lt;'Progetto del paramento slu'!$G$58,ABS(N1456)*'Progetto del paramento slu'!$G$54,'Progetto del paramento slu'!$G$53)*IF(N1456&lt;0,-1,1)</f>
        <v>314705.62929873407</v>
      </c>
      <c r="U1456" s="553">
        <f>'Foglio deposito bis'!$F$72*IF(ABS(O1456)&lt;'Progetto del paramento slu'!$G$58,ABS(O1456)*'Progetto del paramento slu'!$G$54,'Progetto del paramento slu'!$G$53)*IF(O1456&lt;0,-1,1)</f>
        <v>446614.8185620507</v>
      </c>
      <c r="V1456" s="479">
        <f t="shared" si="110"/>
        <v>-1732853.3087849091</v>
      </c>
      <c r="W1456" s="559"/>
      <c r="X1456" s="559"/>
    </row>
    <row r="1457" spans="1:24" x14ac:dyDescent="0.25">
      <c r="A1457" s="553">
        <f t="shared" si="109"/>
        <v>1826444.1216905983</v>
      </c>
      <c r="B1457" s="3">
        <f t="shared" si="107"/>
        <v>43.899999999999942</v>
      </c>
      <c r="C1457" s="553">
        <f>'Foglio deposito bis'!$E$158/sezione!$B$247*B1457</f>
        <v>178.21677266576435</v>
      </c>
      <c r="D1457" s="611">
        <f>-'Progetto del paramento slu'!$G$47*'Progetto del paramento slu'!$G$41*IF(DATI!$G$218="dx",DATI!$E$61,DATI!$E$64*DATI!$E$63)*1000*C1457^2*sezione!$AD$5*(1-sezione!$AD$6)</f>
        <v>-261458339.44229457</v>
      </c>
      <c r="E1457" s="553">
        <f>-'Foglio deposito bis'!$F$68*(C1457-sezione!$AL$32)*IF(ABS(K1457)&lt;'Progetto del paramento slu'!$G$58,ABS(K1457)*'Progetto del paramento slu'!$G$54,'Progetto del paramento slu'!$G$53)</f>
        <v>0</v>
      </c>
      <c r="F1457" s="553">
        <f>-'Foglio deposito bis'!$F$69*(C1457-sezione!$AM$32)*IF(ABS(L1457)&lt;'Progetto del paramento slu'!$G$58,ABS(L1457)*'Progetto del paramento slu'!$G$54,'Progetto del paramento slu'!$G$53)</f>
        <v>-1264914.7418934223</v>
      </c>
      <c r="G1457" s="553">
        <f>-'Foglio deposito bis'!$F$70*(C1457-sezione!$AN$32)*IF(ABS(M1457)&lt;'Progetto del paramento slu'!$G$58,ABS(M1457)*'Progetto del paramento slu'!$G$54,'Progetto del paramento slu'!$G$53)</f>
        <v>0</v>
      </c>
      <c r="H1457" s="553">
        <f>-'Foglio deposito bis'!$F$71*(C1457-sezione!$AO$32)*IF(ABS(N1457)&lt;'Progetto del paramento slu'!$G$58,ABS(N1457)*'Progetto del paramento slu'!$G$54,'Progetto del paramento slu'!$G$53)</f>
        <v>50914092.368200786</v>
      </c>
      <c r="I1457" s="479">
        <f>-'Foglio deposito bis'!$F$72*(C1457-sezione!$AP$32)*IF(ABS(O1457)&lt;'Progetto del paramento slu'!$G$58,ABS(O1457)*'Progetto del paramento slu'!$G$54,'Progetto del paramento slu'!$G$53)</f>
        <v>34007769.228422366</v>
      </c>
      <c r="J1457" s="479">
        <f t="shared" si="108"/>
        <v>-177801392.58756483</v>
      </c>
      <c r="K1457" s="558">
        <f>'Progetto del paramento slu'!$G$60*(sezione!$AL$32-C1457)/C1457</f>
        <v>-2.7144398200804466E-3</v>
      </c>
      <c r="L1457" s="558">
        <f>'Progetto del paramento slu'!$G$60*(sezione!$AM$32-C1457)/C1457</f>
        <v>-5.5414932530167458E-4</v>
      </c>
      <c r="M1457" s="559">
        <f>'Progetto del paramento slu'!$G$60*(sezione!$AN$32-C1457)/C1457</f>
        <v>1.6061411694770975E-3</v>
      </c>
      <c r="N1457" s="559">
        <f>'Progetto del paramento slu'!$G$60*(sezione!$AO$32-C1457)/C1457</f>
        <v>3.1772615293162039E-3</v>
      </c>
      <c r="O1457" s="559">
        <f>'Progetto del paramento slu'!$G$60*(sezione!$AP$32-C1457)/C1457</f>
        <v>1.6062393644995852E-3</v>
      </c>
      <c r="P1457" s="553">
        <f>-'Progetto del paramento slu'!$G$47*'Progetto del paramento slu'!$G$41*IF(DATI!$G$218="dx",DATI!$E$61,DATI!$E$64*DATI!$E$63)*1000*C1457*sezione!$AD$5</f>
        <v>-2512124.0236516213</v>
      </c>
      <c r="Q1457" s="553">
        <f>'Foglio deposito bis'!$F$68*IF(ABS(K1457)&lt;'Progetto del paramento slu'!$G$58,ABS(K1457)*'Progetto del paramento slu'!$G$54,'Progetto del paramento slu'!$G$53)*IF(K1457&lt;0,-1,1)</f>
        <v>0</v>
      </c>
      <c r="R1457" s="553">
        <f>'Foglio deposito bis'!$F$69*IF(ABS(L1457)&lt;'Progetto del paramento slu'!$G$58,ABS(L1457)*'Progetto del paramento slu'!$G$54,'Progetto del paramento slu'!$G$53)*IF(L1457&lt;0,-1,1)</f>
        <v>-44828.469821006642</v>
      </c>
      <c r="S1457" s="553">
        <f>'Foglio deposito bis'!$F$70*IF(ABS(M1457)&lt;'Progetto del paramento slu'!$G$58,ABS(M1457)*'Progetto del paramento slu'!$G$54,'Progetto del paramento slu'!$G$53)*IF(M1457&lt;0,-1,1)</f>
        <v>0</v>
      </c>
      <c r="T1457" s="553">
        <f>'Foglio deposito bis'!$F$71*IF(ABS(N1457)&lt;'Progetto del paramento slu'!$G$58,ABS(N1457)*'Progetto del paramento slu'!$G$54,'Progetto del paramento slu'!$G$53)*IF(N1457&lt;0,-1,1)</f>
        <v>314705.62929873407</v>
      </c>
      <c r="U1457" s="553">
        <f>'Foglio deposito bis'!$F$72*IF(ABS(O1457)&lt;'Progetto del paramento slu'!$G$58,ABS(O1457)*'Progetto del paramento slu'!$G$54,'Progetto del paramento slu'!$G$53)*IF(O1457&lt;0,-1,1)</f>
        <v>415802.74248329556</v>
      </c>
      <c r="V1457" s="479">
        <f t="shared" si="110"/>
        <v>-1826444.1216905983</v>
      </c>
      <c r="W1457" s="559"/>
      <c r="X1457" s="559"/>
    </row>
    <row r="1458" spans="1:24" x14ac:dyDescent="0.25">
      <c r="A1458" s="553">
        <f t="shared" si="109"/>
        <v>1918415.0223002625</v>
      </c>
      <c r="B1458" s="3">
        <f t="shared" si="107"/>
        <v>44.899999999999942</v>
      </c>
      <c r="C1458" s="553">
        <f>'Foglio deposito bis'!$E$158/sezione!$B$247*B1458</f>
        <v>182.27638024357219</v>
      </c>
      <c r="D1458" s="611">
        <f>-'Progetto del paramento slu'!$G$47*'Progetto del paramento slu'!$G$41*IF(DATI!$G$218="dx",DATI!$E$61,DATI!$E$64*DATI!$E$63)*1000*C1458^2*sezione!$AD$5*(1-sezione!$AD$6)</f>
        <v>-273505547.86404186</v>
      </c>
      <c r="E1458" s="553">
        <f>-'Foglio deposito bis'!$F$68*(C1458-sezione!$AL$32)*IF(ABS(K1458)&lt;'Progetto del paramento slu'!$G$58,ABS(K1458)*'Progetto del paramento slu'!$G$54,'Progetto del paramento slu'!$G$53)</f>
        <v>0</v>
      </c>
      <c r="F1458" s="553">
        <f>-'Foglio deposito bis'!$F$69*(C1458-sezione!$AM$32)*IF(ABS(L1458)&lt;'Progetto del paramento slu'!$G$58,ABS(L1458)*'Progetto del paramento slu'!$G$54,'Progetto del paramento slu'!$G$53)</f>
        <v>-1618208.2139028686</v>
      </c>
      <c r="G1458" s="553">
        <f>-'Foglio deposito bis'!$F$70*(C1458-sezione!$AN$32)*IF(ABS(M1458)&lt;'Progetto del paramento slu'!$G$58,ABS(M1458)*'Progetto del paramento slu'!$G$54,'Progetto del paramento slu'!$G$53)</f>
        <v>0</v>
      </c>
      <c r="H1458" s="553">
        <f>-'Foglio deposito bis'!$F$71*(C1458-sezione!$AO$32)*IF(ABS(N1458)&lt;'Progetto del paramento slu'!$G$58,ABS(N1458)*'Progetto del paramento slu'!$G$54,'Progetto del paramento slu'!$G$53)</f>
        <v>49636511.010720864</v>
      </c>
      <c r="I1458" s="479">
        <f>-'Foglio deposito bis'!$F$72*(C1458-sezione!$AP$32)*IF(ABS(O1458)&lt;'Progetto del paramento slu'!$G$58,ABS(O1458)*'Progetto del paramento slu'!$G$54,'Progetto del paramento slu'!$G$53)</f>
        <v>30031473.748818267</v>
      </c>
      <c r="J1458" s="479">
        <f t="shared" si="108"/>
        <v>-195455771.31840563</v>
      </c>
      <c r="K1458" s="558">
        <f>'Progetto del paramento slu'!$G$60*(sezione!$AL$32-C1458)/C1458</f>
        <v>-2.7319355924617281E-3</v>
      </c>
      <c r="L1458" s="558">
        <f>'Progetto del paramento slu'!$G$60*(sezione!$AM$32-C1458)/C1458</f>
        <v>-6.1975847173148134E-4</v>
      </c>
      <c r="M1458" s="559">
        <f>'Progetto del paramento slu'!$G$60*(sezione!$AN$32-C1458)/C1458</f>
        <v>1.4924186489987659E-3</v>
      </c>
      <c r="N1458" s="559">
        <f>'Progetto del paramento slu'!$G$60*(sezione!$AO$32-C1458)/C1458</f>
        <v>3.0285474640753094E-3</v>
      </c>
      <c r="O1458" s="559">
        <f>'Progetto del paramento slu'!$G$60*(sezione!$AP$32-C1458)/C1458</f>
        <v>1.4925146570497058E-3</v>
      </c>
      <c r="P1458" s="553">
        <f>-'Progetto del paramento slu'!$G$47*'Progetto del paramento slu'!$G$41*IF(DATI!$G$218="dx",DATI!$E$61,DATI!$E$64*DATI!$E$63)*1000*C1458*sezione!$AD$5</f>
        <v>-2569347.8055115668</v>
      </c>
      <c r="Q1458" s="553">
        <f>'Foglio deposito bis'!$F$68*IF(ABS(K1458)&lt;'Progetto del paramento slu'!$G$58,ABS(K1458)*'Progetto del paramento slu'!$G$54,'Progetto del paramento slu'!$G$53)*IF(K1458&lt;0,-1,1)</f>
        <v>0</v>
      </c>
      <c r="R1458" s="553">
        <f>'Foglio deposito bis'!$F$69*IF(ABS(L1458)&lt;'Progetto del paramento slu'!$G$58,ABS(L1458)*'Progetto del paramento slu'!$G$54,'Progetto del paramento slu'!$G$53)*IF(L1458&lt;0,-1,1)</f>
        <v>-50135.988041135221</v>
      </c>
      <c r="S1458" s="553">
        <f>'Foglio deposito bis'!$F$70*IF(ABS(M1458)&lt;'Progetto del paramento slu'!$G$58,ABS(M1458)*'Progetto del paramento slu'!$G$54,'Progetto del paramento slu'!$G$53)*IF(M1458&lt;0,-1,1)</f>
        <v>0</v>
      </c>
      <c r="T1458" s="553">
        <f>'Foglio deposito bis'!$F$71*IF(ABS(N1458)&lt;'Progetto del paramento slu'!$G$58,ABS(N1458)*'Progetto del paramento slu'!$G$54,'Progetto del paramento slu'!$G$53)*IF(N1458&lt;0,-1,1)</f>
        <v>314705.62929873407</v>
      </c>
      <c r="U1458" s="553">
        <f>'Foglio deposito bis'!$F$72*IF(ABS(O1458)&lt;'Progetto del paramento slu'!$G$58,ABS(O1458)*'Progetto del paramento slu'!$G$54,'Progetto del paramento slu'!$G$53)*IF(O1458&lt;0,-1,1)</f>
        <v>386363.14195370546</v>
      </c>
      <c r="V1458" s="479">
        <f t="shared" si="110"/>
        <v>-1918415.0223002625</v>
      </c>
      <c r="W1458" s="559"/>
      <c r="X1458" s="559"/>
    </row>
    <row r="1459" spans="1:24" x14ac:dyDescent="0.25">
      <c r="A1459" s="553">
        <f t="shared" si="109"/>
        <v>2008871.8872345584</v>
      </c>
      <c r="B1459" s="3">
        <f t="shared" si="107"/>
        <v>45.899999999999942</v>
      </c>
      <c r="C1459" s="553">
        <f>'Foglio deposito bis'!$E$158/sezione!$B$247*B1459</f>
        <v>186.33598782138006</v>
      </c>
      <c r="D1459" s="611">
        <f>-'Progetto del paramento slu'!$G$47*'Progetto del paramento slu'!$G$41*IF(DATI!$G$218="dx",DATI!$E$61,DATI!$E$64*DATI!$E$63)*1000*C1459^2*sezione!$AD$5*(1-sezione!$AD$6)</f>
        <v>-285824089.80880171</v>
      </c>
      <c r="E1459" s="553">
        <f>-'Foglio deposito bis'!$F$68*(C1459-sezione!$AL$32)*IF(ABS(K1459)&lt;'Progetto del paramento slu'!$G$58,ABS(K1459)*'Progetto del paramento slu'!$G$54,'Progetto del paramento slu'!$G$53)</f>
        <v>0</v>
      </c>
      <c r="F1459" s="553">
        <f>-'Foglio deposito bis'!$F$69*(C1459-sezione!$AM$32)*IF(ABS(L1459)&lt;'Progetto del paramento slu'!$G$58,ABS(L1459)*'Progetto del paramento slu'!$G$54,'Progetto del paramento slu'!$G$53)</f>
        <v>-2006191.3474817851</v>
      </c>
      <c r="G1459" s="553">
        <f>-'Foglio deposito bis'!$F$70*(C1459-sezione!$AN$32)*IF(ABS(M1459)&lt;'Progetto del paramento slu'!$G$58,ABS(M1459)*'Progetto del paramento slu'!$G$54,'Progetto del paramento slu'!$G$53)</f>
        <v>0</v>
      </c>
      <c r="H1459" s="553">
        <f>-'Foglio deposito bis'!$F$71*(C1459-sezione!$AO$32)*IF(ABS(N1459)&lt;'Progetto del paramento slu'!$G$58,ABS(N1459)*'Progetto del paramento slu'!$G$54,'Progetto del paramento slu'!$G$53)</f>
        <v>48358929.653240927</v>
      </c>
      <c r="I1459" s="479">
        <f>-'Foglio deposito bis'!$F$72*(C1459-sezione!$AP$32)*IF(ABS(O1459)&lt;'Progetto del paramento slu'!$G$58,ABS(O1459)*'Progetto del paramento slu'!$G$54,'Progetto del paramento slu'!$G$53)</f>
        <v>26388705.211946007</v>
      </c>
      <c r="J1459" s="479">
        <f t="shared" si="108"/>
        <v>-213082646.29109657</v>
      </c>
      <c r="K1459" s="558">
        <f>'Progetto del paramento slu'!$G$60*(sezione!$AL$32-C1459)/C1459</f>
        <v>-2.748669021819861E-3</v>
      </c>
      <c r="L1459" s="558">
        <f>'Progetto del paramento slu'!$G$60*(sezione!$AM$32-C1459)/C1459</f>
        <v>-6.8250883182447764E-4</v>
      </c>
      <c r="M1459" s="559">
        <f>'Progetto del paramento slu'!$G$60*(sezione!$AN$32-C1459)/C1459</f>
        <v>1.3836513581709053E-3</v>
      </c>
      <c r="N1459" s="559">
        <f>'Progetto del paramento slu'!$G$60*(sezione!$AO$32-C1459)/C1459</f>
        <v>2.8863133145311838E-3</v>
      </c>
      <c r="O1459" s="559">
        <f>'Progetto del paramento slu'!$G$60*(sezione!$AP$32-C1459)/C1459</f>
        <v>1.3837452745431758E-3</v>
      </c>
      <c r="P1459" s="553">
        <f>-'Progetto del paramento slu'!$G$47*'Progetto del paramento slu'!$G$41*IF(DATI!$G$218="dx",DATI!$E$61,DATI!$E$64*DATI!$E$63)*1000*C1459*sezione!$AD$5</f>
        <v>-2626571.5873715128</v>
      </c>
      <c r="Q1459" s="553">
        <f>'Foglio deposito bis'!$F$68*IF(ABS(K1459)&lt;'Progetto del paramento slu'!$G$58,ABS(K1459)*'Progetto del paramento slu'!$G$54,'Progetto del paramento slu'!$G$53)*IF(K1459&lt;0,-1,1)</f>
        <v>0</v>
      </c>
      <c r="R1459" s="553">
        <f>'Foglio deposito bis'!$F$69*IF(ABS(L1459)&lt;'Progetto del paramento slu'!$G$58,ABS(L1459)*'Progetto del paramento slu'!$G$54,'Progetto del paramento slu'!$G$53)*IF(L1459&lt;0,-1,1)</f>
        <v>-55212.24185080071</v>
      </c>
      <c r="S1459" s="553">
        <f>'Foglio deposito bis'!$F$70*IF(ABS(M1459)&lt;'Progetto del paramento slu'!$G$58,ABS(M1459)*'Progetto del paramento slu'!$G$54,'Progetto del paramento slu'!$G$53)*IF(M1459&lt;0,-1,1)</f>
        <v>0</v>
      </c>
      <c r="T1459" s="553">
        <f>'Foglio deposito bis'!$F$71*IF(ABS(N1459)&lt;'Progetto del paramento slu'!$G$58,ABS(N1459)*'Progetto del paramento slu'!$G$54,'Progetto del paramento slu'!$G$53)*IF(N1459&lt;0,-1,1)</f>
        <v>314705.62929873407</v>
      </c>
      <c r="U1459" s="553">
        <f>'Foglio deposito bis'!$F$72*IF(ABS(O1459)&lt;'Progetto del paramento slu'!$G$58,ABS(O1459)*'Progetto del paramento slu'!$G$54,'Progetto del paramento slu'!$G$53)*IF(O1459&lt;0,-1,1)</f>
        <v>358206.31268902123</v>
      </c>
      <c r="V1459" s="479">
        <f t="shared" si="110"/>
        <v>-2008871.8872345584</v>
      </c>
      <c r="W1459" s="559"/>
      <c r="X1459" s="559"/>
    </row>
    <row r="1460" spans="1:24" x14ac:dyDescent="0.25">
      <c r="A1460" s="553">
        <f t="shared" si="109"/>
        <v>2097911.5631251717</v>
      </c>
      <c r="B1460" s="3">
        <f t="shared" si="107"/>
        <v>46.899999999999942</v>
      </c>
      <c r="C1460" s="553">
        <f>'Foglio deposito bis'!$E$158/sezione!$B$247*B1460</f>
        <v>190.3955953991879</v>
      </c>
      <c r="D1460" s="611">
        <f>-'Progetto del paramento slu'!$G$47*'Progetto del paramento slu'!$G$41*IF(DATI!$G$218="dx",DATI!$E$61,DATI!$E$64*DATI!$E$63)*1000*C1460^2*sezione!$AD$5*(1-sezione!$AD$6)</f>
        <v>-298413965.27657366</v>
      </c>
      <c r="E1460" s="553">
        <f>-'Foglio deposito bis'!$F$68*(C1460-sezione!$AL$32)*IF(ABS(K1460)&lt;'Progetto del paramento slu'!$G$58,ABS(K1460)*'Progetto del paramento slu'!$G$54,'Progetto del paramento slu'!$G$53)</f>
        <v>0</v>
      </c>
      <c r="F1460" s="553">
        <f>-'Foglio deposito bis'!$F$69*(C1460-sezione!$AM$32)*IF(ABS(L1460)&lt;'Progetto del paramento slu'!$G$58,ABS(L1460)*'Progetto del paramento slu'!$G$54,'Progetto del paramento slu'!$G$53)</f>
        <v>-2426645.1877323329</v>
      </c>
      <c r="G1460" s="553">
        <f>-'Foglio deposito bis'!$F$70*(C1460-sezione!$AN$32)*IF(ABS(M1460)&lt;'Progetto del paramento slu'!$G$58,ABS(M1460)*'Progetto del paramento slu'!$G$54,'Progetto del paramento slu'!$G$53)</f>
        <v>0</v>
      </c>
      <c r="H1460" s="553">
        <f>-'Foglio deposito bis'!$F$71*(C1460-sezione!$AO$32)*IF(ABS(N1460)&lt;'Progetto del paramento slu'!$G$58,ABS(N1460)*'Progetto del paramento slu'!$G$54,'Progetto del paramento slu'!$G$53)</f>
        <v>47081348.295761004</v>
      </c>
      <c r="I1460" s="479">
        <f>-'Foglio deposito bis'!$F$72*(C1460-sezione!$AP$32)*IF(ABS(O1460)&lt;'Progetto del paramento slu'!$G$58,ABS(O1460)*'Progetto del paramento slu'!$G$54,'Progetto del paramento slu'!$G$53)</f>
        <v>23058129.271788657</v>
      </c>
      <c r="J1460" s="479">
        <f t="shared" si="108"/>
        <v>-230701132.89675635</v>
      </c>
      <c r="K1460" s="558">
        <f>'Progetto del paramento slu'!$G$60*(sezione!$AL$32-C1460)/C1460</f>
        <v>-2.7646888721008876E-3</v>
      </c>
      <c r="L1460" s="558">
        <f>'Progetto del paramento slu'!$G$60*(sezione!$AM$32-C1460)/C1460</f>
        <v>-7.4258327037832661E-4</v>
      </c>
      <c r="M1460" s="559">
        <f>'Progetto del paramento slu'!$G$60*(sezione!$AN$32-C1460)/C1460</f>
        <v>1.2795223313442339E-3</v>
      </c>
      <c r="N1460" s="559">
        <f>'Progetto del paramento slu'!$G$60*(sezione!$AO$32-C1460)/C1460</f>
        <v>2.7501445871424596E-3</v>
      </c>
      <c r="O1460" s="559">
        <f>'Progetto del paramento slu'!$G$60*(sezione!$AP$32-C1460)/C1460</f>
        <v>1.2796142452352189E-3</v>
      </c>
      <c r="P1460" s="553">
        <f>-'Progetto del paramento slu'!$G$47*'Progetto del paramento slu'!$G$41*IF(DATI!$G$218="dx",DATI!$E$61,DATI!$E$64*DATI!$E$63)*1000*C1460*sezione!$AD$5</f>
        <v>-2683795.3692314588</v>
      </c>
      <c r="Q1460" s="553">
        <f>'Foglio deposito bis'!$F$68*IF(ABS(K1460)&lt;'Progetto del paramento slu'!$G$58,ABS(K1460)*'Progetto del paramento slu'!$G$54,'Progetto del paramento slu'!$G$53)*IF(K1460&lt;0,-1,1)</f>
        <v>0</v>
      </c>
      <c r="R1460" s="553">
        <f>'Foglio deposito bis'!$F$69*IF(ABS(L1460)&lt;'Progetto del paramento slu'!$G$58,ABS(L1460)*'Progetto del paramento slu'!$G$54,'Progetto del paramento slu'!$G$53)*IF(L1460&lt;0,-1,1)</f>
        <v>-60072.024282655271</v>
      </c>
      <c r="S1460" s="553">
        <f>'Foglio deposito bis'!$F$70*IF(ABS(M1460)&lt;'Progetto del paramento slu'!$G$58,ABS(M1460)*'Progetto del paramento slu'!$G$54,'Progetto del paramento slu'!$G$53)*IF(M1460&lt;0,-1,1)</f>
        <v>0</v>
      </c>
      <c r="T1460" s="553">
        <f>'Foglio deposito bis'!$F$71*IF(ABS(N1460)&lt;'Progetto del paramento slu'!$G$58,ABS(N1460)*'Progetto del paramento slu'!$G$54,'Progetto del paramento slu'!$G$53)*IF(N1460&lt;0,-1,1)</f>
        <v>314705.62929873407</v>
      </c>
      <c r="U1460" s="553">
        <f>'Foglio deposito bis'!$F$72*IF(ABS(O1460)&lt;'Progetto del paramento slu'!$G$58,ABS(O1460)*'Progetto del paramento slu'!$G$54,'Progetto del paramento slu'!$G$53)*IF(O1460&lt;0,-1,1)</f>
        <v>331250.20109020849</v>
      </c>
      <c r="V1460" s="479">
        <f t="shared" si="110"/>
        <v>-2097911.5631251717</v>
      </c>
      <c r="W1460" s="559"/>
      <c r="X1460" s="559"/>
    </row>
    <row r="1461" spans="1:24" x14ac:dyDescent="0.25">
      <c r="A1461" s="553">
        <f t="shared" si="109"/>
        <v>2185622.8092023954</v>
      </c>
      <c r="B1461" s="3">
        <f t="shared" si="107"/>
        <v>47.899999999999942</v>
      </c>
      <c r="C1461" s="553">
        <f>'Foglio deposito bis'!$E$158/sezione!$B$247*B1461</f>
        <v>194.45520297699574</v>
      </c>
      <c r="D1461" s="611">
        <f>-'Progetto del paramento slu'!$G$47*'Progetto del paramento slu'!$G$41*IF(DATI!$G$218="dx",DATI!$E$61,DATI!$E$64*DATI!$E$63)*1000*C1461^2*sezione!$AD$5*(1-sezione!$AD$6)</f>
        <v>-311275174.26735801</v>
      </c>
      <c r="E1461" s="553">
        <f>-'Foglio deposito bis'!$F$68*(C1461-sezione!$AL$32)*IF(ABS(K1461)&lt;'Progetto del paramento slu'!$G$58,ABS(K1461)*'Progetto del paramento slu'!$G$54,'Progetto del paramento slu'!$G$53)</f>
        <v>0</v>
      </c>
      <c r="F1461" s="553">
        <f>-'Foglio deposito bis'!$F$69*(C1461-sezione!$AM$32)*IF(ABS(L1461)&lt;'Progetto del paramento slu'!$G$58,ABS(L1461)*'Progetto del paramento slu'!$G$54,'Progetto del paramento slu'!$G$53)</f>
        <v>-2877536.0787043078</v>
      </c>
      <c r="G1461" s="553">
        <f>-'Foglio deposito bis'!$F$70*(C1461-sezione!$AN$32)*IF(ABS(M1461)&lt;'Progetto del paramento slu'!$G$58,ABS(M1461)*'Progetto del paramento slu'!$G$54,'Progetto del paramento slu'!$G$53)</f>
        <v>0</v>
      </c>
      <c r="H1461" s="553">
        <f>-'Foglio deposito bis'!$F$71*(C1461-sezione!$AO$32)*IF(ABS(N1461)&lt;'Progetto del paramento slu'!$G$58,ABS(N1461)*'Progetto del paramento slu'!$G$54,'Progetto del paramento slu'!$G$53)</f>
        <v>45803766.938281082</v>
      </c>
      <c r="I1461" s="479">
        <f>-'Foglio deposito bis'!$F$72*(C1461-sezione!$AP$32)*IF(ABS(O1461)&lt;'Progetto del paramento slu'!$G$58,ABS(O1461)*'Progetto del paramento slu'!$G$54,'Progetto del paramento slu'!$G$53)</f>
        <v>20020193.156109359</v>
      </c>
      <c r="J1461" s="479">
        <f t="shared" si="108"/>
        <v>-248328750.25167185</v>
      </c>
      <c r="K1461" s="558">
        <f>'Progetto del paramento slu'!$G$60*(sezione!$AL$32-C1461)/C1461</f>
        <v>-2.7800398351050439E-3</v>
      </c>
      <c r="L1461" s="558">
        <f>'Progetto del paramento slu'!$G$60*(sezione!$AM$32-C1461)/C1461</f>
        <v>-8.0014938164391471E-4</v>
      </c>
      <c r="M1461" s="559">
        <f>'Progetto del paramento slu'!$G$60*(sezione!$AN$32-C1461)/C1461</f>
        <v>1.1797410718172145E-3</v>
      </c>
      <c r="N1461" s="559">
        <f>'Progetto del paramento slu'!$G$60*(sezione!$AO$32-C1461)/C1461</f>
        <v>2.6196614016071262E-3</v>
      </c>
      <c r="O1461" s="559">
        <f>'Progetto del paramento slu'!$G$60*(sezione!$AP$32-C1461)/C1461</f>
        <v>1.1798310668378242E-3</v>
      </c>
      <c r="P1461" s="553">
        <f>-'Progetto del paramento slu'!$G$47*'Progetto del paramento slu'!$G$41*IF(DATI!$G$218="dx",DATI!$E$61,DATI!$E$64*DATI!$E$63)*1000*C1461*sezione!$AD$5</f>
        <v>-2741019.1510914043</v>
      </c>
      <c r="Q1461" s="553">
        <f>'Foglio deposito bis'!$F$68*IF(ABS(K1461)&lt;'Progetto del paramento slu'!$G$58,ABS(K1461)*'Progetto del paramento slu'!$G$54,'Progetto del paramento slu'!$G$53)*IF(K1461&lt;0,-1,1)</f>
        <v>0</v>
      </c>
      <c r="R1461" s="553">
        <f>'Foglio deposito bis'!$F$69*IF(ABS(L1461)&lt;'Progetto del paramento slu'!$G$58,ABS(L1461)*'Progetto del paramento slu'!$G$54,'Progetto del paramento slu'!$G$53)*IF(L1461&lt;0,-1,1)</f>
        <v>-64728.893043033648</v>
      </c>
      <c r="S1461" s="553">
        <f>'Foglio deposito bis'!$F$70*IF(ABS(M1461)&lt;'Progetto del paramento slu'!$G$58,ABS(M1461)*'Progetto del paramento slu'!$G$54,'Progetto del paramento slu'!$G$53)*IF(M1461&lt;0,-1,1)</f>
        <v>0</v>
      </c>
      <c r="T1461" s="553">
        <f>'Foglio deposito bis'!$F$71*IF(ABS(N1461)&lt;'Progetto del paramento slu'!$G$58,ABS(N1461)*'Progetto del paramento slu'!$G$54,'Progetto del paramento slu'!$G$53)*IF(N1461&lt;0,-1,1)</f>
        <v>314705.62929873407</v>
      </c>
      <c r="U1461" s="553">
        <f>'Foglio deposito bis'!$F$72*IF(ABS(O1461)&lt;'Progetto del paramento slu'!$G$58,ABS(O1461)*'Progetto del paramento slu'!$G$54,'Progetto del paramento slu'!$G$53)*IF(O1461&lt;0,-1,1)</f>
        <v>305419.6056333087</v>
      </c>
      <c r="V1461" s="479">
        <f t="shared" si="110"/>
        <v>-2185622.8092023954</v>
      </c>
      <c r="W1461" s="559"/>
      <c r="X1461" s="559"/>
    </row>
    <row r="1462" spans="1:24" x14ac:dyDescent="0.25">
      <c r="A1462" s="553">
        <f t="shared" si="109"/>
        <v>2272087.1242277883</v>
      </c>
      <c r="B1462" s="3">
        <f t="shared" si="107"/>
        <v>48.899999999999942</v>
      </c>
      <c r="C1462" s="553">
        <f>'Foglio deposito bis'!$E$158/sezione!$B$247*B1462</f>
        <v>198.5148105548036</v>
      </c>
      <c r="D1462" s="611">
        <f>-'Progetto del paramento slu'!$G$47*'Progetto del paramento slu'!$G$41*IF(DATI!$G$218="dx",DATI!$E$61,DATI!$E$64*DATI!$E$63)*1000*C1462^2*sezione!$AD$5*(1-sezione!$AD$6)</f>
        <v>-324407716.78115475</v>
      </c>
      <c r="E1462" s="553">
        <f>-'Foglio deposito bis'!$F$68*(C1462-sezione!$AL$32)*IF(ABS(K1462)&lt;'Progetto del paramento slu'!$G$58,ABS(K1462)*'Progetto del paramento slu'!$G$54,'Progetto del paramento slu'!$G$53)</f>
        <v>0</v>
      </c>
      <c r="F1462" s="553">
        <f>-'Foglio deposito bis'!$F$69*(C1462-sezione!$AM$32)*IF(ABS(L1462)&lt;'Progetto del paramento slu'!$G$58,ABS(L1462)*'Progetto del paramento slu'!$G$54,'Progetto del paramento slu'!$G$53)</f>
        <v>-3356996.7166724736</v>
      </c>
      <c r="G1462" s="553">
        <f>-'Foglio deposito bis'!$F$70*(C1462-sezione!$AN$32)*IF(ABS(M1462)&lt;'Progetto del paramento slu'!$G$58,ABS(M1462)*'Progetto del paramento slu'!$G$54,'Progetto del paramento slu'!$G$53)</f>
        <v>0</v>
      </c>
      <c r="H1462" s="553">
        <f>-'Foglio deposito bis'!$F$71*(C1462-sezione!$AO$32)*IF(ABS(N1462)&lt;'Progetto del paramento slu'!$G$58,ABS(N1462)*'Progetto del paramento slu'!$G$54,'Progetto del paramento slu'!$G$53)</f>
        <v>44526185.580801137</v>
      </c>
      <c r="I1462" s="479">
        <f>-'Foglio deposito bis'!$F$72*(C1462-sezione!$AP$32)*IF(ABS(O1462)&lt;'Progetto del paramento slu'!$G$58,ABS(O1462)*'Progetto del paramento slu'!$G$54,'Progetto del paramento slu'!$G$53)</f>
        <v>17256943.501443177</v>
      </c>
      <c r="J1462" s="479">
        <f t="shared" si="108"/>
        <v>-265981584.41558293</v>
      </c>
      <c r="K1462" s="558">
        <f>'Progetto del paramento slu'!$G$60*(sezione!$AL$32-C1462)/C1462</f>
        <v>-2.7947629468615871E-3</v>
      </c>
      <c r="L1462" s="558">
        <f>'Progetto del paramento slu'!$G$60*(sezione!$AM$32-C1462)/C1462</f>
        <v>-8.5536105073095157E-4</v>
      </c>
      <c r="M1462" s="559">
        <f>'Progetto del paramento slu'!$G$60*(sezione!$AN$32-C1462)/C1462</f>
        <v>1.0840408453996839E-3</v>
      </c>
      <c r="N1462" s="559">
        <f>'Progetto del paramento slu'!$G$60*(sezione!$AO$32-C1462)/C1462</f>
        <v>2.4945149516765099E-3</v>
      </c>
      <c r="O1462" s="559">
        <f>'Progetto del paramento slu'!$G$60*(sezione!$AP$32-C1462)/C1462</f>
        <v>1.0841290000313242E-3</v>
      </c>
      <c r="P1462" s="553">
        <f>-'Progetto del paramento slu'!$G$47*'Progetto del paramento slu'!$G$41*IF(DATI!$G$218="dx",DATI!$E$61,DATI!$E$64*DATI!$E$63)*1000*C1462*sezione!$AD$5</f>
        <v>-2798242.9329513507</v>
      </c>
      <c r="Q1462" s="553">
        <f>'Foglio deposito bis'!$F$68*IF(ABS(K1462)&lt;'Progetto del paramento slu'!$G$58,ABS(K1462)*'Progetto del paramento slu'!$G$54,'Progetto del paramento slu'!$G$53)*IF(K1462&lt;0,-1,1)</f>
        <v>0</v>
      </c>
      <c r="R1462" s="553">
        <f>'Foglio deposito bis'!$F$69*IF(ABS(L1462)&lt;'Progetto del paramento slu'!$G$58,ABS(L1462)*'Progetto del paramento slu'!$G$54,'Progetto del paramento slu'!$G$53)*IF(L1462&lt;0,-1,1)</f>
        <v>-69195.2968234375</v>
      </c>
      <c r="S1462" s="553">
        <f>'Foglio deposito bis'!$F$70*IF(ABS(M1462)&lt;'Progetto del paramento slu'!$G$58,ABS(M1462)*'Progetto del paramento slu'!$G$54,'Progetto del paramento slu'!$G$53)*IF(M1462&lt;0,-1,1)</f>
        <v>0</v>
      </c>
      <c r="T1462" s="553">
        <f>'Foglio deposito bis'!$F$71*IF(ABS(N1462)&lt;'Progetto del paramento slu'!$G$58,ABS(N1462)*'Progetto del paramento slu'!$G$54,'Progetto del paramento slu'!$G$53)*IF(N1462&lt;0,-1,1)</f>
        <v>314705.62929873407</v>
      </c>
      <c r="U1462" s="553">
        <f>'Foglio deposito bis'!$F$72*IF(ABS(O1462)&lt;'Progetto del paramento slu'!$G$58,ABS(O1462)*'Progetto del paramento slu'!$G$54,'Progetto del paramento slu'!$G$53)*IF(O1462&lt;0,-1,1)</f>
        <v>280645.47624826548</v>
      </c>
      <c r="V1462" s="479">
        <f t="shared" si="110"/>
        <v>-2272087.1242277883</v>
      </c>
      <c r="W1462" s="559"/>
      <c r="X1462" s="559"/>
    </row>
    <row r="1463" spans="1:24" x14ac:dyDescent="0.25">
      <c r="A1463" s="553">
        <f t="shared" si="109"/>
        <v>2357379.4739960488</v>
      </c>
      <c r="B1463" s="3">
        <f t="shared" si="107"/>
        <v>49.899999999999942</v>
      </c>
      <c r="C1463" s="553">
        <f>'Foglio deposito bis'!$E$158/sezione!$B$247*B1463</f>
        <v>202.57441813261144</v>
      </c>
      <c r="D1463" s="611">
        <f>-'Progetto del paramento slu'!$G$47*'Progetto del paramento slu'!$G$41*IF(DATI!$G$218="dx",DATI!$E$61,DATI!$E$64*DATI!$E$63)*1000*C1463^2*sezione!$AD$5*(1-sezione!$AD$6)</f>
        <v>-337811592.81796378</v>
      </c>
      <c r="E1463" s="553">
        <f>-'Foglio deposito bis'!$F$68*(C1463-sezione!$AL$32)*IF(ABS(K1463)&lt;'Progetto del paramento slu'!$G$58,ABS(K1463)*'Progetto del paramento slu'!$G$54,'Progetto del paramento slu'!$G$53)</f>
        <v>0</v>
      </c>
      <c r="F1463" s="553">
        <f>-'Foglio deposito bis'!$F$69*(C1463-sezione!$AM$32)*IF(ABS(L1463)&lt;'Progetto del paramento slu'!$G$58,ABS(L1463)*'Progetto del paramento slu'!$G$54,'Progetto del paramento slu'!$G$53)</f>
        <v>-3863309.4815769307</v>
      </c>
      <c r="G1463" s="553">
        <f>-'Foglio deposito bis'!$F$70*(C1463-sezione!$AN$32)*IF(ABS(M1463)&lt;'Progetto del paramento slu'!$G$58,ABS(M1463)*'Progetto del paramento slu'!$G$54,'Progetto del paramento slu'!$G$53)</f>
        <v>0</v>
      </c>
      <c r="H1463" s="553">
        <f>-'Foglio deposito bis'!$F$71*(C1463-sezione!$AO$32)*IF(ABS(N1463)&lt;'Progetto del paramento slu'!$G$58,ABS(N1463)*'Progetto del paramento slu'!$G$54,'Progetto del paramento slu'!$G$53)</f>
        <v>43248604.223321214</v>
      </c>
      <c r="I1463" s="479">
        <f>-'Foglio deposito bis'!$F$72*(C1463-sezione!$AP$32)*IF(ABS(O1463)&lt;'Progetto del paramento slu'!$G$58,ABS(O1463)*'Progetto del paramento slu'!$G$54,'Progetto del paramento slu'!$G$53)</f>
        <v>14751866.091697181</v>
      </c>
      <c r="J1463" s="479">
        <f t="shared" si="108"/>
        <v>-283674431.98452234</v>
      </c>
      <c r="K1463" s="558">
        <f>'Progetto del paramento slu'!$G$60*(sezione!$AL$32-C1463)/C1463</f>
        <v>-2.8088959539385094E-3</v>
      </c>
      <c r="L1463" s="558">
        <f>'Progetto del paramento slu'!$G$60*(sezione!$AM$32-C1463)/C1463</f>
        <v>-9.0835982726940941E-4</v>
      </c>
      <c r="M1463" s="559">
        <f>'Progetto del paramento slu'!$G$60*(sezione!$AN$32-C1463)/C1463</f>
        <v>9.9217629939969037E-4</v>
      </c>
      <c r="N1463" s="559">
        <f>'Progetto del paramento slu'!$G$60*(sezione!$AO$32-C1463)/C1463</f>
        <v>2.3743843915226721E-3</v>
      </c>
      <c r="O1463" s="559">
        <f>'Progetto del paramento slu'!$G$60*(sezione!$AP$32-C1463)/C1463</f>
        <v>9.9226268740544598E-4</v>
      </c>
      <c r="P1463" s="553">
        <f>-'Progetto del paramento slu'!$G$47*'Progetto del paramento slu'!$G$41*IF(DATI!$G$218="dx",DATI!$E$61,DATI!$E$64*DATI!$E$63)*1000*C1463*sezione!$AD$5</f>
        <v>-2855466.7148112962</v>
      </c>
      <c r="Q1463" s="553">
        <f>'Foglio deposito bis'!$F$68*IF(ABS(K1463)&lt;'Progetto del paramento slu'!$G$58,ABS(K1463)*'Progetto del paramento slu'!$G$54,'Progetto del paramento slu'!$G$53)*IF(K1463&lt;0,-1,1)</f>
        <v>0</v>
      </c>
      <c r="R1463" s="553">
        <f>'Foglio deposito bis'!$F$69*IF(ABS(L1463)&lt;'Progetto del paramento slu'!$G$58,ABS(L1463)*'Progetto del paramento slu'!$G$54,'Progetto del paramento slu'!$G$53)*IF(L1463&lt;0,-1,1)</f>
        <v>-73482.686424265994</v>
      </c>
      <c r="S1463" s="553">
        <f>'Foglio deposito bis'!$F$70*IF(ABS(M1463)&lt;'Progetto del paramento slu'!$G$58,ABS(M1463)*'Progetto del paramento slu'!$G$54,'Progetto del paramento slu'!$G$53)*IF(M1463&lt;0,-1,1)</f>
        <v>0</v>
      </c>
      <c r="T1463" s="553">
        <f>'Foglio deposito bis'!$F$71*IF(ABS(N1463)&lt;'Progetto del paramento slu'!$G$58,ABS(N1463)*'Progetto del paramento slu'!$G$54,'Progetto del paramento slu'!$G$53)*IF(N1463&lt;0,-1,1)</f>
        <v>314705.62929873407</v>
      </c>
      <c r="U1463" s="553">
        <f>'Foglio deposito bis'!$F$72*IF(ABS(O1463)&lt;'Progetto del paramento slu'!$G$58,ABS(O1463)*'Progetto del paramento slu'!$G$54,'Progetto del paramento slu'!$G$53)*IF(O1463&lt;0,-1,1)</f>
        <v>256864.2979407793</v>
      </c>
      <c r="V1463" s="479">
        <f t="shared" si="110"/>
        <v>-2357379.4739960488</v>
      </c>
      <c r="W1463" s="559"/>
      <c r="X1463" s="559"/>
    </row>
    <row r="1464" spans="1:24" x14ac:dyDescent="0.25">
      <c r="A1464" s="553">
        <f t="shared" si="109"/>
        <v>2441568.9330802886</v>
      </c>
      <c r="B1464" s="3">
        <f t="shared" si="107"/>
        <v>50.899999999999942</v>
      </c>
      <c r="C1464" s="553">
        <f>'Foglio deposito bis'!$E$158/sezione!$B$247*B1464</f>
        <v>206.63402571041928</v>
      </c>
      <c r="D1464" s="611">
        <f>-'Progetto del paramento slu'!$G$47*'Progetto del paramento slu'!$G$41*IF(DATI!$G$218="dx",DATI!$E$61,DATI!$E$64*DATI!$E$63)*1000*C1464^2*sezione!$AD$5*(1-sezione!$AD$6)</f>
        <v>-351486802.37778503</v>
      </c>
      <c r="E1464" s="553">
        <f>-'Foglio deposito bis'!$F$68*(C1464-sezione!$AL$32)*IF(ABS(K1464)&lt;'Progetto del paramento slu'!$G$58,ABS(K1464)*'Progetto del paramento slu'!$G$54,'Progetto del paramento slu'!$G$53)</f>
        <v>0</v>
      </c>
      <c r="F1464" s="553">
        <f>-'Foglio deposito bis'!$F$69*(C1464-sezione!$AM$32)*IF(ABS(L1464)&lt;'Progetto del paramento slu'!$G$58,ABS(L1464)*'Progetto del paramento slu'!$G$54,'Progetto del paramento slu'!$G$53)</f>
        <v>-4394891.7333232062</v>
      </c>
      <c r="G1464" s="553">
        <f>-'Foglio deposito bis'!$F$70*(C1464-sezione!$AN$32)*IF(ABS(M1464)&lt;'Progetto del paramento slu'!$G$58,ABS(M1464)*'Progetto del paramento slu'!$G$54,'Progetto del paramento slu'!$G$53)</f>
        <v>0</v>
      </c>
      <c r="H1464" s="553">
        <f>-'Foglio deposito bis'!$F$71*(C1464-sezione!$AO$32)*IF(ABS(N1464)&lt;'Progetto del paramento slu'!$G$58,ABS(N1464)*'Progetto del paramento slu'!$G$54,'Progetto del paramento slu'!$G$53)</f>
        <v>41971022.865841292</v>
      </c>
      <c r="I1464" s="479">
        <f>-'Foglio deposito bis'!$F$72*(C1464-sezione!$AP$32)*IF(ABS(O1464)&lt;'Progetto del paramento slu'!$G$58,ABS(O1464)*'Progetto del paramento slu'!$G$54,'Progetto del paramento slu'!$G$53)</f>
        <v>12489744.488074485</v>
      </c>
      <c r="J1464" s="479">
        <f t="shared" si="108"/>
        <v>-301420926.75719249</v>
      </c>
      <c r="K1464" s="558">
        <f>'Progetto del paramento slu'!$G$60*(sezione!$AL$32-C1464)/C1464</f>
        <v>-2.8224736365723307E-3</v>
      </c>
      <c r="L1464" s="558">
        <f>'Progetto del paramento slu'!$G$60*(sezione!$AM$32-C1464)/C1464</f>
        <v>-9.5927613714623817E-4</v>
      </c>
      <c r="M1464" s="559">
        <f>'Progetto del paramento slu'!$G$60*(sezione!$AN$32-C1464)/C1464</f>
        <v>9.0392136227985382E-4</v>
      </c>
      <c r="N1464" s="559">
        <f>'Progetto del paramento slu'!$G$60*(sezione!$AO$32-C1464)/C1464</f>
        <v>2.2589740891351931E-3</v>
      </c>
      <c r="O1464" s="559">
        <f>'Progetto del paramento slu'!$G$60*(sezione!$AP$32-C1464)/C1464</f>
        <v>9.0400605307528023E-4</v>
      </c>
      <c r="P1464" s="553">
        <f>-'Progetto del paramento slu'!$G$47*'Progetto del paramento slu'!$G$41*IF(DATI!$G$218="dx",DATI!$E$61,DATI!$E$64*DATI!$E$63)*1000*C1464*sezione!$AD$5</f>
        <v>-2912690.4966712417</v>
      </c>
      <c r="Q1464" s="553">
        <f>'Foglio deposito bis'!$F$68*IF(ABS(K1464)&lt;'Progetto del paramento slu'!$G$58,ABS(K1464)*'Progetto del paramento slu'!$G$54,'Progetto del paramento slu'!$G$53)*IF(K1464&lt;0,-1,1)</f>
        <v>0</v>
      </c>
      <c r="R1464" s="553">
        <f>'Foglio deposito bis'!$F$69*IF(ABS(L1464)&lt;'Progetto del paramento slu'!$G$58,ABS(L1464)*'Progetto del paramento slu'!$G$54,'Progetto del paramento slu'!$G$53)*IF(L1464&lt;0,-1,1)</f>
        <v>-77601.61277948237</v>
      </c>
      <c r="S1464" s="553">
        <f>'Foglio deposito bis'!$F$70*IF(ABS(M1464)&lt;'Progetto del paramento slu'!$G$58,ABS(M1464)*'Progetto del paramento slu'!$G$54,'Progetto del paramento slu'!$G$53)*IF(M1464&lt;0,-1,1)</f>
        <v>0</v>
      </c>
      <c r="T1464" s="553">
        <f>'Foglio deposito bis'!$F$71*IF(ABS(N1464)&lt;'Progetto del paramento slu'!$G$58,ABS(N1464)*'Progetto del paramento slu'!$G$54,'Progetto del paramento slu'!$G$53)*IF(N1464&lt;0,-1,1)</f>
        <v>314705.62929873407</v>
      </c>
      <c r="U1464" s="553">
        <f>'Foglio deposito bis'!$F$72*IF(ABS(O1464)&lt;'Progetto del paramento slu'!$G$58,ABS(O1464)*'Progetto del paramento slu'!$G$54,'Progetto del paramento slu'!$G$53)*IF(O1464&lt;0,-1,1)</f>
        <v>234017.54707170121</v>
      </c>
      <c r="V1464" s="479">
        <f t="shared" si="110"/>
        <v>-2441568.9330802886</v>
      </c>
      <c r="W1464" s="559"/>
      <c r="X1464" s="559"/>
    </row>
    <row r="1465" spans="1:24" x14ac:dyDescent="0.25">
      <c r="A1465" s="553">
        <f t="shared" si="109"/>
        <v>2524719.2523871004</v>
      </c>
      <c r="B1465" s="3">
        <f t="shared" si="107"/>
        <v>51.899999999999942</v>
      </c>
      <c r="C1465" s="553">
        <f>'Foglio deposito bis'!$E$158/sezione!$B$247*B1465</f>
        <v>210.69363328822715</v>
      </c>
      <c r="D1465" s="611">
        <f>-'Progetto del paramento slu'!$G$47*'Progetto del paramento slu'!$G$41*IF(DATI!$G$218="dx",DATI!$E$61,DATI!$E$64*DATI!$E$63)*1000*C1465^2*sezione!$AD$5*(1-sezione!$AD$6)</f>
        <v>-365433345.46061891</v>
      </c>
      <c r="E1465" s="553">
        <f>-'Foglio deposito bis'!$F$68*(C1465-sezione!$AL$32)*IF(ABS(K1465)&lt;'Progetto del paramento slu'!$G$58,ABS(K1465)*'Progetto del paramento slu'!$G$54,'Progetto del paramento slu'!$G$53)</f>
        <v>0</v>
      </c>
      <c r="F1465" s="553">
        <f>-'Foglio deposito bis'!$F$69*(C1465-sezione!$AM$32)*IF(ABS(L1465)&lt;'Progetto del paramento slu'!$G$58,ABS(L1465)*'Progetto del paramento slu'!$G$54,'Progetto del paramento slu'!$G$53)</f>
        <v>-4950282.807932009</v>
      </c>
      <c r="G1465" s="553">
        <f>-'Foglio deposito bis'!$F$70*(C1465-sezione!$AN$32)*IF(ABS(M1465)&lt;'Progetto del paramento slu'!$G$58,ABS(M1465)*'Progetto del paramento slu'!$G$54,'Progetto del paramento slu'!$G$53)</f>
        <v>0</v>
      </c>
      <c r="H1465" s="553">
        <f>-'Foglio deposito bis'!$F$71*(C1465-sezione!$AO$32)*IF(ABS(N1465)&lt;'Progetto del paramento slu'!$G$58,ABS(N1465)*'Progetto del paramento slu'!$G$54,'Progetto del paramento slu'!$G$53)</f>
        <v>40693441.508361354</v>
      </c>
      <c r="I1465" s="479">
        <f>-'Foglio deposito bis'!$F$72*(C1465-sezione!$AP$32)*IF(ABS(O1465)&lt;'Progetto del paramento slu'!$G$58,ABS(O1465)*'Progetto del paramento slu'!$G$54,'Progetto del paramento slu'!$G$53)</f>
        <v>10456535.00235985</v>
      </c>
      <c r="J1465" s="479">
        <f t="shared" si="108"/>
        <v>-319233651.75782973</v>
      </c>
      <c r="K1465" s="558">
        <f>'Progetto del paramento slu'!$G$60*(sezione!$AL$32-C1465)/C1465</f>
        <v>-2.8355280944418423E-3</v>
      </c>
      <c r="L1465" s="558">
        <f>'Progetto del paramento slu'!$G$60*(sezione!$AM$32-C1465)/C1465</f>
        <v>-1.0082303541569084E-3</v>
      </c>
      <c r="M1465" s="559">
        <f>'Progetto del paramento slu'!$G$60*(sezione!$AN$32-C1465)/C1465</f>
        <v>8.1906738612802564E-4</v>
      </c>
      <c r="N1465" s="559">
        <f>'Progetto del paramento slu'!$G$60*(sezione!$AO$32-C1465)/C1465</f>
        <v>2.1480111972443411E-3</v>
      </c>
      <c r="O1465" s="559">
        <f>'Progetto del paramento slu'!$G$60*(sezione!$AP$32-C1465)/C1465</f>
        <v>8.1915044511621845E-4</v>
      </c>
      <c r="P1465" s="553">
        <f>-'Progetto del paramento slu'!$G$47*'Progetto del paramento slu'!$G$41*IF(DATI!$G$218="dx",DATI!$E$61,DATI!$E$64*DATI!$E$63)*1000*C1465*sezione!$AD$5</f>
        <v>-2969914.2785311881</v>
      </c>
      <c r="Q1465" s="553">
        <f>'Foglio deposito bis'!$F$68*IF(ABS(K1465)&lt;'Progetto del paramento slu'!$G$58,ABS(K1465)*'Progetto del paramento slu'!$G$54,'Progetto del paramento slu'!$G$53)*IF(K1465&lt;0,-1,1)</f>
        <v>0</v>
      </c>
      <c r="R1465" s="553">
        <f>'Foglio deposito bis'!$F$69*IF(ABS(L1465)&lt;'Progetto del paramento slu'!$G$58,ABS(L1465)*'Progetto del paramento slu'!$G$54,'Progetto del paramento slu'!$G$53)*IF(L1465&lt;0,-1,1)</f>
        <v>-81561.81364894865</v>
      </c>
      <c r="S1465" s="553">
        <f>'Foglio deposito bis'!$F$70*IF(ABS(M1465)&lt;'Progetto del paramento slu'!$G$58,ABS(M1465)*'Progetto del paramento slu'!$G$54,'Progetto del paramento slu'!$G$53)*IF(M1465&lt;0,-1,1)</f>
        <v>0</v>
      </c>
      <c r="T1465" s="553">
        <f>'Foglio deposito bis'!$F$71*IF(ABS(N1465)&lt;'Progetto del paramento slu'!$G$58,ABS(N1465)*'Progetto del paramento slu'!$G$54,'Progetto del paramento slu'!$G$53)*IF(N1465&lt;0,-1,1)</f>
        <v>314705.62929873407</v>
      </c>
      <c r="U1465" s="553">
        <f>'Foglio deposito bis'!$F$72*IF(ABS(O1465)&lt;'Progetto del paramento slu'!$G$58,ABS(O1465)*'Progetto del paramento slu'!$G$54,'Progetto del paramento slu'!$G$53)*IF(O1465&lt;0,-1,1)</f>
        <v>212051.21049430227</v>
      </c>
      <c r="V1465" s="479">
        <f t="shared" si="110"/>
        <v>-2524719.2523871004</v>
      </c>
      <c r="W1465" s="559"/>
      <c r="X1465" s="559"/>
    </row>
    <row r="1466" spans="1:24" x14ac:dyDescent="0.25">
      <c r="A1466" s="553">
        <f t="shared" si="109"/>
        <v>2606889.3623386426</v>
      </c>
      <c r="B1466" s="3">
        <f t="shared" si="107"/>
        <v>52.899999999999942</v>
      </c>
      <c r="C1466" s="553">
        <f>'Foglio deposito bis'!$E$158/sezione!$B$247*B1466</f>
        <v>214.75324086603499</v>
      </c>
      <c r="D1466" s="611">
        <f>-'Progetto del paramento slu'!$G$47*'Progetto del paramento slu'!$G$41*IF(DATI!$G$218="dx",DATI!$E$61,DATI!$E$64*DATI!$E$63)*1000*C1466^2*sezione!$AD$5*(1-sezione!$AD$6)</f>
        <v>-379651222.06646478</v>
      </c>
      <c r="E1466" s="553">
        <f>-'Foglio deposito bis'!$F$68*(C1466-sezione!$AL$32)*IF(ABS(K1466)&lt;'Progetto del paramento slu'!$G$58,ABS(K1466)*'Progetto del paramento slu'!$G$54,'Progetto del paramento slu'!$G$53)</f>
        <v>0</v>
      </c>
      <c r="F1466" s="553">
        <f>-'Foglio deposito bis'!$F$69*(C1466-sezione!$AM$32)*IF(ABS(L1466)&lt;'Progetto del paramento slu'!$G$58,ABS(L1466)*'Progetto del paramento slu'!$G$54,'Progetto del paramento slu'!$G$53)</f>
        <v>-5528132.4886058317</v>
      </c>
      <c r="G1466" s="553">
        <f>-'Foglio deposito bis'!$F$70*(C1466-sezione!$AN$32)*IF(ABS(M1466)&lt;'Progetto del paramento slu'!$G$58,ABS(M1466)*'Progetto del paramento slu'!$G$54,'Progetto del paramento slu'!$G$53)</f>
        <v>0</v>
      </c>
      <c r="H1466" s="553">
        <f>-'Foglio deposito bis'!$F$71*(C1466-sezione!$AO$32)*IF(ABS(N1466)&lt;'Progetto del paramento slu'!$G$58,ABS(N1466)*'Progetto del paramento slu'!$G$54,'Progetto del paramento slu'!$G$53)</f>
        <v>39415860.150881432</v>
      </c>
      <c r="I1466" s="479">
        <f>-'Foglio deposito bis'!$F$72*(C1466-sezione!$AP$32)*IF(ABS(O1466)&lt;'Progetto del paramento slu'!$G$58,ABS(O1466)*'Progetto del paramento slu'!$G$54,'Progetto del paramento slu'!$G$53)</f>
        <v>8639255.8509290367</v>
      </c>
      <c r="J1466" s="479">
        <f t="shared" si="108"/>
        <v>-337124238.55326021</v>
      </c>
      <c r="K1466" s="558">
        <f>'Progetto del paramento slu'!$G$60*(sezione!$AL$32-C1466)/C1466</f>
        <v>-2.8480890000289528E-3</v>
      </c>
      <c r="L1466" s="558">
        <f>'Progetto del paramento slu'!$G$60*(sezione!$AM$32-C1466)/C1466</f>
        <v>-1.0553337501085734E-3</v>
      </c>
      <c r="M1466" s="559">
        <f>'Progetto del paramento slu'!$G$60*(sezione!$AN$32-C1466)/C1466</f>
        <v>7.3742149981180602E-4</v>
      </c>
      <c r="N1466" s="559">
        <f>'Progetto del paramento slu'!$G$60*(sezione!$AO$32-C1466)/C1466</f>
        <v>2.0412434997539005E-3</v>
      </c>
      <c r="O1466" s="559">
        <f>'Progetto del paramento slu'!$G$60*(sezione!$AP$32-C1466)/C1466</f>
        <v>7.3750298868680052E-4</v>
      </c>
      <c r="P1466" s="553">
        <f>-'Progetto del paramento slu'!$G$47*'Progetto del paramento slu'!$G$41*IF(DATI!$G$218="dx",DATI!$E$61,DATI!$E$64*DATI!$E$63)*1000*C1466*sezione!$AD$5</f>
        <v>-3027138.0603911341</v>
      </c>
      <c r="Q1466" s="553">
        <f>'Foglio deposito bis'!$F$68*IF(ABS(K1466)&lt;'Progetto del paramento slu'!$G$58,ABS(K1466)*'Progetto del paramento slu'!$G$54,'Progetto del paramento slu'!$G$53)*IF(K1466&lt;0,-1,1)</f>
        <v>0</v>
      </c>
      <c r="R1466" s="553">
        <f>'Foglio deposito bis'!$F$69*IF(ABS(L1466)&lt;'Progetto del paramento slu'!$G$58,ABS(L1466)*'Progetto del paramento slu'!$G$54,'Progetto del paramento slu'!$G$53)*IF(L1466&lt;0,-1,1)</f>
        <v>-85372.290477981354</v>
      </c>
      <c r="S1466" s="553">
        <f>'Foglio deposito bis'!$F$70*IF(ABS(M1466)&lt;'Progetto del paramento slu'!$G$58,ABS(M1466)*'Progetto del paramento slu'!$G$54,'Progetto del paramento slu'!$G$53)*IF(M1466&lt;0,-1,1)</f>
        <v>0</v>
      </c>
      <c r="T1466" s="553">
        <f>'Foglio deposito bis'!$F$71*IF(ABS(N1466)&lt;'Progetto del paramento slu'!$G$58,ABS(N1466)*'Progetto del paramento slu'!$G$54,'Progetto del paramento slu'!$G$53)*IF(N1466&lt;0,-1,1)</f>
        <v>314705.62929873407</v>
      </c>
      <c r="U1466" s="553">
        <f>'Foglio deposito bis'!$F$72*IF(ABS(O1466)&lt;'Progetto del paramento slu'!$G$58,ABS(O1466)*'Progetto del paramento slu'!$G$54,'Progetto del paramento slu'!$G$53)*IF(O1466&lt;0,-1,1)</f>
        <v>190915.35923173904</v>
      </c>
      <c r="V1466" s="479">
        <f t="shared" si="110"/>
        <v>-2606889.3623386426</v>
      </c>
      <c r="W1466" s="559"/>
      <c r="X1466" s="559"/>
    </row>
    <row r="1467" spans="1:24" x14ac:dyDescent="0.25">
      <c r="A1467" s="553">
        <f t="shared" si="109"/>
        <v>2688133.8200418879</v>
      </c>
      <c r="B1467" s="3">
        <f t="shared" si="107"/>
        <v>53.899999999999942</v>
      </c>
      <c r="C1467" s="553">
        <f>'Foglio deposito bis'!$E$158/sezione!$B$247*B1467</f>
        <v>218.81284844384285</v>
      </c>
      <c r="D1467" s="611">
        <f>-'Progetto del paramento slu'!$G$47*'Progetto del paramento slu'!$G$41*IF(DATI!$G$218="dx",DATI!$E$61,DATI!$E$64*DATI!$E$63)*1000*C1467^2*sezione!$AD$5*(1-sezione!$AD$6)</f>
        <v>-394140432.19532323</v>
      </c>
      <c r="E1467" s="553">
        <f>-'Foglio deposito bis'!$F$68*(C1467-sezione!$AL$32)*IF(ABS(K1467)&lt;'Progetto del paramento slu'!$G$58,ABS(K1467)*'Progetto del paramento slu'!$G$54,'Progetto del paramento slu'!$G$53)</f>
        <v>0</v>
      </c>
      <c r="F1467" s="553">
        <f>-'Foglio deposito bis'!$F$69*(C1467-sezione!$AM$32)*IF(ABS(L1467)&lt;'Progetto del paramento slu'!$G$58,ABS(L1467)*'Progetto del paramento slu'!$G$54,'Progetto del paramento slu'!$G$53)</f>
        <v>-6127190.760164815</v>
      </c>
      <c r="G1467" s="553">
        <f>-'Foglio deposito bis'!$F$70*(C1467-sezione!$AN$32)*IF(ABS(M1467)&lt;'Progetto del paramento slu'!$G$58,ABS(M1467)*'Progetto del paramento slu'!$G$54,'Progetto del paramento slu'!$G$53)</f>
        <v>0</v>
      </c>
      <c r="H1467" s="553">
        <f>-'Foglio deposito bis'!$F$71*(C1467-sezione!$AO$32)*IF(ABS(N1467)&lt;'Progetto del paramento slu'!$G$58,ABS(N1467)*'Progetto del paramento slu'!$G$54,'Progetto del paramento slu'!$G$53)</f>
        <v>38138278.793401495</v>
      </c>
      <c r="I1467" s="479">
        <f>-'Foglio deposito bis'!$F$72*(C1467-sezione!$AP$32)*IF(ABS(O1467)&lt;'Progetto del paramento slu'!$G$58,ABS(O1467)*'Progetto del paramento slu'!$G$54,'Progetto del paramento slu'!$G$53)</f>
        <v>7025888.6478292942</v>
      </c>
      <c r="J1467" s="479">
        <f t="shared" si="108"/>
        <v>-355103455.51425725</v>
      </c>
      <c r="K1467" s="558">
        <f>'Progetto del paramento slu'!$G$60*(sezione!$AL$32-C1467)/C1467</f>
        <v>-2.8601838237760969E-3</v>
      </c>
      <c r="L1467" s="558">
        <f>'Progetto del paramento slu'!$G$60*(sezione!$AM$32-C1467)/C1467</f>
        <v>-1.1006893391603627E-3</v>
      </c>
      <c r="M1467" s="559">
        <f>'Progetto del paramento slu'!$G$60*(sezione!$AN$32-C1467)/C1467</f>
        <v>6.5880514545537132E-4</v>
      </c>
      <c r="N1467" s="559">
        <f>'Progetto del paramento slu'!$G$60*(sezione!$AO$32-C1467)/C1467</f>
        <v>1.9384374979031778E-3</v>
      </c>
      <c r="O1467" s="559">
        <f>'Progetto del paramento slu'!$G$60*(sezione!$AP$32-C1467)/C1467</f>
        <v>6.5888512247739737E-4</v>
      </c>
      <c r="P1467" s="553">
        <f>-'Progetto del paramento slu'!$G$47*'Progetto del paramento slu'!$G$41*IF(DATI!$G$218="dx",DATI!$E$61,DATI!$E$64*DATI!$E$63)*1000*C1467*sezione!$AD$5</f>
        <v>-3084361.8422510801</v>
      </c>
      <c r="Q1467" s="553">
        <f>'Foglio deposito bis'!$F$68*IF(ABS(K1467)&lt;'Progetto del paramento slu'!$G$58,ABS(K1467)*'Progetto del paramento slu'!$G$54,'Progetto del paramento slu'!$G$53)*IF(K1467&lt;0,-1,1)</f>
        <v>0</v>
      </c>
      <c r="R1467" s="553">
        <f>'Foglio deposito bis'!$F$69*IF(ABS(L1467)&lt;'Progetto del paramento slu'!$G$58,ABS(L1467)*'Progetto del paramento slu'!$G$54,'Progetto del paramento slu'!$G$53)*IF(L1467&lt;0,-1,1)</f>
        <v>-89041.376701113084</v>
      </c>
      <c r="S1467" s="553">
        <f>'Foglio deposito bis'!$F$70*IF(ABS(M1467)&lt;'Progetto del paramento slu'!$G$58,ABS(M1467)*'Progetto del paramento slu'!$G$54,'Progetto del paramento slu'!$G$53)*IF(M1467&lt;0,-1,1)</f>
        <v>0</v>
      </c>
      <c r="T1467" s="553">
        <f>'Foglio deposito bis'!$F$71*IF(ABS(N1467)&lt;'Progetto del paramento slu'!$G$58,ABS(N1467)*'Progetto del paramento slu'!$G$54,'Progetto del paramento slu'!$G$53)*IF(N1467&lt;0,-1,1)</f>
        <v>314705.62929873407</v>
      </c>
      <c r="U1467" s="553">
        <f>'Foglio deposito bis'!$F$72*IF(ABS(O1467)&lt;'Progetto del paramento slu'!$G$58,ABS(O1467)*'Progetto del paramento slu'!$G$54,'Progetto del paramento slu'!$G$53)*IF(O1467&lt;0,-1,1)</f>
        <v>170563.76961157128</v>
      </c>
      <c r="V1467" s="479">
        <f t="shared" si="110"/>
        <v>-2688133.8200418879</v>
      </c>
      <c r="W1467" s="559"/>
      <c r="X1467" s="559"/>
    </row>
    <row r="1468" spans="1:24" x14ac:dyDescent="0.25">
      <c r="A1468" s="553">
        <f t="shared" si="109"/>
        <v>2778470.0456748875</v>
      </c>
      <c r="B1468" s="3">
        <f t="shared" si="107"/>
        <v>54.899999999999942</v>
      </c>
      <c r="C1468" s="553">
        <f>'Foglio deposito bis'!$E$158/sezione!$B$247*B1468</f>
        <v>222.87245602165069</v>
      </c>
      <c r="D1468" s="611">
        <f>-'Progetto del paramento slu'!$G$47*'Progetto del paramento slu'!$G$41*IF(DATI!$G$218="dx",DATI!$E$61,DATI!$E$64*DATI!$E$63)*1000*C1468^2*sezione!$AD$5*(1-sezione!$AD$6)</f>
        <v>-408900975.84719378</v>
      </c>
      <c r="E1468" s="553">
        <f>-'Foglio deposito bis'!$F$68*(C1468-sezione!$AL$32)*IF(ABS(K1468)&lt;'Progetto del paramento slu'!$G$58,ABS(K1468)*'Progetto del paramento slu'!$G$54,'Progetto del paramento slu'!$G$53)</f>
        <v>0</v>
      </c>
      <c r="F1468" s="553">
        <f>-'Foglio deposito bis'!$F$69*(C1468-sezione!$AM$32)*IF(ABS(L1468)&lt;'Progetto del paramento slu'!$G$58,ABS(L1468)*'Progetto del paramento slu'!$G$54,'Progetto del paramento slu'!$G$53)</f>
        <v>-6746298.6832163166</v>
      </c>
      <c r="G1468" s="553">
        <f>-'Foglio deposito bis'!$F$70*(C1468-sezione!$AN$32)*IF(ABS(M1468)&lt;'Progetto del paramento slu'!$G$58,ABS(M1468)*'Progetto del paramento slu'!$G$54,'Progetto del paramento slu'!$G$53)</f>
        <v>0</v>
      </c>
      <c r="H1468" s="553">
        <f>-'Foglio deposito bis'!$F$71*(C1468-sezione!$AO$32)*IF(ABS(N1468)&lt;'Progetto del paramento slu'!$G$58,ABS(N1468)*'Progetto del paramento slu'!$G$54,'Progetto del paramento slu'!$G$53)</f>
        <v>35693306.169446565</v>
      </c>
      <c r="I1468" s="479">
        <f>-'Foglio deposito bis'!$F$72*(C1468-sezione!$AP$32)*IF(ABS(O1468)&lt;'Progetto del paramento slu'!$G$58,ABS(O1468)*'Progetto del paramento slu'!$G$54,'Progetto del paramento slu'!$G$53)</f>
        <v>5605290.6636436516</v>
      </c>
      <c r="J1468" s="479">
        <f t="shared" si="108"/>
        <v>-374348677.69731987</v>
      </c>
      <c r="K1468" s="558">
        <f>'Progetto del paramento slu'!$G$60*(sezione!$AL$32-C1468)/C1468</f>
        <v>-2.8718380346362767E-3</v>
      </c>
      <c r="L1468" s="558">
        <f>'Progetto del paramento slu'!$G$60*(sezione!$AM$32-C1468)/C1468</f>
        <v>-1.1443926298860391E-3</v>
      </c>
      <c r="M1468" s="559">
        <f>'Progetto del paramento slu'!$G$60*(sezione!$AN$32-C1468)/C1468</f>
        <v>5.8305277486419887E-4</v>
      </c>
      <c r="N1468" s="559">
        <f>'Progetto del paramento slu'!$G$60*(sezione!$AO$32-C1468)/C1468</f>
        <v>1.8393767055916448E-3</v>
      </c>
      <c r="O1468" s="559">
        <f>'Progetto del paramento slu'!$G$60*(sezione!$AP$32-C1468)/C1468</f>
        <v>5.831312951098675E-4</v>
      </c>
      <c r="P1468" s="553">
        <f>-'Progetto del paramento slu'!$G$47*'Progetto del paramento slu'!$G$41*IF(DATI!$G$218="dx",DATI!$E$61,DATI!$E$64*DATI!$E$63)*1000*C1468*sezione!$AD$5</f>
        <v>-3141585.6241110261</v>
      </c>
      <c r="Q1468" s="553">
        <f>'Foglio deposito bis'!$F$68*IF(ABS(K1468)&lt;'Progetto del paramento slu'!$G$58,ABS(K1468)*'Progetto del paramento slu'!$G$54,'Progetto del paramento slu'!$G$53)*IF(K1468&lt;0,-1,1)</f>
        <v>0</v>
      </c>
      <c r="R1468" s="553">
        <f>'Foglio deposito bis'!$F$69*IF(ABS(L1468)&lt;'Progetto del paramento slu'!$G$58,ABS(L1468)*'Progetto del paramento slu'!$G$54,'Progetto del paramento slu'!$G$53)*IF(L1468&lt;0,-1,1)</f>
        <v>-92576.798580961302</v>
      </c>
      <c r="S1468" s="553">
        <f>'Foglio deposito bis'!$F$70*IF(ABS(M1468)&lt;'Progetto del paramento slu'!$G$58,ABS(M1468)*'Progetto del paramento slu'!$G$54,'Progetto del paramento slu'!$G$53)*IF(M1468&lt;0,-1,1)</f>
        <v>0</v>
      </c>
      <c r="T1468" s="553">
        <f>'Foglio deposito bis'!$F$71*IF(ABS(N1468)&lt;'Progetto del paramento slu'!$G$58,ABS(N1468)*'Progetto del paramento slu'!$G$54,'Progetto del paramento slu'!$G$53)*IF(N1468&lt;0,-1,1)</f>
        <v>304738.79121075373</v>
      </c>
      <c r="U1468" s="553">
        <f>'Foglio deposito bis'!$F$72*IF(ABS(O1468)&lt;'Progetto del paramento slu'!$G$58,ABS(O1468)*'Progetto del paramento slu'!$G$54,'Progetto del paramento slu'!$G$53)*IF(O1468&lt;0,-1,1)</f>
        <v>150953.58580634603</v>
      </c>
      <c r="V1468" s="479">
        <f t="shared" si="110"/>
        <v>-2778470.0456748875</v>
      </c>
      <c r="W1468" s="559"/>
      <c r="X1468" s="559"/>
    </row>
    <row r="1469" spans="1:24" x14ac:dyDescent="0.25">
      <c r="A1469" s="553">
        <f t="shared" si="109"/>
        <v>2873836.0376111334</v>
      </c>
      <c r="B1469" s="3">
        <f t="shared" si="107"/>
        <v>55.899999999999942</v>
      </c>
      <c r="C1469" s="553">
        <f>'Foglio deposito bis'!$E$158/sezione!$B$247*B1469</f>
        <v>226.93206359945853</v>
      </c>
      <c r="D1469" s="611">
        <f>-'Progetto del paramento slu'!$G$47*'Progetto del paramento slu'!$G$41*IF(DATI!$G$218="dx",DATI!$E$61,DATI!$E$64*DATI!$E$63)*1000*C1469^2*sezione!$AD$5*(1-sezione!$AD$6)</f>
        <v>-423932853.02207685</v>
      </c>
      <c r="E1469" s="553">
        <f>-'Foglio deposito bis'!$F$68*(C1469-sezione!$AL$32)*IF(ABS(K1469)&lt;'Progetto del paramento slu'!$G$58,ABS(K1469)*'Progetto del paramento slu'!$G$54,'Progetto del paramento slu'!$G$53)</f>
        <v>0</v>
      </c>
      <c r="F1469" s="553">
        <f>-'Foglio deposito bis'!$F$69*(C1469-sezione!$AM$32)*IF(ABS(L1469)&lt;'Progetto del paramento slu'!$G$58,ABS(L1469)*'Progetto del paramento slu'!$G$54,'Progetto del paramento slu'!$G$53)</f>
        <v>-7384380.2478412408</v>
      </c>
      <c r="G1469" s="553">
        <f>-'Foglio deposito bis'!$F$70*(C1469-sezione!$AN$32)*IF(ABS(M1469)&lt;'Progetto del paramento slu'!$G$58,ABS(M1469)*'Progetto del paramento slu'!$G$54,'Progetto del paramento slu'!$G$53)</f>
        <v>0</v>
      </c>
      <c r="H1469" s="553">
        <f>-'Foglio deposito bis'!$F$71*(C1469-sezione!$AO$32)*IF(ABS(N1469)&lt;'Progetto del paramento slu'!$G$58,ABS(N1469)*'Progetto del paramento slu'!$G$54,'Progetto del paramento slu'!$G$53)</f>
        <v>32666918.741432849</v>
      </c>
      <c r="I1469" s="479">
        <f>-'Foglio deposito bis'!$F$72*(C1469-sezione!$AP$32)*IF(ABS(O1469)&lt;'Progetto del paramento slu'!$G$58,ABS(O1469)*'Progetto del paramento slu'!$G$54,'Progetto del paramento slu'!$G$53)</f>
        <v>4367116.5020081913</v>
      </c>
      <c r="J1469" s="479">
        <f t="shared" si="108"/>
        <v>-394283198.02647704</v>
      </c>
      <c r="K1469" s="558">
        <f>'Progetto del paramento slu'!$G$60*(sezione!$AL$32-C1469)/C1469</f>
        <v>-2.8830752790971665E-3</v>
      </c>
      <c r="L1469" s="558">
        <f>'Progetto del paramento slu'!$G$60*(sezione!$AM$32-C1469)/C1469</f>
        <v>-1.1865322966143745E-3</v>
      </c>
      <c r="M1469" s="559">
        <f>'Progetto del paramento slu'!$G$60*(sezione!$AN$32-C1469)/C1469</f>
        <v>5.1001068586841727E-4</v>
      </c>
      <c r="N1469" s="559">
        <f>'Progetto del paramento slu'!$G$60*(sezione!$AO$32-C1469)/C1469</f>
        <v>1.7438601276740843E-3</v>
      </c>
      <c r="O1469" s="559">
        <f>'Progetto del paramento slu'!$G$60*(sezione!$AP$32-C1469)/C1469</f>
        <v>5.1008780145852834E-4</v>
      </c>
      <c r="P1469" s="553">
        <f>-'Progetto del paramento slu'!$G$47*'Progetto del paramento slu'!$G$41*IF(DATI!$G$218="dx",DATI!$E$61,DATI!$E$64*DATI!$E$63)*1000*C1469*sezione!$AD$5</f>
        <v>-3198809.4059709716</v>
      </c>
      <c r="Q1469" s="553">
        <f>'Foglio deposito bis'!$F$68*IF(ABS(K1469)&lt;'Progetto del paramento slu'!$G$58,ABS(K1469)*'Progetto del paramento slu'!$G$54,'Progetto del paramento slu'!$G$53)*IF(K1469&lt;0,-1,1)</f>
        <v>0</v>
      </c>
      <c r="R1469" s="553">
        <f>'Foglio deposito bis'!$F$69*IF(ABS(L1469)&lt;'Progetto del paramento slu'!$G$58,ABS(L1469)*'Progetto del paramento slu'!$G$54,'Progetto del paramento slu'!$G$53)*IF(L1469&lt;0,-1,1)</f>
        <v>-95985.729516986656</v>
      </c>
      <c r="S1469" s="553">
        <f>'Foglio deposito bis'!$F$70*IF(ABS(M1469)&lt;'Progetto del paramento slu'!$G$58,ABS(M1469)*'Progetto del paramento slu'!$G$54,'Progetto del paramento slu'!$G$53)*IF(M1469&lt;0,-1,1)</f>
        <v>0</v>
      </c>
      <c r="T1469" s="553">
        <f>'Foglio deposito bis'!$F$71*IF(ABS(N1469)&lt;'Progetto del paramento slu'!$G$58,ABS(N1469)*'Progetto del paramento slu'!$G$54,'Progetto del paramento slu'!$G$53)*IF(N1469&lt;0,-1,1)</f>
        <v>288914.07928159914</v>
      </c>
      <c r="U1469" s="553">
        <f>'Foglio deposito bis'!$F$72*IF(ABS(O1469)&lt;'Progetto del paramento slu'!$G$58,ABS(O1469)*'Progetto del paramento slu'!$G$54,'Progetto del paramento slu'!$G$53)*IF(O1469&lt;0,-1,1)</f>
        <v>132045.01859522544</v>
      </c>
      <c r="V1469" s="479">
        <f t="shared" si="110"/>
        <v>-2873836.0376111334</v>
      </c>
      <c r="W1469" s="559"/>
      <c r="X1469" s="559"/>
    </row>
    <row r="1470" spans="1:24" x14ac:dyDescent="0.25">
      <c r="A1470" s="553">
        <f t="shared" si="109"/>
        <v>2967861.3543250146</v>
      </c>
      <c r="B1470" s="3">
        <f t="shared" si="107"/>
        <v>56.899999999999942</v>
      </c>
      <c r="C1470" s="553">
        <f>'Foglio deposito bis'!$E$158/sezione!$B$247*B1470</f>
        <v>230.9916711772664</v>
      </c>
      <c r="D1470" s="611">
        <f>-'Progetto del paramento slu'!$G$47*'Progetto del paramento slu'!$G$41*IF(DATI!$G$218="dx",DATI!$E$61,DATI!$E$64*DATI!$E$63)*1000*C1470^2*sezione!$AD$5*(1-sezione!$AD$6)</f>
        <v>-439236063.71997219</v>
      </c>
      <c r="E1470" s="553">
        <f>-'Foglio deposito bis'!$F$68*(C1470-sezione!$AL$32)*IF(ABS(K1470)&lt;'Progetto del paramento slu'!$G$58,ABS(K1470)*'Progetto del paramento slu'!$G$54,'Progetto del paramento slu'!$G$53)</f>
        <v>0</v>
      </c>
      <c r="F1470" s="553">
        <f>-'Foglio deposito bis'!$F$69*(C1470-sezione!$AM$32)*IF(ABS(L1470)&lt;'Progetto del paramento slu'!$G$58,ABS(L1470)*'Progetto del paramento slu'!$G$54,'Progetto del paramento slu'!$G$53)</f>
        <v>-8040435.0862940755</v>
      </c>
      <c r="G1470" s="553">
        <f>-'Foglio deposito bis'!$F$70*(C1470-sezione!$AN$32)*IF(ABS(M1470)&lt;'Progetto del paramento slu'!$G$58,ABS(M1470)*'Progetto del paramento slu'!$G$54,'Progetto del paramento slu'!$G$53)</f>
        <v>0</v>
      </c>
      <c r="H1470" s="553">
        <f>-'Foglio deposito bis'!$F$71*(C1470-sezione!$AO$32)*IF(ABS(N1470)&lt;'Progetto del paramento slu'!$G$58,ABS(N1470)*'Progetto del paramento slu'!$G$54,'Progetto del paramento slu'!$G$53)</f>
        <v>29829649.136122543</v>
      </c>
      <c r="I1470" s="479">
        <f>-'Foglio deposito bis'!$F$72*(C1470-sezione!$AP$32)*IF(ABS(O1470)&lt;'Progetto del paramento slu'!$G$58,ABS(O1470)*'Progetto del paramento slu'!$G$54,'Progetto del paramento slu'!$G$53)</f>
        <v>3301748.0351961828</v>
      </c>
      <c r="J1470" s="479">
        <f t="shared" si="108"/>
        <v>-414145101.63494754</v>
      </c>
      <c r="K1470" s="558">
        <f>'Progetto del paramento slu'!$G$60*(sezione!$AL$32-C1470)/C1470</f>
        <v>-2.8939175413274449E-3</v>
      </c>
      <c r="L1470" s="558">
        <f>'Progetto del paramento slu'!$G$60*(sezione!$AM$32-C1470)/C1470</f>
        <v>-1.2271907799779184E-3</v>
      </c>
      <c r="M1470" s="559">
        <f>'Progetto del paramento slu'!$G$60*(sezione!$AN$32-C1470)/C1470</f>
        <v>4.3953598137160823E-4</v>
      </c>
      <c r="N1470" s="559">
        <f>'Progetto del paramento slu'!$G$60*(sezione!$AO$32-C1470)/C1470</f>
        <v>1.6517008987167185E-3</v>
      </c>
      <c r="O1470" s="559">
        <f>'Progetto del paramento slu'!$G$60*(sezione!$AP$32-C1470)/C1470</f>
        <v>4.396117416789405E-4</v>
      </c>
      <c r="P1470" s="553">
        <f>-'Progetto del paramento slu'!$G$47*'Progetto del paramento slu'!$G$41*IF(DATI!$G$218="dx",DATI!$E$61,DATI!$E$64*DATI!$E$63)*1000*C1470*sezione!$AD$5</f>
        <v>-3256033.1878309175</v>
      </c>
      <c r="Q1470" s="553">
        <f>'Foglio deposito bis'!$F$68*IF(ABS(K1470)&lt;'Progetto del paramento slu'!$G$58,ABS(K1470)*'Progetto del paramento slu'!$G$54,'Progetto del paramento slu'!$G$53)*IF(K1470&lt;0,-1,1)</f>
        <v>0</v>
      </c>
      <c r="R1470" s="553">
        <f>'Foglio deposito bis'!$F$69*IF(ABS(L1470)&lt;'Progetto del paramento slu'!$G$58,ABS(L1470)*'Progetto del paramento slu'!$G$54,'Progetto del paramento slu'!$G$53)*IF(L1470&lt;0,-1,1)</f>
        <v>-99274.838627492732</v>
      </c>
      <c r="S1470" s="553">
        <f>'Foglio deposito bis'!$F$70*IF(ABS(M1470)&lt;'Progetto del paramento slu'!$G$58,ABS(M1470)*'Progetto del paramento slu'!$G$54,'Progetto del paramento slu'!$G$53)*IF(M1470&lt;0,-1,1)</f>
        <v>0</v>
      </c>
      <c r="T1470" s="553">
        <f>'Foglio deposito bis'!$F$71*IF(ABS(N1470)&lt;'Progetto del paramento slu'!$G$58,ABS(N1470)*'Progetto del paramento slu'!$G$54,'Progetto del paramento slu'!$G$53)*IF(N1470&lt;0,-1,1)</f>
        <v>273645.59624274867</v>
      </c>
      <c r="U1470" s="553">
        <f>'Foglio deposito bis'!$F$72*IF(ABS(O1470)&lt;'Progetto del paramento slu'!$G$58,ABS(O1470)*'Progetto del paramento slu'!$G$54,'Progetto del paramento slu'!$G$53)*IF(O1470&lt;0,-1,1)</f>
        <v>113801.07589064677</v>
      </c>
      <c r="V1470" s="479">
        <f t="shared" si="110"/>
        <v>-2967861.3543250146</v>
      </c>
      <c r="W1470" s="559"/>
      <c r="X1470" s="559"/>
    </row>
    <row r="1471" spans="1:24" x14ac:dyDescent="0.25">
      <c r="A1471" s="553">
        <f t="shared" si="109"/>
        <v>3060615.4608539585</v>
      </c>
      <c r="B1471" s="3">
        <f t="shared" si="107"/>
        <v>57.899999999999942</v>
      </c>
      <c r="C1471" s="553">
        <f>'Foglio deposito bis'!$E$158/sezione!$B$247*B1471</f>
        <v>235.05127875507424</v>
      </c>
      <c r="D1471" s="611">
        <f>-'Progetto del paramento slu'!$G$47*'Progetto del paramento slu'!$G$41*IF(DATI!$G$218="dx",DATI!$E$61,DATI!$E$64*DATI!$E$63)*1000*C1471^2*sezione!$AD$5*(1-sezione!$AD$6)</f>
        <v>-454810607.94087988</v>
      </c>
      <c r="E1471" s="553">
        <f>-'Foglio deposito bis'!$F$68*(C1471-sezione!$AL$32)*IF(ABS(K1471)&lt;'Progetto del paramento slu'!$G$58,ABS(K1471)*'Progetto del paramento slu'!$G$54,'Progetto del paramento slu'!$G$53)</f>
        <v>0</v>
      </c>
      <c r="F1471" s="553">
        <f>-'Foglio deposito bis'!$F$69*(C1471-sezione!$AM$32)*IF(ABS(L1471)&lt;'Progetto del paramento slu'!$G$58,ABS(L1471)*'Progetto del paramento slu'!$G$54,'Progetto del paramento slu'!$G$53)</f>
        <v>-8713531.9408635125</v>
      </c>
      <c r="G1471" s="553">
        <f>-'Foglio deposito bis'!$F$70*(C1471-sezione!$AN$32)*IF(ABS(M1471)&lt;'Progetto del paramento slu'!$G$58,ABS(M1471)*'Progetto del paramento slu'!$G$54,'Progetto del paramento slu'!$G$53)</f>
        <v>0</v>
      </c>
      <c r="H1471" s="553">
        <f>-'Foglio deposito bis'!$F$71*(C1471-sezione!$AO$32)*IF(ABS(N1471)&lt;'Progetto del paramento slu'!$G$58,ABS(N1471)*'Progetto del paramento slu'!$G$54,'Progetto del paramento slu'!$G$53)</f>
        <v>27171698.502598401</v>
      </c>
      <c r="I1471" s="479">
        <f>-'Foglio deposito bis'!$F$72*(C1471-sezione!$AP$32)*IF(ABS(O1471)&lt;'Progetto del paramento slu'!$G$58,ABS(O1471)*'Progetto del paramento slu'!$G$54,'Progetto del paramento slu'!$G$53)</f>
        <v>2400231.6002634191</v>
      </c>
      <c r="J1471" s="479">
        <f t="shared" si="108"/>
        <v>-433952209.77888155</v>
      </c>
      <c r="K1471" s="558">
        <f>'Progetto del paramento slu'!$G$60*(sezione!$AL$32-C1471)/C1471</f>
        <v>-2.9043852867276618E-3</v>
      </c>
      <c r="L1471" s="558">
        <f>'Progetto del paramento slu'!$G$60*(sezione!$AM$32-C1471)/C1471</f>
        <v>-1.2664448252287313E-3</v>
      </c>
      <c r="M1471" s="559">
        <f>'Progetto del paramento slu'!$G$60*(sezione!$AN$32-C1471)/C1471</f>
        <v>3.7149563627019886E-4</v>
      </c>
      <c r="N1471" s="559">
        <f>'Progetto del paramento slu'!$G$60*(sezione!$AO$32-C1471)/C1471</f>
        <v>1.5627250628148753E-3</v>
      </c>
      <c r="O1471" s="559">
        <f>'Progetto del paramento slu'!$G$60*(sezione!$AP$32-C1471)/C1471</f>
        <v>3.7157008810935612E-4</v>
      </c>
      <c r="P1471" s="553">
        <f>-'Progetto del paramento slu'!$G$47*'Progetto del paramento slu'!$G$41*IF(DATI!$G$218="dx",DATI!$E$61,DATI!$E$64*DATI!$E$63)*1000*C1471*sezione!$AD$5</f>
        <v>-3313256.9696908635</v>
      </c>
      <c r="Q1471" s="553">
        <f>'Foglio deposito bis'!$F$68*IF(ABS(K1471)&lt;'Progetto del paramento slu'!$G$58,ABS(K1471)*'Progetto del paramento slu'!$G$54,'Progetto del paramento slu'!$G$53)*IF(K1471&lt;0,-1,1)</f>
        <v>0</v>
      </c>
      <c r="R1471" s="553">
        <f>'Foglio deposito bis'!$F$69*IF(ABS(L1471)&lt;'Progetto del paramento slu'!$G$58,ABS(L1471)*'Progetto del paramento slu'!$G$54,'Progetto del paramento slu'!$G$53)*IF(L1471&lt;0,-1,1)</f>
        <v>-102450.33429722133</v>
      </c>
      <c r="S1471" s="553">
        <f>'Foglio deposito bis'!$F$70*IF(ABS(M1471)&lt;'Progetto del paramento slu'!$G$58,ABS(M1471)*'Progetto del paramento slu'!$G$54,'Progetto del paramento slu'!$G$53)*IF(M1471&lt;0,-1,1)</f>
        <v>0</v>
      </c>
      <c r="T1471" s="553">
        <f>'Foglio deposito bis'!$F$71*IF(ABS(N1471)&lt;'Progetto del paramento slu'!$G$58,ABS(N1471)*'Progetto del paramento slu'!$G$54,'Progetto del paramento slu'!$G$53)*IF(N1471&lt;0,-1,1)</f>
        <v>258904.52194444573</v>
      </c>
      <c r="U1471" s="553">
        <f>'Foglio deposito bis'!$F$72*IF(ABS(O1471)&lt;'Progetto del paramento slu'!$G$58,ABS(O1471)*'Progetto del paramento slu'!$G$54,'Progetto del paramento slu'!$G$53)*IF(O1471&lt;0,-1,1)</f>
        <v>96187.321189680588</v>
      </c>
      <c r="V1471" s="479">
        <f t="shared" si="110"/>
        <v>-3060615.4608539585</v>
      </c>
      <c r="W1471" s="559"/>
      <c r="X1471" s="559"/>
    </row>
    <row r="1472" spans="1:24" x14ac:dyDescent="0.25">
      <c r="A1472" s="553">
        <f t="shared" si="109"/>
        <v>3152163.1047455845</v>
      </c>
      <c r="B1472" s="3">
        <f t="shared" si="107"/>
        <v>58.899999999999942</v>
      </c>
      <c r="C1472" s="553">
        <f>'Foglio deposito bis'!$E$158/sezione!$B$247*B1472</f>
        <v>239.11088633288207</v>
      </c>
      <c r="D1472" s="611">
        <f>-'Progetto del paramento slu'!$G$47*'Progetto del paramento slu'!$G$41*IF(DATI!$G$218="dx",DATI!$E$61,DATI!$E$64*DATI!$E$63)*1000*C1472^2*sezione!$AD$5*(1-sezione!$AD$6)</f>
        <v>-470656485.68479979</v>
      </c>
      <c r="E1472" s="553">
        <f>-'Foglio deposito bis'!$F$68*(C1472-sezione!$AL$32)*IF(ABS(K1472)&lt;'Progetto del paramento slu'!$G$58,ABS(K1472)*'Progetto del paramento slu'!$G$54,'Progetto del paramento slu'!$G$53)</f>
        <v>0</v>
      </c>
      <c r="F1472" s="553">
        <f>-'Foglio deposito bis'!$F$69*(C1472-sezione!$AM$32)*IF(ABS(L1472)&lt;'Progetto del paramento slu'!$G$58,ABS(L1472)*'Progetto del paramento slu'!$G$54,'Progetto del paramento slu'!$G$53)</f>
        <v>-9402802.7971463427</v>
      </c>
      <c r="G1472" s="553">
        <f>-'Foglio deposito bis'!$F$70*(C1472-sezione!$AN$32)*IF(ABS(M1472)&lt;'Progetto del paramento slu'!$G$58,ABS(M1472)*'Progetto del paramento slu'!$G$54,'Progetto del paramento slu'!$G$53)</f>
        <v>0</v>
      </c>
      <c r="H1472" s="553">
        <f>-'Foglio deposito bis'!$F$71*(C1472-sezione!$AO$32)*IF(ABS(N1472)&lt;'Progetto del paramento slu'!$G$58,ABS(N1472)*'Progetto del paramento slu'!$G$54,'Progetto del paramento slu'!$G$53)</f>
        <v>24683933.446711719</v>
      </c>
      <c r="I1472" s="479">
        <f>-'Foglio deposito bis'!$F$72*(C1472-sezione!$AP$32)*IF(ABS(O1472)&lt;'Progetto del paramento slu'!$G$58,ABS(O1472)*'Progetto del paramento slu'!$G$54,'Progetto del paramento slu'!$G$53)</f>
        <v>1654221.5928696955</v>
      </c>
      <c r="J1472" s="479">
        <f t="shared" si="108"/>
        <v>-453721133.44236469</v>
      </c>
      <c r="K1472" s="558">
        <f>'Progetto del paramento slu'!$G$60*(sezione!$AL$32-C1472)/C1472</f>
        <v>-2.9144975908579219E-3</v>
      </c>
      <c r="L1472" s="558">
        <f>'Progetto del paramento slu'!$G$60*(sezione!$AM$32-C1472)/C1472</f>
        <v>-1.3043659657172081E-3</v>
      </c>
      <c r="M1472" s="559">
        <f>'Progetto del paramento slu'!$G$60*(sezione!$AN$32-C1472)/C1472</f>
        <v>3.057656594235063E-4</v>
      </c>
      <c r="N1472" s="559">
        <f>'Progetto del paramento slu'!$G$60*(sezione!$AO$32-C1472)/C1472</f>
        <v>1.4767704777076621E-3</v>
      </c>
      <c r="O1472" s="559">
        <f>'Progetto del paramento slu'!$G$60*(sezione!$AP$32-C1472)/C1472</f>
        <v>3.0583884722464733E-4</v>
      </c>
      <c r="P1472" s="553">
        <f>-'Progetto del paramento slu'!$G$47*'Progetto del paramento slu'!$G$41*IF(DATI!$G$218="dx",DATI!$E$61,DATI!$E$64*DATI!$E$63)*1000*C1472*sezione!$AD$5</f>
        <v>-3370480.751550809</v>
      </c>
      <c r="Q1472" s="553">
        <f>'Foglio deposito bis'!$F$68*IF(ABS(K1472)&lt;'Progetto del paramento slu'!$G$58,ABS(K1472)*'Progetto del paramento slu'!$G$54,'Progetto del paramento slu'!$G$53)*IF(K1472&lt;0,-1,1)</f>
        <v>0</v>
      </c>
      <c r="R1472" s="553">
        <f>'Foglio deposito bis'!$F$69*IF(ABS(L1472)&lt;'Progetto del paramento slu'!$G$58,ABS(L1472)*'Progetto del paramento slu'!$G$54,'Progetto del paramento slu'!$G$53)*IF(L1472&lt;0,-1,1)</f>
        <v>-105518.00328886071</v>
      </c>
      <c r="S1472" s="553">
        <f>'Foglio deposito bis'!$F$70*IF(ABS(M1472)&lt;'Progetto del paramento slu'!$G$58,ABS(M1472)*'Progetto del paramento slu'!$G$54,'Progetto del paramento slu'!$G$53)*IF(M1472&lt;0,-1,1)</f>
        <v>0</v>
      </c>
      <c r="T1472" s="553">
        <f>'Foglio deposito bis'!$F$71*IF(ABS(N1472)&lt;'Progetto del paramento slu'!$G$58,ABS(N1472)*'Progetto del paramento slu'!$G$54,'Progetto del paramento slu'!$G$53)*IF(N1472&lt;0,-1,1)</f>
        <v>244663.99346272362</v>
      </c>
      <c r="U1472" s="553">
        <f>'Foglio deposito bis'!$F$72*IF(ABS(O1472)&lt;'Progetto del paramento slu'!$G$58,ABS(O1472)*'Progetto del paramento slu'!$G$54,'Progetto del paramento slu'!$G$53)*IF(O1472&lt;0,-1,1)</f>
        <v>79171.656631361824</v>
      </c>
      <c r="V1472" s="479">
        <f t="shared" si="110"/>
        <v>-3152163.1047455845</v>
      </c>
      <c r="W1472" s="559"/>
      <c r="X1472" s="559"/>
    </row>
    <row r="1473" spans="1:24" x14ac:dyDescent="0.25">
      <c r="A1473" s="553">
        <f t="shared" si="109"/>
        <v>3242564.7098381566</v>
      </c>
      <c r="B1473" s="3">
        <f t="shared" si="107"/>
        <v>59.899999999999942</v>
      </c>
      <c r="C1473" s="553">
        <f>'Foglio deposito bis'!$E$158/sezione!$B$247*B1473</f>
        <v>243.17049391068994</v>
      </c>
      <c r="D1473" s="611">
        <f>-'Progetto del paramento slu'!$G$47*'Progetto del paramento slu'!$G$41*IF(DATI!$G$218="dx",DATI!$E$61,DATI!$E$64*DATI!$E$63)*1000*C1473^2*sezione!$AD$5*(1-sezione!$AD$6)</f>
        <v>-486773696.95173228</v>
      </c>
      <c r="E1473" s="553">
        <f>-'Foglio deposito bis'!$F$68*(C1473-sezione!$AL$32)*IF(ABS(K1473)&lt;'Progetto del paramento slu'!$G$58,ABS(K1473)*'Progetto del paramento slu'!$G$54,'Progetto del paramento slu'!$G$53)</f>
        <v>0</v>
      </c>
      <c r="F1473" s="553">
        <f>-'Foglio deposito bis'!$F$69*(C1473-sezione!$AM$32)*IF(ABS(L1473)&lt;'Progetto del paramento slu'!$G$58,ABS(L1473)*'Progetto del paramento slu'!$G$54,'Progetto del paramento slu'!$G$53)</f>
        <v>-10107437.604973281</v>
      </c>
      <c r="G1473" s="553">
        <f>-'Foglio deposito bis'!$F$70*(C1473-sezione!$AN$32)*IF(ABS(M1473)&lt;'Progetto del paramento slu'!$G$58,ABS(M1473)*'Progetto del paramento slu'!$G$54,'Progetto del paramento slu'!$G$53)</f>
        <v>0</v>
      </c>
      <c r="H1473" s="553">
        <f>-'Foglio deposito bis'!$F$71*(C1473-sezione!$AO$32)*IF(ABS(N1473)&lt;'Progetto del paramento slu'!$G$58,ABS(N1473)*'Progetto del paramento slu'!$G$54,'Progetto del paramento slu'!$G$53)</f>
        <v>22357830.483772784</v>
      </c>
      <c r="I1473" s="479">
        <f>-'Foglio deposito bis'!$F$72*(C1473-sezione!$AP$32)*IF(ABS(O1473)&lt;'Progetto del paramento slu'!$G$58,ABS(O1473)*'Progetto del paramento slu'!$G$54,'Progetto del paramento slu'!$G$53)</f>
        <v>1055929.7111349211</v>
      </c>
      <c r="J1473" s="479">
        <f t="shared" si="108"/>
        <v>-473467374.36179781</v>
      </c>
      <c r="K1473" s="558">
        <f>'Progetto del paramento slu'!$G$60*(sezione!$AL$32-C1473)/C1473</f>
        <v>-2.9242722554512789E-3</v>
      </c>
      <c r="L1473" s="558">
        <f>'Progetto del paramento slu'!$G$60*(sezione!$AM$32-C1473)/C1473</f>
        <v>-1.3410209579422965E-3</v>
      </c>
      <c r="M1473" s="559">
        <f>'Progetto del paramento slu'!$G$60*(sezione!$AN$32-C1473)/C1473</f>
        <v>2.4223033956668615E-4</v>
      </c>
      <c r="N1473" s="559">
        <f>'Progetto del paramento slu'!$G$60*(sezione!$AO$32-C1473)/C1473</f>
        <v>1.393685828664128E-3</v>
      </c>
      <c r="O1473" s="559">
        <f>'Progetto del paramento slu'!$G$60*(sezione!$AP$32-C1473)/C1473</f>
        <v>2.42302305534753E-4</v>
      </c>
      <c r="P1473" s="553">
        <f>-'Progetto del paramento slu'!$G$47*'Progetto del paramento slu'!$G$41*IF(DATI!$G$218="dx",DATI!$E$61,DATI!$E$64*DATI!$E$63)*1000*C1473*sezione!$AD$5</f>
        <v>-3427704.533410755</v>
      </c>
      <c r="Q1473" s="553">
        <f>'Foglio deposito bis'!$F$68*IF(ABS(K1473)&lt;'Progetto del paramento slu'!$G$58,ABS(K1473)*'Progetto del paramento slu'!$G$54,'Progetto del paramento slu'!$G$53)*IF(K1473&lt;0,-1,1)</f>
        <v>0</v>
      </c>
      <c r="R1473" s="553">
        <f>'Foglio deposito bis'!$F$69*IF(ABS(L1473)&lt;'Progetto del paramento slu'!$G$58,ABS(L1473)*'Progetto del paramento slu'!$G$54,'Progetto del paramento slu'!$G$53)*IF(L1473&lt;0,-1,1)</f>
        <v>-108483.24593687273</v>
      </c>
      <c r="S1473" s="553">
        <f>'Foglio deposito bis'!$F$70*IF(ABS(M1473)&lt;'Progetto del paramento slu'!$G$58,ABS(M1473)*'Progetto del paramento slu'!$G$54,'Progetto del paramento slu'!$G$53)*IF(M1473&lt;0,-1,1)</f>
        <v>0</v>
      </c>
      <c r="T1473" s="553">
        <f>'Foglio deposito bis'!$F$71*IF(ABS(N1473)&lt;'Progetto del paramento slu'!$G$58,ABS(N1473)*'Progetto del paramento slu'!$G$54,'Progetto del paramento slu'!$G$53)*IF(N1473&lt;0,-1,1)</f>
        <v>230898.94172496541</v>
      </c>
      <c r="U1473" s="553">
        <f>'Foglio deposito bis'!$F$72*IF(ABS(O1473)&lt;'Progetto del paramento slu'!$G$58,ABS(O1473)*'Progetto del paramento slu'!$G$54,'Progetto del paramento slu'!$G$53)*IF(O1473&lt;0,-1,1)</f>
        <v>62724.127784506003</v>
      </c>
      <c r="V1473" s="479">
        <f t="shared" si="110"/>
        <v>-3242564.7098381566</v>
      </c>
      <c r="W1473" s="559"/>
      <c r="X1473" s="559"/>
    </row>
    <row r="1474" spans="1:24" x14ac:dyDescent="0.25">
      <c r="A1474" s="553">
        <f t="shared" si="109"/>
        <v>3331876.7312449273</v>
      </c>
      <c r="B1474" s="3">
        <f t="shared" si="107"/>
        <v>60.899999999999942</v>
      </c>
      <c r="C1474" s="553">
        <f>'Foglio deposito bis'!$E$158/sezione!$B$247*B1474</f>
        <v>247.23010148849778</v>
      </c>
      <c r="D1474" s="611">
        <f>-'Progetto del paramento slu'!$G$47*'Progetto del paramento slu'!$G$41*IF(DATI!$G$218="dx",DATI!$E$61,DATI!$E$64*DATI!$E$63)*1000*C1474^2*sezione!$AD$5*(1-sezione!$AD$6)</f>
        <v>-503162241.74167675</v>
      </c>
      <c r="E1474" s="553">
        <f>-'Foglio deposito bis'!$F$68*(C1474-sezione!$AL$32)*IF(ABS(K1474)&lt;'Progetto del paramento slu'!$G$58,ABS(K1474)*'Progetto del paramento slu'!$G$54,'Progetto del paramento slu'!$G$53)</f>
        <v>0</v>
      </c>
      <c r="F1474" s="553">
        <f>-'Foglio deposito bis'!$F$69*(C1474-sezione!$AM$32)*IF(ABS(L1474)&lt;'Progetto del paramento slu'!$G$58,ABS(L1474)*'Progetto del paramento slu'!$G$54,'Progetto del paramento slu'!$G$53)</f>
        <v>-10826679.519440666</v>
      </c>
      <c r="G1474" s="553">
        <f>-'Foglio deposito bis'!$F$70*(C1474-sezione!$AN$32)*IF(ABS(M1474)&lt;'Progetto del paramento slu'!$G$58,ABS(M1474)*'Progetto del paramento slu'!$G$54,'Progetto del paramento slu'!$G$53)</f>
        <v>0</v>
      </c>
      <c r="H1474" s="553">
        <f>-'Foglio deposito bis'!$F$71*(C1474-sezione!$AO$32)*IF(ABS(N1474)&lt;'Progetto del paramento slu'!$G$58,ABS(N1474)*'Progetto del paramento slu'!$G$54,'Progetto del paramento slu'!$G$53)</f>
        <v>20185425.963882729</v>
      </c>
      <c r="I1474" s="479">
        <f>-'Foglio deposito bis'!$F$72*(C1474-sezione!$AP$32)*IF(ABS(O1474)&lt;'Progetto del paramento slu'!$G$58,ABS(O1474)*'Progetto del paramento slu'!$G$54,'Progetto del paramento slu'!$G$53)</f>
        <v>598079.20010053634</v>
      </c>
      <c r="J1474" s="479">
        <f t="shared" si="108"/>
        <v>-493205416.09713411</v>
      </c>
      <c r="K1474" s="558">
        <f>'Progetto del paramento slu'!$G$60*(sezione!$AL$32-C1474)/C1474</f>
        <v>-2.933725912997235E-3</v>
      </c>
      <c r="L1474" s="558">
        <f>'Progetto del paramento slu'!$G$60*(sezione!$AM$32-C1474)/C1474</f>
        <v>-1.3764721737396315E-3</v>
      </c>
      <c r="M1474" s="559">
        <f>'Progetto del paramento slu'!$G$60*(sezione!$AN$32-C1474)/C1474</f>
        <v>1.8078156551797216E-4</v>
      </c>
      <c r="N1474" s="559">
        <f>'Progetto del paramento slu'!$G$60*(sezione!$AO$32-C1474)/C1474</f>
        <v>1.3133297395235021E-3</v>
      </c>
      <c r="O1474" s="559">
        <f>'Progetto del paramento slu'!$G$60*(sezione!$AP$32-C1474)/C1474</f>
        <v>1.8085234977884584E-4</v>
      </c>
      <c r="P1474" s="553">
        <f>-'Progetto del paramento slu'!$G$47*'Progetto del paramento slu'!$G$41*IF(DATI!$G$218="dx",DATI!$E$61,DATI!$E$64*DATI!$E$63)*1000*C1474*sezione!$AD$5</f>
        <v>-3484928.315270701</v>
      </c>
      <c r="Q1474" s="553">
        <f>'Foglio deposito bis'!$F$68*IF(ABS(K1474)&lt;'Progetto del paramento slu'!$G$58,ABS(K1474)*'Progetto del paramento slu'!$G$54,'Progetto del paramento slu'!$G$53)*IF(K1474&lt;0,-1,1)</f>
        <v>0</v>
      </c>
      <c r="R1474" s="553">
        <f>'Foglio deposito bis'!$F$69*IF(ABS(L1474)&lt;'Progetto del paramento slu'!$G$58,ABS(L1474)*'Progetto del paramento slu'!$G$54,'Progetto del paramento slu'!$G$53)*IF(L1474&lt;0,-1,1)</f>
        <v>-111351.10787394838</v>
      </c>
      <c r="S1474" s="553">
        <f>'Foglio deposito bis'!$F$70*IF(ABS(M1474)&lt;'Progetto del paramento slu'!$G$58,ABS(M1474)*'Progetto del paramento slu'!$G$54,'Progetto del paramento slu'!$G$53)*IF(M1474&lt;0,-1,1)</f>
        <v>0</v>
      </c>
      <c r="T1474" s="553">
        <f>'Foglio deposito bis'!$F$71*IF(ABS(N1474)&lt;'Progetto del paramento slu'!$G$58,ABS(N1474)*'Progetto del paramento slu'!$G$54,'Progetto del paramento slu'!$G$53)*IF(N1474&lt;0,-1,1)</f>
        <v>217585.94423146863</v>
      </c>
      <c r="U1474" s="553">
        <f>'Foglio deposito bis'!$F$72*IF(ABS(O1474)&lt;'Progetto del paramento slu'!$G$58,ABS(O1474)*'Progetto del paramento slu'!$G$54,'Progetto del paramento slu'!$G$53)*IF(O1474&lt;0,-1,1)</f>
        <v>46816.74766825312</v>
      </c>
      <c r="V1474" s="479">
        <f t="shared" si="110"/>
        <v>-3331876.7312449273</v>
      </c>
      <c r="W1474" s="559"/>
      <c r="X1474" s="559"/>
    </row>
    <row r="1475" spans="1:24" x14ac:dyDescent="0.25">
      <c r="A1475" s="553">
        <f t="shared" si="109"/>
        <v>3420151.97592967</v>
      </c>
      <c r="B1475" s="3">
        <f t="shared" si="107"/>
        <v>61.899999999999942</v>
      </c>
      <c r="C1475" s="553">
        <f>'Foglio deposito bis'!$E$158/sezione!$B$247*B1475</f>
        <v>251.28970906630565</v>
      </c>
      <c r="D1475" s="611">
        <f>-'Progetto del paramento slu'!$G$47*'Progetto del paramento slu'!$G$41*IF(DATI!$G$218="dx",DATI!$E$61,DATI!$E$64*DATI!$E$63)*1000*C1475^2*sezione!$AD$5*(1-sezione!$AD$6)</f>
        <v>-519822120.05463392</v>
      </c>
      <c r="E1475" s="553">
        <f>-'Foglio deposito bis'!$F$68*(C1475-sezione!$AL$32)*IF(ABS(K1475)&lt;'Progetto del paramento slu'!$G$58,ABS(K1475)*'Progetto del paramento slu'!$G$54,'Progetto del paramento slu'!$G$53)</f>
        <v>0</v>
      </c>
      <c r="F1475" s="553">
        <f>-'Foglio deposito bis'!$F$69*(C1475-sezione!$AM$32)*IF(ABS(L1475)&lt;'Progetto del paramento slu'!$G$58,ABS(L1475)*'Progetto del paramento slu'!$G$54,'Progetto del paramento slu'!$G$53)</f>
        <v>-11559820.603231525</v>
      </c>
      <c r="G1475" s="553">
        <f>-'Foglio deposito bis'!$F$70*(C1475-sezione!$AN$32)*IF(ABS(M1475)&lt;'Progetto del paramento slu'!$G$58,ABS(M1475)*'Progetto del paramento slu'!$G$54,'Progetto del paramento slu'!$G$53)</f>
        <v>0</v>
      </c>
      <c r="H1475" s="553">
        <f>-'Foglio deposito bis'!$F$71*(C1475-sezione!$AO$32)*IF(ABS(N1475)&lt;'Progetto del paramento slu'!$G$58,ABS(N1475)*'Progetto del paramento slu'!$G$54,'Progetto del paramento slu'!$G$53)</f>
        <v>18159270.851029452</v>
      </c>
      <c r="I1475" s="479">
        <f>-'Foglio deposito bis'!$F$72*(C1475-sezione!$AP$32)*IF(ABS(O1475)&lt;'Progetto del paramento slu'!$G$58,ABS(O1475)*'Progetto del paramento slu'!$G$54,'Progetto del paramento slu'!$G$53)</f>
        <v>273863.53129963327</v>
      </c>
      <c r="J1475" s="479">
        <f t="shared" si="108"/>
        <v>-512948806.27553636</v>
      </c>
      <c r="K1475" s="558">
        <f>'Progetto del paramento slu'!$G$60*(sezione!$AL$32-C1475)/C1475</f>
        <v>-2.9428741211879102E-3</v>
      </c>
      <c r="L1475" s="558">
        <f>'Progetto del paramento slu'!$G$60*(sezione!$AM$32-C1475)/C1475</f>
        <v>-1.4107779544546618E-3</v>
      </c>
      <c r="M1475" s="559">
        <f>'Progetto del paramento slu'!$G$60*(sezione!$AN$32-C1475)/C1475</f>
        <v>1.2131821227858619E-4</v>
      </c>
      <c r="N1475" s="559">
        <f>'Progetto del paramento slu'!$G$60*(sezione!$AO$32-C1475)/C1475</f>
        <v>1.2355699699027668E-3</v>
      </c>
      <c r="O1475" s="559">
        <f>'Progetto del paramento slu'!$G$60*(sezione!$AP$32-C1475)/C1475</f>
        <v>1.2138785301343606E-4</v>
      </c>
      <c r="P1475" s="553">
        <f>-'Progetto del paramento slu'!$G$47*'Progetto del paramento slu'!$G$41*IF(DATI!$G$218="dx",DATI!$E$61,DATI!$E$64*DATI!$E$63)*1000*C1475*sezione!$AD$5</f>
        <v>-3542152.0971306474</v>
      </c>
      <c r="Q1475" s="553">
        <f>'Foglio deposito bis'!$F$68*IF(ABS(K1475)&lt;'Progetto del paramento slu'!$G$58,ABS(K1475)*'Progetto del paramento slu'!$G$54,'Progetto del paramento slu'!$G$53)*IF(K1475&lt;0,-1,1)</f>
        <v>0</v>
      </c>
      <c r="R1475" s="553">
        <f>'Foglio deposito bis'!$F$69*IF(ABS(L1475)&lt;'Progetto del paramento slu'!$G$58,ABS(L1475)*'Progetto del paramento slu'!$G$54,'Progetto del paramento slu'!$G$53)*IF(L1475&lt;0,-1,1)</f>
        <v>-114126.30868220094</v>
      </c>
      <c r="S1475" s="553">
        <f>'Foglio deposito bis'!$F$70*IF(ABS(M1475)&lt;'Progetto del paramento slu'!$G$58,ABS(M1475)*'Progetto del paramento slu'!$G$54,'Progetto del paramento slu'!$G$53)*IF(M1475&lt;0,-1,1)</f>
        <v>0</v>
      </c>
      <c r="T1475" s="553">
        <f>'Foglio deposito bis'!$F$71*IF(ABS(N1475)&lt;'Progetto del paramento slu'!$G$58,ABS(N1475)*'Progetto del paramento slu'!$G$54,'Progetto del paramento slu'!$G$53)*IF(N1475&lt;0,-1,1)</f>
        <v>204703.09205278591</v>
      </c>
      <c r="U1475" s="553">
        <f>'Foglio deposito bis'!$F$72*IF(ABS(O1475)&lt;'Progetto del paramento slu'!$G$58,ABS(O1475)*'Progetto del paramento slu'!$G$54,'Progetto del paramento slu'!$G$53)*IF(O1475&lt;0,-1,1)</f>
        <v>31423.337830392786</v>
      </c>
      <c r="V1475" s="479">
        <f t="shared" si="110"/>
        <v>-3420151.97592967</v>
      </c>
      <c r="W1475" s="559"/>
      <c r="X1475" s="559"/>
    </row>
    <row r="1476" spans="1:24" x14ac:dyDescent="0.25">
      <c r="A1476" s="553">
        <f t="shared" si="109"/>
        <v>3507439.8927026521</v>
      </c>
      <c r="B1476" s="3">
        <f t="shared" si="107"/>
        <v>62.899999999999942</v>
      </c>
      <c r="C1476" s="553">
        <f>'Foglio deposito bis'!$E$158/sezione!$B$247*B1476</f>
        <v>255.34931664411349</v>
      </c>
      <c r="D1476" s="611">
        <f>-'Progetto del paramento slu'!$G$47*'Progetto del paramento slu'!$G$41*IF(DATI!$G$218="dx",DATI!$E$61,DATI!$E$64*DATI!$E$63)*1000*C1476^2*sezione!$AD$5*(1-sezione!$AD$6)</f>
        <v>-536753331.89060313</v>
      </c>
      <c r="E1476" s="553">
        <f>-'Foglio deposito bis'!$F$68*(C1476-sezione!$AL$32)*IF(ABS(K1476)&lt;'Progetto del paramento slu'!$G$58,ABS(K1476)*'Progetto del paramento slu'!$G$54,'Progetto del paramento slu'!$G$53)</f>
        <v>0</v>
      </c>
      <c r="F1476" s="553">
        <f>-'Foglio deposito bis'!$F$69*(C1476-sezione!$AM$32)*IF(ABS(L1476)&lt;'Progetto del paramento slu'!$G$58,ABS(L1476)*'Progetto del paramento slu'!$G$54,'Progetto del paramento slu'!$G$53)</f>
        <v>-12306197.938890038</v>
      </c>
      <c r="G1476" s="553">
        <f>-'Foglio deposito bis'!$F$70*(C1476-sezione!$AN$32)*IF(ABS(M1476)&lt;'Progetto del paramento slu'!$G$58,ABS(M1476)*'Progetto del paramento slu'!$G$54,'Progetto del paramento slu'!$G$53)</f>
        <v>0</v>
      </c>
      <c r="H1476" s="553">
        <f>-'Foglio deposito bis'!$F$71*(C1476-sezione!$AO$32)*IF(ABS(N1476)&lt;'Progetto del paramento slu'!$G$58,ABS(N1476)*'Progetto del paramento slu'!$G$54,'Progetto del paramento slu'!$G$53)</f>
        <v>16272389.815783571</v>
      </c>
      <c r="I1476" s="479">
        <f>-'Foglio deposito bis'!$F$72*(C1476-sezione!$AP$32)*IF(ABS(O1476)&lt;'Progetto del paramento slu'!$G$58,ABS(O1476)*'Progetto del paramento slu'!$G$54,'Progetto del paramento slu'!$G$53)</f>
        <v>76909.023862575326</v>
      </c>
      <c r="J1476" s="479">
        <f t="shared" si="108"/>
        <v>-532710230.989847</v>
      </c>
      <c r="K1476" s="558">
        <f>'Progetto del paramento slu'!$G$60*(sezione!$AL$32-C1476)/C1476</f>
        <v>-2.9517314483550336E-3</v>
      </c>
      <c r="L1476" s="558">
        <f>'Progetto del paramento slu'!$G$60*(sezione!$AM$32-C1476)/C1476</f>
        <v>-1.4439929313313762E-3</v>
      </c>
      <c r="M1476" s="559">
        <f>'Progetto del paramento slu'!$G$60*(sezione!$AN$32-C1476)/C1476</f>
        <v>6.3745585692281275E-5</v>
      </c>
      <c r="N1476" s="559">
        <f>'Progetto del paramento slu'!$G$60*(sezione!$AO$32-C1476)/C1476</f>
        <v>1.1602826889822141E-3</v>
      </c>
      <c r="O1476" s="559">
        <f>'Progetto del paramento slu'!$G$60*(sezione!$AP$32-C1476)/C1476</f>
        <v>6.3814119261235256E-5</v>
      </c>
      <c r="P1476" s="553">
        <f>-'Progetto del paramento slu'!$G$47*'Progetto del paramento slu'!$G$41*IF(DATI!$G$218="dx",DATI!$E$61,DATI!$E$64*DATI!$E$63)*1000*C1476*sezione!$AD$5</f>
        <v>-3599375.8789905929</v>
      </c>
      <c r="Q1476" s="553">
        <f>'Foglio deposito bis'!$F$68*IF(ABS(K1476)&lt;'Progetto del paramento slu'!$G$58,ABS(K1476)*'Progetto del paramento slu'!$G$54,'Progetto del paramento slu'!$G$53)*IF(K1476&lt;0,-1,1)</f>
        <v>0</v>
      </c>
      <c r="R1476" s="553">
        <f>'Foglio deposito bis'!$F$69*IF(ABS(L1476)&lt;'Progetto del paramento slu'!$G$58,ABS(L1476)*'Progetto del paramento slu'!$G$54,'Progetto del paramento slu'!$G$53)*IF(L1476&lt;0,-1,1)</f>
        <v>-116813.26781133574</v>
      </c>
      <c r="S1476" s="553">
        <f>'Foglio deposito bis'!$F$70*IF(ABS(M1476)&lt;'Progetto del paramento slu'!$G$58,ABS(M1476)*'Progetto del paramento slu'!$G$54,'Progetto del paramento slu'!$G$53)*IF(M1476&lt;0,-1,1)</f>
        <v>0</v>
      </c>
      <c r="T1476" s="553">
        <f>'Foglio deposito bis'!$F$71*IF(ABS(N1476)&lt;'Progetto del paramento slu'!$G$58,ABS(N1476)*'Progetto del paramento slu'!$G$54,'Progetto del paramento slu'!$G$53)*IF(N1476&lt;0,-1,1)</f>
        <v>192229.86951412493</v>
      </c>
      <c r="U1476" s="553">
        <f>'Foglio deposito bis'!$F$72*IF(ABS(O1476)&lt;'Progetto del paramento slu'!$G$58,ABS(O1476)*'Progetto del paramento slu'!$G$54,'Progetto del paramento slu'!$G$53)*IF(O1476&lt;0,-1,1)</f>
        <v>16519.384585151329</v>
      </c>
      <c r="V1476" s="479">
        <f t="shared" si="110"/>
        <v>-3507439.8927026521</v>
      </c>
      <c r="W1476" s="559"/>
      <c r="X1476" s="559"/>
    </row>
    <row r="1477" spans="1:24" x14ac:dyDescent="0.25">
      <c r="A1477" s="553">
        <f t="shared" si="109"/>
        <v>3593786.8349869642</v>
      </c>
      <c r="B1477" s="3">
        <f t="shared" si="107"/>
        <v>63.899999999999942</v>
      </c>
      <c r="C1477" s="553">
        <f>'Foglio deposito bis'!$E$158/sezione!$B$247*B1477</f>
        <v>259.40892422192132</v>
      </c>
      <c r="D1477" s="611">
        <f>-'Progetto del paramento slu'!$G$47*'Progetto del paramento slu'!$G$41*IF(DATI!$G$218="dx",DATI!$E$61,DATI!$E$64*DATI!$E$63)*1000*C1477^2*sezione!$AD$5*(1-sezione!$AD$6)</f>
        <v>-553955877.24958456</v>
      </c>
      <c r="E1477" s="553">
        <f>-'Foglio deposito bis'!$F$68*(C1477-sezione!$AL$32)*IF(ABS(K1477)&lt;'Progetto del paramento slu'!$G$58,ABS(K1477)*'Progetto del paramento slu'!$G$54,'Progetto del paramento slu'!$G$53)</f>
        <v>0</v>
      </c>
      <c r="F1477" s="553">
        <f>-'Foglio deposito bis'!$F$69*(C1477-sezione!$AM$32)*IF(ABS(L1477)&lt;'Progetto del paramento slu'!$G$58,ABS(L1477)*'Progetto del paramento slu'!$G$54,'Progetto del paramento slu'!$G$53)</f>
        <v>-13065190.106140733</v>
      </c>
      <c r="G1477" s="553">
        <f>-'Foglio deposito bis'!$F$70*(C1477-sezione!$AN$32)*IF(ABS(M1477)&lt;'Progetto del paramento slu'!$G$58,ABS(M1477)*'Progetto del paramento slu'!$G$54,'Progetto del paramento slu'!$G$53)</f>
        <v>0</v>
      </c>
      <c r="H1477" s="553">
        <f>-'Foglio deposito bis'!$F$71*(C1477-sezione!$AO$32)*IF(ABS(N1477)&lt;'Progetto del paramento slu'!$G$58,ABS(N1477)*'Progetto del paramento slu'!$G$54,'Progetto del paramento slu'!$G$53)</f>
        <v>14518244.169055518</v>
      </c>
      <c r="I1477" s="479">
        <f>-'Foglio deposito bis'!$F$72*(C1477-sezione!$AP$32)*IF(ABS(O1477)&lt;'Progetto del paramento slu'!$G$58,ABS(O1477)*'Progetto del paramento slu'!$G$54,'Progetto del paramento slu'!$G$53)</f>
        <v>1240.975377911634</v>
      </c>
      <c r="J1477" s="479">
        <f t="shared" si="108"/>
        <v>-552501582.21129191</v>
      </c>
      <c r="K1477" s="558">
        <f>'Progetto del paramento slu'!$G$60*(sezione!$AL$32-C1477)/C1477</f>
        <v>-2.9603115508846888E-3</v>
      </c>
      <c r="L1477" s="558">
        <f>'Progetto del paramento slu'!$G$60*(sezione!$AM$32-C1477)/C1477</f>
        <v>-1.4761683158175832E-3</v>
      </c>
      <c r="M1477" s="559">
        <f>'Progetto del paramento slu'!$G$60*(sezione!$AN$32-C1477)/C1477</f>
        <v>7.9749192495226527E-6</v>
      </c>
      <c r="N1477" s="559">
        <f>'Progetto del paramento slu'!$G$60*(sezione!$AO$32-C1477)/C1477</f>
        <v>1.0873518174801448E-3</v>
      </c>
      <c r="O1477" s="559">
        <f>'Progetto del paramento slu'!$G$60*(sezione!$AP$32-C1477)/C1477</f>
        <v>8.0423803056604717E-6</v>
      </c>
      <c r="P1477" s="553">
        <f>-'Progetto del paramento slu'!$G$47*'Progetto del paramento slu'!$G$41*IF(DATI!$G$218="dx",DATI!$E$61,DATI!$E$64*DATI!$E$63)*1000*C1477*sezione!$AD$5</f>
        <v>-3656599.6608505384</v>
      </c>
      <c r="Q1477" s="553">
        <f>'Foglio deposito bis'!$F$68*IF(ABS(K1477)&lt;'Progetto del paramento slu'!$G$58,ABS(K1477)*'Progetto del paramento slu'!$G$54,'Progetto del paramento slu'!$G$53)*IF(K1477&lt;0,-1,1)</f>
        <v>0</v>
      </c>
      <c r="R1477" s="553">
        <f>'Foglio deposito bis'!$F$69*IF(ABS(L1477)&lt;'Progetto del paramento slu'!$G$58,ABS(L1477)*'Progetto del paramento slu'!$G$54,'Progetto del paramento slu'!$G$53)*IF(L1477&lt;0,-1,1)</f>
        <v>-119416.1280631893</v>
      </c>
      <c r="S1477" s="553">
        <f>'Foglio deposito bis'!$F$70*IF(ABS(M1477)&lt;'Progetto del paramento slu'!$G$58,ABS(M1477)*'Progetto del paramento slu'!$G$54,'Progetto del paramento slu'!$G$53)*IF(M1477&lt;0,-1,1)</f>
        <v>0</v>
      </c>
      <c r="T1477" s="553">
        <f>'Foglio deposito bis'!$F$71*IF(ABS(N1477)&lt;'Progetto del paramento slu'!$G$58,ABS(N1477)*'Progetto del paramento slu'!$G$54,'Progetto del paramento slu'!$G$53)*IF(N1477&lt;0,-1,1)</f>
        <v>180147.04517698695</v>
      </c>
      <c r="U1477" s="553">
        <f>'Foglio deposito bis'!$F$72*IF(ABS(O1477)&lt;'Progetto del paramento slu'!$G$58,ABS(O1477)*'Progetto del paramento slu'!$G$54,'Progetto del paramento slu'!$G$53)*IF(O1477&lt;0,-1,1)</f>
        <v>2081.9087497765854</v>
      </c>
      <c r="V1477" s="479">
        <f t="shared" si="110"/>
        <v>-3593786.8349869642</v>
      </c>
      <c r="W1477" s="559"/>
      <c r="X1477" s="559"/>
    </row>
    <row r="1478" spans="1:24" x14ac:dyDescent="0.25">
      <c r="A1478" s="553">
        <f t="shared" si="109"/>
        <v>3679236.2992920978</v>
      </c>
      <c r="B1478" s="3">
        <f t="shared" si="107"/>
        <v>64.899999999999949</v>
      </c>
      <c r="C1478" s="553">
        <f>'Foglio deposito bis'!$E$158/sezione!$B$247*B1478</f>
        <v>263.46853179972919</v>
      </c>
      <c r="D1478" s="611">
        <f>-'Progetto del paramento slu'!$G$47*'Progetto del paramento slu'!$G$41*IF(DATI!$G$218="dx",DATI!$E$61,DATI!$E$64*DATI!$E$63)*1000*C1478^2*sezione!$AD$5*(1-sezione!$AD$6)</f>
        <v>-571429756.13157868</v>
      </c>
      <c r="E1478" s="553">
        <f>-'Foglio deposito bis'!$F$68*(C1478-sezione!$AL$32)*IF(ABS(K1478)&lt;'Progetto del paramento slu'!$G$58,ABS(K1478)*'Progetto del paramento slu'!$G$54,'Progetto del paramento slu'!$G$53)</f>
        <v>0</v>
      </c>
      <c r="F1478" s="553">
        <f>-'Foglio deposito bis'!$F$69*(C1478-sezione!$AM$32)*IF(ABS(L1478)&lt;'Progetto del paramento slu'!$G$58,ABS(L1478)*'Progetto del paramento slu'!$G$54,'Progetto del paramento slu'!$G$53)</f>
        <v>-13836213.984879198</v>
      </c>
      <c r="G1478" s="553">
        <f>-'Foglio deposito bis'!$F$70*(C1478-sezione!$AN$32)*IF(ABS(M1478)&lt;'Progetto del paramento slu'!$G$58,ABS(M1478)*'Progetto del paramento slu'!$G$54,'Progetto del paramento slu'!$G$53)</f>
        <v>0</v>
      </c>
      <c r="H1478" s="553">
        <f>-'Foglio deposito bis'!$F$71*(C1478-sezione!$AO$32)*IF(ABS(N1478)&lt;'Progetto del paramento slu'!$G$58,ABS(N1478)*'Progetto del paramento slu'!$G$54,'Progetto del paramento slu'!$G$53)</f>
        <v>12890698.222624131</v>
      </c>
      <c r="I1478" s="479">
        <f>-'Foglio deposito bis'!$F$72*(C1478-sezione!$AP$32)*IF(ABS(O1478)&lt;'Progetto del paramento slu'!$G$58,ABS(O1478)*'Progetto del paramento slu'!$G$54,'Progetto del paramento slu'!$G$53)</f>
        <v>-41252.923952620011</v>
      </c>
      <c r="J1478" s="479">
        <f t="shared" si="108"/>
        <v>-572416524.81778634</v>
      </c>
      <c r="K1478" s="558">
        <f>'Progetto del paramento slu'!$G$60*(sezione!$AL$32-C1478)/C1478</f>
        <v>-2.9686272434750636E-3</v>
      </c>
      <c r="L1478" s="558">
        <f>'Progetto del paramento slu'!$G$60*(sezione!$AM$32-C1478)/C1478</f>
        <v>-1.5073521630314878E-3</v>
      </c>
      <c r="M1478" s="559">
        <f>'Progetto del paramento slu'!$G$60*(sezione!$AN$32-C1478)/C1478</f>
        <v>-4.6077082587912494E-5</v>
      </c>
      <c r="N1478" s="559">
        <f>'Progetto del paramento slu'!$G$60*(sezione!$AO$32-C1478)/C1478</f>
        <v>1.0166684304619606E-3</v>
      </c>
      <c r="O1478" s="559">
        <f>'Progetto del paramento slu'!$G$60*(sezione!$AP$32-C1478)/C1478</f>
        <v>-4.6010660993348443E-5</v>
      </c>
      <c r="P1478" s="553">
        <f>-'Progetto del paramento slu'!$G$47*'Progetto del paramento slu'!$G$41*IF(DATI!$G$218="dx",DATI!$E$61,DATI!$E$64*DATI!$E$63)*1000*C1478*sezione!$AD$5</f>
        <v>-3713823.4427104848</v>
      </c>
      <c r="Q1478" s="553">
        <f>'Foglio deposito bis'!$F$68*IF(ABS(K1478)&lt;'Progetto del paramento slu'!$G$58,ABS(K1478)*'Progetto del paramento slu'!$G$54,'Progetto del paramento slu'!$G$53)*IF(K1478&lt;0,-1,1)</f>
        <v>0</v>
      </c>
      <c r="R1478" s="553">
        <f>'Foglio deposito bis'!$F$69*IF(ABS(L1478)&lt;'Progetto del paramento slu'!$G$58,ABS(L1478)*'Progetto del paramento slu'!$G$54,'Progetto del paramento slu'!$G$53)*IF(L1478&lt;0,-1,1)</f>
        <v>-121938.77690512445</v>
      </c>
      <c r="S1478" s="553">
        <f>'Foglio deposito bis'!$F$70*IF(ABS(M1478)&lt;'Progetto del paramento slu'!$G$58,ABS(M1478)*'Progetto del paramento slu'!$G$54,'Progetto del paramento slu'!$G$53)*IF(M1478&lt;0,-1,1)</f>
        <v>0</v>
      </c>
      <c r="T1478" s="553">
        <f>'Foglio deposito bis'!$F$71*IF(ABS(N1478)&lt;'Progetto del paramento slu'!$G$58,ABS(N1478)*'Progetto del paramento slu'!$G$54,'Progetto del paramento slu'!$G$53)*IF(N1478&lt;0,-1,1)</f>
        <v>168436.57289954508</v>
      </c>
      <c r="U1478" s="553">
        <f>'Foglio deposito bis'!$F$72*IF(ABS(O1478)&lt;'Progetto del paramento slu'!$G$58,ABS(O1478)*'Progetto del paramento slu'!$G$54,'Progetto del paramento slu'!$G$53)*IF(O1478&lt;0,-1,1)</f>
        <v>-11910.652576033546</v>
      </c>
      <c r="V1478" s="479">
        <f t="shared" si="110"/>
        <v>-3679236.2992920978</v>
      </c>
      <c r="W1478" s="559"/>
      <c r="X1478" s="559"/>
    </row>
    <row r="1479" spans="1:24" x14ac:dyDescent="0.25">
      <c r="A1479" s="553">
        <f t="shared" si="109"/>
        <v>3763829.1419752222</v>
      </c>
      <c r="B1479" s="3">
        <f t="shared" si="107"/>
        <v>65.899999999999949</v>
      </c>
      <c r="C1479" s="553">
        <f>'Foglio deposito bis'!$E$158/sezione!$B$247*B1479</f>
        <v>267.52813937753706</v>
      </c>
      <c r="D1479" s="611">
        <f>-'Progetto del paramento slu'!$G$47*'Progetto del paramento slu'!$G$41*IF(DATI!$G$218="dx",DATI!$E$61,DATI!$E$64*DATI!$E$63)*1000*C1479^2*sezione!$AD$5*(1-sezione!$AD$6)</f>
        <v>-589174968.53658521</v>
      </c>
      <c r="E1479" s="553">
        <f>-'Foglio deposito bis'!$F$68*(C1479-sezione!$AL$32)*IF(ABS(K1479)&lt;'Progetto del paramento slu'!$G$58,ABS(K1479)*'Progetto del paramento slu'!$G$54,'Progetto del paramento slu'!$G$53)</f>
        <v>0</v>
      </c>
      <c r="F1479" s="553">
        <f>-'Foglio deposito bis'!$F$69*(C1479-sezione!$AM$32)*IF(ABS(L1479)&lt;'Progetto del paramento slu'!$G$58,ABS(L1479)*'Progetto del paramento slu'!$G$54,'Progetto del paramento slu'!$G$53)</f>
        <v>-14618721.849241044</v>
      </c>
      <c r="G1479" s="553">
        <f>-'Foglio deposito bis'!$F$70*(C1479-sezione!$AN$32)*IF(ABS(M1479)&lt;'Progetto del paramento slu'!$G$58,ABS(M1479)*'Progetto del paramento slu'!$G$54,'Progetto del paramento slu'!$G$53)</f>
        <v>0</v>
      </c>
      <c r="H1479" s="553">
        <f>-'Foglio deposito bis'!$F$71*(C1479-sezione!$AO$32)*IF(ABS(N1479)&lt;'Progetto del paramento slu'!$G$58,ABS(N1479)*'Progetto del paramento slu'!$G$54,'Progetto del paramento slu'!$G$53)</f>
        <v>11383988.712439485</v>
      </c>
      <c r="I1479" s="479">
        <f>-'Foglio deposito bis'!$F$72*(C1479-sezione!$AP$32)*IF(ABS(O1479)&lt;'Progetto del paramento slu'!$G$58,ABS(O1479)*'Progetto del paramento slu'!$G$54,'Progetto del paramento slu'!$G$53)</f>
        <v>-191678.70887079672</v>
      </c>
      <c r="J1479" s="479">
        <f t="shared" si="108"/>
        <v>-592601380.38225746</v>
      </c>
      <c r="K1479" s="558">
        <f>'Progetto del paramento slu'!$G$60*(sezione!$AL$32-C1479)/C1479</f>
        <v>-2.9766905629974448E-3</v>
      </c>
      <c r="L1479" s="558">
        <f>'Progetto del paramento slu'!$G$60*(sezione!$AM$32-C1479)/C1479</f>
        <v>-1.5375896112404185E-3</v>
      </c>
      <c r="M1479" s="559">
        <f>'Progetto del paramento slu'!$G$60*(sezione!$AN$32-C1479)/C1479</f>
        <v>-9.84886594833921E-5</v>
      </c>
      <c r="N1479" s="559">
        <f>'Progetto del paramento slu'!$G$60*(sezione!$AO$32-C1479)/C1479</f>
        <v>9.4813021452171814E-4</v>
      </c>
      <c r="O1479" s="559">
        <f>'Progetto del paramento slu'!$G$60*(sezione!$AP$32-C1479)/C1479</f>
        <v>-9.842324580376832E-5</v>
      </c>
      <c r="P1479" s="553">
        <f>-'Progetto del paramento slu'!$G$47*'Progetto del paramento slu'!$G$41*IF(DATI!$G$218="dx",DATI!$E$61,DATI!$E$64*DATI!$E$63)*1000*C1479*sezione!$AD$5</f>
        <v>-3771047.2245704308</v>
      </c>
      <c r="Q1479" s="553">
        <f>'Foglio deposito bis'!$F$68*IF(ABS(K1479)&lt;'Progetto del paramento slu'!$G$58,ABS(K1479)*'Progetto del paramento slu'!$G$54,'Progetto del paramento slu'!$G$53)*IF(K1479&lt;0,-1,1)</f>
        <v>0</v>
      </c>
      <c r="R1479" s="553">
        <f>'Foglio deposito bis'!$F$69*IF(ABS(L1479)&lt;'Progetto del paramento slu'!$G$58,ABS(L1479)*'Progetto del paramento slu'!$G$54,'Progetto del paramento slu'!$G$53)*IF(L1479&lt;0,-1,1)</f>
        <v>-124384.86584290378</v>
      </c>
      <c r="S1479" s="553">
        <f>'Foglio deposito bis'!$F$70*IF(ABS(M1479)&lt;'Progetto del paramento slu'!$G$58,ABS(M1479)*'Progetto del paramento slu'!$G$54,'Progetto del paramento slu'!$G$53)*IF(M1479&lt;0,-1,1)</f>
        <v>0</v>
      </c>
      <c r="T1479" s="553">
        <f>'Foglio deposito bis'!$F$71*IF(ABS(N1479)&lt;'Progetto del paramento slu'!$G$58,ABS(N1479)*'Progetto del paramento slu'!$G$54,'Progetto del paramento slu'!$G$53)*IF(N1479&lt;0,-1,1)</f>
        <v>157081.50190518182</v>
      </c>
      <c r="U1479" s="553">
        <f>'Foglio deposito bis'!$F$72*IF(ABS(O1479)&lt;'Progetto del paramento slu'!$G$58,ABS(O1479)*'Progetto del paramento slu'!$G$54,'Progetto del paramento slu'!$G$53)*IF(O1479&lt;0,-1,1)</f>
        <v>-25478.553467069476</v>
      </c>
      <c r="V1479" s="479">
        <f t="shared" si="110"/>
        <v>-3763829.1419752222</v>
      </c>
      <c r="W1479" s="559"/>
      <c r="X1479" s="559"/>
    </row>
    <row r="1480" spans="1:24" x14ac:dyDescent="0.25">
      <c r="A1480" s="553">
        <f t="shared" si="109"/>
        <v>3847603.7765619894</v>
      </c>
      <c r="B1480" s="3">
        <f t="shared" si="107"/>
        <v>66.899999999999949</v>
      </c>
      <c r="C1480" s="553">
        <f>'Foglio deposito bis'!$E$158/sezione!$B$247*B1480</f>
        <v>271.58774695534493</v>
      </c>
      <c r="D1480" s="611">
        <f>-'Progetto del paramento slu'!$G$47*'Progetto del paramento slu'!$G$41*IF(DATI!$G$218="dx",DATI!$E$61,DATI!$E$64*DATI!$E$63)*1000*C1480^2*sezione!$AD$5*(1-sezione!$AD$6)</f>
        <v>-607191514.46460378</v>
      </c>
      <c r="E1480" s="553">
        <f>-'Foglio deposito bis'!$F$68*(C1480-sezione!$AL$32)*IF(ABS(K1480)&lt;'Progetto del paramento slu'!$G$58,ABS(K1480)*'Progetto del paramento slu'!$G$54,'Progetto del paramento slu'!$G$53)</f>
        <v>0</v>
      </c>
      <c r="F1480" s="553">
        <f>-'Foglio deposito bis'!$F$69*(C1480-sezione!$AM$32)*IF(ABS(L1480)&lt;'Progetto del paramento slu'!$G$58,ABS(L1480)*'Progetto del paramento slu'!$G$54,'Progetto del paramento slu'!$G$53)</f>
        <v>-15412198.722292481</v>
      </c>
      <c r="G1480" s="553">
        <f>-'Foglio deposito bis'!$F$70*(C1480-sezione!$AN$32)*IF(ABS(M1480)&lt;'Progetto del paramento slu'!$G$58,ABS(M1480)*'Progetto del paramento slu'!$G$54,'Progetto del paramento slu'!$G$53)</f>
        <v>0</v>
      </c>
      <c r="H1480" s="553">
        <f>-'Foglio deposito bis'!$F$71*(C1480-sezione!$AO$32)*IF(ABS(N1480)&lt;'Progetto del paramento slu'!$G$58,ABS(N1480)*'Progetto del paramento slu'!$G$54,'Progetto del paramento slu'!$G$53)</f>
        <v>9992696.9642304294</v>
      </c>
      <c r="I1480" s="479">
        <f>-'Foglio deposito bis'!$F$72*(C1480-sezione!$AP$32)*IF(ABS(O1480)&lt;'Progetto del paramento slu'!$G$58,ABS(O1480)*'Progetto del paramento slu'!$G$54,'Progetto del paramento slu'!$G$53)</f>
        <v>-447567.03702286916</v>
      </c>
      <c r="J1480" s="479">
        <f t="shared" si="108"/>
        <v>-613058583.25968862</v>
      </c>
      <c r="K1480" s="558">
        <f>'Progetto del paramento slu'!$G$60*(sezione!$AL$32-C1480)/C1480</f>
        <v>-2.9845128266297702E-3</v>
      </c>
      <c r="L1480" s="558">
        <f>'Progetto del paramento slu'!$G$60*(sezione!$AM$32-C1480)/C1480</f>
        <v>-1.5669230998616381E-3</v>
      </c>
      <c r="M1480" s="559">
        <f>'Progetto del paramento slu'!$G$60*(sezione!$AN$32-C1480)/C1480</f>
        <v>-1.4933337309350607E-4</v>
      </c>
      <c r="N1480" s="559">
        <f>'Progetto del paramento slu'!$G$60*(sezione!$AO$32-C1480)/C1480</f>
        <v>8.8164097364695358E-4</v>
      </c>
      <c r="O1480" s="559">
        <f>'Progetto del paramento slu'!$G$60*(sezione!$AP$32-C1480)/C1480</f>
        <v>-1.4926893719683631E-4</v>
      </c>
      <c r="P1480" s="553">
        <f>-'Progetto del paramento slu'!$G$47*'Progetto del paramento slu'!$G$41*IF(DATI!$G$218="dx",DATI!$E$61,DATI!$E$64*DATI!$E$63)*1000*C1480*sezione!$AD$5</f>
        <v>-3828271.0064303773</v>
      </c>
      <c r="Q1480" s="553">
        <f>'Foglio deposito bis'!$F$68*IF(ABS(K1480)&lt;'Progetto del paramento slu'!$G$58,ABS(K1480)*'Progetto del paramento slu'!$G$54,'Progetto del paramento slu'!$G$53)*IF(K1480&lt;0,-1,1)</f>
        <v>0</v>
      </c>
      <c r="R1480" s="553">
        <f>'Foglio deposito bis'!$F$69*IF(ABS(L1480)&lt;'Progetto del paramento slu'!$G$58,ABS(L1480)*'Progetto del paramento slu'!$G$54,'Progetto del paramento slu'!$G$53)*IF(L1480&lt;0,-1,1)</f>
        <v>-126757.82805608578</v>
      </c>
      <c r="S1480" s="553">
        <f>'Foglio deposito bis'!$F$70*IF(ABS(M1480)&lt;'Progetto del paramento slu'!$G$58,ABS(M1480)*'Progetto del paramento slu'!$G$54,'Progetto del paramento slu'!$G$53)*IF(M1480&lt;0,-1,1)</f>
        <v>0</v>
      </c>
      <c r="T1480" s="553">
        <f>'Foglio deposito bis'!$F$71*IF(ABS(N1480)&lt;'Progetto del paramento slu'!$G$58,ABS(N1480)*'Progetto del paramento slu'!$G$54,'Progetto del paramento slu'!$G$53)*IF(N1480&lt;0,-1,1)</f>
        <v>146065.89491662913</v>
      </c>
      <c r="U1480" s="553">
        <f>'Foglio deposito bis'!$F$72*IF(ABS(O1480)&lt;'Progetto del paramento slu'!$G$58,ABS(O1480)*'Progetto del paramento slu'!$G$54,'Progetto del paramento slu'!$G$53)*IF(O1480&lt;0,-1,1)</f>
        <v>-38640.836992155142</v>
      </c>
      <c r="V1480" s="479">
        <f t="shared" si="110"/>
        <v>-3847603.7765619894</v>
      </c>
      <c r="W1480" s="559"/>
      <c r="X1480" s="559"/>
    </row>
    <row r="1481" spans="1:24" x14ac:dyDescent="0.25">
      <c r="A1481" s="553">
        <f t="shared" si="109"/>
        <v>3930596.353631027</v>
      </c>
      <c r="B1481" s="3">
        <f t="shared" si="107"/>
        <v>67.899999999999949</v>
      </c>
      <c r="C1481" s="553">
        <f>'Foglio deposito bis'!$E$158/sezione!$B$247*B1481</f>
        <v>275.64735453315274</v>
      </c>
      <c r="D1481" s="611">
        <f>-'Progetto del paramento slu'!$G$47*'Progetto del paramento slu'!$G$41*IF(DATI!$G$218="dx",DATI!$E$61,DATI!$E$64*DATI!$E$63)*1000*C1481^2*sezione!$AD$5*(1-sezione!$AD$6)</f>
        <v>-625479393.91563463</v>
      </c>
      <c r="E1481" s="553">
        <f>-'Foglio deposito bis'!$F$68*(C1481-sezione!$AL$32)*IF(ABS(K1481)&lt;'Progetto del paramento slu'!$G$58,ABS(K1481)*'Progetto del paramento slu'!$G$54,'Progetto del paramento slu'!$G$53)</f>
        <v>0</v>
      </c>
      <c r="F1481" s="553">
        <f>-'Foglio deposito bis'!$F$69*(C1481-sezione!$AM$32)*IF(ABS(L1481)&lt;'Progetto del paramento slu'!$G$58,ABS(L1481)*'Progetto del paramento slu'!$G$54,'Progetto del paramento slu'!$G$53)</f>
        <v>-16216159.964474313</v>
      </c>
      <c r="G1481" s="553">
        <f>-'Foglio deposito bis'!$F$70*(C1481-sezione!$AN$32)*IF(ABS(M1481)&lt;'Progetto del paramento slu'!$G$58,ABS(M1481)*'Progetto del paramento slu'!$G$54,'Progetto del paramento slu'!$G$53)</f>
        <v>0</v>
      </c>
      <c r="H1481" s="553">
        <f>-'Foglio deposito bis'!$F$71*(C1481-sezione!$AO$32)*IF(ABS(N1481)&lt;'Progetto del paramento slu'!$G$58,ABS(N1481)*'Progetto del paramento slu'!$G$54,'Progetto del paramento slu'!$G$53)</f>
        <v>8711723.5187049825</v>
      </c>
      <c r="I1481" s="479">
        <f>-'Foglio deposito bis'!$F$72*(C1481-sezione!$AP$32)*IF(ABS(O1481)&lt;'Progetto del paramento slu'!$G$58,ABS(O1481)*'Progetto del paramento slu'!$G$54,'Progetto del paramento slu'!$G$53)</f>
        <v>-804258.29677846807</v>
      </c>
      <c r="J1481" s="479">
        <f t="shared" si="108"/>
        <v>-633788088.65818238</v>
      </c>
      <c r="K1481" s="558">
        <f>'Progetto del paramento slu'!$G$60*(sezione!$AL$32-C1481)/C1481</f>
        <v>-2.9921046848531904E-3</v>
      </c>
      <c r="L1481" s="558">
        <f>'Progetto del paramento slu'!$G$60*(sezione!$AM$32-C1481)/C1481</f>
        <v>-1.5953925681994636E-3</v>
      </c>
      <c r="M1481" s="559">
        <f>'Progetto del paramento slu'!$G$60*(sezione!$AN$32-C1481)/C1481</f>
        <v>-1.9868045154573677E-4</v>
      </c>
      <c r="N1481" s="559">
        <f>'Progetto del paramento slu'!$G$60*(sezione!$AO$32-C1481)/C1481</f>
        <v>8.1711017874788261E-4</v>
      </c>
      <c r="O1481" s="559">
        <f>'Progetto del paramento slu'!$G$60*(sezione!$AP$32-C1481)/C1481</f>
        <v>-1.9861696463134492E-4</v>
      </c>
      <c r="P1481" s="553">
        <f>-'Progetto del paramento slu'!$G$47*'Progetto del paramento slu'!$G$41*IF(DATI!$G$218="dx",DATI!$E$61,DATI!$E$64*DATI!$E$63)*1000*C1481*sezione!$AD$5</f>
        <v>-3885494.7882903218</v>
      </c>
      <c r="Q1481" s="553">
        <f>'Foglio deposito bis'!$F$68*IF(ABS(K1481)&lt;'Progetto del paramento slu'!$G$58,ABS(K1481)*'Progetto del paramento slu'!$G$54,'Progetto del paramento slu'!$G$53)*IF(K1481&lt;0,-1,1)</f>
        <v>0</v>
      </c>
      <c r="R1481" s="553">
        <f>'Foglio deposito bis'!$F$69*IF(ABS(L1481)&lt;'Progetto del paramento slu'!$G$58,ABS(L1481)*'Progetto del paramento slu'!$G$54,'Progetto del paramento slu'!$G$53)*IF(L1481&lt;0,-1,1)</f>
        <v>-129060.89447506507</v>
      </c>
      <c r="S1481" s="553">
        <f>'Foglio deposito bis'!$F$70*IF(ABS(M1481)&lt;'Progetto del paramento slu'!$G$58,ABS(M1481)*'Progetto del paramento slu'!$G$54,'Progetto del paramento slu'!$G$53)*IF(M1481&lt;0,-1,1)</f>
        <v>0</v>
      </c>
      <c r="T1481" s="553">
        <f>'Foglio deposito bis'!$F$71*IF(ABS(N1481)&lt;'Progetto del paramento slu'!$G$58,ABS(N1481)*'Progetto del paramento slu'!$G$54,'Progetto del paramento slu'!$G$53)*IF(N1481&lt;0,-1,1)</f>
        <v>135374.75352420477</v>
      </c>
      <c r="U1481" s="553">
        <f>'Foglio deposito bis'!$F$72*IF(ABS(O1481)&lt;'Progetto del paramento slu'!$G$58,ABS(O1481)*'Progetto del paramento slu'!$G$54,'Progetto del paramento slu'!$G$53)*IF(O1481&lt;0,-1,1)</f>
        <v>-51415.424389844891</v>
      </c>
      <c r="V1481" s="479">
        <f t="shared" si="110"/>
        <v>-3930596.353631027</v>
      </c>
      <c r="W1481" s="559"/>
      <c r="X1481" s="559"/>
    </row>
    <row r="1482" spans="1:24" x14ac:dyDescent="0.25">
      <c r="A1482" s="553">
        <f t="shared" si="109"/>
        <v>4012840.9250336201</v>
      </c>
      <c r="B1482" s="3">
        <f t="shared" si="107"/>
        <v>68.899999999999949</v>
      </c>
      <c r="C1482" s="553">
        <f>'Foglio deposito bis'!$E$158/sezione!$B$247*B1482</f>
        <v>279.7069621109606</v>
      </c>
      <c r="D1482" s="611">
        <f>-'Progetto del paramento slu'!$G$47*'Progetto del paramento slu'!$G$41*IF(DATI!$G$218="dx",DATI!$E$61,DATI!$E$64*DATI!$E$63)*1000*C1482^2*sezione!$AD$5*(1-sezione!$AD$6)</f>
        <v>-644038606.88967812</v>
      </c>
      <c r="E1482" s="553">
        <f>-'Foglio deposito bis'!$F$68*(C1482-sezione!$AL$32)*IF(ABS(K1482)&lt;'Progetto del paramento slu'!$G$58,ABS(K1482)*'Progetto del paramento slu'!$G$54,'Progetto del paramento slu'!$G$53)</f>
        <v>0</v>
      </c>
      <c r="F1482" s="553">
        <f>-'Foglio deposito bis'!$F$69*(C1482-sezione!$AM$32)*IF(ABS(L1482)&lt;'Progetto del paramento slu'!$G$58,ABS(L1482)*'Progetto del paramento slu'!$G$54,'Progetto del paramento slu'!$G$53)</f>
        <v>-17030149.072050843</v>
      </c>
      <c r="G1482" s="553">
        <f>-'Foglio deposito bis'!$F$70*(C1482-sezione!$AN$32)*IF(ABS(M1482)&lt;'Progetto del paramento slu'!$G$58,ABS(M1482)*'Progetto del paramento slu'!$G$54,'Progetto del paramento slu'!$G$53)</f>
        <v>0</v>
      </c>
      <c r="H1482" s="553">
        <f>-'Foglio deposito bis'!$F$71*(C1482-sezione!$AO$32)*IF(ABS(N1482)&lt;'Progetto del paramento slu'!$G$58,ABS(N1482)*'Progetto del paramento slu'!$G$54,'Progetto del paramento slu'!$G$53)</f>
        <v>7536264.9664574387</v>
      </c>
      <c r="I1482" s="479">
        <f>-'Foglio deposito bis'!$F$72*(C1482-sezione!$AP$32)*IF(ABS(O1482)&lt;'Progetto del paramento slu'!$G$58,ABS(O1482)*'Progetto del paramento slu'!$G$54,'Progetto del paramento slu'!$G$53)</f>
        <v>-1257363.3909705409</v>
      </c>
      <c r="J1482" s="479">
        <f t="shared" si="108"/>
        <v>-654789854.38624203</v>
      </c>
      <c r="K1482" s="558">
        <f>'Progetto del paramento slu'!$G$60*(sezione!$AL$32-C1482)/C1482</f>
        <v>-2.9994761698335505E-3</v>
      </c>
      <c r="L1482" s="558">
        <f>'Progetto del paramento slu'!$G$60*(sezione!$AM$32-C1482)/C1482</f>
        <v>-1.6230356368758139E-3</v>
      </c>
      <c r="M1482" s="559">
        <f>'Progetto del paramento slu'!$G$60*(sezione!$AN$32-C1482)/C1482</f>
        <v>-2.4659510391807755E-4</v>
      </c>
      <c r="N1482" s="559">
        <f>'Progetto del paramento slu'!$G$60*(sezione!$AO$32-C1482)/C1482</f>
        <v>7.5445255641482173E-4</v>
      </c>
      <c r="O1482" s="559">
        <f>'Progetto del paramento slu'!$G$60*(sezione!$AP$32-C1482)/C1482</f>
        <v>-2.4653253843930821E-4</v>
      </c>
      <c r="P1482" s="553">
        <f>-'Progetto del paramento slu'!$G$47*'Progetto del paramento slu'!$G$41*IF(DATI!$G$218="dx",DATI!$E$61,DATI!$E$64*DATI!$E$63)*1000*C1482*sezione!$AD$5</f>
        <v>-3942718.5701502683</v>
      </c>
      <c r="Q1482" s="553">
        <f>'Foglio deposito bis'!$F$68*IF(ABS(K1482)&lt;'Progetto del paramento slu'!$G$58,ABS(K1482)*'Progetto del paramento slu'!$G$54,'Progetto del paramento slu'!$G$53)*IF(K1482&lt;0,-1,1)</f>
        <v>0</v>
      </c>
      <c r="R1482" s="553">
        <f>'Foglio deposito bis'!$F$69*IF(ABS(L1482)&lt;'Progetto del paramento slu'!$G$58,ABS(L1482)*'Progetto del paramento slu'!$G$54,'Progetto del paramento slu'!$G$53)*IF(L1482&lt;0,-1,1)</f>
        <v>-131297.10845807981</v>
      </c>
      <c r="S1482" s="553">
        <f>'Foglio deposito bis'!$F$70*IF(ABS(M1482)&lt;'Progetto del paramento slu'!$G$58,ABS(M1482)*'Progetto del paramento slu'!$G$54,'Progetto del paramento slu'!$G$53)*IF(M1482&lt;0,-1,1)</f>
        <v>0</v>
      </c>
      <c r="T1482" s="553">
        <f>'Foglio deposito bis'!$F$71*IF(ABS(N1482)&lt;'Progetto del paramento slu'!$G$58,ABS(N1482)*'Progetto del paramento slu'!$G$54,'Progetto del paramento slu'!$G$53)*IF(N1482&lt;0,-1,1)</f>
        <v>124993.95005318595</v>
      </c>
      <c r="U1482" s="553">
        <f>'Foglio deposito bis'!$F$72*IF(ABS(O1482)&lt;'Progetto del paramento slu'!$G$58,ABS(O1482)*'Progetto del paramento slu'!$G$54,'Progetto del paramento slu'!$G$53)*IF(O1482&lt;0,-1,1)</f>
        <v>-63819.19647845818</v>
      </c>
      <c r="V1482" s="479">
        <f t="shared" si="110"/>
        <v>-4012840.9250336201</v>
      </c>
      <c r="W1482" s="559"/>
      <c r="X1482" s="559"/>
    </row>
    <row r="1483" spans="1:24" x14ac:dyDescent="0.25">
      <c r="A1483" s="553">
        <f t="shared" si="109"/>
        <v>4094369.5940172533</v>
      </c>
      <c r="B1483" s="3">
        <f t="shared" si="107"/>
        <v>69.899999999999949</v>
      </c>
      <c r="C1483" s="553">
        <f>'Foglio deposito bis'!$E$158/sezione!$B$247*B1483</f>
        <v>283.76656968876847</v>
      </c>
      <c r="D1483" s="611">
        <f>-'Progetto del paramento slu'!$G$47*'Progetto del paramento slu'!$G$41*IF(DATI!$G$218="dx",DATI!$E$61,DATI!$E$64*DATI!$E$63)*1000*C1483^2*sezione!$AD$5*(1-sezione!$AD$6)</f>
        <v>-662869153.38673365</v>
      </c>
      <c r="E1483" s="553">
        <f>-'Foglio deposito bis'!$F$68*(C1483-sezione!$AL$32)*IF(ABS(K1483)&lt;'Progetto del paramento slu'!$G$58,ABS(K1483)*'Progetto del paramento slu'!$G$54,'Progetto del paramento slu'!$G$53)</f>
        <v>0</v>
      </c>
      <c r="F1483" s="553">
        <f>-'Foglio deposito bis'!$F$69*(C1483-sezione!$AM$32)*IF(ABS(L1483)&lt;'Progetto del paramento slu'!$G$58,ABS(L1483)*'Progetto del paramento slu'!$G$54,'Progetto del paramento slu'!$G$53)</f>
        <v>-17853735.664533019</v>
      </c>
      <c r="G1483" s="553">
        <f>-'Foglio deposito bis'!$F$70*(C1483-sezione!$AN$32)*IF(ABS(M1483)&lt;'Progetto del paramento slu'!$G$58,ABS(M1483)*'Progetto del paramento slu'!$G$54,'Progetto del paramento slu'!$G$53)</f>
        <v>0</v>
      </c>
      <c r="H1483" s="553">
        <f>-'Foglio deposito bis'!$F$71*(C1483-sezione!$AO$32)*IF(ABS(N1483)&lt;'Progetto del paramento slu'!$G$58,ABS(N1483)*'Progetto del paramento slu'!$G$54,'Progetto del paramento slu'!$G$53)</f>
        <v>6461792.7712956266</v>
      </c>
      <c r="I1483" s="479">
        <f>-'Foglio deposito bis'!$F$72*(C1483-sezione!$AP$32)*IF(ABS(O1483)&lt;'Progetto del paramento slu'!$G$58,ABS(O1483)*'Progetto del paramento slu'!$G$54,'Progetto del paramento slu'!$G$53)</f>
        <v>-1802744.3867906516</v>
      </c>
      <c r="J1483" s="479">
        <f t="shared" si="108"/>
        <v>-676063840.66676164</v>
      </c>
      <c r="K1483" s="558">
        <f>'Progetto del paramento slu'!$G$60*(sezione!$AL$32-C1483)/C1483</f>
        <v>-3.0066367396499516E-3</v>
      </c>
      <c r="L1483" s="558">
        <f>'Progetto del paramento slu'!$G$60*(sezione!$AM$32-C1483)/C1483</f>
        <v>-1.6498877736873191E-3</v>
      </c>
      <c r="M1483" s="559">
        <f>'Progetto del paramento slu'!$G$60*(sezione!$AN$32-C1483)/C1483</f>
        <v>-2.931388077246861E-4</v>
      </c>
      <c r="N1483" s="559">
        <f>'Progetto del paramento slu'!$G$60*(sezione!$AO$32-C1483)/C1483</f>
        <v>6.9358771297541044E-4</v>
      </c>
      <c r="O1483" s="559">
        <f>'Progetto del paramento slu'!$G$60*(sezione!$AP$32-C1483)/C1483</f>
        <v>-2.9307713731714381E-4</v>
      </c>
      <c r="P1483" s="553">
        <f>-'Progetto del paramento slu'!$G$47*'Progetto del paramento slu'!$G$41*IF(DATI!$G$218="dx",DATI!$E$61,DATI!$E$64*DATI!$E$63)*1000*C1483*sezione!$AD$5</f>
        <v>-3999942.3520102147</v>
      </c>
      <c r="Q1483" s="553">
        <f>'Foglio deposito bis'!$F$68*IF(ABS(K1483)&lt;'Progetto del paramento slu'!$G$58,ABS(K1483)*'Progetto del paramento slu'!$G$54,'Progetto del paramento slu'!$G$53)*IF(K1483&lt;0,-1,1)</f>
        <v>0</v>
      </c>
      <c r="R1483" s="553">
        <f>'Foglio deposito bis'!$F$69*IF(ABS(L1483)&lt;'Progetto del paramento slu'!$G$58,ABS(L1483)*'Progetto del paramento slu'!$G$54,'Progetto del paramento slu'!$G$53)*IF(L1483&lt;0,-1,1)</f>
        <v>-133469.3392083903</v>
      </c>
      <c r="S1483" s="553">
        <f>'Foglio deposito bis'!$F$70*IF(ABS(M1483)&lt;'Progetto del paramento slu'!$G$58,ABS(M1483)*'Progetto del paramento slu'!$G$54,'Progetto del paramento slu'!$G$53)*IF(M1483&lt;0,-1,1)</f>
        <v>0</v>
      </c>
      <c r="T1483" s="553">
        <f>'Foglio deposito bis'!$F$71*IF(ABS(N1483)&lt;'Progetto del paramento slu'!$G$58,ABS(N1483)*'Progetto del paramento slu'!$G$54,'Progetto del paramento slu'!$G$53)*IF(N1483&lt;0,-1,1)</f>
        <v>114910.16527947807</v>
      </c>
      <c r="U1483" s="553">
        <f>'Foglio deposito bis'!$F$72*IF(ABS(O1483)&lt;'Progetto del paramento slu'!$G$58,ABS(O1483)*'Progetto del paramento slu'!$G$54,'Progetto del paramento slu'!$G$53)*IF(O1483&lt;0,-1,1)</f>
        <v>-75868.068078126889</v>
      </c>
      <c r="V1483" s="479">
        <f t="shared" si="110"/>
        <v>-4094369.5940172533</v>
      </c>
      <c r="W1483" s="559"/>
      <c r="X1483" s="559"/>
    </row>
    <row r="1484" spans="1:24" x14ac:dyDescent="0.25">
      <c r="A1484" s="553">
        <f t="shared" si="109"/>
        <v>4175212.6526447879</v>
      </c>
      <c r="B1484" s="3">
        <f t="shared" si="107"/>
        <v>70.899999999999949</v>
      </c>
      <c r="C1484" s="553">
        <f>'Foglio deposito bis'!$E$158/sezione!$B$247*B1484</f>
        <v>287.82617726657628</v>
      </c>
      <c r="D1484" s="611">
        <f>-'Progetto del paramento slu'!$G$47*'Progetto del paramento slu'!$G$41*IF(DATI!$G$218="dx",DATI!$E$61,DATI!$E$64*DATI!$E$63)*1000*C1484^2*sezione!$AD$5*(1-sezione!$AD$6)</f>
        <v>-681971033.40680146</v>
      </c>
      <c r="E1484" s="553">
        <f>-'Foglio deposito bis'!$F$68*(C1484-sezione!$AL$32)*IF(ABS(K1484)&lt;'Progetto del paramento slu'!$G$58,ABS(K1484)*'Progetto del paramento slu'!$G$54,'Progetto del paramento slu'!$G$53)</f>
        <v>0</v>
      </c>
      <c r="F1484" s="553">
        <f>-'Foglio deposito bis'!$F$69*(C1484-sezione!$AM$32)*IF(ABS(L1484)&lt;'Progetto del paramento slu'!$G$58,ABS(L1484)*'Progetto del paramento slu'!$G$54,'Progetto del paramento slu'!$G$53)</f>
        <v>-18686513.642418463</v>
      </c>
      <c r="G1484" s="553">
        <f>-'Foglio deposito bis'!$F$70*(C1484-sezione!$AN$32)*IF(ABS(M1484)&lt;'Progetto del paramento slu'!$G$58,ABS(M1484)*'Progetto del paramento slu'!$G$54,'Progetto del paramento slu'!$G$53)</f>
        <v>0</v>
      </c>
      <c r="H1484" s="553">
        <f>-'Foglio deposito bis'!$F$71*(C1484-sezione!$AO$32)*IF(ABS(N1484)&lt;'Progetto del paramento slu'!$G$58,ABS(N1484)*'Progetto del paramento slu'!$G$54,'Progetto del paramento slu'!$G$53)</f>
        <v>5484033.8856700985</v>
      </c>
      <c r="I1484" s="479">
        <f>-'Foglio deposito bis'!$F$72*(C1484-sezione!$AP$32)*IF(ABS(O1484)&lt;'Progetto del paramento slu'!$G$58,ABS(O1484)*'Progetto del paramento slu'!$G$54,'Progetto del paramento slu'!$G$53)</f>
        <v>-2436496.8032108056</v>
      </c>
      <c r="J1484" s="479">
        <f t="shared" si="108"/>
        <v>-697610009.96676075</v>
      </c>
      <c r="K1484" s="558">
        <f>'Progetto del paramento slu'!$G$60*(sezione!$AL$32-C1484)/C1484</f>
        <v>-3.0135953187804179E-3</v>
      </c>
      <c r="L1484" s="558">
        <f>'Progetto del paramento slu'!$G$60*(sezione!$AM$32-C1484)/C1484</f>
        <v>-1.6759824454265666E-3</v>
      </c>
      <c r="M1484" s="559">
        <f>'Progetto del paramento slu'!$G$60*(sezione!$AN$32-C1484)/C1484</f>
        <v>-3.3836957207271552E-4</v>
      </c>
      <c r="N1484" s="559">
        <f>'Progetto del paramento slu'!$G$60*(sezione!$AO$32-C1484)/C1484</f>
        <v>6.3443979036644893E-4</v>
      </c>
      <c r="O1484" s="559">
        <f>'Progetto del paramento slu'!$G$60*(sezione!$AP$32-C1484)/C1484</f>
        <v>-3.3830877148756453E-4</v>
      </c>
      <c r="P1484" s="553">
        <f>-'Progetto del paramento slu'!$G$47*'Progetto del paramento slu'!$G$41*IF(DATI!$G$218="dx",DATI!$E$61,DATI!$E$64*DATI!$E$63)*1000*C1484*sezione!$AD$5</f>
        <v>-4057166.1338701602</v>
      </c>
      <c r="Q1484" s="553">
        <f>'Foglio deposito bis'!$F$68*IF(ABS(K1484)&lt;'Progetto del paramento slu'!$G$58,ABS(K1484)*'Progetto del paramento slu'!$G$54,'Progetto del paramento slu'!$G$53)*IF(K1484&lt;0,-1,1)</f>
        <v>0</v>
      </c>
      <c r="R1484" s="553">
        <f>'Foglio deposito bis'!$F$69*IF(ABS(L1484)&lt;'Progetto del paramento slu'!$G$58,ABS(L1484)*'Progetto del paramento slu'!$G$54,'Progetto del paramento slu'!$G$53)*IF(L1484&lt;0,-1,1)</f>
        <v>-135580.29405601212</v>
      </c>
      <c r="S1484" s="553">
        <f>'Foglio deposito bis'!$F$70*IF(ABS(M1484)&lt;'Progetto del paramento slu'!$G$58,ABS(M1484)*'Progetto del paramento slu'!$G$54,'Progetto del paramento slu'!$G$53)*IF(M1484&lt;0,-1,1)</f>
        <v>0</v>
      </c>
      <c r="T1484" s="553">
        <f>'Foglio deposito bis'!$F$71*IF(ABS(N1484)&lt;'Progetto del paramento slu'!$G$58,ABS(N1484)*'Progetto del paramento slu'!$G$54,'Progetto del paramento slu'!$G$53)*IF(N1484&lt;0,-1,1)</f>
        <v>105110.83141617115</v>
      </c>
      <c r="U1484" s="553">
        <f>'Foglio deposito bis'!$F$72*IF(ABS(O1484)&lt;'Progetto del paramento slu'!$G$58,ABS(O1484)*'Progetto del paramento slu'!$G$54,'Progetto del paramento slu'!$G$53)*IF(O1484&lt;0,-1,1)</f>
        <v>-87577.056134786442</v>
      </c>
      <c r="V1484" s="479">
        <f t="shared" si="110"/>
        <v>-4175212.6526447879</v>
      </c>
      <c r="W1484" s="559"/>
      <c r="X1484" s="559"/>
    </row>
    <row r="1485" spans="1:24" x14ac:dyDescent="0.25">
      <c r="A1485" s="553">
        <f t="shared" si="109"/>
        <v>4255398.7077461025</v>
      </c>
      <c r="B1485" s="3">
        <f t="shared" si="107"/>
        <v>71.899999999999949</v>
      </c>
      <c r="C1485" s="553">
        <f>'Foglio deposito bis'!$E$158/sezione!$B$247*B1485</f>
        <v>291.88578484438415</v>
      </c>
      <c r="D1485" s="611">
        <f>-'Progetto del paramento slu'!$G$47*'Progetto del paramento slu'!$G$41*IF(DATI!$G$218="dx",DATI!$E$61,DATI!$E$64*DATI!$E$63)*1000*C1485^2*sezione!$AD$5*(1-sezione!$AD$6)</f>
        <v>-701344246.94988167</v>
      </c>
      <c r="E1485" s="553">
        <f>-'Foglio deposito bis'!$F$68*(C1485-sezione!$AL$32)*IF(ABS(K1485)&lt;'Progetto del paramento slu'!$G$58,ABS(K1485)*'Progetto del paramento slu'!$G$54,'Progetto del paramento slu'!$G$53)</f>
        <v>0</v>
      </c>
      <c r="F1485" s="553">
        <f>-'Foglio deposito bis'!$F$69*(C1485-sezione!$AM$32)*IF(ABS(L1485)&lt;'Progetto del paramento slu'!$G$58,ABS(L1485)*'Progetto del paramento slu'!$G$54,'Progetto del paramento slu'!$G$53)</f>
        <v>-19528099.498666745</v>
      </c>
      <c r="G1485" s="553">
        <f>-'Foglio deposito bis'!$F$70*(C1485-sezione!$AN$32)*IF(ABS(M1485)&lt;'Progetto del paramento slu'!$G$58,ABS(M1485)*'Progetto del paramento slu'!$G$54,'Progetto del paramento slu'!$G$53)</f>
        <v>0</v>
      </c>
      <c r="H1485" s="553">
        <f>-'Foglio deposito bis'!$F$71*(C1485-sezione!$AO$32)*IF(ABS(N1485)&lt;'Progetto del paramento slu'!$G$58,ABS(N1485)*'Progetto del paramento slu'!$G$54,'Progetto del paramento slu'!$G$53)</f>
        <v>4598952.9837309094</v>
      </c>
      <c r="I1485" s="479">
        <f>-'Foglio deposito bis'!$F$72*(C1485-sezione!$AP$32)*IF(ABS(O1485)&lt;'Progetto del paramento slu'!$G$58,ABS(O1485)*'Progetto del paramento slu'!$G$54,'Progetto del paramento slu'!$G$53)</f>
        <v>-3154933.3765064012</v>
      </c>
      <c r="J1485" s="479">
        <f t="shared" si="108"/>
        <v>-719428326.84132397</v>
      </c>
      <c r="K1485" s="558">
        <f>'Progetto del paramento slu'!$G$60*(sezione!$AL$32-C1485)/C1485</f>
        <v>-3.0203603352090629E-3</v>
      </c>
      <c r="L1485" s="558">
        <f>'Progetto del paramento slu'!$G$60*(sezione!$AM$32-C1485)/C1485</f>
        <v>-1.7013512570339859E-3</v>
      </c>
      <c r="M1485" s="559">
        <f>'Progetto del paramento slu'!$G$60*(sezione!$AN$32-C1485)/C1485</f>
        <v>-3.8234217885890889E-4</v>
      </c>
      <c r="N1485" s="559">
        <f>'Progetto del paramento slu'!$G$60*(sezione!$AO$32-C1485)/C1485</f>
        <v>5.7693715072296538E-4</v>
      </c>
      <c r="O1485" s="559">
        <f>'Progetto del paramento slu'!$G$60*(sezione!$AP$32-C1485)/C1485</f>
        <v>-3.8228222390081148E-4</v>
      </c>
      <c r="P1485" s="553">
        <f>-'Progetto del paramento slu'!$G$47*'Progetto del paramento slu'!$G$41*IF(DATI!$G$218="dx",DATI!$E$61,DATI!$E$64*DATI!$E$63)*1000*C1485*sezione!$AD$5</f>
        <v>-4114389.9157301062</v>
      </c>
      <c r="Q1485" s="553">
        <f>'Foglio deposito bis'!$F$68*IF(ABS(K1485)&lt;'Progetto del paramento slu'!$G$58,ABS(K1485)*'Progetto del paramento slu'!$G$54,'Progetto del paramento slu'!$G$53)*IF(K1485&lt;0,-1,1)</f>
        <v>0</v>
      </c>
      <c r="R1485" s="553">
        <f>'Foglio deposito bis'!$F$69*IF(ABS(L1485)&lt;'Progetto del paramento slu'!$G$58,ABS(L1485)*'Progetto del paramento slu'!$G$54,'Progetto del paramento slu'!$G$53)*IF(L1485&lt;0,-1,1)</f>
        <v>-137632.52971454855</v>
      </c>
      <c r="S1485" s="553">
        <f>'Foglio deposito bis'!$F$70*IF(ABS(M1485)&lt;'Progetto del paramento slu'!$G$58,ABS(M1485)*'Progetto del paramento slu'!$G$54,'Progetto del paramento slu'!$G$53)*IF(M1485&lt;0,-1,1)</f>
        <v>0</v>
      </c>
      <c r="T1485" s="553">
        <f>'Foglio deposito bis'!$F$71*IF(ABS(N1485)&lt;'Progetto del paramento slu'!$G$58,ABS(N1485)*'Progetto del paramento slu'!$G$54,'Progetto del paramento slu'!$G$53)*IF(N1485&lt;0,-1,1)</f>
        <v>95584.079857823948</v>
      </c>
      <c r="U1485" s="553">
        <f>'Foglio deposito bis'!$F$72*IF(ABS(O1485)&lt;'Progetto del paramento slu'!$G$58,ABS(O1485)*'Progetto del paramento slu'!$G$54,'Progetto del paramento slu'!$G$53)*IF(O1485&lt;0,-1,1)</f>
        <v>-98960.342159272055</v>
      </c>
      <c r="V1485" s="479">
        <f t="shared" si="110"/>
        <v>-4255398.7077461025</v>
      </c>
      <c r="W1485" s="559"/>
      <c r="X1485" s="559"/>
    </row>
    <row r="1486" spans="1:24" x14ac:dyDescent="0.25">
      <c r="A1486" s="553">
        <f t="shared" si="109"/>
        <v>4334954.7965033483</v>
      </c>
      <c r="B1486" s="3">
        <f t="shared" si="107"/>
        <v>72.899999999999949</v>
      </c>
      <c r="C1486" s="553">
        <f>'Foglio deposito bis'!$E$158/sezione!$B$247*B1486</f>
        <v>295.94539242219201</v>
      </c>
      <c r="D1486" s="611">
        <f>-'Progetto del paramento slu'!$G$47*'Progetto del paramento slu'!$G$41*IF(DATI!$G$218="dx",DATI!$E$61,DATI!$E$64*DATI!$E$63)*1000*C1486^2*sezione!$AD$5*(1-sezione!$AD$6)</f>
        <v>-720988794.01597452</v>
      </c>
      <c r="E1486" s="553">
        <f>-'Foglio deposito bis'!$F$68*(C1486-sezione!$AL$32)*IF(ABS(K1486)&lt;'Progetto del paramento slu'!$G$58,ABS(K1486)*'Progetto del paramento slu'!$G$54,'Progetto del paramento slu'!$G$53)</f>
        <v>0</v>
      </c>
      <c r="F1486" s="553">
        <f>-'Foglio deposito bis'!$F$69*(C1486-sezione!$AM$32)*IF(ABS(L1486)&lt;'Progetto del paramento slu'!$G$58,ABS(L1486)*'Progetto del paramento slu'!$G$54,'Progetto del paramento slu'!$G$53)</f>
        <v>-20378130.769147675</v>
      </c>
      <c r="G1486" s="553">
        <f>-'Foglio deposito bis'!$F$70*(C1486-sezione!$AN$32)*IF(ABS(M1486)&lt;'Progetto del paramento slu'!$G$58,ABS(M1486)*'Progetto del paramento slu'!$G$54,'Progetto del paramento slu'!$G$53)</f>
        <v>0</v>
      </c>
      <c r="H1486" s="553">
        <f>-'Foglio deposito bis'!$F$71*(C1486-sezione!$AO$32)*IF(ABS(N1486)&lt;'Progetto del paramento slu'!$G$58,ABS(N1486)*'Progetto del paramento slu'!$G$54,'Progetto del paramento slu'!$G$53)</f>
        <v>3802736.1566843945</v>
      </c>
      <c r="I1486" s="479">
        <f>-'Foglio deposito bis'!$F$72*(C1486-sezione!$AP$32)*IF(ABS(O1486)&lt;'Progetto del paramento slu'!$G$58,ABS(O1486)*'Progetto del paramento slu'!$G$54,'Progetto del paramento slu'!$G$53)</f>
        <v>-3954569.1619500462</v>
      </c>
      <c r="J1486" s="479">
        <f t="shared" si="108"/>
        <v>-741518757.79038775</v>
      </c>
      <c r="K1486" s="558">
        <f>'Progetto del paramento slu'!$G$60*(sezione!$AL$32-C1486)/C1486</f>
        <v>-3.0269397544791716E-3</v>
      </c>
      <c r="L1486" s="558">
        <f>'Progetto del paramento slu'!$G$60*(sezione!$AM$32-C1486)/C1486</f>
        <v>-1.7260240792968942E-3</v>
      </c>
      <c r="M1486" s="559">
        <f>'Progetto del paramento slu'!$G$60*(sezione!$AN$32-C1486)/C1486</f>
        <v>-4.2510840411461682E-4</v>
      </c>
      <c r="N1486" s="559">
        <f>'Progetto del paramento slu'!$G$60*(sezione!$AO$32-C1486)/C1486</f>
        <v>5.2101208692703952E-4</v>
      </c>
      <c r="O1486" s="559">
        <f>'Progetto del paramento slu'!$G$60*(sezione!$AP$32-C1486)/C1486</f>
        <v>-4.2504927158392808E-4</v>
      </c>
      <c r="P1486" s="553">
        <f>-'Progetto del paramento slu'!$G$47*'Progetto del paramento slu'!$G$41*IF(DATI!$G$218="dx",DATI!$E$61,DATI!$E$64*DATI!$E$63)*1000*C1486*sezione!$AD$5</f>
        <v>-4171613.6975900526</v>
      </c>
      <c r="Q1486" s="553">
        <f>'Foglio deposito bis'!$F$68*IF(ABS(K1486)&lt;'Progetto del paramento slu'!$G$58,ABS(K1486)*'Progetto del paramento slu'!$G$54,'Progetto del paramento slu'!$G$53)*IF(K1486&lt;0,-1,1)</f>
        <v>0</v>
      </c>
      <c r="R1486" s="553">
        <f>'Foglio deposito bis'!$F$69*IF(ABS(L1486)&lt;'Progetto del paramento slu'!$G$58,ABS(L1486)*'Progetto del paramento slu'!$G$54,'Progetto del paramento slu'!$G$53)*IF(L1486&lt;0,-1,1)</f>
        <v>-139628.46261153388</v>
      </c>
      <c r="S1486" s="553">
        <f>'Foglio deposito bis'!$F$70*IF(ABS(M1486)&lt;'Progetto del paramento slu'!$G$58,ABS(M1486)*'Progetto del paramento slu'!$G$54,'Progetto del paramento slu'!$G$53)*IF(M1486&lt;0,-1,1)</f>
        <v>0</v>
      </c>
      <c r="T1486" s="553">
        <f>'Foglio deposito bis'!$F$71*IF(ABS(N1486)&lt;'Progetto del paramento slu'!$G$58,ABS(N1486)*'Progetto del paramento slu'!$G$54,'Progetto del paramento slu'!$G$53)*IF(N1486&lt;0,-1,1)</f>
        <v>86318.69322563165</v>
      </c>
      <c r="U1486" s="553">
        <f>'Foglio deposito bis'!$F$72*IF(ABS(O1486)&lt;'Progetto del paramento slu'!$G$58,ABS(O1486)*'Progetto del paramento slu'!$G$54,'Progetto del paramento slu'!$G$53)*IF(O1486&lt;0,-1,1)</f>
        <v>-110031.32952739313</v>
      </c>
      <c r="V1486" s="479">
        <f t="shared" si="110"/>
        <v>-4334954.7965033483</v>
      </c>
      <c r="W1486" s="559"/>
      <c r="X1486" s="559"/>
    </row>
    <row r="1487" spans="1:24" x14ac:dyDescent="0.25">
      <c r="A1487" s="553">
        <f t="shared" si="109"/>
        <v>4413906.4926517336</v>
      </c>
      <c r="B1487" s="3">
        <f t="shared" si="107"/>
        <v>73.899999999999949</v>
      </c>
      <c r="C1487" s="553">
        <f>'Foglio deposito bis'!$E$158/sezione!$B$247*B1487</f>
        <v>300.00499999999988</v>
      </c>
      <c r="D1487" s="32">
        <f>-'Progetto del paramento slu'!$G$47*'Progetto del paramento slu'!$G$41*IF(DATI!$G$218="dx",DATI!$E$61,DATI!$E$64*DATI!$E$63)*1000*C1487^2*sezione!$AD$5*(1-sezione!$AD$6)</f>
        <v>-740904674.60507941</v>
      </c>
      <c r="E1487" s="553">
        <f>-'Foglio deposito bis'!$F$68*(C1487-sezione!$AL$32)*IF(ABS(K1487)&lt;'Progetto del paramento slu'!$G$58,ABS(K1487)*'Progetto del paramento slu'!$G$54,'Progetto del paramento slu'!$G$53)</f>
        <v>0</v>
      </c>
      <c r="F1487" s="553">
        <f>-'Foglio deposito bis'!$F$69*(C1487-sezione!$AM$32)*IF(ABS(L1487)&lt;'Progetto del paramento slu'!$G$58,ABS(L1487)*'Progetto del paramento slu'!$G$54,'Progetto del paramento slu'!$G$53)</f>
        <v>-21236264.608899195</v>
      </c>
      <c r="G1487" s="553">
        <f>-'Foglio deposito bis'!$F$70*(C1487-sezione!$AN$32)*IF(ABS(M1487)&lt;'Progetto del paramento slu'!$G$58,ABS(M1487)*'Progetto del paramento slu'!$G$54,'Progetto del paramento slu'!$G$53)</f>
        <v>0</v>
      </c>
      <c r="H1487" s="553">
        <f>-'Foglio deposito bis'!$F$71*(C1487-sezione!$AO$32)*IF(ABS(N1487)&lt;'Progetto del paramento slu'!$G$58,ABS(N1487)*'Progetto del paramento slu'!$G$54,'Progetto del paramento slu'!$G$53)</f>
        <v>3091775.9319368107</v>
      </c>
      <c r="I1487" s="479">
        <f>-'Foglio deposito bis'!$F$72*(C1487-sezione!$AP$32)*IF(ABS(O1487)&lt;'Progetto del paramento slu'!$G$58,ABS(O1487)*'Progetto del paramento slu'!$G$54,'Progetto del paramento slu'!$G$53)</f>
        <v>-4832107.8451108309</v>
      </c>
      <c r="J1487" s="479">
        <f t="shared" si="108"/>
        <v>-763881271.12715256</v>
      </c>
      <c r="K1487" s="558">
        <f>'Progetto del paramento slu'!$G$60*(sezione!$AL$32-C1487)/C1487</f>
        <v>-3.0333411109814833E-3</v>
      </c>
      <c r="L1487" s="558">
        <f>'Progetto del paramento slu'!$G$60*(sezione!$AM$32-C1487)/C1487</f>
        <v>-1.750029166180563E-3</v>
      </c>
      <c r="M1487" s="559">
        <f>'Progetto del paramento slu'!$G$60*(sezione!$AN$32-C1487)/C1487</f>
        <v>-4.6671722137964255E-4</v>
      </c>
      <c r="N1487" s="559">
        <f>'Progetto del paramento slu'!$G$60*(sezione!$AO$32-C1487)/C1487</f>
        <v>4.6660055665739066E-4</v>
      </c>
      <c r="O1487" s="559">
        <f>'Progetto del paramento slu'!$G$60*(sezione!$AP$32-C1487)/C1487</f>
        <v>-4.6665888901851658E-4</v>
      </c>
      <c r="P1487" s="553">
        <f>-'Progetto del paramento slu'!$G$47*'Progetto del paramento slu'!$G$41*IF(DATI!$G$218="dx",DATI!$E$61,DATI!$E$64*DATI!$E$63)*1000*C1487*sezione!$AD$5</f>
        <v>-4228837.4794499977</v>
      </c>
      <c r="Q1487" s="553">
        <f>'Foglio deposito bis'!$F$68*IF(ABS(K1487)&lt;'Progetto del paramento slu'!$G$58,ABS(K1487)*'Progetto del paramento slu'!$G$54,'Progetto del paramento slu'!$G$53)*IF(K1487&lt;0,-1,1)</f>
        <v>0</v>
      </c>
      <c r="R1487" s="553">
        <f>'Foglio deposito bis'!$F$69*IF(ABS(L1487)&lt;'Progetto del paramento slu'!$G$58,ABS(L1487)*'Progetto del paramento slu'!$G$54,'Progetto del paramento slu'!$G$53)*IF(L1487&lt;0,-1,1)</f>
        <v>-141570.37838004873</v>
      </c>
      <c r="S1487" s="553">
        <f>'Foglio deposito bis'!$F$70*IF(ABS(M1487)&lt;'Progetto del paramento slu'!$G$58,ABS(M1487)*'Progetto del paramento slu'!$G$54,'Progetto del paramento slu'!$G$53)*IF(M1487&lt;0,-1,1)</f>
        <v>0</v>
      </c>
      <c r="T1487" s="553">
        <f>'Foglio deposito bis'!$F$71*IF(ABS(N1487)&lt;'Progetto del paramento slu'!$G$58,ABS(N1487)*'Progetto del paramento slu'!$G$54,'Progetto del paramento slu'!$G$53)*IF(N1487&lt;0,-1,1)</f>
        <v>77304.061306083298</v>
      </c>
      <c r="U1487" s="553">
        <f>'Foglio deposito bis'!$F$72*IF(ABS(O1487)&lt;'Progetto del paramento slu'!$G$58,ABS(O1487)*'Progetto del paramento slu'!$G$54,'Progetto del paramento slu'!$G$53)*IF(O1487&lt;0,-1,1)</f>
        <v>-120802.69612777077</v>
      </c>
      <c r="V1487" s="479">
        <f t="shared" si="110"/>
        <v>-4413906.4926517336</v>
      </c>
      <c r="W1487" s="559"/>
      <c r="X1487" s="559"/>
    </row>
    <row r="1488" spans="1:24" x14ac:dyDescent="0.25">
      <c r="P1488" s="553"/>
      <c r="Q1488" s="553"/>
      <c r="R1488" s="553"/>
      <c r="S1488" s="553"/>
      <c r="T1488" s="553"/>
      <c r="U1488" s="553"/>
      <c r="V1488" s="479"/>
    </row>
    <row r="1489" spans="1:24" x14ac:dyDescent="0.25">
      <c r="P1489" s="553"/>
      <c r="Q1489" s="553"/>
      <c r="R1489" s="553"/>
      <c r="S1489" s="553"/>
      <c r="T1489" s="553"/>
      <c r="U1489" s="553"/>
      <c r="V1489" s="479"/>
    </row>
    <row r="1490" spans="1:24" ht="15.75" x14ac:dyDescent="0.25">
      <c r="A1490" s="1035" t="s">
        <v>953</v>
      </c>
      <c r="B1490" s="1036"/>
      <c r="C1490" s="1036"/>
      <c r="D1490" s="1036"/>
      <c r="E1490" s="1036"/>
      <c r="F1490" s="1036"/>
      <c r="G1490" s="1036"/>
      <c r="H1490" s="1036"/>
      <c r="I1490" s="1036"/>
      <c r="J1490" s="1036"/>
      <c r="K1490" s="1036"/>
      <c r="L1490" s="1036"/>
      <c r="M1490" s="1036"/>
      <c r="N1490" s="1036"/>
      <c r="O1490" s="1037"/>
      <c r="P1490" s="553"/>
      <c r="Q1490" s="553"/>
      <c r="R1490" s="553"/>
      <c r="S1490" s="553"/>
      <c r="T1490" s="553"/>
      <c r="U1490" s="553"/>
      <c r="V1490" s="479"/>
      <c r="W1490" s="613"/>
      <c r="X1490" s="613"/>
    </row>
    <row r="1491" spans="1:24" x14ac:dyDescent="0.25">
      <c r="A1491" s="541">
        <v>1</v>
      </c>
      <c r="B1491" s="541">
        <v>2</v>
      </c>
      <c r="C1491" s="541">
        <v>3</v>
      </c>
      <c r="D1491" s="541">
        <v>4</v>
      </c>
      <c r="E1491" s="541">
        <v>5</v>
      </c>
      <c r="F1491" s="541">
        <v>6</v>
      </c>
      <c r="G1491" s="541">
        <v>7</v>
      </c>
      <c r="H1491" s="541">
        <v>8</v>
      </c>
      <c r="I1491" s="541">
        <v>9</v>
      </c>
      <c r="J1491" s="541">
        <v>10</v>
      </c>
      <c r="K1491" s="541">
        <v>11</v>
      </c>
      <c r="L1491" s="541">
        <v>12</v>
      </c>
      <c r="M1491" s="541">
        <v>13</v>
      </c>
      <c r="N1491" s="541">
        <v>14</v>
      </c>
      <c r="O1491" s="541">
        <v>15</v>
      </c>
      <c r="P1491" s="606">
        <v>4</v>
      </c>
      <c r="Q1491" s="606">
        <v>5</v>
      </c>
      <c r="R1491" s="606">
        <v>6</v>
      </c>
      <c r="S1491" s="606">
        <v>7</v>
      </c>
      <c r="T1491" s="606">
        <v>8</v>
      </c>
      <c r="U1491" s="606">
        <v>9</v>
      </c>
      <c r="V1491" s="606">
        <v>10</v>
      </c>
      <c r="W1491" s="47"/>
      <c r="X1491" s="47"/>
    </row>
    <row r="1492" spans="1:24" x14ac:dyDescent="0.25">
      <c r="A1492" s="561" t="s">
        <v>929</v>
      </c>
      <c r="B1492" s="83" t="s">
        <v>917</v>
      </c>
      <c r="C1492" s="541" t="s">
        <v>134</v>
      </c>
      <c r="D1492" s="541" t="s">
        <v>911</v>
      </c>
      <c r="E1492" s="541" t="s">
        <v>912</v>
      </c>
      <c r="F1492" s="541" t="s">
        <v>913</v>
      </c>
      <c r="G1492" s="541" t="s">
        <v>914</v>
      </c>
      <c r="H1492" s="541" t="s">
        <v>915</v>
      </c>
      <c r="I1492" s="541" t="s">
        <v>916</v>
      </c>
      <c r="J1492" s="562" t="s">
        <v>910</v>
      </c>
      <c r="K1492" s="561" t="s">
        <v>923</v>
      </c>
      <c r="L1492" s="561" t="s">
        <v>924</v>
      </c>
      <c r="M1492" s="561" t="s">
        <v>925</v>
      </c>
      <c r="N1492" s="561" t="s">
        <v>926</v>
      </c>
      <c r="O1492" s="561" t="s">
        <v>927</v>
      </c>
      <c r="P1492" s="606" t="s">
        <v>293</v>
      </c>
      <c r="Q1492" s="606" t="s">
        <v>968</v>
      </c>
      <c r="R1492" s="606" t="s">
        <v>969</v>
      </c>
      <c r="S1492" s="606" t="s">
        <v>970</v>
      </c>
      <c r="T1492" s="606" t="s">
        <v>971</v>
      </c>
      <c r="U1492" s="606" t="s">
        <v>972</v>
      </c>
      <c r="V1492" s="607" t="s">
        <v>1021</v>
      </c>
      <c r="W1492" s="58"/>
      <c r="X1492" s="58"/>
    </row>
    <row r="1493" spans="1:24" x14ac:dyDescent="0.25">
      <c r="A1493" s="553">
        <f>ABS(V1493)</f>
        <v>959957.07423402858</v>
      </c>
      <c r="B1493" s="3">
        <v>0</v>
      </c>
      <c r="C1493" s="42">
        <v>0.01</v>
      </c>
      <c r="D1493" s="611">
        <f>-'Progetto del paramento slu'!$G$47*'Progetto del paramento slu'!$G$41*IF(DATI!$G$218="dx",DATI!$E$61,DATI!$E$64*DATI!$E$63)*1000*C1493^2*sezione!$AD$5*(1-sezione!$AD$6)</f>
        <v>-0.82319997600000006</v>
      </c>
      <c r="E1493" s="553">
        <f>-'Foglio deposito bis'!$F$68*(C1493-sezione!$AL$33)*IF(ABS(K1493)&lt;'Progetto del paramento slu'!$G$58,ABS(K1493)*'Progetto del paramento slu'!$G$54,'Progetto del paramento slu'!$G$53)</f>
        <v>0</v>
      </c>
      <c r="F1493" s="553">
        <f>-'Foglio deposito bis'!$F$69*(C1493-sezione!$AM$33)*IF(ABS(L1493)&lt;'Progetto del paramento slu'!$G$58,ABS(L1493)*'Progetto del paramento slu'!$G$54,'Progetto del paramento slu'!$G$53)</f>
        <v>23048192.059822816</v>
      </c>
      <c r="G1493" s="553">
        <f>-'Foglio deposito bis'!$F$70*(C1493-sezione!$AN$33)*IF(ABS(M1493)&lt;'Progetto del paramento slu'!$G$58,ABS(M1493)*'Progetto del paramento slu'!$G$54,'Progetto del paramento slu'!$G$53)</f>
        <v>0</v>
      </c>
      <c r="H1493" s="553">
        <f>-'Foglio deposito bis'!$F$71*(C1493-sezione!$AO$33)*IF(ABS(N1493)&lt;'Progetto del paramento slu'!$G$58,ABS(N1493)*'Progetto del paramento slu'!$G$54,'Progetto del paramento slu'!$G$53)</f>
        <v>106996766.90527661</v>
      </c>
      <c r="I1493" s="479">
        <f>-'Foglio deposito bis'!$F$72*(C1493-sezione!$AP$33)*IF(ABS(O1493)&lt;'Progetto del paramento slu'!$G$58,ABS(O1493)*'Progetto del paramento slu'!$G$54,'Progetto del paramento slu'!$G$53)</f>
        <v>127847187.9002033</v>
      </c>
      <c r="J1493" s="479">
        <f t="shared" ref="J1493:J1556" si="111">D1493+E1493+F1493+G1493+H1493+I1493</f>
        <v>257892146.04210275</v>
      </c>
      <c r="K1493" s="558">
        <f>'Progetto del paramento slu'!$G$60*(sezione!$AL$33-C1493)/C1493</f>
        <v>13.996500000000001</v>
      </c>
      <c r="L1493" s="558">
        <f>'Progetto del paramento slu'!$G$60*(sezione!$AM$33-C1493)/C1493</f>
        <v>52.496499999999997</v>
      </c>
      <c r="M1493" s="559">
        <f>'Progetto del paramento slu'!$G$60*(sezione!$AN$33-C1493)/C1493</f>
        <v>90.996499999999997</v>
      </c>
      <c r="N1493" s="559">
        <f>'Progetto del paramento slu'!$G$60*(sezione!$AO$33-C1493)/C1493</f>
        <v>118.99650000000001</v>
      </c>
      <c r="O1493" s="559">
        <f>'Progetto del paramento slu'!$G$60*(sezione!$AP$33-C1493)/C1493</f>
        <v>90.998594951923025</v>
      </c>
      <c r="P1493" s="553">
        <f>-'Progetto del paramento slu'!$G$47*'Progetto del paramento slu'!$G$41*IF(DATI!$G$218="dx",DATI!$E$61,DATI!$E$64*DATI!$E$63)*1000*C1493*sezione!$AD$5</f>
        <v>-140.9589</v>
      </c>
      <c r="Q1493" s="553">
        <f>'Foglio deposito bis'!$F$68*IF(ABS(K1493)&lt;'Progetto del paramento slu'!$G$58,ABS(K1493)*'Progetto del paramento slu'!$G$54,'Progetto del paramento slu'!$G$53)*IF(K1493&lt;0,-1,1)</f>
        <v>0</v>
      </c>
      <c r="R1493" s="553">
        <f>'Foglio deposito bis'!$F$69*IF(ABS(L1493)&lt;'Progetto del paramento slu'!$G$58,ABS(L1493)*'Progetto del paramento slu'!$G$54,'Progetto del paramento slu'!$G$53)*IF(L1493&lt;0,-1,1)</f>
        <v>153664.85805602249</v>
      </c>
      <c r="S1493" s="553">
        <f>'Foglio deposito bis'!$F$70*IF(ABS(M1493)&lt;'Progetto del paramento slu'!$G$58,ABS(M1493)*'Progetto del paramento slu'!$G$54,'Progetto del paramento slu'!$G$53)*IF(M1493&lt;0,-1,1)</f>
        <v>0</v>
      </c>
      <c r="T1493" s="553">
        <f>'Foglio deposito bis'!$F$71*IF(ABS(N1493)&lt;'Progetto del paramento slu'!$G$58,ABS(N1493)*'Progetto del paramento slu'!$G$54,'Progetto del paramento slu'!$G$53)*IF(N1493&lt;0,-1,1)</f>
        <v>314705.62929873407</v>
      </c>
      <c r="U1493" s="553">
        <f>'Foglio deposito bis'!$F$72*IF(ABS(O1493)&lt;'Progetto del paramento slu'!$G$58,ABS(O1493)*'Progetto del paramento slu'!$G$54,'Progetto del paramento slu'!$G$53)*IF(O1493&lt;0,-1,1)</f>
        <v>491727.54577927204</v>
      </c>
      <c r="V1493" s="479">
        <f t="shared" ref="V1493" si="112">P1493+Q1493+R1493+S1493+T1493+U1493</f>
        <v>959957.07423402858</v>
      </c>
      <c r="W1493" s="559"/>
      <c r="X1493" s="559"/>
    </row>
    <row r="1494" spans="1:24" x14ac:dyDescent="0.25">
      <c r="A1494" s="553">
        <f t="shared" ref="A1494:A1557" si="113">ABS(V1494)</f>
        <v>957236.83464144822</v>
      </c>
      <c r="B1494" s="3">
        <f>B1493+0.05</f>
        <v>0.05</v>
      </c>
      <c r="C1494" s="553">
        <f>'Foglio deposito bis'!$E$159/sezione!$B$247*B1494</f>
        <v>0.20298104572186948</v>
      </c>
      <c r="D1494" s="611">
        <f>-'Progetto del paramento slu'!$G$47*'Progetto del paramento slu'!$G$41*IF(DATI!$G$218="dx",DATI!$E$61,DATI!$E$64*DATI!$E$63)*1000*C1494^2*sezione!$AD$5*(1-sezione!$AD$6)</f>
        <v>-339.16913223241994</v>
      </c>
      <c r="E1494" s="553">
        <f>-'Foglio deposito bis'!$F$68*(C1494-sezione!$AL$33)*IF(ABS(K1494)&lt;'Progetto del paramento slu'!$G$58,ABS(K1494)*'Progetto del paramento slu'!$G$54,'Progetto del paramento slu'!$G$53)</f>
        <v>0</v>
      </c>
      <c r="F1494" s="553">
        <f>-'Foglio deposito bis'!$F$69*(C1494-sezione!$AM$33)*IF(ABS(L1494)&lt;'Progetto del paramento slu'!$G$58,ABS(L1494)*'Progetto del paramento slu'!$G$54,'Progetto del paramento slu'!$G$53)</f>
        <v>23018537.654824462</v>
      </c>
      <c r="G1494" s="553">
        <f>-'Foglio deposito bis'!$F$70*(C1494-sezione!$AN$33)*IF(ABS(M1494)&lt;'Progetto del paramento slu'!$G$58,ABS(M1494)*'Progetto del paramento slu'!$G$54,'Progetto del paramento slu'!$G$53)</f>
        <v>0</v>
      </c>
      <c r="H1494" s="553">
        <f>-'Foglio deposito bis'!$F$71*(C1494-sezione!$AO$33)*IF(ABS(N1494)&lt;'Progetto del paramento slu'!$G$58,ABS(N1494)*'Progetto del paramento slu'!$G$54,'Progetto del paramento slu'!$G$53)</f>
        <v>106936034.68383998</v>
      </c>
      <c r="I1494" s="479">
        <f>-'Foglio deposito bis'!$F$72*(C1494-sezione!$AP$33)*IF(ABS(O1494)&lt;'Progetto del paramento slu'!$G$58,ABS(O1494)*'Progetto del paramento slu'!$G$54,'Progetto del paramento slu'!$G$53)</f>
        <v>127752293.80420858</v>
      </c>
      <c r="J1494" s="479">
        <f t="shared" si="111"/>
        <v>257706526.97374079</v>
      </c>
      <c r="K1494" s="558">
        <f>'Progetto del paramento slu'!$G$60*(sezione!$AL$33-C1494)/C1494</f>
        <v>0.6862195721014861</v>
      </c>
      <c r="L1494" s="558">
        <f>'Progetto del paramento slu'!$G$60*(sezione!$AM$33-C1494)/C1494</f>
        <v>2.5829483953805727</v>
      </c>
      <c r="M1494" s="559">
        <f>'Progetto del paramento slu'!$G$60*(sezione!$AN$33-C1494)/C1494</f>
        <v>4.4796772186596598</v>
      </c>
      <c r="N1494" s="559">
        <f>'Progetto del paramento slu'!$G$60*(sezione!$AO$33-C1494)/C1494</f>
        <v>5.8591163628626326</v>
      </c>
      <c r="O1494" s="559">
        <f>'Progetto del paramento slu'!$G$60*(sezione!$AP$33-C1494)/C1494</f>
        <v>4.4797804278985112</v>
      </c>
      <c r="P1494" s="553">
        <f>-'Progetto del paramento slu'!$G$47*'Progetto del paramento slu'!$G$41*IF(DATI!$G$218="dx",DATI!$E$61,DATI!$E$64*DATI!$E$63)*1000*C1494*sezione!$AD$5</f>
        <v>-2861.1984925804427</v>
      </c>
      <c r="Q1494" s="553">
        <f>'Foglio deposito bis'!$F$68*IF(ABS(K1494)&lt;'Progetto del paramento slu'!$G$58,ABS(K1494)*'Progetto del paramento slu'!$G$54,'Progetto del paramento slu'!$G$53)*IF(K1494&lt;0,-1,1)</f>
        <v>0</v>
      </c>
      <c r="R1494" s="553">
        <f>'Foglio deposito bis'!$F$69*IF(ABS(L1494)&lt;'Progetto del paramento slu'!$G$58,ABS(L1494)*'Progetto del paramento slu'!$G$54,'Progetto del paramento slu'!$G$53)*IF(L1494&lt;0,-1,1)</f>
        <v>153664.85805602249</v>
      </c>
      <c r="S1494" s="553">
        <f>'Foglio deposito bis'!$F$70*IF(ABS(M1494)&lt;'Progetto del paramento slu'!$G$58,ABS(M1494)*'Progetto del paramento slu'!$G$54,'Progetto del paramento slu'!$G$53)*IF(M1494&lt;0,-1,1)</f>
        <v>0</v>
      </c>
      <c r="T1494" s="553">
        <f>'Foglio deposito bis'!$F$71*IF(ABS(N1494)&lt;'Progetto del paramento slu'!$G$58,ABS(N1494)*'Progetto del paramento slu'!$G$54,'Progetto del paramento slu'!$G$53)*IF(N1494&lt;0,-1,1)</f>
        <v>314705.62929873407</v>
      </c>
      <c r="U1494" s="553">
        <f>'Foglio deposito bis'!$F$72*IF(ABS(O1494)&lt;'Progetto del paramento slu'!$G$58,ABS(O1494)*'Progetto del paramento slu'!$G$54,'Progetto del paramento slu'!$G$53)*IF(O1494&lt;0,-1,1)</f>
        <v>491727.54577927204</v>
      </c>
      <c r="V1494" s="479">
        <f t="shared" ref="V1494:V1557" si="114">P1494+Q1494+R1494+S1494+T1494+U1494</f>
        <v>957236.83464144822</v>
      </c>
      <c r="W1494" s="559"/>
      <c r="X1494" s="559"/>
    </row>
    <row r="1495" spans="1:24" x14ac:dyDescent="0.25">
      <c r="A1495" s="553">
        <f t="shared" si="113"/>
        <v>954375.63614886766</v>
      </c>
      <c r="B1495" s="3">
        <f t="shared" ref="B1495:B1558" si="115">B1494+0.05</f>
        <v>0.1</v>
      </c>
      <c r="C1495" s="553">
        <f>'Foglio deposito bis'!$E$159/sezione!$B$247*B1495</f>
        <v>0.40596209144373896</v>
      </c>
      <c r="D1495" s="611">
        <f>-'Progetto del paramento slu'!$G$47*'Progetto del paramento slu'!$G$41*IF(DATI!$G$218="dx",DATI!$E$61,DATI!$E$64*DATI!$E$63)*1000*C1495^2*sezione!$AD$5*(1-sezione!$AD$6)</f>
        <v>-1356.6765289296798</v>
      </c>
      <c r="E1495" s="553">
        <f>-'Foglio deposito bis'!$F$68*(C1495-sezione!$AL$33)*IF(ABS(K1495)&lt;'Progetto del paramento slu'!$G$58,ABS(K1495)*'Progetto del paramento slu'!$G$54,'Progetto del paramento slu'!$G$53)</f>
        <v>0</v>
      </c>
      <c r="F1495" s="553">
        <f>-'Foglio deposito bis'!$F$69*(C1495-sezione!$AM$33)*IF(ABS(L1495)&lt;'Progetto del paramento slu'!$G$58,ABS(L1495)*'Progetto del paramento slu'!$G$54,'Progetto del paramento slu'!$G$53)</f>
        <v>22987346.601245549</v>
      </c>
      <c r="G1495" s="553">
        <f>-'Foglio deposito bis'!$F$70*(C1495-sezione!$AN$33)*IF(ABS(M1495)&lt;'Progetto del paramento slu'!$G$58,ABS(M1495)*'Progetto del paramento slu'!$G$54,'Progetto del paramento slu'!$G$53)</f>
        <v>0</v>
      </c>
      <c r="H1495" s="553">
        <f>-'Foglio deposito bis'!$F$71*(C1495-sezione!$AO$33)*IF(ABS(N1495)&lt;'Progetto del paramento slu'!$G$58,ABS(N1495)*'Progetto del paramento slu'!$G$54,'Progetto del paramento slu'!$G$53)</f>
        <v>106872155.40611036</v>
      </c>
      <c r="I1495" s="479">
        <f>-'Foglio deposito bis'!$F$72*(C1495-sezione!$AP$33)*IF(ABS(O1495)&lt;'Progetto del paramento slu'!$G$58,ABS(O1495)*'Progetto del paramento slu'!$G$54,'Progetto del paramento slu'!$G$53)</f>
        <v>127652482.43275607</v>
      </c>
      <c r="J1495" s="479">
        <f t="shared" si="111"/>
        <v>257510627.76358306</v>
      </c>
      <c r="K1495" s="558">
        <f>'Progetto del paramento slu'!$G$60*(sezione!$AL$33-C1495)/C1495</f>
        <v>0.34135978605074302</v>
      </c>
      <c r="L1495" s="558">
        <f>'Progetto del paramento slu'!$G$60*(sezione!$AM$33-C1495)/C1495</f>
        <v>1.2897241976902865</v>
      </c>
      <c r="M1495" s="559">
        <f>'Progetto del paramento slu'!$G$60*(sezione!$AN$33-C1495)/C1495</f>
        <v>2.23808860932983</v>
      </c>
      <c r="N1495" s="559">
        <f>'Progetto del paramento slu'!$G$60*(sezione!$AO$33-C1495)/C1495</f>
        <v>2.9278081814313164</v>
      </c>
      <c r="O1495" s="559">
        <f>'Progetto del paramento slu'!$G$60*(sezione!$AP$33-C1495)/C1495</f>
        <v>2.2381402139492557</v>
      </c>
      <c r="P1495" s="553">
        <f>-'Progetto del paramento slu'!$G$47*'Progetto del paramento slu'!$G$41*IF(DATI!$G$218="dx",DATI!$E$61,DATI!$E$64*DATI!$E$63)*1000*C1495*sezione!$AD$5</f>
        <v>-5722.3969851608854</v>
      </c>
      <c r="Q1495" s="553">
        <f>'Foglio deposito bis'!$F$68*IF(ABS(K1495)&lt;'Progetto del paramento slu'!$G$58,ABS(K1495)*'Progetto del paramento slu'!$G$54,'Progetto del paramento slu'!$G$53)*IF(K1495&lt;0,-1,1)</f>
        <v>0</v>
      </c>
      <c r="R1495" s="553">
        <f>'Foglio deposito bis'!$F$69*IF(ABS(L1495)&lt;'Progetto del paramento slu'!$G$58,ABS(L1495)*'Progetto del paramento slu'!$G$54,'Progetto del paramento slu'!$G$53)*IF(L1495&lt;0,-1,1)</f>
        <v>153664.85805602249</v>
      </c>
      <c r="S1495" s="553">
        <f>'Foglio deposito bis'!$F$70*IF(ABS(M1495)&lt;'Progetto del paramento slu'!$G$58,ABS(M1495)*'Progetto del paramento slu'!$G$54,'Progetto del paramento slu'!$G$53)*IF(M1495&lt;0,-1,1)</f>
        <v>0</v>
      </c>
      <c r="T1495" s="553">
        <f>'Foglio deposito bis'!$F$71*IF(ABS(N1495)&lt;'Progetto del paramento slu'!$G$58,ABS(N1495)*'Progetto del paramento slu'!$G$54,'Progetto del paramento slu'!$G$53)*IF(N1495&lt;0,-1,1)</f>
        <v>314705.62929873407</v>
      </c>
      <c r="U1495" s="553">
        <f>'Foglio deposito bis'!$F$72*IF(ABS(O1495)&lt;'Progetto del paramento slu'!$G$58,ABS(O1495)*'Progetto del paramento slu'!$G$54,'Progetto del paramento slu'!$G$53)*IF(O1495&lt;0,-1,1)</f>
        <v>491727.54577927204</v>
      </c>
      <c r="V1495" s="479">
        <f t="shared" si="114"/>
        <v>954375.63614886766</v>
      </c>
      <c r="W1495" s="559"/>
      <c r="X1495" s="559"/>
    </row>
    <row r="1496" spans="1:24" x14ac:dyDescent="0.25">
      <c r="A1496" s="553">
        <f t="shared" si="113"/>
        <v>951514.43765628734</v>
      </c>
      <c r="B1496" s="3">
        <f t="shared" si="115"/>
        <v>0.15000000000000002</v>
      </c>
      <c r="C1496" s="553">
        <f>'Foglio deposito bis'!$E$159/sezione!$B$247*B1496</f>
        <v>0.60894313716560855</v>
      </c>
      <c r="D1496" s="611">
        <f>-'Progetto del paramento slu'!$G$47*'Progetto del paramento slu'!$G$41*IF(DATI!$G$218="dx",DATI!$E$61,DATI!$E$64*DATI!$E$63)*1000*C1496^2*sezione!$AD$5*(1-sezione!$AD$6)</f>
        <v>-3052.52219009178</v>
      </c>
      <c r="E1496" s="553">
        <f>-'Foglio deposito bis'!$F$68*(C1496-sezione!$AL$33)*IF(ABS(K1496)&lt;'Progetto del paramento slu'!$G$58,ABS(K1496)*'Progetto del paramento slu'!$G$54,'Progetto del paramento slu'!$G$53)</f>
        <v>0</v>
      </c>
      <c r="F1496" s="553">
        <f>-'Foglio deposito bis'!$F$69*(C1496-sezione!$AM$33)*IF(ABS(L1496)&lt;'Progetto del paramento slu'!$G$58,ABS(L1496)*'Progetto del paramento slu'!$G$54,'Progetto del paramento slu'!$G$53)</f>
        <v>22956155.547666632</v>
      </c>
      <c r="G1496" s="553">
        <f>-'Foglio deposito bis'!$F$70*(C1496-sezione!$AN$33)*IF(ABS(M1496)&lt;'Progetto del paramento slu'!$G$58,ABS(M1496)*'Progetto del paramento slu'!$G$54,'Progetto del paramento slu'!$G$53)</f>
        <v>0</v>
      </c>
      <c r="H1496" s="553">
        <f>-'Foglio deposito bis'!$F$71*(C1496-sezione!$AO$33)*IF(ABS(N1496)&lt;'Progetto del paramento slu'!$G$58,ABS(N1496)*'Progetto del paramento slu'!$G$54,'Progetto del paramento slu'!$G$53)</f>
        <v>106808276.12838075</v>
      </c>
      <c r="I1496" s="479">
        <f>-'Foglio deposito bis'!$F$72*(C1496-sezione!$AP$33)*IF(ABS(O1496)&lt;'Progetto del paramento slu'!$G$58,ABS(O1496)*'Progetto del paramento slu'!$G$54,'Progetto del paramento slu'!$G$53)</f>
        <v>127552671.06130351</v>
      </c>
      <c r="J1496" s="479">
        <f t="shared" si="111"/>
        <v>257314050.21516079</v>
      </c>
      <c r="K1496" s="558">
        <f>'Progetto del paramento slu'!$G$60*(sezione!$AL$33-C1496)/C1496</f>
        <v>0.22640652403382863</v>
      </c>
      <c r="L1496" s="558">
        <f>'Progetto del paramento slu'!$G$60*(sezione!$AM$33-C1496)/C1496</f>
        <v>0.85864946512685747</v>
      </c>
      <c r="M1496" s="559">
        <f>'Progetto del paramento slu'!$G$60*(sezione!$AN$33-C1496)/C1496</f>
        <v>1.4908924062198861</v>
      </c>
      <c r="N1496" s="559">
        <f>'Progetto del paramento slu'!$G$60*(sezione!$AO$33-C1496)/C1496</f>
        <v>1.9507054542875435</v>
      </c>
      <c r="O1496" s="559">
        <f>'Progetto del paramento slu'!$G$60*(sezione!$AP$33-C1496)/C1496</f>
        <v>1.4909268092995034</v>
      </c>
      <c r="P1496" s="553">
        <f>-'Progetto del paramento slu'!$G$47*'Progetto del paramento slu'!$G$41*IF(DATI!$G$218="dx",DATI!$E$61,DATI!$E$64*DATI!$E$63)*1000*C1496*sezione!$AD$5</f>
        <v>-8583.5954777413299</v>
      </c>
      <c r="Q1496" s="553">
        <f>'Foglio deposito bis'!$F$68*IF(ABS(K1496)&lt;'Progetto del paramento slu'!$G$58,ABS(K1496)*'Progetto del paramento slu'!$G$54,'Progetto del paramento slu'!$G$53)*IF(K1496&lt;0,-1,1)</f>
        <v>0</v>
      </c>
      <c r="R1496" s="553">
        <f>'Foglio deposito bis'!$F$69*IF(ABS(L1496)&lt;'Progetto del paramento slu'!$G$58,ABS(L1496)*'Progetto del paramento slu'!$G$54,'Progetto del paramento slu'!$G$53)*IF(L1496&lt;0,-1,1)</f>
        <v>153664.85805602249</v>
      </c>
      <c r="S1496" s="553">
        <f>'Foglio deposito bis'!$F$70*IF(ABS(M1496)&lt;'Progetto del paramento slu'!$G$58,ABS(M1496)*'Progetto del paramento slu'!$G$54,'Progetto del paramento slu'!$G$53)*IF(M1496&lt;0,-1,1)</f>
        <v>0</v>
      </c>
      <c r="T1496" s="553">
        <f>'Foglio deposito bis'!$F$71*IF(ABS(N1496)&lt;'Progetto del paramento slu'!$G$58,ABS(N1496)*'Progetto del paramento slu'!$G$54,'Progetto del paramento slu'!$G$53)*IF(N1496&lt;0,-1,1)</f>
        <v>314705.62929873407</v>
      </c>
      <c r="U1496" s="553">
        <f>'Foglio deposito bis'!$F$72*IF(ABS(O1496)&lt;'Progetto del paramento slu'!$G$58,ABS(O1496)*'Progetto del paramento slu'!$G$54,'Progetto del paramento slu'!$G$53)*IF(O1496&lt;0,-1,1)</f>
        <v>491727.54577927204</v>
      </c>
      <c r="V1496" s="479">
        <f t="shared" si="114"/>
        <v>951514.43765628734</v>
      </c>
      <c r="W1496" s="559"/>
      <c r="X1496" s="559"/>
    </row>
    <row r="1497" spans="1:24" x14ac:dyDescent="0.25">
      <c r="A1497" s="553">
        <f t="shared" si="113"/>
        <v>948653.23916370678</v>
      </c>
      <c r="B1497" s="3">
        <f t="shared" si="115"/>
        <v>0.2</v>
      </c>
      <c r="C1497" s="553">
        <f>'Foglio deposito bis'!$E$159/sezione!$B$247*B1497</f>
        <v>0.81192418288747792</v>
      </c>
      <c r="D1497" s="611">
        <f>-'Progetto del paramento slu'!$G$47*'Progetto del paramento slu'!$G$41*IF(DATI!$G$218="dx",DATI!$E$61,DATI!$E$64*DATI!$E$63)*1000*C1497^2*sezione!$AD$5*(1-sezione!$AD$6)</f>
        <v>-5426.706115718719</v>
      </c>
      <c r="E1497" s="553">
        <f>-'Foglio deposito bis'!$F$68*(C1497-sezione!$AL$33)*IF(ABS(K1497)&lt;'Progetto del paramento slu'!$G$58,ABS(K1497)*'Progetto del paramento slu'!$G$54,'Progetto del paramento slu'!$G$53)</f>
        <v>0</v>
      </c>
      <c r="F1497" s="553">
        <f>-'Foglio deposito bis'!$F$69*(C1497-sezione!$AM$33)*IF(ABS(L1497)&lt;'Progetto del paramento slu'!$G$58,ABS(L1497)*'Progetto del paramento slu'!$G$54,'Progetto del paramento slu'!$G$53)</f>
        <v>22924964.494087718</v>
      </c>
      <c r="G1497" s="553">
        <f>-'Foglio deposito bis'!$F$70*(C1497-sezione!$AN$33)*IF(ABS(M1497)&lt;'Progetto del paramento slu'!$G$58,ABS(M1497)*'Progetto del paramento slu'!$G$54,'Progetto del paramento slu'!$G$53)</f>
        <v>0</v>
      </c>
      <c r="H1497" s="553">
        <f>-'Foglio deposito bis'!$F$71*(C1497-sezione!$AO$33)*IF(ABS(N1497)&lt;'Progetto del paramento slu'!$G$58,ABS(N1497)*'Progetto del paramento slu'!$G$54,'Progetto del paramento slu'!$G$53)</f>
        <v>106744396.85065113</v>
      </c>
      <c r="I1497" s="479">
        <f>-'Foglio deposito bis'!$F$72*(C1497-sezione!$AP$33)*IF(ABS(O1497)&lt;'Progetto del paramento slu'!$G$58,ABS(O1497)*'Progetto del paramento slu'!$G$54,'Progetto del paramento slu'!$G$53)</f>
        <v>127452859.689851</v>
      </c>
      <c r="J1497" s="479">
        <f t="shared" si="111"/>
        <v>257116794.32847413</v>
      </c>
      <c r="K1497" s="558">
        <f>'Progetto del paramento slu'!$G$60*(sezione!$AL$33-C1497)/C1497</f>
        <v>0.16892989302537151</v>
      </c>
      <c r="L1497" s="558">
        <f>'Progetto del paramento slu'!$G$60*(sezione!$AM$33-C1497)/C1497</f>
        <v>0.6431120988451432</v>
      </c>
      <c r="M1497" s="559">
        <f>'Progetto del paramento slu'!$G$60*(sezione!$AN$33-C1497)/C1497</f>
        <v>1.1172943046649149</v>
      </c>
      <c r="N1497" s="559">
        <f>'Progetto del paramento slu'!$G$60*(sezione!$AO$33-C1497)/C1497</f>
        <v>1.4621540907156578</v>
      </c>
      <c r="O1497" s="559">
        <f>'Progetto del paramento slu'!$G$60*(sezione!$AP$33-C1497)/C1497</f>
        <v>1.1173201069746277</v>
      </c>
      <c r="P1497" s="553">
        <f>-'Progetto del paramento slu'!$G$47*'Progetto del paramento slu'!$G$41*IF(DATI!$G$218="dx",DATI!$E$61,DATI!$E$64*DATI!$E$63)*1000*C1497*sezione!$AD$5</f>
        <v>-11444.793970321771</v>
      </c>
      <c r="Q1497" s="553">
        <f>'Foglio deposito bis'!$F$68*IF(ABS(K1497)&lt;'Progetto del paramento slu'!$G$58,ABS(K1497)*'Progetto del paramento slu'!$G$54,'Progetto del paramento slu'!$G$53)*IF(K1497&lt;0,-1,1)</f>
        <v>0</v>
      </c>
      <c r="R1497" s="553">
        <f>'Foglio deposito bis'!$F$69*IF(ABS(L1497)&lt;'Progetto del paramento slu'!$G$58,ABS(L1497)*'Progetto del paramento slu'!$G$54,'Progetto del paramento slu'!$G$53)*IF(L1497&lt;0,-1,1)</f>
        <v>153664.85805602249</v>
      </c>
      <c r="S1497" s="553">
        <f>'Foglio deposito bis'!$F$70*IF(ABS(M1497)&lt;'Progetto del paramento slu'!$G$58,ABS(M1497)*'Progetto del paramento slu'!$G$54,'Progetto del paramento slu'!$G$53)*IF(M1497&lt;0,-1,1)</f>
        <v>0</v>
      </c>
      <c r="T1497" s="553">
        <f>'Foglio deposito bis'!$F$71*IF(ABS(N1497)&lt;'Progetto del paramento slu'!$G$58,ABS(N1497)*'Progetto del paramento slu'!$G$54,'Progetto del paramento slu'!$G$53)*IF(N1497&lt;0,-1,1)</f>
        <v>314705.62929873407</v>
      </c>
      <c r="U1497" s="553">
        <f>'Foglio deposito bis'!$F$72*IF(ABS(O1497)&lt;'Progetto del paramento slu'!$G$58,ABS(O1497)*'Progetto del paramento slu'!$G$54,'Progetto del paramento slu'!$G$53)*IF(O1497&lt;0,-1,1)</f>
        <v>491727.54577927204</v>
      </c>
      <c r="V1497" s="479">
        <f t="shared" si="114"/>
        <v>948653.23916370678</v>
      </c>
      <c r="W1497" s="559"/>
      <c r="X1497" s="559"/>
    </row>
    <row r="1498" spans="1:24" x14ac:dyDescent="0.25">
      <c r="A1498" s="553">
        <f t="shared" si="113"/>
        <v>945792.04067112645</v>
      </c>
      <c r="B1498" s="3">
        <f t="shared" si="115"/>
        <v>0.25</v>
      </c>
      <c r="C1498" s="553">
        <f>'Foglio deposito bis'!$E$159/sezione!$B$247*B1498</f>
        <v>1.0149052286093474</v>
      </c>
      <c r="D1498" s="611">
        <f>-'Progetto del paramento slu'!$G$47*'Progetto del paramento slu'!$G$41*IF(DATI!$G$218="dx",DATI!$E$61,DATI!$E$64*DATI!$E$63)*1000*C1498^2*sezione!$AD$5*(1-sezione!$AD$6)</f>
        <v>-8479.2283058104967</v>
      </c>
      <c r="E1498" s="553">
        <f>-'Foglio deposito bis'!$F$68*(C1498-sezione!$AL$33)*IF(ABS(K1498)&lt;'Progetto del paramento slu'!$G$58,ABS(K1498)*'Progetto del paramento slu'!$G$54,'Progetto del paramento slu'!$G$53)</f>
        <v>0</v>
      </c>
      <c r="F1498" s="553">
        <f>-'Foglio deposito bis'!$F$69*(C1498-sezione!$AM$33)*IF(ABS(L1498)&lt;'Progetto del paramento slu'!$G$58,ABS(L1498)*'Progetto del paramento slu'!$G$54,'Progetto del paramento slu'!$G$53)</f>
        <v>22893773.440508805</v>
      </c>
      <c r="G1498" s="553">
        <f>-'Foglio deposito bis'!$F$70*(C1498-sezione!$AN$33)*IF(ABS(M1498)&lt;'Progetto del paramento slu'!$G$58,ABS(M1498)*'Progetto del paramento slu'!$G$54,'Progetto del paramento slu'!$G$53)</f>
        <v>0</v>
      </c>
      <c r="H1498" s="553">
        <f>-'Foglio deposito bis'!$F$71*(C1498-sezione!$AO$33)*IF(ABS(N1498)&lt;'Progetto del paramento slu'!$G$58,ABS(N1498)*'Progetto del paramento slu'!$G$54,'Progetto del paramento slu'!$G$53)</f>
        <v>106680517.57292151</v>
      </c>
      <c r="I1498" s="479">
        <f>-'Foglio deposito bis'!$F$72*(C1498-sezione!$AP$33)*IF(ABS(O1498)&lt;'Progetto del paramento slu'!$G$58,ABS(O1498)*'Progetto del paramento slu'!$G$54,'Progetto del paramento slu'!$G$53)</f>
        <v>127353048.31839849</v>
      </c>
      <c r="J1498" s="479">
        <f t="shared" si="111"/>
        <v>256918860.10352302</v>
      </c>
      <c r="K1498" s="558">
        <f>'Progetto del paramento slu'!$G$60*(sezione!$AL$33-C1498)/C1498</f>
        <v>0.13444391442029721</v>
      </c>
      <c r="L1498" s="558">
        <f>'Progetto del paramento slu'!$G$60*(sezione!$AM$33-C1498)/C1498</f>
        <v>0.51378967907611461</v>
      </c>
      <c r="M1498" s="559">
        <f>'Progetto del paramento slu'!$G$60*(sezione!$AN$33-C1498)/C1498</f>
        <v>0.89313544373193199</v>
      </c>
      <c r="N1498" s="559">
        <f>'Progetto del paramento slu'!$G$60*(sezione!$AO$33-C1498)/C1498</f>
        <v>1.1690232725725265</v>
      </c>
      <c r="O1498" s="559">
        <f>'Progetto del paramento slu'!$G$60*(sezione!$AP$33-C1498)/C1498</f>
        <v>0.89315608557970227</v>
      </c>
      <c r="P1498" s="553">
        <f>-'Progetto del paramento slu'!$G$47*'Progetto del paramento slu'!$G$41*IF(DATI!$G$218="dx",DATI!$E$61,DATI!$E$64*DATI!$E$63)*1000*C1498*sezione!$AD$5</f>
        <v>-14305.992462902213</v>
      </c>
      <c r="Q1498" s="553">
        <f>'Foglio deposito bis'!$F$68*IF(ABS(K1498)&lt;'Progetto del paramento slu'!$G$58,ABS(K1498)*'Progetto del paramento slu'!$G$54,'Progetto del paramento slu'!$G$53)*IF(K1498&lt;0,-1,1)</f>
        <v>0</v>
      </c>
      <c r="R1498" s="553">
        <f>'Foglio deposito bis'!$F$69*IF(ABS(L1498)&lt;'Progetto del paramento slu'!$G$58,ABS(L1498)*'Progetto del paramento slu'!$G$54,'Progetto del paramento slu'!$G$53)*IF(L1498&lt;0,-1,1)</f>
        <v>153664.85805602249</v>
      </c>
      <c r="S1498" s="553">
        <f>'Foglio deposito bis'!$F$70*IF(ABS(M1498)&lt;'Progetto del paramento slu'!$G$58,ABS(M1498)*'Progetto del paramento slu'!$G$54,'Progetto del paramento slu'!$G$53)*IF(M1498&lt;0,-1,1)</f>
        <v>0</v>
      </c>
      <c r="T1498" s="553">
        <f>'Foglio deposito bis'!$F$71*IF(ABS(N1498)&lt;'Progetto del paramento slu'!$G$58,ABS(N1498)*'Progetto del paramento slu'!$G$54,'Progetto del paramento slu'!$G$53)*IF(N1498&lt;0,-1,1)</f>
        <v>314705.62929873407</v>
      </c>
      <c r="U1498" s="553">
        <f>'Foglio deposito bis'!$F$72*IF(ABS(O1498)&lt;'Progetto del paramento slu'!$G$58,ABS(O1498)*'Progetto del paramento slu'!$G$54,'Progetto del paramento slu'!$G$53)*IF(O1498&lt;0,-1,1)</f>
        <v>491727.54577927204</v>
      </c>
      <c r="V1498" s="479">
        <f t="shared" si="114"/>
        <v>945792.04067112645</v>
      </c>
      <c r="W1498" s="559"/>
      <c r="X1498" s="559"/>
    </row>
    <row r="1499" spans="1:24" x14ac:dyDescent="0.25">
      <c r="A1499" s="553">
        <f t="shared" si="113"/>
        <v>942930.84217854589</v>
      </c>
      <c r="B1499" s="3">
        <f t="shared" si="115"/>
        <v>0.3</v>
      </c>
      <c r="C1499" s="553">
        <f>'Foglio deposito bis'!$E$159/sezione!$B$247*B1499</f>
        <v>1.2178862743312169</v>
      </c>
      <c r="D1499" s="611">
        <f>-'Progetto del paramento slu'!$G$47*'Progetto del paramento slu'!$G$41*IF(DATI!$G$218="dx",DATI!$E$61,DATI!$E$64*DATI!$E$63)*1000*C1499^2*sezione!$AD$5*(1-sezione!$AD$6)</f>
        <v>-12210.088760367118</v>
      </c>
      <c r="E1499" s="553">
        <f>-'Foglio deposito bis'!$F$68*(C1499-sezione!$AL$33)*IF(ABS(K1499)&lt;'Progetto del paramento slu'!$G$58,ABS(K1499)*'Progetto del paramento slu'!$G$54,'Progetto del paramento slu'!$G$53)</f>
        <v>0</v>
      </c>
      <c r="F1499" s="553">
        <f>-'Foglio deposito bis'!$F$69*(C1499-sezione!$AM$33)*IF(ABS(L1499)&lt;'Progetto del paramento slu'!$G$58,ABS(L1499)*'Progetto del paramento slu'!$G$54,'Progetto del paramento slu'!$G$53)</f>
        <v>22862582.386929892</v>
      </c>
      <c r="G1499" s="553">
        <f>-'Foglio deposito bis'!$F$70*(C1499-sezione!$AN$33)*IF(ABS(M1499)&lt;'Progetto del paramento slu'!$G$58,ABS(M1499)*'Progetto del paramento slu'!$G$54,'Progetto del paramento slu'!$G$53)</f>
        <v>0</v>
      </c>
      <c r="H1499" s="553">
        <f>-'Foglio deposito bis'!$F$71*(C1499-sezione!$AO$33)*IF(ABS(N1499)&lt;'Progetto del paramento slu'!$G$58,ABS(N1499)*'Progetto del paramento slu'!$G$54,'Progetto del paramento slu'!$G$53)</f>
        <v>106616638.2951919</v>
      </c>
      <c r="I1499" s="479">
        <f>-'Foglio deposito bis'!$F$72*(C1499-sezione!$AP$33)*IF(ABS(O1499)&lt;'Progetto del paramento slu'!$G$58,ABS(O1499)*'Progetto del paramento slu'!$G$54,'Progetto del paramento slu'!$G$53)</f>
        <v>127253236.94694598</v>
      </c>
      <c r="J1499" s="479">
        <f t="shared" si="111"/>
        <v>256720247.5403074</v>
      </c>
      <c r="K1499" s="558">
        <f>'Progetto del paramento slu'!$G$60*(sezione!$AL$33-C1499)/C1499</f>
        <v>0.11145326201691436</v>
      </c>
      <c r="L1499" s="558">
        <f>'Progetto del paramento slu'!$G$60*(sezione!$AM$33-C1499)/C1499</f>
        <v>0.42757473256342882</v>
      </c>
      <c r="M1499" s="559">
        <f>'Progetto del paramento slu'!$G$60*(sezione!$AN$33-C1499)/C1499</f>
        <v>0.74369620310994333</v>
      </c>
      <c r="N1499" s="559">
        <f>'Progetto del paramento slu'!$G$60*(sezione!$AO$33-C1499)/C1499</f>
        <v>0.97360272714377205</v>
      </c>
      <c r="O1499" s="559">
        <f>'Progetto del paramento slu'!$G$60*(sezione!$AP$33-C1499)/C1499</f>
        <v>0.74371340464975189</v>
      </c>
      <c r="P1499" s="553">
        <f>-'Progetto del paramento slu'!$G$47*'Progetto del paramento slu'!$G$41*IF(DATI!$G$218="dx",DATI!$E$61,DATI!$E$64*DATI!$E$63)*1000*C1499*sezione!$AD$5</f>
        <v>-17167.190955482656</v>
      </c>
      <c r="Q1499" s="553">
        <f>'Foglio deposito bis'!$F$68*IF(ABS(K1499)&lt;'Progetto del paramento slu'!$G$58,ABS(K1499)*'Progetto del paramento slu'!$G$54,'Progetto del paramento slu'!$G$53)*IF(K1499&lt;0,-1,1)</f>
        <v>0</v>
      </c>
      <c r="R1499" s="553">
        <f>'Foglio deposito bis'!$F$69*IF(ABS(L1499)&lt;'Progetto del paramento slu'!$G$58,ABS(L1499)*'Progetto del paramento slu'!$G$54,'Progetto del paramento slu'!$G$53)*IF(L1499&lt;0,-1,1)</f>
        <v>153664.85805602249</v>
      </c>
      <c r="S1499" s="553">
        <f>'Foglio deposito bis'!$F$70*IF(ABS(M1499)&lt;'Progetto del paramento slu'!$G$58,ABS(M1499)*'Progetto del paramento slu'!$G$54,'Progetto del paramento slu'!$G$53)*IF(M1499&lt;0,-1,1)</f>
        <v>0</v>
      </c>
      <c r="T1499" s="553">
        <f>'Foglio deposito bis'!$F$71*IF(ABS(N1499)&lt;'Progetto del paramento slu'!$G$58,ABS(N1499)*'Progetto del paramento slu'!$G$54,'Progetto del paramento slu'!$G$53)*IF(N1499&lt;0,-1,1)</f>
        <v>314705.62929873407</v>
      </c>
      <c r="U1499" s="553">
        <f>'Foglio deposito bis'!$F$72*IF(ABS(O1499)&lt;'Progetto del paramento slu'!$G$58,ABS(O1499)*'Progetto del paramento slu'!$G$54,'Progetto del paramento slu'!$G$53)*IF(O1499&lt;0,-1,1)</f>
        <v>491727.54577927204</v>
      </c>
      <c r="V1499" s="479">
        <f t="shared" si="114"/>
        <v>942930.84217854589</v>
      </c>
      <c r="W1499" s="559"/>
      <c r="X1499" s="559"/>
    </row>
    <row r="1500" spans="1:24" x14ac:dyDescent="0.25">
      <c r="A1500" s="553">
        <f t="shared" si="113"/>
        <v>940069.64368596557</v>
      </c>
      <c r="B1500" s="3">
        <f t="shared" si="115"/>
        <v>0.35</v>
      </c>
      <c r="C1500" s="553">
        <f>'Foglio deposito bis'!$E$159/sezione!$B$247*B1500</f>
        <v>1.4208673200530864</v>
      </c>
      <c r="D1500" s="611">
        <f>-'Progetto del paramento slu'!$G$47*'Progetto del paramento slu'!$G$41*IF(DATI!$G$218="dx",DATI!$E$61,DATI!$E$64*DATI!$E$63)*1000*C1500^2*sezione!$AD$5*(1-sezione!$AD$6)</f>
        <v>-16619.287479388579</v>
      </c>
      <c r="E1500" s="553">
        <f>-'Foglio deposito bis'!$F$68*(C1500-sezione!$AL$33)*IF(ABS(K1500)&lt;'Progetto del paramento slu'!$G$58,ABS(K1500)*'Progetto del paramento slu'!$G$54,'Progetto del paramento slu'!$G$53)</f>
        <v>0</v>
      </c>
      <c r="F1500" s="553">
        <f>-'Foglio deposito bis'!$F$69*(C1500-sezione!$AM$33)*IF(ABS(L1500)&lt;'Progetto del paramento slu'!$G$58,ABS(L1500)*'Progetto del paramento slu'!$G$54,'Progetto del paramento slu'!$G$53)</f>
        <v>22831391.333350975</v>
      </c>
      <c r="G1500" s="553">
        <f>-'Foglio deposito bis'!$F$70*(C1500-sezione!$AN$33)*IF(ABS(M1500)&lt;'Progetto del paramento slu'!$G$58,ABS(M1500)*'Progetto del paramento slu'!$G$54,'Progetto del paramento slu'!$G$53)</f>
        <v>0</v>
      </c>
      <c r="H1500" s="553">
        <f>-'Foglio deposito bis'!$F$71*(C1500-sezione!$AO$33)*IF(ABS(N1500)&lt;'Progetto del paramento slu'!$G$58,ABS(N1500)*'Progetto del paramento slu'!$G$54,'Progetto del paramento slu'!$G$53)</f>
        <v>106552759.01746228</v>
      </c>
      <c r="I1500" s="479">
        <f>-'Foglio deposito bis'!$F$72*(C1500-sezione!$AP$33)*IF(ABS(O1500)&lt;'Progetto del paramento slu'!$G$58,ABS(O1500)*'Progetto del paramento slu'!$G$54,'Progetto del paramento slu'!$G$53)</f>
        <v>127153425.57549343</v>
      </c>
      <c r="J1500" s="479">
        <f t="shared" si="111"/>
        <v>256520956.63882729</v>
      </c>
      <c r="K1500" s="558">
        <f>'Progetto del paramento slu'!$G$60*(sezione!$AL$33-C1500)/C1500</f>
        <v>9.5031367443069448E-2</v>
      </c>
      <c r="L1500" s="558">
        <f>'Progetto del paramento slu'!$G$60*(sezione!$AM$33-C1500)/C1500</f>
        <v>0.36599262791151044</v>
      </c>
      <c r="M1500" s="559">
        <f>'Progetto del paramento slu'!$G$60*(sezione!$AN$33-C1500)/C1500</f>
        <v>0.63695388837995126</v>
      </c>
      <c r="N1500" s="559">
        <f>'Progetto del paramento slu'!$G$60*(sezione!$AO$33-C1500)/C1500</f>
        <v>0.83401662326609016</v>
      </c>
      <c r="O1500" s="559">
        <f>'Progetto del paramento slu'!$G$60*(sezione!$AP$33-C1500)/C1500</f>
        <v>0.63696863255693015</v>
      </c>
      <c r="P1500" s="553">
        <f>-'Progetto del paramento slu'!$G$47*'Progetto del paramento slu'!$G$41*IF(DATI!$G$218="dx",DATI!$E$61,DATI!$E$64*DATI!$E$63)*1000*C1500*sezione!$AD$5</f>
        <v>-20028.389448063099</v>
      </c>
      <c r="Q1500" s="553">
        <f>'Foglio deposito bis'!$F$68*IF(ABS(K1500)&lt;'Progetto del paramento slu'!$G$58,ABS(K1500)*'Progetto del paramento slu'!$G$54,'Progetto del paramento slu'!$G$53)*IF(K1500&lt;0,-1,1)</f>
        <v>0</v>
      </c>
      <c r="R1500" s="553">
        <f>'Foglio deposito bis'!$F$69*IF(ABS(L1500)&lt;'Progetto del paramento slu'!$G$58,ABS(L1500)*'Progetto del paramento slu'!$G$54,'Progetto del paramento slu'!$G$53)*IF(L1500&lt;0,-1,1)</f>
        <v>153664.85805602249</v>
      </c>
      <c r="S1500" s="553">
        <f>'Foglio deposito bis'!$F$70*IF(ABS(M1500)&lt;'Progetto del paramento slu'!$G$58,ABS(M1500)*'Progetto del paramento slu'!$G$54,'Progetto del paramento slu'!$G$53)*IF(M1500&lt;0,-1,1)</f>
        <v>0</v>
      </c>
      <c r="T1500" s="553">
        <f>'Foglio deposito bis'!$F$71*IF(ABS(N1500)&lt;'Progetto del paramento slu'!$G$58,ABS(N1500)*'Progetto del paramento slu'!$G$54,'Progetto del paramento slu'!$G$53)*IF(N1500&lt;0,-1,1)</f>
        <v>314705.62929873407</v>
      </c>
      <c r="U1500" s="553">
        <f>'Foglio deposito bis'!$F$72*IF(ABS(O1500)&lt;'Progetto del paramento slu'!$G$58,ABS(O1500)*'Progetto del paramento slu'!$G$54,'Progetto del paramento slu'!$G$53)*IF(O1500&lt;0,-1,1)</f>
        <v>491727.54577927204</v>
      </c>
      <c r="V1500" s="479">
        <f t="shared" si="114"/>
        <v>940069.64368596557</v>
      </c>
      <c r="W1500" s="559"/>
      <c r="X1500" s="559"/>
    </row>
    <row r="1501" spans="1:24" x14ac:dyDescent="0.25">
      <c r="A1501" s="553">
        <f t="shared" si="113"/>
        <v>937208.44519338501</v>
      </c>
      <c r="B1501" s="3">
        <f t="shared" si="115"/>
        <v>0.39999999999999997</v>
      </c>
      <c r="C1501" s="553">
        <f>'Foglio deposito bis'!$E$159/sezione!$B$247*B1501</f>
        <v>1.6238483657749556</v>
      </c>
      <c r="D1501" s="611">
        <f>-'Progetto del paramento slu'!$G$47*'Progetto del paramento slu'!$G$41*IF(DATI!$G$218="dx",DATI!$E$61,DATI!$E$64*DATI!$E$63)*1000*C1501^2*sezione!$AD$5*(1-sezione!$AD$6)</f>
        <v>-21706.824462874869</v>
      </c>
      <c r="E1501" s="553">
        <f>-'Foglio deposito bis'!$F$68*(C1501-sezione!$AL$33)*IF(ABS(K1501)&lt;'Progetto del paramento slu'!$G$58,ABS(K1501)*'Progetto del paramento slu'!$G$54,'Progetto del paramento slu'!$G$53)</f>
        <v>0</v>
      </c>
      <c r="F1501" s="553">
        <f>-'Foglio deposito bis'!$F$69*(C1501-sezione!$AM$33)*IF(ABS(L1501)&lt;'Progetto del paramento slu'!$G$58,ABS(L1501)*'Progetto del paramento slu'!$G$54,'Progetto del paramento slu'!$G$53)</f>
        <v>22800200.279772062</v>
      </c>
      <c r="G1501" s="553">
        <f>-'Foglio deposito bis'!$F$70*(C1501-sezione!$AN$33)*IF(ABS(M1501)&lt;'Progetto del paramento slu'!$G$58,ABS(M1501)*'Progetto del paramento slu'!$G$54,'Progetto del paramento slu'!$G$53)</f>
        <v>0</v>
      </c>
      <c r="H1501" s="553">
        <f>-'Foglio deposito bis'!$F$71*(C1501-sezione!$AO$33)*IF(ABS(N1501)&lt;'Progetto del paramento slu'!$G$58,ABS(N1501)*'Progetto del paramento slu'!$G$54,'Progetto del paramento slu'!$G$53)</f>
        <v>106488879.73973265</v>
      </c>
      <c r="I1501" s="479">
        <f>-'Foglio deposito bis'!$F$72*(C1501-sezione!$AP$33)*IF(ABS(O1501)&lt;'Progetto del paramento slu'!$G$58,ABS(O1501)*'Progetto del paramento slu'!$G$54,'Progetto del paramento slu'!$G$53)</f>
        <v>127053614.20404091</v>
      </c>
      <c r="J1501" s="479">
        <f t="shared" si="111"/>
        <v>256320987.39908275</v>
      </c>
      <c r="K1501" s="558">
        <f>'Progetto del paramento slu'!$G$60*(sezione!$AL$33-C1501)/C1501</f>
        <v>8.271494651268578E-2</v>
      </c>
      <c r="L1501" s="558">
        <f>'Progetto del paramento slu'!$G$60*(sezione!$AM$33-C1501)/C1501</f>
        <v>0.31980604942257168</v>
      </c>
      <c r="M1501" s="559">
        <f>'Progetto del paramento slu'!$G$60*(sezione!$AN$33-C1501)/C1501</f>
        <v>0.55689715233245751</v>
      </c>
      <c r="N1501" s="559">
        <f>'Progetto del paramento slu'!$G$60*(sezione!$AO$33-C1501)/C1501</f>
        <v>0.729327045357829</v>
      </c>
      <c r="O1501" s="559">
        <f>'Progetto del paramento slu'!$G$60*(sezione!$AP$33-C1501)/C1501</f>
        <v>0.55691005348731393</v>
      </c>
      <c r="P1501" s="553">
        <f>-'Progetto del paramento slu'!$G$47*'Progetto del paramento slu'!$G$41*IF(DATI!$G$218="dx",DATI!$E$61,DATI!$E$64*DATI!$E$63)*1000*C1501*sezione!$AD$5</f>
        <v>-22889.587940643538</v>
      </c>
      <c r="Q1501" s="553">
        <f>'Foglio deposito bis'!$F$68*IF(ABS(K1501)&lt;'Progetto del paramento slu'!$G$58,ABS(K1501)*'Progetto del paramento slu'!$G$54,'Progetto del paramento slu'!$G$53)*IF(K1501&lt;0,-1,1)</f>
        <v>0</v>
      </c>
      <c r="R1501" s="553">
        <f>'Foglio deposito bis'!$F$69*IF(ABS(L1501)&lt;'Progetto del paramento slu'!$G$58,ABS(L1501)*'Progetto del paramento slu'!$G$54,'Progetto del paramento slu'!$G$53)*IF(L1501&lt;0,-1,1)</f>
        <v>153664.85805602249</v>
      </c>
      <c r="S1501" s="553">
        <f>'Foglio deposito bis'!$F$70*IF(ABS(M1501)&lt;'Progetto del paramento slu'!$G$58,ABS(M1501)*'Progetto del paramento slu'!$G$54,'Progetto del paramento slu'!$G$53)*IF(M1501&lt;0,-1,1)</f>
        <v>0</v>
      </c>
      <c r="T1501" s="553">
        <f>'Foglio deposito bis'!$F$71*IF(ABS(N1501)&lt;'Progetto del paramento slu'!$G$58,ABS(N1501)*'Progetto del paramento slu'!$G$54,'Progetto del paramento slu'!$G$53)*IF(N1501&lt;0,-1,1)</f>
        <v>314705.62929873407</v>
      </c>
      <c r="U1501" s="553">
        <f>'Foglio deposito bis'!$F$72*IF(ABS(O1501)&lt;'Progetto del paramento slu'!$G$58,ABS(O1501)*'Progetto del paramento slu'!$G$54,'Progetto del paramento slu'!$G$53)*IF(O1501&lt;0,-1,1)</f>
        <v>491727.54577927204</v>
      </c>
      <c r="V1501" s="479">
        <f t="shared" si="114"/>
        <v>937208.44519338501</v>
      </c>
      <c r="W1501" s="559"/>
      <c r="X1501" s="559"/>
    </row>
    <row r="1502" spans="1:24" x14ac:dyDescent="0.25">
      <c r="A1502" s="553">
        <f t="shared" si="113"/>
        <v>934347.24670080468</v>
      </c>
      <c r="B1502" s="3">
        <f t="shared" si="115"/>
        <v>0.44999999999999996</v>
      </c>
      <c r="C1502" s="553">
        <f>'Foglio deposito bis'!$E$159/sezione!$B$247*B1502</f>
        <v>1.8268294114968251</v>
      </c>
      <c r="D1502" s="611">
        <f>-'Progetto del paramento slu'!$G$47*'Progetto del paramento slu'!$G$41*IF(DATI!$G$218="dx",DATI!$E$61,DATI!$E$64*DATI!$E$63)*1000*C1502^2*sezione!$AD$5*(1-sezione!$AD$6)</f>
        <v>-27472.699710826004</v>
      </c>
      <c r="E1502" s="553">
        <f>-'Foglio deposito bis'!$F$68*(C1502-sezione!$AL$33)*IF(ABS(K1502)&lt;'Progetto del paramento slu'!$G$58,ABS(K1502)*'Progetto del paramento slu'!$G$54,'Progetto del paramento slu'!$G$53)</f>
        <v>0</v>
      </c>
      <c r="F1502" s="553">
        <f>-'Foglio deposito bis'!$F$69*(C1502-sezione!$AM$33)*IF(ABS(L1502)&lt;'Progetto del paramento slu'!$G$58,ABS(L1502)*'Progetto del paramento slu'!$G$54,'Progetto del paramento slu'!$G$53)</f>
        <v>22769009.226193149</v>
      </c>
      <c r="G1502" s="553">
        <f>-'Foglio deposito bis'!$F$70*(C1502-sezione!$AN$33)*IF(ABS(M1502)&lt;'Progetto del paramento slu'!$G$58,ABS(M1502)*'Progetto del paramento slu'!$G$54,'Progetto del paramento slu'!$G$53)</f>
        <v>0</v>
      </c>
      <c r="H1502" s="553">
        <f>-'Foglio deposito bis'!$F$71*(C1502-sezione!$AO$33)*IF(ABS(N1502)&lt;'Progetto del paramento slu'!$G$58,ABS(N1502)*'Progetto del paramento slu'!$G$54,'Progetto del paramento slu'!$G$53)</f>
        <v>106425000.46200304</v>
      </c>
      <c r="I1502" s="479">
        <f>-'Foglio deposito bis'!$F$72*(C1502-sezione!$AP$33)*IF(ABS(O1502)&lt;'Progetto del paramento slu'!$G$58,ABS(O1502)*'Progetto del paramento slu'!$G$54,'Progetto del paramento slu'!$G$53)</f>
        <v>126953802.83258837</v>
      </c>
      <c r="J1502" s="479">
        <f t="shared" si="111"/>
        <v>256120339.82107374</v>
      </c>
      <c r="K1502" s="558">
        <f>'Progetto del paramento slu'!$G$60*(sezione!$AL$33-C1502)/C1502</f>
        <v>7.3135508011276246E-2</v>
      </c>
      <c r="L1502" s="558">
        <f>'Progetto del paramento slu'!$G$60*(sezione!$AM$33-C1502)/C1502</f>
        <v>0.2838831550422859</v>
      </c>
      <c r="M1502" s="559">
        <f>'Progetto del paramento slu'!$G$60*(sezione!$AN$33-C1502)/C1502</f>
        <v>0.49463080207329557</v>
      </c>
      <c r="N1502" s="559">
        <f>'Progetto del paramento slu'!$G$60*(sezione!$AO$33-C1502)/C1502</f>
        <v>0.64790181809584813</v>
      </c>
      <c r="O1502" s="559">
        <f>'Progetto del paramento slu'!$G$60*(sezione!$AP$33-C1502)/C1502</f>
        <v>0.49464226976650133</v>
      </c>
      <c r="P1502" s="553">
        <f>-'Progetto del paramento slu'!$G$47*'Progetto del paramento slu'!$G$41*IF(DATI!$G$218="dx",DATI!$E$61,DATI!$E$64*DATI!$E$63)*1000*C1502*sezione!$AD$5</f>
        <v>-25750.786433223984</v>
      </c>
      <c r="Q1502" s="553">
        <f>'Foglio deposito bis'!$F$68*IF(ABS(K1502)&lt;'Progetto del paramento slu'!$G$58,ABS(K1502)*'Progetto del paramento slu'!$G$54,'Progetto del paramento slu'!$G$53)*IF(K1502&lt;0,-1,1)</f>
        <v>0</v>
      </c>
      <c r="R1502" s="553">
        <f>'Foglio deposito bis'!$F$69*IF(ABS(L1502)&lt;'Progetto del paramento slu'!$G$58,ABS(L1502)*'Progetto del paramento slu'!$G$54,'Progetto del paramento slu'!$G$53)*IF(L1502&lt;0,-1,1)</f>
        <v>153664.85805602249</v>
      </c>
      <c r="S1502" s="553">
        <f>'Foglio deposito bis'!$F$70*IF(ABS(M1502)&lt;'Progetto del paramento slu'!$G$58,ABS(M1502)*'Progetto del paramento slu'!$G$54,'Progetto del paramento slu'!$G$53)*IF(M1502&lt;0,-1,1)</f>
        <v>0</v>
      </c>
      <c r="T1502" s="553">
        <f>'Foglio deposito bis'!$F$71*IF(ABS(N1502)&lt;'Progetto del paramento slu'!$G$58,ABS(N1502)*'Progetto del paramento slu'!$G$54,'Progetto del paramento slu'!$G$53)*IF(N1502&lt;0,-1,1)</f>
        <v>314705.62929873407</v>
      </c>
      <c r="U1502" s="553">
        <f>'Foglio deposito bis'!$F$72*IF(ABS(O1502)&lt;'Progetto del paramento slu'!$G$58,ABS(O1502)*'Progetto del paramento slu'!$G$54,'Progetto del paramento slu'!$G$53)*IF(O1502&lt;0,-1,1)</f>
        <v>491727.54577927204</v>
      </c>
      <c r="V1502" s="479">
        <f t="shared" si="114"/>
        <v>934347.24670080468</v>
      </c>
      <c r="W1502" s="559"/>
      <c r="X1502" s="559"/>
    </row>
    <row r="1503" spans="1:24" x14ac:dyDescent="0.25">
      <c r="A1503" s="553">
        <f t="shared" si="113"/>
        <v>931486.04820822412</v>
      </c>
      <c r="B1503" s="3">
        <f t="shared" si="115"/>
        <v>0.49999999999999994</v>
      </c>
      <c r="C1503" s="553">
        <f>'Foglio deposito bis'!$E$159/sezione!$B$247*B1503</f>
        <v>2.0298104572186944</v>
      </c>
      <c r="D1503" s="611">
        <f>-'Progetto del paramento slu'!$G$47*'Progetto del paramento slu'!$G$41*IF(DATI!$G$218="dx",DATI!$E$61,DATI!$E$64*DATI!$E$63)*1000*C1503^2*sezione!$AD$5*(1-sezione!$AD$6)</f>
        <v>-33916.913223241972</v>
      </c>
      <c r="E1503" s="553">
        <f>-'Foglio deposito bis'!$F$68*(C1503-sezione!$AL$33)*IF(ABS(K1503)&lt;'Progetto del paramento slu'!$G$58,ABS(K1503)*'Progetto del paramento slu'!$G$54,'Progetto del paramento slu'!$G$53)</f>
        <v>0</v>
      </c>
      <c r="F1503" s="553">
        <f>-'Foglio deposito bis'!$F$69*(C1503-sezione!$AM$33)*IF(ABS(L1503)&lt;'Progetto del paramento slu'!$G$58,ABS(L1503)*'Progetto del paramento slu'!$G$54,'Progetto del paramento slu'!$G$53)</f>
        <v>22737818.172614232</v>
      </c>
      <c r="G1503" s="553">
        <f>-'Foglio deposito bis'!$F$70*(C1503-sezione!$AN$33)*IF(ABS(M1503)&lt;'Progetto del paramento slu'!$G$58,ABS(M1503)*'Progetto del paramento slu'!$G$54,'Progetto del paramento slu'!$G$53)</f>
        <v>0</v>
      </c>
      <c r="H1503" s="553">
        <f>-'Foglio deposito bis'!$F$71*(C1503-sezione!$AO$33)*IF(ABS(N1503)&lt;'Progetto del paramento slu'!$G$58,ABS(N1503)*'Progetto del paramento slu'!$G$54,'Progetto del paramento slu'!$G$53)</f>
        <v>106361121.18427342</v>
      </c>
      <c r="I1503" s="479">
        <f>-'Foglio deposito bis'!$F$72*(C1503-sezione!$AP$33)*IF(ABS(O1503)&lt;'Progetto del paramento slu'!$G$58,ABS(O1503)*'Progetto del paramento slu'!$G$54,'Progetto del paramento slu'!$G$53)</f>
        <v>126853991.46113586</v>
      </c>
      <c r="J1503" s="479">
        <f t="shared" si="111"/>
        <v>255919013.9048003</v>
      </c>
      <c r="K1503" s="558">
        <f>'Progetto del paramento slu'!$G$60*(sezione!$AL$33-C1503)/C1503</f>
        <v>6.5471957210148632E-2</v>
      </c>
      <c r="L1503" s="558">
        <f>'Progetto del paramento slu'!$G$60*(sezione!$AM$33-C1503)/C1503</f>
        <v>0.25514483953805733</v>
      </c>
      <c r="M1503" s="559">
        <f>'Progetto del paramento slu'!$G$60*(sezione!$AN$33-C1503)/C1503</f>
        <v>0.44481772186596613</v>
      </c>
      <c r="N1503" s="559">
        <f>'Progetto del paramento slu'!$G$60*(sezione!$AO$33-C1503)/C1503</f>
        <v>0.58276163628626343</v>
      </c>
      <c r="O1503" s="559">
        <f>'Progetto del paramento slu'!$G$60*(sezione!$AP$33-C1503)/C1503</f>
        <v>0.44482804278985122</v>
      </c>
      <c r="P1503" s="553">
        <f>-'Progetto del paramento slu'!$G$47*'Progetto del paramento slu'!$G$41*IF(DATI!$G$218="dx",DATI!$E$61,DATI!$E$64*DATI!$E$63)*1000*C1503*sezione!$AD$5</f>
        <v>-28611.98492580442</v>
      </c>
      <c r="Q1503" s="553">
        <f>'Foglio deposito bis'!$F$68*IF(ABS(K1503)&lt;'Progetto del paramento slu'!$G$58,ABS(K1503)*'Progetto del paramento slu'!$G$54,'Progetto del paramento slu'!$G$53)*IF(K1503&lt;0,-1,1)</f>
        <v>0</v>
      </c>
      <c r="R1503" s="553">
        <f>'Foglio deposito bis'!$F$69*IF(ABS(L1503)&lt;'Progetto del paramento slu'!$G$58,ABS(L1503)*'Progetto del paramento slu'!$G$54,'Progetto del paramento slu'!$G$53)*IF(L1503&lt;0,-1,1)</f>
        <v>153664.85805602249</v>
      </c>
      <c r="S1503" s="553">
        <f>'Foglio deposito bis'!$F$70*IF(ABS(M1503)&lt;'Progetto del paramento slu'!$G$58,ABS(M1503)*'Progetto del paramento slu'!$G$54,'Progetto del paramento slu'!$G$53)*IF(M1503&lt;0,-1,1)</f>
        <v>0</v>
      </c>
      <c r="T1503" s="553">
        <f>'Foglio deposito bis'!$F$71*IF(ABS(N1503)&lt;'Progetto del paramento slu'!$G$58,ABS(N1503)*'Progetto del paramento slu'!$G$54,'Progetto del paramento slu'!$G$53)*IF(N1503&lt;0,-1,1)</f>
        <v>314705.62929873407</v>
      </c>
      <c r="U1503" s="553">
        <f>'Foglio deposito bis'!$F$72*IF(ABS(O1503)&lt;'Progetto del paramento slu'!$G$58,ABS(O1503)*'Progetto del paramento slu'!$G$54,'Progetto del paramento slu'!$G$53)*IF(O1503&lt;0,-1,1)</f>
        <v>491727.54577927204</v>
      </c>
      <c r="V1503" s="479">
        <f t="shared" si="114"/>
        <v>931486.04820822412</v>
      </c>
      <c r="W1503" s="559"/>
      <c r="X1503" s="559"/>
    </row>
    <row r="1504" spans="1:24" x14ac:dyDescent="0.25">
      <c r="A1504" s="553">
        <f t="shared" si="113"/>
        <v>928624.8497156438</v>
      </c>
      <c r="B1504" s="3">
        <f t="shared" si="115"/>
        <v>0.54999999999999993</v>
      </c>
      <c r="C1504" s="553">
        <f>'Foglio deposito bis'!$E$159/sezione!$B$247*B1504</f>
        <v>2.2327915029405641</v>
      </c>
      <c r="D1504" s="611">
        <f>-'Progetto del paramento slu'!$G$47*'Progetto del paramento slu'!$G$41*IF(DATI!$G$218="dx",DATI!$E$61,DATI!$E$64*DATI!$E$63)*1000*C1504^2*sezione!$AD$5*(1-sezione!$AD$6)</f>
        <v>-41039.465000122807</v>
      </c>
      <c r="E1504" s="553">
        <f>-'Foglio deposito bis'!$F$68*(C1504-sezione!$AL$33)*IF(ABS(K1504)&lt;'Progetto del paramento slu'!$G$58,ABS(K1504)*'Progetto del paramento slu'!$G$54,'Progetto del paramento slu'!$G$53)</f>
        <v>0</v>
      </c>
      <c r="F1504" s="553">
        <f>-'Foglio deposito bis'!$F$69*(C1504-sezione!$AM$33)*IF(ABS(L1504)&lt;'Progetto del paramento slu'!$G$58,ABS(L1504)*'Progetto del paramento slu'!$G$54,'Progetto del paramento slu'!$G$53)</f>
        <v>22706627.119035318</v>
      </c>
      <c r="G1504" s="553">
        <f>-'Foglio deposito bis'!$F$70*(C1504-sezione!$AN$33)*IF(ABS(M1504)&lt;'Progetto del paramento slu'!$G$58,ABS(M1504)*'Progetto del paramento slu'!$G$54,'Progetto del paramento slu'!$G$53)</f>
        <v>0</v>
      </c>
      <c r="H1504" s="553">
        <f>-'Foglio deposito bis'!$F$71*(C1504-sezione!$AO$33)*IF(ABS(N1504)&lt;'Progetto del paramento slu'!$G$58,ABS(N1504)*'Progetto del paramento slu'!$G$54,'Progetto del paramento slu'!$G$53)</f>
        <v>106297241.90654381</v>
      </c>
      <c r="I1504" s="479">
        <f>-'Foglio deposito bis'!$F$72*(C1504-sezione!$AP$33)*IF(ABS(O1504)&lt;'Progetto del paramento slu'!$G$58,ABS(O1504)*'Progetto del paramento slu'!$G$54,'Progetto del paramento slu'!$G$53)</f>
        <v>126754180.08968332</v>
      </c>
      <c r="J1504" s="479">
        <f t="shared" si="111"/>
        <v>255717009.65026233</v>
      </c>
      <c r="K1504" s="558">
        <f>'Progetto del paramento slu'!$G$60*(sezione!$AL$33-C1504)/C1504</f>
        <v>5.920177928195329E-2</v>
      </c>
      <c r="L1504" s="558">
        <f>'Progetto del paramento slu'!$G$60*(sezione!$AM$33-C1504)/C1504</f>
        <v>0.23163167230732484</v>
      </c>
      <c r="M1504" s="559">
        <f>'Progetto del paramento slu'!$G$60*(sezione!$AN$33-C1504)/C1504</f>
        <v>0.40406156533269633</v>
      </c>
      <c r="N1504" s="559">
        <f>'Progetto del paramento slu'!$G$60*(sezione!$AO$33-C1504)/C1504</f>
        <v>0.52946512389660294</v>
      </c>
      <c r="O1504" s="559">
        <f>'Progetto del paramento slu'!$G$60*(sezione!$AP$33-C1504)/C1504</f>
        <v>0.40407094799077375</v>
      </c>
      <c r="P1504" s="553">
        <f>-'Progetto del paramento slu'!$G$47*'Progetto del paramento slu'!$G$41*IF(DATI!$G$218="dx",DATI!$E$61,DATI!$E$64*DATI!$E$63)*1000*C1504*sezione!$AD$5</f>
        <v>-31473.18341838487</v>
      </c>
      <c r="Q1504" s="553">
        <f>'Foglio deposito bis'!$F$68*IF(ABS(K1504)&lt;'Progetto del paramento slu'!$G$58,ABS(K1504)*'Progetto del paramento slu'!$G$54,'Progetto del paramento slu'!$G$53)*IF(K1504&lt;0,-1,1)</f>
        <v>0</v>
      </c>
      <c r="R1504" s="553">
        <f>'Foglio deposito bis'!$F$69*IF(ABS(L1504)&lt;'Progetto del paramento slu'!$G$58,ABS(L1504)*'Progetto del paramento slu'!$G$54,'Progetto del paramento slu'!$G$53)*IF(L1504&lt;0,-1,1)</f>
        <v>153664.85805602249</v>
      </c>
      <c r="S1504" s="553">
        <f>'Foglio deposito bis'!$F$70*IF(ABS(M1504)&lt;'Progetto del paramento slu'!$G$58,ABS(M1504)*'Progetto del paramento slu'!$G$54,'Progetto del paramento slu'!$G$53)*IF(M1504&lt;0,-1,1)</f>
        <v>0</v>
      </c>
      <c r="T1504" s="553">
        <f>'Foglio deposito bis'!$F$71*IF(ABS(N1504)&lt;'Progetto del paramento slu'!$G$58,ABS(N1504)*'Progetto del paramento slu'!$G$54,'Progetto del paramento slu'!$G$53)*IF(N1504&lt;0,-1,1)</f>
        <v>314705.62929873407</v>
      </c>
      <c r="U1504" s="553">
        <f>'Foglio deposito bis'!$F$72*IF(ABS(O1504)&lt;'Progetto del paramento slu'!$G$58,ABS(O1504)*'Progetto del paramento slu'!$G$54,'Progetto del paramento slu'!$G$53)*IF(O1504&lt;0,-1,1)</f>
        <v>491727.54577927204</v>
      </c>
      <c r="V1504" s="479">
        <f t="shared" si="114"/>
        <v>928624.8497156438</v>
      </c>
      <c r="W1504" s="559"/>
      <c r="X1504" s="559"/>
    </row>
    <row r="1505" spans="1:24" x14ac:dyDescent="0.25">
      <c r="A1505" s="553">
        <f t="shared" si="113"/>
        <v>925763.65122306324</v>
      </c>
      <c r="B1505" s="3">
        <f t="shared" si="115"/>
        <v>0.6</v>
      </c>
      <c r="C1505" s="553">
        <f>'Foglio deposito bis'!$E$159/sezione!$B$247*B1505</f>
        <v>2.4357725486624338</v>
      </c>
      <c r="D1505" s="611">
        <f>-'Progetto del paramento slu'!$G$47*'Progetto del paramento slu'!$G$41*IF(DATI!$G$218="dx",DATI!$E$61,DATI!$E$64*DATI!$E$63)*1000*C1505^2*sezione!$AD$5*(1-sezione!$AD$6)</f>
        <v>-48840.355041468472</v>
      </c>
      <c r="E1505" s="553">
        <f>-'Foglio deposito bis'!$F$68*(C1505-sezione!$AL$33)*IF(ABS(K1505)&lt;'Progetto del paramento slu'!$G$58,ABS(K1505)*'Progetto del paramento slu'!$G$54,'Progetto del paramento slu'!$G$53)</f>
        <v>0</v>
      </c>
      <c r="F1505" s="553">
        <f>-'Foglio deposito bis'!$F$69*(C1505-sezione!$AM$33)*IF(ABS(L1505)&lt;'Progetto del paramento slu'!$G$58,ABS(L1505)*'Progetto del paramento slu'!$G$54,'Progetto del paramento slu'!$G$53)</f>
        <v>22675436.065456402</v>
      </c>
      <c r="G1505" s="553">
        <f>-'Foglio deposito bis'!$F$70*(C1505-sezione!$AN$33)*IF(ABS(M1505)&lt;'Progetto del paramento slu'!$G$58,ABS(M1505)*'Progetto del paramento slu'!$G$54,'Progetto del paramento slu'!$G$53)</f>
        <v>0</v>
      </c>
      <c r="H1505" s="553">
        <f>-'Foglio deposito bis'!$F$71*(C1505-sezione!$AO$33)*IF(ABS(N1505)&lt;'Progetto del paramento slu'!$G$58,ABS(N1505)*'Progetto del paramento slu'!$G$54,'Progetto del paramento slu'!$G$53)</f>
        <v>106233362.62881419</v>
      </c>
      <c r="I1505" s="479">
        <f>-'Foglio deposito bis'!$F$72*(C1505-sezione!$AP$33)*IF(ABS(O1505)&lt;'Progetto del paramento slu'!$G$58,ABS(O1505)*'Progetto del paramento slu'!$G$54,'Progetto del paramento slu'!$G$53)</f>
        <v>126654368.7182308</v>
      </c>
      <c r="J1505" s="479">
        <f t="shared" si="111"/>
        <v>255514327.05745992</v>
      </c>
      <c r="K1505" s="558">
        <f>'Progetto del paramento slu'!$G$60*(sezione!$AL$33-C1505)/C1505</f>
        <v>5.3976631008457177E-2</v>
      </c>
      <c r="L1505" s="558">
        <f>'Progetto del paramento slu'!$G$60*(sezione!$AM$33-C1505)/C1505</f>
        <v>0.21203736628171441</v>
      </c>
      <c r="M1505" s="559">
        <f>'Progetto del paramento slu'!$G$60*(sezione!$AN$33-C1505)/C1505</f>
        <v>0.37009810155497164</v>
      </c>
      <c r="N1505" s="559">
        <f>'Progetto del paramento slu'!$G$60*(sezione!$AO$33-C1505)/C1505</f>
        <v>0.48505136357188594</v>
      </c>
      <c r="O1505" s="559">
        <f>'Progetto del paramento slu'!$G$60*(sezione!$AP$33-C1505)/C1505</f>
        <v>0.37010670232487591</v>
      </c>
      <c r="P1505" s="553">
        <f>-'Progetto del paramento slu'!$G$47*'Progetto del paramento slu'!$G$41*IF(DATI!$G$218="dx",DATI!$E$61,DATI!$E$64*DATI!$E$63)*1000*C1505*sezione!$AD$5</f>
        <v>-34334.381910965312</v>
      </c>
      <c r="Q1505" s="553">
        <f>'Foglio deposito bis'!$F$68*IF(ABS(K1505)&lt;'Progetto del paramento slu'!$G$58,ABS(K1505)*'Progetto del paramento slu'!$G$54,'Progetto del paramento slu'!$G$53)*IF(K1505&lt;0,-1,1)</f>
        <v>0</v>
      </c>
      <c r="R1505" s="553">
        <f>'Foglio deposito bis'!$F$69*IF(ABS(L1505)&lt;'Progetto del paramento slu'!$G$58,ABS(L1505)*'Progetto del paramento slu'!$G$54,'Progetto del paramento slu'!$G$53)*IF(L1505&lt;0,-1,1)</f>
        <v>153664.85805602249</v>
      </c>
      <c r="S1505" s="553">
        <f>'Foglio deposito bis'!$F$70*IF(ABS(M1505)&lt;'Progetto del paramento slu'!$G$58,ABS(M1505)*'Progetto del paramento slu'!$G$54,'Progetto del paramento slu'!$G$53)*IF(M1505&lt;0,-1,1)</f>
        <v>0</v>
      </c>
      <c r="T1505" s="553">
        <f>'Foglio deposito bis'!$F$71*IF(ABS(N1505)&lt;'Progetto del paramento slu'!$G$58,ABS(N1505)*'Progetto del paramento slu'!$G$54,'Progetto del paramento slu'!$G$53)*IF(N1505&lt;0,-1,1)</f>
        <v>314705.62929873407</v>
      </c>
      <c r="U1505" s="553">
        <f>'Foglio deposito bis'!$F$72*IF(ABS(O1505)&lt;'Progetto del paramento slu'!$G$58,ABS(O1505)*'Progetto del paramento slu'!$G$54,'Progetto del paramento slu'!$G$53)*IF(O1505&lt;0,-1,1)</f>
        <v>491727.54577927204</v>
      </c>
      <c r="V1505" s="479">
        <f t="shared" si="114"/>
        <v>925763.65122306324</v>
      </c>
      <c r="W1505" s="559"/>
      <c r="X1505" s="559"/>
    </row>
    <row r="1506" spans="1:24" x14ac:dyDescent="0.25">
      <c r="A1506" s="553">
        <f t="shared" si="113"/>
        <v>922902.45273048291</v>
      </c>
      <c r="B1506" s="3">
        <f t="shared" si="115"/>
        <v>0.65</v>
      </c>
      <c r="C1506" s="553">
        <f>'Foglio deposito bis'!$E$159/sezione!$B$247*B1506</f>
        <v>2.6387535943843035</v>
      </c>
      <c r="D1506" s="611">
        <f>-'Progetto del paramento slu'!$G$47*'Progetto del paramento slu'!$G$41*IF(DATI!$G$218="dx",DATI!$E$61,DATI!$E$64*DATI!$E$63)*1000*C1506^2*sezione!$AD$5*(1-sezione!$AD$6)</f>
        <v>-57319.583347278982</v>
      </c>
      <c r="E1506" s="553">
        <f>-'Foglio deposito bis'!$F$68*(C1506-sezione!$AL$33)*IF(ABS(K1506)&lt;'Progetto del paramento slu'!$G$58,ABS(K1506)*'Progetto del paramento slu'!$G$54,'Progetto del paramento slu'!$G$53)</f>
        <v>0</v>
      </c>
      <c r="F1506" s="553">
        <f>-'Foglio deposito bis'!$F$69*(C1506-sezione!$AM$33)*IF(ABS(L1506)&lt;'Progetto del paramento slu'!$G$58,ABS(L1506)*'Progetto del paramento slu'!$G$54,'Progetto del paramento slu'!$G$53)</f>
        <v>22644245.011877492</v>
      </c>
      <c r="G1506" s="553">
        <f>-'Foglio deposito bis'!$F$70*(C1506-sezione!$AN$33)*IF(ABS(M1506)&lt;'Progetto del paramento slu'!$G$58,ABS(M1506)*'Progetto del paramento slu'!$G$54,'Progetto del paramento slu'!$G$53)</f>
        <v>0</v>
      </c>
      <c r="H1506" s="553">
        <f>-'Foglio deposito bis'!$F$71*(C1506-sezione!$AO$33)*IF(ABS(N1506)&lt;'Progetto del paramento slu'!$G$58,ABS(N1506)*'Progetto del paramento slu'!$G$54,'Progetto del paramento slu'!$G$53)</f>
        <v>106169483.35108458</v>
      </c>
      <c r="I1506" s="479">
        <f>-'Foglio deposito bis'!$F$72*(C1506-sezione!$AP$33)*IF(ABS(O1506)&lt;'Progetto del paramento slu'!$G$58,ABS(O1506)*'Progetto del paramento slu'!$G$54,'Progetto del paramento slu'!$G$53)</f>
        <v>126554557.34677829</v>
      </c>
      <c r="J1506" s="479">
        <f t="shared" si="111"/>
        <v>255310966.12639308</v>
      </c>
      <c r="K1506" s="558">
        <f>'Progetto del paramento slu'!$G$60*(sezione!$AL$33-C1506)/C1506</f>
        <v>4.9555351700114311E-2</v>
      </c>
      <c r="L1506" s="558">
        <f>'Progetto del paramento slu'!$G$60*(sezione!$AM$33-C1506)/C1506</f>
        <v>0.19545756887542867</v>
      </c>
      <c r="M1506" s="559">
        <f>'Progetto del paramento slu'!$G$60*(sezione!$AN$33-C1506)/C1506</f>
        <v>0.34135978605074302</v>
      </c>
      <c r="N1506" s="559">
        <f>'Progetto del paramento slu'!$G$60*(sezione!$AO$33-C1506)/C1506</f>
        <v>0.44747048945097162</v>
      </c>
      <c r="O1506" s="559">
        <f>'Progetto del paramento slu'!$G$60*(sezione!$AP$33-C1506)/C1506</f>
        <v>0.34136772522296233</v>
      </c>
      <c r="P1506" s="553">
        <f>-'Progetto del paramento slu'!$G$47*'Progetto del paramento slu'!$G$41*IF(DATI!$G$218="dx",DATI!$E$61,DATI!$E$64*DATI!$E$63)*1000*C1506*sezione!$AD$5</f>
        <v>-37195.580403545762</v>
      </c>
      <c r="Q1506" s="553">
        <f>'Foglio deposito bis'!$F$68*IF(ABS(K1506)&lt;'Progetto del paramento slu'!$G$58,ABS(K1506)*'Progetto del paramento slu'!$G$54,'Progetto del paramento slu'!$G$53)*IF(K1506&lt;0,-1,1)</f>
        <v>0</v>
      </c>
      <c r="R1506" s="553">
        <f>'Foglio deposito bis'!$F$69*IF(ABS(L1506)&lt;'Progetto del paramento slu'!$G$58,ABS(L1506)*'Progetto del paramento slu'!$G$54,'Progetto del paramento slu'!$G$53)*IF(L1506&lt;0,-1,1)</f>
        <v>153664.85805602249</v>
      </c>
      <c r="S1506" s="553">
        <f>'Foglio deposito bis'!$F$70*IF(ABS(M1506)&lt;'Progetto del paramento slu'!$G$58,ABS(M1506)*'Progetto del paramento slu'!$G$54,'Progetto del paramento slu'!$G$53)*IF(M1506&lt;0,-1,1)</f>
        <v>0</v>
      </c>
      <c r="T1506" s="553">
        <f>'Foglio deposito bis'!$F$71*IF(ABS(N1506)&lt;'Progetto del paramento slu'!$G$58,ABS(N1506)*'Progetto del paramento slu'!$G$54,'Progetto del paramento slu'!$G$53)*IF(N1506&lt;0,-1,1)</f>
        <v>314705.62929873407</v>
      </c>
      <c r="U1506" s="553">
        <f>'Foglio deposito bis'!$F$72*IF(ABS(O1506)&lt;'Progetto del paramento slu'!$G$58,ABS(O1506)*'Progetto del paramento slu'!$G$54,'Progetto del paramento slu'!$G$53)*IF(O1506&lt;0,-1,1)</f>
        <v>491727.54577927204</v>
      </c>
      <c r="V1506" s="479">
        <f t="shared" si="114"/>
        <v>922902.45273048291</v>
      </c>
      <c r="W1506" s="559"/>
      <c r="X1506" s="559"/>
    </row>
    <row r="1507" spans="1:24" x14ac:dyDescent="0.25">
      <c r="A1507" s="553">
        <f t="shared" si="113"/>
        <v>920041.25423790235</v>
      </c>
      <c r="B1507" s="3">
        <f t="shared" si="115"/>
        <v>0.70000000000000007</v>
      </c>
      <c r="C1507" s="553">
        <f>'Foglio deposito bis'!$E$159/sezione!$B$247*B1507</f>
        <v>2.8417346401061732</v>
      </c>
      <c r="D1507" s="611">
        <f>-'Progetto del paramento slu'!$G$47*'Progetto del paramento slu'!$G$41*IF(DATI!$G$218="dx",DATI!$E$61,DATI!$E$64*DATI!$E$63)*1000*C1507^2*sezione!$AD$5*(1-sezione!$AD$6)</f>
        <v>-66477.149917554329</v>
      </c>
      <c r="E1507" s="553">
        <f>-'Foglio deposito bis'!$F$68*(C1507-sezione!$AL$33)*IF(ABS(K1507)&lt;'Progetto del paramento slu'!$G$58,ABS(K1507)*'Progetto del paramento slu'!$G$54,'Progetto del paramento slu'!$G$53)</f>
        <v>0</v>
      </c>
      <c r="F1507" s="553">
        <f>-'Foglio deposito bis'!$F$69*(C1507-sezione!$AM$33)*IF(ABS(L1507)&lt;'Progetto del paramento slu'!$G$58,ABS(L1507)*'Progetto del paramento slu'!$G$54,'Progetto del paramento slu'!$G$53)</f>
        <v>22613053.958298575</v>
      </c>
      <c r="G1507" s="553">
        <f>-'Foglio deposito bis'!$F$70*(C1507-sezione!$AN$33)*IF(ABS(M1507)&lt;'Progetto del paramento slu'!$G$58,ABS(M1507)*'Progetto del paramento slu'!$G$54,'Progetto del paramento slu'!$G$53)</f>
        <v>0</v>
      </c>
      <c r="H1507" s="553">
        <f>-'Foglio deposito bis'!$F$71*(C1507-sezione!$AO$33)*IF(ABS(N1507)&lt;'Progetto del paramento slu'!$G$58,ABS(N1507)*'Progetto del paramento slu'!$G$54,'Progetto del paramento slu'!$G$53)</f>
        <v>106105604.07335499</v>
      </c>
      <c r="I1507" s="479">
        <f>-'Foglio deposito bis'!$F$72*(C1507-sezione!$AP$33)*IF(ABS(O1507)&lt;'Progetto del paramento slu'!$G$58,ABS(O1507)*'Progetto del paramento slu'!$G$54,'Progetto del paramento slu'!$G$53)</f>
        <v>126454745.97532576</v>
      </c>
      <c r="J1507" s="479">
        <f t="shared" si="111"/>
        <v>255106926.85706177</v>
      </c>
      <c r="K1507" s="558">
        <f>'Progetto del paramento slu'!$G$60*(sezione!$AL$33-C1507)/C1507</f>
        <v>4.5765683721534715E-2</v>
      </c>
      <c r="L1507" s="558">
        <f>'Progetto del paramento slu'!$G$60*(sezione!$AM$33-C1507)/C1507</f>
        <v>0.18124631395575519</v>
      </c>
      <c r="M1507" s="559">
        <f>'Progetto del paramento slu'!$G$60*(sezione!$AN$33-C1507)/C1507</f>
        <v>0.31672694418997566</v>
      </c>
      <c r="N1507" s="559">
        <f>'Progetto del paramento slu'!$G$60*(sezione!$AO$33-C1507)/C1507</f>
        <v>0.41525831163304511</v>
      </c>
      <c r="O1507" s="559">
        <f>'Progetto del paramento slu'!$G$60*(sezione!$AP$33-C1507)/C1507</f>
        <v>0.31673431627846504</v>
      </c>
      <c r="P1507" s="553">
        <f>-'Progetto del paramento slu'!$G$47*'Progetto del paramento slu'!$G$41*IF(DATI!$G$218="dx",DATI!$E$61,DATI!$E$64*DATI!$E$63)*1000*C1507*sezione!$AD$5</f>
        <v>-40056.778896126205</v>
      </c>
      <c r="Q1507" s="553">
        <f>'Foglio deposito bis'!$F$68*IF(ABS(K1507)&lt;'Progetto del paramento slu'!$G$58,ABS(K1507)*'Progetto del paramento slu'!$G$54,'Progetto del paramento slu'!$G$53)*IF(K1507&lt;0,-1,1)</f>
        <v>0</v>
      </c>
      <c r="R1507" s="553">
        <f>'Foglio deposito bis'!$F$69*IF(ABS(L1507)&lt;'Progetto del paramento slu'!$G$58,ABS(L1507)*'Progetto del paramento slu'!$G$54,'Progetto del paramento slu'!$G$53)*IF(L1507&lt;0,-1,1)</f>
        <v>153664.85805602249</v>
      </c>
      <c r="S1507" s="553">
        <f>'Foglio deposito bis'!$F$70*IF(ABS(M1507)&lt;'Progetto del paramento slu'!$G$58,ABS(M1507)*'Progetto del paramento slu'!$G$54,'Progetto del paramento slu'!$G$53)*IF(M1507&lt;0,-1,1)</f>
        <v>0</v>
      </c>
      <c r="T1507" s="553">
        <f>'Foglio deposito bis'!$F$71*IF(ABS(N1507)&lt;'Progetto del paramento slu'!$G$58,ABS(N1507)*'Progetto del paramento slu'!$G$54,'Progetto del paramento slu'!$G$53)*IF(N1507&lt;0,-1,1)</f>
        <v>314705.62929873407</v>
      </c>
      <c r="U1507" s="553">
        <f>'Foglio deposito bis'!$F$72*IF(ABS(O1507)&lt;'Progetto del paramento slu'!$G$58,ABS(O1507)*'Progetto del paramento slu'!$G$54,'Progetto del paramento slu'!$G$53)*IF(O1507&lt;0,-1,1)</f>
        <v>491727.54577927204</v>
      </c>
      <c r="V1507" s="479">
        <f t="shared" si="114"/>
        <v>920041.25423790235</v>
      </c>
      <c r="W1507" s="559"/>
      <c r="X1507" s="559"/>
    </row>
    <row r="1508" spans="1:24" x14ac:dyDescent="0.25">
      <c r="A1508" s="553">
        <f t="shared" si="113"/>
        <v>917180.05574532202</v>
      </c>
      <c r="B1508" s="3">
        <f t="shared" si="115"/>
        <v>0.75000000000000011</v>
      </c>
      <c r="C1508" s="553">
        <f>'Foglio deposito bis'!$E$159/sezione!$B$247*B1508</f>
        <v>3.0447156858280429</v>
      </c>
      <c r="D1508" s="611">
        <f>-'Progetto del paramento slu'!$G$47*'Progetto del paramento slu'!$G$41*IF(DATI!$G$218="dx",DATI!$E$61,DATI!$E$64*DATI!$E$63)*1000*C1508^2*sezione!$AD$5*(1-sezione!$AD$6)</f>
        <v>-76313.054752294513</v>
      </c>
      <c r="E1508" s="553">
        <f>-'Foglio deposito bis'!$F$68*(C1508-sezione!$AL$33)*IF(ABS(K1508)&lt;'Progetto del paramento slu'!$G$58,ABS(K1508)*'Progetto del paramento slu'!$G$54,'Progetto del paramento slu'!$G$53)</f>
        <v>0</v>
      </c>
      <c r="F1508" s="553">
        <f>-'Foglio deposito bis'!$F$69*(C1508-sezione!$AM$33)*IF(ABS(L1508)&lt;'Progetto del paramento slu'!$G$58,ABS(L1508)*'Progetto del paramento slu'!$G$54,'Progetto del paramento slu'!$G$53)</f>
        <v>22581862.904719662</v>
      </c>
      <c r="G1508" s="553">
        <f>-'Foglio deposito bis'!$F$70*(C1508-sezione!$AN$33)*IF(ABS(M1508)&lt;'Progetto del paramento slu'!$G$58,ABS(M1508)*'Progetto del paramento slu'!$G$54,'Progetto del paramento slu'!$G$53)</f>
        <v>0</v>
      </c>
      <c r="H1508" s="553">
        <f>-'Foglio deposito bis'!$F$71*(C1508-sezione!$AO$33)*IF(ABS(N1508)&lt;'Progetto del paramento slu'!$G$58,ABS(N1508)*'Progetto del paramento slu'!$G$54,'Progetto del paramento slu'!$G$53)</f>
        <v>106041724.79562534</v>
      </c>
      <c r="I1508" s="479">
        <f>-'Foglio deposito bis'!$F$72*(C1508-sezione!$AP$33)*IF(ABS(O1508)&lt;'Progetto del paramento slu'!$G$58,ABS(O1508)*'Progetto del paramento slu'!$G$54,'Progetto del paramento slu'!$G$53)</f>
        <v>126354934.60387321</v>
      </c>
      <c r="J1508" s="479">
        <f t="shared" si="111"/>
        <v>254902209.24946594</v>
      </c>
      <c r="K1508" s="558">
        <f>'Progetto del paramento slu'!$G$60*(sezione!$AL$33-C1508)/C1508</f>
        <v>4.2481304806765728E-2</v>
      </c>
      <c r="L1508" s="558">
        <f>'Progetto del paramento slu'!$G$60*(sezione!$AM$33-C1508)/C1508</f>
        <v>0.16892989302537148</v>
      </c>
      <c r="M1508" s="559">
        <f>'Progetto del paramento slu'!$G$60*(sezione!$AN$33-C1508)/C1508</f>
        <v>0.2953784812439772</v>
      </c>
      <c r="N1508" s="559">
        <f>'Progetto del paramento slu'!$G$60*(sezione!$AO$33-C1508)/C1508</f>
        <v>0.38734109085750867</v>
      </c>
      <c r="O1508" s="559">
        <f>'Progetto del paramento slu'!$G$60*(sezione!$AP$33-C1508)/C1508</f>
        <v>0.29538536185990066</v>
      </c>
      <c r="P1508" s="553">
        <f>-'Progetto del paramento slu'!$G$47*'Progetto del paramento slu'!$G$41*IF(DATI!$G$218="dx",DATI!$E$61,DATI!$E$64*DATI!$E$63)*1000*C1508*sezione!$AD$5</f>
        <v>-42917.977388706655</v>
      </c>
      <c r="Q1508" s="553">
        <f>'Foglio deposito bis'!$F$68*IF(ABS(K1508)&lt;'Progetto del paramento slu'!$G$58,ABS(K1508)*'Progetto del paramento slu'!$G$54,'Progetto del paramento slu'!$G$53)*IF(K1508&lt;0,-1,1)</f>
        <v>0</v>
      </c>
      <c r="R1508" s="553">
        <f>'Foglio deposito bis'!$F$69*IF(ABS(L1508)&lt;'Progetto del paramento slu'!$G$58,ABS(L1508)*'Progetto del paramento slu'!$G$54,'Progetto del paramento slu'!$G$53)*IF(L1508&lt;0,-1,1)</f>
        <v>153664.85805602249</v>
      </c>
      <c r="S1508" s="553">
        <f>'Foglio deposito bis'!$F$70*IF(ABS(M1508)&lt;'Progetto del paramento slu'!$G$58,ABS(M1508)*'Progetto del paramento slu'!$G$54,'Progetto del paramento slu'!$G$53)*IF(M1508&lt;0,-1,1)</f>
        <v>0</v>
      </c>
      <c r="T1508" s="553">
        <f>'Foglio deposito bis'!$F$71*IF(ABS(N1508)&lt;'Progetto del paramento slu'!$G$58,ABS(N1508)*'Progetto del paramento slu'!$G$54,'Progetto del paramento slu'!$G$53)*IF(N1508&lt;0,-1,1)</f>
        <v>314705.62929873407</v>
      </c>
      <c r="U1508" s="553">
        <f>'Foglio deposito bis'!$F$72*IF(ABS(O1508)&lt;'Progetto del paramento slu'!$G$58,ABS(O1508)*'Progetto del paramento slu'!$G$54,'Progetto del paramento slu'!$G$53)*IF(O1508&lt;0,-1,1)</f>
        <v>491727.54577927204</v>
      </c>
      <c r="V1508" s="479">
        <f t="shared" si="114"/>
        <v>917180.05574532202</v>
      </c>
      <c r="W1508" s="559"/>
      <c r="X1508" s="559"/>
    </row>
    <row r="1509" spans="1:24" x14ac:dyDescent="0.25">
      <c r="A1509" s="553">
        <f t="shared" si="113"/>
        <v>914318.85725274147</v>
      </c>
      <c r="B1509" s="3">
        <f t="shared" si="115"/>
        <v>0.80000000000000016</v>
      </c>
      <c r="C1509" s="553">
        <f>'Foglio deposito bis'!$E$159/sezione!$B$247*B1509</f>
        <v>3.2476967315499121</v>
      </c>
      <c r="D1509" s="611">
        <f>-'Progetto del paramento slu'!$G$47*'Progetto del paramento slu'!$G$41*IF(DATI!$G$218="dx",DATI!$E$61,DATI!$E$64*DATI!$E$63)*1000*C1509^2*sezione!$AD$5*(1-sezione!$AD$6)</f>
        <v>-86827.297851499534</v>
      </c>
      <c r="E1509" s="553">
        <f>-'Foglio deposito bis'!$F$68*(C1509-sezione!$AL$33)*IF(ABS(K1509)&lt;'Progetto del paramento slu'!$G$58,ABS(K1509)*'Progetto del paramento slu'!$G$54,'Progetto del paramento slu'!$G$53)</f>
        <v>0</v>
      </c>
      <c r="F1509" s="553">
        <f>-'Foglio deposito bis'!$F$69*(C1509-sezione!$AM$33)*IF(ABS(L1509)&lt;'Progetto del paramento slu'!$G$58,ABS(L1509)*'Progetto del paramento slu'!$G$54,'Progetto del paramento slu'!$G$53)</f>
        <v>22550671.851140745</v>
      </c>
      <c r="G1509" s="553">
        <f>-'Foglio deposito bis'!$F$70*(C1509-sezione!$AN$33)*IF(ABS(M1509)&lt;'Progetto del paramento slu'!$G$58,ABS(M1509)*'Progetto del paramento slu'!$G$54,'Progetto del paramento slu'!$G$53)</f>
        <v>0</v>
      </c>
      <c r="H1509" s="553">
        <f>-'Foglio deposito bis'!$F$71*(C1509-sezione!$AO$33)*IF(ABS(N1509)&lt;'Progetto del paramento slu'!$G$58,ABS(N1509)*'Progetto del paramento slu'!$G$54,'Progetto del paramento slu'!$G$53)</f>
        <v>105977845.51789573</v>
      </c>
      <c r="I1509" s="479">
        <f>-'Foglio deposito bis'!$F$72*(C1509-sezione!$AP$33)*IF(ABS(O1509)&lt;'Progetto del paramento slu'!$G$58,ABS(O1509)*'Progetto del paramento slu'!$G$54,'Progetto del paramento slu'!$G$53)</f>
        <v>126255123.2324207</v>
      </c>
      <c r="J1509" s="479">
        <f t="shared" si="111"/>
        <v>254696813.30360568</v>
      </c>
      <c r="K1509" s="558">
        <f>'Progetto del paramento slu'!$G$60*(sezione!$AL$33-C1509)/C1509</f>
        <v>3.9607473256342868E-2</v>
      </c>
      <c r="L1509" s="558">
        <f>'Progetto del paramento slu'!$G$60*(sezione!$AM$33-C1509)/C1509</f>
        <v>0.15815302471128578</v>
      </c>
      <c r="M1509" s="559">
        <f>'Progetto del paramento slu'!$G$60*(sezione!$AN$33-C1509)/C1509</f>
        <v>0.27669857616622867</v>
      </c>
      <c r="N1509" s="559">
        <f>'Progetto del paramento slu'!$G$60*(sezione!$AO$33-C1509)/C1509</f>
        <v>0.36291352267891441</v>
      </c>
      <c r="O1509" s="559">
        <f>'Progetto del paramento slu'!$G$60*(sezione!$AP$33-C1509)/C1509</f>
        <v>0.27670502674365688</v>
      </c>
      <c r="P1509" s="553">
        <f>-'Progetto del paramento slu'!$G$47*'Progetto del paramento slu'!$G$41*IF(DATI!$G$218="dx",DATI!$E$61,DATI!$E$64*DATI!$E$63)*1000*C1509*sezione!$AD$5</f>
        <v>-45779.17588128709</v>
      </c>
      <c r="Q1509" s="553">
        <f>'Foglio deposito bis'!$F$68*IF(ABS(K1509)&lt;'Progetto del paramento slu'!$G$58,ABS(K1509)*'Progetto del paramento slu'!$G$54,'Progetto del paramento slu'!$G$53)*IF(K1509&lt;0,-1,1)</f>
        <v>0</v>
      </c>
      <c r="R1509" s="553">
        <f>'Foglio deposito bis'!$F$69*IF(ABS(L1509)&lt;'Progetto del paramento slu'!$G$58,ABS(L1509)*'Progetto del paramento slu'!$G$54,'Progetto del paramento slu'!$G$53)*IF(L1509&lt;0,-1,1)</f>
        <v>153664.85805602249</v>
      </c>
      <c r="S1509" s="553">
        <f>'Foglio deposito bis'!$F$70*IF(ABS(M1509)&lt;'Progetto del paramento slu'!$G$58,ABS(M1509)*'Progetto del paramento slu'!$G$54,'Progetto del paramento slu'!$G$53)*IF(M1509&lt;0,-1,1)</f>
        <v>0</v>
      </c>
      <c r="T1509" s="553">
        <f>'Foglio deposito bis'!$F$71*IF(ABS(N1509)&lt;'Progetto del paramento slu'!$G$58,ABS(N1509)*'Progetto del paramento slu'!$G$54,'Progetto del paramento slu'!$G$53)*IF(N1509&lt;0,-1,1)</f>
        <v>314705.62929873407</v>
      </c>
      <c r="U1509" s="553">
        <f>'Foglio deposito bis'!$F$72*IF(ABS(O1509)&lt;'Progetto del paramento slu'!$G$58,ABS(O1509)*'Progetto del paramento slu'!$G$54,'Progetto del paramento slu'!$G$53)*IF(O1509&lt;0,-1,1)</f>
        <v>491727.54577927204</v>
      </c>
      <c r="V1509" s="479">
        <f t="shared" si="114"/>
        <v>914318.85725274147</v>
      </c>
      <c r="W1509" s="559"/>
      <c r="X1509" s="559"/>
    </row>
    <row r="1510" spans="1:24" x14ac:dyDescent="0.25">
      <c r="A1510" s="553">
        <f t="shared" si="113"/>
        <v>911457.65876016114</v>
      </c>
      <c r="B1510" s="3">
        <f t="shared" si="115"/>
        <v>0.8500000000000002</v>
      </c>
      <c r="C1510" s="553">
        <f>'Foglio deposito bis'!$E$159/sezione!$B$247*B1510</f>
        <v>3.4506777772717818</v>
      </c>
      <c r="D1510" s="611">
        <f>-'Progetto del paramento slu'!$G$47*'Progetto del paramento slu'!$G$41*IF(DATI!$G$218="dx",DATI!$E$61,DATI!$E$64*DATI!$E$63)*1000*C1510^2*sezione!$AD$5*(1-sezione!$AD$6)</f>
        <v>-98019.879215169392</v>
      </c>
      <c r="E1510" s="553">
        <f>-'Foglio deposito bis'!$F$68*(C1510-sezione!$AL$33)*IF(ABS(K1510)&lt;'Progetto del paramento slu'!$G$58,ABS(K1510)*'Progetto del paramento slu'!$G$54,'Progetto del paramento slu'!$G$53)</f>
        <v>0</v>
      </c>
      <c r="F1510" s="553">
        <f>-'Foglio deposito bis'!$F$69*(C1510-sezione!$AM$33)*IF(ABS(L1510)&lt;'Progetto del paramento slu'!$G$58,ABS(L1510)*'Progetto del paramento slu'!$G$54,'Progetto del paramento slu'!$G$53)</f>
        <v>22519480.797561835</v>
      </c>
      <c r="G1510" s="553">
        <f>-'Foglio deposito bis'!$F$70*(C1510-sezione!$AN$33)*IF(ABS(M1510)&lt;'Progetto del paramento slu'!$G$58,ABS(M1510)*'Progetto del paramento slu'!$G$54,'Progetto del paramento slu'!$G$53)</f>
        <v>0</v>
      </c>
      <c r="H1510" s="553">
        <f>-'Foglio deposito bis'!$F$71*(C1510-sezione!$AO$33)*IF(ABS(N1510)&lt;'Progetto del paramento slu'!$G$58,ABS(N1510)*'Progetto del paramento slu'!$G$54,'Progetto del paramento slu'!$G$53)</f>
        <v>105913966.24016611</v>
      </c>
      <c r="I1510" s="479">
        <f>-'Foglio deposito bis'!$F$72*(C1510-sezione!$AP$33)*IF(ABS(O1510)&lt;'Progetto del paramento slu'!$G$58,ABS(O1510)*'Progetto del paramento slu'!$G$54,'Progetto del paramento slu'!$G$53)</f>
        <v>126155311.86096819</v>
      </c>
      <c r="J1510" s="479">
        <f t="shared" si="111"/>
        <v>254490739.01948094</v>
      </c>
      <c r="K1510" s="558">
        <f>'Progetto del paramento slu'!$G$60*(sezione!$AL$33-C1510)/C1510</f>
        <v>3.707173953538153E-2</v>
      </c>
      <c r="L1510" s="558">
        <f>'Progetto del paramento slu'!$G$60*(sezione!$AM$33-C1510)/C1510</f>
        <v>0.14864402325768072</v>
      </c>
      <c r="M1510" s="559">
        <f>'Progetto del paramento slu'!$G$60*(sezione!$AN$33-C1510)/C1510</f>
        <v>0.26021630697997994</v>
      </c>
      <c r="N1510" s="559">
        <f>'Progetto del paramento slu'!$G$60*(sezione!$AO$33-C1510)/C1510</f>
        <v>0.34135978605074296</v>
      </c>
      <c r="O1510" s="559">
        <f>'Progetto del paramento slu'!$G$60*(sezione!$AP$33-C1510)/C1510</f>
        <v>0.26022237811167703</v>
      </c>
      <c r="P1510" s="553">
        <f>-'Progetto del paramento slu'!$G$47*'Progetto del paramento slu'!$G$41*IF(DATI!$G$218="dx",DATI!$E$61,DATI!$E$64*DATI!$E$63)*1000*C1510*sezione!$AD$5</f>
        <v>-48640.374373867533</v>
      </c>
      <c r="Q1510" s="553">
        <f>'Foglio deposito bis'!$F$68*IF(ABS(K1510)&lt;'Progetto del paramento slu'!$G$58,ABS(K1510)*'Progetto del paramento slu'!$G$54,'Progetto del paramento slu'!$G$53)*IF(K1510&lt;0,-1,1)</f>
        <v>0</v>
      </c>
      <c r="R1510" s="553">
        <f>'Foglio deposito bis'!$F$69*IF(ABS(L1510)&lt;'Progetto del paramento slu'!$G$58,ABS(L1510)*'Progetto del paramento slu'!$G$54,'Progetto del paramento slu'!$G$53)*IF(L1510&lt;0,-1,1)</f>
        <v>153664.85805602249</v>
      </c>
      <c r="S1510" s="553">
        <f>'Foglio deposito bis'!$F$70*IF(ABS(M1510)&lt;'Progetto del paramento slu'!$G$58,ABS(M1510)*'Progetto del paramento slu'!$G$54,'Progetto del paramento slu'!$G$53)*IF(M1510&lt;0,-1,1)</f>
        <v>0</v>
      </c>
      <c r="T1510" s="553">
        <f>'Foglio deposito bis'!$F$71*IF(ABS(N1510)&lt;'Progetto del paramento slu'!$G$58,ABS(N1510)*'Progetto del paramento slu'!$G$54,'Progetto del paramento slu'!$G$53)*IF(N1510&lt;0,-1,1)</f>
        <v>314705.62929873407</v>
      </c>
      <c r="U1510" s="553">
        <f>'Foglio deposito bis'!$F$72*IF(ABS(O1510)&lt;'Progetto del paramento slu'!$G$58,ABS(O1510)*'Progetto del paramento slu'!$G$54,'Progetto del paramento slu'!$G$53)*IF(O1510&lt;0,-1,1)</f>
        <v>491727.54577927204</v>
      </c>
      <c r="V1510" s="479">
        <f t="shared" si="114"/>
        <v>911457.65876016114</v>
      </c>
      <c r="W1510" s="559"/>
      <c r="X1510" s="559"/>
    </row>
    <row r="1511" spans="1:24" x14ac:dyDescent="0.25">
      <c r="A1511" s="553">
        <f t="shared" si="113"/>
        <v>908596.46026758058</v>
      </c>
      <c r="B1511" s="3">
        <f t="shared" si="115"/>
        <v>0.90000000000000024</v>
      </c>
      <c r="C1511" s="553">
        <f>'Foglio deposito bis'!$E$159/sezione!$B$247*B1511</f>
        <v>3.6536588229936515</v>
      </c>
      <c r="D1511" s="611">
        <f>-'Progetto del paramento slu'!$G$47*'Progetto del paramento slu'!$G$41*IF(DATI!$G$218="dx",DATI!$E$61,DATI!$E$64*DATI!$E$63)*1000*C1511^2*sezione!$AD$5*(1-sezione!$AD$6)</f>
        <v>-109890.7988433041</v>
      </c>
      <c r="E1511" s="553">
        <f>-'Foglio deposito bis'!$F$68*(C1511-sezione!$AL$33)*IF(ABS(K1511)&lt;'Progetto del paramento slu'!$G$58,ABS(K1511)*'Progetto del paramento slu'!$G$54,'Progetto del paramento slu'!$G$53)</f>
        <v>0</v>
      </c>
      <c r="F1511" s="553">
        <f>-'Foglio deposito bis'!$F$69*(C1511-sezione!$AM$33)*IF(ABS(L1511)&lt;'Progetto del paramento slu'!$G$58,ABS(L1511)*'Progetto del paramento slu'!$G$54,'Progetto del paramento slu'!$G$53)</f>
        <v>22488289.743982919</v>
      </c>
      <c r="G1511" s="553">
        <f>-'Foglio deposito bis'!$F$70*(C1511-sezione!$AN$33)*IF(ABS(M1511)&lt;'Progetto del paramento slu'!$G$58,ABS(M1511)*'Progetto del paramento slu'!$G$54,'Progetto del paramento slu'!$G$53)</f>
        <v>0</v>
      </c>
      <c r="H1511" s="553">
        <f>-'Foglio deposito bis'!$F$71*(C1511-sezione!$AO$33)*IF(ABS(N1511)&lt;'Progetto del paramento slu'!$G$58,ABS(N1511)*'Progetto del paramento slu'!$G$54,'Progetto del paramento slu'!$G$53)</f>
        <v>105850086.96243651</v>
      </c>
      <c r="I1511" s="479">
        <f>-'Foglio deposito bis'!$F$72*(C1511-sezione!$AP$33)*IF(ABS(O1511)&lt;'Progetto del paramento slu'!$G$58,ABS(O1511)*'Progetto del paramento slu'!$G$54,'Progetto del paramento slu'!$G$53)</f>
        <v>126055500.48951566</v>
      </c>
      <c r="J1511" s="479">
        <f t="shared" si="111"/>
        <v>254283986.39709181</v>
      </c>
      <c r="K1511" s="558">
        <f>'Progetto del paramento slu'!$G$60*(sezione!$AL$33-C1511)/C1511</f>
        <v>3.4817754005638107E-2</v>
      </c>
      <c r="L1511" s="558">
        <f>'Progetto del paramento slu'!$G$60*(sezione!$AM$33-C1511)/C1511</f>
        <v>0.14019157752114289</v>
      </c>
      <c r="M1511" s="559">
        <f>'Progetto del paramento slu'!$G$60*(sezione!$AN$33-C1511)/C1511</f>
        <v>0.2455654010366477</v>
      </c>
      <c r="N1511" s="559">
        <f>'Progetto del paramento slu'!$G$60*(sezione!$AO$33-C1511)/C1511</f>
        <v>0.32220090904792392</v>
      </c>
      <c r="O1511" s="559">
        <f>'Progetto del paramento slu'!$G$60*(sezione!$AP$33-C1511)/C1511</f>
        <v>0.24557113488325058</v>
      </c>
      <c r="P1511" s="553">
        <f>-'Progetto del paramento slu'!$G$47*'Progetto del paramento slu'!$G$41*IF(DATI!$G$218="dx",DATI!$E$61,DATI!$E$64*DATI!$E$63)*1000*C1511*sezione!$AD$5</f>
        <v>-51501.572866447983</v>
      </c>
      <c r="Q1511" s="553">
        <f>'Foglio deposito bis'!$F$68*IF(ABS(K1511)&lt;'Progetto del paramento slu'!$G$58,ABS(K1511)*'Progetto del paramento slu'!$G$54,'Progetto del paramento slu'!$G$53)*IF(K1511&lt;0,-1,1)</f>
        <v>0</v>
      </c>
      <c r="R1511" s="553">
        <f>'Foglio deposito bis'!$F$69*IF(ABS(L1511)&lt;'Progetto del paramento slu'!$G$58,ABS(L1511)*'Progetto del paramento slu'!$G$54,'Progetto del paramento slu'!$G$53)*IF(L1511&lt;0,-1,1)</f>
        <v>153664.85805602249</v>
      </c>
      <c r="S1511" s="553">
        <f>'Foglio deposito bis'!$F$70*IF(ABS(M1511)&lt;'Progetto del paramento slu'!$G$58,ABS(M1511)*'Progetto del paramento slu'!$G$54,'Progetto del paramento slu'!$G$53)*IF(M1511&lt;0,-1,1)</f>
        <v>0</v>
      </c>
      <c r="T1511" s="553">
        <f>'Foglio deposito bis'!$F$71*IF(ABS(N1511)&lt;'Progetto del paramento slu'!$G$58,ABS(N1511)*'Progetto del paramento slu'!$G$54,'Progetto del paramento slu'!$G$53)*IF(N1511&lt;0,-1,1)</f>
        <v>314705.62929873407</v>
      </c>
      <c r="U1511" s="553">
        <f>'Foglio deposito bis'!$F$72*IF(ABS(O1511)&lt;'Progetto del paramento slu'!$G$58,ABS(O1511)*'Progetto del paramento slu'!$G$54,'Progetto del paramento slu'!$G$53)*IF(O1511&lt;0,-1,1)</f>
        <v>491727.54577927204</v>
      </c>
      <c r="V1511" s="479">
        <f t="shared" si="114"/>
        <v>908596.46026758058</v>
      </c>
      <c r="W1511" s="559"/>
      <c r="X1511" s="559"/>
    </row>
    <row r="1512" spans="1:24" x14ac:dyDescent="0.25">
      <c r="A1512" s="553">
        <f t="shared" si="113"/>
        <v>905735.26177500025</v>
      </c>
      <c r="B1512" s="3">
        <f t="shared" si="115"/>
        <v>0.95000000000000029</v>
      </c>
      <c r="C1512" s="553">
        <f>'Foglio deposito bis'!$E$159/sezione!$B$247*B1512</f>
        <v>3.8566398687155212</v>
      </c>
      <c r="D1512" s="611">
        <f>-'Progetto del paramento slu'!$G$47*'Progetto del paramento slu'!$G$41*IF(DATI!$G$218="dx",DATI!$E$61,DATI!$E$64*DATI!$E$63)*1000*C1512^2*sezione!$AD$5*(1-sezione!$AD$6)</f>
        <v>-122440.05673590368</v>
      </c>
      <c r="E1512" s="553">
        <f>-'Foglio deposito bis'!$F$68*(C1512-sezione!$AL$33)*IF(ABS(K1512)&lt;'Progetto del paramento slu'!$G$58,ABS(K1512)*'Progetto del paramento slu'!$G$54,'Progetto del paramento slu'!$G$53)</f>
        <v>0</v>
      </c>
      <c r="F1512" s="553">
        <f>-'Foglio deposito bis'!$F$69*(C1512-sezione!$AM$33)*IF(ABS(L1512)&lt;'Progetto del paramento slu'!$G$58,ABS(L1512)*'Progetto del paramento slu'!$G$54,'Progetto del paramento slu'!$G$53)</f>
        <v>22457098.690404005</v>
      </c>
      <c r="G1512" s="553">
        <f>-'Foglio deposito bis'!$F$70*(C1512-sezione!$AN$33)*IF(ABS(M1512)&lt;'Progetto del paramento slu'!$G$58,ABS(M1512)*'Progetto del paramento slu'!$G$54,'Progetto del paramento slu'!$G$53)</f>
        <v>0</v>
      </c>
      <c r="H1512" s="553">
        <f>-'Foglio deposito bis'!$F$71*(C1512-sezione!$AO$33)*IF(ABS(N1512)&lt;'Progetto del paramento slu'!$G$58,ABS(N1512)*'Progetto del paramento slu'!$G$54,'Progetto del paramento slu'!$G$53)</f>
        <v>105786207.68470688</v>
      </c>
      <c r="I1512" s="479">
        <f>-'Foglio deposito bis'!$F$72*(C1512-sezione!$AP$33)*IF(ABS(O1512)&lt;'Progetto del paramento slu'!$G$58,ABS(O1512)*'Progetto del paramento slu'!$G$54,'Progetto del paramento slu'!$G$53)</f>
        <v>125955689.11806312</v>
      </c>
      <c r="J1512" s="479">
        <f t="shared" si="111"/>
        <v>254076555.43643811</v>
      </c>
      <c r="K1512" s="558">
        <f>'Progetto del paramento slu'!$G$60*(sezione!$AL$33-C1512)/C1512</f>
        <v>3.280103011060452E-2</v>
      </c>
      <c r="L1512" s="558">
        <f>'Progetto del paramento slu'!$G$60*(sezione!$AM$33-C1512)/C1512</f>
        <v>0.13262886291476694</v>
      </c>
      <c r="M1512" s="559">
        <f>'Progetto del paramento slu'!$G$60*(sezione!$AN$33-C1512)/C1512</f>
        <v>0.23245669571892935</v>
      </c>
      <c r="N1512" s="559">
        <f>'Progetto del paramento slu'!$G$60*(sezione!$AO$33-C1512)/C1512</f>
        <v>0.30505875594013843</v>
      </c>
      <c r="O1512" s="559">
        <f>'Progetto del paramento slu'!$G$60*(sezione!$AP$33-C1512)/C1512</f>
        <v>0.23246212778413206</v>
      </c>
      <c r="P1512" s="553">
        <f>-'Progetto del paramento slu'!$G$47*'Progetto del paramento slu'!$G$41*IF(DATI!$G$218="dx",DATI!$E$61,DATI!$E$64*DATI!$E$63)*1000*C1512*sezione!$AD$5</f>
        <v>-54362.771359028433</v>
      </c>
      <c r="Q1512" s="553">
        <f>'Foglio deposito bis'!$F$68*IF(ABS(K1512)&lt;'Progetto del paramento slu'!$G$58,ABS(K1512)*'Progetto del paramento slu'!$G$54,'Progetto del paramento slu'!$G$53)*IF(K1512&lt;0,-1,1)</f>
        <v>0</v>
      </c>
      <c r="R1512" s="553">
        <f>'Foglio deposito bis'!$F$69*IF(ABS(L1512)&lt;'Progetto del paramento slu'!$G$58,ABS(L1512)*'Progetto del paramento slu'!$G$54,'Progetto del paramento slu'!$G$53)*IF(L1512&lt;0,-1,1)</f>
        <v>153664.85805602249</v>
      </c>
      <c r="S1512" s="553">
        <f>'Foglio deposito bis'!$F$70*IF(ABS(M1512)&lt;'Progetto del paramento slu'!$G$58,ABS(M1512)*'Progetto del paramento slu'!$G$54,'Progetto del paramento slu'!$G$53)*IF(M1512&lt;0,-1,1)</f>
        <v>0</v>
      </c>
      <c r="T1512" s="553">
        <f>'Foglio deposito bis'!$F$71*IF(ABS(N1512)&lt;'Progetto del paramento slu'!$G$58,ABS(N1512)*'Progetto del paramento slu'!$G$54,'Progetto del paramento slu'!$G$53)*IF(N1512&lt;0,-1,1)</f>
        <v>314705.62929873407</v>
      </c>
      <c r="U1512" s="553">
        <f>'Foglio deposito bis'!$F$72*IF(ABS(O1512)&lt;'Progetto del paramento slu'!$G$58,ABS(O1512)*'Progetto del paramento slu'!$G$54,'Progetto del paramento slu'!$G$53)*IF(O1512&lt;0,-1,1)</f>
        <v>491727.54577927204</v>
      </c>
      <c r="V1512" s="479">
        <f t="shared" si="114"/>
        <v>905735.26177500025</v>
      </c>
      <c r="W1512" s="559"/>
      <c r="X1512" s="559"/>
    </row>
    <row r="1513" spans="1:24" x14ac:dyDescent="0.25">
      <c r="A1513" s="553">
        <f t="shared" si="113"/>
        <v>902874.06328241969</v>
      </c>
      <c r="B1513" s="3">
        <f t="shared" si="115"/>
        <v>1.0000000000000002</v>
      </c>
      <c r="C1513" s="553">
        <f>'Foglio deposito bis'!$E$159/sezione!$B$247*B1513</f>
        <v>4.0596209144373905</v>
      </c>
      <c r="D1513" s="611">
        <f>-'Progetto del paramento slu'!$G$47*'Progetto del paramento slu'!$G$41*IF(DATI!$G$218="dx",DATI!$E$61,DATI!$E$64*DATI!$E$63)*1000*C1513^2*sezione!$AD$5*(1-sezione!$AD$6)</f>
        <v>-135667.65289296804</v>
      </c>
      <c r="E1513" s="553">
        <f>-'Foglio deposito bis'!$F$68*(C1513-sezione!$AL$33)*IF(ABS(K1513)&lt;'Progetto del paramento slu'!$G$58,ABS(K1513)*'Progetto del paramento slu'!$G$54,'Progetto del paramento slu'!$G$53)</f>
        <v>0</v>
      </c>
      <c r="F1513" s="553">
        <f>-'Foglio deposito bis'!$F$69*(C1513-sezione!$AM$33)*IF(ABS(L1513)&lt;'Progetto del paramento slu'!$G$58,ABS(L1513)*'Progetto del paramento slu'!$G$54,'Progetto del paramento slu'!$G$53)</f>
        <v>22425907.636825088</v>
      </c>
      <c r="G1513" s="553">
        <f>-'Foglio deposito bis'!$F$70*(C1513-sezione!$AN$33)*IF(ABS(M1513)&lt;'Progetto del paramento slu'!$G$58,ABS(M1513)*'Progetto del paramento slu'!$G$54,'Progetto del paramento slu'!$G$53)</f>
        <v>0</v>
      </c>
      <c r="H1513" s="553">
        <f>-'Foglio deposito bis'!$F$71*(C1513-sezione!$AO$33)*IF(ABS(N1513)&lt;'Progetto del paramento slu'!$G$58,ABS(N1513)*'Progetto del paramento slu'!$G$54,'Progetto del paramento slu'!$G$53)</f>
        <v>105722328.40697727</v>
      </c>
      <c r="I1513" s="479">
        <f>-'Foglio deposito bis'!$F$72*(C1513-sezione!$AP$33)*IF(ABS(O1513)&lt;'Progetto del paramento slu'!$G$58,ABS(O1513)*'Progetto del paramento slu'!$G$54,'Progetto del paramento slu'!$G$53)</f>
        <v>125855877.74661058</v>
      </c>
      <c r="J1513" s="479">
        <f t="shared" si="111"/>
        <v>253868446.13751996</v>
      </c>
      <c r="K1513" s="558">
        <f>'Progetto del paramento slu'!$G$60*(sezione!$AL$33-C1513)/C1513</f>
        <v>3.0985978605074297E-2</v>
      </c>
      <c r="L1513" s="558">
        <f>'Progetto del paramento slu'!$G$60*(sezione!$AM$33-C1513)/C1513</f>
        <v>0.12582241976902861</v>
      </c>
      <c r="M1513" s="559">
        <f>'Progetto del paramento slu'!$G$60*(sezione!$AN$33-C1513)/C1513</f>
        <v>0.22065886093298293</v>
      </c>
      <c r="N1513" s="559">
        <f>'Progetto del paramento slu'!$G$60*(sezione!$AO$33-C1513)/C1513</f>
        <v>0.28963081814313152</v>
      </c>
      <c r="O1513" s="559">
        <f>'Progetto del paramento slu'!$G$60*(sezione!$AP$33-C1513)/C1513</f>
        <v>0.2206640213949255</v>
      </c>
      <c r="P1513" s="553">
        <f>-'Progetto del paramento slu'!$G$47*'Progetto del paramento slu'!$G$41*IF(DATI!$G$218="dx",DATI!$E$61,DATI!$E$64*DATI!$E$63)*1000*C1513*sezione!$AD$5</f>
        <v>-57223.969851608861</v>
      </c>
      <c r="Q1513" s="553">
        <f>'Foglio deposito bis'!$F$68*IF(ABS(K1513)&lt;'Progetto del paramento slu'!$G$58,ABS(K1513)*'Progetto del paramento slu'!$G$54,'Progetto del paramento slu'!$G$53)*IF(K1513&lt;0,-1,1)</f>
        <v>0</v>
      </c>
      <c r="R1513" s="553">
        <f>'Foglio deposito bis'!$F$69*IF(ABS(L1513)&lt;'Progetto del paramento slu'!$G$58,ABS(L1513)*'Progetto del paramento slu'!$G$54,'Progetto del paramento slu'!$G$53)*IF(L1513&lt;0,-1,1)</f>
        <v>153664.85805602249</v>
      </c>
      <c r="S1513" s="553">
        <f>'Foglio deposito bis'!$F$70*IF(ABS(M1513)&lt;'Progetto del paramento slu'!$G$58,ABS(M1513)*'Progetto del paramento slu'!$G$54,'Progetto del paramento slu'!$G$53)*IF(M1513&lt;0,-1,1)</f>
        <v>0</v>
      </c>
      <c r="T1513" s="553">
        <f>'Foglio deposito bis'!$F$71*IF(ABS(N1513)&lt;'Progetto del paramento slu'!$G$58,ABS(N1513)*'Progetto del paramento slu'!$G$54,'Progetto del paramento slu'!$G$53)*IF(N1513&lt;0,-1,1)</f>
        <v>314705.62929873407</v>
      </c>
      <c r="U1513" s="553">
        <f>'Foglio deposito bis'!$F$72*IF(ABS(O1513)&lt;'Progetto del paramento slu'!$G$58,ABS(O1513)*'Progetto del paramento slu'!$G$54,'Progetto del paramento slu'!$G$53)*IF(O1513&lt;0,-1,1)</f>
        <v>491727.54577927204</v>
      </c>
      <c r="V1513" s="479">
        <f t="shared" si="114"/>
        <v>902874.06328241969</v>
      </c>
      <c r="W1513" s="559"/>
      <c r="X1513" s="559"/>
    </row>
    <row r="1514" spans="1:24" x14ac:dyDescent="0.25">
      <c r="A1514" s="553">
        <f t="shared" si="113"/>
        <v>900012.86478983937</v>
      </c>
      <c r="B1514" s="3">
        <f t="shared" si="115"/>
        <v>1.0500000000000003</v>
      </c>
      <c r="C1514" s="553">
        <f>'Foglio deposito bis'!$E$159/sezione!$B$247*B1514</f>
        <v>4.2626019601592597</v>
      </c>
      <c r="D1514" s="611">
        <f>-'Progetto del paramento slu'!$G$47*'Progetto del paramento slu'!$G$41*IF(DATI!$G$218="dx",DATI!$E$61,DATI!$E$64*DATI!$E$63)*1000*C1514^2*sezione!$AD$5*(1-sezione!$AD$6)</f>
        <v>-149573.58731449721</v>
      </c>
      <c r="E1514" s="553">
        <f>-'Foglio deposito bis'!$F$68*(C1514-sezione!$AL$33)*IF(ABS(K1514)&lt;'Progetto del paramento slu'!$G$58,ABS(K1514)*'Progetto del paramento slu'!$G$54,'Progetto del paramento slu'!$G$53)</f>
        <v>0</v>
      </c>
      <c r="F1514" s="553">
        <f>-'Foglio deposito bis'!$F$69*(C1514-sezione!$AM$33)*IF(ABS(L1514)&lt;'Progetto del paramento slu'!$G$58,ABS(L1514)*'Progetto del paramento slu'!$G$54,'Progetto del paramento slu'!$G$53)</f>
        <v>22394716.583246179</v>
      </c>
      <c r="G1514" s="553">
        <f>-'Foglio deposito bis'!$F$70*(C1514-sezione!$AN$33)*IF(ABS(M1514)&lt;'Progetto del paramento slu'!$G$58,ABS(M1514)*'Progetto del paramento slu'!$G$54,'Progetto del paramento slu'!$G$53)</f>
        <v>0</v>
      </c>
      <c r="H1514" s="553">
        <f>-'Foglio deposito bis'!$F$71*(C1514-sezione!$AO$33)*IF(ABS(N1514)&lt;'Progetto del paramento slu'!$G$58,ABS(N1514)*'Progetto del paramento slu'!$G$54,'Progetto del paramento slu'!$G$53)</f>
        <v>105658449.12924765</v>
      </c>
      <c r="I1514" s="479">
        <f>-'Foglio deposito bis'!$F$72*(C1514-sezione!$AP$33)*IF(ABS(O1514)&lt;'Progetto del paramento slu'!$G$58,ABS(O1514)*'Progetto del paramento slu'!$G$54,'Progetto del paramento slu'!$G$53)</f>
        <v>125756066.37515807</v>
      </c>
      <c r="J1514" s="479">
        <f t="shared" si="111"/>
        <v>253659658.50033742</v>
      </c>
      <c r="K1514" s="558">
        <f>'Progetto del paramento slu'!$G$60*(sezione!$AL$33-C1514)/C1514</f>
        <v>2.934378914768981E-2</v>
      </c>
      <c r="L1514" s="558">
        <f>'Progetto del paramento slu'!$G$60*(sezione!$AM$33-C1514)/C1514</f>
        <v>0.11966420930383678</v>
      </c>
      <c r="M1514" s="559">
        <f>'Progetto del paramento slu'!$G$60*(sezione!$AN$33-C1514)/C1514</f>
        <v>0.20998462945998375</v>
      </c>
      <c r="N1514" s="559">
        <f>'Progetto del paramento slu'!$G$60*(sezione!$AO$33-C1514)/C1514</f>
        <v>0.27567220775536333</v>
      </c>
      <c r="O1514" s="559">
        <f>'Progetto del paramento slu'!$G$60*(sezione!$AP$33-C1514)/C1514</f>
        <v>0.20998954418564333</v>
      </c>
      <c r="P1514" s="553">
        <f>-'Progetto del paramento slu'!$G$47*'Progetto del paramento slu'!$G$41*IF(DATI!$G$218="dx",DATI!$E$61,DATI!$E$64*DATI!$E$63)*1000*C1514*sezione!$AD$5</f>
        <v>-60085.168344189304</v>
      </c>
      <c r="Q1514" s="553">
        <f>'Foglio deposito bis'!$F$68*IF(ABS(K1514)&lt;'Progetto del paramento slu'!$G$58,ABS(K1514)*'Progetto del paramento slu'!$G$54,'Progetto del paramento slu'!$G$53)*IF(K1514&lt;0,-1,1)</f>
        <v>0</v>
      </c>
      <c r="R1514" s="553">
        <f>'Foglio deposito bis'!$F$69*IF(ABS(L1514)&lt;'Progetto del paramento slu'!$G$58,ABS(L1514)*'Progetto del paramento slu'!$G$54,'Progetto del paramento slu'!$G$53)*IF(L1514&lt;0,-1,1)</f>
        <v>153664.85805602249</v>
      </c>
      <c r="S1514" s="553">
        <f>'Foglio deposito bis'!$F$70*IF(ABS(M1514)&lt;'Progetto del paramento slu'!$G$58,ABS(M1514)*'Progetto del paramento slu'!$G$54,'Progetto del paramento slu'!$G$53)*IF(M1514&lt;0,-1,1)</f>
        <v>0</v>
      </c>
      <c r="T1514" s="553">
        <f>'Foglio deposito bis'!$F$71*IF(ABS(N1514)&lt;'Progetto del paramento slu'!$G$58,ABS(N1514)*'Progetto del paramento slu'!$G$54,'Progetto del paramento slu'!$G$53)*IF(N1514&lt;0,-1,1)</f>
        <v>314705.62929873407</v>
      </c>
      <c r="U1514" s="553">
        <f>'Foglio deposito bis'!$F$72*IF(ABS(O1514)&lt;'Progetto del paramento slu'!$G$58,ABS(O1514)*'Progetto del paramento slu'!$G$54,'Progetto del paramento slu'!$G$53)*IF(O1514&lt;0,-1,1)</f>
        <v>491727.54577927204</v>
      </c>
      <c r="V1514" s="479">
        <f t="shared" si="114"/>
        <v>900012.86478983937</v>
      </c>
      <c r="W1514" s="559"/>
      <c r="X1514" s="559"/>
    </row>
    <row r="1515" spans="1:24" x14ac:dyDescent="0.25">
      <c r="A1515" s="553">
        <f t="shared" si="113"/>
        <v>897151.66629725881</v>
      </c>
      <c r="B1515" s="3">
        <f t="shared" si="115"/>
        <v>1.1000000000000003</v>
      </c>
      <c r="C1515" s="553">
        <f>'Foglio deposito bis'!$E$159/sezione!$B$247*B1515</f>
        <v>4.4655830058811299</v>
      </c>
      <c r="D1515" s="611">
        <f>-'Progetto del paramento slu'!$G$47*'Progetto del paramento slu'!$G$41*IF(DATI!$G$218="dx",DATI!$E$61,DATI!$E$64*DATI!$E$63)*1000*C1515^2*sezione!$AD$5*(1-sezione!$AD$6)</f>
        <v>-164157.86000049132</v>
      </c>
      <c r="E1515" s="553">
        <f>-'Foglio deposito bis'!$F$68*(C1515-sezione!$AL$33)*IF(ABS(K1515)&lt;'Progetto del paramento slu'!$G$58,ABS(K1515)*'Progetto del paramento slu'!$G$54,'Progetto del paramento slu'!$G$53)</f>
        <v>0</v>
      </c>
      <c r="F1515" s="553">
        <f>-'Foglio deposito bis'!$F$69*(C1515-sezione!$AM$33)*IF(ABS(L1515)&lt;'Progetto del paramento slu'!$G$58,ABS(L1515)*'Progetto del paramento slu'!$G$54,'Progetto del paramento slu'!$G$53)</f>
        <v>22363525.529667262</v>
      </c>
      <c r="G1515" s="553">
        <f>-'Foglio deposito bis'!$F$70*(C1515-sezione!$AN$33)*IF(ABS(M1515)&lt;'Progetto del paramento slu'!$G$58,ABS(M1515)*'Progetto del paramento slu'!$G$54,'Progetto del paramento slu'!$G$53)</f>
        <v>0</v>
      </c>
      <c r="H1515" s="553">
        <f>-'Foglio deposito bis'!$F$71*(C1515-sezione!$AO$33)*IF(ABS(N1515)&lt;'Progetto del paramento slu'!$G$58,ABS(N1515)*'Progetto del paramento slu'!$G$54,'Progetto del paramento slu'!$G$53)</f>
        <v>105594569.85151805</v>
      </c>
      <c r="I1515" s="479">
        <f>-'Foglio deposito bis'!$F$72*(C1515-sezione!$AP$33)*IF(ABS(O1515)&lt;'Progetto del paramento slu'!$G$58,ABS(O1515)*'Progetto del paramento slu'!$G$54,'Progetto del paramento slu'!$G$53)</f>
        <v>125656255.00370555</v>
      </c>
      <c r="J1515" s="479">
        <f t="shared" si="111"/>
        <v>253450192.52489036</v>
      </c>
      <c r="K1515" s="558">
        <f>'Progetto del paramento slu'!$G$60*(sezione!$AL$33-C1515)/C1515</f>
        <v>2.7850889640976633E-2</v>
      </c>
      <c r="L1515" s="558">
        <f>'Progetto del paramento slu'!$G$60*(sezione!$AM$33-C1515)/C1515</f>
        <v>0.11406583615366236</v>
      </c>
      <c r="M1515" s="559">
        <f>'Progetto del paramento slu'!$G$60*(sezione!$AN$33-C1515)/C1515</f>
        <v>0.20028078266634811</v>
      </c>
      <c r="N1515" s="559">
        <f>'Progetto del paramento slu'!$G$60*(sezione!$AO$33-C1515)/C1515</f>
        <v>0.26298256194830139</v>
      </c>
      <c r="O1515" s="559">
        <f>'Progetto del paramento slu'!$G$60*(sezione!$AP$33-C1515)/C1515</f>
        <v>0.20028547399538679</v>
      </c>
      <c r="P1515" s="553">
        <f>-'Progetto del paramento slu'!$G$47*'Progetto del paramento slu'!$G$41*IF(DATI!$G$218="dx",DATI!$E$61,DATI!$E$64*DATI!$E$63)*1000*C1515*sezione!$AD$5</f>
        <v>-62946.366836769761</v>
      </c>
      <c r="Q1515" s="553">
        <f>'Foglio deposito bis'!$F$68*IF(ABS(K1515)&lt;'Progetto del paramento slu'!$G$58,ABS(K1515)*'Progetto del paramento slu'!$G$54,'Progetto del paramento slu'!$G$53)*IF(K1515&lt;0,-1,1)</f>
        <v>0</v>
      </c>
      <c r="R1515" s="553">
        <f>'Foglio deposito bis'!$F$69*IF(ABS(L1515)&lt;'Progetto del paramento slu'!$G$58,ABS(L1515)*'Progetto del paramento slu'!$G$54,'Progetto del paramento slu'!$G$53)*IF(L1515&lt;0,-1,1)</f>
        <v>153664.85805602249</v>
      </c>
      <c r="S1515" s="553">
        <f>'Foglio deposito bis'!$F$70*IF(ABS(M1515)&lt;'Progetto del paramento slu'!$G$58,ABS(M1515)*'Progetto del paramento slu'!$G$54,'Progetto del paramento slu'!$G$53)*IF(M1515&lt;0,-1,1)</f>
        <v>0</v>
      </c>
      <c r="T1515" s="553">
        <f>'Foglio deposito bis'!$F$71*IF(ABS(N1515)&lt;'Progetto del paramento slu'!$G$58,ABS(N1515)*'Progetto del paramento slu'!$G$54,'Progetto del paramento slu'!$G$53)*IF(N1515&lt;0,-1,1)</f>
        <v>314705.62929873407</v>
      </c>
      <c r="U1515" s="553">
        <f>'Foglio deposito bis'!$F$72*IF(ABS(O1515)&lt;'Progetto del paramento slu'!$G$58,ABS(O1515)*'Progetto del paramento slu'!$G$54,'Progetto del paramento slu'!$G$53)*IF(O1515&lt;0,-1,1)</f>
        <v>491727.54577927204</v>
      </c>
      <c r="V1515" s="479">
        <f t="shared" si="114"/>
        <v>897151.66629725881</v>
      </c>
      <c r="W1515" s="559"/>
      <c r="X1515" s="559"/>
    </row>
    <row r="1516" spans="1:24" x14ac:dyDescent="0.25">
      <c r="A1516" s="553">
        <f t="shared" si="113"/>
        <v>894290.46780467848</v>
      </c>
      <c r="B1516" s="3">
        <f t="shared" si="115"/>
        <v>1.1500000000000004</v>
      </c>
      <c r="C1516" s="553">
        <f>'Foglio deposito bis'!$E$159/sezione!$B$247*B1516</f>
        <v>4.6685640516029991</v>
      </c>
      <c r="D1516" s="611">
        <f>-'Progetto del paramento slu'!$G$47*'Progetto del paramento slu'!$G$41*IF(DATI!$G$218="dx",DATI!$E$61,DATI!$E$64*DATI!$E$63)*1000*C1516^2*sezione!$AD$5*(1-sezione!$AD$6)</f>
        <v>-179420.47095095023</v>
      </c>
      <c r="E1516" s="553">
        <f>-'Foglio deposito bis'!$F$68*(C1516-sezione!$AL$33)*IF(ABS(K1516)&lt;'Progetto del paramento slu'!$G$58,ABS(K1516)*'Progetto del paramento slu'!$G$54,'Progetto del paramento slu'!$G$53)</f>
        <v>0</v>
      </c>
      <c r="F1516" s="553">
        <f>-'Foglio deposito bis'!$F$69*(C1516-sezione!$AM$33)*IF(ABS(L1516)&lt;'Progetto del paramento slu'!$G$58,ABS(L1516)*'Progetto del paramento slu'!$G$54,'Progetto del paramento slu'!$G$53)</f>
        <v>22332334.476088349</v>
      </c>
      <c r="G1516" s="553">
        <f>-'Foglio deposito bis'!$F$70*(C1516-sezione!$AN$33)*IF(ABS(M1516)&lt;'Progetto del paramento slu'!$G$58,ABS(M1516)*'Progetto del paramento slu'!$G$54,'Progetto del paramento slu'!$G$53)</f>
        <v>0</v>
      </c>
      <c r="H1516" s="553">
        <f>-'Foglio deposito bis'!$F$71*(C1516-sezione!$AO$33)*IF(ABS(N1516)&lt;'Progetto del paramento slu'!$G$58,ABS(N1516)*'Progetto del paramento slu'!$G$54,'Progetto del paramento slu'!$G$53)</f>
        <v>105530690.57378843</v>
      </c>
      <c r="I1516" s="479">
        <f>-'Foglio deposito bis'!$F$72*(C1516-sezione!$AP$33)*IF(ABS(O1516)&lt;'Progetto del paramento slu'!$G$58,ABS(O1516)*'Progetto del paramento slu'!$G$54,'Progetto del paramento slu'!$G$53)</f>
        <v>125556443.63225302</v>
      </c>
      <c r="J1516" s="479">
        <f t="shared" si="111"/>
        <v>253240048.21117884</v>
      </c>
      <c r="K1516" s="558">
        <f>'Progetto del paramento slu'!$G$60*(sezione!$AL$33-C1516)/C1516</f>
        <v>2.6487807482673303E-2</v>
      </c>
      <c r="L1516" s="558">
        <f>'Progetto del paramento slu'!$G$60*(sezione!$AM$33-C1516)/C1516</f>
        <v>0.10895427806002488</v>
      </c>
      <c r="M1516" s="559">
        <f>'Progetto del paramento slu'!$G$60*(sezione!$AN$33-C1516)/C1516</f>
        <v>0.19142074863737646</v>
      </c>
      <c r="N1516" s="559">
        <f>'Progetto del paramento slu'!$G$60*(sezione!$AO$33-C1516)/C1516</f>
        <v>0.25139636360272311</v>
      </c>
      <c r="O1516" s="559">
        <f>'Progetto del paramento slu'!$G$60*(sezione!$AP$33-C1516)/C1516</f>
        <v>0.19142523599558739</v>
      </c>
      <c r="P1516" s="553">
        <f>-'Progetto del paramento slu'!$G$47*'Progetto del paramento slu'!$G$41*IF(DATI!$G$218="dx",DATI!$E$61,DATI!$E$64*DATI!$E$63)*1000*C1516*sezione!$AD$5</f>
        <v>-65807.565329350211</v>
      </c>
      <c r="Q1516" s="553">
        <f>'Foglio deposito bis'!$F$68*IF(ABS(K1516)&lt;'Progetto del paramento slu'!$G$58,ABS(K1516)*'Progetto del paramento slu'!$G$54,'Progetto del paramento slu'!$G$53)*IF(K1516&lt;0,-1,1)</f>
        <v>0</v>
      </c>
      <c r="R1516" s="553">
        <f>'Foglio deposito bis'!$F$69*IF(ABS(L1516)&lt;'Progetto del paramento slu'!$G$58,ABS(L1516)*'Progetto del paramento slu'!$G$54,'Progetto del paramento slu'!$G$53)*IF(L1516&lt;0,-1,1)</f>
        <v>153664.85805602249</v>
      </c>
      <c r="S1516" s="553">
        <f>'Foglio deposito bis'!$F$70*IF(ABS(M1516)&lt;'Progetto del paramento slu'!$G$58,ABS(M1516)*'Progetto del paramento slu'!$G$54,'Progetto del paramento slu'!$G$53)*IF(M1516&lt;0,-1,1)</f>
        <v>0</v>
      </c>
      <c r="T1516" s="553">
        <f>'Foglio deposito bis'!$F$71*IF(ABS(N1516)&lt;'Progetto del paramento slu'!$G$58,ABS(N1516)*'Progetto del paramento slu'!$G$54,'Progetto del paramento slu'!$G$53)*IF(N1516&lt;0,-1,1)</f>
        <v>314705.62929873407</v>
      </c>
      <c r="U1516" s="553">
        <f>'Foglio deposito bis'!$F$72*IF(ABS(O1516)&lt;'Progetto del paramento slu'!$G$58,ABS(O1516)*'Progetto del paramento slu'!$G$54,'Progetto del paramento slu'!$G$53)*IF(O1516&lt;0,-1,1)</f>
        <v>491727.54577927204</v>
      </c>
      <c r="V1516" s="479">
        <f t="shared" si="114"/>
        <v>894290.46780467848</v>
      </c>
      <c r="W1516" s="559"/>
      <c r="X1516" s="559"/>
    </row>
    <row r="1517" spans="1:24" x14ac:dyDescent="0.25">
      <c r="A1517" s="553">
        <f t="shared" si="113"/>
        <v>891429.26931209792</v>
      </c>
      <c r="B1517" s="3">
        <f t="shared" si="115"/>
        <v>1.2000000000000004</v>
      </c>
      <c r="C1517" s="553">
        <f>'Foglio deposito bis'!$E$159/sezione!$B$247*B1517</f>
        <v>4.8715450973248693</v>
      </c>
      <c r="D1517" s="611">
        <f>-'Progetto del paramento slu'!$G$47*'Progetto del paramento slu'!$G$41*IF(DATI!$G$218="dx",DATI!$E$61,DATI!$E$64*DATI!$E$63)*1000*C1517^2*sezione!$AD$5*(1-sezione!$AD$6)</f>
        <v>-195361.42016587403</v>
      </c>
      <c r="E1517" s="553">
        <f>-'Foglio deposito bis'!$F$68*(C1517-sezione!$AL$33)*IF(ABS(K1517)&lt;'Progetto del paramento slu'!$G$58,ABS(K1517)*'Progetto del paramento slu'!$G$54,'Progetto del paramento slu'!$G$53)</f>
        <v>0</v>
      </c>
      <c r="F1517" s="553">
        <f>-'Foglio deposito bis'!$F$69*(C1517-sezione!$AM$33)*IF(ABS(L1517)&lt;'Progetto del paramento slu'!$G$58,ABS(L1517)*'Progetto del paramento slu'!$G$54,'Progetto del paramento slu'!$G$53)</f>
        <v>22301143.422509432</v>
      </c>
      <c r="G1517" s="553">
        <f>-'Foglio deposito bis'!$F$70*(C1517-sezione!$AN$33)*IF(ABS(M1517)&lt;'Progetto del paramento slu'!$G$58,ABS(M1517)*'Progetto del paramento slu'!$G$54,'Progetto del paramento slu'!$G$53)</f>
        <v>0</v>
      </c>
      <c r="H1517" s="553">
        <f>-'Foglio deposito bis'!$F$71*(C1517-sezione!$AO$33)*IF(ABS(N1517)&lt;'Progetto del paramento slu'!$G$58,ABS(N1517)*'Progetto del paramento slu'!$G$54,'Progetto del paramento slu'!$G$53)</f>
        <v>105466811.29605879</v>
      </c>
      <c r="I1517" s="479">
        <f>-'Foglio deposito bis'!$F$72*(C1517-sezione!$AP$33)*IF(ABS(O1517)&lt;'Progetto del paramento slu'!$G$58,ABS(O1517)*'Progetto del paramento slu'!$G$54,'Progetto del paramento slu'!$G$53)</f>
        <v>125456632.2608005</v>
      </c>
      <c r="J1517" s="479">
        <f t="shared" si="111"/>
        <v>253029225.55920285</v>
      </c>
      <c r="K1517" s="558">
        <f>'Progetto del paramento slu'!$G$60*(sezione!$AL$33-C1517)/C1517</f>
        <v>2.5238315504228576E-2</v>
      </c>
      <c r="L1517" s="558">
        <f>'Progetto del paramento slu'!$G$60*(sezione!$AM$33-C1517)/C1517</f>
        <v>0.10426868314085716</v>
      </c>
      <c r="M1517" s="559">
        <f>'Progetto del paramento slu'!$G$60*(sezione!$AN$33-C1517)/C1517</f>
        <v>0.18329905077748576</v>
      </c>
      <c r="N1517" s="559">
        <f>'Progetto del paramento slu'!$G$60*(sezione!$AO$33-C1517)/C1517</f>
        <v>0.24077568178594289</v>
      </c>
      <c r="O1517" s="559">
        <f>'Progetto del paramento slu'!$G$60*(sezione!$AP$33-C1517)/C1517</f>
        <v>0.18330335116243787</v>
      </c>
      <c r="P1517" s="553">
        <f>-'Progetto del paramento slu'!$G$47*'Progetto del paramento slu'!$G$41*IF(DATI!$G$218="dx",DATI!$E$61,DATI!$E$64*DATI!$E$63)*1000*C1517*sezione!$AD$5</f>
        <v>-68668.763821930654</v>
      </c>
      <c r="Q1517" s="553">
        <f>'Foglio deposito bis'!$F$68*IF(ABS(K1517)&lt;'Progetto del paramento slu'!$G$58,ABS(K1517)*'Progetto del paramento slu'!$G$54,'Progetto del paramento slu'!$G$53)*IF(K1517&lt;0,-1,1)</f>
        <v>0</v>
      </c>
      <c r="R1517" s="553">
        <f>'Foglio deposito bis'!$F$69*IF(ABS(L1517)&lt;'Progetto del paramento slu'!$G$58,ABS(L1517)*'Progetto del paramento slu'!$G$54,'Progetto del paramento slu'!$G$53)*IF(L1517&lt;0,-1,1)</f>
        <v>153664.85805602249</v>
      </c>
      <c r="S1517" s="553">
        <f>'Foglio deposito bis'!$F$70*IF(ABS(M1517)&lt;'Progetto del paramento slu'!$G$58,ABS(M1517)*'Progetto del paramento slu'!$G$54,'Progetto del paramento slu'!$G$53)*IF(M1517&lt;0,-1,1)</f>
        <v>0</v>
      </c>
      <c r="T1517" s="553">
        <f>'Foglio deposito bis'!$F$71*IF(ABS(N1517)&lt;'Progetto del paramento slu'!$G$58,ABS(N1517)*'Progetto del paramento slu'!$G$54,'Progetto del paramento slu'!$G$53)*IF(N1517&lt;0,-1,1)</f>
        <v>314705.62929873407</v>
      </c>
      <c r="U1517" s="553">
        <f>'Foglio deposito bis'!$F$72*IF(ABS(O1517)&lt;'Progetto del paramento slu'!$G$58,ABS(O1517)*'Progetto del paramento slu'!$G$54,'Progetto del paramento slu'!$G$53)*IF(O1517&lt;0,-1,1)</f>
        <v>491727.54577927204</v>
      </c>
      <c r="V1517" s="479">
        <f t="shared" si="114"/>
        <v>891429.26931209792</v>
      </c>
      <c r="W1517" s="559"/>
      <c r="X1517" s="559"/>
    </row>
    <row r="1518" spans="1:24" x14ac:dyDescent="0.25">
      <c r="A1518" s="553">
        <f t="shared" si="113"/>
        <v>888568.0708195176</v>
      </c>
      <c r="B1518" s="3">
        <f t="shared" si="115"/>
        <v>1.2500000000000004</v>
      </c>
      <c r="C1518" s="553">
        <f>'Foglio deposito bis'!$E$159/sezione!$B$247*B1518</f>
        <v>5.0745261430467385</v>
      </c>
      <c r="D1518" s="611">
        <f>-'Progetto del paramento slu'!$G$47*'Progetto del paramento slu'!$G$41*IF(DATI!$G$218="dx",DATI!$E$61,DATI!$E$64*DATI!$E$63)*1000*C1518^2*sezione!$AD$5*(1-sezione!$AD$6)</f>
        <v>-211980.70764526259</v>
      </c>
      <c r="E1518" s="553">
        <f>-'Foglio deposito bis'!$F$68*(C1518-sezione!$AL$33)*IF(ABS(K1518)&lt;'Progetto del paramento slu'!$G$58,ABS(K1518)*'Progetto del paramento slu'!$G$54,'Progetto del paramento slu'!$G$53)</f>
        <v>0</v>
      </c>
      <c r="F1518" s="553">
        <f>-'Foglio deposito bis'!$F$69*(C1518-sezione!$AM$33)*IF(ABS(L1518)&lt;'Progetto del paramento slu'!$G$58,ABS(L1518)*'Progetto del paramento slu'!$G$54,'Progetto del paramento slu'!$G$53)</f>
        <v>22269952.368930522</v>
      </c>
      <c r="G1518" s="553">
        <f>-'Foglio deposito bis'!$F$70*(C1518-sezione!$AN$33)*IF(ABS(M1518)&lt;'Progetto del paramento slu'!$G$58,ABS(M1518)*'Progetto del paramento slu'!$G$54,'Progetto del paramento slu'!$G$53)</f>
        <v>0</v>
      </c>
      <c r="H1518" s="553">
        <f>-'Foglio deposito bis'!$F$71*(C1518-sezione!$AO$33)*IF(ABS(N1518)&lt;'Progetto del paramento slu'!$G$58,ABS(N1518)*'Progetto del paramento slu'!$G$54,'Progetto del paramento slu'!$G$53)</f>
        <v>105402932.01832917</v>
      </c>
      <c r="I1518" s="479">
        <f>-'Foglio deposito bis'!$F$72*(C1518-sezione!$AP$33)*IF(ABS(O1518)&lt;'Progetto del paramento slu'!$G$58,ABS(O1518)*'Progetto del paramento slu'!$G$54,'Progetto del paramento slu'!$G$53)</f>
        <v>125356820.88934799</v>
      </c>
      <c r="J1518" s="479">
        <f t="shared" si="111"/>
        <v>252817724.5689624</v>
      </c>
      <c r="K1518" s="558">
        <f>'Progetto del paramento slu'!$G$60*(sezione!$AL$33-C1518)/C1518</f>
        <v>2.4088782884059436E-2</v>
      </c>
      <c r="L1518" s="558">
        <f>'Progetto del paramento slu'!$G$60*(sezione!$AM$33-C1518)/C1518</f>
        <v>9.9957935815222887E-2</v>
      </c>
      <c r="M1518" s="559">
        <f>'Progetto del paramento slu'!$G$60*(sezione!$AN$33-C1518)/C1518</f>
        <v>0.17582708874638633</v>
      </c>
      <c r="N1518" s="559">
        <f>'Progetto del paramento slu'!$G$60*(sezione!$AO$33-C1518)/C1518</f>
        <v>0.23100465451450519</v>
      </c>
      <c r="O1518" s="559">
        <f>'Progetto del paramento slu'!$G$60*(sezione!$AP$33-C1518)/C1518</f>
        <v>0.17583121711594038</v>
      </c>
      <c r="P1518" s="553">
        <f>-'Progetto del paramento slu'!$G$47*'Progetto del paramento slu'!$G$41*IF(DATI!$G$218="dx",DATI!$E$61,DATI!$E$64*DATI!$E$63)*1000*C1518*sezione!$AD$5</f>
        <v>-71529.962314511096</v>
      </c>
      <c r="Q1518" s="553">
        <f>'Foglio deposito bis'!$F$68*IF(ABS(K1518)&lt;'Progetto del paramento slu'!$G$58,ABS(K1518)*'Progetto del paramento slu'!$G$54,'Progetto del paramento slu'!$G$53)*IF(K1518&lt;0,-1,1)</f>
        <v>0</v>
      </c>
      <c r="R1518" s="553">
        <f>'Foglio deposito bis'!$F$69*IF(ABS(L1518)&lt;'Progetto del paramento slu'!$G$58,ABS(L1518)*'Progetto del paramento slu'!$G$54,'Progetto del paramento slu'!$G$53)*IF(L1518&lt;0,-1,1)</f>
        <v>153664.85805602249</v>
      </c>
      <c r="S1518" s="553">
        <f>'Foglio deposito bis'!$F$70*IF(ABS(M1518)&lt;'Progetto del paramento slu'!$G$58,ABS(M1518)*'Progetto del paramento slu'!$G$54,'Progetto del paramento slu'!$G$53)*IF(M1518&lt;0,-1,1)</f>
        <v>0</v>
      </c>
      <c r="T1518" s="553">
        <f>'Foglio deposito bis'!$F$71*IF(ABS(N1518)&lt;'Progetto del paramento slu'!$G$58,ABS(N1518)*'Progetto del paramento slu'!$G$54,'Progetto del paramento slu'!$G$53)*IF(N1518&lt;0,-1,1)</f>
        <v>314705.62929873407</v>
      </c>
      <c r="U1518" s="553">
        <f>'Foglio deposito bis'!$F$72*IF(ABS(O1518)&lt;'Progetto del paramento slu'!$G$58,ABS(O1518)*'Progetto del paramento slu'!$G$54,'Progetto del paramento slu'!$G$53)*IF(O1518&lt;0,-1,1)</f>
        <v>491727.54577927204</v>
      </c>
      <c r="V1518" s="479">
        <f t="shared" si="114"/>
        <v>888568.0708195176</v>
      </c>
      <c r="W1518" s="559"/>
      <c r="X1518" s="559"/>
    </row>
    <row r="1519" spans="1:24" x14ac:dyDescent="0.25">
      <c r="A1519" s="553">
        <f t="shared" si="113"/>
        <v>885706.87232693704</v>
      </c>
      <c r="B1519" s="3">
        <f t="shared" si="115"/>
        <v>1.3000000000000005</v>
      </c>
      <c r="C1519" s="553">
        <f>'Foglio deposito bis'!$E$159/sezione!$B$247*B1519</f>
        <v>5.2775071887686087</v>
      </c>
      <c r="D1519" s="611">
        <f>-'Progetto del paramento slu'!$G$47*'Progetto del paramento slu'!$G$41*IF(DATI!$G$218="dx",DATI!$E$61,DATI!$E$64*DATI!$E$63)*1000*C1519^2*sezione!$AD$5*(1-sezione!$AD$6)</f>
        <v>-229278.33338911607</v>
      </c>
      <c r="E1519" s="553">
        <f>-'Foglio deposito bis'!$F$68*(C1519-sezione!$AL$33)*IF(ABS(K1519)&lt;'Progetto del paramento slu'!$G$58,ABS(K1519)*'Progetto del paramento slu'!$G$54,'Progetto del paramento slu'!$G$53)</f>
        <v>0</v>
      </c>
      <c r="F1519" s="553">
        <f>-'Foglio deposito bis'!$F$69*(C1519-sezione!$AM$33)*IF(ABS(L1519)&lt;'Progetto del paramento slu'!$G$58,ABS(L1519)*'Progetto del paramento slu'!$G$54,'Progetto del paramento slu'!$G$53)</f>
        <v>22238761.315351609</v>
      </c>
      <c r="G1519" s="553">
        <f>-'Foglio deposito bis'!$F$70*(C1519-sezione!$AN$33)*IF(ABS(M1519)&lt;'Progetto del paramento slu'!$G$58,ABS(M1519)*'Progetto del paramento slu'!$G$54,'Progetto del paramento slu'!$G$53)</f>
        <v>0</v>
      </c>
      <c r="H1519" s="553">
        <f>-'Foglio deposito bis'!$F$71*(C1519-sezione!$AO$33)*IF(ABS(N1519)&lt;'Progetto del paramento slu'!$G$58,ABS(N1519)*'Progetto del paramento slu'!$G$54,'Progetto del paramento slu'!$G$53)</f>
        <v>105339052.74059959</v>
      </c>
      <c r="I1519" s="479">
        <f>-'Foglio deposito bis'!$F$72*(C1519-sezione!$AP$33)*IF(ABS(O1519)&lt;'Progetto del paramento slu'!$G$58,ABS(O1519)*'Progetto del paramento slu'!$G$54,'Progetto del paramento slu'!$G$53)</f>
        <v>125257009.51789545</v>
      </c>
      <c r="J1519" s="479">
        <f t="shared" si="111"/>
        <v>252605545.24045753</v>
      </c>
      <c r="K1519" s="558">
        <f>'Progetto del paramento slu'!$G$60*(sezione!$AL$33-C1519)/C1519</f>
        <v>2.3027675850057144E-2</v>
      </c>
      <c r="L1519" s="558">
        <f>'Progetto del paramento slu'!$G$60*(sezione!$AM$33-C1519)/C1519</f>
        <v>9.5978784437714307E-2</v>
      </c>
      <c r="M1519" s="559">
        <f>'Progetto del paramento slu'!$G$60*(sezione!$AN$33-C1519)/C1519</f>
        <v>0.16892989302537145</v>
      </c>
      <c r="N1519" s="559">
        <f>'Progetto del paramento slu'!$G$60*(sezione!$AO$33-C1519)/C1519</f>
        <v>0.22198524472548578</v>
      </c>
      <c r="O1519" s="559">
        <f>'Progetto del paramento slu'!$G$60*(sezione!$AP$33-C1519)/C1519</f>
        <v>0.16893386261148113</v>
      </c>
      <c r="P1519" s="553">
        <f>-'Progetto del paramento slu'!$G$47*'Progetto del paramento slu'!$G$41*IF(DATI!$G$218="dx",DATI!$E$61,DATI!$E$64*DATI!$E$63)*1000*C1519*sezione!$AD$5</f>
        <v>-74391.160807091539</v>
      </c>
      <c r="Q1519" s="553">
        <f>'Foglio deposito bis'!$F$68*IF(ABS(K1519)&lt;'Progetto del paramento slu'!$G$58,ABS(K1519)*'Progetto del paramento slu'!$G$54,'Progetto del paramento slu'!$G$53)*IF(K1519&lt;0,-1,1)</f>
        <v>0</v>
      </c>
      <c r="R1519" s="553">
        <f>'Foglio deposito bis'!$F$69*IF(ABS(L1519)&lt;'Progetto del paramento slu'!$G$58,ABS(L1519)*'Progetto del paramento slu'!$G$54,'Progetto del paramento slu'!$G$53)*IF(L1519&lt;0,-1,1)</f>
        <v>153664.85805602249</v>
      </c>
      <c r="S1519" s="553">
        <f>'Foglio deposito bis'!$F$70*IF(ABS(M1519)&lt;'Progetto del paramento slu'!$G$58,ABS(M1519)*'Progetto del paramento slu'!$G$54,'Progetto del paramento slu'!$G$53)*IF(M1519&lt;0,-1,1)</f>
        <v>0</v>
      </c>
      <c r="T1519" s="553">
        <f>'Foglio deposito bis'!$F$71*IF(ABS(N1519)&lt;'Progetto del paramento slu'!$G$58,ABS(N1519)*'Progetto del paramento slu'!$G$54,'Progetto del paramento slu'!$G$53)*IF(N1519&lt;0,-1,1)</f>
        <v>314705.62929873407</v>
      </c>
      <c r="U1519" s="553">
        <f>'Foglio deposito bis'!$F$72*IF(ABS(O1519)&lt;'Progetto del paramento slu'!$G$58,ABS(O1519)*'Progetto del paramento slu'!$G$54,'Progetto del paramento slu'!$G$53)*IF(O1519&lt;0,-1,1)</f>
        <v>491727.54577927204</v>
      </c>
      <c r="V1519" s="479">
        <f t="shared" si="114"/>
        <v>885706.87232693704</v>
      </c>
      <c r="W1519" s="559"/>
      <c r="X1519" s="559"/>
    </row>
    <row r="1520" spans="1:24" x14ac:dyDescent="0.25">
      <c r="A1520" s="553">
        <f t="shared" si="113"/>
        <v>882845.67383435671</v>
      </c>
      <c r="B1520" s="3">
        <f t="shared" si="115"/>
        <v>1.3500000000000005</v>
      </c>
      <c r="C1520" s="553">
        <f>'Foglio deposito bis'!$E$159/sezione!$B$247*B1520</f>
        <v>5.480488234490478</v>
      </c>
      <c r="D1520" s="611">
        <f>-'Progetto del paramento slu'!$G$47*'Progetto del paramento slu'!$G$41*IF(DATI!$G$218="dx",DATI!$E$61,DATI!$E$64*DATI!$E$63)*1000*C1520^2*sezione!$AD$5*(1-sezione!$AD$6)</f>
        <v>-247254.2973974343</v>
      </c>
      <c r="E1520" s="553">
        <f>-'Foglio deposito bis'!$F$68*(C1520-sezione!$AL$33)*IF(ABS(K1520)&lt;'Progetto del paramento slu'!$G$58,ABS(K1520)*'Progetto del paramento slu'!$G$54,'Progetto del paramento slu'!$G$53)</f>
        <v>0</v>
      </c>
      <c r="F1520" s="553">
        <f>-'Foglio deposito bis'!$F$69*(C1520-sezione!$AM$33)*IF(ABS(L1520)&lt;'Progetto del paramento slu'!$G$58,ABS(L1520)*'Progetto del paramento slu'!$G$54,'Progetto del paramento slu'!$G$53)</f>
        <v>22207570.261772692</v>
      </c>
      <c r="G1520" s="553">
        <f>-'Foglio deposito bis'!$F$70*(C1520-sezione!$AN$33)*IF(ABS(M1520)&lt;'Progetto del paramento slu'!$G$58,ABS(M1520)*'Progetto del paramento slu'!$G$54,'Progetto del paramento slu'!$G$53)</f>
        <v>0</v>
      </c>
      <c r="H1520" s="553">
        <f>-'Foglio deposito bis'!$F$71*(C1520-sezione!$AO$33)*IF(ABS(N1520)&lt;'Progetto del paramento slu'!$G$58,ABS(N1520)*'Progetto del paramento slu'!$G$54,'Progetto del paramento slu'!$G$53)</f>
        <v>105275173.46286997</v>
      </c>
      <c r="I1520" s="479">
        <f>-'Foglio deposito bis'!$F$72*(C1520-sezione!$AP$33)*IF(ABS(O1520)&lt;'Progetto del paramento slu'!$G$58,ABS(O1520)*'Progetto del paramento slu'!$G$54,'Progetto del paramento slu'!$G$53)</f>
        <v>125157198.14644293</v>
      </c>
      <c r="J1520" s="479">
        <f t="shared" si="111"/>
        <v>252392687.57368815</v>
      </c>
      <c r="K1520" s="558">
        <f>'Progetto del paramento slu'!$G$60*(sezione!$AL$33-C1520)/C1520</f>
        <v>2.2045169337092066E-2</v>
      </c>
      <c r="L1520" s="558">
        <f>'Progetto del paramento slu'!$G$60*(sezione!$AM$33-C1520)/C1520</f>
        <v>9.2294385014095259E-2</v>
      </c>
      <c r="M1520" s="559">
        <f>'Progetto del paramento slu'!$G$60*(sezione!$AN$33-C1520)/C1520</f>
        <v>0.16254360069109844</v>
      </c>
      <c r="N1520" s="559">
        <f>'Progetto del paramento slu'!$G$60*(sezione!$AO$33-C1520)/C1520</f>
        <v>0.2136339393652826</v>
      </c>
      <c r="O1520" s="559">
        <f>'Progetto del paramento slu'!$G$60*(sezione!$AP$33-C1520)/C1520</f>
        <v>0.16254742325550034</v>
      </c>
      <c r="P1520" s="553">
        <f>-'Progetto del paramento slu'!$G$47*'Progetto del paramento slu'!$G$41*IF(DATI!$G$218="dx",DATI!$E$61,DATI!$E$64*DATI!$E$63)*1000*C1520*sezione!$AD$5</f>
        <v>-77252.359299671982</v>
      </c>
      <c r="Q1520" s="553">
        <f>'Foglio deposito bis'!$F$68*IF(ABS(K1520)&lt;'Progetto del paramento slu'!$G$58,ABS(K1520)*'Progetto del paramento slu'!$G$54,'Progetto del paramento slu'!$G$53)*IF(K1520&lt;0,-1,1)</f>
        <v>0</v>
      </c>
      <c r="R1520" s="553">
        <f>'Foglio deposito bis'!$F$69*IF(ABS(L1520)&lt;'Progetto del paramento slu'!$G$58,ABS(L1520)*'Progetto del paramento slu'!$G$54,'Progetto del paramento slu'!$G$53)*IF(L1520&lt;0,-1,1)</f>
        <v>153664.85805602249</v>
      </c>
      <c r="S1520" s="553">
        <f>'Foglio deposito bis'!$F$70*IF(ABS(M1520)&lt;'Progetto del paramento slu'!$G$58,ABS(M1520)*'Progetto del paramento slu'!$G$54,'Progetto del paramento slu'!$G$53)*IF(M1520&lt;0,-1,1)</f>
        <v>0</v>
      </c>
      <c r="T1520" s="553">
        <f>'Foglio deposito bis'!$F$71*IF(ABS(N1520)&lt;'Progetto del paramento slu'!$G$58,ABS(N1520)*'Progetto del paramento slu'!$G$54,'Progetto del paramento slu'!$G$53)*IF(N1520&lt;0,-1,1)</f>
        <v>314705.62929873407</v>
      </c>
      <c r="U1520" s="553">
        <f>'Foglio deposito bis'!$F$72*IF(ABS(O1520)&lt;'Progetto del paramento slu'!$G$58,ABS(O1520)*'Progetto del paramento slu'!$G$54,'Progetto del paramento slu'!$G$53)*IF(O1520&lt;0,-1,1)</f>
        <v>491727.54577927204</v>
      </c>
      <c r="V1520" s="479">
        <f t="shared" si="114"/>
        <v>882845.67383435671</v>
      </c>
      <c r="W1520" s="559"/>
      <c r="X1520" s="559"/>
    </row>
    <row r="1521" spans="1:24" x14ac:dyDescent="0.25">
      <c r="A1521" s="553">
        <f t="shared" si="113"/>
        <v>879984.47534177615</v>
      </c>
      <c r="B1521" s="3">
        <f t="shared" si="115"/>
        <v>1.4000000000000006</v>
      </c>
      <c r="C1521" s="553">
        <f>'Foglio deposito bis'!$E$159/sezione!$B$247*B1521</f>
        <v>5.6834692802123481</v>
      </c>
      <c r="D1521" s="611">
        <f>-'Progetto del paramento slu'!$G$47*'Progetto del paramento slu'!$G$41*IF(DATI!$G$218="dx",DATI!$E$61,DATI!$E$64*DATI!$E$63)*1000*C1521^2*sezione!$AD$5*(1-sezione!$AD$6)</f>
        <v>-265908.59967021749</v>
      </c>
      <c r="E1521" s="553">
        <f>-'Foglio deposito bis'!$F$68*(C1521-sezione!$AL$33)*IF(ABS(K1521)&lt;'Progetto del paramento slu'!$G$58,ABS(K1521)*'Progetto del paramento slu'!$G$54,'Progetto del paramento slu'!$G$53)</f>
        <v>0</v>
      </c>
      <c r="F1521" s="553">
        <f>-'Foglio deposito bis'!$F$69*(C1521-sezione!$AM$33)*IF(ABS(L1521)&lt;'Progetto del paramento slu'!$G$58,ABS(L1521)*'Progetto del paramento slu'!$G$54,'Progetto del paramento slu'!$G$53)</f>
        <v>22176379.208193783</v>
      </c>
      <c r="G1521" s="553">
        <f>-'Foglio deposito bis'!$F$70*(C1521-sezione!$AN$33)*IF(ABS(M1521)&lt;'Progetto del paramento slu'!$G$58,ABS(M1521)*'Progetto del paramento slu'!$G$54,'Progetto del paramento slu'!$G$53)</f>
        <v>0</v>
      </c>
      <c r="H1521" s="553">
        <f>-'Foglio deposito bis'!$F$71*(C1521-sezione!$AO$33)*IF(ABS(N1521)&lt;'Progetto del paramento slu'!$G$58,ABS(N1521)*'Progetto del paramento slu'!$G$54,'Progetto del paramento slu'!$G$53)</f>
        <v>105211294.18514033</v>
      </c>
      <c r="I1521" s="479">
        <f>-'Foglio deposito bis'!$F$72*(C1521-sezione!$AP$33)*IF(ABS(O1521)&lt;'Progetto del paramento slu'!$G$58,ABS(O1521)*'Progetto del paramento slu'!$G$54,'Progetto del paramento slu'!$G$53)</f>
        <v>125057386.77499039</v>
      </c>
      <c r="J1521" s="479">
        <f t="shared" si="111"/>
        <v>252179151.5686543</v>
      </c>
      <c r="K1521" s="558">
        <f>'Progetto del paramento slu'!$G$60*(sezione!$AL$33-C1521)/C1521</f>
        <v>2.1132841860767346E-2</v>
      </c>
      <c r="L1521" s="558">
        <f>'Progetto del paramento slu'!$G$60*(sezione!$AM$33-C1521)/C1521</f>
        <v>8.8873156977877565E-2</v>
      </c>
      <c r="M1521" s="559">
        <f>'Progetto del paramento slu'!$G$60*(sezione!$AN$33-C1521)/C1521</f>
        <v>0.15661347209498777</v>
      </c>
      <c r="N1521" s="559">
        <f>'Progetto del paramento slu'!$G$60*(sezione!$AO$33-C1521)/C1521</f>
        <v>0.20587915581652244</v>
      </c>
      <c r="O1521" s="559">
        <f>'Progetto del paramento slu'!$G$60*(sezione!$AP$33-C1521)/C1521</f>
        <v>0.15661715813923247</v>
      </c>
      <c r="P1521" s="553">
        <f>-'Progetto del paramento slu'!$G$47*'Progetto del paramento slu'!$G$41*IF(DATI!$G$218="dx",DATI!$E$61,DATI!$E$64*DATI!$E$63)*1000*C1521*sezione!$AD$5</f>
        <v>-80113.557792252439</v>
      </c>
      <c r="Q1521" s="553">
        <f>'Foglio deposito bis'!$F$68*IF(ABS(K1521)&lt;'Progetto del paramento slu'!$G$58,ABS(K1521)*'Progetto del paramento slu'!$G$54,'Progetto del paramento slu'!$G$53)*IF(K1521&lt;0,-1,1)</f>
        <v>0</v>
      </c>
      <c r="R1521" s="553">
        <f>'Foglio deposito bis'!$F$69*IF(ABS(L1521)&lt;'Progetto del paramento slu'!$G$58,ABS(L1521)*'Progetto del paramento slu'!$G$54,'Progetto del paramento slu'!$G$53)*IF(L1521&lt;0,-1,1)</f>
        <v>153664.85805602249</v>
      </c>
      <c r="S1521" s="553">
        <f>'Foglio deposito bis'!$F$70*IF(ABS(M1521)&lt;'Progetto del paramento slu'!$G$58,ABS(M1521)*'Progetto del paramento slu'!$G$54,'Progetto del paramento slu'!$G$53)*IF(M1521&lt;0,-1,1)</f>
        <v>0</v>
      </c>
      <c r="T1521" s="553">
        <f>'Foglio deposito bis'!$F$71*IF(ABS(N1521)&lt;'Progetto del paramento slu'!$G$58,ABS(N1521)*'Progetto del paramento slu'!$G$54,'Progetto del paramento slu'!$G$53)*IF(N1521&lt;0,-1,1)</f>
        <v>314705.62929873407</v>
      </c>
      <c r="U1521" s="553">
        <f>'Foglio deposito bis'!$F$72*IF(ABS(O1521)&lt;'Progetto del paramento slu'!$G$58,ABS(O1521)*'Progetto del paramento slu'!$G$54,'Progetto del paramento slu'!$G$53)*IF(O1521&lt;0,-1,1)</f>
        <v>491727.54577927204</v>
      </c>
      <c r="V1521" s="479">
        <f t="shared" si="114"/>
        <v>879984.47534177615</v>
      </c>
      <c r="W1521" s="559"/>
      <c r="X1521" s="559"/>
    </row>
    <row r="1522" spans="1:24" x14ac:dyDescent="0.25">
      <c r="A1522" s="553">
        <f t="shared" si="113"/>
        <v>877123.27684919571</v>
      </c>
      <c r="B1522" s="3">
        <f t="shared" si="115"/>
        <v>1.4500000000000006</v>
      </c>
      <c r="C1522" s="553">
        <f>'Foglio deposito bis'!$E$159/sezione!$B$247*B1522</f>
        <v>5.8864503259342174</v>
      </c>
      <c r="D1522" s="611">
        <f>-'Progetto del paramento slu'!$G$47*'Progetto del paramento slu'!$G$41*IF(DATI!$G$218="dx",DATI!$E$61,DATI!$E$64*DATI!$E$63)*1000*C1522^2*sezione!$AD$5*(1-sezione!$AD$6)</f>
        <v>-285241.24020746537</v>
      </c>
      <c r="E1522" s="553">
        <f>-'Foglio deposito bis'!$F$68*(C1522-sezione!$AL$33)*IF(ABS(K1522)&lt;'Progetto del paramento slu'!$G$58,ABS(K1522)*'Progetto del paramento slu'!$G$54,'Progetto del paramento slu'!$G$53)</f>
        <v>0</v>
      </c>
      <c r="F1522" s="553">
        <f>-'Foglio deposito bis'!$F$69*(C1522-sezione!$AM$33)*IF(ABS(L1522)&lt;'Progetto del paramento slu'!$G$58,ABS(L1522)*'Progetto del paramento slu'!$G$54,'Progetto del paramento slu'!$G$53)</f>
        <v>22145188.154614866</v>
      </c>
      <c r="G1522" s="553">
        <f>-'Foglio deposito bis'!$F$70*(C1522-sezione!$AN$33)*IF(ABS(M1522)&lt;'Progetto del paramento slu'!$G$58,ABS(M1522)*'Progetto del paramento slu'!$G$54,'Progetto del paramento slu'!$G$53)</f>
        <v>0</v>
      </c>
      <c r="H1522" s="553">
        <f>-'Foglio deposito bis'!$F$71*(C1522-sezione!$AO$33)*IF(ABS(N1522)&lt;'Progetto del paramento slu'!$G$58,ABS(N1522)*'Progetto del paramento slu'!$G$54,'Progetto del paramento slu'!$G$53)</f>
        <v>105147414.90741074</v>
      </c>
      <c r="I1522" s="479">
        <f>-'Foglio deposito bis'!$F$72*(C1522-sezione!$AP$33)*IF(ABS(O1522)&lt;'Progetto del paramento slu'!$G$58,ABS(O1522)*'Progetto del paramento slu'!$G$54,'Progetto del paramento slu'!$G$53)</f>
        <v>124957575.40353787</v>
      </c>
      <c r="J1522" s="479">
        <f t="shared" si="111"/>
        <v>251964937.22535601</v>
      </c>
      <c r="K1522" s="558">
        <f>'Progetto del paramento slu'!$G$60*(sezione!$AL$33-C1522)/C1522</f>
        <v>2.0283433520740888E-2</v>
      </c>
      <c r="L1522" s="558">
        <f>'Progetto del paramento slu'!$G$60*(sezione!$AM$33-C1522)/C1522</f>
        <v>8.5687875702778332E-2</v>
      </c>
      <c r="M1522" s="559">
        <f>'Progetto del paramento slu'!$G$60*(sezione!$AN$33-C1522)/C1522</f>
        <v>0.15109231788481578</v>
      </c>
      <c r="N1522" s="559">
        <f>'Progetto del paramento slu'!$G$60*(sezione!$AO$33-C1522)/C1522</f>
        <v>0.19865918492629756</v>
      </c>
      <c r="O1522" s="559">
        <f>'Progetto del paramento slu'!$G$60*(sezione!$AP$33-C1522)/C1522</f>
        <v>0.15109587682408651</v>
      </c>
      <c r="P1522" s="553">
        <f>-'Progetto del paramento slu'!$G$47*'Progetto del paramento slu'!$G$41*IF(DATI!$G$218="dx",DATI!$E$61,DATI!$E$64*DATI!$E$63)*1000*C1522*sezione!$AD$5</f>
        <v>-82974.756284832882</v>
      </c>
      <c r="Q1522" s="553">
        <f>'Foglio deposito bis'!$F$68*IF(ABS(K1522)&lt;'Progetto del paramento slu'!$G$58,ABS(K1522)*'Progetto del paramento slu'!$G$54,'Progetto del paramento slu'!$G$53)*IF(K1522&lt;0,-1,1)</f>
        <v>0</v>
      </c>
      <c r="R1522" s="553">
        <f>'Foglio deposito bis'!$F$69*IF(ABS(L1522)&lt;'Progetto del paramento slu'!$G$58,ABS(L1522)*'Progetto del paramento slu'!$G$54,'Progetto del paramento slu'!$G$53)*IF(L1522&lt;0,-1,1)</f>
        <v>153664.85805602249</v>
      </c>
      <c r="S1522" s="553">
        <f>'Foglio deposito bis'!$F$70*IF(ABS(M1522)&lt;'Progetto del paramento slu'!$G$58,ABS(M1522)*'Progetto del paramento slu'!$G$54,'Progetto del paramento slu'!$G$53)*IF(M1522&lt;0,-1,1)</f>
        <v>0</v>
      </c>
      <c r="T1522" s="553">
        <f>'Foglio deposito bis'!$F$71*IF(ABS(N1522)&lt;'Progetto del paramento slu'!$G$58,ABS(N1522)*'Progetto del paramento slu'!$G$54,'Progetto del paramento slu'!$G$53)*IF(N1522&lt;0,-1,1)</f>
        <v>314705.62929873407</v>
      </c>
      <c r="U1522" s="553">
        <f>'Foglio deposito bis'!$F$72*IF(ABS(O1522)&lt;'Progetto del paramento slu'!$G$58,ABS(O1522)*'Progetto del paramento slu'!$G$54,'Progetto del paramento slu'!$G$53)*IF(O1522&lt;0,-1,1)</f>
        <v>491727.54577927204</v>
      </c>
      <c r="V1522" s="479">
        <f t="shared" si="114"/>
        <v>877123.27684919571</v>
      </c>
      <c r="W1522" s="559"/>
      <c r="X1522" s="559"/>
    </row>
    <row r="1523" spans="1:24" x14ac:dyDescent="0.25">
      <c r="A1523" s="553">
        <f t="shared" si="113"/>
        <v>874262.07835661527</v>
      </c>
      <c r="B1523" s="3">
        <f t="shared" si="115"/>
        <v>1.5000000000000007</v>
      </c>
      <c r="C1523" s="553">
        <f>'Foglio deposito bis'!$E$159/sezione!$B$247*B1523</f>
        <v>6.0894313716560875</v>
      </c>
      <c r="D1523" s="611">
        <f>-'Progetto del paramento slu'!$G$47*'Progetto del paramento slu'!$G$41*IF(DATI!$G$218="dx",DATI!$E$61,DATI!$E$64*DATI!$E$63)*1000*C1523^2*sezione!$AD$5*(1-sezione!$AD$6)</f>
        <v>-305252.21900917828</v>
      </c>
      <c r="E1523" s="553">
        <f>-'Foglio deposito bis'!$F$68*(C1523-sezione!$AL$33)*IF(ABS(K1523)&lt;'Progetto del paramento slu'!$G$58,ABS(K1523)*'Progetto del paramento slu'!$G$54,'Progetto del paramento slu'!$G$53)</f>
        <v>0</v>
      </c>
      <c r="F1523" s="553">
        <f>-'Foglio deposito bis'!$F$69*(C1523-sezione!$AM$33)*IF(ABS(L1523)&lt;'Progetto del paramento slu'!$G$58,ABS(L1523)*'Progetto del paramento slu'!$G$54,'Progetto del paramento slu'!$G$53)</f>
        <v>22113997.101035953</v>
      </c>
      <c r="G1523" s="553">
        <f>-'Foglio deposito bis'!$F$70*(C1523-sezione!$AN$33)*IF(ABS(M1523)&lt;'Progetto del paramento slu'!$G$58,ABS(M1523)*'Progetto del paramento slu'!$G$54,'Progetto del paramento slu'!$G$53)</f>
        <v>0</v>
      </c>
      <c r="H1523" s="553">
        <f>-'Foglio deposito bis'!$F$71*(C1523-sezione!$AO$33)*IF(ABS(N1523)&lt;'Progetto del paramento slu'!$G$58,ABS(N1523)*'Progetto del paramento slu'!$G$54,'Progetto del paramento slu'!$G$53)</f>
        <v>105083535.62968111</v>
      </c>
      <c r="I1523" s="479">
        <f>-'Foglio deposito bis'!$F$72*(C1523-sezione!$AP$33)*IF(ABS(O1523)&lt;'Progetto del paramento slu'!$G$58,ABS(O1523)*'Progetto del paramento slu'!$G$54,'Progetto del paramento slu'!$G$53)</f>
        <v>124857764.03208536</v>
      </c>
      <c r="J1523" s="479">
        <f t="shared" si="111"/>
        <v>251750044.54379326</v>
      </c>
      <c r="K1523" s="558">
        <f>'Progetto del paramento slu'!$G$60*(sezione!$AL$33-C1523)/C1523</f>
        <v>1.9490652403382856E-2</v>
      </c>
      <c r="L1523" s="558">
        <f>'Progetto del paramento slu'!$G$60*(sezione!$AM$33-C1523)/C1523</f>
        <v>8.2714946512685725E-2</v>
      </c>
      <c r="M1523" s="559">
        <f>'Progetto del paramento slu'!$G$60*(sezione!$AN$33-C1523)/C1523</f>
        <v>0.14593924062198857</v>
      </c>
      <c r="N1523" s="559">
        <f>'Progetto del paramento slu'!$G$60*(sezione!$AO$33-C1523)/C1523</f>
        <v>0.19192054542875431</v>
      </c>
      <c r="O1523" s="559">
        <f>'Progetto del paramento slu'!$G$60*(sezione!$AP$33-C1523)/C1523</f>
        <v>0.1459426809299503</v>
      </c>
      <c r="P1523" s="553">
        <f>-'Progetto del paramento slu'!$G$47*'Progetto del paramento slu'!$G$41*IF(DATI!$G$218="dx",DATI!$E$61,DATI!$E$64*DATI!$E$63)*1000*C1523*sezione!$AD$5</f>
        <v>-85835.954777413324</v>
      </c>
      <c r="Q1523" s="553">
        <f>'Foglio deposito bis'!$F$68*IF(ABS(K1523)&lt;'Progetto del paramento slu'!$G$58,ABS(K1523)*'Progetto del paramento slu'!$G$54,'Progetto del paramento slu'!$G$53)*IF(K1523&lt;0,-1,1)</f>
        <v>0</v>
      </c>
      <c r="R1523" s="553">
        <f>'Foglio deposito bis'!$F$69*IF(ABS(L1523)&lt;'Progetto del paramento slu'!$G$58,ABS(L1523)*'Progetto del paramento slu'!$G$54,'Progetto del paramento slu'!$G$53)*IF(L1523&lt;0,-1,1)</f>
        <v>153664.85805602249</v>
      </c>
      <c r="S1523" s="553">
        <f>'Foglio deposito bis'!$F$70*IF(ABS(M1523)&lt;'Progetto del paramento slu'!$G$58,ABS(M1523)*'Progetto del paramento slu'!$G$54,'Progetto del paramento slu'!$G$53)*IF(M1523&lt;0,-1,1)</f>
        <v>0</v>
      </c>
      <c r="T1523" s="553">
        <f>'Foglio deposito bis'!$F$71*IF(ABS(N1523)&lt;'Progetto del paramento slu'!$G$58,ABS(N1523)*'Progetto del paramento slu'!$G$54,'Progetto del paramento slu'!$G$53)*IF(N1523&lt;0,-1,1)</f>
        <v>314705.62929873407</v>
      </c>
      <c r="U1523" s="553">
        <f>'Foglio deposito bis'!$F$72*IF(ABS(O1523)&lt;'Progetto del paramento slu'!$G$58,ABS(O1523)*'Progetto del paramento slu'!$G$54,'Progetto del paramento slu'!$G$53)*IF(O1523&lt;0,-1,1)</f>
        <v>491727.54577927204</v>
      </c>
      <c r="V1523" s="479">
        <f t="shared" si="114"/>
        <v>874262.07835661527</v>
      </c>
      <c r="W1523" s="559"/>
      <c r="X1523" s="559"/>
    </row>
    <row r="1524" spans="1:24" x14ac:dyDescent="0.25">
      <c r="A1524" s="553">
        <f t="shared" si="113"/>
        <v>871400.87986403483</v>
      </c>
      <c r="B1524" s="3">
        <f t="shared" si="115"/>
        <v>1.5500000000000007</v>
      </c>
      <c r="C1524" s="553">
        <f>'Foglio deposito bis'!$E$159/sezione!$B$247*B1524</f>
        <v>6.2924124173779568</v>
      </c>
      <c r="D1524" s="611">
        <f>-'Progetto del paramento slu'!$G$47*'Progetto del paramento slu'!$G$41*IF(DATI!$G$218="dx",DATI!$E$61,DATI!$E$64*DATI!$E$63)*1000*C1524^2*sezione!$AD$5*(1-sezione!$AD$6)</f>
        <v>-325941.53607535589</v>
      </c>
      <c r="E1524" s="553">
        <f>-'Foglio deposito bis'!$F$68*(C1524-sezione!$AL$33)*IF(ABS(K1524)&lt;'Progetto del paramento slu'!$G$58,ABS(K1524)*'Progetto del paramento slu'!$G$54,'Progetto del paramento slu'!$G$53)</f>
        <v>0</v>
      </c>
      <c r="F1524" s="553">
        <f>-'Foglio deposito bis'!$F$69*(C1524-sezione!$AM$33)*IF(ABS(L1524)&lt;'Progetto del paramento slu'!$G$58,ABS(L1524)*'Progetto del paramento slu'!$G$54,'Progetto del paramento slu'!$G$53)</f>
        <v>22082806.047457036</v>
      </c>
      <c r="G1524" s="553">
        <f>-'Foglio deposito bis'!$F$70*(C1524-sezione!$AN$33)*IF(ABS(M1524)&lt;'Progetto del paramento slu'!$G$58,ABS(M1524)*'Progetto del paramento slu'!$G$54,'Progetto del paramento slu'!$G$53)</f>
        <v>0</v>
      </c>
      <c r="H1524" s="553">
        <f>-'Foglio deposito bis'!$F$71*(C1524-sezione!$AO$33)*IF(ABS(N1524)&lt;'Progetto del paramento slu'!$G$58,ABS(N1524)*'Progetto del paramento slu'!$G$54,'Progetto del paramento slu'!$G$53)</f>
        <v>105019656.35195149</v>
      </c>
      <c r="I1524" s="479">
        <f>-'Foglio deposito bis'!$F$72*(C1524-sezione!$AP$33)*IF(ABS(O1524)&lt;'Progetto del paramento slu'!$G$58,ABS(O1524)*'Progetto del paramento slu'!$G$54,'Progetto del paramento slu'!$G$53)</f>
        <v>124757952.66063282</v>
      </c>
      <c r="J1524" s="479">
        <f t="shared" si="111"/>
        <v>251534473.52396598</v>
      </c>
      <c r="K1524" s="558">
        <f>'Progetto del paramento slu'!$G$60*(sezione!$AL$33-C1524)/C1524</f>
        <v>1.8749018454886638E-2</v>
      </c>
      <c r="L1524" s="558">
        <f>'Progetto del paramento slu'!$G$60*(sezione!$AM$33-C1524)/C1524</f>
        <v>7.9933819205824888E-2</v>
      </c>
      <c r="M1524" s="559">
        <f>'Progetto del paramento slu'!$G$60*(sezione!$AN$33-C1524)/C1524</f>
        <v>0.14111861995676314</v>
      </c>
      <c r="N1524" s="559">
        <f>'Progetto del paramento slu'!$G$60*(sezione!$AO$33-C1524)/C1524</f>
        <v>0.18561665686653644</v>
      </c>
      <c r="O1524" s="559">
        <f>'Progetto del paramento slu'!$G$60*(sezione!$AP$33-C1524)/C1524</f>
        <v>0.14112194928704866</v>
      </c>
      <c r="P1524" s="553">
        <f>-'Progetto del paramento slu'!$G$47*'Progetto del paramento slu'!$G$41*IF(DATI!$G$218="dx",DATI!$E$61,DATI!$E$64*DATI!$E$63)*1000*C1524*sezione!$AD$5</f>
        <v>-88697.153269993767</v>
      </c>
      <c r="Q1524" s="553">
        <f>'Foglio deposito bis'!$F$68*IF(ABS(K1524)&lt;'Progetto del paramento slu'!$G$58,ABS(K1524)*'Progetto del paramento slu'!$G$54,'Progetto del paramento slu'!$G$53)*IF(K1524&lt;0,-1,1)</f>
        <v>0</v>
      </c>
      <c r="R1524" s="553">
        <f>'Foglio deposito bis'!$F$69*IF(ABS(L1524)&lt;'Progetto del paramento slu'!$G$58,ABS(L1524)*'Progetto del paramento slu'!$G$54,'Progetto del paramento slu'!$G$53)*IF(L1524&lt;0,-1,1)</f>
        <v>153664.85805602249</v>
      </c>
      <c r="S1524" s="553">
        <f>'Foglio deposito bis'!$F$70*IF(ABS(M1524)&lt;'Progetto del paramento slu'!$G$58,ABS(M1524)*'Progetto del paramento slu'!$G$54,'Progetto del paramento slu'!$G$53)*IF(M1524&lt;0,-1,1)</f>
        <v>0</v>
      </c>
      <c r="T1524" s="553">
        <f>'Foglio deposito bis'!$F$71*IF(ABS(N1524)&lt;'Progetto del paramento slu'!$G$58,ABS(N1524)*'Progetto del paramento slu'!$G$54,'Progetto del paramento slu'!$G$53)*IF(N1524&lt;0,-1,1)</f>
        <v>314705.62929873407</v>
      </c>
      <c r="U1524" s="553">
        <f>'Foglio deposito bis'!$F$72*IF(ABS(O1524)&lt;'Progetto del paramento slu'!$G$58,ABS(O1524)*'Progetto del paramento slu'!$G$54,'Progetto del paramento slu'!$G$53)*IF(O1524&lt;0,-1,1)</f>
        <v>491727.54577927204</v>
      </c>
      <c r="V1524" s="479">
        <f t="shared" si="114"/>
        <v>871400.87986403483</v>
      </c>
      <c r="W1524" s="559"/>
      <c r="X1524" s="559"/>
    </row>
    <row r="1525" spans="1:24" x14ac:dyDescent="0.25">
      <c r="A1525" s="553">
        <f t="shared" si="113"/>
        <v>868539.68137145438</v>
      </c>
      <c r="B1525" s="3">
        <f t="shared" si="115"/>
        <v>1.6000000000000008</v>
      </c>
      <c r="C1525" s="553">
        <f>'Foglio deposito bis'!$E$159/sezione!$B$247*B1525</f>
        <v>6.495393463099826</v>
      </c>
      <c r="D1525" s="611">
        <f>-'Progetto del paramento slu'!$G$47*'Progetto del paramento slu'!$G$41*IF(DATI!$G$218="dx",DATI!$E$61,DATI!$E$64*DATI!$E$63)*1000*C1525^2*sezione!$AD$5*(1-sezione!$AD$6)</f>
        <v>-347309.19140599831</v>
      </c>
      <c r="E1525" s="553">
        <f>-'Foglio deposito bis'!$F$68*(C1525-sezione!$AL$33)*IF(ABS(K1525)&lt;'Progetto del paramento slu'!$G$58,ABS(K1525)*'Progetto del paramento slu'!$G$54,'Progetto del paramento slu'!$G$53)</f>
        <v>0</v>
      </c>
      <c r="F1525" s="553">
        <f>-'Foglio deposito bis'!$F$69*(C1525-sezione!$AM$33)*IF(ABS(L1525)&lt;'Progetto del paramento slu'!$G$58,ABS(L1525)*'Progetto del paramento slu'!$G$54,'Progetto del paramento slu'!$G$53)</f>
        <v>22051614.993878126</v>
      </c>
      <c r="G1525" s="553">
        <f>-'Foglio deposito bis'!$F$70*(C1525-sezione!$AN$33)*IF(ABS(M1525)&lt;'Progetto del paramento slu'!$G$58,ABS(M1525)*'Progetto del paramento slu'!$G$54,'Progetto del paramento slu'!$G$53)</f>
        <v>0</v>
      </c>
      <c r="H1525" s="553">
        <f>-'Foglio deposito bis'!$F$71*(C1525-sezione!$AO$33)*IF(ABS(N1525)&lt;'Progetto del paramento slu'!$G$58,ABS(N1525)*'Progetto del paramento slu'!$G$54,'Progetto del paramento slu'!$G$53)</f>
        <v>104955777.07422186</v>
      </c>
      <c r="I1525" s="479">
        <f>-'Foglio deposito bis'!$F$72*(C1525-sezione!$AP$33)*IF(ABS(O1525)&lt;'Progetto del paramento slu'!$G$58,ABS(O1525)*'Progetto del paramento slu'!$G$54,'Progetto del paramento slu'!$G$53)</f>
        <v>124658141.28918031</v>
      </c>
      <c r="J1525" s="479">
        <f t="shared" si="111"/>
        <v>251318224.1658743</v>
      </c>
      <c r="K1525" s="558">
        <f>'Progetto del paramento slu'!$G$60*(sezione!$AL$33-C1525)/C1525</f>
        <v>1.8053736628171432E-2</v>
      </c>
      <c r="L1525" s="558">
        <f>'Progetto del paramento slu'!$G$60*(sezione!$AM$33-C1525)/C1525</f>
        <v>7.7326512355642876E-2</v>
      </c>
      <c r="M1525" s="559">
        <f>'Progetto del paramento slu'!$G$60*(sezione!$AN$33-C1525)/C1525</f>
        <v>0.13659928808311431</v>
      </c>
      <c r="N1525" s="559">
        <f>'Progetto del paramento slu'!$G$60*(sezione!$AO$33-C1525)/C1525</f>
        <v>0.17970676133945715</v>
      </c>
      <c r="O1525" s="559">
        <f>'Progetto del paramento slu'!$G$60*(sezione!$AP$33-C1525)/C1525</f>
        <v>0.13660251337182841</v>
      </c>
      <c r="P1525" s="553">
        <f>-'Progetto del paramento slu'!$G$47*'Progetto del paramento slu'!$G$41*IF(DATI!$G$218="dx",DATI!$E$61,DATI!$E$64*DATI!$E$63)*1000*C1525*sezione!$AD$5</f>
        <v>-91558.35176257421</v>
      </c>
      <c r="Q1525" s="553">
        <f>'Foglio deposito bis'!$F$68*IF(ABS(K1525)&lt;'Progetto del paramento slu'!$G$58,ABS(K1525)*'Progetto del paramento slu'!$G$54,'Progetto del paramento slu'!$G$53)*IF(K1525&lt;0,-1,1)</f>
        <v>0</v>
      </c>
      <c r="R1525" s="553">
        <f>'Foglio deposito bis'!$F$69*IF(ABS(L1525)&lt;'Progetto del paramento slu'!$G$58,ABS(L1525)*'Progetto del paramento slu'!$G$54,'Progetto del paramento slu'!$G$53)*IF(L1525&lt;0,-1,1)</f>
        <v>153664.85805602249</v>
      </c>
      <c r="S1525" s="553">
        <f>'Foglio deposito bis'!$F$70*IF(ABS(M1525)&lt;'Progetto del paramento slu'!$G$58,ABS(M1525)*'Progetto del paramento slu'!$G$54,'Progetto del paramento slu'!$G$53)*IF(M1525&lt;0,-1,1)</f>
        <v>0</v>
      </c>
      <c r="T1525" s="553">
        <f>'Foglio deposito bis'!$F$71*IF(ABS(N1525)&lt;'Progetto del paramento slu'!$G$58,ABS(N1525)*'Progetto del paramento slu'!$G$54,'Progetto del paramento slu'!$G$53)*IF(N1525&lt;0,-1,1)</f>
        <v>314705.62929873407</v>
      </c>
      <c r="U1525" s="553">
        <f>'Foglio deposito bis'!$F$72*IF(ABS(O1525)&lt;'Progetto del paramento slu'!$G$58,ABS(O1525)*'Progetto del paramento slu'!$G$54,'Progetto del paramento slu'!$G$53)*IF(O1525&lt;0,-1,1)</f>
        <v>491727.54577927204</v>
      </c>
      <c r="V1525" s="479">
        <f t="shared" si="114"/>
        <v>868539.68137145438</v>
      </c>
      <c r="W1525" s="559"/>
      <c r="X1525" s="559"/>
    </row>
    <row r="1526" spans="1:24" x14ac:dyDescent="0.25">
      <c r="A1526" s="553">
        <f t="shared" si="113"/>
        <v>865678.48287887394</v>
      </c>
      <c r="B1526" s="3">
        <f t="shared" si="115"/>
        <v>1.6500000000000008</v>
      </c>
      <c r="C1526" s="553">
        <f>'Foglio deposito bis'!$E$159/sezione!$B$247*B1526</f>
        <v>6.6983745088216962</v>
      </c>
      <c r="D1526" s="611">
        <f>-'Progetto del paramento slu'!$G$47*'Progetto del paramento slu'!$G$41*IF(DATI!$G$218="dx",DATI!$E$61,DATI!$E$64*DATI!$E$63)*1000*C1526^2*sezione!$AD$5*(1-sezione!$AD$6)</f>
        <v>-369355.18500110565</v>
      </c>
      <c r="E1526" s="553">
        <f>-'Foglio deposito bis'!$F$68*(C1526-sezione!$AL$33)*IF(ABS(K1526)&lt;'Progetto del paramento slu'!$G$58,ABS(K1526)*'Progetto del paramento slu'!$G$54,'Progetto del paramento slu'!$G$53)</f>
        <v>0</v>
      </c>
      <c r="F1526" s="553">
        <f>-'Foglio deposito bis'!$F$69*(C1526-sezione!$AM$33)*IF(ABS(L1526)&lt;'Progetto del paramento slu'!$G$58,ABS(L1526)*'Progetto del paramento slu'!$G$54,'Progetto del paramento slu'!$G$53)</f>
        <v>22020423.940299209</v>
      </c>
      <c r="G1526" s="553">
        <f>-'Foglio deposito bis'!$F$70*(C1526-sezione!$AN$33)*IF(ABS(M1526)&lt;'Progetto del paramento slu'!$G$58,ABS(M1526)*'Progetto del paramento slu'!$G$54,'Progetto del paramento slu'!$G$53)</f>
        <v>0</v>
      </c>
      <c r="H1526" s="553">
        <f>-'Foglio deposito bis'!$F$71*(C1526-sezione!$AO$33)*IF(ABS(N1526)&lt;'Progetto del paramento slu'!$G$58,ABS(N1526)*'Progetto del paramento slu'!$G$54,'Progetto del paramento slu'!$G$53)</f>
        <v>104891897.79649226</v>
      </c>
      <c r="I1526" s="479">
        <f>-'Foglio deposito bis'!$F$72*(C1526-sezione!$AP$33)*IF(ABS(O1526)&lt;'Progetto del paramento slu'!$G$58,ABS(O1526)*'Progetto del paramento slu'!$G$54,'Progetto del paramento slu'!$G$53)</f>
        <v>124558329.91772777</v>
      </c>
      <c r="J1526" s="479">
        <f t="shared" si="111"/>
        <v>251101296.46951813</v>
      </c>
      <c r="K1526" s="558">
        <f>'Progetto del paramento slu'!$G$60*(sezione!$AL$33-C1526)/C1526</f>
        <v>1.7400593093984416E-2</v>
      </c>
      <c r="L1526" s="558">
        <f>'Progetto del paramento slu'!$G$60*(sezione!$AM$33-C1526)/C1526</f>
        <v>7.4877224102441561E-2</v>
      </c>
      <c r="M1526" s="559">
        <f>'Progetto del paramento slu'!$G$60*(sezione!$AN$33-C1526)/C1526</f>
        <v>0.1323538551108987</v>
      </c>
      <c r="N1526" s="559">
        <f>'Progetto del paramento slu'!$G$60*(sezione!$AO$33-C1526)/C1526</f>
        <v>0.17415504129886752</v>
      </c>
      <c r="O1526" s="559">
        <f>'Progetto del paramento slu'!$G$60*(sezione!$AP$33-C1526)/C1526</f>
        <v>0.13235698266359117</v>
      </c>
      <c r="P1526" s="553">
        <f>-'Progetto del paramento slu'!$G$47*'Progetto del paramento slu'!$G$41*IF(DATI!$G$218="dx",DATI!$E$61,DATI!$E$64*DATI!$E$63)*1000*C1526*sezione!$AD$5</f>
        <v>-94419.550255154667</v>
      </c>
      <c r="Q1526" s="553">
        <f>'Foglio deposito bis'!$F$68*IF(ABS(K1526)&lt;'Progetto del paramento slu'!$G$58,ABS(K1526)*'Progetto del paramento slu'!$G$54,'Progetto del paramento slu'!$G$53)*IF(K1526&lt;0,-1,1)</f>
        <v>0</v>
      </c>
      <c r="R1526" s="553">
        <f>'Foglio deposito bis'!$F$69*IF(ABS(L1526)&lt;'Progetto del paramento slu'!$G$58,ABS(L1526)*'Progetto del paramento slu'!$G$54,'Progetto del paramento slu'!$G$53)*IF(L1526&lt;0,-1,1)</f>
        <v>153664.85805602249</v>
      </c>
      <c r="S1526" s="553">
        <f>'Foglio deposito bis'!$F$70*IF(ABS(M1526)&lt;'Progetto del paramento slu'!$G$58,ABS(M1526)*'Progetto del paramento slu'!$G$54,'Progetto del paramento slu'!$G$53)*IF(M1526&lt;0,-1,1)</f>
        <v>0</v>
      </c>
      <c r="T1526" s="553">
        <f>'Foglio deposito bis'!$F$71*IF(ABS(N1526)&lt;'Progetto del paramento slu'!$G$58,ABS(N1526)*'Progetto del paramento slu'!$G$54,'Progetto del paramento slu'!$G$53)*IF(N1526&lt;0,-1,1)</f>
        <v>314705.62929873407</v>
      </c>
      <c r="U1526" s="553">
        <f>'Foglio deposito bis'!$F$72*IF(ABS(O1526)&lt;'Progetto del paramento slu'!$G$58,ABS(O1526)*'Progetto del paramento slu'!$G$54,'Progetto del paramento slu'!$G$53)*IF(O1526&lt;0,-1,1)</f>
        <v>491727.54577927204</v>
      </c>
      <c r="V1526" s="479">
        <f t="shared" si="114"/>
        <v>865678.48287887394</v>
      </c>
      <c r="W1526" s="559"/>
      <c r="X1526" s="559"/>
    </row>
    <row r="1527" spans="1:24" x14ac:dyDescent="0.25">
      <c r="A1527" s="553">
        <f t="shared" si="113"/>
        <v>862817.2843862935</v>
      </c>
      <c r="B1527" s="3">
        <f t="shared" si="115"/>
        <v>1.7000000000000008</v>
      </c>
      <c r="C1527" s="553">
        <f>'Foglio deposito bis'!$E$159/sezione!$B$247*B1527</f>
        <v>6.9013555545435654</v>
      </c>
      <c r="D1527" s="611">
        <f>-'Progetto del paramento slu'!$G$47*'Progetto del paramento slu'!$G$41*IF(DATI!$G$218="dx",DATI!$E$61,DATI!$E$64*DATI!$E$63)*1000*C1527^2*sezione!$AD$5*(1-sezione!$AD$6)</f>
        <v>-392079.5168606778</v>
      </c>
      <c r="E1527" s="553">
        <f>-'Foglio deposito bis'!$F$68*(C1527-sezione!$AL$33)*IF(ABS(K1527)&lt;'Progetto del paramento slu'!$G$58,ABS(K1527)*'Progetto del paramento slu'!$G$54,'Progetto del paramento slu'!$G$53)</f>
        <v>0</v>
      </c>
      <c r="F1527" s="553">
        <f>-'Foglio deposito bis'!$F$69*(C1527-sezione!$AM$33)*IF(ABS(L1527)&lt;'Progetto del paramento slu'!$G$58,ABS(L1527)*'Progetto del paramento slu'!$G$54,'Progetto del paramento slu'!$G$53)</f>
        <v>21989232.886720296</v>
      </c>
      <c r="G1527" s="553">
        <f>-'Foglio deposito bis'!$F$70*(C1527-sezione!$AN$33)*IF(ABS(M1527)&lt;'Progetto del paramento slu'!$G$58,ABS(M1527)*'Progetto del paramento slu'!$G$54,'Progetto del paramento slu'!$G$53)</f>
        <v>0</v>
      </c>
      <c r="H1527" s="553">
        <f>-'Foglio deposito bis'!$F$71*(C1527-sezione!$AO$33)*IF(ABS(N1527)&lt;'Progetto del paramento slu'!$G$58,ABS(N1527)*'Progetto del paramento slu'!$G$54,'Progetto del paramento slu'!$G$53)</f>
        <v>104828018.51876265</v>
      </c>
      <c r="I1527" s="479">
        <f>-'Foglio deposito bis'!$F$72*(C1527-sezione!$AP$33)*IF(ABS(O1527)&lt;'Progetto del paramento slu'!$G$58,ABS(O1527)*'Progetto del paramento slu'!$G$54,'Progetto del paramento slu'!$G$53)</f>
        <v>124458518.54627526</v>
      </c>
      <c r="J1527" s="479">
        <f t="shared" si="111"/>
        <v>250883690.43489754</v>
      </c>
      <c r="K1527" s="558">
        <f>'Progetto del paramento slu'!$G$60*(sezione!$AL$33-C1527)/C1527</f>
        <v>1.678586976769076E-2</v>
      </c>
      <c r="L1527" s="558">
        <f>'Progetto del paramento slu'!$G$60*(sezione!$AM$33-C1527)/C1527</f>
        <v>7.2572011628840347E-2</v>
      </c>
      <c r="M1527" s="559">
        <f>'Progetto del paramento slu'!$G$60*(sezione!$AN$33-C1527)/C1527</f>
        <v>0.12835815348998994</v>
      </c>
      <c r="N1527" s="559">
        <f>'Progetto del paramento slu'!$G$60*(sezione!$AO$33-C1527)/C1527</f>
        <v>0.16892989302537148</v>
      </c>
      <c r="O1527" s="559">
        <f>'Progetto del paramento slu'!$G$60*(sezione!$AP$33-C1527)/C1527</f>
        <v>0.12836118905583851</v>
      </c>
      <c r="P1527" s="553">
        <f>-'Progetto del paramento slu'!$G$47*'Progetto del paramento slu'!$G$41*IF(DATI!$G$218="dx",DATI!$E$61,DATI!$E$64*DATI!$E$63)*1000*C1527*sezione!$AD$5</f>
        <v>-97280.74874773511</v>
      </c>
      <c r="Q1527" s="553">
        <f>'Foglio deposito bis'!$F$68*IF(ABS(K1527)&lt;'Progetto del paramento slu'!$G$58,ABS(K1527)*'Progetto del paramento slu'!$G$54,'Progetto del paramento slu'!$G$53)*IF(K1527&lt;0,-1,1)</f>
        <v>0</v>
      </c>
      <c r="R1527" s="553">
        <f>'Foglio deposito bis'!$F$69*IF(ABS(L1527)&lt;'Progetto del paramento slu'!$G$58,ABS(L1527)*'Progetto del paramento slu'!$G$54,'Progetto del paramento slu'!$G$53)*IF(L1527&lt;0,-1,1)</f>
        <v>153664.85805602249</v>
      </c>
      <c r="S1527" s="553">
        <f>'Foglio deposito bis'!$F$70*IF(ABS(M1527)&lt;'Progetto del paramento slu'!$G$58,ABS(M1527)*'Progetto del paramento slu'!$G$54,'Progetto del paramento slu'!$G$53)*IF(M1527&lt;0,-1,1)</f>
        <v>0</v>
      </c>
      <c r="T1527" s="553">
        <f>'Foglio deposito bis'!$F$71*IF(ABS(N1527)&lt;'Progetto del paramento slu'!$G$58,ABS(N1527)*'Progetto del paramento slu'!$G$54,'Progetto del paramento slu'!$G$53)*IF(N1527&lt;0,-1,1)</f>
        <v>314705.62929873407</v>
      </c>
      <c r="U1527" s="553">
        <f>'Foglio deposito bis'!$F$72*IF(ABS(O1527)&lt;'Progetto del paramento slu'!$G$58,ABS(O1527)*'Progetto del paramento slu'!$G$54,'Progetto del paramento slu'!$G$53)*IF(O1527&lt;0,-1,1)</f>
        <v>491727.54577927204</v>
      </c>
      <c r="V1527" s="479">
        <f t="shared" si="114"/>
        <v>862817.2843862935</v>
      </c>
      <c r="W1527" s="559"/>
      <c r="X1527" s="559"/>
    </row>
    <row r="1528" spans="1:24" x14ac:dyDescent="0.25">
      <c r="A1528" s="553">
        <f t="shared" si="113"/>
        <v>859956.08589371305</v>
      </c>
      <c r="B1528" s="3">
        <f t="shared" si="115"/>
        <v>1.7500000000000009</v>
      </c>
      <c r="C1528" s="553">
        <f>'Foglio deposito bis'!$E$159/sezione!$B$247*B1528</f>
        <v>7.1043366002654356</v>
      </c>
      <c r="D1528" s="611">
        <f>-'Progetto del paramento slu'!$G$47*'Progetto del paramento slu'!$G$41*IF(DATI!$G$218="dx",DATI!$E$61,DATI!$E$64*DATI!$E$63)*1000*C1528^2*sezione!$AD$5*(1-sezione!$AD$6)</f>
        <v>-415482.18698471488</v>
      </c>
      <c r="E1528" s="553">
        <f>-'Foglio deposito bis'!$F$68*(C1528-sezione!$AL$33)*IF(ABS(K1528)&lt;'Progetto del paramento slu'!$G$58,ABS(K1528)*'Progetto del paramento slu'!$G$54,'Progetto del paramento slu'!$G$53)</f>
        <v>0</v>
      </c>
      <c r="F1528" s="553">
        <f>-'Foglio deposito bis'!$F$69*(C1528-sezione!$AM$33)*IF(ABS(L1528)&lt;'Progetto del paramento slu'!$G$58,ABS(L1528)*'Progetto del paramento slu'!$G$54,'Progetto del paramento slu'!$G$53)</f>
        <v>21958041.833141379</v>
      </c>
      <c r="G1528" s="553">
        <f>-'Foglio deposito bis'!$F$70*(C1528-sezione!$AN$33)*IF(ABS(M1528)&lt;'Progetto del paramento slu'!$G$58,ABS(M1528)*'Progetto del paramento slu'!$G$54,'Progetto del paramento slu'!$G$53)</f>
        <v>0</v>
      </c>
      <c r="H1528" s="553">
        <f>-'Foglio deposito bis'!$F$71*(C1528-sezione!$AO$33)*IF(ABS(N1528)&lt;'Progetto del paramento slu'!$G$58,ABS(N1528)*'Progetto del paramento slu'!$G$54,'Progetto del paramento slu'!$G$53)</f>
        <v>104764139.24103303</v>
      </c>
      <c r="I1528" s="479">
        <f>-'Foglio deposito bis'!$F$72*(C1528-sezione!$AP$33)*IF(ABS(O1528)&lt;'Progetto del paramento slu'!$G$58,ABS(O1528)*'Progetto del paramento slu'!$G$54,'Progetto del paramento slu'!$G$53)</f>
        <v>124358707.17482273</v>
      </c>
      <c r="J1528" s="479">
        <f t="shared" si="111"/>
        <v>250665406.06201243</v>
      </c>
      <c r="K1528" s="558">
        <f>'Progetto del paramento slu'!$G$60*(sezione!$AL$33-C1528)/C1528</f>
        <v>1.6206273488613879E-2</v>
      </c>
      <c r="L1528" s="558">
        <f>'Progetto del paramento slu'!$G$60*(sezione!$AM$33-C1528)/C1528</f>
        <v>7.0398525582302043E-2</v>
      </c>
      <c r="M1528" s="559">
        <f>'Progetto del paramento slu'!$G$60*(sezione!$AN$33-C1528)/C1528</f>
        <v>0.12459077767599021</v>
      </c>
      <c r="N1528" s="559">
        <f>'Progetto del paramento slu'!$G$60*(sezione!$AO$33-C1528)/C1528</f>
        <v>0.16400332465321799</v>
      </c>
      <c r="O1528" s="559">
        <f>'Progetto del paramento slu'!$G$60*(sezione!$AP$33-C1528)/C1528</f>
        <v>0.12459372651138595</v>
      </c>
      <c r="P1528" s="553">
        <f>-'Progetto del paramento slu'!$G$47*'Progetto del paramento slu'!$G$41*IF(DATI!$G$218="dx",DATI!$E$61,DATI!$E$64*DATI!$E$63)*1000*C1528*sezione!$AD$5</f>
        <v>-100141.94724031555</v>
      </c>
      <c r="Q1528" s="553">
        <f>'Foglio deposito bis'!$F$68*IF(ABS(K1528)&lt;'Progetto del paramento slu'!$G$58,ABS(K1528)*'Progetto del paramento slu'!$G$54,'Progetto del paramento slu'!$G$53)*IF(K1528&lt;0,-1,1)</f>
        <v>0</v>
      </c>
      <c r="R1528" s="553">
        <f>'Foglio deposito bis'!$F$69*IF(ABS(L1528)&lt;'Progetto del paramento slu'!$G$58,ABS(L1528)*'Progetto del paramento slu'!$G$54,'Progetto del paramento slu'!$G$53)*IF(L1528&lt;0,-1,1)</f>
        <v>153664.85805602249</v>
      </c>
      <c r="S1528" s="553">
        <f>'Foglio deposito bis'!$F$70*IF(ABS(M1528)&lt;'Progetto del paramento slu'!$G$58,ABS(M1528)*'Progetto del paramento slu'!$G$54,'Progetto del paramento slu'!$G$53)*IF(M1528&lt;0,-1,1)</f>
        <v>0</v>
      </c>
      <c r="T1528" s="553">
        <f>'Foglio deposito bis'!$F$71*IF(ABS(N1528)&lt;'Progetto del paramento slu'!$G$58,ABS(N1528)*'Progetto del paramento slu'!$G$54,'Progetto del paramento slu'!$G$53)*IF(N1528&lt;0,-1,1)</f>
        <v>314705.62929873407</v>
      </c>
      <c r="U1528" s="553">
        <f>'Foglio deposito bis'!$F$72*IF(ABS(O1528)&lt;'Progetto del paramento slu'!$G$58,ABS(O1528)*'Progetto del paramento slu'!$G$54,'Progetto del paramento slu'!$G$53)*IF(O1528&lt;0,-1,1)</f>
        <v>491727.54577927204</v>
      </c>
      <c r="V1528" s="479">
        <f t="shared" si="114"/>
        <v>859956.08589371305</v>
      </c>
      <c r="W1528" s="559"/>
      <c r="X1528" s="559"/>
    </row>
    <row r="1529" spans="1:24" x14ac:dyDescent="0.25">
      <c r="A1529" s="553">
        <f t="shared" si="113"/>
        <v>857094.88740113261</v>
      </c>
      <c r="B1529" s="3">
        <f t="shared" si="115"/>
        <v>1.8000000000000009</v>
      </c>
      <c r="C1529" s="553">
        <f>'Foglio deposito bis'!$E$159/sezione!$B$247*B1529</f>
        <v>7.3073176459873048</v>
      </c>
      <c r="D1529" s="611">
        <f>-'Progetto del paramento slu'!$G$47*'Progetto del paramento slu'!$G$41*IF(DATI!$G$218="dx",DATI!$E$61,DATI!$E$64*DATI!$E$63)*1000*C1529^2*sezione!$AD$5*(1-sezione!$AD$6)</f>
        <v>-439563.1953732167</v>
      </c>
      <c r="E1529" s="553">
        <f>-'Foglio deposito bis'!$F$68*(C1529-sezione!$AL$33)*IF(ABS(K1529)&lt;'Progetto del paramento slu'!$G$58,ABS(K1529)*'Progetto del paramento slu'!$G$54,'Progetto del paramento slu'!$G$53)</f>
        <v>0</v>
      </c>
      <c r="F1529" s="553">
        <f>-'Foglio deposito bis'!$F$69*(C1529-sezione!$AM$33)*IF(ABS(L1529)&lt;'Progetto del paramento slu'!$G$58,ABS(L1529)*'Progetto del paramento slu'!$G$54,'Progetto del paramento slu'!$G$53)</f>
        <v>21926850.77956247</v>
      </c>
      <c r="G1529" s="553">
        <f>-'Foglio deposito bis'!$F$70*(C1529-sezione!$AN$33)*IF(ABS(M1529)&lt;'Progetto del paramento slu'!$G$58,ABS(M1529)*'Progetto del paramento slu'!$G$54,'Progetto del paramento slu'!$G$53)</f>
        <v>0</v>
      </c>
      <c r="H1529" s="553">
        <f>-'Foglio deposito bis'!$F$71*(C1529-sezione!$AO$33)*IF(ABS(N1529)&lt;'Progetto del paramento slu'!$G$58,ABS(N1529)*'Progetto del paramento slu'!$G$54,'Progetto del paramento slu'!$G$53)</f>
        <v>104700259.9633034</v>
      </c>
      <c r="I1529" s="479">
        <f>-'Foglio deposito bis'!$F$72*(C1529-sezione!$AP$33)*IF(ABS(O1529)&lt;'Progetto del paramento slu'!$G$58,ABS(O1529)*'Progetto del paramento slu'!$G$54,'Progetto del paramento slu'!$G$53)</f>
        <v>124258895.80337019</v>
      </c>
      <c r="J1529" s="479">
        <f t="shared" si="111"/>
        <v>250446443.35086286</v>
      </c>
      <c r="K1529" s="558">
        <f>'Progetto del paramento slu'!$G$60*(sezione!$AL$33-C1529)/C1529</f>
        <v>1.5658877002819049E-2</v>
      </c>
      <c r="L1529" s="558">
        <f>'Progetto del paramento slu'!$G$60*(sezione!$AM$33-C1529)/C1529</f>
        <v>6.834578876057143E-2</v>
      </c>
      <c r="M1529" s="559">
        <f>'Progetto del paramento slu'!$G$60*(sezione!$AN$33-C1529)/C1529</f>
        <v>0.12103270051832382</v>
      </c>
      <c r="N1529" s="559">
        <f>'Progetto del paramento slu'!$G$60*(sezione!$AO$33-C1529)/C1529</f>
        <v>0.1593504545239619</v>
      </c>
      <c r="O1529" s="559">
        <f>'Progetto del paramento slu'!$G$60*(sezione!$AP$33-C1529)/C1529</f>
        <v>0.12103556744162525</v>
      </c>
      <c r="P1529" s="553">
        <f>-'Progetto del paramento slu'!$G$47*'Progetto del paramento slu'!$G$41*IF(DATI!$G$218="dx",DATI!$E$61,DATI!$E$64*DATI!$E$63)*1000*C1529*sezione!$AD$5</f>
        <v>-103003.145732896</v>
      </c>
      <c r="Q1529" s="553">
        <f>'Foglio deposito bis'!$F$68*IF(ABS(K1529)&lt;'Progetto del paramento slu'!$G$58,ABS(K1529)*'Progetto del paramento slu'!$G$54,'Progetto del paramento slu'!$G$53)*IF(K1529&lt;0,-1,1)</f>
        <v>0</v>
      </c>
      <c r="R1529" s="553">
        <f>'Foglio deposito bis'!$F$69*IF(ABS(L1529)&lt;'Progetto del paramento slu'!$G$58,ABS(L1529)*'Progetto del paramento slu'!$G$54,'Progetto del paramento slu'!$G$53)*IF(L1529&lt;0,-1,1)</f>
        <v>153664.85805602249</v>
      </c>
      <c r="S1529" s="553">
        <f>'Foglio deposito bis'!$F$70*IF(ABS(M1529)&lt;'Progetto del paramento slu'!$G$58,ABS(M1529)*'Progetto del paramento slu'!$G$54,'Progetto del paramento slu'!$G$53)*IF(M1529&lt;0,-1,1)</f>
        <v>0</v>
      </c>
      <c r="T1529" s="553">
        <f>'Foglio deposito bis'!$F$71*IF(ABS(N1529)&lt;'Progetto del paramento slu'!$G$58,ABS(N1529)*'Progetto del paramento slu'!$G$54,'Progetto del paramento slu'!$G$53)*IF(N1529&lt;0,-1,1)</f>
        <v>314705.62929873407</v>
      </c>
      <c r="U1529" s="553">
        <f>'Foglio deposito bis'!$F$72*IF(ABS(O1529)&lt;'Progetto del paramento slu'!$G$58,ABS(O1529)*'Progetto del paramento slu'!$G$54,'Progetto del paramento slu'!$G$53)*IF(O1529&lt;0,-1,1)</f>
        <v>491727.54577927204</v>
      </c>
      <c r="V1529" s="479">
        <f t="shared" si="114"/>
        <v>857094.88740113261</v>
      </c>
      <c r="W1529" s="559"/>
      <c r="X1529" s="559"/>
    </row>
    <row r="1530" spans="1:24" x14ac:dyDescent="0.25">
      <c r="A1530" s="553">
        <f t="shared" si="113"/>
        <v>854233.68890855217</v>
      </c>
      <c r="B1530" s="3">
        <f t="shared" si="115"/>
        <v>1.850000000000001</v>
      </c>
      <c r="C1530" s="553">
        <f>'Foglio deposito bis'!$E$159/sezione!$B$247*B1530</f>
        <v>7.510298691709175</v>
      </c>
      <c r="D1530" s="611">
        <f>-'Progetto del paramento slu'!$G$47*'Progetto del paramento slu'!$G$41*IF(DATI!$G$218="dx",DATI!$E$61,DATI!$E$64*DATI!$E$63)*1000*C1530^2*sezione!$AD$5*(1-sezione!$AD$6)</f>
        <v>-464322.54202618345</v>
      </c>
      <c r="E1530" s="553">
        <f>-'Foglio deposito bis'!$F$68*(C1530-sezione!$AL$33)*IF(ABS(K1530)&lt;'Progetto del paramento slu'!$G$58,ABS(K1530)*'Progetto del paramento slu'!$G$54,'Progetto del paramento slu'!$G$53)</f>
        <v>0</v>
      </c>
      <c r="F1530" s="553">
        <f>-'Foglio deposito bis'!$F$69*(C1530-sezione!$AM$33)*IF(ABS(L1530)&lt;'Progetto del paramento slu'!$G$58,ABS(L1530)*'Progetto del paramento slu'!$G$54,'Progetto del paramento slu'!$G$53)</f>
        <v>21895659.725983553</v>
      </c>
      <c r="G1530" s="553">
        <f>-'Foglio deposito bis'!$F$70*(C1530-sezione!$AN$33)*IF(ABS(M1530)&lt;'Progetto del paramento slu'!$G$58,ABS(M1530)*'Progetto del paramento slu'!$G$54,'Progetto del paramento slu'!$G$53)</f>
        <v>0</v>
      </c>
      <c r="H1530" s="553">
        <f>-'Foglio deposito bis'!$F$71*(C1530-sezione!$AO$33)*IF(ABS(N1530)&lt;'Progetto del paramento slu'!$G$58,ABS(N1530)*'Progetto del paramento slu'!$G$54,'Progetto del paramento slu'!$G$53)</f>
        <v>104636380.6855738</v>
      </c>
      <c r="I1530" s="479">
        <f>-'Foglio deposito bis'!$F$72*(C1530-sezione!$AP$33)*IF(ABS(O1530)&lt;'Progetto del paramento slu'!$G$58,ABS(O1530)*'Progetto del paramento slu'!$G$54,'Progetto del paramento slu'!$G$53)</f>
        <v>124159084.43191768</v>
      </c>
      <c r="J1530" s="479">
        <f t="shared" si="111"/>
        <v>250226802.30144885</v>
      </c>
      <c r="K1530" s="558">
        <f>'Progetto del paramento slu'!$G$60*(sezione!$AL$33-C1530)/C1530</f>
        <v>1.5141069516256371E-2</v>
      </c>
      <c r="L1530" s="558">
        <f>'Progetto del paramento slu'!$G$60*(sezione!$AM$33-C1530)/C1530</f>
        <v>6.6404010685961384E-2</v>
      </c>
      <c r="M1530" s="559">
        <f>'Progetto del paramento slu'!$G$60*(sezione!$AN$33-C1530)/C1530</f>
        <v>0.1176669518556664</v>
      </c>
      <c r="N1530" s="559">
        <f>'Progetto del paramento slu'!$G$60*(sezione!$AO$33-C1530)/C1530</f>
        <v>0.15494909088817913</v>
      </c>
      <c r="O1530" s="559">
        <f>'Progetto del paramento slu'!$G$60*(sezione!$AP$33-C1530)/C1530</f>
        <v>0.11766974129455428</v>
      </c>
      <c r="P1530" s="553">
        <f>-'Progetto del paramento slu'!$G$47*'Progetto del paramento slu'!$G$41*IF(DATI!$G$218="dx",DATI!$E$61,DATI!$E$64*DATI!$E$63)*1000*C1530*sezione!$AD$5</f>
        <v>-105864.34422547644</v>
      </c>
      <c r="Q1530" s="553">
        <f>'Foglio deposito bis'!$F$68*IF(ABS(K1530)&lt;'Progetto del paramento slu'!$G$58,ABS(K1530)*'Progetto del paramento slu'!$G$54,'Progetto del paramento slu'!$G$53)*IF(K1530&lt;0,-1,1)</f>
        <v>0</v>
      </c>
      <c r="R1530" s="553">
        <f>'Foglio deposito bis'!$F$69*IF(ABS(L1530)&lt;'Progetto del paramento slu'!$G$58,ABS(L1530)*'Progetto del paramento slu'!$G$54,'Progetto del paramento slu'!$G$53)*IF(L1530&lt;0,-1,1)</f>
        <v>153664.85805602249</v>
      </c>
      <c r="S1530" s="553">
        <f>'Foglio deposito bis'!$F$70*IF(ABS(M1530)&lt;'Progetto del paramento slu'!$G$58,ABS(M1530)*'Progetto del paramento slu'!$G$54,'Progetto del paramento slu'!$G$53)*IF(M1530&lt;0,-1,1)</f>
        <v>0</v>
      </c>
      <c r="T1530" s="553">
        <f>'Foglio deposito bis'!$F$71*IF(ABS(N1530)&lt;'Progetto del paramento slu'!$G$58,ABS(N1530)*'Progetto del paramento slu'!$G$54,'Progetto del paramento slu'!$G$53)*IF(N1530&lt;0,-1,1)</f>
        <v>314705.62929873407</v>
      </c>
      <c r="U1530" s="553">
        <f>'Foglio deposito bis'!$F$72*IF(ABS(O1530)&lt;'Progetto del paramento slu'!$G$58,ABS(O1530)*'Progetto del paramento slu'!$G$54,'Progetto del paramento slu'!$G$53)*IF(O1530&lt;0,-1,1)</f>
        <v>491727.54577927204</v>
      </c>
      <c r="V1530" s="479">
        <f t="shared" si="114"/>
        <v>854233.68890855217</v>
      </c>
      <c r="W1530" s="559"/>
      <c r="X1530" s="559"/>
    </row>
    <row r="1531" spans="1:24" x14ac:dyDescent="0.25">
      <c r="A1531" s="553">
        <f t="shared" si="113"/>
        <v>851372.49041597173</v>
      </c>
      <c r="B1531" s="3">
        <f t="shared" si="115"/>
        <v>1.900000000000001</v>
      </c>
      <c r="C1531" s="553">
        <f>'Foglio deposito bis'!$E$159/sezione!$B$247*B1531</f>
        <v>7.7132797374310442</v>
      </c>
      <c r="D1531" s="611">
        <f>-'Progetto del paramento slu'!$G$47*'Progetto del paramento slu'!$G$41*IF(DATI!$G$218="dx",DATI!$E$61,DATI!$E$64*DATI!$E$63)*1000*C1531^2*sezione!$AD$5*(1-sezione!$AD$6)</f>
        <v>-489760.22694361489</v>
      </c>
      <c r="E1531" s="553">
        <f>-'Foglio deposito bis'!$F$68*(C1531-sezione!$AL$33)*IF(ABS(K1531)&lt;'Progetto del paramento slu'!$G$58,ABS(K1531)*'Progetto del paramento slu'!$G$54,'Progetto del paramento slu'!$G$53)</f>
        <v>0</v>
      </c>
      <c r="F1531" s="553">
        <f>-'Foglio deposito bis'!$F$69*(C1531-sezione!$AM$33)*IF(ABS(L1531)&lt;'Progetto del paramento slu'!$G$58,ABS(L1531)*'Progetto del paramento slu'!$G$54,'Progetto del paramento slu'!$G$53)</f>
        <v>21864468.672404639</v>
      </c>
      <c r="G1531" s="553">
        <f>-'Foglio deposito bis'!$F$70*(C1531-sezione!$AN$33)*IF(ABS(M1531)&lt;'Progetto del paramento slu'!$G$58,ABS(M1531)*'Progetto del paramento slu'!$G$54,'Progetto del paramento slu'!$G$53)</f>
        <v>0</v>
      </c>
      <c r="H1531" s="553">
        <f>-'Foglio deposito bis'!$F$71*(C1531-sezione!$AO$33)*IF(ABS(N1531)&lt;'Progetto del paramento slu'!$G$58,ABS(N1531)*'Progetto del paramento slu'!$G$54,'Progetto del paramento slu'!$G$53)</f>
        <v>104572501.40784419</v>
      </c>
      <c r="I1531" s="479">
        <f>-'Foglio deposito bis'!$F$72*(C1531-sezione!$AP$33)*IF(ABS(O1531)&lt;'Progetto del paramento slu'!$G$58,ABS(O1531)*'Progetto del paramento slu'!$G$54,'Progetto del paramento slu'!$G$53)</f>
        <v>124059273.06046514</v>
      </c>
      <c r="J1531" s="479">
        <f t="shared" si="111"/>
        <v>250006482.91377035</v>
      </c>
      <c r="K1531" s="558">
        <f>'Progetto del paramento slu'!$G$60*(sezione!$AL$33-C1531)/C1531</f>
        <v>1.4650515055302257E-2</v>
      </c>
      <c r="L1531" s="558">
        <f>'Progetto del paramento slu'!$G$60*(sezione!$AM$33-C1531)/C1531</f>
        <v>6.4564431457383456E-2</v>
      </c>
      <c r="M1531" s="559">
        <f>'Progetto del paramento slu'!$G$60*(sezione!$AN$33-C1531)/C1531</f>
        <v>0.11447834785946466</v>
      </c>
      <c r="N1531" s="559">
        <f>'Progetto del paramento slu'!$G$60*(sezione!$AO$33-C1531)/C1531</f>
        <v>0.15077937797006916</v>
      </c>
      <c r="O1531" s="559">
        <f>'Progetto del paramento slu'!$G$60*(sezione!$AP$33-C1531)/C1531</f>
        <v>0.11448106389206601</v>
      </c>
      <c r="P1531" s="553">
        <f>-'Progetto del paramento slu'!$G$47*'Progetto del paramento slu'!$G$41*IF(DATI!$G$218="dx",DATI!$E$61,DATI!$E$64*DATI!$E$63)*1000*C1531*sezione!$AD$5</f>
        <v>-108725.54271805688</v>
      </c>
      <c r="Q1531" s="553">
        <f>'Foglio deposito bis'!$F$68*IF(ABS(K1531)&lt;'Progetto del paramento slu'!$G$58,ABS(K1531)*'Progetto del paramento slu'!$G$54,'Progetto del paramento slu'!$G$53)*IF(K1531&lt;0,-1,1)</f>
        <v>0</v>
      </c>
      <c r="R1531" s="553">
        <f>'Foglio deposito bis'!$F$69*IF(ABS(L1531)&lt;'Progetto del paramento slu'!$G$58,ABS(L1531)*'Progetto del paramento slu'!$G$54,'Progetto del paramento slu'!$G$53)*IF(L1531&lt;0,-1,1)</f>
        <v>153664.85805602249</v>
      </c>
      <c r="S1531" s="553">
        <f>'Foglio deposito bis'!$F$70*IF(ABS(M1531)&lt;'Progetto del paramento slu'!$G$58,ABS(M1531)*'Progetto del paramento slu'!$G$54,'Progetto del paramento slu'!$G$53)*IF(M1531&lt;0,-1,1)</f>
        <v>0</v>
      </c>
      <c r="T1531" s="553">
        <f>'Foglio deposito bis'!$F$71*IF(ABS(N1531)&lt;'Progetto del paramento slu'!$G$58,ABS(N1531)*'Progetto del paramento slu'!$G$54,'Progetto del paramento slu'!$G$53)*IF(N1531&lt;0,-1,1)</f>
        <v>314705.62929873407</v>
      </c>
      <c r="U1531" s="553">
        <f>'Foglio deposito bis'!$F$72*IF(ABS(O1531)&lt;'Progetto del paramento slu'!$G$58,ABS(O1531)*'Progetto del paramento slu'!$G$54,'Progetto del paramento slu'!$G$53)*IF(O1531&lt;0,-1,1)</f>
        <v>491727.54577927204</v>
      </c>
      <c r="V1531" s="479">
        <f t="shared" si="114"/>
        <v>851372.49041597173</v>
      </c>
      <c r="W1531" s="559"/>
      <c r="X1531" s="559"/>
    </row>
    <row r="1532" spans="1:24" x14ac:dyDescent="0.25">
      <c r="A1532" s="553">
        <f t="shared" si="113"/>
        <v>848511.29192339128</v>
      </c>
      <c r="B1532" s="3">
        <f t="shared" si="115"/>
        <v>1.9500000000000011</v>
      </c>
      <c r="C1532" s="553">
        <f>'Foglio deposito bis'!$E$159/sezione!$B$247*B1532</f>
        <v>7.9162607831529144</v>
      </c>
      <c r="D1532" s="611">
        <f>-'Progetto del paramento slu'!$G$47*'Progetto del paramento slu'!$G$41*IF(DATI!$G$218="dx",DATI!$E$61,DATI!$E$64*DATI!$E$63)*1000*C1532^2*sezione!$AD$5*(1-sezione!$AD$6)</f>
        <v>-515876.25012551143</v>
      </c>
      <c r="E1532" s="553">
        <f>-'Foglio deposito bis'!$F$68*(C1532-sezione!$AL$33)*IF(ABS(K1532)&lt;'Progetto del paramento slu'!$G$58,ABS(K1532)*'Progetto del paramento slu'!$G$54,'Progetto del paramento slu'!$G$53)</f>
        <v>0</v>
      </c>
      <c r="F1532" s="553">
        <f>-'Foglio deposito bis'!$F$69*(C1532-sezione!$AM$33)*IF(ABS(L1532)&lt;'Progetto del paramento slu'!$G$58,ABS(L1532)*'Progetto del paramento slu'!$G$54,'Progetto del paramento slu'!$G$53)</f>
        <v>21833277.618825722</v>
      </c>
      <c r="G1532" s="553">
        <f>-'Foglio deposito bis'!$F$70*(C1532-sezione!$AN$33)*IF(ABS(M1532)&lt;'Progetto del paramento slu'!$G$58,ABS(M1532)*'Progetto del paramento slu'!$G$54,'Progetto del paramento slu'!$G$53)</f>
        <v>0</v>
      </c>
      <c r="H1532" s="553">
        <f>-'Foglio deposito bis'!$F$71*(C1532-sezione!$AO$33)*IF(ABS(N1532)&lt;'Progetto del paramento slu'!$G$58,ABS(N1532)*'Progetto del paramento slu'!$G$54,'Progetto del paramento slu'!$G$53)</f>
        <v>104508622.13011457</v>
      </c>
      <c r="I1532" s="479">
        <f>-'Foglio deposito bis'!$F$72*(C1532-sezione!$AP$33)*IF(ABS(O1532)&lt;'Progetto del paramento slu'!$G$58,ABS(O1532)*'Progetto del paramento slu'!$G$54,'Progetto del paramento slu'!$G$53)</f>
        <v>123959461.68901262</v>
      </c>
      <c r="J1532" s="479">
        <f t="shared" si="111"/>
        <v>249785485.18782741</v>
      </c>
      <c r="K1532" s="558">
        <f>'Progetto del paramento slu'!$G$60*(sezione!$AL$33-C1532)/C1532</f>
        <v>1.4185117233371429E-2</v>
      </c>
      <c r="L1532" s="558">
        <f>'Progetto del paramento slu'!$G$60*(sezione!$AM$33-C1532)/C1532</f>
        <v>6.2819189625142852E-2</v>
      </c>
      <c r="M1532" s="559">
        <f>'Progetto del paramento slu'!$G$60*(sezione!$AN$33-C1532)/C1532</f>
        <v>0.11145326201691429</v>
      </c>
      <c r="N1532" s="559">
        <f>'Progetto del paramento slu'!$G$60*(sezione!$AO$33-C1532)/C1532</f>
        <v>0.14682349648365717</v>
      </c>
      <c r="O1532" s="559">
        <f>'Progetto del paramento slu'!$G$60*(sezione!$AP$33-C1532)/C1532</f>
        <v>0.11145590840765406</v>
      </c>
      <c r="P1532" s="553">
        <f>-'Progetto del paramento slu'!$G$47*'Progetto del paramento slu'!$G$41*IF(DATI!$G$218="dx",DATI!$E$61,DATI!$E$64*DATI!$E$63)*1000*C1532*sezione!$AD$5</f>
        <v>-111586.74121063734</v>
      </c>
      <c r="Q1532" s="553">
        <f>'Foglio deposito bis'!$F$68*IF(ABS(K1532)&lt;'Progetto del paramento slu'!$G$58,ABS(K1532)*'Progetto del paramento slu'!$G$54,'Progetto del paramento slu'!$G$53)*IF(K1532&lt;0,-1,1)</f>
        <v>0</v>
      </c>
      <c r="R1532" s="553">
        <f>'Foglio deposito bis'!$F$69*IF(ABS(L1532)&lt;'Progetto del paramento slu'!$G$58,ABS(L1532)*'Progetto del paramento slu'!$G$54,'Progetto del paramento slu'!$G$53)*IF(L1532&lt;0,-1,1)</f>
        <v>153664.85805602249</v>
      </c>
      <c r="S1532" s="553">
        <f>'Foglio deposito bis'!$F$70*IF(ABS(M1532)&lt;'Progetto del paramento slu'!$G$58,ABS(M1532)*'Progetto del paramento slu'!$G$54,'Progetto del paramento slu'!$G$53)*IF(M1532&lt;0,-1,1)</f>
        <v>0</v>
      </c>
      <c r="T1532" s="553">
        <f>'Foglio deposito bis'!$F$71*IF(ABS(N1532)&lt;'Progetto del paramento slu'!$G$58,ABS(N1532)*'Progetto del paramento slu'!$G$54,'Progetto del paramento slu'!$G$53)*IF(N1532&lt;0,-1,1)</f>
        <v>314705.62929873407</v>
      </c>
      <c r="U1532" s="553">
        <f>'Foglio deposito bis'!$F$72*IF(ABS(O1532)&lt;'Progetto del paramento slu'!$G$58,ABS(O1532)*'Progetto del paramento slu'!$G$54,'Progetto del paramento slu'!$G$53)*IF(O1532&lt;0,-1,1)</f>
        <v>491727.54577927204</v>
      </c>
      <c r="V1532" s="479">
        <f t="shared" si="114"/>
        <v>848511.29192339128</v>
      </c>
      <c r="W1532" s="559"/>
      <c r="X1532" s="559"/>
    </row>
    <row r="1533" spans="1:24" x14ac:dyDescent="0.25">
      <c r="A1533" s="553">
        <f t="shared" si="113"/>
        <v>845650.09343081084</v>
      </c>
      <c r="B1533" s="3">
        <f t="shared" si="115"/>
        <v>2.0000000000000009</v>
      </c>
      <c r="C1533" s="553">
        <f>'Foglio deposito bis'!$E$159/sezione!$B$247*B1533</f>
        <v>8.1192418288747827</v>
      </c>
      <c r="D1533" s="611">
        <f>-'Progetto del paramento slu'!$G$47*'Progetto del paramento slu'!$G$41*IF(DATI!$G$218="dx",DATI!$E$61,DATI!$E$64*DATI!$E$63)*1000*C1533^2*sezione!$AD$5*(1-sezione!$AD$6)</f>
        <v>-542670.61157187237</v>
      </c>
      <c r="E1533" s="553">
        <f>-'Foglio deposito bis'!$F$68*(C1533-sezione!$AL$33)*IF(ABS(K1533)&lt;'Progetto del paramento slu'!$G$58,ABS(K1533)*'Progetto del paramento slu'!$G$54,'Progetto del paramento slu'!$G$53)</f>
        <v>0</v>
      </c>
      <c r="F1533" s="553">
        <f>-'Foglio deposito bis'!$F$69*(C1533-sezione!$AM$33)*IF(ABS(L1533)&lt;'Progetto del paramento slu'!$G$58,ABS(L1533)*'Progetto del paramento slu'!$G$54,'Progetto del paramento slu'!$G$53)</f>
        <v>21802086.565246813</v>
      </c>
      <c r="G1533" s="553">
        <f>-'Foglio deposito bis'!$F$70*(C1533-sezione!$AN$33)*IF(ABS(M1533)&lt;'Progetto del paramento slu'!$G$58,ABS(M1533)*'Progetto del paramento slu'!$G$54,'Progetto del paramento slu'!$G$53)</f>
        <v>0</v>
      </c>
      <c r="H1533" s="553">
        <f>-'Foglio deposito bis'!$F$71*(C1533-sezione!$AO$33)*IF(ABS(N1533)&lt;'Progetto del paramento slu'!$G$58,ABS(N1533)*'Progetto del paramento slu'!$G$54,'Progetto del paramento slu'!$G$53)</f>
        <v>104444742.85238495</v>
      </c>
      <c r="I1533" s="479">
        <f>-'Foglio deposito bis'!$F$72*(C1533-sezione!$AP$33)*IF(ABS(O1533)&lt;'Progetto del paramento slu'!$G$58,ABS(O1533)*'Progetto del paramento slu'!$G$54,'Progetto del paramento slu'!$G$53)</f>
        <v>123859650.31756011</v>
      </c>
      <c r="J1533" s="479">
        <f t="shared" si="111"/>
        <v>249563809.12362</v>
      </c>
      <c r="K1533" s="558">
        <f>'Progetto del paramento slu'!$G$60*(sezione!$AL$33-C1533)/C1533</f>
        <v>1.3742989302537144E-2</v>
      </c>
      <c r="L1533" s="558">
        <f>'Progetto del paramento slu'!$G$60*(sezione!$AM$33-C1533)/C1533</f>
        <v>6.1161209884514296E-2</v>
      </c>
      <c r="M1533" s="559">
        <f>'Progetto del paramento slu'!$G$60*(sezione!$AN$33-C1533)/C1533</f>
        <v>0.10857943046649145</v>
      </c>
      <c r="N1533" s="559">
        <f>'Progetto del paramento slu'!$G$60*(sezione!$AO$33-C1533)/C1533</f>
        <v>0.14306540907156573</v>
      </c>
      <c r="O1533" s="559">
        <f>'Progetto del paramento slu'!$G$60*(sezione!$AP$33-C1533)/C1533</f>
        <v>0.10858201069746272</v>
      </c>
      <c r="P1533" s="553">
        <f>-'Progetto del paramento slu'!$G$47*'Progetto del paramento slu'!$G$41*IF(DATI!$G$218="dx",DATI!$E$61,DATI!$E$64*DATI!$E$63)*1000*C1533*sezione!$AD$5</f>
        <v>-114447.93970321775</v>
      </c>
      <c r="Q1533" s="553">
        <f>'Foglio deposito bis'!$F$68*IF(ABS(K1533)&lt;'Progetto del paramento slu'!$G$58,ABS(K1533)*'Progetto del paramento slu'!$G$54,'Progetto del paramento slu'!$G$53)*IF(K1533&lt;0,-1,1)</f>
        <v>0</v>
      </c>
      <c r="R1533" s="553">
        <f>'Foglio deposito bis'!$F$69*IF(ABS(L1533)&lt;'Progetto del paramento slu'!$G$58,ABS(L1533)*'Progetto del paramento slu'!$G$54,'Progetto del paramento slu'!$G$53)*IF(L1533&lt;0,-1,1)</f>
        <v>153664.85805602249</v>
      </c>
      <c r="S1533" s="553">
        <f>'Foglio deposito bis'!$F$70*IF(ABS(M1533)&lt;'Progetto del paramento slu'!$G$58,ABS(M1533)*'Progetto del paramento slu'!$G$54,'Progetto del paramento slu'!$G$53)*IF(M1533&lt;0,-1,1)</f>
        <v>0</v>
      </c>
      <c r="T1533" s="553">
        <f>'Foglio deposito bis'!$F$71*IF(ABS(N1533)&lt;'Progetto del paramento slu'!$G$58,ABS(N1533)*'Progetto del paramento slu'!$G$54,'Progetto del paramento slu'!$G$53)*IF(N1533&lt;0,-1,1)</f>
        <v>314705.62929873407</v>
      </c>
      <c r="U1533" s="553">
        <f>'Foglio deposito bis'!$F$72*IF(ABS(O1533)&lt;'Progetto del paramento slu'!$G$58,ABS(O1533)*'Progetto del paramento slu'!$G$54,'Progetto del paramento slu'!$G$53)*IF(O1533&lt;0,-1,1)</f>
        <v>491727.54577927204</v>
      </c>
      <c r="V1533" s="479">
        <f t="shared" si="114"/>
        <v>845650.09343081084</v>
      </c>
      <c r="W1533" s="559"/>
      <c r="X1533" s="559"/>
    </row>
    <row r="1534" spans="1:24" x14ac:dyDescent="0.25">
      <c r="A1534" s="553">
        <f t="shared" si="113"/>
        <v>842788.8949382304</v>
      </c>
      <c r="B1534" s="3">
        <f t="shared" si="115"/>
        <v>2.0500000000000007</v>
      </c>
      <c r="C1534" s="553">
        <f>'Foglio deposito bis'!$E$159/sezione!$B$247*B1534</f>
        <v>8.3222228745966511</v>
      </c>
      <c r="D1534" s="611">
        <f>-'Progetto del paramento slu'!$G$47*'Progetto del paramento slu'!$G$41*IF(DATI!$G$218="dx",DATI!$E$61,DATI!$E$64*DATI!$E$63)*1000*C1534^2*sezione!$AD$5*(1-sezione!$AD$6)</f>
        <v>-570143.3112826983</v>
      </c>
      <c r="E1534" s="553">
        <f>-'Foglio deposito bis'!$F$68*(C1534-sezione!$AL$33)*IF(ABS(K1534)&lt;'Progetto del paramento slu'!$G$58,ABS(K1534)*'Progetto del paramento slu'!$G$54,'Progetto del paramento slu'!$G$53)</f>
        <v>0</v>
      </c>
      <c r="F1534" s="553">
        <f>-'Foglio deposito bis'!$F$69*(C1534-sezione!$AM$33)*IF(ABS(L1534)&lt;'Progetto del paramento slu'!$G$58,ABS(L1534)*'Progetto del paramento slu'!$G$54,'Progetto del paramento slu'!$G$53)</f>
        <v>21770895.511667896</v>
      </c>
      <c r="G1534" s="553">
        <f>-'Foglio deposito bis'!$F$70*(C1534-sezione!$AN$33)*IF(ABS(M1534)&lt;'Progetto del paramento slu'!$G$58,ABS(M1534)*'Progetto del paramento slu'!$G$54,'Progetto del paramento slu'!$G$53)</f>
        <v>0</v>
      </c>
      <c r="H1534" s="553">
        <f>-'Foglio deposito bis'!$F$71*(C1534-sezione!$AO$33)*IF(ABS(N1534)&lt;'Progetto del paramento slu'!$G$58,ABS(N1534)*'Progetto del paramento slu'!$G$54,'Progetto del paramento slu'!$G$53)</f>
        <v>104380863.57465534</v>
      </c>
      <c r="I1534" s="479">
        <f>-'Foglio deposito bis'!$F$72*(C1534-sezione!$AP$33)*IF(ABS(O1534)&lt;'Progetto del paramento slu'!$G$58,ABS(O1534)*'Progetto del paramento slu'!$G$54,'Progetto del paramento slu'!$G$53)</f>
        <v>123759838.94610757</v>
      </c>
      <c r="J1534" s="479">
        <f t="shared" si="111"/>
        <v>249341454.7211481</v>
      </c>
      <c r="K1534" s="558">
        <f>'Progetto del paramento slu'!$G$60*(sezione!$AL$33-C1534)/C1534</f>
        <v>1.3322428587841119E-2</v>
      </c>
      <c r="L1534" s="558">
        <f>'Progetto del paramento slu'!$G$60*(sezione!$AM$33-C1534)/C1534</f>
        <v>5.9584107204404192E-2</v>
      </c>
      <c r="M1534" s="559">
        <f>'Progetto del paramento slu'!$G$60*(sezione!$AN$33-C1534)/C1534</f>
        <v>0.10584578582096728</v>
      </c>
      <c r="N1534" s="559">
        <f>'Progetto del paramento slu'!$G$60*(sezione!$AO$33-C1534)/C1534</f>
        <v>0.13949064299664951</v>
      </c>
      <c r="O1534" s="559">
        <f>'Progetto del paramento slu'!$G$60*(sezione!$AP$33-C1534)/C1534</f>
        <v>0.10584830311947584</v>
      </c>
      <c r="P1534" s="553">
        <f>-'Progetto del paramento slu'!$G$47*'Progetto del paramento slu'!$G$41*IF(DATI!$G$218="dx",DATI!$E$61,DATI!$E$64*DATI!$E$63)*1000*C1534*sezione!$AD$5</f>
        <v>-117309.13819579819</v>
      </c>
      <c r="Q1534" s="553">
        <f>'Foglio deposito bis'!$F$68*IF(ABS(K1534)&lt;'Progetto del paramento slu'!$G$58,ABS(K1534)*'Progetto del paramento slu'!$G$54,'Progetto del paramento slu'!$G$53)*IF(K1534&lt;0,-1,1)</f>
        <v>0</v>
      </c>
      <c r="R1534" s="553">
        <f>'Foglio deposito bis'!$F$69*IF(ABS(L1534)&lt;'Progetto del paramento slu'!$G$58,ABS(L1534)*'Progetto del paramento slu'!$G$54,'Progetto del paramento slu'!$G$53)*IF(L1534&lt;0,-1,1)</f>
        <v>153664.85805602249</v>
      </c>
      <c r="S1534" s="553">
        <f>'Foglio deposito bis'!$F$70*IF(ABS(M1534)&lt;'Progetto del paramento slu'!$G$58,ABS(M1534)*'Progetto del paramento slu'!$G$54,'Progetto del paramento slu'!$G$53)*IF(M1534&lt;0,-1,1)</f>
        <v>0</v>
      </c>
      <c r="T1534" s="553">
        <f>'Foglio deposito bis'!$F$71*IF(ABS(N1534)&lt;'Progetto del paramento slu'!$G$58,ABS(N1534)*'Progetto del paramento slu'!$G$54,'Progetto del paramento slu'!$G$53)*IF(N1534&lt;0,-1,1)</f>
        <v>314705.62929873407</v>
      </c>
      <c r="U1534" s="553">
        <f>'Foglio deposito bis'!$F$72*IF(ABS(O1534)&lt;'Progetto del paramento slu'!$G$58,ABS(O1534)*'Progetto del paramento slu'!$G$54,'Progetto del paramento slu'!$G$53)*IF(O1534&lt;0,-1,1)</f>
        <v>491727.54577927204</v>
      </c>
      <c r="V1534" s="479">
        <f t="shared" si="114"/>
        <v>842788.8949382304</v>
      </c>
      <c r="W1534" s="559"/>
      <c r="X1534" s="559"/>
    </row>
    <row r="1535" spans="1:24" x14ac:dyDescent="0.25">
      <c r="A1535" s="553">
        <f t="shared" si="113"/>
        <v>839927.69644564996</v>
      </c>
      <c r="B1535" s="3">
        <f t="shared" si="115"/>
        <v>2.1000000000000005</v>
      </c>
      <c r="C1535" s="553">
        <f>'Foglio deposito bis'!$E$159/sezione!$B$247*B1535</f>
        <v>8.5252039203185195</v>
      </c>
      <c r="D1535" s="611">
        <f>-'Progetto del paramento slu'!$G$47*'Progetto del paramento slu'!$G$41*IF(DATI!$G$218="dx",DATI!$E$61,DATI!$E$64*DATI!$E$63)*1000*C1535^2*sezione!$AD$5*(1-sezione!$AD$6)</f>
        <v>-598294.34925798886</v>
      </c>
      <c r="E1535" s="553">
        <f>-'Foglio deposito bis'!$F$68*(C1535-sezione!$AL$33)*IF(ABS(K1535)&lt;'Progetto del paramento slu'!$G$58,ABS(K1535)*'Progetto del paramento slu'!$G$54,'Progetto del paramento slu'!$G$53)</f>
        <v>0</v>
      </c>
      <c r="F1535" s="553">
        <f>-'Foglio deposito bis'!$F$69*(C1535-sezione!$AM$33)*IF(ABS(L1535)&lt;'Progetto del paramento slu'!$G$58,ABS(L1535)*'Progetto del paramento slu'!$G$54,'Progetto del paramento slu'!$G$53)</f>
        <v>21739704.458088983</v>
      </c>
      <c r="G1535" s="553">
        <f>-'Foglio deposito bis'!$F$70*(C1535-sezione!$AN$33)*IF(ABS(M1535)&lt;'Progetto del paramento slu'!$G$58,ABS(M1535)*'Progetto del paramento slu'!$G$54,'Progetto del paramento slu'!$G$53)</f>
        <v>0</v>
      </c>
      <c r="H1535" s="553">
        <f>-'Foglio deposito bis'!$F$71*(C1535-sezione!$AO$33)*IF(ABS(N1535)&lt;'Progetto del paramento slu'!$G$58,ABS(N1535)*'Progetto del paramento slu'!$G$54,'Progetto del paramento slu'!$G$53)</f>
        <v>104316984.29692572</v>
      </c>
      <c r="I1535" s="479">
        <f>-'Foglio deposito bis'!$F$72*(C1535-sezione!$AP$33)*IF(ABS(O1535)&lt;'Progetto del paramento slu'!$G$58,ABS(O1535)*'Progetto del paramento slu'!$G$54,'Progetto del paramento slu'!$G$53)</f>
        <v>123660027.57465506</v>
      </c>
      <c r="J1535" s="479">
        <f t="shared" si="111"/>
        <v>249118421.98041177</v>
      </c>
      <c r="K1535" s="558">
        <f>'Progetto del paramento slu'!$G$60*(sezione!$AL$33-C1535)/C1535</f>
        <v>1.2921894573844905E-2</v>
      </c>
      <c r="L1535" s="558">
        <f>'Progetto del paramento slu'!$G$60*(sezione!$AM$33-C1535)/C1535</f>
        <v>5.808210465191839E-2</v>
      </c>
      <c r="M1535" s="559">
        <f>'Progetto del paramento slu'!$G$60*(sezione!$AN$33-C1535)/C1535</f>
        <v>0.10324231472999187</v>
      </c>
      <c r="N1535" s="559">
        <f>'Progetto del paramento slu'!$G$60*(sezione!$AO$33-C1535)/C1535</f>
        <v>0.13608610387768166</v>
      </c>
      <c r="O1535" s="559">
        <f>'Progetto del paramento slu'!$G$60*(sezione!$AP$33-C1535)/C1535</f>
        <v>0.10324477209282167</v>
      </c>
      <c r="P1535" s="553">
        <f>-'Progetto del paramento slu'!$G$47*'Progetto del paramento slu'!$G$41*IF(DATI!$G$218="dx",DATI!$E$61,DATI!$E$64*DATI!$E$63)*1000*C1535*sezione!$AD$5</f>
        <v>-120170.33668837861</v>
      </c>
      <c r="Q1535" s="553">
        <f>'Foglio deposito bis'!$F$68*IF(ABS(K1535)&lt;'Progetto del paramento slu'!$G$58,ABS(K1535)*'Progetto del paramento slu'!$G$54,'Progetto del paramento slu'!$G$53)*IF(K1535&lt;0,-1,1)</f>
        <v>0</v>
      </c>
      <c r="R1535" s="553">
        <f>'Foglio deposito bis'!$F$69*IF(ABS(L1535)&lt;'Progetto del paramento slu'!$G$58,ABS(L1535)*'Progetto del paramento slu'!$G$54,'Progetto del paramento slu'!$G$53)*IF(L1535&lt;0,-1,1)</f>
        <v>153664.85805602249</v>
      </c>
      <c r="S1535" s="553">
        <f>'Foglio deposito bis'!$F$70*IF(ABS(M1535)&lt;'Progetto del paramento slu'!$G$58,ABS(M1535)*'Progetto del paramento slu'!$G$54,'Progetto del paramento slu'!$G$53)*IF(M1535&lt;0,-1,1)</f>
        <v>0</v>
      </c>
      <c r="T1535" s="553">
        <f>'Foglio deposito bis'!$F$71*IF(ABS(N1535)&lt;'Progetto del paramento slu'!$G$58,ABS(N1535)*'Progetto del paramento slu'!$G$54,'Progetto del paramento slu'!$G$53)*IF(N1535&lt;0,-1,1)</f>
        <v>314705.62929873407</v>
      </c>
      <c r="U1535" s="553">
        <f>'Foglio deposito bis'!$F$72*IF(ABS(O1535)&lt;'Progetto del paramento slu'!$G$58,ABS(O1535)*'Progetto del paramento slu'!$G$54,'Progetto del paramento slu'!$G$53)*IF(O1535&lt;0,-1,1)</f>
        <v>491727.54577927204</v>
      </c>
      <c r="V1535" s="479">
        <f t="shared" si="114"/>
        <v>839927.69644564996</v>
      </c>
      <c r="W1535" s="559"/>
      <c r="X1535" s="559"/>
    </row>
    <row r="1536" spans="1:24" x14ac:dyDescent="0.25">
      <c r="A1536" s="553">
        <f t="shared" si="113"/>
        <v>837066.49795306963</v>
      </c>
      <c r="B1536" s="3">
        <f t="shared" si="115"/>
        <v>2.1500000000000004</v>
      </c>
      <c r="C1536" s="553">
        <f>'Foglio deposito bis'!$E$159/sezione!$B$247*B1536</f>
        <v>8.7281849660403896</v>
      </c>
      <c r="D1536" s="611">
        <f>-'Progetto del paramento slu'!$G$47*'Progetto del paramento slu'!$G$41*IF(DATI!$G$218="dx",DATI!$E$61,DATI!$E$64*DATI!$E$63)*1000*C1536^2*sezione!$AD$5*(1-sezione!$AD$6)</f>
        <v>-627123.72549774486</v>
      </c>
      <c r="E1536" s="553">
        <f>-'Foglio deposito bis'!$F$68*(C1536-sezione!$AL$33)*IF(ABS(K1536)&lt;'Progetto del paramento slu'!$G$58,ABS(K1536)*'Progetto del paramento slu'!$G$54,'Progetto del paramento slu'!$G$53)</f>
        <v>0</v>
      </c>
      <c r="F1536" s="553">
        <f>-'Foglio deposito bis'!$F$69*(C1536-sezione!$AM$33)*IF(ABS(L1536)&lt;'Progetto del paramento slu'!$G$58,ABS(L1536)*'Progetto del paramento slu'!$G$54,'Progetto del paramento slu'!$G$53)</f>
        <v>21708513.404510066</v>
      </c>
      <c r="G1536" s="553">
        <f>-'Foglio deposito bis'!$F$70*(C1536-sezione!$AN$33)*IF(ABS(M1536)&lt;'Progetto del paramento slu'!$G$58,ABS(M1536)*'Progetto del paramento slu'!$G$54,'Progetto del paramento slu'!$G$53)</f>
        <v>0</v>
      </c>
      <c r="H1536" s="553">
        <f>-'Foglio deposito bis'!$F$71*(C1536-sezione!$AO$33)*IF(ABS(N1536)&lt;'Progetto del paramento slu'!$G$58,ABS(N1536)*'Progetto del paramento slu'!$G$54,'Progetto del paramento slu'!$G$53)</f>
        <v>104253105.01919611</v>
      </c>
      <c r="I1536" s="479">
        <f>-'Foglio deposito bis'!$F$72*(C1536-sezione!$AP$33)*IF(ABS(O1536)&lt;'Progetto del paramento slu'!$G$58,ABS(O1536)*'Progetto del paramento slu'!$G$54,'Progetto del paramento slu'!$G$53)</f>
        <v>123560216.20320252</v>
      </c>
      <c r="J1536" s="479">
        <f t="shared" si="111"/>
        <v>248894710.90141094</v>
      </c>
      <c r="K1536" s="558">
        <f>'Progetto del paramento slu'!$G$60*(sezione!$AL$33-C1536)/C1536</f>
        <v>1.2539990048871767E-2</v>
      </c>
      <c r="L1536" s="558">
        <f>'Progetto del paramento slu'!$G$60*(sezione!$AM$33-C1536)/C1536</f>
        <v>5.6649962683269113E-2</v>
      </c>
      <c r="M1536" s="559">
        <f>'Progetto del paramento slu'!$G$60*(sezione!$AN$33-C1536)/C1536</f>
        <v>0.10075993531766649</v>
      </c>
      <c r="N1536" s="559">
        <f>'Progetto del paramento slu'!$G$60*(sezione!$AO$33-C1536)/C1536</f>
        <v>0.13283991541541001</v>
      </c>
      <c r="O1536" s="559">
        <f>'Progetto del paramento slu'!$G$60*(sezione!$AP$33-C1536)/C1536</f>
        <v>0.10076233553252348</v>
      </c>
      <c r="P1536" s="553">
        <f>-'Progetto del paramento slu'!$G$47*'Progetto del paramento slu'!$G$41*IF(DATI!$G$218="dx",DATI!$E$61,DATI!$E$64*DATI!$E$63)*1000*C1536*sezione!$AD$5</f>
        <v>-123031.53518095905</v>
      </c>
      <c r="Q1536" s="553">
        <f>'Foglio deposito bis'!$F$68*IF(ABS(K1536)&lt;'Progetto del paramento slu'!$G$58,ABS(K1536)*'Progetto del paramento slu'!$G$54,'Progetto del paramento slu'!$G$53)*IF(K1536&lt;0,-1,1)</f>
        <v>0</v>
      </c>
      <c r="R1536" s="553">
        <f>'Foglio deposito bis'!$F$69*IF(ABS(L1536)&lt;'Progetto del paramento slu'!$G$58,ABS(L1536)*'Progetto del paramento slu'!$G$54,'Progetto del paramento slu'!$G$53)*IF(L1536&lt;0,-1,1)</f>
        <v>153664.85805602249</v>
      </c>
      <c r="S1536" s="553">
        <f>'Foglio deposito bis'!$F$70*IF(ABS(M1536)&lt;'Progetto del paramento slu'!$G$58,ABS(M1536)*'Progetto del paramento slu'!$G$54,'Progetto del paramento slu'!$G$53)*IF(M1536&lt;0,-1,1)</f>
        <v>0</v>
      </c>
      <c r="T1536" s="553">
        <f>'Foglio deposito bis'!$F$71*IF(ABS(N1536)&lt;'Progetto del paramento slu'!$G$58,ABS(N1536)*'Progetto del paramento slu'!$G$54,'Progetto del paramento slu'!$G$53)*IF(N1536&lt;0,-1,1)</f>
        <v>314705.62929873407</v>
      </c>
      <c r="U1536" s="553">
        <f>'Foglio deposito bis'!$F$72*IF(ABS(O1536)&lt;'Progetto del paramento slu'!$G$58,ABS(O1536)*'Progetto del paramento slu'!$G$54,'Progetto del paramento slu'!$G$53)*IF(O1536&lt;0,-1,1)</f>
        <v>491727.54577927204</v>
      </c>
      <c r="V1536" s="479">
        <f t="shared" si="114"/>
        <v>837066.49795306963</v>
      </c>
      <c r="W1536" s="559"/>
      <c r="X1536" s="559"/>
    </row>
    <row r="1537" spans="1:24" x14ac:dyDescent="0.25">
      <c r="A1537" s="553">
        <f t="shared" si="113"/>
        <v>834205.29946048907</v>
      </c>
      <c r="B1537" s="3">
        <f t="shared" si="115"/>
        <v>2.2000000000000002</v>
      </c>
      <c r="C1537" s="553">
        <f>'Foglio deposito bis'!$E$159/sezione!$B$247*B1537</f>
        <v>8.931166011762258</v>
      </c>
      <c r="D1537" s="611">
        <f>-'Progetto del paramento slu'!$G$47*'Progetto del paramento slu'!$G$41*IF(DATI!$G$218="dx",DATI!$E$61,DATI!$E$64*DATI!$E$63)*1000*C1537^2*sezione!$AD$5*(1-sezione!$AD$6)</f>
        <v>-656631.44000196503</v>
      </c>
      <c r="E1537" s="553">
        <f>-'Foglio deposito bis'!$F$68*(C1537-sezione!$AL$33)*IF(ABS(K1537)&lt;'Progetto del paramento slu'!$G$58,ABS(K1537)*'Progetto del paramento slu'!$G$54,'Progetto del paramento slu'!$G$53)</f>
        <v>0</v>
      </c>
      <c r="F1537" s="553">
        <f>-'Foglio deposito bis'!$F$69*(C1537-sezione!$AM$33)*IF(ABS(L1537)&lt;'Progetto del paramento slu'!$G$58,ABS(L1537)*'Progetto del paramento slu'!$G$54,'Progetto del paramento slu'!$G$53)</f>
        <v>21677322.350931156</v>
      </c>
      <c r="G1537" s="553">
        <f>-'Foglio deposito bis'!$F$70*(C1537-sezione!$AN$33)*IF(ABS(M1537)&lt;'Progetto del paramento slu'!$G$58,ABS(M1537)*'Progetto del paramento slu'!$G$54,'Progetto del paramento slu'!$G$53)</f>
        <v>0</v>
      </c>
      <c r="H1537" s="553">
        <f>-'Foglio deposito bis'!$F$71*(C1537-sezione!$AO$33)*IF(ABS(N1537)&lt;'Progetto del paramento slu'!$G$58,ABS(N1537)*'Progetto del paramento slu'!$G$54,'Progetto del paramento slu'!$G$53)</f>
        <v>104189225.74146648</v>
      </c>
      <c r="I1537" s="479">
        <f>-'Foglio deposito bis'!$F$72*(C1537-sezione!$AP$33)*IF(ABS(O1537)&lt;'Progetto del paramento slu'!$G$58,ABS(O1537)*'Progetto del paramento slu'!$G$54,'Progetto del paramento slu'!$G$53)</f>
        <v>123460404.83175001</v>
      </c>
      <c r="J1537" s="479">
        <f t="shared" si="111"/>
        <v>248670321.48414567</v>
      </c>
      <c r="K1537" s="558">
        <f>'Progetto del paramento slu'!$G$60*(sezione!$AL$33-C1537)/C1537</f>
        <v>1.2175444820488318E-2</v>
      </c>
      <c r="L1537" s="558">
        <f>'Progetto del paramento slu'!$G$60*(sezione!$AM$33-C1537)/C1537</f>
        <v>5.5282918076831195E-2</v>
      </c>
      <c r="M1537" s="559">
        <f>'Progetto del paramento slu'!$G$60*(sezione!$AN$33-C1537)/C1537</f>
        <v>9.8390391333174065E-2</v>
      </c>
      <c r="N1537" s="559">
        <f>'Progetto del paramento slu'!$G$60*(sezione!$AO$33-C1537)/C1537</f>
        <v>0.12974128097415072</v>
      </c>
      <c r="O1537" s="559">
        <f>'Progetto del paramento slu'!$G$60*(sezione!$AP$33-C1537)/C1537</f>
        <v>9.8392736997693409E-2</v>
      </c>
      <c r="P1537" s="553">
        <f>-'Progetto del paramento slu'!$G$47*'Progetto del paramento slu'!$G$41*IF(DATI!$G$218="dx",DATI!$E$61,DATI!$E$64*DATI!$E$63)*1000*C1537*sezione!$AD$5</f>
        <v>-125892.73367353949</v>
      </c>
      <c r="Q1537" s="553">
        <f>'Foglio deposito bis'!$F$68*IF(ABS(K1537)&lt;'Progetto del paramento slu'!$G$58,ABS(K1537)*'Progetto del paramento slu'!$G$54,'Progetto del paramento slu'!$G$53)*IF(K1537&lt;0,-1,1)</f>
        <v>0</v>
      </c>
      <c r="R1537" s="553">
        <f>'Foglio deposito bis'!$F$69*IF(ABS(L1537)&lt;'Progetto del paramento slu'!$G$58,ABS(L1537)*'Progetto del paramento slu'!$G$54,'Progetto del paramento slu'!$G$53)*IF(L1537&lt;0,-1,1)</f>
        <v>153664.85805602249</v>
      </c>
      <c r="S1537" s="553">
        <f>'Foglio deposito bis'!$F$70*IF(ABS(M1537)&lt;'Progetto del paramento slu'!$G$58,ABS(M1537)*'Progetto del paramento slu'!$G$54,'Progetto del paramento slu'!$G$53)*IF(M1537&lt;0,-1,1)</f>
        <v>0</v>
      </c>
      <c r="T1537" s="553">
        <f>'Foglio deposito bis'!$F$71*IF(ABS(N1537)&lt;'Progetto del paramento slu'!$G$58,ABS(N1537)*'Progetto del paramento slu'!$G$54,'Progetto del paramento slu'!$G$53)*IF(N1537&lt;0,-1,1)</f>
        <v>314705.62929873407</v>
      </c>
      <c r="U1537" s="553">
        <f>'Foglio deposito bis'!$F$72*IF(ABS(O1537)&lt;'Progetto del paramento slu'!$G$58,ABS(O1537)*'Progetto del paramento slu'!$G$54,'Progetto del paramento slu'!$G$53)*IF(O1537&lt;0,-1,1)</f>
        <v>491727.54577927204</v>
      </c>
      <c r="V1537" s="479">
        <f t="shared" si="114"/>
        <v>834205.29946048907</v>
      </c>
      <c r="W1537" s="559"/>
      <c r="X1537" s="559"/>
    </row>
    <row r="1538" spans="1:24" x14ac:dyDescent="0.25">
      <c r="A1538" s="553">
        <f t="shared" si="113"/>
        <v>831344.10096790874</v>
      </c>
      <c r="B1538" s="3">
        <f t="shared" si="115"/>
        <v>2.25</v>
      </c>
      <c r="C1538" s="553">
        <f>'Foglio deposito bis'!$E$159/sezione!$B$247*B1538</f>
        <v>9.1341470574841264</v>
      </c>
      <c r="D1538" s="611">
        <f>-'Progetto del paramento slu'!$G$47*'Progetto del paramento slu'!$G$41*IF(DATI!$G$218="dx",DATI!$E$61,DATI!$E$64*DATI!$E$63)*1000*C1538^2*sezione!$AD$5*(1-sezione!$AD$6)</f>
        <v>-686817.49277065031</v>
      </c>
      <c r="E1538" s="553">
        <f>-'Foglio deposito bis'!$F$68*(C1538-sezione!$AL$33)*IF(ABS(K1538)&lt;'Progetto del paramento slu'!$G$58,ABS(K1538)*'Progetto del paramento slu'!$G$54,'Progetto del paramento slu'!$G$53)</f>
        <v>0</v>
      </c>
      <c r="F1538" s="553">
        <f>-'Foglio deposito bis'!$F$69*(C1538-sezione!$AM$33)*IF(ABS(L1538)&lt;'Progetto del paramento slu'!$G$58,ABS(L1538)*'Progetto del paramento slu'!$G$54,'Progetto del paramento slu'!$G$53)</f>
        <v>21646131.297352243</v>
      </c>
      <c r="G1538" s="553">
        <f>-'Foglio deposito bis'!$F$70*(C1538-sezione!$AN$33)*IF(ABS(M1538)&lt;'Progetto del paramento slu'!$G$58,ABS(M1538)*'Progetto del paramento slu'!$G$54,'Progetto del paramento slu'!$G$53)</f>
        <v>0</v>
      </c>
      <c r="H1538" s="553">
        <f>-'Foglio deposito bis'!$F$71*(C1538-sezione!$AO$33)*IF(ABS(N1538)&lt;'Progetto del paramento slu'!$G$58,ABS(N1538)*'Progetto del paramento slu'!$G$54,'Progetto del paramento slu'!$G$53)</f>
        <v>104125346.46373686</v>
      </c>
      <c r="I1538" s="479">
        <f>-'Foglio deposito bis'!$F$72*(C1538-sezione!$AP$33)*IF(ABS(O1538)&lt;'Progetto del paramento slu'!$G$58,ABS(O1538)*'Progetto del paramento slu'!$G$54,'Progetto del paramento slu'!$G$53)</f>
        <v>123360593.46029748</v>
      </c>
      <c r="J1538" s="479">
        <f t="shared" si="111"/>
        <v>248445253.72861594</v>
      </c>
      <c r="K1538" s="558">
        <f>'Progetto del paramento slu'!$G$60*(sezione!$AL$33-C1538)/C1538</f>
        <v>1.1827101602255247E-2</v>
      </c>
      <c r="L1538" s="558">
        <f>'Progetto del paramento slu'!$G$60*(sezione!$AM$33-C1538)/C1538</f>
        <v>5.3976631008457183E-2</v>
      </c>
      <c r="M1538" s="559">
        <f>'Progetto del paramento slu'!$G$60*(sezione!$AN$33-C1538)/C1538</f>
        <v>9.6126160414659115E-2</v>
      </c>
      <c r="N1538" s="559">
        <f>'Progetto del paramento slu'!$G$60*(sezione!$AO$33-C1538)/C1538</f>
        <v>0.12678036361916958</v>
      </c>
      <c r="O1538" s="559">
        <f>'Progetto del paramento slu'!$G$60*(sezione!$AP$33-C1538)/C1538</f>
        <v>9.6128453953300247E-2</v>
      </c>
      <c r="P1538" s="553">
        <f>-'Progetto del paramento slu'!$G$47*'Progetto del paramento slu'!$G$41*IF(DATI!$G$218="dx",DATI!$E$61,DATI!$E$64*DATI!$E$63)*1000*C1538*sezione!$AD$5</f>
        <v>-128753.93216611992</v>
      </c>
      <c r="Q1538" s="553">
        <f>'Foglio deposito bis'!$F$68*IF(ABS(K1538)&lt;'Progetto del paramento slu'!$G$58,ABS(K1538)*'Progetto del paramento slu'!$G$54,'Progetto del paramento slu'!$G$53)*IF(K1538&lt;0,-1,1)</f>
        <v>0</v>
      </c>
      <c r="R1538" s="553">
        <f>'Foglio deposito bis'!$F$69*IF(ABS(L1538)&lt;'Progetto del paramento slu'!$G$58,ABS(L1538)*'Progetto del paramento slu'!$G$54,'Progetto del paramento slu'!$G$53)*IF(L1538&lt;0,-1,1)</f>
        <v>153664.85805602249</v>
      </c>
      <c r="S1538" s="553">
        <f>'Foglio deposito bis'!$F$70*IF(ABS(M1538)&lt;'Progetto del paramento slu'!$G$58,ABS(M1538)*'Progetto del paramento slu'!$G$54,'Progetto del paramento slu'!$G$53)*IF(M1538&lt;0,-1,1)</f>
        <v>0</v>
      </c>
      <c r="T1538" s="553">
        <f>'Foglio deposito bis'!$F$71*IF(ABS(N1538)&lt;'Progetto del paramento slu'!$G$58,ABS(N1538)*'Progetto del paramento slu'!$G$54,'Progetto del paramento slu'!$G$53)*IF(N1538&lt;0,-1,1)</f>
        <v>314705.62929873407</v>
      </c>
      <c r="U1538" s="553">
        <f>'Foglio deposito bis'!$F$72*IF(ABS(O1538)&lt;'Progetto del paramento slu'!$G$58,ABS(O1538)*'Progetto del paramento slu'!$G$54,'Progetto del paramento slu'!$G$53)*IF(O1538&lt;0,-1,1)</f>
        <v>491727.54577927204</v>
      </c>
      <c r="V1538" s="479">
        <f t="shared" si="114"/>
        <v>831344.10096790874</v>
      </c>
      <c r="W1538" s="559"/>
      <c r="X1538" s="559"/>
    </row>
    <row r="1539" spans="1:24" x14ac:dyDescent="0.25">
      <c r="A1539" s="553">
        <f t="shared" si="113"/>
        <v>828482.90247532818</v>
      </c>
      <c r="B1539" s="3">
        <f t="shared" si="115"/>
        <v>2.2999999999999998</v>
      </c>
      <c r="C1539" s="553">
        <f>'Foglio deposito bis'!$E$159/sezione!$B$247*B1539</f>
        <v>9.3371281032059947</v>
      </c>
      <c r="D1539" s="611">
        <f>-'Progetto del paramento slu'!$G$47*'Progetto del paramento slu'!$G$41*IF(DATI!$G$218="dx",DATI!$E$61,DATI!$E$64*DATI!$E$63)*1000*C1539^2*sezione!$AD$5*(1-sezione!$AD$6)</f>
        <v>-717681.88380380033</v>
      </c>
      <c r="E1539" s="553">
        <f>-'Foglio deposito bis'!$F$68*(C1539-sezione!$AL$33)*IF(ABS(K1539)&lt;'Progetto del paramento slu'!$G$58,ABS(K1539)*'Progetto del paramento slu'!$G$54,'Progetto del paramento slu'!$G$53)</f>
        <v>0</v>
      </c>
      <c r="F1539" s="553">
        <f>-'Foglio deposito bis'!$F$69*(C1539-sezione!$AM$33)*IF(ABS(L1539)&lt;'Progetto del paramento slu'!$G$58,ABS(L1539)*'Progetto del paramento slu'!$G$54,'Progetto del paramento slu'!$G$53)</f>
        <v>21614940.243773326</v>
      </c>
      <c r="G1539" s="553">
        <f>-'Foglio deposito bis'!$F$70*(C1539-sezione!$AN$33)*IF(ABS(M1539)&lt;'Progetto del paramento slu'!$G$58,ABS(M1539)*'Progetto del paramento slu'!$G$54,'Progetto del paramento slu'!$G$53)</f>
        <v>0</v>
      </c>
      <c r="H1539" s="553">
        <f>-'Foglio deposito bis'!$F$71*(C1539-sezione!$AO$33)*IF(ABS(N1539)&lt;'Progetto del paramento slu'!$G$58,ABS(N1539)*'Progetto del paramento slu'!$G$54,'Progetto del paramento slu'!$G$53)</f>
        <v>104061467.18600725</v>
      </c>
      <c r="I1539" s="479">
        <f>-'Foglio deposito bis'!$F$72*(C1539-sezione!$AP$33)*IF(ABS(O1539)&lt;'Progetto del paramento slu'!$G$58,ABS(O1539)*'Progetto del paramento slu'!$G$54,'Progetto del paramento slu'!$G$53)</f>
        <v>123260782.08884494</v>
      </c>
      <c r="J1539" s="479">
        <f t="shared" si="111"/>
        <v>248219507.63482171</v>
      </c>
      <c r="K1539" s="558">
        <f>'Progetto del paramento slu'!$G$60*(sezione!$AL$33-C1539)/C1539</f>
        <v>1.1493903741336655E-2</v>
      </c>
      <c r="L1539" s="558">
        <f>'Progetto del paramento slu'!$G$60*(sezione!$AM$33-C1539)/C1539</f>
        <v>5.2727139030012457E-2</v>
      </c>
      <c r="M1539" s="559">
        <f>'Progetto del paramento slu'!$G$60*(sezione!$AN$33-C1539)/C1539</f>
        <v>9.396037431868827E-2</v>
      </c>
      <c r="N1539" s="559">
        <f>'Progetto del paramento slu'!$G$60*(sezione!$AO$33-C1539)/C1539</f>
        <v>0.12394818180136156</v>
      </c>
      <c r="O1539" s="559">
        <f>'Progetto del paramento slu'!$G$60*(sezione!$AP$33-C1539)/C1539</f>
        <v>9.3962617997793721E-2</v>
      </c>
      <c r="P1539" s="553">
        <f>-'Progetto del paramento slu'!$G$47*'Progetto del paramento slu'!$G$41*IF(DATI!$G$218="dx",DATI!$E$61,DATI!$E$64*DATI!$E$63)*1000*C1539*sezione!$AD$5</f>
        <v>-131615.13065870033</v>
      </c>
      <c r="Q1539" s="553">
        <f>'Foglio deposito bis'!$F$68*IF(ABS(K1539)&lt;'Progetto del paramento slu'!$G$58,ABS(K1539)*'Progetto del paramento slu'!$G$54,'Progetto del paramento slu'!$G$53)*IF(K1539&lt;0,-1,1)</f>
        <v>0</v>
      </c>
      <c r="R1539" s="553">
        <f>'Foglio deposito bis'!$F$69*IF(ABS(L1539)&lt;'Progetto del paramento slu'!$G$58,ABS(L1539)*'Progetto del paramento slu'!$G$54,'Progetto del paramento slu'!$G$53)*IF(L1539&lt;0,-1,1)</f>
        <v>153664.85805602249</v>
      </c>
      <c r="S1539" s="553">
        <f>'Foglio deposito bis'!$F$70*IF(ABS(M1539)&lt;'Progetto del paramento slu'!$G$58,ABS(M1539)*'Progetto del paramento slu'!$G$54,'Progetto del paramento slu'!$G$53)*IF(M1539&lt;0,-1,1)</f>
        <v>0</v>
      </c>
      <c r="T1539" s="553">
        <f>'Foglio deposito bis'!$F$71*IF(ABS(N1539)&lt;'Progetto del paramento slu'!$G$58,ABS(N1539)*'Progetto del paramento slu'!$G$54,'Progetto del paramento slu'!$G$53)*IF(N1539&lt;0,-1,1)</f>
        <v>314705.62929873407</v>
      </c>
      <c r="U1539" s="553">
        <f>'Foglio deposito bis'!$F$72*IF(ABS(O1539)&lt;'Progetto del paramento slu'!$G$58,ABS(O1539)*'Progetto del paramento slu'!$G$54,'Progetto del paramento slu'!$G$53)*IF(O1539&lt;0,-1,1)</f>
        <v>491727.54577927204</v>
      </c>
      <c r="V1539" s="479">
        <f t="shared" si="114"/>
        <v>828482.90247532818</v>
      </c>
      <c r="W1539" s="559"/>
      <c r="X1539" s="559"/>
    </row>
    <row r="1540" spans="1:24" x14ac:dyDescent="0.25">
      <c r="A1540" s="553">
        <f t="shared" si="113"/>
        <v>825621.70398274786</v>
      </c>
      <c r="B1540" s="3">
        <f t="shared" si="115"/>
        <v>2.3499999999999996</v>
      </c>
      <c r="C1540" s="553">
        <f>'Foglio deposito bis'!$E$159/sezione!$B$247*B1540</f>
        <v>9.5401091489278649</v>
      </c>
      <c r="D1540" s="611">
        <f>-'Progetto del paramento slu'!$G$47*'Progetto del paramento slu'!$G$41*IF(DATI!$G$218="dx",DATI!$E$61,DATI!$E$64*DATI!$E$63)*1000*C1540^2*sezione!$AD$5*(1-sezione!$AD$6)</f>
        <v>-749224.61310141545</v>
      </c>
      <c r="E1540" s="553">
        <f>-'Foglio deposito bis'!$F$68*(C1540-sezione!$AL$33)*IF(ABS(K1540)&lt;'Progetto del paramento slu'!$G$58,ABS(K1540)*'Progetto del paramento slu'!$G$54,'Progetto del paramento slu'!$G$53)</f>
        <v>0</v>
      </c>
      <c r="F1540" s="553">
        <f>-'Foglio deposito bis'!$F$69*(C1540-sezione!$AM$33)*IF(ABS(L1540)&lt;'Progetto del paramento slu'!$G$58,ABS(L1540)*'Progetto del paramento slu'!$G$54,'Progetto del paramento slu'!$G$53)</f>
        <v>21583749.190194417</v>
      </c>
      <c r="G1540" s="553">
        <f>-'Foglio deposito bis'!$F$70*(C1540-sezione!$AN$33)*IF(ABS(M1540)&lt;'Progetto del paramento slu'!$G$58,ABS(M1540)*'Progetto del paramento slu'!$G$54,'Progetto del paramento slu'!$G$53)</f>
        <v>0</v>
      </c>
      <c r="H1540" s="553">
        <f>-'Foglio deposito bis'!$F$71*(C1540-sezione!$AO$33)*IF(ABS(N1540)&lt;'Progetto del paramento slu'!$G$58,ABS(N1540)*'Progetto del paramento slu'!$G$54,'Progetto del paramento slu'!$G$53)</f>
        <v>103997587.90827763</v>
      </c>
      <c r="I1540" s="479">
        <f>-'Foglio deposito bis'!$F$72*(C1540-sezione!$AP$33)*IF(ABS(O1540)&lt;'Progetto del paramento slu'!$G$58,ABS(O1540)*'Progetto del paramento slu'!$G$54,'Progetto del paramento slu'!$G$53)</f>
        <v>123160970.71739243</v>
      </c>
      <c r="J1540" s="479">
        <f t="shared" si="111"/>
        <v>247993083.20276308</v>
      </c>
      <c r="K1540" s="558">
        <f>'Progetto del paramento slu'!$G$60*(sezione!$AL$33-C1540)/C1540</f>
        <v>1.1174884512797576E-2</v>
      </c>
      <c r="L1540" s="558">
        <f>'Progetto del paramento slu'!$G$60*(sezione!$AM$33-C1540)/C1540</f>
        <v>5.153081692299092E-2</v>
      </c>
      <c r="M1540" s="559">
        <f>'Progetto del paramento slu'!$G$60*(sezione!$AN$33-C1540)/C1540</f>
        <v>9.1886749333184248E-2</v>
      </c>
      <c r="N1540" s="559">
        <f>'Progetto del paramento slu'!$G$60*(sezione!$AO$33-C1540)/C1540</f>
        <v>0.12123651835877942</v>
      </c>
      <c r="O1540" s="559">
        <f>'Progetto del paramento slu'!$G$60*(sezione!$AP$33-C1540)/C1540</f>
        <v>9.1888945274436418E-2</v>
      </c>
      <c r="P1540" s="553">
        <f>-'Progetto del paramento slu'!$G$47*'Progetto del paramento slu'!$G$41*IF(DATI!$G$218="dx",DATI!$E$61,DATI!$E$64*DATI!$E$63)*1000*C1540*sezione!$AD$5</f>
        <v>-134476.32915128081</v>
      </c>
      <c r="Q1540" s="553">
        <f>'Foglio deposito bis'!$F$68*IF(ABS(K1540)&lt;'Progetto del paramento slu'!$G$58,ABS(K1540)*'Progetto del paramento slu'!$G$54,'Progetto del paramento slu'!$G$53)*IF(K1540&lt;0,-1,1)</f>
        <v>0</v>
      </c>
      <c r="R1540" s="553">
        <f>'Foglio deposito bis'!$F$69*IF(ABS(L1540)&lt;'Progetto del paramento slu'!$G$58,ABS(L1540)*'Progetto del paramento slu'!$G$54,'Progetto del paramento slu'!$G$53)*IF(L1540&lt;0,-1,1)</f>
        <v>153664.85805602249</v>
      </c>
      <c r="S1540" s="553">
        <f>'Foglio deposito bis'!$F$70*IF(ABS(M1540)&lt;'Progetto del paramento slu'!$G$58,ABS(M1540)*'Progetto del paramento slu'!$G$54,'Progetto del paramento slu'!$G$53)*IF(M1540&lt;0,-1,1)</f>
        <v>0</v>
      </c>
      <c r="T1540" s="553">
        <f>'Foglio deposito bis'!$F$71*IF(ABS(N1540)&lt;'Progetto del paramento slu'!$G$58,ABS(N1540)*'Progetto del paramento slu'!$G$54,'Progetto del paramento slu'!$G$53)*IF(N1540&lt;0,-1,1)</f>
        <v>314705.62929873407</v>
      </c>
      <c r="U1540" s="553">
        <f>'Foglio deposito bis'!$F$72*IF(ABS(O1540)&lt;'Progetto del paramento slu'!$G$58,ABS(O1540)*'Progetto del paramento slu'!$G$54,'Progetto del paramento slu'!$G$53)*IF(O1540&lt;0,-1,1)</f>
        <v>491727.54577927204</v>
      </c>
      <c r="V1540" s="479">
        <f t="shared" si="114"/>
        <v>825621.70398274786</v>
      </c>
      <c r="W1540" s="559"/>
      <c r="X1540" s="559"/>
    </row>
    <row r="1541" spans="1:24" x14ac:dyDescent="0.25">
      <c r="A1541" s="553">
        <f t="shared" si="113"/>
        <v>822760.5054901673</v>
      </c>
      <c r="B1541" s="3">
        <f t="shared" si="115"/>
        <v>2.3999999999999995</v>
      </c>
      <c r="C1541" s="553">
        <f>'Foglio deposito bis'!$E$159/sezione!$B$247*B1541</f>
        <v>9.7430901946497332</v>
      </c>
      <c r="D1541" s="611">
        <f>-'Progetto del paramento slu'!$G$47*'Progetto del paramento slu'!$G$41*IF(DATI!$G$218="dx",DATI!$E$61,DATI!$E$64*DATI!$E$63)*1000*C1541^2*sezione!$AD$5*(1-sezione!$AD$6)</f>
        <v>-781445.68066349521</v>
      </c>
      <c r="E1541" s="553">
        <f>-'Foglio deposito bis'!$F$68*(C1541-sezione!$AL$33)*IF(ABS(K1541)&lt;'Progetto del paramento slu'!$G$58,ABS(K1541)*'Progetto del paramento slu'!$G$54,'Progetto del paramento slu'!$G$53)</f>
        <v>0</v>
      </c>
      <c r="F1541" s="553">
        <f>-'Foglio deposito bis'!$F$69*(C1541-sezione!$AM$33)*IF(ABS(L1541)&lt;'Progetto del paramento slu'!$G$58,ABS(L1541)*'Progetto del paramento slu'!$G$54,'Progetto del paramento slu'!$G$53)</f>
        <v>21552558.1366155</v>
      </c>
      <c r="G1541" s="553">
        <f>-'Foglio deposito bis'!$F$70*(C1541-sezione!$AN$33)*IF(ABS(M1541)&lt;'Progetto del paramento slu'!$G$58,ABS(M1541)*'Progetto del paramento slu'!$G$54,'Progetto del paramento slu'!$G$53)</f>
        <v>0</v>
      </c>
      <c r="H1541" s="553">
        <f>-'Foglio deposito bis'!$F$71*(C1541-sezione!$AO$33)*IF(ABS(N1541)&lt;'Progetto del paramento slu'!$G$58,ABS(N1541)*'Progetto del paramento slu'!$G$54,'Progetto del paramento slu'!$G$53)</f>
        <v>103933708.63054802</v>
      </c>
      <c r="I1541" s="479">
        <f>-'Foglio deposito bis'!$F$72*(C1541-sezione!$AP$33)*IF(ABS(O1541)&lt;'Progetto del paramento slu'!$G$58,ABS(O1541)*'Progetto del paramento slu'!$G$54,'Progetto del paramento slu'!$G$53)</f>
        <v>123061159.34593989</v>
      </c>
      <c r="J1541" s="479">
        <f t="shared" si="111"/>
        <v>247765980.43243992</v>
      </c>
      <c r="K1541" s="558">
        <f>'Progetto del paramento slu'!$G$60*(sezione!$AL$33-C1541)/C1541</f>
        <v>1.0869157752114297E-2</v>
      </c>
      <c r="L1541" s="558">
        <f>'Progetto del paramento slu'!$G$60*(sezione!$AM$33-C1541)/C1541</f>
        <v>5.0384341570428606E-2</v>
      </c>
      <c r="M1541" s="559">
        <f>'Progetto del paramento slu'!$G$60*(sezione!$AN$33-C1541)/C1541</f>
        <v>8.9899525388742921E-2</v>
      </c>
      <c r="N1541" s="559">
        <f>'Progetto del paramento slu'!$G$60*(sezione!$AO$33-C1541)/C1541</f>
        <v>0.11863784089297152</v>
      </c>
      <c r="O1541" s="559">
        <f>'Progetto del paramento slu'!$G$60*(sezione!$AP$33-C1541)/C1541</f>
        <v>8.990167558121899E-2</v>
      </c>
      <c r="P1541" s="553">
        <f>-'Progetto del paramento slu'!$G$47*'Progetto del paramento slu'!$G$41*IF(DATI!$G$218="dx",DATI!$E$61,DATI!$E$64*DATI!$E$63)*1000*C1541*sezione!$AD$5</f>
        <v>-137337.52764386122</v>
      </c>
      <c r="Q1541" s="553">
        <f>'Foglio deposito bis'!$F$68*IF(ABS(K1541)&lt;'Progetto del paramento slu'!$G$58,ABS(K1541)*'Progetto del paramento slu'!$G$54,'Progetto del paramento slu'!$G$53)*IF(K1541&lt;0,-1,1)</f>
        <v>0</v>
      </c>
      <c r="R1541" s="553">
        <f>'Foglio deposito bis'!$F$69*IF(ABS(L1541)&lt;'Progetto del paramento slu'!$G$58,ABS(L1541)*'Progetto del paramento slu'!$G$54,'Progetto del paramento slu'!$G$53)*IF(L1541&lt;0,-1,1)</f>
        <v>153664.85805602249</v>
      </c>
      <c r="S1541" s="553">
        <f>'Foglio deposito bis'!$F$70*IF(ABS(M1541)&lt;'Progetto del paramento slu'!$G$58,ABS(M1541)*'Progetto del paramento slu'!$G$54,'Progetto del paramento slu'!$G$53)*IF(M1541&lt;0,-1,1)</f>
        <v>0</v>
      </c>
      <c r="T1541" s="553">
        <f>'Foglio deposito bis'!$F$71*IF(ABS(N1541)&lt;'Progetto del paramento slu'!$G$58,ABS(N1541)*'Progetto del paramento slu'!$G$54,'Progetto del paramento slu'!$G$53)*IF(N1541&lt;0,-1,1)</f>
        <v>314705.62929873407</v>
      </c>
      <c r="U1541" s="553">
        <f>'Foglio deposito bis'!$F$72*IF(ABS(O1541)&lt;'Progetto del paramento slu'!$G$58,ABS(O1541)*'Progetto del paramento slu'!$G$54,'Progetto del paramento slu'!$G$53)*IF(O1541&lt;0,-1,1)</f>
        <v>491727.54577927204</v>
      </c>
      <c r="V1541" s="479">
        <f t="shared" si="114"/>
        <v>822760.5054901673</v>
      </c>
      <c r="W1541" s="559"/>
      <c r="X1541" s="559"/>
    </row>
    <row r="1542" spans="1:24" x14ac:dyDescent="0.25">
      <c r="A1542" s="553">
        <f t="shared" si="113"/>
        <v>819899.30699758697</v>
      </c>
      <c r="B1542" s="3">
        <f t="shared" si="115"/>
        <v>2.4499999999999993</v>
      </c>
      <c r="C1542" s="553">
        <f>'Foglio deposito bis'!$E$159/sezione!$B$247*B1542</f>
        <v>9.9460712403716016</v>
      </c>
      <c r="D1542" s="611">
        <f>-'Progetto del paramento slu'!$G$47*'Progetto del paramento slu'!$G$41*IF(DATI!$G$218="dx",DATI!$E$61,DATI!$E$64*DATI!$E$63)*1000*C1542^2*sezione!$AD$5*(1-sezione!$AD$6)</f>
        <v>-814345.08649003983</v>
      </c>
      <c r="E1542" s="553">
        <f>-'Foglio deposito bis'!$F$68*(C1542-sezione!$AL$33)*IF(ABS(K1542)&lt;'Progetto del paramento slu'!$G$58,ABS(K1542)*'Progetto del paramento slu'!$G$54,'Progetto del paramento slu'!$G$53)</f>
        <v>0</v>
      </c>
      <c r="F1542" s="553">
        <f>-'Foglio deposito bis'!$F$69*(C1542-sezione!$AM$33)*IF(ABS(L1542)&lt;'Progetto del paramento slu'!$G$58,ABS(L1542)*'Progetto del paramento slu'!$G$54,'Progetto del paramento slu'!$G$53)</f>
        <v>21521367.083036587</v>
      </c>
      <c r="G1542" s="553">
        <f>-'Foglio deposito bis'!$F$70*(C1542-sezione!$AN$33)*IF(ABS(M1542)&lt;'Progetto del paramento slu'!$G$58,ABS(M1542)*'Progetto del paramento slu'!$G$54,'Progetto del paramento slu'!$G$53)</f>
        <v>0</v>
      </c>
      <c r="H1542" s="553">
        <f>-'Foglio deposito bis'!$F$71*(C1542-sezione!$AO$33)*IF(ABS(N1542)&lt;'Progetto del paramento slu'!$G$58,ABS(N1542)*'Progetto del paramento slu'!$G$54,'Progetto del paramento slu'!$G$53)</f>
        <v>103869829.3528184</v>
      </c>
      <c r="I1542" s="479">
        <f>-'Foglio deposito bis'!$F$72*(C1542-sezione!$AP$33)*IF(ABS(O1542)&lt;'Progetto del paramento slu'!$G$58,ABS(O1542)*'Progetto del paramento slu'!$G$54,'Progetto del paramento slu'!$G$53)</f>
        <v>122961347.97448738</v>
      </c>
      <c r="J1542" s="479">
        <f t="shared" si="111"/>
        <v>247538199.32385233</v>
      </c>
      <c r="K1542" s="558">
        <f>'Progetto del paramento slu'!$G$60*(sezione!$AL$33-C1542)/C1542</f>
        <v>1.057590963472421E-2</v>
      </c>
      <c r="L1542" s="558">
        <f>'Progetto del paramento slu'!$G$60*(sezione!$AM$33-C1542)/C1542</f>
        <v>4.928466113021579E-2</v>
      </c>
      <c r="M1542" s="559">
        <f>'Progetto del paramento slu'!$G$60*(sezione!$AN$33-C1542)/C1542</f>
        <v>8.7993412625707368E-2</v>
      </c>
      <c r="N1542" s="559">
        <f>'Progetto del paramento slu'!$G$60*(sezione!$AO$33-C1542)/C1542</f>
        <v>0.11614523189515577</v>
      </c>
      <c r="O1542" s="559">
        <f>'Progetto del paramento slu'!$G$60*(sezione!$AP$33-C1542)/C1542</f>
        <v>8.7995518936704334E-2</v>
      </c>
      <c r="P1542" s="553">
        <f>-'Progetto del paramento slu'!$G$47*'Progetto del paramento slu'!$G$41*IF(DATI!$G$218="dx",DATI!$E$61,DATI!$E$64*DATI!$E$63)*1000*C1542*sezione!$AD$5</f>
        <v>-140198.72613644163</v>
      </c>
      <c r="Q1542" s="553">
        <f>'Foglio deposito bis'!$F$68*IF(ABS(K1542)&lt;'Progetto del paramento slu'!$G$58,ABS(K1542)*'Progetto del paramento slu'!$G$54,'Progetto del paramento slu'!$G$53)*IF(K1542&lt;0,-1,1)</f>
        <v>0</v>
      </c>
      <c r="R1542" s="553">
        <f>'Foglio deposito bis'!$F$69*IF(ABS(L1542)&lt;'Progetto del paramento slu'!$G$58,ABS(L1542)*'Progetto del paramento slu'!$G$54,'Progetto del paramento slu'!$G$53)*IF(L1542&lt;0,-1,1)</f>
        <v>153664.85805602249</v>
      </c>
      <c r="S1542" s="553">
        <f>'Foglio deposito bis'!$F$70*IF(ABS(M1542)&lt;'Progetto del paramento slu'!$G$58,ABS(M1542)*'Progetto del paramento slu'!$G$54,'Progetto del paramento slu'!$G$53)*IF(M1542&lt;0,-1,1)</f>
        <v>0</v>
      </c>
      <c r="T1542" s="553">
        <f>'Foglio deposito bis'!$F$71*IF(ABS(N1542)&lt;'Progetto del paramento slu'!$G$58,ABS(N1542)*'Progetto del paramento slu'!$G$54,'Progetto del paramento slu'!$G$53)*IF(N1542&lt;0,-1,1)</f>
        <v>314705.62929873407</v>
      </c>
      <c r="U1542" s="553">
        <f>'Foglio deposito bis'!$F$72*IF(ABS(O1542)&lt;'Progetto del paramento slu'!$G$58,ABS(O1542)*'Progetto del paramento slu'!$G$54,'Progetto del paramento slu'!$G$53)*IF(O1542&lt;0,-1,1)</f>
        <v>491727.54577927204</v>
      </c>
      <c r="V1542" s="479">
        <f t="shared" si="114"/>
        <v>819899.30699758697</v>
      </c>
      <c r="W1542" s="559"/>
      <c r="X1542" s="559"/>
    </row>
    <row r="1543" spans="1:24" x14ac:dyDescent="0.25">
      <c r="A1543" s="553">
        <f t="shared" si="113"/>
        <v>817038.10850500653</v>
      </c>
      <c r="B1543" s="3">
        <f t="shared" si="115"/>
        <v>2.4999999999999991</v>
      </c>
      <c r="C1543" s="553">
        <f>'Foglio deposito bis'!$E$159/sezione!$B$247*B1543</f>
        <v>10.14905228609347</v>
      </c>
      <c r="D1543" s="611">
        <f>-'Progetto del paramento slu'!$G$47*'Progetto del paramento slu'!$G$41*IF(DATI!$G$218="dx",DATI!$E$61,DATI!$E$64*DATI!$E$63)*1000*C1543^2*sezione!$AD$5*(1-sezione!$AD$6)</f>
        <v>-847922.83058104932</v>
      </c>
      <c r="E1543" s="553">
        <f>-'Foglio deposito bis'!$F$68*(C1543-sezione!$AL$33)*IF(ABS(K1543)&lt;'Progetto del paramento slu'!$G$58,ABS(K1543)*'Progetto del paramento slu'!$G$54,'Progetto del paramento slu'!$G$53)</f>
        <v>0</v>
      </c>
      <c r="F1543" s="553">
        <f>-'Foglio deposito bis'!$F$69*(C1543-sezione!$AM$33)*IF(ABS(L1543)&lt;'Progetto del paramento slu'!$G$58,ABS(L1543)*'Progetto del paramento slu'!$G$54,'Progetto del paramento slu'!$G$53)</f>
        <v>21490176.02945767</v>
      </c>
      <c r="G1543" s="553">
        <f>-'Foglio deposito bis'!$F$70*(C1543-sezione!$AN$33)*IF(ABS(M1543)&lt;'Progetto del paramento slu'!$G$58,ABS(M1543)*'Progetto del paramento slu'!$G$54,'Progetto del paramento slu'!$G$53)</f>
        <v>0</v>
      </c>
      <c r="H1543" s="553">
        <f>-'Foglio deposito bis'!$F$71*(C1543-sezione!$AO$33)*IF(ABS(N1543)&lt;'Progetto del paramento slu'!$G$58,ABS(N1543)*'Progetto del paramento slu'!$G$54,'Progetto del paramento slu'!$G$53)</f>
        <v>103805950.07508878</v>
      </c>
      <c r="I1543" s="479">
        <f>-'Foglio deposito bis'!$F$72*(C1543-sezione!$AP$33)*IF(ABS(O1543)&lt;'Progetto del paramento slu'!$G$58,ABS(O1543)*'Progetto del paramento slu'!$G$54,'Progetto del paramento slu'!$G$53)</f>
        <v>122861536.60303485</v>
      </c>
      <c r="J1543" s="479">
        <f t="shared" si="111"/>
        <v>247309739.87700027</v>
      </c>
      <c r="K1543" s="558">
        <f>'Progetto del paramento slu'!$G$60*(sezione!$AL$33-C1543)/C1543</f>
        <v>1.0294391442029727E-2</v>
      </c>
      <c r="L1543" s="558">
        <f>'Progetto del paramento slu'!$G$60*(sezione!$AM$33-C1543)/C1543</f>
        <v>4.8228967907611477E-2</v>
      </c>
      <c r="M1543" s="559">
        <f>'Progetto del paramento slu'!$G$60*(sezione!$AN$33-C1543)/C1543</f>
        <v>8.6163544373193221E-2</v>
      </c>
      <c r="N1543" s="559">
        <f>'Progetto del paramento slu'!$G$60*(sezione!$AO$33-C1543)/C1543</f>
        <v>0.11375232725725268</v>
      </c>
      <c r="O1543" s="559">
        <f>'Progetto del paramento slu'!$G$60*(sezione!$AP$33-C1543)/C1543</f>
        <v>8.6165608557970244E-2</v>
      </c>
      <c r="P1543" s="553">
        <f>-'Progetto del paramento slu'!$G$47*'Progetto del paramento slu'!$G$41*IF(DATI!$G$218="dx",DATI!$E$61,DATI!$E$64*DATI!$E$63)*1000*C1543*sezione!$AD$5</f>
        <v>-143059.92462902208</v>
      </c>
      <c r="Q1543" s="553">
        <f>'Foglio deposito bis'!$F$68*IF(ABS(K1543)&lt;'Progetto del paramento slu'!$G$58,ABS(K1543)*'Progetto del paramento slu'!$G$54,'Progetto del paramento slu'!$G$53)*IF(K1543&lt;0,-1,1)</f>
        <v>0</v>
      </c>
      <c r="R1543" s="553">
        <f>'Foglio deposito bis'!$F$69*IF(ABS(L1543)&lt;'Progetto del paramento slu'!$G$58,ABS(L1543)*'Progetto del paramento slu'!$G$54,'Progetto del paramento slu'!$G$53)*IF(L1543&lt;0,-1,1)</f>
        <v>153664.85805602249</v>
      </c>
      <c r="S1543" s="553">
        <f>'Foglio deposito bis'!$F$70*IF(ABS(M1543)&lt;'Progetto del paramento slu'!$G$58,ABS(M1543)*'Progetto del paramento slu'!$G$54,'Progetto del paramento slu'!$G$53)*IF(M1543&lt;0,-1,1)</f>
        <v>0</v>
      </c>
      <c r="T1543" s="553">
        <f>'Foglio deposito bis'!$F$71*IF(ABS(N1543)&lt;'Progetto del paramento slu'!$G$58,ABS(N1543)*'Progetto del paramento slu'!$G$54,'Progetto del paramento slu'!$G$53)*IF(N1543&lt;0,-1,1)</f>
        <v>314705.62929873407</v>
      </c>
      <c r="U1543" s="553">
        <f>'Foglio deposito bis'!$F$72*IF(ABS(O1543)&lt;'Progetto del paramento slu'!$G$58,ABS(O1543)*'Progetto del paramento slu'!$G$54,'Progetto del paramento slu'!$G$53)*IF(O1543&lt;0,-1,1)</f>
        <v>491727.54577927204</v>
      </c>
      <c r="V1543" s="479">
        <f t="shared" si="114"/>
        <v>817038.10850500653</v>
      </c>
      <c r="W1543" s="559"/>
      <c r="X1543" s="559"/>
    </row>
    <row r="1544" spans="1:24" x14ac:dyDescent="0.25">
      <c r="A1544" s="553">
        <f t="shared" si="113"/>
        <v>814176.91001242609</v>
      </c>
      <c r="B1544" s="3">
        <f t="shared" si="115"/>
        <v>2.5499999999999989</v>
      </c>
      <c r="C1544" s="553">
        <f>'Foglio deposito bis'!$E$159/sezione!$B$247*B1544</f>
        <v>10.352033331815338</v>
      </c>
      <c r="D1544" s="611">
        <f>-'Progetto del paramento slu'!$G$47*'Progetto del paramento slu'!$G$41*IF(DATI!$G$218="dx",DATI!$E$61,DATI!$E$64*DATI!$E$63)*1000*C1544^2*sezione!$AD$5*(1-sezione!$AD$6)</f>
        <v>-882178.91293652332</v>
      </c>
      <c r="E1544" s="553">
        <f>-'Foglio deposito bis'!$F$68*(C1544-sezione!$AL$33)*IF(ABS(K1544)&lt;'Progetto del paramento slu'!$G$58,ABS(K1544)*'Progetto del paramento slu'!$G$54,'Progetto del paramento slu'!$G$53)</f>
        <v>0</v>
      </c>
      <c r="F1544" s="553">
        <f>-'Foglio deposito bis'!$F$69*(C1544-sezione!$AM$33)*IF(ABS(L1544)&lt;'Progetto del paramento slu'!$G$58,ABS(L1544)*'Progetto del paramento slu'!$G$54,'Progetto del paramento slu'!$G$53)</f>
        <v>21458984.97587876</v>
      </c>
      <c r="G1544" s="553">
        <f>-'Foglio deposito bis'!$F$70*(C1544-sezione!$AN$33)*IF(ABS(M1544)&lt;'Progetto del paramento slu'!$G$58,ABS(M1544)*'Progetto del paramento slu'!$G$54,'Progetto del paramento slu'!$G$53)</f>
        <v>0</v>
      </c>
      <c r="H1544" s="553">
        <f>-'Foglio deposito bis'!$F$71*(C1544-sezione!$AO$33)*IF(ABS(N1544)&lt;'Progetto del paramento slu'!$G$58,ABS(N1544)*'Progetto del paramento slu'!$G$54,'Progetto del paramento slu'!$G$53)</f>
        <v>103742070.79735917</v>
      </c>
      <c r="I1544" s="479">
        <f>-'Foglio deposito bis'!$F$72*(C1544-sezione!$AP$33)*IF(ABS(O1544)&lt;'Progetto del paramento slu'!$G$58,ABS(O1544)*'Progetto del paramento slu'!$G$54,'Progetto del paramento slu'!$G$53)</f>
        <v>122761725.23158234</v>
      </c>
      <c r="J1544" s="479">
        <f t="shared" si="111"/>
        <v>247080602.09188375</v>
      </c>
      <c r="K1544" s="558">
        <f>'Progetto del paramento slu'!$G$60*(sezione!$AL$33-C1544)/C1544</f>
        <v>1.002391317846052E-2</v>
      </c>
      <c r="L1544" s="558">
        <f>'Progetto del paramento slu'!$G$60*(sezione!$AM$33-C1544)/C1544</f>
        <v>4.7214674419226943E-2</v>
      </c>
      <c r="M1544" s="559">
        <f>'Progetto del paramento slu'!$G$60*(sezione!$AN$33-C1544)/C1544</f>
        <v>8.4405435659993366E-2</v>
      </c>
      <c r="N1544" s="559">
        <f>'Progetto del paramento slu'!$G$60*(sezione!$AO$33-C1544)/C1544</f>
        <v>0.11145326201691441</v>
      </c>
      <c r="O1544" s="559">
        <f>'Progetto del paramento slu'!$G$60*(sezione!$AP$33-C1544)/C1544</f>
        <v>8.4407459370559088E-2</v>
      </c>
      <c r="P1544" s="553">
        <f>-'Progetto del paramento slu'!$G$47*'Progetto del paramento slu'!$G$41*IF(DATI!$G$218="dx",DATI!$E$61,DATI!$E$64*DATI!$E$63)*1000*C1544*sezione!$AD$5</f>
        <v>-145921.12312160252</v>
      </c>
      <c r="Q1544" s="553">
        <f>'Foglio deposito bis'!$F$68*IF(ABS(K1544)&lt;'Progetto del paramento slu'!$G$58,ABS(K1544)*'Progetto del paramento slu'!$G$54,'Progetto del paramento slu'!$G$53)*IF(K1544&lt;0,-1,1)</f>
        <v>0</v>
      </c>
      <c r="R1544" s="553">
        <f>'Foglio deposito bis'!$F$69*IF(ABS(L1544)&lt;'Progetto del paramento slu'!$G$58,ABS(L1544)*'Progetto del paramento slu'!$G$54,'Progetto del paramento slu'!$G$53)*IF(L1544&lt;0,-1,1)</f>
        <v>153664.85805602249</v>
      </c>
      <c r="S1544" s="553">
        <f>'Foglio deposito bis'!$F$70*IF(ABS(M1544)&lt;'Progetto del paramento slu'!$G$58,ABS(M1544)*'Progetto del paramento slu'!$G$54,'Progetto del paramento slu'!$G$53)*IF(M1544&lt;0,-1,1)</f>
        <v>0</v>
      </c>
      <c r="T1544" s="553">
        <f>'Foglio deposito bis'!$F$71*IF(ABS(N1544)&lt;'Progetto del paramento slu'!$G$58,ABS(N1544)*'Progetto del paramento slu'!$G$54,'Progetto del paramento slu'!$G$53)*IF(N1544&lt;0,-1,1)</f>
        <v>314705.62929873407</v>
      </c>
      <c r="U1544" s="553">
        <f>'Foglio deposito bis'!$F$72*IF(ABS(O1544)&lt;'Progetto del paramento slu'!$G$58,ABS(O1544)*'Progetto del paramento slu'!$G$54,'Progetto del paramento slu'!$G$53)*IF(O1544&lt;0,-1,1)</f>
        <v>491727.54577927204</v>
      </c>
      <c r="V1544" s="479">
        <f t="shared" si="114"/>
        <v>814176.91001242609</v>
      </c>
      <c r="W1544" s="559"/>
      <c r="X1544" s="559"/>
    </row>
    <row r="1545" spans="1:24" x14ac:dyDescent="0.25">
      <c r="A1545" s="553">
        <f t="shared" si="113"/>
        <v>811315.71151984564</v>
      </c>
      <c r="B1545" s="3">
        <f t="shared" si="115"/>
        <v>2.5999999999999988</v>
      </c>
      <c r="C1545" s="553">
        <f>'Foglio deposito bis'!$E$159/sezione!$B$247*B1545</f>
        <v>10.555014377537209</v>
      </c>
      <c r="D1545" s="611">
        <f>-'Progetto del paramento slu'!$G$47*'Progetto del paramento slu'!$G$41*IF(DATI!$G$218="dx",DATI!$E$61,DATI!$E$64*DATI!$E$63)*1000*C1545^2*sezione!$AD$5*(1-sezione!$AD$6)</f>
        <v>-917113.33355646278</v>
      </c>
      <c r="E1545" s="553">
        <f>-'Foglio deposito bis'!$F$68*(C1545-sezione!$AL$33)*IF(ABS(K1545)&lt;'Progetto del paramento slu'!$G$58,ABS(K1545)*'Progetto del paramento slu'!$G$54,'Progetto del paramento slu'!$G$53)</f>
        <v>0</v>
      </c>
      <c r="F1545" s="553">
        <f>-'Foglio deposito bis'!$F$69*(C1545-sezione!$AM$33)*IF(ABS(L1545)&lt;'Progetto del paramento slu'!$G$58,ABS(L1545)*'Progetto del paramento slu'!$G$54,'Progetto del paramento slu'!$G$53)</f>
        <v>21427793.922299843</v>
      </c>
      <c r="G1545" s="553">
        <f>-'Foglio deposito bis'!$F$70*(C1545-sezione!$AN$33)*IF(ABS(M1545)&lt;'Progetto del paramento slu'!$G$58,ABS(M1545)*'Progetto del paramento slu'!$G$54,'Progetto del paramento slu'!$G$53)</f>
        <v>0</v>
      </c>
      <c r="H1545" s="553">
        <f>-'Foglio deposito bis'!$F$71*(C1545-sezione!$AO$33)*IF(ABS(N1545)&lt;'Progetto del paramento slu'!$G$58,ABS(N1545)*'Progetto del paramento slu'!$G$54,'Progetto del paramento slu'!$G$53)</f>
        <v>103678191.51962955</v>
      </c>
      <c r="I1545" s="479">
        <f>-'Foglio deposito bis'!$F$72*(C1545-sezione!$AP$33)*IF(ABS(O1545)&lt;'Progetto del paramento slu'!$G$58,ABS(O1545)*'Progetto del paramento slu'!$G$54,'Progetto del paramento slu'!$G$53)</f>
        <v>122661913.8601298</v>
      </c>
      <c r="J1545" s="479">
        <f t="shared" si="111"/>
        <v>246850785.96850273</v>
      </c>
      <c r="K1545" s="558">
        <f>'Progetto del paramento slu'!$G$60*(sezione!$AL$33-C1545)/C1545</f>
        <v>9.7638379250285841E-3</v>
      </c>
      <c r="L1545" s="558">
        <f>'Progetto del paramento slu'!$G$60*(sezione!$AM$33-C1545)/C1545</f>
        <v>4.6239392218857187E-2</v>
      </c>
      <c r="M1545" s="559">
        <f>'Progetto del paramento slu'!$G$60*(sezione!$AN$33-C1545)/C1545</f>
        <v>8.2714946512685794E-2</v>
      </c>
      <c r="N1545" s="559">
        <f>'Progetto del paramento slu'!$G$60*(sezione!$AO$33-C1545)/C1545</f>
        <v>0.10924262236274297</v>
      </c>
      <c r="O1545" s="559">
        <f>'Progetto del paramento slu'!$G$60*(sezione!$AP$33-C1545)/C1545</f>
        <v>8.2716931305740621E-2</v>
      </c>
      <c r="P1545" s="553">
        <f>-'Progetto del paramento slu'!$G$47*'Progetto del paramento slu'!$G$41*IF(DATI!$G$218="dx",DATI!$E$61,DATI!$E$64*DATI!$E$63)*1000*C1545*sezione!$AD$5</f>
        <v>-148782.32161418296</v>
      </c>
      <c r="Q1545" s="553">
        <f>'Foglio deposito bis'!$F$68*IF(ABS(K1545)&lt;'Progetto del paramento slu'!$G$58,ABS(K1545)*'Progetto del paramento slu'!$G$54,'Progetto del paramento slu'!$G$53)*IF(K1545&lt;0,-1,1)</f>
        <v>0</v>
      </c>
      <c r="R1545" s="553">
        <f>'Foglio deposito bis'!$F$69*IF(ABS(L1545)&lt;'Progetto del paramento slu'!$G$58,ABS(L1545)*'Progetto del paramento slu'!$G$54,'Progetto del paramento slu'!$G$53)*IF(L1545&lt;0,-1,1)</f>
        <v>153664.85805602249</v>
      </c>
      <c r="S1545" s="553">
        <f>'Foglio deposito bis'!$F$70*IF(ABS(M1545)&lt;'Progetto del paramento slu'!$G$58,ABS(M1545)*'Progetto del paramento slu'!$G$54,'Progetto del paramento slu'!$G$53)*IF(M1545&lt;0,-1,1)</f>
        <v>0</v>
      </c>
      <c r="T1545" s="553">
        <f>'Foglio deposito bis'!$F$71*IF(ABS(N1545)&lt;'Progetto del paramento slu'!$G$58,ABS(N1545)*'Progetto del paramento slu'!$G$54,'Progetto del paramento slu'!$G$53)*IF(N1545&lt;0,-1,1)</f>
        <v>314705.62929873407</v>
      </c>
      <c r="U1545" s="553">
        <f>'Foglio deposito bis'!$F$72*IF(ABS(O1545)&lt;'Progetto del paramento slu'!$G$58,ABS(O1545)*'Progetto del paramento slu'!$G$54,'Progetto del paramento slu'!$G$53)*IF(O1545&lt;0,-1,1)</f>
        <v>491727.54577927204</v>
      </c>
      <c r="V1545" s="479">
        <f t="shared" si="114"/>
        <v>811315.71151984564</v>
      </c>
      <c r="W1545" s="559"/>
      <c r="X1545" s="559"/>
    </row>
    <row r="1546" spans="1:24" x14ac:dyDescent="0.25">
      <c r="A1546" s="553">
        <f t="shared" si="113"/>
        <v>808454.5130272652</v>
      </c>
      <c r="B1546" s="3">
        <f t="shared" si="115"/>
        <v>2.6499999999999986</v>
      </c>
      <c r="C1546" s="553">
        <f>'Foglio deposito bis'!$E$159/sezione!$B$247*B1546</f>
        <v>10.757995423259077</v>
      </c>
      <c r="D1546" s="611">
        <f>-'Progetto del paramento slu'!$G$47*'Progetto del paramento slu'!$G$41*IF(DATI!$G$218="dx",DATI!$E$61,DATI!$E$64*DATI!$E$63)*1000*C1546^2*sezione!$AD$5*(1-sezione!$AD$6)</f>
        <v>-952726.09244086663</v>
      </c>
      <c r="E1546" s="553">
        <f>-'Foglio deposito bis'!$F$68*(C1546-sezione!$AL$33)*IF(ABS(K1546)&lt;'Progetto del paramento slu'!$G$58,ABS(K1546)*'Progetto del paramento slu'!$G$54,'Progetto del paramento slu'!$G$53)</f>
        <v>0</v>
      </c>
      <c r="F1546" s="553">
        <f>-'Foglio deposito bis'!$F$69*(C1546-sezione!$AM$33)*IF(ABS(L1546)&lt;'Progetto del paramento slu'!$G$58,ABS(L1546)*'Progetto del paramento slu'!$G$54,'Progetto del paramento slu'!$G$53)</f>
        <v>21396602.86872093</v>
      </c>
      <c r="G1546" s="553">
        <f>-'Foglio deposito bis'!$F$70*(C1546-sezione!$AN$33)*IF(ABS(M1546)&lt;'Progetto del paramento slu'!$G$58,ABS(M1546)*'Progetto del paramento slu'!$G$54,'Progetto del paramento slu'!$G$53)</f>
        <v>0</v>
      </c>
      <c r="H1546" s="553">
        <f>-'Foglio deposito bis'!$F$71*(C1546-sezione!$AO$33)*IF(ABS(N1546)&lt;'Progetto del paramento slu'!$G$58,ABS(N1546)*'Progetto del paramento slu'!$G$54,'Progetto del paramento slu'!$G$53)</f>
        <v>103614312.24189994</v>
      </c>
      <c r="I1546" s="479">
        <f>-'Foglio deposito bis'!$F$72*(C1546-sezione!$AP$33)*IF(ABS(O1546)&lt;'Progetto del paramento slu'!$G$58,ABS(O1546)*'Progetto del paramento slu'!$G$54,'Progetto del paramento slu'!$G$53)</f>
        <v>122562102.48867729</v>
      </c>
      <c r="J1546" s="479">
        <f t="shared" si="111"/>
        <v>246620291.50685728</v>
      </c>
      <c r="K1546" s="558">
        <f>'Progetto del paramento slu'!$G$60*(sezione!$AL$33-C1546)/C1546</f>
        <v>9.5135768321035191E-3</v>
      </c>
      <c r="L1546" s="558">
        <f>'Progetto del paramento slu'!$G$60*(sezione!$AM$33-C1546)/C1546</f>
        <v>4.5300913120388198E-2</v>
      </c>
      <c r="M1546" s="559">
        <f>'Progetto del paramento slu'!$G$60*(sezione!$AN$33-C1546)/C1546</f>
        <v>8.1088249408672861E-2</v>
      </c>
      <c r="N1546" s="559">
        <f>'Progetto del paramento slu'!$G$60*(sezione!$AO$33-C1546)/C1546</f>
        <v>0.10711540307287989</v>
      </c>
      <c r="O1546" s="559">
        <f>'Progetto del paramento slu'!$G$60*(sezione!$AP$33-C1546)/C1546</f>
        <v>8.1090196752802143E-2</v>
      </c>
      <c r="P1546" s="553">
        <f>-'Progetto del paramento slu'!$G$47*'Progetto del paramento slu'!$G$41*IF(DATI!$G$218="dx",DATI!$E$61,DATI!$E$64*DATI!$E$63)*1000*C1546*sezione!$AD$5</f>
        <v>-151643.5201067634</v>
      </c>
      <c r="Q1546" s="553">
        <f>'Foglio deposito bis'!$F$68*IF(ABS(K1546)&lt;'Progetto del paramento slu'!$G$58,ABS(K1546)*'Progetto del paramento slu'!$G$54,'Progetto del paramento slu'!$G$53)*IF(K1546&lt;0,-1,1)</f>
        <v>0</v>
      </c>
      <c r="R1546" s="553">
        <f>'Foglio deposito bis'!$F$69*IF(ABS(L1546)&lt;'Progetto del paramento slu'!$G$58,ABS(L1546)*'Progetto del paramento slu'!$G$54,'Progetto del paramento slu'!$G$53)*IF(L1546&lt;0,-1,1)</f>
        <v>153664.85805602249</v>
      </c>
      <c r="S1546" s="553">
        <f>'Foglio deposito bis'!$F$70*IF(ABS(M1546)&lt;'Progetto del paramento slu'!$G$58,ABS(M1546)*'Progetto del paramento slu'!$G$54,'Progetto del paramento slu'!$G$53)*IF(M1546&lt;0,-1,1)</f>
        <v>0</v>
      </c>
      <c r="T1546" s="553">
        <f>'Foglio deposito bis'!$F$71*IF(ABS(N1546)&lt;'Progetto del paramento slu'!$G$58,ABS(N1546)*'Progetto del paramento slu'!$G$54,'Progetto del paramento slu'!$G$53)*IF(N1546&lt;0,-1,1)</f>
        <v>314705.62929873407</v>
      </c>
      <c r="U1546" s="553">
        <f>'Foglio deposito bis'!$F$72*IF(ABS(O1546)&lt;'Progetto del paramento slu'!$G$58,ABS(O1546)*'Progetto del paramento slu'!$G$54,'Progetto del paramento slu'!$G$53)*IF(O1546&lt;0,-1,1)</f>
        <v>491727.54577927204</v>
      </c>
      <c r="V1546" s="479">
        <f t="shared" si="114"/>
        <v>808454.5130272652</v>
      </c>
      <c r="W1546" s="559"/>
      <c r="X1546" s="559"/>
    </row>
    <row r="1547" spans="1:24" x14ac:dyDescent="0.25">
      <c r="A1547" s="553">
        <f t="shared" si="113"/>
        <v>805593.31453468488</v>
      </c>
      <c r="B1547" s="3">
        <f t="shared" si="115"/>
        <v>2.6999999999999984</v>
      </c>
      <c r="C1547" s="553">
        <f>'Foglio deposito bis'!$E$159/sezione!$B$247*B1547</f>
        <v>10.960976468980945</v>
      </c>
      <c r="D1547" s="611">
        <f>-'Progetto del paramento slu'!$G$47*'Progetto del paramento slu'!$G$41*IF(DATI!$G$218="dx",DATI!$E$61,DATI!$E$64*DATI!$E$63)*1000*C1547^2*sezione!$AD$5*(1-sezione!$AD$6)</f>
        <v>-989017.18958973535</v>
      </c>
      <c r="E1547" s="553">
        <f>-'Foglio deposito bis'!$F$68*(C1547-sezione!$AL$33)*IF(ABS(K1547)&lt;'Progetto del paramento slu'!$G$58,ABS(K1547)*'Progetto del paramento slu'!$G$54,'Progetto del paramento slu'!$G$53)</f>
        <v>0</v>
      </c>
      <c r="F1547" s="553">
        <f>-'Foglio deposito bis'!$F$69*(C1547-sezione!$AM$33)*IF(ABS(L1547)&lt;'Progetto del paramento slu'!$G$58,ABS(L1547)*'Progetto del paramento slu'!$G$54,'Progetto del paramento slu'!$G$53)</f>
        <v>21365411.815142013</v>
      </c>
      <c r="G1547" s="553">
        <f>-'Foglio deposito bis'!$F$70*(C1547-sezione!$AN$33)*IF(ABS(M1547)&lt;'Progetto del paramento slu'!$G$58,ABS(M1547)*'Progetto del paramento slu'!$G$54,'Progetto del paramento slu'!$G$53)</f>
        <v>0</v>
      </c>
      <c r="H1547" s="553">
        <f>-'Foglio deposito bis'!$F$71*(C1547-sezione!$AO$33)*IF(ABS(N1547)&lt;'Progetto del paramento slu'!$G$58,ABS(N1547)*'Progetto del paramento slu'!$G$54,'Progetto del paramento slu'!$G$53)</f>
        <v>103550432.96417032</v>
      </c>
      <c r="I1547" s="479">
        <f>-'Foglio deposito bis'!$F$72*(C1547-sezione!$AP$33)*IF(ABS(O1547)&lt;'Progetto del paramento slu'!$G$58,ABS(O1547)*'Progetto del paramento slu'!$G$54,'Progetto del paramento slu'!$G$53)</f>
        <v>122462291.11722475</v>
      </c>
      <c r="J1547" s="479">
        <f t="shared" si="111"/>
        <v>246389118.70694736</v>
      </c>
      <c r="K1547" s="558">
        <f>'Progetto del paramento slu'!$G$60*(sezione!$AL$33-C1547)/C1547</f>
        <v>9.272584668546047E-3</v>
      </c>
      <c r="L1547" s="558">
        <f>'Progetto del paramento slu'!$G$60*(sezione!$AM$33-C1547)/C1547</f>
        <v>4.439719250704767E-2</v>
      </c>
      <c r="M1547" s="559">
        <f>'Progetto del paramento slu'!$G$60*(sezione!$AN$33-C1547)/C1547</f>
        <v>7.9521800345549301E-2</v>
      </c>
      <c r="N1547" s="559">
        <f>'Progetto del paramento slu'!$G$60*(sezione!$AO$33-C1547)/C1547</f>
        <v>0.10506696968264138</v>
      </c>
      <c r="O1547" s="559">
        <f>'Progetto del paramento slu'!$G$60*(sezione!$AP$33-C1547)/C1547</f>
        <v>7.9523711627750251E-2</v>
      </c>
      <c r="P1547" s="553">
        <f>-'Progetto del paramento slu'!$G$47*'Progetto del paramento slu'!$G$41*IF(DATI!$G$218="dx",DATI!$E$61,DATI!$E$64*DATI!$E$63)*1000*C1547*sezione!$AD$5</f>
        <v>-154504.71859934382</v>
      </c>
      <c r="Q1547" s="553">
        <f>'Foglio deposito bis'!$F$68*IF(ABS(K1547)&lt;'Progetto del paramento slu'!$G$58,ABS(K1547)*'Progetto del paramento slu'!$G$54,'Progetto del paramento slu'!$G$53)*IF(K1547&lt;0,-1,1)</f>
        <v>0</v>
      </c>
      <c r="R1547" s="553">
        <f>'Foglio deposito bis'!$F$69*IF(ABS(L1547)&lt;'Progetto del paramento slu'!$G$58,ABS(L1547)*'Progetto del paramento slu'!$G$54,'Progetto del paramento slu'!$G$53)*IF(L1547&lt;0,-1,1)</f>
        <v>153664.85805602249</v>
      </c>
      <c r="S1547" s="553">
        <f>'Foglio deposito bis'!$F$70*IF(ABS(M1547)&lt;'Progetto del paramento slu'!$G$58,ABS(M1547)*'Progetto del paramento slu'!$G$54,'Progetto del paramento slu'!$G$53)*IF(M1547&lt;0,-1,1)</f>
        <v>0</v>
      </c>
      <c r="T1547" s="553">
        <f>'Foglio deposito bis'!$F$71*IF(ABS(N1547)&lt;'Progetto del paramento slu'!$G$58,ABS(N1547)*'Progetto del paramento slu'!$G$54,'Progetto del paramento slu'!$G$53)*IF(N1547&lt;0,-1,1)</f>
        <v>314705.62929873407</v>
      </c>
      <c r="U1547" s="553">
        <f>'Foglio deposito bis'!$F$72*IF(ABS(O1547)&lt;'Progetto del paramento slu'!$G$58,ABS(O1547)*'Progetto del paramento slu'!$G$54,'Progetto del paramento slu'!$G$53)*IF(O1547&lt;0,-1,1)</f>
        <v>491727.54577927204</v>
      </c>
      <c r="V1547" s="479">
        <f t="shared" si="114"/>
        <v>805593.31453468488</v>
      </c>
      <c r="W1547" s="559"/>
      <c r="X1547" s="559"/>
    </row>
    <row r="1548" spans="1:24" x14ac:dyDescent="0.25">
      <c r="A1548" s="553">
        <f t="shared" si="113"/>
        <v>802732.11604210432</v>
      </c>
      <c r="B1548" s="3">
        <f t="shared" si="115"/>
        <v>2.7499999999999982</v>
      </c>
      <c r="C1548" s="553">
        <f>'Foglio deposito bis'!$E$159/sezione!$B$247*B1548</f>
        <v>11.163957514702814</v>
      </c>
      <c r="D1548" s="611">
        <f>-'Progetto del paramento slu'!$G$47*'Progetto del paramento slu'!$G$41*IF(DATI!$G$218="dx",DATI!$E$61,DATI!$E$64*DATI!$E$63)*1000*C1548^2*sezione!$AD$5*(1-sezione!$AD$6)</f>
        <v>-1025986.6250030688</v>
      </c>
      <c r="E1548" s="553">
        <f>-'Foglio deposito bis'!$F$68*(C1548-sezione!$AL$33)*IF(ABS(K1548)&lt;'Progetto del paramento slu'!$G$58,ABS(K1548)*'Progetto del paramento slu'!$G$54,'Progetto del paramento slu'!$G$53)</f>
        <v>0</v>
      </c>
      <c r="F1548" s="553">
        <f>-'Foglio deposito bis'!$F$69*(C1548-sezione!$AM$33)*IF(ABS(L1548)&lt;'Progetto del paramento slu'!$G$58,ABS(L1548)*'Progetto del paramento slu'!$G$54,'Progetto del paramento slu'!$G$53)</f>
        <v>21334220.761563104</v>
      </c>
      <c r="G1548" s="553">
        <f>-'Foglio deposito bis'!$F$70*(C1548-sezione!$AN$33)*IF(ABS(M1548)&lt;'Progetto del paramento slu'!$G$58,ABS(M1548)*'Progetto del paramento slu'!$G$54,'Progetto del paramento slu'!$G$53)</f>
        <v>0</v>
      </c>
      <c r="H1548" s="553">
        <f>-'Foglio deposito bis'!$F$71*(C1548-sezione!$AO$33)*IF(ABS(N1548)&lt;'Progetto del paramento slu'!$G$58,ABS(N1548)*'Progetto del paramento slu'!$G$54,'Progetto del paramento slu'!$G$53)</f>
        <v>103486553.68644071</v>
      </c>
      <c r="I1548" s="479">
        <f>-'Foglio deposito bis'!$F$72*(C1548-sezione!$AP$33)*IF(ABS(O1548)&lt;'Progetto del paramento slu'!$G$58,ABS(O1548)*'Progetto del paramento slu'!$G$54,'Progetto del paramento slu'!$G$53)</f>
        <v>122362479.74577223</v>
      </c>
      <c r="J1548" s="479">
        <f t="shared" si="111"/>
        <v>246157267.56877297</v>
      </c>
      <c r="K1548" s="558">
        <f>'Progetto del paramento slu'!$G$60*(sezione!$AL$33-C1548)/C1548</f>
        <v>9.0403558563906649E-3</v>
      </c>
      <c r="L1548" s="558">
        <f>'Progetto del paramento slu'!$G$60*(sezione!$AM$33-C1548)/C1548</f>
        <v>4.3526334461464998E-2</v>
      </c>
      <c r="M1548" s="559">
        <f>'Progetto del paramento slu'!$G$60*(sezione!$AN$33-C1548)/C1548</f>
        <v>7.8012313066539316E-2</v>
      </c>
      <c r="N1548" s="559">
        <f>'Progetto del paramento slu'!$G$60*(sezione!$AO$33-C1548)/C1548</f>
        <v>0.10309302477932066</v>
      </c>
      <c r="O1548" s="559">
        <f>'Progetto del paramento slu'!$G$60*(sezione!$AP$33-C1548)/C1548</f>
        <v>7.8014189598154801E-2</v>
      </c>
      <c r="P1548" s="553">
        <f>-'Progetto del paramento slu'!$G$47*'Progetto del paramento slu'!$G$41*IF(DATI!$G$218="dx",DATI!$E$61,DATI!$E$64*DATI!$E$63)*1000*C1548*sezione!$AD$5</f>
        <v>-157365.91709192423</v>
      </c>
      <c r="Q1548" s="553">
        <f>'Foglio deposito bis'!$F$68*IF(ABS(K1548)&lt;'Progetto del paramento slu'!$G$58,ABS(K1548)*'Progetto del paramento slu'!$G$54,'Progetto del paramento slu'!$G$53)*IF(K1548&lt;0,-1,1)</f>
        <v>0</v>
      </c>
      <c r="R1548" s="553">
        <f>'Foglio deposito bis'!$F$69*IF(ABS(L1548)&lt;'Progetto del paramento slu'!$G$58,ABS(L1548)*'Progetto del paramento slu'!$G$54,'Progetto del paramento slu'!$G$53)*IF(L1548&lt;0,-1,1)</f>
        <v>153664.85805602249</v>
      </c>
      <c r="S1548" s="553">
        <f>'Foglio deposito bis'!$F$70*IF(ABS(M1548)&lt;'Progetto del paramento slu'!$G$58,ABS(M1548)*'Progetto del paramento slu'!$G$54,'Progetto del paramento slu'!$G$53)*IF(M1548&lt;0,-1,1)</f>
        <v>0</v>
      </c>
      <c r="T1548" s="553">
        <f>'Foglio deposito bis'!$F$71*IF(ABS(N1548)&lt;'Progetto del paramento slu'!$G$58,ABS(N1548)*'Progetto del paramento slu'!$G$54,'Progetto del paramento slu'!$G$53)*IF(N1548&lt;0,-1,1)</f>
        <v>314705.62929873407</v>
      </c>
      <c r="U1548" s="553">
        <f>'Foglio deposito bis'!$F$72*IF(ABS(O1548)&lt;'Progetto del paramento slu'!$G$58,ABS(O1548)*'Progetto del paramento slu'!$G$54,'Progetto del paramento slu'!$G$53)*IF(O1548&lt;0,-1,1)</f>
        <v>491727.54577927204</v>
      </c>
      <c r="V1548" s="479">
        <f t="shared" si="114"/>
        <v>802732.11604210432</v>
      </c>
      <c r="W1548" s="559"/>
      <c r="X1548" s="559"/>
    </row>
    <row r="1549" spans="1:24" x14ac:dyDescent="0.25">
      <c r="A1549" s="553">
        <f t="shared" si="113"/>
        <v>799870.91754952399</v>
      </c>
      <c r="B1549" s="3">
        <f t="shared" si="115"/>
        <v>2.799999999999998</v>
      </c>
      <c r="C1549" s="553">
        <f>'Foglio deposito bis'!$E$159/sezione!$B$247*B1549</f>
        <v>11.366938560424684</v>
      </c>
      <c r="D1549" s="611">
        <f>-'Progetto del paramento slu'!$G$47*'Progetto del paramento slu'!$G$41*IF(DATI!$G$218="dx",DATI!$E$61,DATI!$E$64*DATI!$E$63)*1000*C1549^2*sezione!$AD$5*(1-sezione!$AD$6)</f>
        <v>-1063634.3986808674</v>
      </c>
      <c r="E1549" s="553">
        <f>-'Foglio deposito bis'!$F$68*(C1549-sezione!$AL$33)*IF(ABS(K1549)&lt;'Progetto del paramento slu'!$G$58,ABS(K1549)*'Progetto del paramento slu'!$G$54,'Progetto del paramento slu'!$G$53)</f>
        <v>0</v>
      </c>
      <c r="F1549" s="553">
        <f>-'Foglio deposito bis'!$F$69*(C1549-sezione!$AM$33)*IF(ABS(L1549)&lt;'Progetto del paramento slu'!$G$58,ABS(L1549)*'Progetto del paramento slu'!$G$54,'Progetto del paramento slu'!$G$53)</f>
        <v>21303029.707984187</v>
      </c>
      <c r="G1549" s="553">
        <f>-'Foglio deposito bis'!$F$70*(C1549-sezione!$AN$33)*IF(ABS(M1549)&lt;'Progetto del paramento slu'!$G$58,ABS(M1549)*'Progetto del paramento slu'!$G$54,'Progetto del paramento slu'!$G$53)</f>
        <v>0</v>
      </c>
      <c r="H1549" s="553">
        <f>-'Foglio deposito bis'!$F$71*(C1549-sezione!$AO$33)*IF(ABS(N1549)&lt;'Progetto del paramento slu'!$G$58,ABS(N1549)*'Progetto del paramento slu'!$G$54,'Progetto del paramento slu'!$G$53)</f>
        <v>103422674.40871111</v>
      </c>
      <c r="I1549" s="479">
        <f>-'Foglio deposito bis'!$F$72*(C1549-sezione!$AP$33)*IF(ABS(O1549)&lt;'Progetto del paramento slu'!$G$58,ABS(O1549)*'Progetto del paramento slu'!$G$54,'Progetto del paramento slu'!$G$53)</f>
        <v>122262668.37431972</v>
      </c>
      <c r="J1549" s="479">
        <f t="shared" si="111"/>
        <v>245924738.09233415</v>
      </c>
      <c r="K1549" s="558">
        <f>'Progetto del paramento slu'!$G$60*(sezione!$AL$33-C1549)/C1549</f>
        <v>8.8164209303836869E-3</v>
      </c>
      <c r="L1549" s="558">
        <f>'Progetto del paramento slu'!$G$60*(sezione!$AM$33-C1549)/C1549</f>
        <v>4.2686578488938837E-2</v>
      </c>
      <c r="M1549" s="559">
        <f>'Progetto del paramento slu'!$G$60*(sezione!$AN$33-C1549)/C1549</f>
        <v>7.6556736047493981E-2</v>
      </c>
      <c r="N1549" s="559">
        <f>'Progetto del paramento slu'!$G$60*(sezione!$AO$33-C1549)/C1549</f>
        <v>0.10118957790826136</v>
      </c>
      <c r="O1549" s="559">
        <f>'Progetto del paramento slu'!$G$60*(sezione!$AP$33-C1549)/C1549</f>
        <v>7.6558579069616314E-2</v>
      </c>
      <c r="P1549" s="553">
        <f>-'Progetto del paramento slu'!$G$47*'Progetto del paramento slu'!$G$41*IF(DATI!$G$218="dx",DATI!$E$61,DATI!$E$64*DATI!$E$63)*1000*C1549*sezione!$AD$5</f>
        <v>-160227.1155845047</v>
      </c>
      <c r="Q1549" s="553">
        <f>'Foglio deposito bis'!$F$68*IF(ABS(K1549)&lt;'Progetto del paramento slu'!$G$58,ABS(K1549)*'Progetto del paramento slu'!$G$54,'Progetto del paramento slu'!$G$53)*IF(K1549&lt;0,-1,1)</f>
        <v>0</v>
      </c>
      <c r="R1549" s="553">
        <f>'Foglio deposito bis'!$F$69*IF(ABS(L1549)&lt;'Progetto del paramento slu'!$G$58,ABS(L1549)*'Progetto del paramento slu'!$G$54,'Progetto del paramento slu'!$G$53)*IF(L1549&lt;0,-1,1)</f>
        <v>153664.85805602249</v>
      </c>
      <c r="S1549" s="553">
        <f>'Foglio deposito bis'!$F$70*IF(ABS(M1549)&lt;'Progetto del paramento slu'!$G$58,ABS(M1549)*'Progetto del paramento slu'!$G$54,'Progetto del paramento slu'!$G$53)*IF(M1549&lt;0,-1,1)</f>
        <v>0</v>
      </c>
      <c r="T1549" s="553">
        <f>'Foglio deposito bis'!$F$71*IF(ABS(N1549)&lt;'Progetto del paramento slu'!$G$58,ABS(N1549)*'Progetto del paramento slu'!$G$54,'Progetto del paramento slu'!$G$53)*IF(N1549&lt;0,-1,1)</f>
        <v>314705.62929873407</v>
      </c>
      <c r="U1549" s="553">
        <f>'Foglio deposito bis'!$F$72*IF(ABS(O1549)&lt;'Progetto del paramento slu'!$G$58,ABS(O1549)*'Progetto del paramento slu'!$G$54,'Progetto del paramento slu'!$G$53)*IF(O1549&lt;0,-1,1)</f>
        <v>491727.54577927204</v>
      </c>
      <c r="V1549" s="479">
        <f t="shared" si="114"/>
        <v>799870.91754952399</v>
      </c>
      <c r="W1549" s="559"/>
      <c r="X1549" s="559"/>
    </row>
    <row r="1550" spans="1:24" x14ac:dyDescent="0.25">
      <c r="A1550" s="553">
        <f t="shared" si="113"/>
        <v>797009.71905694343</v>
      </c>
      <c r="B1550" s="3">
        <f t="shared" si="115"/>
        <v>2.8499999999999979</v>
      </c>
      <c r="C1550" s="553">
        <f>'Foglio deposito bis'!$E$159/sezione!$B$247*B1550</f>
        <v>11.569919606146552</v>
      </c>
      <c r="D1550" s="611">
        <f>-'Progetto del paramento slu'!$G$47*'Progetto del paramento slu'!$G$41*IF(DATI!$G$218="dx",DATI!$E$61,DATI!$E$64*DATI!$E$63)*1000*C1550^2*sezione!$AD$5*(1-sezione!$AD$6)</f>
        <v>-1101960.5106231309</v>
      </c>
      <c r="E1550" s="553">
        <f>-'Foglio deposito bis'!$F$68*(C1550-sezione!$AL$33)*IF(ABS(K1550)&lt;'Progetto del paramento slu'!$G$58,ABS(K1550)*'Progetto del paramento slu'!$G$54,'Progetto del paramento slu'!$G$53)</f>
        <v>0</v>
      </c>
      <c r="F1550" s="553">
        <f>-'Foglio deposito bis'!$F$69*(C1550-sezione!$AM$33)*IF(ABS(L1550)&lt;'Progetto del paramento slu'!$G$58,ABS(L1550)*'Progetto del paramento slu'!$G$54,'Progetto del paramento slu'!$G$53)</f>
        <v>21271838.654405273</v>
      </c>
      <c r="G1550" s="553">
        <f>-'Foglio deposito bis'!$F$70*(C1550-sezione!$AN$33)*IF(ABS(M1550)&lt;'Progetto del paramento slu'!$G$58,ABS(M1550)*'Progetto del paramento slu'!$G$54,'Progetto del paramento slu'!$G$53)</f>
        <v>0</v>
      </c>
      <c r="H1550" s="553">
        <f>-'Foglio deposito bis'!$F$71*(C1550-sezione!$AO$33)*IF(ABS(N1550)&lt;'Progetto del paramento slu'!$G$58,ABS(N1550)*'Progetto del paramento slu'!$G$54,'Progetto del paramento slu'!$G$53)</f>
        <v>103358795.13098149</v>
      </c>
      <c r="I1550" s="479">
        <f>-'Foglio deposito bis'!$F$72*(C1550-sezione!$AP$33)*IF(ABS(O1550)&lt;'Progetto del paramento slu'!$G$58,ABS(O1550)*'Progetto del paramento slu'!$G$54,'Progetto del paramento slu'!$G$53)</f>
        <v>122162857.00286718</v>
      </c>
      <c r="J1550" s="479">
        <f t="shared" si="111"/>
        <v>245691530.27763081</v>
      </c>
      <c r="K1550" s="558">
        <f>'Progetto del paramento slu'!$G$60*(sezione!$AL$33-C1550)/C1550</f>
        <v>8.6003433702015204E-3</v>
      </c>
      <c r="L1550" s="558">
        <f>'Progetto del paramento slu'!$G$60*(sezione!$AM$33-C1550)/C1550</f>
        <v>4.1876287638255696E-2</v>
      </c>
      <c r="M1550" s="559">
        <f>'Progetto del paramento slu'!$G$60*(sezione!$AN$33-C1550)/C1550</f>
        <v>7.5152231906309874E-2</v>
      </c>
      <c r="N1550" s="559">
        <f>'Progetto del paramento slu'!$G$60*(sezione!$AO$33-C1550)/C1550</f>
        <v>9.9352918646712918E-2</v>
      </c>
      <c r="O1550" s="559">
        <f>'Progetto del paramento slu'!$G$60*(sezione!$AP$33-C1550)/C1550</f>
        <v>7.5154042594710771E-2</v>
      </c>
      <c r="P1550" s="553">
        <f>-'Progetto del paramento slu'!$G$47*'Progetto del paramento slu'!$G$41*IF(DATI!$G$218="dx",DATI!$E$61,DATI!$E$64*DATI!$E$63)*1000*C1550*sezione!$AD$5</f>
        <v>-163088.31407708512</v>
      </c>
      <c r="Q1550" s="553">
        <f>'Foglio deposito bis'!$F$68*IF(ABS(K1550)&lt;'Progetto del paramento slu'!$G$58,ABS(K1550)*'Progetto del paramento slu'!$G$54,'Progetto del paramento slu'!$G$53)*IF(K1550&lt;0,-1,1)</f>
        <v>0</v>
      </c>
      <c r="R1550" s="553">
        <f>'Foglio deposito bis'!$F$69*IF(ABS(L1550)&lt;'Progetto del paramento slu'!$G$58,ABS(L1550)*'Progetto del paramento slu'!$G$54,'Progetto del paramento slu'!$G$53)*IF(L1550&lt;0,-1,1)</f>
        <v>153664.85805602249</v>
      </c>
      <c r="S1550" s="553">
        <f>'Foglio deposito bis'!$F$70*IF(ABS(M1550)&lt;'Progetto del paramento slu'!$G$58,ABS(M1550)*'Progetto del paramento slu'!$G$54,'Progetto del paramento slu'!$G$53)*IF(M1550&lt;0,-1,1)</f>
        <v>0</v>
      </c>
      <c r="T1550" s="553">
        <f>'Foglio deposito bis'!$F$71*IF(ABS(N1550)&lt;'Progetto del paramento slu'!$G$58,ABS(N1550)*'Progetto del paramento slu'!$G$54,'Progetto del paramento slu'!$G$53)*IF(N1550&lt;0,-1,1)</f>
        <v>314705.62929873407</v>
      </c>
      <c r="U1550" s="553">
        <f>'Foglio deposito bis'!$F$72*IF(ABS(O1550)&lt;'Progetto del paramento slu'!$G$58,ABS(O1550)*'Progetto del paramento slu'!$G$54,'Progetto del paramento slu'!$G$53)*IF(O1550&lt;0,-1,1)</f>
        <v>491727.54577927204</v>
      </c>
      <c r="V1550" s="479">
        <f t="shared" si="114"/>
        <v>797009.71905694343</v>
      </c>
      <c r="W1550" s="559"/>
      <c r="X1550" s="559"/>
    </row>
    <row r="1551" spans="1:24" x14ac:dyDescent="0.25">
      <c r="A1551" s="553">
        <f t="shared" si="113"/>
        <v>794148.52056436311</v>
      </c>
      <c r="B1551" s="3">
        <f t="shared" si="115"/>
        <v>2.8999999999999977</v>
      </c>
      <c r="C1551" s="553">
        <f>'Foglio deposito bis'!$E$159/sezione!$B$247*B1551</f>
        <v>11.77290065186842</v>
      </c>
      <c r="D1551" s="611">
        <f>-'Progetto del paramento slu'!$G$47*'Progetto del paramento slu'!$G$41*IF(DATI!$G$218="dx",DATI!$E$61,DATI!$E$64*DATI!$E$63)*1000*C1551^2*sezione!$AD$5*(1-sezione!$AD$6)</f>
        <v>-1140964.9608298589</v>
      </c>
      <c r="E1551" s="553">
        <f>-'Foglio deposito bis'!$F$68*(C1551-sezione!$AL$33)*IF(ABS(K1551)&lt;'Progetto del paramento slu'!$G$58,ABS(K1551)*'Progetto del paramento slu'!$G$54,'Progetto del paramento slu'!$G$53)</f>
        <v>0</v>
      </c>
      <c r="F1551" s="553">
        <f>-'Foglio deposito bis'!$F$69*(C1551-sezione!$AM$33)*IF(ABS(L1551)&lt;'Progetto del paramento slu'!$G$58,ABS(L1551)*'Progetto del paramento slu'!$G$54,'Progetto del paramento slu'!$G$53)</f>
        <v>21240647.60082636</v>
      </c>
      <c r="G1551" s="553">
        <f>-'Foglio deposito bis'!$F$70*(C1551-sezione!$AN$33)*IF(ABS(M1551)&lt;'Progetto del paramento slu'!$G$58,ABS(M1551)*'Progetto del paramento slu'!$G$54,'Progetto del paramento slu'!$G$53)</f>
        <v>0</v>
      </c>
      <c r="H1551" s="553">
        <f>-'Foglio deposito bis'!$F$71*(C1551-sezione!$AO$33)*IF(ABS(N1551)&lt;'Progetto del paramento slu'!$G$58,ABS(N1551)*'Progetto del paramento slu'!$G$54,'Progetto del paramento slu'!$G$53)</f>
        <v>103294915.85325186</v>
      </c>
      <c r="I1551" s="479">
        <f>-'Foglio deposito bis'!$F$72*(C1551-sezione!$AP$33)*IF(ABS(O1551)&lt;'Progetto del paramento slu'!$G$58,ABS(O1551)*'Progetto del paramento slu'!$G$54,'Progetto del paramento slu'!$G$53)</f>
        <v>122063045.63141467</v>
      </c>
      <c r="J1551" s="479">
        <f t="shared" si="111"/>
        <v>245457644.12466303</v>
      </c>
      <c r="K1551" s="558">
        <f>'Progetto del paramento slu'!$G$60*(sezione!$AL$33-C1551)/C1551</f>
        <v>8.3917167603704598E-3</v>
      </c>
      <c r="L1551" s="558">
        <f>'Progetto del paramento slu'!$G$60*(sezione!$AM$33-C1551)/C1551</f>
        <v>4.1093937851389227E-2</v>
      </c>
      <c r="M1551" s="559">
        <f>'Progetto del paramento slu'!$G$60*(sezione!$AN$33-C1551)/C1551</f>
        <v>7.3796158942407986E-2</v>
      </c>
      <c r="N1551" s="559">
        <f>'Progetto del paramento slu'!$G$60*(sezione!$AO$33-C1551)/C1551</f>
        <v>9.7579592463148887E-2</v>
      </c>
      <c r="O1551" s="559">
        <f>'Progetto del paramento slu'!$G$60*(sezione!$AP$33-C1551)/C1551</f>
        <v>7.3797938412043351E-2</v>
      </c>
      <c r="P1551" s="553">
        <f>-'Progetto del paramento slu'!$G$47*'Progetto del paramento slu'!$G$41*IF(DATI!$G$218="dx",DATI!$E$61,DATI!$E$64*DATI!$E$63)*1000*C1551*sezione!$AD$5</f>
        <v>-165949.51256966553</v>
      </c>
      <c r="Q1551" s="553">
        <f>'Foglio deposito bis'!$F$68*IF(ABS(K1551)&lt;'Progetto del paramento slu'!$G$58,ABS(K1551)*'Progetto del paramento slu'!$G$54,'Progetto del paramento slu'!$G$53)*IF(K1551&lt;0,-1,1)</f>
        <v>0</v>
      </c>
      <c r="R1551" s="553">
        <f>'Foglio deposito bis'!$F$69*IF(ABS(L1551)&lt;'Progetto del paramento slu'!$G$58,ABS(L1551)*'Progetto del paramento slu'!$G$54,'Progetto del paramento slu'!$G$53)*IF(L1551&lt;0,-1,1)</f>
        <v>153664.85805602249</v>
      </c>
      <c r="S1551" s="553">
        <f>'Foglio deposito bis'!$F$70*IF(ABS(M1551)&lt;'Progetto del paramento slu'!$G$58,ABS(M1551)*'Progetto del paramento slu'!$G$54,'Progetto del paramento slu'!$G$53)*IF(M1551&lt;0,-1,1)</f>
        <v>0</v>
      </c>
      <c r="T1551" s="553">
        <f>'Foglio deposito bis'!$F$71*IF(ABS(N1551)&lt;'Progetto del paramento slu'!$G$58,ABS(N1551)*'Progetto del paramento slu'!$G$54,'Progetto del paramento slu'!$G$53)*IF(N1551&lt;0,-1,1)</f>
        <v>314705.62929873407</v>
      </c>
      <c r="U1551" s="553">
        <f>'Foglio deposito bis'!$F$72*IF(ABS(O1551)&lt;'Progetto del paramento slu'!$G$58,ABS(O1551)*'Progetto del paramento slu'!$G$54,'Progetto del paramento slu'!$G$53)*IF(O1551&lt;0,-1,1)</f>
        <v>491727.54577927204</v>
      </c>
      <c r="V1551" s="479">
        <f t="shared" si="114"/>
        <v>794148.52056436311</v>
      </c>
      <c r="W1551" s="559"/>
      <c r="X1551" s="559"/>
    </row>
    <row r="1552" spans="1:24" x14ac:dyDescent="0.25">
      <c r="A1552" s="553">
        <f t="shared" si="113"/>
        <v>791287.32207178255</v>
      </c>
      <c r="B1552" s="3">
        <f t="shared" si="115"/>
        <v>2.9499999999999975</v>
      </c>
      <c r="C1552" s="553">
        <f>'Foglio deposito bis'!$E$159/sezione!$B$247*B1552</f>
        <v>11.975881697590289</v>
      </c>
      <c r="D1552" s="611">
        <f>-'Progetto del paramento slu'!$G$47*'Progetto del paramento slu'!$G$41*IF(DATI!$G$218="dx",DATI!$E$61,DATI!$E$64*DATI!$E$63)*1000*C1552^2*sezione!$AD$5*(1-sezione!$AD$6)</f>
        <v>-1180647.7493010517</v>
      </c>
      <c r="E1552" s="553">
        <f>-'Foglio deposito bis'!$F$68*(C1552-sezione!$AL$33)*IF(ABS(K1552)&lt;'Progetto del paramento slu'!$G$58,ABS(K1552)*'Progetto del paramento slu'!$G$54,'Progetto del paramento slu'!$G$53)</f>
        <v>0</v>
      </c>
      <c r="F1552" s="553">
        <f>-'Foglio deposito bis'!$F$69*(C1552-sezione!$AM$33)*IF(ABS(L1552)&lt;'Progetto del paramento slu'!$G$58,ABS(L1552)*'Progetto del paramento slu'!$G$54,'Progetto del paramento slu'!$G$53)</f>
        <v>21209456.547247443</v>
      </c>
      <c r="G1552" s="553">
        <f>-'Foglio deposito bis'!$F$70*(C1552-sezione!$AN$33)*IF(ABS(M1552)&lt;'Progetto del paramento slu'!$G$58,ABS(M1552)*'Progetto del paramento slu'!$G$54,'Progetto del paramento slu'!$G$53)</f>
        <v>0</v>
      </c>
      <c r="H1552" s="553">
        <f>-'Foglio deposito bis'!$F$71*(C1552-sezione!$AO$33)*IF(ABS(N1552)&lt;'Progetto del paramento slu'!$G$58,ABS(N1552)*'Progetto del paramento slu'!$G$54,'Progetto del paramento slu'!$G$53)</f>
        <v>103231036.57552223</v>
      </c>
      <c r="I1552" s="479">
        <f>-'Foglio deposito bis'!$F$72*(C1552-sezione!$AP$33)*IF(ABS(O1552)&lt;'Progetto del paramento slu'!$G$58,ABS(O1552)*'Progetto del paramento slu'!$G$54,'Progetto del paramento slu'!$G$53)</f>
        <v>121963234.25996213</v>
      </c>
      <c r="J1552" s="479">
        <f t="shared" si="111"/>
        <v>245223079.63343075</v>
      </c>
      <c r="K1552" s="558">
        <f>'Progetto del paramento slu'!$G$60*(sezione!$AL$33-C1552)/C1552</f>
        <v>8.1901622390082481E-3</v>
      </c>
      <c r="L1552" s="558">
        <f>'Progetto del paramento slu'!$G$60*(sezione!$AM$33-C1552)/C1552</f>
        <v>4.0338108396280936E-2</v>
      </c>
      <c r="M1552" s="559">
        <f>'Progetto del paramento slu'!$G$60*(sezione!$AN$33-C1552)/C1552</f>
        <v>7.2486054553553614E-2</v>
      </c>
      <c r="N1552" s="559">
        <f>'Progetto del paramento slu'!$G$60*(sezione!$AO$33-C1552)/C1552</f>
        <v>9.5866379031570123E-2</v>
      </c>
      <c r="O1552" s="559">
        <f>'Progetto del paramento slu'!$G$60*(sezione!$AP$33-C1552)/C1552</f>
        <v>7.2487803862686689E-2</v>
      </c>
      <c r="P1552" s="553">
        <f>-'Progetto del paramento slu'!$G$47*'Progetto del paramento slu'!$G$41*IF(DATI!$G$218="dx",DATI!$E$61,DATI!$E$64*DATI!$E$63)*1000*C1552*sezione!$AD$5</f>
        <v>-168810.71106224597</v>
      </c>
      <c r="Q1552" s="553">
        <f>'Foglio deposito bis'!$F$68*IF(ABS(K1552)&lt;'Progetto del paramento slu'!$G$58,ABS(K1552)*'Progetto del paramento slu'!$G$54,'Progetto del paramento slu'!$G$53)*IF(K1552&lt;0,-1,1)</f>
        <v>0</v>
      </c>
      <c r="R1552" s="553">
        <f>'Foglio deposito bis'!$F$69*IF(ABS(L1552)&lt;'Progetto del paramento slu'!$G$58,ABS(L1552)*'Progetto del paramento slu'!$G$54,'Progetto del paramento slu'!$G$53)*IF(L1552&lt;0,-1,1)</f>
        <v>153664.85805602249</v>
      </c>
      <c r="S1552" s="553">
        <f>'Foglio deposito bis'!$F$70*IF(ABS(M1552)&lt;'Progetto del paramento slu'!$G$58,ABS(M1552)*'Progetto del paramento slu'!$G$54,'Progetto del paramento slu'!$G$53)*IF(M1552&lt;0,-1,1)</f>
        <v>0</v>
      </c>
      <c r="T1552" s="553">
        <f>'Foglio deposito bis'!$F$71*IF(ABS(N1552)&lt;'Progetto del paramento slu'!$G$58,ABS(N1552)*'Progetto del paramento slu'!$G$54,'Progetto del paramento slu'!$G$53)*IF(N1552&lt;0,-1,1)</f>
        <v>314705.62929873407</v>
      </c>
      <c r="U1552" s="553">
        <f>'Foglio deposito bis'!$F$72*IF(ABS(O1552)&lt;'Progetto del paramento slu'!$G$58,ABS(O1552)*'Progetto del paramento slu'!$G$54,'Progetto del paramento slu'!$G$53)*IF(O1552&lt;0,-1,1)</f>
        <v>491727.54577927204</v>
      </c>
      <c r="V1552" s="479">
        <f t="shared" si="114"/>
        <v>791287.32207178255</v>
      </c>
      <c r="W1552" s="559"/>
      <c r="X1552" s="559"/>
    </row>
    <row r="1553" spans="1:24" x14ac:dyDescent="0.25">
      <c r="A1553" s="553">
        <f t="shared" si="113"/>
        <v>788426.12357920222</v>
      </c>
      <c r="B1553" s="3">
        <f t="shared" si="115"/>
        <v>2.9999999999999973</v>
      </c>
      <c r="C1553" s="553">
        <f>'Foglio deposito bis'!$E$159/sezione!$B$247*B1553</f>
        <v>12.178862743312157</v>
      </c>
      <c r="D1553" s="611">
        <f>-'Progetto del paramento slu'!$G$47*'Progetto del paramento slu'!$G$41*IF(DATI!$G$218="dx",DATI!$E$61,DATI!$E$64*DATI!$E$63)*1000*C1553^2*sezione!$AD$5*(1-sezione!$AD$6)</f>
        <v>-1221008.8760367094</v>
      </c>
      <c r="E1553" s="553">
        <f>-'Foglio deposito bis'!$F$68*(C1553-sezione!$AL$33)*IF(ABS(K1553)&lt;'Progetto del paramento slu'!$G$58,ABS(K1553)*'Progetto del paramento slu'!$G$54,'Progetto del paramento slu'!$G$53)</f>
        <v>0</v>
      </c>
      <c r="F1553" s="553">
        <f>-'Foglio deposito bis'!$F$69*(C1553-sezione!$AM$33)*IF(ABS(L1553)&lt;'Progetto del paramento slu'!$G$58,ABS(L1553)*'Progetto del paramento slu'!$G$54,'Progetto del paramento slu'!$G$53)</f>
        <v>21178265.49366853</v>
      </c>
      <c r="G1553" s="553">
        <f>-'Foglio deposito bis'!$F$70*(C1553-sezione!$AN$33)*IF(ABS(M1553)&lt;'Progetto del paramento slu'!$G$58,ABS(M1553)*'Progetto del paramento slu'!$G$54,'Progetto del paramento slu'!$G$53)</f>
        <v>0</v>
      </c>
      <c r="H1553" s="553">
        <f>-'Foglio deposito bis'!$F$71*(C1553-sezione!$AO$33)*IF(ABS(N1553)&lt;'Progetto del paramento slu'!$G$58,ABS(N1553)*'Progetto del paramento slu'!$G$54,'Progetto del paramento slu'!$G$53)</f>
        <v>103167157.29779264</v>
      </c>
      <c r="I1553" s="479">
        <f>-'Foglio deposito bis'!$F$72*(C1553-sezione!$AP$33)*IF(ABS(O1553)&lt;'Progetto del paramento slu'!$G$58,ABS(O1553)*'Progetto del paramento slu'!$G$54,'Progetto del paramento slu'!$G$53)</f>
        <v>121863422.88850962</v>
      </c>
      <c r="J1553" s="479">
        <f t="shared" si="111"/>
        <v>244987836.8039341</v>
      </c>
      <c r="K1553" s="558">
        <f>'Progetto del paramento slu'!$G$60*(sezione!$AL$33-C1553)/C1553</f>
        <v>7.9953262016914453E-3</v>
      </c>
      <c r="L1553" s="558">
        <f>'Progetto del paramento slu'!$G$60*(sezione!$AM$33-C1553)/C1553</f>
        <v>3.9607473256342923E-2</v>
      </c>
      <c r="M1553" s="559">
        <f>'Progetto del paramento slu'!$G$60*(sezione!$AN$33-C1553)/C1553</f>
        <v>7.1219620310994408E-2</v>
      </c>
      <c r="N1553" s="559">
        <f>'Progetto del paramento slu'!$G$60*(sezione!$AO$33-C1553)/C1553</f>
        <v>9.4210272714377291E-2</v>
      </c>
      <c r="O1553" s="559">
        <f>'Progetto del paramento slu'!$G$60*(sezione!$AP$33-C1553)/C1553</f>
        <v>7.1221340464975247E-2</v>
      </c>
      <c r="P1553" s="553">
        <f>-'Progetto del paramento slu'!$G$47*'Progetto del paramento slu'!$G$41*IF(DATI!$G$218="dx",DATI!$E$61,DATI!$E$64*DATI!$E$63)*1000*C1553*sezione!$AD$5</f>
        <v>-171671.90955482642</v>
      </c>
      <c r="Q1553" s="553">
        <f>'Foglio deposito bis'!$F$68*IF(ABS(K1553)&lt;'Progetto del paramento slu'!$G$58,ABS(K1553)*'Progetto del paramento slu'!$G$54,'Progetto del paramento slu'!$G$53)*IF(K1553&lt;0,-1,1)</f>
        <v>0</v>
      </c>
      <c r="R1553" s="553">
        <f>'Foglio deposito bis'!$F$69*IF(ABS(L1553)&lt;'Progetto del paramento slu'!$G$58,ABS(L1553)*'Progetto del paramento slu'!$G$54,'Progetto del paramento slu'!$G$53)*IF(L1553&lt;0,-1,1)</f>
        <v>153664.85805602249</v>
      </c>
      <c r="S1553" s="553">
        <f>'Foglio deposito bis'!$F$70*IF(ABS(M1553)&lt;'Progetto del paramento slu'!$G$58,ABS(M1553)*'Progetto del paramento slu'!$G$54,'Progetto del paramento slu'!$G$53)*IF(M1553&lt;0,-1,1)</f>
        <v>0</v>
      </c>
      <c r="T1553" s="553">
        <f>'Foglio deposito bis'!$F$71*IF(ABS(N1553)&lt;'Progetto del paramento slu'!$G$58,ABS(N1553)*'Progetto del paramento slu'!$G$54,'Progetto del paramento slu'!$G$53)*IF(N1553&lt;0,-1,1)</f>
        <v>314705.62929873407</v>
      </c>
      <c r="U1553" s="553">
        <f>'Foglio deposito bis'!$F$72*IF(ABS(O1553)&lt;'Progetto del paramento slu'!$G$58,ABS(O1553)*'Progetto del paramento slu'!$G$54,'Progetto del paramento slu'!$G$53)*IF(O1553&lt;0,-1,1)</f>
        <v>491727.54577927204</v>
      </c>
      <c r="V1553" s="479">
        <f t="shared" si="114"/>
        <v>788426.12357920222</v>
      </c>
      <c r="W1553" s="559"/>
      <c r="X1553" s="559"/>
    </row>
    <row r="1554" spans="1:24" x14ac:dyDescent="0.25">
      <c r="A1554" s="553">
        <f t="shared" si="113"/>
        <v>785564.92508662166</v>
      </c>
      <c r="B1554" s="3">
        <f t="shared" si="115"/>
        <v>3.0499999999999972</v>
      </c>
      <c r="C1554" s="553">
        <f>'Foglio deposito bis'!$E$159/sezione!$B$247*B1554</f>
        <v>12.381843789034027</v>
      </c>
      <c r="D1554" s="611">
        <f>-'Progetto del paramento slu'!$G$47*'Progetto del paramento slu'!$G$41*IF(DATI!$G$218="dx",DATI!$E$61,DATI!$E$64*DATI!$E$63)*1000*C1554^2*sezione!$AD$5*(1-sezione!$AD$6)</f>
        <v>-1262048.3410368327</v>
      </c>
      <c r="E1554" s="553">
        <f>-'Foglio deposito bis'!$F$68*(C1554-sezione!$AL$33)*IF(ABS(K1554)&lt;'Progetto del paramento slu'!$G$58,ABS(K1554)*'Progetto del paramento slu'!$G$54,'Progetto del paramento slu'!$G$53)</f>
        <v>0</v>
      </c>
      <c r="F1554" s="553">
        <f>-'Foglio deposito bis'!$F$69*(C1554-sezione!$AM$33)*IF(ABS(L1554)&lt;'Progetto del paramento slu'!$G$58,ABS(L1554)*'Progetto del paramento slu'!$G$54,'Progetto del paramento slu'!$G$53)</f>
        <v>21147074.440089613</v>
      </c>
      <c r="G1554" s="553">
        <f>-'Foglio deposito bis'!$F$70*(C1554-sezione!$AN$33)*IF(ABS(M1554)&lt;'Progetto del paramento slu'!$G$58,ABS(M1554)*'Progetto del paramento slu'!$G$54,'Progetto del paramento slu'!$G$53)</f>
        <v>0</v>
      </c>
      <c r="H1554" s="553">
        <f>-'Foglio deposito bis'!$F$71*(C1554-sezione!$AO$33)*IF(ABS(N1554)&lt;'Progetto del paramento slu'!$G$58,ABS(N1554)*'Progetto del paramento slu'!$G$54,'Progetto del paramento slu'!$G$53)</f>
        <v>103103278.02006303</v>
      </c>
      <c r="I1554" s="479">
        <f>-'Foglio deposito bis'!$F$72*(C1554-sezione!$AP$33)*IF(ABS(O1554)&lt;'Progetto del paramento slu'!$G$58,ABS(O1554)*'Progetto del paramento slu'!$G$54,'Progetto del paramento slu'!$G$53)</f>
        <v>121763611.51705708</v>
      </c>
      <c r="J1554" s="479">
        <f t="shared" si="111"/>
        <v>244751915.63617289</v>
      </c>
      <c r="K1554" s="558">
        <f>'Progetto del paramento slu'!$G$60*(sezione!$AL$33-C1554)/C1554</f>
        <v>7.8068782311719129E-3</v>
      </c>
      <c r="L1554" s="558">
        <f>'Progetto del paramento slu'!$G$60*(sezione!$AM$33-C1554)/C1554</f>
        <v>3.8900793366894677E-2</v>
      </c>
      <c r="M1554" s="559">
        <f>'Progetto del paramento slu'!$G$60*(sezione!$AN$33-C1554)/C1554</f>
        <v>6.9994708502617436E-2</v>
      </c>
      <c r="N1554" s="559">
        <f>'Progetto del paramento slu'!$G$60*(sezione!$AO$33-C1554)/C1554</f>
        <v>9.2608464964961265E-2</v>
      </c>
      <c r="O1554" s="559">
        <f>'Progetto del paramento slu'!$G$60*(sezione!$AP$33-C1554)/C1554</f>
        <v>6.9996400457352698E-2</v>
      </c>
      <c r="P1554" s="553">
        <f>-'Progetto del paramento slu'!$G$47*'Progetto del paramento slu'!$G$41*IF(DATI!$G$218="dx",DATI!$E$61,DATI!$E$64*DATI!$E$63)*1000*C1554*sezione!$AD$5</f>
        <v>-174533.10804740686</v>
      </c>
      <c r="Q1554" s="553">
        <f>'Foglio deposito bis'!$F$68*IF(ABS(K1554)&lt;'Progetto del paramento slu'!$G$58,ABS(K1554)*'Progetto del paramento slu'!$G$54,'Progetto del paramento slu'!$G$53)*IF(K1554&lt;0,-1,1)</f>
        <v>0</v>
      </c>
      <c r="R1554" s="553">
        <f>'Foglio deposito bis'!$F$69*IF(ABS(L1554)&lt;'Progetto del paramento slu'!$G$58,ABS(L1554)*'Progetto del paramento slu'!$G$54,'Progetto del paramento slu'!$G$53)*IF(L1554&lt;0,-1,1)</f>
        <v>153664.85805602249</v>
      </c>
      <c r="S1554" s="553">
        <f>'Foglio deposito bis'!$F$70*IF(ABS(M1554)&lt;'Progetto del paramento slu'!$G$58,ABS(M1554)*'Progetto del paramento slu'!$G$54,'Progetto del paramento slu'!$G$53)*IF(M1554&lt;0,-1,1)</f>
        <v>0</v>
      </c>
      <c r="T1554" s="553">
        <f>'Foglio deposito bis'!$F$71*IF(ABS(N1554)&lt;'Progetto del paramento slu'!$G$58,ABS(N1554)*'Progetto del paramento slu'!$G$54,'Progetto del paramento slu'!$G$53)*IF(N1554&lt;0,-1,1)</f>
        <v>314705.62929873407</v>
      </c>
      <c r="U1554" s="553">
        <f>'Foglio deposito bis'!$F$72*IF(ABS(O1554)&lt;'Progetto del paramento slu'!$G$58,ABS(O1554)*'Progetto del paramento slu'!$G$54,'Progetto del paramento slu'!$G$53)*IF(O1554&lt;0,-1,1)</f>
        <v>491727.54577927204</v>
      </c>
      <c r="V1554" s="479">
        <f t="shared" si="114"/>
        <v>785564.92508662166</v>
      </c>
      <c r="W1554" s="559"/>
      <c r="X1554" s="559"/>
    </row>
    <row r="1555" spans="1:24" x14ac:dyDescent="0.25">
      <c r="A1555" s="553">
        <f t="shared" si="113"/>
        <v>782703.72659404133</v>
      </c>
      <c r="B1555" s="3">
        <f t="shared" si="115"/>
        <v>3.099999999999997</v>
      </c>
      <c r="C1555" s="553">
        <f>'Foglio deposito bis'!$E$159/sezione!$B$247*B1555</f>
        <v>12.584824834755896</v>
      </c>
      <c r="D1555" s="611">
        <f>-'Progetto del paramento slu'!$G$47*'Progetto del paramento slu'!$G$41*IF(DATI!$G$218="dx",DATI!$E$61,DATI!$E$64*DATI!$E$63)*1000*C1555^2*sezione!$AD$5*(1-sezione!$AD$6)</f>
        <v>-1303766.1443014198</v>
      </c>
      <c r="E1555" s="553">
        <f>-'Foglio deposito bis'!$F$68*(C1555-sezione!$AL$33)*IF(ABS(K1555)&lt;'Progetto del paramento slu'!$G$58,ABS(K1555)*'Progetto del paramento slu'!$G$54,'Progetto del paramento slu'!$G$53)</f>
        <v>0</v>
      </c>
      <c r="F1555" s="553">
        <f>-'Foglio deposito bis'!$F$69*(C1555-sezione!$AM$33)*IF(ABS(L1555)&lt;'Progetto del paramento slu'!$G$58,ABS(L1555)*'Progetto del paramento slu'!$G$54,'Progetto del paramento slu'!$G$53)</f>
        <v>21115883.386510704</v>
      </c>
      <c r="G1555" s="553">
        <f>-'Foglio deposito bis'!$F$70*(C1555-sezione!$AN$33)*IF(ABS(M1555)&lt;'Progetto del paramento slu'!$G$58,ABS(M1555)*'Progetto del paramento slu'!$G$54,'Progetto del paramento slu'!$G$53)</f>
        <v>0</v>
      </c>
      <c r="H1555" s="553">
        <f>-'Foglio deposito bis'!$F$71*(C1555-sezione!$AO$33)*IF(ABS(N1555)&lt;'Progetto del paramento slu'!$G$58,ABS(N1555)*'Progetto del paramento slu'!$G$54,'Progetto del paramento slu'!$G$53)</f>
        <v>103039398.74233338</v>
      </c>
      <c r="I1555" s="479">
        <f>-'Foglio deposito bis'!$F$72*(C1555-sezione!$AP$33)*IF(ABS(O1555)&lt;'Progetto del paramento slu'!$G$58,ABS(O1555)*'Progetto del paramento slu'!$G$54,'Progetto del paramento slu'!$G$53)</f>
        <v>121663800.14560455</v>
      </c>
      <c r="J1555" s="479">
        <f t="shared" si="111"/>
        <v>244515316.13014722</v>
      </c>
      <c r="K1555" s="558">
        <f>'Progetto del paramento slu'!$G$60*(sezione!$AL$33-C1555)/C1555</f>
        <v>7.6245092274433348E-3</v>
      </c>
      <c r="L1555" s="558">
        <f>'Progetto del paramento slu'!$G$60*(sezione!$AM$33-C1555)/C1555</f>
        <v>3.8216909602912505E-2</v>
      </c>
      <c r="M1555" s="559">
        <f>'Progetto del paramento slu'!$G$60*(sezione!$AN$33-C1555)/C1555</f>
        <v>6.880930997838168E-2</v>
      </c>
      <c r="N1555" s="559">
        <f>'Progetto del paramento slu'!$G$60*(sezione!$AO$33-C1555)/C1555</f>
        <v>9.1058328433268332E-2</v>
      </c>
      <c r="O1555" s="559">
        <f>'Progetto del paramento slu'!$G$60*(sezione!$AP$33-C1555)/C1555</f>
        <v>6.8810974643524439E-2</v>
      </c>
      <c r="P1555" s="553">
        <f>-'Progetto del paramento slu'!$G$47*'Progetto del paramento slu'!$G$41*IF(DATI!$G$218="dx",DATI!$E$61,DATI!$E$64*DATI!$E$63)*1000*C1555*sezione!$AD$5</f>
        <v>-177394.3065399873</v>
      </c>
      <c r="Q1555" s="553">
        <f>'Foglio deposito bis'!$F$68*IF(ABS(K1555)&lt;'Progetto del paramento slu'!$G$58,ABS(K1555)*'Progetto del paramento slu'!$G$54,'Progetto del paramento slu'!$G$53)*IF(K1555&lt;0,-1,1)</f>
        <v>0</v>
      </c>
      <c r="R1555" s="553">
        <f>'Foglio deposito bis'!$F$69*IF(ABS(L1555)&lt;'Progetto del paramento slu'!$G$58,ABS(L1555)*'Progetto del paramento slu'!$G$54,'Progetto del paramento slu'!$G$53)*IF(L1555&lt;0,-1,1)</f>
        <v>153664.85805602249</v>
      </c>
      <c r="S1555" s="553">
        <f>'Foglio deposito bis'!$F$70*IF(ABS(M1555)&lt;'Progetto del paramento slu'!$G$58,ABS(M1555)*'Progetto del paramento slu'!$G$54,'Progetto del paramento slu'!$G$53)*IF(M1555&lt;0,-1,1)</f>
        <v>0</v>
      </c>
      <c r="T1555" s="553">
        <f>'Foglio deposito bis'!$F$71*IF(ABS(N1555)&lt;'Progetto del paramento slu'!$G$58,ABS(N1555)*'Progetto del paramento slu'!$G$54,'Progetto del paramento slu'!$G$53)*IF(N1555&lt;0,-1,1)</f>
        <v>314705.62929873407</v>
      </c>
      <c r="U1555" s="553">
        <f>'Foglio deposito bis'!$F$72*IF(ABS(O1555)&lt;'Progetto del paramento slu'!$G$58,ABS(O1555)*'Progetto del paramento slu'!$G$54,'Progetto del paramento slu'!$G$53)*IF(O1555&lt;0,-1,1)</f>
        <v>491727.54577927204</v>
      </c>
      <c r="V1555" s="479">
        <f t="shared" si="114"/>
        <v>782703.72659404133</v>
      </c>
      <c r="W1555" s="559"/>
      <c r="X1555" s="559"/>
    </row>
    <row r="1556" spans="1:24" x14ac:dyDescent="0.25">
      <c r="A1556" s="553">
        <f t="shared" si="113"/>
        <v>779842.52810146089</v>
      </c>
      <c r="B1556" s="3">
        <f t="shared" si="115"/>
        <v>3.1499999999999968</v>
      </c>
      <c r="C1556" s="553">
        <f>'Foglio deposito bis'!$E$159/sezione!$B$247*B1556</f>
        <v>12.787805880477764</v>
      </c>
      <c r="D1556" s="611">
        <f>-'Progetto del paramento slu'!$G$47*'Progetto del paramento slu'!$G$41*IF(DATI!$G$218="dx",DATI!$E$61,DATI!$E$64*DATI!$E$63)*1000*C1556^2*sezione!$AD$5*(1-sezione!$AD$6)</f>
        <v>-1346162.2858304717</v>
      </c>
      <c r="E1556" s="553">
        <f>-'Foglio deposito bis'!$F$68*(C1556-sezione!$AL$33)*IF(ABS(K1556)&lt;'Progetto del paramento slu'!$G$58,ABS(K1556)*'Progetto del paramento slu'!$G$54,'Progetto del paramento slu'!$G$53)</f>
        <v>0</v>
      </c>
      <c r="F1556" s="553">
        <f>-'Foglio deposito bis'!$F$69*(C1556-sezione!$AM$33)*IF(ABS(L1556)&lt;'Progetto del paramento slu'!$G$58,ABS(L1556)*'Progetto del paramento slu'!$G$54,'Progetto del paramento slu'!$G$53)</f>
        <v>21084692.332931787</v>
      </c>
      <c r="G1556" s="553">
        <f>-'Foglio deposito bis'!$F$70*(C1556-sezione!$AN$33)*IF(ABS(M1556)&lt;'Progetto del paramento slu'!$G$58,ABS(M1556)*'Progetto del paramento slu'!$G$54,'Progetto del paramento slu'!$G$53)</f>
        <v>0</v>
      </c>
      <c r="H1556" s="553">
        <f>-'Foglio deposito bis'!$F$71*(C1556-sezione!$AO$33)*IF(ABS(N1556)&lt;'Progetto del paramento slu'!$G$58,ABS(N1556)*'Progetto del paramento slu'!$G$54,'Progetto del paramento slu'!$G$53)</f>
        <v>102975519.46460377</v>
      </c>
      <c r="I1556" s="479">
        <f>-'Foglio deposito bis'!$F$72*(C1556-sezione!$AP$33)*IF(ABS(O1556)&lt;'Progetto del paramento slu'!$G$58,ABS(O1556)*'Progetto del paramento slu'!$G$54,'Progetto del paramento slu'!$G$53)</f>
        <v>121563988.77415201</v>
      </c>
      <c r="J1556" s="479">
        <f t="shared" si="111"/>
        <v>244278038.28585708</v>
      </c>
      <c r="K1556" s="558">
        <f>'Progetto del paramento slu'!$G$60*(sezione!$AL$33-C1556)/C1556</f>
        <v>7.4479297158966161E-3</v>
      </c>
      <c r="L1556" s="558">
        <f>'Progetto del paramento slu'!$G$60*(sezione!$AM$33-C1556)/C1556</f>
        <v>3.7554736434612303E-2</v>
      </c>
      <c r="M1556" s="559">
        <f>'Progetto del paramento slu'!$G$60*(sezione!$AN$33-C1556)/C1556</f>
        <v>6.7661543153327994E-2</v>
      </c>
      <c r="N1556" s="559">
        <f>'Progetto del paramento slu'!$G$60*(sezione!$AO$33-C1556)/C1556</f>
        <v>8.9557402585121237E-2</v>
      </c>
      <c r="O1556" s="559">
        <f>'Progetto del paramento slu'!$G$60*(sezione!$AP$33-C1556)/C1556</f>
        <v>6.7663181395214531E-2</v>
      </c>
      <c r="P1556" s="553">
        <f>-'Progetto del paramento slu'!$G$47*'Progetto del paramento slu'!$G$41*IF(DATI!$G$218="dx",DATI!$E$61,DATI!$E$64*DATI!$E$63)*1000*C1556*sezione!$AD$5</f>
        <v>-180255.50503256771</v>
      </c>
      <c r="Q1556" s="553">
        <f>'Foglio deposito bis'!$F$68*IF(ABS(K1556)&lt;'Progetto del paramento slu'!$G$58,ABS(K1556)*'Progetto del paramento slu'!$G$54,'Progetto del paramento slu'!$G$53)*IF(K1556&lt;0,-1,1)</f>
        <v>0</v>
      </c>
      <c r="R1556" s="553">
        <f>'Foglio deposito bis'!$F$69*IF(ABS(L1556)&lt;'Progetto del paramento slu'!$G$58,ABS(L1556)*'Progetto del paramento slu'!$G$54,'Progetto del paramento slu'!$G$53)*IF(L1556&lt;0,-1,1)</f>
        <v>153664.85805602249</v>
      </c>
      <c r="S1556" s="553">
        <f>'Foglio deposito bis'!$F$70*IF(ABS(M1556)&lt;'Progetto del paramento slu'!$G$58,ABS(M1556)*'Progetto del paramento slu'!$G$54,'Progetto del paramento slu'!$G$53)*IF(M1556&lt;0,-1,1)</f>
        <v>0</v>
      </c>
      <c r="T1556" s="553">
        <f>'Foglio deposito bis'!$F$71*IF(ABS(N1556)&lt;'Progetto del paramento slu'!$G$58,ABS(N1556)*'Progetto del paramento slu'!$G$54,'Progetto del paramento slu'!$G$53)*IF(N1556&lt;0,-1,1)</f>
        <v>314705.62929873407</v>
      </c>
      <c r="U1556" s="553">
        <f>'Foglio deposito bis'!$F$72*IF(ABS(O1556)&lt;'Progetto del paramento slu'!$G$58,ABS(O1556)*'Progetto del paramento slu'!$G$54,'Progetto del paramento slu'!$G$53)*IF(O1556&lt;0,-1,1)</f>
        <v>491727.54577927204</v>
      </c>
      <c r="V1556" s="479">
        <f t="shared" si="114"/>
        <v>779842.52810146089</v>
      </c>
      <c r="W1556" s="559"/>
      <c r="X1556" s="559"/>
    </row>
    <row r="1557" spans="1:24" x14ac:dyDescent="0.25">
      <c r="A1557" s="553">
        <f t="shared" si="113"/>
        <v>776981.32960888045</v>
      </c>
      <c r="B1557" s="3">
        <f t="shared" si="115"/>
        <v>3.1999999999999966</v>
      </c>
      <c r="C1557" s="553">
        <f>'Foglio deposito bis'!$E$159/sezione!$B$247*B1557</f>
        <v>12.990786926199632</v>
      </c>
      <c r="D1557" s="611">
        <f>-'Progetto del paramento slu'!$G$47*'Progetto del paramento slu'!$G$41*IF(DATI!$G$218="dx",DATI!$E$61,DATI!$E$64*DATI!$E$63)*1000*C1557^2*sezione!$AD$5*(1-sezione!$AD$6)</f>
        <v>-1389236.765623989</v>
      </c>
      <c r="E1557" s="553">
        <f>-'Foglio deposito bis'!$F$68*(C1557-sezione!$AL$33)*IF(ABS(K1557)&lt;'Progetto del paramento slu'!$G$58,ABS(K1557)*'Progetto del paramento slu'!$G$54,'Progetto del paramento slu'!$G$53)</f>
        <v>0</v>
      </c>
      <c r="F1557" s="553">
        <f>-'Foglio deposito bis'!$F$69*(C1557-sezione!$AM$33)*IF(ABS(L1557)&lt;'Progetto del paramento slu'!$G$58,ABS(L1557)*'Progetto del paramento slu'!$G$54,'Progetto del paramento slu'!$G$53)</f>
        <v>21053501.279352874</v>
      </c>
      <c r="G1557" s="553">
        <f>-'Foglio deposito bis'!$F$70*(C1557-sezione!$AN$33)*IF(ABS(M1557)&lt;'Progetto del paramento slu'!$G$58,ABS(M1557)*'Progetto del paramento slu'!$G$54,'Progetto del paramento slu'!$G$53)</f>
        <v>0</v>
      </c>
      <c r="H1557" s="553">
        <f>-'Foglio deposito bis'!$F$71*(C1557-sezione!$AO$33)*IF(ABS(N1557)&lt;'Progetto del paramento slu'!$G$58,ABS(N1557)*'Progetto del paramento slu'!$G$54,'Progetto del paramento slu'!$G$53)</f>
        <v>102911640.18687418</v>
      </c>
      <c r="I1557" s="479">
        <f>-'Foglio deposito bis'!$F$72*(C1557-sezione!$AP$33)*IF(ABS(O1557)&lt;'Progetto del paramento slu'!$G$58,ABS(O1557)*'Progetto del paramento slu'!$G$54,'Progetto del paramento slu'!$G$53)</f>
        <v>121464177.4026995</v>
      </c>
      <c r="J1557" s="479">
        <f t="shared" ref="J1557:J1620" si="116">D1557+E1557+F1557+G1557+H1557+I1557</f>
        <v>244040082.10330257</v>
      </c>
      <c r="K1557" s="558">
        <f>'Progetto del paramento slu'!$G$60*(sezione!$AL$33-C1557)/C1557</f>
        <v>7.276868314085732E-3</v>
      </c>
      <c r="L1557" s="558">
        <f>'Progetto del paramento slu'!$G$60*(sezione!$AM$33-C1557)/C1557</f>
        <v>3.6913256177821492E-2</v>
      </c>
      <c r="M1557" s="559">
        <f>'Progetto del paramento slu'!$G$60*(sezione!$AN$33-C1557)/C1557</f>
        <v>6.6549644041557263E-2</v>
      </c>
      <c r="N1557" s="559">
        <f>'Progetto del paramento slu'!$G$60*(sezione!$AO$33-C1557)/C1557</f>
        <v>8.8103380669728726E-2</v>
      </c>
      <c r="O1557" s="559">
        <f>'Progetto del paramento slu'!$G$60*(sezione!$AP$33-C1557)/C1557</f>
        <v>6.6551256685914315E-2</v>
      </c>
      <c r="P1557" s="553">
        <f>-'Progetto del paramento slu'!$G$47*'Progetto del paramento slu'!$G$41*IF(DATI!$G$218="dx",DATI!$E$61,DATI!$E$64*DATI!$E$63)*1000*C1557*sezione!$AD$5</f>
        <v>-183116.70352514813</v>
      </c>
      <c r="Q1557" s="553">
        <f>'Foglio deposito bis'!$F$68*IF(ABS(K1557)&lt;'Progetto del paramento slu'!$G$58,ABS(K1557)*'Progetto del paramento slu'!$G$54,'Progetto del paramento slu'!$G$53)*IF(K1557&lt;0,-1,1)</f>
        <v>0</v>
      </c>
      <c r="R1557" s="553">
        <f>'Foglio deposito bis'!$F$69*IF(ABS(L1557)&lt;'Progetto del paramento slu'!$G$58,ABS(L1557)*'Progetto del paramento slu'!$G$54,'Progetto del paramento slu'!$G$53)*IF(L1557&lt;0,-1,1)</f>
        <v>153664.85805602249</v>
      </c>
      <c r="S1557" s="553">
        <f>'Foglio deposito bis'!$F$70*IF(ABS(M1557)&lt;'Progetto del paramento slu'!$G$58,ABS(M1557)*'Progetto del paramento slu'!$G$54,'Progetto del paramento slu'!$G$53)*IF(M1557&lt;0,-1,1)</f>
        <v>0</v>
      </c>
      <c r="T1557" s="553">
        <f>'Foglio deposito bis'!$F$71*IF(ABS(N1557)&lt;'Progetto del paramento slu'!$G$58,ABS(N1557)*'Progetto del paramento slu'!$G$54,'Progetto del paramento slu'!$G$53)*IF(N1557&lt;0,-1,1)</f>
        <v>314705.62929873407</v>
      </c>
      <c r="U1557" s="553">
        <f>'Foglio deposito bis'!$F$72*IF(ABS(O1557)&lt;'Progetto del paramento slu'!$G$58,ABS(O1557)*'Progetto del paramento slu'!$G$54,'Progetto del paramento slu'!$G$53)*IF(O1557&lt;0,-1,1)</f>
        <v>491727.54577927204</v>
      </c>
      <c r="V1557" s="479">
        <f t="shared" si="114"/>
        <v>776981.32960888045</v>
      </c>
      <c r="W1557" s="559"/>
      <c r="X1557" s="559"/>
    </row>
    <row r="1558" spans="1:24" x14ac:dyDescent="0.25">
      <c r="A1558" s="553">
        <f t="shared" ref="A1558:A1621" si="117">ABS(V1558)</f>
        <v>774120.13111630001</v>
      </c>
      <c r="B1558" s="3">
        <f t="shared" si="115"/>
        <v>3.2499999999999964</v>
      </c>
      <c r="C1558" s="553">
        <f>'Foglio deposito bis'!$E$159/sezione!$B$247*B1558</f>
        <v>13.193767971921503</v>
      </c>
      <c r="D1558" s="611">
        <f>-'Progetto del paramento slu'!$G$47*'Progetto del paramento slu'!$G$41*IF(DATI!$G$218="dx",DATI!$E$61,DATI!$E$64*DATI!$E$63)*1000*C1558^2*sezione!$AD$5*(1-sezione!$AD$6)</f>
        <v>-1432989.5836819713</v>
      </c>
      <c r="E1558" s="553">
        <f>-'Foglio deposito bis'!$F$68*(C1558-sezione!$AL$33)*IF(ABS(K1558)&lt;'Progetto del paramento slu'!$G$58,ABS(K1558)*'Progetto del paramento slu'!$G$54,'Progetto del paramento slu'!$G$53)</f>
        <v>0</v>
      </c>
      <c r="F1558" s="553">
        <f>-'Foglio deposito bis'!$F$69*(C1558-sezione!$AM$33)*IF(ABS(L1558)&lt;'Progetto del paramento slu'!$G$58,ABS(L1558)*'Progetto del paramento slu'!$G$54,'Progetto del paramento slu'!$G$53)</f>
        <v>21022310.225773964</v>
      </c>
      <c r="G1558" s="553">
        <f>-'Foglio deposito bis'!$F$70*(C1558-sezione!$AN$33)*IF(ABS(M1558)&lt;'Progetto del paramento slu'!$G$58,ABS(M1558)*'Progetto del paramento slu'!$G$54,'Progetto del paramento slu'!$G$53)</f>
        <v>0</v>
      </c>
      <c r="H1558" s="553">
        <f>-'Foglio deposito bis'!$F$71*(C1558-sezione!$AO$33)*IF(ABS(N1558)&lt;'Progetto del paramento slu'!$G$58,ABS(N1558)*'Progetto del paramento slu'!$G$54,'Progetto del paramento slu'!$G$53)</f>
        <v>102847760.90914457</v>
      </c>
      <c r="I1558" s="479">
        <f>-'Foglio deposito bis'!$F$72*(C1558-sezione!$AP$33)*IF(ABS(O1558)&lt;'Progetto del paramento slu'!$G$58,ABS(O1558)*'Progetto del paramento slu'!$G$54,'Progetto del paramento slu'!$G$53)</f>
        <v>121364366.03124699</v>
      </c>
      <c r="J1558" s="479">
        <f t="shared" si="116"/>
        <v>243801447.58248353</v>
      </c>
      <c r="K1558" s="558">
        <f>'Progetto del paramento slu'!$G$60*(sezione!$AL$33-C1558)/C1558</f>
        <v>7.1110703400228733E-3</v>
      </c>
      <c r="L1558" s="558">
        <f>'Progetto del paramento slu'!$G$60*(sezione!$AM$33-C1558)/C1558</f>
        <v>3.6291513775085778E-2</v>
      </c>
      <c r="M1558" s="559">
        <f>'Progetto del paramento slu'!$G$60*(sezione!$AN$33-C1558)/C1558</f>
        <v>6.5471957210148687E-2</v>
      </c>
      <c r="N1558" s="559">
        <f>'Progetto del paramento slu'!$G$60*(sezione!$AO$33-C1558)/C1558</f>
        <v>8.669409789019443E-2</v>
      </c>
      <c r="O1558" s="559">
        <f>'Progetto del paramento slu'!$G$60*(sezione!$AP$33-C1558)/C1558</f>
        <v>6.5473545044592546E-2</v>
      </c>
      <c r="P1558" s="553">
        <f>-'Progetto del paramento slu'!$G$47*'Progetto del paramento slu'!$G$41*IF(DATI!$G$218="dx",DATI!$E$61,DATI!$E$64*DATI!$E$63)*1000*C1558*sezione!$AD$5</f>
        <v>-185977.9020177286</v>
      </c>
      <c r="Q1558" s="553">
        <f>'Foglio deposito bis'!$F$68*IF(ABS(K1558)&lt;'Progetto del paramento slu'!$G$58,ABS(K1558)*'Progetto del paramento slu'!$G$54,'Progetto del paramento slu'!$G$53)*IF(K1558&lt;0,-1,1)</f>
        <v>0</v>
      </c>
      <c r="R1558" s="553">
        <f>'Foglio deposito bis'!$F$69*IF(ABS(L1558)&lt;'Progetto del paramento slu'!$G$58,ABS(L1558)*'Progetto del paramento slu'!$G$54,'Progetto del paramento slu'!$G$53)*IF(L1558&lt;0,-1,1)</f>
        <v>153664.85805602249</v>
      </c>
      <c r="S1558" s="553">
        <f>'Foglio deposito bis'!$F$70*IF(ABS(M1558)&lt;'Progetto del paramento slu'!$G$58,ABS(M1558)*'Progetto del paramento slu'!$G$54,'Progetto del paramento slu'!$G$53)*IF(M1558&lt;0,-1,1)</f>
        <v>0</v>
      </c>
      <c r="T1558" s="553">
        <f>'Foglio deposito bis'!$F$71*IF(ABS(N1558)&lt;'Progetto del paramento slu'!$G$58,ABS(N1558)*'Progetto del paramento slu'!$G$54,'Progetto del paramento slu'!$G$53)*IF(N1558&lt;0,-1,1)</f>
        <v>314705.62929873407</v>
      </c>
      <c r="U1558" s="553">
        <f>'Foglio deposito bis'!$F$72*IF(ABS(O1558)&lt;'Progetto del paramento slu'!$G$58,ABS(O1558)*'Progetto del paramento slu'!$G$54,'Progetto del paramento slu'!$G$53)*IF(O1558&lt;0,-1,1)</f>
        <v>491727.54577927204</v>
      </c>
      <c r="V1558" s="479">
        <f t="shared" ref="V1558:V1621" si="118">P1558+Q1558+R1558+S1558+T1558+U1558</f>
        <v>774120.13111630001</v>
      </c>
      <c r="W1558" s="559"/>
      <c r="X1558" s="559"/>
    </row>
    <row r="1559" spans="1:24" x14ac:dyDescent="0.25">
      <c r="A1559" s="553">
        <f t="shared" si="117"/>
        <v>771258.93262371956</v>
      </c>
      <c r="B1559" s="3">
        <f t="shared" ref="B1559:B1595" si="119">B1558+0.05</f>
        <v>3.2999999999999963</v>
      </c>
      <c r="C1559" s="553">
        <f>'Foglio deposito bis'!$E$159/sezione!$B$247*B1559</f>
        <v>13.396749017643371</v>
      </c>
      <c r="D1559" s="611">
        <f>-'Progetto del paramento slu'!$G$47*'Progetto del paramento slu'!$G$41*IF(DATI!$G$218="dx",DATI!$E$61,DATI!$E$64*DATI!$E$63)*1000*C1559^2*sezione!$AD$5*(1-sezione!$AD$6)</f>
        <v>-1477420.7400044182</v>
      </c>
      <c r="E1559" s="553">
        <f>-'Foglio deposito bis'!$F$68*(C1559-sezione!$AL$33)*IF(ABS(K1559)&lt;'Progetto del paramento slu'!$G$58,ABS(K1559)*'Progetto del paramento slu'!$G$54,'Progetto del paramento slu'!$G$53)</f>
        <v>0</v>
      </c>
      <c r="F1559" s="553">
        <f>-'Foglio deposito bis'!$F$69*(C1559-sezione!$AM$33)*IF(ABS(L1559)&lt;'Progetto del paramento slu'!$G$58,ABS(L1559)*'Progetto del paramento slu'!$G$54,'Progetto del paramento slu'!$G$53)</f>
        <v>20991119.172195047</v>
      </c>
      <c r="G1559" s="553">
        <f>-'Foglio deposito bis'!$F$70*(C1559-sezione!$AN$33)*IF(ABS(M1559)&lt;'Progetto del paramento slu'!$G$58,ABS(M1559)*'Progetto del paramento slu'!$G$54,'Progetto del paramento slu'!$G$53)</f>
        <v>0</v>
      </c>
      <c r="H1559" s="553">
        <f>-'Foglio deposito bis'!$F$71*(C1559-sezione!$AO$33)*IF(ABS(N1559)&lt;'Progetto del paramento slu'!$G$58,ABS(N1559)*'Progetto del paramento slu'!$G$54,'Progetto del paramento slu'!$G$53)</f>
        <v>102783881.63141495</v>
      </c>
      <c r="I1559" s="479">
        <f>-'Foglio deposito bis'!$F$72*(C1559-sezione!$AP$33)*IF(ABS(O1559)&lt;'Progetto del paramento slu'!$G$58,ABS(O1559)*'Progetto del paramento slu'!$G$54,'Progetto del paramento slu'!$G$53)</f>
        <v>121264554.65979445</v>
      </c>
      <c r="J1559" s="479">
        <f t="shared" si="116"/>
        <v>243562134.72340003</v>
      </c>
      <c r="K1559" s="558">
        <f>'Progetto del paramento slu'!$G$60*(sezione!$AL$33-C1559)/C1559</f>
        <v>6.9502965469922249E-3</v>
      </c>
      <c r="L1559" s="558">
        <f>'Progetto del paramento slu'!$G$60*(sezione!$AM$33-C1559)/C1559</f>
        <v>3.5688612051220842E-2</v>
      </c>
      <c r="M1559" s="559">
        <f>'Progetto del paramento slu'!$G$60*(sezione!$AN$33-C1559)/C1559</f>
        <v>6.4426927555449459E-2</v>
      </c>
      <c r="N1559" s="559">
        <f>'Progetto del paramento slu'!$G$60*(sezione!$AO$33-C1559)/C1559</f>
        <v>8.5327520649433913E-2</v>
      </c>
      <c r="O1559" s="559">
        <f>'Progetto del paramento slu'!$G$60*(sezione!$AP$33-C1559)/C1559</f>
        <v>6.4428491331795693E-2</v>
      </c>
      <c r="P1559" s="553">
        <f>-'Progetto del paramento slu'!$G$47*'Progetto del paramento slu'!$G$41*IF(DATI!$G$218="dx",DATI!$E$61,DATI!$E$64*DATI!$E$63)*1000*C1559*sezione!$AD$5</f>
        <v>-188839.10051030901</v>
      </c>
      <c r="Q1559" s="553">
        <f>'Foglio deposito bis'!$F$68*IF(ABS(K1559)&lt;'Progetto del paramento slu'!$G$58,ABS(K1559)*'Progetto del paramento slu'!$G$54,'Progetto del paramento slu'!$G$53)*IF(K1559&lt;0,-1,1)</f>
        <v>0</v>
      </c>
      <c r="R1559" s="553">
        <f>'Foglio deposito bis'!$F$69*IF(ABS(L1559)&lt;'Progetto del paramento slu'!$G$58,ABS(L1559)*'Progetto del paramento slu'!$G$54,'Progetto del paramento slu'!$G$53)*IF(L1559&lt;0,-1,1)</f>
        <v>153664.85805602249</v>
      </c>
      <c r="S1559" s="553">
        <f>'Foglio deposito bis'!$F$70*IF(ABS(M1559)&lt;'Progetto del paramento slu'!$G$58,ABS(M1559)*'Progetto del paramento slu'!$G$54,'Progetto del paramento slu'!$G$53)*IF(M1559&lt;0,-1,1)</f>
        <v>0</v>
      </c>
      <c r="T1559" s="553">
        <f>'Foglio deposito bis'!$F$71*IF(ABS(N1559)&lt;'Progetto del paramento slu'!$G$58,ABS(N1559)*'Progetto del paramento slu'!$G$54,'Progetto del paramento slu'!$G$53)*IF(N1559&lt;0,-1,1)</f>
        <v>314705.62929873407</v>
      </c>
      <c r="U1559" s="553">
        <f>'Foglio deposito bis'!$F$72*IF(ABS(O1559)&lt;'Progetto del paramento slu'!$G$58,ABS(O1559)*'Progetto del paramento slu'!$G$54,'Progetto del paramento slu'!$G$53)*IF(O1559&lt;0,-1,1)</f>
        <v>491727.54577927204</v>
      </c>
      <c r="V1559" s="479">
        <f t="shared" si="118"/>
        <v>771258.93262371956</v>
      </c>
      <c r="W1559" s="559"/>
      <c r="X1559" s="559"/>
    </row>
    <row r="1560" spans="1:24" x14ac:dyDescent="0.25">
      <c r="A1560" s="553">
        <f t="shared" si="117"/>
        <v>768397.73413113924</v>
      </c>
      <c r="B1560" s="3">
        <f t="shared" si="119"/>
        <v>3.3499999999999961</v>
      </c>
      <c r="C1560" s="553">
        <f>'Foglio deposito bis'!$E$159/sezione!$B$247*B1560</f>
        <v>13.599730063365239</v>
      </c>
      <c r="D1560" s="611">
        <f>-'Progetto del paramento slu'!$G$47*'Progetto del paramento slu'!$G$41*IF(DATI!$G$218="dx",DATI!$E$61,DATI!$E$64*DATI!$E$63)*1000*C1560^2*sezione!$AD$5*(1-sezione!$AD$6)</f>
        <v>-1522530.2345913295</v>
      </c>
      <c r="E1560" s="553">
        <f>-'Foglio deposito bis'!$F$68*(C1560-sezione!$AL$33)*IF(ABS(K1560)&lt;'Progetto del paramento slu'!$G$58,ABS(K1560)*'Progetto del paramento slu'!$G$54,'Progetto del paramento slu'!$G$53)</f>
        <v>0</v>
      </c>
      <c r="F1560" s="553">
        <f>-'Foglio deposito bis'!$F$69*(C1560-sezione!$AM$33)*IF(ABS(L1560)&lt;'Progetto del paramento slu'!$G$58,ABS(L1560)*'Progetto del paramento slu'!$G$54,'Progetto del paramento slu'!$G$53)</f>
        <v>20959928.118616134</v>
      </c>
      <c r="G1560" s="553">
        <f>-'Foglio deposito bis'!$F$70*(C1560-sezione!$AN$33)*IF(ABS(M1560)&lt;'Progetto del paramento slu'!$G$58,ABS(M1560)*'Progetto del paramento slu'!$G$54,'Progetto del paramento slu'!$G$53)</f>
        <v>0</v>
      </c>
      <c r="H1560" s="553">
        <f>-'Foglio deposito bis'!$F$71*(C1560-sezione!$AO$33)*IF(ABS(N1560)&lt;'Progetto del paramento slu'!$G$58,ABS(N1560)*'Progetto del paramento slu'!$G$54,'Progetto del paramento slu'!$G$53)</f>
        <v>102720002.3536853</v>
      </c>
      <c r="I1560" s="479">
        <f>-'Foglio deposito bis'!$F$72*(C1560-sezione!$AP$33)*IF(ABS(O1560)&lt;'Progetto del paramento slu'!$G$58,ABS(O1560)*'Progetto del paramento slu'!$G$54,'Progetto del paramento slu'!$G$53)</f>
        <v>121164743.28834194</v>
      </c>
      <c r="J1560" s="479">
        <f t="shared" si="116"/>
        <v>243322143.52605206</v>
      </c>
      <c r="K1560" s="558">
        <f>'Progetto del paramento slu'!$G$60*(sezione!$AL$33-C1560)/C1560</f>
        <v>6.7943219716639835E-3</v>
      </c>
      <c r="L1560" s="558">
        <f>'Progetto del paramento slu'!$G$60*(sezione!$AM$33-C1560)/C1560</f>
        <v>3.5103707393739941E-2</v>
      </c>
      <c r="M1560" s="559">
        <f>'Progetto del paramento slu'!$G$60*(sezione!$AN$33-C1560)/C1560</f>
        <v>6.3413092815815891E-2</v>
      </c>
      <c r="N1560" s="559">
        <f>'Progetto del paramento slu'!$G$60*(sezione!$AO$33-C1560)/C1560</f>
        <v>8.4001736759143852E-2</v>
      </c>
      <c r="O1560" s="559">
        <f>'Progetto del paramento slu'!$G$60*(sezione!$AP$33-C1560)/C1560</f>
        <v>6.3414633252216662E-2</v>
      </c>
      <c r="P1560" s="553">
        <f>-'Progetto del paramento slu'!$G$47*'Progetto del paramento slu'!$G$41*IF(DATI!$G$218="dx",DATI!$E$61,DATI!$E$64*DATI!$E$63)*1000*C1560*sezione!$AD$5</f>
        <v>-191700.29900288943</v>
      </c>
      <c r="Q1560" s="553">
        <f>'Foglio deposito bis'!$F$68*IF(ABS(K1560)&lt;'Progetto del paramento slu'!$G$58,ABS(K1560)*'Progetto del paramento slu'!$G$54,'Progetto del paramento slu'!$G$53)*IF(K1560&lt;0,-1,1)</f>
        <v>0</v>
      </c>
      <c r="R1560" s="553">
        <f>'Foglio deposito bis'!$F$69*IF(ABS(L1560)&lt;'Progetto del paramento slu'!$G$58,ABS(L1560)*'Progetto del paramento slu'!$G$54,'Progetto del paramento slu'!$G$53)*IF(L1560&lt;0,-1,1)</f>
        <v>153664.85805602249</v>
      </c>
      <c r="S1560" s="553">
        <f>'Foglio deposito bis'!$F$70*IF(ABS(M1560)&lt;'Progetto del paramento slu'!$G$58,ABS(M1560)*'Progetto del paramento slu'!$G$54,'Progetto del paramento slu'!$G$53)*IF(M1560&lt;0,-1,1)</f>
        <v>0</v>
      </c>
      <c r="T1560" s="553">
        <f>'Foglio deposito bis'!$F$71*IF(ABS(N1560)&lt;'Progetto del paramento slu'!$G$58,ABS(N1560)*'Progetto del paramento slu'!$G$54,'Progetto del paramento slu'!$G$53)*IF(N1560&lt;0,-1,1)</f>
        <v>314705.62929873407</v>
      </c>
      <c r="U1560" s="553">
        <f>'Foglio deposito bis'!$F$72*IF(ABS(O1560)&lt;'Progetto del paramento slu'!$G$58,ABS(O1560)*'Progetto del paramento slu'!$G$54,'Progetto del paramento slu'!$G$53)*IF(O1560&lt;0,-1,1)</f>
        <v>491727.54577927204</v>
      </c>
      <c r="V1560" s="479">
        <f t="shared" si="118"/>
        <v>768397.73413113924</v>
      </c>
      <c r="W1560" s="559"/>
      <c r="X1560" s="559"/>
    </row>
    <row r="1561" spans="1:24" x14ac:dyDescent="0.25">
      <c r="A1561" s="553">
        <f t="shared" si="117"/>
        <v>765536.53563855868</v>
      </c>
      <c r="B1561" s="3">
        <f t="shared" si="119"/>
        <v>3.3999999999999959</v>
      </c>
      <c r="C1561" s="553">
        <f>'Foglio deposito bis'!$E$159/sezione!$B$247*B1561</f>
        <v>13.802711109087108</v>
      </c>
      <c r="D1561" s="611">
        <f>-'Progetto del paramento slu'!$G$47*'Progetto del paramento slu'!$G$41*IF(DATI!$G$218="dx",DATI!$E$61,DATI!$E$64*DATI!$E$63)*1000*C1561^2*sezione!$AD$5*(1-sezione!$AD$6)</f>
        <v>-1568318.0674427059</v>
      </c>
      <c r="E1561" s="553">
        <f>-'Foglio deposito bis'!$F$68*(C1561-sezione!$AL$33)*IF(ABS(K1561)&lt;'Progetto del paramento slu'!$G$58,ABS(K1561)*'Progetto del paramento slu'!$G$54,'Progetto del paramento slu'!$G$53)</f>
        <v>0</v>
      </c>
      <c r="F1561" s="553">
        <f>-'Foglio deposito bis'!$F$69*(C1561-sezione!$AM$33)*IF(ABS(L1561)&lt;'Progetto del paramento slu'!$G$58,ABS(L1561)*'Progetto del paramento slu'!$G$54,'Progetto del paramento slu'!$G$53)</f>
        <v>20928737.065037217</v>
      </c>
      <c r="G1561" s="553">
        <f>-'Foglio deposito bis'!$F$70*(C1561-sezione!$AN$33)*IF(ABS(M1561)&lt;'Progetto del paramento slu'!$G$58,ABS(M1561)*'Progetto del paramento slu'!$G$54,'Progetto del paramento slu'!$G$53)</f>
        <v>0</v>
      </c>
      <c r="H1561" s="553">
        <f>-'Foglio deposito bis'!$F$71*(C1561-sezione!$AO$33)*IF(ABS(N1561)&lt;'Progetto del paramento slu'!$G$58,ABS(N1561)*'Progetto del paramento slu'!$G$54,'Progetto del paramento slu'!$G$53)</f>
        <v>102656123.0759557</v>
      </c>
      <c r="I1561" s="479">
        <f>-'Foglio deposito bis'!$F$72*(C1561-sezione!$AP$33)*IF(ABS(O1561)&lt;'Progetto del paramento slu'!$G$58,ABS(O1561)*'Progetto del paramento slu'!$G$54,'Progetto del paramento slu'!$G$53)</f>
        <v>121064931.91688941</v>
      </c>
      <c r="J1561" s="479">
        <f t="shared" si="116"/>
        <v>243081473.99043965</v>
      </c>
      <c r="K1561" s="558">
        <f>'Progetto del paramento slu'!$G$60*(sezione!$AL$33-C1561)/C1561</f>
        <v>6.6429348838453967E-3</v>
      </c>
      <c r="L1561" s="558">
        <f>'Progetto del paramento slu'!$G$60*(sezione!$AM$33-C1561)/C1561</f>
        <v>3.4536005814420234E-2</v>
      </c>
      <c r="M1561" s="559">
        <f>'Progetto del paramento slu'!$G$60*(sezione!$AN$33-C1561)/C1561</f>
        <v>6.242907674499508E-2</v>
      </c>
      <c r="N1561" s="559">
        <f>'Progetto del paramento slu'!$G$60*(sezione!$AO$33-C1561)/C1561</f>
        <v>8.2714946512685877E-2</v>
      </c>
      <c r="O1561" s="559">
        <f>'Progetto del paramento slu'!$G$60*(sezione!$AP$33-C1561)/C1561</f>
        <v>6.243059452791936E-2</v>
      </c>
      <c r="P1561" s="553">
        <f>-'Progetto del paramento slu'!$G$47*'Progetto del paramento slu'!$G$41*IF(DATI!$G$218="dx",DATI!$E$61,DATI!$E$64*DATI!$E$63)*1000*C1561*sezione!$AD$5</f>
        <v>-194561.49749546987</v>
      </c>
      <c r="Q1561" s="553">
        <f>'Foglio deposito bis'!$F$68*IF(ABS(K1561)&lt;'Progetto del paramento slu'!$G$58,ABS(K1561)*'Progetto del paramento slu'!$G$54,'Progetto del paramento slu'!$G$53)*IF(K1561&lt;0,-1,1)</f>
        <v>0</v>
      </c>
      <c r="R1561" s="553">
        <f>'Foglio deposito bis'!$F$69*IF(ABS(L1561)&lt;'Progetto del paramento slu'!$G$58,ABS(L1561)*'Progetto del paramento slu'!$G$54,'Progetto del paramento slu'!$G$53)*IF(L1561&lt;0,-1,1)</f>
        <v>153664.85805602249</v>
      </c>
      <c r="S1561" s="553">
        <f>'Foglio deposito bis'!$F$70*IF(ABS(M1561)&lt;'Progetto del paramento slu'!$G$58,ABS(M1561)*'Progetto del paramento slu'!$G$54,'Progetto del paramento slu'!$G$53)*IF(M1561&lt;0,-1,1)</f>
        <v>0</v>
      </c>
      <c r="T1561" s="553">
        <f>'Foglio deposito bis'!$F$71*IF(ABS(N1561)&lt;'Progetto del paramento slu'!$G$58,ABS(N1561)*'Progetto del paramento slu'!$G$54,'Progetto del paramento slu'!$G$53)*IF(N1561&lt;0,-1,1)</f>
        <v>314705.62929873407</v>
      </c>
      <c r="U1561" s="553">
        <f>'Foglio deposito bis'!$F$72*IF(ABS(O1561)&lt;'Progetto del paramento slu'!$G$58,ABS(O1561)*'Progetto del paramento slu'!$G$54,'Progetto del paramento slu'!$G$53)*IF(O1561&lt;0,-1,1)</f>
        <v>491727.54577927204</v>
      </c>
      <c r="V1561" s="479">
        <f t="shared" si="118"/>
        <v>765536.53563855868</v>
      </c>
      <c r="W1561" s="559"/>
      <c r="X1561" s="559"/>
    </row>
    <row r="1562" spans="1:24" x14ac:dyDescent="0.25">
      <c r="A1562" s="553">
        <f t="shared" si="117"/>
        <v>762675.33714597835</v>
      </c>
      <c r="B1562" s="3">
        <f t="shared" si="119"/>
        <v>3.4499999999999957</v>
      </c>
      <c r="C1562" s="553">
        <f>'Foglio deposito bis'!$E$159/sezione!$B$247*B1562</f>
        <v>14.005692154808976</v>
      </c>
      <c r="D1562" s="611">
        <f>-'Progetto del paramento slu'!$G$47*'Progetto del paramento slu'!$G$41*IF(DATI!$G$218="dx",DATI!$E$61,DATI!$E$64*DATI!$E$63)*1000*C1562^2*sezione!$AD$5*(1-sezione!$AD$6)</f>
        <v>-1614784.2385585471</v>
      </c>
      <c r="E1562" s="553">
        <f>-'Foglio deposito bis'!$F$68*(C1562-sezione!$AL$33)*IF(ABS(K1562)&lt;'Progetto del paramento slu'!$G$58,ABS(K1562)*'Progetto del paramento slu'!$G$54,'Progetto del paramento slu'!$G$53)</f>
        <v>0</v>
      </c>
      <c r="F1562" s="553">
        <f>-'Foglio deposito bis'!$F$69*(C1562-sezione!$AM$33)*IF(ABS(L1562)&lt;'Progetto del paramento slu'!$G$58,ABS(L1562)*'Progetto del paramento slu'!$G$54,'Progetto del paramento slu'!$G$53)</f>
        <v>20897546.011458308</v>
      </c>
      <c r="G1562" s="553">
        <f>-'Foglio deposito bis'!$F$70*(C1562-sezione!$AN$33)*IF(ABS(M1562)&lt;'Progetto del paramento slu'!$G$58,ABS(M1562)*'Progetto del paramento slu'!$G$54,'Progetto del paramento slu'!$G$53)</f>
        <v>0</v>
      </c>
      <c r="H1562" s="553">
        <f>-'Foglio deposito bis'!$F$71*(C1562-sezione!$AO$33)*IF(ABS(N1562)&lt;'Progetto del paramento slu'!$G$58,ABS(N1562)*'Progetto del paramento slu'!$G$54,'Progetto del paramento slu'!$G$53)</f>
        <v>102592243.79822609</v>
      </c>
      <c r="I1562" s="479">
        <f>-'Foglio deposito bis'!$F$72*(C1562-sezione!$AP$33)*IF(ABS(O1562)&lt;'Progetto del paramento slu'!$G$58,ABS(O1562)*'Progetto del paramento slu'!$G$54,'Progetto del paramento slu'!$G$53)</f>
        <v>120965120.54543687</v>
      </c>
      <c r="J1562" s="479">
        <f t="shared" si="116"/>
        <v>242840126.11656272</v>
      </c>
      <c r="K1562" s="558">
        <f>'Progetto del paramento slu'!$G$60*(sezione!$AL$33-C1562)/C1562</f>
        <v>6.4959358275577814E-3</v>
      </c>
      <c r="L1562" s="558">
        <f>'Progetto del paramento slu'!$G$60*(sezione!$AM$33-C1562)/C1562</f>
        <v>3.3984759353341686E-2</v>
      </c>
      <c r="M1562" s="559">
        <f>'Progetto del paramento slu'!$G$60*(sezione!$AN$33-C1562)/C1562</f>
        <v>6.1473582879125584E-2</v>
      </c>
      <c r="N1562" s="559">
        <f>'Progetto del paramento slu'!$G$60*(sezione!$AO$33-C1562)/C1562</f>
        <v>8.1465454534241158E-2</v>
      </c>
      <c r="O1562" s="559">
        <f>'Progetto del paramento slu'!$G$60*(sezione!$AP$33-C1562)/C1562</f>
        <v>6.1475078665195894E-2</v>
      </c>
      <c r="P1562" s="553">
        <f>-'Progetto del paramento slu'!$G$47*'Progetto del paramento slu'!$G$41*IF(DATI!$G$218="dx",DATI!$E$61,DATI!$E$64*DATI!$E$63)*1000*C1562*sezione!$AD$5</f>
        <v>-197422.69598805028</v>
      </c>
      <c r="Q1562" s="553">
        <f>'Foglio deposito bis'!$F$68*IF(ABS(K1562)&lt;'Progetto del paramento slu'!$G$58,ABS(K1562)*'Progetto del paramento slu'!$G$54,'Progetto del paramento slu'!$G$53)*IF(K1562&lt;0,-1,1)</f>
        <v>0</v>
      </c>
      <c r="R1562" s="553">
        <f>'Foglio deposito bis'!$F$69*IF(ABS(L1562)&lt;'Progetto del paramento slu'!$G$58,ABS(L1562)*'Progetto del paramento slu'!$G$54,'Progetto del paramento slu'!$G$53)*IF(L1562&lt;0,-1,1)</f>
        <v>153664.85805602249</v>
      </c>
      <c r="S1562" s="553">
        <f>'Foglio deposito bis'!$F$70*IF(ABS(M1562)&lt;'Progetto del paramento slu'!$G$58,ABS(M1562)*'Progetto del paramento slu'!$G$54,'Progetto del paramento slu'!$G$53)*IF(M1562&lt;0,-1,1)</f>
        <v>0</v>
      </c>
      <c r="T1562" s="553">
        <f>'Foglio deposito bis'!$F$71*IF(ABS(N1562)&lt;'Progetto del paramento slu'!$G$58,ABS(N1562)*'Progetto del paramento slu'!$G$54,'Progetto del paramento slu'!$G$53)*IF(N1562&lt;0,-1,1)</f>
        <v>314705.62929873407</v>
      </c>
      <c r="U1562" s="553">
        <f>'Foglio deposito bis'!$F$72*IF(ABS(O1562)&lt;'Progetto del paramento slu'!$G$58,ABS(O1562)*'Progetto del paramento slu'!$G$54,'Progetto del paramento slu'!$G$53)*IF(O1562&lt;0,-1,1)</f>
        <v>491727.54577927204</v>
      </c>
      <c r="V1562" s="479">
        <f t="shared" si="118"/>
        <v>762675.33714597835</v>
      </c>
      <c r="W1562" s="559"/>
      <c r="X1562" s="559"/>
    </row>
    <row r="1563" spans="1:24" x14ac:dyDescent="0.25">
      <c r="A1563" s="553">
        <f t="shared" si="117"/>
        <v>759814.13865339779</v>
      </c>
      <c r="B1563" s="3">
        <f t="shared" si="119"/>
        <v>3.4999999999999956</v>
      </c>
      <c r="C1563" s="553">
        <f>'Foglio deposito bis'!$E$159/sezione!$B$247*B1563</f>
        <v>14.208673200530846</v>
      </c>
      <c r="D1563" s="611">
        <f>-'Progetto del paramento slu'!$G$47*'Progetto del paramento slu'!$G$41*IF(DATI!$G$218="dx",DATI!$E$61,DATI!$E$64*DATI!$E$63)*1000*C1563^2*sezione!$AD$5*(1-sezione!$AD$6)</f>
        <v>-1661928.7479388535</v>
      </c>
      <c r="E1563" s="553">
        <f>-'Foglio deposito bis'!$F$68*(C1563-sezione!$AL$33)*IF(ABS(K1563)&lt;'Progetto del paramento slu'!$G$58,ABS(K1563)*'Progetto del paramento slu'!$G$54,'Progetto del paramento slu'!$G$53)</f>
        <v>0</v>
      </c>
      <c r="F1563" s="553">
        <f>-'Foglio deposito bis'!$F$69*(C1563-sezione!$AM$33)*IF(ABS(L1563)&lt;'Progetto del paramento slu'!$G$58,ABS(L1563)*'Progetto del paramento slu'!$G$54,'Progetto del paramento slu'!$G$53)</f>
        <v>20866354.957879391</v>
      </c>
      <c r="G1563" s="553">
        <f>-'Foglio deposito bis'!$F$70*(C1563-sezione!$AN$33)*IF(ABS(M1563)&lt;'Progetto del paramento slu'!$G$58,ABS(M1563)*'Progetto del paramento slu'!$G$54,'Progetto del paramento slu'!$G$53)</f>
        <v>0</v>
      </c>
      <c r="H1563" s="553">
        <f>-'Foglio deposito bis'!$F$71*(C1563-sezione!$AO$33)*IF(ABS(N1563)&lt;'Progetto del paramento slu'!$G$58,ABS(N1563)*'Progetto del paramento slu'!$G$54,'Progetto del paramento slu'!$G$53)</f>
        <v>102528364.52049647</v>
      </c>
      <c r="I1563" s="479">
        <f>-'Foglio deposito bis'!$F$72*(C1563-sezione!$AP$33)*IF(ABS(O1563)&lt;'Progetto del paramento slu'!$G$58,ABS(O1563)*'Progetto del paramento slu'!$G$54,'Progetto del paramento slu'!$G$53)</f>
        <v>120865309.17398436</v>
      </c>
      <c r="J1563" s="479">
        <f t="shared" si="116"/>
        <v>242598099.90442139</v>
      </c>
      <c r="K1563" s="558">
        <f>'Progetto del paramento slu'!$G$60*(sezione!$AL$33-C1563)/C1563</f>
        <v>6.353136744306956E-3</v>
      </c>
      <c r="L1563" s="558">
        <f>'Progetto del paramento slu'!$G$60*(sezione!$AM$33-C1563)/C1563</f>
        <v>3.3449262791151083E-2</v>
      </c>
      <c r="M1563" s="559">
        <f>'Progetto del paramento slu'!$G$60*(sezione!$AN$33-C1563)/C1563</f>
        <v>6.054538883799522E-2</v>
      </c>
      <c r="N1563" s="559">
        <f>'Progetto del paramento slu'!$G$60*(sezione!$AO$33-C1563)/C1563</f>
        <v>8.025166232660913E-2</v>
      </c>
      <c r="O1563" s="559">
        <f>'Progetto del paramento slu'!$G$60*(sezione!$AP$33-C1563)/C1563</f>
        <v>6.0546863255693091E-2</v>
      </c>
      <c r="P1563" s="553">
        <f>-'Progetto del paramento slu'!$G$47*'Progetto del paramento slu'!$G$41*IF(DATI!$G$218="dx",DATI!$E$61,DATI!$E$64*DATI!$E$63)*1000*C1563*sezione!$AD$5</f>
        <v>-200283.89448063073</v>
      </c>
      <c r="Q1563" s="553">
        <f>'Foglio deposito bis'!$F$68*IF(ABS(K1563)&lt;'Progetto del paramento slu'!$G$58,ABS(K1563)*'Progetto del paramento slu'!$G$54,'Progetto del paramento slu'!$G$53)*IF(K1563&lt;0,-1,1)</f>
        <v>0</v>
      </c>
      <c r="R1563" s="553">
        <f>'Foglio deposito bis'!$F$69*IF(ABS(L1563)&lt;'Progetto del paramento slu'!$G$58,ABS(L1563)*'Progetto del paramento slu'!$G$54,'Progetto del paramento slu'!$G$53)*IF(L1563&lt;0,-1,1)</f>
        <v>153664.85805602249</v>
      </c>
      <c r="S1563" s="553">
        <f>'Foglio deposito bis'!$F$70*IF(ABS(M1563)&lt;'Progetto del paramento slu'!$G$58,ABS(M1563)*'Progetto del paramento slu'!$G$54,'Progetto del paramento slu'!$G$53)*IF(M1563&lt;0,-1,1)</f>
        <v>0</v>
      </c>
      <c r="T1563" s="553">
        <f>'Foglio deposito bis'!$F$71*IF(ABS(N1563)&lt;'Progetto del paramento slu'!$G$58,ABS(N1563)*'Progetto del paramento slu'!$G$54,'Progetto del paramento slu'!$G$53)*IF(N1563&lt;0,-1,1)</f>
        <v>314705.62929873407</v>
      </c>
      <c r="U1563" s="553">
        <f>'Foglio deposito bis'!$F$72*IF(ABS(O1563)&lt;'Progetto del paramento slu'!$G$58,ABS(O1563)*'Progetto del paramento slu'!$G$54,'Progetto del paramento slu'!$G$53)*IF(O1563&lt;0,-1,1)</f>
        <v>491727.54577927204</v>
      </c>
      <c r="V1563" s="479">
        <f t="shared" si="118"/>
        <v>759814.13865339779</v>
      </c>
      <c r="W1563" s="559"/>
      <c r="X1563" s="559"/>
    </row>
    <row r="1564" spans="1:24" x14ac:dyDescent="0.25">
      <c r="A1564" s="553">
        <f t="shared" si="117"/>
        <v>756952.94016081747</v>
      </c>
      <c r="B1564" s="3">
        <f t="shared" si="119"/>
        <v>3.5499999999999954</v>
      </c>
      <c r="C1564" s="553">
        <f>'Foglio deposito bis'!$E$159/sezione!$B$247*B1564</f>
        <v>14.411654246252715</v>
      </c>
      <c r="D1564" s="611">
        <f>-'Progetto del paramento slu'!$G$47*'Progetto del paramento slu'!$G$41*IF(DATI!$G$218="dx",DATI!$E$61,DATI!$E$64*DATI!$E$63)*1000*C1564^2*sezione!$AD$5*(1-sezione!$AD$6)</f>
        <v>-1709751.5955836247</v>
      </c>
      <c r="E1564" s="553">
        <f>-'Foglio deposito bis'!$F$68*(C1564-sezione!$AL$33)*IF(ABS(K1564)&lt;'Progetto del paramento slu'!$G$58,ABS(K1564)*'Progetto del paramento slu'!$G$54,'Progetto del paramento slu'!$G$53)</f>
        <v>0</v>
      </c>
      <c r="F1564" s="553">
        <f>-'Foglio deposito bis'!$F$69*(C1564-sezione!$AM$33)*IF(ABS(L1564)&lt;'Progetto del paramento slu'!$G$58,ABS(L1564)*'Progetto del paramento slu'!$G$54,'Progetto del paramento slu'!$G$53)</f>
        <v>20835163.904300477</v>
      </c>
      <c r="G1564" s="553">
        <f>-'Foglio deposito bis'!$F$70*(C1564-sezione!$AN$33)*IF(ABS(M1564)&lt;'Progetto del paramento slu'!$G$58,ABS(M1564)*'Progetto del paramento slu'!$G$54,'Progetto del paramento slu'!$G$53)</f>
        <v>0</v>
      </c>
      <c r="H1564" s="553">
        <f>-'Foglio deposito bis'!$F$71*(C1564-sezione!$AO$33)*IF(ABS(N1564)&lt;'Progetto del paramento slu'!$G$58,ABS(N1564)*'Progetto del paramento slu'!$G$54,'Progetto del paramento slu'!$G$53)</f>
        <v>102464485.24276684</v>
      </c>
      <c r="I1564" s="479">
        <f>-'Foglio deposito bis'!$F$72*(C1564-sezione!$AP$33)*IF(ABS(O1564)&lt;'Progetto del paramento slu'!$G$58,ABS(O1564)*'Progetto del paramento slu'!$G$54,'Progetto del paramento slu'!$G$53)</f>
        <v>120765497.80253182</v>
      </c>
      <c r="J1564" s="479">
        <f t="shared" si="116"/>
        <v>242355395.35401553</v>
      </c>
      <c r="K1564" s="558">
        <f>'Progetto del paramento slu'!$G$60*(sezione!$AL$33-C1564)/C1564</f>
        <v>6.2143601704434783E-3</v>
      </c>
      <c r="L1564" s="558">
        <f>'Progetto del paramento slu'!$G$60*(sezione!$AM$33-C1564)/C1564</f>
        <v>3.2928850639163045E-2</v>
      </c>
      <c r="M1564" s="559">
        <f>'Progetto del paramento slu'!$G$60*(sezione!$AN$33-C1564)/C1564</f>
        <v>5.9643341107882615E-2</v>
      </c>
      <c r="N1564" s="559">
        <f>'Progetto del paramento slu'!$G$60*(sezione!$AO$33-C1564)/C1564</f>
        <v>7.9072061448769562E-2</v>
      </c>
      <c r="O1564" s="559">
        <f>'Progetto del paramento slu'!$G$60*(sezione!$AP$33-C1564)/C1564</f>
        <v>5.9644794759134034E-2</v>
      </c>
      <c r="P1564" s="553">
        <f>-'Progetto del paramento slu'!$G$47*'Progetto del paramento slu'!$G$41*IF(DATI!$G$218="dx",DATI!$E$61,DATI!$E$64*DATI!$E$63)*1000*C1564*sezione!$AD$5</f>
        <v>-203145.09297321117</v>
      </c>
      <c r="Q1564" s="553">
        <f>'Foglio deposito bis'!$F$68*IF(ABS(K1564)&lt;'Progetto del paramento slu'!$G$58,ABS(K1564)*'Progetto del paramento slu'!$G$54,'Progetto del paramento slu'!$G$53)*IF(K1564&lt;0,-1,1)</f>
        <v>0</v>
      </c>
      <c r="R1564" s="553">
        <f>'Foglio deposito bis'!$F$69*IF(ABS(L1564)&lt;'Progetto del paramento slu'!$G$58,ABS(L1564)*'Progetto del paramento slu'!$G$54,'Progetto del paramento slu'!$G$53)*IF(L1564&lt;0,-1,1)</f>
        <v>153664.85805602249</v>
      </c>
      <c r="S1564" s="553">
        <f>'Foglio deposito bis'!$F$70*IF(ABS(M1564)&lt;'Progetto del paramento slu'!$G$58,ABS(M1564)*'Progetto del paramento slu'!$G$54,'Progetto del paramento slu'!$G$53)*IF(M1564&lt;0,-1,1)</f>
        <v>0</v>
      </c>
      <c r="T1564" s="553">
        <f>'Foglio deposito bis'!$F$71*IF(ABS(N1564)&lt;'Progetto del paramento slu'!$G$58,ABS(N1564)*'Progetto del paramento slu'!$G$54,'Progetto del paramento slu'!$G$53)*IF(N1564&lt;0,-1,1)</f>
        <v>314705.62929873407</v>
      </c>
      <c r="U1564" s="553">
        <f>'Foglio deposito bis'!$F$72*IF(ABS(O1564)&lt;'Progetto del paramento slu'!$G$58,ABS(O1564)*'Progetto del paramento slu'!$G$54,'Progetto del paramento slu'!$G$53)*IF(O1564&lt;0,-1,1)</f>
        <v>491727.54577927204</v>
      </c>
      <c r="V1564" s="479">
        <f t="shared" si="118"/>
        <v>756952.94016081747</v>
      </c>
      <c r="W1564" s="559"/>
      <c r="X1564" s="559"/>
    </row>
    <row r="1565" spans="1:24" x14ac:dyDescent="0.25">
      <c r="A1565" s="553">
        <f t="shared" si="117"/>
        <v>754091.74166823691</v>
      </c>
      <c r="B1565" s="3">
        <f t="shared" si="119"/>
        <v>3.5999999999999952</v>
      </c>
      <c r="C1565" s="553">
        <f>'Foglio deposito bis'!$E$159/sezione!$B$247*B1565</f>
        <v>14.614635291974583</v>
      </c>
      <c r="D1565" s="611">
        <f>-'Progetto del paramento slu'!$G$47*'Progetto del paramento slu'!$G$41*IF(DATI!$G$218="dx",DATI!$E$61,DATI!$E$64*DATI!$E$63)*1000*C1565^2*sezione!$AD$5*(1-sezione!$AD$6)</f>
        <v>-1758252.7814928603</v>
      </c>
      <c r="E1565" s="553">
        <f>-'Foglio deposito bis'!$F$68*(C1565-sezione!$AL$33)*IF(ABS(K1565)&lt;'Progetto del paramento slu'!$G$58,ABS(K1565)*'Progetto del paramento slu'!$G$54,'Progetto del paramento slu'!$G$53)</f>
        <v>0</v>
      </c>
      <c r="F1565" s="553">
        <f>-'Foglio deposito bis'!$F$69*(C1565-sezione!$AM$33)*IF(ABS(L1565)&lt;'Progetto del paramento slu'!$G$58,ABS(L1565)*'Progetto del paramento slu'!$G$54,'Progetto del paramento slu'!$G$53)</f>
        <v>20803972.85072156</v>
      </c>
      <c r="G1565" s="553">
        <f>-'Foglio deposito bis'!$F$70*(C1565-sezione!$AN$33)*IF(ABS(M1565)&lt;'Progetto del paramento slu'!$G$58,ABS(M1565)*'Progetto del paramento slu'!$G$54,'Progetto del paramento slu'!$G$53)</f>
        <v>0</v>
      </c>
      <c r="H1565" s="553">
        <f>-'Foglio deposito bis'!$F$71*(C1565-sezione!$AO$33)*IF(ABS(N1565)&lt;'Progetto del paramento slu'!$G$58,ABS(N1565)*'Progetto del paramento slu'!$G$54,'Progetto del paramento slu'!$G$53)</f>
        <v>102400605.96503724</v>
      </c>
      <c r="I1565" s="479">
        <f>-'Foglio deposito bis'!$F$72*(C1565-sezione!$AP$33)*IF(ABS(O1565)&lt;'Progetto del paramento slu'!$G$58,ABS(O1565)*'Progetto del paramento slu'!$G$54,'Progetto del paramento slu'!$G$53)</f>
        <v>120665686.4310793</v>
      </c>
      <c r="J1565" s="479">
        <f t="shared" si="116"/>
        <v>242112012.46534523</v>
      </c>
      <c r="K1565" s="558">
        <f>'Progetto del paramento slu'!$G$60*(sezione!$AL$33-C1565)/C1565</f>
        <v>6.0794385014095419E-3</v>
      </c>
      <c r="L1565" s="558">
        <f>'Progetto del paramento slu'!$G$60*(sezione!$AM$33-C1565)/C1565</f>
        <v>3.2422894380285783E-2</v>
      </c>
      <c r="M1565" s="559">
        <f>'Progetto del paramento slu'!$G$60*(sezione!$AN$33-C1565)/C1565</f>
        <v>5.8766350259162027E-2</v>
      </c>
      <c r="N1565" s="559">
        <f>'Progetto del paramento slu'!$G$60*(sezione!$AO$33-C1565)/C1565</f>
        <v>7.7925227261981103E-2</v>
      </c>
      <c r="O1565" s="559">
        <f>'Progetto del paramento slu'!$G$60*(sezione!$AP$33-C1565)/C1565</f>
        <v>5.8767783720812733E-2</v>
      </c>
      <c r="P1565" s="553">
        <f>-'Progetto del paramento slu'!$G$47*'Progetto del paramento slu'!$G$41*IF(DATI!$G$218="dx",DATI!$E$61,DATI!$E$64*DATI!$E$63)*1000*C1565*sezione!$AD$5</f>
        <v>-206006.29146579161</v>
      </c>
      <c r="Q1565" s="553">
        <f>'Foglio deposito bis'!$F$68*IF(ABS(K1565)&lt;'Progetto del paramento slu'!$G$58,ABS(K1565)*'Progetto del paramento slu'!$G$54,'Progetto del paramento slu'!$G$53)*IF(K1565&lt;0,-1,1)</f>
        <v>0</v>
      </c>
      <c r="R1565" s="553">
        <f>'Foglio deposito bis'!$F$69*IF(ABS(L1565)&lt;'Progetto del paramento slu'!$G$58,ABS(L1565)*'Progetto del paramento slu'!$G$54,'Progetto del paramento slu'!$G$53)*IF(L1565&lt;0,-1,1)</f>
        <v>153664.85805602249</v>
      </c>
      <c r="S1565" s="553">
        <f>'Foglio deposito bis'!$F$70*IF(ABS(M1565)&lt;'Progetto del paramento slu'!$G$58,ABS(M1565)*'Progetto del paramento slu'!$G$54,'Progetto del paramento slu'!$G$53)*IF(M1565&lt;0,-1,1)</f>
        <v>0</v>
      </c>
      <c r="T1565" s="553">
        <f>'Foglio deposito bis'!$F$71*IF(ABS(N1565)&lt;'Progetto del paramento slu'!$G$58,ABS(N1565)*'Progetto del paramento slu'!$G$54,'Progetto del paramento slu'!$G$53)*IF(N1565&lt;0,-1,1)</f>
        <v>314705.62929873407</v>
      </c>
      <c r="U1565" s="553">
        <f>'Foglio deposito bis'!$F$72*IF(ABS(O1565)&lt;'Progetto del paramento slu'!$G$58,ABS(O1565)*'Progetto del paramento slu'!$G$54,'Progetto del paramento slu'!$G$53)*IF(O1565&lt;0,-1,1)</f>
        <v>491727.54577927204</v>
      </c>
      <c r="V1565" s="479">
        <f t="shared" si="118"/>
        <v>754091.74166823691</v>
      </c>
      <c r="W1565" s="559"/>
      <c r="X1565" s="559"/>
    </row>
    <row r="1566" spans="1:24" x14ac:dyDescent="0.25">
      <c r="A1566" s="553">
        <f t="shared" si="117"/>
        <v>751230.54317565658</v>
      </c>
      <c r="B1566" s="3">
        <f t="shared" si="119"/>
        <v>3.649999999999995</v>
      </c>
      <c r="C1566" s="553">
        <f>'Foglio deposito bis'!$E$159/sezione!$B$247*B1566</f>
        <v>14.817616337696451</v>
      </c>
      <c r="D1566" s="611">
        <f>-'Progetto del paramento slu'!$G$47*'Progetto del paramento slu'!$G$41*IF(DATI!$G$218="dx",DATI!$E$61,DATI!$E$64*DATI!$E$63)*1000*C1566^2*sezione!$AD$5*(1-sezione!$AD$6)</f>
        <v>-1807432.3056665608</v>
      </c>
      <c r="E1566" s="553">
        <f>-'Foglio deposito bis'!$F$68*(C1566-sezione!$AL$33)*IF(ABS(K1566)&lt;'Progetto del paramento slu'!$G$58,ABS(K1566)*'Progetto del paramento slu'!$G$54,'Progetto del paramento slu'!$G$53)</f>
        <v>0</v>
      </c>
      <c r="F1566" s="553">
        <f>-'Foglio deposito bis'!$F$69*(C1566-sezione!$AM$33)*IF(ABS(L1566)&lt;'Progetto del paramento slu'!$G$58,ABS(L1566)*'Progetto del paramento slu'!$G$54,'Progetto del paramento slu'!$G$53)</f>
        <v>20772781.797142651</v>
      </c>
      <c r="G1566" s="553">
        <f>-'Foglio deposito bis'!$F$70*(C1566-sezione!$AN$33)*IF(ABS(M1566)&lt;'Progetto del paramento slu'!$G$58,ABS(M1566)*'Progetto del paramento slu'!$G$54,'Progetto del paramento slu'!$G$53)</f>
        <v>0</v>
      </c>
      <c r="H1566" s="553">
        <f>-'Foglio deposito bis'!$F$71*(C1566-sezione!$AO$33)*IF(ABS(N1566)&lt;'Progetto del paramento slu'!$G$58,ABS(N1566)*'Progetto del paramento slu'!$G$54,'Progetto del paramento slu'!$G$53)</f>
        <v>102336726.68730763</v>
      </c>
      <c r="I1566" s="479">
        <f>-'Foglio deposito bis'!$F$72*(C1566-sezione!$AP$33)*IF(ABS(O1566)&lt;'Progetto del paramento slu'!$G$58,ABS(O1566)*'Progetto del paramento slu'!$G$54,'Progetto del paramento slu'!$G$53)</f>
        <v>120565875.05962679</v>
      </c>
      <c r="J1566" s="479">
        <f t="shared" si="116"/>
        <v>241867951.2384105</v>
      </c>
      <c r="K1566" s="558">
        <f>'Progetto del paramento slu'!$G$60*(sezione!$AL$33-C1566)/C1566</f>
        <v>5.9482133164587272E-3</v>
      </c>
      <c r="L1566" s="558">
        <f>'Progetto del paramento slu'!$G$60*(sezione!$AM$33-C1566)/C1566</f>
        <v>3.1930799936720225E-2</v>
      </c>
      <c r="M1566" s="559">
        <f>'Progetto del paramento slu'!$G$60*(sezione!$AN$33-C1566)/C1566</f>
        <v>5.7913386556981722E-2</v>
      </c>
      <c r="N1566" s="559">
        <f>'Progetto del paramento slu'!$G$60*(sezione!$AO$33-C1566)/C1566</f>
        <v>7.6809813189899184E-2</v>
      </c>
      <c r="O1566" s="559">
        <f>'Progetto del paramento slu'!$G$60*(sezione!$AP$33-C1566)/C1566</f>
        <v>5.7914800382171464E-2</v>
      </c>
      <c r="P1566" s="553">
        <f>-'Progetto del paramento slu'!$G$47*'Progetto del paramento slu'!$G$41*IF(DATI!$G$218="dx",DATI!$E$61,DATI!$E$64*DATI!$E$63)*1000*C1566*sezione!$AD$5</f>
        <v>-208867.48995837203</v>
      </c>
      <c r="Q1566" s="553">
        <f>'Foglio deposito bis'!$F$68*IF(ABS(K1566)&lt;'Progetto del paramento slu'!$G$58,ABS(K1566)*'Progetto del paramento slu'!$G$54,'Progetto del paramento slu'!$G$53)*IF(K1566&lt;0,-1,1)</f>
        <v>0</v>
      </c>
      <c r="R1566" s="553">
        <f>'Foglio deposito bis'!$F$69*IF(ABS(L1566)&lt;'Progetto del paramento slu'!$G$58,ABS(L1566)*'Progetto del paramento slu'!$G$54,'Progetto del paramento slu'!$G$53)*IF(L1566&lt;0,-1,1)</f>
        <v>153664.85805602249</v>
      </c>
      <c r="S1566" s="553">
        <f>'Foglio deposito bis'!$F$70*IF(ABS(M1566)&lt;'Progetto del paramento slu'!$G$58,ABS(M1566)*'Progetto del paramento slu'!$G$54,'Progetto del paramento slu'!$G$53)*IF(M1566&lt;0,-1,1)</f>
        <v>0</v>
      </c>
      <c r="T1566" s="553">
        <f>'Foglio deposito bis'!$F$71*IF(ABS(N1566)&lt;'Progetto del paramento slu'!$G$58,ABS(N1566)*'Progetto del paramento slu'!$G$54,'Progetto del paramento slu'!$G$53)*IF(N1566&lt;0,-1,1)</f>
        <v>314705.62929873407</v>
      </c>
      <c r="U1566" s="553">
        <f>'Foglio deposito bis'!$F$72*IF(ABS(O1566)&lt;'Progetto del paramento slu'!$G$58,ABS(O1566)*'Progetto del paramento slu'!$G$54,'Progetto del paramento slu'!$G$53)*IF(O1566&lt;0,-1,1)</f>
        <v>491727.54577927204</v>
      </c>
      <c r="V1566" s="479">
        <f t="shared" si="118"/>
        <v>751230.54317565658</v>
      </c>
      <c r="W1566" s="559"/>
      <c r="X1566" s="559"/>
    </row>
    <row r="1567" spans="1:24" x14ac:dyDescent="0.25">
      <c r="A1567" s="553">
        <f t="shared" si="117"/>
        <v>748369.34468307614</v>
      </c>
      <c r="B1567" s="3">
        <f t="shared" si="119"/>
        <v>3.6999999999999948</v>
      </c>
      <c r="C1567" s="553">
        <f>'Foglio deposito bis'!$E$159/sezione!$B$247*B1567</f>
        <v>15.02059738341832</v>
      </c>
      <c r="D1567" s="611">
        <f>-'Progetto del paramento slu'!$G$47*'Progetto del paramento slu'!$G$41*IF(DATI!$G$218="dx",DATI!$E$61,DATI!$E$64*DATI!$E$63)*1000*C1567^2*sezione!$AD$5*(1-sezione!$AD$6)</f>
        <v>-1857290.1681047261</v>
      </c>
      <c r="E1567" s="553">
        <f>-'Foglio deposito bis'!$F$68*(C1567-sezione!$AL$33)*IF(ABS(K1567)&lt;'Progetto del paramento slu'!$G$58,ABS(K1567)*'Progetto del paramento slu'!$G$54,'Progetto del paramento slu'!$G$53)</f>
        <v>0</v>
      </c>
      <c r="F1567" s="553">
        <f>-'Foglio deposito bis'!$F$69*(C1567-sezione!$AM$33)*IF(ABS(L1567)&lt;'Progetto del paramento slu'!$G$58,ABS(L1567)*'Progetto del paramento slu'!$G$54,'Progetto del paramento slu'!$G$53)</f>
        <v>20741590.743563738</v>
      </c>
      <c r="G1567" s="553">
        <f>-'Foglio deposito bis'!$F$70*(C1567-sezione!$AN$33)*IF(ABS(M1567)&lt;'Progetto del paramento slu'!$G$58,ABS(M1567)*'Progetto del paramento slu'!$G$54,'Progetto del paramento slu'!$G$53)</f>
        <v>0</v>
      </c>
      <c r="H1567" s="553">
        <f>-'Foglio deposito bis'!$F$71*(C1567-sezione!$AO$33)*IF(ABS(N1567)&lt;'Progetto del paramento slu'!$G$58,ABS(N1567)*'Progetto del paramento slu'!$G$54,'Progetto del paramento slu'!$G$53)</f>
        <v>102272847.40957801</v>
      </c>
      <c r="I1567" s="479">
        <f>-'Foglio deposito bis'!$F$72*(C1567-sezione!$AP$33)*IF(ABS(O1567)&lt;'Progetto del paramento slu'!$G$58,ABS(O1567)*'Progetto del paramento slu'!$G$54,'Progetto del paramento slu'!$G$53)</f>
        <v>120466063.68817428</v>
      </c>
      <c r="J1567" s="479">
        <f t="shared" si="116"/>
        <v>241623211.67321131</v>
      </c>
      <c r="K1567" s="558">
        <f>'Progetto del paramento slu'!$G$60*(sezione!$AL$33-C1567)/C1567</f>
        <v>5.8205347581282039E-3</v>
      </c>
      <c r="L1567" s="558">
        <f>'Progetto del paramento slu'!$G$60*(sezione!$AM$33-C1567)/C1567</f>
        <v>3.1452005342980767E-2</v>
      </c>
      <c r="M1567" s="559">
        <f>'Progetto del paramento slu'!$G$60*(sezione!$AN$33-C1567)/C1567</f>
        <v>5.7083475927833326E-2</v>
      </c>
      <c r="N1567" s="559">
        <f>'Progetto del paramento slu'!$G$60*(sezione!$AO$33-C1567)/C1567</f>
        <v>7.5724545444089741E-2</v>
      </c>
      <c r="O1567" s="559">
        <f>'Progetto del paramento slu'!$G$60*(sezione!$AP$33-C1567)/C1567</f>
        <v>5.7084870647277269E-2</v>
      </c>
      <c r="P1567" s="553">
        <f>-'Progetto del paramento slu'!$G$47*'Progetto del paramento slu'!$G$41*IF(DATI!$G$218="dx",DATI!$E$61,DATI!$E$64*DATI!$E$63)*1000*C1567*sezione!$AD$5</f>
        <v>-211728.68845095247</v>
      </c>
      <c r="Q1567" s="553">
        <f>'Foglio deposito bis'!$F$68*IF(ABS(K1567)&lt;'Progetto del paramento slu'!$G$58,ABS(K1567)*'Progetto del paramento slu'!$G$54,'Progetto del paramento slu'!$G$53)*IF(K1567&lt;0,-1,1)</f>
        <v>0</v>
      </c>
      <c r="R1567" s="553">
        <f>'Foglio deposito bis'!$F$69*IF(ABS(L1567)&lt;'Progetto del paramento slu'!$G$58,ABS(L1567)*'Progetto del paramento slu'!$G$54,'Progetto del paramento slu'!$G$53)*IF(L1567&lt;0,-1,1)</f>
        <v>153664.85805602249</v>
      </c>
      <c r="S1567" s="553">
        <f>'Foglio deposito bis'!$F$70*IF(ABS(M1567)&lt;'Progetto del paramento slu'!$G$58,ABS(M1567)*'Progetto del paramento slu'!$G$54,'Progetto del paramento slu'!$G$53)*IF(M1567&lt;0,-1,1)</f>
        <v>0</v>
      </c>
      <c r="T1567" s="553">
        <f>'Foglio deposito bis'!$F$71*IF(ABS(N1567)&lt;'Progetto del paramento slu'!$G$58,ABS(N1567)*'Progetto del paramento slu'!$G$54,'Progetto del paramento slu'!$G$53)*IF(N1567&lt;0,-1,1)</f>
        <v>314705.62929873407</v>
      </c>
      <c r="U1567" s="553">
        <f>'Foglio deposito bis'!$F$72*IF(ABS(O1567)&lt;'Progetto del paramento slu'!$G$58,ABS(O1567)*'Progetto del paramento slu'!$G$54,'Progetto del paramento slu'!$G$53)*IF(O1567&lt;0,-1,1)</f>
        <v>491727.54577927204</v>
      </c>
      <c r="V1567" s="479">
        <f t="shared" si="118"/>
        <v>748369.34468307614</v>
      </c>
      <c r="W1567" s="559"/>
      <c r="X1567" s="559"/>
    </row>
    <row r="1568" spans="1:24" x14ac:dyDescent="0.25">
      <c r="A1568" s="553">
        <f t="shared" si="117"/>
        <v>745508.1461904957</v>
      </c>
      <c r="B1568" s="3">
        <f t="shared" si="119"/>
        <v>3.7499999999999947</v>
      </c>
      <c r="C1568" s="553">
        <f>'Foglio deposito bis'!$E$159/sezione!$B$247*B1568</f>
        <v>15.22357842914019</v>
      </c>
      <c r="D1568" s="611">
        <f>-'Progetto del paramento slu'!$G$47*'Progetto del paramento slu'!$G$41*IF(DATI!$G$218="dx",DATI!$E$61,DATI!$E$64*DATI!$E$63)*1000*C1568^2*sezione!$AD$5*(1-sezione!$AD$6)</f>
        <v>-1907826.368807357</v>
      </c>
      <c r="E1568" s="553">
        <f>-'Foglio deposito bis'!$F$68*(C1568-sezione!$AL$33)*IF(ABS(K1568)&lt;'Progetto del paramento slu'!$G$58,ABS(K1568)*'Progetto del paramento slu'!$G$54,'Progetto del paramento slu'!$G$53)</f>
        <v>0</v>
      </c>
      <c r="F1568" s="553">
        <f>-'Foglio deposito bis'!$F$69*(C1568-sezione!$AM$33)*IF(ABS(L1568)&lt;'Progetto del paramento slu'!$G$58,ABS(L1568)*'Progetto del paramento slu'!$G$54,'Progetto del paramento slu'!$G$53)</f>
        <v>20710399.689984821</v>
      </c>
      <c r="G1568" s="553">
        <f>-'Foglio deposito bis'!$F$70*(C1568-sezione!$AN$33)*IF(ABS(M1568)&lt;'Progetto del paramento slu'!$G$58,ABS(M1568)*'Progetto del paramento slu'!$G$54,'Progetto del paramento slu'!$G$53)</f>
        <v>0</v>
      </c>
      <c r="H1568" s="553">
        <f>-'Foglio deposito bis'!$F$71*(C1568-sezione!$AO$33)*IF(ABS(N1568)&lt;'Progetto del paramento slu'!$G$58,ABS(N1568)*'Progetto del paramento slu'!$G$54,'Progetto del paramento slu'!$G$53)</f>
        <v>102208968.13184841</v>
      </c>
      <c r="I1568" s="479">
        <f>-'Foglio deposito bis'!$F$72*(C1568-sezione!$AP$33)*IF(ABS(O1568)&lt;'Progetto del paramento slu'!$G$58,ABS(O1568)*'Progetto del paramento slu'!$G$54,'Progetto del paramento slu'!$G$53)</f>
        <v>120366252.31672174</v>
      </c>
      <c r="J1568" s="479">
        <f t="shared" si="116"/>
        <v>241377793.76974761</v>
      </c>
      <c r="K1568" s="558">
        <f>'Progetto del paramento slu'!$G$60*(sezione!$AL$33-C1568)/C1568</f>
        <v>5.6962609613531601E-3</v>
      </c>
      <c r="L1568" s="558">
        <f>'Progetto del paramento slu'!$G$60*(sezione!$AM$33-C1568)/C1568</f>
        <v>3.0985978605074353E-2</v>
      </c>
      <c r="M1568" s="559">
        <f>'Progetto del paramento slu'!$G$60*(sezione!$AN$33-C1568)/C1568</f>
        <v>5.6275696248795547E-2</v>
      </c>
      <c r="N1568" s="559">
        <f>'Progetto del paramento slu'!$G$60*(sezione!$AO$33-C1568)/C1568</f>
        <v>7.4668218171501863E-2</v>
      </c>
      <c r="O1568" s="559">
        <f>'Progetto del paramento slu'!$G$60*(sezione!$AP$33-C1568)/C1568</f>
        <v>5.6277072371980229E-2</v>
      </c>
      <c r="P1568" s="553">
        <f>-'Progetto del paramento slu'!$G$47*'Progetto del paramento slu'!$G$41*IF(DATI!$G$218="dx",DATI!$E$61,DATI!$E$64*DATI!$E$63)*1000*C1568*sezione!$AD$5</f>
        <v>-214589.88694353294</v>
      </c>
      <c r="Q1568" s="553">
        <f>'Foglio deposito bis'!$F$68*IF(ABS(K1568)&lt;'Progetto del paramento slu'!$G$58,ABS(K1568)*'Progetto del paramento slu'!$G$54,'Progetto del paramento slu'!$G$53)*IF(K1568&lt;0,-1,1)</f>
        <v>0</v>
      </c>
      <c r="R1568" s="553">
        <f>'Foglio deposito bis'!$F$69*IF(ABS(L1568)&lt;'Progetto del paramento slu'!$G$58,ABS(L1568)*'Progetto del paramento slu'!$G$54,'Progetto del paramento slu'!$G$53)*IF(L1568&lt;0,-1,1)</f>
        <v>153664.85805602249</v>
      </c>
      <c r="S1568" s="553">
        <f>'Foglio deposito bis'!$F$70*IF(ABS(M1568)&lt;'Progetto del paramento slu'!$G$58,ABS(M1568)*'Progetto del paramento slu'!$G$54,'Progetto del paramento slu'!$G$53)*IF(M1568&lt;0,-1,1)</f>
        <v>0</v>
      </c>
      <c r="T1568" s="553">
        <f>'Foglio deposito bis'!$F$71*IF(ABS(N1568)&lt;'Progetto del paramento slu'!$G$58,ABS(N1568)*'Progetto del paramento slu'!$G$54,'Progetto del paramento slu'!$G$53)*IF(N1568&lt;0,-1,1)</f>
        <v>314705.62929873407</v>
      </c>
      <c r="U1568" s="553">
        <f>'Foglio deposito bis'!$F$72*IF(ABS(O1568)&lt;'Progetto del paramento slu'!$G$58,ABS(O1568)*'Progetto del paramento slu'!$G$54,'Progetto del paramento slu'!$G$53)*IF(O1568&lt;0,-1,1)</f>
        <v>491727.54577927204</v>
      </c>
      <c r="V1568" s="479">
        <f t="shared" si="118"/>
        <v>745508.1461904957</v>
      </c>
      <c r="W1568" s="559"/>
      <c r="X1568" s="559"/>
    </row>
    <row r="1569" spans="1:24" x14ac:dyDescent="0.25">
      <c r="A1569" s="553">
        <f t="shared" si="117"/>
        <v>742646.94769791525</v>
      </c>
      <c r="B1569" s="3">
        <f t="shared" si="119"/>
        <v>3.7999999999999945</v>
      </c>
      <c r="C1569" s="553">
        <f>'Foglio deposito bis'!$E$159/sezione!$B$247*B1569</f>
        <v>15.426559474862058</v>
      </c>
      <c r="D1569" s="611">
        <f>-'Progetto del paramento slu'!$G$47*'Progetto del paramento slu'!$G$41*IF(DATI!$G$218="dx",DATI!$E$61,DATI!$E$64*DATI!$E$63)*1000*C1569^2*sezione!$AD$5*(1-sezione!$AD$6)</f>
        <v>-1959040.9077744517</v>
      </c>
      <c r="E1569" s="553">
        <f>-'Foglio deposito bis'!$F$68*(C1569-sezione!$AL$33)*IF(ABS(K1569)&lt;'Progetto del paramento slu'!$G$58,ABS(K1569)*'Progetto del paramento slu'!$G$54,'Progetto del paramento slu'!$G$53)</f>
        <v>0</v>
      </c>
      <c r="F1569" s="553">
        <f>-'Foglio deposito bis'!$F$69*(C1569-sezione!$AM$33)*IF(ABS(L1569)&lt;'Progetto del paramento slu'!$G$58,ABS(L1569)*'Progetto del paramento slu'!$G$54,'Progetto del paramento slu'!$G$53)</f>
        <v>20679208.636405911</v>
      </c>
      <c r="G1569" s="553">
        <f>-'Foglio deposito bis'!$F$70*(C1569-sezione!$AN$33)*IF(ABS(M1569)&lt;'Progetto del paramento slu'!$G$58,ABS(M1569)*'Progetto del paramento slu'!$G$54,'Progetto del paramento slu'!$G$53)</f>
        <v>0</v>
      </c>
      <c r="H1569" s="553">
        <f>-'Foglio deposito bis'!$F$71*(C1569-sezione!$AO$33)*IF(ABS(N1569)&lt;'Progetto del paramento slu'!$G$58,ABS(N1569)*'Progetto del paramento slu'!$G$54,'Progetto del paramento slu'!$G$53)</f>
        <v>102145088.85411878</v>
      </c>
      <c r="I1569" s="479">
        <f>-'Foglio deposito bis'!$F$72*(C1569-sezione!$AP$33)*IF(ABS(O1569)&lt;'Progetto del paramento slu'!$G$58,ABS(O1569)*'Progetto del paramento slu'!$G$54,'Progetto del paramento slu'!$G$53)</f>
        <v>120266440.94526923</v>
      </c>
      <c r="J1569" s="479">
        <f t="shared" si="116"/>
        <v>241131697.52801946</v>
      </c>
      <c r="K1569" s="558">
        <f>'Progetto del paramento slu'!$G$60*(sezione!$AL$33-C1569)/C1569</f>
        <v>5.5752575276511451E-3</v>
      </c>
      <c r="L1569" s="558">
        <f>'Progetto del paramento slu'!$G$60*(sezione!$AM$33-C1569)/C1569</f>
        <v>3.0532215728691799E-2</v>
      </c>
      <c r="M1569" s="559">
        <f>'Progetto del paramento slu'!$G$60*(sezione!$AN$33-C1569)/C1569</f>
        <v>5.5489173929732447E-2</v>
      </c>
      <c r="N1569" s="559">
        <f>'Progetto del paramento slu'!$G$60*(sezione!$AO$33-C1569)/C1569</f>
        <v>7.3639688985034743E-2</v>
      </c>
      <c r="O1569" s="559">
        <f>'Progetto del paramento slu'!$G$60*(sezione!$AP$33-C1569)/C1569</f>
        <v>5.5490531946033129E-2</v>
      </c>
      <c r="P1569" s="553">
        <f>-'Progetto del paramento slu'!$G$47*'Progetto del paramento slu'!$G$41*IF(DATI!$G$218="dx",DATI!$E$61,DATI!$E$64*DATI!$E$63)*1000*C1569*sezione!$AD$5</f>
        <v>-217451.08543611335</v>
      </c>
      <c r="Q1569" s="553">
        <f>'Foglio deposito bis'!$F$68*IF(ABS(K1569)&lt;'Progetto del paramento slu'!$G$58,ABS(K1569)*'Progetto del paramento slu'!$G$54,'Progetto del paramento slu'!$G$53)*IF(K1569&lt;0,-1,1)</f>
        <v>0</v>
      </c>
      <c r="R1569" s="553">
        <f>'Foglio deposito bis'!$F$69*IF(ABS(L1569)&lt;'Progetto del paramento slu'!$G$58,ABS(L1569)*'Progetto del paramento slu'!$G$54,'Progetto del paramento slu'!$G$53)*IF(L1569&lt;0,-1,1)</f>
        <v>153664.85805602249</v>
      </c>
      <c r="S1569" s="553">
        <f>'Foglio deposito bis'!$F$70*IF(ABS(M1569)&lt;'Progetto del paramento slu'!$G$58,ABS(M1569)*'Progetto del paramento slu'!$G$54,'Progetto del paramento slu'!$G$53)*IF(M1569&lt;0,-1,1)</f>
        <v>0</v>
      </c>
      <c r="T1569" s="553">
        <f>'Foglio deposito bis'!$F$71*IF(ABS(N1569)&lt;'Progetto del paramento slu'!$G$58,ABS(N1569)*'Progetto del paramento slu'!$G$54,'Progetto del paramento slu'!$G$53)*IF(N1569&lt;0,-1,1)</f>
        <v>314705.62929873407</v>
      </c>
      <c r="U1569" s="553">
        <f>'Foglio deposito bis'!$F$72*IF(ABS(O1569)&lt;'Progetto del paramento slu'!$G$58,ABS(O1569)*'Progetto del paramento slu'!$G$54,'Progetto del paramento slu'!$G$53)*IF(O1569&lt;0,-1,1)</f>
        <v>491727.54577927204</v>
      </c>
      <c r="V1569" s="479">
        <f t="shared" si="118"/>
        <v>742646.94769791525</v>
      </c>
      <c r="W1569" s="559"/>
      <c r="X1569" s="559"/>
    </row>
    <row r="1570" spans="1:24" x14ac:dyDescent="0.25">
      <c r="A1570" s="553">
        <f t="shared" si="117"/>
        <v>739785.74920533481</v>
      </c>
      <c r="B1570" s="3">
        <f t="shared" si="119"/>
        <v>3.8499999999999943</v>
      </c>
      <c r="C1570" s="553">
        <f>'Foglio deposito bis'!$E$159/sezione!$B$247*B1570</f>
        <v>15.629540520583927</v>
      </c>
      <c r="D1570" s="611">
        <f>-'Progetto del paramento slu'!$G$47*'Progetto del paramento slu'!$G$41*IF(DATI!$G$218="dx",DATI!$E$61,DATI!$E$64*DATI!$E$63)*1000*C1570^2*sezione!$AD$5*(1-sezione!$AD$6)</f>
        <v>-2010933.7850060118</v>
      </c>
      <c r="E1570" s="553">
        <f>-'Foglio deposito bis'!$F$68*(C1570-sezione!$AL$33)*IF(ABS(K1570)&lt;'Progetto del paramento slu'!$G$58,ABS(K1570)*'Progetto del paramento slu'!$G$54,'Progetto del paramento slu'!$G$53)</f>
        <v>0</v>
      </c>
      <c r="F1570" s="553">
        <f>-'Foglio deposito bis'!$F$69*(C1570-sezione!$AM$33)*IF(ABS(L1570)&lt;'Progetto del paramento slu'!$G$58,ABS(L1570)*'Progetto del paramento slu'!$G$54,'Progetto del paramento slu'!$G$53)</f>
        <v>20648017.582826994</v>
      </c>
      <c r="G1570" s="553">
        <f>-'Foglio deposito bis'!$F$70*(C1570-sezione!$AN$33)*IF(ABS(M1570)&lt;'Progetto del paramento slu'!$G$58,ABS(M1570)*'Progetto del paramento slu'!$G$54,'Progetto del paramento slu'!$G$53)</f>
        <v>0</v>
      </c>
      <c r="H1570" s="553">
        <f>-'Foglio deposito bis'!$F$71*(C1570-sezione!$AO$33)*IF(ABS(N1570)&lt;'Progetto del paramento slu'!$G$58,ABS(N1570)*'Progetto del paramento slu'!$G$54,'Progetto del paramento slu'!$G$53)</f>
        <v>102081209.57638916</v>
      </c>
      <c r="I1570" s="479">
        <f>-'Foglio deposito bis'!$F$72*(C1570-sezione!$AP$33)*IF(ABS(O1570)&lt;'Progetto del paramento slu'!$G$58,ABS(O1570)*'Progetto del paramento slu'!$G$54,'Progetto del paramento slu'!$G$53)</f>
        <v>120166629.57381669</v>
      </c>
      <c r="J1570" s="479">
        <f t="shared" si="116"/>
        <v>240884922.94802684</v>
      </c>
      <c r="K1570" s="558">
        <f>'Progetto del paramento slu'!$G$60*(sezione!$AL$33-C1570)/C1570</f>
        <v>5.4573970402790536E-3</v>
      </c>
      <c r="L1570" s="558">
        <f>'Progetto del paramento slu'!$G$60*(sezione!$AM$33-C1570)/C1570</f>
        <v>3.0090238901046451E-2</v>
      </c>
      <c r="M1570" s="559">
        <f>'Progetto del paramento slu'!$G$60*(sezione!$AN$33-C1570)/C1570</f>
        <v>5.4723080761813848E-2</v>
      </c>
      <c r="N1570" s="559">
        <f>'Progetto del paramento slu'!$G$60*(sezione!$AO$33-C1570)/C1570</f>
        <v>7.2637874842371955E-2</v>
      </c>
      <c r="O1570" s="559">
        <f>'Progetto del paramento slu'!$G$60*(sezione!$AP$33-C1570)/C1570</f>
        <v>5.4724421141539185E-2</v>
      </c>
      <c r="P1570" s="553">
        <f>-'Progetto del paramento slu'!$G$47*'Progetto del paramento slu'!$G$41*IF(DATI!$G$218="dx",DATI!$E$61,DATI!$E$64*DATI!$E$63)*1000*C1570*sezione!$AD$5</f>
        <v>-220312.28392869377</v>
      </c>
      <c r="Q1570" s="553">
        <f>'Foglio deposito bis'!$F$68*IF(ABS(K1570)&lt;'Progetto del paramento slu'!$G$58,ABS(K1570)*'Progetto del paramento slu'!$G$54,'Progetto del paramento slu'!$G$53)*IF(K1570&lt;0,-1,1)</f>
        <v>0</v>
      </c>
      <c r="R1570" s="553">
        <f>'Foglio deposito bis'!$F$69*IF(ABS(L1570)&lt;'Progetto del paramento slu'!$G$58,ABS(L1570)*'Progetto del paramento slu'!$G$54,'Progetto del paramento slu'!$G$53)*IF(L1570&lt;0,-1,1)</f>
        <v>153664.85805602249</v>
      </c>
      <c r="S1570" s="553">
        <f>'Foglio deposito bis'!$F$70*IF(ABS(M1570)&lt;'Progetto del paramento slu'!$G$58,ABS(M1570)*'Progetto del paramento slu'!$G$54,'Progetto del paramento slu'!$G$53)*IF(M1570&lt;0,-1,1)</f>
        <v>0</v>
      </c>
      <c r="T1570" s="553">
        <f>'Foglio deposito bis'!$F$71*IF(ABS(N1570)&lt;'Progetto del paramento slu'!$G$58,ABS(N1570)*'Progetto del paramento slu'!$G$54,'Progetto del paramento slu'!$G$53)*IF(N1570&lt;0,-1,1)</f>
        <v>314705.62929873407</v>
      </c>
      <c r="U1570" s="553">
        <f>'Foglio deposito bis'!$F$72*IF(ABS(O1570)&lt;'Progetto del paramento slu'!$G$58,ABS(O1570)*'Progetto del paramento slu'!$G$54,'Progetto del paramento slu'!$G$53)*IF(O1570&lt;0,-1,1)</f>
        <v>491727.54577927204</v>
      </c>
      <c r="V1570" s="479">
        <f t="shared" si="118"/>
        <v>739785.74920533481</v>
      </c>
      <c r="W1570" s="559"/>
      <c r="X1570" s="559"/>
    </row>
    <row r="1571" spans="1:24" x14ac:dyDescent="0.25">
      <c r="A1571" s="553">
        <f t="shared" si="117"/>
        <v>736924.55071275448</v>
      </c>
      <c r="B1571" s="3">
        <f t="shared" si="119"/>
        <v>3.8999999999999941</v>
      </c>
      <c r="C1571" s="553">
        <f>'Foglio deposito bis'!$E$159/sezione!$B$247*B1571</f>
        <v>15.832521566305795</v>
      </c>
      <c r="D1571" s="611">
        <f>-'Progetto del paramento slu'!$G$47*'Progetto del paramento slu'!$G$41*IF(DATI!$G$218="dx",DATI!$E$61,DATI!$E$64*DATI!$E$63)*1000*C1571^2*sezione!$AD$5*(1-sezione!$AD$6)</f>
        <v>-2063505.0005020364</v>
      </c>
      <c r="E1571" s="553">
        <f>-'Foglio deposito bis'!$F$68*(C1571-sezione!$AL$33)*IF(ABS(K1571)&lt;'Progetto del paramento slu'!$G$58,ABS(K1571)*'Progetto del paramento slu'!$G$54,'Progetto del paramento slu'!$G$53)</f>
        <v>0</v>
      </c>
      <c r="F1571" s="553">
        <f>-'Foglio deposito bis'!$F$69*(C1571-sezione!$AM$33)*IF(ABS(L1571)&lt;'Progetto del paramento slu'!$G$58,ABS(L1571)*'Progetto del paramento slu'!$G$54,'Progetto del paramento slu'!$G$53)</f>
        <v>20616826.529248081</v>
      </c>
      <c r="G1571" s="553">
        <f>-'Foglio deposito bis'!$F$70*(C1571-sezione!$AN$33)*IF(ABS(M1571)&lt;'Progetto del paramento slu'!$G$58,ABS(M1571)*'Progetto del paramento slu'!$G$54,'Progetto del paramento slu'!$G$53)</f>
        <v>0</v>
      </c>
      <c r="H1571" s="553">
        <f>-'Foglio deposito bis'!$F$71*(C1571-sezione!$AO$33)*IF(ABS(N1571)&lt;'Progetto del paramento slu'!$G$58,ABS(N1571)*'Progetto del paramento slu'!$G$54,'Progetto del paramento slu'!$G$53)</f>
        <v>102017330.29865955</v>
      </c>
      <c r="I1571" s="479">
        <f>-'Foglio deposito bis'!$F$72*(C1571-sezione!$AP$33)*IF(ABS(O1571)&lt;'Progetto del paramento slu'!$G$58,ABS(O1571)*'Progetto del paramento slu'!$G$54,'Progetto del paramento slu'!$G$53)</f>
        <v>120066818.20236416</v>
      </c>
      <c r="J1571" s="479">
        <f t="shared" si="116"/>
        <v>240637470.02976978</v>
      </c>
      <c r="K1571" s="558">
        <f>'Progetto del paramento slu'!$G$60*(sezione!$AL$33-C1571)/C1571</f>
        <v>5.3425586166857336E-3</v>
      </c>
      <c r="L1571" s="558">
        <f>'Progetto del paramento slu'!$G$60*(sezione!$AM$33-C1571)/C1571</f>
        <v>2.9659594812571501E-2</v>
      </c>
      <c r="M1571" s="559">
        <f>'Progetto del paramento slu'!$G$60*(sezione!$AN$33-C1571)/C1571</f>
        <v>5.397663100845726E-2</v>
      </c>
      <c r="N1571" s="559">
        <f>'Progetto del paramento slu'!$G$60*(sezione!$AO$33-C1571)/C1571</f>
        <v>7.1661748241828735E-2</v>
      </c>
      <c r="O1571" s="559">
        <f>'Progetto del paramento slu'!$G$60*(sezione!$AP$33-C1571)/C1571</f>
        <v>5.3977954203827158E-2</v>
      </c>
      <c r="P1571" s="553">
        <f>-'Progetto del paramento slu'!$G$47*'Progetto del paramento slu'!$G$41*IF(DATI!$G$218="dx",DATI!$E$61,DATI!$E$64*DATI!$E$63)*1000*C1571*sezione!$AD$5</f>
        <v>-223173.48242127418</v>
      </c>
      <c r="Q1571" s="553">
        <f>'Foglio deposito bis'!$F$68*IF(ABS(K1571)&lt;'Progetto del paramento slu'!$G$58,ABS(K1571)*'Progetto del paramento slu'!$G$54,'Progetto del paramento slu'!$G$53)*IF(K1571&lt;0,-1,1)</f>
        <v>0</v>
      </c>
      <c r="R1571" s="553">
        <f>'Foglio deposito bis'!$F$69*IF(ABS(L1571)&lt;'Progetto del paramento slu'!$G$58,ABS(L1571)*'Progetto del paramento slu'!$G$54,'Progetto del paramento slu'!$G$53)*IF(L1571&lt;0,-1,1)</f>
        <v>153664.85805602249</v>
      </c>
      <c r="S1571" s="553">
        <f>'Foglio deposito bis'!$F$70*IF(ABS(M1571)&lt;'Progetto del paramento slu'!$G$58,ABS(M1571)*'Progetto del paramento slu'!$G$54,'Progetto del paramento slu'!$G$53)*IF(M1571&lt;0,-1,1)</f>
        <v>0</v>
      </c>
      <c r="T1571" s="553">
        <f>'Foglio deposito bis'!$F$71*IF(ABS(N1571)&lt;'Progetto del paramento slu'!$G$58,ABS(N1571)*'Progetto del paramento slu'!$G$54,'Progetto del paramento slu'!$G$53)*IF(N1571&lt;0,-1,1)</f>
        <v>314705.62929873407</v>
      </c>
      <c r="U1571" s="553">
        <f>'Foglio deposito bis'!$F$72*IF(ABS(O1571)&lt;'Progetto del paramento slu'!$G$58,ABS(O1571)*'Progetto del paramento slu'!$G$54,'Progetto del paramento slu'!$G$53)*IF(O1571&lt;0,-1,1)</f>
        <v>491727.54577927204</v>
      </c>
      <c r="V1571" s="479">
        <f t="shared" si="118"/>
        <v>736924.55071275448</v>
      </c>
      <c r="W1571" s="559"/>
      <c r="X1571" s="559"/>
    </row>
    <row r="1572" spans="1:24" x14ac:dyDescent="0.25">
      <c r="A1572" s="553">
        <f t="shared" si="117"/>
        <v>734063.35222017393</v>
      </c>
      <c r="B1572" s="3">
        <f t="shared" si="119"/>
        <v>3.949999999999994</v>
      </c>
      <c r="C1572" s="553">
        <f>'Foglio deposito bis'!$E$159/sezione!$B$247*B1572</f>
        <v>16.035502612027663</v>
      </c>
      <c r="D1572" s="611">
        <f>-'Progetto del paramento slu'!$G$47*'Progetto del paramento slu'!$G$41*IF(DATI!$G$218="dx",DATI!$E$61,DATI!$E$64*DATI!$E$63)*1000*C1572^2*sezione!$AD$5*(1-sezione!$AD$6)</f>
        <v>-2116754.5542625259</v>
      </c>
      <c r="E1572" s="553">
        <f>-'Foglio deposito bis'!$F$68*(C1572-sezione!$AL$33)*IF(ABS(K1572)&lt;'Progetto del paramento slu'!$G$58,ABS(K1572)*'Progetto del paramento slu'!$G$54,'Progetto del paramento slu'!$G$53)</f>
        <v>0</v>
      </c>
      <c r="F1572" s="553">
        <f>-'Foglio deposito bis'!$F$69*(C1572-sezione!$AM$33)*IF(ABS(L1572)&lt;'Progetto del paramento slu'!$G$58,ABS(L1572)*'Progetto del paramento slu'!$G$54,'Progetto del paramento slu'!$G$53)</f>
        <v>20585635.475669164</v>
      </c>
      <c r="G1572" s="553">
        <f>-'Foglio deposito bis'!$F$70*(C1572-sezione!$AN$33)*IF(ABS(M1572)&lt;'Progetto del paramento slu'!$G$58,ABS(M1572)*'Progetto del paramento slu'!$G$54,'Progetto del paramento slu'!$G$53)</f>
        <v>0</v>
      </c>
      <c r="H1572" s="553">
        <f>-'Foglio deposito bis'!$F$71*(C1572-sezione!$AO$33)*IF(ABS(N1572)&lt;'Progetto del paramento slu'!$G$58,ABS(N1572)*'Progetto del paramento slu'!$G$54,'Progetto del paramento slu'!$G$53)</f>
        <v>101953451.02092993</v>
      </c>
      <c r="I1572" s="479">
        <f>-'Foglio deposito bis'!$F$72*(C1572-sezione!$AP$33)*IF(ABS(O1572)&lt;'Progetto del paramento slu'!$G$58,ABS(O1572)*'Progetto del paramento slu'!$G$54,'Progetto del paramento slu'!$G$53)</f>
        <v>119967006.83091162</v>
      </c>
      <c r="J1572" s="479">
        <f t="shared" si="116"/>
        <v>240389338.7732482</v>
      </c>
      <c r="K1572" s="558">
        <f>'Progetto del paramento slu'!$G$60*(sezione!$AL$33-C1572)/C1572</f>
        <v>5.2306274949555339E-3</v>
      </c>
      <c r="L1572" s="558">
        <f>'Progetto del paramento slu'!$G$60*(sezione!$AM$33-C1572)/C1572</f>
        <v>2.9239853106083253E-2</v>
      </c>
      <c r="M1572" s="559">
        <f>'Progetto del paramento slu'!$G$60*(sezione!$AN$33-C1572)/C1572</f>
        <v>5.3249078717210969E-2</v>
      </c>
      <c r="N1572" s="559">
        <f>'Progetto del paramento slu'!$G$60*(sezione!$AO$33-C1572)/C1572</f>
        <v>7.0710333707122042E-2</v>
      </c>
      <c r="O1572" s="559">
        <f>'Progetto del paramento slu'!$G$60*(sezione!$AP$33-C1572)/C1572</f>
        <v>5.3250385163272379E-2</v>
      </c>
      <c r="P1572" s="553">
        <f>-'Progetto del paramento slu'!$G$47*'Progetto del paramento slu'!$G$41*IF(DATI!$G$218="dx",DATI!$E$61,DATI!$E$64*DATI!$E$63)*1000*C1572*sezione!$AD$5</f>
        <v>-226034.68091385462</v>
      </c>
      <c r="Q1572" s="553">
        <f>'Foglio deposito bis'!$F$68*IF(ABS(K1572)&lt;'Progetto del paramento slu'!$G$58,ABS(K1572)*'Progetto del paramento slu'!$G$54,'Progetto del paramento slu'!$G$53)*IF(K1572&lt;0,-1,1)</f>
        <v>0</v>
      </c>
      <c r="R1572" s="553">
        <f>'Foglio deposito bis'!$F$69*IF(ABS(L1572)&lt;'Progetto del paramento slu'!$G$58,ABS(L1572)*'Progetto del paramento slu'!$G$54,'Progetto del paramento slu'!$G$53)*IF(L1572&lt;0,-1,1)</f>
        <v>153664.85805602249</v>
      </c>
      <c r="S1572" s="553">
        <f>'Foglio deposito bis'!$F$70*IF(ABS(M1572)&lt;'Progetto del paramento slu'!$G$58,ABS(M1572)*'Progetto del paramento slu'!$G$54,'Progetto del paramento slu'!$G$53)*IF(M1572&lt;0,-1,1)</f>
        <v>0</v>
      </c>
      <c r="T1572" s="553">
        <f>'Foglio deposito bis'!$F$71*IF(ABS(N1572)&lt;'Progetto del paramento slu'!$G$58,ABS(N1572)*'Progetto del paramento slu'!$G$54,'Progetto del paramento slu'!$G$53)*IF(N1572&lt;0,-1,1)</f>
        <v>314705.62929873407</v>
      </c>
      <c r="U1572" s="553">
        <f>'Foglio deposito bis'!$F$72*IF(ABS(O1572)&lt;'Progetto del paramento slu'!$G$58,ABS(O1572)*'Progetto del paramento slu'!$G$54,'Progetto del paramento slu'!$G$53)*IF(O1572&lt;0,-1,1)</f>
        <v>491727.54577927204</v>
      </c>
      <c r="V1572" s="479">
        <f t="shared" si="118"/>
        <v>734063.35222017393</v>
      </c>
      <c r="W1572" s="559"/>
      <c r="X1572" s="559"/>
    </row>
    <row r="1573" spans="1:24" x14ac:dyDescent="0.25">
      <c r="A1573" s="553">
        <f t="shared" si="117"/>
        <v>731202.1537275936</v>
      </c>
      <c r="B1573" s="3">
        <f t="shared" si="119"/>
        <v>3.9999999999999938</v>
      </c>
      <c r="C1573" s="553">
        <f>'Foglio deposito bis'!$E$159/sezione!$B$247*B1573</f>
        <v>16.238483657749534</v>
      </c>
      <c r="D1573" s="611">
        <f>-'Progetto del paramento slu'!$G$47*'Progetto del paramento slu'!$G$41*IF(DATI!$G$218="dx",DATI!$E$61,DATI!$E$64*DATI!$E$63)*1000*C1573^2*sezione!$AD$5*(1-sezione!$AD$6)</f>
        <v>-2170682.4462874811</v>
      </c>
      <c r="E1573" s="553">
        <f>-'Foglio deposito bis'!$F$68*(C1573-sezione!$AL$33)*IF(ABS(K1573)&lt;'Progetto del paramento slu'!$G$58,ABS(K1573)*'Progetto del paramento slu'!$G$54,'Progetto del paramento slu'!$G$53)</f>
        <v>0</v>
      </c>
      <c r="F1573" s="553">
        <f>-'Foglio deposito bis'!$F$69*(C1573-sezione!$AM$33)*IF(ABS(L1573)&lt;'Progetto del paramento slu'!$G$58,ABS(L1573)*'Progetto del paramento slu'!$G$54,'Progetto del paramento slu'!$G$53)</f>
        <v>20554444.422090255</v>
      </c>
      <c r="G1573" s="553">
        <f>-'Foglio deposito bis'!$F$70*(C1573-sezione!$AN$33)*IF(ABS(M1573)&lt;'Progetto del paramento slu'!$G$58,ABS(M1573)*'Progetto del paramento slu'!$G$54,'Progetto del paramento slu'!$G$53)</f>
        <v>0</v>
      </c>
      <c r="H1573" s="553">
        <f>-'Foglio deposito bis'!$F$71*(C1573-sezione!$AO$33)*IF(ABS(N1573)&lt;'Progetto del paramento slu'!$G$58,ABS(N1573)*'Progetto del paramento slu'!$G$54,'Progetto del paramento slu'!$G$53)</f>
        <v>101889571.74320032</v>
      </c>
      <c r="I1573" s="479">
        <f>-'Foglio deposito bis'!$F$72*(C1573-sezione!$AP$33)*IF(ABS(O1573)&lt;'Progetto del paramento slu'!$G$58,ABS(O1573)*'Progetto del paramento slu'!$G$54,'Progetto del paramento slu'!$G$53)</f>
        <v>119867195.45945911</v>
      </c>
      <c r="J1573" s="479">
        <f t="shared" si="116"/>
        <v>240140529.17846221</v>
      </c>
      <c r="K1573" s="558">
        <f>'Progetto del paramento slu'!$G$60*(sezione!$AL$33-C1573)/C1573</f>
        <v>5.1214946512685893E-3</v>
      </c>
      <c r="L1573" s="558">
        <f>'Progetto del paramento slu'!$G$60*(sezione!$AM$33-C1573)/C1573</f>
        <v>2.8830604942257212E-2</v>
      </c>
      <c r="M1573" s="559">
        <f>'Progetto del paramento slu'!$G$60*(sezione!$AN$33-C1573)/C1573</f>
        <v>5.2539715233245833E-2</v>
      </c>
      <c r="N1573" s="559">
        <f>'Progetto del paramento slu'!$G$60*(sezione!$AO$33-C1573)/C1573</f>
        <v>6.9782704535783016E-2</v>
      </c>
      <c r="O1573" s="559">
        <f>'Progetto del paramento slu'!$G$60*(sezione!$AP$33-C1573)/C1573</f>
        <v>5.2541005348731476E-2</v>
      </c>
      <c r="P1573" s="553">
        <f>-'Progetto del paramento slu'!$G$47*'Progetto del paramento slu'!$G$41*IF(DATI!$G$218="dx",DATI!$E$61,DATI!$E$64*DATI!$E$63)*1000*C1573*sezione!$AD$5</f>
        <v>-228895.87940643507</v>
      </c>
      <c r="Q1573" s="553">
        <f>'Foglio deposito bis'!$F$68*IF(ABS(K1573)&lt;'Progetto del paramento slu'!$G$58,ABS(K1573)*'Progetto del paramento slu'!$G$54,'Progetto del paramento slu'!$G$53)*IF(K1573&lt;0,-1,1)</f>
        <v>0</v>
      </c>
      <c r="R1573" s="553">
        <f>'Foglio deposito bis'!$F$69*IF(ABS(L1573)&lt;'Progetto del paramento slu'!$G$58,ABS(L1573)*'Progetto del paramento slu'!$G$54,'Progetto del paramento slu'!$G$53)*IF(L1573&lt;0,-1,1)</f>
        <v>153664.85805602249</v>
      </c>
      <c r="S1573" s="553">
        <f>'Foglio deposito bis'!$F$70*IF(ABS(M1573)&lt;'Progetto del paramento slu'!$G$58,ABS(M1573)*'Progetto del paramento slu'!$G$54,'Progetto del paramento slu'!$G$53)*IF(M1573&lt;0,-1,1)</f>
        <v>0</v>
      </c>
      <c r="T1573" s="553">
        <f>'Foglio deposito bis'!$F$71*IF(ABS(N1573)&lt;'Progetto del paramento slu'!$G$58,ABS(N1573)*'Progetto del paramento slu'!$G$54,'Progetto del paramento slu'!$G$53)*IF(N1573&lt;0,-1,1)</f>
        <v>314705.62929873407</v>
      </c>
      <c r="U1573" s="553">
        <f>'Foglio deposito bis'!$F$72*IF(ABS(O1573)&lt;'Progetto del paramento slu'!$G$58,ABS(O1573)*'Progetto del paramento slu'!$G$54,'Progetto del paramento slu'!$G$53)*IF(O1573&lt;0,-1,1)</f>
        <v>491727.54577927204</v>
      </c>
      <c r="V1573" s="479">
        <f t="shared" si="118"/>
        <v>731202.1537275936</v>
      </c>
      <c r="W1573" s="559"/>
      <c r="X1573" s="559"/>
    </row>
    <row r="1574" spans="1:24" x14ac:dyDescent="0.25">
      <c r="A1574" s="553">
        <f t="shared" si="117"/>
        <v>728340.95523501304</v>
      </c>
      <c r="B1574" s="3">
        <f t="shared" si="119"/>
        <v>4.0499999999999936</v>
      </c>
      <c r="C1574" s="553">
        <f>'Foglio deposito bis'!$E$159/sezione!$B$247*B1574</f>
        <v>16.441464703471404</v>
      </c>
      <c r="D1574" s="611">
        <f>-'Progetto del paramento slu'!$G$47*'Progetto del paramento slu'!$G$41*IF(DATI!$G$218="dx",DATI!$E$61,DATI!$E$64*DATI!$E$63)*1000*C1574^2*sezione!$AD$5*(1-sezione!$AD$6)</f>
        <v>-2225288.6765769003</v>
      </c>
      <c r="E1574" s="553">
        <f>-'Foglio deposito bis'!$F$68*(C1574-sezione!$AL$33)*IF(ABS(K1574)&lt;'Progetto del paramento slu'!$G$58,ABS(K1574)*'Progetto del paramento slu'!$G$54,'Progetto del paramento slu'!$G$53)</f>
        <v>0</v>
      </c>
      <c r="F1574" s="553">
        <f>-'Foglio deposito bis'!$F$69*(C1574-sezione!$AM$33)*IF(ABS(L1574)&lt;'Progetto del paramento slu'!$G$58,ABS(L1574)*'Progetto del paramento slu'!$G$54,'Progetto del paramento slu'!$G$53)</f>
        <v>20523253.368511338</v>
      </c>
      <c r="G1574" s="553">
        <f>-'Foglio deposito bis'!$F$70*(C1574-sezione!$AN$33)*IF(ABS(M1574)&lt;'Progetto del paramento slu'!$G$58,ABS(M1574)*'Progetto del paramento slu'!$G$54,'Progetto del paramento slu'!$G$53)</f>
        <v>0</v>
      </c>
      <c r="H1574" s="553">
        <f>-'Foglio deposito bis'!$F$71*(C1574-sezione!$AO$33)*IF(ABS(N1574)&lt;'Progetto del paramento slu'!$G$58,ABS(N1574)*'Progetto del paramento slu'!$G$54,'Progetto del paramento slu'!$G$53)</f>
        <v>101825692.46547069</v>
      </c>
      <c r="I1574" s="479">
        <f>-'Foglio deposito bis'!$F$72*(C1574-sezione!$AP$33)*IF(ABS(O1574)&lt;'Progetto del paramento slu'!$G$58,ABS(O1574)*'Progetto del paramento slu'!$G$54,'Progetto del paramento slu'!$G$53)</f>
        <v>119767384.08800657</v>
      </c>
      <c r="J1574" s="479">
        <f t="shared" si="116"/>
        <v>239891041.24541169</v>
      </c>
      <c r="K1574" s="558">
        <f>'Progetto del paramento slu'!$G$60*(sezione!$AL$33-C1574)/C1574</f>
        <v>5.0150564456973717E-3</v>
      </c>
      <c r="L1574" s="558">
        <f>'Progetto del paramento slu'!$G$60*(sezione!$AM$33-C1574)/C1574</f>
        <v>2.8431461671365142E-2</v>
      </c>
      <c r="M1574" s="559">
        <f>'Progetto del paramento slu'!$G$60*(sezione!$AN$33-C1574)/C1574</f>
        <v>5.184786689703292E-2</v>
      </c>
      <c r="N1574" s="559">
        <f>'Progetto del paramento slu'!$G$60*(sezione!$AO$33-C1574)/C1574</f>
        <v>6.8877979788427662E-2</v>
      </c>
      <c r="O1574" s="559">
        <f>'Progetto del paramento slu'!$G$60*(sezione!$AP$33-C1574)/C1574</f>
        <v>5.1849141085166882E-2</v>
      </c>
      <c r="P1574" s="553">
        <f>-'Progetto del paramento slu'!$G$47*'Progetto del paramento slu'!$G$41*IF(DATI!$G$218="dx",DATI!$E$61,DATI!$E$64*DATI!$E$63)*1000*C1574*sezione!$AD$5</f>
        <v>-231757.07789901554</v>
      </c>
      <c r="Q1574" s="553">
        <f>'Foglio deposito bis'!$F$68*IF(ABS(K1574)&lt;'Progetto del paramento slu'!$G$58,ABS(K1574)*'Progetto del paramento slu'!$G$54,'Progetto del paramento slu'!$G$53)*IF(K1574&lt;0,-1,1)</f>
        <v>0</v>
      </c>
      <c r="R1574" s="553">
        <f>'Foglio deposito bis'!$F$69*IF(ABS(L1574)&lt;'Progetto del paramento slu'!$G$58,ABS(L1574)*'Progetto del paramento slu'!$G$54,'Progetto del paramento slu'!$G$53)*IF(L1574&lt;0,-1,1)</f>
        <v>153664.85805602249</v>
      </c>
      <c r="S1574" s="553">
        <f>'Foglio deposito bis'!$F$70*IF(ABS(M1574)&lt;'Progetto del paramento slu'!$G$58,ABS(M1574)*'Progetto del paramento slu'!$G$54,'Progetto del paramento slu'!$G$53)*IF(M1574&lt;0,-1,1)</f>
        <v>0</v>
      </c>
      <c r="T1574" s="553">
        <f>'Foglio deposito bis'!$F$71*IF(ABS(N1574)&lt;'Progetto del paramento slu'!$G$58,ABS(N1574)*'Progetto del paramento slu'!$G$54,'Progetto del paramento slu'!$G$53)*IF(N1574&lt;0,-1,1)</f>
        <v>314705.62929873407</v>
      </c>
      <c r="U1574" s="553">
        <f>'Foglio deposito bis'!$F$72*IF(ABS(O1574)&lt;'Progetto del paramento slu'!$G$58,ABS(O1574)*'Progetto del paramento slu'!$G$54,'Progetto del paramento slu'!$G$53)*IF(O1574&lt;0,-1,1)</f>
        <v>491727.54577927204</v>
      </c>
      <c r="V1574" s="479">
        <f t="shared" si="118"/>
        <v>728340.95523501304</v>
      </c>
      <c r="W1574" s="559"/>
      <c r="X1574" s="559"/>
    </row>
    <row r="1575" spans="1:24" x14ac:dyDescent="0.25">
      <c r="A1575" s="553">
        <f t="shared" si="117"/>
        <v>725479.75674243271</v>
      </c>
      <c r="B1575" s="3">
        <f t="shared" si="119"/>
        <v>4.0999999999999934</v>
      </c>
      <c r="C1575" s="553">
        <f>'Foglio deposito bis'!$E$159/sezione!$B$247*B1575</f>
        <v>16.64444574919327</v>
      </c>
      <c r="D1575" s="611">
        <f>-'Progetto del paramento slu'!$G$47*'Progetto del paramento slu'!$G$41*IF(DATI!$G$218="dx",DATI!$E$61,DATI!$E$64*DATI!$E$63)*1000*C1575^2*sezione!$AD$5*(1-sezione!$AD$6)</f>
        <v>-2280573.2451307843</v>
      </c>
      <c r="E1575" s="553">
        <f>-'Foglio deposito bis'!$F$68*(C1575-sezione!$AL$33)*IF(ABS(K1575)&lt;'Progetto del paramento slu'!$G$58,ABS(K1575)*'Progetto del paramento slu'!$G$54,'Progetto del paramento slu'!$G$53)</f>
        <v>0</v>
      </c>
      <c r="F1575" s="553">
        <f>-'Foglio deposito bis'!$F$69*(C1575-sezione!$AM$33)*IF(ABS(L1575)&lt;'Progetto del paramento slu'!$G$58,ABS(L1575)*'Progetto del paramento slu'!$G$54,'Progetto del paramento slu'!$G$53)</f>
        <v>20492062.314932425</v>
      </c>
      <c r="G1575" s="553">
        <f>-'Foglio deposito bis'!$F$70*(C1575-sezione!$AN$33)*IF(ABS(M1575)&lt;'Progetto del paramento slu'!$G$58,ABS(M1575)*'Progetto del paramento slu'!$G$54,'Progetto del paramento slu'!$G$53)</f>
        <v>0</v>
      </c>
      <c r="H1575" s="553">
        <f>-'Foglio deposito bis'!$F$71*(C1575-sezione!$AO$33)*IF(ABS(N1575)&lt;'Progetto del paramento slu'!$G$58,ABS(N1575)*'Progetto del paramento slu'!$G$54,'Progetto del paramento slu'!$G$53)</f>
        <v>101761813.18774109</v>
      </c>
      <c r="I1575" s="479">
        <f>-'Foglio deposito bis'!$F$72*(C1575-sezione!$AP$33)*IF(ABS(O1575)&lt;'Progetto del paramento slu'!$G$58,ABS(O1575)*'Progetto del paramento slu'!$G$54,'Progetto del paramento slu'!$G$53)</f>
        <v>119667572.71655406</v>
      </c>
      <c r="J1575" s="479">
        <f t="shared" si="116"/>
        <v>239640874.97409678</v>
      </c>
      <c r="K1575" s="558">
        <f>'Progetto del paramento slu'!$G$60*(sezione!$AL$33-C1575)/C1575</f>
        <v>4.9112142939205759E-3</v>
      </c>
      <c r="L1575" s="558">
        <f>'Progetto del paramento slu'!$G$60*(sezione!$AM$33-C1575)/C1575</f>
        <v>2.804205360220216E-2</v>
      </c>
      <c r="M1575" s="559">
        <f>'Progetto del paramento slu'!$G$60*(sezione!$AN$33-C1575)/C1575</f>
        <v>5.1172892910483742E-2</v>
      </c>
      <c r="N1575" s="559">
        <f>'Progetto del paramento slu'!$G$60*(sezione!$AO$33-C1575)/C1575</f>
        <v>6.7995321498324893E-2</v>
      </c>
      <c r="O1575" s="559">
        <f>'Progetto del paramento slu'!$G$60*(sezione!$AP$33-C1575)/C1575</f>
        <v>5.1174151559738028E-2</v>
      </c>
      <c r="P1575" s="553">
        <f>-'Progetto del paramento slu'!$G$47*'Progetto del paramento slu'!$G$41*IF(DATI!$G$218="dx",DATI!$E$61,DATI!$E$64*DATI!$E$63)*1000*C1575*sezione!$AD$5</f>
        <v>-234618.27639159592</v>
      </c>
      <c r="Q1575" s="553">
        <f>'Foglio deposito bis'!$F$68*IF(ABS(K1575)&lt;'Progetto del paramento slu'!$G$58,ABS(K1575)*'Progetto del paramento slu'!$G$54,'Progetto del paramento slu'!$G$53)*IF(K1575&lt;0,-1,1)</f>
        <v>0</v>
      </c>
      <c r="R1575" s="553">
        <f>'Foglio deposito bis'!$F$69*IF(ABS(L1575)&lt;'Progetto del paramento slu'!$G$58,ABS(L1575)*'Progetto del paramento slu'!$G$54,'Progetto del paramento slu'!$G$53)*IF(L1575&lt;0,-1,1)</f>
        <v>153664.85805602249</v>
      </c>
      <c r="S1575" s="553">
        <f>'Foglio deposito bis'!$F$70*IF(ABS(M1575)&lt;'Progetto del paramento slu'!$G$58,ABS(M1575)*'Progetto del paramento slu'!$G$54,'Progetto del paramento slu'!$G$53)*IF(M1575&lt;0,-1,1)</f>
        <v>0</v>
      </c>
      <c r="T1575" s="553">
        <f>'Foglio deposito bis'!$F$71*IF(ABS(N1575)&lt;'Progetto del paramento slu'!$G$58,ABS(N1575)*'Progetto del paramento slu'!$G$54,'Progetto del paramento slu'!$G$53)*IF(N1575&lt;0,-1,1)</f>
        <v>314705.62929873407</v>
      </c>
      <c r="U1575" s="553">
        <f>'Foglio deposito bis'!$F$72*IF(ABS(O1575)&lt;'Progetto del paramento slu'!$G$58,ABS(O1575)*'Progetto del paramento slu'!$G$54,'Progetto del paramento slu'!$G$53)*IF(O1575&lt;0,-1,1)</f>
        <v>491727.54577927204</v>
      </c>
      <c r="V1575" s="479">
        <f t="shared" si="118"/>
        <v>725479.75674243271</v>
      </c>
      <c r="W1575" s="559"/>
      <c r="X1575" s="559"/>
    </row>
    <row r="1576" spans="1:24" x14ac:dyDescent="0.25">
      <c r="A1576" s="553">
        <f t="shared" si="117"/>
        <v>722618.55824985215</v>
      </c>
      <c r="B1576" s="3">
        <f t="shared" si="119"/>
        <v>4.1499999999999932</v>
      </c>
      <c r="C1576" s="553">
        <f>'Foglio deposito bis'!$E$159/sezione!$B$247*B1576</f>
        <v>16.84742679491514</v>
      </c>
      <c r="D1576" s="611">
        <f>-'Progetto del paramento slu'!$G$47*'Progetto del paramento slu'!$G$41*IF(DATI!$G$218="dx",DATI!$E$61,DATI!$E$64*DATI!$E$63)*1000*C1576^2*sezione!$AD$5*(1-sezione!$AD$6)</f>
        <v>-2336536.1519491337</v>
      </c>
      <c r="E1576" s="553">
        <f>-'Foglio deposito bis'!$F$68*(C1576-sezione!$AL$33)*IF(ABS(K1576)&lt;'Progetto del paramento slu'!$G$58,ABS(K1576)*'Progetto del paramento slu'!$G$54,'Progetto del paramento slu'!$G$53)</f>
        <v>0</v>
      </c>
      <c r="F1576" s="553">
        <f>-'Foglio deposito bis'!$F$69*(C1576-sezione!$AM$33)*IF(ABS(L1576)&lt;'Progetto del paramento slu'!$G$58,ABS(L1576)*'Progetto del paramento slu'!$G$54,'Progetto del paramento slu'!$G$53)</f>
        <v>20460871.261353508</v>
      </c>
      <c r="G1576" s="553">
        <f>-'Foglio deposito bis'!$F$70*(C1576-sezione!$AN$33)*IF(ABS(M1576)&lt;'Progetto del paramento slu'!$G$58,ABS(M1576)*'Progetto del paramento slu'!$G$54,'Progetto del paramento slu'!$G$53)</f>
        <v>0</v>
      </c>
      <c r="H1576" s="553">
        <f>-'Foglio deposito bis'!$F$71*(C1576-sezione!$AO$33)*IF(ABS(N1576)&lt;'Progetto del paramento slu'!$G$58,ABS(N1576)*'Progetto del paramento slu'!$G$54,'Progetto del paramento slu'!$G$53)</f>
        <v>101697933.91001147</v>
      </c>
      <c r="I1576" s="479">
        <f>-'Foglio deposito bis'!$F$72*(C1576-sezione!$AP$33)*IF(ABS(O1576)&lt;'Progetto del paramento slu'!$G$58,ABS(O1576)*'Progetto del paramento slu'!$G$54,'Progetto del paramento slu'!$G$53)</f>
        <v>119567761.34510154</v>
      </c>
      <c r="J1576" s="479">
        <f t="shared" si="116"/>
        <v>239390030.36451739</v>
      </c>
      <c r="K1576" s="558">
        <f>'Progetto del paramento slu'!$G$60*(sezione!$AL$33-C1576)/C1576</f>
        <v>4.8098743626685198E-3</v>
      </c>
      <c r="L1576" s="558">
        <f>'Progetto del paramento slu'!$G$60*(sezione!$AM$33-C1576)/C1576</f>
        <v>2.7662028860006949E-2</v>
      </c>
      <c r="M1576" s="559">
        <f>'Progetto del paramento slu'!$G$60*(sezione!$AN$33-C1576)/C1576</f>
        <v>5.051418335734538E-2</v>
      </c>
      <c r="N1576" s="559">
        <f>'Progetto del paramento slu'!$G$60*(sezione!$AO$33-C1576)/C1576</f>
        <v>6.7133932082682424E-2</v>
      </c>
      <c r="O1576" s="559">
        <f>'Progetto del paramento slu'!$G$60*(sezione!$AP$33-C1576)/C1576</f>
        <v>5.0515426842150817E-2</v>
      </c>
      <c r="P1576" s="553">
        <f>-'Progetto del paramento slu'!$G$47*'Progetto del paramento slu'!$G$41*IF(DATI!$G$218="dx",DATI!$E$61,DATI!$E$64*DATI!$E$63)*1000*C1576*sezione!$AD$5</f>
        <v>-237479.47488417639</v>
      </c>
      <c r="Q1576" s="553">
        <f>'Foglio deposito bis'!$F$68*IF(ABS(K1576)&lt;'Progetto del paramento slu'!$G$58,ABS(K1576)*'Progetto del paramento slu'!$G$54,'Progetto del paramento slu'!$G$53)*IF(K1576&lt;0,-1,1)</f>
        <v>0</v>
      </c>
      <c r="R1576" s="553">
        <f>'Foglio deposito bis'!$F$69*IF(ABS(L1576)&lt;'Progetto del paramento slu'!$G$58,ABS(L1576)*'Progetto del paramento slu'!$G$54,'Progetto del paramento slu'!$G$53)*IF(L1576&lt;0,-1,1)</f>
        <v>153664.85805602249</v>
      </c>
      <c r="S1576" s="553">
        <f>'Foglio deposito bis'!$F$70*IF(ABS(M1576)&lt;'Progetto del paramento slu'!$G$58,ABS(M1576)*'Progetto del paramento slu'!$G$54,'Progetto del paramento slu'!$G$53)*IF(M1576&lt;0,-1,1)</f>
        <v>0</v>
      </c>
      <c r="T1576" s="553">
        <f>'Foglio deposito bis'!$F$71*IF(ABS(N1576)&lt;'Progetto del paramento slu'!$G$58,ABS(N1576)*'Progetto del paramento slu'!$G$54,'Progetto del paramento slu'!$G$53)*IF(N1576&lt;0,-1,1)</f>
        <v>314705.62929873407</v>
      </c>
      <c r="U1576" s="553">
        <f>'Foglio deposito bis'!$F$72*IF(ABS(O1576)&lt;'Progetto del paramento slu'!$G$58,ABS(O1576)*'Progetto del paramento slu'!$G$54,'Progetto del paramento slu'!$G$53)*IF(O1576&lt;0,-1,1)</f>
        <v>491727.54577927204</v>
      </c>
      <c r="V1576" s="479">
        <f t="shared" si="118"/>
        <v>722618.55824985215</v>
      </c>
      <c r="W1576" s="559"/>
      <c r="X1576" s="559"/>
    </row>
    <row r="1577" spans="1:24" x14ac:dyDescent="0.25">
      <c r="A1577" s="553">
        <f t="shared" si="117"/>
        <v>719757.35975727183</v>
      </c>
      <c r="B1577" s="3">
        <f t="shared" si="119"/>
        <v>4.1999999999999931</v>
      </c>
      <c r="C1577" s="553">
        <f>'Foglio deposito bis'!$E$159/sezione!$B$247*B1577</f>
        <v>17.050407840637007</v>
      </c>
      <c r="D1577" s="611">
        <f>-'Progetto del paramento slu'!$G$47*'Progetto del paramento slu'!$G$41*IF(DATI!$G$218="dx",DATI!$E$61,DATI!$E$64*DATI!$E$63)*1000*C1577^2*sezione!$AD$5*(1-sezione!$AD$6)</f>
        <v>-2393177.397031947</v>
      </c>
      <c r="E1577" s="553">
        <f>-'Foglio deposito bis'!$F$68*(C1577-sezione!$AL$33)*IF(ABS(K1577)&lt;'Progetto del paramento slu'!$G$58,ABS(K1577)*'Progetto del paramento slu'!$G$54,'Progetto del paramento slu'!$G$53)</f>
        <v>0</v>
      </c>
      <c r="F1577" s="553">
        <f>-'Foglio deposito bis'!$F$69*(C1577-sezione!$AM$33)*IF(ABS(L1577)&lt;'Progetto del paramento slu'!$G$58,ABS(L1577)*'Progetto del paramento slu'!$G$54,'Progetto del paramento slu'!$G$53)</f>
        <v>20429680.207774598</v>
      </c>
      <c r="G1577" s="553">
        <f>-'Foglio deposito bis'!$F$70*(C1577-sezione!$AN$33)*IF(ABS(M1577)&lt;'Progetto del paramento slu'!$G$58,ABS(M1577)*'Progetto del paramento slu'!$G$54,'Progetto del paramento slu'!$G$53)</f>
        <v>0</v>
      </c>
      <c r="H1577" s="553">
        <f>-'Foglio deposito bis'!$F$71*(C1577-sezione!$AO$33)*IF(ABS(N1577)&lt;'Progetto del paramento slu'!$G$58,ABS(N1577)*'Progetto del paramento slu'!$G$54,'Progetto del paramento slu'!$G$53)</f>
        <v>101634054.63228184</v>
      </c>
      <c r="I1577" s="479">
        <f>-'Foglio deposito bis'!$F$72*(C1577-sezione!$AP$33)*IF(ABS(O1577)&lt;'Progetto del paramento slu'!$G$58,ABS(O1577)*'Progetto del paramento slu'!$G$54,'Progetto del paramento slu'!$G$53)</f>
        <v>119467949.97364902</v>
      </c>
      <c r="J1577" s="479">
        <f t="shared" si="116"/>
        <v>239138507.41667351</v>
      </c>
      <c r="K1577" s="558">
        <f>'Progetto del paramento slu'!$G$60*(sezione!$AL$33-C1577)/C1577</f>
        <v>4.7109472869224676E-3</v>
      </c>
      <c r="L1577" s="558">
        <f>'Progetto del paramento slu'!$G$60*(sezione!$AM$33-C1577)/C1577</f>
        <v>2.7291052325959252E-2</v>
      </c>
      <c r="M1577" s="559">
        <f>'Progetto del paramento slu'!$G$60*(sezione!$AN$33-C1577)/C1577</f>
        <v>4.987115736499604E-2</v>
      </c>
      <c r="N1577" s="559">
        <f>'Progetto del paramento slu'!$G$60*(sezione!$AO$33-C1577)/C1577</f>
        <v>6.6293051938840969E-2</v>
      </c>
      <c r="O1577" s="559">
        <f>'Progetto del paramento slu'!$G$60*(sezione!$AP$33-C1577)/C1577</f>
        <v>4.9872386046410935E-2</v>
      </c>
      <c r="P1577" s="553">
        <f>-'Progetto del paramento slu'!$G$47*'Progetto del paramento slu'!$G$41*IF(DATI!$G$218="dx",DATI!$E$61,DATI!$E$64*DATI!$E$63)*1000*C1577*sezione!$AD$5</f>
        <v>-240340.67337675681</v>
      </c>
      <c r="Q1577" s="553">
        <f>'Foglio deposito bis'!$F$68*IF(ABS(K1577)&lt;'Progetto del paramento slu'!$G$58,ABS(K1577)*'Progetto del paramento slu'!$G$54,'Progetto del paramento slu'!$G$53)*IF(K1577&lt;0,-1,1)</f>
        <v>0</v>
      </c>
      <c r="R1577" s="553">
        <f>'Foglio deposito bis'!$F$69*IF(ABS(L1577)&lt;'Progetto del paramento slu'!$G$58,ABS(L1577)*'Progetto del paramento slu'!$G$54,'Progetto del paramento slu'!$G$53)*IF(L1577&lt;0,-1,1)</f>
        <v>153664.85805602249</v>
      </c>
      <c r="S1577" s="553">
        <f>'Foglio deposito bis'!$F$70*IF(ABS(M1577)&lt;'Progetto del paramento slu'!$G$58,ABS(M1577)*'Progetto del paramento slu'!$G$54,'Progetto del paramento slu'!$G$53)*IF(M1577&lt;0,-1,1)</f>
        <v>0</v>
      </c>
      <c r="T1577" s="553">
        <f>'Foglio deposito bis'!$F$71*IF(ABS(N1577)&lt;'Progetto del paramento slu'!$G$58,ABS(N1577)*'Progetto del paramento slu'!$G$54,'Progetto del paramento slu'!$G$53)*IF(N1577&lt;0,-1,1)</f>
        <v>314705.62929873407</v>
      </c>
      <c r="U1577" s="553">
        <f>'Foglio deposito bis'!$F$72*IF(ABS(O1577)&lt;'Progetto del paramento slu'!$G$58,ABS(O1577)*'Progetto del paramento slu'!$G$54,'Progetto del paramento slu'!$G$53)*IF(O1577&lt;0,-1,1)</f>
        <v>491727.54577927204</v>
      </c>
      <c r="V1577" s="479">
        <f t="shared" si="118"/>
        <v>719757.35975727183</v>
      </c>
      <c r="W1577" s="559"/>
      <c r="X1577" s="559"/>
    </row>
    <row r="1578" spans="1:24" x14ac:dyDescent="0.25">
      <c r="A1578" s="553">
        <f t="shared" si="117"/>
        <v>716896.16126469139</v>
      </c>
      <c r="B1578" s="3">
        <f t="shared" si="119"/>
        <v>4.2499999999999929</v>
      </c>
      <c r="C1578" s="553">
        <f>'Foglio deposito bis'!$E$159/sezione!$B$247*B1578</f>
        <v>17.253388886358877</v>
      </c>
      <c r="D1578" s="611">
        <f>-'Progetto del paramento slu'!$G$47*'Progetto del paramento slu'!$G$41*IF(DATI!$G$218="dx",DATI!$E$61,DATI!$E$64*DATI!$E$63)*1000*C1578^2*sezione!$AD$5*(1-sezione!$AD$6)</f>
        <v>-2450496.9803792262</v>
      </c>
      <c r="E1578" s="553">
        <f>-'Foglio deposito bis'!$F$68*(C1578-sezione!$AL$33)*IF(ABS(K1578)&lt;'Progetto del paramento slu'!$G$58,ABS(K1578)*'Progetto del paramento slu'!$G$54,'Progetto del paramento slu'!$G$53)</f>
        <v>0</v>
      </c>
      <c r="F1578" s="553">
        <f>-'Foglio deposito bis'!$F$69*(C1578-sezione!$AM$33)*IF(ABS(L1578)&lt;'Progetto del paramento slu'!$G$58,ABS(L1578)*'Progetto del paramento slu'!$G$54,'Progetto del paramento slu'!$G$53)</f>
        <v>20398489.154195681</v>
      </c>
      <c r="G1578" s="553">
        <f>-'Foglio deposito bis'!$F$70*(C1578-sezione!$AN$33)*IF(ABS(M1578)&lt;'Progetto del paramento slu'!$G$58,ABS(M1578)*'Progetto del paramento slu'!$G$54,'Progetto del paramento slu'!$G$53)</f>
        <v>0</v>
      </c>
      <c r="H1578" s="553">
        <f>-'Foglio deposito bis'!$F$71*(C1578-sezione!$AO$33)*IF(ABS(N1578)&lt;'Progetto del paramento slu'!$G$58,ABS(N1578)*'Progetto del paramento slu'!$G$54,'Progetto del paramento slu'!$G$53)</f>
        <v>101570175.35455222</v>
      </c>
      <c r="I1578" s="479">
        <f>-'Foglio deposito bis'!$F$72*(C1578-sezione!$AP$33)*IF(ABS(O1578)&lt;'Progetto del paramento slu'!$G$58,ABS(O1578)*'Progetto del paramento slu'!$G$54,'Progetto del paramento slu'!$G$53)</f>
        <v>119368138.60219648</v>
      </c>
      <c r="J1578" s="479">
        <f t="shared" si="116"/>
        <v>238886306.13056517</v>
      </c>
      <c r="K1578" s="558">
        <f>'Progetto del paramento slu'!$G$60*(sezione!$AL$33-C1578)/C1578</f>
        <v>4.6143479070763207E-3</v>
      </c>
      <c r="L1578" s="558">
        <f>'Progetto del paramento slu'!$G$60*(sezione!$AM$33-C1578)/C1578</f>
        <v>2.6928804651536201E-2</v>
      </c>
      <c r="M1578" s="559">
        <f>'Progetto del paramento slu'!$G$60*(sezione!$AN$33-C1578)/C1578</f>
        <v>4.924326139599608E-2</v>
      </c>
      <c r="N1578" s="559">
        <f>'Progetto del paramento slu'!$G$60*(sezione!$AO$33-C1578)/C1578</f>
        <v>6.5471957210148729E-2</v>
      </c>
      <c r="O1578" s="559">
        <f>'Progetto del paramento slu'!$G$60*(sezione!$AP$33-C1578)/C1578</f>
        <v>4.9244475622335505E-2</v>
      </c>
      <c r="P1578" s="553">
        <f>-'Progetto del paramento slu'!$G$47*'Progetto del paramento slu'!$G$41*IF(DATI!$G$218="dx",DATI!$E$61,DATI!$E$64*DATI!$E$63)*1000*C1578*sezione!$AD$5</f>
        <v>-243201.87186933722</v>
      </c>
      <c r="Q1578" s="553">
        <f>'Foglio deposito bis'!$F$68*IF(ABS(K1578)&lt;'Progetto del paramento slu'!$G$58,ABS(K1578)*'Progetto del paramento slu'!$G$54,'Progetto del paramento slu'!$G$53)*IF(K1578&lt;0,-1,1)</f>
        <v>0</v>
      </c>
      <c r="R1578" s="553">
        <f>'Foglio deposito bis'!$F$69*IF(ABS(L1578)&lt;'Progetto del paramento slu'!$G$58,ABS(L1578)*'Progetto del paramento slu'!$G$54,'Progetto del paramento slu'!$G$53)*IF(L1578&lt;0,-1,1)</f>
        <v>153664.85805602249</v>
      </c>
      <c r="S1578" s="553">
        <f>'Foglio deposito bis'!$F$70*IF(ABS(M1578)&lt;'Progetto del paramento slu'!$G$58,ABS(M1578)*'Progetto del paramento slu'!$G$54,'Progetto del paramento slu'!$G$53)*IF(M1578&lt;0,-1,1)</f>
        <v>0</v>
      </c>
      <c r="T1578" s="553">
        <f>'Foglio deposito bis'!$F$71*IF(ABS(N1578)&lt;'Progetto del paramento slu'!$G$58,ABS(N1578)*'Progetto del paramento slu'!$G$54,'Progetto del paramento slu'!$G$53)*IF(N1578&lt;0,-1,1)</f>
        <v>314705.62929873407</v>
      </c>
      <c r="U1578" s="553">
        <f>'Foglio deposito bis'!$F$72*IF(ABS(O1578)&lt;'Progetto del paramento slu'!$G$58,ABS(O1578)*'Progetto del paramento slu'!$G$54,'Progetto del paramento slu'!$G$53)*IF(O1578&lt;0,-1,1)</f>
        <v>491727.54577927204</v>
      </c>
      <c r="V1578" s="479">
        <f t="shared" si="118"/>
        <v>716896.16126469139</v>
      </c>
      <c r="W1578" s="559"/>
      <c r="X1578" s="559"/>
    </row>
    <row r="1579" spans="1:24" x14ac:dyDescent="0.25">
      <c r="A1579" s="553">
        <f t="shared" si="117"/>
        <v>714034.96277211094</v>
      </c>
      <c r="B1579" s="3">
        <f t="shared" si="119"/>
        <v>4.2999999999999927</v>
      </c>
      <c r="C1579" s="553">
        <f>'Foglio deposito bis'!$E$159/sezione!$B$247*B1579</f>
        <v>17.456369932080747</v>
      </c>
      <c r="D1579" s="611">
        <f>-'Progetto del paramento slu'!$G$47*'Progetto del paramento slu'!$G$41*IF(DATI!$G$218="dx",DATI!$E$61,DATI!$E$64*DATI!$E$63)*1000*C1579^2*sezione!$AD$5*(1-sezione!$AD$6)</f>
        <v>-2508494.9019909697</v>
      </c>
      <c r="E1579" s="553">
        <f>-'Foglio deposito bis'!$F$68*(C1579-sezione!$AL$33)*IF(ABS(K1579)&lt;'Progetto del paramento slu'!$G$58,ABS(K1579)*'Progetto del paramento slu'!$G$54,'Progetto del paramento slu'!$G$53)</f>
        <v>0</v>
      </c>
      <c r="F1579" s="553">
        <f>-'Foglio deposito bis'!$F$69*(C1579-sezione!$AM$33)*IF(ABS(L1579)&lt;'Progetto del paramento slu'!$G$58,ABS(L1579)*'Progetto del paramento slu'!$G$54,'Progetto del paramento slu'!$G$53)</f>
        <v>20367298.100616768</v>
      </c>
      <c r="G1579" s="553">
        <f>-'Foglio deposito bis'!$F$70*(C1579-sezione!$AN$33)*IF(ABS(M1579)&lt;'Progetto del paramento slu'!$G$58,ABS(M1579)*'Progetto del paramento slu'!$G$54,'Progetto del paramento slu'!$G$53)</f>
        <v>0</v>
      </c>
      <c r="H1579" s="553">
        <f>-'Foglio deposito bis'!$F$71*(C1579-sezione!$AO$33)*IF(ABS(N1579)&lt;'Progetto del paramento slu'!$G$58,ABS(N1579)*'Progetto del paramento slu'!$G$54,'Progetto del paramento slu'!$G$53)</f>
        <v>101506296.07682262</v>
      </c>
      <c r="I1579" s="479">
        <f>-'Foglio deposito bis'!$F$72*(C1579-sezione!$AP$33)*IF(ABS(O1579)&lt;'Progetto del paramento slu'!$G$58,ABS(O1579)*'Progetto del paramento slu'!$G$54,'Progetto del paramento slu'!$G$53)</f>
        <v>119268327.23074397</v>
      </c>
      <c r="J1579" s="479">
        <f t="shared" si="116"/>
        <v>238633426.50619239</v>
      </c>
      <c r="K1579" s="558">
        <f>'Progetto del paramento slu'!$G$60*(sezione!$AL$33-C1579)/C1579</f>
        <v>4.5199950244358975E-3</v>
      </c>
      <c r="L1579" s="558">
        <f>'Progetto del paramento slu'!$G$60*(sezione!$AM$33-C1579)/C1579</f>
        <v>2.6574981341634614E-2</v>
      </c>
      <c r="M1579" s="559">
        <f>'Progetto del paramento slu'!$G$60*(sezione!$AN$33-C1579)/C1579</f>
        <v>4.8629967658833331E-2</v>
      </c>
      <c r="N1579" s="559">
        <f>'Progetto del paramento slu'!$G$60*(sezione!$AO$33-C1579)/C1579</f>
        <v>6.4669957707705131E-2</v>
      </c>
      <c r="O1579" s="559">
        <f>'Progetto del paramento slu'!$G$60*(sezione!$AP$33-C1579)/C1579</f>
        <v>4.8631167766261842E-2</v>
      </c>
      <c r="P1579" s="553">
        <f>-'Progetto del paramento slu'!$G$47*'Progetto del paramento slu'!$G$41*IF(DATI!$G$218="dx",DATI!$E$61,DATI!$E$64*DATI!$E$63)*1000*C1579*sezione!$AD$5</f>
        <v>-246063.07036191769</v>
      </c>
      <c r="Q1579" s="553">
        <f>'Foglio deposito bis'!$F$68*IF(ABS(K1579)&lt;'Progetto del paramento slu'!$G$58,ABS(K1579)*'Progetto del paramento slu'!$G$54,'Progetto del paramento slu'!$G$53)*IF(K1579&lt;0,-1,1)</f>
        <v>0</v>
      </c>
      <c r="R1579" s="553">
        <f>'Foglio deposito bis'!$F$69*IF(ABS(L1579)&lt;'Progetto del paramento slu'!$G$58,ABS(L1579)*'Progetto del paramento slu'!$G$54,'Progetto del paramento slu'!$G$53)*IF(L1579&lt;0,-1,1)</f>
        <v>153664.85805602249</v>
      </c>
      <c r="S1579" s="553">
        <f>'Foglio deposito bis'!$F$70*IF(ABS(M1579)&lt;'Progetto del paramento slu'!$G$58,ABS(M1579)*'Progetto del paramento slu'!$G$54,'Progetto del paramento slu'!$G$53)*IF(M1579&lt;0,-1,1)</f>
        <v>0</v>
      </c>
      <c r="T1579" s="553">
        <f>'Foglio deposito bis'!$F$71*IF(ABS(N1579)&lt;'Progetto del paramento slu'!$G$58,ABS(N1579)*'Progetto del paramento slu'!$G$54,'Progetto del paramento slu'!$G$53)*IF(N1579&lt;0,-1,1)</f>
        <v>314705.62929873407</v>
      </c>
      <c r="U1579" s="553">
        <f>'Foglio deposito bis'!$F$72*IF(ABS(O1579)&lt;'Progetto del paramento slu'!$G$58,ABS(O1579)*'Progetto del paramento slu'!$G$54,'Progetto del paramento slu'!$G$53)*IF(O1579&lt;0,-1,1)</f>
        <v>491727.54577927204</v>
      </c>
      <c r="V1579" s="479">
        <f t="shared" si="118"/>
        <v>714034.96277211094</v>
      </c>
      <c r="W1579" s="559"/>
      <c r="X1579" s="559"/>
    </row>
    <row r="1580" spans="1:24" x14ac:dyDescent="0.25">
      <c r="A1580" s="553">
        <f t="shared" si="117"/>
        <v>711173.7642795305</v>
      </c>
      <c r="B1580" s="3">
        <f t="shared" si="119"/>
        <v>4.3499999999999925</v>
      </c>
      <c r="C1580" s="553">
        <f>'Foglio deposito bis'!$E$159/sezione!$B$247*B1580</f>
        <v>17.659350977802614</v>
      </c>
      <c r="D1580" s="611">
        <f>-'Progetto del paramento slu'!$G$47*'Progetto del paramento slu'!$G$41*IF(DATI!$G$218="dx",DATI!$E$61,DATI!$E$64*DATI!$E$63)*1000*C1580^2*sezione!$AD$5*(1-sezione!$AD$6)</f>
        <v>-2567171.161867178</v>
      </c>
      <c r="E1580" s="553">
        <f>-'Foglio deposito bis'!$F$68*(C1580-sezione!$AL$33)*IF(ABS(K1580)&lt;'Progetto del paramento slu'!$G$58,ABS(K1580)*'Progetto del paramento slu'!$G$54,'Progetto del paramento slu'!$G$53)</f>
        <v>0</v>
      </c>
      <c r="F1580" s="553">
        <f>-'Foglio deposito bis'!$F$69*(C1580-sezione!$AM$33)*IF(ABS(L1580)&lt;'Progetto del paramento slu'!$G$58,ABS(L1580)*'Progetto del paramento slu'!$G$54,'Progetto del paramento slu'!$G$53)</f>
        <v>20336107.047037855</v>
      </c>
      <c r="G1580" s="553">
        <f>-'Foglio deposito bis'!$F$70*(C1580-sezione!$AN$33)*IF(ABS(M1580)&lt;'Progetto del paramento slu'!$G$58,ABS(M1580)*'Progetto del paramento slu'!$G$54,'Progetto del paramento slu'!$G$53)</f>
        <v>0</v>
      </c>
      <c r="H1580" s="553">
        <f>-'Foglio deposito bis'!$F$71*(C1580-sezione!$AO$33)*IF(ABS(N1580)&lt;'Progetto del paramento slu'!$G$58,ABS(N1580)*'Progetto del paramento slu'!$G$54,'Progetto del paramento slu'!$G$53)</f>
        <v>101442416.79909301</v>
      </c>
      <c r="I1580" s="479">
        <f>-'Foglio deposito bis'!$F$72*(C1580-sezione!$AP$33)*IF(ABS(O1580)&lt;'Progetto del paramento slu'!$G$58,ABS(O1580)*'Progetto del paramento slu'!$G$54,'Progetto del paramento slu'!$G$53)</f>
        <v>119168515.85929143</v>
      </c>
      <c r="J1580" s="479">
        <f t="shared" si="116"/>
        <v>238379868.54355511</v>
      </c>
      <c r="K1580" s="558">
        <f>'Progetto del paramento slu'!$G$60*(sezione!$AL$33-C1580)/C1580</f>
        <v>4.4278111735803136E-3</v>
      </c>
      <c r="L1580" s="558">
        <f>'Progetto del paramento slu'!$G$60*(sezione!$AM$33-C1580)/C1580</f>
        <v>2.6229291900926179E-2</v>
      </c>
      <c r="M1580" s="559">
        <f>'Progetto del paramento slu'!$G$60*(sezione!$AN$33-C1580)/C1580</f>
        <v>4.8030772628272045E-2</v>
      </c>
      <c r="N1580" s="559">
        <f>'Progetto del paramento slu'!$G$60*(sezione!$AO$33-C1580)/C1580</f>
        <v>6.3886394975432664E-2</v>
      </c>
      <c r="O1580" s="559">
        <f>'Progetto del paramento slu'!$G$60*(sezione!$AP$33-C1580)/C1580</f>
        <v>4.8031958941362286E-2</v>
      </c>
      <c r="P1580" s="553">
        <f>-'Progetto del paramento slu'!$G$47*'Progetto del paramento slu'!$G$41*IF(DATI!$G$218="dx",DATI!$E$61,DATI!$E$64*DATI!$E$63)*1000*C1580*sezione!$AD$5</f>
        <v>-248924.26885449811</v>
      </c>
      <c r="Q1580" s="553">
        <f>'Foglio deposito bis'!$F$68*IF(ABS(K1580)&lt;'Progetto del paramento slu'!$G$58,ABS(K1580)*'Progetto del paramento slu'!$G$54,'Progetto del paramento slu'!$G$53)*IF(K1580&lt;0,-1,1)</f>
        <v>0</v>
      </c>
      <c r="R1580" s="553">
        <f>'Foglio deposito bis'!$F$69*IF(ABS(L1580)&lt;'Progetto del paramento slu'!$G$58,ABS(L1580)*'Progetto del paramento slu'!$G$54,'Progetto del paramento slu'!$G$53)*IF(L1580&lt;0,-1,1)</f>
        <v>153664.85805602249</v>
      </c>
      <c r="S1580" s="553">
        <f>'Foglio deposito bis'!$F$70*IF(ABS(M1580)&lt;'Progetto del paramento slu'!$G$58,ABS(M1580)*'Progetto del paramento slu'!$G$54,'Progetto del paramento slu'!$G$53)*IF(M1580&lt;0,-1,1)</f>
        <v>0</v>
      </c>
      <c r="T1580" s="553">
        <f>'Foglio deposito bis'!$F$71*IF(ABS(N1580)&lt;'Progetto del paramento slu'!$G$58,ABS(N1580)*'Progetto del paramento slu'!$G$54,'Progetto del paramento slu'!$G$53)*IF(N1580&lt;0,-1,1)</f>
        <v>314705.62929873407</v>
      </c>
      <c r="U1580" s="553">
        <f>'Foglio deposito bis'!$F$72*IF(ABS(O1580)&lt;'Progetto del paramento slu'!$G$58,ABS(O1580)*'Progetto del paramento slu'!$G$54,'Progetto del paramento slu'!$G$53)*IF(O1580&lt;0,-1,1)</f>
        <v>491727.54577927204</v>
      </c>
      <c r="V1580" s="479">
        <f t="shared" si="118"/>
        <v>711173.7642795305</v>
      </c>
      <c r="W1580" s="559"/>
      <c r="X1580" s="559"/>
    </row>
    <row r="1581" spans="1:24" x14ac:dyDescent="0.25">
      <c r="A1581" s="553">
        <f t="shared" si="117"/>
        <v>708312.56578695006</v>
      </c>
      <c r="B1581" s="3">
        <f t="shared" si="119"/>
        <v>4.3999999999999924</v>
      </c>
      <c r="C1581" s="553">
        <f>'Foglio deposito bis'!$E$159/sezione!$B$247*B1581</f>
        <v>17.862332023524484</v>
      </c>
      <c r="D1581" s="611">
        <f>-'Progetto del paramento slu'!$G$47*'Progetto del paramento slu'!$G$41*IF(DATI!$G$218="dx",DATI!$E$61,DATI!$E$64*DATI!$E$63)*1000*C1581^2*sezione!$AD$5*(1-sezione!$AD$6)</f>
        <v>-2626525.7600078508</v>
      </c>
      <c r="E1581" s="553">
        <f>-'Foglio deposito bis'!$F$68*(C1581-sezione!$AL$33)*IF(ABS(K1581)&lt;'Progetto del paramento slu'!$G$58,ABS(K1581)*'Progetto del paramento slu'!$G$54,'Progetto del paramento slu'!$G$53)</f>
        <v>0</v>
      </c>
      <c r="F1581" s="553">
        <f>-'Foglio deposito bis'!$F$69*(C1581-sezione!$AM$33)*IF(ABS(L1581)&lt;'Progetto del paramento slu'!$G$58,ABS(L1581)*'Progetto del paramento slu'!$G$54,'Progetto del paramento slu'!$G$53)</f>
        <v>20304915.993458942</v>
      </c>
      <c r="G1581" s="553">
        <f>-'Foglio deposito bis'!$F$70*(C1581-sezione!$AN$33)*IF(ABS(M1581)&lt;'Progetto del paramento slu'!$G$58,ABS(M1581)*'Progetto del paramento slu'!$G$54,'Progetto del paramento slu'!$G$53)</f>
        <v>0</v>
      </c>
      <c r="H1581" s="553">
        <f>-'Foglio deposito bis'!$F$71*(C1581-sezione!$AO$33)*IF(ABS(N1581)&lt;'Progetto del paramento slu'!$G$58,ABS(N1581)*'Progetto del paramento slu'!$G$54,'Progetto del paramento slu'!$G$53)</f>
        <v>101378537.52136341</v>
      </c>
      <c r="I1581" s="479">
        <f>-'Foglio deposito bis'!$F$72*(C1581-sezione!$AP$33)*IF(ABS(O1581)&lt;'Progetto del paramento slu'!$G$58,ABS(O1581)*'Progetto del paramento slu'!$G$54,'Progetto del paramento slu'!$G$53)</f>
        <v>119068704.48783891</v>
      </c>
      <c r="J1581" s="479">
        <f t="shared" si="116"/>
        <v>238125632.24265343</v>
      </c>
      <c r="K1581" s="558">
        <f>'Progetto del paramento slu'!$G$60*(sezione!$AL$33-C1581)/C1581</f>
        <v>4.3377224102441733E-3</v>
      </c>
      <c r="L1581" s="558">
        <f>'Progetto del paramento slu'!$G$60*(sezione!$AM$33-C1581)/C1581</f>
        <v>2.5891459038415648E-2</v>
      </c>
      <c r="M1581" s="559">
        <f>'Progetto del paramento slu'!$G$60*(sezione!$AN$33-C1581)/C1581</f>
        <v>4.7445195666587128E-2</v>
      </c>
      <c r="N1581" s="559">
        <f>'Progetto del paramento slu'!$G$60*(sezione!$AO$33-C1581)/C1581</f>
        <v>6.3120640487075469E-2</v>
      </c>
      <c r="O1581" s="559">
        <f>'Progetto del paramento slu'!$G$60*(sezione!$AP$33-C1581)/C1581</f>
        <v>4.74463684988468E-2</v>
      </c>
      <c r="P1581" s="553">
        <f>-'Progetto del paramento slu'!$G$47*'Progetto del paramento slu'!$G$41*IF(DATI!$G$218="dx",DATI!$E$61,DATI!$E$64*DATI!$E$63)*1000*C1581*sezione!$AD$5</f>
        <v>-251785.46734707852</v>
      </c>
      <c r="Q1581" s="553">
        <f>'Foglio deposito bis'!$F$68*IF(ABS(K1581)&lt;'Progetto del paramento slu'!$G$58,ABS(K1581)*'Progetto del paramento slu'!$G$54,'Progetto del paramento slu'!$G$53)*IF(K1581&lt;0,-1,1)</f>
        <v>0</v>
      </c>
      <c r="R1581" s="553">
        <f>'Foglio deposito bis'!$F$69*IF(ABS(L1581)&lt;'Progetto del paramento slu'!$G$58,ABS(L1581)*'Progetto del paramento slu'!$G$54,'Progetto del paramento slu'!$G$53)*IF(L1581&lt;0,-1,1)</f>
        <v>153664.85805602249</v>
      </c>
      <c r="S1581" s="553">
        <f>'Foglio deposito bis'!$F$70*IF(ABS(M1581)&lt;'Progetto del paramento slu'!$G$58,ABS(M1581)*'Progetto del paramento slu'!$G$54,'Progetto del paramento slu'!$G$53)*IF(M1581&lt;0,-1,1)</f>
        <v>0</v>
      </c>
      <c r="T1581" s="553">
        <f>'Foglio deposito bis'!$F$71*IF(ABS(N1581)&lt;'Progetto del paramento slu'!$G$58,ABS(N1581)*'Progetto del paramento slu'!$G$54,'Progetto del paramento slu'!$G$53)*IF(N1581&lt;0,-1,1)</f>
        <v>314705.62929873407</v>
      </c>
      <c r="U1581" s="553">
        <f>'Foglio deposito bis'!$F$72*IF(ABS(O1581)&lt;'Progetto del paramento slu'!$G$58,ABS(O1581)*'Progetto del paramento slu'!$G$54,'Progetto del paramento slu'!$G$53)*IF(O1581&lt;0,-1,1)</f>
        <v>491727.54577927204</v>
      </c>
      <c r="V1581" s="479">
        <f t="shared" si="118"/>
        <v>708312.56578695006</v>
      </c>
      <c r="W1581" s="559"/>
      <c r="X1581" s="559"/>
    </row>
    <row r="1582" spans="1:24" x14ac:dyDescent="0.25">
      <c r="A1582" s="553">
        <f t="shared" si="117"/>
        <v>705451.36729436973</v>
      </c>
      <c r="B1582" s="3">
        <f t="shared" si="119"/>
        <v>4.4499999999999922</v>
      </c>
      <c r="C1582" s="553">
        <f>'Foglio deposito bis'!$E$159/sezione!$B$247*B1582</f>
        <v>18.065313069246351</v>
      </c>
      <c r="D1582" s="611">
        <f>-'Progetto del paramento slu'!$G$47*'Progetto del paramento slu'!$G$41*IF(DATI!$G$218="dx",DATI!$E$61,DATI!$E$64*DATI!$E$63)*1000*C1582^2*sezione!$AD$5*(1-sezione!$AD$6)</f>
        <v>-2686558.696412988</v>
      </c>
      <c r="E1582" s="553">
        <f>-'Foglio deposito bis'!$F$68*(C1582-sezione!$AL$33)*IF(ABS(K1582)&lt;'Progetto del paramento slu'!$G$58,ABS(K1582)*'Progetto del paramento slu'!$G$54,'Progetto del paramento slu'!$G$53)</f>
        <v>0</v>
      </c>
      <c r="F1582" s="553">
        <f>-'Foglio deposito bis'!$F$69*(C1582-sezione!$AM$33)*IF(ABS(L1582)&lt;'Progetto del paramento slu'!$G$58,ABS(L1582)*'Progetto del paramento slu'!$G$54,'Progetto del paramento slu'!$G$53)</f>
        <v>20273724.939880025</v>
      </c>
      <c r="G1582" s="553">
        <f>-'Foglio deposito bis'!$F$70*(C1582-sezione!$AN$33)*IF(ABS(M1582)&lt;'Progetto del paramento slu'!$G$58,ABS(M1582)*'Progetto del paramento slu'!$G$54,'Progetto del paramento slu'!$G$53)</f>
        <v>0</v>
      </c>
      <c r="H1582" s="553">
        <f>-'Foglio deposito bis'!$F$71*(C1582-sezione!$AO$33)*IF(ABS(N1582)&lt;'Progetto del paramento slu'!$G$58,ABS(N1582)*'Progetto del paramento slu'!$G$54,'Progetto del paramento slu'!$G$53)</f>
        <v>101314658.24363376</v>
      </c>
      <c r="I1582" s="479">
        <f>-'Foglio deposito bis'!$F$72*(C1582-sezione!$AP$33)*IF(ABS(O1582)&lt;'Progetto del paramento slu'!$G$58,ABS(O1582)*'Progetto del paramento slu'!$G$54,'Progetto del paramento slu'!$G$53)</f>
        <v>118968893.1163864</v>
      </c>
      <c r="J1582" s="479">
        <f t="shared" si="116"/>
        <v>237870717.60348719</v>
      </c>
      <c r="K1582" s="558">
        <f>'Progetto del paramento slu'!$G$60*(sezione!$AL$33-C1582)/C1582</f>
        <v>4.2496581134998579E-3</v>
      </c>
      <c r="L1582" s="558">
        <f>'Progetto del paramento slu'!$G$60*(sezione!$AM$33-C1582)/C1582</f>
        <v>2.5561217925624467E-2</v>
      </c>
      <c r="M1582" s="559">
        <f>'Progetto del paramento slu'!$G$60*(sezione!$AN$33-C1582)/C1582</f>
        <v>4.6872777737749081E-2</v>
      </c>
      <c r="N1582" s="559">
        <f>'Progetto del paramento slu'!$G$60*(sezione!$AO$33-C1582)/C1582</f>
        <v>6.2372093964748791E-2</v>
      </c>
      <c r="O1582" s="559">
        <f>'Progetto del paramento slu'!$G$60*(sezione!$AP$33-C1582)/C1582</f>
        <v>4.6873937392118196E-2</v>
      </c>
      <c r="P1582" s="553">
        <f>-'Progetto del paramento slu'!$G$47*'Progetto del paramento slu'!$G$41*IF(DATI!$G$218="dx",DATI!$E$61,DATI!$E$64*DATI!$E$63)*1000*C1582*sezione!$AD$5</f>
        <v>-254646.66583965893</v>
      </c>
      <c r="Q1582" s="553">
        <f>'Foglio deposito bis'!$F$68*IF(ABS(K1582)&lt;'Progetto del paramento slu'!$G$58,ABS(K1582)*'Progetto del paramento slu'!$G$54,'Progetto del paramento slu'!$G$53)*IF(K1582&lt;0,-1,1)</f>
        <v>0</v>
      </c>
      <c r="R1582" s="553">
        <f>'Foglio deposito bis'!$F$69*IF(ABS(L1582)&lt;'Progetto del paramento slu'!$G$58,ABS(L1582)*'Progetto del paramento slu'!$G$54,'Progetto del paramento slu'!$G$53)*IF(L1582&lt;0,-1,1)</f>
        <v>153664.85805602249</v>
      </c>
      <c r="S1582" s="553">
        <f>'Foglio deposito bis'!$F$70*IF(ABS(M1582)&lt;'Progetto del paramento slu'!$G$58,ABS(M1582)*'Progetto del paramento slu'!$G$54,'Progetto del paramento slu'!$G$53)*IF(M1582&lt;0,-1,1)</f>
        <v>0</v>
      </c>
      <c r="T1582" s="553">
        <f>'Foglio deposito bis'!$F$71*IF(ABS(N1582)&lt;'Progetto del paramento slu'!$G$58,ABS(N1582)*'Progetto del paramento slu'!$G$54,'Progetto del paramento slu'!$G$53)*IF(N1582&lt;0,-1,1)</f>
        <v>314705.62929873407</v>
      </c>
      <c r="U1582" s="553">
        <f>'Foglio deposito bis'!$F$72*IF(ABS(O1582)&lt;'Progetto del paramento slu'!$G$58,ABS(O1582)*'Progetto del paramento slu'!$G$54,'Progetto del paramento slu'!$G$53)*IF(O1582&lt;0,-1,1)</f>
        <v>491727.54577927204</v>
      </c>
      <c r="V1582" s="479">
        <f t="shared" si="118"/>
        <v>705451.36729436973</v>
      </c>
      <c r="W1582" s="559"/>
      <c r="X1582" s="559"/>
    </row>
    <row r="1583" spans="1:24" x14ac:dyDescent="0.25">
      <c r="A1583" s="553">
        <f t="shared" si="117"/>
        <v>702590.16880178917</v>
      </c>
      <c r="B1583" s="3">
        <f t="shared" si="119"/>
        <v>4.499999999999992</v>
      </c>
      <c r="C1583" s="553">
        <f>'Foglio deposito bis'!$E$159/sezione!$B$247*B1583</f>
        <v>18.268294114968221</v>
      </c>
      <c r="D1583" s="611">
        <f>-'Progetto del paramento slu'!$G$47*'Progetto del paramento slu'!$G$41*IF(DATI!$G$218="dx",DATI!$E$61,DATI!$E$64*DATI!$E$63)*1000*C1583^2*sezione!$AD$5*(1-sezione!$AD$6)</f>
        <v>-2747269.9710825919</v>
      </c>
      <c r="E1583" s="553">
        <f>-'Foglio deposito bis'!$F$68*(C1583-sezione!$AL$33)*IF(ABS(K1583)&lt;'Progetto del paramento slu'!$G$58,ABS(K1583)*'Progetto del paramento slu'!$G$54,'Progetto del paramento slu'!$G$53)</f>
        <v>0</v>
      </c>
      <c r="F1583" s="553">
        <f>-'Foglio deposito bis'!$F$69*(C1583-sezione!$AM$33)*IF(ABS(L1583)&lt;'Progetto del paramento slu'!$G$58,ABS(L1583)*'Progetto del paramento slu'!$G$54,'Progetto del paramento slu'!$G$53)</f>
        <v>20242533.886301111</v>
      </c>
      <c r="G1583" s="553">
        <f>-'Foglio deposito bis'!$F$70*(C1583-sezione!$AN$33)*IF(ABS(M1583)&lt;'Progetto del paramento slu'!$G$58,ABS(M1583)*'Progetto del paramento slu'!$G$54,'Progetto del paramento slu'!$G$53)</f>
        <v>0</v>
      </c>
      <c r="H1583" s="553">
        <f>-'Foglio deposito bis'!$F$71*(C1583-sezione!$AO$33)*IF(ABS(N1583)&lt;'Progetto del paramento slu'!$G$58,ABS(N1583)*'Progetto del paramento slu'!$G$54,'Progetto del paramento slu'!$G$53)</f>
        <v>101250778.96590416</v>
      </c>
      <c r="I1583" s="479">
        <f>-'Foglio deposito bis'!$F$72*(C1583-sezione!$AP$33)*IF(ABS(O1583)&lt;'Progetto del paramento slu'!$G$58,ABS(O1583)*'Progetto del paramento slu'!$G$54,'Progetto del paramento slu'!$G$53)</f>
        <v>118869081.74493386</v>
      </c>
      <c r="J1583" s="479">
        <f t="shared" si="116"/>
        <v>237615124.62605655</v>
      </c>
      <c r="K1583" s="558">
        <f>'Progetto del paramento slu'!$G$60*(sezione!$AL$33-C1583)/C1583</f>
        <v>4.1635508011276367E-3</v>
      </c>
      <c r="L1583" s="558">
        <f>'Progetto del paramento slu'!$G$60*(sezione!$AM$33-C1583)/C1583</f>
        <v>2.5238315504228635E-2</v>
      </c>
      <c r="M1583" s="559">
        <f>'Progetto del paramento slu'!$G$60*(sezione!$AN$33-C1583)/C1583</f>
        <v>4.6313080207329639E-2</v>
      </c>
      <c r="N1583" s="559">
        <f>'Progetto del paramento slu'!$G$60*(sezione!$AO$33-C1583)/C1583</f>
        <v>6.1640181809584915E-2</v>
      </c>
      <c r="O1583" s="559">
        <f>'Progetto del paramento slu'!$G$60*(sezione!$AP$33-C1583)/C1583</f>
        <v>4.6314226976650205E-2</v>
      </c>
      <c r="P1583" s="553">
        <f>-'Progetto del paramento slu'!$G$47*'Progetto del paramento slu'!$G$41*IF(DATI!$G$218="dx",DATI!$E$61,DATI!$E$64*DATI!$E$63)*1000*C1583*sezione!$AD$5</f>
        <v>-257507.86433223941</v>
      </c>
      <c r="Q1583" s="553">
        <f>'Foglio deposito bis'!$F$68*IF(ABS(K1583)&lt;'Progetto del paramento slu'!$G$58,ABS(K1583)*'Progetto del paramento slu'!$G$54,'Progetto del paramento slu'!$G$53)*IF(K1583&lt;0,-1,1)</f>
        <v>0</v>
      </c>
      <c r="R1583" s="553">
        <f>'Foglio deposito bis'!$F$69*IF(ABS(L1583)&lt;'Progetto del paramento slu'!$G$58,ABS(L1583)*'Progetto del paramento slu'!$G$54,'Progetto del paramento slu'!$G$53)*IF(L1583&lt;0,-1,1)</f>
        <v>153664.85805602249</v>
      </c>
      <c r="S1583" s="553">
        <f>'Foglio deposito bis'!$F$70*IF(ABS(M1583)&lt;'Progetto del paramento slu'!$G$58,ABS(M1583)*'Progetto del paramento slu'!$G$54,'Progetto del paramento slu'!$G$53)*IF(M1583&lt;0,-1,1)</f>
        <v>0</v>
      </c>
      <c r="T1583" s="553">
        <f>'Foglio deposito bis'!$F$71*IF(ABS(N1583)&lt;'Progetto del paramento slu'!$G$58,ABS(N1583)*'Progetto del paramento slu'!$G$54,'Progetto del paramento slu'!$G$53)*IF(N1583&lt;0,-1,1)</f>
        <v>314705.62929873407</v>
      </c>
      <c r="U1583" s="553">
        <f>'Foglio deposito bis'!$F$72*IF(ABS(O1583)&lt;'Progetto del paramento slu'!$G$58,ABS(O1583)*'Progetto del paramento slu'!$G$54,'Progetto del paramento slu'!$G$53)*IF(O1583&lt;0,-1,1)</f>
        <v>491727.54577927204</v>
      </c>
      <c r="V1583" s="479">
        <f t="shared" si="118"/>
        <v>702590.16880178917</v>
      </c>
      <c r="W1583" s="559"/>
      <c r="X1583" s="559"/>
    </row>
    <row r="1584" spans="1:24" x14ac:dyDescent="0.25">
      <c r="A1584" s="553">
        <f t="shared" si="117"/>
        <v>699728.97030920885</v>
      </c>
      <c r="B1584" s="3">
        <f t="shared" si="119"/>
        <v>4.5499999999999918</v>
      </c>
      <c r="C1584" s="553">
        <f>'Foglio deposito bis'!$E$159/sezione!$B$247*B1584</f>
        <v>18.471275160690091</v>
      </c>
      <c r="D1584" s="611">
        <f>-'Progetto del paramento slu'!$G$47*'Progetto del paramento slu'!$G$41*IF(DATI!$G$218="dx",DATI!$E$61,DATI!$E$64*DATI!$E$63)*1000*C1584^2*sezione!$AD$5*(1-sezione!$AD$6)</f>
        <v>-2808659.5840166598</v>
      </c>
      <c r="E1584" s="553">
        <f>-'Foglio deposito bis'!$F$68*(C1584-sezione!$AL$33)*IF(ABS(K1584)&lt;'Progetto del paramento slu'!$G$58,ABS(K1584)*'Progetto del paramento slu'!$G$54,'Progetto del paramento slu'!$G$53)</f>
        <v>0</v>
      </c>
      <c r="F1584" s="553">
        <f>-'Foglio deposito bis'!$F$69*(C1584-sezione!$AM$33)*IF(ABS(L1584)&lt;'Progetto del paramento slu'!$G$58,ABS(L1584)*'Progetto del paramento slu'!$G$54,'Progetto del paramento slu'!$G$53)</f>
        <v>20211342.832722198</v>
      </c>
      <c r="G1584" s="553">
        <f>-'Foglio deposito bis'!$F$70*(C1584-sezione!$AN$33)*IF(ABS(M1584)&lt;'Progetto del paramento slu'!$G$58,ABS(M1584)*'Progetto del paramento slu'!$G$54,'Progetto del paramento slu'!$G$53)</f>
        <v>0</v>
      </c>
      <c r="H1584" s="553">
        <f>-'Foglio deposito bis'!$F$71*(C1584-sezione!$AO$33)*IF(ABS(N1584)&lt;'Progetto del paramento slu'!$G$58,ABS(N1584)*'Progetto del paramento slu'!$G$54,'Progetto del paramento slu'!$G$53)</f>
        <v>101186899.68817455</v>
      </c>
      <c r="I1584" s="479">
        <f>-'Foglio deposito bis'!$F$72*(C1584-sezione!$AP$33)*IF(ABS(O1584)&lt;'Progetto del paramento slu'!$G$58,ABS(O1584)*'Progetto del paramento slu'!$G$54,'Progetto del paramento slu'!$G$53)</f>
        <v>118769270.37348135</v>
      </c>
      <c r="J1584" s="479">
        <f t="shared" si="116"/>
        <v>237358853.31036144</v>
      </c>
      <c r="K1584" s="558">
        <f>'Progetto del paramento slu'!$G$60*(sezione!$AL$33-C1584)/C1584</f>
        <v>4.0793359571592008E-3</v>
      </c>
      <c r="L1584" s="558">
        <f>'Progetto del paramento slu'!$G$60*(sezione!$AM$33-C1584)/C1584</f>
        <v>2.4922509839347004E-2</v>
      </c>
      <c r="M1584" s="559">
        <f>'Progetto del paramento slu'!$G$60*(sezione!$AN$33-C1584)/C1584</f>
        <v>4.5765683721534813E-2</v>
      </c>
      <c r="N1584" s="559">
        <f>'Progetto del paramento slu'!$G$60*(sezione!$AO$33-C1584)/C1584</f>
        <v>6.092435563585321E-2</v>
      </c>
      <c r="O1584" s="559">
        <f>'Progetto del paramento slu'!$G$60*(sezione!$AP$33-C1584)/C1584</f>
        <v>4.5766817888994712E-2</v>
      </c>
      <c r="P1584" s="553">
        <f>-'Progetto del paramento slu'!$G$47*'Progetto del paramento slu'!$G$41*IF(DATI!$G$218="dx",DATI!$E$61,DATI!$E$64*DATI!$E$63)*1000*C1584*sezione!$AD$5</f>
        <v>-260369.06282481982</v>
      </c>
      <c r="Q1584" s="553">
        <f>'Foglio deposito bis'!$F$68*IF(ABS(K1584)&lt;'Progetto del paramento slu'!$G$58,ABS(K1584)*'Progetto del paramento slu'!$G$54,'Progetto del paramento slu'!$G$53)*IF(K1584&lt;0,-1,1)</f>
        <v>0</v>
      </c>
      <c r="R1584" s="553">
        <f>'Foglio deposito bis'!$F$69*IF(ABS(L1584)&lt;'Progetto del paramento slu'!$G$58,ABS(L1584)*'Progetto del paramento slu'!$G$54,'Progetto del paramento slu'!$G$53)*IF(L1584&lt;0,-1,1)</f>
        <v>153664.85805602249</v>
      </c>
      <c r="S1584" s="553">
        <f>'Foglio deposito bis'!$F$70*IF(ABS(M1584)&lt;'Progetto del paramento slu'!$G$58,ABS(M1584)*'Progetto del paramento slu'!$G$54,'Progetto del paramento slu'!$G$53)*IF(M1584&lt;0,-1,1)</f>
        <v>0</v>
      </c>
      <c r="T1584" s="553">
        <f>'Foglio deposito bis'!$F$71*IF(ABS(N1584)&lt;'Progetto del paramento slu'!$G$58,ABS(N1584)*'Progetto del paramento slu'!$G$54,'Progetto del paramento slu'!$G$53)*IF(N1584&lt;0,-1,1)</f>
        <v>314705.62929873407</v>
      </c>
      <c r="U1584" s="553">
        <f>'Foglio deposito bis'!$F$72*IF(ABS(O1584)&lt;'Progetto del paramento slu'!$G$58,ABS(O1584)*'Progetto del paramento slu'!$G$54,'Progetto del paramento slu'!$G$53)*IF(O1584&lt;0,-1,1)</f>
        <v>491727.54577927204</v>
      </c>
      <c r="V1584" s="479">
        <f t="shared" si="118"/>
        <v>699728.97030920885</v>
      </c>
      <c r="W1584" s="559"/>
      <c r="X1584" s="559"/>
    </row>
    <row r="1585" spans="1:24" x14ac:dyDescent="0.25">
      <c r="A1585" s="553">
        <f t="shared" si="117"/>
        <v>696867.77181662829</v>
      </c>
      <c r="B1585" s="3">
        <f t="shared" si="119"/>
        <v>4.5999999999999917</v>
      </c>
      <c r="C1585" s="553">
        <f>'Foglio deposito bis'!$E$159/sezione!$B$247*B1585</f>
        <v>18.674256206411957</v>
      </c>
      <c r="D1585" s="611">
        <f>-'Progetto del paramento slu'!$G$47*'Progetto del paramento slu'!$G$41*IF(DATI!$G$218="dx",DATI!$E$61,DATI!$E$64*DATI!$E$63)*1000*C1585^2*sezione!$AD$5*(1-sezione!$AD$6)</f>
        <v>-2870727.535215192</v>
      </c>
      <c r="E1585" s="553">
        <f>-'Foglio deposito bis'!$F$68*(C1585-sezione!$AL$33)*IF(ABS(K1585)&lt;'Progetto del paramento slu'!$G$58,ABS(K1585)*'Progetto del paramento slu'!$G$54,'Progetto del paramento slu'!$G$53)</f>
        <v>0</v>
      </c>
      <c r="F1585" s="553">
        <f>-'Foglio deposito bis'!$F$69*(C1585-sezione!$AM$33)*IF(ABS(L1585)&lt;'Progetto del paramento slu'!$G$58,ABS(L1585)*'Progetto del paramento slu'!$G$54,'Progetto del paramento slu'!$G$53)</f>
        <v>20180151.779143285</v>
      </c>
      <c r="G1585" s="553">
        <f>-'Foglio deposito bis'!$F$70*(C1585-sezione!$AN$33)*IF(ABS(M1585)&lt;'Progetto del paramento slu'!$G$58,ABS(M1585)*'Progetto del paramento slu'!$G$54,'Progetto del paramento slu'!$G$53)</f>
        <v>0</v>
      </c>
      <c r="H1585" s="553">
        <f>-'Foglio deposito bis'!$F$71*(C1585-sezione!$AO$33)*IF(ABS(N1585)&lt;'Progetto del paramento slu'!$G$58,ABS(N1585)*'Progetto del paramento slu'!$G$54,'Progetto del paramento slu'!$G$53)</f>
        <v>101123020.41044493</v>
      </c>
      <c r="I1585" s="479">
        <f>-'Foglio deposito bis'!$F$72*(C1585-sezione!$AP$33)*IF(ABS(O1585)&lt;'Progetto del paramento slu'!$G$58,ABS(O1585)*'Progetto del paramento slu'!$G$54,'Progetto del paramento slu'!$G$53)</f>
        <v>118669459.00202881</v>
      </c>
      <c r="J1585" s="479">
        <f t="shared" si="116"/>
        <v>237101903.65640181</v>
      </c>
      <c r="K1585" s="558">
        <f>'Progetto del paramento slu'!$G$60*(sezione!$AL$33-C1585)/C1585</f>
        <v>3.9969518706683416E-3</v>
      </c>
      <c r="L1585" s="558">
        <f>'Progetto del paramento slu'!$G$60*(sezione!$AM$33-C1585)/C1585</f>
        <v>2.4613569515006276E-2</v>
      </c>
      <c r="M1585" s="559">
        <f>'Progetto del paramento slu'!$G$60*(sezione!$AN$33-C1585)/C1585</f>
        <v>4.5230187159344216E-2</v>
      </c>
      <c r="N1585" s="559">
        <f>'Progetto del paramento slu'!$G$60*(sezione!$AO$33-C1585)/C1585</f>
        <v>6.0224090900680899E-2</v>
      </c>
      <c r="O1585" s="559">
        <f>'Progetto del paramento slu'!$G$60*(sezione!$AP$33-C1585)/C1585</f>
        <v>4.5231308998896942E-2</v>
      </c>
      <c r="P1585" s="553">
        <f>-'Progetto del paramento slu'!$G$47*'Progetto del paramento slu'!$G$41*IF(DATI!$G$218="dx",DATI!$E$61,DATI!$E$64*DATI!$E$63)*1000*C1585*sezione!$AD$5</f>
        <v>-263230.26131740026</v>
      </c>
      <c r="Q1585" s="553">
        <f>'Foglio deposito bis'!$F$68*IF(ABS(K1585)&lt;'Progetto del paramento slu'!$G$58,ABS(K1585)*'Progetto del paramento slu'!$G$54,'Progetto del paramento slu'!$G$53)*IF(K1585&lt;0,-1,1)</f>
        <v>0</v>
      </c>
      <c r="R1585" s="553">
        <f>'Foglio deposito bis'!$F$69*IF(ABS(L1585)&lt;'Progetto del paramento slu'!$G$58,ABS(L1585)*'Progetto del paramento slu'!$G$54,'Progetto del paramento slu'!$G$53)*IF(L1585&lt;0,-1,1)</f>
        <v>153664.85805602249</v>
      </c>
      <c r="S1585" s="553">
        <f>'Foglio deposito bis'!$F$70*IF(ABS(M1585)&lt;'Progetto del paramento slu'!$G$58,ABS(M1585)*'Progetto del paramento slu'!$G$54,'Progetto del paramento slu'!$G$53)*IF(M1585&lt;0,-1,1)</f>
        <v>0</v>
      </c>
      <c r="T1585" s="553">
        <f>'Foglio deposito bis'!$F$71*IF(ABS(N1585)&lt;'Progetto del paramento slu'!$G$58,ABS(N1585)*'Progetto del paramento slu'!$G$54,'Progetto del paramento slu'!$G$53)*IF(N1585&lt;0,-1,1)</f>
        <v>314705.62929873407</v>
      </c>
      <c r="U1585" s="553">
        <f>'Foglio deposito bis'!$F$72*IF(ABS(O1585)&lt;'Progetto del paramento slu'!$G$58,ABS(O1585)*'Progetto del paramento slu'!$G$54,'Progetto del paramento slu'!$G$53)*IF(O1585&lt;0,-1,1)</f>
        <v>491727.54577927204</v>
      </c>
      <c r="V1585" s="479">
        <f t="shared" si="118"/>
        <v>696867.77181662829</v>
      </c>
      <c r="W1585" s="559"/>
      <c r="X1585" s="559"/>
    </row>
    <row r="1586" spans="1:24" x14ac:dyDescent="0.25">
      <c r="A1586" s="553">
        <f t="shared" si="117"/>
        <v>694006.57332404796</v>
      </c>
      <c r="B1586" s="3">
        <f t="shared" si="119"/>
        <v>4.6499999999999915</v>
      </c>
      <c r="C1586" s="553">
        <f>'Foglio deposito bis'!$E$159/sezione!$B$247*B1586</f>
        <v>18.877237252133828</v>
      </c>
      <c r="D1586" s="611">
        <f>-'Progetto del paramento slu'!$G$47*'Progetto del paramento slu'!$G$41*IF(DATI!$G$218="dx",DATI!$E$61,DATI!$E$64*DATI!$E$63)*1000*C1586^2*sezione!$AD$5*(1-sezione!$AD$6)</f>
        <v>-2933473.8246781896</v>
      </c>
      <c r="E1586" s="553">
        <f>-'Foglio deposito bis'!$F$68*(C1586-sezione!$AL$33)*IF(ABS(K1586)&lt;'Progetto del paramento slu'!$G$58,ABS(K1586)*'Progetto del paramento slu'!$G$54,'Progetto del paramento slu'!$G$53)</f>
        <v>0</v>
      </c>
      <c r="F1586" s="553">
        <f>-'Foglio deposito bis'!$F$69*(C1586-sezione!$AM$33)*IF(ABS(L1586)&lt;'Progetto del paramento slu'!$G$58,ABS(L1586)*'Progetto del paramento slu'!$G$54,'Progetto del paramento slu'!$G$53)</f>
        <v>20148960.725564368</v>
      </c>
      <c r="G1586" s="553">
        <f>-'Foglio deposito bis'!$F$70*(C1586-sezione!$AN$33)*IF(ABS(M1586)&lt;'Progetto del paramento slu'!$G$58,ABS(M1586)*'Progetto del paramento slu'!$G$54,'Progetto del paramento slu'!$G$53)</f>
        <v>0</v>
      </c>
      <c r="H1586" s="553">
        <f>-'Foglio deposito bis'!$F$71*(C1586-sezione!$AO$33)*IF(ABS(N1586)&lt;'Progetto del paramento slu'!$G$58,ABS(N1586)*'Progetto del paramento slu'!$G$54,'Progetto del paramento slu'!$G$53)</f>
        <v>101059141.1327153</v>
      </c>
      <c r="I1586" s="479">
        <f>-'Foglio deposito bis'!$F$72*(C1586-sezione!$AP$33)*IF(ABS(O1586)&lt;'Progetto del paramento slu'!$G$58,ABS(O1586)*'Progetto del paramento slu'!$G$54,'Progetto del paramento slu'!$G$53)</f>
        <v>118569647.6305763</v>
      </c>
      <c r="J1586" s="479">
        <f t="shared" si="116"/>
        <v>236844275.66417778</v>
      </c>
      <c r="K1586" s="558">
        <f>'Progetto del paramento slu'!$G$60*(sezione!$AL$33-C1586)/C1586</f>
        <v>3.9163394849622288E-3</v>
      </c>
      <c r="L1586" s="558">
        <f>'Progetto del paramento slu'!$G$60*(sezione!$AM$33-C1586)/C1586</f>
        <v>2.431127306860836E-2</v>
      </c>
      <c r="M1586" s="559">
        <f>'Progetto del paramento slu'!$G$60*(sezione!$AN$33-C1586)/C1586</f>
        <v>4.4706206652254492E-2</v>
      </c>
      <c r="N1586" s="559">
        <f>'Progetto del paramento slu'!$G$60*(sezione!$AO$33-C1586)/C1586</f>
        <v>5.9538885622178947E-2</v>
      </c>
      <c r="O1586" s="559">
        <f>'Progetto del paramento slu'!$G$60*(sezione!$AP$33-C1586)/C1586</f>
        <v>4.4707316429016333E-2</v>
      </c>
      <c r="P1586" s="553">
        <f>-'Progetto del paramento slu'!$G$47*'Progetto del paramento slu'!$G$41*IF(DATI!$G$218="dx",DATI!$E$61,DATI!$E$64*DATI!$E$63)*1000*C1586*sezione!$AD$5</f>
        <v>-266091.4598099807</v>
      </c>
      <c r="Q1586" s="553">
        <f>'Foglio deposito bis'!$F$68*IF(ABS(K1586)&lt;'Progetto del paramento slu'!$G$58,ABS(K1586)*'Progetto del paramento slu'!$G$54,'Progetto del paramento slu'!$G$53)*IF(K1586&lt;0,-1,1)</f>
        <v>0</v>
      </c>
      <c r="R1586" s="553">
        <f>'Foglio deposito bis'!$F$69*IF(ABS(L1586)&lt;'Progetto del paramento slu'!$G$58,ABS(L1586)*'Progetto del paramento slu'!$G$54,'Progetto del paramento slu'!$G$53)*IF(L1586&lt;0,-1,1)</f>
        <v>153664.85805602249</v>
      </c>
      <c r="S1586" s="553">
        <f>'Foglio deposito bis'!$F$70*IF(ABS(M1586)&lt;'Progetto del paramento slu'!$G$58,ABS(M1586)*'Progetto del paramento slu'!$G$54,'Progetto del paramento slu'!$G$53)*IF(M1586&lt;0,-1,1)</f>
        <v>0</v>
      </c>
      <c r="T1586" s="553">
        <f>'Foglio deposito bis'!$F$71*IF(ABS(N1586)&lt;'Progetto del paramento slu'!$G$58,ABS(N1586)*'Progetto del paramento slu'!$G$54,'Progetto del paramento slu'!$G$53)*IF(N1586&lt;0,-1,1)</f>
        <v>314705.62929873407</v>
      </c>
      <c r="U1586" s="553">
        <f>'Foglio deposito bis'!$F$72*IF(ABS(O1586)&lt;'Progetto del paramento slu'!$G$58,ABS(O1586)*'Progetto del paramento slu'!$G$54,'Progetto del paramento slu'!$G$53)*IF(O1586&lt;0,-1,1)</f>
        <v>491727.54577927204</v>
      </c>
      <c r="V1586" s="479">
        <f t="shared" si="118"/>
        <v>694006.57332404796</v>
      </c>
      <c r="W1586" s="559"/>
      <c r="X1586" s="559"/>
    </row>
    <row r="1587" spans="1:24" x14ac:dyDescent="0.25">
      <c r="A1587" s="553">
        <f t="shared" si="117"/>
        <v>691145.37483146752</v>
      </c>
      <c r="B1587" s="3">
        <f t="shared" si="119"/>
        <v>4.6999999999999913</v>
      </c>
      <c r="C1587" s="553">
        <f>'Foglio deposito bis'!$E$159/sezione!$B$247*B1587</f>
        <v>19.080218297855694</v>
      </c>
      <c r="D1587" s="611">
        <f>-'Progetto del paramento slu'!$G$47*'Progetto del paramento slu'!$G$41*IF(DATI!$G$218="dx",DATI!$E$61,DATI!$E$64*DATI!$E$63)*1000*C1587^2*sezione!$AD$5*(1-sezione!$AD$6)</f>
        <v>-2996898.4524056506</v>
      </c>
      <c r="E1587" s="553">
        <f>-'Foglio deposito bis'!$F$68*(C1587-sezione!$AL$33)*IF(ABS(K1587)&lt;'Progetto del paramento slu'!$G$58,ABS(K1587)*'Progetto del paramento slu'!$G$54,'Progetto del paramento slu'!$G$53)</f>
        <v>0</v>
      </c>
      <c r="F1587" s="553">
        <f>-'Foglio deposito bis'!$F$69*(C1587-sezione!$AM$33)*IF(ABS(L1587)&lt;'Progetto del paramento slu'!$G$58,ABS(L1587)*'Progetto del paramento slu'!$G$54,'Progetto del paramento slu'!$G$53)</f>
        <v>20117769.671985455</v>
      </c>
      <c r="G1587" s="553">
        <f>-'Foglio deposito bis'!$F$70*(C1587-sezione!$AN$33)*IF(ABS(M1587)&lt;'Progetto del paramento slu'!$G$58,ABS(M1587)*'Progetto del paramento slu'!$G$54,'Progetto del paramento slu'!$G$53)</f>
        <v>0</v>
      </c>
      <c r="H1587" s="553">
        <f>-'Foglio deposito bis'!$F$71*(C1587-sezione!$AO$33)*IF(ABS(N1587)&lt;'Progetto del paramento slu'!$G$58,ABS(N1587)*'Progetto del paramento slu'!$G$54,'Progetto del paramento slu'!$G$53)</f>
        <v>100995261.85498568</v>
      </c>
      <c r="I1587" s="479">
        <f>-'Foglio deposito bis'!$F$72*(C1587-sezione!$AP$33)*IF(ABS(O1587)&lt;'Progetto del paramento slu'!$G$58,ABS(O1587)*'Progetto del paramento slu'!$G$54,'Progetto del paramento slu'!$G$53)</f>
        <v>118469836.25912376</v>
      </c>
      <c r="J1587" s="479">
        <f t="shared" si="116"/>
        <v>236585969.33368924</v>
      </c>
      <c r="K1587" s="558">
        <f>'Progetto del paramento slu'!$G$60*(sezione!$AL$33-C1587)/C1587</f>
        <v>3.8374422563988023E-3</v>
      </c>
      <c r="L1587" s="558">
        <f>'Progetto del paramento slu'!$G$60*(sezione!$AM$33-C1587)/C1587</f>
        <v>2.4015408461495507E-2</v>
      </c>
      <c r="M1587" s="559">
        <f>'Progetto del paramento slu'!$G$60*(sezione!$AN$33-C1587)/C1587</f>
        <v>4.4193374666592213E-2</v>
      </c>
      <c r="N1587" s="559">
        <f>'Progetto del paramento slu'!$G$60*(sezione!$AO$33-C1587)/C1587</f>
        <v>5.8868259179389822E-2</v>
      </c>
      <c r="O1587" s="559">
        <f>'Progetto del paramento slu'!$G$60*(sezione!$AP$33-C1587)/C1587</f>
        <v>4.4194472637218291E-2</v>
      </c>
      <c r="P1587" s="553">
        <f>-'Progetto del paramento slu'!$G$47*'Progetto del paramento slu'!$G$41*IF(DATI!$G$218="dx",DATI!$E$61,DATI!$E$64*DATI!$E$63)*1000*C1587*sezione!$AD$5</f>
        <v>-268952.65830256109</v>
      </c>
      <c r="Q1587" s="553">
        <f>'Foglio deposito bis'!$F$68*IF(ABS(K1587)&lt;'Progetto del paramento slu'!$G$58,ABS(K1587)*'Progetto del paramento slu'!$G$54,'Progetto del paramento slu'!$G$53)*IF(K1587&lt;0,-1,1)</f>
        <v>0</v>
      </c>
      <c r="R1587" s="553">
        <f>'Foglio deposito bis'!$F$69*IF(ABS(L1587)&lt;'Progetto del paramento slu'!$G$58,ABS(L1587)*'Progetto del paramento slu'!$G$54,'Progetto del paramento slu'!$G$53)*IF(L1587&lt;0,-1,1)</f>
        <v>153664.85805602249</v>
      </c>
      <c r="S1587" s="553">
        <f>'Foglio deposito bis'!$F$70*IF(ABS(M1587)&lt;'Progetto del paramento slu'!$G$58,ABS(M1587)*'Progetto del paramento slu'!$G$54,'Progetto del paramento slu'!$G$53)*IF(M1587&lt;0,-1,1)</f>
        <v>0</v>
      </c>
      <c r="T1587" s="553">
        <f>'Foglio deposito bis'!$F$71*IF(ABS(N1587)&lt;'Progetto del paramento slu'!$G$58,ABS(N1587)*'Progetto del paramento slu'!$G$54,'Progetto del paramento slu'!$G$53)*IF(N1587&lt;0,-1,1)</f>
        <v>314705.62929873407</v>
      </c>
      <c r="U1587" s="553">
        <f>'Foglio deposito bis'!$F$72*IF(ABS(O1587)&lt;'Progetto del paramento slu'!$G$58,ABS(O1587)*'Progetto del paramento slu'!$G$54,'Progetto del paramento slu'!$G$53)*IF(O1587&lt;0,-1,1)</f>
        <v>491727.54577927204</v>
      </c>
      <c r="V1587" s="479">
        <f t="shared" si="118"/>
        <v>691145.37483146752</v>
      </c>
      <c r="W1587" s="559"/>
      <c r="X1587" s="559"/>
    </row>
    <row r="1588" spans="1:24" x14ac:dyDescent="0.25">
      <c r="A1588" s="553">
        <f t="shared" si="117"/>
        <v>688284.17633888707</v>
      </c>
      <c r="B1588" s="3">
        <f t="shared" si="119"/>
        <v>4.7499999999999911</v>
      </c>
      <c r="C1588" s="553">
        <f>'Foglio deposito bis'!$E$159/sezione!$B$247*B1588</f>
        <v>19.283199343577564</v>
      </c>
      <c r="D1588" s="611">
        <f>-'Progetto del paramento slu'!$G$47*'Progetto del paramento slu'!$G$41*IF(DATI!$G$218="dx",DATI!$E$61,DATI!$E$64*DATI!$E$63)*1000*C1588^2*sezione!$AD$5*(1-sezione!$AD$6)</f>
        <v>-3061001.4183975784</v>
      </c>
      <c r="E1588" s="553">
        <f>-'Foglio deposito bis'!$F$68*(C1588-sezione!$AL$33)*IF(ABS(K1588)&lt;'Progetto del paramento slu'!$G$58,ABS(K1588)*'Progetto del paramento slu'!$G$54,'Progetto del paramento slu'!$G$53)</f>
        <v>0</v>
      </c>
      <c r="F1588" s="553">
        <f>-'Foglio deposito bis'!$F$69*(C1588-sezione!$AM$33)*IF(ABS(L1588)&lt;'Progetto del paramento slu'!$G$58,ABS(L1588)*'Progetto del paramento slu'!$G$54,'Progetto del paramento slu'!$G$53)</f>
        <v>20086578.618406542</v>
      </c>
      <c r="G1588" s="553">
        <f>-'Foglio deposito bis'!$F$70*(C1588-sezione!$AN$33)*IF(ABS(M1588)&lt;'Progetto del paramento slu'!$G$58,ABS(M1588)*'Progetto del paramento slu'!$G$54,'Progetto del paramento slu'!$G$53)</f>
        <v>0</v>
      </c>
      <c r="H1588" s="553">
        <f>-'Foglio deposito bis'!$F$71*(C1588-sezione!$AO$33)*IF(ABS(N1588)&lt;'Progetto del paramento slu'!$G$58,ABS(N1588)*'Progetto del paramento slu'!$G$54,'Progetto del paramento slu'!$G$53)</f>
        <v>100931382.57725607</v>
      </c>
      <c r="I1588" s="479">
        <f>-'Foglio deposito bis'!$F$72*(C1588-sezione!$AP$33)*IF(ABS(O1588)&lt;'Progetto del paramento slu'!$G$58,ABS(O1588)*'Progetto del paramento slu'!$G$54,'Progetto del paramento slu'!$G$53)</f>
        <v>118370024.88767123</v>
      </c>
      <c r="J1588" s="479">
        <f t="shared" si="116"/>
        <v>236326984.66493624</v>
      </c>
      <c r="K1588" s="558">
        <f>'Progetto del paramento slu'!$G$60*(sezione!$AL$33-C1588)/C1588</f>
        <v>3.76020602212092E-3</v>
      </c>
      <c r="L1588" s="558">
        <f>'Progetto del paramento slu'!$G$60*(sezione!$AM$33-C1588)/C1588</f>
        <v>2.3725772582953449E-2</v>
      </c>
      <c r="M1588" s="559">
        <f>'Progetto del paramento slu'!$G$60*(sezione!$AN$33-C1588)/C1588</f>
        <v>4.3691339143785979E-2</v>
      </c>
      <c r="N1588" s="559">
        <f>'Progetto del paramento slu'!$G$60*(sezione!$AO$33-C1588)/C1588</f>
        <v>5.8211751188027815E-2</v>
      </c>
      <c r="O1588" s="559">
        <f>'Progetto del paramento slu'!$G$60*(sezione!$AP$33-C1588)/C1588</f>
        <v>4.3692425556826522E-2</v>
      </c>
      <c r="P1588" s="553">
        <f>-'Progetto del paramento slu'!$G$47*'Progetto del paramento slu'!$G$41*IF(DATI!$G$218="dx",DATI!$E$61,DATI!$E$64*DATI!$E$63)*1000*C1588*sezione!$AD$5</f>
        <v>-271813.85679514153</v>
      </c>
      <c r="Q1588" s="553">
        <f>'Foglio deposito bis'!$F$68*IF(ABS(K1588)&lt;'Progetto del paramento slu'!$G$58,ABS(K1588)*'Progetto del paramento slu'!$G$54,'Progetto del paramento slu'!$G$53)*IF(K1588&lt;0,-1,1)</f>
        <v>0</v>
      </c>
      <c r="R1588" s="553">
        <f>'Foglio deposito bis'!$F$69*IF(ABS(L1588)&lt;'Progetto del paramento slu'!$G$58,ABS(L1588)*'Progetto del paramento slu'!$G$54,'Progetto del paramento slu'!$G$53)*IF(L1588&lt;0,-1,1)</f>
        <v>153664.85805602249</v>
      </c>
      <c r="S1588" s="553">
        <f>'Foglio deposito bis'!$F$70*IF(ABS(M1588)&lt;'Progetto del paramento slu'!$G$58,ABS(M1588)*'Progetto del paramento slu'!$G$54,'Progetto del paramento slu'!$G$53)*IF(M1588&lt;0,-1,1)</f>
        <v>0</v>
      </c>
      <c r="T1588" s="553">
        <f>'Foglio deposito bis'!$F$71*IF(ABS(N1588)&lt;'Progetto del paramento slu'!$G$58,ABS(N1588)*'Progetto del paramento slu'!$G$54,'Progetto del paramento slu'!$G$53)*IF(N1588&lt;0,-1,1)</f>
        <v>314705.62929873407</v>
      </c>
      <c r="U1588" s="553">
        <f>'Foglio deposito bis'!$F$72*IF(ABS(O1588)&lt;'Progetto del paramento slu'!$G$58,ABS(O1588)*'Progetto del paramento slu'!$G$54,'Progetto del paramento slu'!$G$53)*IF(O1588&lt;0,-1,1)</f>
        <v>491727.54577927204</v>
      </c>
      <c r="V1588" s="479">
        <f t="shared" si="118"/>
        <v>688284.17633888707</v>
      </c>
      <c r="W1588" s="559"/>
      <c r="X1588" s="559"/>
    </row>
    <row r="1589" spans="1:24" x14ac:dyDescent="0.25">
      <c r="A1589" s="553">
        <f t="shared" si="117"/>
        <v>685422.97784630652</v>
      </c>
      <c r="B1589" s="3">
        <f t="shared" si="119"/>
        <v>4.7999999999999909</v>
      </c>
      <c r="C1589" s="553">
        <f>'Foglio deposito bis'!$E$159/sezione!$B$247*B1589</f>
        <v>19.486180389299435</v>
      </c>
      <c r="D1589" s="611">
        <f>-'Progetto del paramento slu'!$G$47*'Progetto del paramento slu'!$G$41*IF(DATI!$G$218="dx",DATI!$E$61,DATI!$E$64*DATI!$E$63)*1000*C1589^2*sezione!$AD$5*(1-sezione!$AD$6)</f>
        <v>-3125782.7226539711</v>
      </c>
      <c r="E1589" s="553">
        <f>-'Foglio deposito bis'!$F$68*(C1589-sezione!$AL$33)*IF(ABS(K1589)&lt;'Progetto del paramento slu'!$G$58,ABS(K1589)*'Progetto del paramento slu'!$G$54,'Progetto del paramento slu'!$G$53)</f>
        <v>0</v>
      </c>
      <c r="F1589" s="553">
        <f>-'Foglio deposito bis'!$F$69*(C1589-sezione!$AM$33)*IF(ABS(L1589)&lt;'Progetto del paramento slu'!$G$58,ABS(L1589)*'Progetto del paramento slu'!$G$54,'Progetto del paramento slu'!$G$53)</f>
        <v>20055387.564827628</v>
      </c>
      <c r="G1589" s="553">
        <f>-'Foglio deposito bis'!$F$70*(C1589-sezione!$AN$33)*IF(ABS(M1589)&lt;'Progetto del paramento slu'!$G$58,ABS(M1589)*'Progetto del paramento slu'!$G$54,'Progetto del paramento slu'!$G$53)</f>
        <v>0</v>
      </c>
      <c r="H1589" s="553">
        <f>-'Foglio deposito bis'!$F$71*(C1589-sezione!$AO$33)*IF(ABS(N1589)&lt;'Progetto del paramento slu'!$G$58,ABS(N1589)*'Progetto del paramento slu'!$G$54,'Progetto del paramento slu'!$G$53)</f>
        <v>100867503.29952647</v>
      </c>
      <c r="I1589" s="479">
        <f>-'Foglio deposito bis'!$F$72*(C1589-sezione!$AP$33)*IF(ABS(O1589)&lt;'Progetto del paramento slu'!$G$58,ABS(O1589)*'Progetto del paramento slu'!$G$54,'Progetto del paramento slu'!$G$53)</f>
        <v>118270213.51621872</v>
      </c>
      <c r="J1589" s="479">
        <f t="shared" si="116"/>
        <v>236067321.65791884</v>
      </c>
      <c r="K1589" s="558">
        <f>'Progetto del paramento slu'!$G$60*(sezione!$AL$33-C1589)/C1589</f>
        <v>3.68457887605716E-3</v>
      </c>
      <c r="L1589" s="558">
        <f>'Progetto del paramento slu'!$G$60*(sezione!$AM$33-C1589)/C1589</f>
        <v>2.3442170785214354E-2</v>
      </c>
      <c r="M1589" s="559">
        <f>'Progetto del paramento slu'!$G$60*(sezione!$AN$33-C1589)/C1589</f>
        <v>4.3199762694371542E-2</v>
      </c>
      <c r="N1589" s="559">
        <f>'Progetto del paramento slu'!$G$60*(sezione!$AO$33-C1589)/C1589</f>
        <v>5.7568920446485858E-2</v>
      </c>
      <c r="O1589" s="559">
        <f>'Progetto del paramento slu'!$G$60*(sezione!$AP$33-C1589)/C1589</f>
        <v>4.3200837790609577E-2</v>
      </c>
      <c r="P1589" s="553">
        <f>-'Progetto del paramento slu'!$G$47*'Progetto del paramento slu'!$G$41*IF(DATI!$G$218="dx",DATI!$E$61,DATI!$E$64*DATI!$E$63)*1000*C1589*sezione!$AD$5</f>
        <v>-274675.05528772203</v>
      </c>
      <c r="Q1589" s="553">
        <f>'Foglio deposito bis'!$F$68*IF(ABS(K1589)&lt;'Progetto del paramento slu'!$G$58,ABS(K1589)*'Progetto del paramento slu'!$G$54,'Progetto del paramento slu'!$G$53)*IF(K1589&lt;0,-1,1)</f>
        <v>0</v>
      </c>
      <c r="R1589" s="553">
        <f>'Foglio deposito bis'!$F$69*IF(ABS(L1589)&lt;'Progetto del paramento slu'!$G$58,ABS(L1589)*'Progetto del paramento slu'!$G$54,'Progetto del paramento slu'!$G$53)*IF(L1589&lt;0,-1,1)</f>
        <v>153664.85805602249</v>
      </c>
      <c r="S1589" s="553">
        <f>'Foglio deposito bis'!$F$70*IF(ABS(M1589)&lt;'Progetto del paramento slu'!$G$58,ABS(M1589)*'Progetto del paramento slu'!$G$54,'Progetto del paramento slu'!$G$53)*IF(M1589&lt;0,-1,1)</f>
        <v>0</v>
      </c>
      <c r="T1589" s="553">
        <f>'Foglio deposito bis'!$F$71*IF(ABS(N1589)&lt;'Progetto del paramento slu'!$G$58,ABS(N1589)*'Progetto del paramento slu'!$G$54,'Progetto del paramento slu'!$G$53)*IF(N1589&lt;0,-1,1)</f>
        <v>314705.62929873407</v>
      </c>
      <c r="U1589" s="553">
        <f>'Foglio deposito bis'!$F$72*IF(ABS(O1589)&lt;'Progetto del paramento slu'!$G$58,ABS(O1589)*'Progetto del paramento slu'!$G$54,'Progetto del paramento slu'!$G$53)*IF(O1589&lt;0,-1,1)</f>
        <v>491727.54577927204</v>
      </c>
      <c r="V1589" s="479">
        <f t="shared" si="118"/>
        <v>685422.97784630652</v>
      </c>
      <c r="W1589" s="559"/>
      <c r="X1589" s="559"/>
    </row>
    <row r="1590" spans="1:24" x14ac:dyDescent="0.25">
      <c r="A1590" s="553">
        <f t="shared" si="117"/>
        <v>682561.77935372619</v>
      </c>
      <c r="B1590" s="3">
        <f t="shared" si="119"/>
        <v>4.8499999999999908</v>
      </c>
      <c r="C1590" s="553">
        <f>'Foglio deposito bis'!$E$159/sezione!$B$247*B1590</f>
        <v>19.689161435021301</v>
      </c>
      <c r="D1590" s="611">
        <f>-'Progetto del paramento slu'!$G$47*'Progetto del paramento slu'!$G$41*IF(DATI!$G$218="dx",DATI!$E$61,DATI!$E$64*DATI!$E$63)*1000*C1590^2*sezione!$AD$5*(1-sezione!$AD$6)</f>
        <v>-3191242.3651748267</v>
      </c>
      <c r="E1590" s="553">
        <f>-'Foglio deposito bis'!$F$68*(C1590-sezione!$AL$33)*IF(ABS(K1590)&lt;'Progetto del paramento slu'!$G$58,ABS(K1590)*'Progetto del paramento slu'!$G$54,'Progetto del paramento slu'!$G$53)</f>
        <v>0</v>
      </c>
      <c r="F1590" s="553">
        <f>-'Foglio deposito bis'!$F$69*(C1590-sezione!$AM$33)*IF(ABS(L1590)&lt;'Progetto del paramento slu'!$G$58,ABS(L1590)*'Progetto del paramento slu'!$G$54,'Progetto del paramento slu'!$G$53)</f>
        <v>20024196.511248711</v>
      </c>
      <c r="G1590" s="553">
        <f>-'Foglio deposito bis'!$F$70*(C1590-sezione!$AN$33)*IF(ABS(M1590)&lt;'Progetto del paramento slu'!$G$58,ABS(M1590)*'Progetto del paramento slu'!$G$54,'Progetto del paramento slu'!$G$53)</f>
        <v>0</v>
      </c>
      <c r="H1590" s="553">
        <f>-'Foglio deposito bis'!$F$71*(C1590-sezione!$AO$33)*IF(ABS(N1590)&lt;'Progetto del paramento slu'!$G$58,ABS(N1590)*'Progetto del paramento slu'!$G$54,'Progetto del paramento slu'!$G$53)</f>
        <v>100803624.02179685</v>
      </c>
      <c r="I1590" s="479">
        <f>-'Foglio deposito bis'!$F$72*(C1590-sezione!$AP$33)*IF(ABS(O1590)&lt;'Progetto del paramento slu'!$G$58,ABS(O1590)*'Progetto del paramento slu'!$G$54,'Progetto del paramento slu'!$G$53)</f>
        <v>118170402.14476618</v>
      </c>
      <c r="J1590" s="479">
        <f t="shared" si="116"/>
        <v>235806980.31263691</v>
      </c>
      <c r="K1590" s="558">
        <f>'Progetto del paramento slu'!$G$60*(sezione!$AL$33-C1590)/C1590</f>
        <v>3.610511052592654E-3</v>
      </c>
      <c r="L1590" s="558">
        <f>'Progetto del paramento slu'!$G$60*(sezione!$AM$33-C1590)/C1590</f>
        <v>2.3164416447222454E-2</v>
      </c>
      <c r="M1590" s="559">
        <f>'Progetto del paramento slu'!$G$60*(sezione!$AN$33-C1590)/C1590</f>
        <v>4.2718321841852251E-2</v>
      </c>
      <c r="N1590" s="559">
        <f>'Progetto del paramento slu'!$G$60*(sezione!$AO$33-C1590)/C1590</f>
        <v>5.693934394703757E-2</v>
      </c>
      <c r="O1590" s="559">
        <f>'Progetto del paramento slu'!$G$60*(sezione!$AP$33-C1590)/C1590</f>
        <v>4.2719385854623912E-2</v>
      </c>
      <c r="P1590" s="553">
        <f>-'Progetto del paramento slu'!$G$47*'Progetto del paramento slu'!$G$41*IF(DATI!$G$218="dx",DATI!$E$61,DATI!$E$64*DATI!$E$63)*1000*C1590*sezione!$AD$5</f>
        <v>-277536.25378030242</v>
      </c>
      <c r="Q1590" s="553">
        <f>'Foglio deposito bis'!$F$68*IF(ABS(K1590)&lt;'Progetto del paramento slu'!$G$58,ABS(K1590)*'Progetto del paramento slu'!$G$54,'Progetto del paramento slu'!$G$53)*IF(K1590&lt;0,-1,1)</f>
        <v>0</v>
      </c>
      <c r="R1590" s="553">
        <f>'Foglio deposito bis'!$F$69*IF(ABS(L1590)&lt;'Progetto del paramento slu'!$G$58,ABS(L1590)*'Progetto del paramento slu'!$G$54,'Progetto del paramento slu'!$G$53)*IF(L1590&lt;0,-1,1)</f>
        <v>153664.85805602249</v>
      </c>
      <c r="S1590" s="553">
        <f>'Foglio deposito bis'!$F$70*IF(ABS(M1590)&lt;'Progetto del paramento slu'!$G$58,ABS(M1590)*'Progetto del paramento slu'!$G$54,'Progetto del paramento slu'!$G$53)*IF(M1590&lt;0,-1,1)</f>
        <v>0</v>
      </c>
      <c r="T1590" s="553">
        <f>'Foglio deposito bis'!$F$71*IF(ABS(N1590)&lt;'Progetto del paramento slu'!$G$58,ABS(N1590)*'Progetto del paramento slu'!$G$54,'Progetto del paramento slu'!$G$53)*IF(N1590&lt;0,-1,1)</f>
        <v>314705.62929873407</v>
      </c>
      <c r="U1590" s="553">
        <f>'Foglio deposito bis'!$F$72*IF(ABS(O1590)&lt;'Progetto del paramento slu'!$G$58,ABS(O1590)*'Progetto del paramento slu'!$G$54,'Progetto del paramento slu'!$G$53)*IF(O1590&lt;0,-1,1)</f>
        <v>491727.54577927204</v>
      </c>
      <c r="V1590" s="479">
        <f t="shared" si="118"/>
        <v>682561.77935372619</v>
      </c>
      <c r="W1590" s="559"/>
      <c r="X1590" s="559"/>
    </row>
    <row r="1591" spans="1:24" x14ac:dyDescent="0.25">
      <c r="A1591" s="553">
        <f t="shared" si="117"/>
        <v>679700.58086114575</v>
      </c>
      <c r="B1591" s="3">
        <f t="shared" si="119"/>
        <v>4.8999999999999906</v>
      </c>
      <c r="C1591" s="553">
        <f>'Foglio deposito bis'!$E$159/sezione!$B$247*B1591</f>
        <v>19.892142480743171</v>
      </c>
      <c r="D1591" s="611">
        <f>-'Progetto del paramento slu'!$G$47*'Progetto del paramento slu'!$G$41*IF(DATI!$G$218="dx",DATI!$E$61,DATI!$E$64*DATI!$E$63)*1000*C1591^2*sezione!$AD$5*(1-sezione!$AD$6)</f>
        <v>-3257380.3459601486</v>
      </c>
      <c r="E1591" s="553">
        <f>-'Foglio deposito bis'!$F$68*(C1591-sezione!$AL$33)*IF(ABS(K1591)&lt;'Progetto del paramento slu'!$G$58,ABS(K1591)*'Progetto del paramento slu'!$G$54,'Progetto del paramento slu'!$G$53)</f>
        <v>0</v>
      </c>
      <c r="F1591" s="553">
        <f>-'Foglio deposito bis'!$F$69*(C1591-sezione!$AM$33)*IF(ABS(L1591)&lt;'Progetto del paramento slu'!$G$58,ABS(L1591)*'Progetto del paramento slu'!$G$54,'Progetto del paramento slu'!$G$53)</f>
        <v>19993005.457669802</v>
      </c>
      <c r="G1591" s="553">
        <f>-'Foglio deposito bis'!$F$70*(C1591-sezione!$AN$33)*IF(ABS(M1591)&lt;'Progetto del paramento slu'!$G$58,ABS(M1591)*'Progetto del paramento slu'!$G$54,'Progetto del paramento slu'!$G$53)</f>
        <v>0</v>
      </c>
      <c r="H1591" s="553">
        <f>-'Foglio deposito bis'!$F$71*(C1591-sezione!$AO$33)*IF(ABS(N1591)&lt;'Progetto del paramento slu'!$G$58,ABS(N1591)*'Progetto del paramento slu'!$G$54,'Progetto del paramento slu'!$G$53)</f>
        <v>100739744.74406722</v>
      </c>
      <c r="I1591" s="479">
        <f>-'Foglio deposito bis'!$F$72*(C1591-sezione!$AP$33)*IF(ABS(O1591)&lt;'Progetto del paramento slu'!$G$58,ABS(O1591)*'Progetto del paramento slu'!$G$54,'Progetto del paramento slu'!$G$53)</f>
        <v>118070590.77331367</v>
      </c>
      <c r="J1591" s="479">
        <f t="shared" si="116"/>
        <v>235545960.62909055</v>
      </c>
      <c r="K1591" s="558">
        <f>'Progetto del paramento slu'!$G$60*(sezione!$AL$33-C1591)/C1591</f>
        <v>3.5379548173621166E-3</v>
      </c>
      <c r="L1591" s="558">
        <f>'Progetto del paramento slu'!$G$60*(sezione!$AM$33-C1591)/C1591</f>
        <v>2.2892330565107939E-2</v>
      </c>
      <c r="M1591" s="559">
        <f>'Progetto del paramento slu'!$G$60*(sezione!$AN$33-C1591)/C1591</f>
        <v>4.2246706312853759E-2</v>
      </c>
      <c r="N1591" s="559">
        <f>'Progetto del paramento slu'!$G$60*(sezione!$AO$33-C1591)/C1591</f>
        <v>5.6322615947577988E-2</v>
      </c>
      <c r="O1591" s="559">
        <f>'Progetto del paramento slu'!$G$60*(sezione!$AP$33-C1591)/C1591</f>
        <v>4.2247759468352242E-2</v>
      </c>
      <c r="P1591" s="553">
        <f>-'Progetto del paramento slu'!$G$47*'Progetto del paramento slu'!$G$41*IF(DATI!$G$218="dx",DATI!$E$61,DATI!$E$64*DATI!$E$63)*1000*C1591*sezione!$AD$5</f>
        <v>-280397.45227288286</v>
      </c>
      <c r="Q1591" s="553">
        <f>'Foglio deposito bis'!$F$68*IF(ABS(K1591)&lt;'Progetto del paramento slu'!$G$58,ABS(K1591)*'Progetto del paramento slu'!$G$54,'Progetto del paramento slu'!$G$53)*IF(K1591&lt;0,-1,1)</f>
        <v>0</v>
      </c>
      <c r="R1591" s="553">
        <f>'Foglio deposito bis'!$F$69*IF(ABS(L1591)&lt;'Progetto del paramento slu'!$G$58,ABS(L1591)*'Progetto del paramento slu'!$G$54,'Progetto del paramento slu'!$G$53)*IF(L1591&lt;0,-1,1)</f>
        <v>153664.85805602249</v>
      </c>
      <c r="S1591" s="553">
        <f>'Foglio deposito bis'!$F$70*IF(ABS(M1591)&lt;'Progetto del paramento slu'!$G$58,ABS(M1591)*'Progetto del paramento slu'!$G$54,'Progetto del paramento slu'!$G$53)*IF(M1591&lt;0,-1,1)</f>
        <v>0</v>
      </c>
      <c r="T1591" s="553">
        <f>'Foglio deposito bis'!$F$71*IF(ABS(N1591)&lt;'Progetto del paramento slu'!$G$58,ABS(N1591)*'Progetto del paramento slu'!$G$54,'Progetto del paramento slu'!$G$53)*IF(N1591&lt;0,-1,1)</f>
        <v>314705.62929873407</v>
      </c>
      <c r="U1591" s="553">
        <f>'Foglio deposito bis'!$F$72*IF(ABS(O1591)&lt;'Progetto del paramento slu'!$G$58,ABS(O1591)*'Progetto del paramento slu'!$G$54,'Progetto del paramento slu'!$G$53)*IF(O1591&lt;0,-1,1)</f>
        <v>491727.54577927204</v>
      </c>
      <c r="V1591" s="479">
        <f t="shared" si="118"/>
        <v>679700.58086114575</v>
      </c>
      <c r="W1591" s="559"/>
      <c r="X1591" s="559"/>
    </row>
    <row r="1592" spans="1:24" x14ac:dyDescent="0.25">
      <c r="A1592" s="553">
        <f t="shared" si="117"/>
        <v>676839.3823685653</v>
      </c>
      <c r="B1592" s="3">
        <f t="shared" si="119"/>
        <v>4.9499999999999904</v>
      </c>
      <c r="C1592" s="553">
        <f>'Foglio deposito bis'!$E$159/sezione!$B$247*B1592</f>
        <v>20.095123526465038</v>
      </c>
      <c r="D1592" s="611">
        <f>-'Progetto del paramento slu'!$G$47*'Progetto del paramento slu'!$G$41*IF(DATI!$G$218="dx",DATI!$E$61,DATI!$E$64*DATI!$E$63)*1000*C1592^2*sezione!$AD$5*(1-sezione!$AD$6)</f>
        <v>-3324196.6650099349</v>
      </c>
      <c r="E1592" s="553">
        <f>-'Foglio deposito bis'!$F$68*(C1592-sezione!$AL$33)*IF(ABS(K1592)&lt;'Progetto del paramento slu'!$G$58,ABS(K1592)*'Progetto del paramento slu'!$G$54,'Progetto del paramento slu'!$G$53)</f>
        <v>0</v>
      </c>
      <c r="F1592" s="553">
        <f>-'Foglio deposito bis'!$F$69*(C1592-sezione!$AM$33)*IF(ABS(L1592)&lt;'Progetto del paramento slu'!$G$58,ABS(L1592)*'Progetto del paramento slu'!$G$54,'Progetto del paramento slu'!$G$53)</f>
        <v>19961814.404090885</v>
      </c>
      <c r="G1592" s="553">
        <f>-'Foglio deposito bis'!$F$70*(C1592-sezione!$AN$33)*IF(ABS(M1592)&lt;'Progetto del paramento slu'!$G$58,ABS(M1592)*'Progetto del paramento slu'!$G$54,'Progetto del paramento slu'!$G$53)</f>
        <v>0</v>
      </c>
      <c r="H1592" s="553">
        <f>-'Foglio deposito bis'!$F$71*(C1592-sezione!$AO$33)*IF(ABS(N1592)&lt;'Progetto del paramento slu'!$G$58,ABS(N1592)*'Progetto del paramento slu'!$G$54,'Progetto del paramento slu'!$G$53)</f>
        <v>100675865.46633761</v>
      </c>
      <c r="I1592" s="479">
        <f>-'Foglio deposito bis'!$F$72*(C1592-sezione!$AP$33)*IF(ABS(O1592)&lt;'Progetto del paramento slu'!$G$58,ABS(O1592)*'Progetto del paramento slu'!$G$54,'Progetto del paramento slu'!$G$53)</f>
        <v>117970779.40186113</v>
      </c>
      <c r="J1592" s="479">
        <f t="shared" si="116"/>
        <v>235284262.60727969</v>
      </c>
      <c r="K1592" s="558">
        <f>'Progetto del paramento slu'!$G$60*(sezione!$AL$33-C1592)/C1592</f>
        <v>3.4668643646614894E-3</v>
      </c>
      <c r="L1592" s="558">
        <f>'Progetto del paramento slu'!$G$60*(sezione!$AM$33-C1592)/C1592</f>
        <v>2.2625741367480585E-2</v>
      </c>
      <c r="M1592" s="559">
        <f>'Progetto del paramento slu'!$G$60*(sezione!$AN$33-C1592)/C1592</f>
        <v>4.1784618370299682E-2</v>
      </c>
      <c r="N1592" s="559">
        <f>'Progetto del paramento slu'!$G$60*(sezione!$AO$33-C1592)/C1592</f>
        <v>5.5718347099622659E-2</v>
      </c>
      <c r="O1592" s="559">
        <f>'Progetto del paramento slu'!$G$60*(sezione!$AP$33-C1592)/C1592</f>
        <v>4.178566088786384E-2</v>
      </c>
      <c r="P1592" s="553">
        <f>-'Progetto del paramento slu'!$G$47*'Progetto del paramento slu'!$G$41*IF(DATI!$G$218="dx",DATI!$E$61,DATI!$E$64*DATI!$E$63)*1000*C1592*sezione!$AD$5</f>
        <v>-283258.6507654633</v>
      </c>
      <c r="Q1592" s="553">
        <f>'Foglio deposito bis'!$F$68*IF(ABS(K1592)&lt;'Progetto del paramento slu'!$G$58,ABS(K1592)*'Progetto del paramento slu'!$G$54,'Progetto del paramento slu'!$G$53)*IF(K1592&lt;0,-1,1)</f>
        <v>0</v>
      </c>
      <c r="R1592" s="553">
        <f>'Foglio deposito bis'!$F$69*IF(ABS(L1592)&lt;'Progetto del paramento slu'!$G$58,ABS(L1592)*'Progetto del paramento slu'!$G$54,'Progetto del paramento slu'!$G$53)*IF(L1592&lt;0,-1,1)</f>
        <v>153664.85805602249</v>
      </c>
      <c r="S1592" s="553">
        <f>'Foglio deposito bis'!$F$70*IF(ABS(M1592)&lt;'Progetto del paramento slu'!$G$58,ABS(M1592)*'Progetto del paramento slu'!$G$54,'Progetto del paramento slu'!$G$53)*IF(M1592&lt;0,-1,1)</f>
        <v>0</v>
      </c>
      <c r="T1592" s="553">
        <f>'Foglio deposito bis'!$F$71*IF(ABS(N1592)&lt;'Progetto del paramento slu'!$G$58,ABS(N1592)*'Progetto del paramento slu'!$G$54,'Progetto del paramento slu'!$G$53)*IF(N1592&lt;0,-1,1)</f>
        <v>314705.62929873407</v>
      </c>
      <c r="U1592" s="553">
        <f>'Foglio deposito bis'!$F$72*IF(ABS(O1592)&lt;'Progetto del paramento slu'!$G$58,ABS(O1592)*'Progetto del paramento slu'!$G$54,'Progetto del paramento slu'!$G$53)*IF(O1592&lt;0,-1,1)</f>
        <v>491727.54577927204</v>
      </c>
      <c r="V1592" s="479">
        <f t="shared" si="118"/>
        <v>676839.3823685653</v>
      </c>
      <c r="W1592" s="559"/>
      <c r="X1592" s="559"/>
    </row>
    <row r="1593" spans="1:24" x14ac:dyDescent="0.25">
      <c r="A1593" s="553">
        <f t="shared" si="117"/>
        <v>673978.18387598498</v>
      </c>
      <c r="B1593" s="3">
        <f t="shared" si="119"/>
        <v>4.9999999999999902</v>
      </c>
      <c r="C1593" s="553">
        <f>'Foglio deposito bis'!$E$159/sezione!$B$247*B1593</f>
        <v>20.298104572186908</v>
      </c>
      <c r="D1593" s="611">
        <f>-'Progetto del paramento slu'!$G$47*'Progetto del paramento slu'!$G$41*IF(DATI!$G$218="dx",DATI!$E$61,DATI!$E$64*DATI!$E$63)*1000*C1593^2*sezione!$AD$5*(1-sezione!$AD$6)</f>
        <v>-3391691.3223241861</v>
      </c>
      <c r="E1593" s="553">
        <f>-'Foglio deposito bis'!$F$68*(C1593-sezione!$AL$33)*IF(ABS(K1593)&lt;'Progetto del paramento slu'!$G$58,ABS(K1593)*'Progetto del paramento slu'!$G$54,'Progetto del paramento slu'!$G$53)</f>
        <v>0</v>
      </c>
      <c r="F1593" s="553">
        <f>-'Foglio deposito bis'!$F$69*(C1593-sezione!$AM$33)*IF(ABS(L1593)&lt;'Progetto del paramento slu'!$G$58,ABS(L1593)*'Progetto del paramento slu'!$G$54,'Progetto del paramento slu'!$G$53)</f>
        <v>19930623.350511972</v>
      </c>
      <c r="G1593" s="553">
        <f>-'Foglio deposito bis'!$F$70*(C1593-sezione!$AN$33)*IF(ABS(M1593)&lt;'Progetto del paramento slu'!$G$58,ABS(M1593)*'Progetto del paramento slu'!$G$54,'Progetto del paramento slu'!$G$53)</f>
        <v>0</v>
      </c>
      <c r="H1593" s="553">
        <f>-'Foglio deposito bis'!$F$71*(C1593-sezione!$AO$33)*IF(ABS(N1593)&lt;'Progetto del paramento slu'!$G$58,ABS(N1593)*'Progetto del paramento slu'!$G$54,'Progetto del paramento slu'!$G$53)</f>
        <v>100611986.18860801</v>
      </c>
      <c r="I1593" s="479">
        <f>-'Foglio deposito bis'!$F$72*(C1593-sezione!$AP$33)*IF(ABS(O1593)&lt;'Progetto del paramento slu'!$G$58,ABS(O1593)*'Progetto del paramento slu'!$G$54,'Progetto del paramento slu'!$G$53)</f>
        <v>117870968.03040862</v>
      </c>
      <c r="J1593" s="479">
        <f t="shared" si="116"/>
        <v>235021886.24720442</v>
      </c>
      <c r="K1593" s="558">
        <f>'Progetto del paramento slu'!$G$60*(sezione!$AL$33-C1593)/C1593</f>
        <v>3.3971957210148745E-3</v>
      </c>
      <c r="L1593" s="558">
        <f>'Progetto del paramento slu'!$G$60*(sezione!$AM$33-C1593)/C1593</f>
        <v>2.2364483953805782E-2</v>
      </c>
      <c r="M1593" s="559">
        <f>'Progetto del paramento slu'!$G$60*(sezione!$AN$33-C1593)/C1593</f>
        <v>4.1331772186596685E-2</v>
      </c>
      <c r="N1593" s="559">
        <f>'Progetto del paramento slu'!$G$60*(sezione!$AO$33-C1593)/C1593</f>
        <v>5.5126163628626434E-2</v>
      </c>
      <c r="O1593" s="559">
        <f>'Progetto del paramento slu'!$G$60*(sezione!$AP$33-C1593)/C1593</f>
        <v>4.1332804278985197E-2</v>
      </c>
      <c r="P1593" s="553">
        <f>-'Progetto del paramento slu'!$G$47*'Progetto del paramento slu'!$G$41*IF(DATI!$G$218="dx",DATI!$E$61,DATI!$E$64*DATI!$E$63)*1000*C1593*sezione!$AD$5</f>
        <v>-286119.84925804369</v>
      </c>
      <c r="Q1593" s="553">
        <f>'Foglio deposito bis'!$F$68*IF(ABS(K1593)&lt;'Progetto del paramento slu'!$G$58,ABS(K1593)*'Progetto del paramento slu'!$G$54,'Progetto del paramento slu'!$G$53)*IF(K1593&lt;0,-1,1)</f>
        <v>0</v>
      </c>
      <c r="R1593" s="553">
        <f>'Foglio deposito bis'!$F$69*IF(ABS(L1593)&lt;'Progetto del paramento slu'!$G$58,ABS(L1593)*'Progetto del paramento slu'!$G$54,'Progetto del paramento slu'!$G$53)*IF(L1593&lt;0,-1,1)</f>
        <v>153664.85805602249</v>
      </c>
      <c r="S1593" s="553">
        <f>'Foglio deposito bis'!$F$70*IF(ABS(M1593)&lt;'Progetto del paramento slu'!$G$58,ABS(M1593)*'Progetto del paramento slu'!$G$54,'Progetto del paramento slu'!$G$53)*IF(M1593&lt;0,-1,1)</f>
        <v>0</v>
      </c>
      <c r="T1593" s="553">
        <f>'Foglio deposito bis'!$F$71*IF(ABS(N1593)&lt;'Progetto del paramento slu'!$G$58,ABS(N1593)*'Progetto del paramento slu'!$G$54,'Progetto del paramento slu'!$G$53)*IF(N1593&lt;0,-1,1)</f>
        <v>314705.62929873407</v>
      </c>
      <c r="U1593" s="553">
        <f>'Foglio deposito bis'!$F$72*IF(ABS(O1593)&lt;'Progetto del paramento slu'!$G$58,ABS(O1593)*'Progetto del paramento slu'!$G$54,'Progetto del paramento slu'!$G$53)*IF(O1593&lt;0,-1,1)</f>
        <v>491727.54577927204</v>
      </c>
      <c r="V1593" s="479">
        <f t="shared" si="118"/>
        <v>673978.18387598498</v>
      </c>
      <c r="W1593" s="559"/>
      <c r="X1593" s="559"/>
    </row>
    <row r="1594" spans="1:24" x14ac:dyDescent="0.25">
      <c r="A1594" s="553">
        <f t="shared" si="117"/>
        <v>671116.98538340442</v>
      </c>
      <c r="B1594" s="3">
        <f t="shared" si="119"/>
        <v>5.0499999999999901</v>
      </c>
      <c r="C1594" s="553">
        <f>'Foglio deposito bis'!$E$159/sezione!$B$247*B1594</f>
        <v>20.501085617908778</v>
      </c>
      <c r="D1594" s="611">
        <f>-'Progetto del paramento slu'!$G$47*'Progetto del paramento slu'!$G$41*IF(DATI!$G$218="dx",DATI!$E$61,DATI!$E$64*DATI!$E$63)*1000*C1594^2*sezione!$AD$5*(1-sezione!$AD$6)</f>
        <v>-3459864.3179029021</v>
      </c>
      <c r="E1594" s="553">
        <f>-'Foglio deposito bis'!$F$68*(C1594-sezione!$AL$33)*IF(ABS(K1594)&lt;'Progetto del paramento slu'!$G$58,ABS(K1594)*'Progetto del paramento slu'!$G$54,'Progetto del paramento slu'!$G$53)</f>
        <v>0</v>
      </c>
      <c r="F1594" s="553">
        <f>-'Foglio deposito bis'!$F$69*(C1594-sezione!$AM$33)*IF(ABS(L1594)&lt;'Progetto del paramento slu'!$G$58,ABS(L1594)*'Progetto del paramento slu'!$G$54,'Progetto del paramento slu'!$G$53)</f>
        <v>19899432.296933055</v>
      </c>
      <c r="G1594" s="553">
        <f>-'Foglio deposito bis'!$F$70*(C1594-sezione!$AN$33)*IF(ABS(M1594)&lt;'Progetto del paramento slu'!$G$58,ABS(M1594)*'Progetto del paramento slu'!$G$54,'Progetto del paramento slu'!$G$53)</f>
        <v>0</v>
      </c>
      <c r="H1594" s="553">
        <f>-'Foglio deposito bis'!$F$71*(C1594-sezione!$AO$33)*IF(ABS(N1594)&lt;'Progetto del paramento slu'!$G$58,ABS(N1594)*'Progetto del paramento slu'!$G$54,'Progetto del paramento slu'!$G$53)</f>
        <v>100548106.91087839</v>
      </c>
      <c r="I1594" s="479">
        <f>-'Foglio deposito bis'!$F$72*(C1594-sezione!$AP$33)*IF(ABS(O1594)&lt;'Progetto del paramento slu'!$G$58,ABS(O1594)*'Progetto del paramento slu'!$G$54,'Progetto del paramento slu'!$G$53)</f>
        <v>117771156.6589561</v>
      </c>
      <c r="J1594" s="479">
        <f t="shared" si="116"/>
        <v>234758831.54886463</v>
      </c>
      <c r="K1594" s="558">
        <f>'Progetto del paramento slu'!$G$60*(sezione!$AL$33-C1594)/C1594</f>
        <v>3.3289066544701725E-3</v>
      </c>
      <c r="L1594" s="558">
        <f>'Progetto del paramento slu'!$G$60*(sezione!$AM$33-C1594)/C1594</f>
        <v>2.2108399954263145E-2</v>
      </c>
      <c r="M1594" s="559">
        <f>'Progetto del paramento slu'!$G$60*(sezione!$AN$33-C1594)/C1594</f>
        <v>4.0887893254056118E-2</v>
      </c>
      <c r="N1594" s="559">
        <f>'Progetto del paramento slu'!$G$60*(sezione!$AO$33-C1594)/C1594</f>
        <v>5.4545706562996475E-2</v>
      </c>
      <c r="O1594" s="559">
        <f>'Progetto del paramento slu'!$G$60*(sezione!$AP$33-C1594)/C1594</f>
        <v>4.0888915127708113E-2</v>
      </c>
      <c r="P1594" s="553">
        <f>-'Progetto del paramento slu'!$G$47*'Progetto del paramento slu'!$G$41*IF(DATI!$G$218="dx",DATI!$E$61,DATI!$E$64*DATI!$E$63)*1000*C1594*sezione!$AD$5</f>
        <v>-288981.04775062419</v>
      </c>
      <c r="Q1594" s="553">
        <f>'Foglio deposito bis'!$F$68*IF(ABS(K1594)&lt;'Progetto del paramento slu'!$G$58,ABS(K1594)*'Progetto del paramento slu'!$G$54,'Progetto del paramento slu'!$G$53)*IF(K1594&lt;0,-1,1)</f>
        <v>0</v>
      </c>
      <c r="R1594" s="553">
        <f>'Foglio deposito bis'!$F$69*IF(ABS(L1594)&lt;'Progetto del paramento slu'!$G$58,ABS(L1594)*'Progetto del paramento slu'!$G$54,'Progetto del paramento slu'!$G$53)*IF(L1594&lt;0,-1,1)</f>
        <v>153664.85805602249</v>
      </c>
      <c r="S1594" s="553">
        <f>'Foglio deposito bis'!$F$70*IF(ABS(M1594)&lt;'Progetto del paramento slu'!$G$58,ABS(M1594)*'Progetto del paramento slu'!$G$54,'Progetto del paramento slu'!$G$53)*IF(M1594&lt;0,-1,1)</f>
        <v>0</v>
      </c>
      <c r="T1594" s="553">
        <f>'Foglio deposito bis'!$F$71*IF(ABS(N1594)&lt;'Progetto del paramento slu'!$G$58,ABS(N1594)*'Progetto del paramento slu'!$G$54,'Progetto del paramento slu'!$G$53)*IF(N1594&lt;0,-1,1)</f>
        <v>314705.62929873407</v>
      </c>
      <c r="U1594" s="553">
        <f>'Foglio deposito bis'!$F$72*IF(ABS(O1594)&lt;'Progetto del paramento slu'!$G$58,ABS(O1594)*'Progetto del paramento slu'!$G$54,'Progetto del paramento slu'!$G$53)*IF(O1594&lt;0,-1,1)</f>
        <v>491727.54577927204</v>
      </c>
      <c r="V1594" s="479">
        <f t="shared" si="118"/>
        <v>671116.98538340442</v>
      </c>
      <c r="W1594" s="559"/>
      <c r="X1594" s="559"/>
    </row>
    <row r="1595" spans="1:24" x14ac:dyDescent="0.25">
      <c r="A1595" s="553">
        <f t="shared" si="117"/>
        <v>668255.78689082409</v>
      </c>
      <c r="B1595" s="3">
        <f t="shared" si="119"/>
        <v>5.0999999999999899</v>
      </c>
      <c r="C1595" s="553">
        <f>'Foglio deposito bis'!$E$159/sezione!$B$247*B1595</f>
        <v>20.704066663630645</v>
      </c>
      <c r="D1595" s="611">
        <f>-'Progetto del paramento slu'!$G$47*'Progetto del paramento slu'!$G$41*IF(DATI!$G$218="dx",DATI!$E$61,DATI!$E$64*DATI!$E$63)*1000*C1595^2*sezione!$AD$5*(1-sezione!$AD$6)</f>
        <v>-3528715.6517460831</v>
      </c>
      <c r="E1595" s="553">
        <f>-'Foglio deposito bis'!$F$68*(C1595-sezione!$AL$33)*IF(ABS(K1595)&lt;'Progetto del paramento slu'!$G$58,ABS(K1595)*'Progetto del paramento slu'!$G$54,'Progetto del paramento slu'!$G$53)</f>
        <v>0</v>
      </c>
      <c r="F1595" s="553">
        <f>-'Foglio deposito bis'!$F$69*(C1595-sezione!$AM$33)*IF(ABS(L1595)&lt;'Progetto del paramento slu'!$G$58,ABS(L1595)*'Progetto del paramento slu'!$G$54,'Progetto del paramento slu'!$G$53)</f>
        <v>19868241.243354145</v>
      </c>
      <c r="G1595" s="553">
        <f>-'Foglio deposito bis'!$F$70*(C1595-sezione!$AN$33)*IF(ABS(M1595)&lt;'Progetto del paramento slu'!$G$58,ABS(M1595)*'Progetto del paramento slu'!$G$54,'Progetto del paramento slu'!$G$53)</f>
        <v>0</v>
      </c>
      <c r="H1595" s="553">
        <f>-'Foglio deposito bis'!$F$71*(C1595-sezione!$AO$33)*IF(ABS(N1595)&lt;'Progetto del paramento slu'!$G$58,ABS(N1595)*'Progetto del paramento slu'!$G$54,'Progetto del paramento slu'!$G$53)</f>
        <v>100484227.63314876</v>
      </c>
      <c r="I1595" s="479">
        <f>-'Foglio deposito bis'!$F$72*(C1595-sezione!$AP$33)*IF(ABS(O1595)&lt;'Progetto del paramento slu'!$G$58,ABS(O1595)*'Progetto del paramento slu'!$G$54,'Progetto del paramento slu'!$G$53)</f>
        <v>117671345.28750359</v>
      </c>
      <c r="J1595" s="479">
        <f t="shared" si="116"/>
        <v>234495098.51226041</v>
      </c>
      <c r="K1595" s="558">
        <f>'Progetto del paramento slu'!$G$60*(sezione!$AL$33-C1595)/C1595</f>
        <v>3.2619565892302695E-3</v>
      </c>
      <c r="L1595" s="558">
        <f>'Progetto del paramento slu'!$G$60*(sezione!$AM$33-C1595)/C1595</f>
        <v>2.1857337209613512E-2</v>
      </c>
      <c r="M1595" s="559">
        <f>'Progetto del paramento slu'!$G$60*(sezione!$AN$33-C1595)/C1595</f>
        <v>4.0452717829996751E-2</v>
      </c>
      <c r="N1595" s="559">
        <f>'Progetto del paramento slu'!$G$60*(sezione!$AO$33-C1595)/C1595</f>
        <v>5.3976631008457288E-2</v>
      </c>
      <c r="O1595" s="559">
        <f>'Progetto del paramento slu'!$G$60*(sezione!$AP$33-C1595)/C1595</f>
        <v>4.0453729685279605E-2</v>
      </c>
      <c r="P1595" s="553">
        <f>-'Progetto del paramento slu'!$G$47*'Progetto del paramento slu'!$G$41*IF(DATI!$G$218="dx",DATI!$E$61,DATI!$E$64*DATI!$E$63)*1000*C1595*sezione!$AD$5</f>
        <v>-291842.24624320457</v>
      </c>
      <c r="Q1595" s="553">
        <f>'Foglio deposito bis'!$F$68*IF(ABS(K1595)&lt;'Progetto del paramento slu'!$G$58,ABS(K1595)*'Progetto del paramento slu'!$G$54,'Progetto del paramento slu'!$G$53)*IF(K1595&lt;0,-1,1)</f>
        <v>0</v>
      </c>
      <c r="R1595" s="553">
        <f>'Foglio deposito bis'!$F$69*IF(ABS(L1595)&lt;'Progetto del paramento slu'!$G$58,ABS(L1595)*'Progetto del paramento slu'!$G$54,'Progetto del paramento slu'!$G$53)*IF(L1595&lt;0,-1,1)</f>
        <v>153664.85805602249</v>
      </c>
      <c r="S1595" s="553">
        <f>'Foglio deposito bis'!$F$70*IF(ABS(M1595)&lt;'Progetto del paramento slu'!$G$58,ABS(M1595)*'Progetto del paramento slu'!$G$54,'Progetto del paramento slu'!$G$53)*IF(M1595&lt;0,-1,1)</f>
        <v>0</v>
      </c>
      <c r="T1595" s="553">
        <f>'Foglio deposito bis'!$F$71*IF(ABS(N1595)&lt;'Progetto del paramento slu'!$G$58,ABS(N1595)*'Progetto del paramento slu'!$G$54,'Progetto del paramento slu'!$G$53)*IF(N1595&lt;0,-1,1)</f>
        <v>314705.62929873407</v>
      </c>
      <c r="U1595" s="553">
        <f>'Foglio deposito bis'!$F$72*IF(ABS(O1595)&lt;'Progetto del paramento slu'!$G$58,ABS(O1595)*'Progetto del paramento slu'!$G$54,'Progetto del paramento slu'!$G$53)*IF(O1595&lt;0,-1,1)</f>
        <v>491727.54577927204</v>
      </c>
      <c r="V1595" s="479">
        <f t="shared" si="118"/>
        <v>668255.78689082409</v>
      </c>
      <c r="W1595" s="559"/>
      <c r="X1595" s="559"/>
    </row>
    <row r="1596" spans="1:24" x14ac:dyDescent="0.25">
      <c r="A1596" s="553">
        <f t="shared" si="117"/>
        <v>656810.99292050232</v>
      </c>
      <c r="B1596" s="3">
        <f>B1595+0.2</f>
        <v>5.2999999999999901</v>
      </c>
      <c r="C1596" s="553">
        <f>'Foglio deposito bis'!$E$159/sezione!$B$247*B1596</f>
        <v>21.515990846518125</v>
      </c>
      <c r="D1596" s="611">
        <f>-'Progetto del paramento slu'!$G$47*'Progetto del paramento slu'!$G$41*IF(DATI!$G$218="dx",DATI!$E$61,DATI!$E$64*DATI!$E$63)*1000*C1596^2*sezione!$AD$5*(1-sezione!$AD$6)</f>
        <v>-3810904.3697634568</v>
      </c>
      <c r="E1596" s="553">
        <f>-'Foglio deposito bis'!$F$68*(C1596-sezione!$AL$33)*IF(ABS(K1596)&lt;'Progetto del paramento slu'!$G$58,ABS(K1596)*'Progetto del paramento slu'!$G$54,'Progetto del paramento slu'!$G$53)</f>
        <v>0</v>
      </c>
      <c r="F1596" s="553">
        <f>-'Foglio deposito bis'!$F$69*(C1596-sezione!$AM$33)*IF(ABS(L1596)&lt;'Progetto del paramento slu'!$G$58,ABS(L1596)*'Progetto del paramento slu'!$G$54,'Progetto del paramento slu'!$G$53)</f>
        <v>19743477.029038489</v>
      </c>
      <c r="G1596" s="553">
        <f>-'Foglio deposito bis'!$F$70*(C1596-sezione!$AN$33)*IF(ABS(M1596)&lt;'Progetto del paramento slu'!$G$58,ABS(M1596)*'Progetto del paramento slu'!$G$54,'Progetto del paramento slu'!$G$53)</f>
        <v>0</v>
      </c>
      <c r="H1596" s="553">
        <f>-'Foglio deposito bis'!$F$71*(C1596-sezione!$AO$33)*IF(ABS(N1596)&lt;'Progetto del paramento slu'!$G$58,ABS(N1596)*'Progetto del paramento slu'!$G$54,'Progetto del paramento slu'!$G$53)</f>
        <v>100228710.5222303</v>
      </c>
      <c r="I1596" s="479">
        <f>-'Foglio deposito bis'!$F$72*(C1596-sezione!$AP$33)*IF(ABS(O1596)&lt;'Progetto del paramento slu'!$G$58,ABS(O1596)*'Progetto del paramento slu'!$G$54,'Progetto del paramento slu'!$G$53)</f>
        <v>117272099.80169347</v>
      </c>
      <c r="J1596" s="479">
        <f t="shared" si="116"/>
        <v>233433382.98319879</v>
      </c>
      <c r="K1596" s="558">
        <f>'Progetto del paramento slu'!$G$60*(sezione!$AL$33-C1596)/C1596</f>
        <v>3.0067884160517675E-3</v>
      </c>
      <c r="L1596" s="558">
        <f>'Progetto del paramento slu'!$G$60*(sezione!$AM$33-C1596)/C1596</f>
        <v>2.0900456560194128E-2</v>
      </c>
      <c r="M1596" s="559">
        <f>'Progetto del paramento slu'!$G$60*(sezione!$AN$33-C1596)/C1596</f>
        <v>3.8794124704336491E-2</v>
      </c>
      <c r="N1596" s="559">
        <f>'Progetto del paramento slu'!$G$60*(sezione!$AO$33-C1596)/C1596</f>
        <v>5.1807701536440022E-2</v>
      </c>
      <c r="O1596" s="559">
        <f>'Progetto del paramento slu'!$G$60*(sezione!$AP$33-C1596)/C1596</f>
        <v>3.8795098376401126E-2</v>
      </c>
      <c r="P1596" s="553">
        <f>-'Progetto del paramento slu'!$G$47*'Progetto del paramento slu'!$G$41*IF(DATI!$G$218="dx",DATI!$E$61,DATI!$E$64*DATI!$E$63)*1000*C1596*sezione!$AD$5</f>
        <v>-303287.04021352634</v>
      </c>
      <c r="Q1596" s="553">
        <f>'Foglio deposito bis'!$F$68*IF(ABS(K1596)&lt;'Progetto del paramento slu'!$G$58,ABS(K1596)*'Progetto del paramento slu'!$G$54,'Progetto del paramento slu'!$G$53)*IF(K1596&lt;0,-1,1)</f>
        <v>0</v>
      </c>
      <c r="R1596" s="553">
        <f>'Foglio deposito bis'!$F$69*IF(ABS(L1596)&lt;'Progetto del paramento slu'!$G$58,ABS(L1596)*'Progetto del paramento slu'!$G$54,'Progetto del paramento slu'!$G$53)*IF(L1596&lt;0,-1,1)</f>
        <v>153664.85805602249</v>
      </c>
      <c r="S1596" s="553">
        <f>'Foglio deposito bis'!$F$70*IF(ABS(M1596)&lt;'Progetto del paramento slu'!$G$58,ABS(M1596)*'Progetto del paramento slu'!$G$54,'Progetto del paramento slu'!$G$53)*IF(M1596&lt;0,-1,1)</f>
        <v>0</v>
      </c>
      <c r="T1596" s="553">
        <f>'Foglio deposito bis'!$F$71*IF(ABS(N1596)&lt;'Progetto del paramento slu'!$G$58,ABS(N1596)*'Progetto del paramento slu'!$G$54,'Progetto del paramento slu'!$G$53)*IF(N1596&lt;0,-1,1)</f>
        <v>314705.62929873407</v>
      </c>
      <c r="U1596" s="553">
        <f>'Foglio deposito bis'!$F$72*IF(ABS(O1596)&lt;'Progetto del paramento slu'!$G$58,ABS(O1596)*'Progetto del paramento slu'!$G$54,'Progetto del paramento slu'!$G$53)*IF(O1596&lt;0,-1,1)</f>
        <v>491727.54577927204</v>
      </c>
      <c r="V1596" s="479">
        <f t="shared" si="118"/>
        <v>656810.99292050232</v>
      </c>
      <c r="W1596" s="559"/>
      <c r="X1596" s="559"/>
    </row>
    <row r="1597" spans="1:24" x14ac:dyDescent="0.25">
      <c r="A1597" s="553">
        <f t="shared" si="117"/>
        <v>645366.19895018055</v>
      </c>
      <c r="B1597" s="3">
        <f t="shared" ref="B1597:B1660" si="120">B1596+0.2</f>
        <v>5.4999999999999902</v>
      </c>
      <c r="C1597" s="553">
        <f>'Foglio deposito bis'!$E$159/sezione!$B$247*B1597</f>
        <v>22.327915029405602</v>
      </c>
      <c r="D1597" s="611">
        <f>-'Progetto del paramento slu'!$G$47*'Progetto del paramento slu'!$G$41*IF(DATI!$G$218="dx",DATI!$E$61,DATI!$E$64*DATI!$E$63)*1000*C1597^2*sezione!$AD$5*(1-sezione!$AD$6)</f>
        <v>-4103946.5000122669</v>
      </c>
      <c r="E1597" s="553">
        <f>-'Foglio deposito bis'!$F$68*(C1597-sezione!$AL$33)*IF(ABS(K1597)&lt;'Progetto del paramento slu'!$G$58,ABS(K1597)*'Progetto del paramento slu'!$G$54,'Progetto del paramento slu'!$G$53)</f>
        <v>0</v>
      </c>
      <c r="F1597" s="553">
        <f>-'Foglio deposito bis'!$F$69*(C1597-sezione!$AM$33)*IF(ABS(L1597)&lt;'Progetto del paramento slu'!$G$58,ABS(L1597)*'Progetto del paramento slu'!$G$54,'Progetto del paramento slu'!$G$53)</f>
        <v>19618712.814722832</v>
      </c>
      <c r="G1597" s="553">
        <f>-'Foglio deposito bis'!$F$70*(C1597-sezione!$AN$33)*IF(ABS(M1597)&lt;'Progetto del paramento slu'!$G$58,ABS(M1597)*'Progetto del paramento slu'!$G$54,'Progetto del paramento slu'!$G$53)</f>
        <v>0</v>
      </c>
      <c r="H1597" s="553">
        <f>-'Foglio deposito bis'!$F$71*(C1597-sezione!$AO$33)*IF(ABS(N1597)&lt;'Progetto del paramento slu'!$G$58,ABS(N1597)*'Progetto del paramento slu'!$G$54,'Progetto del paramento slu'!$G$53)</f>
        <v>99973193.41131182</v>
      </c>
      <c r="I1597" s="479">
        <f>-'Foglio deposito bis'!$F$72*(C1597-sezione!$AP$33)*IF(ABS(O1597)&lt;'Progetto del paramento slu'!$G$58,ABS(O1597)*'Progetto del paramento slu'!$G$54,'Progetto del paramento slu'!$G$53)</f>
        <v>116872854.31588337</v>
      </c>
      <c r="J1597" s="479">
        <f t="shared" si="116"/>
        <v>232360814.04190576</v>
      </c>
      <c r="K1597" s="558">
        <f>'Progetto del paramento slu'!$G$60*(sezione!$AL$33-C1597)/C1597</f>
        <v>2.7701779281953391E-3</v>
      </c>
      <c r="L1597" s="558">
        <f>'Progetto del paramento slu'!$G$60*(sezione!$AM$33-C1597)/C1597</f>
        <v>2.0013167230732522E-2</v>
      </c>
      <c r="M1597" s="559">
        <f>'Progetto del paramento slu'!$G$60*(sezione!$AN$33-C1597)/C1597</f>
        <v>3.7256156533269712E-2</v>
      </c>
      <c r="N1597" s="559">
        <f>'Progetto del paramento slu'!$G$60*(sezione!$AO$33-C1597)/C1597</f>
        <v>4.9796512389660381E-2</v>
      </c>
      <c r="O1597" s="559">
        <f>'Progetto del paramento slu'!$G$60*(sezione!$AP$33-C1597)/C1597</f>
        <v>3.7257094799077448E-2</v>
      </c>
      <c r="P1597" s="553">
        <f>-'Progetto del paramento slu'!$G$47*'Progetto del paramento slu'!$G$41*IF(DATI!$G$218="dx",DATI!$E$61,DATI!$E$64*DATI!$E$63)*1000*C1597*sezione!$AD$5</f>
        <v>-314731.83418384811</v>
      </c>
      <c r="Q1597" s="553">
        <f>'Foglio deposito bis'!$F$68*IF(ABS(K1597)&lt;'Progetto del paramento slu'!$G$58,ABS(K1597)*'Progetto del paramento slu'!$G$54,'Progetto del paramento slu'!$G$53)*IF(K1597&lt;0,-1,1)</f>
        <v>0</v>
      </c>
      <c r="R1597" s="553">
        <f>'Foglio deposito bis'!$F$69*IF(ABS(L1597)&lt;'Progetto del paramento slu'!$G$58,ABS(L1597)*'Progetto del paramento slu'!$G$54,'Progetto del paramento slu'!$G$53)*IF(L1597&lt;0,-1,1)</f>
        <v>153664.85805602249</v>
      </c>
      <c r="S1597" s="553">
        <f>'Foglio deposito bis'!$F$70*IF(ABS(M1597)&lt;'Progetto del paramento slu'!$G$58,ABS(M1597)*'Progetto del paramento slu'!$G$54,'Progetto del paramento slu'!$G$53)*IF(M1597&lt;0,-1,1)</f>
        <v>0</v>
      </c>
      <c r="T1597" s="553">
        <f>'Foglio deposito bis'!$F$71*IF(ABS(N1597)&lt;'Progetto del paramento slu'!$G$58,ABS(N1597)*'Progetto del paramento slu'!$G$54,'Progetto del paramento slu'!$G$53)*IF(N1597&lt;0,-1,1)</f>
        <v>314705.62929873407</v>
      </c>
      <c r="U1597" s="553">
        <f>'Foglio deposito bis'!$F$72*IF(ABS(O1597)&lt;'Progetto del paramento slu'!$G$58,ABS(O1597)*'Progetto del paramento slu'!$G$54,'Progetto del paramento slu'!$G$53)*IF(O1597&lt;0,-1,1)</f>
        <v>491727.54577927204</v>
      </c>
      <c r="V1597" s="479">
        <f t="shared" si="118"/>
        <v>645366.19895018055</v>
      </c>
      <c r="W1597" s="559"/>
      <c r="X1597" s="559"/>
    </row>
    <row r="1598" spans="1:24" x14ac:dyDescent="0.25">
      <c r="A1598" s="553">
        <f t="shared" si="117"/>
        <v>633921.40497985866</v>
      </c>
      <c r="B1598" s="3">
        <f t="shared" si="120"/>
        <v>5.6999999999999904</v>
      </c>
      <c r="C1598" s="553">
        <f>'Foglio deposito bis'!$E$159/sezione!$B$247*B1598</f>
        <v>23.139839212293083</v>
      </c>
      <c r="D1598" s="611">
        <f>-'Progetto del paramento slu'!$G$47*'Progetto del paramento slu'!$G$41*IF(DATI!$G$218="dx",DATI!$E$61,DATI!$E$64*DATI!$E$63)*1000*C1598^2*sezione!$AD$5*(1-sezione!$AD$6)</f>
        <v>-4407842.0424925145</v>
      </c>
      <c r="E1598" s="553">
        <f>-'Foglio deposito bis'!$F$68*(C1598-sezione!$AL$33)*IF(ABS(K1598)&lt;'Progetto del paramento slu'!$G$58,ABS(K1598)*'Progetto del paramento slu'!$G$54,'Progetto del paramento slu'!$G$53)</f>
        <v>0</v>
      </c>
      <c r="F1598" s="553">
        <f>-'Foglio deposito bis'!$F$69*(C1598-sezione!$AM$33)*IF(ABS(L1598)&lt;'Progetto del paramento slu'!$G$58,ABS(L1598)*'Progetto del paramento slu'!$G$54,'Progetto del paramento slu'!$G$53)</f>
        <v>19493948.600407176</v>
      </c>
      <c r="G1598" s="553">
        <f>-'Foglio deposito bis'!$F$70*(C1598-sezione!$AN$33)*IF(ABS(M1598)&lt;'Progetto del paramento slu'!$G$58,ABS(M1598)*'Progetto del paramento slu'!$G$54,'Progetto del paramento slu'!$G$53)</f>
        <v>0</v>
      </c>
      <c r="H1598" s="553">
        <f>-'Foglio deposito bis'!$F$71*(C1598-sezione!$AO$33)*IF(ABS(N1598)&lt;'Progetto del paramento slu'!$G$58,ABS(N1598)*'Progetto del paramento slu'!$G$54,'Progetto del paramento slu'!$G$53)</f>
        <v>99717676.300393388</v>
      </c>
      <c r="I1598" s="479">
        <f>-'Foglio deposito bis'!$F$72*(C1598-sezione!$AP$33)*IF(ABS(O1598)&lt;'Progetto del paramento slu'!$G$58,ABS(O1598)*'Progetto del paramento slu'!$G$54,'Progetto del paramento slu'!$G$53)</f>
        <v>116473608.83007325</v>
      </c>
      <c r="J1598" s="479">
        <f t="shared" si="116"/>
        <v>231277391.68838131</v>
      </c>
      <c r="K1598" s="558">
        <f>'Progetto del paramento slu'!$G$60*(sezione!$AL$33-C1598)/C1598</f>
        <v>2.5501716851007651E-3</v>
      </c>
      <c r="L1598" s="558">
        <f>'Progetto del paramento slu'!$G$60*(sezione!$AM$33-C1598)/C1598</f>
        <v>1.9188143819127867E-2</v>
      </c>
      <c r="M1598" s="559">
        <f>'Progetto del paramento slu'!$G$60*(sezione!$AN$33-C1598)/C1598</f>
        <v>3.5826115953154977E-2</v>
      </c>
      <c r="N1598" s="559">
        <f>'Progetto del paramento slu'!$G$60*(sezione!$AO$33-C1598)/C1598</f>
        <v>4.7926459323356513E-2</v>
      </c>
      <c r="O1598" s="559">
        <f>'Progetto del paramento slu'!$G$60*(sezione!$AP$33-C1598)/C1598</f>
        <v>3.5827021297355426E-2</v>
      </c>
      <c r="P1598" s="553">
        <f>-'Progetto del paramento slu'!$G$47*'Progetto del paramento slu'!$G$41*IF(DATI!$G$218="dx",DATI!$E$61,DATI!$E$64*DATI!$E$63)*1000*C1598*sezione!$AD$5</f>
        <v>-326176.62815416994</v>
      </c>
      <c r="Q1598" s="553">
        <f>'Foglio deposito bis'!$F$68*IF(ABS(K1598)&lt;'Progetto del paramento slu'!$G$58,ABS(K1598)*'Progetto del paramento slu'!$G$54,'Progetto del paramento slu'!$G$53)*IF(K1598&lt;0,-1,1)</f>
        <v>0</v>
      </c>
      <c r="R1598" s="553">
        <f>'Foglio deposito bis'!$F$69*IF(ABS(L1598)&lt;'Progetto del paramento slu'!$G$58,ABS(L1598)*'Progetto del paramento slu'!$G$54,'Progetto del paramento slu'!$G$53)*IF(L1598&lt;0,-1,1)</f>
        <v>153664.85805602249</v>
      </c>
      <c r="S1598" s="553">
        <f>'Foglio deposito bis'!$F$70*IF(ABS(M1598)&lt;'Progetto del paramento slu'!$G$58,ABS(M1598)*'Progetto del paramento slu'!$G$54,'Progetto del paramento slu'!$G$53)*IF(M1598&lt;0,-1,1)</f>
        <v>0</v>
      </c>
      <c r="T1598" s="553">
        <f>'Foglio deposito bis'!$F$71*IF(ABS(N1598)&lt;'Progetto del paramento slu'!$G$58,ABS(N1598)*'Progetto del paramento slu'!$G$54,'Progetto del paramento slu'!$G$53)*IF(N1598&lt;0,-1,1)</f>
        <v>314705.62929873407</v>
      </c>
      <c r="U1598" s="553">
        <f>'Foglio deposito bis'!$F$72*IF(ABS(O1598)&lt;'Progetto del paramento slu'!$G$58,ABS(O1598)*'Progetto del paramento slu'!$G$54,'Progetto del paramento slu'!$G$53)*IF(O1598&lt;0,-1,1)</f>
        <v>491727.54577927204</v>
      </c>
      <c r="V1598" s="479">
        <f t="shared" si="118"/>
        <v>633921.40497985866</v>
      </c>
      <c r="W1598" s="559"/>
      <c r="X1598" s="559"/>
    </row>
    <row r="1599" spans="1:24" x14ac:dyDescent="0.25">
      <c r="A1599" s="553">
        <f t="shared" si="117"/>
        <v>622476.61100953701</v>
      </c>
      <c r="B1599" s="3">
        <f t="shared" si="120"/>
        <v>5.8999999999999906</v>
      </c>
      <c r="C1599" s="553">
        <f>'Foglio deposito bis'!$E$159/sezione!$B$247*B1599</f>
        <v>23.95176339518056</v>
      </c>
      <c r="D1599" s="611">
        <f>-'Progetto del paramento slu'!$G$47*'Progetto del paramento slu'!$G$41*IF(DATI!$G$218="dx",DATI!$E$61,DATI!$E$64*DATI!$E$63)*1000*C1599^2*sezione!$AD$5*(1-sezione!$AD$6)</f>
        <v>-4722590.9972042004</v>
      </c>
      <c r="E1599" s="553">
        <f>-'Foglio deposito bis'!$F$68*(C1599-sezione!$AL$33)*IF(ABS(K1599)&lt;'Progetto del paramento slu'!$G$58,ABS(K1599)*'Progetto del paramento slu'!$G$54,'Progetto del paramento slu'!$G$53)</f>
        <v>0</v>
      </c>
      <c r="F1599" s="553">
        <f>-'Foglio deposito bis'!$F$69*(C1599-sezione!$AM$33)*IF(ABS(L1599)&lt;'Progetto del paramento slu'!$G$58,ABS(L1599)*'Progetto del paramento slu'!$G$54,'Progetto del paramento slu'!$G$53)</f>
        <v>19369184.386091519</v>
      </c>
      <c r="G1599" s="553">
        <f>-'Foglio deposito bis'!$F$70*(C1599-sezione!$AN$33)*IF(ABS(M1599)&lt;'Progetto del paramento slu'!$G$58,ABS(M1599)*'Progetto del paramento slu'!$G$54,'Progetto del paramento slu'!$G$53)</f>
        <v>0</v>
      </c>
      <c r="H1599" s="553">
        <f>-'Foglio deposito bis'!$F$71*(C1599-sezione!$AO$33)*IF(ABS(N1599)&lt;'Progetto del paramento slu'!$G$58,ABS(N1599)*'Progetto del paramento slu'!$G$54,'Progetto del paramento slu'!$G$53)</f>
        <v>99462159.18947491</v>
      </c>
      <c r="I1599" s="479">
        <f>-'Foglio deposito bis'!$F$72*(C1599-sezione!$AP$33)*IF(ABS(O1599)&lt;'Progetto del paramento slu'!$G$58,ABS(O1599)*'Progetto del paramento slu'!$G$54,'Progetto del paramento slu'!$G$53)</f>
        <v>116074363.34426317</v>
      </c>
      <c r="J1599" s="479">
        <f t="shared" si="116"/>
        <v>230183115.92262539</v>
      </c>
      <c r="K1599" s="558">
        <f>'Progetto del paramento slu'!$G$60*(sezione!$AL$33-C1599)/C1599</f>
        <v>2.345081119504129E-3</v>
      </c>
      <c r="L1599" s="558">
        <f>'Progetto del paramento slu'!$G$60*(sezione!$AM$33-C1599)/C1599</f>
        <v>1.8419054198140484E-2</v>
      </c>
      <c r="M1599" s="559">
        <f>'Progetto del paramento slu'!$G$60*(sezione!$AN$33-C1599)/C1599</f>
        <v>3.449302727677684E-2</v>
      </c>
      <c r="N1599" s="559">
        <f>'Progetto del paramento slu'!$G$60*(sezione!$AO$33-C1599)/C1599</f>
        <v>4.6183189515785102E-2</v>
      </c>
      <c r="O1599" s="559">
        <f>'Progetto del paramento slu'!$G$60*(sezione!$AP$33-C1599)/C1599</f>
        <v>3.4493901931343371E-2</v>
      </c>
      <c r="P1599" s="553">
        <f>-'Progetto del paramento slu'!$G$47*'Progetto del paramento slu'!$G$41*IF(DATI!$G$218="dx",DATI!$E$61,DATI!$E$64*DATI!$E$63)*1000*C1599*sezione!$AD$5</f>
        <v>-337621.42212449166</v>
      </c>
      <c r="Q1599" s="553">
        <f>'Foglio deposito bis'!$F$68*IF(ABS(K1599)&lt;'Progetto del paramento slu'!$G$58,ABS(K1599)*'Progetto del paramento slu'!$G$54,'Progetto del paramento slu'!$G$53)*IF(K1599&lt;0,-1,1)</f>
        <v>0</v>
      </c>
      <c r="R1599" s="553">
        <f>'Foglio deposito bis'!$F$69*IF(ABS(L1599)&lt;'Progetto del paramento slu'!$G$58,ABS(L1599)*'Progetto del paramento slu'!$G$54,'Progetto del paramento slu'!$G$53)*IF(L1599&lt;0,-1,1)</f>
        <v>153664.85805602249</v>
      </c>
      <c r="S1599" s="553">
        <f>'Foglio deposito bis'!$F$70*IF(ABS(M1599)&lt;'Progetto del paramento slu'!$G$58,ABS(M1599)*'Progetto del paramento slu'!$G$54,'Progetto del paramento slu'!$G$53)*IF(M1599&lt;0,-1,1)</f>
        <v>0</v>
      </c>
      <c r="T1599" s="553">
        <f>'Foglio deposito bis'!$F$71*IF(ABS(N1599)&lt;'Progetto del paramento slu'!$G$58,ABS(N1599)*'Progetto del paramento slu'!$G$54,'Progetto del paramento slu'!$G$53)*IF(N1599&lt;0,-1,1)</f>
        <v>314705.62929873407</v>
      </c>
      <c r="U1599" s="553">
        <f>'Foglio deposito bis'!$F$72*IF(ABS(O1599)&lt;'Progetto del paramento slu'!$G$58,ABS(O1599)*'Progetto del paramento slu'!$G$54,'Progetto del paramento slu'!$G$53)*IF(O1599&lt;0,-1,1)</f>
        <v>491727.54577927204</v>
      </c>
      <c r="V1599" s="479">
        <f t="shared" si="118"/>
        <v>622476.61100953701</v>
      </c>
      <c r="W1599" s="559"/>
      <c r="X1599" s="559"/>
    </row>
    <row r="1600" spans="1:24" x14ac:dyDescent="0.25">
      <c r="A1600" s="553">
        <f t="shared" si="117"/>
        <v>611031.81703921512</v>
      </c>
      <c r="B1600" s="3">
        <f t="shared" si="120"/>
        <v>6.0999999999999908</v>
      </c>
      <c r="C1600" s="553">
        <f>'Foglio deposito bis'!$E$159/sezione!$B$247*B1600</f>
        <v>24.763687578068041</v>
      </c>
      <c r="D1600" s="611">
        <f>-'Progetto del paramento slu'!$G$47*'Progetto del paramento slu'!$G$41*IF(DATI!$G$218="dx",DATI!$E$61,DATI!$E$64*DATI!$E$63)*1000*C1600^2*sezione!$AD$5*(1-sezione!$AD$6)</f>
        <v>-5048193.3641473232</v>
      </c>
      <c r="E1600" s="553">
        <f>-'Foglio deposito bis'!$F$68*(C1600-sezione!$AL$33)*IF(ABS(K1600)&lt;'Progetto del paramento slu'!$G$58,ABS(K1600)*'Progetto del paramento slu'!$G$54,'Progetto del paramento slu'!$G$53)</f>
        <v>0</v>
      </c>
      <c r="F1600" s="553">
        <f>-'Foglio deposito bis'!$F$69*(C1600-sezione!$AM$33)*IF(ABS(L1600)&lt;'Progetto del paramento slu'!$G$58,ABS(L1600)*'Progetto del paramento slu'!$G$54,'Progetto del paramento slu'!$G$53)</f>
        <v>19244420.171775863</v>
      </c>
      <c r="G1600" s="553">
        <f>-'Foglio deposito bis'!$F$70*(C1600-sezione!$AN$33)*IF(ABS(M1600)&lt;'Progetto del paramento slu'!$G$58,ABS(M1600)*'Progetto del paramento slu'!$G$54,'Progetto del paramento slu'!$G$53)</f>
        <v>0</v>
      </c>
      <c r="H1600" s="553">
        <f>-'Foglio deposito bis'!$F$71*(C1600-sezione!$AO$33)*IF(ABS(N1600)&lt;'Progetto del paramento slu'!$G$58,ABS(N1600)*'Progetto del paramento slu'!$G$54,'Progetto del paramento slu'!$G$53)</f>
        <v>99206642.078556448</v>
      </c>
      <c r="I1600" s="479">
        <f>-'Foglio deposito bis'!$F$72*(C1600-sezione!$AP$33)*IF(ABS(O1600)&lt;'Progetto del paramento slu'!$G$58,ABS(O1600)*'Progetto del paramento slu'!$G$54,'Progetto del paramento slu'!$G$53)</f>
        <v>115675117.85845305</v>
      </c>
      <c r="J1600" s="479">
        <f t="shared" si="116"/>
        <v>229077986.74463803</v>
      </c>
      <c r="K1600" s="558">
        <f>'Progetto del paramento slu'!$G$60*(sezione!$AL$33-C1600)/C1600</f>
        <v>2.1534391155859597E-3</v>
      </c>
      <c r="L1600" s="558">
        <f>'Progetto del paramento slu'!$G$60*(sezione!$AM$33-C1600)/C1600</f>
        <v>1.7700396683447348E-2</v>
      </c>
      <c r="M1600" s="559">
        <f>'Progetto del paramento slu'!$G$60*(sezione!$AN$33-C1600)/C1600</f>
        <v>3.3247354251308738E-2</v>
      </c>
      <c r="N1600" s="559">
        <f>'Progetto del paramento slu'!$G$60*(sezione!$AO$33-C1600)/C1600</f>
        <v>4.4554232482480666E-2</v>
      </c>
      <c r="O1600" s="559">
        <f>'Progetto del paramento slu'!$G$60*(sezione!$AP$33-C1600)/C1600</f>
        <v>3.3248200228676375E-2</v>
      </c>
      <c r="P1600" s="553">
        <f>-'Progetto del paramento slu'!$G$47*'Progetto del paramento slu'!$G$41*IF(DATI!$G$218="dx",DATI!$E$61,DATI!$E$64*DATI!$E$63)*1000*C1600*sezione!$AD$5</f>
        <v>-349066.21609481348</v>
      </c>
      <c r="Q1600" s="553">
        <f>'Foglio deposito bis'!$F$68*IF(ABS(K1600)&lt;'Progetto del paramento slu'!$G$58,ABS(K1600)*'Progetto del paramento slu'!$G$54,'Progetto del paramento slu'!$G$53)*IF(K1600&lt;0,-1,1)</f>
        <v>0</v>
      </c>
      <c r="R1600" s="553">
        <f>'Foglio deposito bis'!$F$69*IF(ABS(L1600)&lt;'Progetto del paramento slu'!$G$58,ABS(L1600)*'Progetto del paramento slu'!$G$54,'Progetto del paramento slu'!$G$53)*IF(L1600&lt;0,-1,1)</f>
        <v>153664.85805602249</v>
      </c>
      <c r="S1600" s="553">
        <f>'Foglio deposito bis'!$F$70*IF(ABS(M1600)&lt;'Progetto del paramento slu'!$G$58,ABS(M1600)*'Progetto del paramento slu'!$G$54,'Progetto del paramento slu'!$G$53)*IF(M1600&lt;0,-1,1)</f>
        <v>0</v>
      </c>
      <c r="T1600" s="553">
        <f>'Foglio deposito bis'!$F$71*IF(ABS(N1600)&lt;'Progetto del paramento slu'!$G$58,ABS(N1600)*'Progetto del paramento slu'!$G$54,'Progetto del paramento slu'!$G$53)*IF(N1600&lt;0,-1,1)</f>
        <v>314705.62929873407</v>
      </c>
      <c r="U1600" s="553">
        <f>'Foglio deposito bis'!$F$72*IF(ABS(O1600)&lt;'Progetto del paramento slu'!$G$58,ABS(O1600)*'Progetto del paramento slu'!$G$54,'Progetto del paramento slu'!$G$53)*IF(O1600&lt;0,-1,1)</f>
        <v>491727.54577927204</v>
      </c>
      <c r="V1600" s="479">
        <f t="shared" si="118"/>
        <v>611031.81703921512</v>
      </c>
      <c r="W1600" s="559"/>
      <c r="X1600" s="559"/>
    </row>
    <row r="1601" spans="1:24" x14ac:dyDescent="0.25">
      <c r="A1601" s="553">
        <f t="shared" si="117"/>
        <v>599587.02306889335</v>
      </c>
      <c r="B1601" s="3">
        <f t="shared" si="120"/>
        <v>6.2999999999999909</v>
      </c>
      <c r="C1601" s="553">
        <f>'Foglio deposito bis'!$E$159/sezione!$B$247*B1601</f>
        <v>25.575611760955518</v>
      </c>
      <c r="D1601" s="611">
        <f>-'Progetto del paramento slu'!$G$47*'Progetto del paramento slu'!$G$41*IF(DATI!$G$218="dx",DATI!$E$61,DATI!$E$64*DATI!$E$63)*1000*C1601^2*sezione!$AD$5*(1-sezione!$AD$6)</f>
        <v>-5384649.1433218839</v>
      </c>
      <c r="E1601" s="553">
        <f>-'Foglio deposito bis'!$F$68*(C1601-sezione!$AL$33)*IF(ABS(K1601)&lt;'Progetto del paramento slu'!$G$58,ABS(K1601)*'Progetto del paramento slu'!$G$54,'Progetto del paramento slu'!$G$53)</f>
        <v>0</v>
      </c>
      <c r="F1601" s="553">
        <f>-'Foglio deposito bis'!$F$69*(C1601-sezione!$AM$33)*IF(ABS(L1601)&lt;'Progetto del paramento slu'!$G$58,ABS(L1601)*'Progetto del paramento slu'!$G$54,'Progetto del paramento slu'!$G$53)</f>
        <v>19119655.957460206</v>
      </c>
      <c r="G1601" s="553">
        <f>-'Foglio deposito bis'!$F$70*(C1601-sezione!$AN$33)*IF(ABS(M1601)&lt;'Progetto del paramento slu'!$G$58,ABS(M1601)*'Progetto del paramento slu'!$G$54,'Progetto del paramento slu'!$G$53)</f>
        <v>0</v>
      </c>
      <c r="H1601" s="553">
        <f>-'Foglio deposito bis'!$F$71*(C1601-sezione!$AO$33)*IF(ABS(N1601)&lt;'Progetto del paramento slu'!$G$58,ABS(N1601)*'Progetto del paramento slu'!$G$54,'Progetto del paramento slu'!$G$53)</f>
        <v>98951124.967637986</v>
      </c>
      <c r="I1601" s="479">
        <f>-'Foglio deposito bis'!$F$72*(C1601-sezione!$AP$33)*IF(ABS(O1601)&lt;'Progetto del paramento slu'!$G$58,ABS(O1601)*'Progetto del paramento slu'!$G$54,'Progetto del paramento slu'!$G$53)</f>
        <v>115275872.37264296</v>
      </c>
      <c r="J1601" s="479">
        <f t="shared" si="116"/>
        <v>227962004.15441927</v>
      </c>
      <c r="K1601" s="558">
        <f>'Progetto del paramento slu'!$G$60*(sezione!$AL$33-C1601)/C1601</f>
        <v>1.9739648579483104E-3</v>
      </c>
      <c r="L1601" s="558">
        <f>'Progetto del paramento slu'!$G$60*(sezione!$AM$33-C1601)/C1601</f>
        <v>1.7027368217306164E-2</v>
      </c>
      <c r="M1601" s="559">
        <f>'Progetto del paramento slu'!$G$60*(sezione!$AN$33-C1601)/C1601</f>
        <v>3.2080771576664016E-2</v>
      </c>
      <c r="N1601" s="559">
        <f>'Progetto del paramento slu'!$G$60*(sezione!$AO$33-C1601)/C1601</f>
        <v>4.3028701292560645E-2</v>
      </c>
      <c r="O1601" s="559">
        <f>'Progetto del paramento slu'!$G$60*(sezione!$AP$33-C1601)/C1601</f>
        <v>3.2081590697607278E-2</v>
      </c>
      <c r="P1601" s="553">
        <f>-'Progetto del paramento slu'!$G$47*'Progetto del paramento slu'!$G$41*IF(DATI!$G$218="dx",DATI!$E$61,DATI!$E$64*DATI!$E$63)*1000*C1601*sezione!$AD$5</f>
        <v>-360511.01006513525</v>
      </c>
      <c r="Q1601" s="553">
        <f>'Foglio deposito bis'!$F$68*IF(ABS(K1601)&lt;'Progetto del paramento slu'!$G$58,ABS(K1601)*'Progetto del paramento slu'!$G$54,'Progetto del paramento slu'!$G$53)*IF(K1601&lt;0,-1,1)</f>
        <v>0</v>
      </c>
      <c r="R1601" s="553">
        <f>'Foglio deposito bis'!$F$69*IF(ABS(L1601)&lt;'Progetto del paramento slu'!$G$58,ABS(L1601)*'Progetto del paramento slu'!$G$54,'Progetto del paramento slu'!$G$53)*IF(L1601&lt;0,-1,1)</f>
        <v>153664.85805602249</v>
      </c>
      <c r="S1601" s="553">
        <f>'Foglio deposito bis'!$F$70*IF(ABS(M1601)&lt;'Progetto del paramento slu'!$G$58,ABS(M1601)*'Progetto del paramento slu'!$G$54,'Progetto del paramento slu'!$G$53)*IF(M1601&lt;0,-1,1)</f>
        <v>0</v>
      </c>
      <c r="T1601" s="553">
        <f>'Foglio deposito bis'!$F$71*IF(ABS(N1601)&lt;'Progetto del paramento slu'!$G$58,ABS(N1601)*'Progetto del paramento slu'!$G$54,'Progetto del paramento slu'!$G$53)*IF(N1601&lt;0,-1,1)</f>
        <v>314705.62929873407</v>
      </c>
      <c r="U1601" s="553">
        <f>'Foglio deposito bis'!$F$72*IF(ABS(O1601)&lt;'Progetto del paramento slu'!$G$58,ABS(O1601)*'Progetto del paramento slu'!$G$54,'Progetto del paramento slu'!$G$53)*IF(O1601&lt;0,-1,1)</f>
        <v>491727.54577927204</v>
      </c>
      <c r="V1601" s="479">
        <f t="shared" si="118"/>
        <v>599587.02306889335</v>
      </c>
      <c r="W1601" s="559"/>
      <c r="X1601" s="559"/>
    </row>
    <row r="1602" spans="1:24" x14ac:dyDescent="0.25">
      <c r="A1602" s="553">
        <f t="shared" si="117"/>
        <v>588142.22909857158</v>
      </c>
      <c r="B1602" s="3">
        <f t="shared" si="120"/>
        <v>6.4999999999999911</v>
      </c>
      <c r="C1602" s="553">
        <f>'Foglio deposito bis'!$E$159/sezione!$B$247*B1602</f>
        <v>26.387535943842995</v>
      </c>
      <c r="D1602" s="611">
        <f>-'Progetto del paramento slu'!$G$47*'Progetto del paramento slu'!$G$41*IF(DATI!$G$218="dx",DATI!$E$61,DATI!$E$64*DATI!$E$63)*1000*C1602^2*sezione!$AD$5*(1-sezione!$AD$6)</f>
        <v>-5731958.3347278805</v>
      </c>
      <c r="E1602" s="553">
        <f>-'Foglio deposito bis'!$F$68*(C1602-sezione!$AL$33)*IF(ABS(K1602)&lt;'Progetto del paramento slu'!$G$58,ABS(K1602)*'Progetto del paramento slu'!$G$54,'Progetto del paramento slu'!$G$53)</f>
        <v>0</v>
      </c>
      <c r="F1602" s="553">
        <f>-'Foglio deposito bis'!$F$69*(C1602-sezione!$AM$33)*IF(ABS(L1602)&lt;'Progetto del paramento slu'!$G$58,ABS(L1602)*'Progetto del paramento slu'!$G$54,'Progetto del paramento slu'!$G$53)</f>
        <v>18994891.743144549</v>
      </c>
      <c r="G1602" s="553">
        <f>-'Foglio deposito bis'!$F$70*(C1602-sezione!$AN$33)*IF(ABS(M1602)&lt;'Progetto del paramento slu'!$G$58,ABS(M1602)*'Progetto del paramento slu'!$G$54,'Progetto del paramento slu'!$G$53)</f>
        <v>0</v>
      </c>
      <c r="H1602" s="553">
        <f>-'Foglio deposito bis'!$F$71*(C1602-sezione!$AO$33)*IF(ABS(N1602)&lt;'Progetto del paramento slu'!$G$58,ABS(N1602)*'Progetto del paramento slu'!$G$54,'Progetto del paramento slu'!$G$53)</f>
        <v>98695607.856719524</v>
      </c>
      <c r="I1602" s="479">
        <f>-'Foglio deposito bis'!$F$72*(C1602-sezione!$AP$33)*IF(ABS(O1602)&lt;'Progetto del paramento slu'!$G$58,ABS(O1602)*'Progetto del paramento slu'!$G$54,'Progetto del paramento slu'!$G$53)</f>
        <v>114876626.88683286</v>
      </c>
      <c r="J1602" s="479">
        <f t="shared" si="116"/>
        <v>226835168.15196908</v>
      </c>
      <c r="K1602" s="558">
        <f>'Progetto del paramento slu'!$G$60*(sezione!$AL$33-C1602)/C1602</f>
        <v>1.8055351700114392E-3</v>
      </c>
      <c r="L1602" s="558">
        <f>'Progetto del paramento slu'!$G$60*(sezione!$AM$33-C1602)/C1602</f>
        <v>1.6395756887542898E-2</v>
      </c>
      <c r="M1602" s="559">
        <f>'Progetto del paramento slu'!$G$60*(sezione!$AN$33-C1602)/C1602</f>
        <v>3.0985978605074353E-2</v>
      </c>
      <c r="N1602" s="559">
        <f>'Progetto del paramento slu'!$G$60*(sezione!$AO$33-C1602)/C1602</f>
        <v>4.1597048945097241E-2</v>
      </c>
      <c r="O1602" s="559">
        <f>'Progetto del paramento slu'!$G$60*(sezione!$AP$33-C1602)/C1602</f>
        <v>3.0986772522296285E-2</v>
      </c>
      <c r="P1602" s="553">
        <f>-'Progetto del paramento slu'!$G$47*'Progetto del paramento slu'!$G$41*IF(DATI!$G$218="dx",DATI!$E$61,DATI!$E$64*DATI!$E$63)*1000*C1602*sezione!$AD$5</f>
        <v>-371955.80403545703</v>
      </c>
      <c r="Q1602" s="553">
        <f>'Foglio deposito bis'!$F$68*IF(ABS(K1602)&lt;'Progetto del paramento slu'!$G$58,ABS(K1602)*'Progetto del paramento slu'!$G$54,'Progetto del paramento slu'!$G$53)*IF(K1602&lt;0,-1,1)</f>
        <v>0</v>
      </c>
      <c r="R1602" s="553">
        <f>'Foglio deposito bis'!$F$69*IF(ABS(L1602)&lt;'Progetto del paramento slu'!$G$58,ABS(L1602)*'Progetto del paramento slu'!$G$54,'Progetto del paramento slu'!$G$53)*IF(L1602&lt;0,-1,1)</f>
        <v>153664.85805602249</v>
      </c>
      <c r="S1602" s="553">
        <f>'Foglio deposito bis'!$F$70*IF(ABS(M1602)&lt;'Progetto del paramento slu'!$G$58,ABS(M1602)*'Progetto del paramento slu'!$G$54,'Progetto del paramento slu'!$G$53)*IF(M1602&lt;0,-1,1)</f>
        <v>0</v>
      </c>
      <c r="T1602" s="553">
        <f>'Foglio deposito bis'!$F$71*IF(ABS(N1602)&lt;'Progetto del paramento slu'!$G$58,ABS(N1602)*'Progetto del paramento slu'!$G$54,'Progetto del paramento slu'!$G$53)*IF(N1602&lt;0,-1,1)</f>
        <v>314705.62929873407</v>
      </c>
      <c r="U1602" s="553">
        <f>'Foglio deposito bis'!$F$72*IF(ABS(O1602)&lt;'Progetto del paramento slu'!$G$58,ABS(O1602)*'Progetto del paramento slu'!$G$54,'Progetto del paramento slu'!$G$53)*IF(O1602&lt;0,-1,1)</f>
        <v>491727.54577927204</v>
      </c>
      <c r="V1602" s="479">
        <f t="shared" si="118"/>
        <v>588142.22909857158</v>
      </c>
      <c r="W1602" s="559"/>
      <c r="X1602" s="559"/>
    </row>
    <row r="1603" spans="1:24" x14ac:dyDescent="0.25">
      <c r="A1603" s="553">
        <f t="shared" si="117"/>
        <v>576697.43512824981</v>
      </c>
      <c r="B1603" s="3">
        <f t="shared" si="120"/>
        <v>6.6999999999999913</v>
      </c>
      <c r="C1603" s="553">
        <f>'Foglio deposito bis'!$E$159/sezione!$B$247*B1603</f>
        <v>27.199460126730475</v>
      </c>
      <c r="D1603" s="611">
        <f>-'Progetto del paramento slu'!$G$47*'Progetto del paramento slu'!$G$41*IF(DATI!$G$218="dx",DATI!$E$61,DATI!$E$64*DATI!$E$63)*1000*C1603^2*sezione!$AD$5*(1-sezione!$AD$6)</f>
        <v>-6090120.9383653169</v>
      </c>
      <c r="E1603" s="553">
        <f>-'Foglio deposito bis'!$F$68*(C1603-sezione!$AL$33)*IF(ABS(K1603)&lt;'Progetto del paramento slu'!$G$58,ABS(K1603)*'Progetto del paramento slu'!$G$54,'Progetto del paramento slu'!$G$53)</f>
        <v>0</v>
      </c>
      <c r="F1603" s="553">
        <f>-'Foglio deposito bis'!$F$69*(C1603-sezione!$AM$33)*IF(ABS(L1603)&lt;'Progetto del paramento slu'!$G$58,ABS(L1603)*'Progetto del paramento slu'!$G$54,'Progetto del paramento slu'!$G$53)</f>
        <v>18870127.528828893</v>
      </c>
      <c r="G1603" s="553">
        <f>-'Foglio deposito bis'!$F$70*(C1603-sezione!$AN$33)*IF(ABS(M1603)&lt;'Progetto del paramento slu'!$G$58,ABS(M1603)*'Progetto del paramento slu'!$G$54,'Progetto del paramento slu'!$G$53)</f>
        <v>0</v>
      </c>
      <c r="H1603" s="553">
        <f>-'Foglio deposito bis'!$F$71*(C1603-sezione!$AO$33)*IF(ABS(N1603)&lt;'Progetto del paramento slu'!$G$58,ABS(N1603)*'Progetto del paramento slu'!$G$54,'Progetto del paramento slu'!$G$53)</f>
        <v>98440090.745801061</v>
      </c>
      <c r="I1603" s="479">
        <f>-'Foglio deposito bis'!$F$72*(C1603-sezione!$AP$33)*IF(ABS(O1603)&lt;'Progetto del paramento slu'!$G$58,ABS(O1603)*'Progetto del paramento slu'!$G$54,'Progetto del paramento slu'!$G$53)</f>
        <v>114477381.40102275</v>
      </c>
      <c r="J1603" s="479">
        <f t="shared" si="116"/>
        <v>225697478.7372874</v>
      </c>
      <c r="K1603" s="558">
        <f>'Progetto del paramento slu'!$G$60*(sezione!$AL$33-C1603)/C1603</f>
        <v>1.6471609858319924E-3</v>
      </c>
      <c r="L1603" s="558">
        <f>'Progetto del paramento slu'!$G$60*(sezione!$AM$33-C1603)/C1603</f>
        <v>1.5801853696869973E-2</v>
      </c>
      <c r="M1603" s="559">
        <f>'Progetto del paramento slu'!$G$60*(sezione!$AN$33-C1603)/C1603</f>
        <v>2.9956546407907948E-2</v>
      </c>
      <c r="N1603" s="559">
        <f>'Progetto del paramento slu'!$G$60*(sezione!$AO$33-C1603)/C1603</f>
        <v>4.0250868379571945E-2</v>
      </c>
      <c r="O1603" s="559">
        <f>'Progetto del paramento slu'!$G$60*(sezione!$AP$33-C1603)/C1603</f>
        <v>2.9957316626108333E-2</v>
      </c>
      <c r="P1603" s="553">
        <f>-'Progetto del paramento slu'!$G$47*'Progetto del paramento slu'!$G$41*IF(DATI!$G$218="dx",DATI!$E$61,DATI!$E$64*DATI!$E$63)*1000*C1603*sezione!$AD$5</f>
        <v>-383400.5980057788</v>
      </c>
      <c r="Q1603" s="553">
        <f>'Foglio deposito bis'!$F$68*IF(ABS(K1603)&lt;'Progetto del paramento slu'!$G$58,ABS(K1603)*'Progetto del paramento slu'!$G$54,'Progetto del paramento slu'!$G$53)*IF(K1603&lt;0,-1,1)</f>
        <v>0</v>
      </c>
      <c r="R1603" s="553">
        <f>'Foglio deposito bis'!$F$69*IF(ABS(L1603)&lt;'Progetto del paramento slu'!$G$58,ABS(L1603)*'Progetto del paramento slu'!$G$54,'Progetto del paramento slu'!$G$53)*IF(L1603&lt;0,-1,1)</f>
        <v>153664.85805602249</v>
      </c>
      <c r="S1603" s="553">
        <f>'Foglio deposito bis'!$F$70*IF(ABS(M1603)&lt;'Progetto del paramento slu'!$G$58,ABS(M1603)*'Progetto del paramento slu'!$G$54,'Progetto del paramento slu'!$G$53)*IF(M1603&lt;0,-1,1)</f>
        <v>0</v>
      </c>
      <c r="T1603" s="553">
        <f>'Foglio deposito bis'!$F$71*IF(ABS(N1603)&lt;'Progetto del paramento slu'!$G$58,ABS(N1603)*'Progetto del paramento slu'!$G$54,'Progetto del paramento slu'!$G$53)*IF(N1603&lt;0,-1,1)</f>
        <v>314705.62929873407</v>
      </c>
      <c r="U1603" s="553">
        <f>'Foglio deposito bis'!$F$72*IF(ABS(O1603)&lt;'Progetto del paramento slu'!$G$58,ABS(O1603)*'Progetto del paramento slu'!$G$54,'Progetto del paramento slu'!$G$53)*IF(O1603&lt;0,-1,1)</f>
        <v>491727.54577927204</v>
      </c>
      <c r="V1603" s="479">
        <f t="shared" si="118"/>
        <v>576697.43512824981</v>
      </c>
      <c r="W1603" s="559"/>
      <c r="X1603" s="559"/>
    </row>
    <row r="1604" spans="1:24" x14ac:dyDescent="0.25">
      <c r="A1604" s="553">
        <f t="shared" si="117"/>
        <v>565252.64115792804</v>
      </c>
      <c r="B1604" s="3">
        <f t="shared" si="120"/>
        <v>6.8999999999999915</v>
      </c>
      <c r="C1604" s="553">
        <f>'Foglio deposito bis'!$E$159/sezione!$B$247*B1604</f>
        <v>28.011384309617952</v>
      </c>
      <c r="D1604" s="611">
        <f>-'Progetto del paramento slu'!$G$47*'Progetto del paramento slu'!$G$41*IF(DATI!$G$218="dx",DATI!$E$61,DATI!$E$64*DATI!$E$63)*1000*C1604^2*sezione!$AD$5*(1-sezione!$AD$6)</f>
        <v>-6459136.9542341884</v>
      </c>
      <c r="E1604" s="553">
        <f>-'Foglio deposito bis'!$F$68*(C1604-sezione!$AL$33)*IF(ABS(K1604)&lt;'Progetto del paramento slu'!$G$58,ABS(K1604)*'Progetto del paramento slu'!$G$54,'Progetto del paramento slu'!$G$53)</f>
        <v>0</v>
      </c>
      <c r="F1604" s="553">
        <f>-'Foglio deposito bis'!$F$69*(C1604-sezione!$AM$33)*IF(ABS(L1604)&lt;'Progetto del paramento slu'!$G$58,ABS(L1604)*'Progetto del paramento slu'!$G$54,'Progetto del paramento slu'!$G$53)</f>
        <v>18745363.314513236</v>
      </c>
      <c r="G1604" s="553">
        <f>-'Foglio deposito bis'!$F$70*(C1604-sezione!$AN$33)*IF(ABS(M1604)&lt;'Progetto del paramento slu'!$G$58,ABS(M1604)*'Progetto del paramento slu'!$G$54,'Progetto del paramento slu'!$G$53)</f>
        <v>0</v>
      </c>
      <c r="H1604" s="553">
        <f>-'Foglio deposito bis'!$F$71*(C1604-sezione!$AO$33)*IF(ABS(N1604)&lt;'Progetto del paramento slu'!$G$58,ABS(N1604)*'Progetto del paramento slu'!$G$54,'Progetto del paramento slu'!$G$53)</f>
        <v>98184573.634882599</v>
      </c>
      <c r="I1604" s="479">
        <f>-'Foglio deposito bis'!$F$72*(C1604-sezione!$AP$33)*IF(ABS(O1604)&lt;'Progetto del paramento slu'!$G$58,ABS(O1604)*'Progetto del paramento slu'!$G$54,'Progetto del paramento slu'!$G$53)</f>
        <v>114078135.91521266</v>
      </c>
      <c r="J1604" s="479">
        <f t="shared" si="116"/>
        <v>224548935.91037431</v>
      </c>
      <c r="K1604" s="558">
        <f>'Progetto del paramento slu'!$G$60*(sezione!$AL$33-C1604)/C1604</f>
        <v>1.4979679137788911E-3</v>
      </c>
      <c r="L1604" s="558">
        <f>'Progetto del paramento slu'!$G$60*(sezione!$AM$33-C1604)/C1604</f>
        <v>1.5242379676670841E-2</v>
      </c>
      <c r="M1604" s="559">
        <f>'Progetto del paramento slu'!$G$60*(sezione!$AN$33-C1604)/C1604</f>
        <v>2.8986791439562794E-2</v>
      </c>
      <c r="N1604" s="559">
        <f>'Progetto del paramento slu'!$G$60*(sezione!$AO$33-C1604)/C1604</f>
        <v>3.898272726712057E-2</v>
      </c>
      <c r="O1604" s="559">
        <f>'Progetto del paramento slu'!$G$60*(sezione!$AP$33-C1604)/C1604</f>
        <v>2.8987539332597945E-2</v>
      </c>
      <c r="P1604" s="553">
        <f>-'Progetto del paramento slu'!$G$47*'Progetto del paramento slu'!$G$41*IF(DATI!$G$218="dx",DATI!$E$61,DATI!$E$64*DATI!$E$63)*1000*C1604*sezione!$AD$5</f>
        <v>-394845.39197610057</v>
      </c>
      <c r="Q1604" s="553">
        <f>'Foglio deposito bis'!$F$68*IF(ABS(K1604)&lt;'Progetto del paramento slu'!$G$58,ABS(K1604)*'Progetto del paramento slu'!$G$54,'Progetto del paramento slu'!$G$53)*IF(K1604&lt;0,-1,1)</f>
        <v>0</v>
      </c>
      <c r="R1604" s="553">
        <f>'Foglio deposito bis'!$F$69*IF(ABS(L1604)&lt;'Progetto del paramento slu'!$G$58,ABS(L1604)*'Progetto del paramento slu'!$G$54,'Progetto del paramento slu'!$G$53)*IF(L1604&lt;0,-1,1)</f>
        <v>153664.85805602249</v>
      </c>
      <c r="S1604" s="553">
        <f>'Foglio deposito bis'!$F$70*IF(ABS(M1604)&lt;'Progetto del paramento slu'!$G$58,ABS(M1604)*'Progetto del paramento slu'!$G$54,'Progetto del paramento slu'!$G$53)*IF(M1604&lt;0,-1,1)</f>
        <v>0</v>
      </c>
      <c r="T1604" s="553">
        <f>'Foglio deposito bis'!$F$71*IF(ABS(N1604)&lt;'Progetto del paramento slu'!$G$58,ABS(N1604)*'Progetto del paramento slu'!$G$54,'Progetto del paramento slu'!$G$53)*IF(N1604&lt;0,-1,1)</f>
        <v>314705.62929873407</v>
      </c>
      <c r="U1604" s="553">
        <f>'Foglio deposito bis'!$F$72*IF(ABS(O1604)&lt;'Progetto del paramento slu'!$G$58,ABS(O1604)*'Progetto del paramento slu'!$G$54,'Progetto del paramento slu'!$G$53)*IF(O1604&lt;0,-1,1)</f>
        <v>491727.54577927204</v>
      </c>
      <c r="V1604" s="479">
        <f t="shared" si="118"/>
        <v>565252.64115792804</v>
      </c>
      <c r="W1604" s="559"/>
      <c r="X1604" s="559"/>
    </row>
    <row r="1605" spans="1:24" x14ac:dyDescent="0.25">
      <c r="A1605" s="553">
        <f t="shared" si="117"/>
        <v>553807.84718760615</v>
      </c>
      <c r="B1605" s="3">
        <f t="shared" si="120"/>
        <v>7.0999999999999917</v>
      </c>
      <c r="C1605" s="553">
        <f>'Foglio deposito bis'!$E$159/sezione!$B$247*B1605</f>
        <v>28.823308492505433</v>
      </c>
      <c r="D1605" s="611">
        <f>-'Progetto del paramento slu'!$G$47*'Progetto del paramento slu'!$G$41*IF(DATI!$G$218="dx",DATI!$E$61,DATI!$E$64*DATI!$E$63)*1000*C1605^2*sezione!$AD$5*(1-sezione!$AD$6)</f>
        <v>-6839006.3823344996</v>
      </c>
      <c r="E1605" s="553">
        <f>-'Foglio deposito bis'!$F$68*(C1605-sezione!$AL$33)*IF(ABS(K1605)&lt;'Progetto del paramento slu'!$G$58,ABS(K1605)*'Progetto del paramento slu'!$G$54,'Progetto del paramento slu'!$G$53)</f>
        <v>0</v>
      </c>
      <c r="F1605" s="553">
        <f>-'Foglio deposito bis'!$F$69*(C1605-sezione!$AM$33)*IF(ABS(L1605)&lt;'Progetto del paramento slu'!$G$58,ABS(L1605)*'Progetto del paramento slu'!$G$54,'Progetto del paramento slu'!$G$53)</f>
        <v>18620599.10019758</v>
      </c>
      <c r="G1605" s="553">
        <f>-'Foglio deposito bis'!$F$70*(C1605-sezione!$AN$33)*IF(ABS(M1605)&lt;'Progetto del paramento slu'!$G$58,ABS(M1605)*'Progetto del paramento slu'!$G$54,'Progetto del paramento slu'!$G$53)</f>
        <v>0</v>
      </c>
      <c r="H1605" s="553">
        <f>-'Foglio deposito bis'!$F$71*(C1605-sezione!$AO$33)*IF(ABS(N1605)&lt;'Progetto del paramento slu'!$G$58,ABS(N1605)*'Progetto del paramento slu'!$G$54,'Progetto del paramento slu'!$G$53)</f>
        <v>97929056.523964122</v>
      </c>
      <c r="I1605" s="479">
        <f>-'Foglio deposito bis'!$F$72*(C1605-sezione!$AP$33)*IF(ABS(O1605)&lt;'Progetto del paramento slu'!$G$58,ABS(O1605)*'Progetto del paramento slu'!$G$54,'Progetto del paramento slu'!$G$53)</f>
        <v>113678890.42940256</v>
      </c>
      <c r="J1605" s="479">
        <f t="shared" si="116"/>
        <v>223389539.67122978</v>
      </c>
      <c r="K1605" s="558">
        <f>'Progetto del paramento slu'!$G$60*(sezione!$AL$33-C1605)/C1605</f>
        <v>1.3571800852217385E-3</v>
      </c>
      <c r="L1605" s="558">
        <f>'Progetto del paramento slu'!$G$60*(sezione!$AM$33-C1605)/C1605</f>
        <v>1.4714425319581519E-2</v>
      </c>
      <c r="M1605" s="559">
        <f>'Progetto del paramento slu'!$G$60*(sezione!$AN$33-C1605)/C1605</f>
        <v>2.8071670553941303E-2</v>
      </c>
      <c r="N1605" s="559">
        <f>'Progetto del paramento slu'!$G$60*(sezione!$AO$33-C1605)/C1605</f>
        <v>3.778603072438478E-2</v>
      </c>
      <c r="O1605" s="559">
        <f>'Progetto del paramento slu'!$G$60*(sezione!$AP$33-C1605)/C1605</f>
        <v>2.8072397379567016E-2</v>
      </c>
      <c r="P1605" s="553">
        <f>-'Progetto del paramento slu'!$G$47*'Progetto del paramento slu'!$G$41*IF(DATI!$G$218="dx",DATI!$E$61,DATI!$E$64*DATI!$E$63)*1000*C1605*sezione!$AD$5</f>
        <v>-406290.1859464224</v>
      </c>
      <c r="Q1605" s="553">
        <f>'Foglio deposito bis'!$F$68*IF(ABS(K1605)&lt;'Progetto del paramento slu'!$G$58,ABS(K1605)*'Progetto del paramento slu'!$G$54,'Progetto del paramento slu'!$G$53)*IF(K1605&lt;0,-1,1)</f>
        <v>0</v>
      </c>
      <c r="R1605" s="553">
        <f>'Foglio deposito bis'!$F$69*IF(ABS(L1605)&lt;'Progetto del paramento slu'!$G$58,ABS(L1605)*'Progetto del paramento slu'!$G$54,'Progetto del paramento slu'!$G$53)*IF(L1605&lt;0,-1,1)</f>
        <v>153664.85805602249</v>
      </c>
      <c r="S1605" s="553">
        <f>'Foglio deposito bis'!$F$70*IF(ABS(M1605)&lt;'Progetto del paramento slu'!$G$58,ABS(M1605)*'Progetto del paramento slu'!$G$54,'Progetto del paramento slu'!$G$53)*IF(M1605&lt;0,-1,1)</f>
        <v>0</v>
      </c>
      <c r="T1605" s="553">
        <f>'Foglio deposito bis'!$F$71*IF(ABS(N1605)&lt;'Progetto del paramento slu'!$G$58,ABS(N1605)*'Progetto del paramento slu'!$G$54,'Progetto del paramento slu'!$G$53)*IF(N1605&lt;0,-1,1)</f>
        <v>314705.62929873407</v>
      </c>
      <c r="U1605" s="553">
        <f>'Foglio deposito bis'!$F$72*IF(ABS(O1605)&lt;'Progetto del paramento slu'!$G$58,ABS(O1605)*'Progetto del paramento slu'!$G$54,'Progetto del paramento slu'!$G$53)*IF(O1605&lt;0,-1,1)</f>
        <v>491727.54577927204</v>
      </c>
      <c r="V1605" s="479">
        <f t="shared" si="118"/>
        <v>553807.84718760615</v>
      </c>
      <c r="W1605" s="559"/>
      <c r="X1605" s="559"/>
    </row>
    <row r="1606" spans="1:24" x14ac:dyDescent="0.25">
      <c r="A1606" s="553">
        <f t="shared" si="117"/>
        <v>542363.05321728438</v>
      </c>
      <c r="B1606" s="3">
        <f t="shared" si="120"/>
        <v>7.2999999999999918</v>
      </c>
      <c r="C1606" s="553">
        <f>'Foglio deposito bis'!$E$159/sezione!$B$247*B1606</f>
        <v>29.63523267539291</v>
      </c>
      <c r="D1606" s="611">
        <f>-'Progetto del paramento slu'!$G$47*'Progetto del paramento slu'!$G$41*IF(DATI!$G$218="dx",DATI!$E$61,DATI!$E$64*DATI!$E$63)*1000*C1606^2*sezione!$AD$5*(1-sezione!$AD$6)</f>
        <v>-7229729.2226662468</v>
      </c>
      <c r="E1606" s="553">
        <f>-'Foglio deposito bis'!$F$68*(C1606-sezione!$AL$33)*IF(ABS(K1606)&lt;'Progetto del paramento slu'!$G$58,ABS(K1606)*'Progetto del paramento slu'!$G$54,'Progetto del paramento slu'!$G$53)</f>
        <v>0</v>
      </c>
      <c r="F1606" s="553">
        <f>-'Foglio deposito bis'!$F$69*(C1606-sezione!$AM$33)*IF(ABS(L1606)&lt;'Progetto del paramento slu'!$G$58,ABS(L1606)*'Progetto del paramento slu'!$G$54,'Progetto del paramento slu'!$G$53)</f>
        <v>18495834.885881923</v>
      </c>
      <c r="G1606" s="553">
        <f>-'Foglio deposito bis'!$F$70*(C1606-sezione!$AN$33)*IF(ABS(M1606)&lt;'Progetto del paramento slu'!$G$58,ABS(M1606)*'Progetto del paramento slu'!$G$54,'Progetto del paramento slu'!$G$53)</f>
        <v>0</v>
      </c>
      <c r="H1606" s="553">
        <f>-'Foglio deposito bis'!$F$71*(C1606-sezione!$AO$33)*IF(ABS(N1606)&lt;'Progetto del paramento slu'!$G$58,ABS(N1606)*'Progetto del paramento slu'!$G$54,'Progetto del paramento slu'!$G$53)</f>
        <v>97673539.41304566</v>
      </c>
      <c r="I1606" s="479">
        <f>-'Foglio deposito bis'!$F$72*(C1606-sezione!$AP$33)*IF(ABS(O1606)&lt;'Progetto del paramento slu'!$G$58,ABS(O1606)*'Progetto del paramento slu'!$G$54,'Progetto del paramento slu'!$G$53)</f>
        <v>113279644.94359247</v>
      </c>
      <c r="J1606" s="479">
        <f t="shared" si="116"/>
        <v>222219290.01985383</v>
      </c>
      <c r="K1606" s="558">
        <f>'Progetto del paramento slu'!$G$60*(sezione!$AL$33-C1606)/C1606</f>
        <v>1.2241066582293623E-3</v>
      </c>
      <c r="L1606" s="558">
        <f>'Progetto del paramento slu'!$G$60*(sezione!$AM$33-C1606)/C1606</f>
        <v>1.4215399968360107E-2</v>
      </c>
      <c r="M1606" s="559">
        <f>'Progetto del paramento slu'!$G$60*(sezione!$AN$33-C1606)/C1606</f>
        <v>2.7206693278490856E-2</v>
      </c>
      <c r="N1606" s="559">
        <f>'Progetto del paramento slu'!$G$60*(sezione!$AO$33-C1606)/C1606</f>
        <v>3.6654906594949577E-2</v>
      </c>
      <c r="O1606" s="559">
        <f>'Progetto del paramento slu'!$G$60*(sezione!$AP$33-C1606)/C1606</f>
        <v>2.7207400191085727E-2</v>
      </c>
      <c r="P1606" s="553">
        <f>-'Progetto del paramento slu'!$G$47*'Progetto del paramento slu'!$G$41*IF(DATI!$G$218="dx",DATI!$E$61,DATI!$E$64*DATI!$E$63)*1000*C1606*sezione!$AD$5</f>
        <v>-417734.97991674417</v>
      </c>
      <c r="Q1606" s="553">
        <f>'Foglio deposito bis'!$F$68*IF(ABS(K1606)&lt;'Progetto del paramento slu'!$G$58,ABS(K1606)*'Progetto del paramento slu'!$G$54,'Progetto del paramento slu'!$G$53)*IF(K1606&lt;0,-1,1)</f>
        <v>0</v>
      </c>
      <c r="R1606" s="553">
        <f>'Foglio deposito bis'!$F$69*IF(ABS(L1606)&lt;'Progetto del paramento slu'!$G$58,ABS(L1606)*'Progetto del paramento slu'!$G$54,'Progetto del paramento slu'!$G$53)*IF(L1606&lt;0,-1,1)</f>
        <v>153664.85805602249</v>
      </c>
      <c r="S1606" s="553">
        <f>'Foglio deposito bis'!$F$70*IF(ABS(M1606)&lt;'Progetto del paramento slu'!$G$58,ABS(M1606)*'Progetto del paramento slu'!$G$54,'Progetto del paramento slu'!$G$53)*IF(M1606&lt;0,-1,1)</f>
        <v>0</v>
      </c>
      <c r="T1606" s="553">
        <f>'Foglio deposito bis'!$F$71*IF(ABS(N1606)&lt;'Progetto del paramento slu'!$G$58,ABS(N1606)*'Progetto del paramento slu'!$G$54,'Progetto del paramento slu'!$G$53)*IF(N1606&lt;0,-1,1)</f>
        <v>314705.62929873407</v>
      </c>
      <c r="U1606" s="553">
        <f>'Foglio deposito bis'!$F$72*IF(ABS(O1606)&lt;'Progetto del paramento slu'!$G$58,ABS(O1606)*'Progetto del paramento slu'!$G$54,'Progetto del paramento slu'!$G$53)*IF(O1606&lt;0,-1,1)</f>
        <v>491727.54577927204</v>
      </c>
      <c r="V1606" s="479">
        <f t="shared" si="118"/>
        <v>542363.05321728438</v>
      </c>
      <c r="W1606" s="559"/>
      <c r="X1606" s="559"/>
    </row>
    <row r="1607" spans="1:24" x14ac:dyDescent="0.25">
      <c r="A1607" s="553">
        <f t="shared" si="117"/>
        <v>530918.25924696261</v>
      </c>
      <c r="B1607" s="3">
        <f t="shared" si="120"/>
        <v>7.499999999999992</v>
      </c>
      <c r="C1607" s="553">
        <f>'Foglio deposito bis'!$E$159/sezione!$B$247*B1607</f>
        <v>30.44715685828039</v>
      </c>
      <c r="D1607" s="611">
        <f>-'Progetto del paramento slu'!$G$47*'Progetto del paramento slu'!$G$41*IF(DATI!$G$218="dx",DATI!$E$61,DATI!$E$64*DATI!$E$63)*1000*C1607^2*sezione!$AD$5*(1-sezione!$AD$6)</f>
        <v>-7631305.4752294328</v>
      </c>
      <c r="E1607" s="553">
        <f>-'Foglio deposito bis'!$F$68*(C1607-sezione!$AL$33)*IF(ABS(K1607)&lt;'Progetto del paramento slu'!$G$58,ABS(K1607)*'Progetto del paramento slu'!$G$54,'Progetto del paramento slu'!$G$53)</f>
        <v>0</v>
      </c>
      <c r="F1607" s="553">
        <f>-'Foglio deposito bis'!$F$69*(C1607-sezione!$AM$33)*IF(ABS(L1607)&lt;'Progetto del paramento slu'!$G$58,ABS(L1607)*'Progetto del paramento slu'!$G$54,'Progetto del paramento slu'!$G$53)</f>
        <v>18371070.671566267</v>
      </c>
      <c r="G1607" s="553">
        <f>-'Foglio deposito bis'!$F$70*(C1607-sezione!$AN$33)*IF(ABS(M1607)&lt;'Progetto del paramento slu'!$G$58,ABS(M1607)*'Progetto del paramento slu'!$G$54,'Progetto del paramento slu'!$G$53)</f>
        <v>0</v>
      </c>
      <c r="H1607" s="553">
        <f>-'Foglio deposito bis'!$F$71*(C1607-sezione!$AO$33)*IF(ABS(N1607)&lt;'Progetto del paramento slu'!$G$58,ABS(N1607)*'Progetto del paramento slu'!$G$54,'Progetto del paramento slu'!$G$53)</f>
        <v>97418022.302127197</v>
      </c>
      <c r="I1607" s="479">
        <f>-'Foglio deposito bis'!$F$72*(C1607-sezione!$AP$33)*IF(ABS(O1607)&lt;'Progetto del paramento slu'!$G$58,ABS(O1607)*'Progetto del paramento slu'!$G$54,'Progetto del paramento slu'!$G$53)</f>
        <v>112880399.45778236</v>
      </c>
      <c r="J1607" s="479">
        <f t="shared" si="116"/>
        <v>221038186.95624638</v>
      </c>
      <c r="K1607" s="558">
        <f>'Progetto del paramento slu'!$G$60*(sezione!$AL$33-C1607)/C1607</f>
        <v>1.0981304806765787E-3</v>
      </c>
      <c r="L1607" s="558">
        <f>'Progetto del paramento slu'!$G$60*(sezione!$AM$33-C1607)/C1607</f>
        <v>1.374298930253717E-2</v>
      </c>
      <c r="M1607" s="559">
        <f>'Progetto del paramento slu'!$G$60*(sezione!$AN$33-C1607)/C1607</f>
        <v>2.6387848124397765E-2</v>
      </c>
      <c r="N1607" s="559">
        <f>'Progetto del paramento slu'!$G$60*(sezione!$AO$33-C1607)/C1607</f>
        <v>3.5584109085750916E-2</v>
      </c>
      <c r="O1607" s="559">
        <f>'Progetto del paramento slu'!$G$60*(sezione!$AP$33-C1607)/C1607</f>
        <v>2.6388536185990102E-2</v>
      </c>
      <c r="P1607" s="553">
        <f>-'Progetto del paramento slu'!$G$47*'Progetto del paramento slu'!$G$41*IF(DATI!$G$218="dx",DATI!$E$61,DATI!$E$64*DATI!$E$63)*1000*C1607*sezione!$AD$5</f>
        <v>-429179.77388706594</v>
      </c>
      <c r="Q1607" s="553">
        <f>'Foglio deposito bis'!$F$68*IF(ABS(K1607)&lt;'Progetto del paramento slu'!$G$58,ABS(K1607)*'Progetto del paramento slu'!$G$54,'Progetto del paramento slu'!$G$53)*IF(K1607&lt;0,-1,1)</f>
        <v>0</v>
      </c>
      <c r="R1607" s="553">
        <f>'Foglio deposito bis'!$F$69*IF(ABS(L1607)&lt;'Progetto del paramento slu'!$G$58,ABS(L1607)*'Progetto del paramento slu'!$G$54,'Progetto del paramento slu'!$G$53)*IF(L1607&lt;0,-1,1)</f>
        <v>153664.85805602249</v>
      </c>
      <c r="S1607" s="553">
        <f>'Foglio deposito bis'!$F$70*IF(ABS(M1607)&lt;'Progetto del paramento slu'!$G$58,ABS(M1607)*'Progetto del paramento slu'!$G$54,'Progetto del paramento slu'!$G$53)*IF(M1607&lt;0,-1,1)</f>
        <v>0</v>
      </c>
      <c r="T1607" s="553">
        <f>'Foglio deposito bis'!$F$71*IF(ABS(N1607)&lt;'Progetto del paramento slu'!$G$58,ABS(N1607)*'Progetto del paramento slu'!$G$54,'Progetto del paramento slu'!$G$53)*IF(N1607&lt;0,-1,1)</f>
        <v>314705.62929873407</v>
      </c>
      <c r="U1607" s="553">
        <f>'Foglio deposito bis'!$F$72*IF(ABS(O1607)&lt;'Progetto del paramento slu'!$G$58,ABS(O1607)*'Progetto del paramento slu'!$G$54,'Progetto del paramento slu'!$G$53)*IF(O1607&lt;0,-1,1)</f>
        <v>491727.54577927204</v>
      </c>
      <c r="V1607" s="479">
        <f t="shared" si="118"/>
        <v>530918.25924696261</v>
      </c>
      <c r="W1607" s="559"/>
      <c r="X1607" s="559"/>
    </row>
    <row r="1608" spans="1:24" x14ac:dyDescent="0.25">
      <c r="A1608" s="553">
        <f t="shared" si="117"/>
        <v>519473.4652766409</v>
      </c>
      <c r="B1608" s="3">
        <f t="shared" si="120"/>
        <v>7.6999999999999922</v>
      </c>
      <c r="C1608" s="553">
        <f>'Foglio deposito bis'!$E$159/sezione!$B$247*B1608</f>
        <v>31.259081041167867</v>
      </c>
      <c r="D1608" s="611">
        <f>-'Progetto del paramento slu'!$G$47*'Progetto del paramento slu'!$G$41*IF(DATI!$G$218="dx",DATI!$E$61,DATI!$E$64*DATI!$E$63)*1000*C1608^2*sezione!$AD$5*(1-sezione!$AD$6)</f>
        <v>-8043735.1400240548</v>
      </c>
      <c r="E1608" s="553">
        <f>-'Foglio deposito bis'!$F$68*(C1608-sezione!$AL$33)*IF(ABS(K1608)&lt;'Progetto del paramento slu'!$G$58,ABS(K1608)*'Progetto del paramento slu'!$G$54,'Progetto del paramento slu'!$G$53)</f>
        <v>0</v>
      </c>
      <c r="F1608" s="553">
        <f>-'Foglio deposito bis'!$F$69*(C1608-sezione!$AM$33)*IF(ABS(L1608)&lt;'Progetto del paramento slu'!$G$58,ABS(L1608)*'Progetto del paramento slu'!$G$54,'Progetto del paramento slu'!$G$53)</f>
        <v>18246306.45725061</v>
      </c>
      <c r="G1608" s="553">
        <f>-'Foglio deposito bis'!$F$70*(C1608-sezione!$AN$33)*IF(ABS(M1608)&lt;'Progetto del paramento slu'!$G$58,ABS(M1608)*'Progetto del paramento slu'!$G$54,'Progetto del paramento slu'!$G$53)</f>
        <v>0</v>
      </c>
      <c r="H1608" s="553">
        <f>-'Foglio deposito bis'!$F$71*(C1608-sezione!$AO$33)*IF(ABS(N1608)&lt;'Progetto del paramento slu'!$G$58,ABS(N1608)*'Progetto del paramento slu'!$G$54,'Progetto del paramento slu'!$G$53)</f>
        <v>97162505.191208735</v>
      </c>
      <c r="I1608" s="479">
        <f>-'Foglio deposito bis'!$F$72*(C1608-sezione!$AP$33)*IF(ABS(O1608)&lt;'Progetto del paramento slu'!$G$58,ABS(O1608)*'Progetto del paramento slu'!$G$54,'Progetto del paramento slu'!$G$53)</f>
        <v>112481153.97197227</v>
      </c>
      <c r="J1608" s="479">
        <f t="shared" si="116"/>
        <v>219846230.48040757</v>
      </c>
      <c r="K1608" s="558">
        <f>'Progetto del paramento slu'!$G$60*(sezione!$AL$33-C1608)/C1608</f>
        <v>9.7869852013952462E-4</v>
      </c>
      <c r="L1608" s="558">
        <f>'Progetto del paramento slu'!$G$60*(sezione!$AM$33-C1608)/C1608</f>
        <v>1.3295119450523219E-2</v>
      </c>
      <c r="M1608" s="559">
        <f>'Progetto del paramento slu'!$G$60*(sezione!$AN$33-C1608)/C1608</f>
        <v>2.5611540380906912E-2</v>
      </c>
      <c r="N1608" s="559">
        <f>'Progetto del paramento slu'!$G$60*(sezione!$AO$33-C1608)/C1608</f>
        <v>3.4568937421185962E-2</v>
      </c>
      <c r="O1608" s="559">
        <f>'Progetto del paramento slu'!$G$60*(sezione!$AP$33-C1608)/C1608</f>
        <v>2.5612210570769581E-2</v>
      </c>
      <c r="P1608" s="553">
        <f>-'Progetto del paramento slu'!$G$47*'Progetto del paramento slu'!$G$41*IF(DATI!$G$218="dx",DATI!$E$61,DATI!$E$64*DATI!$E$63)*1000*C1608*sezione!$AD$5</f>
        <v>-440624.56785738771</v>
      </c>
      <c r="Q1608" s="553">
        <f>'Foglio deposito bis'!$F$68*IF(ABS(K1608)&lt;'Progetto del paramento slu'!$G$58,ABS(K1608)*'Progetto del paramento slu'!$G$54,'Progetto del paramento slu'!$G$53)*IF(K1608&lt;0,-1,1)</f>
        <v>0</v>
      </c>
      <c r="R1608" s="553">
        <f>'Foglio deposito bis'!$F$69*IF(ABS(L1608)&lt;'Progetto del paramento slu'!$G$58,ABS(L1608)*'Progetto del paramento slu'!$G$54,'Progetto del paramento slu'!$G$53)*IF(L1608&lt;0,-1,1)</f>
        <v>153664.85805602249</v>
      </c>
      <c r="S1608" s="553">
        <f>'Foglio deposito bis'!$F$70*IF(ABS(M1608)&lt;'Progetto del paramento slu'!$G$58,ABS(M1608)*'Progetto del paramento slu'!$G$54,'Progetto del paramento slu'!$G$53)*IF(M1608&lt;0,-1,1)</f>
        <v>0</v>
      </c>
      <c r="T1608" s="553">
        <f>'Foglio deposito bis'!$F$71*IF(ABS(N1608)&lt;'Progetto del paramento slu'!$G$58,ABS(N1608)*'Progetto del paramento slu'!$G$54,'Progetto del paramento slu'!$G$53)*IF(N1608&lt;0,-1,1)</f>
        <v>314705.62929873407</v>
      </c>
      <c r="U1608" s="553">
        <f>'Foglio deposito bis'!$F$72*IF(ABS(O1608)&lt;'Progetto del paramento slu'!$G$58,ABS(O1608)*'Progetto del paramento slu'!$G$54,'Progetto del paramento slu'!$G$53)*IF(O1608&lt;0,-1,1)</f>
        <v>491727.54577927204</v>
      </c>
      <c r="V1608" s="479">
        <f t="shared" si="118"/>
        <v>519473.4652766409</v>
      </c>
      <c r="W1608" s="559"/>
      <c r="X1608" s="559"/>
    </row>
    <row r="1609" spans="1:24" x14ac:dyDescent="0.25">
      <c r="A1609" s="553">
        <f t="shared" si="117"/>
        <v>508028.67130631913</v>
      </c>
      <c r="B1609" s="3">
        <f t="shared" si="120"/>
        <v>7.8999999999999924</v>
      </c>
      <c r="C1609" s="553">
        <f>'Foglio deposito bis'!$E$159/sezione!$B$247*B1609</f>
        <v>32.071005224055348</v>
      </c>
      <c r="D1609" s="611">
        <f>-'Progetto del paramento slu'!$G$47*'Progetto del paramento slu'!$G$41*IF(DATI!$G$218="dx",DATI!$E$61,DATI!$E$64*DATI!$E$63)*1000*C1609^2*sezione!$AD$5*(1-sezione!$AD$6)</f>
        <v>-8467018.2170501146</v>
      </c>
      <c r="E1609" s="553">
        <f>-'Foglio deposito bis'!$F$68*(C1609-sezione!$AL$33)*IF(ABS(K1609)&lt;'Progetto del paramento slu'!$G$58,ABS(K1609)*'Progetto del paramento slu'!$G$54,'Progetto del paramento slu'!$G$53)</f>
        <v>0</v>
      </c>
      <c r="F1609" s="553">
        <f>-'Foglio deposito bis'!$F$69*(C1609-sezione!$AM$33)*IF(ABS(L1609)&lt;'Progetto del paramento slu'!$G$58,ABS(L1609)*'Progetto del paramento slu'!$G$54,'Progetto del paramento slu'!$G$53)</f>
        <v>18121542.242934953</v>
      </c>
      <c r="G1609" s="553">
        <f>-'Foglio deposito bis'!$F$70*(C1609-sezione!$AN$33)*IF(ABS(M1609)&lt;'Progetto del paramento slu'!$G$58,ABS(M1609)*'Progetto del paramento slu'!$G$54,'Progetto del paramento slu'!$G$53)</f>
        <v>0</v>
      </c>
      <c r="H1609" s="553">
        <f>-'Foglio deposito bis'!$F$71*(C1609-sezione!$AO$33)*IF(ABS(N1609)&lt;'Progetto del paramento slu'!$G$58,ABS(N1609)*'Progetto del paramento slu'!$G$54,'Progetto del paramento slu'!$G$53)</f>
        <v>96906988.080290258</v>
      </c>
      <c r="I1609" s="479">
        <f>-'Foglio deposito bis'!$F$72*(C1609-sezione!$AP$33)*IF(ABS(O1609)&lt;'Progetto del paramento slu'!$G$58,ABS(O1609)*'Progetto del paramento slu'!$G$54,'Progetto del paramento slu'!$G$53)</f>
        <v>112081908.48616216</v>
      </c>
      <c r="J1609" s="479">
        <f t="shared" si="116"/>
        <v>218643420.59233725</v>
      </c>
      <c r="K1609" s="558">
        <f>'Progetto del paramento slu'!$G$60*(sezione!$AL$33-C1609)/C1609</f>
        <v>8.6531374747776408E-4</v>
      </c>
      <c r="L1609" s="558">
        <f>'Progetto del paramento slu'!$G$60*(sezione!$AM$33-C1609)/C1609</f>
        <v>1.2869926553041616E-2</v>
      </c>
      <c r="M1609" s="559">
        <f>'Progetto del paramento slu'!$G$60*(sezione!$AN$33-C1609)/C1609</f>
        <v>2.4874539358605469E-2</v>
      </c>
      <c r="N1609" s="559">
        <f>'Progetto del paramento slu'!$G$60*(sezione!$AO$33-C1609)/C1609</f>
        <v>3.3605166853560992E-2</v>
      </c>
      <c r="O1609" s="559">
        <f>'Progetto del paramento slu'!$G$60*(sezione!$AP$33-C1609)/C1609</f>
        <v>2.4875192581636171E-2</v>
      </c>
      <c r="P1609" s="553">
        <f>-'Progetto del paramento slu'!$G$47*'Progetto del paramento slu'!$G$41*IF(DATI!$G$218="dx",DATI!$E$61,DATI!$E$64*DATI!$E$63)*1000*C1609*sezione!$AD$5</f>
        <v>-452069.36182770948</v>
      </c>
      <c r="Q1609" s="553">
        <f>'Foglio deposito bis'!$F$68*IF(ABS(K1609)&lt;'Progetto del paramento slu'!$G$58,ABS(K1609)*'Progetto del paramento slu'!$G$54,'Progetto del paramento slu'!$G$53)*IF(K1609&lt;0,-1,1)</f>
        <v>0</v>
      </c>
      <c r="R1609" s="553">
        <f>'Foglio deposito bis'!$F$69*IF(ABS(L1609)&lt;'Progetto del paramento slu'!$G$58,ABS(L1609)*'Progetto del paramento slu'!$G$54,'Progetto del paramento slu'!$G$53)*IF(L1609&lt;0,-1,1)</f>
        <v>153664.85805602249</v>
      </c>
      <c r="S1609" s="553">
        <f>'Foglio deposito bis'!$F$70*IF(ABS(M1609)&lt;'Progetto del paramento slu'!$G$58,ABS(M1609)*'Progetto del paramento slu'!$G$54,'Progetto del paramento slu'!$G$53)*IF(M1609&lt;0,-1,1)</f>
        <v>0</v>
      </c>
      <c r="T1609" s="553">
        <f>'Foglio deposito bis'!$F$71*IF(ABS(N1609)&lt;'Progetto del paramento slu'!$G$58,ABS(N1609)*'Progetto del paramento slu'!$G$54,'Progetto del paramento slu'!$G$53)*IF(N1609&lt;0,-1,1)</f>
        <v>314705.62929873407</v>
      </c>
      <c r="U1609" s="553">
        <f>'Foglio deposito bis'!$F$72*IF(ABS(O1609)&lt;'Progetto del paramento slu'!$G$58,ABS(O1609)*'Progetto del paramento slu'!$G$54,'Progetto del paramento slu'!$G$53)*IF(O1609&lt;0,-1,1)</f>
        <v>491727.54577927204</v>
      </c>
      <c r="V1609" s="479">
        <f t="shared" si="118"/>
        <v>508028.67130631913</v>
      </c>
      <c r="W1609" s="559"/>
      <c r="X1609" s="559"/>
    </row>
    <row r="1610" spans="1:24" x14ac:dyDescent="0.25">
      <c r="A1610" s="553">
        <f t="shared" si="117"/>
        <v>496583.87733599724</v>
      </c>
      <c r="B1610" s="3">
        <f t="shared" si="120"/>
        <v>8.0999999999999925</v>
      </c>
      <c r="C1610" s="553">
        <f>'Foglio deposito bis'!$E$159/sezione!$B$247*B1610</f>
        <v>32.882929406942829</v>
      </c>
      <c r="D1610" s="611">
        <f>-'Progetto del paramento slu'!$G$47*'Progetto del paramento slu'!$G$41*IF(DATI!$G$218="dx",DATI!$E$61,DATI!$E$64*DATI!$E$63)*1000*C1610^2*sezione!$AD$5*(1-sezione!$AD$6)</f>
        <v>-8901154.7063076142</v>
      </c>
      <c r="E1610" s="553">
        <f>-'Foglio deposito bis'!$F$68*(C1610-sezione!$AL$33)*IF(ABS(K1610)&lt;'Progetto del paramento slu'!$G$58,ABS(K1610)*'Progetto del paramento slu'!$G$54,'Progetto del paramento slu'!$G$53)</f>
        <v>0</v>
      </c>
      <c r="F1610" s="553">
        <f>-'Foglio deposito bis'!$F$69*(C1610-sezione!$AM$33)*IF(ABS(L1610)&lt;'Progetto del paramento slu'!$G$58,ABS(L1610)*'Progetto del paramento slu'!$G$54,'Progetto del paramento slu'!$G$53)</f>
        <v>17996778.028619297</v>
      </c>
      <c r="G1610" s="553">
        <f>-'Foglio deposito bis'!$F$70*(C1610-sezione!$AN$33)*IF(ABS(M1610)&lt;'Progetto del paramento slu'!$G$58,ABS(M1610)*'Progetto del paramento slu'!$G$54,'Progetto del paramento slu'!$G$53)</f>
        <v>0</v>
      </c>
      <c r="H1610" s="553">
        <f>-'Foglio deposito bis'!$F$71*(C1610-sezione!$AO$33)*IF(ABS(N1610)&lt;'Progetto del paramento slu'!$G$58,ABS(N1610)*'Progetto del paramento slu'!$G$54,'Progetto del paramento slu'!$G$53)</f>
        <v>96651470.969371796</v>
      </c>
      <c r="I1610" s="479">
        <f>-'Foglio deposito bis'!$F$72*(C1610-sezione!$AP$33)*IF(ABS(O1610)&lt;'Progetto del paramento slu'!$G$58,ABS(O1610)*'Progetto del paramento slu'!$G$54,'Progetto del paramento slu'!$G$53)</f>
        <v>111682663.00035205</v>
      </c>
      <c r="J1610" s="479">
        <f t="shared" si="116"/>
        <v>217429757.29203552</v>
      </c>
      <c r="K1610" s="558">
        <f>'Progetto del paramento slu'!$G$60*(sezione!$AL$33-C1610)/C1610</f>
        <v>7.5752822284868313E-4</v>
      </c>
      <c r="L1610" s="558">
        <f>'Progetto del paramento slu'!$G$60*(sezione!$AM$33-C1610)/C1610</f>
        <v>1.2465730835682563E-2</v>
      </c>
      <c r="M1610" s="559">
        <f>'Progetto del paramento slu'!$G$60*(sezione!$AN$33-C1610)/C1610</f>
        <v>2.4173933448516441E-2</v>
      </c>
      <c r="N1610" s="559">
        <f>'Progetto del paramento slu'!$G$60*(sezione!$AO$33-C1610)/C1610</f>
        <v>3.2688989894213809E-2</v>
      </c>
      <c r="O1610" s="559">
        <f>'Progetto del paramento slu'!$G$60*(sezione!$AP$33-C1610)/C1610</f>
        <v>2.4174570542583425E-2</v>
      </c>
      <c r="P1610" s="553">
        <f>-'Progetto del paramento slu'!$G$47*'Progetto del paramento slu'!$G$41*IF(DATI!$G$218="dx",DATI!$E$61,DATI!$E$64*DATI!$E$63)*1000*C1610*sezione!$AD$5</f>
        <v>-463514.15579803137</v>
      </c>
      <c r="Q1610" s="553">
        <f>'Foglio deposito bis'!$F$68*IF(ABS(K1610)&lt;'Progetto del paramento slu'!$G$58,ABS(K1610)*'Progetto del paramento slu'!$G$54,'Progetto del paramento slu'!$G$53)*IF(K1610&lt;0,-1,1)</f>
        <v>0</v>
      </c>
      <c r="R1610" s="553">
        <f>'Foglio deposito bis'!$F$69*IF(ABS(L1610)&lt;'Progetto del paramento slu'!$G$58,ABS(L1610)*'Progetto del paramento slu'!$G$54,'Progetto del paramento slu'!$G$53)*IF(L1610&lt;0,-1,1)</f>
        <v>153664.85805602249</v>
      </c>
      <c r="S1610" s="553">
        <f>'Foglio deposito bis'!$F$70*IF(ABS(M1610)&lt;'Progetto del paramento slu'!$G$58,ABS(M1610)*'Progetto del paramento slu'!$G$54,'Progetto del paramento slu'!$G$53)*IF(M1610&lt;0,-1,1)</f>
        <v>0</v>
      </c>
      <c r="T1610" s="553">
        <f>'Foglio deposito bis'!$F$71*IF(ABS(N1610)&lt;'Progetto del paramento slu'!$G$58,ABS(N1610)*'Progetto del paramento slu'!$G$54,'Progetto del paramento slu'!$G$53)*IF(N1610&lt;0,-1,1)</f>
        <v>314705.62929873407</v>
      </c>
      <c r="U1610" s="553">
        <f>'Foglio deposito bis'!$F$72*IF(ABS(O1610)&lt;'Progetto del paramento slu'!$G$58,ABS(O1610)*'Progetto del paramento slu'!$G$54,'Progetto del paramento slu'!$G$53)*IF(O1610&lt;0,-1,1)</f>
        <v>491727.54577927204</v>
      </c>
      <c r="V1610" s="479">
        <f t="shared" si="118"/>
        <v>496583.87733599724</v>
      </c>
      <c r="W1610" s="559"/>
      <c r="X1610" s="559"/>
    </row>
    <row r="1611" spans="1:24" x14ac:dyDescent="0.25">
      <c r="A1611" s="553">
        <f t="shared" si="117"/>
        <v>485139.08336567559</v>
      </c>
      <c r="B1611" s="3">
        <f t="shared" si="120"/>
        <v>8.2999999999999918</v>
      </c>
      <c r="C1611" s="553">
        <f>'Foglio deposito bis'!$E$159/sezione!$B$247*B1611</f>
        <v>33.694853589830302</v>
      </c>
      <c r="D1611" s="611">
        <f>-'Progetto del paramento slu'!$G$47*'Progetto del paramento slu'!$G$41*IF(DATI!$G$218="dx",DATI!$E$61,DATI!$E$64*DATI!$E$63)*1000*C1611^2*sezione!$AD$5*(1-sezione!$AD$6)</f>
        <v>-9346144.6077965461</v>
      </c>
      <c r="E1611" s="553">
        <f>-'Foglio deposito bis'!$F$68*(C1611-sezione!$AL$33)*IF(ABS(K1611)&lt;'Progetto del paramento slu'!$G$58,ABS(K1611)*'Progetto del paramento slu'!$G$54,'Progetto del paramento slu'!$G$53)</f>
        <v>0</v>
      </c>
      <c r="F1611" s="553">
        <f>-'Foglio deposito bis'!$F$69*(C1611-sezione!$AM$33)*IF(ABS(L1611)&lt;'Progetto del paramento slu'!$G$58,ABS(L1611)*'Progetto del paramento slu'!$G$54,'Progetto del paramento slu'!$G$53)</f>
        <v>17872013.81430364</v>
      </c>
      <c r="G1611" s="553">
        <f>-'Foglio deposito bis'!$F$70*(C1611-sezione!$AN$33)*IF(ABS(M1611)&lt;'Progetto del paramento slu'!$G$58,ABS(M1611)*'Progetto del paramento slu'!$G$54,'Progetto del paramento slu'!$G$53)</f>
        <v>0</v>
      </c>
      <c r="H1611" s="553">
        <f>-'Foglio deposito bis'!$F$71*(C1611-sezione!$AO$33)*IF(ABS(N1611)&lt;'Progetto del paramento slu'!$G$58,ABS(N1611)*'Progetto del paramento slu'!$G$54,'Progetto del paramento slu'!$G$53)</f>
        <v>96395953.858453348</v>
      </c>
      <c r="I1611" s="479">
        <f>-'Foglio deposito bis'!$F$72*(C1611-sezione!$AP$33)*IF(ABS(O1611)&lt;'Progetto del paramento slu'!$G$58,ABS(O1611)*'Progetto del paramento slu'!$G$54,'Progetto del paramento slu'!$G$53)</f>
        <v>111283417.51454197</v>
      </c>
      <c r="J1611" s="479">
        <f t="shared" si="116"/>
        <v>216205240.5795024</v>
      </c>
      <c r="K1611" s="558">
        <f>'Progetto del paramento slu'!$G$60*(sezione!$AL$33-C1611)/C1611</f>
        <v>6.5493718133425747E-4</v>
      </c>
      <c r="L1611" s="558">
        <f>'Progetto del paramento slu'!$G$60*(sezione!$AM$33-C1611)/C1611</f>
        <v>1.2081014430003464E-2</v>
      </c>
      <c r="M1611" s="559">
        <f>'Progetto del paramento slu'!$G$60*(sezione!$AN$33-C1611)/C1611</f>
        <v>2.3507091678672674E-2</v>
      </c>
      <c r="N1611" s="559">
        <f>'Progetto del paramento slu'!$G$60*(sezione!$AO$33-C1611)/C1611</f>
        <v>3.1816966041341189E-2</v>
      </c>
      <c r="O1611" s="559">
        <f>'Progetto del paramento slu'!$G$60*(sezione!$AP$33-C1611)/C1611</f>
        <v>2.3507713421075393E-2</v>
      </c>
      <c r="P1611" s="553">
        <f>-'Progetto del paramento slu'!$G$47*'Progetto del paramento slu'!$G$41*IF(DATI!$G$218="dx",DATI!$E$61,DATI!$E$64*DATI!$E$63)*1000*C1611*sezione!$AD$5</f>
        <v>-474958.94976835302</v>
      </c>
      <c r="Q1611" s="553">
        <f>'Foglio deposito bis'!$F$68*IF(ABS(K1611)&lt;'Progetto del paramento slu'!$G$58,ABS(K1611)*'Progetto del paramento slu'!$G$54,'Progetto del paramento slu'!$G$53)*IF(K1611&lt;0,-1,1)</f>
        <v>0</v>
      </c>
      <c r="R1611" s="553">
        <f>'Foglio deposito bis'!$F$69*IF(ABS(L1611)&lt;'Progetto del paramento slu'!$G$58,ABS(L1611)*'Progetto del paramento slu'!$G$54,'Progetto del paramento slu'!$G$53)*IF(L1611&lt;0,-1,1)</f>
        <v>153664.85805602249</v>
      </c>
      <c r="S1611" s="553">
        <f>'Foglio deposito bis'!$F$70*IF(ABS(M1611)&lt;'Progetto del paramento slu'!$G$58,ABS(M1611)*'Progetto del paramento slu'!$G$54,'Progetto del paramento slu'!$G$53)*IF(M1611&lt;0,-1,1)</f>
        <v>0</v>
      </c>
      <c r="T1611" s="553">
        <f>'Foglio deposito bis'!$F$71*IF(ABS(N1611)&lt;'Progetto del paramento slu'!$G$58,ABS(N1611)*'Progetto del paramento slu'!$G$54,'Progetto del paramento slu'!$G$53)*IF(N1611&lt;0,-1,1)</f>
        <v>314705.62929873407</v>
      </c>
      <c r="U1611" s="553">
        <f>'Foglio deposito bis'!$F$72*IF(ABS(O1611)&lt;'Progetto del paramento slu'!$G$58,ABS(O1611)*'Progetto del paramento slu'!$G$54,'Progetto del paramento slu'!$G$53)*IF(O1611&lt;0,-1,1)</f>
        <v>491727.54577927204</v>
      </c>
      <c r="V1611" s="479">
        <f t="shared" si="118"/>
        <v>485139.08336567559</v>
      </c>
      <c r="W1611" s="559"/>
      <c r="X1611" s="559"/>
    </row>
    <row r="1612" spans="1:24" x14ac:dyDescent="0.25">
      <c r="A1612" s="553">
        <f t="shared" si="117"/>
        <v>473694.28939535387</v>
      </c>
      <c r="B1612" s="3">
        <f t="shared" si="120"/>
        <v>8.4999999999999911</v>
      </c>
      <c r="C1612" s="553">
        <f>'Foglio deposito bis'!$E$159/sezione!$B$247*B1612</f>
        <v>34.506777772717776</v>
      </c>
      <c r="D1612" s="611">
        <f>-'Progetto del paramento slu'!$G$47*'Progetto del paramento slu'!$G$41*IF(DATI!$G$218="dx",DATI!$E$61,DATI!$E$64*DATI!$E$63)*1000*C1612^2*sezione!$AD$5*(1-sezione!$AD$6)</f>
        <v>-9801987.9215169158</v>
      </c>
      <c r="E1612" s="553">
        <f>-'Foglio deposito bis'!$F$68*(C1612-sezione!$AL$33)*IF(ABS(K1612)&lt;'Progetto del paramento slu'!$G$58,ABS(K1612)*'Progetto del paramento slu'!$G$54,'Progetto del paramento slu'!$G$53)</f>
        <v>0</v>
      </c>
      <c r="F1612" s="553">
        <f>-'Foglio deposito bis'!$F$69*(C1612-sezione!$AM$33)*IF(ABS(L1612)&lt;'Progetto del paramento slu'!$G$58,ABS(L1612)*'Progetto del paramento slu'!$G$54,'Progetto del paramento slu'!$G$53)</f>
        <v>17747249.599987984</v>
      </c>
      <c r="G1612" s="553">
        <f>-'Foglio deposito bis'!$F$70*(C1612-sezione!$AN$33)*IF(ABS(M1612)&lt;'Progetto del paramento slu'!$G$58,ABS(M1612)*'Progetto del paramento slu'!$G$54,'Progetto del paramento slu'!$G$53)</f>
        <v>0</v>
      </c>
      <c r="H1612" s="553">
        <f>-'Foglio deposito bis'!$F$71*(C1612-sezione!$AO$33)*IF(ABS(N1612)&lt;'Progetto del paramento slu'!$G$58,ABS(N1612)*'Progetto del paramento slu'!$G$54,'Progetto del paramento slu'!$G$53)</f>
        <v>96140436.747534871</v>
      </c>
      <c r="I1612" s="479">
        <f>-'Foglio deposito bis'!$F$72*(C1612-sezione!$AP$33)*IF(ABS(O1612)&lt;'Progetto del paramento slu'!$G$58,ABS(O1612)*'Progetto del paramento slu'!$G$54,'Progetto del paramento slu'!$G$53)</f>
        <v>110884172.02873185</v>
      </c>
      <c r="J1612" s="479">
        <f t="shared" si="116"/>
        <v>214969870.45473778</v>
      </c>
      <c r="K1612" s="558">
        <f>'Progetto del paramento slu'!$G$60*(sezione!$AL$33-C1612)/C1612</f>
        <v>5.5717395353815772E-4</v>
      </c>
      <c r="L1612" s="558">
        <f>'Progetto del paramento slu'!$G$60*(sezione!$AM$33-C1612)/C1612</f>
        <v>1.171440232576809E-2</v>
      </c>
      <c r="M1612" s="559">
        <f>'Progetto del paramento slu'!$G$60*(sezione!$AN$33-C1612)/C1612</f>
        <v>2.2871630697998024E-2</v>
      </c>
      <c r="N1612" s="559">
        <f>'Progetto del paramento slu'!$G$60*(sezione!$AO$33-C1612)/C1612</f>
        <v>3.0985978605074339E-2</v>
      </c>
      <c r="O1612" s="559">
        <f>'Progetto del paramento slu'!$G$60*(sezione!$AP$33-C1612)/C1612</f>
        <v>2.2872237811167737E-2</v>
      </c>
      <c r="P1612" s="553">
        <f>-'Progetto del paramento slu'!$G$47*'Progetto del paramento slu'!$G$41*IF(DATI!$G$218="dx",DATI!$E$61,DATI!$E$64*DATI!$E$63)*1000*C1612*sezione!$AD$5</f>
        <v>-486403.74373867473</v>
      </c>
      <c r="Q1612" s="553">
        <f>'Foglio deposito bis'!$F$68*IF(ABS(K1612)&lt;'Progetto del paramento slu'!$G$58,ABS(K1612)*'Progetto del paramento slu'!$G$54,'Progetto del paramento slu'!$G$53)*IF(K1612&lt;0,-1,1)</f>
        <v>0</v>
      </c>
      <c r="R1612" s="553">
        <f>'Foglio deposito bis'!$F$69*IF(ABS(L1612)&lt;'Progetto del paramento slu'!$G$58,ABS(L1612)*'Progetto del paramento slu'!$G$54,'Progetto del paramento slu'!$G$53)*IF(L1612&lt;0,-1,1)</f>
        <v>153664.85805602249</v>
      </c>
      <c r="S1612" s="553">
        <f>'Foglio deposito bis'!$F$70*IF(ABS(M1612)&lt;'Progetto del paramento slu'!$G$58,ABS(M1612)*'Progetto del paramento slu'!$G$54,'Progetto del paramento slu'!$G$53)*IF(M1612&lt;0,-1,1)</f>
        <v>0</v>
      </c>
      <c r="T1612" s="553">
        <f>'Foglio deposito bis'!$F$71*IF(ABS(N1612)&lt;'Progetto del paramento slu'!$G$58,ABS(N1612)*'Progetto del paramento slu'!$G$54,'Progetto del paramento slu'!$G$53)*IF(N1612&lt;0,-1,1)</f>
        <v>314705.62929873407</v>
      </c>
      <c r="U1612" s="553">
        <f>'Foglio deposito bis'!$F$72*IF(ABS(O1612)&lt;'Progetto del paramento slu'!$G$58,ABS(O1612)*'Progetto del paramento slu'!$G$54,'Progetto del paramento slu'!$G$53)*IF(O1612&lt;0,-1,1)</f>
        <v>491727.54577927204</v>
      </c>
      <c r="V1612" s="479">
        <f t="shared" si="118"/>
        <v>473694.28939535387</v>
      </c>
      <c r="W1612" s="559"/>
      <c r="X1612" s="559"/>
    </row>
    <row r="1613" spans="1:24" x14ac:dyDescent="0.25">
      <c r="A1613" s="553">
        <f t="shared" si="117"/>
        <v>462249.4954250321</v>
      </c>
      <c r="B1613" s="3">
        <f t="shared" si="120"/>
        <v>8.6999999999999904</v>
      </c>
      <c r="C1613" s="553">
        <f>'Foglio deposito bis'!$E$159/sezione!$B$247*B1613</f>
        <v>35.318701955605249</v>
      </c>
      <c r="D1613" s="611">
        <f>-'Progetto del paramento slu'!$G$47*'Progetto del paramento slu'!$G$41*IF(DATI!$G$218="dx",DATI!$E$61,DATI!$E$64*DATI!$E$63)*1000*C1613^2*sezione!$AD$5*(1-sezione!$AD$6)</f>
        <v>-10268684.647468721</v>
      </c>
      <c r="E1613" s="553">
        <f>-'Foglio deposito bis'!$F$68*(C1613-sezione!$AL$33)*IF(ABS(K1613)&lt;'Progetto del paramento slu'!$G$58,ABS(K1613)*'Progetto del paramento slu'!$G$54,'Progetto del paramento slu'!$G$53)</f>
        <v>0</v>
      </c>
      <c r="F1613" s="553">
        <f>-'Foglio deposito bis'!$F$69*(C1613-sezione!$AM$33)*IF(ABS(L1613)&lt;'Progetto del paramento slu'!$G$58,ABS(L1613)*'Progetto del paramento slu'!$G$54,'Progetto del paramento slu'!$G$53)</f>
        <v>17622485.385672331</v>
      </c>
      <c r="G1613" s="553">
        <f>-'Foglio deposito bis'!$F$70*(C1613-sezione!$AN$33)*IF(ABS(M1613)&lt;'Progetto del paramento slu'!$G$58,ABS(M1613)*'Progetto del paramento slu'!$G$54,'Progetto del paramento slu'!$G$53)</f>
        <v>0</v>
      </c>
      <c r="H1613" s="553">
        <f>-'Foglio deposito bis'!$F$71*(C1613-sezione!$AO$33)*IF(ABS(N1613)&lt;'Progetto del paramento slu'!$G$58,ABS(N1613)*'Progetto del paramento slu'!$G$54,'Progetto del paramento slu'!$G$53)</f>
        <v>95884919.636616409</v>
      </c>
      <c r="I1613" s="479">
        <f>-'Foglio deposito bis'!$F$72*(C1613-sezione!$AP$33)*IF(ABS(O1613)&lt;'Progetto del paramento slu'!$G$58,ABS(O1613)*'Progetto del paramento slu'!$G$54,'Progetto del paramento slu'!$G$53)</f>
        <v>110484926.54292177</v>
      </c>
      <c r="J1613" s="479">
        <f t="shared" si="116"/>
        <v>213723646.91774178</v>
      </c>
      <c r="K1613" s="558">
        <f>'Progetto del paramento slu'!$G$60*(sezione!$AL$33-C1613)/C1613</f>
        <v>4.6390558679015447E-4</v>
      </c>
      <c r="L1613" s="558">
        <f>'Progetto del paramento slu'!$G$60*(sezione!$AM$33-C1613)/C1613</f>
        <v>1.1364645950463079E-2</v>
      </c>
      <c r="M1613" s="559">
        <f>'Progetto del paramento slu'!$G$60*(sezione!$AN$33-C1613)/C1613</f>
        <v>2.2265386314136004E-2</v>
      </c>
      <c r="N1613" s="559">
        <f>'Progetto del paramento slu'!$G$60*(sezione!$AO$33-C1613)/C1613</f>
        <v>3.019319748771631E-2</v>
      </c>
      <c r="O1613" s="559">
        <f>'Progetto del paramento slu'!$G$60*(sezione!$AP$33-C1613)/C1613</f>
        <v>2.2265979470681124E-2</v>
      </c>
      <c r="P1613" s="553">
        <f>-'Progetto del paramento slu'!$G$47*'Progetto del paramento slu'!$G$41*IF(DATI!$G$218="dx",DATI!$E$61,DATI!$E$64*DATI!$E$63)*1000*C1613*sezione!$AD$5</f>
        <v>-497848.5377089965</v>
      </c>
      <c r="Q1613" s="553">
        <f>'Foglio deposito bis'!$F$68*IF(ABS(K1613)&lt;'Progetto del paramento slu'!$G$58,ABS(K1613)*'Progetto del paramento slu'!$G$54,'Progetto del paramento slu'!$G$53)*IF(K1613&lt;0,-1,1)</f>
        <v>0</v>
      </c>
      <c r="R1613" s="553">
        <f>'Foglio deposito bis'!$F$69*IF(ABS(L1613)&lt;'Progetto del paramento slu'!$G$58,ABS(L1613)*'Progetto del paramento slu'!$G$54,'Progetto del paramento slu'!$G$53)*IF(L1613&lt;0,-1,1)</f>
        <v>153664.85805602249</v>
      </c>
      <c r="S1613" s="553">
        <f>'Foglio deposito bis'!$F$70*IF(ABS(M1613)&lt;'Progetto del paramento slu'!$G$58,ABS(M1613)*'Progetto del paramento slu'!$G$54,'Progetto del paramento slu'!$G$53)*IF(M1613&lt;0,-1,1)</f>
        <v>0</v>
      </c>
      <c r="T1613" s="553">
        <f>'Foglio deposito bis'!$F$71*IF(ABS(N1613)&lt;'Progetto del paramento slu'!$G$58,ABS(N1613)*'Progetto del paramento slu'!$G$54,'Progetto del paramento slu'!$G$53)*IF(N1613&lt;0,-1,1)</f>
        <v>314705.62929873407</v>
      </c>
      <c r="U1613" s="553">
        <f>'Foglio deposito bis'!$F$72*IF(ABS(O1613)&lt;'Progetto del paramento slu'!$G$58,ABS(O1613)*'Progetto del paramento slu'!$G$54,'Progetto del paramento slu'!$G$53)*IF(O1613&lt;0,-1,1)</f>
        <v>491727.54577927204</v>
      </c>
      <c r="V1613" s="479">
        <f t="shared" si="118"/>
        <v>462249.4954250321</v>
      </c>
      <c r="W1613" s="559"/>
      <c r="X1613" s="559"/>
    </row>
    <row r="1614" spans="1:24" x14ac:dyDescent="0.25">
      <c r="A1614" s="553">
        <f t="shared" si="117"/>
        <v>450804.70145471045</v>
      </c>
      <c r="B1614" s="3">
        <f t="shared" si="120"/>
        <v>8.8999999999999897</v>
      </c>
      <c r="C1614" s="553">
        <f>'Foglio deposito bis'!$E$159/sezione!$B$247*B1614</f>
        <v>36.130626138492723</v>
      </c>
      <c r="D1614" s="611">
        <f>-'Progetto del paramento slu'!$G$47*'Progetto del paramento slu'!$G$41*IF(DATI!$G$218="dx",DATI!$E$61,DATI!$E$64*DATI!$E$63)*1000*C1614^2*sezione!$AD$5*(1-sezione!$AD$6)</f>
        <v>-10746234.785651969</v>
      </c>
      <c r="E1614" s="553">
        <f>-'Foglio deposito bis'!$F$68*(C1614-sezione!$AL$33)*IF(ABS(K1614)&lt;'Progetto del paramento slu'!$G$58,ABS(K1614)*'Progetto del paramento slu'!$G$54,'Progetto del paramento slu'!$G$53)</f>
        <v>0</v>
      </c>
      <c r="F1614" s="553">
        <f>-'Foglio deposito bis'!$F$69*(C1614-sezione!$AM$33)*IF(ABS(L1614)&lt;'Progetto del paramento slu'!$G$58,ABS(L1614)*'Progetto del paramento slu'!$G$54,'Progetto del paramento slu'!$G$53)</f>
        <v>17497721.171356674</v>
      </c>
      <c r="G1614" s="553">
        <f>-'Foglio deposito bis'!$F$70*(C1614-sezione!$AN$33)*IF(ABS(M1614)&lt;'Progetto del paramento slu'!$G$58,ABS(M1614)*'Progetto del paramento slu'!$G$54,'Progetto del paramento slu'!$G$53)</f>
        <v>0</v>
      </c>
      <c r="H1614" s="553">
        <f>-'Foglio deposito bis'!$F$71*(C1614-sezione!$AO$33)*IF(ABS(N1614)&lt;'Progetto del paramento slu'!$G$58,ABS(N1614)*'Progetto del paramento slu'!$G$54,'Progetto del paramento slu'!$G$53)</f>
        <v>95629402.525697947</v>
      </c>
      <c r="I1614" s="479">
        <f>-'Foglio deposito bis'!$F$72*(C1614-sezione!$AP$33)*IF(ABS(O1614)&lt;'Progetto del paramento slu'!$G$58,ABS(O1614)*'Progetto del paramento slu'!$G$54,'Progetto del paramento slu'!$G$53)</f>
        <v>110085681.05711167</v>
      </c>
      <c r="J1614" s="479">
        <f t="shared" si="116"/>
        <v>212466569.96851432</v>
      </c>
      <c r="K1614" s="558">
        <f>'Progetto del paramento slu'!$G$60*(sezione!$AL$33-C1614)/C1614</f>
        <v>3.7482905674992662E-4</v>
      </c>
      <c r="L1614" s="558">
        <f>'Progetto del paramento slu'!$G$60*(sezione!$AM$33-C1614)/C1614</f>
        <v>1.1030608962812227E-2</v>
      </c>
      <c r="M1614" s="559">
        <f>'Progetto del paramento slu'!$G$60*(sezione!$AN$33-C1614)/C1614</f>
        <v>2.1686388868874522E-2</v>
      </c>
      <c r="N1614" s="559">
        <f>'Progetto del paramento slu'!$G$60*(sezione!$AO$33-C1614)/C1614</f>
        <v>2.9436046982374373E-2</v>
      </c>
      <c r="O1614" s="559">
        <f>'Progetto del paramento slu'!$G$60*(sezione!$AP$33-C1614)/C1614</f>
        <v>2.1686968696059083E-2</v>
      </c>
      <c r="P1614" s="553">
        <f>-'Progetto del paramento slu'!$G$47*'Progetto del paramento slu'!$G$41*IF(DATI!$G$218="dx",DATI!$E$61,DATI!$E$64*DATI!$E$63)*1000*C1614*sezione!$AD$5</f>
        <v>-509293.33167931816</v>
      </c>
      <c r="Q1614" s="553">
        <f>'Foglio deposito bis'!$F$68*IF(ABS(K1614)&lt;'Progetto del paramento slu'!$G$58,ABS(K1614)*'Progetto del paramento slu'!$G$54,'Progetto del paramento slu'!$G$53)*IF(K1614&lt;0,-1,1)</f>
        <v>0</v>
      </c>
      <c r="R1614" s="553">
        <f>'Foglio deposito bis'!$F$69*IF(ABS(L1614)&lt;'Progetto del paramento slu'!$G$58,ABS(L1614)*'Progetto del paramento slu'!$G$54,'Progetto del paramento slu'!$G$53)*IF(L1614&lt;0,-1,1)</f>
        <v>153664.85805602249</v>
      </c>
      <c r="S1614" s="553">
        <f>'Foglio deposito bis'!$F$70*IF(ABS(M1614)&lt;'Progetto del paramento slu'!$G$58,ABS(M1614)*'Progetto del paramento slu'!$G$54,'Progetto del paramento slu'!$G$53)*IF(M1614&lt;0,-1,1)</f>
        <v>0</v>
      </c>
      <c r="T1614" s="553">
        <f>'Foglio deposito bis'!$F$71*IF(ABS(N1614)&lt;'Progetto del paramento slu'!$G$58,ABS(N1614)*'Progetto del paramento slu'!$G$54,'Progetto del paramento slu'!$G$53)*IF(N1614&lt;0,-1,1)</f>
        <v>314705.62929873407</v>
      </c>
      <c r="U1614" s="553">
        <f>'Foglio deposito bis'!$F$72*IF(ABS(O1614)&lt;'Progetto del paramento slu'!$G$58,ABS(O1614)*'Progetto del paramento slu'!$G$54,'Progetto del paramento slu'!$G$53)*IF(O1614&lt;0,-1,1)</f>
        <v>491727.54577927204</v>
      </c>
      <c r="V1614" s="479">
        <f t="shared" si="118"/>
        <v>450804.70145471045</v>
      </c>
      <c r="W1614" s="559"/>
      <c r="X1614" s="559"/>
    </row>
    <row r="1615" spans="1:24" x14ac:dyDescent="0.25">
      <c r="A1615" s="553">
        <f t="shared" si="117"/>
        <v>439359.90748438868</v>
      </c>
      <c r="B1615" s="3">
        <f t="shared" si="120"/>
        <v>9.099999999999989</v>
      </c>
      <c r="C1615" s="553">
        <f>'Foglio deposito bis'!$E$159/sezione!$B$247*B1615</f>
        <v>36.942550321380203</v>
      </c>
      <c r="D1615" s="611">
        <f>-'Progetto del paramento slu'!$G$47*'Progetto del paramento slu'!$G$41*IF(DATI!$G$218="dx",DATI!$E$61,DATI!$E$64*DATI!$E$63)*1000*C1615^2*sezione!$AD$5*(1-sezione!$AD$6)</f>
        <v>-11234638.336066652</v>
      </c>
      <c r="E1615" s="553">
        <f>-'Foglio deposito bis'!$F$68*(C1615-sezione!$AL$33)*IF(ABS(K1615)&lt;'Progetto del paramento slu'!$G$58,ABS(K1615)*'Progetto del paramento slu'!$G$54,'Progetto del paramento slu'!$G$53)</f>
        <v>0</v>
      </c>
      <c r="F1615" s="553">
        <f>-'Foglio deposito bis'!$F$69*(C1615-sezione!$AM$33)*IF(ABS(L1615)&lt;'Progetto del paramento slu'!$G$58,ABS(L1615)*'Progetto del paramento slu'!$G$54,'Progetto del paramento slu'!$G$53)</f>
        <v>17372956.957041018</v>
      </c>
      <c r="G1615" s="553">
        <f>-'Foglio deposito bis'!$F$70*(C1615-sezione!$AN$33)*IF(ABS(M1615)&lt;'Progetto del paramento slu'!$G$58,ABS(M1615)*'Progetto del paramento slu'!$G$54,'Progetto del paramento slu'!$G$53)</f>
        <v>0</v>
      </c>
      <c r="H1615" s="553">
        <f>-'Foglio deposito bis'!$F$71*(C1615-sezione!$AO$33)*IF(ABS(N1615)&lt;'Progetto del paramento slu'!$G$58,ABS(N1615)*'Progetto del paramento slu'!$G$54,'Progetto del paramento slu'!$G$53)</f>
        <v>95373885.414779469</v>
      </c>
      <c r="I1615" s="479">
        <f>-'Foglio deposito bis'!$F$72*(C1615-sezione!$AP$33)*IF(ABS(O1615)&lt;'Progetto del paramento slu'!$G$58,ABS(O1615)*'Progetto del paramento slu'!$G$54,'Progetto del paramento slu'!$G$53)</f>
        <v>109686435.57130158</v>
      </c>
      <c r="J1615" s="479">
        <f t="shared" si="116"/>
        <v>211198639.60705543</v>
      </c>
      <c r="K1615" s="558">
        <f>'Progetto del paramento slu'!$G$60*(sezione!$AL$33-C1615)/C1615</f>
        <v>2.8966797857959823E-4</v>
      </c>
      <c r="L1615" s="558">
        <f>'Progetto del paramento slu'!$G$60*(sezione!$AM$33-C1615)/C1615</f>
        <v>1.0711254919673495E-2</v>
      </c>
      <c r="M1615" s="559">
        <f>'Progetto del paramento slu'!$G$60*(sezione!$AN$33-C1615)/C1615</f>
        <v>2.1132841860767387E-2</v>
      </c>
      <c r="N1615" s="559">
        <f>'Progetto del paramento slu'!$G$60*(sezione!$AO$33-C1615)/C1615</f>
        <v>2.8712177817926583E-2</v>
      </c>
      <c r="O1615" s="559">
        <f>'Progetto del paramento slu'!$G$60*(sezione!$AP$33-C1615)/C1615</f>
        <v>2.1133408944497341E-2</v>
      </c>
      <c r="P1615" s="553">
        <f>-'Progetto del paramento slu'!$G$47*'Progetto del paramento slu'!$G$41*IF(DATI!$G$218="dx",DATI!$E$61,DATI!$E$64*DATI!$E$63)*1000*C1615*sezione!$AD$5</f>
        <v>-520738.12564963993</v>
      </c>
      <c r="Q1615" s="553">
        <f>'Foglio deposito bis'!$F$68*IF(ABS(K1615)&lt;'Progetto del paramento slu'!$G$58,ABS(K1615)*'Progetto del paramento slu'!$G$54,'Progetto del paramento slu'!$G$53)*IF(K1615&lt;0,-1,1)</f>
        <v>0</v>
      </c>
      <c r="R1615" s="553">
        <f>'Foglio deposito bis'!$F$69*IF(ABS(L1615)&lt;'Progetto del paramento slu'!$G$58,ABS(L1615)*'Progetto del paramento slu'!$G$54,'Progetto del paramento slu'!$G$53)*IF(L1615&lt;0,-1,1)</f>
        <v>153664.85805602249</v>
      </c>
      <c r="S1615" s="553">
        <f>'Foglio deposito bis'!$F$70*IF(ABS(M1615)&lt;'Progetto del paramento slu'!$G$58,ABS(M1615)*'Progetto del paramento slu'!$G$54,'Progetto del paramento slu'!$G$53)*IF(M1615&lt;0,-1,1)</f>
        <v>0</v>
      </c>
      <c r="T1615" s="553">
        <f>'Foglio deposito bis'!$F$71*IF(ABS(N1615)&lt;'Progetto del paramento slu'!$G$58,ABS(N1615)*'Progetto del paramento slu'!$G$54,'Progetto del paramento slu'!$G$53)*IF(N1615&lt;0,-1,1)</f>
        <v>314705.62929873407</v>
      </c>
      <c r="U1615" s="553">
        <f>'Foglio deposito bis'!$F$72*IF(ABS(O1615)&lt;'Progetto del paramento slu'!$G$58,ABS(O1615)*'Progetto del paramento slu'!$G$54,'Progetto del paramento slu'!$G$53)*IF(O1615&lt;0,-1,1)</f>
        <v>491727.54577927204</v>
      </c>
      <c r="V1615" s="479">
        <f t="shared" si="118"/>
        <v>439359.90748438868</v>
      </c>
      <c r="W1615" s="559"/>
      <c r="X1615" s="559"/>
    </row>
    <row r="1616" spans="1:24" x14ac:dyDescent="0.25">
      <c r="A1616" s="553">
        <f t="shared" si="117"/>
        <v>427915.11351406685</v>
      </c>
      <c r="B1616" s="3">
        <f t="shared" si="120"/>
        <v>9.2999999999999883</v>
      </c>
      <c r="C1616" s="553">
        <f>'Foglio deposito bis'!$E$159/sezione!$B$247*B1616</f>
        <v>37.754474504267677</v>
      </c>
      <c r="D1616" s="611">
        <f>-'Progetto del paramento slu'!$G$47*'Progetto del paramento slu'!$G$41*IF(DATI!$G$218="dx",DATI!$E$61,DATI!$E$64*DATI!$E$63)*1000*C1616^2*sezione!$AD$5*(1-sezione!$AD$6)</f>
        <v>-11733895.298712771</v>
      </c>
      <c r="E1616" s="553">
        <f>-'Foglio deposito bis'!$F$68*(C1616-sezione!$AL$33)*IF(ABS(K1616)&lt;'Progetto del paramento slu'!$G$58,ABS(K1616)*'Progetto del paramento slu'!$G$54,'Progetto del paramento slu'!$G$53)</f>
        <v>0</v>
      </c>
      <c r="F1616" s="553">
        <f>-'Foglio deposito bis'!$F$69*(C1616-sezione!$AM$33)*IF(ABS(L1616)&lt;'Progetto del paramento slu'!$G$58,ABS(L1616)*'Progetto del paramento slu'!$G$54,'Progetto del paramento slu'!$G$53)</f>
        <v>17248192.742725361</v>
      </c>
      <c r="G1616" s="553">
        <f>-'Foglio deposito bis'!$F$70*(C1616-sezione!$AN$33)*IF(ABS(M1616)&lt;'Progetto del paramento slu'!$G$58,ABS(M1616)*'Progetto del paramento slu'!$G$54,'Progetto del paramento slu'!$G$53)</f>
        <v>0</v>
      </c>
      <c r="H1616" s="553">
        <f>-'Foglio deposito bis'!$F$71*(C1616-sezione!$AO$33)*IF(ABS(N1616)&lt;'Progetto del paramento slu'!$G$58,ABS(N1616)*'Progetto del paramento slu'!$G$54,'Progetto del paramento slu'!$G$53)</f>
        <v>95118368.303861007</v>
      </c>
      <c r="I1616" s="479">
        <f>-'Foglio deposito bis'!$F$72*(C1616-sezione!$AP$33)*IF(ABS(O1616)&lt;'Progetto del paramento slu'!$G$58,ABS(O1616)*'Progetto del paramento slu'!$G$54,'Progetto del paramento slu'!$G$53)</f>
        <v>109287190.08549146</v>
      </c>
      <c r="J1616" s="479">
        <f t="shared" si="116"/>
        <v>209919855.83336508</v>
      </c>
      <c r="K1616" s="558">
        <f>'Progetto del paramento slu'!$G$60*(sezione!$AL$33-C1616)/C1616</f>
        <v>2.0816974248111255E-4</v>
      </c>
      <c r="L1616" s="558">
        <f>'Progetto del paramento slu'!$G$60*(sezione!$AM$33-C1616)/C1616</f>
        <v>1.0405636534304173E-2</v>
      </c>
      <c r="M1616" s="559">
        <f>'Progetto del paramento slu'!$G$60*(sezione!$AN$33-C1616)/C1616</f>
        <v>2.060310332612723E-2</v>
      </c>
      <c r="N1616" s="559">
        <f>'Progetto del paramento slu'!$G$60*(sezione!$AO$33-C1616)/C1616</f>
        <v>2.8019442811089455E-2</v>
      </c>
      <c r="O1616" s="559">
        <f>'Progetto del paramento slu'!$G$60*(sezione!$AP$33-C1616)/C1616</f>
        <v>2.0603658214508155E-2</v>
      </c>
      <c r="P1616" s="553">
        <f>-'Progetto del paramento slu'!$G$47*'Progetto del paramento slu'!$G$41*IF(DATI!$G$218="dx",DATI!$E$61,DATI!$E$64*DATI!$E$63)*1000*C1616*sezione!$AD$5</f>
        <v>-532182.91961996176</v>
      </c>
      <c r="Q1616" s="553">
        <f>'Foglio deposito bis'!$F$68*IF(ABS(K1616)&lt;'Progetto del paramento slu'!$G$58,ABS(K1616)*'Progetto del paramento slu'!$G$54,'Progetto del paramento slu'!$G$53)*IF(K1616&lt;0,-1,1)</f>
        <v>0</v>
      </c>
      <c r="R1616" s="553">
        <f>'Foglio deposito bis'!$F$69*IF(ABS(L1616)&lt;'Progetto del paramento slu'!$G$58,ABS(L1616)*'Progetto del paramento slu'!$G$54,'Progetto del paramento slu'!$G$53)*IF(L1616&lt;0,-1,1)</f>
        <v>153664.85805602249</v>
      </c>
      <c r="S1616" s="553">
        <f>'Foglio deposito bis'!$F$70*IF(ABS(M1616)&lt;'Progetto del paramento slu'!$G$58,ABS(M1616)*'Progetto del paramento slu'!$G$54,'Progetto del paramento slu'!$G$53)*IF(M1616&lt;0,-1,1)</f>
        <v>0</v>
      </c>
      <c r="T1616" s="553">
        <f>'Foglio deposito bis'!$F$71*IF(ABS(N1616)&lt;'Progetto del paramento slu'!$G$58,ABS(N1616)*'Progetto del paramento slu'!$G$54,'Progetto del paramento slu'!$G$53)*IF(N1616&lt;0,-1,1)</f>
        <v>314705.62929873407</v>
      </c>
      <c r="U1616" s="553">
        <f>'Foglio deposito bis'!$F$72*IF(ABS(O1616)&lt;'Progetto del paramento slu'!$G$58,ABS(O1616)*'Progetto del paramento slu'!$G$54,'Progetto del paramento slu'!$G$53)*IF(O1616&lt;0,-1,1)</f>
        <v>491727.54577927204</v>
      </c>
      <c r="V1616" s="479">
        <f t="shared" si="118"/>
        <v>427915.11351406685</v>
      </c>
      <c r="W1616" s="559"/>
      <c r="X1616" s="559"/>
    </row>
    <row r="1617" spans="1:24" x14ac:dyDescent="0.25">
      <c r="A1617" s="553">
        <f t="shared" si="117"/>
        <v>416470.31954374519</v>
      </c>
      <c r="B1617" s="3">
        <f t="shared" si="120"/>
        <v>9.4999999999999876</v>
      </c>
      <c r="C1617" s="553">
        <f>'Foglio deposito bis'!$E$159/sezione!$B$247*B1617</f>
        <v>38.56639868715515</v>
      </c>
      <c r="D1617" s="611">
        <f>-'Progetto del paramento slu'!$G$47*'Progetto del paramento slu'!$G$41*IF(DATI!$G$218="dx",DATI!$E$61,DATI!$E$64*DATI!$E$63)*1000*C1617^2*sezione!$AD$5*(1-sezione!$AD$6)</f>
        <v>-12244005.673590327</v>
      </c>
      <c r="E1617" s="553">
        <f>-'Foglio deposito bis'!$F$68*(C1617-sezione!$AL$33)*IF(ABS(K1617)&lt;'Progetto del paramento slu'!$G$58,ABS(K1617)*'Progetto del paramento slu'!$G$54,'Progetto del paramento slu'!$G$53)</f>
        <v>0</v>
      </c>
      <c r="F1617" s="553">
        <f>-'Foglio deposito bis'!$F$69*(C1617-sezione!$AM$33)*IF(ABS(L1617)&lt;'Progetto del paramento slu'!$G$58,ABS(L1617)*'Progetto del paramento slu'!$G$54,'Progetto del paramento slu'!$G$53)</f>
        <v>17123428.528409705</v>
      </c>
      <c r="G1617" s="553">
        <f>-'Foglio deposito bis'!$F$70*(C1617-sezione!$AN$33)*IF(ABS(M1617)&lt;'Progetto del paramento slu'!$G$58,ABS(M1617)*'Progetto del paramento slu'!$G$54,'Progetto del paramento slu'!$G$53)</f>
        <v>0</v>
      </c>
      <c r="H1617" s="553">
        <f>-'Foglio deposito bis'!$F$71*(C1617-sezione!$AO$33)*IF(ABS(N1617)&lt;'Progetto del paramento slu'!$G$58,ABS(N1617)*'Progetto del paramento slu'!$G$54,'Progetto del paramento slu'!$G$53)</f>
        <v>94862851.19294256</v>
      </c>
      <c r="I1617" s="479">
        <f>-'Foglio deposito bis'!$F$72*(C1617-sezione!$AP$33)*IF(ABS(O1617)&lt;'Progetto del paramento slu'!$G$58,ABS(O1617)*'Progetto del paramento slu'!$G$54,'Progetto del paramento slu'!$G$53)</f>
        <v>108887944.59968136</v>
      </c>
      <c r="J1617" s="479">
        <f t="shared" si="116"/>
        <v>208630218.64744329</v>
      </c>
      <c r="K1617" s="558">
        <f>'Progetto del paramento slu'!$G$60*(sezione!$AL$33-C1617)/C1617</f>
        <v>1.3010301106045787E-4</v>
      </c>
      <c r="L1617" s="558">
        <f>'Progetto del paramento slu'!$G$60*(sezione!$AM$33-C1617)/C1617</f>
        <v>1.0112886291476716E-2</v>
      </c>
      <c r="M1617" s="559">
        <f>'Progetto del paramento slu'!$G$60*(sezione!$AN$33-C1617)/C1617</f>
        <v>2.0095669571892974E-2</v>
      </c>
      <c r="N1617" s="559">
        <f>'Progetto del paramento slu'!$G$60*(sezione!$AO$33-C1617)/C1617</f>
        <v>2.7355875594013895E-2</v>
      </c>
      <c r="O1617" s="559">
        <f>'Progetto del paramento slu'!$G$60*(sezione!$AP$33-C1617)/C1617</f>
        <v>2.0096212778413246E-2</v>
      </c>
      <c r="P1617" s="553">
        <f>-'Progetto del paramento slu'!$G$47*'Progetto del paramento slu'!$G$41*IF(DATI!$G$218="dx",DATI!$E$61,DATI!$E$64*DATI!$E$63)*1000*C1617*sezione!$AD$5</f>
        <v>-543627.71359028341</v>
      </c>
      <c r="Q1617" s="553">
        <f>'Foglio deposito bis'!$F$68*IF(ABS(K1617)&lt;'Progetto del paramento slu'!$G$58,ABS(K1617)*'Progetto del paramento slu'!$G$54,'Progetto del paramento slu'!$G$53)*IF(K1617&lt;0,-1,1)</f>
        <v>0</v>
      </c>
      <c r="R1617" s="553">
        <f>'Foglio deposito bis'!$F$69*IF(ABS(L1617)&lt;'Progetto del paramento slu'!$G$58,ABS(L1617)*'Progetto del paramento slu'!$G$54,'Progetto del paramento slu'!$G$53)*IF(L1617&lt;0,-1,1)</f>
        <v>153664.85805602249</v>
      </c>
      <c r="S1617" s="553">
        <f>'Foglio deposito bis'!$F$70*IF(ABS(M1617)&lt;'Progetto del paramento slu'!$G$58,ABS(M1617)*'Progetto del paramento slu'!$G$54,'Progetto del paramento slu'!$G$53)*IF(M1617&lt;0,-1,1)</f>
        <v>0</v>
      </c>
      <c r="T1617" s="553">
        <f>'Foglio deposito bis'!$F$71*IF(ABS(N1617)&lt;'Progetto del paramento slu'!$G$58,ABS(N1617)*'Progetto del paramento slu'!$G$54,'Progetto del paramento slu'!$G$53)*IF(N1617&lt;0,-1,1)</f>
        <v>314705.62929873407</v>
      </c>
      <c r="U1617" s="553">
        <f>'Foglio deposito bis'!$F$72*IF(ABS(O1617)&lt;'Progetto del paramento slu'!$G$58,ABS(O1617)*'Progetto del paramento slu'!$G$54,'Progetto del paramento slu'!$G$53)*IF(O1617&lt;0,-1,1)</f>
        <v>491727.54577927204</v>
      </c>
      <c r="V1617" s="479">
        <f t="shared" si="118"/>
        <v>416470.31954374519</v>
      </c>
      <c r="W1617" s="559"/>
      <c r="X1617" s="559"/>
    </row>
    <row r="1618" spans="1:24" x14ac:dyDescent="0.25">
      <c r="A1618" s="553">
        <f t="shared" si="117"/>
        <v>405025.52557342354</v>
      </c>
      <c r="B1618" s="3">
        <f t="shared" si="120"/>
        <v>9.6999999999999869</v>
      </c>
      <c r="C1618" s="553">
        <f>'Foglio deposito bis'!$E$159/sezione!$B$247*B1618</f>
        <v>39.378322870042624</v>
      </c>
      <c r="D1618" s="611">
        <f>-'Progetto del paramento slu'!$G$47*'Progetto del paramento slu'!$G$41*IF(DATI!$G$218="dx",DATI!$E$61,DATI!$E$64*DATI!$E$63)*1000*C1618^2*sezione!$AD$5*(1-sezione!$AD$6)</f>
        <v>-12764969.460699322</v>
      </c>
      <c r="E1618" s="553">
        <f>-'Foglio deposito bis'!$F$68*(C1618-sezione!$AL$33)*IF(ABS(K1618)&lt;'Progetto del paramento slu'!$G$58,ABS(K1618)*'Progetto del paramento slu'!$G$54,'Progetto del paramento slu'!$G$53)</f>
        <v>0</v>
      </c>
      <c r="F1618" s="553">
        <f>-'Foglio deposito bis'!$F$69*(C1618-sezione!$AM$33)*IF(ABS(L1618)&lt;'Progetto del paramento slu'!$G$58,ABS(L1618)*'Progetto del paramento slu'!$G$54,'Progetto del paramento slu'!$G$53)</f>
        <v>16998664.314094048</v>
      </c>
      <c r="G1618" s="553">
        <f>-'Foglio deposito bis'!$F$70*(C1618-sezione!$AN$33)*IF(ABS(M1618)&lt;'Progetto del paramento slu'!$G$58,ABS(M1618)*'Progetto del paramento slu'!$G$54,'Progetto del paramento slu'!$G$53)</f>
        <v>0</v>
      </c>
      <c r="H1618" s="553">
        <f>-'Foglio deposito bis'!$F$71*(C1618-sezione!$AO$33)*IF(ABS(N1618)&lt;'Progetto del paramento slu'!$G$58,ABS(N1618)*'Progetto del paramento slu'!$G$54,'Progetto del paramento slu'!$G$53)</f>
        <v>94607334.082024097</v>
      </c>
      <c r="I1618" s="479">
        <f>-'Foglio deposito bis'!$F$72*(C1618-sezione!$AP$33)*IF(ABS(O1618)&lt;'Progetto del paramento slu'!$G$58,ABS(O1618)*'Progetto del paramento slu'!$G$54,'Progetto del paramento slu'!$G$53)</f>
        <v>108488699.11387128</v>
      </c>
      <c r="J1618" s="479">
        <f t="shared" si="116"/>
        <v>207329728.04929012</v>
      </c>
      <c r="K1618" s="558">
        <f>'Progetto del paramento slu'!$G$60*(sezione!$AL$33-C1618)/C1618</f>
        <v>5.5255526296325035E-5</v>
      </c>
      <c r="L1618" s="558">
        <f>'Progetto del paramento slu'!$G$60*(sezione!$AM$33-C1618)/C1618</f>
        <v>9.8322082236112184E-3</v>
      </c>
      <c r="M1618" s="559">
        <f>'Progetto del paramento slu'!$G$60*(sezione!$AN$33-C1618)/C1618</f>
        <v>1.9609160920926114E-2</v>
      </c>
      <c r="N1618" s="559">
        <f>'Progetto del paramento slu'!$G$60*(sezione!$AO$33-C1618)/C1618</f>
        <v>2.6719671973518766E-2</v>
      </c>
      <c r="O1618" s="559">
        <f>'Progetto del paramento slu'!$G$60*(sezione!$AP$33-C1618)/C1618</f>
        <v>1.9609692927311944E-2</v>
      </c>
      <c r="P1618" s="553">
        <f>-'Progetto del paramento slu'!$G$47*'Progetto del paramento slu'!$G$41*IF(DATI!$G$218="dx",DATI!$E$61,DATI!$E$64*DATI!$E$63)*1000*C1618*sezione!$AD$5</f>
        <v>-555072.50756060507</v>
      </c>
      <c r="Q1618" s="553">
        <f>'Foglio deposito bis'!$F$68*IF(ABS(K1618)&lt;'Progetto del paramento slu'!$G$58,ABS(K1618)*'Progetto del paramento slu'!$G$54,'Progetto del paramento slu'!$G$53)*IF(K1618&lt;0,-1,1)</f>
        <v>0</v>
      </c>
      <c r="R1618" s="553">
        <f>'Foglio deposito bis'!$F$69*IF(ABS(L1618)&lt;'Progetto del paramento slu'!$G$58,ABS(L1618)*'Progetto del paramento slu'!$G$54,'Progetto del paramento slu'!$G$53)*IF(L1618&lt;0,-1,1)</f>
        <v>153664.85805602249</v>
      </c>
      <c r="S1618" s="553">
        <f>'Foglio deposito bis'!$F$70*IF(ABS(M1618)&lt;'Progetto del paramento slu'!$G$58,ABS(M1618)*'Progetto del paramento slu'!$G$54,'Progetto del paramento slu'!$G$53)*IF(M1618&lt;0,-1,1)</f>
        <v>0</v>
      </c>
      <c r="T1618" s="553">
        <f>'Foglio deposito bis'!$F$71*IF(ABS(N1618)&lt;'Progetto del paramento slu'!$G$58,ABS(N1618)*'Progetto del paramento slu'!$G$54,'Progetto del paramento slu'!$G$53)*IF(N1618&lt;0,-1,1)</f>
        <v>314705.62929873407</v>
      </c>
      <c r="U1618" s="553">
        <f>'Foglio deposito bis'!$F$72*IF(ABS(O1618)&lt;'Progetto del paramento slu'!$G$58,ABS(O1618)*'Progetto del paramento slu'!$G$54,'Progetto del paramento slu'!$G$53)*IF(O1618&lt;0,-1,1)</f>
        <v>491727.54577927204</v>
      </c>
      <c r="V1618" s="479">
        <f t="shared" si="118"/>
        <v>405025.52557342354</v>
      </c>
      <c r="W1618" s="559"/>
      <c r="X1618" s="559"/>
    </row>
    <row r="1619" spans="1:24" x14ac:dyDescent="0.25">
      <c r="A1619" s="553">
        <f t="shared" si="117"/>
        <v>393580.73160310165</v>
      </c>
      <c r="B1619" s="3">
        <f t="shared" si="120"/>
        <v>9.8999999999999861</v>
      </c>
      <c r="C1619" s="553">
        <f>'Foglio deposito bis'!$E$159/sezione!$B$247*B1619</f>
        <v>40.190247052930104</v>
      </c>
      <c r="D1619" s="611">
        <f>-'Progetto del paramento slu'!$G$47*'Progetto del paramento slu'!$G$41*IF(DATI!$G$218="dx",DATI!$E$61,DATI!$E$64*DATI!$E$63)*1000*C1619^2*sezione!$AD$5*(1-sezione!$AD$6)</f>
        <v>-13296786.660039756</v>
      </c>
      <c r="E1619" s="553">
        <f>-'Foglio deposito bis'!$F$68*(C1619-sezione!$AL$33)*IF(ABS(K1619)&lt;'Progetto del paramento slu'!$G$58,ABS(K1619)*'Progetto del paramento slu'!$G$54,'Progetto del paramento slu'!$G$53)</f>
        <v>0</v>
      </c>
      <c r="F1619" s="553">
        <f>-'Foglio deposito bis'!$F$69*(C1619-sezione!$AM$33)*IF(ABS(L1619)&lt;'Progetto del paramento slu'!$G$58,ABS(L1619)*'Progetto del paramento slu'!$G$54,'Progetto del paramento slu'!$G$53)</f>
        <v>16873900.099778391</v>
      </c>
      <c r="G1619" s="553">
        <f>-'Foglio deposito bis'!$F$70*(C1619-sezione!$AN$33)*IF(ABS(M1619)&lt;'Progetto del paramento slu'!$G$58,ABS(M1619)*'Progetto del paramento slu'!$G$54,'Progetto del paramento slu'!$G$53)</f>
        <v>0</v>
      </c>
      <c r="H1619" s="553">
        <f>-'Foglio deposito bis'!$F$71*(C1619-sezione!$AO$33)*IF(ABS(N1619)&lt;'Progetto del paramento slu'!$G$58,ABS(N1619)*'Progetto del paramento slu'!$G$54,'Progetto del paramento slu'!$G$53)</f>
        <v>94351816.971105635</v>
      </c>
      <c r="I1619" s="479">
        <f>-'Foglio deposito bis'!$F$72*(C1619-sezione!$AP$33)*IF(ABS(O1619)&lt;'Progetto del paramento slu'!$G$58,ABS(O1619)*'Progetto del paramento slu'!$G$54,'Progetto del paramento slu'!$G$53)</f>
        <v>108089453.62806116</v>
      </c>
      <c r="J1619" s="479">
        <f t="shared" si="116"/>
        <v>206018384.03890544</v>
      </c>
      <c r="K1619" s="558">
        <f>'Progetto del paramento slu'!$G$60*(sezione!$AL$33-C1619)/C1619</f>
        <v>-1.6567817669257622E-5</v>
      </c>
      <c r="L1619" s="558">
        <f>'Progetto del paramento slu'!$G$60*(sezione!$AM$33-C1619)/C1619</f>
        <v>9.5628706837402842E-3</v>
      </c>
      <c r="M1619" s="559">
        <f>'Progetto del paramento slu'!$G$60*(sezione!$AN$33-C1619)/C1619</f>
        <v>1.9142309185149826E-2</v>
      </c>
      <c r="N1619" s="559">
        <f>'Progetto del paramento slu'!$G$60*(sezione!$AO$33-C1619)/C1619</f>
        <v>2.6109173549811314E-2</v>
      </c>
      <c r="O1619" s="559">
        <f>'Progetto del paramento slu'!$G$60*(sezione!$AP$33-C1619)/C1619</f>
        <v>1.9142830443931905E-2</v>
      </c>
      <c r="P1619" s="553">
        <f>-'Progetto del paramento slu'!$G$47*'Progetto del paramento slu'!$G$41*IF(DATI!$G$218="dx",DATI!$E$61,DATI!$E$64*DATI!$E$63)*1000*C1619*sezione!$AD$5</f>
        <v>-566517.30153092695</v>
      </c>
      <c r="Q1619" s="553">
        <f>'Foglio deposito bis'!$F$68*IF(ABS(K1619)&lt;'Progetto del paramento slu'!$G$58,ABS(K1619)*'Progetto del paramento slu'!$G$54,'Progetto del paramento slu'!$G$53)*IF(K1619&lt;0,-1,1)</f>
        <v>0</v>
      </c>
      <c r="R1619" s="553">
        <f>'Foglio deposito bis'!$F$69*IF(ABS(L1619)&lt;'Progetto del paramento slu'!$G$58,ABS(L1619)*'Progetto del paramento slu'!$G$54,'Progetto del paramento slu'!$G$53)*IF(L1619&lt;0,-1,1)</f>
        <v>153664.85805602249</v>
      </c>
      <c r="S1619" s="553">
        <f>'Foglio deposito bis'!$F$70*IF(ABS(M1619)&lt;'Progetto del paramento slu'!$G$58,ABS(M1619)*'Progetto del paramento slu'!$G$54,'Progetto del paramento slu'!$G$53)*IF(M1619&lt;0,-1,1)</f>
        <v>0</v>
      </c>
      <c r="T1619" s="553">
        <f>'Foglio deposito bis'!$F$71*IF(ABS(N1619)&lt;'Progetto del paramento slu'!$G$58,ABS(N1619)*'Progetto del paramento slu'!$G$54,'Progetto del paramento slu'!$G$53)*IF(N1619&lt;0,-1,1)</f>
        <v>314705.62929873407</v>
      </c>
      <c r="U1619" s="553">
        <f>'Foglio deposito bis'!$F$72*IF(ABS(O1619)&lt;'Progetto del paramento slu'!$G$58,ABS(O1619)*'Progetto del paramento slu'!$G$54,'Progetto del paramento slu'!$G$53)*IF(O1619&lt;0,-1,1)</f>
        <v>491727.54577927204</v>
      </c>
      <c r="V1619" s="479">
        <f t="shared" si="118"/>
        <v>393580.73160310165</v>
      </c>
      <c r="W1619" s="559"/>
      <c r="X1619" s="559"/>
    </row>
    <row r="1620" spans="1:24" x14ac:dyDescent="0.25">
      <c r="A1620" s="553">
        <f t="shared" si="117"/>
        <v>382135.93763278</v>
      </c>
      <c r="B1620" s="3">
        <f t="shared" si="120"/>
        <v>10.099999999999985</v>
      </c>
      <c r="C1620" s="553">
        <f>'Foglio deposito bis'!$E$159/sezione!$B$247*B1620</f>
        <v>41.002171235817578</v>
      </c>
      <c r="D1620" s="611">
        <f>-'Progetto del paramento slu'!$G$47*'Progetto del paramento slu'!$G$41*IF(DATI!$G$218="dx",DATI!$E$61,DATI!$E$64*DATI!$E$63)*1000*C1620^2*sezione!$AD$5*(1-sezione!$AD$6)</f>
        <v>-13839457.271611627</v>
      </c>
      <c r="E1620" s="553">
        <f>-'Foglio deposito bis'!$F$68*(C1620-sezione!$AL$33)*IF(ABS(K1620)&lt;'Progetto del paramento slu'!$G$58,ABS(K1620)*'Progetto del paramento slu'!$G$54,'Progetto del paramento slu'!$G$53)</f>
        <v>0</v>
      </c>
      <c r="F1620" s="553">
        <f>-'Foglio deposito bis'!$F$69*(C1620-sezione!$AM$33)*IF(ABS(L1620)&lt;'Progetto del paramento slu'!$G$58,ABS(L1620)*'Progetto del paramento slu'!$G$54,'Progetto del paramento slu'!$G$53)</f>
        <v>16749135.885462739</v>
      </c>
      <c r="G1620" s="553">
        <f>-'Foglio deposito bis'!$F$70*(C1620-sezione!$AN$33)*IF(ABS(M1620)&lt;'Progetto del paramento slu'!$G$58,ABS(M1620)*'Progetto del paramento slu'!$G$54,'Progetto del paramento slu'!$G$53)</f>
        <v>0</v>
      </c>
      <c r="H1620" s="553">
        <f>-'Foglio deposito bis'!$F$71*(C1620-sezione!$AO$33)*IF(ABS(N1620)&lt;'Progetto del paramento slu'!$G$58,ABS(N1620)*'Progetto del paramento slu'!$G$54,'Progetto del paramento slu'!$G$53)</f>
        <v>94096299.860187173</v>
      </c>
      <c r="I1620" s="479">
        <f>-'Foglio deposito bis'!$F$72*(C1620-sezione!$AP$33)*IF(ABS(O1620)&lt;'Progetto del paramento slu'!$G$58,ABS(O1620)*'Progetto del paramento slu'!$G$54,'Progetto del paramento slu'!$G$53)</f>
        <v>107690208.14225107</v>
      </c>
      <c r="J1620" s="479">
        <f t="shared" si="116"/>
        <v>204696186.61628938</v>
      </c>
      <c r="K1620" s="558">
        <f>'Progetto del paramento slu'!$G$60*(sezione!$AL$33-C1620)/C1620</f>
        <v>-8.5546672764915606E-5</v>
      </c>
      <c r="L1620" s="558">
        <f>'Progetto del paramento slu'!$G$60*(sezione!$AM$33-C1620)/C1620</f>
        <v>9.3041999771315675E-3</v>
      </c>
      <c r="M1620" s="559">
        <f>'Progetto del paramento slu'!$G$60*(sezione!$AN$33-C1620)/C1620</f>
        <v>1.869394662702805E-2</v>
      </c>
      <c r="N1620" s="559">
        <f>'Progetto del paramento slu'!$G$60*(sezione!$AO$33-C1620)/C1620</f>
        <v>2.5522853281498219E-2</v>
      </c>
      <c r="O1620" s="559">
        <f>'Progetto del paramento slu'!$G$60*(sezione!$AP$33-C1620)/C1620</f>
        <v>1.8694457563854044E-2</v>
      </c>
      <c r="P1620" s="553">
        <f>-'Progetto del paramento slu'!$G$47*'Progetto del paramento slu'!$G$41*IF(DATI!$G$218="dx",DATI!$E$61,DATI!$E$64*DATI!$E$63)*1000*C1620*sezione!$AD$5</f>
        <v>-577962.09550124861</v>
      </c>
      <c r="Q1620" s="553">
        <f>'Foglio deposito bis'!$F$68*IF(ABS(K1620)&lt;'Progetto del paramento slu'!$G$58,ABS(K1620)*'Progetto del paramento slu'!$G$54,'Progetto del paramento slu'!$G$53)*IF(K1620&lt;0,-1,1)</f>
        <v>0</v>
      </c>
      <c r="R1620" s="553">
        <f>'Foglio deposito bis'!$F$69*IF(ABS(L1620)&lt;'Progetto del paramento slu'!$G$58,ABS(L1620)*'Progetto del paramento slu'!$G$54,'Progetto del paramento slu'!$G$53)*IF(L1620&lt;0,-1,1)</f>
        <v>153664.85805602249</v>
      </c>
      <c r="S1620" s="553">
        <f>'Foglio deposito bis'!$F$70*IF(ABS(M1620)&lt;'Progetto del paramento slu'!$G$58,ABS(M1620)*'Progetto del paramento slu'!$G$54,'Progetto del paramento slu'!$G$53)*IF(M1620&lt;0,-1,1)</f>
        <v>0</v>
      </c>
      <c r="T1620" s="553">
        <f>'Foglio deposito bis'!$F$71*IF(ABS(N1620)&lt;'Progetto del paramento slu'!$G$58,ABS(N1620)*'Progetto del paramento slu'!$G$54,'Progetto del paramento slu'!$G$53)*IF(N1620&lt;0,-1,1)</f>
        <v>314705.62929873407</v>
      </c>
      <c r="U1620" s="553">
        <f>'Foglio deposito bis'!$F$72*IF(ABS(O1620)&lt;'Progetto del paramento slu'!$G$58,ABS(O1620)*'Progetto del paramento slu'!$G$54,'Progetto del paramento slu'!$G$53)*IF(O1620&lt;0,-1,1)</f>
        <v>491727.54577927204</v>
      </c>
      <c r="V1620" s="479">
        <f t="shared" si="118"/>
        <v>382135.93763278</v>
      </c>
      <c r="W1620" s="559"/>
      <c r="X1620" s="559"/>
    </row>
    <row r="1621" spans="1:24" x14ac:dyDescent="0.25">
      <c r="A1621" s="553">
        <f t="shared" si="117"/>
        <v>370691.14366245834</v>
      </c>
      <c r="B1621" s="3">
        <f t="shared" si="120"/>
        <v>10.299999999999985</v>
      </c>
      <c r="C1621" s="553">
        <f>'Foglio deposito bis'!$E$159/sezione!$B$247*B1621</f>
        <v>41.814095418705051</v>
      </c>
      <c r="D1621" s="611">
        <f>-'Progetto del paramento slu'!$G$47*'Progetto del paramento slu'!$G$41*IF(DATI!$G$218="dx",DATI!$E$61,DATI!$E$64*DATI!$E$63)*1000*C1621^2*sezione!$AD$5*(1-sezione!$AD$6)</f>
        <v>-14392981.295414928</v>
      </c>
      <c r="E1621" s="553">
        <f>-'Foglio deposito bis'!$F$68*(C1621-sezione!$AL$33)*IF(ABS(K1621)&lt;'Progetto del paramento slu'!$G$58,ABS(K1621)*'Progetto del paramento slu'!$G$54,'Progetto del paramento slu'!$G$53)</f>
        <v>0</v>
      </c>
      <c r="F1621" s="553">
        <f>-'Foglio deposito bis'!$F$69*(C1621-sezione!$AM$33)*IF(ABS(L1621)&lt;'Progetto del paramento slu'!$G$58,ABS(L1621)*'Progetto del paramento slu'!$G$54,'Progetto del paramento slu'!$G$53)</f>
        <v>16624371.671147082</v>
      </c>
      <c r="G1621" s="553">
        <f>-'Foglio deposito bis'!$F$70*(C1621-sezione!$AN$33)*IF(ABS(M1621)&lt;'Progetto del paramento slu'!$G$58,ABS(M1621)*'Progetto del paramento slu'!$G$54,'Progetto del paramento slu'!$G$53)</f>
        <v>0</v>
      </c>
      <c r="H1621" s="553">
        <f>-'Foglio deposito bis'!$F$71*(C1621-sezione!$AO$33)*IF(ABS(N1621)&lt;'Progetto del paramento slu'!$G$58,ABS(N1621)*'Progetto del paramento slu'!$G$54,'Progetto del paramento slu'!$G$53)</f>
        <v>93840782.749268696</v>
      </c>
      <c r="I1621" s="479">
        <f>-'Foglio deposito bis'!$F$72*(C1621-sezione!$AP$33)*IF(ABS(O1621)&lt;'Progetto del paramento slu'!$G$58,ABS(O1621)*'Progetto del paramento slu'!$G$54,'Progetto del paramento slu'!$G$53)</f>
        <v>107290962.65644097</v>
      </c>
      <c r="J1621" s="479">
        <f t="shared" ref="J1621:J1684" si="121">D1621+E1621+F1621+G1621+H1621+I1621</f>
        <v>203363135.78144181</v>
      </c>
      <c r="K1621" s="558">
        <f>'Progetto del paramento slu'!$G$60*(sezione!$AL$33-C1621)/C1621</f>
        <v>-1.5184673737142184E-4</v>
      </c>
      <c r="L1621" s="558">
        <f>'Progetto del paramento slu'!$G$60*(sezione!$AM$33-C1621)/C1621</f>
        <v>9.0555747348571684E-3</v>
      </c>
      <c r="M1621" s="559">
        <f>'Progetto del paramento slu'!$G$60*(sezione!$AN$33-C1621)/C1621</f>
        <v>1.8262996207085758E-2</v>
      </c>
      <c r="N1621" s="559">
        <f>'Progetto del paramento slu'!$G$60*(sezione!$AO$33-C1621)/C1621</f>
        <v>2.4959302732342915E-2</v>
      </c>
      <c r="O1621" s="559">
        <f>'Progetto del paramento slu'!$G$60*(sezione!$AP$33-C1621)/C1621</f>
        <v>1.8263497222808338E-2</v>
      </c>
      <c r="P1621" s="553">
        <f>-'Progetto del paramento slu'!$G$47*'Progetto del paramento slu'!$G$41*IF(DATI!$G$218="dx",DATI!$E$61,DATI!$E$64*DATI!$E$63)*1000*C1621*sezione!$AD$5</f>
        <v>-589406.88947157026</v>
      </c>
      <c r="Q1621" s="553">
        <f>'Foglio deposito bis'!$F$68*IF(ABS(K1621)&lt;'Progetto del paramento slu'!$G$58,ABS(K1621)*'Progetto del paramento slu'!$G$54,'Progetto del paramento slu'!$G$53)*IF(K1621&lt;0,-1,1)</f>
        <v>0</v>
      </c>
      <c r="R1621" s="553">
        <f>'Foglio deposito bis'!$F$69*IF(ABS(L1621)&lt;'Progetto del paramento slu'!$G$58,ABS(L1621)*'Progetto del paramento slu'!$G$54,'Progetto del paramento slu'!$G$53)*IF(L1621&lt;0,-1,1)</f>
        <v>153664.85805602249</v>
      </c>
      <c r="S1621" s="553">
        <f>'Foglio deposito bis'!$F$70*IF(ABS(M1621)&lt;'Progetto del paramento slu'!$G$58,ABS(M1621)*'Progetto del paramento slu'!$G$54,'Progetto del paramento slu'!$G$53)*IF(M1621&lt;0,-1,1)</f>
        <v>0</v>
      </c>
      <c r="T1621" s="553">
        <f>'Foglio deposito bis'!$F$71*IF(ABS(N1621)&lt;'Progetto del paramento slu'!$G$58,ABS(N1621)*'Progetto del paramento slu'!$G$54,'Progetto del paramento slu'!$G$53)*IF(N1621&lt;0,-1,1)</f>
        <v>314705.62929873407</v>
      </c>
      <c r="U1621" s="553">
        <f>'Foglio deposito bis'!$F$72*IF(ABS(O1621)&lt;'Progetto del paramento slu'!$G$58,ABS(O1621)*'Progetto del paramento slu'!$G$54,'Progetto del paramento slu'!$G$53)*IF(O1621&lt;0,-1,1)</f>
        <v>491727.54577927204</v>
      </c>
      <c r="V1621" s="479">
        <f t="shared" si="118"/>
        <v>370691.14366245834</v>
      </c>
      <c r="W1621" s="559"/>
      <c r="X1621" s="559"/>
    </row>
    <row r="1622" spans="1:24" x14ac:dyDescent="0.25">
      <c r="A1622" s="553">
        <f t="shared" ref="A1622:A1685" si="122">ABS(V1622)</f>
        <v>359246.34969213657</v>
      </c>
      <c r="B1622" s="3">
        <f t="shared" si="120"/>
        <v>10.499999999999984</v>
      </c>
      <c r="C1622" s="553">
        <f>'Foglio deposito bis'!$E$159/sezione!$B$247*B1622</f>
        <v>42.626019601592525</v>
      </c>
      <c r="D1622" s="611">
        <f>-'Progetto del paramento slu'!$G$47*'Progetto del paramento slu'!$G$41*IF(DATI!$G$218="dx",DATI!$E$61,DATI!$E$64*DATI!$E$63)*1000*C1622^2*sezione!$AD$5*(1-sezione!$AD$6)</f>
        <v>-14957358.731449673</v>
      </c>
      <c r="E1622" s="553">
        <f>-'Foglio deposito bis'!$F$68*(C1622-sezione!$AL$33)*IF(ABS(K1622)&lt;'Progetto del paramento slu'!$G$58,ABS(K1622)*'Progetto del paramento slu'!$G$54,'Progetto del paramento slu'!$G$53)</f>
        <v>0</v>
      </c>
      <c r="F1622" s="553">
        <f>-'Foglio deposito bis'!$F$69*(C1622-sezione!$AM$33)*IF(ABS(L1622)&lt;'Progetto del paramento slu'!$G$58,ABS(L1622)*'Progetto del paramento slu'!$G$54,'Progetto del paramento slu'!$G$53)</f>
        <v>16499607.456831425</v>
      </c>
      <c r="G1622" s="553">
        <f>-'Foglio deposito bis'!$F$70*(C1622-sezione!$AN$33)*IF(ABS(M1622)&lt;'Progetto del paramento slu'!$G$58,ABS(M1622)*'Progetto del paramento slu'!$G$54,'Progetto del paramento slu'!$G$53)</f>
        <v>0</v>
      </c>
      <c r="H1622" s="553">
        <f>-'Foglio deposito bis'!$F$71*(C1622-sezione!$AO$33)*IF(ABS(N1622)&lt;'Progetto del paramento slu'!$G$58,ABS(N1622)*'Progetto del paramento slu'!$G$54,'Progetto del paramento slu'!$G$53)</f>
        <v>93585265.638350233</v>
      </c>
      <c r="I1622" s="479">
        <f>-'Foglio deposito bis'!$F$72*(C1622-sezione!$AP$33)*IF(ABS(O1622)&lt;'Progetto del paramento slu'!$G$58,ABS(O1622)*'Progetto del paramento slu'!$G$54,'Progetto del paramento slu'!$G$53)</f>
        <v>106891717.17063086</v>
      </c>
      <c r="J1622" s="479">
        <f t="shared" si="121"/>
        <v>202019231.53436285</v>
      </c>
      <c r="K1622" s="558">
        <f>'Progetto del paramento slu'!$G$60*(sezione!$AL$33-C1622)/C1622</f>
        <v>-2.1562108523101356E-4</v>
      </c>
      <c r="L1622" s="558">
        <f>'Progetto del paramento slu'!$G$60*(sezione!$AM$33-C1622)/C1622</f>
        <v>8.8164209303836991E-3</v>
      </c>
      <c r="M1622" s="559">
        <f>'Progetto del paramento slu'!$G$60*(sezione!$AN$33-C1622)/C1622</f>
        <v>1.7848462945998414E-2</v>
      </c>
      <c r="N1622" s="559">
        <f>'Progetto del paramento slu'!$G$60*(sezione!$AO$33-C1622)/C1622</f>
        <v>2.4417220775536385E-2</v>
      </c>
      <c r="O1622" s="559">
        <f>'Progetto del paramento slu'!$G$60*(sezione!$AP$33-C1622)/C1622</f>
        <v>1.7848954418564371E-2</v>
      </c>
      <c r="P1622" s="553">
        <f>-'Progetto del paramento slu'!$G$47*'Progetto del paramento slu'!$G$41*IF(DATI!$G$218="dx",DATI!$E$61,DATI!$E$64*DATI!$E$63)*1000*C1622*sezione!$AD$5</f>
        <v>-600851.68344189203</v>
      </c>
      <c r="Q1622" s="553">
        <f>'Foglio deposito bis'!$F$68*IF(ABS(K1622)&lt;'Progetto del paramento slu'!$G$58,ABS(K1622)*'Progetto del paramento slu'!$G$54,'Progetto del paramento slu'!$G$53)*IF(K1622&lt;0,-1,1)</f>
        <v>0</v>
      </c>
      <c r="R1622" s="553">
        <f>'Foglio deposito bis'!$F$69*IF(ABS(L1622)&lt;'Progetto del paramento slu'!$G$58,ABS(L1622)*'Progetto del paramento slu'!$G$54,'Progetto del paramento slu'!$G$53)*IF(L1622&lt;0,-1,1)</f>
        <v>153664.85805602249</v>
      </c>
      <c r="S1622" s="553">
        <f>'Foglio deposito bis'!$F$70*IF(ABS(M1622)&lt;'Progetto del paramento slu'!$G$58,ABS(M1622)*'Progetto del paramento slu'!$G$54,'Progetto del paramento slu'!$G$53)*IF(M1622&lt;0,-1,1)</f>
        <v>0</v>
      </c>
      <c r="T1622" s="553">
        <f>'Foglio deposito bis'!$F$71*IF(ABS(N1622)&lt;'Progetto del paramento slu'!$G$58,ABS(N1622)*'Progetto del paramento slu'!$G$54,'Progetto del paramento slu'!$G$53)*IF(N1622&lt;0,-1,1)</f>
        <v>314705.62929873407</v>
      </c>
      <c r="U1622" s="553">
        <f>'Foglio deposito bis'!$F$72*IF(ABS(O1622)&lt;'Progetto del paramento slu'!$G$58,ABS(O1622)*'Progetto del paramento slu'!$G$54,'Progetto del paramento slu'!$G$53)*IF(O1622&lt;0,-1,1)</f>
        <v>491727.54577927204</v>
      </c>
      <c r="V1622" s="479">
        <f t="shared" ref="V1622:V1685" si="123">P1622+Q1622+R1622+S1622+T1622+U1622</f>
        <v>359246.34969213657</v>
      </c>
      <c r="W1622" s="559"/>
      <c r="X1622" s="559"/>
    </row>
    <row r="1623" spans="1:24" x14ac:dyDescent="0.25">
      <c r="A1623" s="553">
        <f t="shared" si="122"/>
        <v>347801.5557218148</v>
      </c>
      <c r="B1623" s="3">
        <f t="shared" si="120"/>
        <v>10.699999999999983</v>
      </c>
      <c r="C1623" s="553">
        <f>'Foglio deposito bis'!$E$159/sezione!$B$247*B1623</f>
        <v>43.437943784479998</v>
      </c>
      <c r="D1623" s="611">
        <f>-'Progetto del paramento slu'!$G$47*'Progetto del paramento slu'!$G$41*IF(DATI!$G$218="dx",DATI!$E$61,DATI!$E$64*DATI!$E$63)*1000*C1623^2*sezione!$AD$5*(1-sezione!$AD$6)</f>
        <v>-15532589.579715854</v>
      </c>
      <c r="E1623" s="553">
        <f>-'Foglio deposito bis'!$F$68*(C1623-sezione!$AL$33)*IF(ABS(K1623)&lt;'Progetto del paramento slu'!$G$58,ABS(K1623)*'Progetto del paramento slu'!$G$54,'Progetto del paramento slu'!$G$53)</f>
        <v>0</v>
      </c>
      <c r="F1623" s="553">
        <f>-'Foglio deposito bis'!$F$69*(C1623-sezione!$AM$33)*IF(ABS(L1623)&lt;'Progetto del paramento slu'!$G$58,ABS(L1623)*'Progetto del paramento slu'!$G$54,'Progetto del paramento slu'!$G$53)</f>
        <v>16374843.242515771</v>
      </c>
      <c r="G1623" s="553">
        <f>-'Foglio deposito bis'!$F$70*(C1623-sezione!$AN$33)*IF(ABS(M1623)&lt;'Progetto del paramento slu'!$G$58,ABS(M1623)*'Progetto del paramento slu'!$G$54,'Progetto del paramento slu'!$G$53)</f>
        <v>0</v>
      </c>
      <c r="H1623" s="553">
        <f>-'Foglio deposito bis'!$F$71*(C1623-sezione!$AO$33)*IF(ABS(N1623)&lt;'Progetto del paramento slu'!$G$58,ABS(N1623)*'Progetto del paramento slu'!$G$54,'Progetto del paramento slu'!$G$53)</f>
        <v>93329748.527431786</v>
      </c>
      <c r="I1623" s="479">
        <f>-'Foglio deposito bis'!$F$72*(C1623-sezione!$AP$33)*IF(ABS(O1623)&lt;'Progetto del paramento slu'!$G$58,ABS(O1623)*'Progetto del paramento slu'!$G$54,'Progetto del paramento slu'!$G$53)</f>
        <v>106492471.68482077</v>
      </c>
      <c r="J1623" s="479">
        <f t="shared" si="121"/>
        <v>200664473.87505248</v>
      </c>
      <c r="K1623" s="558">
        <f>'Progetto del paramento slu'!$G$60*(sezione!$AL$33-C1623)/C1623</f>
        <v>-2.7701134532015324E-4</v>
      </c>
      <c r="L1623" s="558">
        <f>'Progetto del paramento slu'!$G$60*(sezione!$AM$33-C1623)/C1623</f>
        <v>8.5862074550494254E-3</v>
      </c>
      <c r="M1623" s="559">
        <f>'Progetto del paramento slu'!$G$60*(sezione!$AN$33-C1623)/C1623</f>
        <v>1.7449426255419002E-2</v>
      </c>
      <c r="N1623" s="559">
        <f>'Progetto del paramento slu'!$G$60*(sezione!$AO$33-C1623)/C1623</f>
        <v>2.3895403564778699E-2</v>
      </c>
      <c r="O1623" s="559">
        <f>'Progetto del paramento slu'!$G$60*(sezione!$AP$33-C1623)/C1623</f>
        <v>1.7449908541581859E-2</v>
      </c>
      <c r="P1623" s="553">
        <f>-'Progetto del paramento slu'!$G$47*'Progetto del paramento slu'!$G$41*IF(DATI!$G$218="dx",DATI!$E$61,DATI!$E$64*DATI!$E$63)*1000*C1623*sezione!$AD$5</f>
        <v>-612296.4774122138</v>
      </c>
      <c r="Q1623" s="553">
        <f>'Foglio deposito bis'!$F$68*IF(ABS(K1623)&lt;'Progetto del paramento slu'!$G$58,ABS(K1623)*'Progetto del paramento slu'!$G$54,'Progetto del paramento slu'!$G$53)*IF(K1623&lt;0,-1,1)</f>
        <v>0</v>
      </c>
      <c r="R1623" s="553">
        <f>'Foglio deposito bis'!$F$69*IF(ABS(L1623)&lt;'Progetto del paramento slu'!$G$58,ABS(L1623)*'Progetto del paramento slu'!$G$54,'Progetto del paramento slu'!$G$53)*IF(L1623&lt;0,-1,1)</f>
        <v>153664.85805602249</v>
      </c>
      <c r="S1623" s="553">
        <f>'Foglio deposito bis'!$F$70*IF(ABS(M1623)&lt;'Progetto del paramento slu'!$G$58,ABS(M1623)*'Progetto del paramento slu'!$G$54,'Progetto del paramento slu'!$G$53)*IF(M1623&lt;0,-1,1)</f>
        <v>0</v>
      </c>
      <c r="T1623" s="553">
        <f>'Foglio deposito bis'!$F$71*IF(ABS(N1623)&lt;'Progetto del paramento slu'!$G$58,ABS(N1623)*'Progetto del paramento slu'!$G$54,'Progetto del paramento slu'!$G$53)*IF(N1623&lt;0,-1,1)</f>
        <v>314705.62929873407</v>
      </c>
      <c r="U1623" s="553">
        <f>'Foglio deposito bis'!$F$72*IF(ABS(O1623)&lt;'Progetto del paramento slu'!$G$58,ABS(O1623)*'Progetto del paramento slu'!$G$54,'Progetto del paramento slu'!$G$53)*IF(O1623&lt;0,-1,1)</f>
        <v>491727.54577927204</v>
      </c>
      <c r="V1623" s="479">
        <f t="shared" si="123"/>
        <v>347801.5557218148</v>
      </c>
      <c r="W1623" s="559"/>
      <c r="X1623" s="559"/>
    </row>
    <row r="1624" spans="1:24" x14ac:dyDescent="0.25">
      <c r="A1624" s="553">
        <f t="shared" si="122"/>
        <v>336356.76175149303</v>
      </c>
      <c r="B1624" s="3">
        <f t="shared" si="120"/>
        <v>10.899999999999983</v>
      </c>
      <c r="C1624" s="553">
        <f>'Foglio deposito bis'!$E$159/sezione!$B$247*B1624</f>
        <v>44.249867967367479</v>
      </c>
      <c r="D1624" s="611">
        <f>-'Progetto del paramento slu'!$G$47*'Progetto del paramento slu'!$G$41*IF(DATI!$G$218="dx",DATI!$E$61,DATI!$E$64*DATI!$E$63)*1000*C1624^2*sezione!$AD$5*(1-sezione!$AD$6)</f>
        <v>-16118673.840213476</v>
      </c>
      <c r="E1624" s="553">
        <f>-'Foglio deposito bis'!$F$68*(C1624-sezione!$AL$33)*IF(ABS(K1624)&lt;'Progetto del paramento slu'!$G$58,ABS(K1624)*'Progetto del paramento slu'!$G$54,'Progetto del paramento slu'!$G$53)</f>
        <v>0</v>
      </c>
      <c r="F1624" s="553">
        <f>-'Foglio deposito bis'!$F$69*(C1624-sezione!$AM$33)*IF(ABS(L1624)&lt;'Progetto del paramento slu'!$G$58,ABS(L1624)*'Progetto del paramento slu'!$G$54,'Progetto del paramento slu'!$G$53)</f>
        <v>16250079.028200114</v>
      </c>
      <c r="G1624" s="553">
        <f>-'Foglio deposito bis'!$F$70*(C1624-sezione!$AN$33)*IF(ABS(M1624)&lt;'Progetto del paramento slu'!$G$58,ABS(M1624)*'Progetto del paramento slu'!$G$54,'Progetto del paramento slu'!$G$53)</f>
        <v>0</v>
      </c>
      <c r="H1624" s="553">
        <f>-'Foglio deposito bis'!$F$71*(C1624-sezione!$AO$33)*IF(ABS(N1624)&lt;'Progetto del paramento slu'!$G$58,ABS(N1624)*'Progetto del paramento slu'!$G$54,'Progetto del paramento slu'!$G$53)</f>
        <v>93074231.416513309</v>
      </c>
      <c r="I1624" s="479">
        <f>-'Foglio deposito bis'!$F$72*(C1624-sezione!$AP$33)*IF(ABS(O1624)&lt;'Progetto del paramento slu'!$G$58,ABS(O1624)*'Progetto del paramento slu'!$G$54,'Progetto del paramento slu'!$G$53)</f>
        <v>106093226.19901066</v>
      </c>
      <c r="J1624" s="479">
        <f t="shared" si="121"/>
        <v>199298862.80351061</v>
      </c>
      <c r="K1624" s="558">
        <f>'Progetto del paramento slu'!$G$60*(sezione!$AL$33-C1624)/C1624</f>
        <v>-3.3614875182804061E-4</v>
      </c>
      <c r="L1624" s="558">
        <f>'Progetto del paramento slu'!$G$60*(sezione!$AM$33-C1624)/C1624</f>
        <v>8.3644421806448477E-3</v>
      </c>
      <c r="M1624" s="559">
        <f>'Progetto del paramento slu'!$G$60*(sezione!$AN$33-C1624)/C1624</f>
        <v>1.7065033113117738E-2</v>
      </c>
      <c r="N1624" s="559">
        <f>'Progetto del paramento slu'!$G$60*(sezione!$AO$33-C1624)/C1624</f>
        <v>2.3392735609461656E-2</v>
      </c>
      <c r="O1624" s="559">
        <f>'Progetto del paramento slu'!$G$60*(sezione!$AP$33-C1624)/C1624</f>
        <v>1.7065506549993201E-2</v>
      </c>
      <c r="P1624" s="553">
        <f>-'Progetto del paramento slu'!$G$47*'Progetto del paramento slu'!$G$41*IF(DATI!$G$218="dx",DATI!$E$61,DATI!$E$64*DATI!$E$63)*1000*C1624*sezione!$AD$5</f>
        <v>-623741.27138253557</v>
      </c>
      <c r="Q1624" s="553">
        <f>'Foglio deposito bis'!$F$68*IF(ABS(K1624)&lt;'Progetto del paramento slu'!$G$58,ABS(K1624)*'Progetto del paramento slu'!$G$54,'Progetto del paramento slu'!$G$53)*IF(K1624&lt;0,-1,1)</f>
        <v>0</v>
      </c>
      <c r="R1624" s="553">
        <f>'Foglio deposito bis'!$F$69*IF(ABS(L1624)&lt;'Progetto del paramento slu'!$G$58,ABS(L1624)*'Progetto del paramento slu'!$G$54,'Progetto del paramento slu'!$G$53)*IF(L1624&lt;0,-1,1)</f>
        <v>153664.85805602249</v>
      </c>
      <c r="S1624" s="553">
        <f>'Foglio deposito bis'!$F$70*IF(ABS(M1624)&lt;'Progetto del paramento slu'!$G$58,ABS(M1624)*'Progetto del paramento slu'!$G$54,'Progetto del paramento slu'!$G$53)*IF(M1624&lt;0,-1,1)</f>
        <v>0</v>
      </c>
      <c r="T1624" s="553">
        <f>'Foglio deposito bis'!$F$71*IF(ABS(N1624)&lt;'Progetto del paramento slu'!$G$58,ABS(N1624)*'Progetto del paramento slu'!$G$54,'Progetto del paramento slu'!$G$53)*IF(N1624&lt;0,-1,1)</f>
        <v>314705.62929873407</v>
      </c>
      <c r="U1624" s="553">
        <f>'Foglio deposito bis'!$F$72*IF(ABS(O1624)&lt;'Progetto del paramento slu'!$G$58,ABS(O1624)*'Progetto del paramento slu'!$G$54,'Progetto del paramento slu'!$G$53)*IF(O1624&lt;0,-1,1)</f>
        <v>491727.54577927204</v>
      </c>
      <c r="V1624" s="479">
        <f t="shared" si="123"/>
        <v>336356.76175149303</v>
      </c>
      <c r="W1624" s="559"/>
      <c r="X1624" s="559"/>
    </row>
    <row r="1625" spans="1:24" x14ac:dyDescent="0.25">
      <c r="A1625" s="553">
        <f t="shared" si="122"/>
        <v>324911.96778117126</v>
      </c>
      <c r="B1625" s="3">
        <f t="shared" si="120"/>
        <v>11.099999999999982</v>
      </c>
      <c r="C1625" s="553">
        <f>'Foglio deposito bis'!$E$159/sezione!$B$247*B1625</f>
        <v>45.061792150254952</v>
      </c>
      <c r="D1625" s="611">
        <f>-'Progetto del paramento slu'!$G$47*'Progetto del paramento slu'!$G$41*IF(DATI!$G$218="dx",DATI!$E$61,DATI!$E$64*DATI!$E$63)*1000*C1625^2*sezione!$AD$5*(1-sezione!$AD$6)</f>
        <v>-16715611.51294253</v>
      </c>
      <c r="E1625" s="553">
        <f>-'Foglio deposito bis'!$F$68*(C1625-sezione!$AL$33)*IF(ABS(K1625)&lt;'Progetto del paramento slu'!$G$58,ABS(K1625)*'Progetto del paramento slu'!$G$54,'Progetto del paramento slu'!$G$53)</f>
        <v>0</v>
      </c>
      <c r="F1625" s="553">
        <f>-'Foglio deposito bis'!$F$69*(C1625-sezione!$AM$33)*IF(ABS(L1625)&lt;'Progetto del paramento slu'!$G$58,ABS(L1625)*'Progetto del paramento slu'!$G$54,'Progetto del paramento slu'!$G$53)</f>
        <v>16125314.813884461</v>
      </c>
      <c r="G1625" s="553">
        <f>-'Foglio deposito bis'!$F$70*(C1625-sezione!$AN$33)*IF(ABS(M1625)&lt;'Progetto del paramento slu'!$G$58,ABS(M1625)*'Progetto del paramento slu'!$G$54,'Progetto del paramento slu'!$G$53)</f>
        <v>0</v>
      </c>
      <c r="H1625" s="553">
        <f>-'Foglio deposito bis'!$F$71*(C1625-sezione!$AO$33)*IF(ABS(N1625)&lt;'Progetto del paramento slu'!$G$58,ABS(N1625)*'Progetto del paramento slu'!$G$54,'Progetto del paramento slu'!$G$53)</f>
        <v>92818714.305594847</v>
      </c>
      <c r="I1625" s="479">
        <f>-'Foglio deposito bis'!$F$72*(C1625-sezione!$AP$33)*IF(ABS(O1625)&lt;'Progetto del paramento slu'!$G$58,ABS(O1625)*'Progetto del paramento slu'!$G$54,'Progetto del paramento slu'!$G$53)</f>
        <v>105693980.71320058</v>
      </c>
      <c r="J1625" s="479">
        <f t="shared" si="121"/>
        <v>197922398.31973737</v>
      </c>
      <c r="K1625" s="558">
        <f>'Progetto del paramento slu'!$G$60*(sezione!$AL$33-C1625)/C1625</f>
        <v>-3.9315508062393153E-4</v>
      </c>
      <c r="L1625" s="558">
        <f>'Progetto del paramento slu'!$G$60*(sezione!$AM$33-C1625)/C1625</f>
        <v>8.1506684476602576E-3</v>
      </c>
      <c r="M1625" s="559">
        <f>'Progetto del paramento slu'!$G$60*(sezione!$AN$33-C1625)/C1625</f>
        <v>1.6694491975944446E-2</v>
      </c>
      <c r="N1625" s="559">
        <f>'Progetto del paramento slu'!$G$60*(sezione!$AO$33-C1625)/C1625</f>
        <v>2.2908181814696581E-2</v>
      </c>
      <c r="O1625" s="559">
        <f>'Progetto del paramento slu'!$G$60*(sezione!$AP$33-C1625)/C1625</f>
        <v>1.6694956882425758E-2</v>
      </c>
      <c r="P1625" s="553">
        <f>-'Progetto del paramento slu'!$G$47*'Progetto del paramento slu'!$G$41*IF(DATI!$G$218="dx",DATI!$E$61,DATI!$E$64*DATI!$E$63)*1000*C1625*sezione!$AD$5</f>
        <v>-635186.06535285735</v>
      </c>
      <c r="Q1625" s="553">
        <f>'Foglio deposito bis'!$F$68*IF(ABS(K1625)&lt;'Progetto del paramento slu'!$G$58,ABS(K1625)*'Progetto del paramento slu'!$G$54,'Progetto del paramento slu'!$G$53)*IF(K1625&lt;0,-1,1)</f>
        <v>0</v>
      </c>
      <c r="R1625" s="553">
        <f>'Foglio deposito bis'!$F$69*IF(ABS(L1625)&lt;'Progetto del paramento slu'!$G$58,ABS(L1625)*'Progetto del paramento slu'!$G$54,'Progetto del paramento slu'!$G$53)*IF(L1625&lt;0,-1,1)</f>
        <v>153664.85805602249</v>
      </c>
      <c r="S1625" s="553">
        <f>'Foglio deposito bis'!$F$70*IF(ABS(M1625)&lt;'Progetto del paramento slu'!$G$58,ABS(M1625)*'Progetto del paramento slu'!$G$54,'Progetto del paramento slu'!$G$53)*IF(M1625&lt;0,-1,1)</f>
        <v>0</v>
      </c>
      <c r="T1625" s="553">
        <f>'Foglio deposito bis'!$F$71*IF(ABS(N1625)&lt;'Progetto del paramento slu'!$G$58,ABS(N1625)*'Progetto del paramento slu'!$G$54,'Progetto del paramento slu'!$G$53)*IF(N1625&lt;0,-1,1)</f>
        <v>314705.62929873407</v>
      </c>
      <c r="U1625" s="553">
        <f>'Foglio deposito bis'!$F$72*IF(ABS(O1625)&lt;'Progetto del paramento slu'!$G$58,ABS(O1625)*'Progetto del paramento slu'!$G$54,'Progetto del paramento slu'!$G$53)*IF(O1625&lt;0,-1,1)</f>
        <v>491727.54577927204</v>
      </c>
      <c r="V1625" s="479">
        <f t="shared" si="123"/>
        <v>324911.96778117126</v>
      </c>
      <c r="W1625" s="559"/>
      <c r="X1625" s="559"/>
    </row>
    <row r="1626" spans="1:24" x14ac:dyDescent="0.25">
      <c r="A1626" s="553">
        <f t="shared" si="122"/>
        <v>313467.17381084961</v>
      </c>
      <c r="B1626" s="3">
        <f t="shared" si="120"/>
        <v>11.299999999999981</v>
      </c>
      <c r="C1626" s="553">
        <f>'Foglio deposito bis'!$E$159/sezione!$B$247*B1626</f>
        <v>45.873716333142426</v>
      </c>
      <c r="D1626" s="611">
        <f>-'Progetto del paramento slu'!$G$47*'Progetto del paramento slu'!$G$41*IF(DATI!$G$218="dx",DATI!$E$61,DATI!$E$64*DATI!$E$63)*1000*C1626^2*sezione!$AD$5*(1-sezione!$AD$6)</f>
        <v>-17323402.597903021</v>
      </c>
      <c r="E1626" s="553">
        <f>-'Foglio deposito bis'!$F$68*(C1626-sezione!$AL$33)*IF(ABS(K1626)&lt;'Progetto del paramento slu'!$G$58,ABS(K1626)*'Progetto del paramento slu'!$G$54,'Progetto del paramento slu'!$G$53)</f>
        <v>0</v>
      </c>
      <c r="F1626" s="553">
        <f>-'Foglio deposito bis'!$F$69*(C1626-sezione!$AM$33)*IF(ABS(L1626)&lt;'Progetto del paramento slu'!$G$58,ABS(L1626)*'Progetto del paramento slu'!$G$54,'Progetto del paramento slu'!$G$53)</f>
        <v>16000550.599568805</v>
      </c>
      <c r="G1626" s="553">
        <f>-'Foglio deposito bis'!$F$70*(C1626-sezione!$AN$33)*IF(ABS(M1626)&lt;'Progetto del paramento slu'!$G$58,ABS(M1626)*'Progetto del paramento slu'!$G$54,'Progetto del paramento slu'!$G$53)</f>
        <v>0</v>
      </c>
      <c r="H1626" s="553">
        <f>-'Foglio deposito bis'!$F$71*(C1626-sezione!$AO$33)*IF(ABS(N1626)&lt;'Progetto del paramento slu'!$G$58,ABS(N1626)*'Progetto del paramento slu'!$G$54,'Progetto del paramento slu'!$G$53)</f>
        <v>92563197.194676384</v>
      </c>
      <c r="I1626" s="479">
        <f>-'Foglio deposito bis'!$F$72*(C1626-sezione!$AP$33)*IF(ABS(O1626)&lt;'Progetto del paramento slu'!$G$58,ABS(O1626)*'Progetto del paramento slu'!$G$54,'Progetto del paramento slu'!$G$53)</f>
        <v>105294735.22739047</v>
      </c>
      <c r="J1626" s="479">
        <f t="shared" si="121"/>
        <v>196535080.42373264</v>
      </c>
      <c r="K1626" s="558">
        <f>'Progetto del paramento slu'!$G$60*(sezione!$AL$33-C1626)/C1626</f>
        <v>-4.4814348627660511E-4</v>
      </c>
      <c r="L1626" s="558">
        <f>'Progetto del paramento slu'!$G$60*(sezione!$AM$33-C1626)/C1626</f>
        <v>7.9444619264627311E-3</v>
      </c>
      <c r="M1626" s="559">
        <f>'Progetto del paramento slu'!$G$60*(sezione!$AN$33-C1626)/C1626</f>
        <v>1.6337067339202066E-2</v>
      </c>
      <c r="N1626" s="559">
        <f>'Progetto del paramento slu'!$G$60*(sezione!$AO$33-C1626)/C1626</f>
        <v>2.2440780366648861E-2</v>
      </c>
      <c r="O1626" s="559">
        <f>'Progetto del paramento slu'!$G$60*(sezione!$AP$33-C1626)/C1626</f>
        <v>1.6337524017250082E-2</v>
      </c>
      <c r="P1626" s="553">
        <f>-'Progetto del paramento slu'!$G$47*'Progetto del paramento slu'!$G$41*IF(DATI!$G$218="dx",DATI!$E$61,DATI!$E$64*DATI!$E$63)*1000*C1626*sezione!$AD$5</f>
        <v>-646630.859323179</v>
      </c>
      <c r="Q1626" s="553">
        <f>'Foglio deposito bis'!$F$68*IF(ABS(K1626)&lt;'Progetto del paramento slu'!$G$58,ABS(K1626)*'Progetto del paramento slu'!$G$54,'Progetto del paramento slu'!$G$53)*IF(K1626&lt;0,-1,1)</f>
        <v>0</v>
      </c>
      <c r="R1626" s="553">
        <f>'Foglio deposito bis'!$F$69*IF(ABS(L1626)&lt;'Progetto del paramento slu'!$G$58,ABS(L1626)*'Progetto del paramento slu'!$G$54,'Progetto del paramento slu'!$G$53)*IF(L1626&lt;0,-1,1)</f>
        <v>153664.85805602249</v>
      </c>
      <c r="S1626" s="553">
        <f>'Foglio deposito bis'!$F$70*IF(ABS(M1626)&lt;'Progetto del paramento slu'!$G$58,ABS(M1626)*'Progetto del paramento slu'!$G$54,'Progetto del paramento slu'!$G$53)*IF(M1626&lt;0,-1,1)</f>
        <v>0</v>
      </c>
      <c r="T1626" s="553">
        <f>'Foglio deposito bis'!$F$71*IF(ABS(N1626)&lt;'Progetto del paramento slu'!$G$58,ABS(N1626)*'Progetto del paramento slu'!$G$54,'Progetto del paramento slu'!$G$53)*IF(N1626&lt;0,-1,1)</f>
        <v>314705.62929873407</v>
      </c>
      <c r="U1626" s="553">
        <f>'Foglio deposito bis'!$F$72*IF(ABS(O1626)&lt;'Progetto del paramento slu'!$G$58,ABS(O1626)*'Progetto del paramento slu'!$G$54,'Progetto del paramento slu'!$G$53)*IF(O1626&lt;0,-1,1)</f>
        <v>491727.54577927204</v>
      </c>
      <c r="V1626" s="479">
        <f t="shared" si="123"/>
        <v>313467.17381084961</v>
      </c>
      <c r="W1626" s="559"/>
      <c r="X1626" s="559"/>
    </row>
    <row r="1627" spans="1:24" x14ac:dyDescent="0.25">
      <c r="A1627" s="553">
        <f t="shared" si="122"/>
        <v>302022.37984052795</v>
      </c>
      <c r="B1627" s="3">
        <f t="shared" si="120"/>
        <v>11.49999999999998</v>
      </c>
      <c r="C1627" s="553">
        <f>'Foglio deposito bis'!$E$159/sezione!$B$247*B1627</f>
        <v>46.685640516029899</v>
      </c>
      <c r="D1627" s="611">
        <f>-'Progetto del paramento slu'!$G$47*'Progetto del paramento slu'!$G$41*IF(DATI!$G$218="dx",DATI!$E$61,DATI!$E$64*DATI!$E$63)*1000*C1627^2*sezione!$AD$5*(1-sezione!$AD$6)</f>
        <v>-17942047.095094949</v>
      </c>
      <c r="E1627" s="553">
        <f>-'Foglio deposito bis'!$F$68*(C1627-sezione!$AL$33)*IF(ABS(K1627)&lt;'Progetto del paramento slu'!$G$58,ABS(K1627)*'Progetto del paramento slu'!$G$54,'Progetto del paramento slu'!$G$53)</f>
        <v>0</v>
      </c>
      <c r="F1627" s="553">
        <f>-'Foglio deposito bis'!$F$69*(C1627-sezione!$AM$33)*IF(ABS(L1627)&lt;'Progetto del paramento slu'!$G$58,ABS(L1627)*'Progetto del paramento slu'!$G$54,'Progetto del paramento slu'!$G$53)</f>
        <v>15875786.385253144</v>
      </c>
      <c r="G1627" s="553">
        <f>-'Foglio deposito bis'!$F$70*(C1627-sezione!$AN$33)*IF(ABS(M1627)&lt;'Progetto del paramento slu'!$G$58,ABS(M1627)*'Progetto del paramento slu'!$G$54,'Progetto del paramento slu'!$G$53)</f>
        <v>0</v>
      </c>
      <c r="H1627" s="553">
        <f>-'Foglio deposito bis'!$F$71*(C1627-sezione!$AO$33)*IF(ABS(N1627)&lt;'Progetto del paramento slu'!$G$58,ABS(N1627)*'Progetto del paramento slu'!$G$54,'Progetto del paramento slu'!$G$53)</f>
        <v>92307680.083757937</v>
      </c>
      <c r="I1627" s="479">
        <f>-'Foglio deposito bis'!$F$72*(C1627-sezione!$AP$33)*IF(ABS(O1627)&lt;'Progetto del paramento slu'!$G$58,ABS(O1627)*'Progetto del paramento slu'!$G$54,'Progetto del paramento slu'!$G$53)</f>
        <v>104895489.74158038</v>
      </c>
      <c r="J1627" s="479">
        <f t="shared" si="121"/>
        <v>195136909.11549652</v>
      </c>
      <c r="K1627" s="558">
        <f>'Progetto del paramento slu'!$G$60*(sezione!$AL$33-C1627)/C1627</f>
        <v>-5.0121925173266402E-4</v>
      </c>
      <c r="L1627" s="558">
        <f>'Progetto del paramento slu'!$G$60*(sezione!$AM$33-C1627)/C1627</f>
        <v>7.7454278060025104E-3</v>
      </c>
      <c r="M1627" s="559">
        <f>'Progetto del paramento slu'!$G$60*(sezione!$AN$33-C1627)/C1627</f>
        <v>1.5992074863737684E-2</v>
      </c>
      <c r="N1627" s="559">
        <f>'Progetto del paramento slu'!$G$60*(sezione!$AO$33-C1627)/C1627</f>
        <v>2.198963636027236E-2</v>
      </c>
      <c r="O1627" s="559">
        <f>'Progetto del paramento slu'!$G$60*(sezione!$AP$33-C1627)/C1627</f>
        <v>1.5992523599558776E-2</v>
      </c>
      <c r="P1627" s="553">
        <f>-'Progetto del paramento slu'!$G$47*'Progetto del paramento slu'!$G$41*IF(DATI!$G$218="dx",DATI!$E$61,DATI!$E$64*DATI!$E$63)*1000*C1627*sezione!$AD$5</f>
        <v>-658075.65329350065</v>
      </c>
      <c r="Q1627" s="553">
        <f>'Foglio deposito bis'!$F$68*IF(ABS(K1627)&lt;'Progetto del paramento slu'!$G$58,ABS(K1627)*'Progetto del paramento slu'!$G$54,'Progetto del paramento slu'!$G$53)*IF(K1627&lt;0,-1,1)</f>
        <v>0</v>
      </c>
      <c r="R1627" s="553">
        <f>'Foglio deposito bis'!$F$69*IF(ABS(L1627)&lt;'Progetto del paramento slu'!$G$58,ABS(L1627)*'Progetto del paramento slu'!$G$54,'Progetto del paramento slu'!$G$53)*IF(L1627&lt;0,-1,1)</f>
        <v>153664.85805602249</v>
      </c>
      <c r="S1627" s="553">
        <f>'Foglio deposito bis'!$F$70*IF(ABS(M1627)&lt;'Progetto del paramento slu'!$G$58,ABS(M1627)*'Progetto del paramento slu'!$G$54,'Progetto del paramento slu'!$G$53)*IF(M1627&lt;0,-1,1)</f>
        <v>0</v>
      </c>
      <c r="T1627" s="553">
        <f>'Foglio deposito bis'!$F$71*IF(ABS(N1627)&lt;'Progetto del paramento slu'!$G$58,ABS(N1627)*'Progetto del paramento slu'!$G$54,'Progetto del paramento slu'!$G$53)*IF(N1627&lt;0,-1,1)</f>
        <v>314705.62929873407</v>
      </c>
      <c r="U1627" s="553">
        <f>'Foglio deposito bis'!$F$72*IF(ABS(O1627)&lt;'Progetto del paramento slu'!$G$58,ABS(O1627)*'Progetto del paramento slu'!$G$54,'Progetto del paramento slu'!$G$53)*IF(O1627&lt;0,-1,1)</f>
        <v>491727.54577927204</v>
      </c>
      <c r="V1627" s="479">
        <f t="shared" si="123"/>
        <v>302022.37984052795</v>
      </c>
      <c r="W1627" s="559"/>
      <c r="X1627" s="559"/>
    </row>
    <row r="1628" spans="1:24" x14ac:dyDescent="0.25">
      <c r="A1628" s="553">
        <f t="shared" si="122"/>
        <v>290577.58587020618</v>
      </c>
      <c r="B1628" s="3">
        <f t="shared" si="120"/>
        <v>11.69999999999998</v>
      </c>
      <c r="C1628" s="553">
        <f>'Foglio deposito bis'!$E$159/sezione!$B$247*B1628</f>
        <v>47.497564698917373</v>
      </c>
      <c r="D1628" s="611">
        <f>-'Progetto del paramento slu'!$G$47*'Progetto del paramento slu'!$G$41*IF(DATI!$G$218="dx",DATI!$E$61,DATI!$E$64*DATI!$E$63)*1000*C1628^2*sezione!$AD$5*(1-sezione!$AD$6)</f>
        <v>-18571545.004518319</v>
      </c>
      <c r="E1628" s="553">
        <f>-'Foglio deposito bis'!$F$68*(C1628-sezione!$AL$33)*IF(ABS(K1628)&lt;'Progetto del paramento slu'!$G$58,ABS(K1628)*'Progetto del paramento slu'!$G$54,'Progetto del paramento slu'!$G$53)</f>
        <v>0</v>
      </c>
      <c r="F1628" s="553">
        <f>-'Foglio deposito bis'!$F$69*(C1628-sezione!$AM$33)*IF(ABS(L1628)&lt;'Progetto del paramento slu'!$G$58,ABS(L1628)*'Progetto del paramento slu'!$G$54,'Progetto del paramento slu'!$G$53)</f>
        <v>15751022.170937492</v>
      </c>
      <c r="G1628" s="553">
        <f>-'Foglio deposito bis'!$F$70*(C1628-sezione!$AN$33)*IF(ABS(M1628)&lt;'Progetto del paramento slu'!$G$58,ABS(M1628)*'Progetto del paramento slu'!$G$54,'Progetto del paramento slu'!$G$53)</f>
        <v>0</v>
      </c>
      <c r="H1628" s="553">
        <f>-'Foglio deposito bis'!$F$71*(C1628-sezione!$AO$33)*IF(ABS(N1628)&lt;'Progetto del paramento slu'!$G$58,ABS(N1628)*'Progetto del paramento slu'!$G$54,'Progetto del paramento slu'!$G$53)</f>
        <v>92052162.972839475</v>
      </c>
      <c r="I1628" s="479">
        <f>-'Foglio deposito bis'!$F$72*(C1628-sezione!$AP$33)*IF(ABS(O1628)&lt;'Progetto del paramento slu'!$G$58,ABS(O1628)*'Progetto del paramento slu'!$G$54,'Progetto del paramento slu'!$G$53)</f>
        <v>104496244.25577028</v>
      </c>
      <c r="J1628" s="479">
        <f t="shared" si="121"/>
        <v>193727884.39502895</v>
      </c>
      <c r="K1628" s="558">
        <f>'Progetto del paramento slu'!$G$60*(sezione!$AL$33-C1628)/C1628</f>
        <v>-5.5248046110475501E-4</v>
      </c>
      <c r="L1628" s="558">
        <f>'Progetto del paramento slu'!$G$60*(sezione!$AM$33-C1628)/C1628</f>
        <v>7.553198270857168E-3</v>
      </c>
      <c r="M1628" s="559">
        <f>'Progetto del paramento slu'!$G$60*(sezione!$AN$33-C1628)/C1628</f>
        <v>1.5658877002819094E-2</v>
      </c>
      <c r="N1628" s="559">
        <f>'Progetto del paramento slu'!$G$60*(sezione!$AO$33-C1628)/C1628</f>
        <v>2.1553916080609581E-2</v>
      </c>
      <c r="O1628" s="559">
        <f>'Progetto del paramento slu'!$G$60*(sezione!$AP$33-C1628)/C1628</f>
        <v>1.565931806794239E-2</v>
      </c>
      <c r="P1628" s="553">
        <f>-'Progetto del paramento slu'!$G$47*'Progetto del paramento slu'!$G$41*IF(DATI!$G$218="dx",DATI!$E$61,DATI!$E$64*DATI!$E$63)*1000*C1628*sezione!$AD$5</f>
        <v>-669520.44726382243</v>
      </c>
      <c r="Q1628" s="553">
        <f>'Foglio deposito bis'!$F$68*IF(ABS(K1628)&lt;'Progetto del paramento slu'!$G$58,ABS(K1628)*'Progetto del paramento slu'!$G$54,'Progetto del paramento slu'!$G$53)*IF(K1628&lt;0,-1,1)</f>
        <v>0</v>
      </c>
      <c r="R1628" s="553">
        <f>'Foglio deposito bis'!$F$69*IF(ABS(L1628)&lt;'Progetto del paramento slu'!$G$58,ABS(L1628)*'Progetto del paramento slu'!$G$54,'Progetto del paramento slu'!$G$53)*IF(L1628&lt;0,-1,1)</f>
        <v>153664.85805602249</v>
      </c>
      <c r="S1628" s="553">
        <f>'Foglio deposito bis'!$F$70*IF(ABS(M1628)&lt;'Progetto del paramento slu'!$G$58,ABS(M1628)*'Progetto del paramento slu'!$G$54,'Progetto del paramento slu'!$G$53)*IF(M1628&lt;0,-1,1)</f>
        <v>0</v>
      </c>
      <c r="T1628" s="553">
        <f>'Foglio deposito bis'!$F$71*IF(ABS(N1628)&lt;'Progetto del paramento slu'!$G$58,ABS(N1628)*'Progetto del paramento slu'!$G$54,'Progetto del paramento slu'!$G$53)*IF(N1628&lt;0,-1,1)</f>
        <v>314705.62929873407</v>
      </c>
      <c r="U1628" s="553">
        <f>'Foglio deposito bis'!$F$72*IF(ABS(O1628)&lt;'Progetto del paramento slu'!$G$58,ABS(O1628)*'Progetto del paramento slu'!$G$54,'Progetto del paramento slu'!$G$53)*IF(O1628&lt;0,-1,1)</f>
        <v>491727.54577927204</v>
      </c>
      <c r="V1628" s="479">
        <f t="shared" si="123"/>
        <v>290577.58587020618</v>
      </c>
      <c r="W1628" s="559"/>
      <c r="X1628" s="559"/>
    </row>
    <row r="1629" spans="1:24" x14ac:dyDescent="0.25">
      <c r="A1629" s="553">
        <f t="shared" si="122"/>
        <v>279132.79189988447</v>
      </c>
      <c r="B1629" s="3">
        <f t="shared" si="120"/>
        <v>11.899999999999979</v>
      </c>
      <c r="C1629" s="553">
        <f>'Foglio deposito bis'!$E$159/sezione!$B$247*B1629</f>
        <v>48.309488881804853</v>
      </c>
      <c r="D1629" s="611">
        <f>-'Progetto del paramento slu'!$G$47*'Progetto del paramento slu'!$G$41*IF(DATI!$G$218="dx",DATI!$E$61,DATI!$E$64*DATI!$E$63)*1000*C1629^2*sezione!$AD$5*(1-sezione!$AD$6)</f>
        <v>-19211896.326173127</v>
      </c>
      <c r="E1629" s="553">
        <f>-'Foglio deposito bis'!$F$68*(C1629-sezione!$AL$33)*IF(ABS(K1629)&lt;'Progetto del paramento slu'!$G$58,ABS(K1629)*'Progetto del paramento slu'!$G$54,'Progetto del paramento slu'!$G$53)</f>
        <v>0</v>
      </c>
      <c r="F1629" s="553">
        <f>-'Foglio deposito bis'!$F$69*(C1629-sezione!$AM$33)*IF(ABS(L1629)&lt;'Progetto del paramento slu'!$G$58,ABS(L1629)*'Progetto del paramento slu'!$G$54,'Progetto del paramento slu'!$G$53)</f>
        <v>15626257.956621833</v>
      </c>
      <c r="G1629" s="553">
        <f>-'Foglio deposito bis'!$F$70*(C1629-sezione!$AN$33)*IF(ABS(M1629)&lt;'Progetto del paramento slu'!$G$58,ABS(M1629)*'Progetto del paramento slu'!$G$54,'Progetto del paramento slu'!$G$53)</f>
        <v>0</v>
      </c>
      <c r="H1629" s="553">
        <f>-'Foglio deposito bis'!$F$71*(C1629-sezione!$AO$33)*IF(ABS(N1629)&lt;'Progetto del paramento slu'!$G$58,ABS(N1629)*'Progetto del paramento slu'!$G$54,'Progetto del paramento slu'!$G$53)</f>
        <v>91796645.861920998</v>
      </c>
      <c r="I1629" s="479">
        <f>-'Foglio deposito bis'!$F$72*(C1629-sezione!$AP$33)*IF(ABS(O1629)&lt;'Progetto del paramento slu'!$G$58,ABS(O1629)*'Progetto del paramento slu'!$G$54,'Progetto del paramento slu'!$G$53)</f>
        <v>104096998.76996019</v>
      </c>
      <c r="J1629" s="479">
        <f t="shared" si="121"/>
        <v>192308006.26232991</v>
      </c>
      <c r="K1629" s="558">
        <f>'Progetto del paramento slu'!$G$60*(sezione!$AL$33-C1629)/C1629</f>
        <v>-6.0201860461559973E-4</v>
      </c>
      <c r="L1629" s="558">
        <f>'Progetto del paramento slu'!$G$60*(sezione!$AM$33-C1629)/C1629</f>
        <v>7.3674302326915009E-3</v>
      </c>
      <c r="M1629" s="559">
        <f>'Progetto del paramento slu'!$G$60*(sezione!$AN$33-C1629)/C1629</f>
        <v>1.5336879069998604E-2</v>
      </c>
      <c r="N1629" s="559">
        <f>'Progetto del paramento slu'!$G$60*(sezione!$AO$33-C1629)/C1629</f>
        <v>2.1132841860767401E-2</v>
      </c>
      <c r="O1629" s="559">
        <f>'Progetto del paramento slu'!$G$60*(sezione!$AP$33-C1629)/C1629</f>
        <v>1.5337312722262682E-2</v>
      </c>
      <c r="P1629" s="553">
        <f>-'Progetto del paramento slu'!$G$47*'Progetto del paramento slu'!$G$41*IF(DATI!$G$218="dx",DATI!$E$61,DATI!$E$64*DATI!$E$63)*1000*C1629*sezione!$AD$5</f>
        <v>-680965.2412341442</v>
      </c>
      <c r="Q1629" s="553">
        <f>'Foglio deposito bis'!$F$68*IF(ABS(K1629)&lt;'Progetto del paramento slu'!$G$58,ABS(K1629)*'Progetto del paramento slu'!$G$54,'Progetto del paramento slu'!$G$53)*IF(K1629&lt;0,-1,1)</f>
        <v>0</v>
      </c>
      <c r="R1629" s="553">
        <f>'Foglio deposito bis'!$F$69*IF(ABS(L1629)&lt;'Progetto del paramento slu'!$G$58,ABS(L1629)*'Progetto del paramento slu'!$G$54,'Progetto del paramento slu'!$G$53)*IF(L1629&lt;0,-1,1)</f>
        <v>153664.85805602249</v>
      </c>
      <c r="S1629" s="553">
        <f>'Foglio deposito bis'!$F$70*IF(ABS(M1629)&lt;'Progetto del paramento slu'!$G$58,ABS(M1629)*'Progetto del paramento slu'!$G$54,'Progetto del paramento slu'!$G$53)*IF(M1629&lt;0,-1,1)</f>
        <v>0</v>
      </c>
      <c r="T1629" s="553">
        <f>'Foglio deposito bis'!$F$71*IF(ABS(N1629)&lt;'Progetto del paramento slu'!$G$58,ABS(N1629)*'Progetto del paramento slu'!$G$54,'Progetto del paramento slu'!$G$53)*IF(N1629&lt;0,-1,1)</f>
        <v>314705.62929873407</v>
      </c>
      <c r="U1629" s="553">
        <f>'Foglio deposito bis'!$F$72*IF(ABS(O1629)&lt;'Progetto del paramento slu'!$G$58,ABS(O1629)*'Progetto del paramento slu'!$G$54,'Progetto del paramento slu'!$G$53)*IF(O1629&lt;0,-1,1)</f>
        <v>491727.54577927204</v>
      </c>
      <c r="V1629" s="479">
        <f t="shared" si="123"/>
        <v>279132.79189988447</v>
      </c>
      <c r="W1629" s="559"/>
      <c r="X1629" s="559"/>
    </row>
    <row r="1630" spans="1:24" x14ac:dyDescent="0.25">
      <c r="A1630" s="553">
        <f t="shared" si="122"/>
        <v>267687.9979295627</v>
      </c>
      <c r="B1630" s="3">
        <f t="shared" si="120"/>
        <v>12.099999999999978</v>
      </c>
      <c r="C1630" s="553">
        <f>'Foglio deposito bis'!$E$159/sezione!$B$247*B1630</f>
        <v>49.121413064692327</v>
      </c>
      <c r="D1630" s="611">
        <f>-'Progetto del paramento slu'!$G$47*'Progetto del paramento slu'!$G$41*IF(DATI!$G$218="dx",DATI!$E$61,DATI!$E$64*DATI!$E$63)*1000*C1630^2*sezione!$AD$5*(1-sezione!$AD$6)</f>
        <v>-19863101.060059369</v>
      </c>
      <c r="E1630" s="553">
        <f>-'Foglio deposito bis'!$F$68*(C1630-sezione!$AL$33)*IF(ABS(K1630)&lt;'Progetto del paramento slu'!$G$58,ABS(K1630)*'Progetto del paramento slu'!$G$54,'Progetto del paramento slu'!$G$53)</f>
        <v>0</v>
      </c>
      <c r="F1630" s="553">
        <f>-'Foglio deposito bis'!$F$69*(C1630-sezione!$AM$33)*IF(ABS(L1630)&lt;'Progetto del paramento slu'!$G$58,ABS(L1630)*'Progetto del paramento slu'!$G$54,'Progetto del paramento slu'!$G$53)</f>
        <v>15501493.74230618</v>
      </c>
      <c r="G1630" s="553">
        <f>-'Foglio deposito bis'!$F$70*(C1630-sezione!$AN$33)*IF(ABS(M1630)&lt;'Progetto del paramento slu'!$G$58,ABS(M1630)*'Progetto del paramento slu'!$G$54,'Progetto del paramento slu'!$G$53)</f>
        <v>0</v>
      </c>
      <c r="H1630" s="553">
        <f>-'Foglio deposito bis'!$F$71*(C1630-sezione!$AO$33)*IF(ABS(N1630)&lt;'Progetto del paramento slu'!$G$58,ABS(N1630)*'Progetto del paramento slu'!$G$54,'Progetto del paramento slu'!$G$53)</f>
        <v>91541128.751002535</v>
      </c>
      <c r="I1630" s="479">
        <f>-'Foglio deposito bis'!$F$72*(C1630-sezione!$AP$33)*IF(ABS(O1630)&lt;'Progetto del paramento slu'!$G$58,ABS(O1630)*'Progetto del paramento slu'!$G$54,'Progetto del paramento slu'!$G$53)</f>
        <v>103697753.28415008</v>
      </c>
      <c r="J1630" s="479">
        <f t="shared" si="121"/>
        <v>190877274.71739942</v>
      </c>
      <c r="K1630" s="558">
        <f>'Progetto del paramento slu'!$G$60*(sezione!$AL$33-C1630)/C1630</f>
        <v>-6.4991912354757321E-4</v>
      </c>
      <c r="L1630" s="558">
        <f>'Progetto del paramento slu'!$G$60*(sezione!$AM$33-C1630)/C1630</f>
        <v>7.1878032866966018E-3</v>
      </c>
      <c r="M1630" s="559">
        <f>'Progetto del paramento slu'!$G$60*(sezione!$AN$33-C1630)/C1630</f>
        <v>1.5025525696940776E-2</v>
      </c>
      <c r="N1630" s="559">
        <f>'Progetto del paramento slu'!$G$60*(sezione!$AO$33-C1630)/C1630</f>
        <v>2.0725687449845629E-2</v>
      </c>
      <c r="O1630" s="559">
        <f>'Progetto del paramento slu'!$G$60*(sezione!$AP$33-C1630)/C1630</f>
        <v>1.5025952181398837E-2</v>
      </c>
      <c r="P1630" s="553">
        <f>-'Progetto del paramento slu'!$G$47*'Progetto del paramento slu'!$G$41*IF(DATI!$G$218="dx",DATI!$E$61,DATI!$E$64*DATI!$E$63)*1000*C1630*sezione!$AD$5</f>
        <v>-692410.03520446585</v>
      </c>
      <c r="Q1630" s="553">
        <f>'Foglio deposito bis'!$F$68*IF(ABS(K1630)&lt;'Progetto del paramento slu'!$G$58,ABS(K1630)*'Progetto del paramento slu'!$G$54,'Progetto del paramento slu'!$G$53)*IF(K1630&lt;0,-1,1)</f>
        <v>0</v>
      </c>
      <c r="R1630" s="553">
        <f>'Foglio deposito bis'!$F$69*IF(ABS(L1630)&lt;'Progetto del paramento slu'!$G$58,ABS(L1630)*'Progetto del paramento slu'!$G$54,'Progetto del paramento slu'!$G$53)*IF(L1630&lt;0,-1,1)</f>
        <v>153664.85805602249</v>
      </c>
      <c r="S1630" s="553">
        <f>'Foglio deposito bis'!$F$70*IF(ABS(M1630)&lt;'Progetto del paramento slu'!$G$58,ABS(M1630)*'Progetto del paramento slu'!$G$54,'Progetto del paramento slu'!$G$53)*IF(M1630&lt;0,-1,1)</f>
        <v>0</v>
      </c>
      <c r="T1630" s="553">
        <f>'Foglio deposito bis'!$F$71*IF(ABS(N1630)&lt;'Progetto del paramento slu'!$G$58,ABS(N1630)*'Progetto del paramento slu'!$G$54,'Progetto del paramento slu'!$G$53)*IF(N1630&lt;0,-1,1)</f>
        <v>314705.62929873407</v>
      </c>
      <c r="U1630" s="553">
        <f>'Foglio deposito bis'!$F$72*IF(ABS(O1630)&lt;'Progetto del paramento slu'!$G$58,ABS(O1630)*'Progetto del paramento slu'!$G$54,'Progetto del paramento slu'!$G$53)*IF(O1630&lt;0,-1,1)</f>
        <v>491727.54577927204</v>
      </c>
      <c r="V1630" s="479">
        <f t="shared" si="123"/>
        <v>267687.9979295627</v>
      </c>
      <c r="W1630" s="559"/>
      <c r="X1630" s="559"/>
    </row>
    <row r="1631" spans="1:24" x14ac:dyDescent="0.25">
      <c r="A1631" s="553">
        <f t="shared" si="122"/>
        <v>256243.20395924093</v>
      </c>
      <c r="B1631" s="3">
        <f t="shared" si="120"/>
        <v>12.299999999999978</v>
      </c>
      <c r="C1631" s="553">
        <f>'Foglio deposito bis'!$E$159/sezione!$B$247*B1631</f>
        <v>49.9333372475798</v>
      </c>
      <c r="D1631" s="611">
        <f>-'Progetto del paramento slu'!$G$47*'Progetto del paramento slu'!$G$41*IF(DATI!$G$218="dx",DATI!$E$61,DATI!$E$64*DATI!$E$63)*1000*C1631^2*sezione!$AD$5*(1-sezione!$AD$6)</f>
        <v>-20525159.206177048</v>
      </c>
      <c r="E1631" s="553">
        <f>-'Foglio deposito bis'!$F$68*(C1631-sezione!$AL$33)*IF(ABS(K1631)&lt;'Progetto del paramento slu'!$G$58,ABS(K1631)*'Progetto del paramento slu'!$G$54,'Progetto del paramento slu'!$G$53)</f>
        <v>0</v>
      </c>
      <c r="F1631" s="553">
        <f>-'Foglio deposito bis'!$F$69*(C1631-sezione!$AM$33)*IF(ABS(L1631)&lt;'Progetto del paramento slu'!$G$58,ABS(L1631)*'Progetto del paramento slu'!$G$54,'Progetto del paramento slu'!$G$53)</f>
        <v>15376729.527990524</v>
      </c>
      <c r="G1631" s="553">
        <f>-'Foglio deposito bis'!$F$70*(C1631-sezione!$AN$33)*IF(ABS(M1631)&lt;'Progetto del paramento slu'!$G$58,ABS(M1631)*'Progetto del paramento slu'!$G$54,'Progetto del paramento slu'!$G$53)</f>
        <v>0</v>
      </c>
      <c r="H1631" s="553">
        <f>-'Foglio deposito bis'!$F$71*(C1631-sezione!$AO$33)*IF(ABS(N1631)&lt;'Progetto del paramento slu'!$G$58,ABS(N1631)*'Progetto del paramento slu'!$G$54,'Progetto del paramento slu'!$G$53)</f>
        <v>91285611.640084073</v>
      </c>
      <c r="I1631" s="479">
        <f>-'Foglio deposito bis'!$F$72*(C1631-sezione!$AP$33)*IF(ABS(O1631)&lt;'Progetto del paramento slu'!$G$58,ABS(O1631)*'Progetto del paramento slu'!$G$54,'Progetto del paramento slu'!$G$53)</f>
        <v>103298507.79833998</v>
      </c>
      <c r="J1631" s="479">
        <f t="shared" si="121"/>
        <v>189435689.76023751</v>
      </c>
      <c r="K1631" s="558">
        <f>'Progetto del paramento slu'!$G$60*(sezione!$AL$33-C1631)/C1631</f>
        <v>-6.9626190202647423E-4</v>
      </c>
      <c r="L1631" s="558">
        <f>'Progetto del paramento slu'!$G$60*(sezione!$AM$33-C1631)/C1631</f>
        <v>7.0140178674007224E-3</v>
      </c>
      <c r="M1631" s="559">
        <f>'Progetto del paramento slu'!$G$60*(sezione!$AN$33-C1631)/C1631</f>
        <v>1.4724297636827918E-2</v>
      </c>
      <c r="N1631" s="559">
        <f>'Progetto del paramento slu'!$G$60*(sezione!$AO$33-C1631)/C1631</f>
        <v>2.0331773832774968E-2</v>
      </c>
      <c r="O1631" s="559">
        <f>'Progetto del paramento slu'!$G$60*(sezione!$AP$33-C1631)/C1631</f>
        <v>1.4724717186579346E-2</v>
      </c>
      <c r="P1631" s="553">
        <f>-'Progetto del paramento slu'!$G$47*'Progetto del paramento slu'!$G$41*IF(DATI!$G$218="dx",DATI!$E$61,DATI!$E$64*DATI!$E$63)*1000*C1631*sezione!$AD$5</f>
        <v>-703854.82917478762</v>
      </c>
      <c r="Q1631" s="553">
        <f>'Foglio deposito bis'!$F$68*IF(ABS(K1631)&lt;'Progetto del paramento slu'!$G$58,ABS(K1631)*'Progetto del paramento slu'!$G$54,'Progetto del paramento slu'!$G$53)*IF(K1631&lt;0,-1,1)</f>
        <v>0</v>
      </c>
      <c r="R1631" s="553">
        <f>'Foglio deposito bis'!$F$69*IF(ABS(L1631)&lt;'Progetto del paramento slu'!$G$58,ABS(L1631)*'Progetto del paramento slu'!$G$54,'Progetto del paramento slu'!$G$53)*IF(L1631&lt;0,-1,1)</f>
        <v>153664.85805602249</v>
      </c>
      <c r="S1631" s="553">
        <f>'Foglio deposito bis'!$F$70*IF(ABS(M1631)&lt;'Progetto del paramento slu'!$G$58,ABS(M1631)*'Progetto del paramento slu'!$G$54,'Progetto del paramento slu'!$G$53)*IF(M1631&lt;0,-1,1)</f>
        <v>0</v>
      </c>
      <c r="T1631" s="553">
        <f>'Foglio deposito bis'!$F$71*IF(ABS(N1631)&lt;'Progetto del paramento slu'!$G$58,ABS(N1631)*'Progetto del paramento slu'!$G$54,'Progetto del paramento slu'!$G$53)*IF(N1631&lt;0,-1,1)</f>
        <v>314705.62929873407</v>
      </c>
      <c r="U1631" s="553">
        <f>'Foglio deposito bis'!$F$72*IF(ABS(O1631)&lt;'Progetto del paramento slu'!$G$58,ABS(O1631)*'Progetto del paramento slu'!$G$54,'Progetto del paramento slu'!$G$53)*IF(O1631&lt;0,-1,1)</f>
        <v>491727.54577927204</v>
      </c>
      <c r="V1631" s="479">
        <f t="shared" si="123"/>
        <v>256243.20395924093</v>
      </c>
      <c r="W1631" s="559"/>
      <c r="X1631" s="559"/>
    </row>
    <row r="1632" spans="1:24" x14ac:dyDescent="0.25">
      <c r="A1632" s="553">
        <f t="shared" si="122"/>
        <v>244798.40998891939</v>
      </c>
      <c r="B1632" s="3">
        <f t="shared" si="120"/>
        <v>12.499999999999977</v>
      </c>
      <c r="C1632" s="553">
        <f>'Foglio deposito bis'!$E$159/sezione!$B$247*B1632</f>
        <v>50.745261430467274</v>
      </c>
      <c r="D1632" s="611">
        <f>-'Progetto del paramento slu'!$G$47*'Progetto del paramento slu'!$G$41*IF(DATI!$G$218="dx",DATI!$E$61,DATI!$E$64*DATI!$E$63)*1000*C1632^2*sezione!$AD$5*(1-sezione!$AD$6)</f>
        <v>-21198070.764526166</v>
      </c>
      <c r="E1632" s="553">
        <f>-'Foglio deposito bis'!$F$68*(C1632-sezione!$AL$33)*IF(ABS(K1632)&lt;'Progetto del paramento slu'!$G$58,ABS(K1632)*'Progetto del paramento slu'!$G$54,'Progetto del paramento slu'!$G$53)</f>
        <v>0</v>
      </c>
      <c r="F1632" s="553">
        <f>-'Foglio deposito bis'!$F$69*(C1632-sezione!$AM$33)*IF(ABS(L1632)&lt;'Progetto del paramento slu'!$G$58,ABS(L1632)*'Progetto del paramento slu'!$G$54,'Progetto del paramento slu'!$G$53)</f>
        <v>15251965.313674867</v>
      </c>
      <c r="G1632" s="553">
        <f>-'Foglio deposito bis'!$F$70*(C1632-sezione!$AN$33)*IF(ABS(M1632)&lt;'Progetto del paramento slu'!$G$58,ABS(M1632)*'Progetto del paramento slu'!$G$54,'Progetto del paramento slu'!$G$53)</f>
        <v>0</v>
      </c>
      <c r="H1632" s="553">
        <f>-'Foglio deposito bis'!$F$71*(C1632-sezione!$AO$33)*IF(ABS(N1632)&lt;'Progetto del paramento slu'!$G$58,ABS(N1632)*'Progetto del paramento slu'!$G$54,'Progetto del paramento slu'!$G$53)</f>
        <v>91030094.529165611</v>
      </c>
      <c r="I1632" s="479">
        <f>-'Foglio deposito bis'!$F$72*(C1632-sezione!$AP$33)*IF(ABS(O1632)&lt;'Progetto del paramento slu'!$G$58,ABS(O1632)*'Progetto del paramento slu'!$G$54,'Progetto del paramento slu'!$G$53)</f>
        <v>102899262.31252988</v>
      </c>
      <c r="J1632" s="479">
        <f t="shared" si="121"/>
        <v>187983251.39084417</v>
      </c>
      <c r="K1632" s="558">
        <f>'Progetto del paramento slu'!$G$60*(sezione!$AL$33-C1632)/C1632</f>
        <v>-7.4112171159405036E-4</v>
      </c>
      <c r="L1632" s="558">
        <f>'Progetto del paramento slu'!$G$60*(sezione!$AM$33-C1632)/C1632</f>
        <v>6.8457935815223105E-3</v>
      </c>
      <c r="M1632" s="559">
        <f>'Progetto del paramento slu'!$G$60*(sezione!$AN$33-C1632)/C1632</f>
        <v>1.4432708874638673E-2</v>
      </c>
      <c r="N1632" s="559">
        <f>'Progetto del paramento slu'!$G$60*(sezione!$AO$33-C1632)/C1632</f>
        <v>1.9950465451450568E-2</v>
      </c>
      <c r="O1632" s="559">
        <f>'Progetto del paramento slu'!$G$60*(sezione!$AP$33-C1632)/C1632</f>
        <v>1.4433121711594077E-2</v>
      </c>
      <c r="P1632" s="553">
        <f>-'Progetto del paramento slu'!$G$47*'Progetto del paramento slu'!$G$41*IF(DATI!$G$218="dx",DATI!$E$61,DATI!$E$64*DATI!$E$63)*1000*C1632*sezione!$AD$5</f>
        <v>-715299.62314510928</v>
      </c>
      <c r="Q1632" s="553">
        <f>'Foglio deposito bis'!$F$68*IF(ABS(K1632)&lt;'Progetto del paramento slu'!$G$58,ABS(K1632)*'Progetto del paramento slu'!$G$54,'Progetto del paramento slu'!$G$53)*IF(K1632&lt;0,-1,1)</f>
        <v>0</v>
      </c>
      <c r="R1632" s="553">
        <f>'Foglio deposito bis'!$F$69*IF(ABS(L1632)&lt;'Progetto del paramento slu'!$G$58,ABS(L1632)*'Progetto del paramento slu'!$G$54,'Progetto del paramento slu'!$G$53)*IF(L1632&lt;0,-1,1)</f>
        <v>153664.85805602249</v>
      </c>
      <c r="S1632" s="553">
        <f>'Foglio deposito bis'!$F$70*IF(ABS(M1632)&lt;'Progetto del paramento slu'!$G$58,ABS(M1632)*'Progetto del paramento slu'!$G$54,'Progetto del paramento slu'!$G$53)*IF(M1632&lt;0,-1,1)</f>
        <v>0</v>
      </c>
      <c r="T1632" s="553">
        <f>'Foglio deposito bis'!$F$71*IF(ABS(N1632)&lt;'Progetto del paramento slu'!$G$58,ABS(N1632)*'Progetto del paramento slu'!$G$54,'Progetto del paramento slu'!$G$53)*IF(N1632&lt;0,-1,1)</f>
        <v>314705.62929873407</v>
      </c>
      <c r="U1632" s="553">
        <f>'Foglio deposito bis'!$F$72*IF(ABS(O1632)&lt;'Progetto del paramento slu'!$G$58,ABS(O1632)*'Progetto del paramento slu'!$G$54,'Progetto del paramento slu'!$G$53)*IF(O1632&lt;0,-1,1)</f>
        <v>491727.54577927204</v>
      </c>
      <c r="V1632" s="479">
        <f t="shared" si="123"/>
        <v>244798.40998891939</v>
      </c>
      <c r="W1632" s="559"/>
      <c r="X1632" s="559"/>
    </row>
    <row r="1633" spans="1:24" x14ac:dyDescent="0.25">
      <c r="A1633" s="553">
        <f t="shared" si="122"/>
        <v>233353.61601859762</v>
      </c>
      <c r="B1633" s="3">
        <f t="shared" si="120"/>
        <v>12.699999999999976</v>
      </c>
      <c r="C1633" s="553">
        <f>'Foglio deposito bis'!$E$159/sezione!$B$247*B1633</f>
        <v>51.557185613354754</v>
      </c>
      <c r="D1633" s="611">
        <f>-'Progetto del paramento slu'!$G$47*'Progetto del paramento slu'!$G$41*IF(DATI!$G$218="dx",DATI!$E$61,DATI!$E$64*DATI!$E$63)*1000*C1633^2*sezione!$AD$5*(1-sezione!$AD$6)</f>
        <v>-21881835.735106725</v>
      </c>
      <c r="E1633" s="553">
        <f>-'Foglio deposito bis'!$F$68*(C1633-sezione!$AL$33)*IF(ABS(K1633)&lt;'Progetto del paramento slu'!$G$58,ABS(K1633)*'Progetto del paramento slu'!$G$54,'Progetto del paramento slu'!$G$53)</f>
        <v>0</v>
      </c>
      <c r="F1633" s="553">
        <f>-'Foglio deposito bis'!$F$69*(C1633-sezione!$AM$33)*IF(ABS(L1633)&lt;'Progetto del paramento slu'!$G$58,ABS(L1633)*'Progetto del paramento slu'!$G$54,'Progetto del paramento slu'!$G$53)</f>
        <v>15127201.099359211</v>
      </c>
      <c r="G1633" s="553">
        <f>-'Foglio deposito bis'!$F$70*(C1633-sezione!$AN$33)*IF(ABS(M1633)&lt;'Progetto del paramento slu'!$G$58,ABS(M1633)*'Progetto del paramento slu'!$G$54,'Progetto del paramento slu'!$G$53)</f>
        <v>0</v>
      </c>
      <c r="H1633" s="553">
        <f>-'Foglio deposito bis'!$F$71*(C1633-sezione!$AO$33)*IF(ABS(N1633)&lt;'Progetto del paramento slu'!$G$58,ABS(N1633)*'Progetto del paramento slu'!$G$54,'Progetto del paramento slu'!$G$53)</f>
        <v>90774577.418247133</v>
      </c>
      <c r="I1633" s="479">
        <f>-'Foglio deposito bis'!$F$72*(C1633-sezione!$AP$33)*IF(ABS(O1633)&lt;'Progetto del paramento slu'!$G$58,ABS(O1633)*'Progetto del paramento slu'!$G$54,'Progetto del paramento slu'!$G$53)</f>
        <v>102500016.82671978</v>
      </c>
      <c r="J1633" s="479">
        <f t="shared" si="121"/>
        <v>186519959.60921937</v>
      </c>
      <c r="K1633" s="558">
        <f>'Progetto del paramento slu'!$G$60*(sezione!$AL$33-C1633)/C1633</f>
        <v>-7.8456861377367189E-4</v>
      </c>
      <c r="L1633" s="558">
        <f>'Progetto del paramento slu'!$G$60*(sezione!$AM$33-C1633)/C1633</f>
        <v>6.6828676983487307E-3</v>
      </c>
      <c r="M1633" s="559">
        <f>'Progetto del paramento slu'!$G$60*(sezione!$AN$33-C1633)/C1633</f>
        <v>1.4150304010471133E-2</v>
      </c>
      <c r="N1633" s="559">
        <f>'Progetto del paramento slu'!$G$60*(sezione!$AO$33-C1633)/C1633</f>
        <v>1.9581166782923789E-2</v>
      </c>
      <c r="O1633" s="559">
        <f>'Progetto del paramento slu'!$G$60*(sezione!$AP$33-C1633)/C1633</f>
        <v>1.4150710346057161E-2</v>
      </c>
      <c r="P1633" s="553">
        <f>-'Progetto del paramento slu'!$G$47*'Progetto del paramento slu'!$G$41*IF(DATI!$G$218="dx",DATI!$E$61,DATI!$E$64*DATI!$E$63)*1000*C1633*sezione!$AD$5</f>
        <v>-726744.41711543105</v>
      </c>
      <c r="Q1633" s="553">
        <f>'Foglio deposito bis'!$F$68*IF(ABS(K1633)&lt;'Progetto del paramento slu'!$G$58,ABS(K1633)*'Progetto del paramento slu'!$G$54,'Progetto del paramento slu'!$G$53)*IF(K1633&lt;0,-1,1)</f>
        <v>0</v>
      </c>
      <c r="R1633" s="553">
        <f>'Foglio deposito bis'!$F$69*IF(ABS(L1633)&lt;'Progetto del paramento slu'!$G$58,ABS(L1633)*'Progetto del paramento slu'!$G$54,'Progetto del paramento slu'!$G$53)*IF(L1633&lt;0,-1,1)</f>
        <v>153664.85805602249</v>
      </c>
      <c r="S1633" s="553">
        <f>'Foglio deposito bis'!$F$70*IF(ABS(M1633)&lt;'Progetto del paramento slu'!$G$58,ABS(M1633)*'Progetto del paramento slu'!$G$54,'Progetto del paramento slu'!$G$53)*IF(M1633&lt;0,-1,1)</f>
        <v>0</v>
      </c>
      <c r="T1633" s="553">
        <f>'Foglio deposito bis'!$F$71*IF(ABS(N1633)&lt;'Progetto del paramento slu'!$G$58,ABS(N1633)*'Progetto del paramento slu'!$G$54,'Progetto del paramento slu'!$G$53)*IF(N1633&lt;0,-1,1)</f>
        <v>314705.62929873407</v>
      </c>
      <c r="U1633" s="553">
        <f>'Foglio deposito bis'!$F$72*IF(ABS(O1633)&lt;'Progetto del paramento slu'!$G$58,ABS(O1633)*'Progetto del paramento slu'!$G$54,'Progetto del paramento slu'!$G$53)*IF(O1633&lt;0,-1,1)</f>
        <v>491727.54577927204</v>
      </c>
      <c r="V1633" s="479">
        <f t="shared" si="123"/>
        <v>233353.61601859762</v>
      </c>
      <c r="W1633" s="559"/>
      <c r="X1633" s="559"/>
    </row>
    <row r="1634" spans="1:24" x14ac:dyDescent="0.25">
      <c r="A1634" s="553">
        <f t="shared" si="122"/>
        <v>221908.82204827562</v>
      </c>
      <c r="B1634" s="3">
        <f t="shared" si="120"/>
        <v>12.899999999999975</v>
      </c>
      <c r="C1634" s="553">
        <f>'Foglio deposito bis'!$E$159/sezione!$B$247*B1634</f>
        <v>52.369109796242228</v>
      </c>
      <c r="D1634" s="611">
        <f>-'Progetto del paramento slu'!$G$47*'Progetto del paramento slu'!$G$41*IF(DATI!$G$218="dx",DATI!$E$61,DATI!$E$64*DATI!$E$63)*1000*C1634^2*sezione!$AD$5*(1-sezione!$AD$6)</f>
        <v>-22576454.117918715</v>
      </c>
      <c r="E1634" s="553">
        <f>-'Foglio deposito bis'!$F$68*(C1634-sezione!$AL$33)*IF(ABS(K1634)&lt;'Progetto del paramento slu'!$G$58,ABS(K1634)*'Progetto del paramento slu'!$G$54,'Progetto del paramento slu'!$G$53)</f>
        <v>0</v>
      </c>
      <c r="F1634" s="553">
        <f>-'Foglio deposito bis'!$F$69*(C1634-sezione!$AM$33)*IF(ABS(L1634)&lt;'Progetto del paramento slu'!$G$58,ABS(L1634)*'Progetto del paramento slu'!$G$54,'Progetto del paramento slu'!$G$53)</f>
        <v>15002436.885043556</v>
      </c>
      <c r="G1634" s="553">
        <f>-'Foglio deposito bis'!$F$70*(C1634-sezione!$AN$33)*IF(ABS(M1634)&lt;'Progetto del paramento slu'!$G$58,ABS(M1634)*'Progetto del paramento slu'!$G$54,'Progetto del paramento slu'!$G$53)</f>
        <v>0</v>
      </c>
      <c r="H1634" s="553">
        <f>-'Foglio deposito bis'!$F$71*(C1634-sezione!$AO$33)*IF(ABS(N1634)&lt;'Progetto del paramento slu'!$G$58,ABS(N1634)*'Progetto del paramento slu'!$G$54,'Progetto del paramento slu'!$G$53)</f>
        <v>90519060.307328671</v>
      </c>
      <c r="I1634" s="479">
        <f>-'Foglio deposito bis'!$F$72*(C1634-sezione!$AP$33)*IF(ABS(O1634)&lt;'Progetto del paramento slu'!$G$58,ABS(O1634)*'Progetto del paramento slu'!$G$54,'Progetto del paramento slu'!$G$53)</f>
        <v>102100771.34090967</v>
      </c>
      <c r="J1634" s="479">
        <f t="shared" si="121"/>
        <v>185045814.41536319</v>
      </c>
      <c r="K1634" s="558">
        <f>'Progetto del paramento slu'!$G$60*(sezione!$AL$33-C1634)/C1634</f>
        <v>-8.2666832518803342E-4</v>
      </c>
      <c r="L1634" s="558">
        <f>'Progetto del paramento slu'!$G$60*(sezione!$AM$33-C1634)/C1634</f>
        <v>6.5249937805448742E-3</v>
      </c>
      <c r="M1634" s="559">
        <f>'Progetto del paramento slu'!$G$60*(sezione!$AN$33-C1634)/C1634</f>
        <v>1.3876655886277782E-2</v>
      </c>
      <c r="N1634" s="559">
        <f>'Progetto del paramento slu'!$G$60*(sezione!$AO$33-C1634)/C1634</f>
        <v>1.9223319235901714E-2</v>
      </c>
      <c r="O1634" s="559">
        <f>'Progetto del paramento slu'!$G$60*(sezione!$AP$33-C1634)/C1634</f>
        <v>1.3877055922087283E-2</v>
      </c>
      <c r="P1634" s="553">
        <f>-'Progetto del paramento slu'!$G$47*'Progetto del paramento slu'!$G$41*IF(DATI!$G$218="dx",DATI!$E$61,DATI!$E$64*DATI!$E$63)*1000*C1634*sezione!$AD$5</f>
        <v>-738189.21108575293</v>
      </c>
      <c r="Q1634" s="553">
        <f>'Foglio deposito bis'!$F$68*IF(ABS(K1634)&lt;'Progetto del paramento slu'!$G$58,ABS(K1634)*'Progetto del paramento slu'!$G$54,'Progetto del paramento slu'!$G$53)*IF(K1634&lt;0,-1,1)</f>
        <v>0</v>
      </c>
      <c r="R1634" s="553">
        <f>'Foglio deposito bis'!$F$69*IF(ABS(L1634)&lt;'Progetto del paramento slu'!$G$58,ABS(L1634)*'Progetto del paramento slu'!$G$54,'Progetto del paramento slu'!$G$53)*IF(L1634&lt;0,-1,1)</f>
        <v>153664.85805602249</v>
      </c>
      <c r="S1634" s="553">
        <f>'Foglio deposito bis'!$F$70*IF(ABS(M1634)&lt;'Progetto del paramento slu'!$G$58,ABS(M1634)*'Progetto del paramento slu'!$G$54,'Progetto del paramento slu'!$G$53)*IF(M1634&lt;0,-1,1)</f>
        <v>0</v>
      </c>
      <c r="T1634" s="553">
        <f>'Foglio deposito bis'!$F$71*IF(ABS(N1634)&lt;'Progetto del paramento slu'!$G$58,ABS(N1634)*'Progetto del paramento slu'!$G$54,'Progetto del paramento slu'!$G$53)*IF(N1634&lt;0,-1,1)</f>
        <v>314705.62929873407</v>
      </c>
      <c r="U1634" s="553">
        <f>'Foglio deposito bis'!$F$72*IF(ABS(O1634)&lt;'Progetto del paramento slu'!$G$58,ABS(O1634)*'Progetto del paramento slu'!$G$54,'Progetto del paramento slu'!$G$53)*IF(O1634&lt;0,-1,1)</f>
        <v>491727.54577927204</v>
      </c>
      <c r="V1634" s="479">
        <f t="shared" si="123"/>
        <v>221908.82204827562</v>
      </c>
      <c r="W1634" s="559"/>
      <c r="X1634" s="559"/>
    </row>
    <row r="1635" spans="1:24" x14ac:dyDescent="0.25">
      <c r="A1635" s="553">
        <f t="shared" si="122"/>
        <v>210464.02807795408</v>
      </c>
      <c r="B1635" s="3">
        <f t="shared" si="120"/>
        <v>13.099999999999975</v>
      </c>
      <c r="C1635" s="553">
        <f>'Foglio deposito bis'!$E$159/sezione!$B$247*B1635</f>
        <v>53.181033979129701</v>
      </c>
      <c r="D1635" s="611">
        <f>-'Progetto del paramento slu'!$G$47*'Progetto del paramento slu'!$G$41*IF(DATI!$G$218="dx",DATI!$E$61,DATI!$E$64*DATI!$E$63)*1000*C1635^2*sezione!$AD$5*(1-sezione!$AD$6)</f>
        <v>-23281925.912962146</v>
      </c>
      <c r="E1635" s="553">
        <f>-'Foglio deposito bis'!$F$68*(C1635-sezione!$AL$33)*IF(ABS(K1635)&lt;'Progetto del paramento slu'!$G$58,ABS(K1635)*'Progetto del paramento slu'!$G$54,'Progetto del paramento slu'!$G$53)</f>
        <v>0</v>
      </c>
      <c r="F1635" s="553">
        <f>-'Foglio deposito bis'!$F$69*(C1635-sezione!$AM$33)*IF(ABS(L1635)&lt;'Progetto del paramento slu'!$G$58,ABS(L1635)*'Progetto del paramento slu'!$G$54,'Progetto del paramento slu'!$G$53)</f>
        <v>14877672.670727899</v>
      </c>
      <c r="G1635" s="553">
        <f>-'Foglio deposito bis'!$F$70*(C1635-sezione!$AN$33)*IF(ABS(M1635)&lt;'Progetto del paramento slu'!$G$58,ABS(M1635)*'Progetto del paramento slu'!$G$54,'Progetto del paramento slu'!$G$53)</f>
        <v>0</v>
      </c>
      <c r="H1635" s="553">
        <f>-'Foglio deposito bis'!$F$71*(C1635-sezione!$AO$33)*IF(ABS(N1635)&lt;'Progetto del paramento slu'!$G$58,ABS(N1635)*'Progetto del paramento slu'!$G$54,'Progetto del paramento slu'!$G$53)</f>
        <v>90263543.196410209</v>
      </c>
      <c r="I1635" s="479">
        <f>-'Foglio deposito bis'!$F$72*(C1635-sezione!$AP$33)*IF(ABS(O1635)&lt;'Progetto del paramento slu'!$G$58,ABS(O1635)*'Progetto del paramento slu'!$G$54,'Progetto del paramento slu'!$G$53)</f>
        <v>101701525.85509959</v>
      </c>
      <c r="J1635" s="479">
        <f t="shared" si="121"/>
        <v>183560815.80927557</v>
      </c>
      <c r="K1635" s="558">
        <f>'Progetto del paramento slu'!$G$60*(sezione!$AL$33-C1635)/C1635</f>
        <v>-8.6748254923096403E-4</v>
      </c>
      <c r="L1635" s="558">
        <f>'Progetto del paramento slu'!$G$60*(sezione!$AM$33-C1635)/C1635</f>
        <v>6.3719404403838852E-3</v>
      </c>
      <c r="M1635" s="559">
        <f>'Progetto del paramento slu'!$G$60*(sezione!$AN$33-C1635)/C1635</f>
        <v>1.3611363429998736E-2</v>
      </c>
      <c r="N1635" s="559">
        <f>'Progetto del paramento slu'!$G$60*(sezione!$AO$33-C1635)/C1635</f>
        <v>1.8876398331536804E-2</v>
      </c>
      <c r="O1635" s="559">
        <f>'Progetto del paramento slu'!$G$60*(sezione!$AP$33-C1635)/C1635</f>
        <v>1.3611757358391296E-2</v>
      </c>
      <c r="P1635" s="553">
        <f>-'Progetto del paramento slu'!$G$47*'Progetto del paramento slu'!$G$41*IF(DATI!$G$218="dx",DATI!$E$61,DATI!$E$64*DATI!$E$63)*1000*C1635*sezione!$AD$5</f>
        <v>-749634.00505607459</v>
      </c>
      <c r="Q1635" s="553">
        <f>'Foglio deposito bis'!$F$68*IF(ABS(K1635)&lt;'Progetto del paramento slu'!$G$58,ABS(K1635)*'Progetto del paramento slu'!$G$54,'Progetto del paramento slu'!$G$53)*IF(K1635&lt;0,-1,1)</f>
        <v>0</v>
      </c>
      <c r="R1635" s="553">
        <f>'Foglio deposito bis'!$F$69*IF(ABS(L1635)&lt;'Progetto del paramento slu'!$G$58,ABS(L1635)*'Progetto del paramento slu'!$G$54,'Progetto del paramento slu'!$G$53)*IF(L1635&lt;0,-1,1)</f>
        <v>153664.85805602249</v>
      </c>
      <c r="S1635" s="553">
        <f>'Foglio deposito bis'!$F$70*IF(ABS(M1635)&lt;'Progetto del paramento slu'!$G$58,ABS(M1635)*'Progetto del paramento slu'!$G$54,'Progetto del paramento slu'!$G$53)*IF(M1635&lt;0,-1,1)</f>
        <v>0</v>
      </c>
      <c r="T1635" s="553">
        <f>'Foglio deposito bis'!$F$71*IF(ABS(N1635)&lt;'Progetto del paramento slu'!$G$58,ABS(N1635)*'Progetto del paramento slu'!$G$54,'Progetto del paramento slu'!$G$53)*IF(N1635&lt;0,-1,1)</f>
        <v>314705.62929873407</v>
      </c>
      <c r="U1635" s="553">
        <f>'Foglio deposito bis'!$F$72*IF(ABS(O1635)&lt;'Progetto del paramento slu'!$G$58,ABS(O1635)*'Progetto del paramento slu'!$G$54,'Progetto del paramento slu'!$G$53)*IF(O1635&lt;0,-1,1)</f>
        <v>491727.54577927204</v>
      </c>
      <c r="V1635" s="479">
        <f t="shared" si="123"/>
        <v>210464.02807795408</v>
      </c>
      <c r="W1635" s="559"/>
      <c r="X1635" s="559"/>
    </row>
    <row r="1636" spans="1:24" x14ac:dyDescent="0.25">
      <c r="A1636" s="553">
        <f t="shared" si="122"/>
        <v>199019.23410763231</v>
      </c>
      <c r="B1636" s="3">
        <f t="shared" si="120"/>
        <v>13.299999999999974</v>
      </c>
      <c r="C1636" s="553">
        <f>'Foglio deposito bis'!$E$159/sezione!$B$247*B1636</f>
        <v>53.992958162017175</v>
      </c>
      <c r="D1636" s="611">
        <f>-'Progetto del paramento slu'!$G$47*'Progetto del paramento slu'!$G$41*IF(DATI!$G$218="dx",DATI!$E$61,DATI!$E$64*DATI!$E$63)*1000*C1636^2*sezione!$AD$5*(1-sezione!$AD$6)</f>
        <v>-23998251.120237011</v>
      </c>
      <c r="E1636" s="553">
        <f>-'Foglio deposito bis'!$F$68*(C1636-sezione!$AL$33)*IF(ABS(K1636)&lt;'Progetto del paramento slu'!$G$58,ABS(K1636)*'Progetto del paramento slu'!$G$54,'Progetto del paramento slu'!$G$53)</f>
        <v>0</v>
      </c>
      <c r="F1636" s="553">
        <f>-'Foglio deposito bis'!$F$69*(C1636-sezione!$AM$33)*IF(ABS(L1636)&lt;'Progetto del paramento slu'!$G$58,ABS(L1636)*'Progetto del paramento slu'!$G$54,'Progetto del paramento slu'!$G$53)</f>
        <v>14752908.456412243</v>
      </c>
      <c r="G1636" s="553">
        <f>-'Foglio deposito bis'!$F$70*(C1636-sezione!$AN$33)*IF(ABS(M1636)&lt;'Progetto del paramento slu'!$G$58,ABS(M1636)*'Progetto del paramento slu'!$G$54,'Progetto del paramento slu'!$G$53)</f>
        <v>0</v>
      </c>
      <c r="H1636" s="553">
        <f>-'Foglio deposito bis'!$F$71*(C1636-sezione!$AO$33)*IF(ABS(N1636)&lt;'Progetto del paramento slu'!$G$58,ABS(N1636)*'Progetto del paramento slu'!$G$54,'Progetto del paramento slu'!$G$53)</f>
        <v>90008026.085491747</v>
      </c>
      <c r="I1636" s="479">
        <f>-'Foglio deposito bis'!$F$72*(C1636-sezione!$AP$33)*IF(ABS(O1636)&lt;'Progetto del paramento slu'!$G$58,ABS(O1636)*'Progetto del paramento slu'!$G$54,'Progetto del paramento slu'!$G$53)</f>
        <v>101302280.36928949</v>
      </c>
      <c r="J1636" s="479">
        <f t="shared" si="121"/>
        <v>182064963.79095647</v>
      </c>
      <c r="K1636" s="558">
        <f>'Progetto del paramento slu'!$G$60*(sezione!$AL$33-C1636)/C1636</f>
        <v>-9.0706927781395699E-4</v>
      </c>
      <c r="L1636" s="558">
        <f>'Progetto del paramento slu'!$G$60*(sezione!$AM$33-C1636)/C1636</f>
        <v>6.2234902081976613E-3</v>
      </c>
      <c r="M1636" s="559">
        <f>'Progetto del paramento slu'!$G$60*(sezione!$AN$33-C1636)/C1636</f>
        <v>1.3354049694209282E-2</v>
      </c>
      <c r="N1636" s="559">
        <f>'Progetto del paramento slu'!$G$60*(sezione!$AO$33-C1636)/C1636</f>
        <v>1.8539911138581364E-2</v>
      </c>
      <c r="O1636" s="559">
        <f>'Progetto del paramento slu'!$G$60*(sezione!$AP$33-C1636)/C1636</f>
        <v>1.3354437698866616E-2</v>
      </c>
      <c r="P1636" s="553">
        <f>-'Progetto del paramento slu'!$G$47*'Progetto del paramento slu'!$G$41*IF(DATI!$G$218="dx",DATI!$E$61,DATI!$E$64*DATI!$E$63)*1000*C1636*sezione!$AD$5</f>
        <v>-761078.79902639624</v>
      </c>
      <c r="Q1636" s="553">
        <f>'Foglio deposito bis'!$F$68*IF(ABS(K1636)&lt;'Progetto del paramento slu'!$G$58,ABS(K1636)*'Progetto del paramento slu'!$G$54,'Progetto del paramento slu'!$G$53)*IF(K1636&lt;0,-1,1)</f>
        <v>0</v>
      </c>
      <c r="R1636" s="553">
        <f>'Foglio deposito bis'!$F$69*IF(ABS(L1636)&lt;'Progetto del paramento slu'!$G$58,ABS(L1636)*'Progetto del paramento slu'!$G$54,'Progetto del paramento slu'!$G$53)*IF(L1636&lt;0,-1,1)</f>
        <v>153664.85805602249</v>
      </c>
      <c r="S1636" s="553">
        <f>'Foglio deposito bis'!$F$70*IF(ABS(M1636)&lt;'Progetto del paramento slu'!$G$58,ABS(M1636)*'Progetto del paramento slu'!$G$54,'Progetto del paramento slu'!$G$53)*IF(M1636&lt;0,-1,1)</f>
        <v>0</v>
      </c>
      <c r="T1636" s="553">
        <f>'Foglio deposito bis'!$F$71*IF(ABS(N1636)&lt;'Progetto del paramento slu'!$G$58,ABS(N1636)*'Progetto del paramento slu'!$G$54,'Progetto del paramento slu'!$G$53)*IF(N1636&lt;0,-1,1)</f>
        <v>314705.62929873407</v>
      </c>
      <c r="U1636" s="553">
        <f>'Foglio deposito bis'!$F$72*IF(ABS(O1636)&lt;'Progetto del paramento slu'!$G$58,ABS(O1636)*'Progetto del paramento slu'!$G$54,'Progetto del paramento slu'!$G$53)*IF(O1636&lt;0,-1,1)</f>
        <v>491727.54577927204</v>
      </c>
      <c r="V1636" s="479">
        <f t="shared" si="123"/>
        <v>199019.23410763231</v>
      </c>
      <c r="W1636" s="559"/>
      <c r="X1636" s="559"/>
    </row>
    <row r="1637" spans="1:24" x14ac:dyDescent="0.25">
      <c r="A1637" s="553">
        <f t="shared" si="122"/>
        <v>187574.44013731054</v>
      </c>
      <c r="B1637" s="3">
        <f t="shared" si="120"/>
        <v>13.499999999999973</v>
      </c>
      <c r="C1637" s="553">
        <f>'Foglio deposito bis'!$E$159/sezione!$B$247*B1637</f>
        <v>54.804882344904648</v>
      </c>
      <c r="D1637" s="611">
        <f>-'Progetto del paramento slu'!$G$47*'Progetto del paramento slu'!$G$41*IF(DATI!$G$218="dx",DATI!$E$61,DATI!$E$64*DATI!$E$63)*1000*C1637^2*sezione!$AD$5*(1-sezione!$AD$6)</f>
        <v>-24725429.739743311</v>
      </c>
      <c r="E1637" s="553">
        <f>-'Foglio deposito bis'!$F$68*(C1637-sezione!$AL$33)*IF(ABS(K1637)&lt;'Progetto del paramento slu'!$G$58,ABS(K1637)*'Progetto del paramento slu'!$G$54,'Progetto del paramento slu'!$G$53)</f>
        <v>0</v>
      </c>
      <c r="F1637" s="553">
        <f>-'Foglio deposito bis'!$F$69*(C1637-sezione!$AM$33)*IF(ABS(L1637)&lt;'Progetto del paramento slu'!$G$58,ABS(L1637)*'Progetto del paramento slu'!$G$54,'Progetto del paramento slu'!$G$53)</f>
        <v>14628144.242096586</v>
      </c>
      <c r="G1637" s="553">
        <f>-'Foglio deposito bis'!$F$70*(C1637-sezione!$AN$33)*IF(ABS(M1637)&lt;'Progetto del paramento slu'!$G$58,ABS(M1637)*'Progetto del paramento slu'!$G$54,'Progetto del paramento slu'!$G$53)</f>
        <v>0</v>
      </c>
      <c r="H1637" s="553">
        <f>-'Foglio deposito bis'!$F$71*(C1637-sezione!$AO$33)*IF(ABS(N1637)&lt;'Progetto del paramento slu'!$G$58,ABS(N1637)*'Progetto del paramento slu'!$G$54,'Progetto del paramento slu'!$G$53)</f>
        <v>89752508.974573299</v>
      </c>
      <c r="I1637" s="479">
        <f>-'Foglio deposito bis'!$F$72*(C1637-sezione!$AP$33)*IF(ABS(O1637)&lt;'Progetto del paramento slu'!$G$58,ABS(O1637)*'Progetto del paramento slu'!$G$54,'Progetto del paramento slu'!$G$53)</f>
        <v>100903034.88347939</v>
      </c>
      <c r="J1637" s="479">
        <f t="shared" si="121"/>
        <v>180558258.36040598</v>
      </c>
      <c r="K1637" s="558">
        <f>'Progetto del paramento slu'!$G$60*(sezione!$AL$33-C1637)/C1637</f>
        <v>-9.454830662907871E-4</v>
      </c>
      <c r="L1637" s="558">
        <f>'Progetto del paramento slu'!$G$60*(sezione!$AM$33-C1637)/C1637</f>
        <v>6.0794385014095479E-3</v>
      </c>
      <c r="M1637" s="559">
        <f>'Progetto del paramento slu'!$G$60*(sezione!$AN$33-C1637)/C1637</f>
        <v>1.3104360069109883E-2</v>
      </c>
      <c r="N1637" s="559">
        <f>'Progetto del paramento slu'!$G$60*(sezione!$AO$33-C1637)/C1637</f>
        <v>1.8213393936528311E-2</v>
      </c>
      <c r="O1637" s="559">
        <f>'Progetto del paramento slu'!$G$60*(sezione!$AP$33-C1637)/C1637</f>
        <v>1.3104742325550074E-2</v>
      </c>
      <c r="P1637" s="553">
        <f>-'Progetto del paramento slu'!$G$47*'Progetto del paramento slu'!$G$41*IF(DATI!$G$218="dx",DATI!$E$61,DATI!$E$64*DATI!$E$63)*1000*C1637*sezione!$AD$5</f>
        <v>-772523.59299671801</v>
      </c>
      <c r="Q1637" s="553">
        <f>'Foglio deposito bis'!$F$68*IF(ABS(K1637)&lt;'Progetto del paramento slu'!$G$58,ABS(K1637)*'Progetto del paramento slu'!$G$54,'Progetto del paramento slu'!$G$53)*IF(K1637&lt;0,-1,1)</f>
        <v>0</v>
      </c>
      <c r="R1637" s="553">
        <f>'Foglio deposito bis'!$F$69*IF(ABS(L1637)&lt;'Progetto del paramento slu'!$G$58,ABS(L1637)*'Progetto del paramento slu'!$G$54,'Progetto del paramento slu'!$G$53)*IF(L1637&lt;0,-1,1)</f>
        <v>153664.85805602249</v>
      </c>
      <c r="S1637" s="553">
        <f>'Foglio deposito bis'!$F$70*IF(ABS(M1637)&lt;'Progetto del paramento slu'!$G$58,ABS(M1637)*'Progetto del paramento slu'!$G$54,'Progetto del paramento slu'!$G$53)*IF(M1637&lt;0,-1,1)</f>
        <v>0</v>
      </c>
      <c r="T1637" s="553">
        <f>'Foglio deposito bis'!$F$71*IF(ABS(N1637)&lt;'Progetto del paramento slu'!$G$58,ABS(N1637)*'Progetto del paramento slu'!$G$54,'Progetto del paramento slu'!$G$53)*IF(N1637&lt;0,-1,1)</f>
        <v>314705.62929873407</v>
      </c>
      <c r="U1637" s="553">
        <f>'Foglio deposito bis'!$F$72*IF(ABS(O1637)&lt;'Progetto del paramento slu'!$G$58,ABS(O1637)*'Progetto del paramento slu'!$G$54,'Progetto del paramento slu'!$G$53)*IF(O1637&lt;0,-1,1)</f>
        <v>491727.54577927204</v>
      </c>
      <c r="V1637" s="479">
        <f t="shared" si="123"/>
        <v>187574.44013731054</v>
      </c>
      <c r="W1637" s="559"/>
      <c r="X1637" s="559"/>
    </row>
    <row r="1638" spans="1:24" x14ac:dyDescent="0.25">
      <c r="A1638" s="553">
        <f t="shared" si="122"/>
        <v>176129.64616698876</v>
      </c>
      <c r="B1638" s="3">
        <f t="shared" si="120"/>
        <v>13.699999999999973</v>
      </c>
      <c r="C1638" s="553">
        <f>'Foglio deposito bis'!$E$159/sezione!$B$247*B1638</f>
        <v>55.616806527792129</v>
      </c>
      <c r="D1638" s="611">
        <f>-'Progetto del paramento slu'!$G$47*'Progetto del paramento slu'!$G$41*IF(DATI!$G$218="dx",DATI!$E$61,DATI!$E$64*DATI!$E$63)*1000*C1638^2*sezione!$AD$5*(1-sezione!$AD$6)</f>
        <v>-25463461.771481059</v>
      </c>
      <c r="E1638" s="553">
        <f>-'Foglio deposito bis'!$F$68*(C1638-sezione!$AL$33)*IF(ABS(K1638)&lt;'Progetto del paramento slu'!$G$58,ABS(K1638)*'Progetto del paramento slu'!$G$54,'Progetto del paramento slu'!$G$53)</f>
        <v>0</v>
      </c>
      <c r="F1638" s="553">
        <f>-'Foglio deposito bis'!$F$69*(C1638-sezione!$AM$33)*IF(ABS(L1638)&lt;'Progetto del paramento slu'!$G$58,ABS(L1638)*'Progetto del paramento slu'!$G$54,'Progetto del paramento slu'!$G$53)</f>
        <v>14503380.02778093</v>
      </c>
      <c r="G1638" s="553">
        <f>-'Foglio deposito bis'!$F$70*(C1638-sezione!$AN$33)*IF(ABS(M1638)&lt;'Progetto del paramento slu'!$G$58,ABS(M1638)*'Progetto del paramento slu'!$G$54,'Progetto del paramento slu'!$G$53)</f>
        <v>0</v>
      </c>
      <c r="H1638" s="553">
        <f>-'Foglio deposito bis'!$F$71*(C1638-sezione!$AO$33)*IF(ABS(N1638)&lt;'Progetto del paramento slu'!$G$58,ABS(N1638)*'Progetto del paramento slu'!$G$54,'Progetto del paramento slu'!$G$53)</f>
        <v>89496991.863654822</v>
      </c>
      <c r="I1638" s="479">
        <f>-'Foglio deposito bis'!$F$72*(C1638-sezione!$AP$33)*IF(ABS(O1638)&lt;'Progetto del paramento slu'!$G$58,ABS(O1638)*'Progetto del paramento slu'!$G$54,'Progetto del paramento slu'!$G$53)</f>
        <v>100503789.39766929</v>
      </c>
      <c r="J1638" s="479">
        <f t="shared" si="121"/>
        <v>179040699.51762396</v>
      </c>
      <c r="K1638" s="558">
        <f>'Progetto del paramento slu'!$G$60*(sezione!$AL$33-C1638)/C1638</f>
        <v>-9.8277528430114076E-4</v>
      </c>
      <c r="L1638" s="558">
        <f>'Progetto del paramento slu'!$G$60*(sezione!$AM$33-C1638)/C1638</f>
        <v>5.9395926838707218E-3</v>
      </c>
      <c r="M1638" s="559">
        <f>'Progetto del paramento slu'!$G$60*(sezione!$AN$33-C1638)/C1638</f>
        <v>1.2861960652042584E-2</v>
      </c>
      <c r="N1638" s="559">
        <f>'Progetto del paramento slu'!$G$60*(sezione!$AO$33-C1638)/C1638</f>
        <v>1.7896410083440305E-2</v>
      </c>
      <c r="O1638" s="559">
        <f>'Progetto del paramento slu'!$G$60*(sezione!$AP$33-C1638)/C1638</f>
        <v>1.2862337328096787E-2</v>
      </c>
      <c r="P1638" s="553">
        <f>-'Progetto del paramento slu'!$G$47*'Progetto del paramento slu'!$G$41*IF(DATI!$G$218="dx",DATI!$E$61,DATI!$E$64*DATI!$E$63)*1000*C1638*sezione!$AD$5</f>
        <v>-783968.38696703978</v>
      </c>
      <c r="Q1638" s="553">
        <f>'Foglio deposito bis'!$F$68*IF(ABS(K1638)&lt;'Progetto del paramento slu'!$G$58,ABS(K1638)*'Progetto del paramento slu'!$G$54,'Progetto del paramento slu'!$G$53)*IF(K1638&lt;0,-1,1)</f>
        <v>0</v>
      </c>
      <c r="R1638" s="553">
        <f>'Foglio deposito bis'!$F$69*IF(ABS(L1638)&lt;'Progetto del paramento slu'!$G$58,ABS(L1638)*'Progetto del paramento slu'!$G$54,'Progetto del paramento slu'!$G$53)*IF(L1638&lt;0,-1,1)</f>
        <v>153664.85805602249</v>
      </c>
      <c r="S1638" s="553">
        <f>'Foglio deposito bis'!$F$70*IF(ABS(M1638)&lt;'Progetto del paramento slu'!$G$58,ABS(M1638)*'Progetto del paramento slu'!$G$54,'Progetto del paramento slu'!$G$53)*IF(M1638&lt;0,-1,1)</f>
        <v>0</v>
      </c>
      <c r="T1638" s="553">
        <f>'Foglio deposito bis'!$F$71*IF(ABS(N1638)&lt;'Progetto del paramento slu'!$G$58,ABS(N1638)*'Progetto del paramento slu'!$G$54,'Progetto del paramento slu'!$G$53)*IF(N1638&lt;0,-1,1)</f>
        <v>314705.62929873407</v>
      </c>
      <c r="U1638" s="553">
        <f>'Foglio deposito bis'!$F$72*IF(ABS(O1638)&lt;'Progetto del paramento slu'!$G$58,ABS(O1638)*'Progetto del paramento slu'!$G$54,'Progetto del paramento slu'!$G$53)*IF(O1638&lt;0,-1,1)</f>
        <v>491727.54577927204</v>
      </c>
      <c r="V1638" s="479">
        <f t="shared" si="123"/>
        <v>176129.64616698876</v>
      </c>
      <c r="W1638" s="559"/>
      <c r="X1638" s="559"/>
    </row>
    <row r="1639" spans="1:24" x14ac:dyDescent="0.25">
      <c r="A1639" s="553">
        <f t="shared" si="122"/>
        <v>164684.85219666723</v>
      </c>
      <c r="B1639" s="3">
        <f t="shared" si="120"/>
        <v>13.899999999999972</v>
      </c>
      <c r="C1639" s="553">
        <f>'Foglio deposito bis'!$E$159/sezione!$B$247*B1639</f>
        <v>56.428730710679602</v>
      </c>
      <c r="D1639" s="611">
        <f>-'Progetto del paramento slu'!$G$47*'Progetto del paramento slu'!$G$41*IF(DATI!$G$218="dx",DATI!$E$61,DATI!$E$64*DATI!$E$63)*1000*C1639^2*sezione!$AD$5*(1-sezione!$AD$6)</f>
        <v>-26212347.215450235</v>
      </c>
      <c r="E1639" s="553">
        <f>-'Foglio deposito bis'!$F$68*(C1639-sezione!$AL$33)*IF(ABS(K1639)&lt;'Progetto del paramento slu'!$G$58,ABS(K1639)*'Progetto del paramento slu'!$G$54,'Progetto del paramento slu'!$G$53)</f>
        <v>0</v>
      </c>
      <c r="F1639" s="553">
        <f>-'Foglio deposito bis'!$F$69*(C1639-sezione!$AM$33)*IF(ABS(L1639)&lt;'Progetto del paramento slu'!$G$58,ABS(L1639)*'Progetto del paramento slu'!$G$54,'Progetto del paramento slu'!$G$53)</f>
        <v>14378615.813465275</v>
      </c>
      <c r="G1639" s="553">
        <f>-'Foglio deposito bis'!$F$70*(C1639-sezione!$AN$33)*IF(ABS(M1639)&lt;'Progetto del paramento slu'!$G$58,ABS(M1639)*'Progetto del paramento slu'!$G$54,'Progetto del paramento slu'!$G$53)</f>
        <v>0</v>
      </c>
      <c r="H1639" s="553">
        <f>-'Foglio deposito bis'!$F$71*(C1639-sezione!$AO$33)*IF(ABS(N1639)&lt;'Progetto del paramento slu'!$G$58,ABS(N1639)*'Progetto del paramento slu'!$G$54,'Progetto del paramento slu'!$G$53)</f>
        <v>89241474.75273636</v>
      </c>
      <c r="I1639" s="479">
        <f>-'Foglio deposito bis'!$F$72*(C1639-sezione!$AP$33)*IF(ABS(O1639)&lt;'Progetto del paramento slu'!$G$58,ABS(O1639)*'Progetto del paramento slu'!$G$54,'Progetto del paramento slu'!$G$53)</f>
        <v>100104543.91185918</v>
      </c>
      <c r="J1639" s="479">
        <f t="shared" si="121"/>
        <v>177512287.26261058</v>
      </c>
      <c r="K1639" s="558">
        <f>'Progetto del paramento slu'!$G$60*(sezione!$AL$33-C1639)/C1639</f>
        <v>-1.0189943449586782E-3</v>
      </c>
      <c r="L1639" s="558">
        <f>'Progetto del paramento slu'!$G$60*(sezione!$AM$33-C1639)/C1639</f>
        <v>5.8037712064049575E-3</v>
      </c>
      <c r="M1639" s="559">
        <f>'Progetto del paramento slu'!$G$60*(sezione!$AN$33-C1639)/C1639</f>
        <v>1.2626536757768593E-2</v>
      </c>
      <c r="N1639" s="559">
        <f>'Progetto del paramento slu'!$G$60*(sezione!$AO$33-C1639)/C1639</f>
        <v>1.7588548067851238E-2</v>
      </c>
      <c r="O1639" s="559">
        <f>'Progetto del paramento slu'!$G$60*(sezione!$AP$33-C1639)/C1639</f>
        <v>1.2626908014023455E-2</v>
      </c>
      <c r="P1639" s="553">
        <f>-'Progetto del paramento slu'!$G$47*'Progetto del paramento slu'!$G$41*IF(DATI!$G$218="dx",DATI!$E$61,DATI!$E$64*DATI!$E$63)*1000*C1639*sezione!$AD$5</f>
        <v>-795413.18093736144</v>
      </c>
      <c r="Q1639" s="553">
        <f>'Foglio deposito bis'!$F$68*IF(ABS(K1639)&lt;'Progetto del paramento slu'!$G$58,ABS(K1639)*'Progetto del paramento slu'!$G$54,'Progetto del paramento slu'!$G$53)*IF(K1639&lt;0,-1,1)</f>
        <v>0</v>
      </c>
      <c r="R1639" s="553">
        <f>'Foglio deposito bis'!$F$69*IF(ABS(L1639)&lt;'Progetto del paramento slu'!$G$58,ABS(L1639)*'Progetto del paramento slu'!$G$54,'Progetto del paramento slu'!$G$53)*IF(L1639&lt;0,-1,1)</f>
        <v>153664.85805602249</v>
      </c>
      <c r="S1639" s="553">
        <f>'Foglio deposito bis'!$F$70*IF(ABS(M1639)&lt;'Progetto del paramento slu'!$G$58,ABS(M1639)*'Progetto del paramento slu'!$G$54,'Progetto del paramento slu'!$G$53)*IF(M1639&lt;0,-1,1)</f>
        <v>0</v>
      </c>
      <c r="T1639" s="553">
        <f>'Foglio deposito bis'!$F$71*IF(ABS(N1639)&lt;'Progetto del paramento slu'!$G$58,ABS(N1639)*'Progetto del paramento slu'!$G$54,'Progetto del paramento slu'!$G$53)*IF(N1639&lt;0,-1,1)</f>
        <v>314705.62929873407</v>
      </c>
      <c r="U1639" s="553">
        <f>'Foglio deposito bis'!$F$72*IF(ABS(O1639)&lt;'Progetto del paramento slu'!$G$58,ABS(O1639)*'Progetto del paramento slu'!$G$54,'Progetto del paramento slu'!$G$53)*IF(O1639&lt;0,-1,1)</f>
        <v>491727.54577927204</v>
      </c>
      <c r="V1639" s="479">
        <f t="shared" si="123"/>
        <v>164684.85219666723</v>
      </c>
      <c r="W1639" s="559"/>
      <c r="X1639" s="559"/>
    </row>
    <row r="1640" spans="1:24" x14ac:dyDescent="0.25">
      <c r="A1640" s="553">
        <f t="shared" si="122"/>
        <v>153240.05822634546</v>
      </c>
      <c r="B1640" s="3">
        <f t="shared" si="120"/>
        <v>14.099999999999971</v>
      </c>
      <c r="C1640" s="553">
        <f>'Foglio deposito bis'!$E$159/sezione!$B$247*B1640</f>
        <v>57.240654893567076</v>
      </c>
      <c r="D1640" s="611">
        <f>-'Progetto del paramento slu'!$G$47*'Progetto del paramento slu'!$G$41*IF(DATI!$G$218="dx",DATI!$E$61,DATI!$E$64*DATI!$E$63)*1000*C1640^2*sezione!$AD$5*(1-sezione!$AD$6)</f>
        <v>-26972086.071650855</v>
      </c>
      <c r="E1640" s="553">
        <f>-'Foglio deposito bis'!$F$68*(C1640-sezione!$AL$33)*IF(ABS(K1640)&lt;'Progetto del paramento slu'!$G$58,ABS(K1640)*'Progetto del paramento slu'!$G$54,'Progetto del paramento slu'!$G$53)</f>
        <v>0</v>
      </c>
      <c r="F1640" s="553">
        <f>-'Foglio deposito bis'!$F$69*(C1640-sezione!$AM$33)*IF(ABS(L1640)&lt;'Progetto del paramento slu'!$G$58,ABS(L1640)*'Progetto del paramento slu'!$G$54,'Progetto del paramento slu'!$G$53)</f>
        <v>14253851.599149622</v>
      </c>
      <c r="G1640" s="553">
        <f>-'Foglio deposito bis'!$F$70*(C1640-sezione!$AN$33)*IF(ABS(M1640)&lt;'Progetto del paramento slu'!$G$58,ABS(M1640)*'Progetto del paramento slu'!$G$54,'Progetto del paramento slu'!$G$53)</f>
        <v>0</v>
      </c>
      <c r="H1640" s="553">
        <f>-'Foglio deposito bis'!$F$71*(C1640-sezione!$AO$33)*IF(ABS(N1640)&lt;'Progetto del paramento slu'!$G$58,ABS(N1640)*'Progetto del paramento slu'!$G$54,'Progetto del paramento slu'!$G$53)</f>
        <v>88985957.641817912</v>
      </c>
      <c r="I1640" s="479">
        <f>-'Foglio deposito bis'!$F$72*(C1640-sezione!$AP$33)*IF(ABS(O1640)&lt;'Progetto del paramento slu'!$G$58,ABS(O1640)*'Progetto del paramento slu'!$G$54,'Progetto del paramento slu'!$G$53)</f>
        <v>99705298.426049098</v>
      </c>
      <c r="J1640" s="479">
        <f t="shared" si="121"/>
        <v>175973021.59536576</v>
      </c>
      <c r="K1640" s="558">
        <f>'Progetto del paramento slu'!$G$60*(sezione!$AL$33-C1640)/C1640</f>
        <v>-1.0541859145337322E-3</v>
      </c>
      <c r="L1640" s="558">
        <f>'Progetto del paramento slu'!$G$60*(sezione!$AM$33-C1640)/C1640</f>
        <v>5.6718028204985043E-3</v>
      </c>
      <c r="M1640" s="559">
        <f>'Progetto del paramento slu'!$G$60*(sezione!$AN$33-C1640)/C1640</f>
        <v>1.2397791555530741E-2</v>
      </c>
      <c r="N1640" s="559">
        <f>'Progetto del paramento slu'!$G$60*(sezione!$AO$33-C1640)/C1640</f>
        <v>1.7289419726463275E-2</v>
      </c>
      <c r="O1640" s="559">
        <f>'Progetto del paramento slu'!$G$60*(sezione!$AP$33-C1640)/C1640</f>
        <v>1.2398157545739434E-2</v>
      </c>
      <c r="P1640" s="553">
        <f>-'Progetto del paramento slu'!$G$47*'Progetto del paramento slu'!$G$41*IF(DATI!$G$218="dx",DATI!$E$61,DATI!$E$64*DATI!$E$63)*1000*C1640*sezione!$AD$5</f>
        <v>-806857.97490768321</v>
      </c>
      <c r="Q1640" s="553">
        <f>'Foglio deposito bis'!$F$68*IF(ABS(K1640)&lt;'Progetto del paramento slu'!$G$58,ABS(K1640)*'Progetto del paramento slu'!$G$54,'Progetto del paramento slu'!$G$53)*IF(K1640&lt;0,-1,1)</f>
        <v>0</v>
      </c>
      <c r="R1640" s="553">
        <f>'Foglio deposito bis'!$F$69*IF(ABS(L1640)&lt;'Progetto del paramento slu'!$G$58,ABS(L1640)*'Progetto del paramento slu'!$G$54,'Progetto del paramento slu'!$G$53)*IF(L1640&lt;0,-1,1)</f>
        <v>153664.85805602249</v>
      </c>
      <c r="S1640" s="553">
        <f>'Foglio deposito bis'!$F$70*IF(ABS(M1640)&lt;'Progetto del paramento slu'!$G$58,ABS(M1640)*'Progetto del paramento slu'!$G$54,'Progetto del paramento slu'!$G$53)*IF(M1640&lt;0,-1,1)</f>
        <v>0</v>
      </c>
      <c r="T1640" s="553">
        <f>'Foglio deposito bis'!$F$71*IF(ABS(N1640)&lt;'Progetto del paramento slu'!$G$58,ABS(N1640)*'Progetto del paramento slu'!$G$54,'Progetto del paramento slu'!$G$53)*IF(N1640&lt;0,-1,1)</f>
        <v>314705.62929873407</v>
      </c>
      <c r="U1640" s="553">
        <f>'Foglio deposito bis'!$F$72*IF(ABS(O1640)&lt;'Progetto del paramento slu'!$G$58,ABS(O1640)*'Progetto del paramento slu'!$G$54,'Progetto del paramento slu'!$G$53)*IF(O1640&lt;0,-1,1)</f>
        <v>491727.54577927204</v>
      </c>
      <c r="V1640" s="479">
        <f t="shared" si="123"/>
        <v>153240.05822634546</v>
      </c>
      <c r="W1640" s="559"/>
      <c r="X1640" s="559"/>
    </row>
    <row r="1641" spans="1:24" x14ac:dyDescent="0.25">
      <c r="A1641" s="553">
        <f t="shared" si="122"/>
        <v>141795.26425602369</v>
      </c>
      <c r="B1641" s="3">
        <f t="shared" si="120"/>
        <v>14.299999999999971</v>
      </c>
      <c r="C1641" s="553">
        <f>'Foglio deposito bis'!$E$159/sezione!$B$247*B1641</f>
        <v>58.052579076454549</v>
      </c>
      <c r="D1641" s="611">
        <f>-'Progetto del paramento slu'!$G$47*'Progetto del paramento slu'!$G$41*IF(DATI!$G$218="dx",DATI!$E$61,DATI!$E$64*DATI!$E$63)*1000*C1641^2*sezione!$AD$5*(1-sezione!$AD$6)</f>
        <v>-27742678.340082906</v>
      </c>
      <c r="E1641" s="553">
        <f>-'Foglio deposito bis'!$F$68*(C1641-sezione!$AL$33)*IF(ABS(K1641)&lt;'Progetto del paramento slu'!$G$58,ABS(K1641)*'Progetto del paramento slu'!$G$54,'Progetto del paramento slu'!$G$53)</f>
        <v>0</v>
      </c>
      <c r="F1641" s="553">
        <f>-'Foglio deposito bis'!$F$69*(C1641-sezione!$AM$33)*IF(ABS(L1641)&lt;'Progetto del paramento slu'!$G$58,ABS(L1641)*'Progetto del paramento slu'!$G$54,'Progetto del paramento slu'!$G$53)</f>
        <v>14129087.384833965</v>
      </c>
      <c r="G1641" s="553">
        <f>-'Foglio deposito bis'!$F$70*(C1641-sezione!$AN$33)*IF(ABS(M1641)&lt;'Progetto del paramento slu'!$G$58,ABS(M1641)*'Progetto del paramento slu'!$G$54,'Progetto del paramento slu'!$G$53)</f>
        <v>0</v>
      </c>
      <c r="H1641" s="553">
        <f>-'Foglio deposito bis'!$F$71*(C1641-sezione!$AO$33)*IF(ABS(N1641)&lt;'Progetto del paramento slu'!$G$58,ABS(N1641)*'Progetto del paramento slu'!$G$54,'Progetto del paramento slu'!$G$53)</f>
        <v>88730440.530899435</v>
      </c>
      <c r="I1641" s="479">
        <f>-'Foglio deposito bis'!$F$72*(C1641-sezione!$AP$33)*IF(ABS(O1641)&lt;'Progetto del paramento slu'!$G$58,ABS(O1641)*'Progetto del paramento slu'!$G$54,'Progetto del paramento slu'!$G$53)</f>
        <v>99306052.940238997</v>
      </c>
      <c r="J1641" s="479">
        <f t="shared" si="121"/>
        <v>174422902.5158895</v>
      </c>
      <c r="K1641" s="558">
        <f>'Progetto del paramento slu'!$G$60*(sezione!$AL$33-C1641)/C1641</f>
        <v>-1.0883931045402534E-3</v>
      </c>
      <c r="L1641" s="558">
        <f>'Progetto del paramento slu'!$G$60*(sezione!$AM$33-C1641)/C1641</f>
        <v>5.54352585797405E-3</v>
      </c>
      <c r="M1641" s="559">
        <f>'Progetto del paramento slu'!$G$60*(sezione!$AN$33-C1641)/C1641</f>
        <v>1.2175444820488353E-2</v>
      </c>
      <c r="N1641" s="559">
        <f>'Progetto del paramento slu'!$G$60*(sezione!$AO$33-C1641)/C1641</f>
        <v>1.6998658611407848E-2</v>
      </c>
      <c r="O1641" s="559">
        <f>'Progetto del paramento slu'!$G$60*(sezione!$AP$33-C1641)/C1641</f>
        <v>1.2175805691952868E-2</v>
      </c>
      <c r="P1641" s="553">
        <f>-'Progetto del paramento slu'!$G$47*'Progetto del paramento slu'!$G$41*IF(DATI!$G$218="dx",DATI!$E$61,DATI!$E$64*DATI!$E$63)*1000*C1641*sezione!$AD$5</f>
        <v>-818302.76887800486</v>
      </c>
      <c r="Q1641" s="553">
        <f>'Foglio deposito bis'!$F$68*IF(ABS(K1641)&lt;'Progetto del paramento slu'!$G$58,ABS(K1641)*'Progetto del paramento slu'!$G$54,'Progetto del paramento slu'!$G$53)*IF(K1641&lt;0,-1,1)</f>
        <v>0</v>
      </c>
      <c r="R1641" s="553">
        <f>'Foglio deposito bis'!$F$69*IF(ABS(L1641)&lt;'Progetto del paramento slu'!$G$58,ABS(L1641)*'Progetto del paramento slu'!$G$54,'Progetto del paramento slu'!$G$53)*IF(L1641&lt;0,-1,1)</f>
        <v>153664.85805602249</v>
      </c>
      <c r="S1641" s="553">
        <f>'Foglio deposito bis'!$F$70*IF(ABS(M1641)&lt;'Progetto del paramento slu'!$G$58,ABS(M1641)*'Progetto del paramento slu'!$G$54,'Progetto del paramento slu'!$G$53)*IF(M1641&lt;0,-1,1)</f>
        <v>0</v>
      </c>
      <c r="T1641" s="553">
        <f>'Foglio deposito bis'!$F$71*IF(ABS(N1641)&lt;'Progetto del paramento slu'!$G$58,ABS(N1641)*'Progetto del paramento slu'!$G$54,'Progetto del paramento slu'!$G$53)*IF(N1641&lt;0,-1,1)</f>
        <v>314705.62929873407</v>
      </c>
      <c r="U1641" s="553">
        <f>'Foglio deposito bis'!$F$72*IF(ABS(O1641)&lt;'Progetto del paramento slu'!$G$58,ABS(O1641)*'Progetto del paramento slu'!$G$54,'Progetto del paramento slu'!$G$53)*IF(O1641&lt;0,-1,1)</f>
        <v>491727.54577927204</v>
      </c>
      <c r="V1641" s="479">
        <f t="shared" si="123"/>
        <v>141795.26425602369</v>
      </c>
      <c r="W1641" s="559"/>
      <c r="X1641" s="559"/>
    </row>
    <row r="1642" spans="1:24" x14ac:dyDescent="0.25">
      <c r="A1642" s="553">
        <f t="shared" si="122"/>
        <v>130350.47028570191</v>
      </c>
      <c r="B1642" s="3">
        <f t="shared" si="120"/>
        <v>14.49999999999997</v>
      </c>
      <c r="C1642" s="553">
        <f>'Foglio deposito bis'!$E$159/sezione!$B$247*B1642</f>
        <v>58.86450325934203</v>
      </c>
      <c r="D1642" s="611">
        <f>-'Progetto del paramento slu'!$G$47*'Progetto del paramento slu'!$G$41*IF(DATI!$G$218="dx",DATI!$E$61,DATI!$E$64*DATI!$E$63)*1000*C1642^2*sezione!$AD$5*(1-sezione!$AD$6)</f>
        <v>-28524124.020746399</v>
      </c>
      <c r="E1642" s="553">
        <f>-'Foglio deposito bis'!$F$68*(C1642-sezione!$AL$33)*IF(ABS(K1642)&lt;'Progetto del paramento slu'!$G$58,ABS(K1642)*'Progetto del paramento slu'!$G$54,'Progetto del paramento slu'!$G$53)</f>
        <v>0</v>
      </c>
      <c r="F1642" s="553">
        <f>-'Foglio deposito bis'!$F$69*(C1642-sezione!$AM$33)*IF(ABS(L1642)&lt;'Progetto del paramento slu'!$G$58,ABS(L1642)*'Progetto del paramento slu'!$G$54,'Progetto del paramento slu'!$G$53)</f>
        <v>14004323.170518309</v>
      </c>
      <c r="G1642" s="553">
        <f>-'Foglio deposito bis'!$F$70*(C1642-sezione!$AN$33)*IF(ABS(M1642)&lt;'Progetto del paramento slu'!$G$58,ABS(M1642)*'Progetto del paramento slu'!$G$54,'Progetto del paramento slu'!$G$53)</f>
        <v>0</v>
      </c>
      <c r="H1642" s="553">
        <f>-'Foglio deposito bis'!$F$71*(C1642-sezione!$AO$33)*IF(ABS(N1642)&lt;'Progetto del paramento slu'!$G$58,ABS(N1642)*'Progetto del paramento slu'!$G$54,'Progetto del paramento slu'!$G$53)</f>
        <v>88474923.419980973</v>
      </c>
      <c r="I1642" s="479">
        <f>-'Foglio deposito bis'!$F$72*(C1642-sezione!$AP$33)*IF(ABS(O1642)&lt;'Progetto del paramento slu'!$G$58,ABS(O1642)*'Progetto del paramento slu'!$G$54,'Progetto del paramento slu'!$G$53)</f>
        <v>98906807.454428896</v>
      </c>
      <c r="J1642" s="479">
        <f t="shared" si="121"/>
        <v>172861930.02418178</v>
      </c>
      <c r="K1642" s="558">
        <f>'Progetto del paramento slu'!$G$60*(sezione!$AL$33-C1642)/C1642</f>
        <v>-1.1216566479259052E-3</v>
      </c>
      <c r="L1642" s="558">
        <f>'Progetto del paramento slu'!$G$60*(sezione!$AM$33-C1642)/C1642</f>
        <v>5.4187875702778558E-3</v>
      </c>
      <c r="M1642" s="559">
        <f>'Progetto del paramento slu'!$G$60*(sezione!$AN$33-C1642)/C1642</f>
        <v>1.1959231788481616E-2</v>
      </c>
      <c r="N1642" s="559">
        <f>'Progetto del paramento slu'!$G$60*(sezione!$AO$33-C1642)/C1642</f>
        <v>1.6715918492629805E-2</v>
      </c>
      <c r="O1642" s="559">
        <f>'Progetto del paramento slu'!$G$60*(sezione!$AP$33-C1642)/C1642</f>
        <v>1.1959587682408689E-2</v>
      </c>
      <c r="P1642" s="553">
        <f>-'Progetto del paramento slu'!$G$47*'Progetto del paramento slu'!$G$41*IF(DATI!$G$218="dx",DATI!$E$61,DATI!$E$64*DATI!$E$63)*1000*C1642*sezione!$AD$5</f>
        <v>-829747.56284832663</v>
      </c>
      <c r="Q1642" s="553">
        <f>'Foglio deposito bis'!$F$68*IF(ABS(K1642)&lt;'Progetto del paramento slu'!$G$58,ABS(K1642)*'Progetto del paramento slu'!$G$54,'Progetto del paramento slu'!$G$53)*IF(K1642&lt;0,-1,1)</f>
        <v>0</v>
      </c>
      <c r="R1642" s="553">
        <f>'Foglio deposito bis'!$F$69*IF(ABS(L1642)&lt;'Progetto del paramento slu'!$G$58,ABS(L1642)*'Progetto del paramento slu'!$G$54,'Progetto del paramento slu'!$G$53)*IF(L1642&lt;0,-1,1)</f>
        <v>153664.85805602249</v>
      </c>
      <c r="S1642" s="553">
        <f>'Foglio deposito bis'!$F$70*IF(ABS(M1642)&lt;'Progetto del paramento slu'!$G$58,ABS(M1642)*'Progetto del paramento slu'!$G$54,'Progetto del paramento slu'!$G$53)*IF(M1642&lt;0,-1,1)</f>
        <v>0</v>
      </c>
      <c r="T1642" s="553">
        <f>'Foglio deposito bis'!$F$71*IF(ABS(N1642)&lt;'Progetto del paramento slu'!$G$58,ABS(N1642)*'Progetto del paramento slu'!$G$54,'Progetto del paramento slu'!$G$53)*IF(N1642&lt;0,-1,1)</f>
        <v>314705.62929873407</v>
      </c>
      <c r="U1642" s="553">
        <f>'Foglio deposito bis'!$F$72*IF(ABS(O1642)&lt;'Progetto del paramento slu'!$G$58,ABS(O1642)*'Progetto del paramento slu'!$G$54,'Progetto del paramento slu'!$G$53)*IF(O1642&lt;0,-1,1)</f>
        <v>491727.54577927204</v>
      </c>
      <c r="V1642" s="479">
        <f t="shared" si="123"/>
        <v>130350.47028570191</v>
      </c>
      <c r="W1642" s="559"/>
      <c r="X1642" s="559"/>
    </row>
    <row r="1643" spans="1:24" x14ac:dyDescent="0.25">
      <c r="A1643" s="553">
        <f t="shared" si="122"/>
        <v>118905.67631538014</v>
      </c>
      <c r="B1643" s="3">
        <f t="shared" si="120"/>
        <v>14.699999999999969</v>
      </c>
      <c r="C1643" s="553">
        <f>'Foglio deposito bis'!$E$159/sezione!$B$247*B1643</f>
        <v>59.676427442229503</v>
      </c>
      <c r="D1643" s="611">
        <f>-'Progetto del paramento slu'!$G$47*'Progetto del paramento slu'!$G$41*IF(DATI!$G$218="dx",DATI!$E$61,DATI!$E$64*DATI!$E$63)*1000*C1643^2*sezione!$AD$5*(1-sezione!$AD$6)</f>
        <v>-29316423.113641325</v>
      </c>
      <c r="E1643" s="553">
        <f>-'Foglio deposito bis'!$F$68*(C1643-sezione!$AL$33)*IF(ABS(K1643)&lt;'Progetto del paramento slu'!$G$58,ABS(K1643)*'Progetto del paramento slu'!$G$54,'Progetto del paramento slu'!$G$53)</f>
        <v>0</v>
      </c>
      <c r="F1643" s="553">
        <f>-'Foglio deposito bis'!$F$69*(C1643-sezione!$AM$33)*IF(ABS(L1643)&lt;'Progetto del paramento slu'!$G$58,ABS(L1643)*'Progetto del paramento slu'!$G$54,'Progetto del paramento slu'!$G$53)</f>
        <v>13879558.956202652</v>
      </c>
      <c r="G1643" s="553">
        <f>-'Foglio deposito bis'!$F$70*(C1643-sezione!$AN$33)*IF(ABS(M1643)&lt;'Progetto del paramento slu'!$G$58,ABS(M1643)*'Progetto del paramento slu'!$G$54,'Progetto del paramento slu'!$G$53)</f>
        <v>0</v>
      </c>
      <c r="H1643" s="553">
        <f>-'Foglio deposito bis'!$F$71*(C1643-sezione!$AO$33)*IF(ABS(N1643)&lt;'Progetto del paramento slu'!$G$58,ABS(N1643)*'Progetto del paramento slu'!$G$54,'Progetto del paramento slu'!$G$53)</f>
        <v>88219406.309062511</v>
      </c>
      <c r="I1643" s="479">
        <f>-'Foglio deposito bis'!$F$72*(C1643-sezione!$AP$33)*IF(ABS(O1643)&lt;'Progetto del paramento slu'!$G$58,ABS(O1643)*'Progetto del paramento slu'!$G$54,'Progetto del paramento slu'!$G$53)</f>
        <v>98507561.96861878</v>
      </c>
      <c r="J1643" s="479">
        <f t="shared" si="121"/>
        <v>171290104.12024263</v>
      </c>
      <c r="K1643" s="558">
        <f>'Progetto del paramento slu'!$G$60*(sezione!$AL$33-C1643)/C1643</f>
        <v>-1.1540150608792942E-3</v>
      </c>
      <c r="L1643" s="558">
        <f>'Progetto del paramento slu'!$G$60*(sezione!$AM$33-C1643)/C1643</f>
        <v>5.2974435217026461E-3</v>
      </c>
      <c r="M1643" s="559">
        <f>'Progetto del paramento slu'!$G$60*(sezione!$AN$33-C1643)/C1643</f>
        <v>1.1748902104284588E-2</v>
      </c>
      <c r="N1643" s="559">
        <f>'Progetto del paramento slu'!$G$60*(sezione!$AO$33-C1643)/C1643</f>
        <v>1.6440871982526001E-2</v>
      </c>
      <c r="O1643" s="559">
        <f>'Progetto del paramento slu'!$G$60*(sezione!$AP$33-C1643)/C1643</f>
        <v>1.1749253156117415E-2</v>
      </c>
      <c r="P1643" s="553">
        <f>-'Progetto del paramento slu'!$G$47*'Progetto del paramento slu'!$G$41*IF(DATI!$G$218="dx",DATI!$E$61,DATI!$E$64*DATI!$E$63)*1000*C1643*sezione!$AD$5</f>
        <v>-841192.3568186484</v>
      </c>
      <c r="Q1643" s="553">
        <f>'Foglio deposito bis'!$F$68*IF(ABS(K1643)&lt;'Progetto del paramento slu'!$G$58,ABS(K1643)*'Progetto del paramento slu'!$G$54,'Progetto del paramento slu'!$G$53)*IF(K1643&lt;0,-1,1)</f>
        <v>0</v>
      </c>
      <c r="R1643" s="553">
        <f>'Foglio deposito bis'!$F$69*IF(ABS(L1643)&lt;'Progetto del paramento slu'!$G$58,ABS(L1643)*'Progetto del paramento slu'!$G$54,'Progetto del paramento slu'!$G$53)*IF(L1643&lt;0,-1,1)</f>
        <v>153664.85805602249</v>
      </c>
      <c r="S1643" s="553">
        <f>'Foglio deposito bis'!$F$70*IF(ABS(M1643)&lt;'Progetto del paramento slu'!$G$58,ABS(M1643)*'Progetto del paramento slu'!$G$54,'Progetto del paramento slu'!$G$53)*IF(M1643&lt;0,-1,1)</f>
        <v>0</v>
      </c>
      <c r="T1643" s="553">
        <f>'Foglio deposito bis'!$F$71*IF(ABS(N1643)&lt;'Progetto del paramento slu'!$G$58,ABS(N1643)*'Progetto del paramento slu'!$G$54,'Progetto del paramento slu'!$G$53)*IF(N1643&lt;0,-1,1)</f>
        <v>314705.62929873407</v>
      </c>
      <c r="U1643" s="553">
        <f>'Foglio deposito bis'!$F$72*IF(ABS(O1643)&lt;'Progetto del paramento slu'!$G$58,ABS(O1643)*'Progetto del paramento slu'!$G$54,'Progetto del paramento slu'!$G$53)*IF(O1643&lt;0,-1,1)</f>
        <v>491727.54577927204</v>
      </c>
      <c r="V1643" s="479">
        <f t="shared" si="123"/>
        <v>118905.67631538014</v>
      </c>
      <c r="W1643" s="559"/>
      <c r="X1643" s="559"/>
    </row>
    <row r="1644" spans="1:24" x14ac:dyDescent="0.25">
      <c r="A1644" s="553">
        <f t="shared" si="122"/>
        <v>107460.88234505837</v>
      </c>
      <c r="B1644" s="3">
        <f t="shared" si="120"/>
        <v>14.899999999999968</v>
      </c>
      <c r="C1644" s="553">
        <f>'Foglio deposito bis'!$E$159/sezione!$B$247*B1644</f>
        <v>60.488351625116977</v>
      </c>
      <c r="D1644" s="611">
        <f>-'Progetto del paramento slu'!$G$47*'Progetto del paramento slu'!$G$41*IF(DATI!$G$218="dx",DATI!$E$61,DATI!$E$64*DATI!$E$63)*1000*C1644^2*sezione!$AD$5*(1-sezione!$AD$6)</f>
        <v>-30119575.61876769</v>
      </c>
      <c r="E1644" s="553">
        <f>-'Foglio deposito bis'!$F$68*(C1644-sezione!$AL$33)*IF(ABS(K1644)&lt;'Progetto del paramento slu'!$G$58,ABS(K1644)*'Progetto del paramento slu'!$G$54,'Progetto del paramento slu'!$G$53)</f>
        <v>0</v>
      </c>
      <c r="F1644" s="553">
        <f>-'Foglio deposito bis'!$F$69*(C1644-sezione!$AM$33)*IF(ABS(L1644)&lt;'Progetto del paramento slu'!$G$58,ABS(L1644)*'Progetto del paramento slu'!$G$54,'Progetto del paramento slu'!$G$53)</f>
        <v>13754794.741886996</v>
      </c>
      <c r="G1644" s="553">
        <f>-'Foglio deposito bis'!$F$70*(C1644-sezione!$AN$33)*IF(ABS(M1644)&lt;'Progetto del paramento slu'!$G$58,ABS(M1644)*'Progetto del paramento slu'!$G$54,'Progetto del paramento slu'!$G$53)</f>
        <v>0</v>
      </c>
      <c r="H1644" s="553">
        <f>-'Foglio deposito bis'!$F$71*(C1644-sezione!$AO$33)*IF(ABS(N1644)&lt;'Progetto del paramento slu'!$G$58,ABS(N1644)*'Progetto del paramento slu'!$G$54,'Progetto del paramento slu'!$G$53)</f>
        <v>87963889.198144048</v>
      </c>
      <c r="I1644" s="479">
        <f>-'Foglio deposito bis'!$F$72*(C1644-sezione!$AP$33)*IF(ABS(O1644)&lt;'Progetto del paramento slu'!$G$58,ABS(O1644)*'Progetto del paramento slu'!$G$54,'Progetto del paramento slu'!$G$53)</f>
        <v>98108316.482808679</v>
      </c>
      <c r="J1644" s="479">
        <f t="shared" si="121"/>
        <v>169707424.80407202</v>
      </c>
      <c r="K1644" s="558">
        <f>'Progetto del paramento slu'!$G$60*(sezione!$AL$33-C1644)/C1644</f>
        <v>-1.1855047916057466E-3</v>
      </c>
      <c r="L1644" s="558">
        <f>'Progetto del paramento slu'!$G$60*(sezione!$AM$33-C1644)/C1644</f>
        <v>5.1793570314784508E-3</v>
      </c>
      <c r="M1644" s="559">
        <f>'Progetto del paramento slu'!$G$60*(sezione!$AN$33-C1644)/C1644</f>
        <v>1.1544218854562647E-2</v>
      </c>
      <c r="N1644" s="559">
        <f>'Progetto del paramento slu'!$G$60*(sezione!$AO$33-C1644)/C1644</f>
        <v>1.6173209271351154E-2</v>
      </c>
      <c r="O1644" s="559">
        <f>'Progetto del paramento slu'!$G$60*(sezione!$AP$33-C1644)/C1644</f>
        <v>1.1544565194290335E-2</v>
      </c>
      <c r="P1644" s="553">
        <f>-'Progetto del paramento slu'!$G$47*'Progetto del paramento slu'!$G$41*IF(DATI!$G$218="dx",DATI!$E$61,DATI!$E$64*DATI!$E$63)*1000*C1644*sezione!$AD$5</f>
        <v>-852637.15078897018</v>
      </c>
      <c r="Q1644" s="553">
        <f>'Foglio deposito bis'!$F$68*IF(ABS(K1644)&lt;'Progetto del paramento slu'!$G$58,ABS(K1644)*'Progetto del paramento slu'!$G$54,'Progetto del paramento slu'!$G$53)*IF(K1644&lt;0,-1,1)</f>
        <v>0</v>
      </c>
      <c r="R1644" s="553">
        <f>'Foglio deposito bis'!$F$69*IF(ABS(L1644)&lt;'Progetto del paramento slu'!$G$58,ABS(L1644)*'Progetto del paramento slu'!$G$54,'Progetto del paramento slu'!$G$53)*IF(L1644&lt;0,-1,1)</f>
        <v>153664.85805602249</v>
      </c>
      <c r="S1644" s="553">
        <f>'Foglio deposito bis'!$F$70*IF(ABS(M1644)&lt;'Progetto del paramento slu'!$G$58,ABS(M1644)*'Progetto del paramento slu'!$G$54,'Progetto del paramento slu'!$G$53)*IF(M1644&lt;0,-1,1)</f>
        <v>0</v>
      </c>
      <c r="T1644" s="553">
        <f>'Foglio deposito bis'!$F$71*IF(ABS(N1644)&lt;'Progetto del paramento slu'!$G$58,ABS(N1644)*'Progetto del paramento slu'!$G$54,'Progetto del paramento slu'!$G$53)*IF(N1644&lt;0,-1,1)</f>
        <v>314705.62929873407</v>
      </c>
      <c r="U1644" s="553">
        <f>'Foglio deposito bis'!$F$72*IF(ABS(O1644)&lt;'Progetto del paramento slu'!$G$58,ABS(O1644)*'Progetto del paramento slu'!$G$54,'Progetto del paramento slu'!$G$53)*IF(O1644&lt;0,-1,1)</f>
        <v>491727.54577927204</v>
      </c>
      <c r="V1644" s="479">
        <f t="shared" si="123"/>
        <v>107460.88234505837</v>
      </c>
      <c r="W1644" s="559"/>
      <c r="X1644" s="559"/>
    </row>
    <row r="1645" spans="1:24" x14ac:dyDescent="0.25">
      <c r="A1645" s="553">
        <f t="shared" si="122"/>
        <v>96016.088374736835</v>
      </c>
      <c r="B1645" s="3">
        <f t="shared" si="120"/>
        <v>15.099999999999968</v>
      </c>
      <c r="C1645" s="553">
        <f>'Foglio deposito bis'!$E$159/sezione!$B$247*B1645</f>
        <v>61.30027580800445</v>
      </c>
      <c r="D1645" s="611">
        <f>-'Progetto del paramento slu'!$G$47*'Progetto del paramento slu'!$G$41*IF(DATI!$G$218="dx",DATI!$E$61,DATI!$E$64*DATI!$E$63)*1000*C1645^2*sezione!$AD$5*(1-sezione!$AD$6)</f>
        <v>-30933581.536125492</v>
      </c>
      <c r="E1645" s="553">
        <f>-'Foglio deposito bis'!$F$68*(C1645-sezione!$AL$33)*IF(ABS(K1645)&lt;'Progetto del paramento slu'!$G$58,ABS(K1645)*'Progetto del paramento slu'!$G$54,'Progetto del paramento slu'!$G$53)</f>
        <v>0</v>
      </c>
      <c r="F1645" s="553">
        <f>-'Foglio deposito bis'!$F$69*(C1645-sezione!$AM$33)*IF(ABS(L1645)&lt;'Progetto del paramento slu'!$G$58,ABS(L1645)*'Progetto del paramento slu'!$G$54,'Progetto del paramento slu'!$G$53)</f>
        <v>13630030.527571341</v>
      </c>
      <c r="G1645" s="553">
        <f>-'Foglio deposito bis'!$F$70*(C1645-sezione!$AN$33)*IF(ABS(M1645)&lt;'Progetto del paramento slu'!$G$58,ABS(M1645)*'Progetto del paramento slu'!$G$54,'Progetto del paramento slu'!$G$53)</f>
        <v>0</v>
      </c>
      <c r="H1645" s="553">
        <f>-'Foglio deposito bis'!$F$71*(C1645-sezione!$AO$33)*IF(ABS(N1645)&lt;'Progetto del paramento slu'!$G$58,ABS(N1645)*'Progetto del paramento slu'!$G$54,'Progetto del paramento slu'!$G$53)</f>
        <v>87708372.087225571</v>
      </c>
      <c r="I1645" s="479">
        <f>-'Foglio deposito bis'!$F$72*(C1645-sezione!$AP$33)*IF(ABS(O1645)&lt;'Progetto del paramento slu'!$G$58,ABS(O1645)*'Progetto del paramento slu'!$G$54,'Progetto del paramento slu'!$G$53)</f>
        <v>97709070.996998608</v>
      </c>
      <c r="J1645" s="479">
        <f t="shared" si="121"/>
        <v>168113892.07567003</v>
      </c>
      <c r="K1645" s="558">
        <f>'Progetto del paramento slu'!$G$60*(sezione!$AL$33-C1645)/C1645</f>
        <v>-1.2161603572798426E-3</v>
      </c>
      <c r="L1645" s="558">
        <f>'Progetto del paramento slu'!$G$60*(sezione!$AM$33-C1645)/C1645</f>
        <v>5.0643986602005916E-3</v>
      </c>
      <c r="M1645" s="559">
        <f>'Progetto del paramento slu'!$G$60*(sezione!$AN$33-C1645)/C1645</f>
        <v>1.1344957677681025E-2</v>
      </c>
      <c r="N1645" s="559">
        <f>'Progetto del paramento slu'!$G$60*(sezione!$AO$33-C1645)/C1645</f>
        <v>1.591263696312134E-2</v>
      </c>
      <c r="O1645" s="559">
        <f>'Progetto del paramento slu'!$G$60*(sezione!$AP$33-C1645)/C1645</f>
        <v>1.1345299430127551E-2</v>
      </c>
      <c r="P1645" s="553">
        <f>-'Progetto del paramento slu'!$G$47*'Progetto del paramento slu'!$G$41*IF(DATI!$G$218="dx",DATI!$E$61,DATI!$E$64*DATI!$E$63)*1000*C1645*sezione!$AD$5</f>
        <v>-864081.94475929183</v>
      </c>
      <c r="Q1645" s="553">
        <f>'Foglio deposito bis'!$F$68*IF(ABS(K1645)&lt;'Progetto del paramento slu'!$G$58,ABS(K1645)*'Progetto del paramento slu'!$G$54,'Progetto del paramento slu'!$G$53)*IF(K1645&lt;0,-1,1)</f>
        <v>0</v>
      </c>
      <c r="R1645" s="553">
        <f>'Foglio deposito bis'!$F$69*IF(ABS(L1645)&lt;'Progetto del paramento slu'!$G$58,ABS(L1645)*'Progetto del paramento slu'!$G$54,'Progetto del paramento slu'!$G$53)*IF(L1645&lt;0,-1,1)</f>
        <v>153664.85805602249</v>
      </c>
      <c r="S1645" s="553">
        <f>'Foglio deposito bis'!$F$70*IF(ABS(M1645)&lt;'Progetto del paramento slu'!$G$58,ABS(M1645)*'Progetto del paramento slu'!$G$54,'Progetto del paramento slu'!$G$53)*IF(M1645&lt;0,-1,1)</f>
        <v>0</v>
      </c>
      <c r="T1645" s="553">
        <f>'Foglio deposito bis'!$F$71*IF(ABS(N1645)&lt;'Progetto del paramento slu'!$G$58,ABS(N1645)*'Progetto del paramento slu'!$G$54,'Progetto del paramento slu'!$G$53)*IF(N1645&lt;0,-1,1)</f>
        <v>314705.62929873407</v>
      </c>
      <c r="U1645" s="553">
        <f>'Foglio deposito bis'!$F$72*IF(ABS(O1645)&lt;'Progetto del paramento slu'!$G$58,ABS(O1645)*'Progetto del paramento slu'!$G$54,'Progetto del paramento slu'!$G$53)*IF(O1645&lt;0,-1,1)</f>
        <v>491727.54577927204</v>
      </c>
      <c r="V1645" s="479">
        <f t="shared" si="123"/>
        <v>96016.088374736835</v>
      </c>
      <c r="W1645" s="559"/>
      <c r="X1645" s="559"/>
    </row>
    <row r="1646" spans="1:24" x14ac:dyDescent="0.25">
      <c r="A1646" s="553">
        <f t="shared" si="122"/>
        <v>84571.294404415064</v>
      </c>
      <c r="B1646" s="3">
        <f t="shared" si="120"/>
        <v>15.299999999999967</v>
      </c>
      <c r="C1646" s="553">
        <f>'Foglio deposito bis'!$E$159/sezione!$B$247*B1646</f>
        <v>62.112199990891924</v>
      </c>
      <c r="D1646" s="611">
        <f>-'Progetto del paramento slu'!$G$47*'Progetto del paramento slu'!$G$41*IF(DATI!$G$218="dx",DATI!$E$61,DATI!$E$64*DATI!$E$63)*1000*C1646^2*sezione!$AD$5*(1-sezione!$AD$6)</f>
        <v>-31758440.865714736</v>
      </c>
      <c r="E1646" s="553">
        <f>-'Foglio deposito bis'!$F$68*(C1646-sezione!$AL$33)*IF(ABS(K1646)&lt;'Progetto del paramento slu'!$G$58,ABS(K1646)*'Progetto del paramento slu'!$G$54,'Progetto del paramento slu'!$G$53)</f>
        <v>0</v>
      </c>
      <c r="F1646" s="553">
        <f>-'Foglio deposito bis'!$F$69*(C1646-sezione!$AM$33)*IF(ABS(L1646)&lt;'Progetto del paramento slu'!$G$58,ABS(L1646)*'Progetto del paramento slu'!$G$54,'Progetto del paramento slu'!$G$53)</f>
        <v>13505266.313255684</v>
      </c>
      <c r="G1646" s="553">
        <f>-'Foglio deposito bis'!$F$70*(C1646-sezione!$AN$33)*IF(ABS(M1646)&lt;'Progetto del paramento slu'!$G$58,ABS(M1646)*'Progetto del paramento slu'!$G$54,'Progetto del paramento slu'!$G$53)</f>
        <v>0</v>
      </c>
      <c r="H1646" s="553">
        <f>-'Foglio deposito bis'!$F$71*(C1646-sezione!$AO$33)*IF(ABS(N1646)&lt;'Progetto del paramento slu'!$G$58,ABS(N1646)*'Progetto del paramento slu'!$G$54,'Progetto del paramento slu'!$G$53)</f>
        <v>87452854.976307139</v>
      </c>
      <c r="I1646" s="479">
        <f>-'Foglio deposito bis'!$F$72*(C1646-sezione!$AP$33)*IF(ABS(O1646)&lt;'Progetto del paramento slu'!$G$58,ABS(O1646)*'Progetto del paramento slu'!$G$54,'Progetto del paramento slu'!$G$53)</f>
        <v>97309825.511188492</v>
      </c>
      <c r="J1646" s="479">
        <f t="shared" si="121"/>
        <v>166509505.9350366</v>
      </c>
      <c r="K1646" s="558">
        <f>'Progetto del paramento slu'!$G$60*(sezione!$AL$33-C1646)/C1646</f>
        <v>-1.2460144702565765E-3</v>
      </c>
      <c r="L1646" s="558">
        <f>'Progetto del paramento slu'!$G$60*(sezione!$AM$33-C1646)/C1646</f>
        <v>4.9524457365378383E-3</v>
      </c>
      <c r="M1646" s="559">
        <f>'Progetto del paramento slu'!$G$60*(sezione!$AN$33-C1646)/C1646</f>
        <v>1.1150905943332253E-2</v>
      </c>
      <c r="N1646" s="559">
        <f>'Progetto del paramento slu'!$G$60*(sezione!$AO$33-C1646)/C1646</f>
        <v>1.5658877002819101E-2</v>
      </c>
      <c r="O1646" s="559">
        <f>'Progetto del paramento slu'!$G$60*(sezione!$AP$33-C1646)/C1646</f>
        <v>1.1151243228426538E-2</v>
      </c>
      <c r="P1646" s="553">
        <f>-'Progetto del paramento slu'!$G$47*'Progetto del paramento slu'!$G$41*IF(DATI!$G$218="dx",DATI!$E$61,DATI!$E$64*DATI!$E$63)*1000*C1646*sezione!$AD$5</f>
        <v>-875526.73872961348</v>
      </c>
      <c r="Q1646" s="553">
        <f>'Foglio deposito bis'!$F$68*IF(ABS(K1646)&lt;'Progetto del paramento slu'!$G$58,ABS(K1646)*'Progetto del paramento slu'!$G$54,'Progetto del paramento slu'!$G$53)*IF(K1646&lt;0,-1,1)</f>
        <v>0</v>
      </c>
      <c r="R1646" s="553">
        <f>'Foglio deposito bis'!$F$69*IF(ABS(L1646)&lt;'Progetto del paramento slu'!$G$58,ABS(L1646)*'Progetto del paramento slu'!$G$54,'Progetto del paramento slu'!$G$53)*IF(L1646&lt;0,-1,1)</f>
        <v>153664.85805602249</v>
      </c>
      <c r="S1646" s="553">
        <f>'Foglio deposito bis'!$F$70*IF(ABS(M1646)&lt;'Progetto del paramento slu'!$G$58,ABS(M1646)*'Progetto del paramento slu'!$G$54,'Progetto del paramento slu'!$G$53)*IF(M1646&lt;0,-1,1)</f>
        <v>0</v>
      </c>
      <c r="T1646" s="553">
        <f>'Foglio deposito bis'!$F$71*IF(ABS(N1646)&lt;'Progetto del paramento slu'!$G$58,ABS(N1646)*'Progetto del paramento slu'!$G$54,'Progetto del paramento slu'!$G$53)*IF(N1646&lt;0,-1,1)</f>
        <v>314705.62929873407</v>
      </c>
      <c r="U1646" s="553">
        <f>'Foglio deposito bis'!$F$72*IF(ABS(O1646)&lt;'Progetto del paramento slu'!$G$58,ABS(O1646)*'Progetto del paramento slu'!$G$54,'Progetto del paramento slu'!$G$53)*IF(O1646&lt;0,-1,1)</f>
        <v>491727.54577927204</v>
      </c>
      <c r="V1646" s="479">
        <f t="shared" si="123"/>
        <v>84571.294404415064</v>
      </c>
      <c r="W1646" s="559"/>
      <c r="X1646" s="559"/>
    </row>
    <row r="1647" spans="1:24" x14ac:dyDescent="0.25">
      <c r="A1647" s="553">
        <f t="shared" si="122"/>
        <v>73126.500434093294</v>
      </c>
      <c r="B1647" s="3">
        <f t="shared" si="120"/>
        <v>15.499999999999966</v>
      </c>
      <c r="C1647" s="553">
        <f>'Foglio deposito bis'!$E$159/sezione!$B$247*B1647</f>
        <v>62.924124173779404</v>
      </c>
      <c r="D1647" s="611">
        <f>-'Progetto del paramento slu'!$G$47*'Progetto del paramento slu'!$G$41*IF(DATI!$G$218="dx",DATI!$E$61,DATI!$E$64*DATI!$E$63)*1000*C1647^2*sezione!$AD$5*(1-sezione!$AD$6)</f>
        <v>-32594153.607535414</v>
      </c>
      <c r="E1647" s="553">
        <f>-'Foglio deposito bis'!$F$68*(C1647-sezione!$AL$33)*IF(ABS(K1647)&lt;'Progetto del paramento slu'!$G$58,ABS(K1647)*'Progetto del paramento slu'!$G$54,'Progetto del paramento slu'!$G$53)</f>
        <v>0</v>
      </c>
      <c r="F1647" s="553">
        <f>-'Foglio deposito bis'!$F$69*(C1647-sezione!$AM$33)*IF(ABS(L1647)&lt;'Progetto del paramento slu'!$G$58,ABS(L1647)*'Progetto del paramento slu'!$G$54,'Progetto del paramento slu'!$G$53)</f>
        <v>13380502.098940028</v>
      </c>
      <c r="G1647" s="553">
        <f>-'Foglio deposito bis'!$F$70*(C1647-sezione!$AN$33)*IF(ABS(M1647)&lt;'Progetto del paramento slu'!$G$58,ABS(M1647)*'Progetto del paramento slu'!$G$54,'Progetto del paramento slu'!$G$53)</f>
        <v>0</v>
      </c>
      <c r="H1647" s="553">
        <f>-'Foglio deposito bis'!$F$71*(C1647-sezione!$AO$33)*IF(ABS(N1647)&lt;'Progetto del paramento slu'!$G$58,ABS(N1647)*'Progetto del paramento slu'!$G$54,'Progetto del paramento slu'!$G$53)</f>
        <v>87197337.865388647</v>
      </c>
      <c r="I1647" s="479">
        <f>-'Foglio deposito bis'!$F$72*(C1647-sezione!$AP$33)*IF(ABS(O1647)&lt;'Progetto del paramento slu'!$G$58,ABS(O1647)*'Progetto del paramento slu'!$G$54,'Progetto del paramento slu'!$G$53)</f>
        <v>96910580.025378391</v>
      </c>
      <c r="J1647" s="479">
        <f t="shared" si="121"/>
        <v>164894266.38217163</v>
      </c>
      <c r="K1647" s="558">
        <f>'Progetto del paramento slu'!$G$60*(sezione!$AL$33-C1647)/C1647</f>
        <v>-1.2750981545113305E-3</v>
      </c>
      <c r="L1647" s="558">
        <f>'Progetto del paramento slu'!$G$60*(sezione!$AM$33-C1647)/C1647</f>
        <v>4.8433819205825103E-3</v>
      </c>
      <c r="M1647" s="559">
        <f>'Progetto del paramento slu'!$G$60*(sezione!$AN$33-C1647)/C1647</f>
        <v>1.0961861995676354E-2</v>
      </c>
      <c r="N1647" s="559">
        <f>'Progetto del paramento slu'!$G$60*(sezione!$AO$33-C1647)/C1647</f>
        <v>1.541166568665369E-2</v>
      </c>
      <c r="O1647" s="559">
        <f>'Progetto del paramento slu'!$G$60*(sezione!$AP$33-C1647)/C1647</f>
        <v>1.0962194928704904E-2</v>
      </c>
      <c r="P1647" s="553">
        <f>-'Progetto del paramento slu'!$G$47*'Progetto del paramento slu'!$G$41*IF(DATI!$G$218="dx",DATI!$E$61,DATI!$E$64*DATI!$E$63)*1000*C1647*sezione!$AD$5</f>
        <v>-886971.53269993537</v>
      </c>
      <c r="Q1647" s="553">
        <f>'Foglio deposito bis'!$F$68*IF(ABS(K1647)&lt;'Progetto del paramento slu'!$G$58,ABS(K1647)*'Progetto del paramento slu'!$G$54,'Progetto del paramento slu'!$G$53)*IF(K1647&lt;0,-1,1)</f>
        <v>0</v>
      </c>
      <c r="R1647" s="553">
        <f>'Foglio deposito bis'!$F$69*IF(ABS(L1647)&lt;'Progetto del paramento slu'!$G$58,ABS(L1647)*'Progetto del paramento slu'!$G$54,'Progetto del paramento slu'!$G$53)*IF(L1647&lt;0,-1,1)</f>
        <v>153664.85805602249</v>
      </c>
      <c r="S1647" s="553">
        <f>'Foglio deposito bis'!$F$70*IF(ABS(M1647)&lt;'Progetto del paramento slu'!$G$58,ABS(M1647)*'Progetto del paramento slu'!$G$54,'Progetto del paramento slu'!$G$53)*IF(M1647&lt;0,-1,1)</f>
        <v>0</v>
      </c>
      <c r="T1647" s="553">
        <f>'Foglio deposito bis'!$F$71*IF(ABS(N1647)&lt;'Progetto del paramento slu'!$G$58,ABS(N1647)*'Progetto del paramento slu'!$G$54,'Progetto del paramento slu'!$G$53)*IF(N1647&lt;0,-1,1)</f>
        <v>314705.62929873407</v>
      </c>
      <c r="U1647" s="553">
        <f>'Foglio deposito bis'!$F$72*IF(ABS(O1647)&lt;'Progetto del paramento slu'!$G$58,ABS(O1647)*'Progetto del paramento slu'!$G$54,'Progetto del paramento slu'!$G$53)*IF(O1647&lt;0,-1,1)</f>
        <v>491727.54577927204</v>
      </c>
      <c r="V1647" s="479">
        <f t="shared" si="123"/>
        <v>73126.500434093294</v>
      </c>
      <c r="W1647" s="559"/>
      <c r="X1647" s="559"/>
    </row>
    <row r="1648" spans="1:24" x14ac:dyDescent="0.25">
      <c r="A1648" s="553">
        <f t="shared" si="122"/>
        <v>61681.706463771523</v>
      </c>
      <c r="B1648" s="3">
        <f t="shared" si="120"/>
        <v>15.699999999999966</v>
      </c>
      <c r="C1648" s="553">
        <f>'Foglio deposito bis'!$E$159/sezione!$B$247*B1648</f>
        <v>63.736048356666878</v>
      </c>
      <c r="D1648" s="611">
        <f>-'Progetto del paramento slu'!$G$47*'Progetto del paramento slu'!$G$41*IF(DATI!$G$218="dx",DATI!$E$61,DATI!$E$64*DATI!$E$63)*1000*C1648^2*sezione!$AD$5*(1-sezione!$AD$6)</f>
        <v>-33440719.761587527</v>
      </c>
      <c r="E1648" s="553">
        <f>-'Foglio deposito bis'!$F$68*(C1648-sezione!$AL$33)*IF(ABS(K1648)&lt;'Progetto del paramento slu'!$G$58,ABS(K1648)*'Progetto del paramento slu'!$G$54,'Progetto del paramento slu'!$G$53)</f>
        <v>0</v>
      </c>
      <c r="F1648" s="553">
        <f>-'Foglio deposito bis'!$F$69*(C1648-sezione!$AM$33)*IF(ABS(L1648)&lt;'Progetto del paramento slu'!$G$58,ABS(L1648)*'Progetto del paramento slu'!$G$54,'Progetto del paramento slu'!$G$53)</f>
        <v>13255737.884624371</v>
      </c>
      <c r="G1648" s="553">
        <f>-'Foglio deposito bis'!$F$70*(C1648-sezione!$AN$33)*IF(ABS(M1648)&lt;'Progetto del paramento slu'!$G$58,ABS(M1648)*'Progetto del paramento slu'!$G$54,'Progetto del paramento slu'!$G$53)</f>
        <v>0</v>
      </c>
      <c r="H1648" s="553">
        <f>-'Foglio deposito bis'!$F$71*(C1648-sezione!$AO$33)*IF(ABS(N1648)&lt;'Progetto del paramento slu'!$G$58,ABS(N1648)*'Progetto del paramento slu'!$G$54,'Progetto del paramento slu'!$G$53)</f>
        <v>86941820.754470199</v>
      </c>
      <c r="I1648" s="479">
        <f>-'Foglio deposito bis'!$F$72*(C1648-sezione!$AP$33)*IF(ABS(O1648)&lt;'Progetto del paramento slu'!$G$58,ABS(O1648)*'Progetto del paramento slu'!$G$54,'Progetto del paramento slu'!$G$53)</f>
        <v>96511334.53956829</v>
      </c>
      <c r="J1648" s="479">
        <f t="shared" si="121"/>
        <v>163268173.41707534</v>
      </c>
      <c r="K1648" s="558">
        <f>'Progetto del paramento slu'!$G$60*(sezione!$AL$33-C1648)/C1648</f>
        <v>-1.3034408531799758E-3</v>
      </c>
      <c r="L1648" s="558">
        <f>'Progetto del paramento slu'!$G$60*(sezione!$AM$33-C1648)/C1648</f>
        <v>4.7370968005750903E-3</v>
      </c>
      <c r="M1648" s="559">
        <f>'Progetto del paramento slu'!$G$60*(sezione!$AN$33-C1648)/C1648</f>
        <v>1.0777634454330158E-2</v>
      </c>
      <c r="N1648" s="559">
        <f>'Progetto del paramento slu'!$G$60*(sezione!$AO$33-C1648)/C1648</f>
        <v>1.5170752747970206E-2</v>
      </c>
      <c r="O1648" s="559">
        <f>'Progetto del paramento slu'!$G$60*(sezione!$AP$33-C1648)/C1648</f>
        <v>1.0777963146173632E-2</v>
      </c>
      <c r="P1648" s="553">
        <f>-'Progetto del paramento slu'!$G$47*'Progetto del paramento slu'!$G$41*IF(DATI!$G$218="dx",DATI!$E$61,DATI!$E$64*DATI!$E$63)*1000*C1648*sezione!$AD$5</f>
        <v>-898416.32667025703</v>
      </c>
      <c r="Q1648" s="553">
        <f>'Foglio deposito bis'!$F$68*IF(ABS(K1648)&lt;'Progetto del paramento slu'!$G$58,ABS(K1648)*'Progetto del paramento slu'!$G$54,'Progetto del paramento slu'!$G$53)*IF(K1648&lt;0,-1,1)</f>
        <v>0</v>
      </c>
      <c r="R1648" s="553">
        <f>'Foglio deposito bis'!$F$69*IF(ABS(L1648)&lt;'Progetto del paramento slu'!$G$58,ABS(L1648)*'Progetto del paramento slu'!$G$54,'Progetto del paramento slu'!$G$53)*IF(L1648&lt;0,-1,1)</f>
        <v>153664.85805602249</v>
      </c>
      <c r="S1648" s="553">
        <f>'Foglio deposito bis'!$F$70*IF(ABS(M1648)&lt;'Progetto del paramento slu'!$G$58,ABS(M1648)*'Progetto del paramento slu'!$G$54,'Progetto del paramento slu'!$G$53)*IF(M1648&lt;0,-1,1)</f>
        <v>0</v>
      </c>
      <c r="T1648" s="553">
        <f>'Foglio deposito bis'!$F$71*IF(ABS(N1648)&lt;'Progetto del paramento slu'!$G$58,ABS(N1648)*'Progetto del paramento slu'!$G$54,'Progetto del paramento slu'!$G$53)*IF(N1648&lt;0,-1,1)</f>
        <v>314705.62929873407</v>
      </c>
      <c r="U1648" s="553">
        <f>'Foglio deposito bis'!$F$72*IF(ABS(O1648)&lt;'Progetto del paramento slu'!$G$58,ABS(O1648)*'Progetto del paramento slu'!$G$54,'Progetto del paramento slu'!$G$53)*IF(O1648&lt;0,-1,1)</f>
        <v>491727.54577927204</v>
      </c>
      <c r="V1648" s="479">
        <f t="shared" si="123"/>
        <v>61681.706463771523</v>
      </c>
      <c r="W1648" s="559"/>
      <c r="X1648" s="559"/>
    </row>
    <row r="1649" spans="1:24" x14ac:dyDescent="0.25">
      <c r="A1649" s="553">
        <f t="shared" si="122"/>
        <v>50236.912493449985</v>
      </c>
      <c r="B1649" s="3">
        <f t="shared" si="120"/>
        <v>15.899999999999965</v>
      </c>
      <c r="C1649" s="553">
        <f>'Foglio deposito bis'!$E$159/sezione!$B$247*B1649</f>
        <v>64.547972539554351</v>
      </c>
      <c r="D1649" s="611">
        <f>-'Progetto del paramento slu'!$G$47*'Progetto del paramento slu'!$G$41*IF(DATI!$G$218="dx",DATI!$E$61,DATI!$E$64*DATI!$E$63)*1000*C1649^2*sezione!$AD$5*(1-sezione!$AD$6)</f>
        <v>-34298139.327871084</v>
      </c>
      <c r="E1649" s="553">
        <f>-'Foglio deposito bis'!$F$68*(C1649-sezione!$AL$33)*IF(ABS(K1649)&lt;'Progetto del paramento slu'!$G$58,ABS(K1649)*'Progetto del paramento slu'!$G$54,'Progetto del paramento slu'!$G$53)</f>
        <v>0</v>
      </c>
      <c r="F1649" s="553">
        <f>-'Foglio deposito bis'!$F$69*(C1649-sezione!$AM$33)*IF(ABS(L1649)&lt;'Progetto del paramento slu'!$G$58,ABS(L1649)*'Progetto del paramento slu'!$G$54,'Progetto del paramento slu'!$G$53)</f>
        <v>13130973.670308717</v>
      </c>
      <c r="G1649" s="553">
        <f>-'Foglio deposito bis'!$F$70*(C1649-sezione!$AN$33)*IF(ABS(M1649)&lt;'Progetto del paramento slu'!$G$58,ABS(M1649)*'Progetto del paramento slu'!$G$54,'Progetto del paramento slu'!$G$53)</f>
        <v>0</v>
      </c>
      <c r="H1649" s="553">
        <f>-'Foglio deposito bis'!$F$71*(C1649-sezione!$AO$33)*IF(ABS(N1649)&lt;'Progetto del paramento slu'!$G$58,ABS(N1649)*'Progetto del paramento slu'!$G$54,'Progetto del paramento slu'!$G$53)</f>
        <v>86686303.643551737</v>
      </c>
      <c r="I1649" s="479">
        <f>-'Foglio deposito bis'!$F$72*(C1649-sezione!$AP$33)*IF(ABS(O1649)&lt;'Progetto del paramento slu'!$G$58,ABS(O1649)*'Progetto del paramento slu'!$G$54,'Progetto del paramento slu'!$G$53)</f>
        <v>96112089.053758204</v>
      </c>
      <c r="J1649" s="479">
        <f t="shared" si="121"/>
        <v>161631227.03974757</v>
      </c>
      <c r="K1649" s="558">
        <f>'Progetto del paramento slu'!$G$60*(sezione!$AL$33-C1649)/C1649</f>
        <v>-1.3310705279827434E-3</v>
      </c>
      <c r="L1649" s="558">
        <f>'Progetto del paramento slu'!$G$60*(sezione!$AM$33-C1649)/C1649</f>
        <v>4.6334855200647123E-3</v>
      </c>
      <c r="M1649" s="559">
        <f>'Progetto del paramento slu'!$G$60*(sezione!$AN$33-C1649)/C1649</f>
        <v>1.0598041568112169E-2</v>
      </c>
      <c r="N1649" s="559">
        <f>'Progetto del paramento slu'!$G$60*(sezione!$AO$33-C1649)/C1649</f>
        <v>1.4935900512146683E-2</v>
      </c>
      <c r="O1649" s="559">
        <f>'Progetto del paramento slu'!$G$60*(sezione!$AP$33-C1649)/C1649</f>
        <v>1.0598366125467048E-2</v>
      </c>
      <c r="P1649" s="553">
        <f>-'Progetto del paramento slu'!$G$47*'Progetto del paramento slu'!$G$41*IF(DATI!$G$218="dx",DATI!$E$61,DATI!$E$64*DATI!$E$63)*1000*C1649*sezione!$AD$5</f>
        <v>-909861.12064057868</v>
      </c>
      <c r="Q1649" s="553">
        <f>'Foglio deposito bis'!$F$68*IF(ABS(K1649)&lt;'Progetto del paramento slu'!$G$58,ABS(K1649)*'Progetto del paramento slu'!$G$54,'Progetto del paramento slu'!$G$53)*IF(K1649&lt;0,-1,1)</f>
        <v>0</v>
      </c>
      <c r="R1649" s="553">
        <f>'Foglio deposito bis'!$F$69*IF(ABS(L1649)&lt;'Progetto del paramento slu'!$G$58,ABS(L1649)*'Progetto del paramento slu'!$G$54,'Progetto del paramento slu'!$G$53)*IF(L1649&lt;0,-1,1)</f>
        <v>153664.85805602249</v>
      </c>
      <c r="S1649" s="553">
        <f>'Foglio deposito bis'!$F$70*IF(ABS(M1649)&lt;'Progetto del paramento slu'!$G$58,ABS(M1649)*'Progetto del paramento slu'!$G$54,'Progetto del paramento slu'!$G$53)*IF(M1649&lt;0,-1,1)</f>
        <v>0</v>
      </c>
      <c r="T1649" s="553">
        <f>'Foglio deposito bis'!$F$71*IF(ABS(N1649)&lt;'Progetto del paramento slu'!$G$58,ABS(N1649)*'Progetto del paramento slu'!$G$54,'Progetto del paramento slu'!$G$53)*IF(N1649&lt;0,-1,1)</f>
        <v>314705.62929873407</v>
      </c>
      <c r="U1649" s="553">
        <f>'Foglio deposito bis'!$F$72*IF(ABS(O1649)&lt;'Progetto del paramento slu'!$G$58,ABS(O1649)*'Progetto del paramento slu'!$G$54,'Progetto del paramento slu'!$G$53)*IF(O1649&lt;0,-1,1)</f>
        <v>491727.54577927204</v>
      </c>
      <c r="V1649" s="479">
        <f t="shared" si="123"/>
        <v>50236.912493449985</v>
      </c>
      <c r="W1649" s="559"/>
      <c r="X1649" s="559"/>
    </row>
    <row r="1650" spans="1:24" x14ac:dyDescent="0.25">
      <c r="A1650" s="553">
        <f t="shared" si="122"/>
        <v>38792.118523127981</v>
      </c>
      <c r="B1650" s="3">
        <f t="shared" si="120"/>
        <v>16.099999999999966</v>
      </c>
      <c r="C1650" s="553">
        <f>'Foglio deposito bis'!$E$159/sezione!$B$247*B1650</f>
        <v>65.359896722441832</v>
      </c>
      <c r="D1650" s="611">
        <f>-'Progetto del paramento slu'!$G$47*'Progetto del paramento slu'!$G$41*IF(DATI!$G$218="dx",DATI!$E$61,DATI!$E$64*DATI!$E$63)*1000*C1650^2*sezione!$AD$5*(1-sezione!$AD$6)</f>
        <v>-35166412.306386076</v>
      </c>
      <c r="E1650" s="553">
        <f>-'Foglio deposito bis'!$F$68*(C1650-sezione!$AL$33)*IF(ABS(K1650)&lt;'Progetto del paramento slu'!$G$58,ABS(K1650)*'Progetto del paramento slu'!$G$54,'Progetto del paramento slu'!$G$53)</f>
        <v>0</v>
      </c>
      <c r="F1650" s="553">
        <f>-'Foglio deposito bis'!$F$69*(C1650-sezione!$AM$33)*IF(ABS(L1650)&lt;'Progetto del paramento slu'!$G$58,ABS(L1650)*'Progetto del paramento slu'!$G$54,'Progetto del paramento slu'!$G$53)</f>
        <v>13006209.45599306</v>
      </c>
      <c r="G1650" s="553">
        <f>-'Foglio deposito bis'!$F$70*(C1650-sezione!$AN$33)*IF(ABS(M1650)&lt;'Progetto del paramento slu'!$G$58,ABS(M1650)*'Progetto del paramento slu'!$G$54,'Progetto del paramento slu'!$G$53)</f>
        <v>0</v>
      </c>
      <c r="H1650" s="553">
        <f>-'Foglio deposito bis'!$F$71*(C1650-sezione!$AO$33)*IF(ABS(N1650)&lt;'Progetto del paramento slu'!$G$58,ABS(N1650)*'Progetto del paramento slu'!$G$54,'Progetto del paramento slu'!$G$53)</f>
        <v>86430786.53263326</v>
      </c>
      <c r="I1650" s="479">
        <f>-'Foglio deposito bis'!$F$72*(C1650-sezione!$AP$33)*IF(ABS(O1650)&lt;'Progetto del paramento slu'!$G$58,ABS(O1650)*'Progetto del paramento slu'!$G$54,'Progetto del paramento slu'!$G$53)</f>
        <v>95712843.567948103</v>
      </c>
      <c r="J1650" s="479">
        <f t="shared" si="121"/>
        <v>159983427.25018835</v>
      </c>
      <c r="K1650" s="558">
        <f>'Progetto del paramento slu'!$G$60*(sezione!$AL$33-C1650)/C1650</f>
        <v>-1.3580137512376163E-3</v>
      </c>
      <c r="L1650" s="558">
        <f>'Progetto del paramento slu'!$G$60*(sezione!$AM$33-C1650)/C1650</f>
        <v>4.5324484328589393E-3</v>
      </c>
      <c r="M1650" s="559">
        <f>'Progetto del paramento slu'!$G$60*(sezione!$AN$33-C1650)/C1650</f>
        <v>1.0422910616955494E-2</v>
      </c>
      <c r="N1650" s="559">
        <f>'Progetto del paramento slu'!$G$60*(sezione!$AO$33-C1650)/C1650</f>
        <v>1.4706883114480263E-2</v>
      </c>
      <c r="O1650" s="559">
        <f>'Progetto del paramento slu'!$G$60*(sezione!$AP$33-C1650)/C1650</f>
        <v>1.042323114254199E-2</v>
      </c>
      <c r="P1650" s="553">
        <f>-'Progetto del paramento slu'!$G$47*'Progetto del paramento slu'!$G$41*IF(DATI!$G$218="dx",DATI!$E$61,DATI!$E$64*DATI!$E$63)*1000*C1650*sezione!$AD$5</f>
        <v>-921305.91461090057</v>
      </c>
      <c r="Q1650" s="553">
        <f>'Foglio deposito bis'!$F$68*IF(ABS(K1650)&lt;'Progetto del paramento slu'!$G$58,ABS(K1650)*'Progetto del paramento slu'!$G$54,'Progetto del paramento slu'!$G$53)*IF(K1650&lt;0,-1,1)</f>
        <v>0</v>
      </c>
      <c r="R1650" s="553">
        <f>'Foglio deposito bis'!$F$69*IF(ABS(L1650)&lt;'Progetto del paramento slu'!$G$58,ABS(L1650)*'Progetto del paramento slu'!$G$54,'Progetto del paramento slu'!$G$53)*IF(L1650&lt;0,-1,1)</f>
        <v>153664.85805602249</v>
      </c>
      <c r="S1650" s="553">
        <f>'Foglio deposito bis'!$F$70*IF(ABS(M1650)&lt;'Progetto del paramento slu'!$G$58,ABS(M1650)*'Progetto del paramento slu'!$G$54,'Progetto del paramento slu'!$G$53)*IF(M1650&lt;0,-1,1)</f>
        <v>0</v>
      </c>
      <c r="T1650" s="553">
        <f>'Foglio deposito bis'!$F$71*IF(ABS(N1650)&lt;'Progetto del paramento slu'!$G$58,ABS(N1650)*'Progetto del paramento slu'!$G$54,'Progetto del paramento slu'!$G$53)*IF(N1650&lt;0,-1,1)</f>
        <v>314705.62929873407</v>
      </c>
      <c r="U1650" s="553">
        <f>'Foglio deposito bis'!$F$72*IF(ABS(O1650)&lt;'Progetto del paramento slu'!$G$58,ABS(O1650)*'Progetto del paramento slu'!$G$54,'Progetto del paramento slu'!$G$53)*IF(O1650&lt;0,-1,1)</f>
        <v>491727.54577927204</v>
      </c>
      <c r="V1650" s="479">
        <f t="shared" si="123"/>
        <v>38792.118523127981</v>
      </c>
      <c r="W1650" s="559"/>
      <c r="X1650" s="559"/>
    </row>
    <row r="1651" spans="1:24" x14ac:dyDescent="0.25">
      <c r="A1651" s="553">
        <f t="shared" si="122"/>
        <v>27347.324552806211</v>
      </c>
      <c r="B1651" s="3">
        <f t="shared" si="120"/>
        <v>16.299999999999965</v>
      </c>
      <c r="C1651" s="553">
        <f>'Foglio deposito bis'!$E$159/sezione!$B$247*B1651</f>
        <v>66.171820905329312</v>
      </c>
      <c r="D1651" s="611">
        <f>-'Progetto del paramento slu'!$G$47*'Progetto del paramento slu'!$G$41*IF(DATI!$G$218="dx",DATI!$E$61,DATI!$E$64*DATI!$E$63)*1000*C1651^2*sezione!$AD$5*(1-sezione!$AD$6)</f>
        <v>-36045538.697132513</v>
      </c>
      <c r="E1651" s="553">
        <f>-'Foglio deposito bis'!$F$68*(C1651-sezione!$AL$33)*IF(ABS(K1651)&lt;'Progetto del paramento slu'!$G$58,ABS(K1651)*'Progetto del paramento slu'!$G$54,'Progetto del paramento slu'!$G$53)</f>
        <v>0</v>
      </c>
      <c r="F1651" s="553">
        <f>-'Foglio deposito bis'!$F$69*(C1651-sezione!$AM$33)*IF(ABS(L1651)&lt;'Progetto del paramento slu'!$G$58,ABS(L1651)*'Progetto del paramento slu'!$G$54,'Progetto del paramento slu'!$G$53)</f>
        <v>12881445.241677403</v>
      </c>
      <c r="G1651" s="553">
        <f>-'Foglio deposito bis'!$F$70*(C1651-sezione!$AN$33)*IF(ABS(M1651)&lt;'Progetto del paramento slu'!$G$58,ABS(M1651)*'Progetto del paramento slu'!$G$54,'Progetto del paramento slu'!$G$53)</f>
        <v>0</v>
      </c>
      <c r="H1651" s="553">
        <f>-'Foglio deposito bis'!$F$71*(C1651-sezione!$AO$33)*IF(ABS(N1651)&lt;'Progetto del paramento slu'!$G$58,ABS(N1651)*'Progetto del paramento slu'!$G$54,'Progetto del paramento slu'!$G$53)</f>
        <v>86175269.421714798</v>
      </c>
      <c r="I1651" s="479">
        <f>-'Foglio deposito bis'!$F$72*(C1651-sezione!$AP$33)*IF(ABS(O1651)&lt;'Progetto del paramento slu'!$G$58,ABS(O1651)*'Progetto del paramento slu'!$G$54,'Progetto del paramento slu'!$G$53)</f>
        <v>95313598.082138002</v>
      </c>
      <c r="J1651" s="479">
        <f t="shared" si="121"/>
        <v>158324774.04839769</v>
      </c>
      <c r="K1651" s="558">
        <f>'Progetto del paramento slu'!$G$60*(sezione!$AL$33-C1651)/C1651</f>
        <v>-1.3842957910997315E-3</v>
      </c>
      <c r="L1651" s="558">
        <f>'Progetto del paramento slu'!$G$60*(sezione!$AM$33-C1651)/C1651</f>
        <v>4.4338907833760075E-3</v>
      </c>
      <c r="M1651" s="559">
        <f>'Progetto del paramento slu'!$G$60*(sezione!$AN$33-C1651)/C1651</f>
        <v>1.0252077357851745E-2</v>
      </c>
      <c r="N1651" s="559">
        <f>'Progetto del paramento slu'!$G$60*(sezione!$AO$33-C1651)/C1651</f>
        <v>1.4483485775652283E-2</v>
      </c>
      <c r="O1651" s="559">
        <f>'Progetto del paramento slu'!$G$60*(sezione!$AP$33-C1651)/C1651</f>
        <v>1.025239395060896E-2</v>
      </c>
      <c r="P1651" s="553">
        <f>-'Progetto del paramento slu'!$G$47*'Progetto del paramento slu'!$G$41*IF(DATI!$G$218="dx",DATI!$E$61,DATI!$E$64*DATI!$E$63)*1000*C1651*sezione!$AD$5</f>
        <v>-932750.70858122245</v>
      </c>
      <c r="Q1651" s="553">
        <f>'Foglio deposito bis'!$F$68*IF(ABS(K1651)&lt;'Progetto del paramento slu'!$G$58,ABS(K1651)*'Progetto del paramento slu'!$G$54,'Progetto del paramento slu'!$G$53)*IF(K1651&lt;0,-1,1)</f>
        <v>0</v>
      </c>
      <c r="R1651" s="553">
        <f>'Foglio deposito bis'!$F$69*IF(ABS(L1651)&lt;'Progetto del paramento slu'!$G$58,ABS(L1651)*'Progetto del paramento slu'!$G$54,'Progetto del paramento slu'!$G$53)*IF(L1651&lt;0,-1,1)</f>
        <v>153664.85805602249</v>
      </c>
      <c r="S1651" s="553">
        <f>'Foglio deposito bis'!$F$70*IF(ABS(M1651)&lt;'Progetto del paramento slu'!$G$58,ABS(M1651)*'Progetto del paramento slu'!$G$54,'Progetto del paramento slu'!$G$53)*IF(M1651&lt;0,-1,1)</f>
        <v>0</v>
      </c>
      <c r="T1651" s="553">
        <f>'Foglio deposito bis'!$F$71*IF(ABS(N1651)&lt;'Progetto del paramento slu'!$G$58,ABS(N1651)*'Progetto del paramento slu'!$G$54,'Progetto del paramento slu'!$G$53)*IF(N1651&lt;0,-1,1)</f>
        <v>314705.62929873407</v>
      </c>
      <c r="U1651" s="553">
        <f>'Foglio deposito bis'!$F$72*IF(ABS(O1651)&lt;'Progetto del paramento slu'!$G$58,ABS(O1651)*'Progetto del paramento slu'!$G$54,'Progetto del paramento slu'!$G$53)*IF(O1651&lt;0,-1,1)</f>
        <v>491727.54577927204</v>
      </c>
      <c r="V1651" s="479">
        <f t="shared" si="123"/>
        <v>27347.324552806211</v>
      </c>
      <c r="W1651" s="559"/>
      <c r="X1651" s="559"/>
    </row>
    <row r="1652" spans="1:24" x14ac:dyDescent="0.25">
      <c r="A1652" s="553">
        <f t="shared" si="122"/>
        <v>15902.530582484673</v>
      </c>
      <c r="B1652" s="3">
        <f t="shared" si="120"/>
        <v>16.499999999999964</v>
      </c>
      <c r="C1652" s="553">
        <f>'Foglio deposito bis'!$E$159/sezione!$B$247*B1652</f>
        <v>66.983745088216779</v>
      </c>
      <c r="D1652" s="611">
        <f>-'Progetto del paramento slu'!$G$47*'Progetto del paramento slu'!$G$41*IF(DATI!$G$218="dx",DATI!$E$61,DATI!$E$64*DATI!$E$63)*1000*C1652^2*sezione!$AD$5*(1-sezione!$AD$6)</f>
        <v>-36935518.500110365</v>
      </c>
      <c r="E1652" s="553">
        <f>-'Foglio deposito bis'!$F$68*(C1652-sezione!$AL$33)*IF(ABS(K1652)&lt;'Progetto del paramento slu'!$G$58,ABS(K1652)*'Progetto del paramento slu'!$G$54,'Progetto del paramento slu'!$G$53)</f>
        <v>0</v>
      </c>
      <c r="F1652" s="553">
        <f>-'Foglio deposito bis'!$F$69*(C1652-sezione!$AM$33)*IF(ABS(L1652)&lt;'Progetto del paramento slu'!$G$58,ABS(L1652)*'Progetto del paramento slu'!$G$54,'Progetto del paramento slu'!$G$53)</f>
        <v>12756681.027361749</v>
      </c>
      <c r="G1652" s="553">
        <f>-'Foglio deposito bis'!$F$70*(C1652-sezione!$AN$33)*IF(ABS(M1652)&lt;'Progetto del paramento slu'!$G$58,ABS(M1652)*'Progetto del paramento slu'!$G$54,'Progetto del paramento slu'!$G$53)</f>
        <v>0</v>
      </c>
      <c r="H1652" s="553">
        <f>-'Foglio deposito bis'!$F$71*(C1652-sezione!$AO$33)*IF(ABS(N1652)&lt;'Progetto del paramento slu'!$G$58,ABS(N1652)*'Progetto del paramento slu'!$G$54,'Progetto del paramento slu'!$G$53)</f>
        <v>85919752.31079635</v>
      </c>
      <c r="I1652" s="479">
        <f>-'Foglio deposito bis'!$F$72*(C1652-sezione!$AP$33)*IF(ABS(O1652)&lt;'Progetto del paramento slu'!$G$58,ABS(O1652)*'Progetto del paramento slu'!$G$54,'Progetto del paramento slu'!$G$53)</f>
        <v>94914352.596327901</v>
      </c>
      <c r="J1652" s="479">
        <f t="shared" si="121"/>
        <v>156655267.43437564</v>
      </c>
      <c r="K1652" s="558">
        <f>'Progetto del paramento slu'!$G$60*(sezione!$AL$33-C1652)/C1652</f>
        <v>-1.4099406906015527E-3</v>
      </c>
      <c r="L1652" s="558">
        <f>'Progetto del paramento slu'!$G$60*(sezione!$AM$33-C1652)/C1652</f>
        <v>4.3377224102441776E-3</v>
      </c>
      <c r="M1652" s="559">
        <f>'Progetto del paramento slu'!$G$60*(sezione!$AN$33-C1652)/C1652</f>
        <v>1.0085385511089907E-2</v>
      </c>
      <c r="N1652" s="559">
        <f>'Progetto del paramento slu'!$G$60*(sezione!$AO$33-C1652)/C1652</f>
        <v>1.4265504129886803E-2</v>
      </c>
      <c r="O1652" s="559">
        <f>'Progetto del paramento slu'!$G$60*(sezione!$AP$33-C1652)/C1652</f>
        <v>1.0085698266359156E-2</v>
      </c>
      <c r="P1652" s="553">
        <f>-'Progetto del paramento slu'!$G$47*'Progetto del paramento slu'!$G$41*IF(DATI!$G$218="dx",DATI!$E$61,DATI!$E$64*DATI!$E$63)*1000*C1652*sezione!$AD$5</f>
        <v>-944195.50255154399</v>
      </c>
      <c r="Q1652" s="553">
        <f>'Foglio deposito bis'!$F$68*IF(ABS(K1652)&lt;'Progetto del paramento slu'!$G$58,ABS(K1652)*'Progetto del paramento slu'!$G$54,'Progetto del paramento slu'!$G$53)*IF(K1652&lt;0,-1,1)</f>
        <v>0</v>
      </c>
      <c r="R1652" s="553">
        <f>'Foglio deposito bis'!$F$69*IF(ABS(L1652)&lt;'Progetto del paramento slu'!$G$58,ABS(L1652)*'Progetto del paramento slu'!$G$54,'Progetto del paramento slu'!$G$53)*IF(L1652&lt;0,-1,1)</f>
        <v>153664.85805602249</v>
      </c>
      <c r="S1652" s="553">
        <f>'Foglio deposito bis'!$F$70*IF(ABS(M1652)&lt;'Progetto del paramento slu'!$G$58,ABS(M1652)*'Progetto del paramento slu'!$G$54,'Progetto del paramento slu'!$G$53)*IF(M1652&lt;0,-1,1)</f>
        <v>0</v>
      </c>
      <c r="T1652" s="553">
        <f>'Foglio deposito bis'!$F$71*IF(ABS(N1652)&lt;'Progetto del paramento slu'!$G$58,ABS(N1652)*'Progetto del paramento slu'!$G$54,'Progetto del paramento slu'!$G$53)*IF(N1652&lt;0,-1,1)</f>
        <v>314705.62929873407</v>
      </c>
      <c r="U1652" s="553">
        <f>'Foglio deposito bis'!$F$72*IF(ABS(O1652)&lt;'Progetto del paramento slu'!$G$58,ABS(O1652)*'Progetto del paramento slu'!$G$54,'Progetto del paramento slu'!$G$53)*IF(O1652&lt;0,-1,1)</f>
        <v>491727.54577927204</v>
      </c>
      <c r="V1652" s="479">
        <f t="shared" si="123"/>
        <v>15902.530582484673</v>
      </c>
      <c r="W1652" s="559"/>
      <c r="X1652" s="559"/>
    </row>
    <row r="1653" spans="1:24" x14ac:dyDescent="0.25">
      <c r="A1653" s="553">
        <f t="shared" si="122"/>
        <v>4457.736612162902</v>
      </c>
      <c r="B1653" s="3">
        <f t="shared" si="120"/>
        <v>16.699999999999964</v>
      </c>
      <c r="C1653" s="553">
        <f>'Foglio deposito bis'!$E$159/sezione!$B$247*B1653</f>
        <v>67.795669271104259</v>
      </c>
      <c r="D1653" s="611">
        <f>-'Progetto del paramento slu'!$G$47*'Progetto del paramento slu'!$G$41*IF(DATI!$G$218="dx",DATI!$E$61,DATI!$E$64*DATI!$E$63)*1000*C1653^2*sezione!$AD$5*(1-sezione!$AD$6)</f>
        <v>-37836351.715319671</v>
      </c>
      <c r="E1653" s="553">
        <f>-'Foglio deposito bis'!$F$68*(C1653-sezione!$AL$33)*IF(ABS(K1653)&lt;'Progetto del paramento slu'!$G$58,ABS(K1653)*'Progetto del paramento slu'!$G$54,'Progetto del paramento slu'!$G$53)</f>
        <v>0</v>
      </c>
      <c r="F1653" s="553">
        <f>-'Foglio deposito bis'!$F$69*(C1653-sezione!$AM$33)*IF(ABS(L1653)&lt;'Progetto del paramento slu'!$G$58,ABS(L1653)*'Progetto del paramento slu'!$G$54,'Progetto del paramento slu'!$G$53)</f>
        <v>12631916.813046092</v>
      </c>
      <c r="G1653" s="553">
        <f>-'Foglio deposito bis'!$F$70*(C1653-sezione!$AN$33)*IF(ABS(M1653)&lt;'Progetto del paramento slu'!$G$58,ABS(M1653)*'Progetto del paramento slu'!$G$54,'Progetto del paramento slu'!$G$53)</f>
        <v>0</v>
      </c>
      <c r="H1653" s="553">
        <f>-'Foglio deposito bis'!$F$71*(C1653-sezione!$AO$33)*IF(ABS(N1653)&lt;'Progetto del paramento slu'!$G$58,ABS(N1653)*'Progetto del paramento slu'!$G$54,'Progetto del paramento slu'!$G$53)</f>
        <v>85664235.199877873</v>
      </c>
      <c r="I1653" s="479">
        <f>-'Foglio deposito bis'!$F$72*(C1653-sezione!$AP$33)*IF(ABS(O1653)&lt;'Progetto del paramento slu'!$G$58,ABS(O1653)*'Progetto del paramento slu'!$G$54,'Progetto del paramento slu'!$G$53)</f>
        <v>94515107.1105178</v>
      </c>
      <c r="J1653" s="479">
        <f t="shared" si="121"/>
        <v>154974907.40812209</v>
      </c>
      <c r="K1653" s="558">
        <f>'Progetto del paramento slu'!$G$60*(sezione!$AL$33-C1653)/C1653</f>
        <v>-1.4349713410135103E-3</v>
      </c>
      <c r="L1653" s="558">
        <f>'Progetto del paramento slu'!$G$60*(sezione!$AM$33-C1653)/C1653</f>
        <v>4.2438574711993367E-3</v>
      </c>
      <c r="M1653" s="559">
        <f>'Progetto del paramento slu'!$G$60*(sezione!$AN$33-C1653)/C1653</f>
        <v>9.9226862834121826E-3</v>
      </c>
      <c r="N1653" s="559">
        <f>'Progetto del paramento slu'!$G$60*(sezione!$AO$33-C1653)/C1653</f>
        <v>1.4052743601385163E-2</v>
      </c>
      <c r="O1653" s="559">
        <f>'Progetto del paramento slu'!$G$60*(sezione!$AP$33-C1653)/C1653</f>
        <v>9.9229952931093428E-3</v>
      </c>
      <c r="P1653" s="553">
        <f>-'Progetto del paramento slu'!$G$47*'Progetto del paramento slu'!$G$41*IF(DATI!$G$218="dx",DATI!$E$61,DATI!$E$64*DATI!$E$63)*1000*C1653*sezione!$AD$5</f>
        <v>-955640.29652186576</v>
      </c>
      <c r="Q1653" s="553">
        <f>'Foglio deposito bis'!$F$68*IF(ABS(K1653)&lt;'Progetto del paramento slu'!$G$58,ABS(K1653)*'Progetto del paramento slu'!$G$54,'Progetto del paramento slu'!$G$53)*IF(K1653&lt;0,-1,1)</f>
        <v>0</v>
      </c>
      <c r="R1653" s="553">
        <f>'Foglio deposito bis'!$F$69*IF(ABS(L1653)&lt;'Progetto del paramento slu'!$G$58,ABS(L1653)*'Progetto del paramento slu'!$G$54,'Progetto del paramento slu'!$G$53)*IF(L1653&lt;0,-1,1)</f>
        <v>153664.85805602249</v>
      </c>
      <c r="S1653" s="553">
        <f>'Foglio deposito bis'!$F$70*IF(ABS(M1653)&lt;'Progetto del paramento slu'!$G$58,ABS(M1653)*'Progetto del paramento slu'!$G$54,'Progetto del paramento slu'!$G$53)*IF(M1653&lt;0,-1,1)</f>
        <v>0</v>
      </c>
      <c r="T1653" s="553">
        <f>'Foglio deposito bis'!$F$71*IF(ABS(N1653)&lt;'Progetto del paramento slu'!$G$58,ABS(N1653)*'Progetto del paramento slu'!$G$54,'Progetto del paramento slu'!$G$53)*IF(N1653&lt;0,-1,1)</f>
        <v>314705.62929873407</v>
      </c>
      <c r="U1653" s="553">
        <f>'Foglio deposito bis'!$F$72*IF(ABS(O1653)&lt;'Progetto del paramento slu'!$G$58,ABS(O1653)*'Progetto del paramento slu'!$G$54,'Progetto del paramento slu'!$G$53)*IF(O1653&lt;0,-1,1)</f>
        <v>491727.54577927204</v>
      </c>
      <c r="V1653" s="479">
        <f t="shared" si="123"/>
        <v>4457.736612162902</v>
      </c>
      <c r="W1653" s="559"/>
      <c r="X1653" s="559"/>
    </row>
    <row r="1654" spans="1:24" x14ac:dyDescent="0.25">
      <c r="A1654" s="553">
        <f t="shared" si="122"/>
        <v>6987.0573581591016</v>
      </c>
      <c r="B1654" s="3">
        <f t="shared" si="120"/>
        <v>16.899999999999963</v>
      </c>
      <c r="C1654" s="553">
        <f>'Foglio deposito bis'!$E$159/sezione!$B$247*B1654</f>
        <v>68.60759345399174</v>
      </c>
      <c r="D1654" s="611">
        <f>-'Progetto del paramento slu'!$G$47*'Progetto del paramento slu'!$G$41*IF(DATI!$G$218="dx",DATI!$E$61,DATI!$E$64*DATI!$E$63)*1000*C1654^2*sezione!$AD$5*(1-sezione!$AD$6)</f>
        <v>-38748038.342760421</v>
      </c>
      <c r="E1654" s="553">
        <f>-'Foglio deposito bis'!$F$68*(C1654-sezione!$AL$33)*IF(ABS(K1654)&lt;'Progetto del paramento slu'!$G$58,ABS(K1654)*'Progetto del paramento slu'!$G$54,'Progetto del paramento slu'!$G$53)</f>
        <v>0</v>
      </c>
      <c r="F1654" s="553">
        <f>-'Foglio deposito bis'!$F$69*(C1654-sezione!$AM$33)*IF(ABS(L1654)&lt;'Progetto del paramento slu'!$G$58,ABS(L1654)*'Progetto del paramento slu'!$G$54,'Progetto del paramento slu'!$G$53)</f>
        <v>12507152.598730436</v>
      </c>
      <c r="G1654" s="553">
        <f>-'Foglio deposito bis'!$F$70*(C1654-sezione!$AN$33)*IF(ABS(M1654)&lt;'Progetto del paramento slu'!$G$58,ABS(M1654)*'Progetto del paramento slu'!$G$54,'Progetto del paramento slu'!$G$53)</f>
        <v>0</v>
      </c>
      <c r="H1654" s="553">
        <f>-'Foglio deposito bis'!$F$71*(C1654-sezione!$AO$33)*IF(ABS(N1654)&lt;'Progetto del paramento slu'!$G$58,ABS(N1654)*'Progetto del paramento slu'!$G$54,'Progetto del paramento slu'!$G$53)</f>
        <v>85408718.088959411</v>
      </c>
      <c r="I1654" s="479">
        <f>-'Foglio deposito bis'!$F$72*(C1654-sezione!$AP$33)*IF(ABS(O1654)&lt;'Progetto del paramento slu'!$G$58,ABS(O1654)*'Progetto del paramento slu'!$G$54,'Progetto del paramento slu'!$G$53)</f>
        <v>94115861.624707699</v>
      </c>
      <c r="J1654" s="479">
        <f t="shared" si="121"/>
        <v>153283693.96963713</v>
      </c>
      <c r="K1654" s="558">
        <f>'Progetto del paramento slu'!$G$60*(sezione!$AL$33-C1654)/C1654</f>
        <v>-1.459409549995599E-3</v>
      </c>
      <c r="L1654" s="558">
        <f>'Progetto del paramento slu'!$G$60*(sezione!$AM$33-C1654)/C1654</f>
        <v>4.1522141875165036E-3</v>
      </c>
      <c r="M1654" s="559">
        <f>'Progetto del paramento slu'!$G$60*(sezione!$AN$33-C1654)/C1654</f>
        <v>9.7638379250286067E-3</v>
      </c>
      <c r="N1654" s="559">
        <f>'Progetto del paramento slu'!$G$60*(sezione!$AO$33-C1654)/C1654</f>
        <v>1.3845018825037409E-2</v>
      </c>
      <c r="O1654" s="559">
        <f>'Progetto del paramento slu'!$G$60*(sezione!$AP$33-C1654)/C1654</f>
        <v>9.7641432778062722E-3</v>
      </c>
      <c r="P1654" s="553">
        <f>-'Progetto del paramento slu'!$G$47*'Progetto del paramento slu'!$G$41*IF(DATI!$G$218="dx",DATI!$E$61,DATI!$E$64*DATI!$E$63)*1000*C1654*sezione!$AD$5</f>
        <v>-967085.09049218765</v>
      </c>
      <c r="Q1654" s="553">
        <f>'Foglio deposito bis'!$F$68*IF(ABS(K1654)&lt;'Progetto del paramento slu'!$G$58,ABS(K1654)*'Progetto del paramento slu'!$G$54,'Progetto del paramento slu'!$G$53)*IF(K1654&lt;0,-1,1)</f>
        <v>0</v>
      </c>
      <c r="R1654" s="553">
        <f>'Foglio deposito bis'!$F$69*IF(ABS(L1654)&lt;'Progetto del paramento slu'!$G$58,ABS(L1654)*'Progetto del paramento slu'!$G$54,'Progetto del paramento slu'!$G$53)*IF(L1654&lt;0,-1,1)</f>
        <v>153664.85805602249</v>
      </c>
      <c r="S1654" s="553">
        <f>'Foglio deposito bis'!$F$70*IF(ABS(M1654)&lt;'Progetto del paramento slu'!$G$58,ABS(M1654)*'Progetto del paramento slu'!$G$54,'Progetto del paramento slu'!$G$53)*IF(M1654&lt;0,-1,1)</f>
        <v>0</v>
      </c>
      <c r="T1654" s="553">
        <f>'Foglio deposito bis'!$F$71*IF(ABS(N1654)&lt;'Progetto del paramento slu'!$G$58,ABS(N1654)*'Progetto del paramento slu'!$G$54,'Progetto del paramento slu'!$G$53)*IF(N1654&lt;0,-1,1)</f>
        <v>314705.62929873407</v>
      </c>
      <c r="U1654" s="553">
        <f>'Foglio deposito bis'!$F$72*IF(ABS(O1654)&lt;'Progetto del paramento slu'!$G$58,ABS(O1654)*'Progetto del paramento slu'!$G$54,'Progetto del paramento slu'!$G$53)*IF(O1654&lt;0,-1,1)</f>
        <v>491727.54577927204</v>
      </c>
      <c r="V1654" s="479">
        <f t="shared" si="123"/>
        <v>-6987.0573581591016</v>
      </c>
      <c r="W1654" s="559"/>
      <c r="X1654" s="559"/>
    </row>
    <row r="1655" spans="1:24" x14ac:dyDescent="0.25">
      <c r="A1655" s="553">
        <f t="shared" si="122"/>
        <v>18431.851328480639</v>
      </c>
      <c r="B1655" s="3">
        <f t="shared" si="120"/>
        <v>17.099999999999962</v>
      </c>
      <c r="C1655" s="553">
        <f>'Foglio deposito bis'!$E$159/sezione!$B$247*B1655</f>
        <v>69.419517636879206</v>
      </c>
      <c r="D1655" s="611">
        <f>-'Progetto del paramento slu'!$G$47*'Progetto del paramento slu'!$G$41*IF(DATI!$G$218="dx",DATI!$E$61,DATI!$E$64*DATI!$E$63)*1000*C1655^2*sezione!$AD$5*(1-sezione!$AD$6)</f>
        <v>-39670578.38243258</v>
      </c>
      <c r="E1655" s="553">
        <f>-'Foglio deposito bis'!$F$68*(C1655-sezione!$AL$33)*IF(ABS(K1655)&lt;'Progetto del paramento slu'!$G$58,ABS(K1655)*'Progetto del paramento slu'!$G$54,'Progetto del paramento slu'!$G$53)</f>
        <v>0</v>
      </c>
      <c r="F1655" s="553">
        <f>-'Foglio deposito bis'!$F$69*(C1655-sezione!$AM$33)*IF(ABS(L1655)&lt;'Progetto del paramento slu'!$G$58,ABS(L1655)*'Progetto del paramento slu'!$G$54,'Progetto del paramento slu'!$G$53)</f>
        <v>12382388.384414781</v>
      </c>
      <c r="G1655" s="553">
        <f>-'Foglio deposito bis'!$F$70*(C1655-sezione!$AN$33)*IF(ABS(M1655)&lt;'Progetto del paramento slu'!$G$58,ABS(M1655)*'Progetto del paramento slu'!$G$54,'Progetto del paramento slu'!$G$53)</f>
        <v>0</v>
      </c>
      <c r="H1655" s="553">
        <f>-'Foglio deposito bis'!$F$71*(C1655-sezione!$AO$33)*IF(ABS(N1655)&lt;'Progetto del paramento slu'!$G$58,ABS(N1655)*'Progetto del paramento slu'!$G$54,'Progetto del paramento slu'!$G$53)</f>
        <v>85153200.978040949</v>
      </c>
      <c r="I1655" s="479">
        <f>-'Foglio deposito bis'!$F$72*(C1655-sezione!$AP$33)*IF(ABS(O1655)&lt;'Progetto del paramento slu'!$G$58,ABS(O1655)*'Progetto del paramento slu'!$G$54,'Progetto del paramento slu'!$G$53)</f>
        <v>93716616.138897598</v>
      </c>
      <c r="J1655" s="479">
        <f t="shared" si="121"/>
        <v>151581627.11892074</v>
      </c>
      <c r="K1655" s="558">
        <f>'Progetto del paramento slu'!$G$60*(sezione!$AL$33-C1655)/C1655</f>
        <v>-1.4832761049664105E-3</v>
      </c>
      <c r="L1655" s="558">
        <f>'Progetto del paramento slu'!$G$60*(sezione!$AM$33-C1655)/C1655</f>
        <v>4.062714606375961E-3</v>
      </c>
      <c r="M1655" s="559">
        <f>'Progetto del paramento slu'!$G$60*(sezione!$AN$33-C1655)/C1655</f>
        <v>9.6087053177183312E-3</v>
      </c>
      <c r="N1655" s="559">
        <f>'Progetto del paramento slu'!$G$60*(sezione!$AO$33-C1655)/C1655</f>
        <v>1.3642153107785512E-2</v>
      </c>
      <c r="O1655" s="559">
        <f>'Progetto del paramento slu'!$G$60*(sezione!$AP$33-C1655)/C1655</f>
        <v>9.6090070991184818E-3</v>
      </c>
      <c r="P1655" s="553">
        <f>-'Progetto del paramento slu'!$G$47*'Progetto del paramento slu'!$G$41*IF(DATI!$G$218="dx",DATI!$E$61,DATI!$E$64*DATI!$E$63)*1000*C1655*sezione!$AD$5</f>
        <v>-978529.88446250919</v>
      </c>
      <c r="Q1655" s="553">
        <f>'Foglio deposito bis'!$F$68*IF(ABS(K1655)&lt;'Progetto del paramento slu'!$G$58,ABS(K1655)*'Progetto del paramento slu'!$G$54,'Progetto del paramento slu'!$G$53)*IF(K1655&lt;0,-1,1)</f>
        <v>0</v>
      </c>
      <c r="R1655" s="553">
        <f>'Foglio deposito bis'!$F$69*IF(ABS(L1655)&lt;'Progetto del paramento slu'!$G$58,ABS(L1655)*'Progetto del paramento slu'!$G$54,'Progetto del paramento slu'!$G$53)*IF(L1655&lt;0,-1,1)</f>
        <v>153664.85805602249</v>
      </c>
      <c r="S1655" s="553">
        <f>'Foglio deposito bis'!$F$70*IF(ABS(M1655)&lt;'Progetto del paramento slu'!$G$58,ABS(M1655)*'Progetto del paramento slu'!$G$54,'Progetto del paramento slu'!$G$53)*IF(M1655&lt;0,-1,1)</f>
        <v>0</v>
      </c>
      <c r="T1655" s="553">
        <f>'Foglio deposito bis'!$F$71*IF(ABS(N1655)&lt;'Progetto del paramento slu'!$G$58,ABS(N1655)*'Progetto del paramento slu'!$G$54,'Progetto del paramento slu'!$G$53)*IF(N1655&lt;0,-1,1)</f>
        <v>314705.62929873407</v>
      </c>
      <c r="U1655" s="553">
        <f>'Foglio deposito bis'!$F$72*IF(ABS(O1655)&lt;'Progetto del paramento slu'!$G$58,ABS(O1655)*'Progetto del paramento slu'!$G$54,'Progetto del paramento slu'!$G$53)*IF(O1655&lt;0,-1,1)</f>
        <v>491727.54577927204</v>
      </c>
      <c r="V1655" s="479">
        <f t="shared" si="123"/>
        <v>-18431.851328480639</v>
      </c>
      <c r="W1655" s="559"/>
      <c r="X1655" s="559"/>
    </row>
    <row r="1656" spans="1:24" x14ac:dyDescent="0.25">
      <c r="A1656" s="553">
        <f t="shared" si="122"/>
        <v>29876.64529880241</v>
      </c>
      <c r="B1656" s="3">
        <f t="shared" si="120"/>
        <v>17.299999999999962</v>
      </c>
      <c r="C1656" s="553">
        <f>'Foglio deposito bis'!$E$159/sezione!$B$247*B1656</f>
        <v>70.231441819766687</v>
      </c>
      <c r="D1656" s="611">
        <f>-'Progetto del paramento slu'!$G$47*'Progetto del paramento slu'!$G$41*IF(DATI!$G$218="dx",DATI!$E$61,DATI!$E$64*DATI!$E$63)*1000*C1656^2*sezione!$AD$5*(1-sezione!$AD$6)</f>
        <v>-40603971.834336199</v>
      </c>
      <c r="E1656" s="553">
        <f>-'Foglio deposito bis'!$F$68*(C1656-sezione!$AL$33)*IF(ABS(K1656)&lt;'Progetto del paramento slu'!$G$58,ABS(K1656)*'Progetto del paramento slu'!$G$54,'Progetto del paramento slu'!$G$53)</f>
        <v>0</v>
      </c>
      <c r="F1656" s="553">
        <f>-'Foglio deposito bis'!$F$69*(C1656-sezione!$AM$33)*IF(ABS(L1656)&lt;'Progetto del paramento slu'!$G$58,ABS(L1656)*'Progetto del paramento slu'!$G$54,'Progetto del paramento slu'!$G$53)</f>
        <v>12257624.170099124</v>
      </c>
      <c r="G1656" s="553">
        <f>-'Foglio deposito bis'!$F$70*(C1656-sezione!$AN$33)*IF(ABS(M1656)&lt;'Progetto del paramento slu'!$G$58,ABS(M1656)*'Progetto del paramento slu'!$G$54,'Progetto del paramento slu'!$G$53)</f>
        <v>0</v>
      </c>
      <c r="H1656" s="553">
        <f>-'Foglio deposito bis'!$F$71*(C1656-sezione!$AO$33)*IF(ABS(N1656)&lt;'Progetto del paramento slu'!$G$58,ABS(N1656)*'Progetto del paramento slu'!$G$54,'Progetto del paramento slu'!$G$53)</f>
        <v>84897683.867122486</v>
      </c>
      <c r="I1656" s="479">
        <f>-'Foglio deposito bis'!$F$72*(C1656-sezione!$AP$33)*IF(ABS(O1656)&lt;'Progetto del paramento slu'!$G$58,ABS(O1656)*'Progetto del paramento slu'!$G$54,'Progetto del paramento slu'!$G$53)</f>
        <v>93317370.653087497</v>
      </c>
      <c r="J1656" s="479">
        <f t="shared" si="121"/>
        <v>149868706.85597292</v>
      </c>
      <c r="K1656" s="558">
        <f>'Progetto del paramento slu'!$G$60*(sezione!$AL$33-C1656)/C1656</f>
        <v>-1.5065908320766256E-3</v>
      </c>
      <c r="L1656" s="558">
        <f>'Progetto del paramento slu'!$G$60*(sezione!$AM$33-C1656)/C1656</f>
        <v>3.9752843797126545E-3</v>
      </c>
      <c r="M1656" s="559">
        <f>'Progetto del paramento slu'!$G$60*(sezione!$AN$33-C1656)/C1656</f>
        <v>9.4571595915019339E-3</v>
      </c>
      <c r="N1656" s="559">
        <f>'Progetto del paramento slu'!$G$60*(sezione!$AO$33-C1656)/C1656</f>
        <v>1.3443977927348683E-2</v>
      </c>
      <c r="O1656" s="559">
        <f>'Progetto del paramento slu'!$G$60*(sezione!$AP$33-C1656)/C1656</f>
        <v>9.4574578840997698E-3</v>
      </c>
      <c r="P1656" s="553">
        <f>-'Progetto del paramento slu'!$G$47*'Progetto del paramento slu'!$G$41*IF(DATI!$G$218="dx",DATI!$E$61,DATI!$E$64*DATI!$E$63)*1000*C1656*sezione!$AD$5</f>
        <v>-989974.67843283108</v>
      </c>
      <c r="Q1656" s="553">
        <f>'Foglio deposito bis'!$F$68*IF(ABS(K1656)&lt;'Progetto del paramento slu'!$G$58,ABS(K1656)*'Progetto del paramento slu'!$G$54,'Progetto del paramento slu'!$G$53)*IF(K1656&lt;0,-1,1)</f>
        <v>0</v>
      </c>
      <c r="R1656" s="553">
        <f>'Foglio deposito bis'!$F$69*IF(ABS(L1656)&lt;'Progetto del paramento slu'!$G$58,ABS(L1656)*'Progetto del paramento slu'!$G$54,'Progetto del paramento slu'!$G$53)*IF(L1656&lt;0,-1,1)</f>
        <v>153664.85805602249</v>
      </c>
      <c r="S1656" s="553">
        <f>'Foglio deposito bis'!$F$70*IF(ABS(M1656)&lt;'Progetto del paramento slu'!$G$58,ABS(M1656)*'Progetto del paramento slu'!$G$54,'Progetto del paramento slu'!$G$53)*IF(M1656&lt;0,-1,1)</f>
        <v>0</v>
      </c>
      <c r="T1656" s="553">
        <f>'Foglio deposito bis'!$F$71*IF(ABS(N1656)&lt;'Progetto del paramento slu'!$G$58,ABS(N1656)*'Progetto del paramento slu'!$G$54,'Progetto del paramento slu'!$G$53)*IF(N1656&lt;0,-1,1)</f>
        <v>314705.62929873407</v>
      </c>
      <c r="U1656" s="553">
        <f>'Foglio deposito bis'!$F$72*IF(ABS(O1656)&lt;'Progetto del paramento slu'!$G$58,ABS(O1656)*'Progetto del paramento slu'!$G$54,'Progetto del paramento slu'!$G$53)*IF(O1656&lt;0,-1,1)</f>
        <v>491727.54577927204</v>
      </c>
      <c r="V1656" s="479">
        <f t="shared" si="123"/>
        <v>-29876.64529880241</v>
      </c>
      <c r="W1656" s="559"/>
      <c r="X1656" s="559"/>
    </row>
    <row r="1657" spans="1:24" x14ac:dyDescent="0.25">
      <c r="A1657" s="553">
        <f t="shared" si="122"/>
        <v>41321.439269124239</v>
      </c>
      <c r="B1657" s="3">
        <f t="shared" si="120"/>
        <v>17.499999999999961</v>
      </c>
      <c r="C1657" s="553">
        <f>'Foglio deposito bis'!$E$159/sezione!$B$247*B1657</f>
        <v>71.043366002654153</v>
      </c>
      <c r="D1657" s="611">
        <f>-'Progetto del paramento slu'!$G$47*'Progetto del paramento slu'!$G$41*IF(DATI!$G$218="dx",DATI!$E$61,DATI!$E$64*DATI!$E$63)*1000*C1657^2*sezione!$AD$5*(1-sezione!$AD$6)</f>
        <v>-41548218.698471248</v>
      </c>
      <c r="E1657" s="553">
        <f>-'Foglio deposito bis'!$F$68*(C1657-sezione!$AL$33)*IF(ABS(K1657)&lt;'Progetto del paramento slu'!$G$58,ABS(K1657)*'Progetto del paramento slu'!$G$54,'Progetto del paramento slu'!$G$53)</f>
        <v>0</v>
      </c>
      <c r="F1657" s="553">
        <f>-'Foglio deposito bis'!$F$69*(C1657-sezione!$AM$33)*IF(ABS(L1657)&lt;'Progetto del paramento slu'!$G$58,ABS(L1657)*'Progetto del paramento slu'!$G$54,'Progetto del paramento slu'!$G$53)</f>
        <v>12132859.95578347</v>
      </c>
      <c r="G1657" s="553">
        <f>-'Foglio deposito bis'!$F$70*(C1657-sezione!$AN$33)*IF(ABS(M1657)&lt;'Progetto del paramento slu'!$G$58,ABS(M1657)*'Progetto del paramento slu'!$G$54,'Progetto del paramento slu'!$G$53)</f>
        <v>0</v>
      </c>
      <c r="H1657" s="553">
        <f>-'Foglio deposito bis'!$F$71*(C1657-sezione!$AO$33)*IF(ABS(N1657)&lt;'Progetto del paramento slu'!$G$58,ABS(N1657)*'Progetto del paramento slu'!$G$54,'Progetto del paramento slu'!$G$53)</f>
        <v>84642166.756204039</v>
      </c>
      <c r="I1657" s="479">
        <f>-'Foglio deposito bis'!$F$72*(C1657-sezione!$AP$33)*IF(ABS(O1657)&lt;'Progetto del paramento slu'!$G$58,ABS(O1657)*'Progetto del paramento slu'!$G$54,'Progetto del paramento slu'!$G$53)</f>
        <v>92918125.167277396</v>
      </c>
      <c r="J1657" s="479">
        <f t="shared" si="121"/>
        <v>148144933.18079364</v>
      </c>
      <c r="K1657" s="558">
        <f>'Progetto del paramento slu'!$G$60*(sezione!$AL$33-C1657)/C1657</f>
        <v>-1.5293726511386068E-3</v>
      </c>
      <c r="L1657" s="558">
        <f>'Progetto del paramento slu'!$G$60*(sezione!$AM$33-C1657)/C1657</f>
        <v>3.8898525582302256E-3</v>
      </c>
      <c r="M1657" s="559">
        <f>'Progetto del paramento slu'!$G$60*(sezione!$AN$33-C1657)/C1657</f>
        <v>9.3090777675990579E-3</v>
      </c>
      <c r="N1657" s="559">
        <f>'Progetto del paramento slu'!$G$60*(sezione!$AO$33-C1657)/C1657</f>
        <v>1.3250332465321845E-2</v>
      </c>
      <c r="O1657" s="559">
        <f>'Progetto del paramento slu'!$G$60*(sezione!$AP$33-C1657)/C1657</f>
        <v>9.3093726511386324E-3</v>
      </c>
      <c r="P1657" s="553">
        <f>-'Progetto del paramento slu'!$G$47*'Progetto del paramento slu'!$G$41*IF(DATI!$G$218="dx",DATI!$E$61,DATI!$E$64*DATI!$E$63)*1000*C1657*sezione!$AD$5</f>
        <v>-1001419.4724031527</v>
      </c>
      <c r="Q1657" s="553">
        <f>'Foglio deposito bis'!$F$68*IF(ABS(K1657)&lt;'Progetto del paramento slu'!$G$58,ABS(K1657)*'Progetto del paramento slu'!$G$54,'Progetto del paramento slu'!$G$53)*IF(K1657&lt;0,-1,1)</f>
        <v>0</v>
      </c>
      <c r="R1657" s="553">
        <f>'Foglio deposito bis'!$F$69*IF(ABS(L1657)&lt;'Progetto del paramento slu'!$G$58,ABS(L1657)*'Progetto del paramento slu'!$G$54,'Progetto del paramento slu'!$G$53)*IF(L1657&lt;0,-1,1)</f>
        <v>153664.85805602249</v>
      </c>
      <c r="S1657" s="553">
        <f>'Foglio deposito bis'!$F$70*IF(ABS(M1657)&lt;'Progetto del paramento slu'!$G$58,ABS(M1657)*'Progetto del paramento slu'!$G$54,'Progetto del paramento slu'!$G$53)*IF(M1657&lt;0,-1,1)</f>
        <v>0</v>
      </c>
      <c r="T1657" s="553">
        <f>'Foglio deposito bis'!$F$71*IF(ABS(N1657)&lt;'Progetto del paramento slu'!$G$58,ABS(N1657)*'Progetto del paramento slu'!$G$54,'Progetto del paramento slu'!$G$53)*IF(N1657&lt;0,-1,1)</f>
        <v>314705.62929873407</v>
      </c>
      <c r="U1657" s="553">
        <f>'Foglio deposito bis'!$F$72*IF(ABS(O1657)&lt;'Progetto del paramento slu'!$G$58,ABS(O1657)*'Progetto del paramento slu'!$G$54,'Progetto del paramento slu'!$G$53)*IF(O1657&lt;0,-1,1)</f>
        <v>491727.54577927204</v>
      </c>
      <c r="V1657" s="479">
        <f t="shared" si="123"/>
        <v>-41321.439269124239</v>
      </c>
      <c r="W1657" s="559"/>
      <c r="X1657" s="559"/>
    </row>
    <row r="1658" spans="1:24" x14ac:dyDescent="0.25">
      <c r="A1658" s="553">
        <f t="shared" si="122"/>
        <v>52766.233239445777</v>
      </c>
      <c r="B1658" s="3">
        <f t="shared" si="120"/>
        <v>17.69999999999996</v>
      </c>
      <c r="C1658" s="553">
        <f>'Foglio deposito bis'!$E$159/sezione!$B$247*B1658</f>
        <v>71.855290185541634</v>
      </c>
      <c r="D1658" s="611">
        <f>-'Progetto del paramento slu'!$G$47*'Progetto del paramento slu'!$G$41*IF(DATI!$G$218="dx",DATI!$E$61,DATI!$E$64*DATI!$E$63)*1000*C1658^2*sezione!$AD$5*(1-sezione!$AD$6)</f>
        <v>-42503318.974837735</v>
      </c>
      <c r="E1658" s="553">
        <f>-'Foglio deposito bis'!$F$68*(C1658-sezione!$AL$33)*IF(ABS(K1658)&lt;'Progetto del paramento slu'!$G$58,ABS(K1658)*'Progetto del paramento slu'!$G$54,'Progetto del paramento slu'!$G$53)</f>
        <v>0</v>
      </c>
      <c r="F1658" s="553">
        <f>-'Foglio deposito bis'!$F$69*(C1658-sezione!$AM$33)*IF(ABS(L1658)&lt;'Progetto del paramento slu'!$G$58,ABS(L1658)*'Progetto del paramento slu'!$G$54,'Progetto del paramento slu'!$G$53)</f>
        <v>12008095.741467813</v>
      </c>
      <c r="G1658" s="553">
        <f>-'Foglio deposito bis'!$F$70*(C1658-sezione!$AN$33)*IF(ABS(M1658)&lt;'Progetto del paramento slu'!$G$58,ABS(M1658)*'Progetto del paramento slu'!$G$54,'Progetto del paramento slu'!$G$53)</f>
        <v>0</v>
      </c>
      <c r="H1658" s="553">
        <f>-'Foglio deposito bis'!$F$71*(C1658-sezione!$AO$33)*IF(ABS(N1658)&lt;'Progetto del paramento slu'!$G$58,ABS(N1658)*'Progetto del paramento slu'!$G$54,'Progetto del paramento slu'!$G$53)</f>
        <v>84386649.645285547</v>
      </c>
      <c r="I1658" s="479">
        <f>-'Foglio deposito bis'!$F$72*(C1658-sezione!$AP$33)*IF(ABS(O1658)&lt;'Progetto del paramento slu'!$G$58,ABS(O1658)*'Progetto del paramento slu'!$G$54,'Progetto del paramento slu'!$G$53)</f>
        <v>92518879.68146731</v>
      </c>
      <c r="J1658" s="479">
        <f t="shared" si="121"/>
        <v>146410306.09338292</v>
      </c>
      <c r="K1658" s="558">
        <f>'Progetto del paramento slu'!$G$60*(sezione!$AL$33-C1658)/C1658</f>
        <v>-1.5516396268319558E-3</v>
      </c>
      <c r="L1658" s="558">
        <f>'Progetto del paramento slu'!$G$60*(sezione!$AM$33-C1658)/C1658</f>
        <v>3.8063513993801656E-3</v>
      </c>
      <c r="M1658" s="559">
        <f>'Progetto del paramento slu'!$G$60*(sezione!$AN$33-C1658)/C1658</f>
        <v>9.1643424255922878E-3</v>
      </c>
      <c r="N1658" s="559">
        <f>'Progetto del paramento slu'!$G$60*(sezione!$AO$33-C1658)/C1658</f>
        <v>1.3061063171928376E-2</v>
      </c>
      <c r="O1658" s="559">
        <f>'Progetto del paramento slu'!$G$60*(sezione!$AP$33-C1658)/C1658</f>
        <v>9.1646339771144659E-3</v>
      </c>
      <c r="P1658" s="553">
        <f>-'Progetto del paramento slu'!$G$47*'Progetto del paramento slu'!$G$41*IF(DATI!$G$218="dx",DATI!$E$61,DATI!$E$64*DATI!$E$63)*1000*C1658*sezione!$AD$5</f>
        <v>-1012864.2663734744</v>
      </c>
      <c r="Q1658" s="553">
        <f>'Foglio deposito bis'!$F$68*IF(ABS(K1658)&lt;'Progetto del paramento slu'!$G$58,ABS(K1658)*'Progetto del paramento slu'!$G$54,'Progetto del paramento slu'!$G$53)*IF(K1658&lt;0,-1,1)</f>
        <v>0</v>
      </c>
      <c r="R1658" s="553">
        <f>'Foglio deposito bis'!$F$69*IF(ABS(L1658)&lt;'Progetto del paramento slu'!$G$58,ABS(L1658)*'Progetto del paramento slu'!$G$54,'Progetto del paramento slu'!$G$53)*IF(L1658&lt;0,-1,1)</f>
        <v>153664.85805602249</v>
      </c>
      <c r="S1658" s="553">
        <f>'Foglio deposito bis'!$F$70*IF(ABS(M1658)&lt;'Progetto del paramento slu'!$G$58,ABS(M1658)*'Progetto del paramento slu'!$G$54,'Progetto del paramento slu'!$G$53)*IF(M1658&lt;0,-1,1)</f>
        <v>0</v>
      </c>
      <c r="T1658" s="553">
        <f>'Foglio deposito bis'!$F$71*IF(ABS(N1658)&lt;'Progetto del paramento slu'!$G$58,ABS(N1658)*'Progetto del paramento slu'!$G$54,'Progetto del paramento slu'!$G$53)*IF(N1658&lt;0,-1,1)</f>
        <v>314705.62929873407</v>
      </c>
      <c r="U1658" s="553">
        <f>'Foglio deposito bis'!$F$72*IF(ABS(O1658)&lt;'Progetto del paramento slu'!$G$58,ABS(O1658)*'Progetto del paramento slu'!$G$54,'Progetto del paramento slu'!$G$53)*IF(O1658&lt;0,-1,1)</f>
        <v>491727.54577927204</v>
      </c>
      <c r="V1658" s="479">
        <f t="shared" si="123"/>
        <v>-52766.233239445777</v>
      </c>
      <c r="W1658" s="559"/>
      <c r="X1658" s="559"/>
    </row>
    <row r="1659" spans="1:24" x14ac:dyDescent="0.25">
      <c r="A1659" s="553">
        <f t="shared" si="122"/>
        <v>64211.027209767781</v>
      </c>
      <c r="B1659" s="3">
        <f t="shared" si="120"/>
        <v>17.899999999999959</v>
      </c>
      <c r="C1659" s="553">
        <f>'Foglio deposito bis'!$E$159/sezione!$B$247*B1659</f>
        <v>72.667214368429114</v>
      </c>
      <c r="D1659" s="611">
        <f>-'Progetto del paramento slu'!$G$47*'Progetto del paramento slu'!$G$41*IF(DATI!$G$218="dx",DATI!$E$61,DATI!$E$64*DATI!$E$63)*1000*C1659^2*sezione!$AD$5*(1-sezione!$AD$6)</f>
        <v>-43469272.663435675</v>
      </c>
      <c r="E1659" s="553">
        <f>-'Foglio deposito bis'!$F$68*(C1659-sezione!$AL$33)*IF(ABS(K1659)&lt;'Progetto del paramento slu'!$G$58,ABS(K1659)*'Progetto del paramento slu'!$G$54,'Progetto del paramento slu'!$G$53)</f>
        <v>0</v>
      </c>
      <c r="F1659" s="553">
        <f>-'Foglio deposito bis'!$F$69*(C1659-sezione!$AM$33)*IF(ABS(L1659)&lt;'Progetto del paramento slu'!$G$58,ABS(L1659)*'Progetto del paramento slu'!$G$54,'Progetto del paramento slu'!$G$53)</f>
        <v>11883331.527152156</v>
      </c>
      <c r="G1659" s="553">
        <f>-'Foglio deposito bis'!$F$70*(C1659-sezione!$AN$33)*IF(ABS(M1659)&lt;'Progetto del paramento slu'!$G$58,ABS(M1659)*'Progetto del paramento slu'!$G$54,'Progetto del paramento slu'!$G$53)</f>
        <v>0</v>
      </c>
      <c r="H1659" s="553">
        <f>-'Foglio deposito bis'!$F$71*(C1659-sezione!$AO$33)*IF(ABS(N1659)&lt;'Progetto del paramento slu'!$G$58,ABS(N1659)*'Progetto del paramento slu'!$G$54,'Progetto del paramento slu'!$G$53)</f>
        <v>84131132.534367099</v>
      </c>
      <c r="I1659" s="479">
        <f>-'Foglio deposito bis'!$F$72*(C1659-sezione!$AP$33)*IF(ABS(O1659)&lt;'Progetto del paramento slu'!$G$58,ABS(O1659)*'Progetto del paramento slu'!$G$54,'Progetto del paramento slu'!$G$53)</f>
        <v>92119634.195657209</v>
      </c>
      <c r="J1659" s="479">
        <f t="shared" si="121"/>
        <v>144664825.59374079</v>
      </c>
      <c r="K1659" s="558">
        <f>'Progetto del paramento slu'!$G$60*(sezione!$AL$33-C1659)/C1659</f>
        <v>-1.5734090164762917E-3</v>
      </c>
      <c r="L1659" s="558">
        <f>'Progetto del paramento slu'!$G$60*(sezione!$AM$33-C1659)/C1659</f>
        <v>3.7247161882139061E-3</v>
      </c>
      <c r="M1659" s="559">
        <f>'Progetto del paramento slu'!$G$60*(sezione!$AN$33-C1659)/C1659</f>
        <v>9.0228413929041053E-3</v>
      </c>
      <c r="N1659" s="559">
        <f>'Progetto del paramento slu'!$G$60*(sezione!$AO$33-C1659)/C1659</f>
        <v>1.2876023359951522E-2</v>
      </c>
      <c r="O1659" s="559">
        <f>'Progetto del paramento slu'!$G$60*(sezione!$AP$33-C1659)/C1659</f>
        <v>9.0231296868673767E-3</v>
      </c>
      <c r="P1659" s="553">
        <f>-'Progetto del paramento slu'!$G$47*'Progetto del paramento slu'!$G$41*IF(DATI!$G$218="dx",DATI!$E$61,DATI!$E$64*DATI!$E$63)*1000*C1659*sezione!$AD$5</f>
        <v>-1024309.0603437963</v>
      </c>
      <c r="Q1659" s="553">
        <f>'Foglio deposito bis'!$F$68*IF(ABS(K1659)&lt;'Progetto del paramento slu'!$G$58,ABS(K1659)*'Progetto del paramento slu'!$G$54,'Progetto del paramento slu'!$G$53)*IF(K1659&lt;0,-1,1)</f>
        <v>0</v>
      </c>
      <c r="R1659" s="553">
        <f>'Foglio deposito bis'!$F$69*IF(ABS(L1659)&lt;'Progetto del paramento slu'!$G$58,ABS(L1659)*'Progetto del paramento slu'!$G$54,'Progetto del paramento slu'!$G$53)*IF(L1659&lt;0,-1,1)</f>
        <v>153664.85805602249</v>
      </c>
      <c r="S1659" s="553">
        <f>'Foglio deposito bis'!$F$70*IF(ABS(M1659)&lt;'Progetto del paramento slu'!$G$58,ABS(M1659)*'Progetto del paramento slu'!$G$54,'Progetto del paramento slu'!$G$53)*IF(M1659&lt;0,-1,1)</f>
        <v>0</v>
      </c>
      <c r="T1659" s="553">
        <f>'Foglio deposito bis'!$F$71*IF(ABS(N1659)&lt;'Progetto del paramento slu'!$G$58,ABS(N1659)*'Progetto del paramento slu'!$G$54,'Progetto del paramento slu'!$G$53)*IF(N1659&lt;0,-1,1)</f>
        <v>314705.62929873407</v>
      </c>
      <c r="U1659" s="553">
        <f>'Foglio deposito bis'!$F$72*IF(ABS(O1659)&lt;'Progetto del paramento slu'!$G$58,ABS(O1659)*'Progetto del paramento slu'!$G$54,'Progetto del paramento slu'!$G$53)*IF(O1659&lt;0,-1,1)</f>
        <v>491727.54577927204</v>
      </c>
      <c r="V1659" s="479">
        <f t="shared" si="123"/>
        <v>-64211.027209767781</v>
      </c>
      <c r="W1659" s="559"/>
      <c r="X1659" s="559"/>
    </row>
    <row r="1660" spans="1:24" x14ac:dyDescent="0.25">
      <c r="A1660" s="553">
        <f t="shared" si="122"/>
        <v>75655.821180089319</v>
      </c>
      <c r="B1660" s="3">
        <f t="shared" si="120"/>
        <v>18.099999999999959</v>
      </c>
      <c r="C1660" s="553">
        <f>'Foglio deposito bis'!$E$159/sezione!$B$247*B1660</f>
        <v>73.479138551316581</v>
      </c>
      <c r="D1660" s="611">
        <f>-'Progetto del paramento slu'!$G$47*'Progetto del paramento slu'!$G$41*IF(DATI!$G$218="dx",DATI!$E$61,DATI!$E$64*DATI!$E$63)*1000*C1660^2*sezione!$AD$5*(1-sezione!$AD$6)</f>
        <v>-44446079.764265031</v>
      </c>
      <c r="E1660" s="553">
        <f>-'Foglio deposito bis'!$F$68*(C1660-sezione!$AL$33)*IF(ABS(K1660)&lt;'Progetto del paramento slu'!$G$58,ABS(K1660)*'Progetto del paramento slu'!$G$54,'Progetto del paramento slu'!$G$53)</f>
        <v>0</v>
      </c>
      <c r="F1660" s="553">
        <f>-'Foglio deposito bis'!$F$69*(C1660-sezione!$AM$33)*IF(ABS(L1660)&lt;'Progetto del paramento slu'!$G$58,ABS(L1660)*'Progetto del paramento slu'!$G$54,'Progetto del paramento slu'!$G$53)</f>
        <v>11758567.312836502</v>
      </c>
      <c r="G1660" s="553">
        <f>-'Foglio deposito bis'!$F$70*(C1660-sezione!$AN$33)*IF(ABS(M1660)&lt;'Progetto del paramento slu'!$G$58,ABS(M1660)*'Progetto del paramento slu'!$G$54,'Progetto del paramento slu'!$G$53)</f>
        <v>0</v>
      </c>
      <c r="H1660" s="553">
        <f>-'Foglio deposito bis'!$F$71*(C1660-sezione!$AO$33)*IF(ABS(N1660)&lt;'Progetto del paramento slu'!$G$58,ABS(N1660)*'Progetto del paramento slu'!$G$54,'Progetto del paramento slu'!$G$53)</f>
        <v>83875615.423448637</v>
      </c>
      <c r="I1660" s="479">
        <f>-'Foglio deposito bis'!$F$72*(C1660-sezione!$AP$33)*IF(ABS(O1660)&lt;'Progetto del paramento slu'!$G$58,ABS(O1660)*'Progetto del paramento slu'!$G$54,'Progetto del paramento slu'!$G$53)</f>
        <v>91720388.709847108</v>
      </c>
      <c r="J1660" s="479">
        <f t="shared" si="121"/>
        <v>142908491.68186721</v>
      </c>
      <c r="K1660" s="558">
        <f>'Progetto del paramento slu'!$G$60*(sezione!$AL$33-C1660)/C1660</f>
        <v>-1.5946973146367745E-3</v>
      </c>
      <c r="L1660" s="558">
        <f>'Progetto del paramento slu'!$G$60*(sezione!$AM$33-C1660)/C1660</f>
        <v>3.6448850701120963E-3</v>
      </c>
      <c r="M1660" s="559">
        <f>'Progetto del paramento slu'!$G$60*(sezione!$AN$33-C1660)/C1660</f>
        <v>8.8844674548609667E-3</v>
      </c>
      <c r="N1660" s="559">
        <f>'Progetto del paramento slu'!$G$60*(sezione!$AO$33-C1660)/C1660</f>
        <v>1.2695072825587418E-2</v>
      </c>
      <c r="O1660" s="559">
        <f>'Progetto del paramento slu'!$G$60*(sezione!$AP$33-C1660)/C1660</f>
        <v>8.8847525632555855E-3</v>
      </c>
      <c r="P1660" s="553">
        <f>-'Progetto del paramento slu'!$G$47*'Progetto del paramento slu'!$G$41*IF(DATI!$G$218="dx",DATI!$E$61,DATI!$E$64*DATI!$E$63)*1000*C1660*sezione!$AD$5</f>
        <v>-1035753.8543141179</v>
      </c>
      <c r="Q1660" s="553">
        <f>'Foglio deposito bis'!$F$68*IF(ABS(K1660)&lt;'Progetto del paramento slu'!$G$58,ABS(K1660)*'Progetto del paramento slu'!$G$54,'Progetto del paramento slu'!$G$53)*IF(K1660&lt;0,-1,1)</f>
        <v>0</v>
      </c>
      <c r="R1660" s="553">
        <f>'Foglio deposito bis'!$F$69*IF(ABS(L1660)&lt;'Progetto del paramento slu'!$G$58,ABS(L1660)*'Progetto del paramento slu'!$G$54,'Progetto del paramento slu'!$G$53)*IF(L1660&lt;0,-1,1)</f>
        <v>153664.85805602249</v>
      </c>
      <c r="S1660" s="553">
        <f>'Foglio deposito bis'!$F$70*IF(ABS(M1660)&lt;'Progetto del paramento slu'!$G$58,ABS(M1660)*'Progetto del paramento slu'!$G$54,'Progetto del paramento slu'!$G$53)*IF(M1660&lt;0,-1,1)</f>
        <v>0</v>
      </c>
      <c r="T1660" s="553">
        <f>'Foglio deposito bis'!$F$71*IF(ABS(N1660)&lt;'Progetto del paramento slu'!$G$58,ABS(N1660)*'Progetto del paramento slu'!$G$54,'Progetto del paramento slu'!$G$53)*IF(N1660&lt;0,-1,1)</f>
        <v>314705.62929873407</v>
      </c>
      <c r="U1660" s="553">
        <f>'Foglio deposito bis'!$F$72*IF(ABS(O1660)&lt;'Progetto del paramento slu'!$G$58,ABS(O1660)*'Progetto del paramento slu'!$G$54,'Progetto del paramento slu'!$G$53)*IF(O1660&lt;0,-1,1)</f>
        <v>491727.54577927204</v>
      </c>
      <c r="V1660" s="479">
        <f t="shared" si="123"/>
        <v>-75655.821180089319</v>
      </c>
      <c r="W1660" s="559"/>
      <c r="X1660" s="559"/>
    </row>
    <row r="1661" spans="1:24" x14ac:dyDescent="0.25">
      <c r="A1661" s="553">
        <f t="shared" si="122"/>
        <v>87100.615150411089</v>
      </c>
      <c r="B1661" s="3">
        <f t="shared" ref="B1661:B1684" si="124">B1660+0.2</f>
        <v>18.299999999999958</v>
      </c>
      <c r="C1661" s="553">
        <f>'Foglio deposito bis'!$E$159/sezione!$B$247*B1661</f>
        <v>74.291062734204061</v>
      </c>
      <c r="D1661" s="611">
        <f>-'Progetto del paramento slu'!$G$47*'Progetto del paramento slu'!$G$41*IF(DATI!$G$218="dx",DATI!$E$61,DATI!$E$64*DATI!$E$63)*1000*C1661^2*sezione!$AD$5*(1-sezione!$AD$6)</f>
        <v>-45433740.277325839</v>
      </c>
      <c r="E1661" s="553">
        <f>-'Foglio deposito bis'!$F$68*(C1661-sezione!$AL$33)*IF(ABS(K1661)&lt;'Progetto del paramento slu'!$G$58,ABS(K1661)*'Progetto del paramento slu'!$G$54,'Progetto del paramento slu'!$G$53)</f>
        <v>0</v>
      </c>
      <c r="F1661" s="553">
        <f>-'Foglio deposito bis'!$F$69*(C1661-sezione!$AM$33)*IF(ABS(L1661)&lt;'Progetto del paramento slu'!$G$58,ABS(L1661)*'Progetto del paramento slu'!$G$54,'Progetto del paramento slu'!$G$53)</f>
        <v>11633803.098520845</v>
      </c>
      <c r="G1661" s="553">
        <f>-'Foglio deposito bis'!$F$70*(C1661-sezione!$AN$33)*IF(ABS(M1661)&lt;'Progetto del paramento slu'!$G$58,ABS(M1661)*'Progetto del paramento slu'!$G$54,'Progetto del paramento slu'!$G$53)</f>
        <v>0</v>
      </c>
      <c r="H1661" s="553">
        <f>-'Foglio deposito bis'!$F$71*(C1661-sezione!$AO$33)*IF(ABS(N1661)&lt;'Progetto del paramento slu'!$G$58,ABS(N1661)*'Progetto del paramento slu'!$G$54,'Progetto del paramento slu'!$G$53)</f>
        <v>83620098.312530175</v>
      </c>
      <c r="I1661" s="479">
        <f>-'Foglio deposito bis'!$F$72*(C1661-sezione!$AP$33)*IF(ABS(O1661)&lt;'Progetto del paramento slu'!$G$58,ABS(O1661)*'Progetto del paramento slu'!$G$54,'Progetto del paramento slu'!$G$53)</f>
        <v>91321143.224037006</v>
      </c>
      <c r="J1661" s="479">
        <f t="shared" si="121"/>
        <v>141141304.35776219</v>
      </c>
      <c r="K1661" s="558">
        <f>'Progetto del paramento slu'!$G$60*(sezione!$AL$33-C1661)/C1661</f>
        <v>-1.6155202948046786E-3</v>
      </c>
      <c r="L1661" s="558">
        <f>'Progetto del paramento slu'!$G$60*(sezione!$AM$33-C1661)/C1661</f>
        <v>3.5667988944824555E-3</v>
      </c>
      <c r="M1661" s="559">
        <f>'Progetto del paramento slu'!$G$60*(sezione!$AN$33-C1661)/C1661</f>
        <v>8.7491180837695904E-3</v>
      </c>
      <c r="N1661" s="559">
        <f>'Progetto del paramento slu'!$G$60*(sezione!$AO$33-C1661)/C1661</f>
        <v>1.2518077494160233E-2</v>
      </c>
      <c r="O1661" s="559">
        <f>'Progetto del paramento slu'!$G$60*(sezione!$AP$33-C1661)/C1661</f>
        <v>8.7494000762254678E-3</v>
      </c>
      <c r="P1661" s="553">
        <f>-'Progetto del paramento slu'!$G$47*'Progetto del paramento slu'!$G$41*IF(DATI!$G$218="dx",DATI!$E$61,DATI!$E$64*DATI!$E$63)*1000*C1661*sezione!$AD$5</f>
        <v>-1047198.6482844396</v>
      </c>
      <c r="Q1661" s="553">
        <f>'Foglio deposito bis'!$F$68*IF(ABS(K1661)&lt;'Progetto del paramento slu'!$G$58,ABS(K1661)*'Progetto del paramento slu'!$G$54,'Progetto del paramento slu'!$G$53)*IF(K1661&lt;0,-1,1)</f>
        <v>0</v>
      </c>
      <c r="R1661" s="553">
        <f>'Foglio deposito bis'!$F$69*IF(ABS(L1661)&lt;'Progetto del paramento slu'!$G$58,ABS(L1661)*'Progetto del paramento slu'!$G$54,'Progetto del paramento slu'!$G$53)*IF(L1661&lt;0,-1,1)</f>
        <v>153664.85805602249</v>
      </c>
      <c r="S1661" s="553">
        <f>'Foglio deposito bis'!$F$70*IF(ABS(M1661)&lt;'Progetto del paramento slu'!$G$58,ABS(M1661)*'Progetto del paramento slu'!$G$54,'Progetto del paramento slu'!$G$53)*IF(M1661&lt;0,-1,1)</f>
        <v>0</v>
      </c>
      <c r="T1661" s="553">
        <f>'Foglio deposito bis'!$F$71*IF(ABS(N1661)&lt;'Progetto del paramento slu'!$G$58,ABS(N1661)*'Progetto del paramento slu'!$G$54,'Progetto del paramento slu'!$G$53)*IF(N1661&lt;0,-1,1)</f>
        <v>314705.62929873407</v>
      </c>
      <c r="U1661" s="553">
        <f>'Foglio deposito bis'!$F$72*IF(ABS(O1661)&lt;'Progetto del paramento slu'!$G$58,ABS(O1661)*'Progetto del paramento slu'!$G$54,'Progetto del paramento slu'!$G$53)*IF(O1661&lt;0,-1,1)</f>
        <v>491727.54577927204</v>
      </c>
      <c r="V1661" s="479">
        <f t="shared" si="123"/>
        <v>-87100.615150411089</v>
      </c>
      <c r="W1661" s="559"/>
      <c r="X1661" s="559"/>
    </row>
    <row r="1662" spans="1:24" x14ac:dyDescent="0.25">
      <c r="A1662" s="553">
        <f t="shared" si="122"/>
        <v>98545.409120732627</v>
      </c>
      <c r="B1662" s="3">
        <f t="shared" si="124"/>
        <v>18.499999999999957</v>
      </c>
      <c r="C1662" s="553">
        <f>'Foglio deposito bis'!$E$159/sezione!$B$247*B1662</f>
        <v>75.102986917091528</v>
      </c>
      <c r="D1662" s="611">
        <f>-'Progetto del paramento slu'!$G$47*'Progetto del paramento slu'!$G$41*IF(DATI!$G$218="dx",DATI!$E$61,DATI!$E$64*DATI!$E$63)*1000*C1662^2*sezione!$AD$5*(1-sezione!$AD$6)</f>
        <v>-46432254.20261807</v>
      </c>
      <c r="E1662" s="553">
        <f>-'Foglio deposito bis'!$F$68*(C1662-sezione!$AL$33)*IF(ABS(K1662)&lt;'Progetto del paramento slu'!$G$58,ABS(K1662)*'Progetto del paramento slu'!$G$54,'Progetto del paramento slu'!$G$53)</f>
        <v>0</v>
      </c>
      <c r="F1662" s="553">
        <f>-'Foglio deposito bis'!$F$69*(C1662-sezione!$AM$33)*IF(ABS(L1662)&lt;'Progetto del paramento slu'!$G$58,ABS(L1662)*'Progetto del paramento slu'!$G$54,'Progetto del paramento slu'!$G$53)</f>
        <v>11509038.88420519</v>
      </c>
      <c r="G1662" s="553">
        <f>-'Foglio deposito bis'!$F$70*(C1662-sezione!$AN$33)*IF(ABS(M1662)&lt;'Progetto del paramento slu'!$G$58,ABS(M1662)*'Progetto del paramento slu'!$G$54,'Progetto del paramento slu'!$G$53)</f>
        <v>0</v>
      </c>
      <c r="H1662" s="553">
        <f>-'Foglio deposito bis'!$F$71*(C1662-sezione!$AO$33)*IF(ABS(N1662)&lt;'Progetto del paramento slu'!$G$58,ABS(N1662)*'Progetto del paramento slu'!$G$54,'Progetto del paramento slu'!$G$53)</f>
        <v>83364581.201611698</v>
      </c>
      <c r="I1662" s="479">
        <f>-'Foglio deposito bis'!$F$72*(C1662-sezione!$AP$33)*IF(ABS(O1662)&lt;'Progetto del paramento slu'!$G$58,ABS(O1662)*'Progetto del paramento slu'!$G$54,'Progetto del paramento slu'!$G$53)</f>
        <v>90921897.738226905</v>
      </c>
      <c r="J1662" s="479">
        <f t="shared" si="121"/>
        <v>139363263.62142572</v>
      </c>
      <c r="K1662" s="558">
        <f>'Progetto del paramento slu'!$G$60*(sezione!$AL$33-C1662)/C1662</f>
        <v>-1.6358930483743575E-3</v>
      </c>
      <c r="L1662" s="558">
        <f>'Progetto del paramento slu'!$G$60*(sezione!$AM$33-C1662)/C1662</f>
        <v>3.4904010685961597E-3</v>
      </c>
      <c r="M1662" s="559">
        <f>'Progetto del paramento slu'!$G$60*(sezione!$AN$33-C1662)/C1662</f>
        <v>8.6166951855666755E-3</v>
      </c>
      <c r="N1662" s="559">
        <f>'Progetto del paramento slu'!$G$60*(sezione!$AO$33-C1662)/C1662</f>
        <v>1.2344909088817961E-2</v>
      </c>
      <c r="O1662" s="559">
        <f>'Progetto del paramento slu'!$G$60*(sezione!$AP$33-C1662)/C1662</f>
        <v>8.6169741294554649E-3</v>
      </c>
      <c r="P1662" s="553">
        <f>-'Progetto del paramento slu'!$G$47*'Progetto del paramento slu'!$G$41*IF(DATI!$G$218="dx",DATI!$E$61,DATI!$E$64*DATI!$E$63)*1000*C1662*sezione!$AD$5</f>
        <v>-1058643.4422547612</v>
      </c>
      <c r="Q1662" s="553">
        <f>'Foglio deposito bis'!$F$68*IF(ABS(K1662)&lt;'Progetto del paramento slu'!$G$58,ABS(K1662)*'Progetto del paramento slu'!$G$54,'Progetto del paramento slu'!$G$53)*IF(K1662&lt;0,-1,1)</f>
        <v>0</v>
      </c>
      <c r="R1662" s="553">
        <f>'Foglio deposito bis'!$F$69*IF(ABS(L1662)&lt;'Progetto del paramento slu'!$G$58,ABS(L1662)*'Progetto del paramento slu'!$G$54,'Progetto del paramento slu'!$G$53)*IF(L1662&lt;0,-1,1)</f>
        <v>153664.85805602249</v>
      </c>
      <c r="S1662" s="553">
        <f>'Foglio deposito bis'!$F$70*IF(ABS(M1662)&lt;'Progetto del paramento slu'!$G$58,ABS(M1662)*'Progetto del paramento slu'!$G$54,'Progetto del paramento slu'!$G$53)*IF(M1662&lt;0,-1,1)</f>
        <v>0</v>
      </c>
      <c r="T1662" s="553">
        <f>'Foglio deposito bis'!$F$71*IF(ABS(N1662)&lt;'Progetto del paramento slu'!$G$58,ABS(N1662)*'Progetto del paramento slu'!$G$54,'Progetto del paramento slu'!$G$53)*IF(N1662&lt;0,-1,1)</f>
        <v>314705.62929873407</v>
      </c>
      <c r="U1662" s="553">
        <f>'Foglio deposito bis'!$F$72*IF(ABS(O1662)&lt;'Progetto del paramento slu'!$G$58,ABS(O1662)*'Progetto del paramento slu'!$G$54,'Progetto del paramento slu'!$G$53)*IF(O1662&lt;0,-1,1)</f>
        <v>491727.54577927204</v>
      </c>
      <c r="V1662" s="479">
        <f t="shared" si="123"/>
        <v>-98545.409120732627</v>
      </c>
      <c r="W1662" s="559"/>
      <c r="X1662" s="559"/>
    </row>
    <row r="1663" spans="1:24" x14ac:dyDescent="0.25">
      <c r="A1663" s="553">
        <f t="shared" si="122"/>
        <v>109990.20309105463</v>
      </c>
      <c r="B1663" s="3">
        <f t="shared" si="124"/>
        <v>18.699999999999957</v>
      </c>
      <c r="C1663" s="553">
        <f>'Foglio deposito bis'!$E$159/sezione!$B$247*B1663</f>
        <v>75.914911099979008</v>
      </c>
      <c r="D1663" s="611">
        <f>-'Progetto del paramento slu'!$G$47*'Progetto del paramento slu'!$G$41*IF(DATI!$G$218="dx",DATI!$E$61,DATI!$E$64*DATI!$E$63)*1000*C1663^2*sezione!$AD$5*(1-sezione!$AD$6)</f>
        <v>-47441621.540141754</v>
      </c>
      <c r="E1663" s="553">
        <f>-'Foglio deposito bis'!$F$68*(C1663-sezione!$AL$33)*IF(ABS(K1663)&lt;'Progetto del paramento slu'!$G$58,ABS(K1663)*'Progetto del paramento slu'!$G$54,'Progetto del paramento slu'!$G$53)</f>
        <v>0</v>
      </c>
      <c r="F1663" s="553">
        <f>-'Foglio deposito bis'!$F$69*(C1663-sezione!$AM$33)*IF(ABS(L1663)&lt;'Progetto del paramento slu'!$G$58,ABS(L1663)*'Progetto del paramento slu'!$G$54,'Progetto del paramento slu'!$G$53)</f>
        <v>11384274.669889534</v>
      </c>
      <c r="G1663" s="553">
        <f>-'Foglio deposito bis'!$F$70*(C1663-sezione!$AN$33)*IF(ABS(M1663)&lt;'Progetto del paramento slu'!$G$58,ABS(M1663)*'Progetto del paramento slu'!$G$54,'Progetto del paramento slu'!$G$53)</f>
        <v>0</v>
      </c>
      <c r="H1663" s="553">
        <f>-'Foglio deposito bis'!$F$71*(C1663-sezione!$AO$33)*IF(ABS(N1663)&lt;'Progetto del paramento slu'!$G$58,ABS(N1663)*'Progetto del paramento slu'!$G$54,'Progetto del paramento slu'!$G$53)</f>
        <v>83109064.090693235</v>
      </c>
      <c r="I1663" s="479">
        <f>-'Foglio deposito bis'!$F$72*(C1663-sezione!$AP$33)*IF(ABS(O1663)&lt;'Progetto del paramento slu'!$G$58,ABS(O1663)*'Progetto del paramento slu'!$G$54,'Progetto del paramento slu'!$G$53)</f>
        <v>90522652.252416819</v>
      </c>
      <c r="J1663" s="479">
        <f t="shared" si="121"/>
        <v>137574369.47285783</v>
      </c>
      <c r="K1663" s="558">
        <f>'Progetto del paramento slu'!$G$60*(sezione!$AL$33-C1663)/C1663</f>
        <v>-1.655830021119017E-3</v>
      </c>
      <c r="L1663" s="558">
        <f>'Progetto del paramento slu'!$G$60*(sezione!$AM$33-C1663)/C1663</f>
        <v>3.415637420803687E-3</v>
      </c>
      <c r="M1663" s="559">
        <f>'Progetto del paramento slu'!$G$60*(sezione!$AN$33-C1663)/C1663</f>
        <v>8.4871048627263908E-3</v>
      </c>
      <c r="N1663" s="559">
        <f>'Progetto del paramento slu'!$G$60*(sezione!$AO$33-C1663)/C1663</f>
        <v>1.2175444820488357E-2</v>
      </c>
      <c r="O1663" s="559">
        <f>'Progetto del paramento slu'!$G$60*(sezione!$AP$33-C1663)/C1663</f>
        <v>8.487380823258079E-3</v>
      </c>
      <c r="P1663" s="553">
        <f>-'Progetto del paramento slu'!$G$47*'Progetto del paramento slu'!$G$41*IF(DATI!$G$218="dx",DATI!$E$61,DATI!$E$64*DATI!$E$63)*1000*C1663*sezione!$AD$5</f>
        <v>-1070088.2362250832</v>
      </c>
      <c r="Q1663" s="553">
        <f>'Foglio deposito bis'!$F$68*IF(ABS(K1663)&lt;'Progetto del paramento slu'!$G$58,ABS(K1663)*'Progetto del paramento slu'!$G$54,'Progetto del paramento slu'!$G$53)*IF(K1663&lt;0,-1,1)</f>
        <v>0</v>
      </c>
      <c r="R1663" s="553">
        <f>'Foglio deposito bis'!$F$69*IF(ABS(L1663)&lt;'Progetto del paramento slu'!$G$58,ABS(L1663)*'Progetto del paramento slu'!$G$54,'Progetto del paramento slu'!$G$53)*IF(L1663&lt;0,-1,1)</f>
        <v>153664.85805602249</v>
      </c>
      <c r="S1663" s="553">
        <f>'Foglio deposito bis'!$F$70*IF(ABS(M1663)&lt;'Progetto del paramento slu'!$G$58,ABS(M1663)*'Progetto del paramento slu'!$G$54,'Progetto del paramento slu'!$G$53)*IF(M1663&lt;0,-1,1)</f>
        <v>0</v>
      </c>
      <c r="T1663" s="553">
        <f>'Foglio deposito bis'!$F$71*IF(ABS(N1663)&lt;'Progetto del paramento slu'!$G$58,ABS(N1663)*'Progetto del paramento slu'!$G$54,'Progetto del paramento slu'!$G$53)*IF(N1663&lt;0,-1,1)</f>
        <v>314705.62929873407</v>
      </c>
      <c r="U1663" s="553">
        <f>'Foglio deposito bis'!$F$72*IF(ABS(O1663)&lt;'Progetto del paramento slu'!$G$58,ABS(O1663)*'Progetto del paramento slu'!$G$54,'Progetto del paramento slu'!$G$53)*IF(O1663&lt;0,-1,1)</f>
        <v>491727.54577927204</v>
      </c>
      <c r="V1663" s="479">
        <f t="shared" si="123"/>
        <v>-109990.20309105463</v>
      </c>
      <c r="W1663" s="559"/>
      <c r="X1663" s="559"/>
    </row>
    <row r="1664" spans="1:24" x14ac:dyDescent="0.25">
      <c r="A1664" s="553">
        <f t="shared" si="122"/>
        <v>121434.99706137617</v>
      </c>
      <c r="B1664" s="3">
        <f t="shared" si="124"/>
        <v>18.899999999999956</v>
      </c>
      <c r="C1664" s="553">
        <f>'Foglio deposito bis'!$E$159/sezione!$B$247*B1664</f>
        <v>76.726835282866489</v>
      </c>
      <c r="D1664" s="611">
        <f>-'Progetto del paramento slu'!$G$47*'Progetto del paramento slu'!$G$41*IF(DATI!$G$218="dx",DATI!$E$61,DATI!$E$64*DATI!$E$63)*1000*C1664^2*sezione!$AD$5*(1-sezione!$AD$6)</f>
        <v>-48461842.289896868</v>
      </c>
      <c r="E1664" s="553">
        <f>-'Foglio deposito bis'!$F$68*(C1664-sezione!$AL$33)*IF(ABS(K1664)&lt;'Progetto del paramento slu'!$G$58,ABS(K1664)*'Progetto del paramento slu'!$G$54,'Progetto del paramento slu'!$G$53)</f>
        <v>0</v>
      </c>
      <c r="F1664" s="553">
        <f>-'Foglio deposito bis'!$F$69*(C1664-sezione!$AM$33)*IF(ABS(L1664)&lt;'Progetto del paramento slu'!$G$58,ABS(L1664)*'Progetto del paramento slu'!$G$54,'Progetto del paramento slu'!$G$53)</f>
        <v>11259510.455573877</v>
      </c>
      <c r="G1664" s="553">
        <f>-'Foglio deposito bis'!$F$70*(C1664-sezione!$AN$33)*IF(ABS(M1664)&lt;'Progetto del paramento slu'!$G$58,ABS(M1664)*'Progetto del paramento slu'!$G$54,'Progetto del paramento slu'!$G$53)</f>
        <v>0</v>
      </c>
      <c r="H1664" s="553">
        <f>-'Foglio deposito bis'!$F$71*(C1664-sezione!$AO$33)*IF(ABS(N1664)&lt;'Progetto del paramento slu'!$G$58,ABS(N1664)*'Progetto del paramento slu'!$G$54,'Progetto del paramento slu'!$G$53)</f>
        <v>82853546.979774773</v>
      </c>
      <c r="I1664" s="479">
        <f>-'Foglio deposito bis'!$F$72*(C1664-sezione!$AP$33)*IF(ABS(O1664)&lt;'Progetto del paramento slu'!$G$58,ABS(O1664)*'Progetto del paramento slu'!$G$54,'Progetto del paramento slu'!$G$53)</f>
        <v>90123406.766606718</v>
      </c>
      <c r="J1664" s="479">
        <f t="shared" si="121"/>
        <v>135774621.9120585</v>
      </c>
      <c r="K1664" s="558">
        <f>'Progetto del paramento slu'!$G$60*(sezione!$AL$33-C1664)/C1664</f>
        <v>-1.6753450473505618E-3</v>
      </c>
      <c r="L1664" s="558">
        <f>'Progetto del paramento slu'!$G$60*(sezione!$AM$33-C1664)/C1664</f>
        <v>3.3424560724353929E-3</v>
      </c>
      <c r="M1664" s="559">
        <f>'Progetto del paramento slu'!$G$60*(sezione!$AN$33-C1664)/C1664</f>
        <v>8.3602571922213476E-3</v>
      </c>
      <c r="N1664" s="559">
        <f>'Progetto del paramento slu'!$G$60*(sezione!$AO$33-C1664)/C1664</f>
        <v>1.2009567097520225E-2</v>
      </c>
      <c r="O1664" s="559">
        <f>'Progetto del paramento slu'!$G$60*(sezione!$AP$33-C1664)/C1664</f>
        <v>8.3605302325357699E-3</v>
      </c>
      <c r="P1664" s="553">
        <f>-'Progetto del paramento slu'!$G$47*'Progetto del paramento slu'!$G$41*IF(DATI!$G$218="dx",DATI!$E$61,DATI!$E$64*DATI!$E$63)*1000*C1664*sezione!$AD$5</f>
        <v>-1081533.0301954048</v>
      </c>
      <c r="Q1664" s="553">
        <f>'Foglio deposito bis'!$F$68*IF(ABS(K1664)&lt;'Progetto del paramento slu'!$G$58,ABS(K1664)*'Progetto del paramento slu'!$G$54,'Progetto del paramento slu'!$G$53)*IF(K1664&lt;0,-1,1)</f>
        <v>0</v>
      </c>
      <c r="R1664" s="553">
        <f>'Foglio deposito bis'!$F$69*IF(ABS(L1664)&lt;'Progetto del paramento slu'!$G$58,ABS(L1664)*'Progetto del paramento slu'!$G$54,'Progetto del paramento slu'!$G$53)*IF(L1664&lt;0,-1,1)</f>
        <v>153664.85805602249</v>
      </c>
      <c r="S1664" s="553">
        <f>'Foglio deposito bis'!$F$70*IF(ABS(M1664)&lt;'Progetto del paramento slu'!$G$58,ABS(M1664)*'Progetto del paramento slu'!$G$54,'Progetto del paramento slu'!$G$53)*IF(M1664&lt;0,-1,1)</f>
        <v>0</v>
      </c>
      <c r="T1664" s="553">
        <f>'Foglio deposito bis'!$F$71*IF(ABS(N1664)&lt;'Progetto del paramento slu'!$G$58,ABS(N1664)*'Progetto del paramento slu'!$G$54,'Progetto del paramento slu'!$G$53)*IF(N1664&lt;0,-1,1)</f>
        <v>314705.62929873407</v>
      </c>
      <c r="U1664" s="553">
        <f>'Foglio deposito bis'!$F$72*IF(ABS(O1664)&lt;'Progetto del paramento slu'!$G$58,ABS(O1664)*'Progetto del paramento slu'!$G$54,'Progetto del paramento slu'!$G$53)*IF(O1664&lt;0,-1,1)</f>
        <v>491727.54577927204</v>
      </c>
      <c r="V1664" s="479">
        <f t="shared" si="123"/>
        <v>-121434.99706137617</v>
      </c>
      <c r="W1664" s="559"/>
      <c r="X1664" s="559"/>
    </row>
    <row r="1665" spans="1:24" x14ac:dyDescent="0.25">
      <c r="A1665" s="553">
        <f t="shared" si="122"/>
        <v>132879.79103169794</v>
      </c>
      <c r="B1665" s="3">
        <f t="shared" si="124"/>
        <v>19.099999999999955</v>
      </c>
      <c r="C1665" s="553">
        <f>'Foglio deposito bis'!$E$159/sezione!$B$247*B1665</f>
        <v>77.538759465753955</v>
      </c>
      <c r="D1665" s="611">
        <f>-'Progetto del paramento slu'!$G$47*'Progetto del paramento slu'!$G$41*IF(DATI!$G$218="dx",DATI!$E$61,DATI!$E$64*DATI!$E$63)*1000*C1665^2*sezione!$AD$5*(1-sezione!$AD$6)</f>
        <v>-49492916.451883413</v>
      </c>
      <c r="E1665" s="553">
        <f>-'Foglio deposito bis'!$F$68*(C1665-sezione!$AL$33)*IF(ABS(K1665)&lt;'Progetto del paramento slu'!$G$58,ABS(K1665)*'Progetto del paramento slu'!$G$54,'Progetto del paramento slu'!$G$53)</f>
        <v>0</v>
      </c>
      <c r="F1665" s="553">
        <f>-'Foglio deposito bis'!$F$69*(C1665-sezione!$AM$33)*IF(ABS(L1665)&lt;'Progetto del paramento slu'!$G$58,ABS(L1665)*'Progetto del paramento slu'!$G$54,'Progetto del paramento slu'!$G$53)</f>
        <v>11134746.241258223</v>
      </c>
      <c r="G1665" s="553">
        <f>-'Foglio deposito bis'!$F$70*(C1665-sezione!$AN$33)*IF(ABS(M1665)&lt;'Progetto del paramento slu'!$G$58,ABS(M1665)*'Progetto del paramento slu'!$G$54,'Progetto del paramento slu'!$G$53)</f>
        <v>0</v>
      </c>
      <c r="H1665" s="553">
        <f>-'Foglio deposito bis'!$F$71*(C1665-sezione!$AO$33)*IF(ABS(N1665)&lt;'Progetto del paramento slu'!$G$58,ABS(N1665)*'Progetto del paramento slu'!$G$54,'Progetto del paramento slu'!$G$53)</f>
        <v>82598029.868856311</v>
      </c>
      <c r="I1665" s="479">
        <f>-'Foglio deposito bis'!$F$72*(C1665-sezione!$AP$33)*IF(ABS(O1665)&lt;'Progetto del paramento slu'!$G$58,ABS(O1665)*'Progetto del paramento slu'!$G$54,'Progetto del paramento slu'!$G$53)</f>
        <v>89724161.280796602</v>
      </c>
      <c r="J1665" s="479">
        <f t="shared" si="121"/>
        <v>133964020.93902773</v>
      </c>
      <c r="K1665" s="558">
        <f>'Progetto del paramento slu'!$G$60*(sezione!$AL$33-C1665)/C1665</f>
        <v>-1.694451381933278E-3</v>
      </c>
      <c r="L1665" s="558">
        <f>'Progetto del paramento slu'!$G$60*(sezione!$AM$33-C1665)/C1665</f>
        <v>3.2708073177502069E-3</v>
      </c>
      <c r="M1665" s="559">
        <f>'Progetto del paramento slu'!$G$60*(sezione!$AN$33-C1665)/C1665</f>
        <v>8.2360660174336919E-3</v>
      </c>
      <c r="N1665" s="559">
        <f>'Progetto del paramento slu'!$G$60*(sezione!$AO$33-C1665)/C1665</f>
        <v>1.1847163253567135E-2</v>
      </c>
      <c r="O1665" s="559">
        <f>'Progetto del paramento slu'!$G$60*(sezione!$AP$33-C1665)/C1665</f>
        <v>8.2363361986872285E-3</v>
      </c>
      <c r="P1665" s="553">
        <f>-'Progetto del paramento slu'!$G$47*'Progetto del paramento slu'!$G$41*IF(DATI!$G$218="dx",DATI!$E$61,DATI!$E$64*DATI!$E$63)*1000*C1665*sezione!$AD$5</f>
        <v>-1092977.8241657265</v>
      </c>
      <c r="Q1665" s="553">
        <f>'Foglio deposito bis'!$F$68*IF(ABS(K1665)&lt;'Progetto del paramento slu'!$G$58,ABS(K1665)*'Progetto del paramento slu'!$G$54,'Progetto del paramento slu'!$G$53)*IF(K1665&lt;0,-1,1)</f>
        <v>0</v>
      </c>
      <c r="R1665" s="553">
        <f>'Foglio deposito bis'!$F$69*IF(ABS(L1665)&lt;'Progetto del paramento slu'!$G$58,ABS(L1665)*'Progetto del paramento slu'!$G$54,'Progetto del paramento slu'!$G$53)*IF(L1665&lt;0,-1,1)</f>
        <v>153664.85805602249</v>
      </c>
      <c r="S1665" s="553">
        <f>'Foglio deposito bis'!$F$70*IF(ABS(M1665)&lt;'Progetto del paramento slu'!$G$58,ABS(M1665)*'Progetto del paramento slu'!$G$54,'Progetto del paramento slu'!$G$53)*IF(M1665&lt;0,-1,1)</f>
        <v>0</v>
      </c>
      <c r="T1665" s="553">
        <f>'Foglio deposito bis'!$F$71*IF(ABS(N1665)&lt;'Progetto del paramento slu'!$G$58,ABS(N1665)*'Progetto del paramento slu'!$G$54,'Progetto del paramento slu'!$G$53)*IF(N1665&lt;0,-1,1)</f>
        <v>314705.62929873407</v>
      </c>
      <c r="U1665" s="553">
        <f>'Foglio deposito bis'!$F$72*IF(ABS(O1665)&lt;'Progetto del paramento slu'!$G$58,ABS(O1665)*'Progetto del paramento slu'!$G$54,'Progetto del paramento slu'!$G$53)*IF(O1665&lt;0,-1,1)</f>
        <v>491727.54577927204</v>
      </c>
      <c r="V1665" s="479">
        <f t="shared" si="123"/>
        <v>-132879.79103169794</v>
      </c>
      <c r="W1665" s="559"/>
      <c r="X1665" s="559"/>
    </row>
    <row r="1666" spans="1:24" x14ac:dyDescent="0.25">
      <c r="A1666" s="553">
        <f t="shared" si="122"/>
        <v>144324.58500201971</v>
      </c>
      <c r="B1666" s="3">
        <f t="shared" si="124"/>
        <v>19.299999999999955</v>
      </c>
      <c r="C1666" s="553">
        <f>'Foglio deposito bis'!$E$159/sezione!$B$247*B1666</f>
        <v>78.350683648641436</v>
      </c>
      <c r="D1666" s="611">
        <f>-'Progetto del paramento slu'!$G$47*'Progetto del paramento slu'!$G$41*IF(DATI!$G$218="dx",DATI!$E$61,DATI!$E$64*DATI!$E$63)*1000*C1666^2*sezione!$AD$5*(1-sezione!$AD$6)</f>
        <v>-50534844.026101403</v>
      </c>
      <c r="E1666" s="553">
        <f>-'Foglio deposito bis'!$F$68*(C1666-sezione!$AL$33)*IF(ABS(K1666)&lt;'Progetto del paramento slu'!$G$58,ABS(K1666)*'Progetto del paramento slu'!$G$54,'Progetto del paramento slu'!$G$53)</f>
        <v>0</v>
      </c>
      <c r="F1666" s="553">
        <f>-'Foglio deposito bis'!$F$69*(C1666-sezione!$AM$33)*IF(ABS(L1666)&lt;'Progetto del paramento slu'!$G$58,ABS(L1666)*'Progetto del paramento slu'!$G$54,'Progetto del paramento slu'!$G$53)</f>
        <v>11009982.026942566</v>
      </c>
      <c r="G1666" s="553">
        <f>-'Foglio deposito bis'!$F$70*(C1666-sezione!$AN$33)*IF(ABS(M1666)&lt;'Progetto del paramento slu'!$G$58,ABS(M1666)*'Progetto del paramento slu'!$G$54,'Progetto del paramento slu'!$G$53)</f>
        <v>0</v>
      </c>
      <c r="H1666" s="553">
        <f>-'Foglio deposito bis'!$F$71*(C1666-sezione!$AO$33)*IF(ABS(N1666)&lt;'Progetto del paramento slu'!$G$58,ABS(N1666)*'Progetto del paramento slu'!$G$54,'Progetto del paramento slu'!$G$53)</f>
        <v>82342512.757937849</v>
      </c>
      <c r="I1666" s="479">
        <f>-'Foglio deposito bis'!$F$72*(C1666-sezione!$AP$33)*IF(ABS(O1666)&lt;'Progetto del paramento slu'!$G$58,ABS(O1666)*'Progetto del paramento slu'!$G$54,'Progetto del paramento slu'!$G$53)</f>
        <v>89324915.794986501</v>
      </c>
      <c r="J1666" s="479">
        <f t="shared" si="121"/>
        <v>132142566.55376551</v>
      </c>
      <c r="K1666" s="558">
        <f>'Progetto del paramento slu'!$G$60*(sezione!$AL$33-C1666)/C1666</f>
        <v>-1.7131617303070268E-3</v>
      </c>
      <c r="L1666" s="558">
        <f>'Progetto del paramento slu'!$G$60*(sezione!$AM$33-C1666)/C1666</f>
        <v>3.20064351134865E-3</v>
      </c>
      <c r="M1666" s="559">
        <f>'Progetto del paramento slu'!$G$60*(sezione!$AN$33-C1666)/C1666</f>
        <v>8.1144487530043254E-3</v>
      </c>
      <c r="N1666" s="559">
        <f>'Progetto del paramento slu'!$G$60*(sezione!$AO$33-C1666)/C1666</f>
        <v>1.1688125292390272E-2</v>
      </c>
      <c r="O1666" s="559">
        <f>'Progetto del paramento slu'!$G$60*(sezione!$AP$33-C1666)/C1666</f>
        <v>8.1147161344521275E-3</v>
      </c>
      <c r="P1666" s="553">
        <f>-'Progetto del paramento slu'!$G$47*'Progetto del paramento slu'!$G$41*IF(DATI!$G$218="dx",DATI!$E$61,DATI!$E$64*DATI!$E$63)*1000*C1666*sezione!$AD$5</f>
        <v>-1104422.6181360483</v>
      </c>
      <c r="Q1666" s="553">
        <f>'Foglio deposito bis'!$F$68*IF(ABS(K1666)&lt;'Progetto del paramento slu'!$G$58,ABS(K1666)*'Progetto del paramento slu'!$G$54,'Progetto del paramento slu'!$G$53)*IF(K1666&lt;0,-1,1)</f>
        <v>0</v>
      </c>
      <c r="R1666" s="553">
        <f>'Foglio deposito bis'!$F$69*IF(ABS(L1666)&lt;'Progetto del paramento slu'!$G$58,ABS(L1666)*'Progetto del paramento slu'!$G$54,'Progetto del paramento slu'!$G$53)*IF(L1666&lt;0,-1,1)</f>
        <v>153664.85805602249</v>
      </c>
      <c r="S1666" s="553">
        <f>'Foglio deposito bis'!$F$70*IF(ABS(M1666)&lt;'Progetto del paramento slu'!$G$58,ABS(M1666)*'Progetto del paramento slu'!$G$54,'Progetto del paramento slu'!$G$53)*IF(M1666&lt;0,-1,1)</f>
        <v>0</v>
      </c>
      <c r="T1666" s="553">
        <f>'Foglio deposito bis'!$F$71*IF(ABS(N1666)&lt;'Progetto del paramento slu'!$G$58,ABS(N1666)*'Progetto del paramento slu'!$G$54,'Progetto del paramento slu'!$G$53)*IF(N1666&lt;0,-1,1)</f>
        <v>314705.62929873407</v>
      </c>
      <c r="U1666" s="553">
        <f>'Foglio deposito bis'!$F$72*IF(ABS(O1666)&lt;'Progetto del paramento slu'!$G$58,ABS(O1666)*'Progetto del paramento slu'!$G$54,'Progetto del paramento slu'!$G$53)*IF(O1666&lt;0,-1,1)</f>
        <v>491727.54577927204</v>
      </c>
      <c r="V1666" s="479">
        <f t="shared" si="123"/>
        <v>-144324.58500201971</v>
      </c>
      <c r="W1666" s="559"/>
      <c r="X1666" s="559"/>
    </row>
    <row r="1667" spans="1:24" x14ac:dyDescent="0.25">
      <c r="A1667" s="553">
        <f t="shared" si="122"/>
        <v>155769.37897234148</v>
      </c>
      <c r="B1667" s="3">
        <f t="shared" si="124"/>
        <v>19.499999999999954</v>
      </c>
      <c r="C1667" s="553">
        <f>'Foglio deposito bis'!$E$159/sezione!$B$247*B1667</f>
        <v>79.162607831528916</v>
      </c>
      <c r="D1667" s="611">
        <f>-'Progetto del paramento slu'!$G$47*'Progetto del paramento slu'!$G$41*IF(DATI!$G$218="dx",DATI!$E$61,DATI!$E$64*DATI!$E$63)*1000*C1667^2*sezione!$AD$5*(1-sezione!$AD$6)</f>
        <v>-51587625.012550846</v>
      </c>
      <c r="E1667" s="553">
        <f>-'Foglio deposito bis'!$F$68*(C1667-sezione!$AL$33)*IF(ABS(K1667)&lt;'Progetto del paramento slu'!$G$58,ABS(K1667)*'Progetto del paramento slu'!$G$54,'Progetto del paramento slu'!$G$53)</f>
        <v>0</v>
      </c>
      <c r="F1667" s="553">
        <f>-'Foglio deposito bis'!$F$69*(C1667-sezione!$AM$33)*IF(ABS(L1667)&lt;'Progetto del paramento slu'!$G$58,ABS(L1667)*'Progetto del paramento slu'!$G$54,'Progetto del paramento slu'!$G$53)</f>
        <v>10885217.812626908</v>
      </c>
      <c r="G1667" s="553">
        <f>-'Foglio deposito bis'!$F$70*(C1667-sezione!$AN$33)*IF(ABS(M1667)&lt;'Progetto del paramento slu'!$G$58,ABS(M1667)*'Progetto del paramento slu'!$G$54,'Progetto del paramento slu'!$G$53)</f>
        <v>0</v>
      </c>
      <c r="H1667" s="553">
        <f>-'Foglio deposito bis'!$F$71*(C1667-sezione!$AO$33)*IF(ABS(N1667)&lt;'Progetto del paramento slu'!$G$58,ABS(N1667)*'Progetto del paramento slu'!$G$54,'Progetto del paramento slu'!$G$53)</f>
        <v>82086995.647019386</v>
      </c>
      <c r="I1667" s="479">
        <f>-'Foglio deposito bis'!$F$72*(C1667-sezione!$AP$33)*IF(ABS(O1667)&lt;'Progetto del paramento slu'!$G$58,ABS(O1667)*'Progetto del paramento slu'!$G$54,'Progetto del paramento slu'!$G$53)</f>
        <v>88925670.3091764</v>
      </c>
      <c r="J1667" s="479">
        <f t="shared" si="121"/>
        <v>130310258.75627184</v>
      </c>
      <c r="K1667" s="558">
        <f>'Progetto del paramento slu'!$G$60*(sezione!$AL$33-C1667)/C1667</f>
        <v>-1.7314882766628521E-3</v>
      </c>
      <c r="L1667" s="558">
        <f>'Progetto del paramento slu'!$G$60*(sezione!$AM$33-C1667)/C1667</f>
        <v>3.1319189625143044E-3</v>
      </c>
      <c r="M1667" s="559">
        <f>'Progetto del paramento slu'!$G$60*(sezione!$AN$33-C1667)/C1667</f>
        <v>7.9953262016914609E-3</v>
      </c>
      <c r="N1667" s="559">
        <f>'Progetto del paramento slu'!$G$60*(sezione!$AO$33-C1667)/C1667</f>
        <v>1.1532349648365756E-2</v>
      </c>
      <c r="O1667" s="559">
        <f>'Progetto del paramento slu'!$G$60*(sezione!$AP$33-C1667)/C1667</f>
        <v>7.9955908407654368E-3</v>
      </c>
      <c r="P1667" s="553">
        <f>-'Progetto del paramento slu'!$G$47*'Progetto del paramento slu'!$G$41*IF(DATI!$G$218="dx",DATI!$E$61,DATI!$E$64*DATI!$E$63)*1000*C1667*sezione!$AD$5</f>
        <v>-1115867.4121063701</v>
      </c>
      <c r="Q1667" s="553">
        <f>'Foglio deposito bis'!$F$68*IF(ABS(K1667)&lt;'Progetto del paramento slu'!$G$58,ABS(K1667)*'Progetto del paramento slu'!$G$54,'Progetto del paramento slu'!$G$53)*IF(K1667&lt;0,-1,1)</f>
        <v>0</v>
      </c>
      <c r="R1667" s="553">
        <f>'Foglio deposito bis'!$F$69*IF(ABS(L1667)&lt;'Progetto del paramento slu'!$G$58,ABS(L1667)*'Progetto del paramento slu'!$G$54,'Progetto del paramento slu'!$G$53)*IF(L1667&lt;0,-1,1)</f>
        <v>153664.85805602249</v>
      </c>
      <c r="S1667" s="553">
        <f>'Foglio deposito bis'!$F$70*IF(ABS(M1667)&lt;'Progetto del paramento slu'!$G$58,ABS(M1667)*'Progetto del paramento slu'!$G$54,'Progetto del paramento slu'!$G$53)*IF(M1667&lt;0,-1,1)</f>
        <v>0</v>
      </c>
      <c r="T1667" s="553">
        <f>'Foglio deposito bis'!$F$71*IF(ABS(N1667)&lt;'Progetto del paramento slu'!$G$58,ABS(N1667)*'Progetto del paramento slu'!$G$54,'Progetto del paramento slu'!$G$53)*IF(N1667&lt;0,-1,1)</f>
        <v>314705.62929873407</v>
      </c>
      <c r="U1667" s="553">
        <f>'Foglio deposito bis'!$F$72*IF(ABS(O1667)&lt;'Progetto del paramento slu'!$G$58,ABS(O1667)*'Progetto del paramento slu'!$G$54,'Progetto del paramento slu'!$G$53)*IF(O1667&lt;0,-1,1)</f>
        <v>491727.54577927204</v>
      </c>
      <c r="V1667" s="479">
        <f t="shared" si="123"/>
        <v>-155769.37897234148</v>
      </c>
      <c r="W1667" s="559"/>
      <c r="X1667" s="559"/>
    </row>
    <row r="1668" spans="1:24" x14ac:dyDescent="0.25">
      <c r="A1668" s="553">
        <f t="shared" si="122"/>
        <v>167214.17294266302</v>
      </c>
      <c r="B1668" s="3">
        <f t="shared" si="124"/>
        <v>19.699999999999953</v>
      </c>
      <c r="C1668" s="553">
        <f>'Foglio deposito bis'!$E$159/sezione!$B$247*B1668</f>
        <v>79.974532014416383</v>
      </c>
      <c r="D1668" s="611">
        <f>-'Progetto del paramento slu'!$G$47*'Progetto del paramento slu'!$G$41*IF(DATI!$G$218="dx",DATI!$E$61,DATI!$E$64*DATI!$E$63)*1000*C1668^2*sezione!$AD$5*(1-sezione!$AD$6)</f>
        <v>-52651259.411231682</v>
      </c>
      <c r="E1668" s="553">
        <f>-'Foglio deposito bis'!$F$68*(C1668-sezione!$AL$33)*IF(ABS(K1668)&lt;'Progetto del paramento slu'!$G$58,ABS(K1668)*'Progetto del paramento slu'!$G$54,'Progetto del paramento slu'!$G$53)</f>
        <v>0</v>
      </c>
      <c r="F1668" s="553">
        <f>-'Foglio deposito bis'!$F$69*(C1668-sezione!$AM$33)*IF(ABS(L1668)&lt;'Progetto del paramento slu'!$G$58,ABS(L1668)*'Progetto del paramento slu'!$G$54,'Progetto del paramento slu'!$G$53)</f>
        <v>10760453.598311255</v>
      </c>
      <c r="G1668" s="553">
        <f>-'Foglio deposito bis'!$F$70*(C1668-sezione!$AN$33)*IF(ABS(M1668)&lt;'Progetto del paramento slu'!$G$58,ABS(M1668)*'Progetto del paramento slu'!$G$54,'Progetto del paramento slu'!$G$53)</f>
        <v>0</v>
      </c>
      <c r="H1668" s="553">
        <f>-'Foglio deposito bis'!$F$71*(C1668-sezione!$AO$33)*IF(ABS(N1668)&lt;'Progetto del paramento slu'!$G$58,ABS(N1668)*'Progetto del paramento slu'!$G$54,'Progetto del paramento slu'!$G$53)</f>
        <v>81831478.536100939</v>
      </c>
      <c r="I1668" s="479">
        <f>-'Foglio deposito bis'!$F$72*(C1668-sezione!$AP$33)*IF(ABS(O1668)&lt;'Progetto del paramento slu'!$G$58,ABS(O1668)*'Progetto del paramento slu'!$G$54,'Progetto del paramento slu'!$G$53)</f>
        <v>88526424.823366314</v>
      </c>
      <c r="J1668" s="479">
        <f t="shared" si="121"/>
        <v>128467097.54654682</v>
      </c>
      <c r="K1668" s="558">
        <f>'Progetto del paramento slu'!$G$60*(sezione!$AL$33-C1668)/C1668</f>
        <v>-1.7494427104023152E-3</v>
      </c>
      <c r="L1668" s="558">
        <f>'Progetto del paramento slu'!$G$60*(sezione!$AM$33-C1668)/C1668</f>
        <v>3.0645898359913178E-3</v>
      </c>
      <c r="M1668" s="559">
        <f>'Progetto del paramento slu'!$G$60*(sezione!$AN$33-C1668)/C1668</f>
        <v>7.8786223823849501E-3</v>
      </c>
      <c r="N1668" s="559">
        <f>'Progetto del paramento slu'!$G$60*(sezione!$AO$33-C1668)/C1668</f>
        <v>1.1379736961580322E-2</v>
      </c>
      <c r="O1668" s="559">
        <f>'Progetto del paramento slu'!$G$60*(sezione!$AP$33-C1668)/C1668</f>
        <v>7.878884334767822E-3</v>
      </c>
      <c r="P1668" s="553">
        <f>-'Progetto del paramento slu'!$G$47*'Progetto del paramento slu'!$G$41*IF(DATI!$G$218="dx",DATI!$E$61,DATI!$E$64*DATI!$E$63)*1000*C1668*sezione!$AD$5</f>
        <v>-1127312.2060766916</v>
      </c>
      <c r="Q1668" s="553">
        <f>'Foglio deposito bis'!$F$68*IF(ABS(K1668)&lt;'Progetto del paramento slu'!$G$58,ABS(K1668)*'Progetto del paramento slu'!$G$54,'Progetto del paramento slu'!$G$53)*IF(K1668&lt;0,-1,1)</f>
        <v>0</v>
      </c>
      <c r="R1668" s="553">
        <f>'Foglio deposito bis'!$F$69*IF(ABS(L1668)&lt;'Progetto del paramento slu'!$G$58,ABS(L1668)*'Progetto del paramento slu'!$G$54,'Progetto del paramento slu'!$G$53)*IF(L1668&lt;0,-1,1)</f>
        <v>153664.85805602249</v>
      </c>
      <c r="S1668" s="553">
        <f>'Foglio deposito bis'!$F$70*IF(ABS(M1668)&lt;'Progetto del paramento slu'!$G$58,ABS(M1668)*'Progetto del paramento slu'!$G$54,'Progetto del paramento slu'!$G$53)*IF(M1668&lt;0,-1,1)</f>
        <v>0</v>
      </c>
      <c r="T1668" s="553">
        <f>'Foglio deposito bis'!$F$71*IF(ABS(N1668)&lt;'Progetto del paramento slu'!$G$58,ABS(N1668)*'Progetto del paramento slu'!$G$54,'Progetto del paramento slu'!$G$53)*IF(N1668&lt;0,-1,1)</f>
        <v>314705.62929873407</v>
      </c>
      <c r="U1668" s="553">
        <f>'Foglio deposito bis'!$F$72*IF(ABS(O1668)&lt;'Progetto del paramento slu'!$G$58,ABS(O1668)*'Progetto del paramento slu'!$G$54,'Progetto del paramento slu'!$G$53)*IF(O1668&lt;0,-1,1)</f>
        <v>491727.54577927204</v>
      </c>
      <c r="V1668" s="479">
        <f t="shared" si="123"/>
        <v>-167214.17294266302</v>
      </c>
      <c r="W1668" s="559"/>
      <c r="X1668" s="559"/>
    </row>
    <row r="1669" spans="1:24" x14ac:dyDescent="0.25">
      <c r="A1669" s="553">
        <f t="shared" si="122"/>
        <v>178658.96691298502</v>
      </c>
      <c r="B1669" s="3">
        <f t="shared" si="124"/>
        <v>19.899999999999952</v>
      </c>
      <c r="C1669" s="553">
        <f>'Foglio deposito bis'!$E$159/sezione!$B$247*B1669</f>
        <v>80.786456197303863</v>
      </c>
      <c r="D1669" s="611">
        <f>-'Progetto del paramento slu'!$G$47*'Progetto del paramento slu'!$G$41*IF(DATI!$G$218="dx",DATI!$E$61,DATI!$E$64*DATI!$E$63)*1000*C1669^2*sezione!$AD$5*(1-sezione!$AD$6)</f>
        <v>-53725747.222143993</v>
      </c>
      <c r="E1669" s="553">
        <f>-'Foglio deposito bis'!$F$68*(C1669-sezione!$AL$33)*IF(ABS(K1669)&lt;'Progetto del paramento slu'!$G$58,ABS(K1669)*'Progetto del paramento slu'!$G$54,'Progetto del paramento slu'!$G$53)</f>
        <v>0</v>
      </c>
      <c r="F1669" s="553">
        <f>-'Foglio deposito bis'!$F$69*(C1669-sezione!$AM$33)*IF(ABS(L1669)&lt;'Progetto del paramento slu'!$G$58,ABS(L1669)*'Progetto del paramento slu'!$G$54,'Progetto del paramento slu'!$G$53)</f>
        <v>10635689.383995598</v>
      </c>
      <c r="G1669" s="553">
        <f>-'Foglio deposito bis'!$F$70*(C1669-sezione!$AN$33)*IF(ABS(M1669)&lt;'Progetto del paramento slu'!$G$58,ABS(M1669)*'Progetto del paramento slu'!$G$54,'Progetto del paramento slu'!$G$53)</f>
        <v>0</v>
      </c>
      <c r="H1669" s="553">
        <f>-'Foglio deposito bis'!$F$71*(C1669-sezione!$AO$33)*IF(ABS(N1669)&lt;'Progetto del paramento slu'!$G$58,ABS(N1669)*'Progetto del paramento slu'!$G$54,'Progetto del paramento slu'!$G$53)</f>
        <v>81575961.425182447</v>
      </c>
      <c r="I1669" s="479">
        <f>-'Foglio deposito bis'!$F$72*(C1669-sezione!$AP$33)*IF(ABS(O1669)&lt;'Progetto del paramento slu'!$G$58,ABS(O1669)*'Progetto del paramento slu'!$G$54,'Progetto del paramento slu'!$G$53)</f>
        <v>88127179.337556213</v>
      </c>
      <c r="J1669" s="479">
        <f t="shared" si="121"/>
        <v>126613082.92459026</v>
      </c>
      <c r="K1669" s="558">
        <f>'Progetto del paramento slu'!$G$60*(sezione!$AL$33-C1669)/C1669</f>
        <v>-1.7670362510012873E-3</v>
      </c>
      <c r="L1669" s="558">
        <f>'Progetto del paramento slu'!$G$60*(sezione!$AM$33-C1669)/C1669</f>
        <v>2.9986140587451729E-3</v>
      </c>
      <c r="M1669" s="559">
        <f>'Progetto del paramento slu'!$G$60*(sezione!$AN$33-C1669)/C1669</f>
        <v>7.7642643684916338E-3</v>
      </c>
      <c r="N1669" s="559">
        <f>'Progetto del paramento slu'!$G$60*(sezione!$AO$33-C1669)/C1669</f>
        <v>1.1230191866489058E-2</v>
      </c>
      <c r="O1669" s="559">
        <f>'Progetto del paramento slu'!$G$60*(sezione!$AP$33-C1669)/C1669</f>
        <v>7.7645236881872396E-3</v>
      </c>
      <c r="P1669" s="553">
        <f>-'Progetto del paramento slu'!$G$47*'Progetto del paramento slu'!$G$41*IF(DATI!$G$218="dx",DATI!$E$61,DATI!$E$64*DATI!$E$63)*1000*C1669*sezione!$AD$5</f>
        <v>-1138757.0000470136</v>
      </c>
      <c r="Q1669" s="553">
        <f>'Foglio deposito bis'!$F$68*IF(ABS(K1669)&lt;'Progetto del paramento slu'!$G$58,ABS(K1669)*'Progetto del paramento slu'!$G$54,'Progetto del paramento slu'!$G$53)*IF(K1669&lt;0,-1,1)</f>
        <v>0</v>
      </c>
      <c r="R1669" s="553">
        <f>'Foglio deposito bis'!$F$69*IF(ABS(L1669)&lt;'Progetto del paramento slu'!$G$58,ABS(L1669)*'Progetto del paramento slu'!$G$54,'Progetto del paramento slu'!$G$53)*IF(L1669&lt;0,-1,1)</f>
        <v>153664.85805602249</v>
      </c>
      <c r="S1669" s="553">
        <f>'Foglio deposito bis'!$F$70*IF(ABS(M1669)&lt;'Progetto del paramento slu'!$G$58,ABS(M1669)*'Progetto del paramento slu'!$G$54,'Progetto del paramento slu'!$G$53)*IF(M1669&lt;0,-1,1)</f>
        <v>0</v>
      </c>
      <c r="T1669" s="553">
        <f>'Foglio deposito bis'!$F$71*IF(ABS(N1669)&lt;'Progetto del paramento slu'!$G$58,ABS(N1669)*'Progetto del paramento slu'!$G$54,'Progetto del paramento slu'!$G$53)*IF(N1669&lt;0,-1,1)</f>
        <v>314705.62929873407</v>
      </c>
      <c r="U1669" s="553">
        <f>'Foglio deposito bis'!$F$72*IF(ABS(O1669)&lt;'Progetto del paramento slu'!$G$58,ABS(O1669)*'Progetto del paramento slu'!$G$54,'Progetto del paramento slu'!$G$53)*IF(O1669&lt;0,-1,1)</f>
        <v>491727.54577927204</v>
      </c>
      <c r="V1669" s="479">
        <f t="shared" si="123"/>
        <v>-178658.96691298502</v>
      </c>
      <c r="W1669" s="559"/>
      <c r="X1669" s="559"/>
    </row>
    <row r="1670" spans="1:24" x14ac:dyDescent="0.25">
      <c r="A1670" s="553">
        <f t="shared" si="122"/>
        <v>190103.76088330656</v>
      </c>
      <c r="B1670" s="3">
        <f t="shared" si="124"/>
        <v>20.099999999999952</v>
      </c>
      <c r="C1670" s="553">
        <f>'Foglio deposito bis'!$E$159/sezione!$B$247*B1670</f>
        <v>81.59838038019133</v>
      </c>
      <c r="D1670" s="611">
        <f>-'Progetto del paramento slu'!$G$47*'Progetto del paramento slu'!$G$41*IF(DATI!$G$218="dx",DATI!$E$61,DATI!$E$64*DATI!$E$63)*1000*C1670^2*sezione!$AD$5*(1-sezione!$AD$6)</f>
        <v>-54811088.445287719</v>
      </c>
      <c r="E1670" s="553">
        <f>-'Foglio deposito bis'!$F$68*(C1670-sezione!$AL$33)*IF(ABS(K1670)&lt;'Progetto del paramento slu'!$G$58,ABS(K1670)*'Progetto del paramento slu'!$G$54,'Progetto del paramento slu'!$G$53)</f>
        <v>0</v>
      </c>
      <c r="F1670" s="553">
        <f>-'Foglio deposito bis'!$F$69*(C1670-sezione!$AM$33)*IF(ABS(L1670)&lt;'Progetto del paramento slu'!$G$58,ABS(L1670)*'Progetto del paramento slu'!$G$54,'Progetto del paramento slu'!$G$53)</f>
        <v>10510925.169679943</v>
      </c>
      <c r="G1670" s="553">
        <f>-'Foglio deposito bis'!$F$70*(C1670-sezione!$AN$33)*IF(ABS(M1670)&lt;'Progetto del paramento slu'!$G$58,ABS(M1670)*'Progetto del paramento slu'!$G$54,'Progetto del paramento slu'!$G$53)</f>
        <v>0</v>
      </c>
      <c r="H1670" s="553">
        <f>-'Foglio deposito bis'!$F$71*(C1670-sezione!$AO$33)*IF(ABS(N1670)&lt;'Progetto del paramento slu'!$G$58,ABS(N1670)*'Progetto del paramento slu'!$G$54,'Progetto del paramento slu'!$G$53)</f>
        <v>81320444.314264014</v>
      </c>
      <c r="I1670" s="479">
        <f>-'Foglio deposito bis'!$F$72*(C1670-sezione!$AP$33)*IF(ABS(O1670)&lt;'Progetto del paramento slu'!$G$58,ABS(O1670)*'Progetto del paramento slu'!$G$54,'Progetto del paramento slu'!$G$53)</f>
        <v>87727933.851746127</v>
      </c>
      <c r="J1670" s="479">
        <f t="shared" si="121"/>
        <v>124748214.89040236</v>
      </c>
      <c r="K1670" s="558">
        <f>'Progetto del paramento slu'!$G$60*(sezione!$AL$33-C1670)/C1670</f>
        <v>-1.7842796713893338E-3</v>
      </c>
      <c r="L1670" s="558">
        <f>'Progetto del paramento slu'!$G$60*(sezione!$AM$33-C1670)/C1670</f>
        <v>2.9339512322899982E-3</v>
      </c>
      <c r="M1670" s="559">
        <f>'Progetto del paramento slu'!$G$60*(sezione!$AN$33-C1670)/C1670</f>
        <v>7.6521821359693308E-3</v>
      </c>
      <c r="N1670" s="559">
        <f>'Progetto del paramento slu'!$G$60*(sezione!$AO$33-C1670)/C1670</f>
        <v>1.1083622793190662E-2</v>
      </c>
      <c r="O1670" s="559">
        <f>'Progetto del paramento slu'!$G$60*(sezione!$AP$33-C1670)/C1670</f>
        <v>7.6524388753694585E-3</v>
      </c>
      <c r="P1670" s="553">
        <f>-'Progetto del paramento slu'!$G$47*'Progetto del paramento slu'!$G$41*IF(DATI!$G$218="dx",DATI!$E$61,DATI!$E$64*DATI!$E$63)*1000*C1670*sezione!$AD$5</f>
        <v>-1150201.7940173352</v>
      </c>
      <c r="Q1670" s="553">
        <f>'Foglio deposito bis'!$F$68*IF(ABS(K1670)&lt;'Progetto del paramento slu'!$G$58,ABS(K1670)*'Progetto del paramento slu'!$G$54,'Progetto del paramento slu'!$G$53)*IF(K1670&lt;0,-1,1)</f>
        <v>0</v>
      </c>
      <c r="R1670" s="553">
        <f>'Foglio deposito bis'!$F$69*IF(ABS(L1670)&lt;'Progetto del paramento slu'!$G$58,ABS(L1670)*'Progetto del paramento slu'!$G$54,'Progetto del paramento slu'!$G$53)*IF(L1670&lt;0,-1,1)</f>
        <v>153664.85805602249</v>
      </c>
      <c r="S1670" s="553">
        <f>'Foglio deposito bis'!$F$70*IF(ABS(M1670)&lt;'Progetto del paramento slu'!$G$58,ABS(M1670)*'Progetto del paramento slu'!$G$54,'Progetto del paramento slu'!$G$53)*IF(M1670&lt;0,-1,1)</f>
        <v>0</v>
      </c>
      <c r="T1670" s="553">
        <f>'Foglio deposito bis'!$F$71*IF(ABS(N1670)&lt;'Progetto del paramento slu'!$G$58,ABS(N1670)*'Progetto del paramento slu'!$G$54,'Progetto del paramento slu'!$G$53)*IF(N1670&lt;0,-1,1)</f>
        <v>314705.62929873407</v>
      </c>
      <c r="U1670" s="553">
        <f>'Foglio deposito bis'!$F$72*IF(ABS(O1670)&lt;'Progetto del paramento slu'!$G$58,ABS(O1670)*'Progetto del paramento slu'!$G$54,'Progetto del paramento slu'!$G$53)*IF(O1670&lt;0,-1,1)</f>
        <v>491727.54577927204</v>
      </c>
      <c r="V1670" s="479">
        <f t="shared" si="123"/>
        <v>-190103.76088330656</v>
      </c>
      <c r="W1670" s="559"/>
      <c r="X1670" s="559"/>
    </row>
    <row r="1671" spans="1:24" x14ac:dyDescent="0.25">
      <c r="A1671" s="553">
        <f t="shared" si="122"/>
        <v>201548.55485362833</v>
      </c>
      <c r="B1671" s="3">
        <f t="shared" si="124"/>
        <v>20.299999999999951</v>
      </c>
      <c r="C1671" s="553">
        <f>'Foglio deposito bis'!$E$159/sezione!$B$247*B1671</f>
        <v>82.41030456307881</v>
      </c>
      <c r="D1671" s="611">
        <f>-'Progetto del paramento slu'!$G$47*'Progetto del paramento slu'!$G$41*IF(DATI!$G$218="dx",DATI!$E$61,DATI!$E$64*DATI!$E$63)*1000*C1671^2*sezione!$AD$5*(1-sezione!$AD$6)</f>
        <v>-55907283.080662906</v>
      </c>
      <c r="E1671" s="553">
        <f>-'Foglio deposito bis'!$F$68*(C1671-sezione!$AL$33)*IF(ABS(K1671)&lt;'Progetto del paramento slu'!$G$58,ABS(K1671)*'Progetto del paramento slu'!$G$54,'Progetto del paramento slu'!$G$53)</f>
        <v>0</v>
      </c>
      <c r="F1671" s="553">
        <f>-'Foglio deposito bis'!$F$69*(C1671-sezione!$AM$33)*IF(ABS(L1671)&lt;'Progetto del paramento slu'!$G$58,ABS(L1671)*'Progetto del paramento slu'!$G$54,'Progetto del paramento slu'!$G$53)</f>
        <v>10386160.955364285</v>
      </c>
      <c r="G1671" s="553">
        <f>-'Foglio deposito bis'!$F$70*(C1671-sezione!$AN$33)*IF(ABS(M1671)&lt;'Progetto del paramento slu'!$G$58,ABS(M1671)*'Progetto del paramento slu'!$G$54,'Progetto del paramento slu'!$G$53)</f>
        <v>0</v>
      </c>
      <c r="H1671" s="553">
        <f>-'Foglio deposito bis'!$F$71*(C1671-sezione!$AO$33)*IF(ABS(N1671)&lt;'Progetto del paramento slu'!$G$58,ABS(N1671)*'Progetto del paramento slu'!$G$54,'Progetto del paramento slu'!$G$53)</f>
        <v>81064927.203345537</v>
      </c>
      <c r="I1671" s="479">
        <f>-'Foglio deposito bis'!$F$72*(C1671-sezione!$AP$33)*IF(ABS(O1671)&lt;'Progetto del paramento slu'!$G$58,ABS(O1671)*'Progetto del paramento slu'!$G$54,'Progetto del paramento slu'!$G$53)</f>
        <v>87328688.365936026</v>
      </c>
      <c r="J1671" s="479">
        <f t="shared" si="121"/>
        <v>122872493.44398294</v>
      </c>
      <c r="K1671" s="558">
        <f>'Progetto del paramento slu'!$G$60*(sezione!$AL$33-C1671)/C1671</f>
        <v>-1.8011833199470745E-3</v>
      </c>
      <c r="L1671" s="558">
        <f>'Progetto del paramento slu'!$G$60*(sezione!$AM$33-C1671)/C1671</f>
        <v>2.8705625501984707E-3</v>
      </c>
      <c r="M1671" s="559">
        <f>'Progetto del paramento slu'!$G$60*(sezione!$AN$33-C1671)/C1671</f>
        <v>7.5423084203440167E-3</v>
      </c>
      <c r="N1671" s="559">
        <f>'Progetto del paramento slu'!$G$60*(sezione!$AO$33-C1671)/C1671</f>
        <v>1.0939941780449866E-2</v>
      </c>
      <c r="O1671" s="559">
        <f>'Progetto del paramento slu'!$G$60*(sezione!$AP$33-C1671)/C1671</f>
        <v>7.5425626302919263E-3</v>
      </c>
      <c r="P1671" s="553">
        <f>-'Progetto del paramento slu'!$G$47*'Progetto del paramento slu'!$G$41*IF(DATI!$G$218="dx",DATI!$E$61,DATI!$E$64*DATI!$E$63)*1000*C1671*sezione!$AD$5</f>
        <v>-1161646.5879876569</v>
      </c>
      <c r="Q1671" s="553">
        <f>'Foglio deposito bis'!$F$68*IF(ABS(K1671)&lt;'Progetto del paramento slu'!$G$58,ABS(K1671)*'Progetto del paramento slu'!$G$54,'Progetto del paramento slu'!$G$53)*IF(K1671&lt;0,-1,1)</f>
        <v>0</v>
      </c>
      <c r="R1671" s="553">
        <f>'Foglio deposito bis'!$F$69*IF(ABS(L1671)&lt;'Progetto del paramento slu'!$G$58,ABS(L1671)*'Progetto del paramento slu'!$G$54,'Progetto del paramento slu'!$G$53)*IF(L1671&lt;0,-1,1)</f>
        <v>153664.85805602249</v>
      </c>
      <c r="S1671" s="553">
        <f>'Foglio deposito bis'!$F$70*IF(ABS(M1671)&lt;'Progetto del paramento slu'!$G$58,ABS(M1671)*'Progetto del paramento slu'!$G$54,'Progetto del paramento slu'!$G$53)*IF(M1671&lt;0,-1,1)</f>
        <v>0</v>
      </c>
      <c r="T1671" s="553">
        <f>'Foglio deposito bis'!$F$71*IF(ABS(N1671)&lt;'Progetto del paramento slu'!$G$58,ABS(N1671)*'Progetto del paramento slu'!$G$54,'Progetto del paramento slu'!$G$53)*IF(N1671&lt;0,-1,1)</f>
        <v>314705.62929873407</v>
      </c>
      <c r="U1671" s="553">
        <f>'Foglio deposito bis'!$F$72*IF(ABS(O1671)&lt;'Progetto del paramento slu'!$G$58,ABS(O1671)*'Progetto del paramento slu'!$G$54,'Progetto del paramento slu'!$G$53)*IF(O1671&lt;0,-1,1)</f>
        <v>491727.54577927204</v>
      </c>
      <c r="V1671" s="479">
        <f t="shared" si="123"/>
        <v>-201548.55485362833</v>
      </c>
      <c r="W1671" s="559"/>
      <c r="X1671" s="559"/>
    </row>
    <row r="1672" spans="1:24" x14ac:dyDescent="0.25">
      <c r="A1672" s="553">
        <f t="shared" si="122"/>
        <v>212993.3488239501</v>
      </c>
      <c r="B1672" s="3">
        <f t="shared" si="124"/>
        <v>20.49999999999995</v>
      </c>
      <c r="C1672" s="553">
        <f>'Foglio deposito bis'!$E$159/sezione!$B$247*B1672</f>
        <v>83.222228745966291</v>
      </c>
      <c r="D1672" s="611">
        <f>-'Progetto del paramento slu'!$G$47*'Progetto del paramento slu'!$G$41*IF(DATI!$G$218="dx",DATI!$E$61,DATI!$E$64*DATI!$E$63)*1000*C1672^2*sezione!$AD$5*(1-sezione!$AD$6)</f>
        <v>-57014331.128269523</v>
      </c>
      <c r="E1672" s="553">
        <f>-'Foglio deposito bis'!$F$68*(C1672-sezione!$AL$33)*IF(ABS(K1672)&lt;'Progetto del paramento slu'!$G$58,ABS(K1672)*'Progetto del paramento slu'!$G$54,'Progetto del paramento slu'!$G$53)</f>
        <v>0</v>
      </c>
      <c r="F1672" s="553">
        <f>-'Foglio deposito bis'!$F$69*(C1672-sezione!$AM$33)*IF(ABS(L1672)&lt;'Progetto del paramento slu'!$G$58,ABS(L1672)*'Progetto del paramento slu'!$G$54,'Progetto del paramento slu'!$G$53)</f>
        <v>10261396.741048628</v>
      </c>
      <c r="G1672" s="553">
        <f>-'Foglio deposito bis'!$F$70*(C1672-sezione!$AN$33)*IF(ABS(M1672)&lt;'Progetto del paramento slu'!$G$58,ABS(M1672)*'Progetto del paramento slu'!$G$54,'Progetto del paramento slu'!$G$53)</f>
        <v>0</v>
      </c>
      <c r="H1672" s="553">
        <f>-'Foglio deposito bis'!$F$71*(C1672-sezione!$AO$33)*IF(ABS(N1672)&lt;'Progetto del paramento slu'!$G$58,ABS(N1672)*'Progetto del paramento slu'!$G$54,'Progetto del paramento slu'!$G$53)</f>
        <v>80809410.092427075</v>
      </c>
      <c r="I1672" s="479">
        <f>-'Foglio deposito bis'!$F$72*(C1672-sezione!$AP$33)*IF(ABS(O1672)&lt;'Progetto del paramento slu'!$G$58,ABS(O1672)*'Progetto del paramento slu'!$G$54,'Progetto del paramento slu'!$G$53)</f>
        <v>86929442.880125925</v>
      </c>
      <c r="J1672" s="479">
        <f t="shared" si="121"/>
        <v>120985918.5853321</v>
      </c>
      <c r="K1672" s="558">
        <f>'Progetto del paramento slu'!$G$60*(sezione!$AL$33-C1672)/C1672</f>
        <v>-1.8177571412158837E-3</v>
      </c>
      <c r="L1672" s="558">
        <f>'Progetto del paramento slu'!$G$60*(sezione!$AM$33-C1672)/C1672</f>
        <v>2.8084107204404364E-3</v>
      </c>
      <c r="M1672" s="559">
        <f>'Progetto del paramento slu'!$G$60*(sezione!$AN$33-C1672)/C1672</f>
        <v>7.4345785820967578E-3</v>
      </c>
      <c r="N1672" s="559">
        <f>'Progetto del paramento slu'!$G$60*(sezione!$AO$33-C1672)/C1672</f>
        <v>1.079906429966499E-2</v>
      </c>
      <c r="O1672" s="559">
        <f>'Progetto del paramento slu'!$G$60*(sezione!$AP$33-C1672)/C1672</f>
        <v>7.4348303119476144E-3</v>
      </c>
      <c r="P1672" s="553">
        <f>-'Progetto del paramento slu'!$G$47*'Progetto del paramento slu'!$G$41*IF(DATI!$G$218="dx",DATI!$E$61,DATI!$E$64*DATI!$E$63)*1000*C1672*sezione!$AD$5</f>
        <v>-1173091.3819579787</v>
      </c>
      <c r="Q1672" s="553">
        <f>'Foglio deposito bis'!$F$68*IF(ABS(K1672)&lt;'Progetto del paramento slu'!$G$58,ABS(K1672)*'Progetto del paramento slu'!$G$54,'Progetto del paramento slu'!$G$53)*IF(K1672&lt;0,-1,1)</f>
        <v>0</v>
      </c>
      <c r="R1672" s="553">
        <f>'Foglio deposito bis'!$F$69*IF(ABS(L1672)&lt;'Progetto del paramento slu'!$G$58,ABS(L1672)*'Progetto del paramento slu'!$G$54,'Progetto del paramento slu'!$G$53)*IF(L1672&lt;0,-1,1)</f>
        <v>153664.85805602249</v>
      </c>
      <c r="S1672" s="553">
        <f>'Foglio deposito bis'!$F$70*IF(ABS(M1672)&lt;'Progetto del paramento slu'!$G$58,ABS(M1672)*'Progetto del paramento slu'!$G$54,'Progetto del paramento slu'!$G$53)*IF(M1672&lt;0,-1,1)</f>
        <v>0</v>
      </c>
      <c r="T1672" s="553">
        <f>'Foglio deposito bis'!$F$71*IF(ABS(N1672)&lt;'Progetto del paramento slu'!$G$58,ABS(N1672)*'Progetto del paramento slu'!$G$54,'Progetto del paramento slu'!$G$53)*IF(N1672&lt;0,-1,1)</f>
        <v>314705.62929873407</v>
      </c>
      <c r="U1672" s="553">
        <f>'Foglio deposito bis'!$F$72*IF(ABS(O1672)&lt;'Progetto del paramento slu'!$G$58,ABS(O1672)*'Progetto del paramento slu'!$G$54,'Progetto del paramento slu'!$G$53)*IF(O1672&lt;0,-1,1)</f>
        <v>491727.54577927204</v>
      </c>
      <c r="V1672" s="479">
        <f t="shared" si="123"/>
        <v>-212993.3488239501</v>
      </c>
      <c r="W1672" s="559"/>
      <c r="X1672" s="559"/>
    </row>
    <row r="1673" spans="1:24" x14ac:dyDescent="0.25">
      <c r="A1673" s="553">
        <f t="shared" si="122"/>
        <v>224438.14279427164</v>
      </c>
      <c r="B1673" s="3">
        <f t="shared" si="124"/>
        <v>20.69999999999995</v>
      </c>
      <c r="C1673" s="553">
        <f>'Foglio deposito bis'!$E$159/sezione!$B$247*B1673</f>
        <v>84.034152928853757</v>
      </c>
      <c r="D1673" s="611">
        <f>-'Progetto del paramento slu'!$G$47*'Progetto del paramento slu'!$G$41*IF(DATI!$G$218="dx",DATI!$E$61,DATI!$E$64*DATI!$E$63)*1000*C1673^2*sezione!$AD$5*(1-sezione!$AD$6)</f>
        <v>-58132232.588107556</v>
      </c>
      <c r="E1673" s="553">
        <f>-'Foglio deposito bis'!$F$68*(C1673-sezione!$AL$33)*IF(ABS(K1673)&lt;'Progetto del paramento slu'!$G$58,ABS(K1673)*'Progetto del paramento slu'!$G$54,'Progetto del paramento slu'!$G$53)</f>
        <v>0</v>
      </c>
      <c r="F1673" s="553">
        <f>-'Foglio deposito bis'!$F$69*(C1673-sezione!$AM$33)*IF(ABS(L1673)&lt;'Progetto del paramento slu'!$G$58,ABS(L1673)*'Progetto del paramento slu'!$G$54,'Progetto del paramento slu'!$G$53)</f>
        <v>10136632.526732974</v>
      </c>
      <c r="G1673" s="553">
        <f>-'Foglio deposito bis'!$F$70*(C1673-sezione!$AN$33)*IF(ABS(M1673)&lt;'Progetto del paramento slu'!$G$58,ABS(M1673)*'Progetto del paramento slu'!$G$54,'Progetto del paramento slu'!$G$53)</f>
        <v>0</v>
      </c>
      <c r="H1673" s="553">
        <f>-'Foglio deposito bis'!$F$71*(C1673-sezione!$AO$33)*IF(ABS(N1673)&lt;'Progetto del paramento slu'!$G$58,ABS(N1673)*'Progetto del paramento slu'!$G$54,'Progetto del paramento slu'!$G$53)</f>
        <v>80553892.981508613</v>
      </c>
      <c r="I1673" s="479">
        <f>-'Foglio deposito bis'!$F$72*(C1673-sezione!$AP$33)*IF(ABS(O1673)&lt;'Progetto del paramento slu'!$G$58,ABS(O1673)*'Progetto del paramento slu'!$G$54,'Progetto del paramento slu'!$G$53)</f>
        <v>86530197.394315824</v>
      </c>
      <c r="J1673" s="479">
        <f t="shared" si="121"/>
        <v>119088490.31444985</v>
      </c>
      <c r="K1673" s="558">
        <f>'Progetto del paramento slu'!$G$60*(sezione!$AL$33-C1673)/C1673</f>
        <v>-1.8340106954070343E-3</v>
      </c>
      <c r="L1673" s="558">
        <f>'Progetto del paramento slu'!$G$60*(sezione!$AM$33-C1673)/C1673</f>
        <v>2.7474598922236212E-3</v>
      </c>
      <c r="M1673" s="559">
        <f>'Progetto del paramento slu'!$G$60*(sezione!$AN$33-C1673)/C1673</f>
        <v>7.3289304798542761E-3</v>
      </c>
      <c r="N1673" s="559">
        <f>'Progetto del paramento slu'!$G$60*(sezione!$AO$33-C1673)/C1673</f>
        <v>1.0660909089040209E-2</v>
      </c>
      <c r="O1673" s="559">
        <f>'Progetto del paramento slu'!$G$60*(sezione!$AP$33-C1673)/C1673</f>
        <v>7.3291797775326623E-3</v>
      </c>
      <c r="P1673" s="553">
        <f>-'Progetto del paramento slu'!$G$47*'Progetto del paramento slu'!$G$41*IF(DATI!$G$218="dx",DATI!$E$61,DATI!$E$64*DATI!$E$63)*1000*C1673*sezione!$AD$5</f>
        <v>-1184536.1759283002</v>
      </c>
      <c r="Q1673" s="553">
        <f>'Foglio deposito bis'!$F$68*IF(ABS(K1673)&lt;'Progetto del paramento slu'!$G$58,ABS(K1673)*'Progetto del paramento slu'!$G$54,'Progetto del paramento slu'!$G$53)*IF(K1673&lt;0,-1,1)</f>
        <v>0</v>
      </c>
      <c r="R1673" s="553">
        <f>'Foglio deposito bis'!$F$69*IF(ABS(L1673)&lt;'Progetto del paramento slu'!$G$58,ABS(L1673)*'Progetto del paramento slu'!$G$54,'Progetto del paramento slu'!$G$53)*IF(L1673&lt;0,-1,1)</f>
        <v>153664.85805602249</v>
      </c>
      <c r="S1673" s="553">
        <f>'Foglio deposito bis'!$F$70*IF(ABS(M1673)&lt;'Progetto del paramento slu'!$G$58,ABS(M1673)*'Progetto del paramento slu'!$G$54,'Progetto del paramento slu'!$G$53)*IF(M1673&lt;0,-1,1)</f>
        <v>0</v>
      </c>
      <c r="T1673" s="553">
        <f>'Foglio deposito bis'!$F$71*IF(ABS(N1673)&lt;'Progetto del paramento slu'!$G$58,ABS(N1673)*'Progetto del paramento slu'!$G$54,'Progetto del paramento slu'!$G$53)*IF(N1673&lt;0,-1,1)</f>
        <v>314705.62929873407</v>
      </c>
      <c r="U1673" s="553">
        <f>'Foglio deposito bis'!$F$72*IF(ABS(O1673)&lt;'Progetto del paramento slu'!$G$58,ABS(O1673)*'Progetto del paramento slu'!$G$54,'Progetto del paramento slu'!$G$53)*IF(O1673&lt;0,-1,1)</f>
        <v>491727.54577927204</v>
      </c>
      <c r="V1673" s="479">
        <f t="shared" si="123"/>
        <v>-224438.14279427164</v>
      </c>
      <c r="W1673" s="559"/>
      <c r="X1673" s="559"/>
    </row>
    <row r="1674" spans="1:24" x14ac:dyDescent="0.25">
      <c r="A1674" s="553">
        <f t="shared" si="122"/>
        <v>235882.93676459364</v>
      </c>
      <c r="B1674" s="3">
        <f t="shared" si="124"/>
        <v>20.899999999999949</v>
      </c>
      <c r="C1674" s="553">
        <f>'Foglio deposito bis'!$E$159/sezione!$B$247*B1674</f>
        <v>84.846077111741238</v>
      </c>
      <c r="D1674" s="611">
        <f>-'Progetto del paramento slu'!$G$47*'Progetto del paramento slu'!$G$41*IF(DATI!$G$218="dx",DATI!$E$61,DATI!$E$64*DATI!$E$63)*1000*C1674^2*sezione!$AD$5*(1-sezione!$AD$6)</f>
        <v>-59260987.460177056</v>
      </c>
      <c r="E1674" s="553">
        <f>-'Foglio deposito bis'!$F$68*(C1674-sezione!$AL$33)*IF(ABS(K1674)&lt;'Progetto del paramento slu'!$G$58,ABS(K1674)*'Progetto del paramento slu'!$G$54,'Progetto del paramento slu'!$G$53)</f>
        <v>0</v>
      </c>
      <c r="F1674" s="553">
        <f>-'Foglio deposito bis'!$F$69*(C1674-sezione!$AM$33)*IF(ABS(L1674)&lt;'Progetto del paramento slu'!$G$58,ABS(L1674)*'Progetto del paramento slu'!$G$54,'Progetto del paramento slu'!$G$53)</f>
        <v>10011868.312417317</v>
      </c>
      <c r="G1674" s="553">
        <f>-'Foglio deposito bis'!$F$70*(C1674-sezione!$AN$33)*IF(ABS(M1674)&lt;'Progetto del paramento slu'!$G$58,ABS(M1674)*'Progetto del paramento slu'!$G$54,'Progetto del paramento slu'!$G$53)</f>
        <v>0</v>
      </c>
      <c r="H1674" s="553">
        <f>-'Foglio deposito bis'!$F$71*(C1674-sezione!$AO$33)*IF(ABS(N1674)&lt;'Progetto del paramento slu'!$G$58,ABS(N1674)*'Progetto del paramento slu'!$G$54,'Progetto del paramento slu'!$G$53)</f>
        <v>80298375.87059015</v>
      </c>
      <c r="I1674" s="479">
        <f>-'Foglio deposito bis'!$F$72*(C1674-sezione!$AP$33)*IF(ABS(O1674)&lt;'Progetto del paramento slu'!$G$58,ABS(O1674)*'Progetto del paramento slu'!$G$54,'Progetto del paramento slu'!$G$53)</f>
        <v>86130951.908505723</v>
      </c>
      <c r="J1674" s="479">
        <f t="shared" si="121"/>
        <v>117180208.63133614</v>
      </c>
      <c r="K1674" s="558">
        <f>'Progetto del paramento slu'!$G$60*(sezione!$AL$33-C1674)/C1674</f>
        <v>-1.8499531767906992E-3</v>
      </c>
      <c r="L1674" s="558">
        <f>'Progetto del paramento slu'!$G$60*(sezione!$AM$33-C1674)/C1674</f>
        <v>2.6876755870348782E-3</v>
      </c>
      <c r="M1674" s="559">
        <f>'Progetto del paramento slu'!$G$60*(sezione!$AN$33-C1674)/C1674</f>
        <v>7.2253043508604554E-3</v>
      </c>
      <c r="N1674" s="559">
        <f>'Progetto del paramento slu'!$G$60*(sezione!$AO$33-C1674)/C1674</f>
        <v>1.0525397997279057E-2</v>
      </c>
      <c r="O1674" s="559">
        <f>'Progetto del paramento slu'!$G$60*(sezione!$AP$33-C1674)/C1674</f>
        <v>7.2255512629151239E-3</v>
      </c>
      <c r="P1674" s="553">
        <f>-'Progetto del paramento slu'!$G$47*'Progetto del paramento slu'!$G$41*IF(DATI!$G$218="dx",DATI!$E$61,DATI!$E$64*DATI!$E$63)*1000*C1674*sezione!$AD$5</f>
        <v>-1195980.9698986223</v>
      </c>
      <c r="Q1674" s="553">
        <f>'Foglio deposito bis'!$F$68*IF(ABS(K1674)&lt;'Progetto del paramento slu'!$G$58,ABS(K1674)*'Progetto del paramento slu'!$G$54,'Progetto del paramento slu'!$G$53)*IF(K1674&lt;0,-1,1)</f>
        <v>0</v>
      </c>
      <c r="R1674" s="553">
        <f>'Foglio deposito bis'!$F$69*IF(ABS(L1674)&lt;'Progetto del paramento slu'!$G$58,ABS(L1674)*'Progetto del paramento slu'!$G$54,'Progetto del paramento slu'!$G$53)*IF(L1674&lt;0,-1,1)</f>
        <v>153664.85805602249</v>
      </c>
      <c r="S1674" s="553">
        <f>'Foglio deposito bis'!$F$70*IF(ABS(M1674)&lt;'Progetto del paramento slu'!$G$58,ABS(M1674)*'Progetto del paramento slu'!$G$54,'Progetto del paramento slu'!$G$53)*IF(M1674&lt;0,-1,1)</f>
        <v>0</v>
      </c>
      <c r="T1674" s="553">
        <f>'Foglio deposito bis'!$F$71*IF(ABS(N1674)&lt;'Progetto del paramento slu'!$G$58,ABS(N1674)*'Progetto del paramento slu'!$G$54,'Progetto del paramento slu'!$G$53)*IF(N1674&lt;0,-1,1)</f>
        <v>314705.62929873407</v>
      </c>
      <c r="U1674" s="553">
        <f>'Foglio deposito bis'!$F$72*IF(ABS(O1674)&lt;'Progetto del paramento slu'!$G$58,ABS(O1674)*'Progetto del paramento slu'!$G$54,'Progetto del paramento slu'!$G$53)*IF(O1674&lt;0,-1,1)</f>
        <v>491727.54577927204</v>
      </c>
      <c r="V1674" s="479">
        <f t="shared" si="123"/>
        <v>-235882.93676459364</v>
      </c>
      <c r="W1674" s="559"/>
      <c r="X1674" s="559"/>
    </row>
    <row r="1675" spans="1:24" x14ac:dyDescent="0.25">
      <c r="A1675" s="553">
        <f t="shared" si="122"/>
        <v>247327.73073491518</v>
      </c>
      <c r="B1675" s="3">
        <f t="shared" si="124"/>
        <v>21.099999999999948</v>
      </c>
      <c r="C1675" s="553">
        <f>'Foglio deposito bis'!$E$159/sezione!$B$247*B1675</f>
        <v>85.658001294628704</v>
      </c>
      <c r="D1675" s="611">
        <f>-'Progetto del paramento slu'!$G$47*'Progetto del paramento slu'!$G$41*IF(DATI!$G$218="dx",DATI!$E$61,DATI!$E$64*DATI!$E$63)*1000*C1675^2*sezione!$AD$5*(1-sezione!$AD$6)</f>
        <v>-60400595.744477965</v>
      </c>
      <c r="E1675" s="553">
        <f>-'Foglio deposito bis'!$F$68*(C1675-sezione!$AL$33)*IF(ABS(K1675)&lt;'Progetto del paramento slu'!$G$58,ABS(K1675)*'Progetto del paramento slu'!$G$54,'Progetto del paramento slu'!$G$53)</f>
        <v>0</v>
      </c>
      <c r="F1675" s="553">
        <f>-'Foglio deposito bis'!$F$69*(C1675-sezione!$AM$33)*IF(ABS(L1675)&lt;'Progetto del paramento slu'!$G$58,ABS(L1675)*'Progetto del paramento slu'!$G$54,'Progetto del paramento slu'!$G$53)</f>
        <v>9887104.0981016643</v>
      </c>
      <c r="G1675" s="553">
        <f>-'Foglio deposito bis'!$F$70*(C1675-sezione!$AN$33)*IF(ABS(M1675)&lt;'Progetto del paramento slu'!$G$58,ABS(M1675)*'Progetto del paramento slu'!$G$54,'Progetto del paramento slu'!$G$53)</f>
        <v>0</v>
      </c>
      <c r="H1675" s="553">
        <f>-'Foglio deposito bis'!$F$71*(C1675-sezione!$AO$33)*IF(ABS(N1675)&lt;'Progetto del paramento slu'!$G$58,ABS(N1675)*'Progetto del paramento slu'!$G$54,'Progetto del paramento slu'!$G$53)</f>
        <v>80042858.759671673</v>
      </c>
      <c r="I1675" s="479">
        <f>-'Foglio deposito bis'!$F$72*(C1675-sezione!$AP$33)*IF(ABS(O1675)&lt;'Progetto del paramento slu'!$G$58,ABS(O1675)*'Progetto del paramento slu'!$G$54,'Progetto del paramento slu'!$G$53)</f>
        <v>85731706.422695622</v>
      </c>
      <c r="J1675" s="479">
        <f t="shared" si="121"/>
        <v>115261073.535991</v>
      </c>
      <c r="K1675" s="558">
        <f>'Progetto del paramento slu'!$G$60*(sezione!$AL$33-C1675)/C1675</f>
        <v>-1.8655934310391285E-3</v>
      </c>
      <c r="L1675" s="558">
        <f>'Progetto del paramento slu'!$G$60*(sezione!$AM$33-C1675)/C1675</f>
        <v>2.6290246336032686E-3</v>
      </c>
      <c r="M1675" s="559">
        <f>'Progetto del paramento slu'!$G$60*(sezione!$AN$33-C1675)/C1675</f>
        <v>7.1236426982456648E-3</v>
      </c>
      <c r="N1675" s="559">
        <f>'Progetto del paramento slu'!$G$60*(sezione!$AO$33-C1675)/C1675</f>
        <v>1.0392455836167408E-2</v>
      </c>
      <c r="O1675" s="559">
        <f>'Progetto del paramento slu'!$G$60*(sezione!$AP$33-C1675)/C1675</f>
        <v>7.123887269901711E-3</v>
      </c>
      <c r="P1675" s="553">
        <f>-'Progetto del paramento slu'!$G$47*'Progetto del paramento slu'!$G$41*IF(DATI!$G$218="dx",DATI!$E$61,DATI!$E$64*DATI!$E$63)*1000*C1675*sezione!$AD$5</f>
        <v>-1207425.7638689438</v>
      </c>
      <c r="Q1675" s="553">
        <f>'Foglio deposito bis'!$F$68*IF(ABS(K1675)&lt;'Progetto del paramento slu'!$G$58,ABS(K1675)*'Progetto del paramento slu'!$G$54,'Progetto del paramento slu'!$G$53)*IF(K1675&lt;0,-1,1)</f>
        <v>0</v>
      </c>
      <c r="R1675" s="553">
        <f>'Foglio deposito bis'!$F$69*IF(ABS(L1675)&lt;'Progetto del paramento slu'!$G$58,ABS(L1675)*'Progetto del paramento slu'!$G$54,'Progetto del paramento slu'!$G$53)*IF(L1675&lt;0,-1,1)</f>
        <v>153664.85805602249</v>
      </c>
      <c r="S1675" s="553">
        <f>'Foglio deposito bis'!$F$70*IF(ABS(M1675)&lt;'Progetto del paramento slu'!$G$58,ABS(M1675)*'Progetto del paramento slu'!$G$54,'Progetto del paramento slu'!$G$53)*IF(M1675&lt;0,-1,1)</f>
        <v>0</v>
      </c>
      <c r="T1675" s="553">
        <f>'Foglio deposito bis'!$F$71*IF(ABS(N1675)&lt;'Progetto del paramento slu'!$G$58,ABS(N1675)*'Progetto del paramento slu'!$G$54,'Progetto del paramento slu'!$G$53)*IF(N1675&lt;0,-1,1)</f>
        <v>314705.62929873407</v>
      </c>
      <c r="U1675" s="553">
        <f>'Foglio deposito bis'!$F$72*IF(ABS(O1675)&lt;'Progetto del paramento slu'!$G$58,ABS(O1675)*'Progetto del paramento slu'!$G$54,'Progetto del paramento slu'!$G$53)*IF(O1675&lt;0,-1,1)</f>
        <v>491727.54577927204</v>
      </c>
      <c r="V1675" s="479">
        <f t="shared" si="123"/>
        <v>-247327.73073491518</v>
      </c>
      <c r="W1675" s="559"/>
      <c r="X1675" s="559"/>
    </row>
    <row r="1676" spans="1:24" x14ac:dyDescent="0.25">
      <c r="A1676" s="553">
        <f t="shared" si="122"/>
        <v>258772.52470523695</v>
      </c>
      <c r="B1676" s="3">
        <f t="shared" si="124"/>
        <v>21.299999999999947</v>
      </c>
      <c r="C1676" s="553">
        <f>'Foglio deposito bis'!$E$159/sezione!$B$247*B1676</f>
        <v>86.469925477516185</v>
      </c>
      <c r="D1676" s="611">
        <f>-'Progetto del paramento slu'!$G$47*'Progetto del paramento slu'!$G$41*IF(DATI!$G$218="dx",DATI!$E$61,DATI!$E$64*DATI!$E$63)*1000*C1676^2*sezione!$AD$5*(1-sezione!$AD$6)</f>
        <v>-61551057.441010341</v>
      </c>
      <c r="E1676" s="553">
        <f>-'Foglio deposito bis'!$F$68*(C1676-sezione!$AL$33)*IF(ABS(K1676)&lt;'Progetto del paramento slu'!$G$58,ABS(K1676)*'Progetto del paramento slu'!$G$54,'Progetto del paramento slu'!$G$53)</f>
        <v>0</v>
      </c>
      <c r="F1676" s="553">
        <f>-'Foglio deposito bis'!$F$69*(C1676-sezione!$AM$33)*IF(ABS(L1676)&lt;'Progetto del paramento slu'!$G$58,ABS(L1676)*'Progetto del paramento slu'!$G$54,'Progetto del paramento slu'!$G$53)</f>
        <v>9762339.8837860059</v>
      </c>
      <c r="G1676" s="553">
        <f>-'Foglio deposito bis'!$F$70*(C1676-sezione!$AN$33)*IF(ABS(M1676)&lt;'Progetto del paramento slu'!$G$58,ABS(M1676)*'Progetto del paramento slu'!$G$54,'Progetto del paramento slu'!$G$53)</f>
        <v>0</v>
      </c>
      <c r="H1676" s="553">
        <f>-'Foglio deposito bis'!$F$71*(C1676-sezione!$AO$33)*IF(ABS(N1676)&lt;'Progetto del paramento slu'!$G$58,ABS(N1676)*'Progetto del paramento slu'!$G$54,'Progetto del paramento slu'!$G$53)</f>
        <v>79787341.648753211</v>
      </c>
      <c r="I1676" s="479">
        <f>-'Foglio deposito bis'!$F$72*(C1676-sezione!$AP$33)*IF(ABS(O1676)&lt;'Progetto del paramento slu'!$G$58,ABS(O1676)*'Progetto del paramento slu'!$G$54,'Progetto del paramento slu'!$G$53)</f>
        <v>85332460.936885506</v>
      </c>
      <c r="J1676" s="479">
        <f t="shared" si="121"/>
        <v>113331085.02841438</v>
      </c>
      <c r="K1676" s="558">
        <f>'Progetto del paramento slu'!$G$60*(sezione!$AL$33-C1676)/C1676</f>
        <v>-1.8809399715927517E-3</v>
      </c>
      <c r="L1676" s="558">
        <f>'Progetto del paramento slu'!$G$60*(sezione!$AM$33-C1676)/C1676</f>
        <v>2.5714751065271813E-3</v>
      </c>
      <c r="M1676" s="559">
        <f>'Progetto del paramento slu'!$G$60*(sezione!$AN$33-C1676)/C1676</f>
        <v>7.0238901846471132E-3</v>
      </c>
      <c r="N1676" s="559">
        <f>'Progetto del paramento slu'!$G$60*(sezione!$AO$33-C1676)/C1676</f>
        <v>1.026201024146161E-2</v>
      </c>
      <c r="O1676" s="559">
        <f>'Progetto del paramento slu'!$G$60*(sezione!$AP$33-C1676)/C1676</f>
        <v>7.0241324598556854E-3</v>
      </c>
      <c r="P1676" s="553">
        <f>-'Progetto del paramento slu'!$G$47*'Progetto del paramento slu'!$G$41*IF(DATI!$G$218="dx",DATI!$E$61,DATI!$E$64*DATI!$E$63)*1000*C1676*sezione!$AD$5</f>
        <v>-1218870.5578392656</v>
      </c>
      <c r="Q1676" s="553">
        <f>'Foglio deposito bis'!$F$68*IF(ABS(K1676)&lt;'Progetto del paramento slu'!$G$58,ABS(K1676)*'Progetto del paramento slu'!$G$54,'Progetto del paramento slu'!$G$53)*IF(K1676&lt;0,-1,1)</f>
        <v>0</v>
      </c>
      <c r="R1676" s="553">
        <f>'Foglio deposito bis'!$F$69*IF(ABS(L1676)&lt;'Progetto del paramento slu'!$G$58,ABS(L1676)*'Progetto del paramento slu'!$G$54,'Progetto del paramento slu'!$G$53)*IF(L1676&lt;0,-1,1)</f>
        <v>153664.85805602249</v>
      </c>
      <c r="S1676" s="553">
        <f>'Foglio deposito bis'!$F$70*IF(ABS(M1676)&lt;'Progetto del paramento slu'!$G$58,ABS(M1676)*'Progetto del paramento slu'!$G$54,'Progetto del paramento slu'!$G$53)*IF(M1676&lt;0,-1,1)</f>
        <v>0</v>
      </c>
      <c r="T1676" s="553">
        <f>'Foglio deposito bis'!$F$71*IF(ABS(N1676)&lt;'Progetto del paramento slu'!$G$58,ABS(N1676)*'Progetto del paramento slu'!$G$54,'Progetto del paramento slu'!$G$53)*IF(N1676&lt;0,-1,1)</f>
        <v>314705.62929873407</v>
      </c>
      <c r="U1676" s="553">
        <f>'Foglio deposito bis'!$F$72*IF(ABS(O1676)&lt;'Progetto del paramento slu'!$G$58,ABS(O1676)*'Progetto del paramento slu'!$G$54,'Progetto del paramento slu'!$G$53)*IF(O1676&lt;0,-1,1)</f>
        <v>491727.54577927204</v>
      </c>
      <c r="V1676" s="479">
        <f t="shared" si="123"/>
        <v>-258772.52470523695</v>
      </c>
      <c r="W1676" s="559"/>
      <c r="X1676" s="559"/>
    </row>
    <row r="1677" spans="1:24" x14ac:dyDescent="0.25">
      <c r="A1677" s="553">
        <f t="shared" si="122"/>
        <v>270217.31867555872</v>
      </c>
      <c r="B1677" s="3">
        <f t="shared" si="124"/>
        <v>21.499999999999947</v>
      </c>
      <c r="C1677" s="553">
        <f>'Foglio deposito bis'!$E$159/sezione!$B$247*B1677</f>
        <v>87.281849660403665</v>
      </c>
      <c r="D1677" s="611">
        <f>-'Progetto del paramento slu'!$G$47*'Progetto del paramento slu'!$G$41*IF(DATI!$G$218="dx",DATI!$E$61,DATI!$E$64*DATI!$E$63)*1000*C1677^2*sezione!$AD$5*(1-sezione!$AD$6)</f>
        <v>-62712372.549774148</v>
      </c>
      <c r="E1677" s="553">
        <f>-'Foglio deposito bis'!$F$68*(C1677-sezione!$AL$33)*IF(ABS(K1677)&lt;'Progetto del paramento slu'!$G$58,ABS(K1677)*'Progetto del paramento slu'!$G$54,'Progetto del paramento slu'!$G$53)</f>
        <v>0</v>
      </c>
      <c r="F1677" s="553">
        <f>-'Foglio deposito bis'!$F$69*(C1677-sezione!$AM$33)*IF(ABS(L1677)&lt;'Progetto del paramento slu'!$G$58,ABS(L1677)*'Progetto del paramento slu'!$G$54,'Progetto del paramento slu'!$G$53)</f>
        <v>9637575.6694703493</v>
      </c>
      <c r="G1677" s="553">
        <f>-'Foglio deposito bis'!$F$70*(C1677-sezione!$AN$33)*IF(ABS(M1677)&lt;'Progetto del paramento slu'!$G$58,ABS(M1677)*'Progetto del paramento slu'!$G$54,'Progetto del paramento slu'!$G$53)</f>
        <v>0</v>
      </c>
      <c r="H1677" s="553">
        <f>-'Foglio deposito bis'!$F$71*(C1677-sezione!$AO$33)*IF(ABS(N1677)&lt;'Progetto del paramento slu'!$G$58,ABS(N1677)*'Progetto del paramento slu'!$G$54,'Progetto del paramento slu'!$G$53)</f>
        <v>79531824.537834749</v>
      </c>
      <c r="I1677" s="479">
        <f>-'Foglio deposito bis'!$F$72*(C1677-sezione!$AP$33)*IF(ABS(O1677)&lt;'Progetto del paramento slu'!$G$58,ABS(O1677)*'Progetto del paramento slu'!$G$54,'Progetto del paramento slu'!$G$53)</f>
        <v>84933215.45107542</v>
      </c>
      <c r="J1677" s="479">
        <f t="shared" si="121"/>
        <v>111390243.10860637</v>
      </c>
      <c r="K1677" s="558">
        <f>'Progetto del paramento slu'!$G$60*(sezione!$AL$33-C1677)/C1677</f>
        <v>-1.8960009951128191E-3</v>
      </c>
      <c r="L1677" s="558">
        <f>'Progetto del paramento slu'!$G$60*(sezione!$AM$33-C1677)/C1677</f>
        <v>2.5149962683269282E-3</v>
      </c>
      <c r="M1677" s="559">
        <f>'Progetto del paramento slu'!$G$60*(sezione!$AN$33-C1677)/C1677</f>
        <v>6.925993531766675E-3</v>
      </c>
      <c r="N1677" s="559">
        <f>'Progetto del paramento slu'!$G$60*(sezione!$AO$33-C1677)/C1677</f>
        <v>1.0133991541541036E-2</v>
      </c>
      <c r="O1677" s="559">
        <f>'Progetto del paramento slu'!$G$60*(sezione!$AP$33-C1677)/C1677</f>
        <v>6.9262335532523749E-3</v>
      </c>
      <c r="P1677" s="553">
        <f>-'Progetto del paramento slu'!$G$47*'Progetto del paramento slu'!$G$41*IF(DATI!$G$218="dx",DATI!$E$61,DATI!$E$64*DATI!$E$63)*1000*C1677*sezione!$AD$5</f>
        <v>-1230315.3518095873</v>
      </c>
      <c r="Q1677" s="553">
        <f>'Foglio deposito bis'!$F$68*IF(ABS(K1677)&lt;'Progetto del paramento slu'!$G$58,ABS(K1677)*'Progetto del paramento slu'!$G$54,'Progetto del paramento slu'!$G$53)*IF(K1677&lt;0,-1,1)</f>
        <v>0</v>
      </c>
      <c r="R1677" s="553">
        <f>'Foglio deposito bis'!$F$69*IF(ABS(L1677)&lt;'Progetto del paramento slu'!$G$58,ABS(L1677)*'Progetto del paramento slu'!$G$54,'Progetto del paramento slu'!$G$53)*IF(L1677&lt;0,-1,1)</f>
        <v>153664.85805602249</v>
      </c>
      <c r="S1677" s="553">
        <f>'Foglio deposito bis'!$F$70*IF(ABS(M1677)&lt;'Progetto del paramento slu'!$G$58,ABS(M1677)*'Progetto del paramento slu'!$G$54,'Progetto del paramento slu'!$G$53)*IF(M1677&lt;0,-1,1)</f>
        <v>0</v>
      </c>
      <c r="T1677" s="553">
        <f>'Foglio deposito bis'!$F$71*IF(ABS(N1677)&lt;'Progetto del paramento slu'!$G$58,ABS(N1677)*'Progetto del paramento slu'!$G$54,'Progetto del paramento slu'!$G$53)*IF(N1677&lt;0,-1,1)</f>
        <v>314705.62929873407</v>
      </c>
      <c r="U1677" s="553">
        <f>'Foglio deposito bis'!$F$72*IF(ABS(O1677)&lt;'Progetto del paramento slu'!$G$58,ABS(O1677)*'Progetto del paramento slu'!$G$54,'Progetto del paramento slu'!$G$53)*IF(O1677&lt;0,-1,1)</f>
        <v>491727.54577927204</v>
      </c>
      <c r="V1677" s="479">
        <f t="shared" si="123"/>
        <v>-270217.31867555872</v>
      </c>
      <c r="W1677" s="559"/>
      <c r="X1677" s="559"/>
    </row>
    <row r="1678" spans="1:24" x14ac:dyDescent="0.25">
      <c r="A1678" s="553">
        <f t="shared" si="122"/>
        <v>281662.11264588049</v>
      </c>
      <c r="B1678" s="3">
        <f t="shared" si="124"/>
        <v>21.699999999999946</v>
      </c>
      <c r="C1678" s="553">
        <f>'Foglio deposito bis'!$E$159/sezione!$B$247*B1678</f>
        <v>88.093773843291132</v>
      </c>
      <c r="D1678" s="611">
        <f>-'Progetto del paramento slu'!$G$47*'Progetto del paramento slu'!$G$41*IF(DATI!$G$218="dx",DATI!$E$61,DATI!$E$64*DATI!$E$63)*1000*C1678^2*sezione!$AD$5*(1-sezione!$AD$6)</f>
        <v>-63884541.07076937</v>
      </c>
      <c r="E1678" s="553">
        <f>-'Foglio deposito bis'!$F$68*(C1678-sezione!$AL$33)*IF(ABS(K1678)&lt;'Progetto del paramento slu'!$G$58,ABS(K1678)*'Progetto del paramento slu'!$G$54,'Progetto del paramento slu'!$G$53)</f>
        <v>0</v>
      </c>
      <c r="F1678" s="553">
        <f>-'Foglio deposito bis'!$F$69*(C1678-sezione!$AM$33)*IF(ABS(L1678)&lt;'Progetto del paramento slu'!$G$58,ABS(L1678)*'Progetto del paramento slu'!$G$54,'Progetto del paramento slu'!$G$53)</f>
        <v>9512811.4551546946</v>
      </c>
      <c r="G1678" s="553">
        <f>-'Foglio deposito bis'!$F$70*(C1678-sezione!$AN$33)*IF(ABS(M1678)&lt;'Progetto del paramento slu'!$G$58,ABS(M1678)*'Progetto del paramento slu'!$G$54,'Progetto del paramento slu'!$G$53)</f>
        <v>0</v>
      </c>
      <c r="H1678" s="553">
        <f>-'Foglio deposito bis'!$F$71*(C1678-sezione!$AO$33)*IF(ABS(N1678)&lt;'Progetto del paramento slu'!$G$58,ABS(N1678)*'Progetto del paramento slu'!$G$54,'Progetto del paramento slu'!$G$53)</f>
        <v>79276307.426916286</v>
      </c>
      <c r="I1678" s="479">
        <f>-'Foglio deposito bis'!$F$72*(C1678-sezione!$AP$33)*IF(ABS(O1678)&lt;'Progetto del paramento slu'!$G$58,ABS(O1678)*'Progetto del paramento slu'!$G$54,'Progetto del paramento slu'!$G$53)</f>
        <v>84533969.965265334</v>
      </c>
      <c r="J1678" s="479">
        <f t="shared" si="121"/>
        <v>109438547.77656695</v>
      </c>
      <c r="K1678" s="558">
        <f>'Progetto del paramento slu'!$G$60*(sezione!$AL$33-C1678)/C1678</f>
        <v>-1.9107843960795212E-3</v>
      </c>
      <c r="L1678" s="558">
        <f>'Progetto del paramento slu'!$G$60*(sezione!$AM$33-C1678)/C1678</f>
        <v>2.4595585147017957E-3</v>
      </c>
      <c r="M1678" s="559">
        <f>'Progetto del paramento slu'!$G$60*(sezione!$AN$33-C1678)/C1678</f>
        <v>6.8299014254831125E-3</v>
      </c>
      <c r="N1678" s="559">
        <f>'Progetto del paramento slu'!$G$60*(sezione!$AO$33-C1678)/C1678</f>
        <v>1.000833263332407E-2</v>
      </c>
      <c r="O1678" s="559">
        <f>'Progetto del paramento slu'!$G$60*(sezione!$AP$33-C1678)/C1678</f>
        <v>6.8301392347892209E-3</v>
      </c>
      <c r="P1678" s="553">
        <f>-'Progetto del paramento slu'!$G$47*'Progetto del paramento slu'!$G$41*IF(DATI!$G$218="dx",DATI!$E$61,DATI!$E$64*DATI!$E$63)*1000*C1678*sezione!$AD$5</f>
        <v>-1241760.1457799091</v>
      </c>
      <c r="Q1678" s="553">
        <f>'Foglio deposito bis'!$F$68*IF(ABS(K1678)&lt;'Progetto del paramento slu'!$G$58,ABS(K1678)*'Progetto del paramento slu'!$G$54,'Progetto del paramento slu'!$G$53)*IF(K1678&lt;0,-1,1)</f>
        <v>0</v>
      </c>
      <c r="R1678" s="553">
        <f>'Foglio deposito bis'!$F$69*IF(ABS(L1678)&lt;'Progetto del paramento slu'!$G$58,ABS(L1678)*'Progetto del paramento slu'!$G$54,'Progetto del paramento slu'!$G$53)*IF(L1678&lt;0,-1,1)</f>
        <v>153664.85805602249</v>
      </c>
      <c r="S1678" s="553">
        <f>'Foglio deposito bis'!$F$70*IF(ABS(M1678)&lt;'Progetto del paramento slu'!$G$58,ABS(M1678)*'Progetto del paramento slu'!$G$54,'Progetto del paramento slu'!$G$53)*IF(M1678&lt;0,-1,1)</f>
        <v>0</v>
      </c>
      <c r="T1678" s="553">
        <f>'Foglio deposito bis'!$F$71*IF(ABS(N1678)&lt;'Progetto del paramento slu'!$G$58,ABS(N1678)*'Progetto del paramento slu'!$G$54,'Progetto del paramento slu'!$G$53)*IF(N1678&lt;0,-1,1)</f>
        <v>314705.62929873407</v>
      </c>
      <c r="U1678" s="553">
        <f>'Foglio deposito bis'!$F$72*IF(ABS(O1678)&lt;'Progetto del paramento slu'!$G$58,ABS(O1678)*'Progetto del paramento slu'!$G$54,'Progetto del paramento slu'!$G$53)*IF(O1678&lt;0,-1,1)</f>
        <v>491727.54577927204</v>
      </c>
      <c r="V1678" s="479">
        <f t="shared" si="123"/>
        <v>-281662.11264588049</v>
      </c>
      <c r="W1678" s="559"/>
      <c r="X1678" s="559"/>
    </row>
    <row r="1679" spans="1:24" x14ac:dyDescent="0.25">
      <c r="A1679" s="553">
        <f t="shared" si="122"/>
        <v>293106.90661620226</v>
      </c>
      <c r="B1679" s="3">
        <f t="shared" si="124"/>
        <v>21.899999999999945</v>
      </c>
      <c r="C1679" s="553">
        <f>'Foglio deposito bis'!$E$159/sezione!$B$247*B1679</f>
        <v>88.905698026178612</v>
      </c>
      <c r="D1679" s="611">
        <f>-'Progetto del paramento slu'!$G$47*'Progetto del paramento slu'!$G$41*IF(DATI!$G$218="dx",DATI!$E$61,DATI!$E$64*DATI!$E$63)*1000*C1679^2*sezione!$AD$5*(1-sezione!$AD$6)</f>
        <v>-65067563.003996052</v>
      </c>
      <c r="E1679" s="553">
        <f>-'Foglio deposito bis'!$F$68*(C1679-sezione!$AL$33)*IF(ABS(K1679)&lt;'Progetto del paramento slu'!$G$58,ABS(K1679)*'Progetto del paramento slu'!$G$54,'Progetto del paramento slu'!$G$53)</f>
        <v>0</v>
      </c>
      <c r="F1679" s="553">
        <f>-'Foglio deposito bis'!$F$69*(C1679-sezione!$AM$33)*IF(ABS(L1679)&lt;'Progetto del paramento slu'!$G$58,ABS(L1679)*'Progetto del paramento slu'!$G$54,'Progetto del paramento slu'!$G$53)</f>
        <v>9388047.240839038</v>
      </c>
      <c r="G1679" s="553">
        <f>-'Foglio deposito bis'!$F$70*(C1679-sezione!$AN$33)*IF(ABS(M1679)&lt;'Progetto del paramento slu'!$G$58,ABS(M1679)*'Progetto del paramento slu'!$G$54,'Progetto del paramento slu'!$G$53)</f>
        <v>0</v>
      </c>
      <c r="H1679" s="553">
        <f>-'Foglio deposito bis'!$F$71*(C1679-sezione!$AO$33)*IF(ABS(N1679)&lt;'Progetto del paramento slu'!$G$58,ABS(N1679)*'Progetto del paramento slu'!$G$54,'Progetto del paramento slu'!$G$53)</f>
        <v>79020790.315997839</v>
      </c>
      <c r="I1679" s="479">
        <f>-'Foglio deposito bis'!$F$72*(C1679-sezione!$AP$33)*IF(ABS(O1679)&lt;'Progetto del paramento slu'!$G$58,ABS(O1679)*'Progetto del paramento slu'!$G$54,'Progetto del paramento slu'!$G$53)</f>
        <v>84134724.479455218</v>
      </c>
      <c r="J1679" s="479">
        <f t="shared" si="121"/>
        <v>107475999.03229605</v>
      </c>
      <c r="K1679" s="558">
        <f>'Progetto del paramento slu'!$G$60*(sezione!$AL$33-C1679)/C1679</f>
        <v>-1.9252977805902106E-3</v>
      </c>
      <c r="L1679" s="558">
        <f>'Progetto del paramento slu'!$G$60*(sezione!$AM$33-C1679)/C1679</f>
        <v>2.4051333227867108E-3</v>
      </c>
      <c r="M1679" s="559">
        <f>'Progetto del paramento slu'!$G$60*(sezione!$AN$33-C1679)/C1679</f>
        <v>6.7355644261636316E-3</v>
      </c>
      <c r="N1679" s="559">
        <f>'Progetto del paramento slu'!$G$60*(sezione!$AO$33-C1679)/C1679</f>
        <v>9.884968864983211E-3</v>
      </c>
      <c r="O1679" s="559">
        <f>'Progetto del paramento slu'!$G$60*(sezione!$AP$33-C1679)/C1679</f>
        <v>6.7358000636952549E-3</v>
      </c>
      <c r="P1679" s="553">
        <f>-'Progetto del paramento slu'!$G$47*'Progetto del paramento slu'!$G$41*IF(DATI!$G$218="dx",DATI!$E$61,DATI!$E$64*DATI!$E$63)*1000*C1679*sezione!$AD$5</f>
        <v>-1253204.9397502309</v>
      </c>
      <c r="Q1679" s="553">
        <f>'Foglio deposito bis'!$F$68*IF(ABS(K1679)&lt;'Progetto del paramento slu'!$G$58,ABS(K1679)*'Progetto del paramento slu'!$G$54,'Progetto del paramento slu'!$G$53)*IF(K1679&lt;0,-1,1)</f>
        <v>0</v>
      </c>
      <c r="R1679" s="553">
        <f>'Foglio deposito bis'!$F$69*IF(ABS(L1679)&lt;'Progetto del paramento slu'!$G$58,ABS(L1679)*'Progetto del paramento slu'!$G$54,'Progetto del paramento slu'!$G$53)*IF(L1679&lt;0,-1,1)</f>
        <v>153664.85805602249</v>
      </c>
      <c r="S1679" s="553">
        <f>'Foglio deposito bis'!$F$70*IF(ABS(M1679)&lt;'Progetto del paramento slu'!$G$58,ABS(M1679)*'Progetto del paramento slu'!$G$54,'Progetto del paramento slu'!$G$53)*IF(M1679&lt;0,-1,1)</f>
        <v>0</v>
      </c>
      <c r="T1679" s="553">
        <f>'Foglio deposito bis'!$F$71*IF(ABS(N1679)&lt;'Progetto del paramento slu'!$G$58,ABS(N1679)*'Progetto del paramento slu'!$G$54,'Progetto del paramento slu'!$G$53)*IF(N1679&lt;0,-1,1)</f>
        <v>314705.62929873407</v>
      </c>
      <c r="U1679" s="553">
        <f>'Foglio deposito bis'!$F$72*IF(ABS(O1679)&lt;'Progetto del paramento slu'!$G$58,ABS(O1679)*'Progetto del paramento slu'!$G$54,'Progetto del paramento slu'!$G$53)*IF(O1679&lt;0,-1,1)</f>
        <v>491727.54577927204</v>
      </c>
      <c r="V1679" s="479">
        <f t="shared" si="123"/>
        <v>-293106.90661620226</v>
      </c>
      <c r="W1679" s="559"/>
      <c r="X1679" s="559"/>
    </row>
    <row r="1680" spans="1:24" x14ac:dyDescent="0.25">
      <c r="A1680" s="553">
        <f t="shared" si="122"/>
        <v>304551.7005865238</v>
      </c>
      <c r="B1680" s="3">
        <f t="shared" si="124"/>
        <v>22.099999999999945</v>
      </c>
      <c r="C1680" s="553">
        <f>'Foglio deposito bis'!$E$159/sezione!$B$247*B1680</f>
        <v>89.717622209066079</v>
      </c>
      <c r="D1680" s="611">
        <f>-'Progetto del paramento slu'!$G$47*'Progetto del paramento slu'!$G$41*IF(DATI!$G$218="dx",DATI!$E$61,DATI!$E$64*DATI!$E$63)*1000*C1680^2*sezione!$AD$5*(1-sezione!$AD$6)</f>
        <v>-66261438.34945415</v>
      </c>
      <c r="E1680" s="553">
        <f>-'Foglio deposito bis'!$F$68*(C1680-sezione!$AL$33)*IF(ABS(K1680)&lt;'Progetto del paramento slu'!$G$58,ABS(K1680)*'Progetto del paramento slu'!$G$54,'Progetto del paramento slu'!$G$53)</f>
        <v>0</v>
      </c>
      <c r="F1680" s="553">
        <f>-'Foglio deposito bis'!$F$69*(C1680-sezione!$AM$33)*IF(ABS(L1680)&lt;'Progetto del paramento slu'!$G$58,ABS(L1680)*'Progetto del paramento slu'!$G$54,'Progetto del paramento slu'!$G$53)</f>
        <v>9263283.0265233852</v>
      </c>
      <c r="G1680" s="553">
        <f>-'Foglio deposito bis'!$F$70*(C1680-sezione!$AN$33)*IF(ABS(M1680)&lt;'Progetto del paramento slu'!$G$58,ABS(M1680)*'Progetto del paramento slu'!$G$54,'Progetto del paramento slu'!$G$53)</f>
        <v>0</v>
      </c>
      <c r="H1680" s="553">
        <f>-'Foglio deposito bis'!$F$71*(C1680-sezione!$AO$33)*IF(ABS(N1680)&lt;'Progetto del paramento slu'!$G$58,ABS(N1680)*'Progetto del paramento slu'!$G$54,'Progetto del paramento slu'!$G$53)</f>
        <v>78765273.205079362</v>
      </c>
      <c r="I1680" s="479">
        <f>-'Foglio deposito bis'!$F$72*(C1680-sezione!$AP$33)*IF(ABS(O1680)&lt;'Progetto del paramento slu'!$G$58,ABS(O1680)*'Progetto del paramento slu'!$G$54,'Progetto del paramento slu'!$G$53)</f>
        <v>83735478.993645146</v>
      </c>
      <c r="J1680" s="479">
        <f t="shared" si="121"/>
        <v>105502596.87579374</v>
      </c>
      <c r="K1680" s="558">
        <f>'Progetto del paramento slu'!$G$60*(sezione!$AL$33-C1680)/C1680</f>
        <v>-1.9395484794083988E-3</v>
      </c>
      <c r="L1680" s="558">
        <f>'Progetto del paramento slu'!$G$60*(sezione!$AM$33-C1680)/C1680</f>
        <v>2.3516932022185056E-3</v>
      </c>
      <c r="M1680" s="559">
        <f>'Progetto del paramento slu'!$G$60*(sezione!$AN$33-C1680)/C1680</f>
        <v>6.6429348838454106E-3</v>
      </c>
      <c r="N1680" s="559">
        <f>'Progetto del paramento slu'!$G$60*(sezione!$AO$33-C1680)/C1680</f>
        <v>9.7638379250286136E-3</v>
      </c>
      <c r="O1680" s="559">
        <f>'Progetto del paramento slu'!$G$60*(sezione!$AP$33-C1680)/C1680</f>
        <v>6.6431683889106845E-3</v>
      </c>
      <c r="P1680" s="553">
        <f>-'Progetto del paramento slu'!$G$47*'Progetto del paramento slu'!$G$41*IF(DATI!$G$218="dx",DATI!$E$61,DATI!$E$64*DATI!$E$63)*1000*C1680*sezione!$AD$5</f>
        <v>-1264649.7337205524</v>
      </c>
      <c r="Q1680" s="553">
        <f>'Foglio deposito bis'!$F$68*IF(ABS(K1680)&lt;'Progetto del paramento slu'!$G$58,ABS(K1680)*'Progetto del paramento slu'!$G$54,'Progetto del paramento slu'!$G$53)*IF(K1680&lt;0,-1,1)</f>
        <v>0</v>
      </c>
      <c r="R1680" s="553">
        <f>'Foglio deposito bis'!$F$69*IF(ABS(L1680)&lt;'Progetto del paramento slu'!$G$58,ABS(L1680)*'Progetto del paramento slu'!$G$54,'Progetto del paramento slu'!$G$53)*IF(L1680&lt;0,-1,1)</f>
        <v>153664.85805602249</v>
      </c>
      <c r="S1680" s="553">
        <f>'Foglio deposito bis'!$F$70*IF(ABS(M1680)&lt;'Progetto del paramento slu'!$G$58,ABS(M1680)*'Progetto del paramento slu'!$G$54,'Progetto del paramento slu'!$G$53)*IF(M1680&lt;0,-1,1)</f>
        <v>0</v>
      </c>
      <c r="T1680" s="553">
        <f>'Foglio deposito bis'!$F$71*IF(ABS(N1680)&lt;'Progetto del paramento slu'!$G$58,ABS(N1680)*'Progetto del paramento slu'!$G$54,'Progetto del paramento slu'!$G$53)*IF(N1680&lt;0,-1,1)</f>
        <v>314705.62929873407</v>
      </c>
      <c r="U1680" s="553">
        <f>'Foglio deposito bis'!$F$72*IF(ABS(O1680)&lt;'Progetto del paramento slu'!$G$58,ABS(O1680)*'Progetto del paramento slu'!$G$54,'Progetto del paramento slu'!$G$53)*IF(O1680&lt;0,-1,1)</f>
        <v>491727.54577927204</v>
      </c>
      <c r="V1680" s="479">
        <f t="shared" si="123"/>
        <v>-304551.7005865238</v>
      </c>
      <c r="W1680" s="559"/>
      <c r="X1680" s="559"/>
    </row>
    <row r="1681" spans="1:24" x14ac:dyDescent="0.25">
      <c r="A1681" s="553">
        <f t="shared" si="122"/>
        <v>315996.49455684581</v>
      </c>
      <c r="B1681" s="3">
        <f t="shared" si="124"/>
        <v>22.299999999999944</v>
      </c>
      <c r="C1681" s="553">
        <f>'Foglio deposito bis'!$E$159/sezione!$B$247*B1681</f>
        <v>90.529546391953559</v>
      </c>
      <c r="D1681" s="611">
        <f>-'Progetto del paramento slu'!$G$47*'Progetto del paramento slu'!$G$41*IF(DATI!$G$218="dx",DATI!$E$61,DATI!$E$64*DATI!$E$63)*1000*C1681^2*sezione!$AD$5*(1-sezione!$AD$6)</f>
        <v>-67466167.1071437</v>
      </c>
      <c r="E1681" s="553">
        <f>-'Foglio deposito bis'!$F$68*(C1681-sezione!$AL$33)*IF(ABS(K1681)&lt;'Progetto del paramento slu'!$G$58,ABS(K1681)*'Progetto del paramento slu'!$G$54,'Progetto del paramento slu'!$G$53)</f>
        <v>0</v>
      </c>
      <c r="F1681" s="553">
        <f>-'Foglio deposito bis'!$F$69*(C1681-sezione!$AM$33)*IF(ABS(L1681)&lt;'Progetto del paramento slu'!$G$58,ABS(L1681)*'Progetto del paramento slu'!$G$54,'Progetto del paramento slu'!$G$53)</f>
        <v>9138518.8122077268</v>
      </c>
      <c r="G1681" s="553">
        <f>-'Foglio deposito bis'!$F$70*(C1681-sezione!$AN$33)*IF(ABS(M1681)&lt;'Progetto del paramento slu'!$G$58,ABS(M1681)*'Progetto del paramento slu'!$G$54,'Progetto del paramento slu'!$G$53)</f>
        <v>0</v>
      </c>
      <c r="H1681" s="553">
        <f>-'Foglio deposito bis'!$F$71*(C1681-sezione!$AO$33)*IF(ABS(N1681)&lt;'Progetto del paramento slu'!$G$58,ABS(N1681)*'Progetto del paramento slu'!$G$54,'Progetto del paramento slu'!$G$53)</f>
        <v>78509756.094160914</v>
      </c>
      <c r="I1681" s="479">
        <f>-'Foglio deposito bis'!$F$72*(C1681-sezione!$AP$33)*IF(ABS(O1681)&lt;'Progetto del paramento slu'!$G$58,ABS(O1681)*'Progetto del paramento slu'!$G$54,'Progetto del paramento slu'!$G$53)</f>
        <v>83336233.507835045</v>
      </c>
      <c r="J1681" s="479">
        <f t="shared" si="121"/>
        <v>103518341.30705999</v>
      </c>
      <c r="K1681" s="558">
        <f>'Progetto del paramento slu'!$G$60*(sezione!$AL$33-C1681)/C1681</f>
        <v>-1.9535435603105656E-3</v>
      </c>
      <c r="L1681" s="558">
        <f>'Progetto del paramento slu'!$G$60*(sezione!$AM$33-C1681)/C1681</f>
        <v>2.2992116488353797E-3</v>
      </c>
      <c r="M1681" s="559">
        <f>'Progetto del paramento slu'!$G$60*(sezione!$AN$33-C1681)/C1681</f>
        <v>6.551966857981326E-3</v>
      </c>
      <c r="N1681" s="559">
        <f>'Progetto del paramento slu'!$G$60*(sezione!$AO$33-C1681)/C1681</f>
        <v>9.6448797373601958E-3</v>
      </c>
      <c r="O1681" s="559">
        <f>'Progetto del paramento slu'!$G$60*(sezione!$AP$33-C1681)/C1681</f>
        <v>6.5521982688307679E-3</v>
      </c>
      <c r="P1681" s="553">
        <f>-'Progetto del paramento slu'!$G$47*'Progetto del paramento slu'!$G$41*IF(DATI!$G$218="dx",DATI!$E$61,DATI!$E$64*DATI!$E$63)*1000*C1681*sezione!$AD$5</f>
        <v>-1276094.5276908744</v>
      </c>
      <c r="Q1681" s="553">
        <f>'Foglio deposito bis'!$F$68*IF(ABS(K1681)&lt;'Progetto del paramento slu'!$G$58,ABS(K1681)*'Progetto del paramento slu'!$G$54,'Progetto del paramento slu'!$G$53)*IF(K1681&lt;0,-1,1)</f>
        <v>0</v>
      </c>
      <c r="R1681" s="553">
        <f>'Foglio deposito bis'!$F$69*IF(ABS(L1681)&lt;'Progetto del paramento slu'!$G$58,ABS(L1681)*'Progetto del paramento slu'!$G$54,'Progetto del paramento slu'!$G$53)*IF(L1681&lt;0,-1,1)</f>
        <v>153664.85805602249</v>
      </c>
      <c r="S1681" s="553">
        <f>'Foglio deposito bis'!$F$70*IF(ABS(M1681)&lt;'Progetto del paramento slu'!$G$58,ABS(M1681)*'Progetto del paramento slu'!$G$54,'Progetto del paramento slu'!$G$53)*IF(M1681&lt;0,-1,1)</f>
        <v>0</v>
      </c>
      <c r="T1681" s="553">
        <f>'Foglio deposito bis'!$F$71*IF(ABS(N1681)&lt;'Progetto del paramento slu'!$G$58,ABS(N1681)*'Progetto del paramento slu'!$G$54,'Progetto del paramento slu'!$G$53)*IF(N1681&lt;0,-1,1)</f>
        <v>314705.62929873407</v>
      </c>
      <c r="U1681" s="553">
        <f>'Foglio deposito bis'!$F$72*IF(ABS(O1681)&lt;'Progetto del paramento slu'!$G$58,ABS(O1681)*'Progetto del paramento slu'!$G$54,'Progetto del paramento slu'!$G$53)*IF(O1681&lt;0,-1,1)</f>
        <v>491727.54577927204</v>
      </c>
      <c r="V1681" s="479">
        <f t="shared" si="123"/>
        <v>-315996.49455684581</v>
      </c>
      <c r="W1681" s="559"/>
      <c r="X1681" s="559"/>
    </row>
    <row r="1682" spans="1:24" x14ac:dyDescent="0.25">
      <c r="A1682" s="553">
        <f t="shared" si="122"/>
        <v>327441.28852716734</v>
      </c>
      <c r="B1682" s="3">
        <f t="shared" si="124"/>
        <v>22.499999999999943</v>
      </c>
      <c r="C1682" s="553">
        <f>'Foglio deposito bis'!$E$159/sezione!$B$247*B1682</f>
        <v>91.34147057484104</v>
      </c>
      <c r="D1682" s="611">
        <f>-'Progetto del paramento slu'!$G$47*'Progetto del paramento slu'!$G$41*IF(DATI!$G$218="dx",DATI!$E$61,DATI!$E$64*DATI!$E$63)*1000*C1682^2*sezione!$AD$5*(1-sezione!$AD$6)</f>
        <v>-68681749.277064696</v>
      </c>
      <c r="E1682" s="553">
        <f>-'Foglio deposito bis'!$F$68*(C1682-sezione!$AL$33)*IF(ABS(K1682)&lt;'Progetto del paramento slu'!$G$58,ABS(K1682)*'Progetto del paramento slu'!$G$54,'Progetto del paramento slu'!$G$53)</f>
        <v>0</v>
      </c>
      <c r="F1682" s="553">
        <f>-'Foglio deposito bis'!$F$69*(C1682-sezione!$AM$33)*IF(ABS(L1682)&lt;'Progetto del paramento slu'!$G$58,ABS(L1682)*'Progetto del paramento slu'!$G$54,'Progetto del paramento slu'!$G$53)</f>
        <v>9013754.5978920702</v>
      </c>
      <c r="G1682" s="553">
        <f>-'Foglio deposito bis'!$F$70*(C1682-sezione!$AN$33)*IF(ABS(M1682)&lt;'Progetto del paramento slu'!$G$58,ABS(M1682)*'Progetto del paramento slu'!$G$54,'Progetto del paramento slu'!$G$53)</f>
        <v>0</v>
      </c>
      <c r="H1682" s="553">
        <f>-'Foglio deposito bis'!$F$71*(C1682-sezione!$AO$33)*IF(ABS(N1682)&lt;'Progetto del paramento slu'!$G$58,ABS(N1682)*'Progetto del paramento slu'!$G$54,'Progetto del paramento slu'!$G$53)</f>
        <v>78254238.983242452</v>
      </c>
      <c r="I1682" s="479">
        <f>-'Foglio deposito bis'!$F$72*(C1682-sezione!$AP$33)*IF(ABS(O1682)&lt;'Progetto del paramento slu'!$G$58,ABS(O1682)*'Progetto del paramento slu'!$G$54,'Progetto del paramento slu'!$G$53)</f>
        <v>82936988.02202493</v>
      </c>
      <c r="J1682" s="479">
        <f t="shared" si="121"/>
        <v>101523232.32609475</v>
      </c>
      <c r="K1682" s="558">
        <f>'Progetto del paramento slu'!$G$60*(sezione!$AL$33-C1682)/C1682</f>
        <v>-1.9672898397744714E-3</v>
      </c>
      <c r="L1682" s="558">
        <f>'Progetto del paramento slu'!$G$60*(sezione!$AM$33-C1682)/C1682</f>
        <v>2.2476631008457315E-3</v>
      </c>
      <c r="M1682" s="559">
        <f>'Progetto del paramento slu'!$G$60*(sezione!$AN$33-C1682)/C1682</f>
        <v>6.4626160414659357E-3</v>
      </c>
      <c r="N1682" s="559">
        <f>'Progetto del paramento slu'!$G$60*(sezione!$AO$33-C1682)/C1682</f>
        <v>9.5280363619169913E-3</v>
      </c>
      <c r="O1682" s="559">
        <f>'Progetto del paramento slu'!$G$60*(sezione!$AP$33-C1682)/C1682</f>
        <v>6.4628453953300491E-3</v>
      </c>
      <c r="P1682" s="553">
        <f>-'Progetto del paramento slu'!$G$47*'Progetto del paramento slu'!$G$41*IF(DATI!$G$218="dx",DATI!$E$61,DATI!$E$64*DATI!$E$63)*1000*C1682*sezione!$AD$5</f>
        <v>-1287539.321661196</v>
      </c>
      <c r="Q1682" s="553">
        <f>'Foglio deposito bis'!$F$68*IF(ABS(K1682)&lt;'Progetto del paramento slu'!$G$58,ABS(K1682)*'Progetto del paramento slu'!$G$54,'Progetto del paramento slu'!$G$53)*IF(K1682&lt;0,-1,1)</f>
        <v>0</v>
      </c>
      <c r="R1682" s="553">
        <f>'Foglio deposito bis'!$F$69*IF(ABS(L1682)&lt;'Progetto del paramento slu'!$G$58,ABS(L1682)*'Progetto del paramento slu'!$G$54,'Progetto del paramento slu'!$G$53)*IF(L1682&lt;0,-1,1)</f>
        <v>153664.85805602249</v>
      </c>
      <c r="S1682" s="553">
        <f>'Foglio deposito bis'!$F$70*IF(ABS(M1682)&lt;'Progetto del paramento slu'!$G$58,ABS(M1682)*'Progetto del paramento slu'!$G$54,'Progetto del paramento slu'!$G$53)*IF(M1682&lt;0,-1,1)</f>
        <v>0</v>
      </c>
      <c r="T1682" s="553">
        <f>'Foglio deposito bis'!$F$71*IF(ABS(N1682)&lt;'Progetto del paramento slu'!$G$58,ABS(N1682)*'Progetto del paramento slu'!$G$54,'Progetto del paramento slu'!$G$53)*IF(N1682&lt;0,-1,1)</f>
        <v>314705.62929873407</v>
      </c>
      <c r="U1682" s="553">
        <f>'Foglio deposito bis'!$F$72*IF(ABS(O1682)&lt;'Progetto del paramento slu'!$G$58,ABS(O1682)*'Progetto del paramento slu'!$G$54,'Progetto del paramento slu'!$G$53)*IF(O1682&lt;0,-1,1)</f>
        <v>491727.54577927204</v>
      </c>
      <c r="V1682" s="479">
        <f t="shared" si="123"/>
        <v>-327441.28852716734</v>
      </c>
      <c r="W1682" s="559"/>
      <c r="X1682" s="559"/>
    </row>
    <row r="1683" spans="1:24" x14ac:dyDescent="0.25">
      <c r="A1683" s="553">
        <f t="shared" si="122"/>
        <v>338886.08249748911</v>
      </c>
      <c r="B1683" s="3">
        <f t="shared" si="124"/>
        <v>22.699999999999942</v>
      </c>
      <c r="C1683" s="553">
        <f>'Foglio deposito bis'!$E$159/sezione!$B$247*B1683</f>
        <v>92.153394757728506</v>
      </c>
      <c r="D1683" s="611">
        <f>-'Progetto del paramento slu'!$G$47*'Progetto del paramento slu'!$G$41*IF(DATI!$G$218="dx",DATI!$E$61,DATI!$E$64*DATI!$E$63)*1000*C1683^2*sezione!$AD$5*(1-sezione!$AD$6)</f>
        <v>-69908184.859217107</v>
      </c>
      <c r="E1683" s="553">
        <f>-'Foglio deposito bis'!$F$68*(C1683-sezione!$AL$33)*IF(ABS(K1683)&lt;'Progetto del paramento slu'!$G$58,ABS(K1683)*'Progetto del paramento slu'!$G$54,'Progetto del paramento slu'!$G$53)</f>
        <v>0</v>
      </c>
      <c r="F1683" s="553">
        <f>-'Foglio deposito bis'!$F$69*(C1683-sezione!$AM$33)*IF(ABS(L1683)&lt;'Progetto del paramento slu'!$G$58,ABS(L1683)*'Progetto del paramento slu'!$G$54,'Progetto del paramento slu'!$G$53)</f>
        <v>8888990.3835764155</v>
      </c>
      <c r="G1683" s="553">
        <f>-'Foglio deposito bis'!$F$70*(C1683-sezione!$AN$33)*IF(ABS(M1683)&lt;'Progetto del paramento slu'!$G$58,ABS(M1683)*'Progetto del paramento slu'!$G$54,'Progetto del paramento slu'!$G$53)</f>
        <v>0</v>
      </c>
      <c r="H1683" s="553">
        <f>-'Foglio deposito bis'!$F$71*(C1683-sezione!$AO$33)*IF(ABS(N1683)&lt;'Progetto del paramento slu'!$G$58,ABS(N1683)*'Progetto del paramento slu'!$G$54,'Progetto del paramento slu'!$G$53)</f>
        <v>77998721.872323975</v>
      </c>
      <c r="I1683" s="479">
        <f>-'Foglio deposito bis'!$F$72*(C1683-sezione!$AP$33)*IF(ABS(O1683)&lt;'Progetto del paramento slu'!$G$58,ABS(O1683)*'Progetto del paramento slu'!$G$54,'Progetto del paramento slu'!$G$53)</f>
        <v>82537742.536214828</v>
      </c>
      <c r="J1683" s="479">
        <f t="shared" si="121"/>
        <v>99517269.932898104</v>
      </c>
      <c r="K1683" s="558">
        <f>'Progetto del paramento slu'!$G$60*(sezione!$AL$33-C1683)/C1683</f>
        <v>-1.9807938940495863E-3</v>
      </c>
      <c r="L1683" s="558">
        <f>'Progetto del paramento slu'!$G$60*(sezione!$AM$33-C1683)/C1683</f>
        <v>2.1970228973140515E-3</v>
      </c>
      <c r="M1683" s="559">
        <f>'Progetto del paramento slu'!$G$60*(sezione!$AN$33-C1683)/C1683</f>
        <v>6.3748396886776906E-3</v>
      </c>
      <c r="N1683" s="559">
        <f>'Progetto del paramento slu'!$G$60*(sezione!$AO$33-C1683)/C1683</f>
        <v>9.4132519005785172E-3</v>
      </c>
      <c r="O1683" s="559">
        <f>'Progetto del paramento slu'!$G$60*(sezione!$AP$33-C1683)/C1683</f>
        <v>6.3750670218029127E-3</v>
      </c>
      <c r="P1683" s="553">
        <f>-'Progetto del paramento slu'!$G$47*'Progetto del paramento slu'!$G$41*IF(DATI!$G$218="dx",DATI!$E$61,DATI!$E$64*DATI!$E$63)*1000*C1683*sezione!$AD$5</f>
        <v>-1298984.1156315177</v>
      </c>
      <c r="Q1683" s="553">
        <f>'Foglio deposito bis'!$F$68*IF(ABS(K1683)&lt;'Progetto del paramento slu'!$G$58,ABS(K1683)*'Progetto del paramento slu'!$G$54,'Progetto del paramento slu'!$G$53)*IF(K1683&lt;0,-1,1)</f>
        <v>0</v>
      </c>
      <c r="R1683" s="553">
        <f>'Foglio deposito bis'!$F$69*IF(ABS(L1683)&lt;'Progetto del paramento slu'!$G$58,ABS(L1683)*'Progetto del paramento slu'!$G$54,'Progetto del paramento slu'!$G$53)*IF(L1683&lt;0,-1,1)</f>
        <v>153664.85805602249</v>
      </c>
      <c r="S1683" s="553">
        <f>'Foglio deposito bis'!$F$70*IF(ABS(M1683)&lt;'Progetto del paramento slu'!$G$58,ABS(M1683)*'Progetto del paramento slu'!$G$54,'Progetto del paramento slu'!$G$53)*IF(M1683&lt;0,-1,1)</f>
        <v>0</v>
      </c>
      <c r="T1683" s="553">
        <f>'Foglio deposito bis'!$F$71*IF(ABS(N1683)&lt;'Progetto del paramento slu'!$G$58,ABS(N1683)*'Progetto del paramento slu'!$G$54,'Progetto del paramento slu'!$G$53)*IF(N1683&lt;0,-1,1)</f>
        <v>314705.62929873407</v>
      </c>
      <c r="U1683" s="553">
        <f>'Foglio deposito bis'!$F$72*IF(ABS(O1683)&lt;'Progetto del paramento slu'!$G$58,ABS(O1683)*'Progetto del paramento slu'!$G$54,'Progetto del paramento slu'!$G$53)*IF(O1683&lt;0,-1,1)</f>
        <v>491727.54577927204</v>
      </c>
      <c r="V1683" s="479">
        <f t="shared" si="123"/>
        <v>-338886.08249748911</v>
      </c>
      <c r="W1683" s="559"/>
      <c r="X1683" s="559"/>
    </row>
    <row r="1684" spans="1:24" x14ac:dyDescent="0.25">
      <c r="A1684" s="553">
        <f t="shared" si="122"/>
        <v>350330.87646781089</v>
      </c>
      <c r="B1684" s="3">
        <f t="shared" si="124"/>
        <v>22.899999999999942</v>
      </c>
      <c r="C1684" s="553">
        <f>'Foglio deposito bis'!$E$159/sezione!$B$247*B1684</f>
        <v>92.965318940615987</v>
      </c>
      <c r="D1684" s="611">
        <f>-'Progetto del paramento slu'!$G$47*'Progetto del paramento slu'!$G$41*IF(DATI!$G$218="dx",DATI!$E$61,DATI!$E$64*DATI!$E$63)*1000*C1684^2*sezione!$AD$5*(1-sezione!$AD$6)</f>
        <v>-71145473.853600979</v>
      </c>
      <c r="E1684" s="553">
        <f>-'Foglio deposito bis'!$F$68*(C1684-sezione!$AL$33)*IF(ABS(K1684)&lt;'Progetto del paramento slu'!$G$58,ABS(K1684)*'Progetto del paramento slu'!$G$54,'Progetto del paramento slu'!$G$53)</f>
        <v>0</v>
      </c>
      <c r="F1684" s="553">
        <f>-'Foglio deposito bis'!$F$69*(C1684-sezione!$AM$33)*IF(ABS(L1684)&lt;'Progetto del paramento slu'!$G$58,ABS(L1684)*'Progetto del paramento slu'!$G$54,'Progetto del paramento slu'!$G$53)</f>
        <v>8764226.1692607589</v>
      </c>
      <c r="G1684" s="553">
        <f>-'Foglio deposito bis'!$F$70*(C1684-sezione!$AN$33)*IF(ABS(M1684)&lt;'Progetto del paramento slu'!$G$58,ABS(M1684)*'Progetto del paramento slu'!$G$54,'Progetto del paramento slu'!$G$53)</f>
        <v>0</v>
      </c>
      <c r="H1684" s="553">
        <f>-'Foglio deposito bis'!$F$71*(C1684-sezione!$AO$33)*IF(ABS(N1684)&lt;'Progetto del paramento slu'!$G$58,ABS(N1684)*'Progetto del paramento slu'!$G$54,'Progetto del paramento slu'!$G$53)</f>
        <v>77743204.761405513</v>
      </c>
      <c r="I1684" s="479">
        <f>-'Foglio deposito bis'!$F$72*(C1684-sezione!$AP$33)*IF(ABS(O1684)&lt;'Progetto del paramento slu'!$G$58,ABS(O1684)*'Progetto del paramento slu'!$G$54,'Progetto del paramento slu'!$G$53)</f>
        <v>82138497.050404727</v>
      </c>
      <c r="J1684" s="479">
        <f t="shared" si="121"/>
        <v>97500454.127470016</v>
      </c>
      <c r="K1684" s="558">
        <f>'Progetto del paramento slu'!$G$60*(sezione!$AL$33-C1684)/C1684</f>
        <v>-1.9940620696474068E-3</v>
      </c>
      <c r="L1684" s="558">
        <f>'Progetto del paramento slu'!$G$60*(sezione!$AM$33-C1684)/C1684</f>
        <v>2.1472672388222255E-3</v>
      </c>
      <c r="M1684" s="559">
        <f>'Progetto del paramento slu'!$G$60*(sezione!$AN$33-C1684)/C1684</f>
        <v>6.2885965472918581E-3</v>
      </c>
      <c r="N1684" s="559">
        <f>'Progetto del paramento slu'!$G$60*(sezione!$AO$33-C1684)/C1684</f>
        <v>9.3004724079970447E-3</v>
      </c>
      <c r="O1684" s="559">
        <f>'Progetto del paramento slu'!$G$60*(sezione!$AP$33-C1684)/C1684</f>
        <v>6.2888218949749396E-3</v>
      </c>
      <c r="P1684" s="553">
        <f>-'Progetto del paramento slu'!$G$47*'Progetto del paramento slu'!$G$41*IF(DATI!$G$218="dx",DATI!$E$61,DATI!$E$64*DATI!$E$63)*1000*C1684*sezione!$AD$5</f>
        <v>-1310428.9096018395</v>
      </c>
      <c r="Q1684" s="553">
        <f>'Foglio deposito bis'!$F$68*IF(ABS(K1684)&lt;'Progetto del paramento slu'!$G$58,ABS(K1684)*'Progetto del paramento slu'!$G$54,'Progetto del paramento slu'!$G$53)*IF(K1684&lt;0,-1,1)</f>
        <v>0</v>
      </c>
      <c r="R1684" s="553">
        <f>'Foglio deposito bis'!$F$69*IF(ABS(L1684)&lt;'Progetto del paramento slu'!$G$58,ABS(L1684)*'Progetto del paramento slu'!$G$54,'Progetto del paramento slu'!$G$53)*IF(L1684&lt;0,-1,1)</f>
        <v>153664.85805602249</v>
      </c>
      <c r="S1684" s="553">
        <f>'Foglio deposito bis'!$F$70*IF(ABS(M1684)&lt;'Progetto del paramento slu'!$G$58,ABS(M1684)*'Progetto del paramento slu'!$G$54,'Progetto del paramento slu'!$G$53)*IF(M1684&lt;0,-1,1)</f>
        <v>0</v>
      </c>
      <c r="T1684" s="553">
        <f>'Foglio deposito bis'!$F$71*IF(ABS(N1684)&lt;'Progetto del paramento slu'!$G$58,ABS(N1684)*'Progetto del paramento slu'!$G$54,'Progetto del paramento slu'!$G$53)*IF(N1684&lt;0,-1,1)</f>
        <v>314705.62929873407</v>
      </c>
      <c r="U1684" s="553">
        <f>'Foglio deposito bis'!$F$72*IF(ABS(O1684)&lt;'Progetto del paramento slu'!$G$58,ABS(O1684)*'Progetto del paramento slu'!$G$54,'Progetto del paramento slu'!$G$53)*IF(O1684&lt;0,-1,1)</f>
        <v>491727.54577927204</v>
      </c>
      <c r="V1684" s="479">
        <f t="shared" si="123"/>
        <v>-350330.87646781089</v>
      </c>
      <c r="W1684" s="559"/>
      <c r="X1684" s="559"/>
    </row>
    <row r="1685" spans="1:24" x14ac:dyDescent="0.25">
      <c r="A1685" s="553">
        <f t="shared" si="122"/>
        <v>407554.84631941974</v>
      </c>
      <c r="B1685" s="3">
        <f t="shared" ref="B1685:B1734" si="125">B1684+1</f>
        <v>23.899999999999942</v>
      </c>
      <c r="C1685" s="553">
        <f>'Foglio deposito bis'!$E$159/sezione!$B$247*B1685</f>
        <v>97.024939855053375</v>
      </c>
      <c r="D1685" s="611">
        <f>-'Progetto del paramento slu'!$G$47*'Progetto del paramento slu'!$G$41*IF(DATI!$G$218="dx",DATI!$E$61,DATI!$E$64*DATI!$E$63)*1000*C1685^2*sezione!$AD$5*(1-sezione!$AD$6)</f>
        <v>-77494720.008991852</v>
      </c>
      <c r="E1685" s="553">
        <f>-'Foglio deposito bis'!$F$68*(C1685-sezione!$AL$33)*IF(ABS(K1685)&lt;'Progetto del paramento slu'!$G$58,ABS(K1685)*'Progetto del paramento slu'!$G$54,'Progetto del paramento slu'!$G$53)</f>
        <v>0</v>
      </c>
      <c r="F1685" s="553">
        <f>-'Foglio deposito bis'!$F$69*(C1685-sezione!$AM$33)*IF(ABS(L1685)&lt;'Progetto del paramento slu'!$G$58,ABS(L1685)*'Progetto del paramento slu'!$G$54,'Progetto del paramento slu'!$G$53)</f>
        <v>8140405.097682477</v>
      </c>
      <c r="G1685" s="553">
        <f>-'Foglio deposito bis'!$F$70*(C1685-sezione!$AN$33)*IF(ABS(M1685)&lt;'Progetto del paramento slu'!$G$58,ABS(M1685)*'Progetto del paramento slu'!$G$54,'Progetto del paramento slu'!$G$53)</f>
        <v>0</v>
      </c>
      <c r="H1685" s="553">
        <f>-'Foglio deposito bis'!$F$71*(C1685-sezione!$AO$33)*IF(ABS(N1685)&lt;'Progetto del paramento slu'!$G$58,ABS(N1685)*'Progetto del paramento slu'!$G$54,'Progetto del paramento slu'!$G$53)</f>
        <v>76465619.206813186</v>
      </c>
      <c r="I1685" s="479">
        <f>-'Foglio deposito bis'!$F$72*(C1685-sezione!$AP$33)*IF(ABS(O1685)&lt;'Progetto del paramento slu'!$G$58,ABS(O1685)*'Progetto del paramento slu'!$G$54,'Progetto del paramento slu'!$G$53)</f>
        <v>80142269.621354222</v>
      </c>
      <c r="J1685" s="479">
        <f t="shared" ref="J1685:J1735" si="126">D1685+E1685+F1685+G1685+H1685+I1685</f>
        <v>87253573.916858032</v>
      </c>
      <c r="K1685" s="558">
        <f>'Progetto del paramento slu'!$G$60*(sezione!$AL$33-C1685)/C1685</f>
        <v>-2.0570720248922849E-3</v>
      </c>
      <c r="L1685" s="558">
        <f>'Progetto del paramento slu'!$G$60*(sezione!$AM$33-C1685)/C1685</f>
        <v>1.9109799066539313E-3</v>
      </c>
      <c r="M1685" s="559">
        <f>'Progetto del paramento slu'!$G$60*(sezione!$AN$33-C1685)/C1685</f>
        <v>5.8790318382001472E-3</v>
      </c>
      <c r="N1685" s="559">
        <f>'Progetto del paramento slu'!$G$60*(sezione!$AO$33-C1685)/C1685</f>
        <v>8.7648877884155766E-3</v>
      </c>
      <c r="O1685" s="559">
        <f>'Progetto del paramento slu'!$G$60*(sezione!$AP$33-C1685)/C1685</f>
        <v>5.879247757109878E-3</v>
      </c>
      <c r="P1685" s="553">
        <f>-'Progetto del paramento slu'!$G$47*'Progetto del paramento slu'!$G$41*IF(DATI!$G$218="dx",DATI!$E$61,DATI!$E$64*DATI!$E$63)*1000*C1685*sezione!$AD$5</f>
        <v>-1367652.8794534483</v>
      </c>
      <c r="Q1685" s="553">
        <f>'Foglio deposito bis'!$F$68*IF(ABS(K1685)&lt;'Progetto del paramento slu'!$G$58,ABS(K1685)*'Progetto del paramento slu'!$G$54,'Progetto del paramento slu'!$G$53)*IF(K1685&lt;0,-1,1)</f>
        <v>0</v>
      </c>
      <c r="R1685" s="553">
        <f>'Foglio deposito bis'!$F$69*IF(ABS(L1685)&lt;'Progetto del paramento slu'!$G$58,ABS(L1685)*'Progetto del paramento slu'!$G$54,'Progetto del paramento slu'!$G$53)*IF(L1685&lt;0,-1,1)</f>
        <v>153664.85805602249</v>
      </c>
      <c r="S1685" s="553">
        <f>'Foglio deposito bis'!$F$70*IF(ABS(M1685)&lt;'Progetto del paramento slu'!$G$58,ABS(M1685)*'Progetto del paramento slu'!$G$54,'Progetto del paramento slu'!$G$53)*IF(M1685&lt;0,-1,1)</f>
        <v>0</v>
      </c>
      <c r="T1685" s="553">
        <f>'Foglio deposito bis'!$F$71*IF(ABS(N1685)&lt;'Progetto del paramento slu'!$G$58,ABS(N1685)*'Progetto del paramento slu'!$G$54,'Progetto del paramento slu'!$G$53)*IF(N1685&lt;0,-1,1)</f>
        <v>314705.62929873407</v>
      </c>
      <c r="U1685" s="553">
        <f>'Foglio deposito bis'!$F$72*IF(ABS(O1685)&lt;'Progetto del paramento slu'!$G$58,ABS(O1685)*'Progetto del paramento slu'!$G$54,'Progetto del paramento slu'!$G$53)*IF(O1685&lt;0,-1,1)</f>
        <v>491727.54577927204</v>
      </c>
      <c r="V1685" s="479">
        <f t="shared" si="123"/>
        <v>-407554.84631941974</v>
      </c>
      <c r="W1685" s="559"/>
      <c r="X1685" s="559"/>
    </row>
    <row r="1686" spans="1:24" x14ac:dyDescent="0.25">
      <c r="A1686" s="553">
        <f t="shared" ref="A1686:A1735" si="127">ABS(V1686)</f>
        <v>481432.40810817474</v>
      </c>
      <c r="B1686" s="3">
        <f t="shared" si="125"/>
        <v>24.899999999999942</v>
      </c>
      <c r="C1686" s="553">
        <f>'Foglio deposito bis'!$E$159/sezione!$B$247*B1686</f>
        <v>101.08456076949076</v>
      </c>
      <c r="D1686" s="611">
        <f>-'Progetto del paramento slu'!$G$47*'Progetto del paramento slu'!$G$41*IF(DATI!$G$218="dx",DATI!$E$61,DATI!$E$64*DATI!$E$63)*1000*C1686^2*sezione!$AD$5*(1-sezione!$AD$6)</f>
        <v>-84115301.47016868</v>
      </c>
      <c r="E1686" s="553">
        <f>-'Foglio deposito bis'!$F$68*(C1686-sezione!$AL$33)*IF(ABS(K1686)&lt;'Progetto del paramento slu'!$G$58,ABS(K1686)*'Progetto del paramento slu'!$G$54,'Progetto del paramento slu'!$G$53)</f>
        <v>0</v>
      </c>
      <c r="F1686" s="553">
        <f>-'Foglio deposito bis'!$F$69*(C1686-sezione!$AM$33)*IF(ABS(L1686)&lt;'Progetto del paramento slu'!$G$58,ABS(L1686)*'Progetto del paramento slu'!$G$54,'Progetto del paramento slu'!$G$53)</f>
        <v>6701966.2617330262</v>
      </c>
      <c r="G1686" s="553">
        <f>-'Foglio deposito bis'!$F$70*(C1686-sezione!$AN$33)*IF(ABS(M1686)&lt;'Progetto del paramento slu'!$G$58,ABS(M1686)*'Progetto del paramento slu'!$G$54,'Progetto del paramento slu'!$G$53)</f>
        <v>0</v>
      </c>
      <c r="H1686" s="553">
        <f>-'Foglio deposito bis'!$F$71*(C1686-sezione!$AO$33)*IF(ABS(N1686)&lt;'Progetto del paramento slu'!$G$58,ABS(N1686)*'Progetto del paramento slu'!$G$54,'Progetto del paramento slu'!$G$53)</f>
        <v>75188033.652220875</v>
      </c>
      <c r="I1686" s="479">
        <f>-'Foglio deposito bis'!$F$72*(C1686-sezione!$AP$33)*IF(ABS(O1686)&lt;'Progetto del paramento slu'!$G$58,ABS(O1686)*'Progetto del paramento slu'!$G$54,'Progetto del paramento slu'!$G$53)</f>
        <v>78146042.192303732</v>
      </c>
      <c r="J1686" s="479">
        <f t="shared" si="126"/>
        <v>75920740.636088952</v>
      </c>
      <c r="K1686" s="558">
        <f>'Progetto del paramento slu'!$G$60*(sezione!$AL$33-C1686)/C1686</f>
        <v>-2.1150209395552457E-3</v>
      </c>
      <c r="L1686" s="558">
        <f>'Progetto del paramento slu'!$G$60*(sezione!$AM$33-C1686)/C1686</f>
        <v>1.693671476667829E-3</v>
      </c>
      <c r="M1686" s="559">
        <f>'Progetto del paramento slu'!$G$60*(sezione!$AN$33-C1686)/C1686</f>
        <v>5.5023638928909041E-3</v>
      </c>
      <c r="N1686" s="559">
        <f>'Progetto del paramento slu'!$G$60*(sezione!$AO$33-C1686)/C1686</f>
        <v>8.2723220137804129E-3</v>
      </c>
      <c r="O1686" s="559">
        <f>'Progetto del paramento slu'!$G$60*(sezione!$AP$33-C1686)/C1686</f>
        <v>5.5025711403584769E-3</v>
      </c>
      <c r="P1686" s="553">
        <f>-'Progetto del paramento slu'!$G$47*'Progetto del paramento slu'!$G$41*IF(DATI!$G$218="dx",DATI!$E$61,DATI!$E$64*DATI!$E$63)*1000*C1686*sezione!$AD$5</f>
        <v>-1424876.8493050572</v>
      </c>
      <c r="Q1686" s="553">
        <f>'Foglio deposito bis'!$F$68*IF(ABS(K1686)&lt;'Progetto del paramento slu'!$G$58,ABS(K1686)*'Progetto del paramento slu'!$G$54,'Progetto del paramento slu'!$G$53)*IF(K1686&lt;0,-1,1)</f>
        <v>0</v>
      </c>
      <c r="R1686" s="553">
        <f>'Foglio deposito bis'!$F$69*IF(ABS(L1686)&lt;'Progetto del paramento slu'!$G$58,ABS(L1686)*'Progetto del paramento slu'!$G$54,'Progetto del paramento slu'!$G$53)*IF(L1686&lt;0,-1,1)</f>
        <v>137011.26611887637</v>
      </c>
      <c r="S1686" s="553">
        <f>'Foglio deposito bis'!$F$70*IF(ABS(M1686)&lt;'Progetto del paramento slu'!$G$58,ABS(M1686)*'Progetto del paramento slu'!$G$54,'Progetto del paramento slu'!$G$53)*IF(M1686&lt;0,-1,1)</f>
        <v>0</v>
      </c>
      <c r="T1686" s="553">
        <f>'Foglio deposito bis'!$F$71*IF(ABS(N1686)&lt;'Progetto del paramento slu'!$G$58,ABS(N1686)*'Progetto del paramento slu'!$G$54,'Progetto del paramento slu'!$G$53)*IF(N1686&lt;0,-1,1)</f>
        <v>314705.62929873407</v>
      </c>
      <c r="U1686" s="553">
        <f>'Foglio deposito bis'!$F$72*IF(ABS(O1686)&lt;'Progetto del paramento slu'!$G$58,ABS(O1686)*'Progetto del paramento slu'!$G$54,'Progetto del paramento slu'!$G$53)*IF(O1686&lt;0,-1,1)</f>
        <v>491727.54577927204</v>
      </c>
      <c r="V1686" s="479">
        <f t="shared" ref="V1686:V1735" si="128">P1686+Q1686+R1686+S1686+T1686+U1686</f>
        <v>-481432.40810817474</v>
      </c>
      <c r="W1686" s="559"/>
      <c r="X1686" s="559"/>
    </row>
    <row r="1687" spans="1:24" x14ac:dyDescent="0.25">
      <c r="A1687" s="553">
        <f t="shared" si="127"/>
        <v>554878.28159004077</v>
      </c>
      <c r="B1687" s="3">
        <f t="shared" si="125"/>
        <v>25.899999999999942</v>
      </c>
      <c r="C1687" s="553">
        <f>'Foglio deposito bis'!$E$159/sezione!$B$247*B1687</f>
        <v>105.14418168392815</v>
      </c>
      <c r="D1687" s="611">
        <f>-'Progetto del paramento slu'!$G$47*'Progetto del paramento slu'!$G$41*IF(DATI!$G$218="dx",DATI!$E$61,DATI!$E$64*DATI!$E$63)*1000*C1687^2*sezione!$AD$5*(1-sezione!$AD$6)</f>
        <v>-91007218.237131432</v>
      </c>
      <c r="E1687" s="553">
        <f>-'Foglio deposito bis'!$F$68*(C1687-sezione!$AL$33)*IF(ABS(K1687)&lt;'Progetto del paramento slu'!$G$58,ABS(K1687)*'Progetto del paramento slu'!$G$54,'Progetto del paramento slu'!$G$53)</f>
        <v>0</v>
      </c>
      <c r="F1687" s="553">
        <f>-'Foglio deposito bis'!$F$69*(C1687-sezione!$AM$33)*IF(ABS(L1687)&lt;'Progetto del paramento slu'!$G$58,ABS(L1687)*'Progetto del paramento slu'!$G$54,'Progetto del paramento slu'!$G$53)</f>
        <v>5418105.6983036529</v>
      </c>
      <c r="G1687" s="553">
        <f>-'Foglio deposito bis'!$F$70*(C1687-sezione!$AN$33)*IF(ABS(M1687)&lt;'Progetto del paramento slu'!$G$58,ABS(M1687)*'Progetto del paramento slu'!$G$54,'Progetto del paramento slu'!$G$53)</f>
        <v>0</v>
      </c>
      <c r="H1687" s="553">
        <f>-'Foglio deposito bis'!$F$71*(C1687-sezione!$AO$33)*IF(ABS(N1687)&lt;'Progetto del paramento slu'!$G$58,ABS(N1687)*'Progetto del paramento slu'!$G$54,'Progetto del paramento slu'!$G$53)</f>
        <v>73910448.097628549</v>
      </c>
      <c r="I1687" s="479">
        <f>-'Foglio deposito bis'!$F$72*(C1687-sezione!$AP$33)*IF(ABS(O1687)&lt;'Progetto del paramento slu'!$G$58,ABS(O1687)*'Progetto del paramento slu'!$G$54,'Progetto del paramento slu'!$G$53)</f>
        <v>76149814.763253227</v>
      </c>
      <c r="J1687" s="479">
        <f t="shared" si="126"/>
        <v>64471150.322053999</v>
      </c>
      <c r="K1687" s="558">
        <f>'Progetto del paramento slu'!$G$60*(sezione!$AL$33-C1687)/C1687</f>
        <v>-2.1684950345531124E-3</v>
      </c>
      <c r="L1687" s="558">
        <f>'Progetto del paramento slu'!$G$60*(sezione!$AM$33-C1687)/C1687</f>
        <v>1.4931436204258276E-3</v>
      </c>
      <c r="M1687" s="559">
        <f>'Progetto del paramento slu'!$G$60*(sezione!$AN$33-C1687)/C1687</f>
        <v>5.1547822754047677E-3</v>
      </c>
      <c r="N1687" s="559">
        <f>'Progetto del paramento slu'!$G$60*(sezione!$AO$33-C1687)/C1687</f>
        <v>7.817792206298543E-3</v>
      </c>
      <c r="O1687" s="559">
        <f>'Progetto del paramento slu'!$G$60*(sezione!$AP$33-C1687)/C1687</f>
        <v>5.1549815210396163E-3</v>
      </c>
      <c r="P1687" s="553">
        <f>-'Progetto del paramento slu'!$G$47*'Progetto del paramento slu'!$G$41*IF(DATI!$G$218="dx",DATI!$E$61,DATI!$E$64*DATI!$E$63)*1000*C1687*sezione!$AD$5</f>
        <v>-1482100.8191566661</v>
      </c>
      <c r="Q1687" s="553">
        <f>'Foglio deposito bis'!$F$68*IF(ABS(K1687)&lt;'Progetto del paramento slu'!$G$58,ABS(K1687)*'Progetto del paramento slu'!$G$54,'Progetto del paramento slu'!$G$53)*IF(K1687&lt;0,-1,1)</f>
        <v>0</v>
      </c>
      <c r="R1687" s="553">
        <f>'Foglio deposito bis'!$F$69*IF(ABS(L1687)&lt;'Progetto del paramento slu'!$G$58,ABS(L1687)*'Progetto del paramento slu'!$G$54,'Progetto del paramento slu'!$G$53)*IF(L1687&lt;0,-1,1)</f>
        <v>120789.36248861934</v>
      </c>
      <c r="S1687" s="553">
        <f>'Foglio deposito bis'!$F$70*IF(ABS(M1687)&lt;'Progetto del paramento slu'!$G$58,ABS(M1687)*'Progetto del paramento slu'!$G$54,'Progetto del paramento slu'!$G$53)*IF(M1687&lt;0,-1,1)</f>
        <v>0</v>
      </c>
      <c r="T1687" s="553">
        <f>'Foglio deposito bis'!$F$71*IF(ABS(N1687)&lt;'Progetto del paramento slu'!$G$58,ABS(N1687)*'Progetto del paramento slu'!$G$54,'Progetto del paramento slu'!$G$53)*IF(N1687&lt;0,-1,1)</f>
        <v>314705.62929873407</v>
      </c>
      <c r="U1687" s="553">
        <f>'Foglio deposito bis'!$F$72*IF(ABS(O1687)&lt;'Progetto del paramento slu'!$G$58,ABS(O1687)*'Progetto del paramento slu'!$G$54,'Progetto del paramento slu'!$G$53)*IF(O1687&lt;0,-1,1)</f>
        <v>491727.54577927204</v>
      </c>
      <c r="V1687" s="479">
        <f t="shared" si="128"/>
        <v>-554878.28159004077</v>
      </c>
      <c r="W1687" s="559"/>
      <c r="X1687" s="559"/>
    </row>
    <row r="1688" spans="1:24" x14ac:dyDescent="0.25">
      <c r="A1688" s="553">
        <f t="shared" si="127"/>
        <v>627118.06558266818</v>
      </c>
      <c r="B1688" s="3">
        <f t="shared" si="125"/>
        <v>26.899999999999942</v>
      </c>
      <c r="C1688" s="553">
        <f>'Foglio deposito bis'!$E$159/sezione!$B$247*B1688</f>
        <v>109.20380259836554</v>
      </c>
      <c r="D1688" s="611">
        <f>-'Progetto del paramento slu'!$G$47*'Progetto del paramento slu'!$G$41*IF(DATI!$G$218="dx",DATI!$E$61,DATI!$E$64*DATI!$E$63)*1000*C1688^2*sezione!$AD$5*(1-sezione!$AD$6)</f>
        <v>-98170470.309880137</v>
      </c>
      <c r="E1688" s="553">
        <f>-'Foglio deposito bis'!$F$68*(C1688-sezione!$AL$33)*IF(ABS(K1688)&lt;'Progetto del paramento slu'!$G$58,ABS(K1688)*'Progetto del paramento slu'!$G$54,'Progetto del paramento slu'!$G$53)</f>
        <v>0</v>
      </c>
      <c r="F1688" s="553">
        <f>-'Foglio deposito bis'!$F$69*(C1688-sezione!$AM$33)*IF(ABS(L1688)&lt;'Progetto del paramento slu'!$G$58,ABS(L1688)*'Progetto del paramento slu'!$G$54,'Progetto del paramento slu'!$G$53)</f>
        <v>4315158.5582600459</v>
      </c>
      <c r="G1688" s="553">
        <f>-'Foglio deposito bis'!$F$70*(C1688-sezione!$AN$33)*IF(ABS(M1688)&lt;'Progetto del paramento slu'!$G$58,ABS(M1688)*'Progetto del paramento slu'!$G$54,'Progetto del paramento slu'!$G$53)</f>
        <v>0</v>
      </c>
      <c r="H1688" s="553">
        <f>-'Foglio deposito bis'!$F$71*(C1688-sezione!$AO$33)*IF(ABS(N1688)&lt;'Progetto del paramento slu'!$G$58,ABS(N1688)*'Progetto del paramento slu'!$G$54,'Progetto del paramento slu'!$G$53)</f>
        <v>72632862.543036237</v>
      </c>
      <c r="I1688" s="479">
        <f>-'Foglio deposito bis'!$F$72*(C1688-sezione!$AP$33)*IF(ABS(O1688)&lt;'Progetto del paramento slu'!$G$58,ABS(O1688)*'Progetto del paramento slu'!$G$54,'Progetto del paramento slu'!$G$53)</f>
        <v>74153587.334202722</v>
      </c>
      <c r="J1688" s="479">
        <f t="shared" si="126"/>
        <v>52931138.125618875</v>
      </c>
      <c r="K1688" s="558">
        <f>'Progetto del paramento slu'!$G$60*(sezione!$AL$33-C1688)/C1688</f>
        <v>-2.2179933604061569E-3</v>
      </c>
      <c r="L1688" s="558">
        <f>'Progetto del paramento slu'!$G$60*(sezione!$AM$33-C1688)/C1688</f>
        <v>1.3075248984769116E-3</v>
      </c>
      <c r="M1688" s="559">
        <f>'Progetto del paramento slu'!$G$60*(sezione!$AN$33-C1688)/C1688</f>
        <v>4.8330431573599805E-3</v>
      </c>
      <c r="N1688" s="559">
        <f>'Progetto del paramento slu'!$G$60*(sezione!$AO$33-C1688)/C1688</f>
        <v>7.3970564365476669E-3</v>
      </c>
      <c r="O1688" s="559">
        <f>'Progetto del paramento slu'!$G$60*(sezione!$AP$33-C1688)/C1688</f>
        <v>4.833234996093904E-3</v>
      </c>
      <c r="P1688" s="553">
        <f>-'Progetto del paramento slu'!$G$47*'Progetto del paramento slu'!$G$41*IF(DATI!$G$218="dx",DATI!$E$61,DATI!$E$64*DATI!$E$63)*1000*C1688*sezione!$AD$5</f>
        <v>-1539324.7890082749</v>
      </c>
      <c r="Q1688" s="553">
        <f>'Foglio deposito bis'!$F$68*IF(ABS(K1688)&lt;'Progetto del paramento slu'!$G$58,ABS(K1688)*'Progetto del paramento slu'!$G$54,'Progetto del paramento slu'!$G$53)*IF(K1688&lt;0,-1,1)</f>
        <v>0</v>
      </c>
      <c r="R1688" s="553">
        <f>'Foglio deposito bis'!$F$69*IF(ABS(L1688)&lt;'Progetto del paramento slu'!$G$58,ABS(L1688)*'Progetto del paramento slu'!$G$54,'Progetto del paramento slu'!$G$53)*IF(L1688&lt;0,-1,1)</f>
        <v>105773.54834760074</v>
      </c>
      <c r="S1688" s="553">
        <f>'Foglio deposito bis'!$F$70*IF(ABS(M1688)&lt;'Progetto del paramento slu'!$G$58,ABS(M1688)*'Progetto del paramento slu'!$G$54,'Progetto del paramento slu'!$G$53)*IF(M1688&lt;0,-1,1)</f>
        <v>0</v>
      </c>
      <c r="T1688" s="553">
        <f>'Foglio deposito bis'!$F$71*IF(ABS(N1688)&lt;'Progetto del paramento slu'!$G$58,ABS(N1688)*'Progetto del paramento slu'!$G$54,'Progetto del paramento slu'!$G$53)*IF(N1688&lt;0,-1,1)</f>
        <v>314705.62929873407</v>
      </c>
      <c r="U1688" s="553">
        <f>'Foglio deposito bis'!$F$72*IF(ABS(O1688)&lt;'Progetto del paramento slu'!$G$58,ABS(O1688)*'Progetto del paramento slu'!$G$54,'Progetto del paramento slu'!$G$53)*IF(O1688&lt;0,-1,1)</f>
        <v>491727.54577927204</v>
      </c>
      <c r="V1688" s="479">
        <f t="shared" si="128"/>
        <v>-627118.06558266818</v>
      </c>
      <c r="W1688" s="559"/>
      <c r="X1688" s="559"/>
    </row>
    <row r="1689" spans="1:24" x14ac:dyDescent="0.25">
      <c r="A1689" s="553">
        <f t="shared" si="127"/>
        <v>698281.4471279108</v>
      </c>
      <c r="B1689" s="3">
        <f t="shared" si="125"/>
        <v>27.899999999999942</v>
      </c>
      <c r="C1689" s="553">
        <f>'Foglio deposito bis'!$E$159/sezione!$B$247*B1689</f>
        <v>113.26342351280293</v>
      </c>
      <c r="D1689" s="611">
        <f>-'Progetto del paramento slu'!$G$47*'Progetto del paramento slu'!$G$41*IF(DATI!$G$218="dx",DATI!$E$61,DATI!$E$64*DATI!$E$63)*1000*C1689^2*sezione!$AD$5*(1-sezione!$AD$6)</f>
        <v>-105605057.68841475</v>
      </c>
      <c r="E1689" s="553">
        <f>-'Foglio deposito bis'!$F$68*(C1689-sezione!$AL$33)*IF(ABS(K1689)&lt;'Progetto del paramento slu'!$G$58,ABS(K1689)*'Progetto del paramento slu'!$G$54,'Progetto del paramento slu'!$G$53)</f>
        <v>0</v>
      </c>
      <c r="F1689" s="553">
        <f>-'Foglio deposito bis'!$F$69*(C1689-sezione!$AM$33)*IF(ABS(L1689)&lt;'Progetto del paramento slu'!$G$58,ABS(L1689)*'Progetto del paramento slu'!$G$54,'Progetto del paramento slu'!$G$53)</f>
        <v>3373671.785324167</v>
      </c>
      <c r="G1689" s="553">
        <f>-'Foglio deposito bis'!$F$70*(C1689-sezione!$AN$33)*IF(ABS(M1689)&lt;'Progetto del paramento slu'!$G$58,ABS(M1689)*'Progetto del paramento slu'!$G$54,'Progetto del paramento slu'!$G$53)</f>
        <v>0</v>
      </c>
      <c r="H1689" s="553">
        <f>-'Foglio deposito bis'!$F$71*(C1689-sezione!$AO$33)*IF(ABS(N1689)&lt;'Progetto del paramento slu'!$G$58,ABS(N1689)*'Progetto del paramento slu'!$G$54,'Progetto del paramento slu'!$G$53)</f>
        <v>71355276.988443896</v>
      </c>
      <c r="I1689" s="479">
        <f>-'Foglio deposito bis'!$F$72*(C1689-sezione!$AP$33)*IF(ABS(O1689)&lt;'Progetto del paramento slu'!$G$58,ABS(O1689)*'Progetto del paramento slu'!$G$54,'Progetto del paramento slu'!$G$53)</f>
        <v>72157359.905152217</v>
      </c>
      <c r="J1689" s="479">
        <f t="shared" si="126"/>
        <v>41281250.990505531</v>
      </c>
      <c r="K1689" s="558">
        <f>'Progetto del paramento slu'!$G$60*(sezione!$AL$33-C1689)/C1689</f>
        <v>-2.2639434191729616E-3</v>
      </c>
      <c r="L1689" s="558">
        <f>'Progetto del paramento slu'!$G$60*(sezione!$AM$33-C1689)/C1689</f>
        <v>1.135212178101395E-3</v>
      </c>
      <c r="M1689" s="559">
        <f>'Progetto del paramento slu'!$G$60*(sezione!$AN$33-C1689)/C1689</f>
        <v>4.5343677753757507E-3</v>
      </c>
      <c r="N1689" s="559">
        <f>'Progetto del paramento slu'!$G$60*(sezione!$AO$33-C1689)/C1689</f>
        <v>7.0064809370298286E-3</v>
      </c>
      <c r="O1689" s="559">
        <f>'Progetto del paramento slu'!$G$60*(sezione!$AP$33-C1689)/C1689</f>
        <v>4.5345527381693909E-3</v>
      </c>
      <c r="P1689" s="553">
        <f>-'Progetto del paramento slu'!$G$47*'Progetto del paramento slu'!$G$41*IF(DATI!$G$218="dx",DATI!$E$61,DATI!$E$64*DATI!$E$63)*1000*C1689*sezione!$AD$5</f>
        <v>-1596548.7588598838</v>
      </c>
      <c r="Q1689" s="553">
        <f>'Foglio deposito bis'!$F$68*IF(ABS(K1689)&lt;'Progetto del paramento slu'!$G$58,ABS(K1689)*'Progetto del paramento slu'!$G$54,'Progetto del paramento slu'!$G$53)*IF(K1689&lt;0,-1,1)</f>
        <v>0</v>
      </c>
      <c r="R1689" s="553">
        <f>'Foglio deposito bis'!$F$69*IF(ABS(L1689)&lt;'Progetto del paramento slu'!$G$58,ABS(L1689)*'Progetto del paramento slu'!$G$54,'Progetto del paramento slu'!$G$53)*IF(L1689&lt;0,-1,1)</f>
        <v>91834.136653967013</v>
      </c>
      <c r="S1689" s="553">
        <f>'Foglio deposito bis'!$F$70*IF(ABS(M1689)&lt;'Progetto del paramento slu'!$G$58,ABS(M1689)*'Progetto del paramento slu'!$G$54,'Progetto del paramento slu'!$G$53)*IF(M1689&lt;0,-1,1)</f>
        <v>0</v>
      </c>
      <c r="T1689" s="553">
        <f>'Foglio deposito bis'!$F$71*IF(ABS(N1689)&lt;'Progetto del paramento slu'!$G$58,ABS(N1689)*'Progetto del paramento slu'!$G$54,'Progetto del paramento slu'!$G$53)*IF(N1689&lt;0,-1,1)</f>
        <v>314705.62929873407</v>
      </c>
      <c r="U1689" s="553">
        <f>'Foglio deposito bis'!$F$72*IF(ABS(O1689)&lt;'Progetto del paramento slu'!$G$58,ABS(O1689)*'Progetto del paramento slu'!$G$54,'Progetto del paramento slu'!$G$53)*IF(O1689&lt;0,-1,1)</f>
        <v>491727.54577927204</v>
      </c>
      <c r="V1689" s="479">
        <f t="shared" si="128"/>
        <v>-698281.4471279108</v>
      </c>
      <c r="W1689" s="559"/>
      <c r="X1689" s="559"/>
    </row>
    <row r="1690" spans="1:24" x14ac:dyDescent="0.25">
      <c r="A1690" s="553">
        <f t="shared" si="127"/>
        <v>768480.16350404383</v>
      </c>
      <c r="B1690" s="3">
        <f t="shared" si="125"/>
        <v>28.899999999999942</v>
      </c>
      <c r="C1690" s="553">
        <f>'Foglio deposito bis'!$E$159/sezione!$B$247*B1690</f>
        <v>117.32304442724032</v>
      </c>
      <c r="D1690" s="611">
        <f>-'Progetto del paramento slu'!$G$47*'Progetto del paramento slu'!$G$41*IF(DATI!$G$218="dx",DATI!$E$61,DATI!$E$64*DATI!$E$63)*1000*C1690^2*sezione!$AD$5*(1-sezione!$AD$6)</f>
        <v>-113310980.37273532</v>
      </c>
      <c r="E1690" s="553">
        <f>-'Foglio deposito bis'!$F$68*(C1690-sezione!$AL$33)*IF(ABS(K1690)&lt;'Progetto del paramento slu'!$G$58,ABS(K1690)*'Progetto del paramento slu'!$G$54,'Progetto del paramento slu'!$G$53)</f>
        <v>0</v>
      </c>
      <c r="F1690" s="553">
        <f>-'Foglio deposito bis'!$F$69*(C1690-sezione!$AM$33)*IF(ABS(L1690)&lt;'Progetto del paramento slu'!$G$58,ABS(L1690)*'Progetto del paramento slu'!$G$54,'Progetto del paramento slu'!$G$53)</f>
        <v>2576884.7877547271</v>
      </c>
      <c r="G1690" s="553">
        <f>-'Foglio deposito bis'!$F$70*(C1690-sezione!$AN$33)*IF(ABS(M1690)&lt;'Progetto del paramento slu'!$G$58,ABS(M1690)*'Progetto del paramento slu'!$G$54,'Progetto del paramento slu'!$G$53)</f>
        <v>0</v>
      </c>
      <c r="H1690" s="553">
        <f>-'Foglio deposito bis'!$F$71*(C1690-sezione!$AO$33)*IF(ABS(N1690)&lt;'Progetto del paramento slu'!$G$58,ABS(N1690)*'Progetto del paramento slu'!$G$54,'Progetto del paramento slu'!$G$53)</f>
        <v>70077691.433851585</v>
      </c>
      <c r="I1690" s="479">
        <f>-'Foglio deposito bis'!$F$72*(C1690-sezione!$AP$33)*IF(ABS(O1690)&lt;'Progetto del paramento slu'!$G$58,ABS(O1690)*'Progetto del paramento slu'!$G$54,'Progetto del paramento slu'!$G$53)</f>
        <v>70161132.476101726</v>
      </c>
      <c r="J1690" s="479">
        <f t="shared" si="126"/>
        <v>29504728.324972719</v>
      </c>
      <c r="K1690" s="558">
        <f>'Progetto del paramento slu'!$G$60*(sezione!$AL$33-C1690)/C1690</f>
        <v>-2.306713543077011E-3</v>
      </c>
      <c r="L1690" s="558">
        <f>'Progetto del paramento slu'!$G$60*(sezione!$AM$33-C1690)/C1690</f>
        <v>9.7482421346120781E-4</v>
      </c>
      <c r="M1690" s="559">
        <f>'Progetto del paramento slu'!$G$60*(sezione!$AN$33-C1690)/C1690</f>
        <v>4.2563619699994273E-3</v>
      </c>
      <c r="N1690" s="559">
        <f>'Progetto del paramento slu'!$G$60*(sezione!$AO$33-C1690)/C1690</f>
        <v>6.6429348838454045E-3</v>
      </c>
      <c r="O1690" s="559">
        <f>'Progetto del paramento slu'!$G$60*(sezione!$AP$33-C1690)/C1690</f>
        <v>4.2565405326964014E-3</v>
      </c>
      <c r="P1690" s="553">
        <f>-'Progetto del paramento slu'!$G$47*'Progetto del paramento slu'!$G$41*IF(DATI!$G$218="dx",DATI!$E$61,DATI!$E$64*DATI!$E$63)*1000*C1690*sezione!$AD$5</f>
        <v>-1653772.7287114926</v>
      </c>
      <c r="Q1690" s="553">
        <f>'Foglio deposito bis'!$F$68*IF(ABS(K1690)&lt;'Progetto del paramento slu'!$G$58,ABS(K1690)*'Progetto del paramento slu'!$G$54,'Progetto del paramento slu'!$G$53)*IF(K1690&lt;0,-1,1)</f>
        <v>0</v>
      </c>
      <c r="R1690" s="553">
        <f>'Foglio deposito bis'!$F$69*IF(ABS(L1690)&lt;'Progetto del paramento slu'!$G$58,ABS(L1690)*'Progetto del paramento slu'!$G$54,'Progetto del paramento slu'!$G$53)*IF(L1690&lt;0,-1,1)</f>
        <v>78859.390129442851</v>
      </c>
      <c r="S1690" s="553">
        <f>'Foglio deposito bis'!$F$70*IF(ABS(M1690)&lt;'Progetto del paramento slu'!$G$58,ABS(M1690)*'Progetto del paramento slu'!$G$54,'Progetto del paramento slu'!$G$53)*IF(M1690&lt;0,-1,1)</f>
        <v>0</v>
      </c>
      <c r="T1690" s="553">
        <f>'Foglio deposito bis'!$F$71*IF(ABS(N1690)&lt;'Progetto del paramento slu'!$G$58,ABS(N1690)*'Progetto del paramento slu'!$G$54,'Progetto del paramento slu'!$G$53)*IF(N1690&lt;0,-1,1)</f>
        <v>314705.62929873407</v>
      </c>
      <c r="U1690" s="553">
        <f>'Foglio deposito bis'!$F$72*IF(ABS(O1690)&lt;'Progetto del paramento slu'!$G$58,ABS(O1690)*'Progetto del paramento slu'!$G$54,'Progetto del paramento slu'!$G$53)*IF(O1690&lt;0,-1,1)</f>
        <v>491727.54577927204</v>
      </c>
      <c r="V1690" s="479">
        <f t="shared" si="128"/>
        <v>-768480.16350404383</v>
      </c>
      <c r="W1690" s="559"/>
      <c r="X1690" s="559"/>
    </row>
    <row r="1691" spans="1:24" x14ac:dyDescent="0.25">
      <c r="A1691" s="553">
        <f t="shared" si="127"/>
        <v>837811.00385846943</v>
      </c>
      <c r="B1691" s="3">
        <f t="shared" si="125"/>
        <v>29.899999999999942</v>
      </c>
      <c r="C1691" s="553">
        <f>'Foglio deposito bis'!$E$159/sezione!$B$247*B1691</f>
        <v>121.38266534167771</v>
      </c>
      <c r="D1691" s="611">
        <f>-'Progetto del paramento slu'!$G$47*'Progetto del paramento slu'!$G$41*IF(DATI!$G$218="dx",DATI!$E$61,DATI!$E$64*DATI!$E$63)*1000*C1691^2*sezione!$AD$5*(1-sezione!$AD$6)</f>
        <v>-121288238.36284181</v>
      </c>
      <c r="E1691" s="553">
        <f>-'Foglio deposito bis'!$F$68*(C1691-sezione!$AL$33)*IF(ABS(K1691)&lt;'Progetto del paramento slu'!$G$58,ABS(K1691)*'Progetto del paramento slu'!$G$54,'Progetto del paramento slu'!$G$53)</f>
        <v>0</v>
      </c>
      <c r="F1691" s="553">
        <f>-'Foglio deposito bis'!$F$69*(C1691-sezione!$AM$33)*IF(ABS(L1691)&lt;'Progetto del paramento slu'!$G$58,ABS(L1691)*'Progetto del paramento slu'!$G$54,'Progetto del paramento slu'!$G$53)</f>
        <v>1910279.1934413835</v>
      </c>
      <c r="G1691" s="553">
        <f>-'Foglio deposito bis'!$F$70*(C1691-sezione!$AN$33)*IF(ABS(M1691)&lt;'Progetto del paramento slu'!$G$58,ABS(M1691)*'Progetto del paramento slu'!$G$54,'Progetto del paramento slu'!$G$53)</f>
        <v>0</v>
      </c>
      <c r="H1691" s="553">
        <f>-'Foglio deposito bis'!$F$71*(C1691-sezione!$AO$33)*IF(ABS(N1691)&lt;'Progetto del paramento slu'!$G$58,ABS(N1691)*'Progetto del paramento slu'!$G$54,'Progetto del paramento slu'!$G$53)</f>
        <v>68800105.879259273</v>
      </c>
      <c r="I1691" s="479">
        <f>-'Foglio deposito bis'!$F$72*(C1691-sezione!$AP$33)*IF(ABS(O1691)&lt;'Progetto del paramento slu'!$G$58,ABS(O1691)*'Progetto del paramento slu'!$G$54,'Progetto del paramento slu'!$G$53)</f>
        <v>68164905.047051221</v>
      </c>
      <c r="J1691" s="479">
        <f t="shared" si="126"/>
        <v>17587051.756910071</v>
      </c>
      <c r="K1691" s="558">
        <f>'Progetto del paramento slu'!$G$60*(sezione!$AL$33-C1691)/C1691</f>
        <v>-2.3466227891279475E-3</v>
      </c>
      <c r="L1691" s="558">
        <f>'Progetto del paramento slu'!$G$60*(sezione!$AM$33-C1691)/C1691</f>
        <v>8.2516454077019726E-4</v>
      </c>
      <c r="M1691" s="559">
        <f>'Progetto del paramento slu'!$G$60*(sezione!$AN$33-C1691)/C1691</f>
        <v>3.9969518706683424E-3</v>
      </c>
      <c r="N1691" s="559">
        <f>'Progetto del paramento slu'!$G$60*(sezione!$AO$33-C1691)/C1691</f>
        <v>6.3037062924124476E-3</v>
      </c>
      <c r="O1691" s="559">
        <f>'Progetto del paramento slu'!$G$60*(sezione!$AP$33-C1691)/C1691</f>
        <v>3.9971244613687621E-3</v>
      </c>
      <c r="P1691" s="553">
        <f>-'Progetto del paramento slu'!$G$47*'Progetto del paramento slu'!$G$41*IF(DATI!$G$218="dx",DATI!$E$61,DATI!$E$64*DATI!$E$63)*1000*C1691*sezione!$AD$5</f>
        <v>-1710996.6985631015</v>
      </c>
      <c r="Q1691" s="553">
        <f>'Foglio deposito bis'!$F$68*IF(ABS(K1691)&lt;'Progetto del paramento slu'!$G$58,ABS(K1691)*'Progetto del paramento slu'!$G$54,'Progetto del paramento slu'!$G$53)*IF(K1691&lt;0,-1,1)</f>
        <v>0</v>
      </c>
      <c r="R1691" s="553">
        <f>'Foglio deposito bis'!$F$69*IF(ABS(L1691)&lt;'Progetto del paramento slu'!$G$58,ABS(L1691)*'Progetto del paramento slu'!$G$54,'Progetto del paramento slu'!$G$53)*IF(L1691&lt;0,-1,1)</f>
        <v>66752.519626626017</v>
      </c>
      <c r="S1691" s="553">
        <f>'Foglio deposito bis'!$F$70*IF(ABS(M1691)&lt;'Progetto del paramento slu'!$G$58,ABS(M1691)*'Progetto del paramento slu'!$G$54,'Progetto del paramento slu'!$G$53)*IF(M1691&lt;0,-1,1)</f>
        <v>0</v>
      </c>
      <c r="T1691" s="553">
        <f>'Foglio deposito bis'!$F$71*IF(ABS(N1691)&lt;'Progetto del paramento slu'!$G$58,ABS(N1691)*'Progetto del paramento slu'!$G$54,'Progetto del paramento slu'!$G$53)*IF(N1691&lt;0,-1,1)</f>
        <v>314705.62929873407</v>
      </c>
      <c r="U1691" s="553">
        <f>'Foglio deposito bis'!$F$72*IF(ABS(O1691)&lt;'Progetto del paramento slu'!$G$58,ABS(O1691)*'Progetto del paramento slu'!$G$54,'Progetto del paramento slu'!$G$53)*IF(O1691&lt;0,-1,1)</f>
        <v>491727.54577927204</v>
      </c>
      <c r="V1691" s="479">
        <f t="shared" si="128"/>
        <v>-837811.00385846943</v>
      </c>
      <c r="W1691" s="559"/>
      <c r="X1691" s="559"/>
    </row>
    <row r="1692" spans="1:24" x14ac:dyDescent="0.25">
      <c r="A1692" s="553">
        <f t="shared" si="127"/>
        <v>906358.22799912072</v>
      </c>
      <c r="B1692" s="3">
        <f t="shared" si="125"/>
        <v>30.899999999999942</v>
      </c>
      <c r="C1692" s="553">
        <f>'Foglio deposito bis'!$E$159/sezione!$B$247*B1692</f>
        <v>125.4422862561151</v>
      </c>
      <c r="D1692" s="611">
        <f>-'Progetto del paramento slu'!$G$47*'Progetto del paramento slu'!$G$41*IF(DATI!$G$218="dx",DATI!$E$61,DATI!$E$64*DATI!$E$63)*1000*C1692^2*sezione!$AD$5*(1-sezione!$AD$6)</f>
        <v>-129536831.65873425</v>
      </c>
      <c r="E1692" s="553">
        <f>-'Foglio deposito bis'!$F$68*(C1692-sezione!$AL$33)*IF(ABS(K1692)&lt;'Progetto del paramento slu'!$G$58,ABS(K1692)*'Progetto del paramento slu'!$G$54,'Progetto del paramento slu'!$G$53)</f>
        <v>0</v>
      </c>
      <c r="F1692" s="553">
        <f>-'Foglio deposito bis'!$F$69*(C1692-sezione!$AM$33)*IF(ABS(L1692)&lt;'Progetto del paramento slu'!$G$58,ABS(L1692)*'Progetto del paramento slu'!$G$54,'Progetto del paramento slu'!$G$53)</f>
        <v>1361216.0311942229</v>
      </c>
      <c r="G1692" s="553">
        <f>-'Foglio deposito bis'!$F$70*(C1692-sezione!$AN$33)*IF(ABS(M1692)&lt;'Progetto del paramento slu'!$G$58,ABS(M1692)*'Progetto del paramento slu'!$G$54,'Progetto del paramento slu'!$G$53)</f>
        <v>0</v>
      </c>
      <c r="H1692" s="553">
        <f>-'Foglio deposito bis'!$F$71*(C1692-sezione!$AO$33)*IF(ABS(N1692)&lt;'Progetto del paramento slu'!$G$58,ABS(N1692)*'Progetto del paramento slu'!$G$54,'Progetto del paramento slu'!$G$53)</f>
        <v>67522520.324666947</v>
      </c>
      <c r="I1692" s="479">
        <f>-'Foglio deposito bis'!$F$72*(C1692-sezione!$AP$33)*IF(ABS(O1692)&lt;'Progetto del paramento slu'!$G$58,ABS(O1692)*'Progetto del paramento slu'!$G$54,'Progetto del paramento slu'!$G$53)</f>
        <v>66168677.618000716</v>
      </c>
      <c r="J1692" s="479">
        <f t="shared" si="126"/>
        <v>5515582.315127641</v>
      </c>
      <c r="K1692" s="558">
        <f>'Progetto del paramento slu'!$G$60*(sezione!$AL$33-C1692)/C1692</f>
        <v>-2.3839489124571401E-3</v>
      </c>
      <c r="L1692" s="558">
        <f>'Progetto del paramento slu'!$G$60*(sezione!$AM$33-C1692)/C1692</f>
        <v>6.8519157828572457E-4</v>
      </c>
      <c r="M1692" s="559">
        <f>'Progetto del paramento slu'!$G$60*(sezione!$AN$33-C1692)/C1692</f>
        <v>3.7543320690285892E-3</v>
      </c>
      <c r="N1692" s="559">
        <f>'Progetto del paramento slu'!$G$60*(sezione!$AO$33-C1692)/C1692</f>
        <v>5.9864342441143092E-3</v>
      </c>
      <c r="O1692" s="559">
        <f>'Progetto del paramento slu'!$G$60*(sezione!$AP$33-C1692)/C1692</f>
        <v>3.7544990742694492E-3</v>
      </c>
      <c r="P1692" s="553">
        <f>-'Progetto del paramento slu'!$G$47*'Progetto del paramento slu'!$G$41*IF(DATI!$G$218="dx",DATI!$E$61,DATI!$E$64*DATI!$E$63)*1000*C1692*sezione!$AD$5</f>
        <v>-1768220.6684147103</v>
      </c>
      <c r="Q1692" s="553">
        <f>'Foglio deposito bis'!$F$68*IF(ABS(K1692)&lt;'Progetto del paramento slu'!$G$58,ABS(K1692)*'Progetto del paramento slu'!$G$54,'Progetto del paramento slu'!$G$53)*IF(K1692&lt;0,-1,1)</f>
        <v>0</v>
      </c>
      <c r="R1692" s="553">
        <f>'Foglio deposito bis'!$F$69*IF(ABS(L1692)&lt;'Progetto del paramento slu'!$G$58,ABS(L1692)*'Progetto del paramento slu'!$G$54,'Progetto del paramento slu'!$G$53)*IF(L1692&lt;0,-1,1)</f>
        <v>55429.265337583718</v>
      </c>
      <c r="S1692" s="553">
        <f>'Foglio deposito bis'!$F$70*IF(ABS(M1692)&lt;'Progetto del paramento slu'!$G$58,ABS(M1692)*'Progetto del paramento slu'!$G$54,'Progetto del paramento slu'!$G$53)*IF(M1692&lt;0,-1,1)</f>
        <v>0</v>
      </c>
      <c r="T1692" s="553">
        <f>'Foglio deposito bis'!$F$71*IF(ABS(N1692)&lt;'Progetto del paramento slu'!$G$58,ABS(N1692)*'Progetto del paramento slu'!$G$54,'Progetto del paramento slu'!$G$53)*IF(N1692&lt;0,-1,1)</f>
        <v>314705.62929873407</v>
      </c>
      <c r="U1692" s="553">
        <f>'Foglio deposito bis'!$F$72*IF(ABS(O1692)&lt;'Progetto del paramento slu'!$G$58,ABS(O1692)*'Progetto del paramento slu'!$G$54,'Progetto del paramento slu'!$G$53)*IF(O1692&lt;0,-1,1)</f>
        <v>491727.54577927204</v>
      </c>
      <c r="V1692" s="479">
        <f t="shared" si="128"/>
        <v>-906358.22799912072</v>
      </c>
      <c r="W1692" s="559"/>
      <c r="X1692" s="559"/>
    </row>
    <row r="1693" spans="1:24" x14ac:dyDescent="0.25">
      <c r="A1693" s="553">
        <f t="shared" si="127"/>
        <v>974195.53024077252</v>
      </c>
      <c r="B1693" s="3">
        <f t="shared" si="125"/>
        <v>31.899999999999942</v>
      </c>
      <c r="C1693" s="553">
        <f>'Foglio deposito bis'!$E$159/sezione!$B$247*B1693</f>
        <v>129.5019071705525</v>
      </c>
      <c r="D1693" s="611">
        <f>-'Progetto del paramento slu'!$G$47*'Progetto del paramento slu'!$G$41*IF(DATI!$G$218="dx",DATI!$E$61,DATI!$E$64*DATI!$E$63)*1000*C1693^2*sezione!$AD$5*(1-sezione!$AD$6)</f>
        <v>-138056760.26041263</v>
      </c>
      <c r="E1693" s="553">
        <f>-'Foglio deposito bis'!$F$68*(C1693-sezione!$AL$33)*IF(ABS(K1693)&lt;'Progetto del paramento slu'!$G$58,ABS(K1693)*'Progetto del paramento slu'!$G$54,'Progetto del paramento slu'!$G$53)</f>
        <v>0</v>
      </c>
      <c r="F1693" s="553">
        <f>-'Foglio deposito bis'!$F$69*(C1693-sezione!$AM$33)*IF(ABS(L1693)&lt;'Progetto del paramento slu'!$G$58,ABS(L1693)*'Progetto del paramento slu'!$G$54,'Progetto del paramento slu'!$G$53)</f>
        <v>918641.15379698842</v>
      </c>
      <c r="G1693" s="553">
        <f>-'Foglio deposito bis'!$F$70*(C1693-sezione!$AN$33)*IF(ABS(M1693)&lt;'Progetto del paramento slu'!$G$58,ABS(M1693)*'Progetto del paramento slu'!$G$54,'Progetto del paramento slu'!$G$53)</f>
        <v>0</v>
      </c>
      <c r="H1693" s="553">
        <f>-'Foglio deposito bis'!$F$71*(C1693-sezione!$AO$33)*IF(ABS(N1693)&lt;'Progetto del paramento slu'!$G$58,ABS(N1693)*'Progetto del paramento slu'!$G$54,'Progetto del paramento slu'!$G$53)</f>
        <v>66244934.770074621</v>
      </c>
      <c r="I1693" s="479">
        <f>-'Foglio deposito bis'!$F$72*(C1693-sezione!$AP$33)*IF(ABS(O1693)&lt;'Progetto del paramento slu'!$G$58,ABS(O1693)*'Progetto del paramento slu'!$G$54,'Progetto del paramento slu'!$G$53)</f>
        <v>64172450.188950211</v>
      </c>
      <c r="J1693" s="479">
        <f t="shared" si="126"/>
        <v>-6720734.1475908011</v>
      </c>
      <c r="K1693" s="558">
        <f>'Progetto del paramento slu'!$G$60*(sezione!$AL$33-C1693)/C1693</f>
        <v>-2.4189348399663211E-3</v>
      </c>
      <c r="L1693" s="558">
        <f>'Progetto del paramento slu'!$G$60*(sezione!$AM$33-C1693)/C1693</f>
        <v>5.5399435012629691E-4</v>
      </c>
      <c r="M1693" s="559">
        <f>'Progetto del paramento slu'!$G$60*(sezione!$AN$33-C1693)/C1693</f>
        <v>3.5269235402189143E-3</v>
      </c>
      <c r="N1693" s="559">
        <f>'Progetto del paramento slu'!$G$60*(sezione!$AO$33-C1693)/C1693</f>
        <v>5.6890538602862731E-3</v>
      </c>
      <c r="O1693" s="559">
        <f>'Progetto del paramento slu'!$G$60*(sezione!$AP$33-C1693)/C1693</f>
        <v>3.5270853101857661E-3</v>
      </c>
      <c r="P1693" s="553">
        <f>-'Progetto del paramento slu'!$G$47*'Progetto del paramento slu'!$G$41*IF(DATI!$G$218="dx",DATI!$E$61,DATI!$E$64*DATI!$E$63)*1000*C1693*sezione!$AD$5</f>
        <v>-1825444.6382663194</v>
      </c>
      <c r="Q1693" s="553">
        <f>'Foglio deposito bis'!$F$68*IF(ABS(K1693)&lt;'Progetto del paramento slu'!$G$58,ABS(K1693)*'Progetto del paramento slu'!$G$54,'Progetto del paramento slu'!$G$53)*IF(K1693&lt;0,-1,1)</f>
        <v>0</v>
      </c>
      <c r="R1693" s="553">
        <f>'Foglio deposito bis'!$F$69*IF(ABS(L1693)&lt;'Progetto del paramento slu'!$G$58,ABS(L1693)*'Progetto del paramento slu'!$G$54,'Progetto del paramento slu'!$G$53)*IF(L1693&lt;0,-1,1)</f>
        <v>44815.932947540918</v>
      </c>
      <c r="S1693" s="553">
        <f>'Foglio deposito bis'!$F$70*IF(ABS(M1693)&lt;'Progetto del paramento slu'!$G$58,ABS(M1693)*'Progetto del paramento slu'!$G$54,'Progetto del paramento slu'!$G$53)*IF(M1693&lt;0,-1,1)</f>
        <v>0</v>
      </c>
      <c r="T1693" s="553">
        <f>'Foglio deposito bis'!$F$71*IF(ABS(N1693)&lt;'Progetto del paramento slu'!$G$58,ABS(N1693)*'Progetto del paramento slu'!$G$54,'Progetto del paramento slu'!$G$53)*IF(N1693&lt;0,-1,1)</f>
        <v>314705.62929873407</v>
      </c>
      <c r="U1693" s="553">
        <f>'Foglio deposito bis'!$F$72*IF(ABS(O1693)&lt;'Progetto del paramento slu'!$G$58,ABS(O1693)*'Progetto del paramento slu'!$G$54,'Progetto del paramento slu'!$G$53)*IF(O1693&lt;0,-1,1)</f>
        <v>491727.54577927204</v>
      </c>
      <c r="V1693" s="479">
        <f t="shared" si="128"/>
        <v>-974195.53024077252</v>
      </c>
      <c r="W1693" s="559"/>
      <c r="X1693" s="559"/>
    </row>
    <row r="1694" spans="1:24" x14ac:dyDescent="0.25">
      <c r="A1694" s="553">
        <f t="shared" si="127"/>
        <v>1041387.6451030897</v>
      </c>
      <c r="B1694" s="3">
        <f t="shared" si="125"/>
        <v>32.899999999999942</v>
      </c>
      <c r="C1694" s="553">
        <f>'Foglio deposito bis'!$E$159/sezione!$B$247*B1694</f>
        <v>133.56152808498987</v>
      </c>
      <c r="D1694" s="611">
        <f>-'Progetto del paramento slu'!$G$47*'Progetto del paramento slu'!$G$41*IF(DATI!$G$218="dx",DATI!$E$61,DATI!$E$64*DATI!$E$63)*1000*C1694^2*sezione!$AD$5*(1-sezione!$AD$6)</f>
        <v>-146848024.16787693</v>
      </c>
      <c r="E1694" s="553">
        <f>-'Foglio deposito bis'!$F$68*(C1694-sezione!$AL$33)*IF(ABS(K1694)&lt;'Progetto del paramento slu'!$G$58,ABS(K1694)*'Progetto del paramento slu'!$G$54,'Progetto del paramento slu'!$G$53)</f>
        <v>0</v>
      </c>
      <c r="F1694" s="553">
        <f>-'Foglio deposito bis'!$F$69*(C1694-sezione!$AM$33)*IF(ABS(L1694)&lt;'Progetto del paramento slu'!$G$58,ABS(L1694)*'Progetto del paramento slu'!$G$54,'Progetto del paramento slu'!$G$53)</f>
        <v>572844.38329984294</v>
      </c>
      <c r="G1694" s="553">
        <f>-'Foglio deposito bis'!$F$70*(C1694-sezione!$AN$33)*IF(ABS(M1694)&lt;'Progetto del paramento slu'!$G$58,ABS(M1694)*'Progetto del paramento slu'!$G$54,'Progetto del paramento slu'!$G$53)</f>
        <v>0</v>
      </c>
      <c r="H1694" s="553">
        <f>-'Foglio deposito bis'!$F$71*(C1694-sezione!$AO$33)*IF(ABS(N1694)&lt;'Progetto del paramento slu'!$G$58,ABS(N1694)*'Progetto del paramento slu'!$G$54,'Progetto del paramento slu'!$G$53)</f>
        <v>64967349.215482309</v>
      </c>
      <c r="I1694" s="479">
        <f>-'Foglio deposito bis'!$F$72*(C1694-sezione!$AP$33)*IF(ABS(O1694)&lt;'Progetto del paramento slu'!$G$58,ABS(O1694)*'Progetto del paramento slu'!$G$54,'Progetto del paramento slu'!$G$53)</f>
        <v>62176222.759899713</v>
      </c>
      <c r="J1694" s="479">
        <f t="shared" si="126"/>
        <v>-19131607.809195049</v>
      </c>
      <c r="K1694" s="558">
        <f>'Progetto del paramento slu'!$G$60*(sezione!$AL$33-C1694)/C1694</f>
        <v>-2.4517939633715998E-3</v>
      </c>
      <c r="L1694" s="558">
        <f>'Progetto del paramento slu'!$G$60*(sezione!$AM$33-C1694)/C1694</f>
        <v>4.3077263735650086E-4</v>
      </c>
      <c r="M1694" s="559">
        <f>'Progetto del paramento slu'!$G$60*(sezione!$AN$33-C1694)/C1694</f>
        <v>3.3133392380846017E-3</v>
      </c>
      <c r="N1694" s="559">
        <f>'Progetto del paramento slu'!$G$60*(sezione!$AO$33-C1694)/C1694</f>
        <v>5.4097513113414023E-3</v>
      </c>
      <c r="O1694" s="559">
        <f>'Progetto del paramento slu'!$G$60*(sezione!$AP$33-C1694)/C1694</f>
        <v>3.3134960910311839E-3</v>
      </c>
      <c r="P1694" s="553">
        <f>-'Progetto del paramento slu'!$G$47*'Progetto del paramento slu'!$G$41*IF(DATI!$G$218="dx",DATI!$E$61,DATI!$E$64*DATI!$E$63)*1000*C1694*sezione!$AD$5</f>
        <v>-1882668.6081179278</v>
      </c>
      <c r="Q1694" s="553">
        <f>'Foglio deposito bis'!$F$68*IF(ABS(K1694)&lt;'Progetto del paramento slu'!$G$58,ABS(K1694)*'Progetto del paramento slu'!$G$54,'Progetto del paramento slu'!$G$53)*IF(K1694&lt;0,-1,1)</f>
        <v>0</v>
      </c>
      <c r="R1694" s="553">
        <f>'Foglio deposito bis'!$F$69*IF(ABS(L1694)&lt;'Progetto del paramento slu'!$G$58,ABS(L1694)*'Progetto del paramento slu'!$G$54,'Progetto del paramento slu'!$G$53)*IF(L1694&lt;0,-1,1)</f>
        <v>34847.787936832086</v>
      </c>
      <c r="S1694" s="553">
        <f>'Foglio deposito bis'!$F$70*IF(ABS(M1694)&lt;'Progetto del paramento slu'!$G$58,ABS(M1694)*'Progetto del paramento slu'!$G$54,'Progetto del paramento slu'!$G$53)*IF(M1694&lt;0,-1,1)</f>
        <v>0</v>
      </c>
      <c r="T1694" s="553">
        <f>'Foglio deposito bis'!$F$71*IF(ABS(N1694)&lt;'Progetto del paramento slu'!$G$58,ABS(N1694)*'Progetto del paramento slu'!$G$54,'Progetto del paramento slu'!$G$53)*IF(N1694&lt;0,-1,1)</f>
        <v>314705.62929873407</v>
      </c>
      <c r="U1694" s="553">
        <f>'Foglio deposito bis'!$F$72*IF(ABS(O1694)&lt;'Progetto del paramento slu'!$G$58,ABS(O1694)*'Progetto del paramento slu'!$G$54,'Progetto del paramento slu'!$G$53)*IF(O1694&lt;0,-1,1)</f>
        <v>491727.54577927204</v>
      </c>
      <c r="V1694" s="479">
        <f t="shared" si="128"/>
        <v>-1041387.6451030897</v>
      </c>
      <c r="W1694" s="559"/>
      <c r="X1694" s="559"/>
    </row>
    <row r="1695" spans="1:24" x14ac:dyDescent="0.25">
      <c r="A1695" s="553">
        <f t="shared" si="127"/>
        <v>1107991.6688143334</v>
      </c>
      <c r="B1695" s="3">
        <f t="shared" si="125"/>
        <v>33.899999999999942</v>
      </c>
      <c r="C1695" s="553">
        <f>'Foglio deposito bis'!$E$159/sezione!$B$247*B1695</f>
        <v>137.62114899942728</v>
      </c>
      <c r="D1695" s="611">
        <f>-'Progetto del paramento slu'!$G$47*'Progetto del paramento slu'!$G$41*IF(DATI!$G$218="dx",DATI!$E$61,DATI!$E$64*DATI!$E$63)*1000*C1695^2*sezione!$AD$5*(1-sezione!$AD$6)</f>
        <v>-155910623.38112721</v>
      </c>
      <c r="E1695" s="553">
        <f>-'Foglio deposito bis'!$F$68*(C1695-sezione!$AL$33)*IF(ABS(K1695)&lt;'Progetto del paramento slu'!$G$58,ABS(K1695)*'Progetto del paramento slu'!$G$54,'Progetto del paramento slu'!$G$53)</f>
        <v>0</v>
      </c>
      <c r="F1695" s="553">
        <f>-'Foglio deposito bis'!$F$69*(C1695-sezione!$AM$33)*IF(ABS(L1695)&lt;'Progetto del paramento slu'!$G$58,ABS(L1695)*'Progetto del paramento slu'!$G$54,'Progetto del paramento slu'!$G$53)</f>
        <v>315261.28546383581</v>
      </c>
      <c r="G1695" s="553">
        <f>-'Foglio deposito bis'!$F$70*(C1695-sezione!$AN$33)*IF(ABS(M1695)&lt;'Progetto del paramento slu'!$G$58,ABS(M1695)*'Progetto del paramento slu'!$G$54,'Progetto del paramento slu'!$G$53)</f>
        <v>0</v>
      </c>
      <c r="H1695" s="553">
        <f>-'Foglio deposito bis'!$F$71*(C1695-sezione!$AO$33)*IF(ABS(N1695)&lt;'Progetto del paramento slu'!$G$58,ABS(N1695)*'Progetto del paramento slu'!$G$54,'Progetto del paramento slu'!$G$53)</f>
        <v>63689763.660889976</v>
      </c>
      <c r="I1695" s="479">
        <f>-'Foglio deposito bis'!$F$72*(C1695-sezione!$AP$33)*IF(ABS(O1695)&lt;'Progetto del paramento slu'!$G$58,ABS(O1695)*'Progetto del paramento slu'!$G$54,'Progetto del paramento slu'!$G$53)</f>
        <v>60179995.330849208</v>
      </c>
      <c r="J1695" s="479">
        <f t="shared" si="126"/>
        <v>-31725603.103924178</v>
      </c>
      <c r="K1695" s="558">
        <f>'Progetto del paramento slu'!$G$60*(sezione!$AL$33-C1695)/C1695</f>
        <v>-2.4827144954255352E-3</v>
      </c>
      <c r="L1695" s="558">
        <f>'Progetto del paramento slu'!$G$60*(sezione!$AM$33-C1695)/C1695</f>
        <v>3.1482064215424357E-4</v>
      </c>
      <c r="M1695" s="559">
        <f>'Progetto del paramento slu'!$G$60*(sezione!$AN$33-C1695)/C1695</f>
        <v>3.1123557797340224E-3</v>
      </c>
      <c r="N1695" s="559">
        <f>'Progetto del paramento slu'!$G$60*(sezione!$AO$33-C1695)/C1695</f>
        <v>5.1469267888829516E-3</v>
      </c>
      <c r="O1695" s="559">
        <f>'Progetto del paramento slu'!$G$60*(sezione!$AP$33-C1695)/C1695</f>
        <v>3.1125080057500271E-3</v>
      </c>
      <c r="P1695" s="553">
        <f>-'Progetto del paramento slu'!$G$47*'Progetto del paramento slu'!$G$41*IF(DATI!$G$218="dx",DATI!$E$61,DATI!$E$64*DATI!$E$63)*1000*C1695*sezione!$AD$5</f>
        <v>-1939892.5779695369</v>
      </c>
      <c r="Q1695" s="553">
        <f>'Foglio deposito bis'!$F$68*IF(ABS(K1695)&lt;'Progetto del paramento slu'!$G$58,ABS(K1695)*'Progetto del paramento slu'!$G$54,'Progetto del paramento slu'!$G$53)*IF(K1695&lt;0,-1,1)</f>
        <v>0</v>
      </c>
      <c r="R1695" s="553">
        <f>'Foglio deposito bis'!$F$69*IF(ABS(L1695)&lt;'Progetto del paramento slu'!$G$58,ABS(L1695)*'Progetto del paramento slu'!$G$54,'Progetto del paramento slu'!$G$53)*IF(L1695&lt;0,-1,1)</f>
        <v>25467.734077197463</v>
      </c>
      <c r="S1695" s="553">
        <f>'Foglio deposito bis'!$F$70*IF(ABS(M1695)&lt;'Progetto del paramento slu'!$G$58,ABS(M1695)*'Progetto del paramento slu'!$G$54,'Progetto del paramento slu'!$G$53)*IF(M1695&lt;0,-1,1)</f>
        <v>0</v>
      </c>
      <c r="T1695" s="553">
        <f>'Foglio deposito bis'!$F$71*IF(ABS(N1695)&lt;'Progetto del paramento slu'!$G$58,ABS(N1695)*'Progetto del paramento slu'!$G$54,'Progetto del paramento slu'!$G$53)*IF(N1695&lt;0,-1,1)</f>
        <v>314705.62929873407</v>
      </c>
      <c r="U1695" s="553">
        <f>'Foglio deposito bis'!$F$72*IF(ABS(O1695)&lt;'Progetto del paramento slu'!$G$58,ABS(O1695)*'Progetto del paramento slu'!$G$54,'Progetto del paramento slu'!$G$53)*IF(O1695&lt;0,-1,1)</f>
        <v>491727.54577927204</v>
      </c>
      <c r="V1695" s="479">
        <f t="shared" si="128"/>
        <v>-1107991.6688143334</v>
      </c>
      <c r="W1695" s="559"/>
      <c r="X1695" s="559"/>
    </row>
    <row r="1696" spans="1:24" x14ac:dyDescent="0.25">
      <c r="A1696" s="553">
        <f t="shared" si="127"/>
        <v>1174058.1536224459</v>
      </c>
      <c r="B1696" s="3">
        <f t="shared" si="125"/>
        <v>34.899999999999942</v>
      </c>
      <c r="C1696" s="553">
        <f>'Foglio deposito bis'!$E$159/sezione!$B$247*B1696</f>
        <v>141.68076991386465</v>
      </c>
      <c r="D1696" s="611">
        <f>-'Progetto del paramento slu'!$G$47*'Progetto del paramento slu'!$G$41*IF(DATI!$G$218="dx",DATI!$E$61,DATI!$E$64*DATI!$E$63)*1000*C1696^2*sezione!$AD$5*(1-sezione!$AD$6)</f>
        <v>-165244557.90016335</v>
      </c>
      <c r="E1696" s="553">
        <f>-'Foglio deposito bis'!$F$68*(C1696-sezione!$AL$33)*IF(ABS(K1696)&lt;'Progetto del paramento slu'!$G$58,ABS(K1696)*'Progetto del paramento slu'!$G$54,'Progetto del paramento slu'!$G$53)</f>
        <v>0</v>
      </c>
      <c r="F1696" s="553">
        <f>-'Foglio deposito bis'!$F$69*(C1696-sezione!$AM$33)*IF(ABS(L1696)&lt;'Progetto del paramento slu'!$G$58,ABS(L1696)*'Progetto del paramento slu'!$G$54,'Progetto del paramento slu'!$G$53)</f>
        <v>138309.02309746874</v>
      </c>
      <c r="G1696" s="553">
        <f>-'Foglio deposito bis'!$F$70*(C1696-sezione!$AN$33)*IF(ABS(M1696)&lt;'Progetto del paramento slu'!$G$58,ABS(M1696)*'Progetto del paramento slu'!$G$54,'Progetto del paramento slu'!$G$53)</f>
        <v>0</v>
      </c>
      <c r="H1696" s="553">
        <f>-'Foglio deposito bis'!$F$71*(C1696-sezione!$AO$33)*IF(ABS(N1696)&lt;'Progetto del paramento slu'!$G$58,ABS(N1696)*'Progetto del paramento slu'!$G$54,'Progetto del paramento slu'!$G$53)</f>
        <v>62412178.106297672</v>
      </c>
      <c r="I1696" s="479">
        <f>-'Foglio deposito bis'!$F$72*(C1696-sezione!$AP$33)*IF(ABS(O1696)&lt;'Progetto del paramento slu'!$G$58,ABS(O1696)*'Progetto del paramento slu'!$G$54,'Progetto del paramento slu'!$G$53)</f>
        <v>58183767.90179871</v>
      </c>
      <c r="J1696" s="479">
        <f t="shared" si="126"/>
        <v>-44510302.868969515</v>
      </c>
      <c r="K1696" s="558">
        <f>'Progetto del paramento slu'!$G$60*(sezione!$AL$33-C1696)/C1696</f>
        <v>-2.5118630772184999E-3</v>
      </c>
      <c r="L1696" s="558">
        <f>'Progetto del paramento slu'!$G$60*(sezione!$AM$33-C1696)/C1696</f>
        <v>2.0551346043062651E-4</v>
      </c>
      <c r="M1696" s="559">
        <f>'Progetto del paramento slu'!$G$60*(sezione!$AN$33-C1696)/C1696</f>
        <v>2.9228899980797527E-3</v>
      </c>
      <c r="N1696" s="559">
        <f>'Progetto del paramento slu'!$G$60*(sezione!$AO$33-C1696)/C1696</f>
        <v>4.8991638436427535E-3</v>
      </c>
      <c r="O1696" s="559">
        <f>'Progetto del paramento slu'!$G$60*(sezione!$AP$33-C1696)/C1696</f>
        <v>2.9230378623187948E-3</v>
      </c>
      <c r="P1696" s="553">
        <f>-'Progetto del paramento slu'!$G$47*'Progetto del paramento slu'!$G$41*IF(DATI!$G$218="dx",DATI!$E$61,DATI!$E$64*DATI!$E$63)*1000*C1696*sezione!$AD$5</f>
        <v>-1997116.5478211457</v>
      </c>
      <c r="Q1696" s="553">
        <f>'Foglio deposito bis'!$F$68*IF(ABS(K1696)&lt;'Progetto del paramento slu'!$G$58,ABS(K1696)*'Progetto del paramento slu'!$G$54,'Progetto del paramento slu'!$G$53)*IF(K1696&lt;0,-1,1)</f>
        <v>0</v>
      </c>
      <c r="R1696" s="553">
        <f>'Foglio deposito bis'!$F$69*IF(ABS(L1696)&lt;'Progetto del paramento slu'!$G$58,ABS(L1696)*'Progetto del paramento slu'!$G$54,'Progetto del paramento slu'!$G$53)*IF(L1696&lt;0,-1,1)</f>
        <v>16625.219120693826</v>
      </c>
      <c r="S1696" s="553">
        <f>'Foglio deposito bis'!$F$70*IF(ABS(M1696)&lt;'Progetto del paramento slu'!$G$58,ABS(M1696)*'Progetto del paramento slu'!$G$54,'Progetto del paramento slu'!$G$53)*IF(M1696&lt;0,-1,1)</f>
        <v>0</v>
      </c>
      <c r="T1696" s="553">
        <f>'Foglio deposito bis'!$F$71*IF(ABS(N1696)&lt;'Progetto del paramento slu'!$G$58,ABS(N1696)*'Progetto del paramento slu'!$G$54,'Progetto del paramento slu'!$G$53)*IF(N1696&lt;0,-1,1)</f>
        <v>314705.62929873407</v>
      </c>
      <c r="U1696" s="553">
        <f>'Foglio deposito bis'!$F$72*IF(ABS(O1696)&lt;'Progetto del paramento slu'!$G$58,ABS(O1696)*'Progetto del paramento slu'!$G$54,'Progetto del paramento slu'!$G$53)*IF(O1696&lt;0,-1,1)</f>
        <v>491727.54577927204</v>
      </c>
      <c r="V1696" s="479">
        <f t="shared" si="128"/>
        <v>-1174058.1536224459</v>
      </c>
      <c r="W1696" s="559"/>
      <c r="X1696" s="559"/>
    </row>
    <row r="1697" spans="1:24" x14ac:dyDescent="0.25">
      <c r="A1697" s="553">
        <f t="shared" si="127"/>
        <v>1239632.0192129258</v>
      </c>
      <c r="B1697" s="3">
        <f t="shared" si="125"/>
        <v>35.899999999999942</v>
      </c>
      <c r="C1697" s="553">
        <f>'Foglio deposito bis'!$E$159/sezione!$B$247*B1697</f>
        <v>145.74039082830205</v>
      </c>
      <c r="D1697" s="611">
        <f>-'Progetto del paramento slu'!$G$47*'Progetto del paramento slu'!$G$41*IF(DATI!$G$218="dx",DATI!$E$61,DATI!$E$64*DATI!$E$63)*1000*C1697^2*sezione!$AD$5*(1-sezione!$AD$6)</f>
        <v>-174849827.72498551</v>
      </c>
      <c r="E1697" s="553">
        <f>-'Foglio deposito bis'!$F$68*(C1697-sezione!$AL$33)*IF(ABS(K1697)&lt;'Progetto del paramento slu'!$G$58,ABS(K1697)*'Progetto del paramento slu'!$G$54,'Progetto del paramento slu'!$G$53)</f>
        <v>0</v>
      </c>
      <c r="F1697" s="553">
        <f>-'Foglio deposito bis'!$F$69*(C1697-sezione!$AM$33)*IF(ABS(L1697)&lt;'Progetto del paramento slu'!$G$58,ABS(L1697)*'Progetto del paramento slu'!$G$54,'Progetto del paramento slu'!$G$53)</f>
        <v>35249.643375978201</v>
      </c>
      <c r="G1697" s="553">
        <f>-'Foglio deposito bis'!$F$70*(C1697-sezione!$AN$33)*IF(ABS(M1697)&lt;'Progetto del paramento slu'!$G$58,ABS(M1697)*'Progetto del paramento slu'!$G$54,'Progetto del paramento slu'!$G$53)</f>
        <v>0</v>
      </c>
      <c r="H1697" s="553">
        <f>-'Foglio deposito bis'!$F$71*(C1697-sezione!$AO$33)*IF(ABS(N1697)&lt;'Progetto del paramento slu'!$G$58,ABS(N1697)*'Progetto del paramento slu'!$G$54,'Progetto del paramento slu'!$G$53)</f>
        <v>61134592.551705338</v>
      </c>
      <c r="I1697" s="479">
        <f>-'Foglio deposito bis'!$F$72*(C1697-sezione!$AP$33)*IF(ABS(O1697)&lt;'Progetto del paramento slu'!$G$58,ABS(O1697)*'Progetto del paramento slu'!$G$54,'Progetto del paramento slu'!$G$53)</f>
        <v>56187540.472748205</v>
      </c>
      <c r="J1697" s="479">
        <f t="shared" si="126"/>
        <v>-57492445.057155982</v>
      </c>
      <c r="K1697" s="558">
        <f>'Progetto del paramento slu'!$G$60*(sezione!$AL$33-C1697)/C1697</f>
        <v>-2.5393877825884582E-3</v>
      </c>
      <c r="L1697" s="558">
        <f>'Progetto del paramento slu'!$G$60*(sezione!$AM$33-C1697)/C1697</f>
        <v>1.0229581529328264E-4</v>
      </c>
      <c r="M1697" s="559">
        <f>'Progetto del paramento slu'!$G$60*(sezione!$AN$33-C1697)/C1697</f>
        <v>2.743979413175023E-3</v>
      </c>
      <c r="N1697" s="559">
        <f>'Progetto del paramento slu'!$G$60*(sezione!$AO$33-C1697)/C1697</f>
        <v>4.6652038479981081E-3</v>
      </c>
      <c r="O1697" s="559">
        <f>'Progetto del paramento slu'!$G$60*(sezione!$AP$33-C1697)/C1697</f>
        <v>2.7441231586330336E-3</v>
      </c>
      <c r="P1697" s="553">
        <f>-'Progetto del paramento slu'!$G$47*'Progetto del paramento slu'!$G$41*IF(DATI!$G$218="dx",DATI!$E$61,DATI!$E$64*DATI!$E$63)*1000*C1697*sezione!$AD$5</f>
        <v>-2054340.5176727544</v>
      </c>
      <c r="Q1697" s="553">
        <f>'Foglio deposito bis'!$F$68*IF(ABS(K1697)&lt;'Progetto del paramento slu'!$G$58,ABS(K1697)*'Progetto del paramento slu'!$G$54,'Progetto del paramento slu'!$G$53)*IF(K1697&lt;0,-1,1)</f>
        <v>0</v>
      </c>
      <c r="R1697" s="553">
        <f>'Foglio deposito bis'!$F$69*IF(ABS(L1697)&lt;'Progetto del paramento slu'!$G$58,ABS(L1697)*'Progetto del paramento slu'!$G$54,'Progetto del paramento slu'!$G$53)*IF(L1697&lt;0,-1,1)</f>
        <v>8275.3233818226454</v>
      </c>
      <c r="S1697" s="553">
        <f>'Foglio deposito bis'!$F$70*IF(ABS(M1697)&lt;'Progetto del paramento slu'!$G$58,ABS(M1697)*'Progetto del paramento slu'!$G$54,'Progetto del paramento slu'!$G$53)*IF(M1697&lt;0,-1,1)</f>
        <v>0</v>
      </c>
      <c r="T1697" s="553">
        <f>'Foglio deposito bis'!$F$71*IF(ABS(N1697)&lt;'Progetto del paramento slu'!$G$58,ABS(N1697)*'Progetto del paramento slu'!$G$54,'Progetto del paramento slu'!$G$53)*IF(N1697&lt;0,-1,1)</f>
        <v>314705.62929873407</v>
      </c>
      <c r="U1697" s="553">
        <f>'Foglio deposito bis'!$F$72*IF(ABS(O1697)&lt;'Progetto del paramento slu'!$G$58,ABS(O1697)*'Progetto del paramento slu'!$G$54,'Progetto del paramento slu'!$G$53)*IF(O1697&lt;0,-1,1)</f>
        <v>491727.54577927204</v>
      </c>
      <c r="V1697" s="479">
        <f t="shared" si="128"/>
        <v>-1239632.0192129258</v>
      </c>
      <c r="W1697" s="559"/>
      <c r="X1697" s="559"/>
    </row>
    <row r="1698" spans="1:24" x14ac:dyDescent="0.25">
      <c r="A1698" s="553">
        <f t="shared" si="127"/>
        <v>1304753.3159286701</v>
      </c>
      <c r="B1698" s="3">
        <f t="shared" si="125"/>
        <v>36.899999999999942</v>
      </c>
      <c r="C1698" s="553">
        <f>'Foglio deposito bis'!$E$159/sezione!$B$247*B1698</f>
        <v>149.80001174273943</v>
      </c>
      <c r="D1698" s="611">
        <f>-'Progetto del paramento slu'!$G$47*'Progetto del paramento slu'!$G$41*IF(DATI!$G$218="dx",DATI!$E$61,DATI!$E$64*DATI!$E$63)*1000*C1698^2*sezione!$AD$5*(1-sezione!$AD$6)</f>
        <v>-184726432.85559353</v>
      </c>
      <c r="E1698" s="553">
        <f>-'Foglio deposito bis'!$F$68*(C1698-sezione!$AL$33)*IF(ABS(K1698)&lt;'Progetto del paramento slu'!$G$58,ABS(K1698)*'Progetto del paramento slu'!$G$54,'Progetto del paramento slu'!$G$53)</f>
        <v>0</v>
      </c>
      <c r="F1698" s="553">
        <f>-'Foglio deposito bis'!$F$69*(C1698-sezione!$AM$33)*IF(ABS(L1698)&lt;'Progetto del paramento slu'!$G$58,ABS(L1698)*'Progetto del paramento slu'!$G$54,'Progetto del paramento slu'!$G$53)</f>
        <v>75.594864822804979</v>
      </c>
      <c r="G1698" s="553">
        <f>-'Foglio deposito bis'!$F$70*(C1698-sezione!$AN$33)*IF(ABS(M1698)&lt;'Progetto del paramento slu'!$G$58,ABS(M1698)*'Progetto del paramento slu'!$G$54,'Progetto del paramento slu'!$G$53)</f>
        <v>0</v>
      </c>
      <c r="H1698" s="553">
        <f>-'Foglio deposito bis'!$F$71*(C1698-sezione!$AO$33)*IF(ABS(N1698)&lt;'Progetto del paramento slu'!$G$58,ABS(N1698)*'Progetto del paramento slu'!$G$54,'Progetto del paramento slu'!$G$53)</f>
        <v>59857006.997113019</v>
      </c>
      <c r="I1698" s="479">
        <f>-'Foglio deposito bis'!$F$72*(C1698-sezione!$AP$33)*IF(ABS(O1698)&lt;'Progetto del paramento slu'!$G$58,ABS(O1698)*'Progetto del paramento slu'!$G$54,'Progetto del paramento slu'!$G$53)</f>
        <v>54191313.043697707</v>
      </c>
      <c r="J1698" s="479">
        <f t="shared" si="126"/>
        <v>-70678037.219917983</v>
      </c>
      <c r="K1698" s="558">
        <f>'Progetto del paramento slu'!$G$60*(sezione!$AL$33-C1698)/C1698</f>
        <v>-2.5654206340088247E-3</v>
      </c>
      <c r="L1698" s="558">
        <f>'Progetto del paramento slu'!$G$60*(sezione!$AM$33-C1698)/C1698</f>
        <v>4.6726224669066199E-6</v>
      </c>
      <c r="M1698" s="559">
        <f>'Progetto del paramento slu'!$G$60*(sezione!$AN$33-C1698)/C1698</f>
        <v>2.5747658789426384E-3</v>
      </c>
      <c r="N1698" s="559">
        <f>'Progetto del paramento slu'!$G$60*(sezione!$AO$33-C1698)/C1698</f>
        <v>4.4439246109249887E-3</v>
      </c>
      <c r="O1698" s="559">
        <f>'Progetto del paramento slu'!$G$60*(sezione!$AP$33-C1698)/C1698</f>
        <v>2.5749057288597809E-3</v>
      </c>
      <c r="P1698" s="553">
        <f>-'Progetto del paramento slu'!$G$47*'Progetto del paramento slu'!$G$41*IF(DATI!$G$218="dx",DATI!$E$61,DATI!$E$64*DATI!$E$63)*1000*C1698*sezione!$AD$5</f>
        <v>-2111564.4875243632</v>
      </c>
      <c r="Q1698" s="553">
        <f>'Foglio deposito bis'!$F$68*IF(ABS(K1698)&lt;'Progetto del paramento slu'!$G$58,ABS(K1698)*'Progetto del paramento slu'!$G$54,'Progetto del paramento slu'!$G$53)*IF(K1698&lt;0,-1,1)</f>
        <v>0</v>
      </c>
      <c r="R1698" s="553">
        <f>'Foglio deposito bis'!$F$69*IF(ABS(L1698)&lt;'Progetto del paramento slu'!$G$58,ABS(L1698)*'Progetto del paramento slu'!$G$54,'Progetto del paramento slu'!$G$53)*IF(L1698&lt;0,-1,1)</f>
        <v>377.99651768708566</v>
      </c>
      <c r="S1698" s="553">
        <f>'Foglio deposito bis'!$F$70*IF(ABS(M1698)&lt;'Progetto del paramento slu'!$G$58,ABS(M1698)*'Progetto del paramento slu'!$G$54,'Progetto del paramento slu'!$G$53)*IF(M1698&lt;0,-1,1)</f>
        <v>0</v>
      </c>
      <c r="T1698" s="553">
        <f>'Foglio deposito bis'!$F$71*IF(ABS(N1698)&lt;'Progetto del paramento slu'!$G$58,ABS(N1698)*'Progetto del paramento slu'!$G$54,'Progetto del paramento slu'!$G$53)*IF(N1698&lt;0,-1,1)</f>
        <v>314705.62929873407</v>
      </c>
      <c r="U1698" s="553">
        <f>'Foglio deposito bis'!$F$72*IF(ABS(O1698)&lt;'Progetto del paramento slu'!$G$58,ABS(O1698)*'Progetto del paramento slu'!$G$54,'Progetto del paramento slu'!$G$53)*IF(O1698&lt;0,-1,1)</f>
        <v>491727.54577927204</v>
      </c>
      <c r="V1698" s="479">
        <f t="shared" si="128"/>
        <v>-1304753.3159286701</v>
      </c>
      <c r="W1698" s="559"/>
      <c r="X1698" s="559"/>
    </row>
    <row r="1699" spans="1:24" x14ac:dyDescent="0.25">
      <c r="A1699" s="553">
        <f t="shared" si="127"/>
        <v>1369457.8671634579</v>
      </c>
      <c r="B1699" s="3">
        <f t="shared" si="125"/>
        <v>37.899999999999942</v>
      </c>
      <c r="C1699" s="553">
        <f>'Foglio deposito bis'!$E$159/sezione!$B$247*B1699</f>
        <v>153.85963265717683</v>
      </c>
      <c r="D1699" s="611">
        <f>-'Progetto del paramento slu'!$G$47*'Progetto del paramento slu'!$G$41*IF(DATI!$G$218="dx",DATI!$E$61,DATI!$E$64*DATI!$E$63)*1000*C1699^2*sezione!$AD$5*(1-sezione!$AD$6)</f>
        <v>-194874373.29198751</v>
      </c>
      <c r="E1699" s="553">
        <f>-'Foglio deposito bis'!$F$68*(C1699-sezione!$AL$33)*IF(ABS(K1699)&lt;'Progetto del paramento slu'!$G$58,ABS(K1699)*'Progetto del paramento slu'!$G$54,'Progetto del paramento slu'!$G$53)</f>
        <v>0</v>
      </c>
      <c r="F1699" s="553">
        <f>-'Foglio deposito bis'!$F$69*(C1699-sezione!$AM$33)*IF(ABS(L1699)&lt;'Progetto del paramento slu'!$G$58,ABS(L1699)*'Progetto del paramento slu'!$G$54,'Progetto del paramento slu'!$G$53)</f>
        <v>-27413.368497220927</v>
      </c>
      <c r="G1699" s="553">
        <f>-'Foglio deposito bis'!$F$70*(C1699-sezione!$AN$33)*IF(ABS(M1699)&lt;'Progetto del paramento slu'!$G$58,ABS(M1699)*'Progetto del paramento slu'!$G$54,'Progetto del paramento slu'!$G$53)</f>
        <v>0</v>
      </c>
      <c r="H1699" s="553">
        <f>-'Foglio deposito bis'!$F$71*(C1699-sezione!$AO$33)*IF(ABS(N1699)&lt;'Progetto del paramento slu'!$G$58,ABS(N1699)*'Progetto del paramento slu'!$G$54,'Progetto del paramento slu'!$G$53)</f>
        <v>58579421.4425207</v>
      </c>
      <c r="I1699" s="479">
        <f>-'Foglio deposito bis'!$F$72*(C1699-sezione!$AP$33)*IF(ABS(O1699)&lt;'Progetto del paramento slu'!$G$58,ABS(O1699)*'Progetto del paramento slu'!$G$54,'Progetto del paramento slu'!$G$53)</f>
        <v>52195085.614647202</v>
      </c>
      <c r="J1699" s="479">
        <f t="shared" si="126"/>
        <v>-84127279.603316814</v>
      </c>
      <c r="K1699" s="558">
        <f>'Progetto del paramento slu'!$G$60*(sezione!$AL$33-C1699)/C1699</f>
        <v>-2.5900797201827345E-3</v>
      </c>
      <c r="L1699" s="558">
        <f>'Progetto del paramento slu'!$G$60*(sezione!$AM$33-C1699)/C1699</f>
        <v>-8.7798950685254954E-5</v>
      </c>
      <c r="M1699" s="559">
        <f>'Progetto del paramento slu'!$G$60*(sezione!$AN$33-C1699)/C1699</f>
        <v>2.4144818188122246E-3</v>
      </c>
      <c r="N1699" s="559">
        <f>'Progetto del paramento slu'!$G$60*(sezione!$AO$33-C1699)/C1699</f>
        <v>4.2343223784467553E-3</v>
      </c>
      <c r="O1699" s="559">
        <f>'Progetto del paramento slu'!$G$60*(sezione!$AP$33-C1699)/C1699</f>
        <v>2.4146179787579388E-3</v>
      </c>
      <c r="P1699" s="553">
        <f>-'Progetto del paramento slu'!$G$47*'Progetto del paramento slu'!$G$41*IF(DATI!$G$218="dx",DATI!$E$61,DATI!$E$64*DATI!$E$63)*1000*C1699*sezione!$AD$5</f>
        <v>-2168788.4573759725</v>
      </c>
      <c r="Q1699" s="553">
        <f>'Foglio deposito bis'!$F$68*IF(ABS(K1699)&lt;'Progetto del paramento slu'!$G$58,ABS(K1699)*'Progetto del paramento slu'!$G$54,'Progetto del paramento slu'!$G$53)*IF(K1699&lt;0,-1,1)</f>
        <v>0</v>
      </c>
      <c r="R1699" s="553">
        <f>'Foglio deposito bis'!$F$69*IF(ABS(L1699)&lt;'Progetto del paramento slu'!$G$58,ABS(L1699)*'Progetto del paramento slu'!$G$54,'Progetto del paramento slu'!$G$53)*IF(L1699&lt;0,-1,1)</f>
        <v>-7102.5848654915044</v>
      </c>
      <c r="S1699" s="553">
        <f>'Foglio deposito bis'!$F$70*IF(ABS(M1699)&lt;'Progetto del paramento slu'!$G$58,ABS(M1699)*'Progetto del paramento slu'!$G$54,'Progetto del paramento slu'!$G$53)*IF(M1699&lt;0,-1,1)</f>
        <v>0</v>
      </c>
      <c r="T1699" s="553">
        <f>'Foglio deposito bis'!$F$71*IF(ABS(N1699)&lt;'Progetto del paramento slu'!$G$58,ABS(N1699)*'Progetto del paramento slu'!$G$54,'Progetto del paramento slu'!$G$53)*IF(N1699&lt;0,-1,1)</f>
        <v>314705.62929873407</v>
      </c>
      <c r="U1699" s="553">
        <f>'Foglio deposito bis'!$F$72*IF(ABS(O1699)&lt;'Progetto del paramento slu'!$G$58,ABS(O1699)*'Progetto del paramento slu'!$G$54,'Progetto del paramento slu'!$G$53)*IF(O1699&lt;0,-1,1)</f>
        <v>491727.54577927204</v>
      </c>
      <c r="V1699" s="479">
        <f t="shared" si="128"/>
        <v>-1369457.8671634579</v>
      </c>
      <c r="W1699" s="559"/>
      <c r="X1699" s="559"/>
    </row>
    <row r="1700" spans="1:24" x14ac:dyDescent="0.25">
      <c r="A1700" s="553">
        <f t="shared" si="127"/>
        <v>1433777.8126716032</v>
      </c>
      <c r="B1700" s="3">
        <f t="shared" si="125"/>
        <v>38.899999999999942</v>
      </c>
      <c r="C1700" s="553">
        <f>'Foglio deposito bis'!$E$159/sezione!$B$247*B1700</f>
        <v>157.91925357161421</v>
      </c>
      <c r="D1700" s="611">
        <f>-'Progetto del paramento slu'!$G$47*'Progetto del paramento slu'!$G$41*IF(DATI!$G$218="dx",DATI!$E$61,DATI!$E$64*DATI!$E$63)*1000*C1700^2*sezione!$AD$5*(1-sezione!$AD$6)</f>
        <v>-205293649.03416744</v>
      </c>
      <c r="E1700" s="553">
        <f>-'Foglio deposito bis'!$F$68*(C1700-sezione!$AL$33)*IF(ABS(K1700)&lt;'Progetto del paramento slu'!$G$58,ABS(K1700)*'Progetto del paramento slu'!$G$54,'Progetto del paramento slu'!$G$53)</f>
        <v>0</v>
      </c>
      <c r="F1700" s="553">
        <f>-'Foglio deposito bis'!$F$69*(C1700-sezione!$AM$33)*IF(ABS(L1700)&lt;'Progetto del paramento slu'!$G$58,ABS(L1700)*'Progetto del paramento slu'!$G$54,'Progetto del paramento slu'!$G$53)</f>
        <v>-112442.00112585444</v>
      </c>
      <c r="G1700" s="553">
        <f>-'Foglio deposito bis'!$F$70*(C1700-sezione!$AN$33)*IF(ABS(M1700)&lt;'Progetto del paramento slu'!$G$58,ABS(M1700)*'Progetto del paramento slu'!$G$54,'Progetto del paramento slu'!$G$53)</f>
        <v>0</v>
      </c>
      <c r="H1700" s="553">
        <f>-'Foglio deposito bis'!$F$71*(C1700-sezione!$AO$33)*IF(ABS(N1700)&lt;'Progetto del paramento slu'!$G$58,ABS(N1700)*'Progetto del paramento slu'!$G$54,'Progetto del paramento slu'!$G$53)</f>
        <v>57301835.887928374</v>
      </c>
      <c r="I1700" s="479">
        <f>-'Foglio deposito bis'!$F$72*(C1700-sezione!$AP$33)*IF(ABS(O1700)&lt;'Progetto del paramento slu'!$G$58,ABS(O1700)*'Progetto del paramento slu'!$G$54,'Progetto del paramento slu'!$G$53)</f>
        <v>50198858.185596712</v>
      </c>
      <c r="J1700" s="479">
        <f t="shared" si="126"/>
        <v>-97905396.96176821</v>
      </c>
      <c r="K1700" s="558">
        <f>'Progetto del paramento slu'!$G$60*(sezione!$AL$33-C1700)/C1700</f>
        <v>-2.6134709870160836E-3</v>
      </c>
      <c r="L1700" s="558">
        <f>'Progetto del paramento slu'!$G$60*(sezione!$AM$33-C1700)/C1700</f>
        <v>-1.7551620131031249E-4</v>
      </c>
      <c r="M1700" s="559">
        <f>'Progetto del paramento slu'!$G$60*(sezione!$AN$33-C1700)/C1700</f>
        <v>2.2624385843954585E-3</v>
      </c>
      <c r="N1700" s="559">
        <f>'Progetto del paramento slu'!$G$60*(sezione!$AO$33-C1700)/C1700</f>
        <v>4.0354966103632916E-3</v>
      </c>
      <c r="O1700" s="559">
        <f>'Progetto del paramento slu'!$G$60*(sezione!$AP$33-C1700)/C1700</f>
        <v>2.2625712440854989E-3</v>
      </c>
      <c r="P1700" s="553">
        <f>-'Progetto del paramento slu'!$G$47*'Progetto del paramento slu'!$G$41*IF(DATI!$G$218="dx",DATI!$E$61,DATI!$E$64*DATI!$E$63)*1000*C1700*sezione!$AD$5</f>
        <v>-2226012.4272275809</v>
      </c>
      <c r="Q1700" s="553">
        <f>'Foglio deposito bis'!$F$68*IF(ABS(K1700)&lt;'Progetto del paramento slu'!$G$58,ABS(K1700)*'Progetto del paramento slu'!$G$54,'Progetto del paramento slu'!$G$53)*IF(K1700&lt;0,-1,1)</f>
        <v>0</v>
      </c>
      <c r="R1700" s="553">
        <f>'Foglio deposito bis'!$F$69*IF(ABS(L1700)&lt;'Progetto del paramento slu'!$G$58,ABS(L1700)*'Progetto del paramento slu'!$G$54,'Progetto del paramento slu'!$G$53)*IF(L1700&lt;0,-1,1)</f>
        <v>-14198.560522028472</v>
      </c>
      <c r="S1700" s="553">
        <f>'Foglio deposito bis'!$F$70*IF(ABS(M1700)&lt;'Progetto del paramento slu'!$G$58,ABS(M1700)*'Progetto del paramento slu'!$G$54,'Progetto del paramento slu'!$G$53)*IF(M1700&lt;0,-1,1)</f>
        <v>0</v>
      </c>
      <c r="T1700" s="553">
        <f>'Foglio deposito bis'!$F$71*IF(ABS(N1700)&lt;'Progetto del paramento slu'!$G$58,ABS(N1700)*'Progetto del paramento slu'!$G$54,'Progetto del paramento slu'!$G$53)*IF(N1700&lt;0,-1,1)</f>
        <v>314705.62929873407</v>
      </c>
      <c r="U1700" s="553">
        <f>'Foglio deposito bis'!$F$72*IF(ABS(O1700)&lt;'Progetto del paramento slu'!$G$58,ABS(O1700)*'Progetto del paramento slu'!$G$54,'Progetto del paramento slu'!$G$53)*IF(O1700&lt;0,-1,1)</f>
        <v>491727.54577927204</v>
      </c>
      <c r="V1700" s="479">
        <f t="shared" si="128"/>
        <v>-1433777.8126716032</v>
      </c>
      <c r="W1700" s="559"/>
      <c r="X1700" s="559"/>
    </row>
    <row r="1701" spans="1:24" x14ac:dyDescent="0.25">
      <c r="A1701" s="553">
        <f t="shared" si="127"/>
        <v>1497742.0701769153</v>
      </c>
      <c r="B1701" s="3">
        <f t="shared" si="125"/>
        <v>39.899999999999942</v>
      </c>
      <c r="C1701" s="553">
        <f>'Foglio deposito bis'!$E$159/sezione!$B$247*B1701</f>
        <v>161.97887448605161</v>
      </c>
      <c r="D1701" s="611">
        <f>-'Progetto del paramento slu'!$G$47*'Progetto del paramento slu'!$G$41*IF(DATI!$G$218="dx",DATI!$E$61,DATI!$E$64*DATI!$E$63)*1000*C1701^2*sezione!$AD$5*(1-sezione!$AD$6)</f>
        <v>-215984260.08213335</v>
      </c>
      <c r="E1701" s="553">
        <f>-'Foglio deposito bis'!$F$68*(C1701-sezione!$AL$33)*IF(ABS(K1701)&lt;'Progetto del paramento slu'!$G$58,ABS(K1701)*'Progetto del paramento slu'!$G$54,'Progetto del paramento slu'!$G$53)</f>
        <v>0</v>
      </c>
      <c r="F1701" s="553">
        <f>-'Foglio deposito bis'!$F$69*(C1701-sezione!$AM$33)*IF(ABS(L1701)&lt;'Progetto del paramento slu'!$G$58,ABS(L1701)*'Progetto del paramento slu'!$G$54,'Progetto del paramento slu'!$G$53)</f>
        <v>-250823.83417957896</v>
      </c>
      <c r="G1701" s="553">
        <f>-'Foglio deposito bis'!$F$70*(C1701-sezione!$AN$33)*IF(ABS(M1701)&lt;'Progetto del paramento slu'!$G$58,ABS(M1701)*'Progetto del paramento slu'!$G$54,'Progetto del paramento slu'!$G$53)</f>
        <v>0</v>
      </c>
      <c r="H1701" s="553">
        <f>-'Foglio deposito bis'!$F$71*(C1701-sezione!$AO$33)*IF(ABS(N1701)&lt;'Progetto del paramento slu'!$G$58,ABS(N1701)*'Progetto del paramento slu'!$G$54,'Progetto del paramento slu'!$G$53)</f>
        <v>56024250.333336055</v>
      </c>
      <c r="I1701" s="479">
        <f>-'Foglio deposito bis'!$F$72*(C1701-sezione!$AP$33)*IF(ABS(O1701)&lt;'Progetto del paramento slu'!$G$58,ABS(O1701)*'Progetto del paramento slu'!$G$54,'Progetto del paramento slu'!$G$53)</f>
        <v>48202630.756546199</v>
      </c>
      <c r="J1701" s="479">
        <f t="shared" si="126"/>
        <v>-112008202.82643068</v>
      </c>
      <c r="K1701" s="558">
        <f>'Progetto del paramento slu'!$G$60*(sezione!$AL$33-C1701)/C1701</f>
        <v>-2.6356897592713195E-3</v>
      </c>
      <c r="L1701" s="558">
        <f>'Progetto del paramento slu'!$G$60*(sezione!$AM$33-C1701)/C1701</f>
        <v>-2.5883659726744793E-4</v>
      </c>
      <c r="M1701" s="559">
        <f>'Progetto del paramento slu'!$G$60*(sezione!$AN$33-C1701)/C1701</f>
        <v>2.1180165647364238E-3</v>
      </c>
      <c r="N1701" s="559">
        <f>'Progetto del paramento slu'!$G$60*(sezione!$AO$33-C1701)/C1701</f>
        <v>3.8466370461937849E-3</v>
      </c>
      <c r="O1701" s="559">
        <f>'Progetto del paramento slu'!$G$60*(sezione!$AP$33-C1701)/C1701</f>
        <v>2.1181458996222024E-3</v>
      </c>
      <c r="P1701" s="553">
        <f>-'Progetto del paramento slu'!$G$47*'Progetto del paramento slu'!$G$41*IF(DATI!$G$218="dx",DATI!$E$61,DATI!$E$64*DATI!$E$63)*1000*C1701*sezione!$AD$5</f>
        <v>-2283236.3970791898</v>
      </c>
      <c r="Q1701" s="553">
        <f>'Foglio deposito bis'!$F$68*IF(ABS(K1701)&lt;'Progetto del paramento slu'!$G$58,ABS(K1701)*'Progetto del paramento slu'!$G$54,'Progetto del paramento slu'!$G$53)*IF(K1701&lt;0,-1,1)</f>
        <v>0</v>
      </c>
      <c r="R1701" s="553">
        <f>'Foglio deposito bis'!$F$69*IF(ABS(L1701)&lt;'Progetto del paramento slu'!$G$58,ABS(L1701)*'Progetto del paramento slu'!$G$54,'Progetto del paramento slu'!$G$53)*IF(L1701&lt;0,-1,1)</f>
        <v>-20938.848175731553</v>
      </c>
      <c r="S1701" s="553">
        <f>'Foglio deposito bis'!$F$70*IF(ABS(M1701)&lt;'Progetto del paramento slu'!$G$58,ABS(M1701)*'Progetto del paramento slu'!$G$54,'Progetto del paramento slu'!$G$53)*IF(M1701&lt;0,-1,1)</f>
        <v>0</v>
      </c>
      <c r="T1701" s="553">
        <f>'Foglio deposito bis'!$F$71*IF(ABS(N1701)&lt;'Progetto del paramento slu'!$G$58,ABS(N1701)*'Progetto del paramento slu'!$G$54,'Progetto del paramento slu'!$G$53)*IF(N1701&lt;0,-1,1)</f>
        <v>314705.62929873407</v>
      </c>
      <c r="U1701" s="553">
        <f>'Foglio deposito bis'!$F$72*IF(ABS(O1701)&lt;'Progetto del paramento slu'!$G$58,ABS(O1701)*'Progetto del paramento slu'!$G$54,'Progetto del paramento slu'!$G$53)*IF(O1701&lt;0,-1,1)</f>
        <v>491727.54577927204</v>
      </c>
      <c r="V1701" s="479">
        <f t="shared" si="128"/>
        <v>-1497742.0701769153</v>
      </c>
      <c r="W1701" s="559"/>
      <c r="X1701" s="559"/>
    </row>
    <row r="1702" spans="1:24" x14ac:dyDescent="0.25">
      <c r="A1702" s="553">
        <f t="shared" si="127"/>
        <v>1561376.7292639539</v>
      </c>
      <c r="B1702" s="3">
        <f t="shared" si="125"/>
        <v>40.899999999999942</v>
      </c>
      <c r="C1702" s="553">
        <f>'Foglio deposito bis'!$E$159/sezione!$B$247*B1702</f>
        <v>166.03849540048901</v>
      </c>
      <c r="D1702" s="611">
        <f>-'Progetto del paramento slu'!$G$47*'Progetto del paramento slu'!$G$41*IF(DATI!$G$218="dx",DATI!$E$61,DATI!$E$64*DATI!$E$63)*1000*C1702^2*sezione!$AD$5*(1-sezione!$AD$6)</f>
        <v>-226946206.43588516</v>
      </c>
      <c r="E1702" s="553">
        <f>-'Foglio deposito bis'!$F$68*(C1702-sezione!$AL$33)*IF(ABS(K1702)&lt;'Progetto del paramento slu'!$G$58,ABS(K1702)*'Progetto del paramento slu'!$G$54,'Progetto del paramento slu'!$G$53)</f>
        <v>0</v>
      </c>
      <c r="F1702" s="553">
        <f>-'Foglio deposito bis'!$F$69*(C1702-sezione!$AM$33)*IF(ABS(L1702)&lt;'Progetto del paramento slu'!$G$58,ABS(L1702)*'Progetto del paramento slu'!$G$54,'Progetto del paramento slu'!$G$53)</f>
        <v>-438645.42997440207</v>
      </c>
      <c r="G1702" s="553">
        <f>-'Foglio deposito bis'!$F$70*(C1702-sezione!$AN$33)*IF(ABS(M1702)&lt;'Progetto del paramento slu'!$G$58,ABS(M1702)*'Progetto del paramento slu'!$G$54,'Progetto del paramento slu'!$G$53)</f>
        <v>0</v>
      </c>
      <c r="H1702" s="553">
        <f>-'Foglio deposito bis'!$F$71*(C1702-sezione!$AO$33)*IF(ABS(N1702)&lt;'Progetto del paramento slu'!$G$58,ABS(N1702)*'Progetto del paramento slu'!$G$54,'Progetto del paramento slu'!$G$53)</f>
        <v>54746664.778743736</v>
      </c>
      <c r="I1702" s="479">
        <f>-'Foglio deposito bis'!$F$72*(C1702-sezione!$AP$33)*IF(ABS(O1702)&lt;'Progetto del paramento slu'!$G$58,ABS(O1702)*'Progetto del paramento slu'!$G$54,'Progetto del paramento slu'!$G$53)</f>
        <v>46206403.327495694</v>
      </c>
      <c r="J1702" s="479">
        <f t="shared" si="126"/>
        <v>-126431783.75962013</v>
      </c>
      <c r="K1702" s="558">
        <f>'Progetto del paramento slu'!$G$60*(sezione!$AL$33-C1702)/C1702</f>
        <v>-2.6568220389957373E-3</v>
      </c>
      <c r="L1702" s="558">
        <f>'Progetto del paramento slu'!$G$60*(sezione!$AM$33-C1702)/C1702</f>
        <v>-3.3808264623401435E-4</v>
      </c>
      <c r="M1702" s="559">
        <f>'Progetto del paramento slu'!$G$60*(sezione!$AN$33-C1702)/C1702</f>
        <v>1.9806567465277085E-3</v>
      </c>
      <c r="N1702" s="559">
        <f>'Progetto del paramento slu'!$G$60*(sezione!$AO$33-C1702)/C1702</f>
        <v>3.6670126685362345E-3</v>
      </c>
      <c r="O1702" s="559">
        <f>'Progetto del paramento slu'!$G$60*(sezione!$AP$33-C1702)/C1702</f>
        <v>1.9807829191913406E-3</v>
      </c>
      <c r="P1702" s="553">
        <f>-'Progetto del paramento slu'!$G$47*'Progetto del paramento slu'!$G$41*IF(DATI!$G$218="dx",DATI!$E$61,DATI!$E$64*DATI!$E$63)*1000*C1702*sezione!$AD$5</f>
        <v>-2340460.3669307991</v>
      </c>
      <c r="Q1702" s="553">
        <f>'Foglio deposito bis'!$F$68*IF(ABS(K1702)&lt;'Progetto del paramento slu'!$G$58,ABS(K1702)*'Progetto del paramento slu'!$G$54,'Progetto del paramento slu'!$G$53)*IF(K1702&lt;0,-1,1)</f>
        <v>0</v>
      </c>
      <c r="R1702" s="553">
        <f>'Foglio deposito bis'!$F$69*IF(ABS(L1702)&lt;'Progetto del paramento slu'!$G$58,ABS(L1702)*'Progetto del paramento slu'!$G$54,'Progetto del paramento slu'!$G$53)*IF(L1702&lt;0,-1,1)</f>
        <v>-27349.53741116064</v>
      </c>
      <c r="S1702" s="553">
        <f>'Foglio deposito bis'!$F$70*IF(ABS(M1702)&lt;'Progetto del paramento slu'!$G$58,ABS(M1702)*'Progetto del paramento slu'!$G$54,'Progetto del paramento slu'!$G$53)*IF(M1702&lt;0,-1,1)</f>
        <v>0</v>
      </c>
      <c r="T1702" s="553">
        <f>'Foglio deposito bis'!$F$71*IF(ABS(N1702)&lt;'Progetto del paramento slu'!$G$58,ABS(N1702)*'Progetto del paramento slu'!$G$54,'Progetto del paramento slu'!$G$53)*IF(N1702&lt;0,-1,1)</f>
        <v>314705.62929873407</v>
      </c>
      <c r="U1702" s="553">
        <f>'Foglio deposito bis'!$F$72*IF(ABS(O1702)&lt;'Progetto del paramento slu'!$G$58,ABS(O1702)*'Progetto del paramento slu'!$G$54,'Progetto del paramento slu'!$G$53)*IF(O1702&lt;0,-1,1)</f>
        <v>491727.54577927204</v>
      </c>
      <c r="V1702" s="479">
        <f t="shared" si="128"/>
        <v>-1561376.7292639539</v>
      </c>
      <c r="W1702" s="559"/>
      <c r="X1702" s="559"/>
    </row>
    <row r="1703" spans="1:24" x14ac:dyDescent="0.25">
      <c r="A1703" s="553">
        <f t="shared" si="127"/>
        <v>1637534.5965640168</v>
      </c>
      <c r="B1703" s="3">
        <f t="shared" si="125"/>
        <v>41.899999999999942</v>
      </c>
      <c r="C1703" s="553">
        <f>'Foglio deposito bis'!$E$159/sezione!$B$247*B1703</f>
        <v>170.09811631492639</v>
      </c>
      <c r="D1703" s="611">
        <f>-'Progetto del paramento slu'!$G$47*'Progetto del paramento slu'!$G$41*IF(DATI!$G$218="dx",DATI!$E$61,DATI!$E$64*DATI!$E$63)*1000*C1703^2*sezione!$AD$5*(1-sezione!$AD$6)</f>
        <v>-238179488.09542283</v>
      </c>
      <c r="E1703" s="553">
        <f>-'Foglio deposito bis'!$F$68*(C1703-sezione!$AL$33)*IF(ABS(K1703)&lt;'Progetto del paramento slu'!$G$58,ABS(K1703)*'Progetto del paramento slu'!$G$54,'Progetto del paramento slu'!$G$53)</f>
        <v>0</v>
      </c>
      <c r="F1703" s="553">
        <f>-'Foglio deposito bis'!$F$69*(C1703-sezione!$AM$33)*IF(ABS(L1703)&lt;'Progetto del paramento slu'!$G$58,ABS(L1703)*'Progetto del paramento slu'!$G$54,'Progetto del paramento slu'!$G$53)</f>
        <v>-672366.94869592343</v>
      </c>
      <c r="G1703" s="553">
        <f>-'Foglio deposito bis'!$F$70*(C1703-sezione!$AN$33)*IF(ABS(M1703)&lt;'Progetto del paramento slu'!$G$58,ABS(M1703)*'Progetto del paramento slu'!$G$54,'Progetto del paramento slu'!$G$53)</f>
        <v>0</v>
      </c>
      <c r="H1703" s="553">
        <f>-'Foglio deposito bis'!$F$71*(C1703-sezione!$AO$33)*IF(ABS(N1703)&lt;'Progetto del paramento slu'!$G$58,ABS(N1703)*'Progetto del paramento slu'!$G$54,'Progetto del paramento slu'!$G$53)</f>
        <v>53469079.224151418</v>
      </c>
      <c r="I1703" s="479">
        <f>-'Foglio deposito bis'!$F$72*(C1703-sezione!$AP$33)*IF(ABS(O1703)&lt;'Progetto del paramento slu'!$G$58,ABS(O1703)*'Progetto del paramento slu'!$G$54,'Progetto del paramento slu'!$G$53)</f>
        <v>43056729.169890262</v>
      </c>
      <c r="J1703" s="479">
        <f t="shared" si="126"/>
        <v>-142326046.65007707</v>
      </c>
      <c r="K1703" s="558">
        <f>'Progetto del paramento slu'!$G$60*(sezione!$AL$33-C1703)/C1703</f>
        <v>-2.6769456180173188E-3</v>
      </c>
      <c r="L1703" s="558">
        <f>'Progetto del paramento slu'!$G$60*(sezione!$AM$33-C1703)/C1703</f>
        <v>-4.1354606756494457E-4</v>
      </c>
      <c r="M1703" s="559">
        <f>'Progetto del paramento slu'!$G$60*(sezione!$AN$33-C1703)/C1703</f>
        <v>1.8498534828874295E-3</v>
      </c>
      <c r="N1703" s="559">
        <f>'Progetto del paramento slu'!$G$60*(sezione!$AO$33-C1703)/C1703</f>
        <v>3.4959622468527921E-3</v>
      </c>
      <c r="O1703" s="559">
        <f>'Progetto del paramento slu'!$G$60*(sezione!$AP$33-C1703)/C1703</f>
        <v>1.8499766442703069E-3</v>
      </c>
      <c r="P1703" s="553">
        <f>-'Progetto del paramento slu'!$G$47*'Progetto del paramento slu'!$G$41*IF(DATI!$G$218="dx",DATI!$E$61,DATI!$E$64*DATI!$E$63)*1000*C1703*sezione!$AD$5</f>
        <v>-2397684.3367824079</v>
      </c>
      <c r="Q1703" s="553">
        <f>'Foglio deposito bis'!$F$68*IF(ABS(K1703)&lt;'Progetto del paramento slu'!$G$58,ABS(K1703)*'Progetto del paramento slu'!$G$54,'Progetto del paramento slu'!$G$53)*IF(K1703&lt;0,-1,1)</f>
        <v>0</v>
      </c>
      <c r="R1703" s="553">
        <f>'Foglio deposito bis'!$F$69*IF(ABS(L1703)&lt;'Progetto del paramento slu'!$G$58,ABS(L1703)*'Progetto del paramento slu'!$G$54,'Progetto del paramento slu'!$G$53)*IF(L1703&lt;0,-1,1)</f>
        <v>-33454.227160411683</v>
      </c>
      <c r="S1703" s="553">
        <f>'Foglio deposito bis'!$F$70*IF(ABS(M1703)&lt;'Progetto del paramento slu'!$G$58,ABS(M1703)*'Progetto del paramento slu'!$G$54,'Progetto del paramento slu'!$G$53)*IF(M1703&lt;0,-1,1)</f>
        <v>0</v>
      </c>
      <c r="T1703" s="553">
        <f>'Foglio deposito bis'!$F$71*IF(ABS(N1703)&lt;'Progetto del paramento slu'!$G$58,ABS(N1703)*'Progetto del paramento slu'!$G$54,'Progetto del paramento slu'!$G$53)*IF(N1703&lt;0,-1,1)</f>
        <v>314705.62929873407</v>
      </c>
      <c r="U1703" s="553">
        <f>'Foglio deposito bis'!$F$72*IF(ABS(O1703)&lt;'Progetto del paramento slu'!$G$58,ABS(O1703)*'Progetto del paramento slu'!$G$54,'Progetto del paramento slu'!$G$53)*IF(O1703&lt;0,-1,1)</f>
        <v>478898.33808006905</v>
      </c>
      <c r="V1703" s="479">
        <f t="shared" si="128"/>
        <v>-1637534.5965640168</v>
      </c>
      <c r="W1703" s="559"/>
      <c r="X1703" s="559"/>
    </row>
    <row r="1704" spans="1:24" x14ac:dyDescent="0.25">
      <c r="A1704" s="553">
        <f t="shared" si="127"/>
        <v>1732861.4911270414</v>
      </c>
      <c r="B1704" s="3">
        <f t="shared" si="125"/>
        <v>42.899999999999942</v>
      </c>
      <c r="C1704" s="553">
        <f>'Foglio deposito bis'!$E$159/sezione!$B$247*B1704</f>
        <v>174.15773722936379</v>
      </c>
      <c r="D1704" s="611">
        <f>-'Progetto del paramento slu'!$G$47*'Progetto del paramento slu'!$G$41*IF(DATI!$G$218="dx",DATI!$E$61,DATI!$E$64*DATI!$E$63)*1000*C1704^2*sezione!$AD$5*(1-sezione!$AD$6)</f>
        <v>-249684105.06074658</v>
      </c>
      <c r="E1704" s="553">
        <f>-'Foglio deposito bis'!$F$68*(C1704-sezione!$AL$33)*IF(ABS(K1704)&lt;'Progetto del paramento slu'!$G$58,ABS(K1704)*'Progetto del paramento slu'!$G$54,'Progetto del paramento slu'!$G$53)</f>
        <v>0</v>
      </c>
      <c r="F1704" s="553">
        <f>-'Foglio deposito bis'!$F$69*(C1704-sezione!$AM$33)*IF(ABS(L1704)&lt;'Progetto del paramento slu'!$G$58,ABS(L1704)*'Progetto del paramento slu'!$G$54,'Progetto del paramento slu'!$G$53)</f>
        <v>-948778.60552409769</v>
      </c>
      <c r="G1704" s="553">
        <f>-'Foglio deposito bis'!$F$70*(C1704-sezione!$AN$33)*IF(ABS(M1704)&lt;'Progetto del paramento slu'!$G$58,ABS(M1704)*'Progetto del paramento slu'!$G$54,'Progetto del paramento slu'!$G$53)</f>
        <v>0</v>
      </c>
      <c r="H1704" s="553">
        <f>-'Foglio deposito bis'!$F$71*(C1704-sezione!$AO$33)*IF(ABS(N1704)&lt;'Progetto del paramento slu'!$G$58,ABS(N1704)*'Progetto del paramento slu'!$G$54,'Progetto del paramento slu'!$G$53)</f>
        <v>52191493.669559084</v>
      </c>
      <c r="I1704" s="479">
        <f>-'Foglio deposito bis'!$F$72*(C1704-sezione!$AP$33)*IF(ABS(O1704)&lt;'Progetto del paramento slu'!$G$58,ABS(O1704)*'Progetto del paramento slu'!$G$54,'Progetto del paramento slu'!$G$53)</f>
        <v>38341158.548494481</v>
      </c>
      <c r="J1704" s="479">
        <f t="shared" si="126"/>
        <v>-160100231.44821709</v>
      </c>
      <c r="K1704" s="558">
        <f>'Progetto del paramento slu'!$G$60*(sezione!$AL$33-C1704)/C1704</f>
        <v>-2.6961310348467518E-3</v>
      </c>
      <c r="L1704" s="558">
        <f>'Progetto del paramento slu'!$G$60*(sezione!$AM$33-C1704)/C1704</f>
        <v>-4.8549138067531918E-4</v>
      </c>
      <c r="M1704" s="559">
        <f>'Progetto del paramento slu'!$G$60*(sezione!$AN$33-C1704)/C1704</f>
        <v>1.7251482734961135E-3</v>
      </c>
      <c r="N1704" s="559">
        <f>'Progetto del paramento slu'!$G$60*(sezione!$AO$33-C1704)/C1704</f>
        <v>3.33288620380261E-3</v>
      </c>
      <c r="O1704" s="559">
        <f>'Progetto del paramento slu'!$G$60*(sezione!$AP$33-C1704)/C1704</f>
        <v>1.7252685639842851E-3</v>
      </c>
      <c r="P1704" s="553">
        <f>-'Progetto del paramento slu'!$G$47*'Progetto del paramento slu'!$G$41*IF(DATI!$G$218="dx",DATI!$E$61,DATI!$E$64*DATI!$E$63)*1000*C1704*sezione!$AD$5</f>
        <v>-2454908.3066340168</v>
      </c>
      <c r="Q1704" s="553">
        <f>'Foglio deposito bis'!$F$68*IF(ABS(K1704)&lt;'Progetto del paramento slu'!$G$58,ABS(K1704)*'Progetto del paramento slu'!$G$54,'Progetto del paramento slu'!$G$53)*IF(K1704&lt;0,-1,1)</f>
        <v>0</v>
      </c>
      <c r="R1704" s="553">
        <f>'Foglio deposito bis'!$F$69*IF(ABS(L1704)&lt;'Progetto del paramento slu'!$G$58,ABS(L1704)*'Progetto del paramento slu'!$G$54,'Progetto del paramento slu'!$G$53)*IF(L1704&lt;0,-1,1)</f>
        <v>-39274.31598895177</v>
      </c>
      <c r="S1704" s="553">
        <f>'Foglio deposito bis'!$F$70*IF(ABS(M1704)&lt;'Progetto del paramento slu'!$G$58,ABS(M1704)*'Progetto del paramento slu'!$G$54,'Progetto del paramento slu'!$G$53)*IF(M1704&lt;0,-1,1)</f>
        <v>0</v>
      </c>
      <c r="T1704" s="553">
        <f>'Foglio deposito bis'!$F$71*IF(ABS(N1704)&lt;'Progetto del paramento slu'!$G$58,ABS(N1704)*'Progetto del paramento slu'!$G$54,'Progetto del paramento slu'!$G$53)*IF(N1704&lt;0,-1,1)</f>
        <v>314705.62929873407</v>
      </c>
      <c r="U1704" s="553">
        <f>'Foglio deposito bis'!$F$72*IF(ABS(O1704)&lt;'Progetto del paramento slu'!$G$58,ABS(O1704)*'Progetto del paramento slu'!$G$54,'Progetto del paramento slu'!$G$53)*IF(O1704&lt;0,-1,1)</f>
        <v>446615.50219719327</v>
      </c>
      <c r="V1704" s="479">
        <f t="shared" si="128"/>
        <v>-1732861.4911270414</v>
      </c>
      <c r="W1704" s="559"/>
      <c r="X1704" s="559"/>
    </row>
    <row r="1705" spans="1:24" x14ac:dyDescent="0.25">
      <c r="A1705" s="553">
        <f t="shared" si="127"/>
        <v>1826452.4893478598</v>
      </c>
      <c r="B1705" s="3">
        <f t="shared" si="125"/>
        <v>43.899999999999942</v>
      </c>
      <c r="C1705" s="553">
        <f>'Foglio deposito bis'!$E$159/sezione!$B$247*B1705</f>
        <v>178.21735814380116</v>
      </c>
      <c r="D1705" s="611">
        <f>-'Progetto del paramento slu'!$G$47*'Progetto del paramento slu'!$G$41*IF(DATI!$G$218="dx",DATI!$E$61,DATI!$E$64*DATI!$E$63)*1000*C1705^2*sezione!$AD$5*(1-sezione!$AD$6)</f>
        <v>-261460057.3318561</v>
      </c>
      <c r="E1705" s="553">
        <f>-'Foglio deposito bis'!$F$68*(C1705-sezione!$AL$33)*IF(ABS(K1705)&lt;'Progetto del paramento slu'!$G$58,ABS(K1705)*'Progetto del paramento slu'!$G$54,'Progetto del paramento slu'!$G$53)</f>
        <v>0</v>
      </c>
      <c r="F1705" s="553">
        <f>-'Foglio deposito bis'!$F$69*(C1705-sezione!$AM$33)*IF(ABS(L1705)&lt;'Progetto del paramento slu'!$G$58,ABS(L1705)*'Progetto del paramento slu'!$G$54,'Progetto del paramento slu'!$G$53)</f>
        <v>-1264963.0789482156</v>
      </c>
      <c r="G1705" s="553">
        <f>-'Foglio deposito bis'!$F$70*(C1705-sezione!$AN$33)*IF(ABS(M1705)&lt;'Progetto del paramento slu'!$G$58,ABS(M1705)*'Progetto del paramento slu'!$G$54,'Progetto del paramento slu'!$G$53)</f>
        <v>0</v>
      </c>
      <c r="H1705" s="553">
        <f>-'Foglio deposito bis'!$F$71*(C1705-sezione!$AO$33)*IF(ABS(N1705)&lt;'Progetto del paramento slu'!$G$58,ABS(N1705)*'Progetto del paramento slu'!$G$54,'Progetto del paramento slu'!$G$53)</f>
        <v>50913908.114966772</v>
      </c>
      <c r="I1705" s="479">
        <f>-'Foglio deposito bis'!$F$72*(C1705-sezione!$AP$33)*IF(ABS(O1705)&lt;'Progetto del paramento slu'!$G$58,ABS(O1705)*'Progetto del paramento slu'!$G$54,'Progetto del paramento slu'!$G$53)</f>
        <v>34007990.230558649</v>
      </c>
      <c r="J1705" s="479">
        <f t="shared" si="126"/>
        <v>-177803122.06527889</v>
      </c>
      <c r="K1705" s="558">
        <f>'Progetto del paramento slu'!$G$60*(sezione!$AL$33-C1705)/C1705</f>
        <v>-2.714442400795573E-3</v>
      </c>
      <c r="L1705" s="558">
        <f>'Progetto del paramento slu'!$G$60*(sezione!$AM$33-C1705)/C1705</f>
        <v>-5.5415900298339828E-4</v>
      </c>
      <c r="M1705" s="559">
        <f>'Progetto del paramento slu'!$G$60*(sezione!$AN$33-C1705)/C1705</f>
        <v>1.6061243948287762E-3</v>
      </c>
      <c r="N1705" s="559">
        <f>'Progetto del paramento slu'!$G$60*(sezione!$AO$33-C1705)/C1705</f>
        <v>3.177239593237631E-3</v>
      </c>
      <c r="O1705" s="559">
        <f>'Progetto del paramento slu'!$G$60*(sezione!$AP$33-C1705)/C1705</f>
        <v>1.6062419452147116E-3</v>
      </c>
      <c r="P1705" s="553">
        <f>-'Progetto del paramento slu'!$G$47*'Progetto del paramento slu'!$G$41*IF(DATI!$G$218="dx",DATI!$E$61,DATI!$E$64*DATI!$E$63)*1000*C1705*sezione!$AD$5</f>
        <v>-2512132.2764856252</v>
      </c>
      <c r="Q1705" s="553">
        <f>'Foglio deposito bis'!$F$68*IF(ABS(K1705)&lt;'Progetto del paramento slu'!$G$58,ABS(K1705)*'Progetto del paramento slu'!$G$54,'Progetto del paramento slu'!$G$53)*IF(K1705&lt;0,-1,1)</f>
        <v>0</v>
      </c>
      <c r="R1705" s="553">
        <f>'Foglio deposito bis'!$F$69*IF(ABS(L1705)&lt;'Progetto del paramento slu'!$G$58,ABS(L1705)*'Progetto del paramento slu'!$G$54,'Progetto del paramento slu'!$G$53)*IF(L1705&lt;0,-1,1)</f>
        <v>-44829.252706852174</v>
      </c>
      <c r="S1705" s="553">
        <f>'Foglio deposito bis'!$F$70*IF(ABS(M1705)&lt;'Progetto del paramento slu'!$G$58,ABS(M1705)*'Progetto del paramento slu'!$G$54,'Progetto del paramento slu'!$G$53)*IF(M1705&lt;0,-1,1)</f>
        <v>0</v>
      </c>
      <c r="T1705" s="553">
        <f>'Foglio deposito bis'!$F$71*IF(ABS(N1705)&lt;'Progetto del paramento slu'!$G$58,ABS(N1705)*'Progetto del paramento slu'!$G$54,'Progetto del paramento slu'!$G$53)*IF(N1705&lt;0,-1,1)</f>
        <v>314705.62929873407</v>
      </c>
      <c r="U1705" s="553">
        <f>'Foglio deposito bis'!$F$72*IF(ABS(O1705)&lt;'Progetto del paramento slu'!$G$58,ABS(O1705)*'Progetto del paramento slu'!$G$54,'Progetto del paramento slu'!$G$53)*IF(O1705&lt;0,-1,1)</f>
        <v>415803.41054588376</v>
      </c>
      <c r="V1705" s="479">
        <f t="shared" si="128"/>
        <v>-1826452.4893478598</v>
      </c>
      <c r="W1705" s="559"/>
      <c r="X1705" s="559"/>
    </row>
    <row r="1706" spans="1:24" x14ac:dyDescent="0.25">
      <c r="A1706" s="553">
        <f t="shared" si="127"/>
        <v>1918423.5753918767</v>
      </c>
      <c r="B1706" s="3">
        <f t="shared" si="125"/>
        <v>44.899999999999942</v>
      </c>
      <c r="C1706" s="553">
        <f>'Foglio deposito bis'!$E$159/sezione!$B$247*B1706</f>
        <v>182.27697905823857</v>
      </c>
      <c r="D1706" s="611">
        <f>-'Progetto del paramento slu'!$G$47*'Progetto del paramento slu'!$G$41*IF(DATI!$G$218="dx",DATI!$E$61,DATI!$E$64*DATI!$E$63)*1000*C1706^2*sezione!$AD$5*(1-sezione!$AD$6)</f>
        <v>-273507344.90875161</v>
      </c>
      <c r="E1706" s="553">
        <f>-'Foglio deposito bis'!$F$68*(C1706-sezione!$AL$33)*IF(ABS(K1706)&lt;'Progetto del paramento slu'!$G$58,ABS(K1706)*'Progetto del paramento slu'!$G$54,'Progetto del paramento slu'!$G$53)</f>
        <v>0</v>
      </c>
      <c r="F1706" s="553">
        <f>-'Foglio deposito bis'!$F$69*(C1706-sezione!$AM$33)*IF(ABS(L1706)&lt;'Progetto del paramento slu'!$G$58,ABS(L1706)*'Progetto del paramento slu'!$G$54,'Progetto del paramento slu'!$G$53)</f>
        <v>-1618262.942469666</v>
      </c>
      <c r="G1706" s="553">
        <f>-'Foglio deposito bis'!$F$70*(C1706-sezione!$AN$33)*IF(ABS(M1706)&lt;'Progetto del paramento slu'!$G$58,ABS(M1706)*'Progetto del paramento slu'!$G$54,'Progetto del paramento slu'!$G$53)</f>
        <v>0</v>
      </c>
      <c r="H1706" s="553">
        <f>-'Foglio deposito bis'!$F$71*(C1706-sezione!$AO$33)*IF(ABS(N1706)&lt;'Progetto del paramento slu'!$G$58,ABS(N1706)*'Progetto del paramento slu'!$G$54,'Progetto del paramento slu'!$G$53)</f>
        <v>49636322.560374446</v>
      </c>
      <c r="I1706" s="479">
        <f>-'Foglio deposito bis'!$F$72*(C1706-sezione!$AP$33)*IF(ABS(O1706)&lt;'Progetto del paramento slu'!$G$58,ABS(O1706)*'Progetto del paramento slu'!$G$54,'Progetto del paramento slu'!$G$53)</f>
        <v>30031673.950818125</v>
      </c>
      <c r="J1706" s="479">
        <f t="shared" si="126"/>
        <v>-195457611.3400287</v>
      </c>
      <c r="K1706" s="558">
        <f>'Progetto del paramento slu'!$G$60*(sezione!$AL$33-C1706)/C1706</f>
        <v>-2.7319381156999034E-3</v>
      </c>
      <c r="L1706" s="558">
        <f>'Progetto del paramento slu'!$G$60*(sezione!$AM$33-C1706)/C1706</f>
        <v>-6.1976793387463693E-4</v>
      </c>
      <c r="M1706" s="559">
        <f>'Progetto del paramento slu'!$G$60*(sezione!$AN$33-C1706)/C1706</f>
        <v>1.4924022479506293E-3</v>
      </c>
      <c r="N1706" s="559">
        <f>'Progetto del paramento slu'!$G$60*(sezione!$AO$33-C1706)/C1706</f>
        <v>3.0285260165508229E-3</v>
      </c>
      <c r="O1706" s="559">
        <f>'Progetto del paramento slu'!$G$60*(sezione!$AP$33-C1706)/C1706</f>
        <v>1.49251718028788E-3</v>
      </c>
      <c r="P1706" s="553">
        <f>-'Progetto del paramento slu'!$G$47*'Progetto del paramento slu'!$G$41*IF(DATI!$G$218="dx",DATI!$E$61,DATI!$E$64*DATI!$E$63)*1000*C1706*sezione!$AD$5</f>
        <v>-2569356.2463372345</v>
      </c>
      <c r="Q1706" s="553">
        <f>'Foglio deposito bis'!$F$68*IF(ABS(K1706)&lt;'Progetto del paramento slu'!$G$58,ABS(K1706)*'Progetto del paramento slu'!$G$54,'Progetto del paramento slu'!$G$53)*IF(K1706&lt;0,-1,1)</f>
        <v>0</v>
      </c>
      <c r="R1706" s="553">
        <f>'Foglio deposito bis'!$F$69*IF(ABS(L1706)&lt;'Progetto del paramento slu'!$G$58,ABS(L1706)*'Progetto del paramento slu'!$G$54,'Progetto del paramento slu'!$G$53)*IF(L1706&lt;0,-1,1)</f>
        <v>-50136.75349077041</v>
      </c>
      <c r="S1706" s="553">
        <f>'Foglio deposito bis'!$F$70*IF(ABS(M1706)&lt;'Progetto del paramento slu'!$G$58,ABS(M1706)*'Progetto del paramento slu'!$G$54,'Progetto del paramento slu'!$G$53)*IF(M1706&lt;0,-1,1)</f>
        <v>0</v>
      </c>
      <c r="T1706" s="553">
        <f>'Foglio deposito bis'!$F$71*IF(ABS(N1706)&lt;'Progetto del paramento slu'!$G$58,ABS(N1706)*'Progetto del paramento slu'!$G$54,'Progetto del paramento slu'!$G$53)*IF(N1706&lt;0,-1,1)</f>
        <v>314705.62929873407</v>
      </c>
      <c r="U1706" s="553">
        <f>'Foglio deposito bis'!$F$72*IF(ABS(O1706)&lt;'Progetto del paramento slu'!$G$58,ABS(O1706)*'Progetto del paramento slu'!$G$54,'Progetto del paramento slu'!$G$53)*IF(O1706&lt;0,-1,1)</f>
        <v>386363.79513739405</v>
      </c>
      <c r="V1706" s="479">
        <f t="shared" si="128"/>
        <v>-1918423.5753918767</v>
      </c>
      <c r="W1706" s="559"/>
      <c r="X1706" s="559"/>
    </row>
    <row r="1707" spans="1:24" x14ac:dyDescent="0.25">
      <c r="A1707" s="553">
        <f t="shared" si="127"/>
        <v>2008880.6258719536</v>
      </c>
      <c r="B1707" s="3">
        <f t="shared" si="125"/>
        <v>45.899999999999942</v>
      </c>
      <c r="C1707" s="553">
        <f>'Foglio deposito bis'!$E$159/sezione!$B$247*B1707</f>
        <v>186.33659997267594</v>
      </c>
      <c r="D1707" s="611">
        <f>-'Progetto del paramento slu'!$G$47*'Progetto del paramento slu'!$G$41*IF(DATI!$G$218="dx",DATI!$E$61,DATI!$E$64*DATI!$E$63)*1000*C1707^2*sezione!$AD$5*(1-sezione!$AD$6)</f>
        <v>-285825967.7914331</v>
      </c>
      <c r="E1707" s="553">
        <f>-'Foglio deposito bis'!$F$68*(C1707-sezione!$AL$33)*IF(ABS(K1707)&lt;'Progetto del paramento slu'!$G$58,ABS(K1707)*'Progetto del paramento slu'!$G$54,'Progetto del paramento slu'!$G$53)</f>
        <v>0</v>
      </c>
      <c r="F1707" s="553">
        <f>-'Foglio deposito bis'!$F$69*(C1707-sezione!$AM$33)*IF(ABS(L1707)&lt;'Progetto del paramento slu'!$G$58,ABS(L1707)*'Progetto del paramento slu'!$G$54,'Progetto del paramento slu'!$G$53)</f>
        <v>-2006252.3535984224</v>
      </c>
      <c r="G1707" s="553">
        <f>-'Foglio deposito bis'!$F$70*(C1707-sezione!$AN$33)*IF(ABS(M1707)&lt;'Progetto del paramento slu'!$G$58,ABS(M1707)*'Progetto del paramento slu'!$G$54,'Progetto del paramento slu'!$G$53)</f>
        <v>0</v>
      </c>
      <c r="H1707" s="553">
        <f>-'Foglio deposito bis'!$F$71*(C1707-sezione!$AO$33)*IF(ABS(N1707)&lt;'Progetto del paramento slu'!$G$58,ABS(N1707)*'Progetto del paramento slu'!$G$54,'Progetto del paramento slu'!$G$53)</f>
        <v>48358737.005782135</v>
      </c>
      <c r="I1707" s="479">
        <f>-'Foglio deposito bis'!$F$72*(C1707-sezione!$AP$33)*IF(ABS(O1707)&lt;'Progetto del paramento slu'!$G$58,ABS(O1707)*'Progetto del paramento slu'!$G$54,'Progetto del paramento slu'!$G$53)</f>
        <v>26388886.04664582</v>
      </c>
      <c r="J1707" s="479">
        <f t="shared" si="126"/>
        <v>-213084597.09260356</v>
      </c>
      <c r="K1707" s="558">
        <f>'Progetto del paramento slu'!$G$60*(sezione!$AL$33-C1707)/C1707</f>
        <v>-2.7486714900855263E-3</v>
      </c>
      <c r="L1707" s="558">
        <f>'Progetto del paramento slu'!$G$60*(sezione!$AM$33-C1707)/C1707</f>
        <v>-6.8251808782072315E-4</v>
      </c>
      <c r="M1707" s="559">
        <f>'Progetto del paramento slu'!$G$60*(sezione!$AN$33-C1707)/C1707</f>
        <v>1.38363531444408E-3</v>
      </c>
      <c r="N1707" s="559">
        <f>'Progetto del paramento slu'!$G$60*(sezione!$AO$33-C1707)/C1707</f>
        <v>2.8862923342730276E-3</v>
      </c>
      <c r="O1707" s="559">
        <f>'Progetto del paramento slu'!$G$60*(sezione!$AP$33-C1707)/C1707</f>
        <v>1.3837477428088418E-3</v>
      </c>
      <c r="P1707" s="553">
        <f>-'Progetto del paramento slu'!$G$47*'Progetto del paramento slu'!$G$41*IF(DATI!$G$218="dx",DATI!$E$61,DATI!$E$64*DATI!$E$63)*1000*C1707*sezione!$AD$5</f>
        <v>-2626580.2161888429</v>
      </c>
      <c r="Q1707" s="553">
        <f>'Foglio deposito bis'!$F$68*IF(ABS(K1707)&lt;'Progetto del paramento slu'!$G$58,ABS(K1707)*'Progetto del paramento slu'!$G$54,'Progetto del paramento slu'!$G$53)*IF(K1707&lt;0,-1,1)</f>
        <v>0</v>
      </c>
      <c r="R1707" s="553">
        <f>'Foglio deposito bis'!$F$69*IF(ABS(L1707)&lt;'Progetto del paramento slu'!$G$58,ABS(L1707)*'Progetto del paramento slu'!$G$54,'Progetto del paramento slu'!$G$53)*IF(L1707&lt;0,-1,1)</f>
        <v>-55212.990623973223</v>
      </c>
      <c r="S1707" s="553">
        <f>'Foglio deposito bis'!$F$70*IF(ABS(M1707)&lt;'Progetto del paramento slu'!$G$58,ABS(M1707)*'Progetto del paramento slu'!$G$54,'Progetto del paramento slu'!$G$53)*IF(M1707&lt;0,-1,1)</f>
        <v>0</v>
      </c>
      <c r="T1707" s="553">
        <f>'Foglio deposito bis'!$F$71*IF(ABS(N1707)&lt;'Progetto del paramento slu'!$G$58,ABS(N1707)*'Progetto del paramento slu'!$G$54,'Progetto del paramento slu'!$G$53)*IF(N1707&lt;0,-1,1)</f>
        <v>314705.62929873407</v>
      </c>
      <c r="U1707" s="553">
        <f>'Foglio deposito bis'!$F$72*IF(ABS(O1707)&lt;'Progetto del paramento slu'!$G$58,ABS(O1707)*'Progetto del paramento slu'!$G$54,'Progetto del paramento slu'!$G$53)*IF(O1707&lt;0,-1,1)</f>
        <v>358206.95164212864</v>
      </c>
      <c r="V1707" s="479">
        <f t="shared" si="128"/>
        <v>-2008880.6258719536</v>
      </c>
      <c r="W1707" s="559"/>
      <c r="X1707" s="559"/>
    </row>
    <row r="1708" spans="1:24" x14ac:dyDescent="0.25">
      <c r="A1708" s="553">
        <f t="shared" si="127"/>
        <v>2097920.4874126511</v>
      </c>
      <c r="B1708" s="3">
        <f t="shared" si="125"/>
        <v>46.899999999999942</v>
      </c>
      <c r="C1708" s="553">
        <f>'Foglio deposito bis'!$E$159/sezione!$B$247*B1708</f>
        <v>190.39622088711334</v>
      </c>
      <c r="D1708" s="611">
        <f>-'Progetto del paramento slu'!$G$47*'Progetto del paramento slu'!$G$41*IF(DATI!$G$218="dx",DATI!$E$61,DATI!$E$64*DATI!$E$63)*1000*C1708^2*sezione!$AD$5*(1-sezione!$AD$6)</f>
        <v>-298415925.9799006</v>
      </c>
      <c r="E1708" s="553">
        <f>-'Foglio deposito bis'!$F$68*(C1708-sezione!$AL$33)*IF(ABS(K1708)&lt;'Progetto del paramento slu'!$G$58,ABS(K1708)*'Progetto del paramento slu'!$G$54,'Progetto del paramento slu'!$G$53)</f>
        <v>0</v>
      </c>
      <c r="F1708" s="553">
        <f>-'Foglio deposito bis'!$F$69*(C1708-sezione!$AM$33)*IF(ABS(L1708)&lt;'Progetto del paramento slu'!$G$58,ABS(L1708)*'Progetto del paramento slu'!$G$54,'Progetto del paramento slu'!$G$53)</f>
        <v>-2426712.3647263469</v>
      </c>
      <c r="G1708" s="553">
        <f>-'Foglio deposito bis'!$F$70*(C1708-sezione!$AN$33)*IF(ABS(M1708)&lt;'Progetto del paramento slu'!$G$58,ABS(M1708)*'Progetto del paramento slu'!$G$54,'Progetto del paramento slu'!$G$53)</f>
        <v>0</v>
      </c>
      <c r="H1708" s="553">
        <f>-'Foglio deposito bis'!$F$71*(C1708-sezione!$AO$33)*IF(ABS(N1708)&lt;'Progetto del paramento slu'!$G$58,ABS(N1708)*'Progetto del paramento slu'!$G$54,'Progetto del paramento slu'!$G$53)</f>
        <v>47081151.451189809</v>
      </c>
      <c r="I1708" s="479">
        <f>-'Foglio deposito bis'!$F$72*(C1708-sezione!$AP$33)*IF(ABS(O1708)&lt;'Progetto del paramento slu'!$G$58,ABS(O1708)*'Progetto del paramento slu'!$G$54,'Progetto del paramento slu'!$G$53)</f>
        <v>23058292.080372062</v>
      </c>
      <c r="J1708" s="479">
        <f t="shared" si="126"/>
        <v>-230703194.81306508</v>
      </c>
      <c r="K1708" s="558">
        <f>'Progetto del paramento slu'!$G$60*(sezione!$AL$33-C1708)/C1708</f>
        <v>-2.7646912877382869E-3</v>
      </c>
      <c r="L1708" s="558">
        <f>'Progetto del paramento slu'!$G$60*(sezione!$AM$33-C1708)/C1708</f>
        <v>-7.4259232901857577E-4</v>
      </c>
      <c r="M1708" s="559">
        <f>'Progetto del paramento slu'!$G$60*(sezione!$AN$33-C1708)/C1708</f>
        <v>1.2795066297011353E-3</v>
      </c>
      <c r="N1708" s="559">
        <f>'Progetto del paramento slu'!$G$60*(sezione!$AO$33-C1708)/C1708</f>
        <v>2.7501240542245615E-3</v>
      </c>
      <c r="O1708" s="559">
        <f>'Progetto del paramento slu'!$G$60*(sezione!$AP$33-C1708)/C1708</f>
        <v>1.2796166608726185E-3</v>
      </c>
      <c r="P1708" s="553">
        <f>-'Progetto del paramento slu'!$G$47*'Progetto del paramento slu'!$G$41*IF(DATI!$G$218="dx",DATI!$E$61,DATI!$E$64*DATI!$E$63)*1000*C1708*sezione!$AD$5</f>
        <v>-2683804.1860404522</v>
      </c>
      <c r="Q1708" s="553">
        <f>'Foglio deposito bis'!$F$68*IF(ABS(K1708)&lt;'Progetto del paramento slu'!$G$58,ABS(K1708)*'Progetto del paramento slu'!$G$54,'Progetto del paramento slu'!$G$53)*IF(K1708&lt;0,-1,1)</f>
        <v>0</v>
      </c>
      <c r="R1708" s="553">
        <f>'Foglio deposito bis'!$F$69*IF(ABS(L1708)&lt;'Progetto del paramento slu'!$G$58,ABS(L1708)*'Progetto del paramento slu'!$G$54,'Progetto del paramento slu'!$G$53)*IF(L1708&lt;0,-1,1)</f>
        <v>-60072.75709051497</v>
      </c>
      <c r="S1708" s="553">
        <f>'Foglio deposito bis'!$F$70*IF(ABS(M1708)&lt;'Progetto del paramento slu'!$G$58,ABS(M1708)*'Progetto del paramento slu'!$G$54,'Progetto del paramento slu'!$G$53)*IF(M1708&lt;0,-1,1)</f>
        <v>0</v>
      </c>
      <c r="T1708" s="553">
        <f>'Foglio deposito bis'!$F$71*IF(ABS(N1708)&lt;'Progetto del paramento slu'!$G$58,ABS(N1708)*'Progetto del paramento slu'!$G$54,'Progetto del paramento slu'!$G$53)*IF(N1708&lt;0,-1,1)</f>
        <v>314705.62929873407</v>
      </c>
      <c r="U1708" s="553">
        <f>'Foglio deposito bis'!$F$72*IF(ABS(O1708)&lt;'Progetto del paramento slu'!$G$58,ABS(O1708)*'Progetto del paramento slu'!$G$54,'Progetto del paramento slu'!$G$53)*IF(O1708&lt;0,-1,1)</f>
        <v>331250.82641958207</v>
      </c>
      <c r="V1708" s="479">
        <f t="shared" si="128"/>
        <v>-2097920.4874126511</v>
      </c>
      <c r="W1708" s="559"/>
      <c r="X1708" s="559"/>
    </row>
    <row r="1709" spans="1:24" x14ac:dyDescent="0.25">
      <c r="A1709" s="553">
        <f t="shared" si="127"/>
        <v>2185631.9192377282</v>
      </c>
      <c r="B1709" s="3">
        <f t="shared" si="125"/>
        <v>47.899999999999942</v>
      </c>
      <c r="C1709" s="553">
        <f>'Foglio deposito bis'!$E$159/sezione!$B$247*B1709</f>
        <v>194.45584180155072</v>
      </c>
      <c r="D1709" s="611">
        <f>-'Progetto del paramento slu'!$G$47*'Progetto del paramento slu'!$G$41*IF(DATI!$G$218="dx",DATI!$E$61,DATI!$E$64*DATI!$E$63)*1000*C1709^2*sezione!$AD$5*(1-sezione!$AD$6)</f>
        <v>-311277219.47415388</v>
      </c>
      <c r="E1709" s="553">
        <f>-'Foglio deposito bis'!$F$68*(C1709-sezione!$AL$33)*IF(ABS(K1709)&lt;'Progetto del paramento slu'!$G$58,ABS(K1709)*'Progetto del paramento slu'!$G$54,'Progetto del paramento slu'!$G$53)</f>
        <v>0</v>
      </c>
      <c r="F1709" s="553">
        <f>-'Foglio deposito bis'!$F$69*(C1709-sezione!$AM$33)*IF(ABS(L1709)&lt;'Progetto del paramento slu'!$G$58,ABS(L1709)*'Progetto del paramento slu'!$G$54,'Progetto del paramento slu'!$G$53)</f>
        <v>-2877609.3265841752</v>
      </c>
      <c r="G1709" s="553">
        <f>-'Foglio deposito bis'!$F$70*(C1709-sezione!$AN$33)*IF(ABS(M1709)&lt;'Progetto del paramento slu'!$G$58,ABS(M1709)*'Progetto del paramento slu'!$G$54,'Progetto del paramento slu'!$G$53)</f>
        <v>0</v>
      </c>
      <c r="H1709" s="553">
        <f>-'Foglio deposito bis'!$F$71*(C1709-sezione!$AO$33)*IF(ABS(N1709)&lt;'Progetto del paramento slu'!$G$58,ABS(N1709)*'Progetto del paramento slu'!$G$54,'Progetto del paramento slu'!$G$53)</f>
        <v>45803565.89659749</v>
      </c>
      <c r="I1709" s="479">
        <f>-'Foglio deposito bis'!$F$72*(C1709-sezione!$AP$33)*IF(ABS(O1709)&lt;'Progetto del paramento slu'!$G$58,ABS(O1709)*'Progetto del paramento slu'!$G$54,'Progetto del paramento slu'!$G$53)</f>
        <v>20020339.195761088</v>
      </c>
      <c r="J1709" s="479">
        <f t="shared" si="126"/>
        <v>-248330923.70837945</v>
      </c>
      <c r="K1709" s="558">
        <f>'Progetto del paramento slu'!$G$60*(sezione!$AL$33-C1709)/C1709</f>
        <v>-2.7800422003116006E-3</v>
      </c>
      <c r="L1709" s="558">
        <f>'Progetto del paramento slu'!$G$60*(sezione!$AM$33-C1709)/C1709</f>
        <v>-8.0015825116850096E-4</v>
      </c>
      <c r="M1709" s="559">
        <f>'Progetto del paramento slu'!$G$60*(sezione!$AN$33-C1709)/C1709</f>
        <v>1.1797256979745982E-3</v>
      </c>
      <c r="N1709" s="559">
        <f>'Progetto del paramento slu'!$G$60*(sezione!$AO$33-C1709)/C1709</f>
        <v>2.6196412973513977E-3</v>
      </c>
      <c r="O1709" s="559">
        <f>'Progetto del paramento slu'!$G$60*(sezione!$AP$33-C1709)/C1709</f>
        <v>1.1798334320443804E-3</v>
      </c>
      <c r="P1709" s="553">
        <f>-'Progetto del paramento slu'!$G$47*'Progetto del paramento slu'!$G$41*IF(DATI!$G$218="dx",DATI!$E$61,DATI!$E$64*DATI!$E$63)*1000*C1709*sezione!$AD$5</f>
        <v>-2741028.1558920606</v>
      </c>
      <c r="Q1709" s="553">
        <f>'Foglio deposito bis'!$F$68*IF(ABS(K1709)&lt;'Progetto del paramento slu'!$G$58,ABS(K1709)*'Progetto del paramento slu'!$G$54,'Progetto del paramento slu'!$G$53)*IF(K1709&lt;0,-1,1)</f>
        <v>0</v>
      </c>
      <c r="R1709" s="553">
        <f>'Foglio deposito bis'!$F$69*IF(ABS(L1709)&lt;'Progetto del paramento slu'!$G$58,ABS(L1709)*'Progetto del paramento slu'!$G$54,'Progetto del paramento slu'!$G$53)*IF(L1709&lt;0,-1,1)</f>
        <v>-64729.610552190643</v>
      </c>
      <c r="S1709" s="553">
        <f>'Foglio deposito bis'!$F$70*IF(ABS(M1709)&lt;'Progetto del paramento slu'!$G$58,ABS(M1709)*'Progetto del paramento slu'!$G$54,'Progetto del paramento slu'!$G$53)*IF(M1709&lt;0,-1,1)</f>
        <v>0</v>
      </c>
      <c r="T1709" s="553">
        <f>'Foglio deposito bis'!$F$71*IF(ABS(N1709)&lt;'Progetto del paramento slu'!$G$58,ABS(N1709)*'Progetto del paramento slu'!$G$54,'Progetto del paramento slu'!$G$53)*IF(N1709&lt;0,-1,1)</f>
        <v>314705.62929873407</v>
      </c>
      <c r="U1709" s="553">
        <f>'Foglio deposito bis'!$F$72*IF(ABS(O1709)&lt;'Progetto del paramento slu'!$G$58,ABS(O1709)*'Progetto del paramento slu'!$G$54,'Progetto del paramento slu'!$G$53)*IF(O1709&lt;0,-1,1)</f>
        <v>305420.21790778928</v>
      </c>
      <c r="V1709" s="479">
        <f t="shared" si="128"/>
        <v>-2185631.9192377282</v>
      </c>
      <c r="W1709" s="559"/>
      <c r="X1709" s="559"/>
    </row>
    <row r="1710" spans="1:24" x14ac:dyDescent="0.25">
      <c r="A1710" s="553">
        <f t="shared" si="127"/>
        <v>2272096.4201027462</v>
      </c>
      <c r="B1710" s="3">
        <f t="shared" si="125"/>
        <v>48.899999999999942</v>
      </c>
      <c r="C1710" s="553">
        <f>'Foglio deposito bis'!$E$159/sezione!$B$247*B1710</f>
        <v>198.51546271598812</v>
      </c>
      <c r="D1710" s="611">
        <f>-'Progetto del paramento slu'!$G$47*'Progetto del paramento slu'!$G$41*IF(DATI!$G$218="dx",DATI!$E$61,DATI!$E$64*DATI!$E$63)*1000*C1710^2*sezione!$AD$5*(1-sezione!$AD$6)</f>
        <v>-324409848.27419317</v>
      </c>
      <c r="E1710" s="553">
        <f>-'Foglio deposito bis'!$F$68*(C1710-sezione!$AL$33)*IF(ABS(K1710)&lt;'Progetto del paramento slu'!$G$58,ABS(K1710)*'Progetto del paramento slu'!$G$54,'Progetto del paramento slu'!$G$53)</f>
        <v>0</v>
      </c>
      <c r="F1710" s="553">
        <f>-'Foglio deposito bis'!$F$69*(C1710-sezione!$AM$33)*IF(ABS(L1710)&lt;'Progetto del paramento slu'!$G$58,ABS(L1710)*'Progetto del paramento slu'!$G$54,'Progetto del paramento slu'!$G$53)</f>
        <v>-3357075.9415811207</v>
      </c>
      <c r="G1710" s="553">
        <f>-'Foglio deposito bis'!$F$70*(C1710-sezione!$AN$33)*IF(ABS(M1710)&lt;'Progetto del paramento slu'!$G$58,ABS(M1710)*'Progetto del paramento slu'!$G$54,'Progetto del paramento slu'!$G$53)</f>
        <v>0</v>
      </c>
      <c r="H1710" s="553">
        <f>-'Foglio deposito bis'!$F$71*(C1710-sezione!$AO$33)*IF(ABS(N1710)&lt;'Progetto del paramento slu'!$G$58,ABS(N1710)*'Progetto del paramento slu'!$G$54,'Progetto del paramento slu'!$G$53)</f>
        <v>44525980.342005163</v>
      </c>
      <c r="I1710" s="479">
        <f>-'Foglio deposito bis'!$F$72*(C1710-sezione!$AP$33)*IF(ABS(O1710)&lt;'Progetto del paramento slu'!$G$58,ABS(O1710)*'Progetto del paramento slu'!$G$54,'Progetto del paramento slu'!$G$53)</f>
        <v>17257073.952220052</v>
      </c>
      <c r="J1710" s="479">
        <f t="shared" si="126"/>
        <v>-265983869.92154911</v>
      </c>
      <c r="K1710" s="558">
        <f>'Progetto del paramento slu'!$G$60*(sezione!$AL$33-C1710)/C1710</f>
        <v>-2.7947652636999111E-3</v>
      </c>
      <c r="L1710" s="558">
        <f>'Progetto del paramento slu'!$G$60*(sezione!$AM$33-C1710)/C1710</f>
        <v>-8.5536973887466677E-4</v>
      </c>
      <c r="M1710" s="559">
        <f>'Progetto del paramento slu'!$G$60*(sezione!$AN$33-C1710)/C1710</f>
        <v>1.0840257859505776E-3</v>
      </c>
      <c r="N1710" s="559">
        <f>'Progetto del paramento slu'!$G$60*(sezione!$AO$33-C1710)/C1710</f>
        <v>2.4944952585507552E-3</v>
      </c>
      <c r="O1710" s="559">
        <f>'Progetto del paramento slu'!$G$60*(sezione!$AP$33-C1710)/C1710</f>
        <v>1.0841313168696483E-3</v>
      </c>
      <c r="P1710" s="553">
        <f>-'Progetto del paramento slu'!$G$47*'Progetto del paramento slu'!$G$41*IF(DATI!$G$218="dx",DATI!$E$61,DATI!$E$64*DATI!$E$63)*1000*C1710*sezione!$AD$5</f>
        <v>-2798252.1257436699</v>
      </c>
      <c r="Q1710" s="553">
        <f>'Foglio deposito bis'!$F$68*IF(ABS(K1710)&lt;'Progetto del paramento slu'!$G$58,ABS(K1710)*'Progetto del paramento slu'!$G$54,'Progetto del paramento slu'!$G$53)*IF(K1710&lt;0,-1,1)</f>
        <v>0</v>
      </c>
      <c r="R1710" s="553">
        <f>'Foglio deposito bis'!$F$69*IF(ABS(L1710)&lt;'Progetto del paramento slu'!$G$58,ABS(L1710)*'Progetto del paramento slu'!$G$54,'Progetto del paramento slu'!$G$53)*IF(L1710&lt;0,-1,1)</f>
        <v>-69195.999659605572</v>
      </c>
      <c r="S1710" s="553">
        <f>'Foglio deposito bis'!$F$70*IF(ABS(M1710)&lt;'Progetto del paramento slu'!$G$58,ABS(M1710)*'Progetto del paramento slu'!$G$54,'Progetto del paramento slu'!$G$53)*IF(M1710&lt;0,-1,1)</f>
        <v>0</v>
      </c>
      <c r="T1710" s="553">
        <f>'Foglio deposito bis'!$F$71*IF(ABS(N1710)&lt;'Progetto del paramento slu'!$G$58,ABS(N1710)*'Progetto del paramento slu'!$G$54,'Progetto del paramento slu'!$G$53)*IF(N1710&lt;0,-1,1)</f>
        <v>314705.62929873407</v>
      </c>
      <c r="U1710" s="553">
        <f>'Foglio deposito bis'!$F$72*IF(ABS(O1710)&lt;'Progetto del paramento slu'!$G$58,ABS(O1710)*'Progetto del paramento slu'!$G$54,'Progetto del paramento slu'!$G$53)*IF(O1710&lt;0,-1,1)</f>
        <v>280646.07600179559</v>
      </c>
      <c r="V1710" s="479">
        <f t="shared" si="128"/>
        <v>-2272096.4201027462</v>
      </c>
      <c r="W1710" s="559"/>
      <c r="X1710" s="559"/>
    </row>
    <row r="1711" spans="1:24" x14ac:dyDescent="0.25">
      <c r="A1711" s="553">
        <f t="shared" si="127"/>
        <v>2357388.9557968844</v>
      </c>
      <c r="B1711" s="3">
        <f t="shared" si="125"/>
        <v>49.899999999999942</v>
      </c>
      <c r="C1711" s="553">
        <f>'Foglio deposito bis'!$E$159/sezione!$B$247*B1711</f>
        <v>202.5750836304255</v>
      </c>
      <c r="D1711" s="611">
        <f>-'Progetto del paramento slu'!$G$47*'Progetto del paramento slu'!$G$41*IF(DATI!$G$218="dx",DATI!$E$61,DATI!$E$64*DATI!$E$63)*1000*C1711^2*sezione!$AD$5*(1-sezione!$AD$6)</f>
        <v>-337813812.38001835</v>
      </c>
      <c r="E1711" s="553">
        <f>-'Foglio deposito bis'!$F$68*(C1711-sezione!$AL$33)*IF(ABS(K1711)&lt;'Progetto del paramento slu'!$G$58,ABS(K1711)*'Progetto del paramento slu'!$G$54,'Progetto del paramento slu'!$G$53)</f>
        <v>0</v>
      </c>
      <c r="F1711" s="553">
        <f>-'Foglio deposito bis'!$F$69*(C1711-sezione!$AM$33)*IF(ABS(L1711)&lt;'Progetto del paramento slu'!$G$58,ABS(L1711)*'Progetto del paramento slu'!$G$54,'Progetto del paramento slu'!$G$53)</f>
        <v>-3863394.5952999969</v>
      </c>
      <c r="G1711" s="553">
        <f>-'Foglio deposito bis'!$F$70*(C1711-sezione!$AN$33)*IF(ABS(M1711)&lt;'Progetto del paramento slu'!$G$58,ABS(M1711)*'Progetto del paramento slu'!$G$54,'Progetto del paramento slu'!$G$53)</f>
        <v>0</v>
      </c>
      <c r="H1711" s="553">
        <f>-'Foglio deposito bis'!$F$71*(C1711-sezione!$AO$33)*IF(ABS(N1711)&lt;'Progetto del paramento slu'!$G$58,ABS(N1711)*'Progetto del paramento slu'!$G$54,'Progetto del paramento slu'!$G$53)</f>
        <v>43248394.787412845</v>
      </c>
      <c r="I1711" s="479">
        <f>-'Foglio deposito bis'!$F$72*(C1711-sezione!$AP$33)*IF(ABS(O1711)&lt;'Progetto del paramento slu'!$G$58,ABS(O1711)*'Progetto del paramento slu'!$G$54,'Progetto del paramento slu'!$G$53)</f>
        <v>14751982.062710714</v>
      </c>
      <c r="J1711" s="479">
        <f t="shared" si="126"/>
        <v>-283676830.12519485</v>
      </c>
      <c r="K1711" s="558">
        <f>'Progetto del paramento slu'!$G$60*(sezione!$AL$33-C1711)/C1711</f>
        <v>-2.8088982243472077E-3</v>
      </c>
      <c r="L1711" s="558">
        <f>'Progetto del paramento slu'!$G$60*(sezione!$AM$33-C1711)/C1711</f>
        <v>-9.0836834130202809E-4</v>
      </c>
      <c r="M1711" s="559">
        <f>'Progetto del paramento slu'!$G$60*(sezione!$AN$33-C1711)/C1711</f>
        <v>9.9216154174315129E-4</v>
      </c>
      <c r="N1711" s="559">
        <f>'Progetto del paramento slu'!$G$60*(sezione!$AO$33-C1711)/C1711</f>
        <v>2.3743650930487365E-3</v>
      </c>
      <c r="O1711" s="559">
        <f>'Progetto del paramento slu'!$G$60*(sezione!$AP$33-C1711)/C1711</f>
        <v>9.9226495781414448E-4</v>
      </c>
      <c r="P1711" s="553">
        <f>-'Progetto del paramento slu'!$G$47*'Progetto del paramento slu'!$G$41*IF(DATI!$G$218="dx",DATI!$E$61,DATI!$E$64*DATI!$E$63)*1000*C1711*sezione!$AD$5</f>
        <v>-2855476.0955952783</v>
      </c>
      <c r="Q1711" s="553">
        <f>'Foglio deposito bis'!$F$68*IF(ABS(K1711)&lt;'Progetto del paramento slu'!$G$58,ABS(K1711)*'Progetto del paramento slu'!$G$54,'Progetto del paramento slu'!$G$53)*IF(K1711&lt;0,-1,1)</f>
        <v>0</v>
      </c>
      <c r="R1711" s="553">
        <f>'Foglio deposito bis'!$F$69*IF(ABS(L1711)&lt;'Progetto del paramento slu'!$G$58,ABS(L1711)*'Progetto del paramento slu'!$G$54,'Progetto del paramento slu'!$G$53)*IF(L1711&lt;0,-1,1)</f>
        <v>-73483.375175540932</v>
      </c>
      <c r="S1711" s="553">
        <f>'Foglio deposito bis'!$F$70*IF(ABS(M1711)&lt;'Progetto del paramento slu'!$G$58,ABS(M1711)*'Progetto del paramento slu'!$G$54,'Progetto del paramento slu'!$G$53)*IF(M1711&lt;0,-1,1)</f>
        <v>0</v>
      </c>
      <c r="T1711" s="553">
        <f>'Foglio deposito bis'!$F$71*IF(ABS(N1711)&lt;'Progetto del paramento slu'!$G$58,ABS(N1711)*'Progetto del paramento slu'!$G$54,'Progetto del paramento slu'!$G$53)*IF(N1711&lt;0,-1,1)</f>
        <v>314705.62929873407</v>
      </c>
      <c r="U1711" s="553">
        <f>'Foglio deposito bis'!$F$72*IF(ABS(O1711)&lt;'Progetto del paramento slu'!$G$58,ABS(O1711)*'Progetto del paramento slu'!$G$54,'Progetto del paramento slu'!$G$53)*IF(O1711&lt;0,-1,1)</f>
        <v>256864.88567520061</v>
      </c>
      <c r="V1711" s="479">
        <f t="shared" si="128"/>
        <v>-2357388.9557968844</v>
      </c>
      <c r="W1711" s="559"/>
      <c r="X1711" s="559"/>
    </row>
    <row r="1712" spans="1:24" x14ac:dyDescent="0.25">
      <c r="A1712" s="553">
        <f t="shared" si="127"/>
        <v>2441578.6008881745</v>
      </c>
      <c r="B1712" s="3">
        <f t="shared" si="125"/>
        <v>50.899999999999942</v>
      </c>
      <c r="C1712" s="553">
        <f>'Foglio deposito bis'!$E$159/sezione!$B$247*B1712</f>
        <v>206.6347045448629</v>
      </c>
      <c r="D1712" s="611">
        <f>-'Progetto del paramento slu'!$G$47*'Progetto del paramento slu'!$G$41*IF(DATI!$G$218="dx",DATI!$E$61,DATI!$E$64*DATI!$E$63)*1000*C1712^2*sezione!$AD$5*(1-sezione!$AD$6)</f>
        <v>-351489111.79162949</v>
      </c>
      <c r="E1712" s="553">
        <f>-'Foglio deposito bis'!$F$68*(C1712-sezione!$AL$33)*IF(ABS(K1712)&lt;'Progetto del paramento slu'!$G$58,ABS(K1712)*'Progetto del paramento slu'!$G$54,'Progetto del paramento slu'!$G$53)</f>
        <v>0</v>
      </c>
      <c r="F1712" s="553">
        <f>-'Foglio deposito bis'!$F$69*(C1712-sezione!$AM$33)*IF(ABS(L1712)&lt;'Progetto del paramento slu'!$G$58,ABS(L1712)*'Progetto del paramento slu'!$G$54,'Progetto del paramento slu'!$G$53)</f>
        <v>-4394982.6528456081</v>
      </c>
      <c r="G1712" s="553">
        <f>-'Foglio deposito bis'!$F$70*(C1712-sezione!$AN$33)*IF(ABS(M1712)&lt;'Progetto del paramento slu'!$G$58,ABS(M1712)*'Progetto del paramento slu'!$G$54,'Progetto del paramento slu'!$G$53)</f>
        <v>0</v>
      </c>
      <c r="H1712" s="553">
        <f>-'Foglio deposito bis'!$F$71*(C1712-sezione!$AO$33)*IF(ABS(N1712)&lt;'Progetto del paramento slu'!$G$58,ABS(N1712)*'Progetto del paramento slu'!$G$54,'Progetto del paramento slu'!$G$53)</f>
        <v>41970809.232820518</v>
      </c>
      <c r="I1712" s="479">
        <f>-'Foglio deposito bis'!$F$72*(C1712-sezione!$AP$33)*IF(ABS(O1712)&lt;'Progetto del paramento slu'!$G$58,ABS(O1712)*'Progetto del paramento slu'!$G$54,'Progetto del paramento slu'!$G$53)</f>
        <v>12489847.023066143</v>
      </c>
      <c r="J1712" s="479">
        <f t="shared" si="126"/>
        <v>-301423438.18858844</v>
      </c>
      <c r="K1712" s="558">
        <f>'Progetto del paramento slu'!$G$60*(sezione!$AL$33-C1712)/C1712</f>
        <v>-2.8224758623757499E-3</v>
      </c>
      <c r="L1712" s="558">
        <f>'Progetto del paramento slu'!$G$60*(sezione!$AM$33-C1712)/C1712</f>
        <v>-9.5928448390906118E-4</v>
      </c>
      <c r="M1712" s="559">
        <f>'Progetto del paramento slu'!$G$60*(sezione!$AN$33-C1712)/C1712</f>
        <v>9.039068945576273E-4</v>
      </c>
      <c r="N1712" s="559">
        <f>'Progetto del paramento slu'!$G$60*(sezione!$AO$33-C1712)/C1712</f>
        <v>2.2589551698061279E-3</v>
      </c>
      <c r="O1712" s="559">
        <f>'Progetto del paramento slu'!$G$60*(sezione!$AP$33-C1712)/C1712</f>
        <v>9.040082788786993E-4</v>
      </c>
      <c r="P1712" s="553">
        <f>-'Progetto del paramento slu'!$G$47*'Progetto del paramento slu'!$G$41*IF(DATI!$G$218="dx",DATI!$E$61,DATI!$E$64*DATI!$E$63)*1000*C1712*sezione!$AD$5</f>
        <v>-2912700.0654468876</v>
      </c>
      <c r="Q1712" s="553">
        <f>'Foglio deposito bis'!$F$68*IF(ABS(K1712)&lt;'Progetto del paramento slu'!$G$58,ABS(K1712)*'Progetto del paramento slu'!$G$54,'Progetto del paramento slu'!$G$53)*IF(K1712&lt;0,-1,1)</f>
        <v>0</v>
      </c>
      <c r="R1712" s="553">
        <f>'Foglio deposito bis'!$F$69*IF(ABS(L1712)&lt;'Progetto del paramento slu'!$G$58,ABS(L1712)*'Progetto del paramento slu'!$G$54,'Progetto del paramento slu'!$G$53)*IF(L1712&lt;0,-1,1)</f>
        <v>-77602.287999298103</v>
      </c>
      <c r="S1712" s="553">
        <f>'Foglio deposito bis'!$F$70*IF(ABS(M1712)&lt;'Progetto del paramento slu'!$G$58,ABS(M1712)*'Progetto del paramento slu'!$G$54,'Progetto del paramento slu'!$G$53)*IF(M1712&lt;0,-1,1)</f>
        <v>0</v>
      </c>
      <c r="T1712" s="553">
        <f>'Foglio deposito bis'!$F$71*IF(ABS(N1712)&lt;'Progetto del paramento slu'!$G$58,ABS(N1712)*'Progetto del paramento slu'!$G$54,'Progetto del paramento slu'!$G$53)*IF(N1712&lt;0,-1,1)</f>
        <v>314705.62929873407</v>
      </c>
      <c r="U1712" s="553">
        <f>'Foglio deposito bis'!$F$72*IF(ABS(O1712)&lt;'Progetto del paramento slu'!$G$58,ABS(O1712)*'Progetto del paramento slu'!$G$54,'Progetto del paramento slu'!$G$53)*IF(O1712&lt;0,-1,1)</f>
        <v>234018.1232592772</v>
      </c>
      <c r="V1712" s="479">
        <f t="shared" si="128"/>
        <v>-2441578.6008881745</v>
      </c>
      <c r="W1712" s="559"/>
      <c r="X1712" s="559"/>
    </row>
    <row r="1713" spans="1:24" x14ac:dyDescent="0.25">
      <c r="A1713" s="553">
        <f t="shared" si="127"/>
        <v>2524729.1062785126</v>
      </c>
      <c r="B1713" s="3">
        <f t="shared" si="125"/>
        <v>51.899999999999942</v>
      </c>
      <c r="C1713" s="553">
        <f>'Foglio deposito bis'!$E$159/sezione!$B$247*B1713</f>
        <v>210.69432545930027</v>
      </c>
      <c r="D1713" s="611">
        <f>-'Progetto del paramento slu'!$G$47*'Progetto del paramento slu'!$G$41*IF(DATI!$G$218="dx",DATI!$E$61,DATI!$E$64*DATI!$E$63)*1000*C1713^2*sezione!$AD$5*(1-sezione!$AD$6)</f>
        <v>-365435746.50902665</v>
      </c>
      <c r="E1713" s="553">
        <f>-'Foglio deposito bis'!$F$68*(C1713-sezione!$AL$33)*IF(ABS(K1713)&lt;'Progetto del paramento slu'!$G$58,ABS(K1713)*'Progetto del paramento slu'!$G$54,'Progetto del paramento slu'!$G$53)</f>
        <v>0</v>
      </c>
      <c r="F1713" s="553">
        <f>-'Foglio deposito bis'!$F$69*(C1713-sezione!$AM$33)*IF(ABS(L1713)&lt;'Progetto del paramento slu'!$G$58,ABS(L1713)*'Progetto del paramento slu'!$G$54,'Progetto del paramento slu'!$G$53)</f>
        <v>-4950379.4550372101</v>
      </c>
      <c r="G1713" s="553">
        <f>-'Foglio deposito bis'!$F$70*(C1713-sezione!$AN$33)*IF(ABS(M1713)&lt;'Progetto del paramento slu'!$G$58,ABS(M1713)*'Progetto del paramento slu'!$G$54,'Progetto del paramento slu'!$G$53)</f>
        <v>0</v>
      </c>
      <c r="H1713" s="553">
        <f>-'Foglio deposito bis'!$F$71*(C1713-sezione!$AO$33)*IF(ABS(N1713)&lt;'Progetto del paramento slu'!$G$58,ABS(N1713)*'Progetto del paramento slu'!$G$54,'Progetto del paramento slu'!$G$53)</f>
        <v>40693223.678228207</v>
      </c>
      <c r="I1713" s="479">
        <f>-'Foglio deposito bis'!$F$72*(C1713-sezione!$AP$33)*IF(ABS(O1713)&lt;'Progetto del paramento slu'!$G$58,ABS(O1713)*'Progetto del paramento slu'!$G$54,'Progetto del paramento slu'!$G$53)</f>
        <v>10456625.084739272</v>
      </c>
      <c r="J1713" s="479">
        <f t="shared" si="126"/>
        <v>-319236277.20109642</v>
      </c>
      <c r="K1713" s="558">
        <f>'Progetto del paramento slu'!$G$60*(sezione!$AL$33-C1713)/C1713</f>
        <v>-2.8355302773588756E-3</v>
      </c>
      <c r="L1713" s="558">
        <f>'Progetto del paramento slu'!$G$60*(sezione!$AM$33-C1713)/C1713</f>
        <v>-1.0082385400957843E-3</v>
      </c>
      <c r="M1713" s="559">
        <f>'Progetto del paramento slu'!$G$60*(sezione!$AN$33-C1713)/C1713</f>
        <v>8.1905319716730715E-4</v>
      </c>
      <c r="N1713" s="559">
        <f>'Progetto del paramento slu'!$G$60*(sezione!$AO$33-C1713)/C1713</f>
        <v>2.1479926424495554E-3</v>
      </c>
      <c r="O1713" s="559">
        <f>'Progetto del paramento slu'!$G$60*(sezione!$AP$33-C1713)/C1713</f>
        <v>8.1915262803325243E-4</v>
      </c>
      <c r="P1713" s="553">
        <f>-'Progetto del paramento slu'!$G$47*'Progetto del paramento slu'!$G$41*IF(DATI!$G$218="dx",DATI!$E$61,DATI!$E$64*DATI!$E$63)*1000*C1713*sezione!$AD$5</f>
        <v>-2969924.0352984965</v>
      </c>
      <c r="Q1713" s="553">
        <f>'Foglio deposito bis'!$F$68*IF(ABS(K1713)&lt;'Progetto del paramento slu'!$G$58,ABS(K1713)*'Progetto del paramento slu'!$G$54,'Progetto del paramento slu'!$G$53)*IF(K1713&lt;0,-1,1)</f>
        <v>0</v>
      </c>
      <c r="R1713" s="553">
        <f>'Foglio deposito bis'!$F$69*IF(ABS(L1713)&lt;'Progetto del paramento slu'!$G$58,ABS(L1713)*'Progetto del paramento slu'!$G$54,'Progetto del paramento slu'!$G$53)*IF(L1713&lt;0,-1,1)</f>
        <v>-81562.475858748614</v>
      </c>
      <c r="S1713" s="553">
        <f>'Foglio deposito bis'!$F$70*IF(ABS(M1713)&lt;'Progetto del paramento slu'!$G$58,ABS(M1713)*'Progetto del paramento slu'!$G$54,'Progetto del paramento slu'!$G$53)*IF(M1713&lt;0,-1,1)</f>
        <v>0</v>
      </c>
      <c r="T1713" s="553">
        <f>'Foglio deposito bis'!$F$71*IF(ABS(N1713)&lt;'Progetto del paramento slu'!$G$58,ABS(N1713)*'Progetto del paramento slu'!$G$54,'Progetto del paramento slu'!$G$53)*IF(N1713&lt;0,-1,1)</f>
        <v>314705.62929873407</v>
      </c>
      <c r="U1713" s="553">
        <f>'Foglio deposito bis'!$F$72*IF(ABS(O1713)&lt;'Progetto del paramento slu'!$G$58,ABS(O1713)*'Progetto del paramento slu'!$G$54,'Progetto del paramento slu'!$G$53)*IF(O1713&lt;0,-1,1)</f>
        <v>212051.77557999836</v>
      </c>
      <c r="V1713" s="479">
        <f t="shared" si="128"/>
        <v>-2524729.1062785126</v>
      </c>
      <c r="W1713" s="559"/>
      <c r="X1713" s="559"/>
    </row>
    <row r="1714" spans="1:24" x14ac:dyDescent="0.25">
      <c r="A1714" s="553">
        <f t="shared" si="127"/>
        <v>2606899.4023857228</v>
      </c>
      <c r="B1714" s="3">
        <f t="shared" si="125"/>
        <v>52.899999999999942</v>
      </c>
      <c r="C1714" s="553">
        <f>'Foglio deposito bis'!$E$159/sezione!$B$247*B1714</f>
        <v>214.75394637373768</v>
      </c>
      <c r="D1714" s="611">
        <f>-'Progetto del paramento slu'!$G$47*'Progetto del paramento slu'!$G$41*IF(DATI!$G$218="dx",DATI!$E$61,DATI!$E$64*DATI!$E$63)*1000*C1714^2*sezione!$AD$5*(1-sezione!$AD$6)</f>
        <v>-379653716.53220969</v>
      </c>
      <c r="E1714" s="553">
        <f>-'Foglio deposito bis'!$F$68*(C1714-sezione!$AL$33)*IF(ABS(K1714)&lt;'Progetto del paramento slu'!$G$58,ABS(K1714)*'Progetto del paramento slu'!$G$54,'Progetto del paramento slu'!$G$53)</f>
        <v>0</v>
      </c>
      <c r="F1714" s="553">
        <f>-'Foglio deposito bis'!$F$69*(C1714-sezione!$AM$33)*IF(ABS(L1714)&lt;'Progetto del paramento slu'!$G$58,ABS(L1714)*'Progetto del paramento slu'!$G$54,'Progetto del paramento slu'!$G$53)</f>
        <v>-5528234.7895130338</v>
      </c>
      <c r="G1714" s="553">
        <f>-'Foglio deposito bis'!$F$70*(C1714-sezione!$AN$33)*IF(ABS(M1714)&lt;'Progetto del paramento slu'!$G$58,ABS(M1714)*'Progetto del paramento slu'!$G$54,'Progetto del paramento slu'!$G$53)</f>
        <v>0</v>
      </c>
      <c r="H1714" s="553">
        <f>-'Foglio deposito bis'!$F$71*(C1714-sezione!$AO$33)*IF(ABS(N1714)&lt;'Progetto del paramento slu'!$G$58,ABS(N1714)*'Progetto del paramento slu'!$G$54,'Progetto del paramento slu'!$G$53)</f>
        <v>39415638.123635881</v>
      </c>
      <c r="I1714" s="479">
        <f>-'Foglio deposito bis'!$F$72*(C1714-sezione!$AP$33)*IF(ABS(O1714)&lt;'Progetto del paramento slu'!$G$58,ABS(O1714)*'Progetto del paramento slu'!$G$54,'Progetto del paramento slu'!$G$53)</f>
        <v>8639334.4083358757</v>
      </c>
      <c r="J1714" s="479">
        <f t="shared" si="126"/>
        <v>-337126978.78975099</v>
      </c>
      <c r="K1714" s="558">
        <f>'Progetto del paramento slu'!$G$60*(sezione!$AL$33-C1714)/C1714</f>
        <v>-2.8480911416810147E-3</v>
      </c>
      <c r="L1714" s="558">
        <f>'Progetto del paramento slu'!$G$60*(sezione!$AM$33-C1714)/C1714</f>
        <v>-1.0553417813038038E-3</v>
      </c>
      <c r="M1714" s="559">
        <f>'Progetto del paramento slu'!$G$60*(sezione!$AN$33-C1714)/C1714</f>
        <v>7.3740757907340688E-4</v>
      </c>
      <c r="N1714" s="559">
        <f>'Progetto del paramento slu'!$G$60*(sezione!$AO$33-C1714)/C1714</f>
        <v>2.0412252957113779E-3</v>
      </c>
      <c r="O1714" s="559">
        <f>'Progetto del paramento slu'!$G$60*(sezione!$AP$33-C1714)/C1714</f>
        <v>7.3750513033886173E-4</v>
      </c>
      <c r="P1714" s="553">
        <f>-'Progetto del paramento slu'!$G$47*'Progetto del paramento slu'!$G$41*IF(DATI!$G$218="dx",DATI!$E$61,DATI!$E$64*DATI!$E$63)*1000*C1714*sezione!$AD$5</f>
        <v>-3027148.0051501049</v>
      </c>
      <c r="Q1714" s="553">
        <f>'Foglio deposito bis'!$F$68*IF(ABS(K1714)&lt;'Progetto del paramento slu'!$G$58,ABS(K1714)*'Progetto del paramento slu'!$G$54,'Progetto del paramento slu'!$G$53)*IF(K1714&lt;0,-1,1)</f>
        <v>0</v>
      </c>
      <c r="R1714" s="553">
        <f>'Foglio deposito bis'!$F$69*IF(ABS(L1714)&lt;'Progetto del paramento slu'!$G$58,ABS(L1714)*'Progetto del paramento slu'!$G$54,'Progetto del paramento slu'!$G$53)*IF(L1714&lt;0,-1,1)</f>
        <v>-85372.940169637688</v>
      </c>
      <c r="S1714" s="553">
        <f>'Foglio deposito bis'!$F$70*IF(ABS(M1714)&lt;'Progetto del paramento slu'!$G$58,ABS(M1714)*'Progetto del paramento slu'!$G$54,'Progetto del paramento slu'!$G$53)*IF(M1714&lt;0,-1,1)</f>
        <v>0</v>
      </c>
      <c r="T1714" s="553">
        <f>'Foglio deposito bis'!$F$71*IF(ABS(N1714)&lt;'Progetto del paramento slu'!$G$58,ABS(N1714)*'Progetto del paramento slu'!$G$54,'Progetto del paramento slu'!$G$53)*IF(N1714&lt;0,-1,1)</f>
        <v>314705.62929873407</v>
      </c>
      <c r="U1714" s="553">
        <f>'Foglio deposito bis'!$F$72*IF(ABS(O1714)&lt;'Progetto del paramento slu'!$G$58,ABS(O1714)*'Progetto del paramento slu'!$G$54,'Progetto del paramento slu'!$G$53)*IF(O1714&lt;0,-1,1)</f>
        <v>190915.91363528572</v>
      </c>
      <c r="V1714" s="479">
        <f t="shared" si="128"/>
        <v>-2606899.4023857228</v>
      </c>
      <c r="W1714" s="559"/>
      <c r="X1714" s="559"/>
    </row>
    <row r="1715" spans="1:24" x14ac:dyDescent="0.25">
      <c r="A1715" s="553">
        <f t="shared" si="127"/>
        <v>2688144.0463127629</v>
      </c>
      <c r="B1715" s="3">
        <f t="shared" si="125"/>
        <v>53.899999999999942</v>
      </c>
      <c r="C1715" s="553">
        <f>'Foglio deposito bis'!$E$159/sezione!$B$247*B1715</f>
        <v>218.81356728817505</v>
      </c>
      <c r="D1715" s="611">
        <f>-'Progetto del paramento slu'!$G$47*'Progetto del paramento slu'!$G$41*IF(DATI!$G$218="dx",DATI!$E$61,DATI!$E$64*DATI!$E$63)*1000*C1715^2*sezione!$AD$5*(1-sezione!$AD$6)</f>
        <v>-394143021.86117864</v>
      </c>
      <c r="E1715" s="553">
        <f>-'Foglio deposito bis'!$F$68*(C1715-sezione!$AL$33)*IF(ABS(K1715)&lt;'Progetto del paramento slu'!$G$58,ABS(K1715)*'Progetto del paramento slu'!$G$54,'Progetto del paramento slu'!$G$53)</f>
        <v>0</v>
      </c>
      <c r="F1715" s="553">
        <f>-'Foglio deposito bis'!$F$69*(C1715-sezione!$AM$33)*IF(ABS(L1715)&lt;'Progetto del paramento slu'!$G$58,ABS(L1715)*'Progetto del paramento slu'!$G$54,'Progetto del paramento slu'!$G$53)</f>
        <v>-6127298.6451997394</v>
      </c>
      <c r="G1715" s="553">
        <f>-'Foglio deposito bis'!$F$70*(C1715-sezione!$AN$33)*IF(ABS(M1715)&lt;'Progetto del paramento slu'!$G$58,ABS(M1715)*'Progetto del paramento slu'!$G$54,'Progetto del paramento slu'!$G$53)</f>
        <v>0</v>
      </c>
      <c r="H1715" s="553">
        <f>-'Foglio deposito bis'!$F$71*(C1715-sezione!$AO$33)*IF(ABS(N1715)&lt;'Progetto del paramento slu'!$G$58,ABS(N1715)*'Progetto del paramento slu'!$G$54,'Progetto del paramento slu'!$G$53)</f>
        <v>38138052.569043562</v>
      </c>
      <c r="I1715" s="479">
        <f>-'Foglio deposito bis'!$F$72*(C1715-sezione!$AP$33)*IF(ABS(O1715)&lt;'Progetto del paramento slu'!$G$58,ABS(O1715)*'Progetto del paramento slu'!$G$54,'Progetto del paramento slu'!$G$53)</f>
        <v>7025956.5562721109</v>
      </c>
      <c r="J1715" s="479">
        <f t="shared" si="126"/>
        <v>-355106311.38106269</v>
      </c>
      <c r="K1715" s="558">
        <f>'Progetto del paramento slu'!$G$60*(sezione!$AL$33-C1715)/C1715</f>
        <v>-2.8601859256943535E-3</v>
      </c>
      <c r="L1715" s="558">
        <f>'Progetto del paramento slu'!$G$60*(sezione!$AM$33-C1715)/C1715</f>
        <v>-1.1006972213538258E-3</v>
      </c>
      <c r="M1715" s="559">
        <f>'Progetto del paramento slu'!$G$60*(sezione!$AN$33-C1715)/C1715</f>
        <v>6.5879148298670189E-4</v>
      </c>
      <c r="N1715" s="559">
        <f>'Progetto del paramento slu'!$G$60*(sezione!$AO$33-C1715)/C1715</f>
        <v>1.9384196315979949E-3</v>
      </c>
      <c r="O1715" s="559">
        <f>'Progetto del paramento slu'!$G$60*(sezione!$AP$33-C1715)/C1715</f>
        <v>6.5888722439565476E-4</v>
      </c>
      <c r="P1715" s="553">
        <f>-'Progetto del paramento slu'!$G$47*'Progetto del paramento slu'!$G$41*IF(DATI!$G$218="dx",DATI!$E$61,DATI!$E$64*DATI!$E$63)*1000*C1715*sezione!$AD$5</f>
        <v>-3084371.9750017137</v>
      </c>
      <c r="Q1715" s="553">
        <f>'Foglio deposito bis'!$F$68*IF(ABS(K1715)&lt;'Progetto del paramento slu'!$G$58,ABS(K1715)*'Progetto del paramento slu'!$G$54,'Progetto del paramento slu'!$G$53)*IF(K1715&lt;0,-1,1)</f>
        <v>0</v>
      </c>
      <c r="R1715" s="553">
        <f>'Foglio deposito bis'!$F$69*IF(ABS(L1715)&lt;'Progetto del paramento slu'!$G$58,ABS(L1715)*'Progetto del paramento slu'!$G$54,'Progetto del paramento slu'!$G$53)*IF(L1715&lt;0,-1,1)</f>
        <v>-89042.01433912084</v>
      </c>
      <c r="S1715" s="553">
        <f>'Foglio deposito bis'!$F$70*IF(ABS(M1715)&lt;'Progetto del paramento slu'!$G$58,ABS(M1715)*'Progetto del paramento slu'!$G$54,'Progetto del paramento slu'!$G$53)*IF(M1715&lt;0,-1,1)</f>
        <v>0</v>
      </c>
      <c r="T1715" s="553">
        <f>'Foglio deposito bis'!$F$71*IF(ABS(N1715)&lt;'Progetto del paramento slu'!$G$58,ABS(N1715)*'Progetto del paramento slu'!$G$54,'Progetto del paramento slu'!$G$53)*IF(N1715&lt;0,-1,1)</f>
        <v>314705.62929873407</v>
      </c>
      <c r="U1715" s="553">
        <f>'Foglio deposito bis'!$F$72*IF(ABS(O1715)&lt;'Progetto del paramento slu'!$G$58,ABS(O1715)*'Progetto del paramento slu'!$G$54,'Progetto del paramento slu'!$G$53)*IF(O1715&lt;0,-1,1)</f>
        <v>170564.31372933803</v>
      </c>
      <c r="V1715" s="479">
        <f t="shared" si="128"/>
        <v>-2688144.0463127629</v>
      </c>
      <c r="W1715" s="559"/>
      <c r="X1715" s="559"/>
    </row>
    <row r="1716" spans="1:24" x14ac:dyDescent="0.25">
      <c r="A1716" s="553">
        <f t="shared" si="127"/>
        <v>2778483.364318388</v>
      </c>
      <c r="B1716" s="3">
        <f t="shared" si="125"/>
        <v>54.899999999999942</v>
      </c>
      <c r="C1716" s="553">
        <f>'Foglio deposito bis'!$E$159/sezione!$B$247*B1716</f>
        <v>222.87318820261245</v>
      </c>
      <c r="D1716" s="611">
        <f>-'Progetto del paramento slu'!$G$47*'Progetto del paramento slu'!$G$41*IF(DATI!$G$218="dx",DATI!$E$61,DATI!$E$64*DATI!$E$63)*1000*C1716^2*sezione!$AD$5*(1-sezione!$AD$6)</f>
        <v>-408903662.49593359</v>
      </c>
      <c r="E1716" s="553">
        <f>-'Foglio deposito bis'!$F$68*(C1716-sezione!$AL$33)*IF(ABS(K1716)&lt;'Progetto del paramento slu'!$G$58,ABS(K1716)*'Progetto del paramento slu'!$G$54,'Progetto del paramento slu'!$G$53)</f>
        <v>0</v>
      </c>
      <c r="F1716" s="553">
        <f>-'Foglio deposito bis'!$F$69*(C1716-sezione!$AM$33)*IF(ABS(L1716)&lt;'Progetto del paramento slu'!$G$58,ABS(L1716)*'Progetto del paramento slu'!$G$54,'Progetto del paramento slu'!$G$53)</f>
        <v>-6746412.0865120413</v>
      </c>
      <c r="G1716" s="553">
        <f>-'Foglio deposito bis'!$F$70*(C1716-sezione!$AN$33)*IF(ABS(M1716)&lt;'Progetto del paramento slu'!$G$58,ABS(M1716)*'Progetto del paramento slu'!$G$54,'Progetto del paramento slu'!$G$53)</f>
        <v>0</v>
      </c>
      <c r="H1716" s="553">
        <f>-'Foglio deposito bis'!$F$71*(C1716-sezione!$AO$33)*IF(ABS(N1716)&lt;'Progetto del paramento slu'!$G$58,ABS(N1716)*'Progetto del paramento slu'!$G$54,'Progetto del paramento slu'!$G$53)</f>
        <v>35692742.665101536</v>
      </c>
      <c r="I1716" s="479">
        <f>-'Foglio deposito bis'!$F$72*(C1716-sezione!$AP$33)*IF(ABS(O1716)&lt;'Progetto del paramento slu'!$G$58,ABS(O1716)*'Progetto del paramento slu'!$G$54,'Progetto del paramento slu'!$G$53)</f>
        <v>5605348.7512616413</v>
      </c>
      <c r="J1716" s="479">
        <f t="shared" si="126"/>
        <v>-374351983.16608244</v>
      </c>
      <c r="K1716" s="558">
        <f>'Progetto del paramento slu'!$G$60*(sezione!$AL$33-C1716)/C1716</f>
        <v>-2.871840098268227E-3</v>
      </c>
      <c r="L1716" s="558">
        <f>'Progetto del paramento slu'!$G$60*(sezione!$AM$33-C1716)/C1716</f>
        <v>-1.1444003685058511E-3</v>
      </c>
      <c r="M1716" s="559">
        <f>'Progetto del paramento slu'!$G$60*(sezione!$AN$33-C1716)/C1716</f>
        <v>5.8303936125652495E-4</v>
      </c>
      <c r="N1716" s="559">
        <f>'Progetto del paramento slu'!$G$60*(sezione!$AO$33-C1716)/C1716</f>
        <v>1.839359164720071E-3</v>
      </c>
      <c r="O1716" s="559">
        <f>'Progetto del paramento slu'!$G$60*(sezione!$AP$33-C1716)/C1716</f>
        <v>5.831333587418175E-4</v>
      </c>
      <c r="P1716" s="553">
        <f>-'Progetto del paramento slu'!$G$47*'Progetto del paramento slu'!$G$41*IF(DATI!$G$218="dx",DATI!$E$61,DATI!$E$64*DATI!$E$63)*1000*C1716*sezione!$AD$5</f>
        <v>-3141595.944853323</v>
      </c>
      <c r="Q1716" s="553">
        <f>'Foglio deposito bis'!$F$68*IF(ABS(K1716)&lt;'Progetto del paramento slu'!$G$58,ABS(K1716)*'Progetto del paramento slu'!$G$54,'Progetto del paramento slu'!$G$53)*IF(K1716&lt;0,-1,1)</f>
        <v>0</v>
      </c>
      <c r="R1716" s="553">
        <f>'Foglio deposito bis'!$F$69*IF(ABS(L1716)&lt;'Progetto del paramento slu'!$G$58,ABS(L1716)*'Progetto del paramento slu'!$G$54,'Progetto del paramento slu'!$G$53)*IF(L1716&lt;0,-1,1)</f>
        <v>-92577.424604433429</v>
      </c>
      <c r="S1716" s="553">
        <f>'Foglio deposito bis'!$F$70*IF(ABS(M1716)&lt;'Progetto del paramento slu'!$G$58,ABS(M1716)*'Progetto del paramento slu'!$G$54,'Progetto del paramento slu'!$G$53)*IF(M1716&lt;0,-1,1)</f>
        <v>0</v>
      </c>
      <c r="T1716" s="553">
        <f>'Foglio deposito bis'!$F$71*IF(ABS(N1716)&lt;'Progetto del paramento slu'!$G$58,ABS(N1716)*'Progetto del paramento slu'!$G$54,'Progetto del paramento slu'!$G$53)*IF(N1716&lt;0,-1,1)</f>
        <v>304735.88512632635</v>
      </c>
      <c r="U1716" s="553">
        <f>'Foglio deposito bis'!$F$72*IF(ABS(O1716)&lt;'Progetto del paramento slu'!$G$58,ABS(O1716)*'Progetto del paramento slu'!$G$54,'Progetto del paramento slu'!$G$53)*IF(O1716&lt;0,-1,1)</f>
        <v>150954.12001304227</v>
      </c>
      <c r="V1716" s="479">
        <f t="shared" si="128"/>
        <v>-2778483.364318388</v>
      </c>
      <c r="W1716" s="559"/>
      <c r="X1716" s="559"/>
    </row>
    <row r="1717" spans="1:24" x14ac:dyDescent="0.25">
      <c r="A1717" s="553">
        <f t="shared" si="127"/>
        <v>2873849.4906165795</v>
      </c>
      <c r="B1717" s="3">
        <f t="shared" si="125"/>
        <v>55.899999999999942</v>
      </c>
      <c r="C1717" s="553">
        <f>'Foglio deposito bis'!$E$159/sezione!$B$247*B1717</f>
        <v>226.93280911704983</v>
      </c>
      <c r="D1717" s="611">
        <f>-'Progetto del paramento slu'!$G$47*'Progetto del paramento slu'!$G$41*IF(DATI!$G$218="dx",DATI!$E$61,DATI!$E$64*DATI!$E$63)*1000*C1717^2*sezione!$AD$5*(1-sezione!$AD$6)</f>
        <v>-423935638.43647432</v>
      </c>
      <c r="E1717" s="553">
        <f>-'Foglio deposito bis'!$F$68*(C1717-sezione!$AL$33)*IF(ABS(K1717)&lt;'Progetto del paramento slu'!$G$58,ABS(K1717)*'Progetto del paramento slu'!$G$54,'Progetto del paramento slu'!$G$53)</f>
        <v>0</v>
      </c>
      <c r="F1717" s="553">
        <f>-'Foglio deposito bis'!$F$69*(C1717-sezione!$AM$33)*IF(ABS(L1717)&lt;'Progetto del paramento slu'!$G$58,ABS(L1717)*'Progetto del paramento slu'!$G$54,'Progetto del paramento slu'!$G$53)</f>
        <v>-7384499.1070657289</v>
      </c>
      <c r="G1717" s="553">
        <f>-'Foglio deposito bis'!$F$70*(C1717-sezione!$AN$33)*IF(ABS(M1717)&lt;'Progetto del paramento slu'!$G$58,ABS(M1717)*'Progetto del paramento slu'!$G$54,'Progetto del paramento slu'!$G$53)</f>
        <v>0</v>
      </c>
      <c r="H1717" s="553">
        <f>-'Foglio deposito bis'!$F$71*(C1717-sezione!$AO$33)*IF(ABS(N1717)&lt;'Progetto del paramento slu'!$G$58,ABS(N1717)*'Progetto del paramento slu'!$G$54,'Progetto del paramento slu'!$G$53)</f>
        <v>32666380.646148257</v>
      </c>
      <c r="I1717" s="479">
        <f>-'Foglio deposito bis'!$F$72*(C1717-sezione!$AP$33)*IF(ABS(O1717)&lt;'Progetto del paramento slu'!$G$58,ABS(O1717)*'Progetto del paramento slu'!$G$54,'Progetto del paramento slu'!$G$53)</f>
        <v>4367165.5524966121</v>
      </c>
      <c r="J1717" s="479">
        <f t="shared" si="126"/>
        <v>-394286591.34489518</v>
      </c>
      <c r="K1717" s="558">
        <f>'Progetto del paramento slu'!$G$60*(sezione!$AL$33-C1717)/C1717</f>
        <v>-2.8830773058126239E-3</v>
      </c>
      <c r="L1717" s="558">
        <f>'Progetto del paramento slu'!$G$60*(sezione!$AM$33-C1717)/C1717</f>
        <v>-1.1865398967973386E-3</v>
      </c>
      <c r="M1717" s="559">
        <f>'Progetto del paramento slu'!$G$60*(sezione!$AN$33-C1717)/C1717</f>
        <v>5.0999751221794676E-4</v>
      </c>
      <c r="N1717" s="559">
        <f>'Progetto del paramento slu'!$G$60*(sezione!$AO$33-C1717)/C1717</f>
        <v>1.7438429005926996E-3</v>
      </c>
      <c r="O1717" s="559">
        <f>'Progetto del paramento slu'!$G$60*(sezione!$AP$33-C1717)/C1717</f>
        <v>5.1008982817398547E-4</v>
      </c>
      <c r="P1717" s="553">
        <f>-'Progetto del paramento slu'!$G$47*'Progetto del paramento slu'!$G$41*IF(DATI!$G$218="dx",DATI!$E$61,DATI!$E$64*DATI!$E$63)*1000*C1717*sezione!$AD$5</f>
        <v>-3198819.9147049314</v>
      </c>
      <c r="Q1717" s="553">
        <f>'Foglio deposito bis'!$F$68*IF(ABS(K1717)&lt;'Progetto del paramento slu'!$G$58,ABS(K1717)*'Progetto del paramento slu'!$G$54,'Progetto del paramento slu'!$G$53)*IF(K1717&lt;0,-1,1)</f>
        <v>0</v>
      </c>
      <c r="R1717" s="553">
        <f>'Foglio deposito bis'!$F$69*IF(ABS(L1717)&lt;'Progetto del paramento slu'!$G$58,ABS(L1717)*'Progetto del paramento slu'!$G$54,'Progetto del paramento slu'!$G$53)*IF(L1717&lt;0,-1,1)</f>
        <v>-95986.34434147003</v>
      </c>
      <c r="S1717" s="553">
        <f>'Foglio deposito bis'!$F$70*IF(ABS(M1717)&lt;'Progetto del paramento slu'!$G$58,ABS(M1717)*'Progetto del paramento slu'!$G$54,'Progetto del paramento slu'!$G$53)*IF(M1717&lt;0,-1,1)</f>
        <v>0</v>
      </c>
      <c r="T1717" s="553">
        <f>'Foglio deposito bis'!$F$71*IF(ABS(N1717)&lt;'Progetto del paramento slu'!$G$58,ABS(N1717)*'Progetto del paramento slu'!$G$54,'Progetto del paramento slu'!$G$53)*IF(N1717&lt;0,-1,1)</f>
        <v>288911.22518437082</v>
      </c>
      <c r="U1717" s="553">
        <f>'Foglio deposito bis'!$F$72*IF(ABS(O1717)&lt;'Progetto del paramento slu'!$G$58,ABS(O1717)*'Progetto del paramento slu'!$G$54,'Progetto del paramento slu'!$G$53)*IF(O1717&lt;0,-1,1)</f>
        <v>132045.54324545126</v>
      </c>
      <c r="V1717" s="479">
        <f t="shared" si="128"/>
        <v>-2873849.4906165795</v>
      </c>
      <c r="W1717" s="559"/>
      <c r="X1717" s="559"/>
    </row>
    <row r="1718" spans="1:24" x14ac:dyDescent="0.25">
      <c r="A1718" s="553">
        <f t="shared" si="127"/>
        <v>2967874.9435774577</v>
      </c>
      <c r="B1718" s="3">
        <f t="shared" si="125"/>
        <v>56.899999999999942</v>
      </c>
      <c r="C1718" s="553">
        <f>'Foglio deposito bis'!$E$159/sezione!$B$247*B1718</f>
        <v>230.99243003148723</v>
      </c>
      <c r="D1718" s="611">
        <f>-'Progetto del paramento slu'!$G$47*'Progetto del paramento slu'!$G$41*IF(DATI!$G$218="dx",DATI!$E$61,DATI!$E$64*DATI!$E$63)*1000*C1718^2*sezione!$AD$5*(1-sezione!$AD$6)</f>
        <v>-439238949.68280119</v>
      </c>
      <c r="E1718" s="553">
        <f>-'Foglio deposito bis'!$F$68*(C1718-sezione!$AL$33)*IF(ABS(K1718)&lt;'Progetto del paramento slu'!$G$58,ABS(K1718)*'Progetto del paramento slu'!$G$54,'Progetto del paramento slu'!$G$53)</f>
        <v>0</v>
      </c>
      <c r="F1718" s="553">
        <f>-'Foglio deposito bis'!$F$69*(C1718-sezione!$AM$33)*IF(ABS(L1718)&lt;'Progetto del paramento slu'!$G$58,ABS(L1718)*'Progetto del paramento slu'!$G$54,'Progetto del paramento slu'!$G$53)</f>
        <v>-8040559.342401688</v>
      </c>
      <c r="G1718" s="553">
        <f>-'Foglio deposito bis'!$F$70*(C1718-sezione!$AN$33)*IF(ABS(M1718)&lt;'Progetto del paramento slu'!$G$58,ABS(M1718)*'Progetto del paramento slu'!$G$54,'Progetto del paramento slu'!$G$53)</f>
        <v>0</v>
      </c>
      <c r="H1718" s="553">
        <f>-'Foglio deposito bis'!$F$71*(C1718-sezione!$AO$33)*IF(ABS(N1718)&lt;'Progetto del paramento slu'!$G$58,ABS(N1718)*'Progetto del paramento slu'!$G$54,'Progetto del paramento slu'!$G$53)</f>
        <v>29829135.828610245</v>
      </c>
      <c r="I1718" s="479">
        <f>-'Foglio deposito bis'!$F$72*(C1718-sezione!$AP$33)*IF(ABS(O1718)&lt;'Progetto del paramento slu'!$G$58,ABS(O1718)*'Progetto del paramento slu'!$G$54,'Progetto del paramento slu'!$G$53)</f>
        <v>3301788.7909306758</v>
      </c>
      <c r="J1718" s="479">
        <f t="shared" si="126"/>
        <v>-414148584.40566194</v>
      </c>
      <c r="K1718" s="558">
        <f>'Progetto del paramento slu'!$G$60*(sezione!$AL$33-C1718)/C1718</f>
        <v>-2.8939195324240012E-3</v>
      </c>
      <c r="L1718" s="558">
        <f>'Progetto del paramento slu'!$G$60*(sezione!$AM$33-C1718)/C1718</f>
        <v>-1.2271982465900039E-3</v>
      </c>
      <c r="M1718" s="559">
        <f>'Progetto del paramento slu'!$G$60*(sezione!$AN$33-C1718)/C1718</f>
        <v>4.3952303924399308E-4</v>
      </c>
      <c r="N1718" s="559">
        <f>'Progetto del paramento slu'!$G$60*(sezione!$AO$33-C1718)/C1718</f>
        <v>1.6516839743959909E-3</v>
      </c>
      <c r="O1718" s="559">
        <f>'Progetto del paramento slu'!$G$60*(sezione!$AP$33-C1718)/C1718</f>
        <v>4.3961373277549685E-4</v>
      </c>
      <c r="P1718" s="553">
        <f>-'Progetto del paramento slu'!$G$47*'Progetto del paramento slu'!$G$41*IF(DATI!$G$218="dx",DATI!$E$61,DATI!$E$64*DATI!$E$63)*1000*C1718*sezione!$AD$5</f>
        <v>-3256043.8845565403</v>
      </c>
      <c r="Q1718" s="553">
        <f>'Foglio deposito bis'!$F$68*IF(ABS(K1718)&lt;'Progetto del paramento slu'!$G$58,ABS(K1718)*'Progetto del paramento slu'!$G$54,'Progetto del paramento slu'!$G$53)*IF(K1718&lt;0,-1,1)</f>
        <v>0</v>
      </c>
      <c r="R1718" s="553">
        <f>'Foglio deposito bis'!$F$69*IF(ABS(L1718)&lt;'Progetto del paramento slu'!$G$58,ABS(L1718)*'Progetto del paramento slu'!$G$54,'Progetto del paramento slu'!$G$53)*IF(L1718&lt;0,-1,1)</f>
        <v>-99275.442646624855</v>
      </c>
      <c r="S1718" s="553">
        <f>'Foglio deposito bis'!$F$70*IF(ABS(M1718)&lt;'Progetto del paramento slu'!$G$58,ABS(M1718)*'Progetto del paramento slu'!$G$54,'Progetto del paramento slu'!$G$53)*IF(M1718&lt;0,-1,1)</f>
        <v>0</v>
      </c>
      <c r="T1718" s="553">
        <f>'Foglio deposito bis'!$F$71*IF(ABS(N1718)&lt;'Progetto del paramento slu'!$G$58,ABS(N1718)*'Progetto del paramento slu'!$G$54,'Progetto del paramento slu'!$G$53)*IF(N1718&lt;0,-1,1)</f>
        <v>273642.79230540135</v>
      </c>
      <c r="U1718" s="553">
        <f>'Foglio deposito bis'!$F$72*IF(ABS(O1718)&lt;'Progetto del paramento slu'!$G$58,ABS(O1718)*'Progetto del paramento slu'!$G$54,'Progetto del paramento slu'!$G$53)*IF(O1718&lt;0,-1,1)</f>
        <v>113801.59132030625</v>
      </c>
      <c r="V1718" s="479">
        <f t="shared" si="128"/>
        <v>-2967874.9435774577</v>
      </c>
      <c r="W1718" s="559"/>
      <c r="X1718" s="559"/>
    </row>
    <row r="1719" spans="1:24" x14ac:dyDescent="0.25">
      <c r="A1719" s="553">
        <f t="shared" si="127"/>
        <v>3060629.1881407793</v>
      </c>
      <c r="B1719" s="3">
        <f t="shared" si="125"/>
        <v>57.899999999999942</v>
      </c>
      <c r="C1719" s="553">
        <f>'Foglio deposito bis'!$E$159/sezione!$B$247*B1719</f>
        <v>235.05205094592463</v>
      </c>
      <c r="D1719" s="611">
        <f>-'Progetto del paramento slu'!$G$47*'Progetto del paramento slu'!$G$41*IF(DATI!$G$218="dx",DATI!$E$61,DATI!$E$64*DATI!$E$63)*1000*C1719^2*sezione!$AD$5*(1-sezione!$AD$6)</f>
        <v>-454813596.23491389</v>
      </c>
      <c r="E1719" s="553">
        <f>-'Foglio deposito bis'!$F$68*(C1719-sezione!$AL$33)*IF(ABS(K1719)&lt;'Progetto del paramento slu'!$G$58,ABS(K1719)*'Progetto del paramento slu'!$G$54,'Progetto del paramento slu'!$G$53)</f>
        <v>0</v>
      </c>
      <c r="F1719" s="553">
        <f>-'Foglio deposito bis'!$F$69*(C1719-sezione!$AM$33)*IF(ABS(L1719)&lt;'Progetto del paramento slu'!$G$58,ABS(L1719)*'Progetto del paramento slu'!$G$54,'Progetto del paramento slu'!$G$53)</f>
        <v>-8713661.5378679819</v>
      </c>
      <c r="G1719" s="553">
        <f>-'Foglio deposito bis'!$F$70*(C1719-sezione!$AN$33)*IF(ABS(M1719)&lt;'Progetto del paramento slu'!$G$58,ABS(M1719)*'Progetto del paramento slu'!$G$54,'Progetto del paramento slu'!$G$53)</f>
        <v>0</v>
      </c>
      <c r="H1719" s="553">
        <f>-'Foglio deposito bis'!$F$71*(C1719-sezione!$AO$33)*IF(ABS(N1719)&lt;'Progetto del paramento slu'!$G$58,ABS(N1719)*'Progetto del paramento slu'!$G$54,'Progetto del paramento slu'!$G$53)</f>
        <v>27171209.393761341</v>
      </c>
      <c r="I1719" s="479">
        <f>-'Foglio deposito bis'!$F$72*(C1719-sezione!$AP$33)*IF(ABS(O1719)&lt;'Progetto del paramento slu'!$G$58,ABS(O1719)*'Progetto del paramento slu'!$G$54,'Progetto del paramento slu'!$G$53)</f>
        <v>2400264.765154562</v>
      </c>
      <c r="J1719" s="479">
        <f t="shared" si="126"/>
        <v>-433955783.61386597</v>
      </c>
      <c r="K1719" s="558">
        <f>'Progetto del paramento slu'!$G$60*(sezione!$AL$33-C1719)/C1719</f>
        <v>-2.9043872434356762E-3</v>
      </c>
      <c r="L1719" s="558">
        <f>'Progetto del paramento slu'!$G$60*(sezione!$AM$33-C1719)/C1719</f>
        <v>-1.2664521628837865E-3</v>
      </c>
      <c r="M1719" s="559">
        <f>'Progetto del paramento slu'!$G$60*(sezione!$AN$33-C1719)/C1719</f>
        <v>3.7148291766810347E-4</v>
      </c>
      <c r="N1719" s="559">
        <f>'Progetto del paramento slu'!$G$60*(sezione!$AO$33-C1719)/C1719</f>
        <v>1.5627084307967508E-3</v>
      </c>
      <c r="O1719" s="559">
        <f>'Progetto del paramento slu'!$G$60*(sezione!$AP$33-C1719)/C1719</f>
        <v>3.7157204481737054E-4</v>
      </c>
      <c r="P1719" s="553">
        <f>-'Progetto del paramento slu'!$G$47*'Progetto del paramento slu'!$G$41*IF(DATI!$G$218="dx",DATI!$E$61,DATI!$E$64*DATI!$E$63)*1000*C1719*sezione!$AD$5</f>
        <v>-3313267.8544081496</v>
      </c>
      <c r="Q1719" s="553">
        <f>'Foglio deposito bis'!$F$68*IF(ABS(K1719)&lt;'Progetto del paramento slu'!$G$58,ABS(K1719)*'Progetto del paramento slu'!$G$54,'Progetto del paramento slu'!$G$53)*IF(K1719&lt;0,-1,1)</f>
        <v>0</v>
      </c>
      <c r="R1719" s="553">
        <f>'Foglio deposito bis'!$F$69*IF(ABS(L1719)&lt;'Progetto del paramento slu'!$G$58,ABS(L1719)*'Progetto del paramento slu'!$G$54,'Progetto del paramento slu'!$G$53)*IF(L1719&lt;0,-1,1)</f>
        <v>-102450.92788424414</v>
      </c>
      <c r="S1719" s="553">
        <f>'Foglio deposito bis'!$F$70*IF(ABS(M1719)&lt;'Progetto del paramento slu'!$G$58,ABS(M1719)*'Progetto del paramento slu'!$G$54,'Progetto del paramento slu'!$G$53)*IF(M1719&lt;0,-1,1)</f>
        <v>0</v>
      </c>
      <c r="T1719" s="553">
        <f>'Foglio deposito bis'!$F$71*IF(ABS(N1719)&lt;'Progetto del paramento slu'!$G$58,ABS(N1719)*'Progetto del paramento slu'!$G$54,'Progetto del paramento slu'!$G$53)*IF(N1719&lt;0,-1,1)</f>
        <v>258901.76643434103</v>
      </c>
      <c r="U1719" s="553">
        <f>'Foglio deposito bis'!$F$72*IF(ABS(O1719)&lt;'Progetto del paramento slu'!$G$58,ABS(O1719)*'Progetto del paramento slu'!$G$54,'Progetto del paramento slu'!$G$53)*IF(O1719&lt;0,-1,1)</f>
        <v>96187.827717273307</v>
      </c>
      <c r="V1719" s="479">
        <f t="shared" si="128"/>
        <v>-3060629.1881407793</v>
      </c>
      <c r="W1719" s="559"/>
      <c r="X1719" s="559"/>
    </row>
    <row r="1720" spans="1:24" x14ac:dyDescent="0.25">
      <c r="A1720" s="553">
        <f t="shared" si="127"/>
        <v>3152176.9717631252</v>
      </c>
      <c r="B1720" s="3">
        <f t="shared" si="125"/>
        <v>58.899999999999942</v>
      </c>
      <c r="C1720" s="553">
        <f>'Foglio deposito bis'!$E$159/sezione!$B$247*B1720</f>
        <v>239.11167186036201</v>
      </c>
      <c r="D1720" s="611">
        <f>-'Progetto del paramento slu'!$G$47*'Progetto del paramento slu'!$G$41*IF(DATI!$G$218="dx",DATI!$E$61,DATI!$E$64*DATI!$E$63)*1000*C1720^2*sezione!$AD$5*(1-sezione!$AD$6)</f>
        <v>-470659578.09281242</v>
      </c>
      <c r="E1720" s="553">
        <f>-'Foglio deposito bis'!$F$68*(C1720-sezione!$AL$33)*IF(ABS(K1720)&lt;'Progetto del paramento slu'!$G$58,ABS(K1720)*'Progetto del paramento slu'!$G$54,'Progetto del paramento slu'!$G$53)</f>
        <v>0</v>
      </c>
      <c r="F1720" s="553">
        <f>-'Foglio deposito bis'!$F$69*(C1720-sezione!$AM$33)*IF(ABS(L1720)&lt;'Progetto del paramento slu'!$G$58,ABS(L1720)*'Progetto del paramento slu'!$G$54,'Progetto del paramento slu'!$G$53)</f>
        <v>-9402937.681912981</v>
      </c>
      <c r="G1720" s="553">
        <f>-'Foglio deposito bis'!$F$70*(C1720-sezione!$AN$33)*IF(ABS(M1720)&lt;'Progetto del paramento slu'!$G$58,ABS(M1720)*'Progetto del paramento slu'!$G$54,'Progetto del paramento slu'!$G$53)</f>
        <v>0</v>
      </c>
      <c r="H1720" s="553">
        <f>-'Foglio deposito bis'!$F$71*(C1720-sezione!$AO$33)*IF(ABS(N1720)&lt;'Progetto del paramento slu'!$G$58,ABS(N1720)*'Progetto del paramento slu'!$G$54,'Progetto del paramento slu'!$G$53)</f>
        <v>24683467.977457799</v>
      </c>
      <c r="I1720" s="479">
        <f>-'Foglio deposito bis'!$F$72*(C1720-sezione!$AP$33)*IF(ABS(O1720)&lt;'Progetto del paramento slu'!$G$58,ABS(O1720)*'Progetto del paramento slu'!$G$54,'Progetto del paramento slu'!$G$53)</f>
        <v>1654247.8349752456</v>
      </c>
      <c r="J1720" s="479">
        <f t="shared" si="126"/>
        <v>-453724799.96229231</v>
      </c>
      <c r="K1720" s="558">
        <f>'Progetto del paramento slu'!$G$60*(sezione!$AL$33-C1720)/C1720</f>
        <v>-2.9144995143450879E-3</v>
      </c>
      <c r="L1720" s="558">
        <f>'Progetto del paramento slu'!$G$60*(sezione!$AM$33-C1720)/C1720</f>
        <v>-1.3043731787940787E-3</v>
      </c>
      <c r="M1720" s="559">
        <f>'Progetto del paramento slu'!$G$60*(sezione!$AN$33-C1720)/C1720</f>
        <v>3.0575315675693038E-4</v>
      </c>
      <c r="N1720" s="559">
        <f>'Progetto del paramento slu'!$G$60*(sezione!$AO$33-C1720)/C1720</f>
        <v>1.4767541280667552E-3</v>
      </c>
      <c r="O1720" s="559">
        <f>'Progetto del paramento slu'!$G$60*(sezione!$AP$33-C1720)/C1720</f>
        <v>3.0584077071181266E-4</v>
      </c>
      <c r="P1720" s="553">
        <f>-'Progetto del paramento slu'!$G$47*'Progetto del paramento slu'!$G$41*IF(DATI!$G$218="dx",DATI!$E$61,DATI!$E$64*DATI!$E$63)*1000*C1720*sezione!$AD$5</f>
        <v>-3370491.824259758</v>
      </c>
      <c r="Q1720" s="553">
        <f>'Foglio deposito bis'!$F$68*IF(ABS(K1720)&lt;'Progetto del paramento slu'!$G$58,ABS(K1720)*'Progetto del paramento slu'!$G$54,'Progetto del paramento slu'!$G$53)*IF(K1720&lt;0,-1,1)</f>
        <v>0</v>
      </c>
      <c r="R1720" s="553">
        <f>'Foglio deposito bis'!$F$69*IF(ABS(L1720)&lt;'Progetto del paramento slu'!$G$58,ABS(L1720)*'Progetto del paramento slu'!$G$54,'Progetto del paramento slu'!$G$53)*IF(L1720&lt;0,-1,1)</f>
        <v>-105518.58679800536</v>
      </c>
      <c r="S1720" s="553">
        <f>'Foglio deposito bis'!$F$70*IF(ABS(M1720)&lt;'Progetto del paramento slu'!$G$58,ABS(M1720)*'Progetto del paramento slu'!$G$54,'Progetto del paramento slu'!$G$53)*IF(M1720&lt;0,-1,1)</f>
        <v>0</v>
      </c>
      <c r="T1720" s="553">
        <f>'Foglio deposito bis'!$F$71*IF(ABS(N1720)&lt;'Progetto del paramento slu'!$G$58,ABS(N1720)*'Progetto del paramento slu'!$G$54,'Progetto del paramento slu'!$G$53)*IF(N1720&lt;0,-1,1)</f>
        <v>244661.28473547296</v>
      </c>
      <c r="U1720" s="553">
        <f>'Foglio deposito bis'!$F$72*IF(ABS(O1720)&lt;'Progetto del paramento slu'!$G$58,ABS(O1720)*'Progetto del paramento slu'!$G$54,'Progetto del paramento slu'!$G$53)*IF(O1720&lt;0,-1,1)</f>
        <v>79172.154559165225</v>
      </c>
      <c r="V1720" s="479">
        <f t="shared" si="128"/>
        <v>-3152176.9717631252</v>
      </c>
      <c r="W1720" s="559"/>
      <c r="X1720" s="559"/>
    </row>
    <row r="1721" spans="1:24" x14ac:dyDescent="0.25">
      <c r="A1721" s="553">
        <f t="shared" si="127"/>
        <v>3242578.7181978021</v>
      </c>
      <c r="B1721" s="3">
        <f t="shared" si="125"/>
        <v>59.899999999999942</v>
      </c>
      <c r="C1721" s="553">
        <f>'Foglio deposito bis'!$E$159/sezione!$B$247*B1721</f>
        <v>243.17129277479941</v>
      </c>
      <c r="D1721" s="611">
        <f>-'Progetto del paramento slu'!$G$47*'Progetto del paramento slu'!$G$41*IF(DATI!$G$218="dx",DATI!$E$61,DATI!$E$64*DATI!$E$63)*1000*C1721^2*sezione!$AD$5*(1-sezione!$AD$6)</f>
        <v>-486776895.25649709</v>
      </c>
      <c r="E1721" s="553">
        <f>-'Foglio deposito bis'!$F$68*(C1721-sezione!$AL$33)*IF(ABS(K1721)&lt;'Progetto del paramento slu'!$G$58,ABS(K1721)*'Progetto del paramento slu'!$G$54,'Progetto del paramento slu'!$G$53)</f>
        <v>0</v>
      </c>
      <c r="F1721" s="553">
        <f>-'Foglio deposito bis'!$F$69*(C1721-sezione!$AM$33)*IF(ABS(L1721)&lt;'Progetto del paramento slu'!$G$58,ABS(L1721)*'Progetto del paramento slu'!$G$54,'Progetto del paramento slu'!$G$53)</f>
        <v>-10107577.727028571</v>
      </c>
      <c r="G1721" s="553">
        <f>-'Foglio deposito bis'!$F$70*(C1721-sezione!$AN$33)*IF(ABS(M1721)&lt;'Progetto del paramento slu'!$G$58,ABS(M1721)*'Progetto del paramento slu'!$G$54,'Progetto del paramento slu'!$G$53)</f>
        <v>0</v>
      </c>
      <c r="H1721" s="553">
        <f>-'Foglio deposito bis'!$F$71*(C1721-sezione!$AO$33)*IF(ABS(N1721)&lt;'Progetto del paramento slu'!$G$58,ABS(N1721)*'Progetto del paramento slu'!$G$54,'Progetto del paramento slu'!$G$53)</f>
        <v>22357388.123011172</v>
      </c>
      <c r="I1721" s="479">
        <f>-'Foglio deposito bis'!$F$72*(C1721-sezione!$AP$33)*IF(ABS(O1721)&lt;'Progetto del paramento slu'!$G$58,ABS(O1721)*'Progetto del paramento slu'!$G$54,'Progetto del paramento slu'!$G$53)</f>
        <v>1055949.6650539774</v>
      </c>
      <c r="J1721" s="479">
        <f t="shared" si="126"/>
        <v>-473471135.1954605</v>
      </c>
      <c r="K1721" s="558">
        <f>'Progetto del paramento slu'!$G$60*(sezione!$AL$33-C1721)/C1721</f>
        <v>-2.9242741468268056E-3</v>
      </c>
      <c r="L1721" s="558">
        <f>'Progetto del paramento slu'!$G$60*(sezione!$AM$33-C1721)/C1721</f>
        <v>-1.3410280506005216E-3</v>
      </c>
      <c r="M1721" s="559">
        <f>'Progetto del paramento slu'!$G$60*(sezione!$AN$33-C1721)/C1721</f>
        <v>2.4221804562576268E-4</v>
      </c>
      <c r="N1721" s="559">
        <f>'Progetto del paramento slu'!$G$60*(sezione!$AO$33-C1721)/C1721</f>
        <v>1.3936697519721512E-3</v>
      </c>
      <c r="O1721" s="559">
        <f>'Progetto del paramento slu'!$G$60*(sezione!$AP$33-C1721)/C1721</f>
        <v>2.423041969102796E-4</v>
      </c>
      <c r="P1721" s="553">
        <f>-'Progetto del paramento slu'!$G$47*'Progetto del paramento slu'!$G$41*IF(DATI!$G$218="dx",DATI!$E$61,DATI!$E$64*DATI!$E$63)*1000*C1721*sezione!$AD$5</f>
        <v>-3427715.7941113678</v>
      </c>
      <c r="Q1721" s="553">
        <f>'Foglio deposito bis'!$F$68*IF(ABS(K1721)&lt;'Progetto del paramento slu'!$G$58,ABS(K1721)*'Progetto del paramento slu'!$G$54,'Progetto del paramento slu'!$G$53)*IF(K1721&lt;0,-1,1)</f>
        <v>0</v>
      </c>
      <c r="R1721" s="553">
        <f>'Foglio deposito bis'!$F$69*IF(ABS(L1721)&lt;'Progetto del paramento slu'!$G$58,ABS(L1721)*'Progetto del paramento slu'!$G$54,'Progetto del paramento slu'!$G$53)*IF(L1721&lt;0,-1,1)</f>
        <v>-108483.81970462932</v>
      </c>
      <c r="S1721" s="553">
        <f>'Foglio deposito bis'!$F$70*IF(ABS(M1721)&lt;'Progetto del paramento slu'!$G$58,ABS(M1721)*'Progetto del paramento slu'!$G$54,'Progetto del paramento slu'!$G$53)*IF(M1721&lt;0,-1,1)</f>
        <v>0</v>
      </c>
      <c r="T1721" s="553">
        <f>'Foglio deposito bis'!$F$71*IF(ABS(N1721)&lt;'Progetto del paramento slu'!$G$58,ABS(N1721)*'Progetto del paramento slu'!$G$54,'Progetto del paramento slu'!$G$53)*IF(N1721&lt;0,-1,1)</f>
        <v>230896.27821853693</v>
      </c>
      <c r="U1721" s="553">
        <f>'Foglio deposito bis'!$F$72*IF(ABS(O1721)&lt;'Progetto del paramento slu'!$G$58,ABS(O1721)*'Progetto del paramento slu'!$G$54,'Progetto del paramento slu'!$G$53)*IF(O1721&lt;0,-1,1)</f>
        <v>62724.617399658266</v>
      </c>
      <c r="V1721" s="479">
        <f t="shared" si="128"/>
        <v>-3242578.7181978021</v>
      </c>
      <c r="W1721" s="559"/>
      <c r="X1721" s="559"/>
    </row>
    <row r="1722" spans="1:24" x14ac:dyDescent="0.25">
      <c r="A1722" s="553">
        <f t="shared" si="127"/>
        <v>3331890.8824786814</v>
      </c>
      <c r="B1722" s="3">
        <f t="shared" si="125"/>
        <v>60.899999999999942</v>
      </c>
      <c r="C1722" s="553">
        <f>'Foglio deposito bis'!$E$159/sezione!$B$247*B1722</f>
        <v>247.23091368923679</v>
      </c>
      <c r="D1722" s="611">
        <f>-'Progetto del paramento slu'!$G$47*'Progetto del paramento slu'!$G$41*IF(DATI!$G$218="dx",DATI!$E$61,DATI!$E$64*DATI!$E$63)*1000*C1722^2*sezione!$AD$5*(1-sezione!$AD$6)</f>
        <v>-503165547.72596759</v>
      </c>
      <c r="E1722" s="553">
        <f>-'Foglio deposito bis'!$F$68*(C1722-sezione!$AL$33)*IF(ABS(K1722)&lt;'Progetto del paramento slu'!$G$58,ABS(K1722)*'Progetto del paramento slu'!$G$54,'Progetto del paramento slu'!$G$53)</f>
        <v>0</v>
      </c>
      <c r="F1722" s="553">
        <f>-'Foglio deposito bis'!$F$69*(C1722-sezione!$AM$33)*IF(ABS(L1722)&lt;'Progetto del paramento slu'!$G$58,ABS(L1722)*'Progetto del paramento slu'!$G$54,'Progetto del paramento slu'!$G$53)</f>
        <v>-10826824.83079748</v>
      </c>
      <c r="G1722" s="553">
        <f>-'Foglio deposito bis'!$F$70*(C1722-sezione!$AN$33)*IF(ABS(M1722)&lt;'Progetto del paramento slu'!$G$58,ABS(M1722)*'Progetto del paramento slu'!$G$54,'Progetto del paramento slu'!$G$53)</f>
        <v>0</v>
      </c>
      <c r="H1722" s="553">
        <f>-'Foglio deposito bis'!$F$71*(C1722-sezione!$AO$33)*IF(ABS(N1722)&lt;'Progetto del paramento slu'!$G$58,ABS(N1722)*'Progetto del paramento slu'!$G$54,'Progetto del paramento slu'!$G$53)</f>
        <v>20185006.206684705</v>
      </c>
      <c r="I1722" s="479">
        <f>-'Foglio deposito bis'!$F$72*(C1722-sezione!$AP$33)*IF(ABS(O1722)&lt;'Progetto del paramento slu'!$G$58,ABS(O1722)*'Progetto del paramento slu'!$G$54,'Progetto del paramento slu'!$G$53)</f>
        <v>598093.46917115815</v>
      </c>
      <c r="J1722" s="479">
        <f t="shared" si="126"/>
        <v>-493209272.8809092</v>
      </c>
      <c r="K1722" s="558">
        <f>'Progetto del paramento slu'!$G$60*(sezione!$AL$33-C1722)/C1722</f>
        <v>-2.9337277733156924E-3</v>
      </c>
      <c r="L1722" s="558">
        <f>'Progetto del paramento slu'!$G$60*(sezione!$AM$33-C1722)/C1722</f>
        <v>-1.3764791499338463E-3</v>
      </c>
      <c r="M1722" s="559">
        <f>'Progetto del paramento slu'!$G$60*(sezione!$AN$33-C1722)/C1722</f>
        <v>1.8076947344799991E-4</v>
      </c>
      <c r="N1722" s="559">
        <f>'Progetto del paramento slu'!$G$60*(sezione!$AO$33-C1722)/C1722</f>
        <v>1.3133139268166152E-3</v>
      </c>
      <c r="O1722" s="559">
        <f>'Progetto del paramento slu'!$G$60*(sezione!$AP$33-C1722)/C1722</f>
        <v>1.8085421009730307E-4</v>
      </c>
      <c r="P1722" s="553">
        <f>-'Progetto del paramento slu'!$G$47*'Progetto del paramento slu'!$G$41*IF(DATI!$G$218="dx",DATI!$E$61,DATI!$E$64*DATI!$E$63)*1000*C1722*sezione!$AD$5</f>
        <v>-3484939.7639629762</v>
      </c>
      <c r="Q1722" s="553">
        <f>'Foglio deposito bis'!$F$68*IF(ABS(K1722)&lt;'Progetto del paramento slu'!$G$58,ABS(K1722)*'Progetto del paramento slu'!$G$54,'Progetto del paramento slu'!$G$53)*IF(K1722&lt;0,-1,1)</f>
        <v>0</v>
      </c>
      <c r="R1722" s="553">
        <f>'Foglio deposito bis'!$F$69*IF(ABS(L1722)&lt;'Progetto del paramento slu'!$G$58,ABS(L1722)*'Progetto del paramento slu'!$G$54,'Progetto del paramento slu'!$G$53)*IF(L1722&lt;0,-1,1)</f>
        <v>-111351.67222023114</v>
      </c>
      <c r="S1722" s="553">
        <f>'Foglio deposito bis'!$F$70*IF(ABS(M1722)&lt;'Progetto del paramento slu'!$G$58,ABS(M1722)*'Progetto del paramento slu'!$G$54,'Progetto del paramento slu'!$G$53)*IF(M1722&lt;0,-1,1)</f>
        <v>0</v>
      </c>
      <c r="T1722" s="553">
        <f>'Foglio deposito bis'!$F$71*IF(ABS(N1722)&lt;'Progetto del paramento slu'!$G$58,ABS(N1722)*'Progetto del paramento slu'!$G$54,'Progetto del paramento slu'!$G$53)*IF(N1722&lt;0,-1,1)</f>
        <v>217583.32446077789</v>
      </c>
      <c r="U1722" s="553">
        <f>'Foglio deposito bis'!$F$72*IF(ABS(O1722)&lt;'Progetto del paramento slu'!$G$58,ABS(O1722)*'Progetto del paramento slu'!$G$54,'Progetto del paramento slu'!$G$53)*IF(O1722&lt;0,-1,1)</f>
        <v>46817.229243747715</v>
      </c>
      <c r="V1722" s="479">
        <f t="shared" si="128"/>
        <v>-3331890.8824786814</v>
      </c>
      <c r="W1722" s="559"/>
      <c r="X1722" s="559"/>
    </row>
    <row r="1723" spans="1:24" x14ac:dyDescent="0.25">
      <c r="A1723" s="553">
        <f t="shared" si="127"/>
        <v>3420166.2714952882</v>
      </c>
      <c r="B1723" s="3">
        <f t="shared" si="125"/>
        <v>61.899999999999942</v>
      </c>
      <c r="C1723" s="553">
        <f>'Foglio deposito bis'!$E$159/sezione!$B$247*B1723</f>
        <v>251.29053460367419</v>
      </c>
      <c r="D1723" s="611">
        <f>-'Progetto del paramento slu'!$G$47*'Progetto del paramento slu'!$G$41*IF(DATI!$G$218="dx",DATI!$E$61,DATI!$E$64*DATI!$E$63)*1000*C1723^2*sezione!$AD$5*(1-sezione!$AD$6)</f>
        <v>-519825535.50122416</v>
      </c>
      <c r="E1723" s="553">
        <f>-'Foglio deposito bis'!$F$68*(C1723-sezione!$AL$33)*IF(ABS(K1723)&lt;'Progetto del paramento slu'!$G$58,ABS(K1723)*'Progetto del paramento slu'!$G$54,'Progetto del paramento slu'!$G$53)</f>
        <v>0</v>
      </c>
      <c r="F1723" s="553">
        <f>-'Foglio deposito bis'!$F$69*(C1723-sezione!$AM$33)*IF(ABS(L1723)&lt;'Progetto del paramento slu'!$G$58,ABS(L1723)*'Progetto del paramento slu'!$G$54,'Progetto del paramento slu'!$G$53)</f>
        <v>-11559971.058228437</v>
      </c>
      <c r="G1723" s="553">
        <f>-'Foglio deposito bis'!$F$70*(C1723-sezione!$AN$33)*IF(ABS(M1723)&lt;'Progetto del paramento slu'!$G$58,ABS(M1723)*'Progetto del paramento slu'!$G$54,'Progetto del paramento slu'!$G$53)</f>
        <v>0</v>
      </c>
      <c r="H1723" s="553">
        <f>-'Foglio deposito bis'!$F$71*(C1723-sezione!$AO$33)*IF(ABS(N1723)&lt;'Progetto del paramento slu'!$G$58,ABS(N1723)*'Progetto del paramento slu'!$G$54,'Progetto del paramento slu'!$G$53)</f>
        <v>18158873.216937803</v>
      </c>
      <c r="I1723" s="479">
        <f>-'Foglio deposito bis'!$F$72*(C1723-sezione!$AP$33)*IF(ABS(O1723)&lt;'Progetto del paramento slu'!$G$58,ABS(O1723)*'Progetto del paramento slu'!$G$54,'Progetto del paramento slu'!$G$53)</f>
        <v>273872.68961894087</v>
      </c>
      <c r="J1723" s="479">
        <f t="shared" si="126"/>
        <v>-512952760.65289587</v>
      </c>
      <c r="K1723" s="558">
        <f>'Progetto del paramento slu'!$G$60*(sezione!$AL$33-C1723)/C1723</f>
        <v>-2.942875951452757E-3</v>
      </c>
      <c r="L1723" s="558">
        <f>'Progetto del paramento slu'!$G$60*(sezione!$AM$33-C1723)/C1723</f>
        <v>-1.4107848179478392E-3</v>
      </c>
      <c r="M1723" s="559">
        <f>'Progetto del paramento slu'!$G$60*(sezione!$AN$33-C1723)/C1723</f>
        <v>1.2130631555707883E-4</v>
      </c>
      <c r="N1723" s="559">
        <f>'Progetto del paramento slu'!$G$60*(sezione!$AO$33-C1723)/C1723</f>
        <v>1.2355544126515646E-3</v>
      </c>
      <c r="O1723" s="559">
        <f>'Progetto del paramento slu'!$G$60*(sezione!$AP$33-C1723)/C1723</f>
        <v>1.213896832782834E-4</v>
      </c>
      <c r="P1723" s="553">
        <f>-'Progetto del paramento slu'!$G$47*'Progetto del paramento slu'!$G$41*IF(DATI!$G$218="dx",DATI!$E$61,DATI!$E$64*DATI!$E$63)*1000*C1723*sezione!$AD$5</f>
        <v>-3542163.733814585</v>
      </c>
      <c r="Q1723" s="553">
        <f>'Foglio deposito bis'!$F$68*IF(ABS(K1723)&lt;'Progetto del paramento slu'!$G$58,ABS(K1723)*'Progetto del paramento slu'!$G$54,'Progetto del paramento slu'!$G$53)*IF(K1723&lt;0,-1,1)</f>
        <v>0</v>
      </c>
      <c r="R1723" s="553">
        <f>'Foglio deposito bis'!$F$69*IF(ABS(L1723)&lt;'Progetto del paramento slu'!$G$58,ABS(L1723)*'Progetto del paramento slu'!$G$54,'Progetto del paramento slu'!$G$53)*IF(L1723&lt;0,-1,1)</f>
        <v>-114126.86391141935</v>
      </c>
      <c r="S1723" s="553">
        <f>'Foglio deposito bis'!$F$70*IF(ABS(M1723)&lt;'Progetto del paramento slu'!$G$58,ABS(M1723)*'Progetto del paramento slu'!$G$54,'Progetto del paramento slu'!$G$53)*IF(M1723&lt;0,-1,1)</f>
        <v>0</v>
      </c>
      <c r="T1723" s="553">
        <f>'Foglio deposito bis'!$F$71*IF(ABS(N1723)&lt;'Progetto del paramento slu'!$G$58,ABS(N1723)*'Progetto del paramento slu'!$G$54,'Progetto del paramento slu'!$G$53)*IF(N1723&lt;0,-1,1)</f>
        <v>204700.51460472349</v>
      </c>
      <c r="U1723" s="553">
        <f>'Foglio deposito bis'!$F$72*IF(ABS(O1723)&lt;'Progetto del paramento slu'!$G$58,ABS(O1723)*'Progetto del paramento slu'!$G$54,'Progetto del paramento slu'!$G$53)*IF(O1723&lt;0,-1,1)</f>
        <v>31423.811625992505</v>
      </c>
      <c r="V1723" s="479">
        <f t="shared" si="128"/>
        <v>-3420166.2714952882</v>
      </c>
      <c r="W1723" s="559"/>
      <c r="X1723" s="559"/>
    </row>
    <row r="1724" spans="1:24" x14ac:dyDescent="0.25">
      <c r="A1724" s="553">
        <f t="shared" si="127"/>
        <v>3507454.3339883653</v>
      </c>
      <c r="B1724" s="3">
        <f t="shared" si="125"/>
        <v>62.899999999999942</v>
      </c>
      <c r="C1724" s="553">
        <f>'Foglio deposito bis'!$E$159/sezione!$B$247*B1724</f>
        <v>255.35015551811156</v>
      </c>
      <c r="D1724" s="611">
        <f>-'Progetto del paramento slu'!$G$47*'Progetto del paramento slu'!$G$41*IF(DATI!$G$218="dx",DATI!$E$61,DATI!$E$64*DATI!$E$63)*1000*C1724^2*sezione!$AD$5*(1-sezione!$AD$6)</f>
        <v>-536756858.58226645</v>
      </c>
      <c r="E1724" s="553">
        <f>-'Foglio deposito bis'!$F$68*(C1724-sezione!$AL$33)*IF(ABS(K1724)&lt;'Progetto del paramento slu'!$G$58,ABS(K1724)*'Progetto del paramento slu'!$G$54,'Progetto del paramento slu'!$G$53)</f>
        <v>0</v>
      </c>
      <c r="F1724" s="553">
        <f>-'Foglio deposito bis'!$F$69*(C1724-sezione!$AM$33)*IF(ABS(L1724)&lt;'Progetto del paramento slu'!$G$58,ABS(L1724)*'Progetto del paramento slu'!$G$54,'Progetto del paramento slu'!$G$53)</f>
        <v>-12306353.49404343</v>
      </c>
      <c r="G1724" s="553">
        <f>-'Foglio deposito bis'!$F$70*(C1724-sezione!$AN$33)*IF(ABS(M1724)&lt;'Progetto del paramento slu'!$G$58,ABS(M1724)*'Progetto del paramento slu'!$G$54,'Progetto del paramento slu'!$G$53)</f>
        <v>0</v>
      </c>
      <c r="H1724" s="553">
        <f>-'Foglio deposito bis'!$F$71*(C1724-sezione!$AO$33)*IF(ABS(N1724)&lt;'Progetto del paramento slu'!$G$58,ABS(N1724)*'Progetto del paramento slu'!$G$54,'Progetto del paramento slu'!$G$53)</f>
        <v>16272013.84725637</v>
      </c>
      <c r="I1724" s="479">
        <f>-'Foglio deposito bis'!$F$72*(C1724-sezione!$AP$33)*IF(ABS(O1724)&lt;'Progetto del paramento slu'!$G$58,ABS(O1724)*'Progetto del paramento slu'!$G$54,'Progetto del paramento slu'!$G$53)</f>
        <v>76913.618146267545</v>
      </c>
      <c r="J1724" s="479">
        <f t="shared" si="126"/>
        <v>-532714284.61090732</v>
      </c>
      <c r="K1724" s="558">
        <f>'Progetto del paramento slu'!$G$60*(sezione!$AL$33-C1724)/C1724</f>
        <v>-2.9517332495218704E-3</v>
      </c>
      <c r="L1724" s="558">
        <f>'Progetto del paramento slu'!$G$60*(sezione!$AM$33-C1724)/C1724</f>
        <v>-1.4439996857070149E-3</v>
      </c>
      <c r="M1724" s="559">
        <f>'Progetto del paramento slu'!$G$60*(sezione!$AN$33-C1724)/C1724</f>
        <v>6.3733878107840856E-5</v>
      </c>
      <c r="N1724" s="559">
        <f>'Progetto del paramento slu'!$G$60*(sezione!$AO$33-C1724)/C1724</f>
        <v>1.1602673790640995E-3</v>
      </c>
      <c r="O1724" s="559">
        <f>'Progetto del paramento slu'!$G$60*(sezione!$AP$33-C1724)/C1724</f>
        <v>6.3815920428072381E-5</v>
      </c>
      <c r="P1724" s="553">
        <f>-'Progetto del paramento slu'!$G$47*'Progetto del paramento slu'!$G$41*IF(DATI!$G$218="dx",DATI!$E$61,DATI!$E$64*DATI!$E$63)*1000*C1724*sezione!$AD$5</f>
        <v>-3599387.7036661934</v>
      </c>
      <c r="Q1724" s="553">
        <f>'Foglio deposito bis'!$F$68*IF(ABS(K1724)&lt;'Progetto del paramento slu'!$G$58,ABS(K1724)*'Progetto del paramento slu'!$G$54,'Progetto del paramento slu'!$G$53)*IF(K1724&lt;0,-1,1)</f>
        <v>0</v>
      </c>
      <c r="R1724" s="553">
        <f>'Foglio deposito bis'!$F$69*IF(ABS(L1724)&lt;'Progetto del paramento slu'!$G$58,ABS(L1724)*'Progetto del paramento slu'!$G$54,'Progetto del paramento slu'!$G$53)*IF(L1724&lt;0,-1,1)</f>
        <v>-116813.81421338055</v>
      </c>
      <c r="S1724" s="553">
        <f>'Foglio deposito bis'!$F$70*IF(ABS(M1724)&lt;'Progetto del paramento slu'!$G$58,ABS(M1724)*'Progetto del paramento slu'!$G$54,'Progetto del paramento slu'!$G$53)*IF(M1724&lt;0,-1,1)</f>
        <v>0</v>
      </c>
      <c r="T1724" s="553">
        <f>'Foglio deposito bis'!$F$71*IF(ABS(N1724)&lt;'Progetto del paramento slu'!$G$58,ABS(N1724)*'Progetto del paramento slu'!$G$54,'Progetto del paramento slu'!$G$53)*IF(N1724&lt;0,-1,1)</f>
        <v>192227.33304297924</v>
      </c>
      <c r="U1724" s="553">
        <f>'Foglio deposito bis'!$F$72*IF(ABS(O1724)&lt;'Progetto del paramento slu'!$G$58,ABS(O1724)*'Progetto del paramento slu'!$G$54,'Progetto del paramento slu'!$G$53)*IF(O1724&lt;0,-1,1)</f>
        <v>16519.850848229609</v>
      </c>
      <c r="V1724" s="479">
        <f t="shared" si="128"/>
        <v>-3507454.3339883653</v>
      </c>
      <c r="W1724" s="559"/>
      <c r="X1724" s="559"/>
    </row>
    <row r="1725" spans="1:24" x14ac:dyDescent="0.25">
      <c r="A1725" s="553">
        <f t="shared" si="127"/>
        <v>3593801.4233158245</v>
      </c>
      <c r="B1725" s="3">
        <f t="shared" si="125"/>
        <v>63.899999999999942</v>
      </c>
      <c r="C1725" s="553">
        <f>'Foglio deposito bis'!$E$159/sezione!$B$247*B1725</f>
        <v>259.40977643254894</v>
      </c>
      <c r="D1725" s="611">
        <f>-'Progetto del paramento slu'!$G$47*'Progetto del paramento slu'!$G$41*IF(DATI!$G$218="dx",DATI!$E$61,DATI!$E$64*DATI!$E$63)*1000*C1725^2*sezione!$AD$5*(1-sezione!$AD$6)</f>
        <v>-553959516.96909475</v>
      </c>
      <c r="E1725" s="553">
        <f>-'Foglio deposito bis'!$F$68*(C1725-sezione!$AL$33)*IF(ABS(K1725)&lt;'Progetto del paramento slu'!$G$58,ABS(K1725)*'Progetto del paramento slu'!$G$54,'Progetto del paramento slu'!$G$53)</f>
        <v>0</v>
      </c>
      <c r="F1725" s="553">
        <f>-'Foglio deposito bis'!$F$69*(C1725-sezione!$AM$33)*IF(ABS(L1725)&lt;'Progetto del paramento slu'!$G$58,ABS(L1725)*'Progetto del paramento slu'!$G$54,'Progetto del paramento slu'!$G$53)</f>
        <v>-13065350.720008479</v>
      </c>
      <c r="G1725" s="553">
        <f>-'Foglio deposito bis'!$F$70*(C1725-sezione!$AN$33)*IF(ABS(M1725)&lt;'Progetto del paramento slu'!$G$58,ABS(M1725)*'Progetto del paramento slu'!$G$54,'Progetto del paramento slu'!$G$53)</f>
        <v>0</v>
      </c>
      <c r="H1725" s="553">
        <f>-'Foglio deposito bis'!$F$71*(C1725-sezione!$AO$33)*IF(ABS(N1725)&lt;'Progetto del paramento slu'!$G$58,ABS(N1725)*'Progetto del paramento slu'!$G$54,'Progetto del paramento slu'!$G$53)</f>
        <v>14517889.430031681</v>
      </c>
      <c r="I1725" s="479">
        <f>-'Foglio deposito bis'!$F$72*(C1725-sezione!$AP$33)*IF(ABS(O1725)&lt;'Progetto del paramento slu'!$G$58,ABS(O1725)*'Progetto del paramento slu'!$G$54,'Progetto del paramento slu'!$G$53)</f>
        <v>1241.5266742838435</v>
      </c>
      <c r="J1725" s="479">
        <f t="shared" si="126"/>
        <v>-552505736.73239732</v>
      </c>
      <c r="K1725" s="558">
        <f>'Progetto del paramento slu'!$G$60*(sezione!$AL$33-C1725)/C1725</f>
        <v>-2.9603133238642514E-3</v>
      </c>
      <c r="L1725" s="558">
        <f>'Progetto del paramento slu'!$G$60*(sezione!$AM$33-C1725)/C1725</f>
        <v>-1.4761749644909426E-3</v>
      </c>
      <c r="M1725" s="559">
        <f>'Progetto del paramento slu'!$G$60*(sezione!$AN$33-C1725)/C1725</f>
        <v>7.9633948823661873E-6</v>
      </c>
      <c r="N1725" s="559">
        <f>'Progetto del paramento slu'!$G$60*(sezione!$AO$33-C1725)/C1725</f>
        <v>1.0873367471538635E-3</v>
      </c>
      <c r="O1725" s="559">
        <f>'Progetto del paramento slu'!$G$60*(sezione!$AP$33-C1725)/C1725</f>
        <v>8.0441532852231947E-6</v>
      </c>
      <c r="P1725" s="553">
        <f>-'Progetto del paramento slu'!$G$47*'Progetto del paramento slu'!$G$41*IF(DATI!$G$218="dx",DATI!$E$61,DATI!$E$64*DATI!$E$63)*1000*C1725*sezione!$AD$5</f>
        <v>-3656611.6735178018</v>
      </c>
      <c r="Q1725" s="553">
        <f>'Foglio deposito bis'!$F$68*IF(ABS(K1725)&lt;'Progetto del paramento slu'!$G$58,ABS(K1725)*'Progetto del paramento slu'!$G$54,'Progetto del paramento slu'!$G$53)*IF(K1725&lt;0,-1,1)</f>
        <v>0</v>
      </c>
      <c r="R1725" s="553">
        <f>'Foglio deposito bis'!$F$69*IF(ABS(L1725)&lt;'Progetto del paramento slu'!$G$58,ABS(L1725)*'Progetto del paramento slu'!$G$54,'Progetto del paramento slu'!$G$53)*IF(L1725&lt;0,-1,1)</f>
        <v>-119416.6659143414</v>
      </c>
      <c r="S1725" s="553">
        <f>'Foglio deposito bis'!$F$70*IF(ABS(M1725)&lt;'Progetto del paramento slu'!$G$58,ABS(M1725)*'Progetto del paramento slu'!$G$54,'Progetto del paramento slu'!$G$53)*IF(M1725&lt;0,-1,1)</f>
        <v>0</v>
      </c>
      <c r="T1725" s="553">
        <f>'Foglio deposito bis'!$F$71*IF(ABS(N1725)&lt;'Progetto del paramento slu'!$G$58,ABS(N1725)*'Progetto del paramento slu'!$G$54,'Progetto del paramento slu'!$G$53)*IF(N1725&lt;0,-1,1)</f>
        <v>180144.54840022547</v>
      </c>
      <c r="U1725" s="553">
        <f>'Foglio deposito bis'!$F$72*IF(ABS(O1725)&lt;'Progetto del paramento slu'!$G$58,ABS(O1725)*'Progetto del paramento slu'!$G$54,'Progetto del paramento slu'!$G$53)*IF(O1725&lt;0,-1,1)</f>
        <v>2082.3677160930888</v>
      </c>
      <c r="V1725" s="479">
        <f t="shared" si="128"/>
        <v>-3593801.4233158245</v>
      </c>
      <c r="W1725" s="559"/>
      <c r="X1725" s="559"/>
    </row>
    <row r="1726" spans="1:24" x14ac:dyDescent="0.25">
      <c r="A1726" s="553">
        <f t="shared" si="127"/>
        <v>3679251.035926003</v>
      </c>
      <c r="B1726" s="3">
        <f t="shared" si="125"/>
        <v>64.899999999999949</v>
      </c>
      <c r="C1726" s="553">
        <f>'Foglio deposito bis'!$E$159/sezione!$B$247*B1726</f>
        <v>263.4693973469864</v>
      </c>
      <c r="D1726" s="611">
        <f>-'Progetto del paramento slu'!$G$47*'Progetto del paramento slu'!$G$41*IF(DATI!$G$218="dx",DATI!$E$61,DATI!$E$64*DATI!$E$63)*1000*C1726^2*sezione!$AD$5*(1-sezione!$AD$6)</f>
        <v>-571433510.66170919</v>
      </c>
      <c r="E1726" s="553">
        <f>-'Foglio deposito bis'!$F$68*(C1726-sezione!$AL$33)*IF(ABS(K1726)&lt;'Progetto del paramento slu'!$G$58,ABS(K1726)*'Progetto del paramento slu'!$G$54,'Progetto del paramento slu'!$G$53)</f>
        <v>0</v>
      </c>
      <c r="F1726" s="553">
        <f>-'Foglio deposito bis'!$F$69*(C1726-sezione!$AM$33)*IF(ABS(L1726)&lt;'Progetto del paramento slu'!$G$58,ABS(L1726)*'Progetto del paramento slu'!$G$54,'Progetto del paramento slu'!$G$53)</f>
        <v>-13836379.617934844</v>
      </c>
      <c r="G1726" s="553">
        <f>-'Foglio deposito bis'!$F$70*(C1726-sezione!$AN$33)*IF(ABS(M1726)&lt;'Progetto del paramento slu'!$G$58,ABS(M1726)*'Progetto del paramento slu'!$G$54,'Progetto del paramento slu'!$G$53)</f>
        <v>0</v>
      </c>
      <c r="H1726" s="553">
        <f>-'Foglio deposito bis'!$F$71*(C1726-sezione!$AO$33)*IF(ABS(N1726)&lt;'Progetto del paramento slu'!$G$58,ABS(N1726)*'Progetto del paramento slu'!$G$54,'Progetto del paramento slu'!$G$53)</f>
        <v>12890364.297199447</v>
      </c>
      <c r="I1726" s="479">
        <f>-'Foglio deposito bis'!$F$72*(C1726-sezione!$AP$33)*IF(ABS(O1726)&lt;'Progetto del paramento slu'!$G$58,ABS(O1726)*'Progetto del paramento slu'!$G$54,'Progetto del paramento slu'!$G$53)</f>
        <v>-41249.92922453161</v>
      </c>
      <c r="J1726" s="479">
        <f t="shared" si="126"/>
        <v>-572420775.91166902</v>
      </c>
      <c r="K1726" s="558">
        <f>'Progetto del paramento slu'!$G$60*(sezione!$AL$33-C1726)/C1726</f>
        <v>-2.9686289891359889E-3</v>
      </c>
      <c r="L1726" s="558">
        <f>'Progetto del paramento slu'!$G$60*(sezione!$AM$33-C1726)/C1726</f>
        <v>-1.5073587092599579E-3</v>
      </c>
      <c r="M1726" s="559">
        <f>'Progetto del paramento slu'!$G$60*(sezione!$AN$33-C1726)/C1726</f>
        <v>-4.6088429383927018E-5</v>
      </c>
      <c r="N1726" s="559">
        <f>'Progetto del paramento slu'!$G$60*(sezione!$AO$33-C1726)/C1726</f>
        <v>1.0166535923440954E-3</v>
      </c>
      <c r="O1726" s="559">
        <f>'Progetto del paramento slu'!$G$60*(sezione!$AP$33-C1726)/C1726</f>
        <v>-4.6008915332423745E-5</v>
      </c>
      <c r="P1726" s="553">
        <f>-'Progetto del paramento slu'!$G$47*'Progetto del paramento slu'!$G$41*IF(DATI!$G$218="dx",DATI!$E$61,DATI!$E$64*DATI!$E$63)*1000*C1726*sezione!$AD$5</f>
        <v>-3713835.6433694116</v>
      </c>
      <c r="Q1726" s="553">
        <f>'Foglio deposito bis'!$F$68*IF(ABS(K1726)&lt;'Progetto del paramento slu'!$G$58,ABS(K1726)*'Progetto del paramento slu'!$G$54,'Progetto del paramento slu'!$G$53)*IF(K1726&lt;0,-1,1)</f>
        <v>0</v>
      </c>
      <c r="R1726" s="553">
        <f>'Foglio deposito bis'!$F$69*IF(ABS(L1726)&lt;'Progetto del paramento slu'!$G$58,ABS(L1726)*'Progetto del paramento slu'!$G$54,'Progetto del paramento slu'!$G$53)*IF(L1726&lt;0,-1,1)</f>
        <v>-121939.30646889367</v>
      </c>
      <c r="S1726" s="553">
        <f>'Foglio deposito bis'!$F$70*IF(ABS(M1726)&lt;'Progetto del paramento slu'!$G$58,ABS(M1726)*'Progetto del paramento slu'!$G$54,'Progetto del paramento slu'!$G$53)*IF(M1726&lt;0,-1,1)</f>
        <v>0</v>
      </c>
      <c r="T1726" s="553">
        <f>'Foglio deposito bis'!$F$71*IF(ABS(N1726)&lt;'Progetto del paramento slu'!$G$58,ABS(N1726)*'Progetto del paramento slu'!$G$54,'Progetto del paramento slu'!$G$53)*IF(N1726&lt;0,-1,1)</f>
        <v>168434.11459391992</v>
      </c>
      <c r="U1726" s="553">
        <f>'Foglio deposito bis'!$F$72*IF(ABS(O1726)&lt;'Progetto del paramento slu'!$G$58,ABS(O1726)*'Progetto del paramento slu'!$G$54,'Progetto del paramento slu'!$G$53)*IF(O1726&lt;0,-1,1)</f>
        <v>-11910.200681617323</v>
      </c>
      <c r="V1726" s="479">
        <f t="shared" si="128"/>
        <v>-3679251.035926003</v>
      </c>
      <c r="W1726" s="559"/>
      <c r="X1726" s="559"/>
    </row>
    <row r="1727" spans="1:24" x14ac:dyDescent="0.25">
      <c r="A1727" s="553">
        <f t="shared" si="127"/>
        <v>3763844.0281186192</v>
      </c>
      <c r="B1727" s="3">
        <f t="shared" si="125"/>
        <v>65.899999999999949</v>
      </c>
      <c r="C1727" s="553">
        <f>'Foglio deposito bis'!$E$159/sezione!$B$247*B1727</f>
        <v>267.52901826142374</v>
      </c>
      <c r="D1727" s="611">
        <f>-'Progetto del paramento slu'!$G$47*'Progetto del paramento slu'!$G$41*IF(DATI!$G$218="dx",DATI!$E$61,DATI!$E$64*DATI!$E$63)*1000*C1727^2*sezione!$AD$5*(1-sezione!$AD$6)</f>
        <v>-589178839.66010928</v>
      </c>
      <c r="E1727" s="553">
        <f>-'Foglio deposito bis'!$F$68*(C1727-sezione!$AL$33)*IF(ABS(K1727)&lt;'Progetto del paramento slu'!$G$58,ABS(K1727)*'Progetto del paramento slu'!$G$54,'Progetto del paramento slu'!$G$53)</f>
        <v>0</v>
      </c>
      <c r="F1727" s="553">
        <f>-'Foglio deposito bis'!$F$69*(C1727-sezione!$AM$33)*IF(ABS(L1727)&lt;'Progetto del paramento slu'!$G$58,ABS(L1727)*'Progetto del paramento slu'!$G$54,'Progetto del paramento slu'!$G$53)</f>
        <v>-14618892.46375748</v>
      </c>
      <c r="G1727" s="553">
        <f>-'Foglio deposito bis'!$F$70*(C1727-sezione!$AN$33)*IF(ABS(M1727)&lt;'Progetto del paramento slu'!$G$58,ABS(M1727)*'Progetto del paramento slu'!$G$54,'Progetto del paramento slu'!$G$53)</f>
        <v>0</v>
      </c>
      <c r="H1727" s="553">
        <f>-'Foglio deposito bis'!$F$71*(C1727-sezione!$AO$33)*IF(ABS(N1727)&lt;'Progetto del paramento slu'!$G$58,ABS(N1727)*'Progetto del paramento slu'!$G$54,'Progetto del paramento slu'!$G$53)</f>
        <v>11383675.203643249</v>
      </c>
      <c r="I1727" s="479">
        <f>-'Foglio deposito bis'!$F$72*(C1727-sezione!$AP$33)*IF(ABS(O1727)&lt;'Progetto del paramento slu'!$G$58,ABS(O1727)*'Progetto del paramento slu'!$G$54,'Progetto del paramento slu'!$G$53)</f>
        <v>-191672.64245760418</v>
      </c>
      <c r="J1727" s="479">
        <f t="shared" si="126"/>
        <v>-592605729.5626812</v>
      </c>
      <c r="K1727" s="558">
        <f>'Progetto del paramento slu'!$G$60*(sezione!$AL$33-C1727)/C1727</f>
        <v>-2.9766922821688265E-3</v>
      </c>
      <c r="L1727" s="558">
        <f>'Progetto del paramento slu'!$G$60*(sezione!$AM$33-C1727)/C1727</f>
        <v>-1.5375960581330995E-3</v>
      </c>
      <c r="M1727" s="559">
        <f>'Progetto del paramento slu'!$G$60*(sezione!$AN$33-C1727)/C1727</f>
        <v>-9.8499834097372232E-5</v>
      </c>
      <c r="N1727" s="559">
        <f>'Progetto del paramento slu'!$G$60*(sezione!$AO$33-C1727)/C1727</f>
        <v>9.4811560156497483E-4</v>
      </c>
      <c r="O1727" s="559">
        <f>'Progetto del paramento slu'!$G$60*(sezione!$AP$33-C1727)/C1727</f>
        <v>-9.8421526632386447E-5</v>
      </c>
      <c r="P1727" s="553">
        <f>-'Progetto del paramento slu'!$G$47*'Progetto del paramento slu'!$G$41*IF(DATI!$G$218="dx",DATI!$E$61,DATI!$E$64*DATI!$E$63)*1000*C1727*sezione!$AD$5</f>
        <v>-3771059.61322102</v>
      </c>
      <c r="Q1727" s="553">
        <f>'Foglio deposito bis'!$F$68*IF(ABS(K1727)&lt;'Progetto del paramento slu'!$G$58,ABS(K1727)*'Progetto del paramento slu'!$G$54,'Progetto del paramento slu'!$G$53)*IF(K1727&lt;0,-1,1)</f>
        <v>0</v>
      </c>
      <c r="R1727" s="553">
        <f>'Foglio deposito bis'!$F$69*IF(ABS(L1727)&lt;'Progetto del paramento slu'!$G$58,ABS(L1727)*'Progetto del paramento slu'!$G$54,'Progetto del paramento slu'!$G$53)*IF(L1727&lt;0,-1,1)</f>
        <v>-124385.38737080392</v>
      </c>
      <c r="S1727" s="553">
        <f>'Foglio deposito bis'!$F$70*IF(ABS(M1727)&lt;'Progetto del paramento slu'!$G$58,ABS(M1727)*'Progetto del paramento slu'!$G$54,'Progetto del paramento slu'!$G$53)*IF(M1727&lt;0,-1,1)</f>
        <v>0</v>
      </c>
      <c r="T1727" s="553">
        <f>'Foglio deposito bis'!$F$71*IF(ABS(N1727)&lt;'Progetto del paramento slu'!$G$58,ABS(N1727)*'Progetto del paramento slu'!$G$54,'Progetto del paramento slu'!$G$53)*IF(N1727&lt;0,-1,1)</f>
        <v>157079.08090313239</v>
      </c>
      <c r="U1727" s="553">
        <f>'Foglio deposito bis'!$F$72*IF(ABS(O1727)&lt;'Progetto del paramento slu'!$G$58,ABS(O1727)*'Progetto del paramento slu'!$G$54,'Progetto del paramento slu'!$G$53)*IF(O1727&lt;0,-1,1)</f>
        <v>-25478.10842992795</v>
      </c>
      <c r="V1727" s="479">
        <f t="shared" si="128"/>
        <v>-3763844.0281186192</v>
      </c>
      <c r="W1727" s="559"/>
      <c r="X1727" s="559"/>
    </row>
    <row r="1728" spans="1:24" x14ac:dyDescent="0.25">
      <c r="A1728" s="553">
        <f t="shared" si="127"/>
        <v>3847618.8133653179</v>
      </c>
      <c r="B1728" s="3">
        <f t="shared" si="125"/>
        <v>66.899999999999949</v>
      </c>
      <c r="C1728" s="553">
        <f>'Foglio deposito bis'!$E$159/sezione!$B$247*B1728</f>
        <v>271.58863917586115</v>
      </c>
      <c r="D1728" s="611">
        <f>-'Progetto del paramento slu'!$G$47*'Progetto del paramento slu'!$G$41*IF(DATI!$G$218="dx",DATI!$E$61,DATI!$E$64*DATI!$E$63)*1000*C1728^2*sezione!$AD$5*(1-sezione!$AD$6)</f>
        <v>-607195503.96429539</v>
      </c>
      <c r="E1728" s="553">
        <f>-'Foglio deposito bis'!$F$68*(C1728-sezione!$AL$33)*IF(ABS(K1728)&lt;'Progetto del paramento slu'!$G$58,ABS(K1728)*'Progetto del paramento slu'!$G$54,'Progetto del paramento slu'!$G$53)</f>
        <v>0</v>
      </c>
      <c r="F1728" s="553">
        <f>-'Foglio deposito bis'!$F$69*(C1728-sezione!$AM$33)*IF(ABS(L1728)&lt;'Progetto del paramento slu'!$G$58,ABS(L1728)*'Progetto del paramento slu'!$G$54,'Progetto del paramento slu'!$G$53)</f>
        <v>-15412374.282234428</v>
      </c>
      <c r="G1728" s="553">
        <f>-'Foglio deposito bis'!$F$70*(C1728-sezione!$AN$33)*IF(ABS(M1728)&lt;'Progetto del paramento slu'!$G$58,ABS(M1728)*'Progetto del paramento slu'!$G$54,'Progetto del paramento slu'!$G$53)</f>
        <v>0</v>
      </c>
      <c r="H1728" s="553">
        <f>-'Foglio deposito bis'!$F$71*(C1728-sezione!$AO$33)*IF(ABS(N1728)&lt;'Progetto del paramento slu'!$G$58,ABS(N1728)*'Progetto del paramento slu'!$G$54,'Progetto del paramento slu'!$G$53)</f>
        <v>9992403.4928932413</v>
      </c>
      <c r="I1728" s="479">
        <f>-'Foglio deposito bis'!$F$72*(C1728-sezione!$AP$33)*IF(ABS(O1728)&lt;'Progetto del paramento slu'!$G$58,ABS(O1728)*'Progetto del paramento slu'!$G$54,'Progetto del paramento slu'!$G$53)</f>
        <v>-447558.3519931098</v>
      </c>
      <c r="J1728" s="479">
        <f t="shared" si="126"/>
        <v>-613063033.10562968</v>
      </c>
      <c r="K1728" s="558">
        <f>'Progetto del paramento slu'!$G$60*(sezione!$AL$33-C1728)/C1728</f>
        <v>-2.9845145201035229E-3</v>
      </c>
      <c r="L1728" s="558">
        <f>'Progetto del paramento slu'!$G$60*(sezione!$AM$33-C1728)/C1728</f>
        <v>-1.5669294503882101E-3</v>
      </c>
      <c r="M1728" s="559">
        <f>'Progetto del paramento slu'!$G$60*(sezione!$AN$33-C1728)/C1728</f>
        <v>-1.4934438067289751E-4</v>
      </c>
      <c r="N1728" s="559">
        <f>'Progetto del paramento slu'!$G$60*(sezione!$AO$33-C1728)/C1728</f>
        <v>8.8162657912005708E-4</v>
      </c>
      <c r="O1728" s="559">
        <f>'Progetto del paramento slu'!$G$60*(sezione!$AP$33-C1728)/C1728</f>
        <v>-1.4926724372308343E-4</v>
      </c>
      <c r="P1728" s="553">
        <f>-'Progetto del paramento slu'!$G$47*'Progetto del paramento slu'!$G$41*IF(DATI!$G$218="dx",DATI!$E$61,DATI!$E$64*DATI!$E$63)*1000*C1728*sezione!$AD$5</f>
        <v>-3828283.5830726293</v>
      </c>
      <c r="Q1728" s="553">
        <f>'Foglio deposito bis'!$F$68*IF(ABS(K1728)&lt;'Progetto del paramento slu'!$G$58,ABS(K1728)*'Progetto del paramento slu'!$G$54,'Progetto del paramento slu'!$G$53)*IF(K1728&lt;0,-1,1)</f>
        <v>0</v>
      </c>
      <c r="R1728" s="553">
        <f>'Foglio deposito bis'!$F$69*IF(ABS(L1728)&lt;'Progetto del paramento slu'!$G$58,ABS(L1728)*'Progetto del paramento slu'!$G$54,'Progetto del paramento slu'!$G$53)*IF(L1728&lt;0,-1,1)</f>
        <v>-126758.34178835213</v>
      </c>
      <c r="S1728" s="553">
        <f>'Foglio deposito bis'!$F$70*IF(ABS(M1728)&lt;'Progetto del paramento slu'!$G$58,ABS(M1728)*'Progetto del paramento slu'!$G$54,'Progetto del paramento slu'!$G$53)*IF(M1728&lt;0,-1,1)</f>
        <v>0</v>
      </c>
      <c r="T1728" s="553">
        <f>'Foglio deposito bis'!$F$71*IF(ABS(N1728)&lt;'Progetto del paramento slu'!$G$58,ABS(N1728)*'Progetto del paramento slu'!$G$54,'Progetto del paramento slu'!$G$53)*IF(N1728&lt;0,-1,1)</f>
        <v>146063.51010295111</v>
      </c>
      <c r="U1728" s="553">
        <f>'Foglio deposito bis'!$F$72*IF(ABS(O1728)&lt;'Progetto del paramento slu'!$G$58,ABS(O1728)*'Progetto del paramento slu'!$G$54,'Progetto del paramento slu'!$G$53)*IF(O1728&lt;0,-1,1)</f>
        <v>-38640.398607287774</v>
      </c>
      <c r="V1728" s="479">
        <f t="shared" si="128"/>
        <v>-3847618.8133653179</v>
      </c>
      <c r="W1728" s="559"/>
      <c r="X1728" s="559"/>
    </row>
    <row r="1729" spans="1:24" x14ac:dyDescent="0.25">
      <c r="A1729" s="553">
        <f t="shared" si="127"/>
        <v>3930611.5421938994</v>
      </c>
      <c r="B1729" s="3">
        <f t="shared" si="125"/>
        <v>67.899999999999949</v>
      </c>
      <c r="C1729" s="553">
        <f>'Foglio deposito bis'!$E$159/sezione!$B$247*B1729</f>
        <v>275.64826009029855</v>
      </c>
      <c r="D1729" s="611">
        <f>-'Progetto del paramento slu'!$G$47*'Progetto del paramento slu'!$G$41*IF(DATI!$G$218="dx",DATI!$E$61,DATI!$E$64*DATI!$E$63)*1000*C1729^2*sezione!$AD$5*(1-sezione!$AD$6)</f>
        <v>-625483503.57426775</v>
      </c>
      <c r="E1729" s="553">
        <f>-'Foglio deposito bis'!$F$68*(C1729-sezione!$AL$33)*IF(ABS(K1729)&lt;'Progetto del paramento slu'!$G$58,ABS(K1729)*'Progetto del paramento slu'!$G$54,'Progetto del paramento slu'!$G$53)</f>
        <v>0</v>
      </c>
      <c r="F1729" s="553">
        <f>-'Foglio deposito bis'!$F$69*(C1729-sezione!$AM$33)*IF(ABS(L1729)&lt;'Progetto del paramento slu'!$G$58,ABS(L1729)*'Progetto del paramento slu'!$G$54,'Progetto del paramento slu'!$G$53)</f>
        <v>-16216340.435398635</v>
      </c>
      <c r="G1729" s="553">
        <f>-'Foglio deposito bis'!$F$70*(C1729-sezione!$AN$33)*IF(ABS(M1729)&lt;'Progetto del paramento slu'!$G$58,ABS(M1729)*'Progetto del paramento slu'!$G$54,'Progetto del paramento slu'!$G$53)</f>
        <v>0</v>
      </c>
      <c r="H1729" s="553">
        <f>-'Foglio deposito bis'!$F$71*(C1729-sezione!$AO$33)*IF(ABS(N1729)&lt;'Progetto del paramento slu'!$G$58,ABS(N1729)*'Progetto del paramento slu'!$G$54,'Progetto del paramento slu'!$G$53)</f>
        <v>8711449.7224101424</v>
      </c>
      <c r="I1729" s="479">
        <f>-'Foglio deposito bis'!$F$72*(C1729-sezione!$AP$33)*IF(ABS(O1729)&lt;'Progetto del paramento slu'!$G$58,ABS(O1729)*'Progetto del paramento slu'!$G$54,'Progetto del paramento slu'!$G$53)</f>
        <v>-804247.42618292768</v>
      </c>
      <c r="J1729" s="479">
        <f t="shared" si="126"/>
        <v>-633792641.71343923</v>
      </c>
      <c r="K1729" s="558">
        <f>'Progetto del paramento slu'!$G$60*(sezione!$AL$33-C1729)/C1729</f>
        <v>-2.9921063533862396E-3</v>
      </c>
      <c r="L1729" s="558">
        <f>'Progetto del paramento slu'!$G$60*(sezione!$AM$33-C1729)/C1729</f>
        <v>-1.5953988251983986E-3</v>
      </c>
      <c r="M1729" s="559">
        <f>'Progetto del paramento slu'!$G$60*(sezione!$AN$33-C1729)/C1729</f>
        <v>-1.9869129701055753E-4</v>
      </c>
      <c r="N1729" s="559">
        <f>'Progetto del paramento slu'!$G$60*(sezione!$AO$33-C1729)/C1729</f>
        <v>8.1709599621696319E-4</v>
      </c>
      <c r="O1729" s="559">
        <f>'Progetto del paramento slu'!$G$60*(sezione!$AP$33-C1729)/C1729</f>
        <v>-1.9861529609829594E-4</v>
      </c>
      <c r="P1729" s="553">
        <f>-'Progetto del paramento slu'!$G$47*'Progetto del paramento slu'!$G$41*IF(DATI!$G$218="dx",DATI!$E$61,DATI!$E$64*DATI!$E$63)*1000*C1729*sezione!$AD$5</f>
        <v>-3885507.5529242386</v>
      </c>
      <c r="Q1729" s="553">
        <f>'Foglio deposito bis'!$F$68*IF(ABS(K1729)&lt;'Progetto del paramento slu'!$G$58,ABS(K1729)*'Progetto del paramento slu'!$G$54,'Progetto del paramento slu'!$G$53)*IF(K1729&lt;0,-1,1)</f>
        <v>0</v>
      </c>
      <c r="R1729" s="553">
        <f>'Foglio deposito bis'!$F$69*IF(ABS(L1729)&lt;'Progetto del paramento slu'!$G$58,ABS(L1729)*'Progetto del paramento slu'!$G$54,'Progetto del paramento slu'!$G$53)*IF(L1729&lt;0,-1,1)</f>
        <v>-129061.4006413187</v>
      </c>
      <c r="S1729" s="553">
        <f>'Foglio deposito bis'!$F$70*IF(ABS(M1729)&lt;'Progetto del paramento slu'!$G$58,ABS(M1729)*'Progetto del paramento slu'!$G$54,'Progetto del paramento slu'!$G$53)*IF(M1729&lt;0,-1,1)</f>
        <v>0</v>
      </c>
      <c r="T1729" s="553">
        <f>'Foglio deposito bis'!$F$71*IF(ABS(N1729)&lt;'Progetto del paramento slu'!$G$58,ABS(N1729)*'Progetto del paramento slu'!$G$54,'Progetto del paramento slu'!$G$53)*IF(N1729&lt;0,-1,1)</f>
        <v>135372.40383296667</v>
      </c>
      <c r="U1729" s="553">
        <f>'Foglio deposito bis'!$F$72*IF(ABS(O1729)&lt;'Progetto del paramento slu'!$G$58,ABS(O1729)*'Progetto del paramento slu'!$G$54,'Progetto del paramento slu'!$G$53)*IF(O1729&lt;0,-1,1)</f>
        <v>-51414.992461308568</v>
      </c>
      <c r="V1729" s="479">
        <f t="shared" si="128"/>
        <v>-3930611.5421938994</v>
      </c>
      <c r="W1729" s="559"/>
      <c r="X1729" s="559"/>
    </row>
    <row r="1730" spans="1:24" x14ac:dyDescent="0.25">
      <c r="A1730" s="553">
        <f t="shared" si="127"/>
        <v>4012856.2664077641</v>
      </c>
      <c r="B1730" s="3">
        <f t="shared" si="125"/>
        <v>68.899999999999949</v>
      </c>
      <c r="C1730" s="553">
        <f>'Foglio deposito bis'!$E$159/sezione!$B$247*B1730</f>
        <v>279.70788100473595</v>
      </c>
      <c r="D1730" s="611">
        <f>-'Progetto del paramento slu'!$G$47*'Progetto del paramento slu'!$G$41*IF(DATI!$G$218="dx",DATI!$E$61,DATI!$E$64*DATI!$E$63)*1000*C1730^2*sezione!$AD$5*(1-sezione!$AD$6)</f>
        <v>-644042838.49002564</v>
      </c>
      <c r="E1730" s="553">
        <f>-'Foglio deposito bis'!$F$68*(C1730-sezione!$AL$33)*IF(ABS(K1730)&lt;'Progetto del paramento slu'!$G$58,ABS(K1730)*'Progetto del paramento slu'!$G$54,'Progetto del paramento slu'!$G$53)</f>
        <v>0</v>
      </c>
      <c r="F1730" s="553">
        <f>-'Foglio deposito bis'!$F$69*(C1730-sezione!$AM$33)*IF(ABS(L1730)&lt;'Progetto del paramento slu'!$G$58,ABS(L1730)*'Progetto del paramento slu'!$G$54,'Progetto del paramento slu'!$G$53)</f>
        <v>-17030334.421014071</v>
      </c>
      <c r="G1730" s="553">
        <f>-'Foglio deposito bis'!$F$70*(C1730-sezione!$AN$33)*IF(ABS(M1730)&lt;'Progetto del paramento slu'!$G$58,ABS(M1730)*'Progetto del paramento slu'!$G$54,'Progetto del paramento slu'!$G$53)</f>
        <v>0</v>
      </c>
      <c r="H1730" s="553">
        <f>-'Foglio deposito bis'!$F$71*(C1730-sezione!$AO$33)*IF(ABS(N1730)&lt;'Progetto del paramento slu'!$G$58,ABS(N1730)*'Progetto del paramento slu'!$G$54,'Progetto del paramento slu'!$G$53)</f>
        <v>7536010.4985684035</v>
      </c>
      <c r="I1730" s="479">
        <f>-'Foglio deposito bis'!$F$72*(C1730-sezione!$AP$33)*IF(ABS(O1730)&lt;'Progetto del paramento slu'!$G$58,ABS(O1730)*'Progetto del paramento slu'!$G$54,'Progetto del paramento slu'!$G$53)</f>
        <v>-1257350.7490043738</v>
      </c>
      <c r="J1730" s="479">
        <f t="shared" si="126"/>
        <v>-654794513.16147566</v>
      </c>
      <c r="K1730" s="558">
        <f>'Progetto del paramento slu'!$G$60*(sezione!$AL$33-C1730)/C1730</f>
        <v>-2.9994778141498647E-3</v>
      </c>
      <c r="L1730" s="558">
        <f>'Progetto del paramento slu'!$G$60*(sezione!$AM$33-C1730)/C1730</f>
        <v>-1.6230418030619923E-3</v>
      </c>
      <c r="M1730" s="559">
        <f>'Progetto del paramento slu'!$G$60*(sezione!$AN$33-C1730)/C1730</f>
        <v>-2.4660579197412002E-4</v>
      </c>
      <c r="N1730" s="559">
        <f>'Progetto del paramento slu'!$G$60*(sezione!$AO$33-C1730)/C1730</f>
        <v>7.5443857972615073E-4</v>
      </c>
      <c r="O1730" s="559">
        <f>'Progetto del paramento slu'!$G$60*(sezione!$AP$33-C1730)/C1730</f>
        <v>-2.465308941229943E-4</v>
      </c>
      <c r="P1730" s="553">
        <f>-'Progetto del paramento slu'!$G$47*'Progetto del paramento slu'!$G$41*IF(DATI!$G$218="dx",DATI!$E$61,DATI!$E$64*DATI!$E$63)*1000*C1730*sezione!$AD$5</f>
        <v>-3942731.5227758475</v>
      </c>
      <c r="Q1730" s="553">
        <f>'Foglio deposito bis'!$F$68*IF(ABS(K1730)&lt;'Progetto del paramento slu'!$G$58,ABS(K1730)*'Progetto del paramento slu'!$G$54,'Progetto del paramento slu'!$G$53)*IF(K1730&lt;0,-1,1)</f>
        <v>0</v>
      </c>
      <c r="R1730" s="553">
        <f>'Foglio deposito bis'!$F$69*IF(ABS(L1730)&lt;'Progetto del paramento slu'!$G$58,ABS(L1730)*'Progetto del paramento slu'!$G$54,'Progetto del paramento slu'!$G$53)*IF(L1730&lt;0,-1,1)</f>
        <v>-131297.60727794367</v>
      </c>
      <c r="S1730" s="553">
        <f>'Foglio deposito bis'!$F$70*IF(ABS(M1730)&lt;'Progetto del paramento slu'!$G$58,ABS(M1730)*'Progetto del paramento slu'!$G$54,'Progetto del paramento slu'!$G$53)*IF(M1730&lt;0,-1,1)</f>
        <v>0</v>
      </c>
      <c r="T1730" s="553">
        <f>'Foglio deposito bis'!$F$71*IF(ABS(N1730)&lt;'Progetto del paramento slu'!$G$58,ABS(N1730)*'Progetto del paramento slu'!$G$54,'Progetto del paramento slu'!$G$53)*IF(N1730&lt;0,-1,1)</f>
        <v>124991.63446486858</v>
      </c>
      <c r="U1730" s="553">
        <f>'Foglio deposito bis'!$F$72*IF(ABS(O1730)&lt;'Progetto del paramento slu'!$G$58,ABS(O1730)*'Progetto del paramento slu'!$G$54,'Progetto del paramento slu'!$G$53)*IF(O1730&lt;0,-1,1)</f>
        <v>-63818.770818841091</v>
      </c>
      <c r="V1730" s="479">
        <f t="shared" si="128"/>
        <v>-4012856.2664077641</v>
      </c>
      <c r="W1730" s="559"/>
      <c r="X1730" s="559"/>
    </row>
    <row r="1731" spans="1:24" x14ac:dyDescent="0.25">
      <c r="A1731" s="553">
        <f t="shared" si="127"/>
        <v>4094385.0892092595</v>
      </c>
      <c r="B1731" s="3">
        <f t="shared" si="125"/>
        <v>69.899999999999949</v>
      </c>
      <c r="C1731" s="553">
        <f>'Foglio deposito bis'!$E$159/sezione!$B$247*B1731</f>
        <v>283.7675019191733</v>
      </c>
      <c r="D1731" s="611">
        <f>-'Progetto del paramento slu'!$G$47*'Progetto del paramento slu'!$G$41*IF(DATI!$G$218="dx",DATI!$E$61,DATI!$E$64*DATI!$E$63)*1000*C1731^2*sezione!$AD$5*(1-sezione!$AD$6)</f>
        <v>-662873508.71156943</v>
      </c>
      <c r="E1731" s="553">
        <f>-'Foglio deposito bis'!$F$68*(C1731-sezione!$AL$33)*IF(ABS(K1731)&lt;'Progetto del paramento slu'!$G$58,ABS(K1731)*'Progetto del paramento slu'!$G$54,'Progetto del paramento slu'!$G$53)</f>
        <v>0</v>
      </c>
      <c r="F1731" s="553">
        <f>-'Foglio deposito bis'!$F$69*(C1731-sezione!$AM$33)*IF(ABS(L1731)&lt;'Progetto del paramento slu'!$G$58,ABS(L1731)*'Progetto del paramento slu'!$G$54,'Progetto del paramento slu'!$G$53)</f>
        <v>-17853925.860005572</v>
      </c>
      <c r="G1731" s="553">
        <f>-'Foglio deposito bis'!$F$70*(C1731-sezione!$AN$33)*IF(ABS(M1731)&lt;'Progetto del paramento slu'!$G$58,ABS(M1731)*'Progetto del paramento slu'!$G$54,'Progetto del paramento slu'!$G$53)</f>
        <v>0</v>
      </c>
      <c r="H1731" s="553">
        <f>-'Foglio deposito bis'!$F$71*(C1731-sezione!$AO$33)*IF(ABS(N1731)&lt;'Progetto del paramento slu'!$G$58,ABS(N1731)*'Progetto del paramento slu'!$G$54,'Progetto del paramento slu'!$G$53)</f>
        <v>6461557.3000529539</v>
      </c>
      <c r="I1731" s="479">
        <f>-'Foglio deposito bis'!$F$72*(C1731-sezione!$AP$33)*IF(ABS(O1731)&lt;'Progetto del paramento slu'!$G$58,ABS(O1731)*'Progetto del paramento slu'!$G$54,'Progetto del paramento slu'!$G$53)</f>
        <v>-1802730.3698723917</v>
      </c>
      <c r="J1731" s="479">
        <f t="shared" si="126"/>
        <v>-676068607.6413945</v>
      </c>
      <c r="K1731" s="558">
        <f>'Progetto del paramento slu'!$G$60*(sezione!$AL$33-C1731)/C1731</f>
        <v>-3.0066383604424275E-3</v>
      </c>
      <c r="L1731" s="558">
        <f>'Progetto del paramento slu'!$G$60*(sezione!$AM$33-C1731)/C1731</f>
        <v>-1.6498938516591023E-3</v>
      </c>
      <c r="M1731" s="559">
        <f>'Progetto del paramento slu'!$G$60*(sezione!$AN$33-C1731)/C1731</f>
        <v>-2.9314934287577734E-4</v>
      </c>
      <c r="N1731" s="559">
        <f>'Progetto del paramento slu'!$G$60*(sezione!$AO$33-C1731)/C1731</f>
        <v>6.935739362393681E-4</v>
      </c>
      <c r="O1731" s="559">
        <f>'Progetto del paramento slu'!$G$60*(sezione!$AP$33-C1731)/C1731</f>
        <v>-2.9307551652466777E-4</v>
      </c>
      <c r="P1731" s="553">
        <f>-'Progetto del paramento slu'!$G$47*'Progetto del paramento slu'!$G$41*IF(DATI!$G$218="dx",DATI!$E$61,DATI!$E$64*DATI!$E$63)*1000*C1731*sezione!$AD$5</f>
        <v>-3999955.4926274559</v>
      </c>
      <c r="Q1731" s="553">
        <f>'Foglio deposito bis'!$F$68*IF(ABS(K1731)&lt;'Progetto del paramento slu'!$G$58,ABS(K1731)*'Progetto del paramento slu'!$G$54,'Progetto del paramento slu'!$G$53)*IF(K1731&lt;0,-1,1)</f>
        <v>0</v>
      </c>
      <c r="R1731" s="553">
        <f>'Foglio deposito bis'!$F$69*IF(ABS(L1731)&lt;'Progetto del paramento slu'!$G$58,ABS(L1731)*'Progetto del paramento slu'!$G$54,'Progetto del paramento slu'!$G$53)*IF(L1731&lt;0,-1,1)</f>
        <v>-133469.83089206149</v>
      </c>
      <c r="S1731" s="553">
        <f>'Foglio deposito bis'!$F$70*IF(ABS(M1731)&lt;'Progetto del paramento slu'!$G$58,ABS(M1731)*'Progetto del paramento slu'!$G$54,'Progetto del paramento slu'!$G$53)*IF(M1731&lt;0,-1,1)</f>
        <v>0</v>
      </c>
      <c r="T1731" s="553">
        <f>'Foglio deposito bis'!$F$71*IF(ABS(N1731)&lt;'Progetto del paramento slu'!$G$58,ABS(N1731)*'Progetto del paramento slu'!$G$54,'Progetto del paramento slu'!$G$53)*IF(N1731&lt;0,-1,1)</f>
        <v>114907.88281831848</v>
      </c>
      <c r="U1731" s="553">
        <f>'Foglio deposito bis'!$F$72*IF(ABS(O1731)&lt;'Progetto del paramento slu'!$G$58,ABS(O1731)*'Progetto del paramento slu'!$G$54,'Progetto del paramento slu'!$G$53)*IF(O1731&lt;0,-1,1)</f>
        <v>-75867.648508060665</v>
      </c>
      <c r="V1731" s="479">
        <f t="shared" si="128"/>
        <v>-4094385.0892092595</v>
      </c>
      <c r="W1731" s="559"/>
      <c r="X1731" s="559"/>
    </row>
    <row r="1732" spans="1:24" x14ac:dyDescent="0.25">
      <c r="A1732" s="553">
        <f t="shared" si="127"/>
        <v>4175228.3026186572</v>
      </c>
      <c r="B1732" s="3">
        <f t="shared" si="125"/>
        <v>70.899999999999949</v>
      </c>
      <c r="C1732" s="553">
        <f>'Foglio deposito bis'!$E$159/sezione!$B$247*B1732</f>
        <v>287.8271228336107</v>
      </c>
      <c r="D1732" s="611">
        <f>-'Progetto del paramento slu'!$G$47*'Progetto del paramento slu'!$G$41*IF(DATI!$G$218="dx",DATI!$E$61,DATI!$E$64*DATI!$E$63)*1000*C1732^2*sezione!$AD$5*(1-sezione!$AD$6)</f>
        <v>-681975514.23889923</v>
      </c>
      <c r="E1732" s="553">
        <f>-'Foglio deposito bis'!$F$68*(C1732-sezione!$AL$33)*IF(ABS(K1732)&lt;'Progetto del paramento slu'!$G$58,ABS(K1732)*'Progetto del paramento slu'!$G$54,'Progetto del paramento slu'!$G$53)</f>
        <v>0</v>
      </c>
      <c r="F1732" s="553">
        <f>-'Foglio deposito bis'!$F$69*(C1732-sezione!$AM$33)*IF(ABS(L1732)&lt;'Progetto del paramento slu'!$G$58,ABS(L1732)*'Progetto del paramento slu'!$G$54,'Progetto del paramento slu'!$G$53)</f>
        <v>-18686708.654204916</v>
      </c>
      <c r="G1732" s="553">
        <f>-'Foglio deposito bis'!$F$70*(C1732-sezione!$AN$33)*IF(ABS(M1732)&lt;'Progetto del paramento slu'!$G$58,ABS(M1732)*'Progetto del paramento slu'!$G$54,'Progetto del paramento slu'!$G$53)</f>
        <v>0</v>
      </c>
      <c r="H1732" s="553">
        <f>-'Foglio deposito bis'!$F$71*(C1732-sezione!$AO$33)*IF(ABS(N1732)&lt;'Progetto del paramento slu'!$G$58,ABS(N1732)*'Progetto del paramento slu'!$G$54,'Progetto del paramento slu'!$G$53)</f>
        <v>5483817.0933520747</v>
      </c>
      <c r="I1732" s="479">
        <f>-'Foglio deposito bis'!$F$72*(C1732-sezione!$AP$33)*IF(ABS(O1732)&lt;'Progetto del paramento slu'!$G$58,ABS(O1732)*'Progetto del paramento slu'!$G$54,'Progetto del paramento slu'!$G$53)</f>
        <v>-2436481.7909853072</v>
      </c>
      <c r="J1732" s="479">
        <f t="shared" si="126"/>
        <v>-697614887.59073746</v>
      </c>
      <c r="K1732" s="558">
        <f>'Progetto del paramento slu'!$G$60*(sezione!$AL$33-C1732)/C1732</f>
        <v>-3.0135969167126328E-3</v>
      </c>
      <c r="L1732" s="558">
        <f>'Progetto del paramento slu'!$G$60*(sezione!$AM$33-C1732)/C1732</f>
        <v>-1.6759884376723732E-3</v>
      </c>
      <c r="M1732" s="559">
        <f>'Progetto del paramento slu'!$G$60*(sezione!$AN$33-C1732)/C1732</f>
        <v>-3.3837995863211356E-4</v>
      </c>
      <c r="N1732" s="559">
        <f>'Progetto del paramento slu'!$G$60*(sezione!$AO$33-C1732)/C1732</f>
        <v>6.344262079426207E-4</v>
      </c>
      <c r="O1732" s="559">
        <f>'Progetto del paramento slu'!$G$60*(sezione!$AP$33-C1732)/C1732</f>
        <v>-3.3830717355534966E-4</v>
      </c>
      <c r="P1732" s="553">
        <f>-'Progetto del paramento slu'!$G$47*'Progetto del paramento slu'!$G$41*IF(DATI!$G$218="dx",DATI!$E$61,DATI!$E$64*DATI!$E$63)*1000*C1732*sezione!$AD$5</f>
        <v>-4057179.4624790642</v>
      </c>
      <c r="Q1732" s="553">
        <f>'Foglio deposito bis'!$F$68*IF(ABS(K1732)&lt;'Progetto del paramento slu'!$G$58,ABS(K1732)*'Progetto del paramento slu'!$G$54,'Progetto del paramento slu'!$G$53)*IF(K1732&lt;0,-1,1)</f>
        <v>0</v>
      </c>
      <c r="R1732" s="553">
        <f>'Foglio deposito bis'!$F$69*IF(ABS(L1732)&lt;'Progetto del paramento slu'!$G$58,ABS(L1732)*'Progetto del paramento slu'!$G$54,'Progetto del paramento slu'!$G$53)*IF(L1732&lt;0,-1,1)</f>
        <v>-135580.77880479378</v>
      </c>
      <c r="S1732" s="553">
        <f>'Foglio deposito bis'!$F$70*IF(ABS(M1732)&lt;'Progetto del paramento slu'!$G$58,ABS(M1732)*'Progetto del paramento slu'!$G$54,'Progetto del paramento slu'!$G$53)*IF(M1732&lt;0,-1,1)</f>
        <v>0</v>
      </c>
      <c r="T1732" s="553">
        <f>'Foglio deposito bis'!$F$71*IF(ABS(N1732)&lt;'Progetto del paramento slu'!$G$58,ABS(N1732)*'Progetto del paramento slu'!$G$54,'Progetto del paramento slu'!$G$53)*IF(N1732&lt;0,-1,1)</f>
        <v>105108.58114769349</v>
      </c>
      <c r="U1732" s="553">
        <f>'Foglio deposito bis'!$F$72*IF(ABS(O1732)&lt;'Progetto del paramento slu'!$G$58,ABS(O1732)*'Progetto del paramento slu'!$G$54,'Progetto del paramento slu'!$G$53)*IF(O1732&lt;0,-1,1)</f>
        <v>-87576.642482492811</v>
      </c>
      <c r="V1732" s="479">
        <f t="shared" si="128"/>
        <v>-4175228.3026186572</v>
      </c>
      <c r="W1732" s="559"/>
      <c r="X1732" s="559"/>
    </row>
    <row r="1733" spans="1:24" x14ac:dyDescent="0.25">
      <c r="A1733" s="553">
        <f t="shared" si="127"/>
        <v>4255414.5134256138</v>
      </c>
      <c r="B1733" s="3">
        <f t="shared" si="125"/>
        <v>71.899999999999949</v>
      </c>
      <c r="C1733" s="553">
        <f>'Foglio deposito bis'!$E$159/sezione!$B$247*B1733</f>
        <v>291.8867437480481</v>
      </c>
      <c r="D1733" s="611">
        <f>-'Progetto del paramento slu'!$G$47*'Progetto del paramento slu'!$G$41*IF(DATI!$G$218="dx",DATI!$E$61,DATI!$E$64*DATI!$E$63)*1000*C1733^2*sezione!$AD$5*(1-sezione!$AD$6)</f>
        <v>-701348855.07201505</v>
      </c>
      <c r="E1733" s="553">
        <f>-'Foglio deposito bis'!$F$68*(C1733-sezione!$AL$33)*IF(ABS(K1733)&lt;'Progetto del paramento slu'!$G$58,ABS(K1733)*'Progetto del paramento slu'!$G$54,'Progetto del paramento slu'!$G$53)</f>
        <v>0</v>
      </c>
      <c r="F1733" s="553">
        <f>-'Foglio deposito bis'!$F$69*(C1733-sezione!$AM$33)*IF(ABS(L1733)&lt;'Progetto del paramento slu'!$G$58,ABS(L1733)*'Progetto del paramento slu'!$G$54,'Progetto del paramento slu'!$G$53)</f>
        <v>-19528299.297831513</v>
      </c>
      <c r="G1733" s="553">
        <f>-'Foglio deposito bis'!$F$70*(C1733-sezione!$AN$33)*IF(ABS(M1733)&lt;'Progetto del paramento slu'!$G$58,ABS(M1733)*'Progetto del paramento slu'!$G$54,'Progetto del paramento slu'!$G$53)</f>
        <v>0</v>
      </c>
      <c r="H1733" s="553">
        <f>-'Foglio deposito bis'!$F$71*(C1733-sezione!$AO$33)*IF(ABS(N1733)&lt;'Progetto del paramento slu'!$G$58,ABS(N1733)*'Progetto del paramento slu'!$G$54,'Progetto del paramento slu'!$G$53)</f>
        <v>4598754.5658726851</v>
      </c>
      <c r="I1733" s="479">
        <f>-'Foglio deposito bis'!$F$72*(C1733-sezione!$AP$33)*IF(ABS(O1733)&lt;'Progetto del paramento slu'!$G$58,ABS(O1733)*'Progetto del paramento slu'!$G$54,'Progetto del paramento slu'!$G$53)</f>
        <v>-3154917.7327779587</v>
      </c>
      <c r="J1733" s="479">
        <f t="shared" si="126"/>
        <v>-719433317.53675187</v>
      </c>
      <c r="K1733" s="558">
        <f>'Progetto del paramento slu'!$G$60*(sezione!$AL$33-C1733)/C1733</f>
        <v>-3.0203619109169079E-3</v>
      </c>
      <c r="L1733" s="558">
        <f>'Progetto del paramento slu'!$G$60*(sezione!$AM$33-C1733)/C1733</f>
        <v>-1.7013571659384042E-3</v>
      </c>
      <c r="M1733" s="559">
        <f>'Progetto del paramento slu'!$G$60*(sezione!$AN$33-C1733)/C1733</f>
        <v>-3.8235242095990075E-4</v>
      </c>
      <c r="N1733" s="559">
        <f>'Progetto del paramento slu'!$G$60*(sezione!$AO$33-C1733)/C1733</f>
        <v>5.769237572062837E-4</v>
      </c>
      <c r="O1733" s="559">
        <f>'Progetto del paramento slu'!$G$60*(sezione!$AP$33-C1733)/C1733</f>
        <v>-3.8228064819296662E-4</v>
      </c>
      <c r="P1733" s="553">
        <f>-'Progetto del paramento slu'!$G$47*'Progetto del paramento slu'!$G$41*IF(DATI!$G$218="dx",DATI!$E$61,DATI!$E$64*DATI!$E$63)*1000*C1733*sezione!$AD$5</f>
        <v>-4114403.4323306736</v>
      </c>
      <c r="Q1733" s="553">
        <f>'Foglio deposito bis'!$F$68*IF(ABS(K1733)&lt;'Progetto del paramento slu'!$G$58,ABS(K1733)*'Progetto del paramento slu'!$G$54,'Progetto del paramento slu'!$G$53)*IF(K1733&lt;0,-1,1)</f>
        <v>0</v>
      </c>
      <c r="R1733" s="553">
        <f>'Foglio deposito bis'!$F$69*IF(ABS(L1733)&lt;'Progetto del paramento slu'!$G$58,ABS(L1733)*'Progetto del paramento slu'!$G$54,'Progetto del paramento slu'!$G$53)*IF(L1733&lt;0,-1,1)</f>
        <v>-137633.00772134436</v>
      </c>
      <c r="S1733" s="553">
        <f>'Foglio deposito bis'!$F$70*IF(ABS(M1733)&lt;'Progetto del paramento slu'!$G$58,ABS(M1733)*'Progetto del paramento slu'!$G$54,'Progetto del paramento slu'!$G$53)*IF(M1733&lt;0,-1,1)</f>
        <v>0</v>
      </c>
      <c r="T1733" s="553">
        <f>'Foglio deposito bis'!$F$71*IF(ABS(N1733)&lt;'Progetto del paramento slu'!$G$58,ABS(N1733)*'Progetto del paramento slu'!$G$54,'Progetto del paramento slu'!$G$53)*IF(N1733&lt;0,-1,1)</f>
        <v>95581.860886543494</v>
      </c>
      <c r="U1733" s="553">
        <f>'Foglio deposito bis'!$F$72*IF(ABS(O1733)&lt;'Progetto del paramento slu'!$G$58,ABS(O1733)*'Progetto del paramento slu'!$G$54,'Progetto del paramento slu'!$G$53)*IF(O1733&lt;0,-1,1)</f>
        <v>-98959.934260139635</v>
      </c>
      <c r="V1733" s="479">
        <f t="shared" si="128"/>
        <v>-4255414.5134256138</v>
      </c>
      <c r="W1733" s="559"/>
      <c r="X1733" s="559"/>
    </row>
    <row r="1734" spans="1:24" x14ac:dyDescent="0.25">
      <c r="A1734" s="553">
        <f>ABS(V1734)</f>
        <v>4334970.7587742619</v>
      </c>
      <c r="B1734" s="3">
        <f t="shared" si="125"/>
        <v>72.899999999999949</v>
      </c>
      <c r="C1734" s="553">
        <f>'Foglio deposito bis'!$E$159/sezione!$B$247*B1734</f>
        <v>295.94636466248551</v>
      </c>
      <c r="D1734" s="611">
        <f>-'Progetto del paramento slu'!$G$47*'Progetto del paramento slu'!$G$41*IF(DATI!$G$218="dx",DATI!$E$61,DATI!$E$64*DATI!$E$63)*1000*C1734^2*sezione!$AD$5*(1-sezione!$AD$6)</f>
        <v>-720993531.21091688</v>
      </c>
      <c r="E1734" s="553">
        <f>-'Foglio deposito bis'!$F$68*(C1734-sezione!$AL$33)*IF(ABS(K1734)&lt;'Progetto del paramento slu'!$G$58,ABS(K1734)*'Progetto del paramento slu'!$G$54,'Progetto del paramento slu'!$G$53)</f>
        <v>0</v>
      </c>
      <c r="F1734" s="553">
        <f>-'Foglio deposito bis'!$F$69*(C1734-sezione!$AM$33)*IF(ABS(L1734)&lt;'Progetto del paramento slu'!$G$58,ABS(L1734)*'Progetto del paramento slu'!$G$54,'Progetto del paramento slu'!$G$53)</f>
        <v>-20378335.327945974</v>
      </c>
      <c r="G1734" s="553">
        <f>-'Foglio deposito bis'!$F$70*(C1734-sezione!$AN$33)*IF(ABS(M1734)&lt;'Progetto del paramento slu'!$G$58,ABS(M1734)*'Progetto del paramento slu'!$G$54,'Progetto del paramento slu'!$G$53)</f>
        <v>0</v>
      </c>
      <c r="H1734" s="553">
        <f>-'Foglio deposito bis'!$F$71*(C1734-sezione!$AO$33)*IF(ABS(N1734)&lt;'Progetto del paramento slu'!$G$58,ABS(N1734)*'Progetto del paramento slu'!$G$54,'Progetto del paramento slu'!$G$53)</f>
        <v>3802555.8213505247</v>
      </c>
      <c r="I1734" s="479">
        <f>-'Foglio deposito bis'!$F$72*(C1734-sezione!$AP$33)*IF(ABS(O1734)&lt;'Progetto del paramento slu'!$G$58,ABS(O1734)*'Progetto del paramento slu'!$G$54,'Progetto del paramento slu'!$G$53)</f>
        <v>-3954553.2355515906</v>
      </c>
      <c r="J1734" s="479">
        <f t="shared" si="126"/>
        <v>-741523863.95306385</v>
      </c>
      <c r="K1734" s="558">
        <f>'Progetto del paramento slu'!$G$60*(sezione!$AL$33-C1734)/C1734</f>
        <v>-3.0269413085723686E-3</v>
      </c>
      <c r="L1734" s="558">
        <f>'Progetto del paramento slu'!$G$60*(sezione!$AM$33-C1734)/C1734</f>
        <v>-1.7260299071463823E-3</v>
      </c>
      <c r="M1734" s="559">
        <f>'Progetto del paramento slu'!$G$60*(sezione!$AN$33-C1734)/C1734</f>
        <v>-4.2511850572039616E-4</v>
      </c>
      <c r="N1734" s="559">
        <f>'Progetto del paramento slu'!$G$60*(sezione!$AO$33-C1734)/C1734</f>
        <v>5.2099887713486664E-4</v>
      </c>
      <c r="O1734" s="559">
        <f>'Progetto del paramento slu'!$G$60*(sezione!$AP$33-C1734)/C1734</f>
        <v>-4.2504771749073128E-4</v>
      </c>
      <c r="P1734" s="553">
        <f>-'Progetto del paramento slu'!$G$47*'Progetto del paramento slu'!$G$41*IF(DATI!$G$218="dx",DATI!$E$61,DATI!$E$64*DATI!$E$63)*1000*C1734*sezione!$AD$5</f>
        <v>-4171627.4021822829</v>
      </c>
      <c r="Q1734" s="553">
        <f>'Foglio deposito bis'!$F$68*IF(ABS(K1734)&lt;'Progetto del paramento slu'!$G$58,ABS(K1734)*'Progetto del paramento slu'!$G$54,'Progetto del paramento slu'!$G$53)*IF(K1734&lt;0,-1,1)</f>
        <v>0</v>
      </c>
      <c r="R1734" s="553">
        <f>'Foglio deposito bis'!$F$69*IF(ABS(L1734)&lt;'Progetto del paramento slu'!$G$58,ABS(L1734)*'Progetto del paramento slu'!$G$54,'Progetto del paramento slu'!$G$53)*IF(L1734&lt;0,-1,1)</f>
        <v>-139628.93406130921</v>
      </c>
      <c r="S1734" s="553">
        <f>'Foglio deposito bis'!$F$70*IF(ABS(M1734)&lt;'Progetto del paramento slu'!$G$58,ABS(M1734)*'Progetto del paramento slu'!$G$54,'Progetto del paramento slu'!$G$53)*IF(M1734&lt;0,-1,1)</f>
        <v>0</v>
      </c>
      <c r="T1734" s="553">
        <f>'Foglio deposito bis'!$F$71*IF(ABS(N1734)&lt;'Progetto del paramento slu'!$G$58,ABS(N1734)*'Progetto del paramento slu'!$G$54,'Progetto del paramento slu'!$G$53)*IF(N1734&lt;0,-1,1)</f>
        <v>86316.504692914736</v>
      </c>
      <c r="U1734" s="553">
        <f>'Foglio deposito bis'!$F$72*IF(ABS(O1734)&lt;'Progetto del paramento slu'!$G$58,ABS(O1734)*'Progetto del paramento slu'!$G$54,'Progetto del paramento slu'!$G$53)*IF(O1734&lt;0,-1,1)</f>
        <v>-110030.92722358489</v>
      </c>
      <c r="V1734" s="479">
        <f t="shared" si="128"/>
        <v>-4334970.7587742619</v>
      </c>
      <c r="W1734" s="559"/>
      <c r="X1734" s="559"/>
    </row>
    <row r="1735" spans="1:24" x14ac:dyDescent="0.25">
      <c r="A1735" s="553">
        <f t="shared" si="127"/>
        <v>4413922.6123638572</v>
      </c>
      <c r="B1735" s="3">
        <f>B1734+1</f>
        <v>73.899999999999949</v>
      </c>
      <c r="C1735" s="553">
        <f>'Foglio deposito bis'!$E$159/sezione!$B$247*B1735</f>
        <v>300.00598557692291</v>
      </c>
      <c r="D1735" s="32">
        <f>-'Progetto del paramento slu'!$G$47*'Progetto del paramento slu'!$G$41*IF(DATI!$G$218="dx",DATI!$E$61,DATI!$E$64*DATI!$E$63)*1000*C1735^2*sezione!$AD$5*(1-sezione!$AD$6)</f>
        <v>-740909542.65560472</v>
      </c>
      <c r="E1735" s="553">
        <f>-'Foglio deposito bis'!$F$68*(C1735-sezione!$AL$33)*IF(ABS(K1735)&lt;'Progetto del paramento slu'!$G$58,ABS(K1735)*'Progetto del paramento slu'!$G$54,'Progetto del paramento slu'!$G$53)</f>
        <v>0</v>
      </c>
      <c r="F1735" s="553">
        <f>-'Foglio deposito bis'!$F$69*(C1735-sezione!$AM$33)*IF(ABS(L1735)&lt;'Progetto del paramento slu'!$G$58,ABS(L1735)*'Progetto del paramento slu'!$G$54,'Progetto del paramento slu'!$G$53)</f>
        <v>-21236473.900712527</v>
      </c>
      <c r="G1735" s="553">
        <f>-'Foglio deposito bis'!$F$70*(C1735-sezione!$AN$33)*IF(ABS(M1735)&lt;'Progetto del paramento slu'!$G$58,ABS(M1735)*'Progetto del paramento slu'!$G$54,'Progetto del paramento slu'!$G$53)</f>
        <v>0</v>
      </c>
      <c r="H1735" s="553">
        <f>-'Foglio deposito bis'!$F$71*(C1735-sezione!$AO$33)*IF(ABS(N1735)&lt;'Progetto del paramento slu'!$G$58,ABS(N1735)*'Progetto del paramento slu'!$G$54,'Progetto del paramento slu'!$G$53)</f>
        <v>3091613.3990430809</v>
      </c>
      <c r="I1735" s="479">
        <f>-'Foglio deposito bis'!$F$72*(C1735-sezione!$AP$33)*IF(ABS(O1735)&lt;'Progetto del paramento slu'!$G$58,ABS(O1735)*'Progetto del paramento slu'!$G$54,'Progetto del paramento slu'!$G$53)</f>
        <v>-4832091.9707142841</v>
      </c>
      <c r="J1735" s="479">
        <f t="shared" si="126"/>
        <v>-763886495.12798846</v>
      </c>
      <c r="K1735" s="558">
        <f>'Progetto del paramento slu'!$G$60*(sezione!$AL$33-C1735)/C1735</f>
        <v>-3.0333426440450023E-3</v>
      </c>
      <c r="L1735" s="558">
        <f>'Progetto del paramento slu'!$G$60*(sezione!$AM$33-C1735)/C1735</f>
        <v>-1.7500349151687588E-3</v>
      </c>
      <c r="M1735" s="559">
        <f>'Progetto del paramento slu'!$G$60*(sezione!$AN$33-C1735)/C1735</f>
        <v>-4.6672718629251544E-4</v>
      </c>
      <c r="N1735" s="559">
        <f>'Progetto del paramento slu'!$G$60*(sezione!$AO$33-C1735)/C1735</f>
        <v>4.6658752561747985E-4</v>
      </c>
      <c r="O1735" s="559">
        <f>'Progetto del paramento slu'!$G$60*(sezione!$AP$33-C1735)/C1735</f>
        <v>-4.6665735595499767E-4</v>
      </c>
      <c r="P1735" s="553">
        <f>-'Progetto del paramento slu'!$G$47*'Progetto del paramento slu'!$G$41*IF(DATI!$G$218="dx",DATI!$E$61,DATI!$E$64*DATI!$E$63)*1000*C1735*sezione!$AD$5</f>
        <v>-4228851.3720338922</v>
      </c>
      <c r="Q1735" s="553">
        <f>'Foglio deposito bis'!$F$68*IF(ABS(K1735)&lt;'Progetto del paramento slu'!$G$58,ABS(K1735)*'Progetto del paramento slu'!$G$54,'Progetto del paramento slu'!$G$53)*IF(K1735&lt;0,-1,1)</f>
        <v>0</v>
      </c>
      <c r="R1735" s="553">
        <f>'Foglio deposito bis'!$F$69*IF(ABS(L1735)&lt;'Progetto del paramento slu'!$G$58,ABS(L1735)*'Progetto del paramento slu'!$G$54,'Progetto del paramento slu'!$G$53)*IF(L1735&lt;0,-1,1)</f>
        <v>-141570.84345026009</v>
      </c>
      <c r="S1735" s="553">
        <f>'Foglio deposito bis'!$F$70*IF(ABS(M1735)&lt;'Progetto del paramento slu'!$G$58,ABS(M1735)*'Progetto del paramento slu'!$G$54,'Progetto del paramento slu'!$G$53)*IF(M1735&lt;0,-1,1)</f>
        <v>0</v>
      </c>
      <c r="T1735" s="553">
        <f>'Foglio deposito bis'!$F$71*IF(ABS(N1735)&lt;'Progetto del paramento slu'!$G$58,ABS(N1735)*'Progetto del paramento slu'!$G$54,'Progetto del paramento slu'!$G$53)*IF(N1735&lt;0,-1,1)</f>
        <v>77301.902388152812</v>
      </c>
      <c r="U1735" s="553">
        <f>'Foglio deposito bis'!$F$72*IF(ABS(O1735)&lt;'Progetto del paramento slu'!$G$58,ABS(O1735)*'Progetto del paramento slu'!$G$54,'Progetto del paramento slu'!$G$53)*IF(O1735&lt;0,-1,1)</f>
        <v>-120802.29926785709</v>
      </c>
      <c r="V1735" s="479">
        <f t="shared" si="128"/>
        <v>-4413922.6123638572</v>
      </c>
      <c r="W1735" s="559"/>
      <c r="X1735" s="559"/>
    </row>
    <row r="1736" spans="1:24" x14ac:dyDescent="0.25">
      <c r="P1736" s="553"/>
      <c r="Q1736" s="553"/>
      <c r="R1736" s="553"/>
      <c r="S1736" s="553"/>
      <c r="T1736" s="553"/>
      <c r="U1736" s="553"/>
      <c r="V1736" s="479"/>
    </row>
    <row r="1737" spans="1:24" x14ac:dyDescent="0.25">
      <c r="P1737" s="553"/>
      <c r="Q1737" s="553"/>
      <c r="R1737" s="553"/>
      <c r="S1737" s="553"/>
      <c r="T1737" s="553"/>
      <c r="U1737" s="553"/>
      <c r="V1737" s="479"/>
    </row>
    <row r="1738" spans="1:24" ht="15.75" x14ac:dyDescent="0.25">
      <c r="A1738" s="1035" t="s">
        <v>954</v>
      </c>
      <c r="B1738" s="1036"/>
      <c r="C1738" s="1036"/>
      <c r="D1738" s="1036"/>
      <c r="E1738" s="1036"/>
      <c r="F1738" s="1036"/>
      <c r="G1738" s="1036"/>
      <c r="H1738" s="1036"/>
      <c r="I1738" s="1036"/>
      <c r="J1738" s="1036"/>
      <c r="K1738" s="1036"/>
      <c r="L1738" s="1036"/>
      <c r="M1738" s="1036"/>
      <c r="N1738" s="1036"/>
      <c r="O1738" s="1037"/>
      <c r="P1738" s="553"/>
      <c r="Q1738" s="553"/>
      <c r="R1738" s="553"/>
      <c r="S1738" s="553"/>
      <c r="T1738" s="553"/>
      <c r="U1738" s="553"/>
      <c r="V1738" s="479"/>
      <c r="W1738" s="613"/>
      <c r="X1738" s="613"/>
    </row>
    <row r="1739" spans="1:24" x14ac:dyDescent="0.25">
      <c r="A1739" s="541">
        <v>1</v>
      </c>
      <c r="B1739" s="541">
        <v>2</v>
      </c>
      <c r="C1739" s="541">
        <v>3</v>
      </c>
      <c r="D1739" s="541">
        <v>4</v>
      </c>
      <c r="E1739" s="541">
        <v>5</v>
      </c>
      <c r="F1739" s="541">
        <v>6</v>
      </c>
      <c r="G1739" s="541">
        <v>7</v>
      </c>
      <c r="H1739" s="541">
        <v>8</v>
      </c>
      <c r="I1739" s="541">
        <v>9</v>
      </c>
      <c r="J1739" s="541">
        <v>10</v>
      </c>
      <c r="K1739" s="541">
        <v>11</v>
      </c>
      <c r="L1739" s="541">
        <v>12</v>
      </c>
      <c r="M1739" s="541">
        <v>13</v>
      </c>
      <c r="N1739" s="541">
        <v>14</v>
      </c>
      <c r="O1739" s="541">
        <v>15</v>
      </c>
      <c r="P1739" s="606">
        <v>4</v>
      </c>
      <c r="Q1739" s="606">
        <v>5</v>
      </c>
      <c r="R1739" s="606">
        <v>6</v>
      </c>
      <c r="S1739" s="606">
        <v>7</v>
      </c>
      <c r="T1739" s="606">
        <v>8</v>
      </c>
      <c r="U1739" s="606">
        <v>9</v>
      </c>
      <c r="V1739" s="606">
        <v>10</v>
      </c>
      <c r="W1739" s="47"/>
      <c r="X1739" s="47"/>
    </row>
    <row r="1740" spans="1:24" x14ac:dyDescent="0.25">
      <c r="A1740" s="561" t="s">
        <v>929</v>
      </c>
      <c r="B1740" s="83" t="s">
        <v>917</v>
      </c>
      <c r="C1740" s="541" t="s">
        <v>134</v>
      </c>
      <c r="D1740" s="541" t="s">
        <v>911</v>
      </c>
      <c r="E1740" s="541" t="s">
        <v>912</v>
      </c>
      <c r="F1740" s="541" t="s">
        <v>913</v>
      </c>
      <c r="G1740" s="541" t="s">
        <v>914</v>
      </c>
      <c r="H1740" s="541" t="s">
        <v>915</v>
      </c>
      <c r="I1740" s="541" t="s">
        <v>916</v>
      </c>
      <c r="J1740" s="562" t="s">
        <v>910</v>
      </c>
      <c r="K1740" s="561" t="s">
        <v>923</v>
      </c>
      <c r="L1740" s="561" t="s">
        <v>924</v>
      </c>
      <c r="M1740" s="561" t="s">
        <v>925</v>
      </c>
      <c r="N1740" s="561" t="s">
        <v>926</v>
      </c>
      <c r="O1740" s="561" t="s">
        <v>927</v>
      </c>
      <c r="P1740" s="606" t="s">
        <v>293</v>
      </c>
      <c r="Q1740" s="606" t="s">
        <v>968</v>
      </c>
      <c r="R1740" s="606" t="s">
        <v>969</v>
      </c>
      <c r="S1740" s="606" t="s">
        <v>970</v>
      </c>
      <c r="T1740" s="606" t="s">
        <v>971</v>
      </c>
      <c r="U1740" s="606" t="s">
        <v>972</v>
      </c>
      <c r="V1740" s="607" t="s">
        <v>1021</v>
      </c>
      <c r="W1740" s="58"/>
      <c r="X1740" s="58"/>
    </row>
    <row r="1741" spans="1:24" x14ac:dyDescent="0.25">
      <c r="A1741" s="553">
        <f>ABS(V1741)</f>
        <v>1444308.7068266114</v>
      </c>
      <c r="B1741" s="3">
        <v>0</v>
      </c>
      <c r="C1741" s="42">
        <v>0.01</v>
      </c>
      <c r="D1741" s="611">
        <f>-'Progetto del paramento slu'!$G$47*'Progetto del paramento slu'!$G$41*IF(DATI!$G$218="dx",DATI!$E$61,DATI!$E$64*DATI!$E$63)*1000*C1741^2*sezione!$AD$5*(1-sezione!$AD$6)</f>
        <v>-0.82319997600000006</v>
      </c>
      <c r="E1741" s="553">
        <f>-'Foglio deposito bis'!$F$78*(C1741-sezione!$AL$34)*IF(ABS(K1741)&lt;'Progetto del paramento slu'!$G$58,ABS(K1741)*'Progetto del paramento slu'!$G$54,'Progetto del paramento slu'!$G$53)</f>
        <v>0</v>
      </c>
      <c r="F1741" s="553">
        <f>-'Foglio deposito bis'!$F$79*(C1741-sezione!$AM$34)*IF(ABS(L1741)&lt;'Progetto del paramento slu'!$G$58,ABS(L1741)*'Progetto del paramento slu'!$G$54,'Progetto del paramento slu'!$G$53)</f>
        <v>23048192.059822816</v>
      </c>
      <c r="G1741" s="553">
        <f>-'Foglio deposito bis'!$F$80*(C1741-sezione!$AN$34)*IF(ABS(M1741)&lt;'Progetto del paramento slu'!$G$58,ABS(M1741)*'Progetto del paramento slu'!$G$54,'Progetto del paramento slu'!$G$53)</f>
        <v>0</v>
      </c>
      <c r="H1741" s="553">
        <f>-'Foglio deposito bis'!$F$81*(C1741-sezione!$AO$34)*IF(ABS(N1741)&lt;'Progetto del paramento slu'!$G$58,ABS(N1741)*'Progetto del paramento slu'!$G$54,'Progetto del paramento slu'!$G$53)</f>
        <v>135417783.11449072</v>
      </c>
      <c r="I1741" s="479">
        <f>-'Foglio deposito bis'!$F$82*(C1741-sezione!$AP$34)*IF(ABS(O1741)&lt;'Progetto del paramento slu'!$G$58,ABS(O1741)*'Progetto del paramento slu'!$G$54,'Progetto del paramento slu'!$G$53)</f>
        <v>232043547.1059559</v>
      </c>
      <c r="J1741" s="479">
        <f t="shared" ref="J1741:J1804" si="129">D1741+E1741+F1741+G1741+H1741+I1741</f>
        <v>390509521.45706946</v>
      </c>
      <c r="K1741" s="558">
        <f>'Progetto del paramento slu'!$G$60*(sezione!$AL$34-C1741)/C1741</f>
        <v>13.996500000000001</v>
      </c>
      <c r="L1741" s="558">
        <f>'Progetto del paramento slu'!$G$60*(sezione!$AM$34-C1741)/C1741</f>
        <v>52.496499999999997</v>
      </c>
      <c r="M1741" s="559">
        <f>'Progetto del paramento slu'!$G$60*(sezione!$AN$34-C1741)/C1741</f>
        <v>90.996499999999997</v>
      </c>
      <c r="N1741" s="559">
        <f>'Progetto del paramento slu'!$G$60*(sezione!$AO$34-C1741)/C1741</f>
        <v>118.99650000000001</v>
      </c>
      <c r="O1741" s="559">
        <f>'Progetto del paramento slu'!$G$60*(sezione!$AP$34-C1741)/C1741</f>
        <v>90.998948317307622</v>
      </c>
      <c r="P1741" s="553">
        <f>-'Progetto del paramento slu'!$G$47*'Progetto del paramento slu'!$G$41*IF(DATI!$G$218="dx",DATI!$E$61,DATI!$E$64*DATI!$E$63)*1000*C1741*sezione!$AD$5</f>
        <v>-140.9589</v>
      </c>
      <c r="Q1741" s="553">
        <f>'Foglio deposito bis'!$F$78*IF(ABS(K1741)&lt;'Progetto del paramento slu'!$G$58,ABS(K1741)*'Progetto del paramento slu'!$G$54,'Progetto del paramento slu'!$G$53)*IF(K1741&lt;0,-1,1)</f>
        <v>0</v>
      </c>
      <c r="R1741" s="553">
        <f>'Foglio deposito bis'!$F$79*IF(ABS(L1741)&lt;'Progetto del paramento slu'!$G$58,ABS(L1741)*'Progetto del paramento slu'!$G$54,'Progetto del paramento slu'!$G$53)*IF(L1741&lt;0,-1,1)</f>
        <v>153664.85805602249</v>
      </c>
      <c r="S1741" s="553">
        <f>'Foglio deposito bis'!$F$80*IF(ABS(M1741)&lt;'Progetto del paramento slu'!$G$58,ABS(M1741)*'Progetto del paramento slu'!$G$54,'Progetto del paramento slu'!$G$53)*IF(M1741&lt;0,-1,1)</f>
        <v>0</v>
      </c>
      <c r="T1741" s="553">
        <f>'Foglio deposito bis'!$F$81*IF(ABS(N1741)&lt;'Progetto del paramento slu'!$G$58,ABS(N1741)*'Progetto del paramento slu'!$G$54,'Progetto del paramento slu'!$G$53)*IF(N1741&lt;0,-1,1)</f>
        <v>398299.31208121032</v>
      </c>
      <c r="U1741" s="553">
        <f>'Foglio deposito bis'!$F$82*IF(ABS(O1741)&lt;'Progetto del paramento slu'!$G$58,ABS(O1741)*'Progetto del paramento slu'!$G$54,'Progetto del paramento slu'!$G$53)*IF(O1741&lt;0,-1,1)</f>
        <v>892485.49558937876</v>
      </c>
      <c r="V1741" s="479">
        <f t="shared" ref="V1741" si="130">P1741+Q1741+R1741+S1741+T1741+U1741</f>
        <v>1444308.7068266114</v>
      </c>
      <c r="W1741" s="559"/>
      <c r="X1741" s="559"/>
    </row>
    <row r="1742" spans="1:24" x14ac:dyDescent="0.25">
      <c r="A1742" s="553">
        <f t="shared" ref="A1742:A1805" si="131">ABS(V1742)</f>
        <v>1441588.4576051899</v>
      </c>
      <c r="B1742" s="3">
        <f>B1741+0.05</f>
        <v>0.05</v>
      </c>
      <c r="C1742" s="553">
        <f>'Foglio deposito bis'!$E$160/sezione!$B$247*B1742</f>
        <v>0.20298172881752891</v>
      </c>
      <c r="D1742" s="611">
        <f>-'Progetto del paramento slu'!$G$47*'Progetto del paramento slu'!$G$41*IF(DATI!$G$218="dx",DATI!$E$61,DATI!$E$64*DATI!$E$63)*1000*C1742^2*sezione!$AD$5*(1-sezione!$AD$6)</f>
        <v>-339.17141505987371</v>
      </c>
      <c r="E1742" s="553">
        <f>-'Foglio deposito bis'!$F$78*(C1742-sezione!$AL$34)*IF(ABS(K1742)&lt;'Progetto del paramento slu'!$G$58,ABS(K1742)*'Progetto del paramento slu'!$G$54,'Progetto del paramento slu'!$G$53)</f>
        <v>0</v>
      </c>
      <c r="F1742" s="553">
        <f>-'Foglio deposito bis'!$F$79*(C1742-sezione!$AM$34)*IF(ABS(L1742)&lt;'Progetto del paramento slu'!$G$58,ABS(L1742)*'Progetto del paramento slu'!$G$54,'Progetto del paramento slu'!$G$53)</f>
        <v>23018537.549856663</v>
      </c>
      <c r="G1742" s="553">
        <f>-'Foglio deposito bis'!$F$80*(C1742-sezione!$AN$34)*IF(ABS(M1742)&lt;'Progetto del paramento slu'!$G$58,ABS(M1742)*'Progetto del paramento slu'!$G$54,'Progetto del paramento slu'!$G$53)</f>
        <v>0</v>
      </c>
      <c r="H1742" s="553">
        <f>-'Foglio deposito bis'!$F$81*(C1742-sezione!$AO$34)*IF(ABS(N1742)&lt;'Progetto del paramento slu'!$G$58,ABS(N1742)*'Progetto del paramento slu'!$G$54,'Progetto del paramento slu'!$G$53)</f>
        <v>135340918.62465844</v>
      </c>
      <c r="I1742" s="479">
        <f>-'Foglio deposito bis'!$F$82*(C1742-sezione!$AP$34)*IF(ABS(O1742)&lt;'Progetto del paramento slu'!$G$58,ABS(O1742)*'Progetto del paramento slu'!$G$54,'Progetto del paramento slu'!$G$53)</f>
        <v>231871313.71207249</v>
      </c>
      <c r="J1742" s="479">
        <f t="shared" si="129"/>
        <v>390230430.71517253</v>
      </c>
      <c r="K1742" s="558">
        <f>'Progetto del paramento slu'!$G$60*(sezione!$AL$34-C1742)/C1742</f>
        <v>0.68621725098397146</v>
      </c>
      <c r="L1742" s="558">
        <f>'Progetto del paramento slu'!$G$60*(sezione!$AM$34-C1742)/C1742</f>
        <v>2.582939691189893</v>
      </c>
      <c r="M1742" s="559">
        <f>'Progetto del paramento slu'!$G$60*(sezione!$AN$34-C1742)/C1742</f>
        <v>4.4796621313958145</v>
      </c>
      <c r="N1742" s="559">
        <f>'Progetto del paramento slu'!$G$60*(sezione!$AO$34-C1742)/C1742</f>
        <v>5.8590966333637571</v>
      </c>
      <c r="O1742" s="559">
        <f>'Progetto del paramento slu'!$G$60*(sezione!$AP$34-C1742)/C1742</f>
        <v>4.4797827490160254</v>
      </c>
      <c r="P1742" s="553">
        <f>-'Progetto del paramento slu'!$G$47*'Progetto del paramento slu'!$G$41*IF(DATI!$G$218="dx",DATI!$E$61,DATI!$E$64*DATI!$E$63)*1000*C1742*sezione!$AD$5</f>
        <v>-2861.2081214217178</v>
      </c>
      <c r="Q1742" s="553">
        <f>'Foglio deposito bis'!$F$78*IF(ABS(K1742)&lt;'Progetto del paramento slu'!$G$58,ABS(K1742)*'Progetto del paramento slu'!$G$54,'Progetto del paramento slu'!$G$53)*IF(K1742&lt;0,-1,1)</f>
        <v>0</v>
      </c>
      <c r="R1742" s="553">
        <f>'Foglio deposito bis'!$F$79*IF(ABS(L1742)&lt;'Progetto del paramento slu'!$G$58,ABS(L1742)*'Progetto del paramento slu'!$G$54,'Progetto del paramento slu'!$G$53)*IF(L1742&lt;0,-1,1)</f>
        <v>153664.85805602249</v>
      </c>
      <c r="S1742" s="553">
        <f>'Foglio deposito bis'!$F$80*IF(ABS(M1742)&lt;'Progetto del paramento slu'!$G$58,ABS(M1742)*'Progetto del paramento slu'!$G$54,'Progetto del paramento slu'!$G$53)*IF(M1742&lt;0,-1,1)</f>
        <v>0</v>
      </c>
      <c r="T1742" s="553">
        <f>'Foglio deposito bis'!$F$81*IF(ABS(N1742)&lt;'Progetto del paramento slu'!$G$58,ABS(N1742)*'Progetto del paramento slu'!$G$54,'Progetto del paramento slu'!$G$53)*IF(N1742&lt;0,-1,1)</f>
        <v>398299.31208121032</v>
      </c>
      <c r="U1742" s="553">
        <f>'Foglio deposito bis'!$F$82*IF(ABS(O1742)&lt;'Progetto del paramento slu'!$G$58,ABS(O1742)*'Progetto del paramento slu'!$G$54,'Progetto del paramento slu'!$G$53)*IF(O1742&lt;0,-1,1)</f>
        <v>892485.49558937876</v>
      </c>
      <c r="V1742" s="479">
        <f t="shared" ref="V1742:V1805" si="132">P1742+Q1742+R1742+S1742+T1742+U1742</f>
        <v>1441588.4576051899</v>
      </c>
      <c r="W1742" s="559"/>
      <c r="X1742" s="559"/>
    </row>
    <row r="1743" spans="1:24" x14ac:dyDescent="0.25">
      <c r="A1743" s="553">
        <f t="shared" si="131"/>
        <v>1438727.2494837681</v>
      </c>
      <c r="B1743" s="3">
        <f t="shared" ref="B1743:B1806" si="133">B1742+0.05</f>
        <v>0.1</v>
      </c>
      <c r="C1743" s="553">
        <f>'Foglio deposito bis'!$E$160/sezione!$B$247*B1743</f>
        <v>0.40596345763505781</v>
      </c>
      <c r="D1743" s="611">
        <f>-'Progetto del paramento slu'!$G$47*'Progetto del paramento slu'!$G$41*IF(DATI!$G$218="dx",DATI!$E$61,DATI!$E$64*DATI!$E$63)*1000*C1743^2*sezione!$AD$5*(1-sezione!$AD$6)</f>
        <v>-1356.6856602394948</v>
      </c>
      <c r="E1743" s="553">
        <f>-'Foglio deposito bis'!$F$78*(C1743-sezione!$AL$34)*IF(ABS(K1743)&lt;'Progetto del paramento slu'!$G$58,ABS(K1743)*'Progetto del paramento slu'!$G$54,'Progetto del paramento slu'!$G$53)</f>
        <v>0</v>
      </c>
      <c r="F1743" s="553">
        <f>-'Foglio deposito bis'!$F$79*(C1743-sezione!$AM$34)*IF(ABS(L1743)&lt;'Progetto del paramento slu'!$G$58,ABS(L1743)*'Progetto del paramento slu'!$G$54,'Progetto del paramento slu'!$G$53)</f>
        <v>22987346.391309951</v>
      </c>
      <c r="G1743" s="553">
        <f>-'Foglio deposito bis'!$F$80*(C1743-sezione!$AN$34)*IF(ABS(M1743)&lt;'Progetto del paramento slu'!$G$58,ABS(M1743)*'Progetto del paramento slu'!$G$54,'Progetto del paramento slu'!$G$53)</f>
        <v>0</v>
      </c>
      <c r="H1743" s="553">
        <f>-'Foglio deposito bis'!$F$81*(C1743-sezione!$AO$34)*IF(ABS(N1743)&lt;'Progetto del paramento slu'!$G$58,ABS(N1743)*'Progetto del paramento slu'!$G$54,'Progetto del paramento slu'!$G$53)</f>
        <v>135260071.14170536</v>
      </c>
      <c r="I1743" s="479">
        <f>-'Foglio deposito bis'!$F$82*(C1743-sezione!$AP$34)*IF(ABS(O1743)&lt;'Progetto del paramento slu'!$G$58,ABS(O1743)*'Progetto del paramento slu'!$G$54,'Progetto del paramento slu'!$G$53)</f>
        <v>231690155.4632332</v>
      </c>
      <c r="J1743" s="479">
        <f t="shared" si="129"/>
        <v>389936216.31058824</v>
      </c>
      <c r="K1743" s="558">
        <f>'Progetto del paramento slu'!$G$60*(sezione!$AL$34-C1743)/C1743</f>
        <v>0.34135862549198565</v>
      </c>
      <c r="L1743" s="558">
        <f>'Progetto del paramento slu'!$G$60*(sezione!$AM$34-C1743)/C1743</f>
        <v>1.2897198455949463</v>
      </c>
      <c r="M1743" s="559">
        <f>'Progetto del paramento slu'!$G$60*(sezione!$AN$34-C1743)/C1743</f>
        <v>2.2380810656979069</v>
      </c>
      <c r="N1743" s="559">
        <f>'Progetto del paramento slu'!$G$60*(sezione!$AO$34-C1743)/C1743</f>
        <v>2.9277983166818786</v>
      </c>
      <c r="O1743" s="559">
        <f>'Progetto del paramento slu'!$G$60*(sezione!$AP$34-C1743)/C1743</f>
        <v>2.2381413745080128</v>
      </c>
      <c r="P1743" s="553">
        <f>-'Progetto del paramento slu'!$G$47*'Progetto del paramento slu'!$G$41*IF(DATI!$G$218="dx",DATI!$E$61,DATI!$E$64*DATI!$E$63)*1000*C1743*sezione!$AD$5</f>
        <v>-5722.4162428434356</v>
      </c>
      <c r="Q1743" s="553">
        <f>'Foglio deposito bis'!$F$78*IF(ABS(K1743)&lt;'Progetto del paramento slu'!$G$58,ABS(K1743)*'Progetto del paramento slu'!$G$54,'Progetto del paramento slu'!$G$53)*IF(K1743&lt;0,-1,1)</f>
        <v>0</v>
      </c>
      <c r="R1743" s="553">
        <f>'Foglio deposito bis'!$F$79*IF(ABS(L1743)&lt;'Progetto del paramento slu'!$G$58,ABS(L1743)*'Progetto del paramento slu'!$G$54,'Progetto del paramento slu'!$G$53)*IF(L1743&lt;0,-1,1)</f>
        <v>153664.85805602249</v>
      </c>
      <c r="S1743" s="553">
        <f>'Foglio deposito bis'!$F$80*IF(ABS(M1743)&lt;'Progetto del paramento slu'!$G$58,ABS(M1743)*'Progetto del paramento slu'!$G$54,'Progetto del paramento slu'!$G$53)*IF(M1743&lt;0,-1,1)</f>
        <v>0</v>
      </c>
      <c r="T1743" s="553">
        <f>'Foglio deposito bis'!$F$81*IF(ABS(N1743)&lt;'Progetto del paramento slu'!$G$58,ABS(N1743)*'Progetto del paramento slu'!$G$54,'Progetto del paramento slu'!$G$53)*IF(N1743&lt;0,-1,1)</f>
        <v>398299.31208121032</v>
      </c>
      <c r="U1743" s="553">
        <f>'Foglio deposito bis'!$F$82*IF(ABS(O1743)&lt;'Progetto del paramento slu'!$G$58,ABS(O1743)*'Progetto del paramento slu'!$G$54,'Progetto del paramento slu'!$G$53)*IF(O1743&lt;0,-1,1)</f>
        <v>892485.49558937876</v>
      </c>
      <c r="V1743" s="479">
        <f t="shared" si="132"/>
        <v>1438727.2494837681</v>
      </c>
      <c r="W1743" s="559"/>
      <c r="X1743" s="559"/>
    </row>
    <row r="1744" spans="1:24" x14ac:dyDescent="0.25">
      <c r="A1744" s="553">
        <f t="shared" si="131"/>
        <v>1435866.0413623464</v>
      </c>
      <c r="B1744" s="3">
        <f t="shared" si="133"/>
        <v>0.15000000000000002</v>
      </c>
      <c r="C1744" s="553">
        <f>'Foglio deposito bis'!$E$160/sezione!$B$247*B1744</f>
        <v>0.60894518645258677</v>
      </c>
      <c r="D1744" s="611">
        <f>-'Progetto del paramento slu'!$G$47*'Progetto del paramento slu'!$G$41*IF(DATI!$G$218="dx",DATI!$E$61,DATI!$E$64*DATI!$E$63)*1000*C1744^2*sezione!$AD$5*(1-sezione!$AD$6)</f>
        <v>-3052.5427355388638</v>
      </c>
      <c r="E1744" s="553">
        <f>-'Foglio deposito bis'!$F$78*(C1744-sezione!$AL$34)*IF(ABS(K1744)&lt;'Progetto del paramento slu'!$G$58,ABS(K1744)*'Progetto del paramento slu'!$G$54,'Progetto del paramento slu'!$G$53)</f>
        <v>0</v>
      </c>
      <c r="F1744" s="553">
        <f>-'Foglio deposito bis'!$F$79*(C1744-sezione!$AM$34)*IF(ABS(L1744)&lt;'Progetto del paramento slu'!$G$58,ABS(L1744)*'Progetto del paramento slu'!$G$54,'Progetto del paramento slu'!$G$53)</f>
        <v>22956155.232763238</v>
      </c>
      <c r="G1744" s="553">
        <f>-'Foglio deposito bis'!$F$80*(C1744-sezione!$AN$34)*IF(ABS(M1744)&lt;'Progetto del paramento slu'!$G$58,ABS(M1744)*'Progetto del paramento slu'!$G$54,'Progetto del paramento slu'!$G$53)</f>
        <v>0</v>
      </c>
      <c r="H1744" s="553">
        <f>-'Foglio deposito bis'!$F$81*(C1744-sezione!$AO$34)*IF(ABS(N1744)&lt;'Progetto del paramento slu'!$G$58,ABS(N1744)*'Progetto del paramento slu'!$G$54,'Progetto del paramento slu'!$G$53)</f>
        <v>135179223.65875229</v>
      </c>
      <c r="I1744" s="479">
        <f>-'Foglio deposito bis'!$F$82*(C1744-sezione!$AP$34)*IF(ABS(O1744)&lt;'Progetto del paramento slu'!$G$58,ABS(O1744)*'Progetto del paramento slu'!$G$54,'Progetto del paramento slu'!$G$53)</f>
        <v>231508997.21439391</v>
      </c>
      <c r="J1744" s="479">
        <f t="shared" si="129"/>
        <v>389641323.56317389</v>
      </c>
      <c r="K1744" s="558">
        <f>'Progetto del paramento slu'!$G$60*(sezione!$AL$34-C1744)/C1744</f>
        <v>0.22640575032799046</v>
      </c>
      <c r="L1744" s="558">
        <f>'Progetto del paramento slu'!$G$60*(sezione!$AM$34-C1744)/C1744</f>
        <v>0.85864656372996406</v>
      </c>
      <c r="M1744" s="559">
        <f>'Progetto del paramento slu'!$G$60*(sezione!$AN$34-C1744)/C1744</f>
        <v>1.490887377131938</v>
      </c>
      <c r="N1744" s="559">
        <f>'Progetto del paramento slu'!$G$60*(sezione!$AO$34-C1744)/C1744</f>
        <v>1.9506988777879191</v>
      </c>
      <c r="O1744" s="559">
        <f>'Progetto del paramento slu'!$G$60*(sezione!$AP$34-C1744)/C1744</f>
        <v>1.4909275830053417</v>
      </c>
      <c r="P1744" s="553">
        <f>-'Progetto del paramento slu'!$G$47*'Progetto del paramento slu'!$G$41*IF(DATI!$G$218="dx",DATI!$E$61,DATI!$E$64*DATI!$E$63)*1000*C1744*sezione!$AD$5</f>
        <v>-8583.6243642651534</v>
      </c>
      <c r="Q1744" s="553">
        <f>'Foglio deposito bis'!$F$78*IF(ABS(K1744)&lt;'Progetto del paramento slu'!$G$58,ABS(K1744)*'Progetto del paramento slu'!$G$54,'Progetto del paramento slu'!$G$53)*IF(K1744&lt;0,-1,1)</f>
        <v>0</v>
      </c>
      <c r="R1744" s="553">
        <f>'Foglio deposito bis'!$F$79*IF(ABS(L1744)&lt;'Progetto del paramento slu'!$G$58,ABS(L1744)*'Progetto del paramento slu'!$G$54,'Progetto del paramento slu'!$G$53)*IF(L1744&lt;0,-1,1)</f>
        <v>153664.85805602249</v>
      </c>
      <c r="S1744" s="553">
        <f>'Foglio deposito bis'!$F$80*IF(ABS(M1744)&lt;'Progetto del paramento slu'!$G$58,ABS(M1744)*'Progetto del paramento slu'!$G$54,'Progetto del paramento slu'!$G$53)*IF(M1744&lt;0,-1,1)</f>
        <v>0</v>
      </c>
      <c r="T1744" s="553">
        <f>'Foglio deposito bis'!$F$81*IF(ABS(N1744)&lt;'Progetto del paramento slu'!$G$58,ABS(N1744)*'Progetto del paramento slu'!$G$54,'Progetto del paramento slu'!$G$53)*IF(N1744&lt;0,-1,1)</f>
        <v>398299.31208121032</v>
      </c>
      <c r="U1744" s="553">
        <f>'Foglio deposito bis'!$F$82*IF(ABS(O1744)&lt;'Progetto del paramento slu'!$G$58,ABS(O1744)*'Progetto del paramento slu'!$G$54,'Progetto del paramento slu'!$G$53)*IF(O1744&lt;0,-1,1)</f>
        <v>892485.49558937876</v>
      </c>
      <c r="V1744" s="479">
        <f t="shared" si="132"/>
        <v>1435866.0413623464</v>
      </c>
      <c r="W1744" s="559"/>
      <c r="X1744" s="559"/>
    </row>
    <row r="1745" spans="1:24" x14ac:dyDescent="0.25">
      <c r="A1745" s="553">
        <f t="shared" si="131"/>
        <v>1433004.8332409246</v>
      </c>
      <c r="B1745" s="3">
        <f t="shared" si="133"/>
        <v>0.2</v>
      </c>
      <c r="C1745" s="553">
        <f>'Foglio deposito bis'!$E$160/sezione!$B$247*B1745</f>
        <v>0.81192691527011562</v>
      </c>
      <c r="D1745" s="611">
        <f>-'Progetto del paramento slu'!$G$47*'Progetto del paramento slu'!$G$41*IF(DATI!$G$218="dx",DATI!$E$61,DATI!$E$64*DATI!$E$63)*1000*C1745^2*sezione!$AD$5*(1-sezione!$AD$6)</f>
        <v>-5426.7426409579793</v>
      </c>
      <c r="E1745" s="553">
        <f>-'Foglio deposito bis'!$F$78*(C1745-sezione!$AL$34)*IF(ABS(K1745)&lt;'Progetto del paramento slu'!$G$58,ABS(K1745)*'Progetto del paramento slu'!$G$54,'Progetto del paramento slu'!$G$53)</f>
        <v>0</v>
      </c>
      <c r="F1745" s="553">
        <f>-'Foglio deposito bis'!$F$79*(C1745-sezione!$AM$34)*IF(ABS(L1745)&lt;'Progetto del paramento slu'!$G$58,ABS(L1745)*'Progetto del paramento slu'!$G$54,'Progetto del paramento slu'!$G$53)</f>
        <v>22924964.07421653</v>
      </c>
      <c r="G1745" s="553">
        <f>-'Foglio deposito bis'!$F$80*(C1745-sezione!$AN$34)*IF(ABS(M1745)&lt;'Progetto del paramento slu'!$G$58,ABS(M1745)*'Progetto del paramento slu'!$G$54,'Progetto del paramento slu'!$G$53)</f>
        <v>0</v>
      </c>
      <c r="H1745" s="553">
        <f>-'Foglio deposito bis'!$F$81*(C1745-sezione!$AO$34)*IF(ABS(N1745)&lt;'Progetto del paramento slu'!$G$58,ABS(N1745)*'Progetto del paramento slu'!$G$54,'Progetto del paramento slu'!$G$53)</f>
        <v>135098376.17579919</v>
      </c>
      <c r="I1745" s="479">
        <f>-'Foglio deposito bis'!$F$82*(C1745-sezione!$AP$34)*IF(ABS(O1745)&lt;'Progetto del paramento slu'!$G$58,ABS(O1745)*'Progetto del paramento slu'!$G$54,'Progetto del paramento slu'!$G$53)</f>
        <v>231327838.96555457</v>
      </c>
      <c r="J1745" s="479">
        <f t="shared" si="129"/>
        <v>389345752.47292936</v>
      </c>
      <c r="K1745" s="558">
        <f>'Progetto del paramento slu'!$G$60*(sezione!$AL$34-C1745)/C1745</f>
        <v>0.16892931274599285</v>
      </c>
      <c r="L1745" s="558">
        <f>'Progetto del paramento slu'!$G$60*(sezione!$AM$34-C1745)/C1745</f>
        <v>0.64310992279747314</v>
      </c>
      <c r="M1745" s="559">
        <f>'Progetto del paramento slu'!$G$60*(sezione!$AN$34-C1745)/C1745</f>
        <v>1.1172905328489533</v>
      </c>
      <c r="N1745" s="559">
        <f>'Progetto del paramento slu'!$G$60*(sezione!$AO$34-C1745)/C1745</f>
        <v>1.4621491583409392</v>
      </c>
      <c r="O1745" s="559">
        <f>'Progetto del paramento slu'!$G$60*(sezione!$AP$34-C1745)/C1745</f>
        <v>1.117320687254006</v>
      </c>
      <c r="P1745" s="553">
        <f>-'Progetto del paramento slu'!$G$47*'Progetto del paramento slu'!$G$41*IF(DATI!$G$218="dx",DATI!$E$61,DATI!$E$64*DATI!$E$63)*1000*C1745*sezione!$AD$5</f>
        <v>-11444.832485686871</v>
      </c>
      <c r="Q1745" s="553">
        <f>'Foglio deposito bis'!$F$78*IF(ABS(K1745)&lt;'Progetto del paramento slu'!$G$58,ABS(K1745)*'Progetto del paramento slu'!$G$54,'Progetto del paramento slu'!$G$53)*IF(K1745&lt;0,-1,1)</f>
        <v>0</v>
      </c>
      <c r="R1745" s="553">
        <f>'Foglio deposito bis'!$F$79*IF(ABS(L1745)&lt;'Progetto del paramento slu'!$G$58,ABS(L1745)*'Progetto del paramento slu'!$G$54,'Progetto del paramento slu'!$G$53)*IF(L1745&lt;0,-1,1)</f>
        <v>153664.85805602249</v>
      </c>
      <c r="S1745" s="553">
        <f>'Foglio deposito bis'!$F$80*IF(ABS(M1745)&lt;'Progetto del paramento slu'!$G$58,ABS(M1745)*'Progetto del paramento slu'!$G$54,'Progetto del paramento slu'!$G$53)*IF(M1745&lt;0,-1,1)</f>
        <v>0</v>
      </c>
      <c r="T1745" s="553">
        <f>'Foglio deposito bis'!$F$81*IF(ABS(N1745)&lt;'Progetto del paramento slu'!$G$58,ABS(N1745)*'Progetto del paramento slu'!$G$54,'Progetto del paramento slu'!$G$53)*IF(N1745&lt;0,-1,1)</f>
        <v>398299.31208121032</v>
      </c>
      <c r="U1745" s="553">
        <f>'Foglio deposito bis'!$F$82*IF(ABS(O1745)&lt;'Progetto del paramento slu'!$G$58,ABS(O1745)*'Progetto del paramento slu'!$G$54,'Progetto del paramento slu'!$G$53)*IF(O1745&lt;0,-1,1)</f>
        <v>892485.49558937876</v>
      </c>
      <c r="V1745" s="479">
        <f t="shared" si="132"/>
        <v>1433004.8332409246</v>
      </c>
      <c r="W1745" s="559"/>
      <c r="X1745" s="559"/>
    </row>
    <row r="1746" spans="1:24" x14ac:dyDescent="0.25">
      <c r="A1746" s="553">
        <f t="shared" si="131"/>
        <v>1430143.6251195031</v>
      </c>
      <c r="B1746" s="3">
        <f t="shared" si="133"/>
        <v>0.25</v>
      </c>
      <c r="C1746" s="553">
        <f>'Foglio deposito bis'!$E$160/sezione!$B$247*B1746</f>
        <v>1.0149086440876445</v>
      </c>
      <c r="D1746" s="611">
        <f>-'Progetto del paramento slu'!$G$47*'Progetto del paramento slu'!$G$41*IF(DATI!$G$218="dx",DATI!$E$61,DATI!$E$64*DATI!$E$63)*1000*C1746^2*sezione!$AD$5*(1-sezione!$AD$6)</f>
        <v>-8479.2853764968422</v>
      </c>
      <c r="E1746" s="553">
        <f>-'Foglio deposito bis'!$F$78*(C1746-sezione!$AL$34)*IF(ABS(K1746)&lt;'Progetto del paramento slu'!$G$58,ABS(K1746)*'Progetto del paramento slu'!$G$54,'Progetto del paramento slu'!$G$53)</f>
        <v>0</v>
      </c>
      <c r="F1746" s="553">
        <f>-'Foglio deposito bis'!$F$79*(C1746-sezione!$AM$34)*IF(ABS(L1746)&lt;'Progetto del paramento slu'!$G$58,ABS(L1746)*'Progetto del paramento slu'!$G$54,'Progetto del paramento slu'!$G$53)</f>
        <v>22893772.915669814</v>
      </c>
      <c r="G1746" s="553">
        <f>-'Foglio deposito bis'!$F$80*(C1746-sezione!$AN$34)*IF(ABS(M1746)&lt;'Progetto del paramento slu'!$G$58,ABS(M1746)*'Progetto del paramento slu'!$G$54,'Progetto del paramento slu'!$G$53)</f>
        <v>0</v>
      </c>
      <c r="H1746" s="553">
        <f>-'Foglio deposito bis'!$F$81*(C1746-sezione!$AO$34)*IF(ABS(N1746)&lt;'Progetto del paramento slu'!$G$58,ABS(N1746)*'Progetto del paramento slu'!$G$54,'Progetto del paramento slu'!$G$53)</f>
        <v>135017528.69284612</v>
      </c>
      <c r="I1746" s="479">
        <f>-'Foglio deposito bis'!$F$82*(C1746-sezione!$AP$34)*IF(ABS(O1746)&lt;'Progetto del paramento slu'!$G$58,ABS(O1746)*'Progetto del paramento slu'!$G$54,'Progetto del paramento slu'!$G$53)</f>
        <v>231146680.71671528</v>
      </c>
      <c r="J1746" s="479">
        <f t="shared" si="129"/>
        <v>389049503.03985471</v>
      </c>
      <c r="K1746" s="558">
        <f>'Progetto del paramento slu'!$G$60*(sezione!$AL$34-C1746)/C1746</f>
        <v>0.13444345019679427</v>
      </c>
      <c r="L1746" s="558">
        <f>'Progetto del paramento slu'!$G$60*(sezione!$AM$34-C1746)/C1746</f>
        <v>0.51378793823797853</v>
      </c>
      <c r="M1746" s="559">
        <f>'Progetto del paramento slu'!$G$60*(sezione!$AN$34-C1746)/C1746</f>
        <v>0.89313242627916278</v>
      </c>
      <c r="N1746" s="559">
        <f>'Progetto del paramento slu'!$G$60*(sezione!$AO$34-C1746)/C1746</f>
        <v>1.1690193266727513</v>
      </c>
      <c r="O1746" s="559">
        <f>'Progetto del paramento slu'!$G$60*(sezione!$AP$34-C1746)/C1746</f>
        <v>0.89315654980320491</v>
      </c>
      <c r="P1746" s="553">
        <f>-'Progetto del paramento slu'!$G$47*'Progetto del paramento slu'!$G$41*IF(DATI!$G$218="dx",DATI!$E$61,DATI!$E$64*DATI!$E$63)*1000*C1746*sezione!$AD$5</f>
        <v>-14306.040607108587</v>
      </c>
      <c r="Q1746" s="553">
        <f>'Foglio deposito bis'!$F$78*IF(ABS(K1746)&lt;'Progetto del paramento slu'!$G$58,ABS(K1746)*'Progetto del paramento slu'!$G$54,'Progetto del paramento slu'!$G$53)*IF(K1746&lt;0,-1,1)</f>
        <v>0</v>
      </c>
      <c r="R1746" s="553">
        <f>'Foglio deposito bis'!$F$79*IF(ABS(L1746)&lt;'Progetto del paramento slu'!$G$58,ABS(L1746)*'Progetto del paramento slu'!$G$54,'Progetto del paramento slu'!$G$53)*IF(L1746&lt;0,-1,1)</f>
        <v>153664.85805602249</v>
      </c>
      <c r="S1746" s="553">
        <f>'Foglio deposito bis'!$F$80*IF(ABS(M1746)&lt;'Progetto del paramento slu'!$G$58,ABS(M1746)*'Progetto del paramento slu'!$G$54,'Progetto del paramento slu'!$G$53)*IF(M1746&lt;0,-1,1)</f>
        <v>0</v>
      </c>
      <c r="T1746" s="553">
        <f>'Foglio deposito bis'!$F$81*IF(ABS(N1746)&lt;'Progetto del paramento slu'!$G$58,ABS(N1746)*'Progetto del paramento slu'!$G$54,'Progetto del paramento slu'!$G$53)*IF(N1746&lt;0,-1,1)</f>
        <v>398299.31208121032</v>
      </c>
      <c r="U1746" s="553">
        <f>'Foglio deposito bis'!$F$82*IF(ABS(O1746)&lt;'Progetto del paramento slu'!$G$58,ABS(O1746)*'Progetto del paramento slu'!$G$54,'Progetto del paramento slu'!$G$53)*IF(O1746&lt;0,-1,1)</f>
        <v>892485.49558937876</v>
      </c>
      <c r="V1746" s="479">
        <f t="shared" si="132"/>
        <v>1430143.6251195031</v>
      </c>
      <c r="W1746" s="559"/>
      <c r="X1746" s="559"/>
    </row>
    <row r="1747" spans="1:24" x14ac:dyDescent="0.25">
      <c r="A1747" s="553">
        <f t="shared" si="131"/>
        <v>1427282.4169980814</v>
      </c>
      <c r="B1747" s="3">
        <f t="shared" si="133"/>
        <v>0.3</v>
      </c>
      <c r="C1747" s="553">
        <f>'Foglio deposito bis'!$E$160/sezione!$B$247*B1747</f>
        <v>1.2178903729051733</v>
      </c>
      <c r="D1747" s="611">
        <f>-'Progetto del paramento slu'!$G$47*'Progetto del paramento slu'!$G$41*IF(DATI!$G$218="dx",DATI!$E$61,DATI!$E$64*DATI!$E$63)*1000*C1747^2*sezione!$AD$5*(1-sezione!$AD$6)</f>
        <v>-12210.170942155453</v>
      </c>
      <c r="E1747" s="553">
        <f>-'Foglio deposito bis'!$F$78*(C1747-sezione!$AL$34)*IF(ABS(K1747)&lt;'Progetto del paramento slu'!$G$58,ABS(K1747)*'Progetto del paramento slu'!$G$54,'Progetto del paramento slu'!$G$53)</f>
        <v>0</v>
      </c>
      <c r="F1747" s="553">
        <f>-'Foglio deposito bis'!$F$79*(C1747-sezione!$AM$34)*IF(ABS(L1747)&lt;'Progetto del paramento slu'!$G$58,ABS(L1747)*'Progetto del paramento slu'!$G$54,'Progetto del paramento slu'!$G$53)</f>
        <v>22862581.757123105</v>
      </c>
      <c r="G1747" s="553">
        <f>-'Foglio deposito bis'!$F$80*(C1747-sezione!$AN$34)*IF(ABS(M1747)&lt;'Progetto del paramento slu'!$G$58,ABS(M1747)*'Progetto del paramento slu'!$G$54,'Progetto del paramento slu'!$G$53)</f>
        <v>0</v>
      </c>
      <c r="H1747" s="553">
        <f>-'Foglio deposito bis'!$F$81*(C1747-sezione!$AO$34)*IF(ABS(N1747)&lt;'Progetto del paramento slu'!$G$58,ABS(N1747)*'Progetto del paramento slu'!$G$54,'Progetto del paramento slu'!$G$53)</f>
        <v>134936681.20989305</v>
      </c>
      <c r="I1747" s="479">
        <f>-'Foglio deposito bis'!$F$82*(C1747-sezione!$AP$34)*IF(ABS(O1747)&lt;'Progetto del paramento slu'!$G$58,ABS(O1747)*'Progetto del paramento slu'!$G$54,'Progetto del paramento slu'!$G$53)</f>
        <v>230965522.46787599</v>
      </c>
      <c r="J1747" s="479">
        <f t="shared" si="129"/>
        <v>388752575.26394999</v>
      </c>
      <c r="K1747" s="558">
        <f>'Progetto del paramento slu'!$G$60*(sezione!$AL$34-C1747)/C1747</f>
        <v>0.11145287516399525</v>
      </c>
      <c r="L1747" s="558">
        <f>'Progetto del paramento slu'!$G$60*(sezione!$AM$34-C1747)/C1747</f>
        <v>0.42757328186498217</v>
      </c>
      <c r="M1747" s="559">
        <f>'Progetto del paramento slu'!$G$60*(sezione!$AN$34-C1747)/C1747</f>
        <v>0.74369368856596907</v>
      </c>
      <c r="N1747" s="559">
        <f>'Progetto del paramento slu'!$G$60*(sezione!$AO$34-C1747)/C1747</f>
        <v>0.97359943889395961</v>
      </c>
      <c r="O1747" s="559">
        <f>'Progetto del paramento slu'!$G$60*(sezione!$AP$34-C1747)/C1747</f>
        <v>0.74371379150267092</v>
      </c>
      <c r="P1747" s="553">
        <f>-'Progetto del paramento slu'!$G$47*'Progetto del paramento slu'!$G$41*IF(DATI!$G$218="dx",DATI!$E$61,DATI!$E$64*DATI!$E$63)*1000*C1747*sezione!$AD$5</f>
        <v>-17167.248728530303</v>
      </c>
      <c r="Q1747" s="553">
        <f>'Foglio deposito bis'!$F$78*IF(ABS(K1747)&lt;'Progetto del paramento slu'!$G$58,ABS(K1747)*'Progetto del paramento slu'!$G$54,'Progetto del paramento slu'!$G$53)*IF(K1747&lt;0,-1,1)</f>
        <v>0</v>
      </c>
      <c r="R1747" s="553">
        <f>'Foglio deposito bis'!$F$79*IF(ABS(L1747)&lt;'Progetto del paramento slu'!$G$58,ABS(L1747)*'Progetto del paramento slu'!$G$54,'Progetto del paramento slu'!$G$53)*IF(L1747&lt;0,-1,1)</f>
        <v>153664.85805602249</v>
      </c>
      <c r="S1747" s="553">
        <f>'Foglio deposito bis'!$F$80*IF(ABS(M1747)&lt;'Progetto del paramento slu'!$G$58,ABS(M1747)*'Progetto del paramento slu'!$G$54,'Progetto del paramento slu'!$G$53)*IF(M1747&lt;0,-1,1)</f>
        <v>0</v>
      </c>
      <c r="T1747" s="553">
        <f>'Foglio deposito bis'!$F$81*IF(ABS(N1747)&lt;'Progetto del paramento slu'!$G$58,ABS(N1747)*'Progetto del paramento slu'!$G$54,'Progetto del paramento slu'!$G$53)*IF(N1747&lt;0,-1,1)</f>
        <v>398299.31208121032</v>
      </c>
      <c r="U1747" s="553">
        <f>'Foglio deposito bis'!$F$82*IF(ABS(O1747)&lt;'Progetto del paramento slu'!$G$58,ABS(O1747)*'Progetto del paramento slu'!$G$54,'Progetto del paramento slu'!$G$53)*IF(O1747&lt;0,-1,1)</f>
        <v>892485.49558937876</v>
      </c>
      <c r="V1747" s="479">
        <f t="shared" si="132"/>
        <v>1427282.4169980814</v>
      </c>
      <c r="W1747" s="559"/>
      <c r="X1747" s="559"/>
    </row>
    <row r="1748" spans="1:24" x14ac:dyDescent="0.25">
      <c r="A1748" s="553">
        <f t="shared" si="131"/>
        <v>1424421.2088766596</v>
      </c>
      <c r="B1748" s="3">
        <f t="shared" si="133"/>
        <v>0.35</v>
      </c>
      <c r="C1748" s="553">
        <f>'Foglio deposito bis'!$E$160/sezione!$B$247*B1748</f>
        <v>1.4208721017227022</v>
      </c>
      <c r="D1748" s="611">
        <f>-'Progetto del paramento slu'!$G$47*'Progetto del paramento slu'!$G$41*IF(DATI!$G$218="dx",DATI!$E$61,DATI!$E$64*DATI!$E$63)*1000*C1748^2*sezione!$AD$5*(1-sezione!$AD$6)</f>
        <v>-16619.399337933806</v>
      </c>
      <c r="E1748" s="553">
        <f>-'Foglio deposito bis'!$F$78*(C1748-sezione!$AL$34)*IF(ABS(K1748)&lt;'Progetto del paramento slu'!$G$58,ABS(K1748)*'Progetto del paramento slu'!$G$54,'Progetto del paramento slu'!$G$53)</f>
        <v>0</v>
      </c>
      <c r="F1748" s="553">
        <f>-'Foglio deposito bis'!$F$79*(C1748-sezione!$AM$34)*IF(ABS(L1748)&lt;'Progetto del paramento slu'!$G$58,ABS(L1748)*'Progetto del paramento slu'!$G$54,'Progetto del paramento slu'!$G$53)</f>
        <v>22831390.598576397</v>
      </c>
      <c r="G1748" s="553">
        <f>-'Foglio deposito bis'!$F$80*(C1748-sezione!$AN$34)*IF(ABS(M1748)&lt;'Progetto del paramento slu'!$G$58,ABS(M1748)*'Progetto del paramento slu'!$G$54,'Progetto del paramento slu'!$G$53)</f>
        <v>0</v>
      </c>
      <c r="H1748" s="553">
        <f>-'Foglio deposito bis'!$F$81*(C1748-sezione!$AO$34)*IF(ABS(N1748)&lt;'Progetto del paramento slu'!$G$58,ABS(N1748)*'Progetto del paramento slu'!$G$54,'Progetto del paramento slu'!$G$53)</f>
        <v>134855833.72693998</v>
      </c>
      <c r="I1748" s="479">
        <f>-'Foglio deposito bis'!$F$82*(C1748-sezione!$AP$34)*IF(ABS(O1748)&lt;'Progetto del paramento slu'!$G$58,ABS(O1748)*'Progetto del paramento slu'!$G$54,'Progetto del paramento slu'!$G$53)</f>
        <v>230784364.2190367</v>
      </c>
      <c r="J1748" s="479">
        <f t="shared" si="129"/>
        <v>388454969.14521515</v>
      </c>
      <c r="K1748" s="558">
        <f>'Progetto del paramento slu'!$G$60*(sezione!$AL$34-C1748)/C1748</f>
        <v>9.5031035854853077E-2</v>
      </c>
      <c r="L1748" s="558">
        <f>'Progetto del paramento slu'!$G$60*(sezione!$AM$34-C1748)/C1748</f>
        <v>0.36599138445569906</v>
      </c>
      <c r="M1748" s="559">
        <f>'Progetto del paramento slu'!$G$60*(sezione!$AN$34-C1748)/C1748</f>
        <v>0.63695173305654496</v>
      </c>
      <c r="N1748" s="559">
        <f>'Progetto del paramento slu'!$G$60*(sezione!$AO$34-C1748)/C1748</f>
        <v>0.83401380476625109</v>
      </c>
      <c r="O1748" s="559">
        <f>'Progetto del paramento slu'!$G$60*(sezione!$AP$34-C1748)/C1748</f>
        <v>0.63696896414514648</v>
      </c>
      <c r="P1748" s="553">
        <f>-'Progetto del paramento slu'!$G$47*'Progetto del paramento slu'!$G$41*IF(DATI!$G$218="dx",DATI!$E$61,DATI!$E$64*DATI!$E$63)*1000*C1748*sezione!$AD$5</f>
        <v>-20028.456849952021</v>
      </c>
      <c r="Q1748" s="553">
        <f>'Foglio deposito bis'!$F$78*IF(ABS(K1748)&lt;'Progetto del paramento slu'!$G$58,ABS(K1748)*'Progetto del paramento slu'!$G$54,'Progetto del paramento slu'!$G$53)*IF(K1748&lt;0,-1,1)</f>
        <v>0</v>
      </c>
      <c r="R1748" s="553">
        <f>'Foglio deposito bis'!$F$79*IF(ABS(L1748)&lt;'Progetto del paramento slu'!$G$58,ABS(L1748)*'Progetto del paramento slu'!$G$54,'Progetto del paramento slu'!$G$53)*IF(L1748&lt;0,-1,1)</f>
        <v>153664.85805602249</v>
      </c>
      <c r="S1748" s="553">
        <f>'Foglio deposito bis'!$F$80*IF(ABS(M1748)&lt;'Progetto del paramento slu'!$G$58,ABS(M1748)*'Progetto del paramento slu'!$G$54,'Progetto del paramento slu'!$G$53)*IF(M1748&lt;0,-1,1)</f>
        <v>0</v>
      </c>
      <c r="T1748" s="553">
        <f>'Foglio deposito bis'!$F$81*IF(ABS(N1748)&lt;'Progetto del paramento slu'!$G$58,ABS(N1748)*'Progetto del paramento slu'!$G$54,'Progetto del paramento slu'!$G$53)*IF(N1748&lt;0,-1,1)</f>
        <v>398299.31208121032</v>
      </c>
      <c r="U1748" s="553">
        <f>'Foglio deposito bis'!$F$82*IF(ABS(O1748)&lt;'Progetto del paramento slu'!$G$58,ABS(O1748)*'Progetto del paramento slu'!$G$54,'Progetto del paramento slu'!$G$53)*IF(O1748&lt;0,-1,1)</f>
        <v>892485.49558937876</v>
      </c>
      <c r="V1748" s="479">
        <f t="shared" si="132"/>
        <v>1424421.2088766596</v>
      </c>
      <c r="W1748" s="559"/>
      <c r="X1748" s="559"/>
    </row>
    <row r="1749" spans="1:24" x14ac:dyDescent="0.25">
      <c r="A1749" s="553">
        <f t="shared" si="131"/>
        <v>1421560.0007552379</v>
      </c>
      <c r="B1749" s="3">
        <f t="shared" si="133"/>
        <v>0.39999999999999997</v>
      </c>
      <c r="C1749" s="553">
        <f>'Foglio deposito bis'!$E$160/sezione!$B$247*B1749</f>
        <v>1.623853830540231</v>
      </c>
      <c r="D1749" s="611">
        <f>-'Progetto del paramento slu'!$G$47*'Progetto del paramento slu'!$G$41*IF(DATI!$G$218="dx",DATI!$E$61,DATI!$E$64*DATI!$E$63)*1000*C1749^2*sezione!$AD$5*(1-sezione!$AD$6)</f>
        <v>-21706.970563831914</v>
      </c>
      <c r="E1749" s="553">
        <f>-'Foglio deposito bis'!$F$78*(C1749-sezione!$AL$34)*IF(ABS(K1749)&lt;'Progetto del paramento slu'!$G$58,ABS(K1749)*'Progetto del paramento slu'!$G$54,'Progetto del paramento slu'!$G$53)</f>
        <v>0</v>
      </c>
      <c r="F1749" s="553">
        <f>-'Foglio deposito bis'!$F$79*(C1749-sezione!$AM$34)*IF(ABS(L1749)&lt;'Progetto del paramento slu'!$G$58,ABS(L1749)*'Progetto del paramento slu'!$G$54,'Progetto del paramento slu'!$G$53)</f>
        <v>22800199.440029681</v>
      </c>
      <c r="G1749" s="553">
        <f>-'Foglio deposito bis'!$F$80*(C1749-sezione!$AN$34)*IF(ABS(M1749)&lt;'Progetto del paramento slu'!$G$58,ABS(M1749)*'Progetto del paramento slu'!$G$54,'Progetto del paramento slu'!$G$53)</f>
        <v>0</v>
      </c>
      <c r="H1749" s="553">
        <f>-'Foglio deposito bis'!$F$81*(C1749-sezione!$AO$34)*IF(ABS(N1749)&lt;'Progetto del paramento slu'!$G$58,ABS(N1749)*'Progetto del paramento slu'!$G$54,'Progetto del paramento slu'!$G$53)</f>
        <v>134774986.2439869</v>
      </c>
      <c r="I1749" s="479">
        <f>-'Foglio deposito bis'!$F$82*(C1749-sezione!$AP$34)*IF(ABS(O1749)&lt;'Progetto del paramento slu'!$G$58,ABS(O1749)*'Progetto del paramento slu'!$G$54,'Progetto del paramento slu'!$G$53)</f>
        <v>230603205.97019738</v>
      </c>
      <c r="J1749" s="479">
        <f t="shared" si="129"/>
        <v>388156684.68365014</v>
      </c>
      <c r="K1749" s="558">
        <f>'Progetto del paramento slu'!$G$60*(sezione!$AL$34-C1749)/C1749</f>
        <v>8.2714656372996423E-2</v>
      </c>
      <c r="L1749" s="558">
        <f>'Progetto del paramento slu'!$G$60*(sezione!$AM$34-C1749)/C1749</f>
        <v>0.31980496139873665</v>
      </c>
      <c r="M1749" s="559">
        <f>'Progetto del paramento slu'!$G$60*(sezione!$AN$34-C1749)/C1749</f>
        <v>0.55689526642447684</v>
      </c>
      <c r="N1749" s="559">
        <f>'Progetto del paramento slu'!$G$60*(sezione!$AO$34-C1749)/C1749</f>
        <v>0.72932457917046978</v>
      </c>
      <c r="O1749" s="559">
        <f>'Progetto del paramento slu'!$G$60*(sezione!$AP$34-C1749)/C1749</f>
        <v>0.5569103436270032</v>
      </c>
      <c r="P1749" s="553">
        <f>-'Progetto del paramento slu'!$G$47*'Progetto del paramento slu'!$G$41*IF(DATI!$G$218="dx",DATI!$E$61,DATI!$E$64*DATI!$E$63)*1000*C1749*sezione!$AD$5</f>
        <v>-22889.664971373735</v>
      </c>
      <c r="Q1749" s="553">
        <f>'Foglio deposito bis'!$F$78*IF(ABS(K1749)&lt;'Progetto del paramento slu'!$G$58,ABS(K1749)*'Progetto del paramento slu'!$G$54,'Progetto del paramento slu'!$G$53)*IF(K1749&lt;0,-1,1)</f>
        <v>0</v>
      </c>
      <c r="R1749" s="553">
        <f>'Foglio deposito bis'!$F$79*IF(ABS(L1749)&lt;'Progetto del paramento slu'!$G$58,ABS(L1749)*'Progetto del paramento slu'!$G$54,'Progetto del paramento slu'!$G$53)*IF(L1749&lt;0,-1,1)</f>
        <v>153664.85805602249</v>
      </c>
      <c r="S1749" s="553">
        <f>'Foglio deposito bis'!$F$80*IF(ABS(M1749)&lt;'Progetto del paramento slu'!$G$58,ABS(M1749)*'Progetto del paramento slu'!$G$54,'Progetto del paramento slu'!$G$53)*IF(M1749&lt;0,-1,1)</f>
        <v>0</v>
      </c>
      <c r="T1749" s="553">
        <f>'Foglio deposito bis'!$F$81*IF(ABS(N1749)&lt;'Progetto del paramento slu'!$G$58,ABS(N1749)*'Progetto del paramento slu'!$G$54,'Progetto del paramento slu'!$G$53)*IF(N1749&lt;0,-1,1)</f>
        <v>398299.31208121032</v>
      </c>
      <c r="U1749" s="553">
        <f>'Foglio deposito bis'!$F$82*IF(ABS(O1749)&lt;'Progetto del paramento slu'!$G$58,ABS(O1749)*'Progetto del paramento slu'!$G$54,'Progetto del paramento slu'!$G$53)*IF(O1749&lt;0,-1,1)</f>
        <v>892485.49558937876</v>
      </c>
      <c r="V1749" s="479">
        <f t="shared" si="132"/>
        <v>1421560.0007552379</v>
      </c>
      <c r="W1749" s="559"/>
      <c r="X1749" s="559"/>
    </row>
    <row r="1750" spans="1:24" x14ac:dyDescent="0.25">
      <c r="A1750" s="553">
        <f t="shared" si="131"/>
        <v>1418698.7926338161</v>
      </c>
      <c r="B1750" s="3">
        <f t="shared" si="133"/>
        <v>0.44999999999999996</v>
      </c>
      <c r="C1750" s="553">
        <f>'Foglio deposito bis'!$E$160/sezione!$B$247*B1750</f>
        <v>1.8268355593577599</v>
      </c>
      <c r="D1750" s="611">
        <f>-'Progetto del paramento slu'!$G$47*'Progetto del paramento slu'!$G$41*IF(DATI!$G$218="dx",DATI!$E$61,DATI!$E$64*DATI!$E$63)*1000*C1750^2*sezione!$AD$5*(1-sezione!$AD$6)</f>
        <v>-27472.884619849763</v>
      </c>
      <c r="E1750" s="553">
        <f>-'Foglio deposito bis'!$F$78*(C1750-sezione!$AL$34)*IF(ABS(K1750)&lt;'Progetto del paramento slu'!$G$58,ABS(K1750)*'Progetto del paramento slu'!$G$54,'Progetto del paramento slu'!$G$53)</f>
        <v>0</v>
      </c>
      <c r="F1750" s="553">
        <f>-'Foglio deposito bis'!$F$79*(C1750-sezione!$AM$34)*IF(ABS(L1750)&lt;'Progetto del paramento slu'!$G$58,ABS(L1750)*'Progetto del paramento slu'!$G$54,'Progetto del paramento slu'!$G$53)</f>
        <v>22769008.281482968</v>
      </c>
      <c r="G1750" s="553">
        <f>-'Foglio deposito bis'!$F$80*(C1750-sezione!$AN$34)*IF(ABS(M1750)&lt;'Progetto del paramento slu'!$G$58,ABS(M1750)*'Progetto del paramento slu'!$G$54,'Progetto del paramento slu'!$G$53)</f>
        <v>0</v>
      </c>
      <c r="H1750" s="553">
        <f>-'Foglio deposito bis'!$F$81*(C1750-sezione!$AO$34)*IF(ABS(N1750)&lt;'Progetto del paramento slu'!$G$58,ABS(N1750)*'Progetto del paramento slu'!$G$54,'Progetto del paramento slu'!$G$53)</f>
        <v>134694138.76103383</v>
      </c>
      <c r="I1750" s="479">
        <f>-'Foglio deposito bis'!$F$82*(C1750-sezione!$AP$34)*IF(ABS(O1750)&lt;'Progetto del paramento slu'!$G$58,ABS(O1750)*'Progetto del paramento slu'!$G$54,'Progetto del paramento slu'!$G$53)</f>
        <v>230422047.72135809</v>
      </c>
      <c r="J1750" s="479">
        <f t="shared" si="129"/>
        <v>387857721.87925506</v>
      </c>
      <c r="K1750" s="558">
        <f>'Progetto del paramento slu'!$G$60*(sezione!$AL$34-C1750)/C1750</f>
        <v>7.3135250109330169E-2</v>
      </c>
      <c r="L1750" s="558">
        <f>'Progetto del paramento slu'!$G$60*(sezione!$AM$34-C1750)/C1750</f>
        <v>0.28388218790998809</v>
      </c>
      <c r="M1750" s="559">
        <f>'Progetto del paramento slu'!$G$60*(sezione!$AN$34-C1750)/C1750</f>
        <v>0.4946291257106461</v>
      </c>
      <c r="N1750" s="559">
        <f>'Progetto del paramento slu'!$G$60*(sezione!$AO$34-C1750)/C1750</f>
        <v>0.6478996259293065</v>
      </c>
      <c r="O1750" s="559">
        <f>'Progetto del paramento slu'!$G$60*(sezione!$AP$34-C1750)/C1750</f>
        <v>0.4946425276684473</v>
      </c>
      <c r="P1750" s="553">
        <f>-'Progetto del paramento slu'!$G$47*'Progetto del paramento slu'!$G$41*IF(DATI!$G$218="dx",DATI!$E$61,DATI!$E$64*DATI!$E$63)*1000*C1750*sezione!$AD$5</f>
        <v>-25750.873092795453</v>
      </c>
      <c r="Q1750" s="553">
        <f>'Foglio deposito bis'!$F$78*IF(ABS(K1750)&lt;'Progetto del paramento slu'!$G$58,ABS(K1750)*'Progetto del paramento slu'!$G$54,'Progetto del paramento slu'!$G$53)*IF(K1750&lt;0,-1,1)</f>
        <v>0</v>
      </c>
      <c r="R1750" s="553">
        <f>'Foglio deposito bis'!$F$79*IF(ABS(L1750)&lt;'Progetto del paramento slu'!$G$58,ABS(L1750)*'Progetto del paramento slu'!$G$54,'Progetto del paramento slu'!$G$53)*IF(L1750&lt;0,-1,1)</f>
        <v>153664.85805602249</v>
      </c>
      <c r="S1750" s="553">
        <f>'Foglio deposito bis'!$F$80*IF(ABS(M1750)&lt;'Progetto del paramento slu'!$G$58,ABS(M1750)*'Progetto del paramento slu'!$G$54,'Progetto del paramento slu'!$G$53)*IF(M1750&lt;0,-1,1)</f>
        <v>0</v>
      </c>
      <c r="T1750" s="553">
        <f>'Foglio deposito bis'!$F$81*IF(ABS(N1750)&lt;'Progetto del paramento slu'!$G$58,ABS(N1750)*'Progetto del paramento slu'!$G$54,'Progetto del paramento slu'!$G$53)*IF(N1750&lt;0,-1,1)</f>
        <v>398299.31208121032</v>
      </c>
      <c r="U1750" s="553">
        <f>'Foglio deposito bis'!$F$82*IF(ABS(O1750)&lt;'Progetto del paramento slu'!$G$58,ABS(O1750)*'Progetto del paramento slu'!$G$54,'Progetto del paramento slu'!$G$53)*IF(O1750&lt;0,-1,1)</f>
        <v>892485.49558937876</v>
      </c>
      <c r="V1750" s="479">
        <f t="shared" si="132"/>
        <v>1418698.7926338161</v>
      </c>
      <c r="W1750" s="559"/>
      <c r="X1750" s="559"/>
    </row>
    <row r="1751" spans="1:24" x14ac:dyDescent="0.25">
      <c r="A1751" s="553">
        <f t="shared" si="131"/>
        <v>1415837.5845123944</v>
      </c>
      <c r="B1751" s="3">
        <f t="shared" si="133"/>
        <v>0.49999999999999994</v>
      </c>
      <c r="C1751" s="553">
        <f>'Foglio deposito bis'!$E$160/sezione!$B$247*B1751</f>
        <v>2.0298172881752885</v>
      </c>
      <c r="D1751" s="611">
        <f>-'Progetto del paramento slu'!$G$47*'Progetto del paramento slu'!$G$41*IF(DATI!$G$218="dx",DATI!$E$61,DATI!$E$64*DATI!$E$63)*1000*C1751^2*sezione!$AD$5*(1-sezione!$AD$6)</f>
        <v>-33917.141505987354</v>
      </c>
      <c r="E1751" s="553">
        <f>-'Foglio deposito bis'!$F$78*(C1751-sezione!$AL$34)*IF(ABS(K1751)&lt;'Progetto del paramento slu'!$G$58,ABS(K1751)*'Progetto del paramento slu'!$G$54,'Progetto del paramento slu'!$G$53)</f>
        <v>0</v>
      </c>
      <c r="F1751" s="553">
        <f>-'Foglio deposito bis'!$F$79*(C1751-sezione!$AM$34)*IF(ABS(L1751)&lt;'Progetto del paramento slu'!$G$58,ABS(L1751)*'Progetto del paramento slu'!$G$54,'Progetto del paramento slu'!$G$53)</f>
        <v>22737817.12293626</v>
      </c>
      <c r="G1751" s="553">
        <f>-'Foglio deposito bis'!$F$80*(C1751-sezione!$AN$34)*IF(ABS(M1751)&lt;'Progetto del paramento slu'!$G$58,ABS(M1751)*'Progetto del paramento slu'!$G$54,'Progetto del paramento slu'!$G$53)</f>
        <v>0</v>
      </c>
      <c r="H1751" s="553">
        <f>-'Foglio deposito bis'!$F$81*(C1751-sezione!$AO$34)*IF(ABS(N1751)&lt;'Progetto del paramento slu'!$G$58,ABS(N1751)*'Progetto del paramento slu'!$G$54,'Progetto del paramento slu'!$G$53)</f>
        <v>134613291.27808073</v>
      </c>
      <c r="I1751" s="479">
        <f>-'Foglio deposito bis'!$F$82*(C1751-sezione!$AP$34)*IF(ABS(O1751)&lt;'Progetto del paramento slu'!$G$58,ABS(O1751)*'Progetto del paramento slu'!$G$54,'Progetto del paramento slu'!$G$53)</f>
        <v>230240889.47251877</v>
      </c>
      <c r="J1751" s="479">
        <f t="shared" si="129"/>
        <v>387558080.7320298</v>
      </c>
      <c r="K1751" s="558">
        <f>'Progetto del paramento slu'!$G$60*(sezione!$AL$34-C1751)/C1751</f>
        <v>6.547172509839716E-2</v>
      </c>
      <c r="L1751" s="558">
        <f>'Progetto del paramento slu'!$G$60*(sezione!$AM$34-C1751)/C1751</f>
        <v>0.25514396911898934</v>
      </c>
      <c r="M1751" s="559">
        <f>'Progetto del paramento slu'!$G$60*(sezione!$AN$34-C1751)/C1751</f>
        <v>0.44481621313958147</v>
      </c>
      <c r="N1751" s="559">
        <f>'Progetto del paramento slu'!$G$60*(sezione!$AO$34-C1751)/C1751</f>
        <v>0.58275966333637585</v>
      </c>
      <c r="O1751" s="559">
        <f>'Progetto del paramento slu'!$G$60*(sezione!$AP$34-C1751)/C1751</f>
        <v>0.44482827490160254</v>
      </c>
      <c r="P1751" s="553">
        <f>-'Progetto del paramento slu'!$G$47*'Progetto del paramento slu'!$G$41*IF(DATI!$G$218="dx",DATI!$E$61,DATI!$E$64*DATI!$E$63)*1000*C1751*sezione!$AD$5</f>
        <v>-28612.081214217167</v>
      </c>
      <c r="Q1751" s="553">
        <f>'Foglio deposito bis'!$F$78*IF(ABS(K1751)&lt;'Progetto del paramento slu'!$G$58,ABS(K1751)*'Progetto del paramento slu'!$G$54,'Progetto del paramento slu'!$G$53)*IF(K1751&lt;0,-1,1)</f>
        <v>0</v>
      </c>
      <c r="R1751" s="553">
        <f>'Foglio deposito bis'!$F$79*IF(ABS(L1751)&lt;'Progetto del paramento slu'!$G$58,ABS(L1751)*'Progetto del paramento slu'!$G$54,'Progetto del paramento slu'!$G$53)*IF(L1751&lt;0,-1,1)</f>
        <v>153664.85805602249</v>
      </c>
      <c r="S1751" s="553">
        <f>'Foglio deposito bis'!$F$80*IF(ABS(M1751)&lt;'Progetto del paramento slu'!$G$58,ABS(M1751)*'Progetto del paramento slu'!$G$54,'Progetto del paramento slu'!$G$53)*IF(M1751&lt;0,-1,1)</f>
        <v>0</v>
      </c>
      <c r="T1751" s="553">
        <f>'Foglio deposito bis'!$F$81*IF(ABS(N1751)&lt;'Progetto del paramento slu'!$G$58,ABS(N1751)*'Progetto del paramento slu'!$G$54,'Progetto del paramento slu'!$G$53)*IF(N1751&lt;0,-1,1)</f>
        <v>398299.31208121032</v>
      </c>
      <c r="U1751" s="553">
        <f>'Foglio deposito bis'!$F$82*IF(ABS(O1751)&lt;'Progetto del paramento slu'!$G$58,ABS(O1751)*'Progetto del paramento slu'!$G$54,'Progetto del paramento slu'!$G$53)*IF(O1751&lt;0,-1,1)</f>
        <v>892485.49558937876</v>
      </c>
      <c r="V1751" s="479">
        <f t="shared" si="132"/>
        <v>1415837.5845123944</v>
      </c>
      <c r="W1751" s="559"/>
      <c r="X1751" s="559"/>
    </row>
    <row r="1752" spans="1:24" x14ac:dyDescent="0.25">
      <c r="A1752" s="553">
        <f t="shared" si="131"/>
        <v>1412976.3763909726</v>
      </c>
      <c r="B1752" s="3">
        <f t="shared" si="133"/>
        <v>0.54999999999999993</v>
      </c>
      <c r="C1752" s="553">
        <f>'Foglio deposito bis'!$E$160/sezione!$B$247*B1752</f>
        <v>2.2327990169928174</v>
      </c>
      <c r="D1752" s="611">
        <f>-'Progetto del paramento slu'!$G$47*'Progetto del paramento slu'!$G$41*IF(DATI!$G$218="dx",DATI!$E$61,DATI!$E$64*DATI!$E$63)*1000*C1752^2*sezione!$AD$5*(1-sezione!$AD$6)</f>
        <v>-41039.741222244702</v>
      </c>
      <c r="E1752" s="553">
        <f>-'Foglio deposito bis'!$F$78*(C1752-sezione!$AL$34)*IF(ABS(K1752)&lt;'Progetto del paramento slu'!$G$58,ABS(K1752)*'Progetto del paramento slu'!$G$54,'Progetto del paramento slu'!$G$53)</f>
        <v>0</v>
      </c>
      <c r="F1752" s="553">
        <f>-'Foglio deposito bis'!$F$79*(C1752-sezione!$AM$34)*IF(ABS(L1752)&lt;'Progetto del paramento slu'!$G$58,ABS(L1752)*'Progetto del paramento slu'!$G$54,'Progetto del paramento slu'!$G$53)</f>
        <v>22706625.964389544</v>
      </c>
      <c r="G1752" s="553">
        <f>-'Foglio deposito bis'!$F$80*(C1752-sezione!$AN$34)*IF(ABS(M1752)&lt;'Progetto del paramento slu'!$G$58,ABS(M1752)*'Progetto del paramento slu'!$G$54,'Progetto del paramento slu'!$G$53)</f>
        <v>0</v>
      </c>
      <c r="H1752" s="553">
        <f>-'Foglio deposito bis'!$F$81*(C1752-sezione!$AO$34)*IF(ABS(N1752)&lt;'Progetto del paramento slu'!$G$58,ABS(N1752)*'Progetto del paramento slu'!$G$54,'Progetto del paramento slu'!$G$53)</f>
        <v>134532443.79512766</v>
      </c>
      <c r="I1752" s="479">
        <f>-'Foglio deposito bis'!$F$82*(C1752-sezione!$AP$34)*IF(ABS(O1752)&lt;'Progetto del paramento slu'!$G$58,ABS(O1752)*'Progetto del paramento slu'!$G$54,'Progetto del paramento slu'!$G$53)</f>
        <v>230059731.22367948</v>
      </c>
      <c r="J1752" s="479">
        <f t="shared" si="129"/>
        <v>387257761.24197447</v>
      </c>
      <c r="K1752" s="558">
        <f>'Progetto del paramento slu'!$G$60*(sezione!$AL$34-C1752)/C1752</f>
        <v>5.9201568271270148E-2</v>
      </c>
      <c r="L1752" s="558">
        <f>'Progetto del paramento slu'!$G$60*(sezione!$AM$34-C1752)/C1752</f>
        <v>0.23163088101726301</v>
      </c>
      <c r="M1752" s="559">
        <f>'Progetto del paramento slu'!$G$60*(sezione!$AN$34-C1752)/C1752</f>
        <v>0.40406019376325591</v>
      </c>
      <c r="N1752" s="559">
        <f>'Progetto del paramento slu'!$G$60*(sezione!$AO$34-C1752)/C1752</f>
        <v>0.52946333030579618</v>
      </c>
      <c r="O1752" s="559">
        <f>'Progetto del paramento slu'!$G$60*(sezione!$AP$34-C1752)/C1752</f>
        <v>0.4040711590014569</v>
      </c>
      <c r="P1752" s="553">
        <f>-'Progetto del paramento slu'!$G$47*'Progetto del paramento slu'!$G$41*IF(DATI!$G$218="dx",DATI!$E$61,DATI!$E$64*DATI!$E$63)*1000*C1752*sezione!$AD$5</f>
        <v>-31473.289335638889</v>
      </c>
      <c r="Q1752" s="553">
        <f>'Foglio deposito bis'!$F$78*IF(ABS(K1752)&lt;'Progetto del paramento slu'!$G$58,ABS(K1752)*'Progetto del paramento slu'!$G$54,'Progetto del paramento slu'!$G$53)*IF(K1752&lt;0,-1,1)</f>
        <v>0</v>
      </c>
      <c r="R1752" s="553">
        <f>'Foglio deposito bis'!$F$79*IF(ABS(L1752)&lt;'Progetto del paramento slu'!$G$58,ABS(L1752)*'Progetto del paramento slu'!$G$54,'Progetto del paramento slu'!$G$53)*IF(L1752&lt;0,-1,1)</f>
        <v>153664.85805602249</v>
      </c>
      <c r="S1752" s="553">
        <f>'Foglio deposito bis'!$F$80*IF(ABS(M1752)&lt;'Progetto del paramento slu'!$G$58,ABS(M1752)*'Progetto del paramento slu'!$G$54,'Progetto del paramento slu'!$G$53)*IF(M1752&lt;0,-1,1)</f>
        <v>0</v>
      </c>
      <c r="T1752" s="553">
        <f>'Foglio deposito bis'!$F$81*IF(ABS(N1752)&lt;'Progetto del paramento slu'!$G$58,ABS(N1752)*'Progetto del paramento slu'!$G$54,'Progetto del paramento slu'!$G$53)*IF(N1752&lt;0,-1,1)</f>
        <v>398299.31208121032</v>
      </c>
      <c r="U1752" s="553">
        <f>'Foglio deposito bis'!$F$82*IF(ABS(O1752)&lt;'Progetto del paramento slu'!$G$58,ABS(O1752)*'Progetto del paramento slu'!$G$54,'Progetto del paramento slu'!$G$53)*IF(O1752&lt;0,-1,1)</f>
        <v>892485.49558937876</v>
      </c>
      <c r="V1752" s="479">
        <f t="shared" si="132"/>
        <v>1412976.3763909726</v>
      </c>
      <c r="W1752" s="559"/>
      <c r="X1752" s="559"/>
    </row>
    <row r="1753" spans="1:24" x14ac:dyDescent="0.25">
      <c r="A1753" s="553">
        <f t="shared" si="131"/>
        <v>1410115.1682695509</v>
      </c>
      <c r="B1753" s="3">
        <f t="shared" si="133"/>
        <v>0.6</v>
      </c>
      <c r="C1753" s="553">
        <f>'Foglio deposito bis'!$E$160/sezione!$B$247*B1753</f>
        <v>2.4357807458103466</v>
      </c>
      <c r="D1753" s="611">
        <f>-'Progetto del paramento slu'!$G$47*'Progetto del paramento slu'!$G$41*IF(DATI!$G$218="dx",DATI!$E$61,DATI!$E$64*DATI!$E$63)*1000*C1753^2*sezione!$AD$5*(1-sezione!$AD$6)</f>
        <v>-48840.683768621813</v>
      </c>
      <c r="E1753" s="553">
        <f>-'Foglio deposito bis'!$F$78*(C1753-sezione!$AL$34)*IF(ABS(K1753)&lt;'Progetto del paramento slu'!$G$58,ABS(K1753)*'Progetto del paramento slu'!$G$54,'Progetto del paramento slu'!$G$53)</f>
        <v>0</v>
      </c>
      <c r="F1753" s="553">
        <f>-'Foglio deposito bis'!$F$79*(C1753-sezione!$AM$34)*IF(ABS(L1753)&lt;'Progetto del paramento slu'!$G$58,ABS(L1753)*'Progetto del paramento slu'!$G$54,'Progetto del paramento slu'!$G$53)</f>
        <v>22675434.805842832</v>
      </c>
      <c r="G1753" s="553">
        <f>-'Foglio deposito bis'!$F$80*(C1753-sezione!$AN$34)*IF(ABS(M1753)&lt;'Progetto del paramento slu'!$G$58,ABS(M1753)*'Progetto del paramento slu'!$G$54,'Progetto del paramento slu'!$G$53)</f>
        <v>0</v>
      </c>
      <c r="H1753" s="553">
        <f>-'Foglio deposito bis'!$F$81*(C1753-sezione!$AO$34)*IF(ABS(N1753)&lt;'Progetto del paramento slu'!$G$58,ABS(N1753)*'Progetto del paramento slu'!$G$54,'Progetto del paramento slu'!$G$53)</f>
        <v>134451596.31217459</v>
      </c>
      <c r="I1753" s="479">
        <f>-'Foglio deposito bis'!$F$82*(C1753-sezione!$AP$34)*IF(ABS(O1753)&lt;'Progetto del paramento slu'!$G$58,ABS(O1753)*'Progetto del paramento slu'!$G$54,'Progetto del paramento slu'!$G$53)</f>
        <v>229878572.97484019</v>
      </c>
      <c r="J1753" s="479">
        <f t="shared" si="129"/>
        <v>386956763.40908897</v>
      </c>
      <c r="K1753" s="558">
        <f>'Progetto del paramento slu'!$G$60*(sezione!$AL$34-C1753)/C1753</f>
        <v>5.3976437581997626E-2</v>
      </c>
      <c r="L1753" s="558">
        <f>'Progetto del paramento slu'!$G$60*(sezione!$AM$34-C1753)/C1753</f>
        <v>0.21203664093249108</v>
      </c>
      <c r="M1753" s="559">
        <f>'Progetto del paramento slu'!$G$60*(sezione!$AN$34-C1753)/C1753</f>
        <v>0.37009684428298456</v>
      </c>
      <c r="N1753" s="559">
        <f>'Progetto del paramento slu'!$G$60*(sezione!$AO$34-C1753)/C1753</f>
        <v>0.48504971944697972</v>
      </c>
      <c r="O1753" s="559">
        <f>'Progetto del paramento slu'!$G$60*(sezione!$AP$34-C1753)/C1753</f>
        <v>0.37010689575133543</v>
      </c>
      <c r="P1753" s="553">
        <f>-'Progetto del paramento slu'!$G$47*'Progetto del paramento slu'!$G$41*IF(DATI!$G$218="dx",DATI!$E$61,DATI!$E$64*DATI!$E$63)*1000*C1753*sezione!$AD$5</f>
        <v>-34334.497457060606</v>
      </c>
      <c r="Q1753" s="553">
        <f>'Foglio deposito bis'!$F$78*IF(ABS(K1753)&lt;'Progetto del paramento slu'!$G$58,ABS(K1753)*'Progetto del paramento slu'!$G$54,'Progetto del paramento slu'!$G$53)*IF(K1753&lt;0,-1,1)</f>
        <v>0</v>
      </c>
      <c r="R1753" s="553">
        <f>'Foglio deposito bis'!$F$79*IF(ABS(L1753)&lt;'Progetto del paramento slu'!$G$58,ABS(L1753)*'Progetto del paramento slu'!$G$54,'Progetto del paramento slu'!$G$53)*IF(L1753&lt;0,-1,1)</f>
        <v>153664.85805602249</v>
      </c>
      <c r="S1753" s="553">
        <f>'Foglio deposito bis'!$F$80*IF(ABS(M1753)&lt;'Progetto del paramento slu'!$G$58,ABS(M1753)*'Progetto del paramento slu'!$G$54,'Progetto del paramento slu'!$G$53)*IF(M1753&lt;0,-1,1)</f>
        <v>0</v>
      </c>
      <c r="T1753" s="553">
        <f>'Foglio deposito bis'!$F$81*IF(ABS(N1753)&lt;'Progetto del paramento slu'!$G$58,ABS(N1753)*'Progetto del paramento slu'!$G$54,'Progetto del paramento slu'!$G$53)*IF(N1753&lt;0,-1,1)</f>
        <v>398299.31208121032</v>
      </c>
      <c r="U1753" s="553">
        <f>'Foglio deposito bis'!$F$82*IF(ABS(O1753)&lt;'Progetto del paramento slu'!$G$58,ABS(O1753)*'Progetto del paramento slu'!$G$54,'Progetto del paramento slu'!$G$53)*IF(O1753&lt;0,-1,1)</f>
        <v>892485.49558937876</v>
      </c>
      <c r="V1753" s="479">
        <f t="shared" si="132"/>
        <v>1410115.1682695509</v>
      </c>
      <c r="W1753" s="559"/>
      <c r="X1753" s="559"/>
    </row>
    <row r="1754" spans="1:24" x14ac:dyDescent="0.25">
      <c r="A1754" s="553">
        <f t="shared" si="131"/>
        <v>1407253.9601481291</v>
      </c>
      <c r="B1754" s="3">
        <f t="shared" si="133"/>
        <v>0.65</v>
      </c>
      <c r="C1754" s="553">
        <f>'Foglio deposito bis'!$E$160/sezione!$B$247*B1754</f>
        <v>2.6387624746278759</v>
      </c>
      <c r="D1754" s="611">
        <f>-'Progetto del paramento slu'!$G$47*'Progetto del paramento slu'!$G$41*IF(DATI!$G$218="dx",DATI!$E$61,DATI!$E$64*DATI!$E$63)*1000*C1754^2*sezione!$AD$5*(1-sezione!$AD$6)</f>
        <v>-57319.969145118666</v>
      </c>
      <c r="E1754" s="553">
        <f>-'Foglio deposito bis'!$F$78*(C1754-sezione!$AL$34)*IF(ABS(K1754)&lt;'Progetto del paramento slu'!$G$58,ABS(K1754)*'Progetto del paramento slu'!$G$54,'Progetto del paramento slu'!$G$53)</f>
        <v>0</v>
      </c>
      <c r="F1754" s="553">
        <f>-'Foglio deposito bis'!$F$79*(C1754-sezione!$AM$34)*IF(ABS(L1754)&lt;'Progetto del paramento slu'!$G$58,ABS(L1754)*'Progetto del paramento slu'!$G$54,'Progetto del paramento slu'!$G$53)</f>
        <v>22644243.647296123</v>
      </c>
      <c r="G1754" s="553">
        <f>-'Foglio deposito bis'!$F$80*(C1754-sezione!$AN$34)*IF(ABS(M1754)&lt;'Progetto del paramento slu'!$G$58,ABS(M1754)*'Progetto del paramento slu'!$G$54,'Progetto del paramento slu'!$G$53)</f>
        <v>0</v>
      </c>
      <c r="H1754" s="553">
        <f>-'Foglio deposito bis'!$F$81*(C1754-sezione!$AO$34)*IF(ABS(N1754)&lt;'Progetto del paramento slu'!$G$58,ABS(N1754)*'Progetto del paramento slu'!$G$54,'Progetto del paramento slu'!$G$53)</f>
        <v>134370748.82922152</v>
      </c>
      <c r="I1754" s="479">
        <f>-'Foglio deposito bis'!$F$82*(C1754-sezione!$AP$34)*IF(ABS(O1754)&lt;'Progetto del paramento slu'!$G$58,ABS(O1754)*'Progetto del paramento slu'!$G$54,'Progetto del paramento slu'!$G$53)</f>
        <v>229697414.72600091</v>
      </c>
      <c r="J1754" s="479">
        <f t="shared" si="129"/>
        <v>386655087.2333734</v>
      </c>
      <c r="K1754" s="558">
        <f>'Progetto del paramento slu'!$G$60*(sezione!$AL$34-C1754)/C1754</f>
        <v>4.955517315261318E-2</v>
      </c>
      <c r="L1754" s="558">
        <f>'Progetto del paramento slu'!$G$60*(sezione!$AM$34-C1754)/C1754</f>
        <v>0.19545689932229945</v>
      </c>
      <c r="M1754" s="559">
        <f>'Progetto del paramento slu'!$G$60*(sezione!$AN$34-C1754)/C1754</f>
        <v>0.3413586254919857</v>
      </c>
      <c r="N1754" s="559">
        <f>'Progetto del paramento slu'!$G$60*(sezione!$AO$34-C1754)/C1754</f>
        <v>0.44746897179721207</v>
      </c>
      <c r="O1754" s="559">
        <f>'Progetto del paramento slu'!$G$60*(sezione!$AP$34-C1754)/C1754</f>
        <v>0.34136790377046344</v>
      </c>
      <c r="P1754" s="553">
        <f>-'Progetto del paramento slu'!$G$47*'Progetto del paramento slu'!$G$41*IF(DATI!$G$218="dx",DATI!$E$61,DATI!$E$64*DATI!$E$63)*1000*C1754*sezione!$AD$5</f>
        <v>-37195.705578482331</v>
      </c>
      <c r="Q1754" s="553">
        <f>'Foglio deposito bis'!$F$78*IF(ABS(K1754)&lt;'Progetto del paramento slu'!$G$58,ABS(K1754)*'Progetto del paramento slu'!$G$54,'Progetto del paramento slu'!$G$53)*IF(K1754&lt;0,-1,1)</f>
        <v>0</v>
      </c>
      <c r="R1754" s="553">
        <f>'Foglio deposito bis'!$F$79*IF(ABS(L1754)&lt;'Progetto del paramento slu'!$G$58,ABS(L1754)*'Progetto del paramento slu'!$G$54,'Progetto del paramento slu'!$G$53)*IF(L1754&lt;0,-1,1)</f>
        <v>153664.85805602249</v>
      </c>
      <c r="S1754" s="553">
        <f>'Foglio deposito bis'!$F$80*IF(ABS(M1754)&lt;'Progetto del paramento slu'!$G$58,ABS(M1754)*'Progetto del paramento slu'!$G$54,'Progetto del paramento slu'!$G$53)*IF(M1754&lt;0,-1,1)</f>
        <v>0</v>
      </c>
      <c r="T1754" s="553">
        <f>'Foglio deposito bis'!$F$81*IF(ABS(N1754)&lt;'Progetto del paramento slu'!$G$58,ABS(N1754)*'Progetto del paramento slu'!$G$54,'Progetto del paramento slu'!$G$53)*IF(N1754&lt;0,-1,1)</f>
        <v>398299.31208121032</v>
      </c>
      <c r="U1754" s="553">
        <f>'Foglio deposito bis'!$F$82*IF(ABS(O1754)&lt;'Progetto del paramento slu'!$G$58,ABS(O1754)*'Progetto del paramento slu'!$G$54,'Progetto del paramento slu'!$G$53)*IF(O1754&lt;0,-1,1)</f>
        <v>892485.49558937876</v>
      </c>
      <c r="V1754" s="479">
        <f t="shared" si="132"/>
        <v>1407253.9601481291</v>
      </c>
      <c r="W1754" s="559"/>
      <c r="X1754" s="559"/>
    </row>
    <row r="1755" spans="1:24" x14ac:dyDescent="0.25">
      <c r="A1755" s="553">
        <f t="shared" si="131"/>
        <v>1404392.7520267074</v>
      </c>
      <c r="B1755" s="3">
        <f t="shared" si="133"/>
        <v>0.70000000000000007</v>
      </c>
      <c r="C1755" s="553">
        <f>'Foglio deposito bis'!$E$160/sezione!$B$247*B1755</f>
        <v>2.8417442034454048</v>
      </c>
      <c r="D1755" s="611">
        <f>-'Progetto del paramento slu'!$G$47*'Progetto del paramento slu'!$G$41*IF(DATI!$G$218="dx",DATI!$E$61,DATI!$E$64*DATI!$E$63)*1000*C1755^2*sezione!$AD$5*(1-sezione!$AD$6)</f>
        <v>-66477.597351735254</v>
      </c>
      <c r="E1755" s="553">
        <f>-'Foglio deposito bis'!$F$78*(C1755-sezione!$AL$34)*IF(ABS(K1755)&lt;'Progetto del paramento slu'!$G$58,ABS(K1755)*'Progetto del paramento slu'!$G$54,'Progetto del paramento slu'!$G$53)</f>
        <v>0</v>
      </c>
      <c r="F1755" s="553">
        <f>-'Foglio deposito bis'!$F$79*(C1755-sezione!$AM$34)*IF(ABS(L1755)&lt;'Progetto del paramento slu'!$G$58,ABS(L1755)*'Progetto del paramento slu'!$G$54,'Progetto del paramento slu'!$G$53)</f>
        <v>22613052.488749411</v>
      </c>
      <c r="G1755" s="553">
        <f>-'Foglio deposito bis'!$F$80*(C1755-sezione!$AN$34)*IF(ABS(M1755)&lt;'Progetto del paramento slu'!$G$58,ABS(M1755)*'Progetto del paramento slu'!$G$54,'Progetto del paramento slu'!$G$53)</f>
        <v>0</v>
      </c>
      <c r="H1755" s="553">
        <f>-'Foglio deposito bis'!$F$81*(C1755-sezione!$AO$34)*IF(ABS(N1755)&lt;'Progetto del paramento slu'!$G$58,ABS(N1755)*'Progetto del paramento slu'!$G$54,'Progetto del paramento slu'!$G$53)</f>
        <v>134289901.34626845</v>
      </c>
      <c r="I1755" s="479">
        <f>-'Foglio deposito bis'!$F$82*(C1755-sezione!$AP$34)*IF(ABS(O1755)&lt;'Progetto del paramento slu'!$G$58,ABS(O1755)*'Progetto del paramento slu'!$G$54,'Progetto del paramento slu'!$G$53)</f>
        <v>229516256.47716162</v>
      </c>
      <c r="J1755" s="479">
        <f t="shared" si="129"/>
        <v>386352732.71482778</v>
      </c>
      <c r="K1755" s="558">
        <f>'Progetto del paramento slu'!$G$60*(sezione!$AL$34-C1755)/C1755</f>
        <v>4.576551792742653E-2</v>
      </c>
      <c r="L1755" s="558">
        <f>'Progetto del paramento slu'!$G$60*(sezione!$AM$34-C1755)/C1755</f>
        <v>0.18124569222784948</v>
      </c>
      <c r="M1755" s="559">
        <f>'Progetto del paramento slu'!$G$60*(sezione!$AN$34-C1755)/C1755</f>
        <v>0.31672586652827245</v>
      </c>
      <c r="N1755" s="559">
        <f>'Progetto del paramento slu'!$G$60*(sezione!$AO$34-C1755)/C1755</f>
        <v>0.41525690238312546</v>
      </c>
      <c r="O1755" s="559">
        <f>'Progetto del paramento slu'!$G$60*(sezione!$AP$34-C1755)/C1755</f>
        <v>0.31673448207257321</v>
      </c>
      <c r="P1755" s="553">
        <f>-'Progetto del paramento slu'!$G$47*'Progetto del paramento slu'!$G$41*IF(DATI!$G$218="dx",DATI!$E$61,DATI!$E$64*DATI!$E$63)*1000*C1755*sezione!$AD$5</f>
        <v>-40056.913699904049</v>
      </c>
      <c r="Q1755" s="553">
        <f>'Foglio deposito bis'!$F$78*IF(ABS(K1755)&lt;'Progetto del paramento slu'!$G$58,ABS(K1755)*'Progetto del paramento slu'!$G$54,'Progetto del paramento slu'!$G$53)*IF(K1755&lt;0,-1,1)</f>
        <v>0</v>
      </c>
      <c r="R1755" s="553">
        <f>'Foglio deposito bis'!$F$79*IF(ABS(L1755)&lt;'Progetto del paramento slu'!$G$58,ABS(L1755)*'Progetto del paramento slu'!$G$54,'Progetto del paramento slu'!$G$53)*IF(L1755&lt;0,-1,1)</f>
        <v>153664.85805602249</v>
      </c>
      <c r="S1755" s="553">
        <f>'Foglio deposito bis'!$F$80*IF(ABS(M1755)&lt;'Progetto del paramento slu'!$G$58,ABS(M1755)*'Progetto del paramento slu'!$G$54,'Progetto del paramento slu'!$G$53)*IF(M1755&lt;0,-1,1)</f>
        <v>0</v>
      </c>
      <c r="T1755" s="553">
        <f>'Foglio deposito bis'!$F$81*IF(ABS(N1755)&lt;'Progetto del paramento slu'!$G$58,ABS(N1755)*'Progetto del paramento slu'!$G$54,'Progetto del paramento slu'!$G$53)*IF(N1755&lt;0,-1,1)</f>
        <v>398299.31208121032</v>
      </c>
      <c r="U1755" s="553">
        <f>'Foglio deposito bis'!$F$82*IF(ABS(O1755)&lt;'Progetto del paramento slu'!$G$58,ABS(O1755)*'Progetto del paramento slu'!$G$54,'Progetto del paramento slu'!$G$53)*IF(O1755&lt;0,-1,1)</f>
        <v>892485.49558937876</v>
      </c>
      <c r="V1755" s="479">
        <f t="shared" si="132"/>
        <v>1404392.7520267074</v>
      </c>
      <c r="W1755" s="559"/>
      <c r="X1755" s="559"/>
    </row>
    <row r="1756" spans="1:24" x14ac:dyDescent="0.25">
      <c r="A1756" s="553">
        <f t="shared" si="131"/>
        <v>1401531.5439052857</v>
      </c>
      <c r="B1756" s="3">
        <f t="shared" si="133"/>
        <v>0.75000000000000011</v>
      </c>
      <c r="C1756" s="553">
        <f>'Foglio deposito bis'!$E$160/sezione!$B$247*B1756</f>
        <v>3.0447259322629341</v>
      </c>
      <c r="D1756" s="611">
        <f>-'Progetto del paramento slu'!$G$47*'Progetto del paramento slu'!$G$41*IF(DATI!$G$218="dx",DATI!$E$61,DATI!$E$64*DATI!$E$63)*1000*C1756^2*sezione!$AD$5*(1-sezione!$AD$6)</f>
        <v>-76313.568388471613</v>
      </c>
      <c r="E1756" s="553">
        <f>-'Foglio deposito bis'!$F$78*(C1756-sezione!$AL$34)*IF(ABS(K1756)&lt;'Progetto del paramento slu'!$G$58,ABS(K1756)*'Progetto del paramento slu'!$G$54,'Progetto del paramento slu'!$G$53)</f>
        <v>0</v>
      </c>
      <c r="F1756" s="553">
        <f>-'Foglio deposito bis'!$F$79*(C1756-sezione!$AM$34)*IF(ABS(L1756)&lt;'Progetto del paramento slu'!$G$58,ABS(L1756)*'Progetto del paramento slu'!$G$54,'Progetto del paramento slu'!$G$53)</f>
        <v>22581861.330202702</v>
      </c>
      <c r="G1756" s="553">
        <f>-'Foglio deposito bis'!$F$80*(C1756-sezione!$AN$34)*IF(ABS(M1756)&lt;'Progetto del paramento slu'!$G$58,ABS(M1756)*'Progetto del paramento slu'!$G$54,'Progetto del paramento slu'!$G$53)</f>
        <v>0</v>
      </c>
      <c r="H1756" s="553">
        <f>-'Foglio deposito bis'!$F$81*(C1756-sezione!$AO$34)*IF(ABS(N1756)&lt;'Progetto del paramento slu'!$G$58,ABS(N1756)*'Progetto del paramento slu'!$G$54,'Progetto del paramento slu'!$G$53)</f>
        <v>134209053.86331537</v>
      </c>
      <c r="I1756" s="479">
        <f>-'Foglio deposito bis'!$F$82*(C1756-sezione!$AP$34)*IF(ABS(O1756)&lt;'Progetto del paramento slu'!$G$58,ABS(O1756)*'Progetto del paramento slu'!$G$54,'Progetto del paramento slu'!$G$53)</f>
        <v>229335098.22832227</v>
      </c>
      <c r="J1756" s="479">
        <f t="shared" si="129"/>
        <v>386049699.85345185</v>
      </c>
      <c r="K1756" s="558">
        <f>'Progetto del paramento slu'!$G$60*(sezione!$AL$34-C1756)/C1756</f>
        <v>4.2481150065598085E-2</v>
      </c>
      <c r="L1756" s="558">
        <f>'Progetto del paramento slu'!$G$60*(sezione!$AM$34-C1756)/C1756</f>
        <v>0.16892931274599279</v>
      </c>
      <c r="M1756" s="559">
        <f>'Progetto del paramento slu'!$G$60*(sezione!$AN$34-C1756)/C1756</f>
        <v>0.29537747542638759</v>
      </c>
      <c r="N1756" s="559">
        <f>'Progetto del paramento slu'!$G$60*(sezione!$AO$34-C1756)/C1756</f>
        <v>0.38733977555758381</v>
      </c>
      <c r="O1756" s="559">
        <f>'Progetto del paramento slu'!$G$60*(sezione!$AP$34-C1756)/C1756</f>
        <v>0.29538551660106827</v>
      </c>
      <c r="P1756" s="553">
        <f>-'Progetto del paramento slu'!$G$47*'Progetto del paramento slu'!$G$41*IF(DATI!$G$218="dx",DATI!$E$61,DATI!$E$64*DATI!$E$63)*1000*C1756*sezione!$AD$5</f>
        <v>-42918.121821325774</v>
      </c>
      <c r="Q1756" s="553">
        <f>'Foglio deposito bis'!$F$78*IF(ABS(K1756)&lt;'Progetto del paramento slu'!$G$58,ABS(K1756)*'Progetto del paramento slu'!$G$54,'Progetto del paramento slu'!$G$53)*IF(K1756&lt;0,-1,1)</f>
        <v>0</v>
      </c>
      <c r="R1756" s="553">
        <f>'Foglio deposito bis'!$F$79*IF(ABS(L1756)&lt;'Progetto del paramento slu'!$G$58,ABS(L1756)*'Progetto del paramento slu'!$G$54,'Progetto del paramento slu'!$G$53)*IF(L1756&lt;0,-1,1)</f>
        <v>153664.85805602249</v>
      </c>
      <c r="S1756" s="553">
        <f>'Foglio deposito bis'!$F$80*IF(ABS(M1756)&lt;'Progetto del paramento slu'!$G$58,ABS(M1756)*'Progetto del paramento slu'!$G$54,'Progetto del paramento slu'!$G$53)*IF(M1756&lt;0,-1,1)</f>
        <v>0</v>
      </c>
      <c r="T1756" s="553">
        <f>'Foglio deposito bis'!$F$81*IF(ABS(N1756)&lt;'Progetto del paramento slu'!$G$58,ABS(N1756)*'Progetto del paramento slu'!$G$54,'Progetto del paramento slu'!$G$53)*IF(N1756&lt;0,-1,1)</f>
        <v>398299.31208121032</v>
      </c>
      <c r="U1756" s="553">
        <f>'Foglio deposito bis'!$F$82*IF(ABS(O1756)&lt;'Progetto del paramento slu'!$G$58,ABS(O1756)*'Progetto del paramento slu'!$G$54,'Progetto del paramento slu'!$G$53)*IF(O1756&lt;0,-1,1)</f>
        <v>892485.49558937876</v>
      </c>
      <c r="V1756" s="479">
        <f t="shared" si="132"/>
        <v>1401531.5439052857</v>
      </c>
      <c r="W1756" s="559"/>
      <c r="X1756" s="559"/>
    </row>
    <row r="1757" spans="1:24" x14ac:dyDescent="0.25">
      <c r="A1757" s="553">
        <f t="shared" si="131"/>
        <v>1398670.3357838641</v>
      </c>
      <c r="B1757" s="3">
        <f t="shared" si="133"/>
        <v>0.80000000000000016</v>
      </c>
      <c r="C1757" s="553">
        <f>'Foglio deposito bis'!$E$160/sezione!$B$247*B1757</f>
        <v>3.2477076610804629</v>
      </c>
      <c r="D1757" s="611">
        <f>-'Progetto del paramento slu'!$G$47*'Progetto del paramento slu'!$G$41*IF(DATI!$G$218="dx",DATI!$E$61,DATI!$E$64*DATI!$E$63)*1000*C1757^2*sezione!$AD$5*(1-sezione!$AD$6)</f>
        <v>-86827.882255327699</v>
      </c>
      <c r="E1757" s="553">
        <f>-'Foglio deposito bis'!$F$78*(C1757-sezione!$AL$34)*IF(ABS(K1757)&lt;'Progetto del paramento slu'!$G$58,ABS(K1757)*'Progetto del paramento slu'!$G$54,'Progetto del paramento slu'!$G$53)</f>
        <v>0</v>
      </c>
      <c r="F1757" s="553">
        <f>-'Foglio deposito bis'!$F$79*(C1757-sezione!$AM$34)*IF(ABS(L1757)&lt;'Progetto del paramento slu'!$G$58,ABS(L1757)*'Progetto del paramento slu'!$G$54,'Progetto del paramento slu'!$G$53)</f>
        <v>22550670.17165599</v>
      </c>
      <c r="G1757" s="553">
        <f>-'Foglio deposito bis'!$F$80*(C1757-sezione!$AN$34)*IF(ABS(M1757)&lt;'Progetto del paramento slu'!$G$58,ABS(M1757)*'Progetto del paramento slu'!$G$54,'Progetto del paramento slu'!$G$53)</f>
        <v>0</v>
      </c>
      <c r="H1757" s="553">
        <f>-'Foglio deposito bis'!$F$81*(C1757-sezione!$AO$34)*IF(ABS(N1757)&lt;'Progetto del paramento slu'!$G$58,ABS(N1757)*'Progetto del paramento slu'!$G$54,'Progetto del paramento slu'!$G$53)</f>
        <v>134128206.38036229</v>
      </c>
      <c r="I1757" s="479">
        <f>-'Foglio deposito bis'!$F$82*(C1757-sezione!$AP$34)*IF(ABS(O1757)&lt;'Progetto del paramento slu'!$G$58,ABS(O1757)*'Progetto del paramento slu'!$G$54,'Progetto del paramento slu'!$G$53)</f>
        <v>229153939.97948295</v>
      </c>
      <c r="J1757" s="479">
        <f t="shared" si="129"/>
        <v>385745988.64924586</v>
      </c>
      <c r="K1757" s="558">
        <f>'Progetto del paramento slu'!$G$60*(sezione!$AL$34-C1757)/C1757</f>
        <v>3.960732818649821E-2</v>
      </c>
      <c r="L1757" s="558">
        <f>'Progetto del paramento slu'!$G$60*(sezione!$AM$34-C1757)/C1757</f>
        <v>0.15815248069936827</v>
      </c>
      <c r="M1757" s="559">
        <f>'Progetto del paramento slu'!$G$60*(sezione!$AN$34-C1757)/C1757</f>
        <v>0.27669763321223828</v>
      </c>
      <c r="N1757" s="559">
        <f>'Progetto del paramento slu'!$G$60*(sezione!$AO$34-C1757)/C1757</f>
        <v>0.36291228958523475</v>
      </c>
      <c r="O1757" s="559">
        <f>'Progetto del paramento slu'!$G$60*(sezione!$AP$34-C1757)/C1757</f>
        <v>0.27670517181350146</v>
      </c>
      <c r="P1757" s="553">
        <f>-'Progetto del paramento slu'!$G$47*'Progetto del paramento slu'!$G$41*IF(DATI!$G$218="dx",DATI!$E$61,DATI!$E$64*DATI!$E$63)*1000*C1757*sezione!$AD$5</f>
        <v>-45779.329942747492</v>
      </c>
      <c r="Q1757" s="553">
        <f>'Foglio deposito bis'!$F$78*IF(ABS(K1757)&lt;'Progetto del paramento slu'!$G$58,ABS(K1757)*'Progetto del paramento slu'!$G$54,'Progetto del paramento slu'!$G$53)*IF(K1757&lt;0,-1,1)</f>
        <v>0</v>
      </c>
      <c r="R1757" s="553">
        <f>'Foglio deposito bis'!$F$79*IF(ABS(L1757)&lt;'Progetto del paramento slu'!$G$58,ABS(L1757)*'Progetto del paramento slu'!$G$54,'Progetto del paramento slu'!$G$53)*IF(L1757&lt;0,-1,1)</f>
        <v>153664.85805602249</v>
      </c>
      <c r="S1757" s="553">
        <f>'Foglio deposito bis'!$F$80*IF(ABS(M1757)&lt;'Progetto del paramento slu'!$G$58,ABS(M1757)*'Progetto del paramento slu'!$G$54,'Progetto del paramento slu'!$G$53)*IF(M1757&lt;0,-1,1)</f>
        <v>0</v>
      </c>
      <c r="T1757" s="553">
        <f>'Foglio deposito bis'!$F$81*IF(ABS(N1757)&lt;'Progetto del paramento slu'!$G$58,ABS(N1757)*'Progetto del paramento slu'!$G$54,'Progetto del paramento slu'!$G$53)*IF(N1757&lt;0,-1,1)</f>
        <v>398299.31208121032</v>
      </c>
      <c r="U1757" s="553">
        <f>'Foglio deposito bis'!$F$82*IF(ABS(O1757)&lt;'Progetto del paramento slu'!$G$58,ABS(O1757)*'Progetto del paramento slu'!$G$54,'Progetto del paramento slu'!$G$53)*IF(O1757&lt;0,-1,1)</f>
        <v>892485.49558937876</v>
      </c>
      <c r="V1757" s="479">
        <f t="shared" si="132"/>
        <v>1398670.3357838641</v>
      </c>
      <c r="W1757" s="559"/>
      <c r="X1757" s="559"/>
    </row>
    <row r="1758" spans="1:24" x14ac:dyDescent="0.25">
      <c r="A1758" s="553">
        <f t="shared" si="131"/>
        <v>1395809.1276624424</v>
      </c>
      <c r="B1758" s="3">
        <f t="shared" si="133"/>
        <v>0.8500000000000002</v>
      </c>
      <c r="C1758" s="553">
        <f>'Foglio deposito bis'!$E$160/sezione!$B$247*B1758</f>
        <v>3.4506893898979922</v>
      </c>
      <c r="D1758" s="611">
        <f>-'Progetto del paramento slu'!$G$47*'Progetto del paramento slu'!$G$41*IF(DATI!$G$218="dx",DATI!$E$61,DATI!$E$64*DATI!$E$63)*1000*C1758^2*sezione!$AD$5*(1-sezione!$AD$6)</f>
        <v>-98020.538952303556</v>
      </c>
      <c r="E1758" s="553">
        <f>-'Foglio deposito bis'!$F$78*(C1758-sezione!$AL$34)*IF(ABS(K1758)&lt;'Progetto del paramento slu'!$G$58,ABS(K1758)*'Progetto del paramento slu'!$G$54,'Progetto del paramento slu'!$G$53)</f>
        <v>0</v>
      </c>
      <c r="F1758" s="553">
        <f>-'Foglio deposito bis'!$F$79*(C1758-sezione!$AM$34)*IF(ABS(L1758)&lt;'Progetto del paramento slu'!$G$58,ABS(L1758)*'Progetto del paramento slu'!$G$54,'Progetto del paramento slu'!$G$53)</f>
        <v>22519479.013109274</v>
      </c>
      <c r="G1758" s="553">
        <f>-'Foglio deposito bis'!$F$80*(C1758-sezione!$AN$34)*IF(ABS(M1758)&lt;'Progetto del paramento slu'!$G$58,ABS(M1758)*'Progetto del paramento slu'!$G$54,'Progetto del paramento slu'!$G$53)</f>
        <v>0</v>
      </c>
      <c r="H1758" s="553">
        <f>-'Foglio deposito bis'!$F$81*(C1758-sezione!$AO$34)*IF(ABS(N1758)&lt;'Progetto del paramento slu'!$G$58,ABS(N1758)*'Progetto del paramento slu'!$G$54,'Progetto del paramento slu'!$G$53)</f>
        <v>134047358.8974092</v>
      </c>
      <c r="I1758" s="479">
        <f>-'Foglio deposito bis'!$F$82*(C1758-sezione!$AP$34)*IF(ABS(O1758)&lt;'Progetto del paramento slu'!$G$58,ABS(O1758)*'Progetto del paramento slu'!$G$54,'Progetto del paramento slu'!$G$53)</f>
        <v>228972781.73064366</v>
      </c>
      <c r="J1758" s="479">
        <f t="shared" si="129"/>
        <v>385441599.10220981</v>
      </c>
      <c r="K1758" s="558">
        <f>'Progetto del paramento slu'!$G$60*(sezione!$AL$34-C1758)/C1758</f>
        <v>3.7071602999057124E-2</v>
      </c>
      <c r="L1758" s="558">
        <f>'Progetto del paramento slu'!$G$60*(sezione!$AM$34-C1758)/C1758</f>
        <v>0.14864351124646422</v>
      </c>
      <c r="M1758" s="559">
        <f>'Progetto del paramento slu'!$G$60*(sezione!$AN$34-C1758)/C1758</f>
        <v>0.26021541949387134</v>
      </c>
      <c r="N1758" s="559">
        <f>'Progetto del paramento slu'!$G$60*(sezione!$AO$34-C1758)/C1758</f>
        <v>0.34135862549198559</v>
      </c>
      <c r="O1758" s="559">
        <f>'Progetto del paramento slu'!$G$60*(sezione!$AP$34-C1758)/C1758</f>
        <v>0.26022251464800139</v>
      </c>
      <c r="P1758" s="553">
        <f>-'Progetto del paramento slu'!$G$47*'Progetto del paramento slu'!$G$41*IF(DATI!$G$218="dx",DATI!$E$61,DATI!$E$64*DATI!$E$63)*1000*C1758*sezione!$AD$5</f>
        <v>-48640.53806416921</v>
      </c>
      <c r="Q1758" s="553">
        <f>'Foglio deposito bis'!$F$78*IF(ABS(K1758)&lt;'Progetto del paramento slu'!$G$58,ABS(K1758)*'Progetto del paramento slu'!$G$54,'Progetto del paramento slu'!$G$53)*IF(K1758&lt;0,-1,1)</f>
        <v>0</v>
      </c>
      <c r="R1758" s="553">
        <f>'Foglio deposito bis'!$F$79*IF(ABS(L1758)&lt;'Progetto del paramento slu'!$G$58,ABS(L1758)*'Progetto del paramento slu'!$G$54,'Progetto del paramento slu'!$G$53)*IF(L1758&lt;0,-1,1)</f>
        <v>153664.85805602249</v>
      </c>
      <c r="S1758" s="553">
        <f>'Foglio deposito bis'!$F$80*IF(ABS(M1758)&lt;'Progetto del paramento slu'!$G$58,ABS(M1758)*'Progetto del paramento slu'!$G$54,'Progetto del paramento slu'!$G$53)*IF(M1758&lt;0,-1,1)</f>
        <v>0</v>
      </c>
      <c r="T1758" s="553">
        <f>'Foglio deposito bis'!$F$81*IF(ABS(N1758)&lt;'Progetto del paramento slu'!$G$58,ABS(N1758)*'Progetto del paramento slu'!$G$54,'Progetto del paramento slu'!$G$53)*IF(N1758&lt;0,-1,1)</f>
        <v>398299.31208121032</v>
      </c>
      <c r="U1758" s="553">
        <f>'Foglio deposito bis'!$F$82*IF(ABS(O1758)&lt;'Progetto del paramento slu'!$G$58,ABS(O1758)*'Progetto del paramento slu'!$G$54,'Progetto del paramento slu'!$G$53)*IF(O1758&lt;0,-1,1)</f>
        <v>892485.49558937876</v>
      </c>
      <c r="V1758" s="479">
        <f t="shared" si="132"/>
        <v>1395809.1276624424</v>
      </c>
      <c r="W1758" s="559"/>
      <c r="X1758" s="559"/>
    </row>
    <row r="1759" spans="1:24" x14ac:dyDescent="0.25">
      <c r="A1759" s="553">
        <f t="shared" si="131"/>
        <v>1392947.9195410206</v>
      </c>
      <c r="B1759" s="3">
        <f t="shared" si="133"/>
        <v>0.90000000000000024</v>
      </c>
      <c r="C1759" s="553">
        <f>'Foglio deposito bis'!$E$160/sezione!$B$247*B1759</f>
        <v>3.6536711187155211</v>
      </c>
      <c r="D1759" s="611">
        <f>-'Progetto del paramento slu'!$G$47*'Progetto del paramento slu'!$G$41*IF(DATI!$G$218="dx",DATI!$E$61,DATI!$E$64*DATI!$E$63)*1000*C1759^2*sezione!$AD$5*(1-sezione!$AD$6)</f>
        <v>-109891.53847939915</v>
      </c>
      <c r="E1759" s="553">
        <f>-'Foglio deposito bis'!$F$78*(C1759-sezione!$AL$34)*IF(ABS(K1759)&lt;'Progetto del paramento slu'!$G$58,ABS(K1759)*'Progetto del paramento slu'!$G$54,'Progetto del paramento slu'!$G$53)</f>
        <v>0</v>
      </c>
      <c r="F1759" s="553">
        <f>-'Foglio deposito bis'!$F$79*(C1759-sezione!$AM$34)*IF(ABS(L1759)&lt;'Progetto del paramento slu'!$G$58,ABS(L1759)*'Progetto del paramento slu'!$G$54,'Progetto del paramento slu'!$G$53)</f>
        <v>22488287.854562566</v>
      </c>
      <c r="G1759" s="553">
        <f>-'Foglio deposito bis'!$F$80*(C1759-sezione!$AN$34)*IF(ABS(M1759)&lt;'Progetto del paramento slu'!$G$58,ABS(M1759)*'Progetto del paramento slu'!$G$54,'Progetto del paramento slu'!$G$53)</f>
        <v>0</v>
      </c>
      <c r="H1759" s="553">
        <f>-'Foglio deposito bis'!$F$81*(C1759-sezione!$AO$34)*IF(ABS(N1759)&lt;'Progetto del paramento slu'!$G$58,ABS(N1759)*'Progetto del paramento slu'!$G$54,'Progetto del paramento slu'!$G$53)</f>
        <v>133966511.41445613</v>
      </c>
      <c r="I1759" s="479">
        <f>-'Foglio deposito bis'!$F$82*(C1759-sezione!$AP$34)*IF(ABS(O1759)&lt;'Progetto del paramento slu'!$G$58,ABS(O1759)*'Progetto del paramento slu'!$G$54,'Progetto del paramento slu'!$G$53)</f>
        <v>228791623.48180437</v>
      </c>
      <c r="J1759" s="479">
        <f t="shared" si="129"/>
        <v>385136531.21234369</v>
      </c>
      <c r="K1759" s="558">
        <f>'Progetto del paramento slu'!$G$60*(sezione!$AL$34-C1759)/C1759</f>
        <v>3.4817625054665069E-2</v>
      </c>
      <c r="L1759" s="558">
        <f>'Progetto del paramento slu'!$G$60*(sezione!$AM$34-C1759)/C1759</f>
        <v>0.14019109395499402</v>
      </c>
      <c r="M1759" s="559">
        <f>'Progetto del paramento slu'!$G$60*(sezione!$AN$34-C1759)/C1759</f>
        <v>0.24556456285532294</v>
      </c>
      <c r="N1759" s="559">
        <f>'Progetto del paramento slu'!$G$60*(sezione!$AO$34-C1759)/C1759</f>
        <v>0.32219981296465311</v>
      </c>
      <c r="O1759" s="559">
        <f>'Progetto del paramento slu'!$G$60*(sezione!$AP$34-C1759)/C1759</f>
        <v>0.24557126383422356</v>
      </c>
      <c r="P1759" s="553">
        <f>-'Progetto del paramento slu'!$G$47*'Progetto del paramento slu'!$G$41*IF(DATI!$G$218="dx",DATI!$E$61,DATI!$E$64*DATI!$E$63)*1000*C1759*sezione!$AD$5</f>
        <v>-51501.746185590928</v>
      </c>
      <c r="Q1759" s="553">
        <f>'Foglio deposito bis'!$F$78*IF(ABS(K1759)&lt;'Progetto del paramento slu'!$G$58,ABS(K1759)*'Progetto del paramento slu'!$G$54,'Progetto del paramento slu'!$G$53)*IF(K1759&lt;0,-1,1)</f>
        <v>0</v>
      </c>
      <c r="R1759" s="553">
        <f>'Foglio deposito bis'!$F$79*IF(ABS(L1759)&lt;'Progetto del paramento slu'!$G$58,ABS(L1759)*'Progetto del paramento slu'!$G$54,'Progetto del paramento slu'!$G$53)*IF(L1759&lt;0,-1,1)</f>
        <v>153664.85805602249</v>
      </c>
      <c r="S1759" s="553">
        <f>'Foglio deposito bis'!$F$80*IF(ABS(M1759)&lt;'Progetto del paramento slu'!$G$58,ABS(M1759)*'Progetto del paramento slu'!$G$54,'Progetto del paramento slu'!$G$53)*IF(M1759&lt;0,-1,1)</f>
        <v>0</v>
      </c>
      <c r="T1759" s="553">
        <f>'Foglio deposito bis'!$F$81*IF(ABS(N1759)&lt;'Progetto del paramento slu'!$G$58,ABS(N1759)*'Progetto del paramento slu'!$G$54,'Progetto del paramento slu'!$G$53)*IF(N1759&lt;0,-1,1)</f>
        <v>398299.31208121032</v>
      </c>
      <c r="U1759" s="553">
        <f>'Foglio deposito bis'!$F$82*IF(ABS(O1759)&lt;'Progetto del paramento slu'!$G$58,ABS(O1759)*'Progetto del paramento slu'!$G$54,'Progetto del paramento slu'!$G$53)*IF(O1759&lt;0,-1,1)</f>
        <v>892485.49558937876</v>
      </c>
      <c r="V1759" s="479">
        <f t="shared" si="132"/>
        <v>1392947.9195410206</v>
      </c>
      <c r="W1759" s="559"/>
      <c r="X1759" s="559"/>
    </row>
    <row r="1760" spans="1:24" x14ac:dyDescent="0.25">
      <c r="A1760" s="553">
        <f t="shared" si="131"/>
        <v>1390086.7114195989</v>
      </c>
      <c r="B1760" s="3">
        <f t="shared" si="133"/>
        <v>0.95000000000000029</v>
      </c>
      <c r="C1760" s="553">
        <f>'Foglio deposito bis'!$E$160/sezione!$B$247*B1760</f>
        <v>3.8566528475330504</v>
      </c>
      <c r="D1760" s="611">
        <f>-'Progetto del paramento slu'!$G$47*'Progetto del paramento slu'!$G$41*IF(DATI!$G$218="dx",DATI!$E$61,DATI!$E$64*DATI!$E$63)*1000*C1760^2*sezione!$AD$5*(1-sezione!$AD$6)</f>
        <v>-122440.88083661449</v>
      </c>
      <c r="E1760" s="553">
        <f>-'Foglio deposito bis'!$F$78*(C1760-sezione!$AL$34)*IF(ABS(K1760)&lt;'Progetto del paramento slu'!$G$58,ABS(K1760)*'Progetto del paramento slu'!$G$54,'Progetto del paramento slu'!$G$53)</f>
        <v>0</v>
      </c>
      <c r="F1760" s="553">
        <f>-'Foglio deposito bis'!$F$79*(C1760-sezione!$AM$34)*IF(ABS(L1760)&lt;'Progetto del paramento slu'!$G$58,ABS(L1760)*'Progetto del paramento slu'!$G$54,'Progetto del paramento slu'!$G$53)</f>
        <v>22457096.696015853</v>
      </c>
      <c r="G1760" s="553">
        <f>-'Foglio deposito bis'!$F$80*(C1760-sezione!$AN$34)*IF(ABS(M1760)&lt;'Progetto del paramento slu'!$G$58,ABS(M1760)*'Progetto del paramento slu'!$G$54,'Progetto del paramento slu'!$G$53)</f>
        <v>0</v>
      </c>
      <c r="H1760" s="553">
        <f>-'Foglio deposito bis'!$F$81*(C1760-sezione!$AO$34)*IF(ABS(N1760)&lt;'Progetto del paramento slu'!$G$58,ABS(N1760)*'Progetto del paramento slu'!$G$54,'Progetto del paramento slu'!$G$53)</f>
        <v>133885663.93150306</v>
      </c>
      <c r="I1760" s="479">
        <f>-'Foglio deposito bis'!$F$82*(C1760-sezione!$AP$34)*IF(ABS(O1760)&lt;'Progetto del paramento slu'!$G$58,ABS(O1760)*'Progetto del paramento slu'!$G$54,'Progetto del paramento slu'!$G$53)</f>
        <v>228610465.23296508</v>
      </c>
      <c r="J1760" s="479">
        <f t="shared" si="129"/>
        <v>384830784.9796474</v>
      </c>
      <c r="K1760" s="558">
        <f>'Progetto del paramento slu'!$G$60*(sezione!$AL$34-C1760)/C1760</f>
        <v>3.28009079465248E-2</v>
      </c>
      <c r="L1760" s="558">
        <f>'Progetto del paramento slu'!$G$60*(sezione!$AM$34-C1760)/C1760</f>
        <v>0.13262840479946802</v>
      </c>
      <c r="M1760" s="559">
        <f>'Progetto del paramento slu'!$G$60*(sezione!$AN$34-C1760)/C1760</f>
        <v>0.2324559016524112</v>
      </c>
      <c r="N1760" s="559">
        <f>'Progetto del paramento slu'!$G$60*(sezione!$AO$34-C1760)/C1760</f>
        <v>0.30505771754546079</v>
      </c>
      <c r="O1760" s="559">
        <f>'Progetto del paramento slu'!$G$60*(sezione!$AP$34-C1760)/C1760</f>
        <v>0.23246224994821177</v>
      </c>
      <c r="P1760" s="553">
        <f>-'Progetto del paramento slu'!$G$47*'Progetto del paramento slu'!$G$41*IF(DATI!$G$218="dx",DATI!$E$61,DATI!$E$64*DATI!$E$63)*1000*C1760*sezione!$AD$5</f>
        <v>-54362.954307012646</v>
      </c>
      <c r="Q1760" s="553">
        <f>'Foglio deposito bis'!$F$78*IF(ABS(K1760)&lt;'Progetto del paramento slu'!$G$58,ABS(K1760)*'Progetto del paramento slu'!$G$54,'Progetto del paramento slu'!$G$53)*IF(K1760&lt;0,-1,1)</f>
        <v>0</v>
      </c>
      <c r="R1760" s="553">
        <f>'Foglio deposito bis'!$F$79*IF(ABS(L1760)&lt;'Progetto del paramento slu'!$G$58,ABS(L1760)*'Progetto del paramento slu'!$G$54,'Progetto del paramento slu'!$G$53)*IF(L1760&lt;0,-1,1)</f>
        <v>153664.85805602249</v>
      </c>
      <c r="S1760" s="553">
        <f>'Foglio deposito bis'!$F$80*IF(ABS(M1760)&lt;'Progetto del paramento slu'!$G$58,ABS(M1760)*'Progetto del paramento slu'!$G$54,'Progetto del paramento slu'!$G$53)*IF(M1760&lt;0,-1,1)</f>
        <v>0</v>
      </c>
      <c r="T1760" s="553">
        <f>'Foglio deposito bis'!$F$81*IF(ABS(N1760)&lt;'Progetto del paramento slu'!$G$58,ABS(N1760)*'Progetto del paramento slu'!$G$54,'Progetto del paramento slu'!$G$53)*IF(N1760&lt;0,-1,1)</f>
        <v>398299.31208121032</v>
      </c>
      <c r="U1760" s="553">
        <f>'Foglio deposito bis'!$F$82*IF(ABS(O1760)&lt;'Progetto del paramento slu'!$G$58,ABS(O1760)*'Progetto del paramento slu'!$G$54,'Progetto del paramento slu'!$G$53)*IF(O1760&lt;0,-1,1)</f>
        <v>892485.49558937876</v>
      </c>
      <c r="V1760" s="479">
        <f t="shared" si="132"/>
        <v>1390086.7114195989</v>
      </c>
      <c r="W1760" s="559"/>
      <c r="X1760" s="559"/>
    </row>
    <row r="1761" spans="1:24" x14ac:dyDescent="0.25">
      <c r="A1761" s="553">
        <f t="shared" si="131"/>
        <v>1387225.5032981772</v>
      </c>
      <c r="B1761" s="3">
        <f t="shared" si="133"/>
        <v>1.0000000000000002</v>
      </c>
      <c r="C1761" s="553">
        <f>'Foglio deposito bis'!$E$160/sezione!$B$247*B1761</f>
        <v>4.0596345763505788</v>
      </c>
      <c r="D1761" s="611">
        <f>-'Progetto del paramento slu'!$G$47*'Progetto del paramento slu'!$G$41*IF(DATI!$G$218="dx",DATI!$E$61,DATI!$E$64*DATI!$E$63)*1000*C1761^2*sezione!$AD$5*(1-sezione!$AD$6)</f>
        <v>-135668.56602394956</v>
      </c>
      <c r="E1761" s="553">
        <f>-'Foglio deposito bis'!$F$78*(C1761-sezione!$AL$34)*IF(ABS(K1761)&lt;'Progetto del paramento slu'!$G$58,ABS(K1761)*'Progetto del paramento slu'!$G$54,'Progetto del paramento slu'!$G$53)</f>
        <v>0</v>
      </c>
      <c r="F1761" s="553">
        <f>-'Foglio deposito bis'!$F$79*(C1761-sezione!$AM$34)*IF(ABS(L1761)&lt;'Progetto del paramento slu'!$G$58,ABS(L1761)*'Progetto del paramento slu'!$G$54,'Progetto del paramento slu'!$G$53)</f>
        <v>22425905.537469137</v>
      </c>
      <c r="G1761" s="553">
        <f>-'Foglio deposito bis'!$F$80*(C1761-sezione!$AN$34)*IF(ABS(M1761)&lt;'Progetto del paramento slu'!$G$58,ABS(M1761)*'Progetto del paramento slu'!$G$54,'Progetto del paramento slu'!$G$53)</f>
        <v>0</v>
      </c>
      <c r="H1761" s="553">
        <f>-'Foglio deposito bis'!$F$81*(C1761-sezione!$AO$34)*IF(ABS(N1761)&lt;'Progetto del paramento slu'!$G$58,ABS(N1761)*'Progetto del paramento slu'!$G$54,'Progetto del paramento slu'!$G$53)</f>
        <v>133804816.44854999</v>
      </c>
      <c r="I1761" s="479">
        <f>-'Foglio deposito bis'!$F$82*(C1761-sezione!$AP$34)*IF(ABS(O1761)&lt;'Progetto del paramento slu'!$G$58,ABS(O1761)*'Progetto del paramento slu'!$G$54,'Progetto del paramento slu'!$G$53)</f>
        <v>228429306.98412573</v>
      </c>
      <c r="J1761" s="479">
        <f t="shared" si="129"/>
        <v>384524360.40412092</v>
      </c>
      <c r="K1761" s="558">
        <f>'Progetto del paramento slu'!$G$60*(sezione!$AL$34-C1761)/C1761</f>
        <v>3.0985862549198565E-2</v>
      </c>
      <c r="L1761" s="558">
        <f>'Progetto del paramento slu'!$G$60*(sezione!$AM$34-C1761)/C1761</f>
        <v>0.12582198455949462</v>
      </c>
      <c r="M1761" s="559">
        <f>'Progetto del paramento slu'!$G$60*(sezione!$AN$34-C1761)/C1761</f>
        <v>0.22065810656979068</v>
      </c>
      <c r="N1761" s="559">
        <f>'Progetto del paramento slu'!$G$60*(sezione!$AO$34-C1761)/C1761</f>
        <v>0.28962983166818784</v>
      </c>
      <c r="O1761" s="559">
        <f>'Progetto del paramento slu'!$G$60*(sezione!$AP$34-C1761)/C1761</f>
        <v>0.22066413745080121</v>
      </c>
      <c r="P1761" s="553">
        <f>-'Progetto del paramento slu'!$G$47*'Progetto del paramento slu'!$G$41*IF(DATI!$G$218="dx",DATI!$E$61,DATI!$E$64*DATI!$E$63)*1000*C1761*sezione!$AD$5</f>
        <v>-57224.162428434363</v>
      </c>
      <c r="Q1761" s="553">
        <f>'Foglio deposito bis'!$F$78*IF(ABS(K1761)&lt;'Progetto del paramento slu'!$G$58,ABS(K1761)*'Progetto del paramento slu'!$G$54,'Progetto del paramento slu'!$G$53)*IF(K1761&lt;0,-1,1)</f>
        <v>0</v>
      </c>
      <c r="R1761" s="553">
        <f>'Foglio deposito bis'!$F$79*IF(ABS(L1761)&lt;'Progetto del paramento slu'!$G$58,ABS(L1761)*'Progetto del paramento slu'!$G$54,'Progetto del paramento slu'!$G$53)*IF(L1761&lt;0,-1,1)</f>
        <v>153664.85805602249</v>
      </c>
      <c r="S1761" s="553">
        <f>'Foglio deposito bis'!$F$80*IF(ABS(M1761)&lt;'Progetto del paramento slu'!$G$58,ABS(M1761)*'Progetto del paramento slu'!$G$54,'Progetto del paramento slu'!$G$53)*IF(M1761&lt;0,-1,1)</f>
        <v>0</v>
      </c>
      <c r="T1761" s="553">
        <f>'Foglio deposito bis'!$F$81*IF(ABS(N1761)&lt;'Progetto del paramento slu'!$G$58,ABS(N1761)*'Progetto del paramento slu'!$G$54,'Progetto del paramento slu'!$G$53)*IF(N1761&lt;0,-1,1)</f>
        <v>398299.31208121032</v>
      </c>
      <c r="U1761" s="553">
        <f>'Foglio deposito bis'!$F$82*IF(ABS(O1761)&lt;'Progetto del paramento slu'!$G$58,ABS(O1761)*'Progetto del paramento slu'!$G$54,'Progetto del paramento slu'!$G$53)*IF(O1761&lt;0,-1,1)</f>
        <v>892485.49558937876</v>
      </c>
      <c r="V1761" s="479">
        <f t="shared" si="132"/>
        <v>1387225.5032981772</v>
      </c>
      <c r="W1761" s="559"/>
      <c r="X1761" s="559"/>
    </row>
    <row r="1762" spans="1:24" x14ac:dyDescent="0.25">
      <c r="A1762" s="553">
        <f t="shared" si="131"/>
        <v>1384364.2951767554</v>
      </c>
      <c r="B1762" s="3">
        <f t="shared" si="133"/>
        <v>1.0500000000000003</v>
      </c>
      <c r="C1762" s="553">
        <f>'Foglio deposito bis'!$E$160/sezione!$B$247*B1762</f>
        <v>4.2626163051681081</v>
      </c>
      <c r="D1762" s="611">
        <f>-'Progetto del paramento slu'!$G$47*'Progetto del paramento slu'!$G$41*IF(DATI!$G$218="dx",DATI!$E$61,DATI!$E$64*DATI!$E$63)*1000*C1762^2*sezione!$AD$5*(1-sezione!$AD$6)</f>
        <v>-149574.59404140437</v>
      </c>
      <c r="E1762" s="553">
        <f>-'Foglio deposito bis'!$F$78*(C1762-sezione!$AL$34)*IF(ABS(K1762)&lt;'Progetto del paramento slu'!$G$58,ABS(K1762)*'Progetto del paramento slu'!$G$54,'Progetto del paramento slu'!$G$53)</f>
        <v>0</v>
      </c>
      <c r="F1762" s="553">
        <f>-'Foglio deposito bis'!$F$79*(C1762-sezione!$AM$34)*IF(ABS(L1762)&lt;'Progetto del paramento slu'!$G$58,ABS(L1762)*'Progetto del paramento slu'!$G$54,'Progetto del paramento slu'!$G$53)</f>
        <v>22394714.378922429</v>
      </c>
      <c r="G1762" s="553">
        <f>-'Foglio deposito bis'!$F$80*(C1762-sezione!$AN$34)*IF(ABS(M1762)&lt;'Progetto del paramento slu'!$G$58,ABS(M1762)*'Progetto del paramento slu'!$G$54,'Progetto del paramento slu'!$G$53)</f>
        <v>0</v>
      </c>
      <c r="H1762" s="553">
        <f>-'Foglio deposito bis'!$F$81*(C1762-sezione!$AO$34)*IF(ABS(N1762)&lt;'Progetto del paramento slu'!$G$58,ABS(N1762)*'Progetto del paramento slu'!$G$54,'Progetto del paramento slu'!$G$53)</f>
        <v>133723968.96559691</v>
      </c>
      <c r="I1762" s="479">
        <f>-'Foglio deposito bis'!$F$82*(C1762-sezione!$AP$34)*IF(ABS(O1762)&lt;'Progetto del paramento slu'!$G$58,ABS(O1762)*'Progetto del paramento slu'!$G$54,'Progetto del paramento slu'!$G$53)</f>
        <v>228248148.73528644</v>
      </c>
      <c r="J1762" s="479">
        <f t="shared" si="129"/>
        <v>384217257.48576438</v>
      </c>
      <c r="K1762" s="558">
        <f>'Progetto del paramento slu'!$G$60*(sezione!$AL$34-C1762)/C1762</f>
        <v>2.9343678618284345E-2</v>
      </c>
      <c r="L1762" s="558">
        <f>'Progetto del paramento slu'!$G$60*(sezione!$AM$34-C1762)/C1762</f>
        <v>0.11966379481856627</v>
      </c>
      <c r="M1762" s="559">
        <f>'Progetto del paramento slu'!$G$60*(sezione!$AN$34-C1762)/C1762</f>
        <v>0.20998391101884822</v>
      </c>
      <c r="N1762" s="559">
        <f>'Progetto del paramento slu'!$G$60*(sezione!$AO$34-C1762)/C1762</f>
        <v>0.27567126825541693</v>
      </c>
      <c r="O1762" s="559">
        <f>'Progetto del paramento slu'!$G$60*(sezione!$AP$34-C1762)/C1762</f>
        <v>0.20998965471504874</v>
      </c>
      <c r="P1762" s="553">
        <f>-'Progetto del paramento slu'!$G$47*'Progetto del paramento slu'!$G$41*IF(DATI!$G$218="dx",DATI!$E$61,DATI!$E$64*DATI!$E$63)*1000*C1762*sezione!$AD$5</f>
        <v>-60085.370549856088</v>
      </c>
      <c r="Q1762" s="553">
        <f>'Foglio deposito bis'!$F$78*IF(ABS(K1762)&lt;'Progetto del paramento slu'!$G$58,ABS(K1762)*'Progetto del paramento slu'!$G$54,'Progetto del paramento slu'!$G$53)*IF(K1762&lt;0,-1,1)</f>
        <v>0</v>
      </c>
      <c r="R1762" s="553">
        <f>'Foglio deposito bis'!$F$79*IF(ABS(L1762)&lt;'Progetto del paramento slu'!$G$58,ABS(L1762)*'Progetto del paramento slu'!$G$54,'Progetto del paramento slu'!$G$53)*IF(L1762&lt;0,-1,1)</f>
        <v>153664.85805602249</v>
      </c>
      <c r="S1762" s="553">
        <f>'Foglio deposito bis'!$F$80*IF(ABS(M1762)&lt;'Progetto del paramento slu'!$G$58,ABS(M1762)*'Progetto del paramento slu'!$G$54,'Progetto del paramento slu'!$G$53)*IF(M1762&lt;0,-1,1)</f>
        <v>0</v>
      </c>
      <c r="T1762" s="553">
        <f>'Foglio deposito bis'!$F$81*IF(ABS(N1762)&lt;'Progetto del paramento slu'!$G$58,ABS(N1762)*'Progetto del paramento slu'!$G$54,'Progetto del paramento slu'!$G$53)*IF(N1762&lt;0,-1,1)</f>
        <v>398299.31208121032</v>
      </c>
      <c r="U1762" s="553">
        <f>'Foglio deposito bis'!$F$82*IF(ABS(O1762)&lt;'Progetto del paramento slu'!$G$58,ABS(O1762)*'Progetto del paramento slu'!$G$54,'Progetto del paramento slu'!$G$53)*IF(O1762&lt;0,-1,1)</f>
        <v>892485.49558937876</v>
      </c>
      <c r="V1762" s="479">
        <f t="shared" si="132"/>
        <v>1384364.2951767554</v>
      </c>
      <c r="W1762" s="559"/>
      <c r="X1762" s="559"/>
    </row>
    <row r="1763" spans="1:24" x14ac:dyDescent="0.25">
      <c r="A1763" s="553">
        <f t="shared" si="131"/>
        <v>1381503.0870553339</v>
      </c>
      <c r="B1763" s="3">
        <f t="shared" si="133"/>
        <v>1.1000000000000003</v>
      </c>
      <c r="C1763" s="553">
        <f>'Foglio deposito bis'!$E$160/sezione!$B$247*B1763</f>
        <v>4.4655980339856374</v>
      </c>
      <c r="D1763" s="611">
        <f>-'Progetto del paramento slu'!$G$47*'Progetto del paramento slu'!$G$41*IF(DATI!$G$218="dx",DATI!$E$61,DATI!$E$64*DATI!$E$63)*1000*C1763^2*sezione!$AD$5*(1-sezione!$AD$6)</f>
        <v>-164158.96488897898</v>
      </c>
      <c r="E1763" s="553">
        <f>-'Foglio deposito bis'!$F$78*(C1763-sezione!$AL$34)*IF(ABS(K1763)&lt;'Progetto del paramento slu'!$G$58,ABS(K1763)*'Progetto del paramento slu'!$G$54,'Progetto del paramento slu'!$G$53)</f>
        <v>0</v>
      </c>
      <c r="F1763" s="553">
        <f>-'Foglio deposito bis'!$F$79*(C1763-sezione!$AM$34)*IF(ABS(L1763)&lt;'Progetto del paramento slu'!$G$58,ABS(L1763)*'Progetto del paramento slu'!$G$54,'Progetto del paramento slu'!$G$53)</f>
        <v>22363523.22037572</v>
      </c>
      <c r="G1763" s="553">
        <f>-'Foglio deposito bis'!$F$80*(C1763-sezione!$AN$34)*IF(ABS(M1763)&lt;'Progetto del paramento slu'!$G$58,ABS(M1763)*'Progetto del paramento slu'!$G$54,'Progetto del paramento slu'!$G$53)</f>
        <v>0</v>
      </c>
      <c r="H1763" s="553">
        <f>-'Foglio deposito bis'!$F$81*(C1763-sezione!$AO$34)*IF(ABS(N1763)&lt;'Progetto del paramento slu'!$G$58,ABS(N1763)*'Progetto del paramento slu'!$G$54,'Progetto del paramento slu'!$G$53)</f>
        <v>133643121.48264381</v>
      </c>
      <c r="I1763" s="479">
        <f>-'Foglio deposito bis'!$F$82*(C1763-sezione!$AP$34)*IF(ABS(O1763)&lt;'Progetto del paramento slu'!$G$58,ABS(O1763)*'Progetto del paramento slu'!$G$54,'Progetto del paramento slu'!$G$53)</f>
        <v>228066990.48644719</v>
      </c>
      <c r="J1763" s="479">
        <f t="shared" si="129"/>
        <v>383909476.22457778</v>
      </c>
      <c r="K1763" s="558">
        <f>'Progetto del paramento slu'!$G$60*(sezione!$AL$34-C1763)/C1763</f>
        <v>2.7850784135635055E-2</v>
      </c>
      <c r="L1763" s="558">
        <f>'Progetto del paramento slu'!$G$60*(sezione!$AM$34-C1763)/C1763</f>
        <v>0.11406544050863145</v>
      </c>
      <c r="M1763" s="559">
        <f>'Progetto del paramento slu'!$G$60*(sezione!$AN$34-C1763)/C1763</f>
        <v>0.20028009688162784</v>
      </c>
      <c r="N1763" s="559">
        <f>'Progetto del paramento slu'!$G$60*(sezione!$AO$34-C1763)/C1763</f>
        <v>0.26298166515289795</v>
      </c>
      <c r="O1763" s="559">
        <f>'Progetto del paramento slu'!$G$60*(sezione!$AP$34-C1763)/C1763</f>
        <v>0.20028557950072834</v>
      </c>
      <c r="P1763" s="553">
        <f>-'Progetto del paramento slu'!$G$47*'Progetto del paramento slu'!$G$41*IF(DATI!$G$218="dx",DATI!$E$61,DATI!$E$64*DATI!$E$63)*1000*C1763*sezione!$AD$5</f>
        <v>-62946.578671277806</v>
      </c>
      <c r="Q1763" s="553">
        <f>'Foglio deposito bis'!$F$78*IF(ABS(K1763)&lt;'Progetto del paramento slu'!$G$58,ABS(K1763)*'Progetto del paramento slu'!$G$54,'Progetto del paramento slu'!$G$53)*IF(K1763&lt;0,-1,1)</f>
        <v>0</v>
      </c>
      <c r="R1763" s="553">
        <f>'Foglio deposito bis'!$F$79*IF(ABS(L1763)&lt;'Progetto del paramento slu'!$G$58,ABS(L1763)*'Progetto del paramento slu'!$G$54,'Progetto del paramento slu'!$G$53)*IF(L1763&lt;0,-1,1)</f>
        <v>153664.85805602249</v>
      </c>
      <c r="S1763" s="553">
        <f>'Foglio deposito bis'!$F$80*IF(ABS(M1763)&lt;'Progetto del paramento slu'!$G$58,ABS(M1763)*'Progetto del paramento slu'!$G$54,'Progetto del paramento slu'!$G$53)*IF(M1763&lt;0,-1,1)</f>
        <v>0</v>
      </c>
      <c r="T1763" s="553">
        <f>'Foglio deposito bis'!$F$81*IF(ABS(N1763)&lt;'Progetto del paramento slu'!$G$58,ABS(N1763)*'Progetto del paramento slu'!$G$54,'Progetto del paramento slu'!$G$53)*IF(N1763&lt;0,-1,1)</f>
        <v>398299.31208121032</v>
      </c>
      <c r="U1763" s="553">
        <f>'Foglio deposito bis'!$F$82*IF(ABS(O1763)&lt;'Progetto del paramento slu'!$G$58,ABS(O1763)*'Progetto del paramento slu'!$G$54,'Progetto del paramento slu'!$G$53)*IF(O1763&lt;0,-1,1)</f>
        <v>892485.49558937876</v>
      </c>
      <c r="V1763" s="479">
        <f t="shared" si="132"/>
        <v>1381503.0870553339</v>
      </c>
      <c r="W1763" s="559"/>
      <c r="X1763" s="559"/>
    </row>
    <row r="1764" spans="1:24" x14ac:dyDescent="0.25">
      <c r="A1764" s="553">
        <f t="shared" si="131"/>
        <v>1378641.8789339121</v>
      </c>
      <c r="B1764" s="3">
        <f t="shared" si="133"/>
        <v>1.1500000000000004</v>
      </c>
      <c r="C1764" s="553">
        <f>'Foglio deposito bis'!$E$160/sezione!$B$247*B1764</f>
        <v>4.6685797628031658</v>
      </c>
      <c r="D1764" s="611">
        <f>-'Progetto del paramento slu'!$G$47*'Progetto del paramento slu'!$G$41*IF(DATI!$G$218="dx",DATI!$E$61,DATI!$E$64*DATI!$E$63)*1000*C1764^2*sezione!$AD$5*(1-sezione!$AD$6)</f>
        <v>-179421.6785666733</v>
      </c>
      <c r="E1764" s="553">
        <f>-'Foglio deposito bis'!$F$78*(C1764-sezione!$AL$34)*IF(ABS(K1764)&lt;'Progetto del paramento slu'!$G$58,ABS(K1764)*'Progetto del paramento slu'!$G$54,'Progetto del paramento slu'!$G$53)</f>
        <v>0</v>
      </c>
      <c r="F1764" s="553">
        <f>-'Foglio deposito bis'!$F$79*(C1764-sezione!$AM$34)*IF(ABS(L1764)&lt;'Progetto del paramento slu'!$G$58,ABS(L1764)*'Progetto del paramento slu'!$G$54,'Progetto del paramento slu'!$G$53)</f>
        <v>22332332.061829004</v>
      </c>
      <c r="G1764" s="553">
        <f>-'Foglio deposito bis'!$F$80*(C1764-sezione!$AN$34)*IF(ABS(M1764)&lt;'Progetto del paramento slu'!$G$58,ABS(M1764)*'Progetto del paramento slu'!$G$54,'Progetto del paramento slu'!$G$53)</f>
        <v>0</v>
      </c>
      <c r="H1764" s="553">
        <f>-'Foglio deposito bis'!$F$81*(C1764-sezione!$AO$34)*IF(ABS(N1764)&lt;'Progetto del paramento slu'!$G$58,ABS(N1764)*'Progetto del paramento slu'!$G$54,'Progetto del paramento slu'!$G$53)</f>
        <v>133562273.99969074</v>
      </c>
      <c r="I1764" s="479">
        <f>-'Foglio deposito bis'!$F$82*(C1764-sezione!$AP$34)*IF(ABS(O1764)&lt;'Progetto del paramento slu'!$G$58,ABS(O1764)*'Progetto del paramento slu'!$G$54,'Progetto del paramento slu'!$G$53)</f>
        <v>227885832.23760784</v>
      </c>
      <c r="J1764" s="479">
        <f t="shared" si="129"/>
        <v>383601016.62056088</v>
      </c>
      <c r="K1764" s="558">
        <f>'Progetto del paramento slu'!$G$60*(sezione!$AL$34-C1764)/C1764</f>
        <v>2.6487706564520493E-2</v>
      </c>
      <c r="L1764" s="558">
        <f>'Progetto del paramento slu'!$G$60*(sezione!$AM$34-C1764)/C1764</f>
        <v>0.10895389961695183</v>
      </c>
      <c r="M1764" s="559">
        <f>'Progetto del paramento slu'!$G$60*(sezione!$AN$34-C1764)/C1764</f>
        <v>0.19142009266938317</v>
      </c>
      <c r="N1764" s="559">
        <f>'Progetto del paramento slu'!$G$60*(sezione!$AO$34-C1764)/C1764</f>
        <v>0.25139550579842418</v>
      </c>
      <c r="O1764" s="559">
        <f>'Progetto del paramento slu'!$G$60*(sezione!$AP$34-C1764)/C1764</f>
        <v>0.19142533691374017</v>
      </c>
      <c r="P1764" s="553">
        <f>-'Progetto del paramento slu'!$G$47*'Progetto del paramento slu'!$G$41*IF(DATI!$G$218="dx",DATI!$E$61,DATI!$E$64*DATI!$E$63)*1000*C1764*sezione!$AD$5</f>
        <v>-65807.786792699524</v>
      </c>
      <c r="Q1764" s="553">
        <f>'Foglio deposito bis'!$F$78*IF(ABS(K1764)&lt;'Progetto del paramento slu'!$G$58,ABS(K1764)*'Progetto del paramento slu'!$G$54,'Progetto del paramento slu'!$G$53)*IF(K1764&lt;0,-1,1)</f>
        <v>0</v>
      </c>
      <c r="R1764" s="553">
        <f>'Foglio deposito bis'!$F$79*IF(ABS(L1764)&lt;'Progetto del paramento slu'!$G$58,ABS(L1764)*'Progetto del paramento slu'!$G$54,'Progetto del paramento slu'!$G$53)*IF(L1764&lt;0,-1,1)</f>
        <v>153664.85805602249</v>
      </c>
      <c r="S1764" s="553">
        <f>'Foglio deposito bis'!$F$80*IF(ABS(M1764)&lt;'Progetto del paramento slu'!$G$58,ABS(M1764)*'Progetto del paramento slu'!$G$54,'Progetto del paramento slu'!$G$53)*IF(M1764&lt;0,-1,1)</f>
        <v>0</v>
      </c>
      <c r="T1764" s="553">
        <f>'Foglio deposito bis'!$F$81*IF(ABS(N1764)&lt;'Progetto del paramento slu'!$G$58,ABS(N1764)*'Progetto del paramento slu'!$G$54,'Progetto del paramento slu'!$G$53)*IF(N1764&lt;0,-1,1)</f>
        <v>398299.31208121032</v>
      </c>
      <c r="U1764" s="553">
        <f>'Foglio deposito bis'!$F$82*IF(ABS(O1764)&lt;'Progetto del paramento slu'!$G$58,ABS(O1764)*'Progetto del paramento slu'!$G$54,'Progetto del paramento slu'!$G$53)*IF(O1764&lt;0,-1,1)</f>
        <v>892485.49558937876</v>
      </c>
      <c r="V1764" s="479">
        <f t="shared" si="132"/>
        <v>1378641.8789339121</v>
      </c>
      <c r="W1764" s="559"/>
      <c r="X1764" s="559"/>
    </row>
    <row r="1765" spans="1:24" x14ac:dyDescent="0.25">
      <c r="A1765" s="553">
        <f t="shared" si="131"/>
        <v>1375780.6708124904</v>
      </c>
      <c r="B1765" s="3">
        <f t="shared" si="133"/>
        <v>1.2000000000000004</v>
      </c>
      <c r="C1765" s="553">
        <f>'Foglio deposito bis'!$E$160/sezione!$B$247*B1765</f>
        <v>4.8715614916206951</v>
      </c>
      <c r="D1765" s="611">
        <f>-'Progetto del paramento slu'!$G$47*'Progetto del paramento slu'!$G$41*IF(DATI!$G$218="dx",DATI!$E$61,DATI!$E$64*DATI!$E$63)*1000*C1765^2*sezione!$AD$5*(1-sezione!$AD$6)</f>
        <v>-195362.73507448737</v>
      </c>
      <c r="E1765" s="553">
        <f>-'Foglio deposito bis'!$F$78*(C1765-sezione!$AL$34)*IF(ABS(K1765)&lt;'Progetto del paramento slu'!$G$58,ABS(K1765)*'Progetto del paramento slu'!$G$54,'Progetto del paramento slu'!$G$53)</f>
        <v>0</v>
      </c>
      <c r="F1765" s="553">
        <f>-'Foglio deposito bis'!$F$79*(C1765-sezione!$AM$34)*IF(ABS(L1765)&lt;'Progetto del paramento slu'!$G$58,ABS(L1765)*'Progetto del paramento slu'!$G$54,'Progetto del paramento slu'!$G$53)</f>
        <v>22301140.903282296</v>
      </c>
      <c r="G1765" s="553">
        <f>-'Foglio deposito bis'!$F$80*(C1765-sezione!$AN$34)*IF(ABS(M1765)&lt;'Progetto del paramento slu'!$G$58,ABS(M1765)*'Progetto del paramento slu'!$G$54,'Progetto del paramento slu'!$G$53)</f>
        <v>0</v>
      </c>
      <c r="H1765" s="553">
        <f>-'Foglio deposito bis'!$F$81*(C1765-sezione!$AO$34)*IF(ABS(N1765)&lt;'Progetto del paramento slu'!$G$58,ABS(N1765)*'Progetto del paramento slu'!$G$54,'Progetto del paramento slu'!$G$53)</f>
        <v>133481426.51673767</v>
      </c>
      <c r="I1765" s="479">
        <f>-'Foglio deposito bis'!$F$82*(C1765-sezione!$AP$34)*IF(ABS(O1765)&lt;'Progetto del paramento slu'!$G$58,ABS(O1765)*'Progetto del paramento slu'!$G$54,'Progetto del paramento slu'!$G$53)</f>
        <v>227704673.98876855</v>
      </c>
      <c r="J1765" s="479">
        <f t="shared" si="129"/>
        <v>383291878.67371404</v>
      </c>
      <c r="K1765" s="558">
        <f>'Progetto del paramento slu'!$G$60*(sezione!$AL$34-C1765)/C1765</f>
        <v>2.5238218790998797E-2</v>
      </c>
      <c r="L1765" s="558">
        <f>'Progetto del paramento slu'!$G$60*(sezione!$AM$34-C1765)/C1765</f>
        <v>0.1042683204662455</v>
      </c>
      <c r="M1765" s="559">
        <f>'Progetto del paramento slu'!$G$60*(sezione!$AN$34-C1765)/C1765</f>
        <v>0.1832984221414922</v>
      </c>
      <c r="N1765" s="559">
        <f>'Progetto del paramento slu'!$G$60*(sezione!$AO$34-C1765)/C1765</f>
        <v>0.24077485972348978</v>
      </c>
      <c r="O1765" s="559">
        <f>'Progetto del paramento slu'!$G$60*(sezione!$AP$34-C1765)/C1765</f>
        <v>0.18330344787566766</v>
      </c>
      <c r="P1765" s="553">
        <f>-'Progetto del paramento slu'!$G$47*'Progetto del paramento slu'!$G$41*IF(DATI!$G$218="dx",DATI!$E$61,DATI!$E$64*DATI!$E$63)*1000*C1765*sezione!$AD$5</f>
        <v>-68668.994914121227</v>
      </c>
      <c r="Q1765" s="553">
        <f>'Foglio deposito bis'!$F$78*IF(ABS(K1765)&lt;'Progetto del paramento slu'!$G$58,ABS(K1765)*'Progetto del paramento slu'!$G$54,'Progetto del paramento slu'!$G$53)*IF(K1765&lt;0,-1,1)</f>
        <v>0</v>
      </c>
      <c r="R1765" s="553">
        <f>'Foglio deposito bis'!$F$79*IF(ABS(L1765)&lt;'Progetto del paramento slu'!$G$58,ABS(L1765)*'Progetto del paramento slu'!$G$54,'Progetto del paramento slu'!$G$53)*IF(L1765&lt;0,-1,1)</f>
        <v>153664.85805602249</v>
      </c>
      <c r="S1765" s="553">
        <f>'Foglio deposito bis'!$F$80*IF(ABS(M1765)&lt;'Progetto del paramento slu'!$G$58,ABS(M1765)*'Progetto del paramento slu'!$G$54,'Progetto del paramento slu'!$G$53)*IF(M1765&lt;0,-1,1)</f>
        <v>0</v>
      </c>
      <c r="T1765" s="553">
        <f>'Foglio deposito bis'!$F$81*IF(ABS(N1765)&lt;'Progetto del paramento slu'!$G$58,ABS(N1765)*'Progetto del paramento slu'!$G$54,'Progetto del paramento slu'!$G$53)*IF(N1765&lt;0,-1,1)</f>
        <v>398299.31208121032</v>
      </c>
      <c r="U1765" s="553">
        <f>'Foglio deposito bis'!$F$82*IF(ABS(O1765)&lt;'Progetto del paramento slu'!$G$58,ABS(O1765)*'Progetto del paramento slu'!$G$54,'Progetto del paramento slu'!$G$53)*IF(O1765&lt;0,-1,1)</f>
        <v>892485.49558937876</v>
      </c>
      <c r="V1765" s="479">
        <f t="shared" si="132"/>
        <v>1375780.6708124904</v>
      </c>
      <c r="W1765" s="559"/>
      <c r="X1765" s="559"/>
    </row>
    <row r="1766" spans="1:24" x14ac:dyDescent="0.25">
      <c r="A1766" s="553">
        <f t="shared" si="131"/>
        <v>1372919.4626910686</v>
      </c>
      <c r="B1766" s="3">
        <f t="shared" si="133"/>
        <v>1.2500000000000004</v>
      </c>
      <c r="C1766" s="553">
        <f>'Foglio deposito bis'!$E$160/sezione!$B$247*B1766</f>
        <v>5.0745432204382244</v>
      </c>
      <c r="D1766" s="611">
        <f>-'Progetto del paramento slu'!$G$47*'Progetto del paramento slu'!$G$41*IF(DATI!$G$218="dx",DATI!$E$61,DATI!$E$64*DATI!$E$63)*1000*C1766^2*sezione!$AD$5*(1-sezione!$AD$6)</f>
        <v>-211982.13441242123</v>
      </c>
      <c r="E1766" s="553">
        <f>-'Foglio deposito bis'!$F$78*(C1766-sezione!$AL$34)*IF(ABS(K1766)&lt;'Progetto del paramento slu'!$G$58,ABS(K1766)*'Progetto del paramento slu'!$G$54,'Progetto del paramento slu'!$G$53)</f>
        <v>0</v>
      </c>
      <c r="F1766" s="553">
        <f>-'Foglio deposito bis'!$F$79*(C1766-sezione!$AM$34)*IF(ABS(L1766)&lt;'Progetto del paramento slu'!$G$58,ABS(L1766)*'Progetto del paramento slu'!$G$54,'Progetto del paramento slu'!$G$53)</f>
        <v>22269949.744735584</v>
      </c>
      <c r="G1766" s="553">
        <f>-'Foglio deposito bis'!$F$80*(C1766-sezione!$AN$34)*IF(ABS(M1766)&lt;'Progetto del paramento slu'!$G$58,ABS(M1766)*'Progetto del paramento slu'!$G$54,'Progetto del paramento slu'!$G$53)</f>
        <v>0</v>
      </c>
      <c r="H1766" s="553">
        <f>-'Foglio deposito bis'!$F$81*(C1766-sezione!$AO$34)*IF(ABS(N1766)&lt;'Progetto del paramento slu'!$G$58,ABS(N1766)*'Progetto del paramento slu'!$G$54,'Progetto del paramento slu'!$G$53)</f>
        <v>133400579.0337846</v>
      </c>
      <c r="I1766" s="479">
        <f>-'Foglio deposito bis'!$F$82*(C1766-sezione!$AP$34)*IF(ABS(O1766)&lt;'Progetto del paramento slu'!$G$58,ABS(O1766)*'Progetto del paramento slu'!$G$54,'Progetto del paramento slu'!$G$53)</f>
        <v>227523515.73992926</v>
      </c>
      <c r="J1766" s="479">
        <f t="shared" si="129"/>
        <v>382982062.38403702</v>
      </c>
      <c r="K1766" s="558">
        <f>'Progetto del paramento slu'!$G$60*(sezione!$AL$34-C1766)/C1766</f>
        <v>2.4088690039358849E-2</v>
      </c>
      <c r="L1766" s="558">
        <f>'Progetto del paramento slu'!$G$60*(sezione!$AM$34-C1766)/C1766</f>
        <v>9.9957587647595686E-2</v>
      </c>
      <c r="M1766" s="559">
        <f>'Progetto del paramento slu'!$G$60*(sezione!$AN$34-C1766)/C1766</f>
        <v>0.17582648525583253</v>
      </c>
      <c r="N1766" s="559">
        <f>'Progetto del paramento slu'!$G$60*(sezione!$AO$34-C1766)/C1766</f>
        <v>0.23100386533455022</v>
      </c>
      <c r="O1766" s="559">
        <f>'Progetto del paramento slu'!$G$60*(sezione!$AP$34-C1766)/C1766</f>
        <v>0.17583130996064095</v>
      </c>
      <c r="P1766" s="553">
        <f>-'Progetto del paramento slu'!$G$47*'Progetto del paramento slu'!$G$41*IF(DATI!$G$218="dx",DATI!$E$61,DATI!$E$64*DATI!$E$63)*1000*C1766*sezione!$AD$5</f>
        <v>-71530.20303554296</v>
      </c>
      <c r="Q1766" s="553">
        <f>'Foglio deposito bis'!$F$78*IF(ABS(K1766)&lt;'Progetto del paramento slu'!$G$58,ABS(K1766)*'Progetto del paramento slu'!$G$54,'Progetto del paramento slu'!$G$53)*IF(K1766&lt;0,-1,1)</f>
        <v>0</v>
      </c>
      <c r="R1766" s="553">
        <f>'Foglio deposito bis'!$F$79*IF(ABS(L1766)&lt;'Progetto del paramento slu'!$G$58,ABS(L1766)*'Progetto del paramento slu'!$G$54,'Progetto del paramento slu'!$G$53)*IF(L1766&lt;0,-1,1)</f>
        <v>153664.85805602249</v>
      </c>
      <c r="S1766" s="553">
        <f>'Foglio deposito bis'!$F$80*IF(ABS(M1766)&lt;'Progetto del paramento slu'!$G$58,ABS(M1766)*'Progetto del paramento slu'!$G$54,'Progetto del paramento slu'!$G$53)*IF(M1766&lt;0,-1,1)</f>
        <v>0</v>
      </c>
      <c r="T1766" s="553">
        <f>'Foglio deposito bis'!$F$81*IF(ABS(N1766)&lt;'Progetto del paramento slu'!$G$58,ABS(N1766)*'Progetto del paramento slu'!$G$54,'Progetto del paramento slu'!$G$53)*IF(N1766&lt;0,-1,1)</f>
        <v>398299.31208121032</v>
      </c>
      <c r="U1766" s="553">
        <f>'Foglio deposito bis'!$F$82*IF(ABS(O1766)&lt;'Progetto del paramento slu'!$G$58,ABS(O1766)*'Progetto del paramento slu'!$G$54,'Progetto del paramento slu'!$G$53)*IF(O1766&lt;0,-1,1)</f>
        <v>892485.49558937876</v>
      </c>
      <c r="V1766" s="479">
        <f t="shared" si="132"/>
        <v>1372919.4626910686</v>
      </c>
      <c r="W1766" s="559"/>
      <c r="X1766" s="559"/>
    </row>
    <row r="1767" spans="1:24" x14ac:dyDescent="0.25">
      <c r="A1767" s="553">
        <f t="shared" si="131"/>
        <v>1370058.2545696469</v>
      </c>
      <c r="B1767" s="3">
        <f t="shared" si="133"/>
        <v>1.3000000000000005</v>
      </c>
      <c r="C1767" s="553">
        <f>'Foglio deposito bis'!$E$160/sezione!$B$247*B1767</f>
        <v>5.2775249492557537</v>
      </c>
      <c r="D1767" s="611">
        <f>-'Progetto del paramento slu'!$G$47*'Progetto del paramento slu'!$G$41*IF(DATI!$G$218="dx",DATI!$E$61,DATI!$E$64*DATI!$E$63)*1000*C1767^2*sezione!$AD$5*(1-sezione!$AD$6)</f>
        <v>-229279.87658047481</v>
      </c>
      <c r="E1767" s="553">
        <f>-'Foglio deposito bis'!$F$78*(C1767-sezione!$AL$34)*IF(ABS(K1767)&lt;'Progetto del paramento slu'!$G$58,ABS(K1767)*'Progetto del paramento slu'!$G$54,'Progetto del paramento slu'!$G$53)</f>
        <v>0</v>
      </c>
      <c r="F1767" s="553">
        <f>-'Foglio deposito bis'!$F$79*(C1767-sezione!$AM$34)*IF(ABS(L1767)&lt;'Progetto del paramento slu'!$G$58,ABS(L1767)*'Progetto del paramento slu'!$G$54,'Progetto del paramento slu'!$G$53)</f>
        <v>22238758.586188871</v>
      </c>
      <c r="G1767" s="553">
        <f>-'Foglio deposito bis'!$F$80*(C1767-sezione!$AN$34)*IF(ABS(M1767)&lt;'Progetto del paramento slu'!$G$58,ABS(M1767)*'Progetto del paramento slu'!$G$54,'Progetto del paramento slu'!$G$53)</f>
        <v>0</v>
      </c>
      <c r="H1767" s="553">
        <f>-'Foglio deposito bis'!$F$81*(C1767-sezione!$AO$34)*IF(ABS(N1767)&lt;'Progetto del paramento slu'!$G$58,ABS(N1767)*'Progetto del paramento slu'!$G$54,'Progetto del paramento slu'!$G$53)</f>
        <v>133319731.55083153</v>
      </c>
      <c r="I1767" s="479">
        <f>-'Foglio deposito bis'!$F$82*(C1767-sezione!$AP$34)*IF(ABS(O1767)&lt;'Progetto del paramento slu'!$G$58,ABS(O1767)*'Progetto del paramento slu'!$G$54,'Progetto del paramento slu'!$G$53)</f>
        <v>227342357.49108994</v>
      </c>
      <c r="J1767" s="479">
        <f t="shared" si="129"/>
        <v>382671567.75152987</v>
      </c>
      <c r="K1767" s="558">
        <f>'Progetto del paramento slu'!$G$60*(sezione!$AL$34-C1767)/C1767</f>
        <v>2.3027586576306582E-2</v>
      </c>
      <c r="L1767" s="558">
        <f>'Progetto del paramento slu'!$G$60*(sezione!$AM$34-C1767)/C1767</f>
        <v>9.5978449661149684E-2</v>
      </c>
      <c r="M1767" s="559">
        <f>'Progetto del paramento slu'!$G$60*(sezione!$AN$34-C1767)/C1767</f>
        <v>0.16892931274599279</v>
      </c>
      <c r="N1767" s="559">
        <f>'Progetto del paramento slu'!$G$60*(sezione!$AO$34-C1767)/C1767</f>
        <v>0.22198448589860595</v>
      </c>
      <c r="O1767" s="559">
        <f>'Progetto del paramento slu'!$G$60*(sezione!$AP$34-C1767)/C1767</f>
        <v>0.16893395188523166</v>
      </c>
      <c r="P1767" s="553">
        <f>-'Progetto del paramento slu'!$G$47*'Progetto del paramento slu'!$G$41*IF(DATI!$G$218="dx",DATI!$E$61,DATI!$E$64*DATI!$E$63)*1000*C1767*sezione!$AD$5</f>
        <v>-74391.411156964678</v>
      </c>
      <c r="Q1767" s="553">
        <f>'Foglio deposito bis'!$F$78*IF(ABS(K1767)&lt;'Progetto del paramento slu'!$G$58,ABS(K1767)*'Progetto del paramento slu'!$G$54,'Progetto del paramento slu'!$G$53)*IF(K1767&lt;0,-1,1)</f>
        <v>0</v>
      </c>
      <c r="R1767" s="553">
        <f>'Foglio deposito bis'!$F$79*IF(ABS(L1767)&lt;'Progetto del paramento slu'!$G$58,ABS(L1767)*'Progetto del paramento slu'!$G$54,'Progetto del paramento slu'!$G$53)*IF(L1767&lt;0,-1,1)</f>
        <v>153664.85805602249</v>
      </c>
      <c r="S1767" s="553">
        <f>'Foglio deposito bis'!$F$80*IF(ABS(M1767)&lt;'Progetto del paramento slu'!$G$58,ABS(M1767)*'Progetto del paramento slu'!$G$54,'Progetto del paramento slu'!$G$53)*IF(M1767&lt;0,-1,1)</f>
        <v>0</v>
      </c>
      <c r="T1767" s="553">
        <f>'Foglio deposito bis'!$F$81*IF(ABS(N1767)&lt;'Progetto del paramento slu'!$G$58,ABS(N1767)*'Progetto del paramento slu'!$G$54,'Progetto del paramento slu'!$G$53)*IF(N1767&lt;0,-1,1)</f>
        <v>398299.31208121032</v>
      </c>
      <c r="U1767" s="553">
        <f>'Foglio deposito bis'!$F$82*IF(ABS(O1767)&lt;'Progetto del paramento slu'!$G$58,ABS(O1767)*'Progetto del paramento slu'!$G$54,'Progetto del paramento slu'!$G$53)*IF(O1767&lt;0,-1,1)</f>
        <v>892485.49558937876</v>
      </c>
      <c r="V1767" s="479">
        <f t="shared" si="132"/>
        <v>1370058.2545696469</v>
      </c>
      <c r="W1767" s="559"/>
      <c r="X1767" s="559"/>
    </row>
    <row r="1768" spans="1:24" x14ac:dyDescent="0.25">
      <c r="A1768" s="553">
        <f t="shared" si="131"/>
        <v>1367197.0464482252</v>
      </c>
      <c r="B1768" s="3">
        <f t="shared" si="133"/>
        <v>1.3500000000000005</v>
      </c>
      <c r="C1768" s="553">
        <f>'Foglio deposito bis'!$E$160/sezione!$B$247*B1768</f>
        <v>5.4805066780732821</v>
      </c>
      <c r="D1768" s="611">
        <f>-'Progetto del paramento slu'!$G$47*'Progetto del paramento slu'!$G$41*IF(DATI!$G$218="dx",DATI!$E$61,DATI!$E$64*DATI!$E$63)*1000*C1768^2*sezione!$AD$5*(1-sezione!$AD$6)</f>
        <v>-247255.96157864807</v>
      </c>
      <c r="E1768" s="553">
        <f>-'Foglio deposito bis'!$F$78*(C1768-sezione!$AL$34)*IF(ABS(K1768)&lt;'Progetto del paramento slu'!$G$58,ABS(K1768)*'Progetto del paramento slu'!$G$54,'Progetto del paramento slu'!$G$53)</f>
        <v>0</v>
      </c>
      <c r="F1768" s="553">
        <f>-'Foglio deposito bis'!$F$79*(C1768-sezione!$AM$34)*IF(ABS(L1768)&lt;'Progetto del paramento slu'!$G$58,ABS(L1768)*'Progetto del paramento slu'!$G$54,'Progetto del paramento slu'!$G$53)</f>
        <v>22207567.427642159</v>
      </c>
      <c r="G1768" s="553">
        <f>-'Foglio deposito bis'!$F$80*(C1768-sezione!$AN$34)*IF(ABS(M1768)&lt;'Progetto del paramento slu'!$G$58,ABS(M1768)*'Progetto del paramento slu'!$G$54,'Progetto del paramento slu'!$G$53)</f>
        <v>0</v>
      </c>
      <c r="H1768" s="553">
        <f>-'Foglio deposito bis'!$F$81*(C1768-sezione!$AO$34)*IF(ABS(N1768)&lt;'Progetto del paramento slu'!$G$58,ABS(N1768)*'Progetto del paramento slu'!$G$54,'Progetto del paramento slu'!$G$53)</f>
        <v>133238884.06787844</v>
      </c>
      <c r="I1768" s="479">
        <f>-'Foglio deposito bis'!$F$82*(C1768-sezione!$AP$34)*IF(ABS(O1768)&lt;'Progetto del paramento slu'!$G$58,ABS(O1768)*'Progetto del paramento slu'!$G$54,'Progetto del paramento slu'!$G$53)</f>
        <v>227161199.24225065</v>
      </c>
      <c r="J1768" s="479">
        <f t="shared" si="129"/>
        <v>382360394.77619261</v>
      </c>
      <c r="K1768" s="558">
        <f>'Progetto del paramento slu'!$G$60*(sezione!$AL$34-C1768)/C1768</f>
        <v>2.2045083369776713E-2</v>
      </c>
      <c r="L1768" s="558">
        <f>'Progetto del paramento slu'!$G$60*(sezione!$AM$34-C1768)/C1768</f>
        <v>9.2294062636662649E-2</v>
      </c>
      <c r="M1768" s="559">
        <f>'Progetto del paramento slu'!$G$60*(sezione!$AN$34-C1768)/C1768</f>
        <v>0.16254304190354862</v>
      </c>
      <c r="N1768" s="559">
        <f>'Progetto del paramento slu'!$G$60*(sezione!$AO$34-C1768)/C1768</f>
        <v>0.21363320864310206</v>
      </c>
      <c r="O1768" s="559">
        <f>'Progetto del paramento slu'!$G$60*(sezione!$AP$34-C1768)/C1768</f>
        <v>0.16254750922281569</v>
      </c>
      <c r="P1768" s="553">
        <f>-'Progetto del paramento slu'!$G$47*'Progetto del paramento slu'!$G$41*IF(DATI!$G$218="dx",DATI!$E$61,DATI!$E$64*DATI!$E$63)*1000*C1768*sezione!$AD$5</f>
        <v>-77252.619278386395</v>
      </c>
      <c r="Q1768" s="553">
        <f>'Foglio deposito bis'!$F$78*IF(ABS(K1768)&lt;'Progetto del paramento slu'!$G$58,ABS(K1768)*'Progetto del paramento slu'!$G$54,'Progetto del paramento slu'!$G$53)*IF(K1768&lt;0,-1,1)</f>
        <v>0</v>
      </c>
      <c r="R1768" s="553">
        <f>'Foglio deposito bis'!$F$79*IF(ABS(L1768)&lt;'Progetto del paramento slu'!$G$58,ABS(L1768)*'Progetto del paramento slu'!$G$54,'Progetto del paramento slu'!$G$53)*IF(L1768&lt;0,-1,1)</f>
        <v>153664.85805602249</v>
      </c>
      <c r="S1768" s="553">
        <f>'Foglio deposito bis'!$F$80*IF(ABS(M1768)&lt;'Progetto del paramento slu'!$G$58,ABS(M1768)*'Progetto del paramento slu'!$G$54,'Progetto del paramento slu'!$G$53)*IF(M1768&lt;0,-1,1)</f>
        <v>0</v>
      </c>
      <c r="T1768" s="553">
        <f>'Foglio deposito bis'!$F$81*IF(ABS(N1768)&lt;'Progetto del paramento slu'!$G$58,ABS(N1768)*'Progetto del paramento slu'!$G$54,'Progetto del paramento slu'!$G$53)*IF(N1768&lt;0,-1,1)</f>
        <v>398299.31208121032</v>
      </c>
      <c r="U1768" s="553">
        <f>'Foglio deposito bis'!$F$82*IF(ABS(O1768)&lt;'Progetto del paramento slu'!$G$58,ABS(O1768)*'Progetto del paramento slu'!$G$54,'Progetto del paramento slu'!$G$53)*IF(O1768&lt;0,-1,1)</f>
        <v>892485.49558937876</v>
      </c>
      <c r="V1768" s="479">
        <f t="shared" si="132"/>
        <v>1367197.0464482252</v>
      </c>
      <c r="W1768" s="559"/>
      <c r="X1768" s="559"/>
    </row>
    <row r="1769" spans="1:24" x14ac:dyDescent="0.25">
      <c r="A1769" s="553">
        <f t="shared" si="131"/>
        <v>1364335.8383268034</v>
      </c>
      <c r="B1769" s="3">
        <f t="shared" si="133"/>
        <v>1.4000000000000006</v>
      </c>
      <c r="C1769" s="553">
        <f>'Foglio deposito bis'!$E$160/sezione!$B$247*B1769</f>
        <v>5.6834884068908114</v>
      </c>
      <c r="D1769" s="611">
        <f>-'Progetto del paramento slu'!$G$47*'Progetto del paramento slu'!$G$41*IF(DATI!$G$218="dx",DATI!$E$61,DATI!$E$64*DATI!$E$63)*1000*C1769^2*sezione!$AD$5*(1-sezione!$AD$6)</f>
        <v>-265910.38940694119</v>
      </c>
      <c r="E1769" s="553">
        <f>-'Foglio deposito bis'!$F$78*(C1769-sezione!$AL$34)*IF(ABS(K1769)&lt;'Progetto del paramento slu'!$G$58,ABS(K1769)*'Progetto del paramento slu'!$G$54,'Progetto del paramento slu'!$G$53)</f>
        <v>0</v>
      </c>
      <c r="F1769" s="553">
        <f>-'Foglio deposito bis'!$F$79*(C1769-sezione!$AM$34)*IF(ABS(L1769)&lt;'Progetto del paramento slu'!$G$58,ABS(L1769)*'Progetto del paramento slu'!$G$54,'Progetto del paramento slu'!$G$53)</f>
        <v>22176376.269095451</v>
      </c>
      <c r="G1769" s="553">
        <f>-'Foglio deposito bis'!$F$80*(C1769-sezione!$AN$34)*IF(ABS(M1769)&lt;'Progetto del paramento slu'!$G$58,ABS(M1769)*'Progetto del paramento slu'!$G$54,'Progetto del paramento slu'!$G$53)</f>
        <v>0</v>
      </c>
      <c r="H1769" s="553">
        <f>-'Foglio deposito bis'!$F$81*(C1769-sezione!$AO$34)*IF(ABS(N1769)&lt;'Progetto del paramento slu'!$G$58,ABS(N1769)*'Progetto del paramento slu'!$G$54,'Progetto del paramento slu'!$G$53)</f>
        <v>133158036.58492535</v>
      </c>
      <c r="I1769" s="479">
        <f>-'Foglio deposito bis'!$F$82*(C1769-sezione!$AP$34)*IF(ABS(O1769)&lt;'Progetto del paramento slu'!$G$58,ABS(O1769)*'Progetto del paramento slu'!$G$54,'Progetto del paramento slu'!$G$53)</f>
        <v>226980040.99341136</v>
      </c>
      <c r="J1769" s="479">
        <f t="shared" si="129"/>
        <v>382048543.45802522</v>
      </c>
      <c r="K1769" s="558">
        <f>'Progetto del paramento slu'!$G$60*(sezione!$AL$34-C1769)/C1769</f>
        <v>2.1132758963713257E-2</v>
      </c>
      <c r="L1769" s="558">
        <f>'Progetto del paramento slu'!$G$60*(sezione!$AM$34-C1769)/C1769</f>
        <v>8.8872846113924708E-2</v>
      </c>
      <c r="M1769" s="559">
        <f>'Progetto del paramento slu'!$G$60*(sezione!$AN$34-C1769)/C1769</f>
        <v>0.15661293326413617</v>
      </c>
      <c r="N1769" s="559">
        <f>'Progetto del paramento slu'!$G$60*(sezione!$AO$34-C1769)/C1769</f>
        <v>0.20587845119156264</v>
      </c>
      <c r="O1769" s="559">
        <f>'Progetto del paramento slu'!$G$60*(sezione!$AP$34-C1769)/C1769</f>
        <v>0.15661724103628655</v>
      </c>
      <c r="P1769" s="553">
        <f>-'Progetto del paramento slu'!$G$47*'Progetto del paramento slu'!$G$41*IF(DATI!$G$218="dx",DATI!$E$61,DATI!$E$64*DATI!$E$63)*1000*C1769*sezione!$AD$5</f>
        <v>-80113.827399808113</v>
      </c>
      <c r="Q1769" s="553">
        <f>'Foglio deposito bis'!$F$78*IF(ABS(K1769)&lt;'Progetto del paramento slu'!$G$58,ABS(K1769)*'Progetto del paramento slu'!$G$54,'Progetto del paramento slu'!$G$53)*IF(K1769&lt;0,-1,1)</f>
        <v>0</v>
      </c>
      <c r="R1769" s="553">
        <f>'Foglio deposito bis'!$F$79*IF(ABS(L1769)&lt;'Progetto del paramento slu'!$G$58,ABS(L1769)*'Progetto del paramento slu'!$G$54,'Progetto del paramento slu'!$G$53)*IF(L1769&lt;0,-1,1)</f>
        <v>153664.85805602249</v>
      </c>
      <c r="S1769" s="553">
        <f>'Foglio deposito bis'!$F$80*IF(ABS(M1769)&lt;'Progetto del paramento slu'!$G$58,ABS(M1769)*'Progetto del paramento slu'!$G$54,'Progetto del paramento slu'!$G$53)*IF(M1769&lt;0,-1,1)</f>
        <v>0</v>
      </c>
      <c r="T1769" s="553">
        <f>'Foglio deposito bis'!$F$81*IF(ABS(N1769)&lt;'Progetto del paramento slu'!$G$58,ABS(N1769)*'Progetto del paramento slu'!$G$54,'Progetto del paramento slu'!$G$53)*IF(N1769&lt;0,-1,1)</f>
        <v>398299.31208121032</v>
      </c>
      <c r="U1769" s="553">
        <f>'Foglio deposito bis'!$F$82*IF(ABS(O1769)&lt;'Progetto del paramento slu'!$G$58,ABS(O1769)*'Progetto del paramento slu'!$G$54,'Progetto del paramento slu'!$G$53)*IF(O1769&lt;0,-1,1)</f>
        <v>892485.49558937876</v>
      </c>
      <c r="V1769" s="479">
        <f t="shared" si="132"/>
        <v>1364335.8383268034</v>
      </c>
      <c r="W1769" s="559"/>
      <c r="X1769" s="559"/>
    </row>
    <row r="1770" spans="1:24" x14ac:dyDescent="0.25">
      <c r="A1770" s="553">
        <f t="shared" si="131"/>
        <v>1361474.6302053817</v>
      </c>
      <c r="B1770" s="3">
        <f t="shared" si="133"/>
        <v>1.4500000000000006</v>
      </c>
      <c r="C1770" s="553">
        <f>'Foglio deposito bis'!$E$160/sezione!$B$247*B1770</f>
        <v>5.8864701357083407</v>
      </c>
      <c r="D1770" s="611">
        <f>-'Progetto del paramento slu'!$G$47*'Progetto del paramento slu'!$G$41*IF(DATI!$G$218="dx",DATI!$E$61,DATI!$E$64*DATI!$E$63)*1000*C1770^2*sezione!$AD$5*(1-sezione!$AD$6)</f>
        <v>-285243.16006535402</v>
      </c>
      <c r="E1770" s="553">
        <f>-'Foglio deposito bis'!$F$78*(C1770-sezione!$AL$34)*IF(ABS(K1770)&lt;'Progetto del paramento slu'!$G$58,ABS(K1770)*'Progetto del paramento slu'!$G$54,'Progetto del paramento slu'!$G$53)</f>
        <v>0</v>
      </c>
      <c r="F1770" s="553">
        <f>-'Foglio deposito bis'!$F$79*(C1770-sezione!$AM$34)*IF(ABS(L1770)&lt;'Progetto del paramento slu'!$G$58,ABS(L1770)*'Progetto del paramento slu'!$G$54,'Progetto del paramento slu'!$G$53)</f>
        <v>22145185.110548735</v>
      </c>
      <c r="G1770" s="553">
        <f>-'Foglio deposito bis'!$F$80*(C1770-sezione!$AN$34)*IF(ABS(M1770)&lt;'Progetto del paramento slu'!$G$58,ABS(M1770)*'Progetto del paramento slu'!$G$54,'Progetto del paramento slu'!$G$53)</f>
        <v>0</v>
      </c>
      <c r="H1770" s="553">
        <f>-'Foglio deposito bis'!$F$81*(C1770-sezione!$AO$34)*IF(ABS(N1770)&lt;'Progetto del paramento slu'!$G$58,ABS(N1770)*'Progetto del paramento slu'!$G$54,'Progetto del paramento slu'!$G$53)</f>
        <v>133077189.10197228</v>
      </c>
      <c r="I1770" s="479">
        <f>-'Foglio deposito bis'!$F$82*(C1770-sezione!$AP$34)*IF(ABS(O1770)&lt;'Progetto del paramento slu'!$G$58,ABS(O1770)*'Progetto del paramento slu'!$G$54,'Progetto del paramento slu'!$G$53)</f>
        <v>226798882.74457201</v>
      </c>
      <c r="J1770" s="479">
        <f t="shared" si="129"/>
        <v>381736013.79702771</v>
      </c>
      <c r="K1770" s="558">
        <f>'Progetto del paramento slu'!$G$60*(sezione!$AL$34-C1770)/C1770</f>
        <v>2.0283353482205897E-2</v>
      </c>
      <c r="L1770" s="558">
        <f>'Progetto del paramento slu'!$G$60*(sezione!$AM$34-C1770)/C1770</f>
        <v>8.5687575558272125E-2</v>
      </c>
      <c r="M1770" s="559">
        <f>'Progetto del paramento slu'!$G$60*(sezione!$AN$34-C1770)/C1770</f>
        <v>0.15109179763433833</v>
      </c>
      <c r="N1770" s="559">
        <f>'Progetto del paramento slu'!$G$60*(sezione!$AO$34-C1770)/C1770</f>
        <v>0.19865850459875012</v>
      </c>
      <c r="O1770" s="559">
        <f>'Progetto del paramento slu'!$G$60*(sezione!$AP$34-C1770)/C1770</f>
        <v>0.15109595686262148</v>
      </c>
      <c r="P1770" s="553">
        <f>-'Progetto del paramento slu'!$G$47*'Progetto del paramento slu'!$G$41*IF(DATI!$G$218="dx",DATI!$E$61,DATI!$E$64*DATI!$E$63)*1000*C1770*sezione!$AD$5</f>
        <v>-82975.035521229845</v>
      </c>
      <c r="Q1770" s="553">
        <f>'Foglio deposito bis'!$F$78*IF(ABS(K1770)&lt;'Progetto del paramento slu'!$G$58,ABS(K1770)*'Progetto del paramento slu'!$G$54,'Progetto del paramento slu'!$G$53)*IF(K1770&lt;0,-1,1)</f>
        <v>0</v>
      </c>
      <c r="R1770" s="553">
        <f>'Foglio deposito bis'!$F$79*IF(ABS(L1770)&lt;'Progetto del paramento slu'!$G$58,ABS(L1770)*'Progetto del paramento slu'!$G$54,'Progetto del paramento slu'!$G$53)*IF(L1770&lt;0,-1,1)</f>
        <v>153664.85805602249</v>
      </c>
      <c r="S1770" s="553">
        <f>'Foglio deposito bis'!$F$80*IF(ABS(M1770)&lt;'Progetto del paramento slu'!$G$58,ABS(M1770)*'Progetto del paramento slu'!$G$54,'Progetto del paramento slu'!$G$53)*IF(M1770&lt;0,-1,1)</f>
        <v>0</v>
      </c>
      <c r="T1770" s="553">
        <f>'Foglio deposito bis'!$F$81*IF(ABS(N1770)&lt;'Progetto del paramento slu'!$G$58,ABS(N1770)*'Progetto del paramento slu'!$G$54,'Progetto del paramento slu'!$G$53)*IF(N1770&lt;0,-1,1)</f>
        <v>398299.31208121032</v>
      </c>
      <c r="U1770" s="553">
        <f>'Foglio deposito bis'!$F$82*IF(ABS(O1770)&lt;'Progetto del paramento slu'!$G$58,ABS(O1770)*'Progetto del paramento slu'!$G$54,'Progetto del paramento slu'!$G$53)*IF(O1770&lt;0,-1,1)</f>
        <v>892485.49558937876</v>
      </c>
      <c r="V1770" s="479">
        <f t="shared" si="132"/>
        <v>1361474.6302053817</v>
      </c>
      <c r="W1770" s="559"/>
      <c r="X1770" s="559"/>
    </row>
    <row r="1771" spans="1:24" x14ac:dyDescent="0.25">
      <c r="A1771" s="553">
        <f t="shared" si="131"/>
        <v>1358613.4220839599</v>
      </c>
      <c r="B1771" s="3">
        <f t="shared" si="133"/>
        <v>1.5000000000000007</v>
      </c>
      <c r="C1771" s="553">
        <f>'Foglio deposito bis'!$E$160/sezione!$B$247*B1771</f>
        <v>6.08945186452587</v>
      </c>
      <c r="D1771" s="611">
        <f>-'Progetto del paramento slu'!$G$47*'Progetto del paramento slu'!$G$41*IF(DATI!$G$218="dx",DATI!$E$61,DATI!$E$64*DATI!$E$63)*1000*C1771^2*sezione!$AD$5*(1-sezione!$AD$6)</f>
        <v>-305254.27355388663</v>
      </c>
      <c r="E1771" s="553">
        <f>-'Foglio deposito bis'!$F$78*(C1771-sezione!$AL$34)*IF(ABS(K1771)&lt;'Progetto del paramento slu'!$G$58,ABS(K1771)*'Progetto del paramento slu'!$G$54,'Progetto del paramento slu'!$G$53)</f>
        <v>0</v>
      </c>
      <c r="F1771" s="553">
        <f>-'Foglio deposito bis'!$F$79*(C1771-sezione!$AM$34)*IF(ABS(L1771)&lt;'Progetto del paramento slu'!$G$58,ABS(L1771)*'Progetto del paramento slu'!$G$54,'Progetto del paramento slu'!$G$53)</f>
        <v>22113993.952002026</v>
      </c>
      <c r="G1771" s="553">
        <f>-'Foglio deposito bis'!$F$80*(C1771-sezione!$AN$34)*IF(ABS(M1771)&lt;'Progetto del paramento slu'!$G$58,ABS(M1771)*'Progetto del paramento slu'!$G$54,'Progetto del paramento slu'!$G$53)</f>
        <v>0</v>
      </c>
      <c r="H1771" s="553">
        <f>-'Foglio deposito bis'!$F$81*(C1771-sezione!$AO$34)*IF(ABS(N1771)&lt;'Progetto del paramento slu'!$G$58,ABS(N1771)*'Progetto del paramento slu'!$G$54,'Progetto del paramento slu'!$G$53)</f>
        <v>132996341.6190192</v>
      </c>
      <c r="I1771" s="479">
        <f>-'Foglio deposito bis'!$F$82*(C1771-sezione!$AP$34)*IF(ABS(O1771)&lt;'Progetto del paramento slu'!$G$58,ABS(O1771)*'Progetto del paramento slu'!$G$54,'Progetto del paramento slu'!$G$53)</f>
        <v>226617724.49573272</v>
      </c>
      <c r="J1771" s="479">
        <f t="shared" si="129"/>
        <v>381422805.79320008</v>
      </c>
      <c r="K1771" s="558">
        <f>'Progetto del paramento slu'!$G$60*(sezione!$AL$34-C1771)/C1771</f>
        <v>1.9490575032799037E-2</v>
      </c>
      <c r="L1771" s="558">
        <f>'Progetto del paramento slu'!$G$60*(sezione!$AM$34-C1771)/C1771</f>
        <v>8.2714656372996381E-2</v>
      </c>
      <c r="M1771" s="559">
        <f>'Progetto del paramento slu'!$G$60*(sezione!$AN$34-C1771)/C1771</f>
        <v>0.14593873771319374</v>
      </c>
      <c r="N1771" s="559">
        <f>'Progetto del paramento slu'!$G$60*(sezione!$AO$34-C1771)/C1771</f>
        <v>0.19191988777879182</v>
      </c>
      <c r="O1771" s="559">
        <f>'Progetto del paramento slu'!$G$60*(sezione!$AP$34-C1771)/C1771</f>
        <v>0.1459427583005341</v>
      </c>
      <c r="P1771" s="553">
        <f>-'Progetto del paramento slu'!$G$47*'Progetto del paramento slu'!$G$41*IF(DATI!$G$218="dx",DATI!$E$61,DATI!$E$64*DATI!$E$63)*1000*C1771*sezione!$AD$5</f>
        <v>-85836.243642651563</v>
      </c>
      <c r="Q1771" s="553">
        <f>'Foglio deposito bis'!$F$78*IF(ABS(K1771)&lt;'Progetto del paramento slu'!$G$58,ABS(K1771)*'Progetto del paramento slu'!$G$54,'Progetto del paramento slu'!$G$53)*IF(K1771&lt;0,-1,1)</f>
        <v>0</v>
      </c>
      <c r="R1771" s="553">
        <f>'Foglio deposito bis'!$F$79*IF(ABS(L1771)&lt;'Progetto del paramento slu'!$G$58,ABS(L1771)*'Progetto del paramento slu'!$G$54,'Progetto del paramento slu'!$G$53)*IF(L1771&lt;0,-1,1)</f>
        <v>153664.85805602249</v>
      </c>
      <c r="S1771" s="553">
        <f>'Foglio deposito bis'!$F$80*IF(ABS(M1771)&lt;'Progetto del paramento slu'!$G$58,ABS(M1771)*'Progetto del paramento slu'!$G$54,'Progetto del paramento slu'!$G$53)*IF(M1771&lt;0,-1,1)</f>
        <v>0</v>
      </c>
      <c r="T1771" s="553">
        <f>'Foglio deposito bis'!$F$81*IF(ABS(N1771)&lt;'Progetto del paramento slu'!$G$58,ABS(N1771)*'Progetto del paramento slu'!$G$54,'Progetto del paramento slu'!$G$53)*IF(N1771&lt;0,-1,1)</f>
        <v>398299.31208121032</v>
      </c>
      <c r="U1771" s="553">
        <f>'Foglio deposito bis'!$F$82*IF(ABS(O1771)&lt;'Progetto del paramento slu'!$G$58,ABS(O1771)*'Progetto del paramento slu'!$G$54,'Progetto del paramento slu'!$G$53)*IF(O1771&lt;0,-1,1)</f>
        <v>892485.49558937876</v>
      </c>
      <c r="V1771" s="479">
        <f t="shared" si="132"/>
        <v>1358613.4220839599</v>
      </c>
      <c r="W1771" s="559"/>
      <c r="X1771" s="559"/>
    </row>
    <row r="1772" spans="1:24" x14ac:dyDescent="0.25">
      <c r="A1772" s="553">
        <f t="shared" si="131"/>
        <v>1355752.2139625382</v>
      </c>
      <c r="B1772" s="3">
        <f t="shared" si="133"/>
        <v>1.5500000000000007</v>
      </c>
      <c r="C1772" s="553">
        <f>'Foglio deposito bis'!$E$160/sezione!$B$247*B1772</f>
        <v>6.2924335933433984</v>
      </c>
      <c r="D1772" s="611">
        <f>-'Progetto del paramento slu'!$G$47*'Progetto del paramento slu'!$G$41*IF(DATI!$G$218="dx",DATI!$E$61,DATI!$E$64*DATI!$E$63)*1000*C1772^2*sezione!$AD$5*(1-sezione!$AD$6)</f>
        <v>-325943.72987253888</v>
      </c>
      <c r="E1772" s="553">
        <f>-'Foglio deposito bis'!$F$78*(C1772-sezione!$AL$34)*IF(ABS(K1772)&lt;'Progetto del paramento slu'!$G$58,ABS(K1772)*'Progetto del paramento slu'!$G$54,'Progetto del paramento slu'!$G$53)</f>
        <v>0</v>
      </c>
      <c r="F1772" s="553">
        <f>-'Foglio deposito bis'!$F$79*(C1772-sezione!$AM$34)*IF(ABS(L1772)&lt;'Progetto del paramento slu'!$G$58,ABS(L1772)*'Progetto del paramento slu'!$G$54,'Progetto del paramento slu'!$G$53)</f>
        <v>22082802.793455314</v>
      </c>
      <c r="G1772" s="553">
        <f>-'Foglio deposito bis'!$F$80*(C1772-sezione!$AN$34)*IF(ABS(M1772)&lt;'Progetto del paramento slu'!$G$58,ABS(M1772)*'Progetto del paramento slu'!$G$54,'Progetto del paramento slu'!$G$53)</f>
        <v>0</v>
      </c>
      <c r="H1772" s="553">
        <f>-'Foglio deposito bis'!$F$81*(C1772-sezione!$AO$34)*IF(ABS(N1772)&lt;'Progetto del paramento slu'!$G$58,ABS(N1772)*'Progetto del paramento slu'!$G$54,'Progetto del paramento slu'!$G$53)</f>
        <v>132915494.13606612</v>
      </c>
      <c r="I1772" s="479">
        <f>-'Foglio deposito bis'!$F$82*(C1772-sezione!$AP$34)*IF(ABS(O1772)&lt;'Progetto del paramento slu'!$G$58,ABS(O1772)*'Progetto del paramento slu'!$G$54,'Progetto del paramento slu'!$G$53)</f>
        <v>226436566.24689344</v>
      </c>
      <c r="J1772" s="479">
        <f t="shared" si="129"/>
        <v>381108919.44654232</v>
      </c>
      <c r="K1772" s="558">
        <f>'Progetto del paramento slu'!$G$60*(sezione!$AL$34-C1772)/C1772</f>
        <v>1.8748943580128102E-2</v>
      </c>
      <c r="L1772" s="558">
        <f>'Progetto del paramento slu'!$G$60*(sezione!$AM$34-C1772)/C1772</f>
        <v>7.9933538425480385E-2</v>
      </c>
      <c r="M1772" s="559">
        <f>'Progetto del paramento slu'!$G$60*(sezione!$AN$34-C1772)/C1772</f>
        <v>0.14111813327083267</v>
      </c>
      <c r="N1772" s="559">
        <f>'Progetto del paramento slu'!$G$60*(sezione!$AO$34-C1772)/C1772</f>
        <v>0.18561602043108885</v>
      </c>
      <c r="O1772" s="559">
        <f>'Progetto del paramento slu'!$G$60*(sezione!$AP$34-C1772)/C1772</f>
        <v>0.14112202416180722</v>
      </c>
      <c r="P1772" s="553">
        <f>-'Progetto del paramento slu'!$G$47*'Progetto del paramento slu'!$G$41*IF(DATI!$G$218="dx",DATI!$E$61,DATI!$E$64*DATI!$E$63)*1000*C1772*sezione!$AD$5</f>
        <v>-88697.451764073281</v>
      </c>
      <c r="Q1772" s="553">
        <f>'Foglio deposito bis'!$F$78*IF(ABS(K1772)&lt;'Progetto del paramento slu'!$G$58,ABS(K1772)*'Progetto del paramento slu'!$G$54,'Progetto del paramento slu'!$G$53)*IF(K1772&lt;0,-1,1)</f>
        <v>0</v>
      </c>
      <c r="R1772" s="553">
        <f>'Foglio deposito bis'!$F$79*IF(ABS(L1772)&lt;'Progetto del paramento slu'!$G$58,ABS(L1772)*'Progetto del paramento slu'!$G$54,'Progetto del paramento slu'!$G$53)*IF(L1772&lt;0,-1,1)</f>
        <v>153664.85805602249</v>
      </c>
      <c r="S1772" s="553">
        <f>'Foglio deposito bis'!$F$80*IF(ABS(M1772)&lt;'Progetto del paramento slu'!$G$58,ABS(M1772)*'Progetto del paramento slu'!$G$54,'Progetto del paramento slu'!$G$53)*IF(M1772&lt;0,-1,1)</f>
        <v>0</v>
      </c>
      <c r="T1772" s="553">
        <f>'Foglio deposito bis'!$F$81*IF(ABS(N1772)&lt;'Progetto del paramento slu'!$G$58,ABS(N1772)*'Progetto del paramento slu'!$G$54,'Progetto del paramento slu'!$G$53)*IF(N1772&lt;0,-1,1)</f>
        <v>398299.31208121032</v>
      </c>
      <c r="U1772" s="553">
        <f>'Foglio deposito bis'!$F$82*IF(ABS(O1772)&lt;'Progetto del paramento slu'!$G$58,ABS(O1772)*'Progetto del paramento slu'!$G$54,'Progetto del paramento slu'!$G$53)*IF(O1772&lt;0,-1,1)</f>
        <v>892485.49558937876</v>
      </c>
      <c r="V1772" s="479">
        <f t="shared" si="132"/>
        <v>1355752.2139625382</v>
      </c>
      <c r="W1772" s="559"/>
      <c r="X1772" s="559"/>
    </row>
    <row r="1773" spans="1:24" x14ac:dyDescent="0.25">
      <c r="A1773" s="553">
        <f t="shared" si="131"/>
        <v>1352891.0058411164</v>
      </c>
      <c r="B1773" s="3">
        <f t="shared" si="133"/>
        <v>1.6000000000000008</v>
      </c>
      <c r="C1773" s="553">
        <f>'Foglio deposito bis'!$E$160/sezione!$B$247*B1773</f>
        <v>6.4954153221609277</v>
      </c>
      <c r="D1773" s="611">
        <f>-'Progetto del paramento slu'!$G$47*'Progetto del paramento slu'!$G$41*IF(DATI!$G$218="dx",DATI!$E$61,DATI!$E$64*DATI!$E$63)*1000*C1773^2*sezione!$AD$5*(1-sezione!$AD$6)</f>
        <v>-347311.52902131097</v>
      </c>
      <c r="E1773" s="553">
        <f>-'Foglio deposito bis'!$F$78*(C1773-sezione!$AL$34)*IF(ABS(K1773)&lt;'Progetto del paramento slu'!$G$58,ABS(K1773)*'Progetto del paramento slu'!$G$54,'Progetto del paramento slu'!$G$53)</f>
        <v>0</v>
      </c>
      <c r="F1773" s="553">
        <f>-'Foglio deposito bis'!$F$79*(C1773-sezione!$AM$34)*IF(ABS(L1773)&lt;'Progetto del paramento slu'!$G$58,ABS(L1773)*'Progetto del paramento slu'!$G$54,'Progetto del paramento slu'!$G$53)</f>
        <v>22051611.634908598</v>
      </c>
      <c r="G1773" s="553">
        <f>-'Foglio deposito bis'!$F$80*(C1773-sezione!$AN$34)*IF(ABS(M1773)&lt;'Progetto del paramento slu'!$G$58,ABS(M1773)*'Progetto del paramento slu'!$G$54,'Progetto del paramento slu'!$G$53)</f>
        <v>0</v>
      </c>
      <c r="H1773" s="553">
        <f>-'Foglio deposito bis'!$F$81*(C1773-sezione!$AO$34)*IF(ABS(N1773)&lt;'Progetto del paramento slu'!$G$58,ABS(N1773)*'Progetto del paramento slu'!$G$54,'Progetto del paramento slu'!$G$53)</f>
        <v>132834646.65311305</v>
      </c>
      <c r="I1773" s="479">
        <f>-'Foglio deposito bis'!$F$82*(C1773-sezione!$AP$34)*IF(ABS(O1773)&lt;'Progetto del paramento slu'!$G$58,ABS(O1773)*'Progetto del paramento slu'!$G$54,'Progetto del paramento slu'!$G$53)</f>
        <v>226255407.99805415</v>
      </c>
      <c r="J1773" s="479">
        <f t="shared" si="129"/>
        <v>380794354.75705445</v>
      </c>
      <c r="K1773" s="558">
        <f>'Progetto del paramento slu'!$G$60*(sezione!$AL$34-C1773)/C1773</f>
        <v>1.8053664093249096E-2</v>
      </c>
      <c r="L1773" s="558">
        <f>'Progetto del paramento slu'!$G$60*(sezione!$AM$34-C1773)/C1773</f>
        <v>7.7326240349684119E-2</v>
      </c>
      <c r="M1773" s="559">
        <f>'Progetto del paramento slu'!$G$60*(sezione!$AN$34-C1773)/C1773</f>
        <v>0.13659881660611914</v>
      </c>
      <c r="N1773" s="559">
        <f>'Progetto del paramento slu'!$G$60*(sezione!$AO$34-C1773)/C1773</f>
        <v>0.17970614479261734</v>
      </c>
      <c r="O1773" s="559">
        <f>'Progetto del paramento slu'!$G$60*(sezione!$AP$34-C1773)/C1773</f>
        <v>0.13660258590675073</v>
      </c>
      <c r="P1773" s="553">
        <f>-'Progetto del paramento slu'!$G$47*'Progetto del paramento slu'!$G$41*IF(DATI!$G$218="dx",DATI!$E$61,DATI!$E$64*DATI!$E$63)*1000*C1773*sezione!$AD$5</f>
        <v>-91558.659885494999</v>
      </c>
      <c r="Q1773" s="553">
        <f>'Foglio deposito bis'!$F$78*IF(ABS(K1773)&lt;'Progetto del paramento slu'!$G$58,ABS(K1773)*'Progetto del paramento slu'!$G$54,'Progetto del paramento slu'!$G$53)*IF(K1773&lt;0,-1,1)</f>
        <v>0</v>
      </c>
      <c r="R1773" s="553">
        <f>'Foglio deposito bis'!$F$79*IF(ABS(L1773)&lt;'Progetto del paramento slu'!$G$58,ABS(L1773)*'Progetto del paramento slu'!$G$54,'Progetto del paramento slu'!$G$53)*IF(L1773&lt;0,-1,1)</f>
        <v>153664.85805602249</v>
      </c>
      <c r="S1773" s="553">
        <f>'Foglio deposito bis'!$F$80*IF(ABS(M1773)&lt;'Progetto del paramento slu'!$G$58,ABS(M1773)*'Progetto del paramento slu'!$G$54,'Progetto del paramento slu'!$G$53)*IF(M1773&lt;0,-1,1)</f>
        <v>0</v>
      </c>
      <c r="T1773" s="553">
        <f>'Foglio deposito bis'!$F$81*IF(ABS(N1773)&lt;'Progetto del paramento slu'!$G$58,ABS(N1773)*'Progetto del paramento slu'!$G$54,'Progetto del paramento slu'!$G$53)*IF(N1773&lt;0,-1,1)</f>
        <v>398299.31208121032</v>
      </c>
      <c r="U1773" s="553">
        <f>'Foglio deposito bis'!$F$82*IF(ABS(O1773)&lt;'Progetto del paramento slu'!$G$58,ABS(O1773)*'Progetto del paramento slu'!$G$54,'Progetto del paramento slu'!$G$53)*IF(O1773&lt;0,-1,1)</f>
        <v>892485.49558937876</v>
      </c>
      <c r="V1773" s="479">
        <f t="shared" si="132"/>
        <v>1352891.0058411164</v>
      </c>
      <c r="W1773" s="559"/>
      <c r="X1773" s="559"/>
    </row>
    <row r="1774" spans="1:24" x14ac:dyDescent="0.25">
      <c r="A1774" s="553">
        <f t="shared" si="131"/>
        <v>1350029.7977196949</v>
      </c>
      <c r="B1774" s="3">
        <f t="shared" si="133"/>
        <v>1.6500000000000008</v>
      </c>
      <c r="C1774" s="553">
        <f>'Foglio deposito bis'!$E$160/sezione!$B$247*B1774</f>
        <v>6.6983970509784569</v>
      </c>
      <c r="D1774" s="611">
        <f>-'Progetto del paramento slu'!$G$47*'Progetto del paramento slu'!$G$41*IF(DATI!$G$218="dx",DATI!$E$61,DATI!$E$64*DATI!$E$63)*1000*C1774^2*sezione!$AD$5*(1-sezione!$AD$6)</f>
        <v>-369357.67100020283</v>
      </c>
      <c r="E1774" s="553">
        <f>-'Foglio deposito bis'!$F$78*(C1774-sezione!$AL$34)*IF(ABS(K1774)&lt;'Progetto del paramento slu'!$G$58,ABS(K1774)*'Progetto del paramento slu'!$G$54,'Progetto del paramento slu'!$G$53)</f>
        <v>0</v>
      </c>
      <c r="F1774" s="553">
        <f>-'Foglio deposito bis'!$F$79*(C1774-sezione!$AM$34)*IF(ABS(L1774)&lt;'Progetto del paramento slu'!$G$58,ABS(L1774)*'Progetto del paramento slu'!$G$54,'Progetto del paramento slu'!$G$53)</f>
        <v>22020420.476361889</v>
      </c>
      <c r="G1774" s="553">
        <f>-'Foglio deposito bis'!$F$80*(C1774-sezione!$AN$34)*IF(ABS(M1774)&lt;'Progetto del paramento slu'!$G$58,ABS(M1774)*'Progetto del paramento slu'!$G$54,'Progetto del paramento slu'!$G$53)</f>
        <v>0</v>
      </c>
      <c r="H1774" s="553">
        <f>-'Foglio deposito bis'!$F$81*(C1774-sezione!$AO$34)*IF(ABS(N1774)&lt;'Progetto del paramento slu'!$G$58,ABS(N1774)*'Progetto del paramento slu'!$G$54,'Progetto del paramento slu'!$G$53)</f>
        <v>132753799.17015998</v>
      </c>
      <c r="I1774" s="479">
        <f>-'Foglio deposito bis'!$F$82*(C1774-sezione!$AP$34)*IF(ABS(O1774)&lt;'Progetto del paramento slu'!$G$58,ABS(O1774)*'Progetto del paramento slu'!$G$54,'Progetto del paramento slu'!$G$53)</f>
        <v>226074249.74921483</v>
      </c>
      <c r="J1774" s="479">
        <f t="shared" si="129"/>
        <v>380479111.72473651</v>
      </c>
      <c r="K1774" s="558">
        <f>'Progetto del paramento slu'!$G$60*(sezione!$AL$34-C1774)/C1774</f>
        <v>1.7400522757090035E-2</v>
      </c>
      <c r="L1774" s="558">
        <f>'Progetto del paramento slu'!$G$60*(sezione!$AM$34-C1774)/C1774</f>
        <v>7.4876960339087612E-2</v>
      </c>
      <c r="M1774" s="559">
        <f>'Progetto del paramento slu'!$G$60*(sezione!$AN$34-C1774)/C1774</f>
        <v>0.13235339792108519</v>
      </c>
      <c r="N1774" s="559">
        <f>'Progetto del paramento slu'!$G$60*(sezione!$AO$34-C1774)/C1774</f>
        <v>0.17415444343526529</v>
      </c>
      <c r="O1774" s="559">
        <f>'Progetto del paramento slu'!$G$60*(sezione!$AP$34-C1774)/C1774</f>
        <v>0.13235705300048556</v>
      </c>
      <c r="P1774" s="553">
        <f>-'Progetto del paramento slu'!$G$47*'Progetto del paramento slu'!$G$41*IF(DATI!$G$218="dx",DATI!$E$61,DATI!$E$64*DATI!$E$63)*1000*C1774*sezione!$AD$5</f>
        <v>-94419.868006916731</v>
      </c>
      <c r="Q1774" s="553">
        <f>'Foglio deposito bis'!$F$78*IF(ABS(K1774)&lt;'Progetto del paramento slu'!$G$58,ABS(K1774)*'Progetto del paramento slu'!$G$54,'Progetto del paramento slu'!$G$53)*IF(K1774&lt;0,-1,1)</f>
        <v>0</v>
      </c>
      <c r="R1774" s="553">
        <f>'Foglio deposito bis'!$F$79*IF(ABS(L1774)&lt;'Progetto del paramento slu'!$G$58,ABS(L1774)*'Progetto del paramento slu'!$G$54,'Progetto del paramento slu'!$G$53)*IF(L1774&lt;0,-1,1)</f>
        <v>153664.85805602249</v>
      </c>
      <c r="S1774" s="553">
        <f>'Foglio deposito bis'!$F$80*IF(ABS(M1774)&lt;'Progetto del paramento slu'!$G$58,ABS(M1774)*'Progetto del paramento slu'!$G$54,'Progetto del paramento slu'!$G$53)*IF(M1774&lt;0,-1,1)</f>
        <v>0</v>
      </c>
      <c r="T1774" s="553">
        <f>'Foglio deposito bis'!$F$81*IF(ABS(N1774)&lt;'Progetto del paramento slu'!$G$58,ABS(N1774)*'Progetto del paramento slu'!$G$54,'Progetto del paramento slu'!$G$53)*IF(N1774&lt;0,-1,1)</f>
        <v>398299.31208121032</v>
      </c>
      <c r="U1774" s="553">
        <f>'Foglio deposito bis'!$F$82*IF(ABS(O1774)&lt;'Progetto del paramento slu'!$G$58,ABS(O1774)*'Progetto del paramento slu'!$G$54,'Progetto del paramento slu'!$G$53)*IF(O1774&lt;0,-1,1)</f>
        <v>892485.49558937876</v>
      </c>
      <c r="V1774" s="479">
        <f t="shared" si="132"/>
        <v>1350029.7977196949</v>
      </c>
      <c r="W1774" s="559"/>
      <c r="X1774" s="559"/>
    </row>
    <row r="1775" spans="1:24" x14ac:dyDescent="0.25">
      <c r="A1775" s="553">
        <f t="shared" si="131"/>
        <v>1347168.5895982732</v>
      </c>
      <c r="B1775" s="3">
        <f t="shared" si="133"/>
        <v>1.7000000000000008</v>
      </c>
      <c r="C1775" s="553">
        <f>'Foglio deposito bis'!$E$160/sezione!$B$247*B1775</f>
        <v>6.9013787797959862</v>
      </c>
      <c r="D1775" s="611">
        <f>-'Progetto del paramento slu'!$G$47*'Progetto del paramento slu'!$G$41*IF(DATI!$G$218="dx",DATI!$E$61,DATI!$E$64*DATI!$E$63)*1000*C1775^2*sezione!$AD$5*(1-sezione!$AD$6)</f>
        <v>-392082.1558092144</v>
      </c>
      <c r="E1775" s="553">
        <f>-'Foglio deposito bis'!$F$78*(C1775-sezione!$AL$34)*IF(ABS(K1775)&lt;'Progetto del paramento slu'!$G$58,ABS(K1775)*'Progetto del paramento slu'!$G$54,'Progetto del paramento slu'!$G$53)</f>
        <v>0</v>
      </c>
      <c r="F1775" s="553">
        <f>-'Foglio deposito bis'!$F$79*(C1775-sezione!$AM$34)*IF(ABS(L1775)&lt;'Progetto del paramento slu'!$G$58,ABS(L1775)*'Progetto del paramento slu'!$G$54,'Progetto del paramento slu'!$G$53)</f>
        <v>21989229.317815177</v>
      </c>
      <c r="G1775" s="553">
        <f>-'Foglio deposito bis'!$F$80*(C1775-sezione!$AN$34)*IF(ABS(M1775)&lt;'Progetto del paramento slu'!$G$58,ABS(M1775)*'Progetto del paramento slu'!$G$54,'Progetto del paramento slu'!$G$53)</f>
        <v>0</v>
      </c>
      <c r="H1775" s="553">
        <f>-'Foglio deposito bis'!$F$81*(C1775-sezione!$AO$34)*IF(ABS(N1775)&lt;'Progetto del paramento slu'!$G$58,ABS(N1775)*'Progetto del paramento slu'!$G$54,'Progetto del paramento slu'!$G$53)</f>
        <v>132672951.68720691</v>
      </c>
      <c r="I1775" s="479">
        <f>-'Foglio deposito bis'!$F$82*(C1775-sezione!$AP$34)*IF(ABS(O1775)&lt;'Progetto del paramento slu'!$G$58,ABS(O1775)*'Progetto del paramento slu'!$G$54,'Progetto del paramento slu'!$G$53)</f>
        <v>225893091.50037554</v>
      </c>
      <c r="J1775" s="479">
        <f t="shared" si="129"/>
        <v>380163190.34958839</v>
      </c>
      <c r="K1775" s="558">
        <f>'Progetto del paramento slu'!$G$60*(sezione!$AL$34-C1775)/C1775</f>
        <v>1.678580149952856E-2</v>
      </c>
      <c r="L1775" s="558">
        <f>'Progetto del paramento slu'!$G$60*(sezione!$AM$34-C1775)/C1775</f>
        <v>7.2571755623232106E-2</v>
      </c>
      <c r="M1775" s="559">
        <f>'Progetto del paramento slu'!$G$60*(sezione!$AN$34-C1775)/C1775</f>
        <v>0.12835770974693564</v>
      </c>
      <c r="N1775" s="559">
        <f>'Progetto del paramento slu'!$G$60*(sezione!$AO$34-C1775)/C1775</f>
        <v>0.16892931274599277</v>
      </c>
      <c r="O1775" s="559">
        <f>'Progetto del paramento slu'!$G$60*(sezione!$AP$34-C1775)/C1775</f>
        <v>0.12836125732400067</v>
      </c>
      <c r="P1775" s="553">
        <f>-'Progetto del paramento slu'!$G$47*'Progetto del paramento slu'!$G$41*IF(DATI!$G$218="dx",DATI!$E$61,DATI!$E$64*DATI!$E$63)*1000*C1775*sezione!$AD$5</f>
        <v>-97281.076128338449</v>
      </c>
      <c r="Q1775" s="553">
        <f>'Foglio deposito bis'!$F$78*IF(ABS(K1775)&lt;'Progetto del paramento slu'!$G$58,ABS(K1775)*'Progetto del paramento slu'!$G$54,'Progetto del paramento slu'!$G$53)*IF(K1775&lt;0,-1,1)</f>
        <v>0</v>
      </c>
      <c r="R1775" s="553">
        <f>'Foglio deposito bis'!$F$79*IF(ABS(L1775)&lt;'Progetto del paramento slu'!$G$58,ABS(L1775)*'Progetto del paramento slu'!$G$54,'Progetto del paramento slu'!$G$53)*IF(L1775&lt;0,-1,1)</f>
        <v>153664.85805602249</v>
      </c>
      <c r="S1775" s="553">
        <f>'Foglio deposito bis'!$F$80*IF(ABS(M1775)&lt;'Progetto del paramento slu'!$G$58,ABS(M1775)*'Progetto del paramento slu'!$G$54,'Progetto del paramento slu'!$G$53)*IF(M1775&lt;0,-1,1)</f>
        <v>0</v>
      </c>
      <c r="T1775" s="553">
        <f>'Foglio deposito bis'!$F$81*IF(ABS(N1775)&lt;'Progetto del paramento slu'!$G$58,ABS(N1775)*'Progetto del paramento slu'!$G$54,'Progetto del paramento slu'!$G$53)*IF(N1775&lt;0,-1,1)</f>
        <v>398299.31208121032</v>
      </c>
      <c r="U1775" s="553">
        <f>'Foglio deposito bis'!$F$82*IF(ABS(O1775)&lt;'Progetto del paramento slu'!$G$58,ABS(O1775)*'Progetto del paramento slu'!$G$54,'Progetto del paramento slu'!$G$53)*IF(O1775&lt;0,-1,1)</f>
        <v>892485.49558937876</v>
      </c>
      <c r="V1775" s="479">
        <f t="shared" si="132"/>
        <v>1347168.5895982732</v>
      </c>
      <c r="W1775" s="559"/>
      <c r="X1775" s="559"/>
    </row>
    <row r="1776" spans="1:24" x14ac:dyDescent="0.25">
      <c r="A1776" s="553">
        <f t="shared" si="131"/>
        <v>1344307.3814768514</v>
      </c>
      <c r="B1776" s="3">
        <f t="shared" si="133"/>
        <v>1.7500000000000009</v>
      </c>
      <c r="C1776" s="553">
        <f>'Foglio deposito bis'!$E$160/sezione!$B$247*B1776</f>
        <v>7.1043605086135146</v>
      </c>
      <c r="D1776" s="611">
        <f>-'Progetto del paramento slu'!$G$47*'Progetto del paramento slu'!$G$41*IF(DATI!$G$218="dx",DATI!$E$61,DATI!$E$64*DATI!$E$63)*1000*C1776^2*sezione!$AD$5*(1-sezione!$AD$6)</f>
        <v>-415484.98344834562</v>
      </c>
      <c r="E1776" s="553">
        <f>-'Foglio deposito bis'!$F$78*(C1776-sezione!$AL$34)*IF(ABS(K1776)&lt;'Progetto del paramento slu'!$G$58,ABS(K1776)*'Progetto del paramento slu'!$G$54,'Progetto del paramento slu'!$G$53)</f>
        <v>0</v>
      </c>
      <c r="F1776" s="553">
        <f>-'Foglio deposito bis'!$F$79*(C1776-sezione!$AM$34)*IF(ABS(L1776)&lt;'Progetto del paramento slu'!$G$58,ABS(L1776)*'Progetto del paramento slu'!$G$54,'Progetto del paramento slu'!$G$53)</f>
        <v>21958038.159268465</v>
      </c>
      <c r="G1776" s="553">
        <f>-'Foglio deposito bis'!$F$80*(C1776-sezione!$AN$34)*IF(ABS(M1776)&lt;'Progetto del paramento slu'!$G$58,ABS(M1776)*'Progetto del paramento slu'!$G$54,'Progetto del paramento slu'!$G$53)</f>
        <v>0</v>
      </c>
      <c r="H1776" s="553">
        <f>-'Foglio deposito bis'!$F$81*(C1776-sezione!$AO$34)*IF(ABS(N1776)&lt;'Progetto del paramento slu'!$G$58,ABS(N1776)*'Progetto del paramento slu'!$G$54,'Progetto del paramento slu'!$G$53)</f>
        <v>132592104.20425384</v>
      </c>
      <c r="I1776" s="479">
        <f>-'Foglio deposito bis'!$F$82*(C1776-sezione!$AP$34)*IF(ABS(O1776)&lt;'Progetto del paramento slu'!$G$58,ABS(O1776)*'Progetto del paramento slu'!$G$54,'Progetto del paramento slu'!$G$53)</f>
        <v>225711933.25153625</v>
      </c>
      <c r="J1776" s="479">
        <f t="shared" si="129"/>
        <v>379846590.63161021</v>
      </c>
      <c r="K1776" s="558">
        <f>'Progetto del paramento slu'!$G$60*(sezione!$AL$34-C1776)/C1776</f>
        <v>1.6206207170970603E-2</v>
      </c>
      <c r="L1776" s="558">
        <f>'Progetto del paramento slu'!$G$60*(sezione!$AM$34-C1776)/C1776</f>
        <v>7.0398276891139755E-2</v>
      </c>
      <c r="M1776" s="559">
        <f>'Progetto del paramento slu'!$G$60*(sezione!$AN$34-C1776)/C1776</f>
        <v>0.12459034661130891</v>
      </c>
      <c r="N1776" s="559">
        <f>'Progetto del paramento slu'!$G$60*(sezione!$AO$34-C1776)/C1776</f>
        <v>0.16400276095325012</v>
      </c>
      <c r="O1776" s="559">
        <f>'Progetto del paramento slu'!$G$60*(sezione!$AP$34-C1776)/C1776</f>
        <v>0.12459379282902922</v>
      </c>
      <c r="P1776" s="553">
        <f>-'Progetto del paramento slu'!$G$47*'Progetto del paramento slu'!$G$41*IF(DATI!$G$218="dx",DATI!$E$61,DATI!$E$64*DATI!$E$63)*1000*C1776*sezione!$AD$5</f>
        <v>-100142.28424976015</v>
      </c>
      <c r="Q1776" s="553">
        <f>'Foglio deposito bis'!$F$78*IF(ABS(K1776)&lt;'Progetto del paramento slu'!$G$58,ABS(K1776)*'Progetto del paramento slu'!$G$54,'Progetto del paramento slu'!$G$53)*IF(K1776&lt;0,-1,1)</f>
        <v>0</v>
      </c>
      <c r="R1776" s="553">
        <f>'Foglio deposito bis'!$F$79*IF(ABS(L1776)&lt;'Progetto del paramento slu'!$G$58,ABS(L1776)*'Progetto del paramento slu'!$G$54,'Progetto del paramento slu'!$G$53)*IF(L1776&lt;0,-1,1)</f>
        <v>153664.85805602249</v>
      </c>
      <c r="S1776" s="553">
        <f>'Foglio deposito bis'!$F$80*IF(ABS(M1776)&lt;'Progetto del paramento slu'!$G$58,ABS(M1776)*'Progetto del paramento slu'!$G$54,'Progetto del paramento slu'!$G$53)*IF(M1776&lt;0,-1,1)</f>
        <v>0</v>
      </c>
      <c r="T1776" s="553">
        <f>'Foglio deposito bis'!$F$81*IF(ABS(N1776)&lt;'Progetto del paramento slu'!$G$58,ABS(N1776)*'Progetto del paramento slu'!$G$54,'Progetto del paramento slu'!$G$53)*IF(N1776&lt;0,-1,1)</f>
        <v>398299.31208121032</v>
      </c>
      <c r="U1776" s="553">
        <f>'Foglio deposito bis'!$F$82*IF(ABS(O1776)&lt;'Progetto del paramento slu'!$G$58,ABS(O1776)*'Progetto del paramento slu'!$G$54,'Progetto del paramento slu'!$G$53)*IF(O1776&lt;0,-1,1)</f>
        <v>892485.49558937876</v>
      </c>
      <c r="V1776" s="479">
        <f t="shared" si="132"/>
        <v>1344307.3814768514</v>
      </c>
      <c r="W1776" s="559"/>
      <c r="X1776" s="559"/>
    </row>
    <row r="1777" spans="1:24" x14ac:dyDescent="0.25">
      <c r="A1777" s="553">
        <f t="shared" si="131"/>
        <v>1341446.1733554297</v>
      </c>
      <c r="B1777" s="3">
        <f t="shared" si="133"/>
        <v>1.8000000000000009</v>
      </c>
      <c r="C1777" s="553">
        <f>'Foglio deposito bis'!$E$160/sezione!$B$247*B1777</f>
        <v>7.3073422374310439</v>
      </c>
      <c r="D1777" s="611">
        <f>-'Progetto del paramento slu'!$G$47*'Progetto del paramento slu'!$G$41*IF(DATI!$G$218="dx",DATI!$E$61,DATI!$E$64*DATI!$E$63)*1000*C1777^2*sezione!$AD$5*(1-sezione!$AD$6)</f>
        <v>-439566.15391759673</v>
      </c>
      <c r="E1777" s="553">
        <f>-'Foglio deposito bis'!$F$78*(C1777-sezione!$AL$34)*IF(ABS(K1777)&lt;'Progetto del paramento slu'!$G$58,ABS(K1777)*'Progetto del paramento slu'!$G$54,'Progetto del paramento slu'!$G$53)</f>
        <v>0</v>
      </c>
      <c r="F1777" s="553">
        <f>-'Foglio deposito bis'!$F$79*(C1777-sezione!$AM$34)*IF(ABS(L1777)&lt;'Progetto del paramento slu'!$G$58,ABS(L1777)*'Progetto del paramento slu'!$G$54,'Progetto del paramento slu'!$G$53)</f>
        <v>21926847.000721756</v>
      </c>
      <c r="G1777" s="553">
        <f>-'Foglio deposito bis'!$F$80*(C1777-sezione!$AN$34)*IF(ABS(M1777)&lt;'Progetto del paramento slu'!$G$58,ABS(M1777)*'Progetto del paramento slu'!$G$54,'Progetto del paramento slu'!$G$53)</f>
        <v>0</v>
      </c>
      <c r="H1777" s="553">
        <f>-'Foglio deposito bis'!$F$81*(C1777-sezione!$AO$34)*IF(ABS(N1777)&lt;'Progetto del paramento slu'!$G$58,ABS(N1777)*'Progetto del paramento slu'!$G$54,'Progetto del paramento slu'!$G$53)</f>
        <v>132511256.72130077</v>
      </c>
      <c r="I1777" s="479">
        <f>-'Foglio deposito bis'!$F$82*(C1777-sezione!$AP$34)*IF(ABS(O1777)&lt;'Progetto del paramento slu'!$G$58,ABS(O1777)*'Progetto del paramento slu'!$G$54,'Progetto del paramento slu'!$G$53)</f>
        <v>225530775.00269696</v>
      </c>
      <c r="J1777" s="479">
        <f t="shared" si="129"/>
        <v>379529312.57080185</v>
      </c>
      <c r="K1777" s="558">
        <f>'Progetto del paramento slu'!$G$60*(sezione!$AL$34-C1777)/C1777</f>
        <v>1.5658812527332529E-2</v>
      </c>
      <c r="L1777" s="558">
        <f>'Progetto del paramento slu'!$G$60*(sezione!$AM$34-C1777)/C1777</f>
        <v>6.8345546977496993E-2</v>
      </c>
      <c r="M1777" s="559">
        <f>'Progetto del paramento slu'!$G$60*(sezione!$AN$34-C1777)/C1777</f>
        <v>0.12103228142766144</v>
      </c>
      <c r="N1777" s="559">
        <f>'Progetto del paramento slu'!$G$60*(sezione!$AO$34-C1777)/C1777</f>
        <v>0.1593499064823265</v>
      </c>
      <c r="O1777" s="559">
        <f>'Progetto del paramento slu'!$G$60*(sezione!$AP$34-C1777)/C1777</f>
        <v>0.12103563191711174</v>
      </c>
      <c r="P1777" s="553">
        <f>-'Progetto del paramento slu'!$G$47*'Progetto del paramento slu'!$G$41*IF(DATI!$G$218="dx",DATI!$E$61,DATI!$E$64*DATI!$E$63)*1000*C1777*sezione!$AD$5</f>
        <v>-103003.49237118187</v>
      </c>
      <c r="Q1777" s="553">
        <f>'Foglio deposito bis'!$F$78*IF(ABS(K1777)&lt;'Progetto del paramento slu'!$G$58,ABS(K1777)*'Progetto del paramento slu'!$G$54,'Progetto del paramento slu'!$G$53)*IF(K1777&lt;0,-1,1)</f>
        <v>0</v>
      </c>
      <c r="R1777" s="553">
        <f>'Foglio deposito bis'!$F$79*IF(ABS(L1777)&lt;'Progetto del paramento slu'!$G$58,ABS(L1777)*'Progetto del paramento slu'!$G$54,'Progetto del paramento slu'!$G$53)*IF(L1777&lt;0,-1,1)</f>
        <v>153664.85805602249</v>
      </c>
      <c r="S1777" s="553">
        <f>'Foglio deposito bis'!$F$80*IF(ABS(M1777)&lt;'Progetto del paramento slu'!$G$58,ABS(M1777)*'Progetto del paramento slu'!$G$54,'Progetto del paramento slu'!$G$53)*IF(M1777&lt;0,-1,1)</f>
        <v>0</v>
      </c>
      <c r="T1777" s="553">
        <f>'Foglio deposito bis'!$F$81*IF(ABS(N1777)&lt;'Progetto del paramento slu'!$G$58,ABS(N1777)*'Progetto del paramento slu'!$G$54,'Progetto del paramento slu'!$G$53)*IF(N1777&lt;0,-1,1)</f>
        <v>398299.31208121032</v>
      </c>
      <c r="U1777" s="553">
        <f>'Foglio deposito bis'!$F$82*IF(ABS(O1777)&lt;'Progetto del paramento slu'!$G$58,ABS(O1777)*'Progetto del paramento slu'!$G$54,'Progetto del paramento slu'!$G$53)*IF(O1777&lt;0,-1,1)</f>
        <v>892485.49558937876</v>
      </c>
      <c r="V1777" s="479">
        <f t="shared" si="132"/>
        <v>1341446.1733554297</v>
      </c>
      <c r="W1777" s="559"/>
      <c r="X1777" s="559"/>
    </row>
    <row r="1778" spans="1:24" x14ac:dyDescent="0.25">
      <c r="A1778" s="553">
        <f t="shared" si="131"/>
        <v>1338584.9652340079</v>
      </c>
      <c r="B1778" s="3">
        <f t="shared" si="133"/>
        <v>1.850000000000001</v>
      </c>
      <c r="C1778" s="553">
        <f>'Foglio deposito bis'!$E$160/sezione!$B$247*B1778</f>
        <v>7.5103239662485732</v>
      </c>
      <c r="D1778" s="611">
        <f>-'Progetto del paramento slu'!$G$47*'Progetto del paramento slu'!$G$41*IF(DATI!$G$218="dx",DATI!$E$61,DATI!$E$64*DATI!$E$63)*1000*C1778^2*sezione!$AD$5*(1-sezione!$AD$6)</f>
        <v>-464325.66721696767</v>
      </c>
      <c r="E1778" s="553">
        <f>-'Foglio deposito bis'!$F$78*(C1778-sezione!$AL$34)*IF(ABS(K1778)&lt;'Progetto del paramento slu'!$G$58,ABS(K1778)*'Progetto del paramento slu'!$G$54,'Progetto del paramento slu'!$G$53)</f>
        <v>0</v>
      </c>
      <c r="F1778" s="553">
        <f>-'Foglio deposito bis'!$F$79*(C1778-sezione!$AM$34)*IF(ABS(L1778)&lt;'Progetto del paramento slu'!$G$58,ABS(L1778)*'Progetto del paramento slu'!$G$54,'Progetto del paramento slu'!$G$53)</f>
        <v>21895655.842175044</v>
      </c>
      <c r="G1778" s="553">
        <f>-'Foglio deposito bis'!$F$80*(C1778-sezione!$AN$34)*IF(ABS(M1778)&lt;'Progetto del paramento slu'!$G$58,ABS(M1778)*'Progetto del paramento slu'!$G$54,'Progetto del paramento slu'!$G$53)</f>
        <v>0</v>
      </c>
      <c r="H1778" s="553">
        <f>-'Foglio deposito bis'!$F$81*(C1778-sezione!$AO$34)*IF(ABS(N1778)&lt;'Progetto del paramento slu'!$G$58,ABS(N1778)*'Progetto del paramento slu'!$G$54,'Progetto del paramento slu'!$G$53)</f>
        <v>132430409.23834768</v>
      </c>
      <c r="I1778" s="479">
        <f>-'Foglio deposito bis'!$F$82*(C1778-sezione!$AP$34)*IF(ABS(O1778)&lt;'Progetto del paramento slu'!$G$58,ABS(O1778)*'Progetto del paramento slu'!$G$54,'Progetto del paramento slu'!$G$53)</f>
        <v>225349616.75385764</v>
      </c>
      <c r="J1778" s="479">
        <f t="shared" si="129"/>
        <v>379211356.16716337</v>
      </c>
      <c r="K1778" s="558">
        <f>'Progetto del paramento slu'!$G$60*(sezione!$AL$34-C1778)/C1778</f>
        <v>1.514100678335057E-2</v>
      </c>
      <c r="L1778" s="558">
        <f>'Progetto del paramento slu'!$G$60*(sezione!$AM$34-C1778)/C1778</f>
        <v>6.6403775437564636E-2</v>
      </c>
      <c r="M1778" s="559">
        <f>'Progetto del paramento slu'!$G$60*(sezione!$AN$34-C1778)/C1778</f>
        <v>0.11766654409177871</v>
      </c>
      <c r="N1778" s="559">
        <f>'Progetto del paramento slu'!$G$60*(sezione!$AO$34-C1778)/C1778</f>
        <v>0.15494855765847984</v>
      </c>
      <c r="O1778" s="559">
        <f>'Progetto del paramento slu'!$G$60*(sezione!$AP$34-C1778)/C1778</f>
        <v>0.11766980402746008</v>
      </c>
      <c r="P1778" s="553">
        <f>-'Progetto del paramento slu'!$G$47*'Progetto del paramento slu'!$G$41*IF(DATI!$G$218="dx",DATI!$E$61,DATI!$E$64*DATI!$E$63)*1000*C1778*sezione!$AD$5</f>
        <v>-105864.7004926036</v>
      </c>
      <c r="Q1778" s="553">
        <f>'Foglio deposito bis'!$F$78*IF(ABS(K1778)&lt;'Progetto del paramento slu'!$G$58,ABS(K1778)*'Progetto del paramento slu'!$G$54,'Progetto del paramento slu'!$G$53)*IF(K1778&lt;0,-1,1)</f>
        <v>0</v>
      </c>
      <c r="R1778" s="553">
        <f>'Foglio deposito bis'!$F$79*IF(ABS(L1778)&lt;'Progetto del paramento slu'!$G$58,ABS(L1778)*'Progetto del paramento slu'!$G$54,'Progetto del paramento slu'!$G$53)*IF(L1778&lt;0,-1,1)</f>
        <v>153664.85805602249</v>
      </c>
      <c r="S1778" s="553">
        <f>'Foglio deposito bis'!$F$80*IF(ABS(M1778)&lt;'Progetto del paramento slu'!$G$58,ABS(M1778)*'Progetto del paramento slu'!$G$54,'Progetto del paramento slu'!$G$53)*IF(M1778&lt;0,-1,1)</f>
        <v>0</v>
      </c>
      <c r="T1778" s="553">
        <f>'Foglio deposito bis'!$F$81*IF(ABS(N1778)&lt;'Progetto del paramento slu'!$G$58,ABS(N1778)*'Progetto del paramento slu'!$G$54,'Progetto del paramento slu'!$G$53)*IF(N1778&lt;0,-1,1)</f>
        <v>398299.31208121032</v>
      </c>
      <c r="U1778" s="553">
        <f>'Foglio deposito bis'!$F$82*IF(ABS(O1778)&lt;'Progetto del paramento slu'!$G$58,ABS(O1778)*'Progetto del paramento slu'!$G$54,'Progetto del paramento slu'!$G$53)*IF(O1778&lt;0,-1,1)</f>
        <v>892485.49558937876</v>
      </c>
      <c r="V1778" s="479">
        <f t="shared" si="132"/>
        <v>1338584.9652340079</v>
      </c>
      <c r="W1778" s="559"/>
      <c r="X1778" s="559"/>
    </row>
    <row r="1779" spans="1:24" x14ac:dyDescent="0.25">
      <c r="A1779" s="553">
        <f t="shared" si="131"/>
        <v>1335723.7571125862</v>
      </c>
      <c r="B1779" s="3">
        <f t="shared" si="133"/>
        <v>1.900000000000001</v>
      </c>
      <c r="C1779" s="553">
        <f>'Foglio deposito bis'!$E$160/sezione!$B$247*B1779</f>
        <v>7.7133056950661025</v>
      </c>
      <c r="D1779" s="611">
        <f>-'Progetto del paramento slu'!$G$47*'Progetto del paramento slu'!$G$41*IF(DATI!$G$218="dx",DATI!$E$61,DATI!$E$64*DATI!$E$63)*1000*C1779^2*sezione!$AD$5*(1-sezione!$AD$6)</f>
        <v>-489763.52334645821</v>
      </c>
      <c r="E1779" s="553">
        <f>-'Foglio deposito bis'!$F$78*(C1779-sezione!$AL$34)*IF(ABS(K1779)&lt;'Progetto del paramento slu'!$G$58,ABS(K1779)*'Progetto del paramento slu'!$G$54,'Progetto del paramento slu'!$G$53)</f>
        <v>0</v>
      </c>
      <c r="F1779" s="553">
        <f>-'Foglio deposito bis'!$F$79*(C1779-sezione!$AM$34)*IF(ABS(L1779)&lt;'Progetto del paramento slu'!$G$58,ABS(L1779)*'Progetto del paramento slu'!$G$54,'Progetto del paramento slu'!$G$53)</f>
        <v>21864464.683628332</v>
      </c>
      <c r="G1779" s="553">
        <f>-'Foglio deposito bis'!$F$80*(C1779-sezione!$AN$34)*IF(ABS(M1779)&lt;'Progetto del paramento slu'!$G$58,ABS(M1779)*'Progetto del paramento slu'!$G$54,'Progetto del paramento slu'!$G$53)</f>
        <v>0</v>
      </c>
      <c r="H1779" s="553">
        <f>-'Foglio deposito bis'!$F$81*(C1779-sezione!$AO$34)*IF(ABS(N1779)&lt;'Progetto del paramento slu'!$G$58,ABS(N1779)*'Progetto del paramento slu'!$G$54,'Progetto del paramento slu'!$G$53)</f>
        <v>132349561.75539461</v>
      </c>
      <c r="I1779" s="479">
        <f>-'Foglio deposito bis'!$F$82*(C1779-sezione!$AP$34)*IF(ABS(O1779)&lt;'Progetto del paramento slu'!$G$58,ABS(O1779)*'Progetto del paramento slu'!$G$54,'Progetto del paramento slu'!$G$53)</f>
        <v>225168458.50501835</v>
      </c>
      <c r="J1779" s="479">
        <f t="shared" si="129"/>
        <v>378892721.42069483</v>
      </c>
      <c r="K1779" s="558">
        <f>'Progetto del paramento slu'!$G$60*(sezione!$AL$34-C1779)/C1779</f>
        <v>1.4650453973262395E-2</v>
      </c>
      <c r="L1779" s="558">
        <f>'Progetto del paramento slu'!$G$60*(sezione!$AM$34-C1779)/C1779</f>
        <v>6.4564202399733983E-2</v>
      </c>
      <c r="M1779" s="559">
        <f>'Progetto del paramento slu'!$G$60*(sezione!$AN$34-C1779)/C1779</f>
        <v>0.11447795082620557</v>
      </c>
      <c r="N1779" s="559">
        <f>'Progetto del paramento slu'!$G$60*(sezione!$AO$34-C1779)/C1779</f>
        <v>0.15077885877273037</v>
      </c>
      <c r="O1779" s="559">
        <f>'Progetto del paramento slu'!$G$60*(sezione!$AP$34-C1779)/C1779</f>
        <v>0.11448112497410586</v>
      </c>
      <c r="P1779" s="553">
        <f>-'Progetto del paramento slu'!$G$47*'Progetto del paramento slu'!$G$41*IF(DATI!$G$218="dx",DATI!$E$61,DATI!$E$64*DATI!$E$63)*1000*C1779*sezione!$AD$5</f>
        <v>-108725.90861402532</v>
      </c>
      <c r="Q1779" s="553">
        <f>'Foglio deposito bis'!$F$78*IF(ABS(K1779)&lt;'Progetto del paramento slu'!$G$58,ABS(K1779)*'Progetto del paramento slu'!$G$54,'Progetto del paramento slu'!$G$53)*IF(K1779&lt;0,-1,1)</f>
        <v>0</v>
      </c>
      <c r="R1779" s="553">
        <f>'Foglio deposito bis'!$F$79*IF(ABS(L1779)&lt;'Progetto del paramento slu'!$G$58,ABS(L1779)*'Progetto del paramento slu'!$G$54,'Progetto del paramento slu'!$G$53)*IF(L1779&lt;0,-1,1)</f>
        <v>153664.85805602249</v>
      </c>
      <c r="S1779" s="553">
        <f>'Foglio deposito bis'!$F$80*IF(ABS(M1779)&lt;'Progetto del paramento slu'!$G$58,ABS(M1779)*'Progetto del paramento slu'!$G$54,'Progetto del paramento slu'!$G$53)*IF(M1779&lt;0,-1,1)</f>
        <v>0</v>
      </c>
      <c r="T1779" s="553">
        <f>'Foglio deposito bis'!$F$81*IF(ABS(N1779)&lt;'Progetto del paramento slu'!$G$58,ABS(N1779)*'Progetto del paramento slu'!$G$54,'Progetto del paramento slu'!$G$53)*IF(N1779&lt;0,-1,1)</f>
        <v>398299.31208121032</v>
      </c>
      <c r="U1779" s="553">
        <f>'Foglio deposito bis'!$F$82*IF(ABS(O1779)&lt;'Progetto del paramento slu'!$G$58,ABS(O1779)*'Progetto del paramento slu'!$G$54,'Progetto del paramento slu'!$G$53)*IF(O1779&lt;0,-1,1)</f>
        <v>892485.49558937876</v>
      </c>
      <c r="V1779" s="479">
        <f t="shared" si="132"/>
        <v>1335723.7571125862</v>
      </c>
      <c r="W1779" s="559"/>
      <c r="X1779" s="559"/>
    </row>
    <row r="1780" spans="1:24" x14ac:dyDescent="0.25">
      <c r="A1780" s="553">
        <f t="shared" si="131"/>
        <v>1332862.5489911647</v>
      </c>
      <c r="B1780" s="3">
        <f t="shared" si="133"/>
        <v>1.9500000000000011</v>
      </c>
      <c r="C1780" s="553">
        <f>'Foglio deposito bis'!$E$160/sezione!$B$247*B1780</f>
        <v>7.9162874238836309</v>
      </c>
      <c r="D1780" s="611">
        <f>-'Progetto del paramento slu'!$G$47*'Progetto del paramento slu'!$G$41*IF(DATI!$G$218="dx",DATI!$E$61,DATI!$E$64*DATI!$E$63)*1000*C1780^2*sezione!$AD$5*(1-sezione!$AD$6)</f>
        <v>-515879.72230606829</v>
      </c>
      <c r="E1780" s="553">
        <f>-'Foglio deposito bis'!$F$78*(C1780-sezione!$AL$34)*IF(ABS(K1780)&lt;'Progetto del paramento slu'!$G$58,ABS(K1780)*'Progetto del paramento slu'!$G$54,'Progetto del paramento slu'!$G$53)</f>
        <v>0</v>
      </c>
      <c r="F1780" s="553">
        <f>-'Foglio deposito bis'!$F$79*(C1780-sezione!$AM$34)*IF(ABS(L1780)&lt;'Progetto del paramento slu'!$G$58,ABS(L1780)*'Progetto del paramento slu'!$G$54,'Progetto del paramento slu'!$G$53)</f>
        <v>21833273.52508162</v>
      </c>
      <c r="G1780" s="553">
        <f>-'Foglio deposito bis'!$F$80*(C1780-sezione!$AN$34)*IF(ABS(M1780)&lt;'Progetto del paramento slu'!$G$58,ABS(M1780)*'Progetto del paramento slu'!$G$54,'Progetto del paramento slu'!$G$53)</f>
        <v>0</v>
      </c>
      <c r="H1780" s="553">
        <f>-'Foglio deposito bis'!$F$81*(C1780-sezione!$AO$34)*IF(ABS(N1780)&lt;'Progetto del paramento slu'!$G$58,ABS(N1780)*'Progetto del paramento slu'!$G$54,'Progetto del paramento slu'!$G$53)</f>
        <v>132268714.27244152</v>
      </c>
      <c r="I1780" s="479">
        <f>-'Foglio deposito bis'!$F$82*(C1780-sezione!$AP$34)*IF(ABS(O1780)&lt;'Progetto del paramento slu'!$G$58,ABS(O1780)*'Progetto del paramento slu'!$G$54,'Progetto del paramento slu'!$G$53)</f>
        <v>224987300.25617906</v>
      </c>
      <c r="J1780" s="479">
        <f t="shared" si="129"/>
        <v>378573408.3313961</v>
      </c>
      <c r="K1780" s="558">
        <f>'Progetto del paramento slu'!$G$60*(sezione!$AL$34-C1780)/C1780</f>
        <v>1.4185057717537721E-2</v>
      </c>
      <c r="L1780" s="558">
        <f>'Progetto del paramento slu'!$G$60*(sezione!$AM$34-C1780)/C1780</f>
        <v>6.2818966440766455E-2</v>
      </c>
      <c r="M1780" s="559">
        <f>'Progetto del paramento slu'!$G$60*(sezione!$AN$34-C1780)/C1780</f>
        <v>0.11145287516399517</v>
      </c>
      <c r="N1780" s="559">
        <f>'Progetto del paramento slu'!$G$60*(sezione!$AO$34-C1780)/C1780</f>
        <v>0.14682299059907061</v>
      </c>
      <c r="O1780" s="559">
        <f>'Progetto del paramento slu'!$G$60*(sezione!$AP$34-C1780)/C1780</f>
        <v>0.11145596792348778</v>
      </c>
      <c r="P1780" s="553">
        <f>-'Progetto del paramento slu'!$G$47*'Progetto del paramento slu'!$G$41*IF(DATI!$G$218="dx",DATI!$E$61,DATI!$E$64*DATI!$E$63)*1000*C1780*sezione!$AD$5</f>
        <v>-111587.11673544704</v>
      </c>
      <c r="Q1780" s="553">
        <f>'Foglio deposito bis'!$F$78*IF(ABS(K1780)&lt;'Progetto del paramento slu'!$G$58,ABS(K1780)*'Progetto del paramento slu'!$G$54,'Progetto del paramento slu'!$G$53)*IF(K1780&lt;0,-1,1)</f>
        <v>0</v>
      </c>
      <c r="R1780" s="553">
        <f>'Foglio deposito bis'!$F$79*IF(ABS(L1780)&lt;'Progetto del paramento slu'!$G$58,ABS(L1780)*'Progetto del paramento slu'!$G$54,'Progetto del paramento slu'!$G$53)*IF(L1780&lt;0,-1,1)</f>
        <v>153664.85805602249</v>
      </c>
      <c r="S1780" s="553">
        <f>'Foglio deposito bis'!$F$80*IF(ABS(M1780)&lt;'Progetto del paramento slu'!$G$58,ABS(M1780)*'Progetto del paramento slu'!$G$54,'Progetto del paramento slu'!$G$53)*IF(M1780&lt;0,-1,1)</f>
        <v>0</v>
      </c>
      <c r="T1780" s="553">
        <f>'Foglio deposito bis'!$F$81*IF(ABS(N1780)&lt;'Progetto del paramento slu'!$G$58,ABS(N1780)*'Progetto del paramento slu'!$G$54,'Progetto del paramento slu'!$G$53)*IF(N1780&lt;0,-1,1)</f>
        <v>398299.31208121032</v>
      </c>
      <c r="U1780" s="553">
        <f>'Foglio deposito bis'!$F$82*IF(ABS(O1780)&lt;'Progetto del paramento slu'!$G$58,ABS(O1780)*'Progetto del paramento slu'!$G$54,'Progetto del paramento slu'!$G$53)*IF(O1780&lt;0,-1,1)</f>
        <v>892485.49558937876</v>
      </c>
      <c r="V1780" s="479">
        <f t="shared" si="132"/>
        <v>1332862.5489911647</v>
      </c>
      <c r="W1780" s="559"/>
      <c r="X1780" s="559"/>
    </row>
    <row r="1781" spans="1:24" x14ac:dyDescent="0.25">
      <c r="A1781" s="553">
        <f t="shared" si="131"/>
        <v>1330001.3408697429</v>
      </c>
      <c r="B1781" s="3">
        <f t="shared" si="133"/>
        <v>2.0000000000000009</v>
      </c>
      <c r="C1781" s="553">
        <f>'Foglio deposito bis'!$E$160/sezione!$B$247*B1781</f>
        <v>8.1192691527011593</v>
      </c>
      <c r="D1781" s="611">
        <f>-'Progetto del paramento slu'!$G$47*'Progetto del paramento slu'!$G$41*IF(DATI!$G$218="dx",DATI!$E$61,DATI!$E$64*DATI!$E$63)*1000*C1781^2*sezione!$AD$5*(1-sezione!$AD$6)</f>
        <v>-542674.26409579837</v>
      </c>
      <c r="E1781" s="553">
        <f>-'Foglio deposito bis'!$F$78*(C1781-sezione!$AL$34)*IF(ABS(K1781)&lt;'Progetto del paramento slu'!$G$58,ABS(K1781)*'Progetto del paramento slu'!$G$54,'Progetto del paramento slu'!$G$53)</f>
        <v>0</v>
      </c>
      <c r="F1781" s="553">
        <f>-'Foglio deposito bis'!$F$79*(C1781-sezione!$AM$34)*IF(ABS(L1781)&lt;'Progetto del paramento slu'!$G$58,ABS(L1781)*'Progetto del paramento slu'!$G$54,'Progetto del paramento slu'!$G$53)</f>
        <v>21802082.366534911</v>
      </c>
      <c r="G1781" s="553">
        <f>-'Foglio deposito bis'!$F$80*(C1781-sezione!$AN$34)*IF(ABS(M1781)&lt;'Progetto del paramento slu'!$G$58,ABS(M1781)*'Progetto del paramento slu'!$G$54,'Progetto del paramento slu'!$G$53)</f>
        <v>0</v>
      </c>
      <c r="H1781" s="553">
        <f>-'Foglio deposito bis'!$F$81*(C1781-sezione!$AO$34)*IF(ABS(N1781)&lt;'Progetto del paramento slu'!$G$58,ABS(N1781)*'Progetto del paramento slu'!$G$54,'Progetto del paramento slu'!$G$53)</f>
        <v>132187866.78948843</v>
      </c>
      <c r="I1781" s="479">
        <f>-'Foglio deposito bis'!$F$82*(C1781-sezione!$AP$34)*IF(ABS(O1781)&lt;'Progetto del paramento slu'!$G$58,ABS(O1781)*'Progetto del paramento slu'!$G$54,'Progetto del paramento slu'!$G$53)</f>
        <v>224806142.00733978</v>
      </c>
      <c r="J1781" s="479">
        <f t="shared" si="129"/>
        <v>378253416.89926732</v>
      </c>
      <c r="K1781" s="558">
        <f>'Progetto del paramento slu'!$G$60*(sezione!$AL$34-C1781)/C1781</f>
        <v>1.3742931274599279E-2</v>
      </c>
      <c r="L1781" s="558">
        <f>'Progetto del paramento slu'!$G$60*(sezione!$AM$34-C1781)/C1781</f>
        <v>6.1160992279747292E-2</v>
      </c>
      <c r="M1781" s="559">
        <f>'Progetto del paramento slu'!$G$60*(sezione!$AN$34-C1781)/C1781</f>
        <v>0.10857905328489531</v>
      </c>
      <c r="N1781" s="559">
        <f>'Progetto del paramento slu'!$G$60*(sezione!$AO$34-C1781)/C1781</f>
        <v>0.14306491583409386</v>
      </c>
      <c r="O1781" s="559">
        <f>'Progetto del paramento slu'!$G$60*(sezione!$AP$34-C1781)/C1781</f>
        <v>0.10858206872540058</v>
      </c>
      <c r="P1781" s="553">
        <f>-'Progetto del paramento slu'!$G$47*'Progetto del paramento slu'!$G$41*IF(DATI!$G$218="dx",DATI!$E$61,DATI!$E$64*DATI!$E$63)*1000*C1781*sezione!$AD$5</f>
        <v>-114448.32485686874</v>
      </c>
      <c r="Q1781" s="553">
        <f>'Foglio deposito bis'!$F$78*IF(ABS(K1781)&lt;'Progetto del paramento slu'!$G$58,ABS(K1781)*'Progetto del paramento slu'!$G$54,'Progetto del paramento slu'!$G$53)*IF(K1781&lt;0,-1,1)</f>
        <v>0</v>
      </c>
      <c r="R1781" s="553">
        <f>'Foglio deposito bis'!$F$79*IF(ABS(L1781)&lt;'Progetto del paramento slu'!$G$58,ABS(L1781)*'Progetto del paramento slu'!$G$54,'Progetto del paramento slu'!$G$53)*IF(L1781&lt;0,-1,1)</f>
        <v>153664.85805602249</v>
      </c>
      <c r="S1781" s="553">
        <f>'Foglio deposito bis'!$F$80*IF(ABS(M1781)&lt;'Progetto del paramento slu'!$G$58,ABS(M1781)*'Progetto del paramento slu'!$G$54,'Progetto del paramento slu'!$G$53)*IF(M1781&lt;0,-1,1)</f>
        <v>0</v>
      </c>
      <c r="T1781" s="553">
        <f>'Foglio deposito bis'!$F$81*IF(ABS(N1781)&lt;'Progetto del paramento slu'!$G$58,ABS(N1781)*'Progetto del paramento slu'!$G$54,'Progetto del paramento slu'!$G$53)*IF(N1781&lt;0,-1,1)</f>
        <v>398299.31208121032</v>
      </c>
      <c r="U1781" s="553">
        <f>'Foglio deposito bis'!$F$82*IF(ABS(O1781)&lt;'Progetto del paramento slu'!$G$58,ABS(O1781)*'Progetto del paramento slu'!$G$54,'Progetto del paramento slu'!$G$53)*IF(O1781&lt;0,-1,1)</f>
        <v>892485.49558937876</v>
      </c>
      <c r="V1781" s="479">
        <f t="shared" si="132"/>
        <v>1330001.3408697429</v>
      </c>
      <c r="W1781" s="559"/>
      <c r="X1781" s="559"/>
    </row>
    <row r="1782" spans="1:24" x14ac:dyDescent="0.25">
      <c r="A1782" s="553">
        <f t="shared" si="131"/>
        <v>1327140.1327483212</v>
      </c>
      <c r="B1782" s="3">
        <f t="shared" si="133"/>
        <v>2.0500000000000007</v>
      </c>
      <c r="C1782" s="553">
        <f>'Foglio deposito bis'!$E$160/sezione!$B$247*B1782</f>
        <v>8.3222508815186877</v>
      </c>
      <c r="D1782" s="611">
        <f>-'Progetto del paramento slu'!$G$47*'Progetto del paramento slu'!$G$41*IF(DATI!$G$218="dx",DATI!$E$61,DATI!$E$64*DATI!$E$63)*1000*C1782^2*sezione!$AD$5*(1-sezione!$AD$6)</f>
        <v>-570147.1487156481</v>
      </c>
      <c r="E1782" s="553">
        <f>-'Foglio deposito bis'!$F$78*(C1782-sezione!$AL$34)*IF(ABS(K1782)&lt;'Progetto del paramento slu'!$G$58,ABS(K1782)*'Progetto del paramento slu'!$G$54,'Progetto del paramento slu'!$G$53)</f>
        <v>0</v>
      </c>
      <c r="F1782" s="553">
        <f>-'Foglio deposito bis'!$F$79*(C1782-sezione!$AM$34)*IF(ABS(L1782)&lt;'Progetto del paramento slu'!$G$58,ABS(L1782)*'Progetto del paramento slu'!$G$54,'Progetto del paramento slu'!$G$53)</f>
        <v>21770891.207988195</v>
      </c>
      <c r="G1782" s="553">
        <f>-'Foglio deposito bis'!$F$80*(C1782-sezione!$AN$34)*IF(ABS(M1782)&lt;'Progetto del paramento slu'!$G$58,ABS(M1782)*'Progetto del paramento slu'!$G$54,'Progetto del paramento slu'!$G$53)</f>
        <v>0</v>
      </c>
      <c r="H1782" s="553">
        <f>-'Foglio deposito bis'!$F$81*(C1782-sezione!$AO$34)*IF(ABS(N1782)&lt;'Progetto del paramento slu'!$G$58,ABS(N1782)*'Progetto del paramento slu'!$G$54,'Progetto del paramento slu'!$G$53)</f>
        <v>132107019.30653536</v>
      </c>
      <c r="I1782" s="479">
        <f>-'Foglio deposito bis'!$F$82*(C1782-sezione!$AP$34)*IF(ABS(O1782)&lt;'Progetto del paramento slu'!$G$58,ABS(O1782)*'Progetto del paramento slu'!$G$54,'Progetto del paramento slu'!$G$53)</f>
        <v>224624983.75850043</v>
      </c>
      <c r="J1782" s="479">
        <f t="shared" si="129"/>
        <v>377932747.12430835</v>
      </c>
      <c r="K1782" s="558">
        <f>'Progetto del paramento slu'!$G$60*(sezione!$AL$34-C1782)/C1782</f>
        <v>1.332237197521881E-2</v>
      </c>
      <c r="L1782" s="558">
        <f>'Progetto del paramento slu'!$G$60*(sezione!$AM$34-C1782)/C1782</f>
        <v>5.9583894907070528E-2</v>
      </c>
      <c r="M1782" s="559">
        <f>'Progetto del paramento slu'!$G$60*(sezione!$AN$34-C1782)/C1782</f>
        <v>0.10584541783892225</v>
      </c>
      <c r="N1782" s="559">
        <f>'Progetto del paramento slu'!$G$60*(sezione!$AO$34-C1782)/C1782</f>
        <v>0.13949016178935986</v>
      </c>
      <c r="O1782" s="559">
        <f>'Progetto del paramento slu'!$G$60*(sezione!$AP$34-C1782)/C1782</f>
        <v>0.10584835973209812</v>
      </c>
      <c r="P1782" s="553">
        <f>-'Progetto del paramento slu'!$G$47*'Progetto del paramento slu'!$G$41*IF(DATI!$G$218="dx",DATI!$E$61,DATI!$E$64*DATI!$E$63)*1000*C1782*sezione!$AD$5</f>
        <v>-117309.53297829046</v>
      </c>
      <c r="Q1782" s="553">
        <f>'Foglio deposito bis'!$F$78*IF(ABS(K1782)&lt;'Progetto del paramento slu'!$G$58,ABS(K1782)*'Progetto del paramento slu'!$G$54,'Progetto del paramento slu'!$G$53)*IF(K1782&lt;0,-1,1)</f>
        <v>0</v>
      </c>
      <c r="R1782" s="553">
        <f>'Foglio deposito bis'!$F$79*IF(ABS(L1782)&lt;'Progetto del paramento slu'!$G$58,ABS(L1782)*'Progetto del paramento slu'!$G$54,'Progetto del paramento slu'!$G$53)*IF(L1782&lt;0,-1,1)</f>
        <v>153664.85805602249</v>
      </c>
      <c r="S1782" s="553">
        <f>'Foglio deposito bis'!$F$80*IF(ABS(M1782)&lt;'Progetto del paramento slu'!$G$58,ABS(M1782)*'Progetto del paramento slu'!$G$54,'Progetto del paramento slu'!$G$53)*IF(M1782&lt;0,-1,1)</f>
        <v>0</v>
      </c>
      <c r="T1782" s="553">
        <f>'Foglio deposito bis'!$F$81*IF(ABS(N1782)&lt;'Progetto del paramento slu'!$G$58,ABS(N1782)*'Progetto del paramento slu'!$G$54,'Progetto del paramento slu'!$G$53)*IF(N1782&lt;0,-1,1)</f>
        <v>398299.31208121032</v>
      </c>
      <c r="U1782" s="553">
        <f>'Foglio deposito bis'!$F$82*IF(ABS(O1782)&lt;'Progetto del paramento slu'!$G$58,ABS(O1782)*'Progetto del paramento slu'!$G$54,'Progetto del paramento slu'!$G$53)*IF(O1782&lt;0,-1,1)</f>
        <v>892485.49558937876</v>
      </c>
      <c r="V1782" s="479">
        <f t="shared" si="132"/>
        <v>1327140.1327483212</v>
      </c>
      <c r="W1782" s="559"/>
      <c r="X1782" s="559"/>
    </row>
    <row r="1783" spans="1:24" x14ac:dyDescent="0.25">
      <c r="A1783" s="553">
        <f t="shared" si="131"/>
        <v>1324278.9246268994</v>
      </c>
      <c r="B1783" s="3">
        <f t="shared" si="133"/>
        <v>2.1000000000000005</v>
      </c>
      <c r="C1783" s="553">
        <f>'Foglio deposito bis'!$E$160/sezione!$B$247*B1783</f>
        <v>8.5252326103362162</v>
      </c>
      <c r="D1783" s="611">
        <f>-'Progetto del paramento slu'!$G$47*'Progetto del paramento slu'!$G$41*IF(DATI!$G$218="dx",DATI!$E$61,DATI!$E$64*DATI!$E$63)*1000*C1783^2*sezione!$AD$5*(1-sezione!$AD$6)</f>
        <v>-598298.37616561749</v>
      </c>
      <c r="E1783" s="553">
        <f>-'Foglio deposito bis'!$F$78*(C1783-sezione!$AL$34)*IF(ABS(K1783)&lt;'Progetto del paramento slu'!$G$58,ABS(K1783)*'Progetto del paramento slu'!$G$54,'Progetto del paramento slu'!$G$53)</f>
        <v>0</v>
      </c>
      <c r="F1783" s="553">
        <f>-'Foglio deposito bis'!$F$79*(C1783-sezione!$AM$34)*IF(ABS(L1783)&lt;'Progetto del paramento slu'!$G$58,ABS(L1783)*'Progetto del paramento slu'!$G$54,'Progetto del paramento slu'!$G$53)</f>
        <v>21739700.049441487</v>
      </c>
      <c r="G1783" s="553">
        <f>-'Foglio deposito bis'!$F$80*(C1783-sezione!$AN$34)*IF(ABS(M1783)&lt;'Progetto del paramento slu'!$G$58,ABS(M1783)*'Progetto del paramento slu'!$G$54,'Progetto del paramento slu'!$G$53)</f>
        <v>0</v>
      </c>
      <c r="H1783" s="553">
        <f>-'Foglio deposito bis'!$F$81*(C1783-sezione!$AO$34)*IF(ABS(N1783)&lt;'Progetto del paramento slu'!$G$58,ABS(N1783)*'Progetto del paramento slu'!$G$54,'Progetto del paramento slu'!$G$53)</f>
        <v>132026171.82358229</v>
      </c>
      <c r="I1783" s="479">
        <f>-'Foglio deposito bis'!$F$82*(C1783-sezione!$AP$34)*IF(ABS(O1783)&lt;'Progetto del paramento slu'!$G$58,ABS(O1783)*'Progetto del paramento slu'!$G$54,'Progetto del paramento slu'!$G$53)</f>
        <v>224443825.50966114</v>
      </c>
      <c r="J1783" s="479">
        <f t="shared" si="129"/>
        <v>377611399.00651932</v>
      </c>
      <c r="K1783" s="558">
        <f>'Progetto del paramento slu'!$G$60*(sezione!$AL$34-C1783)/C1783</f>
        <v>1.2921839309142171E-2</v>
      </c>
      <c r="L1783" s="558">
        <f>'Progetto del paramento slu'!$G$60*(sezione!$AM$34-C1783)/C1783</f>
        <v>5.8081897409283142E-2</v>
      </c>
      <c r="M1783" s="559">
        <f>'Progetto del paramento slu'!$G$60*(sezione!$AN$34-C1783)/C1783</f>
        <v>0.10324195550942412</v>
      </c>
      <c r="N1783" s="559">
        <f>'Progetto del paramento slu'!$G$60*(sezione!$AO$34-C1783)/C1783</f>
        <v>0.13608563412770847</v>
      </c>
      <c r="O1783" s="559">
        <f>'Progetto del paramento slu'!$G$60*(sezione!$AP$34-C1783)/C1783</f>
        <v>0.10324482735752437</v>
      </c>
      <c r="P1783" s="553">
        <f>-'Progetto del paramento slu'!$G$47*'Progetto del paramento slu'!$G$41*IF(DATI!$G$218="dx",DATI!$E$61,DATI!$E$64*DATI!$E$63)*1000*C1783*sezione!$AD$5</f>
        <v>-120170.74109971218</v>
      </c>
      <c r="Q1783" s="553">
        <f>'Foglio deposito bis'!$F$78*IF(ABS(K1783)&lt;'Progetto del paramento slu'!$G$58,ABS(K1783)*'Progetto del paramento slu'!$G$54,'Progetto del paramento slu'!$G$53)*IF(K1783&lt;0,-1,1)</f>
        <v>0</v>
      </c>
      <c r="R1783" s="553">
        <f>'Foglio deposito bis'!$F$79*IF(ABS(L1783)&lt;'Progetto del paramento slu'!$G$58,ABS(L1783)*'Progetto del paramento slu'!$G$54,'Progetto del paramento slu'!$G$53)*IF(L1783&lt;0,-1,1)</f>
        <v>153664.85805602249</v>
      </c>
      <c r="S1783" s="553">
        <f>'Foglio deposito bis'!$F$80*IF(ABS(M1783)&lt;'Progetto del paramento slu'!$G$58,ABS(M1783)*'Progetto del paramento slu'!$G$54,'Progetto del paramento slu'!$G$53)*IF(M1783&lt;0,-1,1)</f>
        <v>0</v>
      </c>
      <c r="T1783" s="553">
        <f>'Foglio deposito bis'!$F$81*IF(ABS(N1783)&lt;'Progetto del paramento slu'!$G$58,ABS(N1783)*'Progetto del paramento slu'!$G$54,'Progetto del paramento slu'!$G$53)*IF(N1783&lt;0,-1,1)</f>
        <v>398299.31208121032</v>
      </c>
      <c r="U1783" s="553">
        <f>'Foglio deposito bis'!$F$82*IF(ABS(O1783)&lt;'Progetto del paramento slu'!$G$58,ABS(O1783)*'Progetto del paramento slu'!$G$54,'Progetto del paramento slu'!$G$53)*IF(O1783&lt;0,-1,1)</f>
        <v>892485.49558937876</v>
      </c>
      <c r="V1783" s="479">
        <f t="shared" si="132"/>
        <v>1324278.9246268994</v>
      </c>
      <c r="W1783" s="559"/>
      <c r="X1783" s="559"/>
    </row>
    <row r="1784" spans="1:24" x14ac:dyDescent="0.25">
      <c r="A1784" s="553">
        <f t="shared" si="131"/>
        <v>1321417.7165054777</v>
      </c>
      <c r="B1784" s="3">
        <f t="shared" si="133"/>
        <v>2.1500000000000004</v>
      </c>
      <c r="C1784" s="553">
        <f>'Foglio deposito bis'!$E$160/sezione!$B$247*B1784</f>
        <v>8.7282143391537446</v>
      </c>
      <c r="D1784" s="611">
        <f>-'Progetto del paramento slu'!$G$47*'Progetto del paramento slu'!$G$41*IF(DATI!$G$218="dx",DATI!$E$61,DATI!$E$64*DATI!$E$63)*1000*C1784^2*sezione!$AD$5*(1-sezione!$AD$6)</f>
        <v>-627127.94644570665</v>
      </c>
      <c r="E1784" s="553">
        <f>-'Foglio deposito bis'!$F$78*(C1784-sezione!$AL$34)*IF(ABS(K1784)&lt;'Progetto del paramento slu'!$G$58,ABS(K1784)*'Progetto del paramento slu'!$G$54,'Progetto del paramento slu'!$G$53)</f>
        <v>0</v>
      </c>
      <c r="F1784" s="553">
        <f>-'Foglio deposito bis'!$F$79*(C1784-sezione!$AM$34)*IF(ABS(L1784)&lt;'Progetto del paramento slu'!$G$58,ABS(L1784)*'Progetto del paramento slu'!$G$54,'Progetto del paramento slu'!$G$53)</f>
        <v>21708508.890894774</v>
      </c>
      <c r="G1784" s="553">
        <f>-'Foglio deposito bis'!$F$80*(C1784-sezione!$AN$34)*IF(ABS(M1784)&lt;'Progetto del paramento slu'!$G$58,ABS(M1784)*'Progetto del paramento slu'!$G$54,'Progetto del paramento slu'!$G$53)</f>
        <v>0</v>
      </c>
      <c r="H1784" s="553">
        <f>-'Foglio deposito bis'!$F$81*(C1784-sezione!$AO$34)*IF(ABS(N1784)&lt;'Progetto del paramento slu'!$G$58,ABS(N1784)*'Progetto del paramento slu'!$G$54,'Progetto del paramento slu'!$G$53)</f>
        <v>131945324.34062922</v>
      </c>
      <c r="I1784" s="479">
        <f>-'Foglio deposito bis'!$F$82*(C1784-sezione!$AP$34)*IF(ABS(O1784)&lt;'Progetto del paramento slu'!$G$58,ABS(O1784)*'Progetto del paramento slu'!$G$54,'Progetto del paramento slu'!$G$53)</f>
        <v>224262667.26082185</v>
      </c>
      <c r="J1784" s="479">
        <f t="shared" si="129"/>
        <v>377289372.54590011</v>
      </c>
      <c r="K1784" s="558">
        <f>'Progetto del paramento slu'!$G$60*(sezione!$AL$34-C1784)/C1784</f>
        <v>1.2539936069394681E-2</v>
      </c>
      <c r="L1784" s="558">
        <f>'Progetto del paramento slu'!$G$60*(sezione!$AM$34-C1784)/C1784</f>
        <v>5.6649760260230053E-2</v>
      </c>
      <c r="M1784" s="559">
        <f>'Progetto del paramento slu'!$G$60*(sezione!$AN$34-C1784)/C1784</f>
        <v>0.10075958445106543</v>
      </c>
      <c r="N1784" s="559">
        <f>'Progetto del paramento slu'!$G$60*(sezione!$AO$34-C1784)/C1784</f>
        <v>0.13283945658985477</v>
      </c>
      <c r="O1784" s="559">
        <f>'Progetto del paramento slu'!$G$60*(sezione!$AP$34-C1784)/C1784</f>
        <v>0.10076238951200056</v>
      </c>
      <c r="P1784" s="553">
        <f>-'Progetto del paramento slu'!$G$47*'Progetto del paramento slu'!$G$41*IF(DATI!$G$218="dx",DATI!$E$61,DATI!$E$64*DATI!$E$63)*1000*C1784*sezione!$AD$5</f>
        <v>-123031.94922113388</v>
      </c>
      <c r="Q1784" s="553">
        <f>'Foglio deposito bis'!$F$78*IF(ABS(K1784)&lt;'Progetto del paramento slu'!$G$58,ABS(K1784)*'Progetto del paramento slu'!$G$54,'Progetto del paramento slu'!$G$53)*IF(K1784&lt;0,-1,1)</f>
        <v>0</v>
      </c>
      <c r="R1784" s="553">
        <f>'Foglio deposito bis'!$F$79*IF(ABS(L1784)&lt;'Progetto del paramento slu'!$G$58,ABS(L1784)*'Progetto del paramento slu'!$G$54,'Progetto del paramento slu'!$G$53)*IF(L1784&lt;0,-1,1)</f>
        <v>153664.85805602249</v>
      </c>
      <c r="S1784" s="553">
        <f>'Foglio deposito bis'!$F$80*IF(ABS(M1784)&lt;'Progetto del paramento slu'!$G$58,ABS(M1784)*'Progetto del paramento slu'!$G$54,'Progetto del paramento slu'!$G$53)*IF(M1784&lt;0,-1,1)</f>
        <v>0</v>
      </c>
      <c r="T1784" s="553">
        <f>'Foglio deposito bis'!$F$81*IF(ABS(N1784)&lt;'Progetto del paramento slu'!$G$58,ABS(N1784)*'Progetto del paramento slu'!$G$54,'Progetto del paramento slu'!$G$53)*IF(N1784&lt;0,-1,1)</f>
        <v>398299.31208121032</v>
      </c>
      <c r="U1784" s="553">
        <f>'Foglio deposito bis'!$F$82*IF(ABS(O1784)&lt;'Progetto del paramento slu'!$G$58,ABS(O1784)*'Progetto del paramento slu'!$G$54,'Progetto del paramento slu'!$G$53)*IF(O1784&lt;0,-1,1)</f>
        <v>892485.49558937876</v>
      </c>
      <c r="V1784" s="479">
        <f t="shared" si="132"/>
        <v>1321417.7165054777</v>
      </c>
      <c r="W1784" s="559"/>
      <c r="X1784" s="559"/>
    </row>
    <row r="1785" spans="1:24" x14ac:dyDescent="0.25">
      <c r="A1785" s="553">
        <f t="shared" si="131"/>
        <v>1318556.5083840559</v>
      </c>
      <c r="B1785" s="3">
        <f t="shared" si="133"/>
        <v>2.2000000000000002</v>
      </c>
      <c r="C1785" s="553">
        <f>'Foglio deposito bis'!$E$160/sezione!$B$247*B1785</f>
        <v>8.931196067971273</v>
      </c>
      <c r="D1785" s="611">
        <f>-'Progetto del paramento slu'!$G$47*'Progetto del paramento slu'!$G$41*IF(DATI!$G$218="dx",DATI!$E$61,DATI!$E$64*DATI!$E$63)*1000*C1785^2*sezione!$AD$5*(1-sezione!$AD$6)</f>
        <v>-656635.85955591558</v>
      </c>
      <c r="E1785" s="553">
        <f>-'Foglio deposito bis'!$F$78*(C1785-sezione!$AL$34)*IF(ABS(K1785)&lt;'Progetto del paramento slu'!$G$58,ABS(K1785)*'Progetto del paramento slu'!$G$54,'Progetto del paramento slu'!$G$53)</f>
        <v>0</v>
      </c>
      <c r="F1785" s="553">
        <f>-'Foglio deposito bis'!$F$79*(C1785-sezione!$AM$34)*IF(ABS(L1785)&lt;'Progetto del paramento slu'!$G$58,ABS(L1785)*'Progetto del paramento slu'!$G$54,'Progetto del paramento slu'!$G$53)</f>
        <v>21677317.732348058</v>
      </c>
      <c r="G1785" s="553">
        <f>-'Foglio deposito bis'!$F$80*(C1785-sezione!$AN$34)*IF(ABS(M1785)&lt;'Progetto del paramento slu'!$G$58,ABS(M1785)*'Progetto del paramento slu'!$G$54,'Progetto del paramento slu'!$G$53)</f>
        <v>0</v>
      </c>
      <c r="H1785" s="553">
        <f>-'Foglio deposito bis'!$F$81*(C1785-sezione!$AO$34)*IF(ABS(N1785)&lt;'Progetto del paramento slu'!$G$58,ABS(N1785)*'Progetto del paramento slu'!$G$54,'Progetto del paramento slu'!$G$53)</f>
        <v>131864476.85767615</v>
      </c>
      <c r="I1785" s="479">
        <f>-'Foglio deposito bis'!$F$82*(C1785-sezione!$AP$34)*IF(ABS(O1785)&lt;'Progetto del paramento slu'!$G$58,ABS(O1785)*'Progetto del paramento slu'!$G$54,'Progetto del paramento slu'!$G$53)</f>
        <v>224081509.01198253</v>
      </c>
      <c r="J1785" s="479">
        <f t="shared" si="129"/>
        <v>376966667.74245083</v>
      </c>
      <c r="K1785" s="558">
        <f>'Progetto del paramento slu'!$G$60*(sezione!$AL$34-C1785)/C1785</f>
        <v>1.2175392067817531E-2</v>
      </c>
      <c r="L1785" s="558">
        <f>'Progetto del paramento slu'!$G$60*(sezione!$AM$34-C1785)/C1785</f>
        <v>5.5282720254315729E-2</v>
      </c>
      <c r="M1785" s="559">
        <f>'Progetto del paramento slu'!$G$60*(sezione!$AN$34-C1785)/C1785</f>
        <v>9.8390048440813949E-2</v>
      </c>
      <c r="N1785" s="559">
        <f>'Progetto del paramento slu'!$G$60*(sezione!$AO$34-C1785)/C1785</f>
        <v>0.12974083257644903</v>
      </c>
      <c r="O1785" s="559">
        <f>'Progetto del paramento slu'!$G$60*(sezione!$AP$34-C1785)/C1785</f>
        <v>9.8392789750364182E-2</v>
      </c>
      <c r="P1785" s="553">
        <f>-'Progetto del paramento slu'!$G$47*'Progetto del paramento slu'!$G$41*IF(DATI!$G$218="dx",DATI!$E$61,DATI!$E$64*DATI!$E$63)*1000*C1785*sezione!$AD$5</f>
        <v>-125893.1573425556</v>
      </c>
      <c r="Q1785" s="553">
        <f>'Foglio deposito bis'!$F$78*IF(ABS(K1785)&lt;'Progetto del paramento slu'!$G$58,ABS(K1785)*'Progetto del paramento slu'!$G$54,'Progetto del paramento slu'!$G$53)*IF(K1785&lt;0,-1,1)</f>
        <v>0</v>
      </c>
      <c r="R1785" s="553">
        <f>'Foglio deposito bis'!$F$79*IF(ABS(L1785)&lt;'Progetto del paramento slu'!$G$58,ABS(L1785)*'Progetto del paramento slu'!$G$54,'Progetto del paramento slu'!$G$53)*IF(L1785&lt;0,-1,1)</f>
        <v>153664.85805602249</v>
      </c>
      <c r="S1785" s="553">
        <f>'Foglio deposito bis'!$F$80*IF(ABS(M1785)&lt;'Progetto del paramento slu'!$G$58,ABS(M1785)*'Progetto del paramento slu'!$G$54,'Progetto del paramento slu'!$G$53)*IF(M1785&lt;0,-1,1)</f>
        <v>0</v>
      </c>
      <c r="T1785" s="553">
        <f>'Foglio deposito bis'!$F$81*IF(ABS(N1785)&lt;'Progetto del paramento slu'!$G$58,ABS(N1785)*'Progetto del paramento slu'!$G$54,'Progetto del paramento slu'!$G$53)*IF(N1785&lt;0,-1,1)</f>
        <v>398299.31208121032</v>
      </c>
      <c r="U1785" s="553">
        <f>'Foglio deposito bis'!$F$82*IF(ABS(O1785)&lt;'Progetto del paramento slu'!$G$58,ABS(O1785)*'Progetto del paramento slu'!$G$54,'Progetto del paramento slu'!$G$53)*IF(O1785&lt;0,-1,1)</f>
        <v>892485.49558937876</v>
      </c>
      <c r="V1785" s="479">
        <f t="shared" si="132"/>
        <v>1318556.5083840559</v>
      </c>
      <c r="W1785" s="559"/>
      <c r="X1785" s="559"/>
    </row>
    <row r="1786" spans="1:24" x14ac:dyDescent="0.25">
      <c r="A1786" s="553">
        <f t="shared" si="131"/>
        <v>1315695.3002626342</v>
      </c>
      <c r="B1786" s="3">
        <f t="shared" si="133"/>
        <v>2.25</v>
      </c>
      <c r="C1786" s="553">
        <f>'Foglio deposito bis'!$E$160/sezione!$B$247*B1786</f>
        <v>9.1341777967887996</v>
      </c>
      <c r="D1786" s="611">
        <f>-'Progetto del paramento slu'!$G$47*'Progetto del paramento slu'!$G$41*IF(DATI!$G$218="dx",DATI!$E$61,DATI!$E$64*DATI!$E$63)*1000*C1786^2*sezione!$AD$5*(1-sezione!$AD$6)</f>
        <v>-686822.11549624417</v>
      </c>
      <c r="E1786" s="553">
        <f>-'Foglio deposito bis'!$F$78*(C1786-sezione!$AL$34)*IF(ABS(K1786)&lt;'Progetto del paramento slu'!$G$58,ABS(K1786)*'Progetto del paramento slu'!$G$54,'Progetto del paramento slu'!$G$53)</f>
        <v>0</v>
      </c>
      <c r="F1786" s="553">
        <f>-'Foglio deposito bis'!$F$79*(C1786-sezione!$AM$34)*IF(ABS(L1786)&lt;'Progetto del paramento slu'!$G$58,ABS(L1786)*'Progetto del paramento slu'!$G$54,'Progetto del paramento slu'!$G$53)</f>
        <v>21646126.57380135</v>
      </c>
      <c r="G1786" s="553">
        <f>-'Foglio deposito bis'!$F$80*(C1786-sezione!$AN$34)*IF(ABS(M1786)&lt;'Progetto del paramento slu'!$G$58,ABS(M1786)*'Progetto del paramento slu'!$G$54,'Progetto del paramento slu'!$G$53)</f>
        <v>0</v>
      </c>
      <c r="H1786" s="553">
        <f>-'Foglio deposito bis'!$F$81*(C1786-sezione!$AO$34)*IF(ABS(N1786)&lt;'Progetto del paramento slu'!$G$58,ABS(N1786)*'Progetto del paramento slu'!$G$54,'Progetto del paramento slu'!$G$53)</f>
        <v>131783629.37472308</v>
      </c>
      <c r="I1786" s="479">
        <f>-'Foglio deposito bis'!$F$82*(C1786-sezione!$AP$34)*IF(ABS(O1786)&lt;'Progetto del paramento slu'!$G$58,ABS(O1786)*'Progetto del paramento slu'!$G$54,'Progetto del paramento slu'!$G$53)</f>
        <v>223900350.76314324</v>
      </c>
      <c r="J1786" s="479">
        <f t="shared" si="129"/>
        <v>376643284.59617144</v>
      </c>
      <c r="K1786" s="558">
        <f>'Progetto del paramento slu'!$G$60*(sezione!$AL$34-C1786)/C1786</f>
        <v>1.1827050021866032E-2</v>
      </c>
      <c r="L1786" s="558">
        <f>'Progetto del paramento slu'!$G$60*(sezione!$AM$34-C1786)/C1786</f>
        <v>5.3976437581997619E-2</v>
      </c>
      <c r="M1786" s="559">
        <f>'Progetto del paramento slu'!$G$60*(sezione!$AN$34-C1786)/C1786</f>
        <v>9.6125825142129209E-2</v>
      </c>
      <c r="N1786" s="559">
        <f>'Progetto del paramento slu'!$G$60*(sezione!$AO$34-C1786)/C1786</f>
        <v>0.12677992518586129</v>
      </c>
      <c r="O1786" s="559">
        <f>'Progetto del paramento slu'!$G$60*(sezione!$AP$34-C1786)/C1786</f>
        <v>9.6128505533689457E-2</v>
      </c>
      <c r="P1786" s="553">
        <f>-'Progetto del paramento slu'!$G$47*'Progetto del paramento slu'!$G$41*IF(DATI!$G$218="dx",DATI!$E$61,DATI!$E$64*DATI!$E$63)*1000*C1786*sezione!$AD$5</f>
        <v>-128754.36546397729</v>
      </c>
      <c r="Q1786" s="553">
        <f>'Foglio deposito bis'!$F$78*IF(ABS(K1786)&lt;'Progetto del paramento slu'!$G$58,ABS(K1786)*'Progetto del paramento slu'!$G$54,'Progetto del paramento slu'!$G$53)*IF(K1786&lt;0,-1,1)</f>
        <v>0</v>
      </c>
      <c r="R1786" s="553">
        <f>'Foglio deposito bis'!$F$79*IF(ABS(L1786)&lt;'Progetto del paramento slu'!$G$58,ABS(L1786)*'Progetto del paramento slu'!$G$54,'Progetto del paramento slu'!$G$53)*IF(L1786&lt;0,-1,1)</f>
        <v>153664.85805602249</v>
      </c>
      <c r="S1786" s="553">
        <f>'Foglio deposito bis'!$F$80*IF(ABS(M1786)&lt;'Progetto del paramento slu'!$G$58,ABS(M1786)*'Progetto del paramento slu'!$G$54,'Progetto del paramento slu'!$G$53)*IF(M1786&lt;0,-1,1)</f>
        <v>0</v>
      </c>
      <c r="T1786" s="553">
        <f>'Foglio deposito bis'!$F$81*IF(ABS(N1786)&lt;'Progetto del paramento slu'!$G$58,ABS(N1786)*'Progetto del paramento slu'!$G$54,'Progetto del paramento slu'!$G$53)*IF(N1786&lt;0,-1,1)</f>
        <v>398299.31208121032</v>
      </c>
      <c r="U1786" s="553">
        <f>'Foglio deposito bis'!$F$82*IF(ABS(O1786)&lt;'Progetto del paramento slu'!$G$58,ABS(O1786)*'Progetto del paramento slu'!$G$54,'Progetto del paramento slu'!$G$53)*IF(O1786&lt;0,-1,1)</f>
        <v>892485.49558937876</v>
      </c>
      <c r="V1786" s="479">
        <f t="shared" si="132"/>
        <v>1315695.3002626342</v>
      </c>
      <c r="W1786" s="559"/>
      <c r="X1786" s="559"/>
    </row>
    <row r="1787" spans="1:24" x14ac:dyDescent="0.25">
      <c r="A1787" s="553">
        <f t="shared" si="131"/>
        <v>1312834.0921412127</v>
      </c>
      <c r="B1787" s="3">
        <f t="shared" si="133"/>
        <v>2.2999999999999998</v>
      </c>
      <c r="C1787" s="553">
        <f>'Foglio deposito bis'!$E$160/sezione!$B$247*B1787</f>
        <v>9.337159525606328</v>
      </c>
      <c r="D1787" s="611">
        <f>-'Progetto del paramento slu'!$G$47*'Progetto del paramento slu'!$G$41*IF(DATI!$G$218="dx",DATI!$E$61,DATI!$E$64*DATI!$E$63)*1000*C1787^2*sezione!$AD$5*(1-sezione!$AD$6)</f>
        <v>-717686.71426669264</v>
      </c>
      <c r="E1787" s="553">
        <f>-'Foglio deposito bis'!$F$78*(C1787-sezione!$AL$34)*IF(ABS(K1787)&lt;'Progetto del paramento slu'!$G$58,ABS(K1787)*'Progetto del paramento slu'!$G$54,'Progetto del paramento slu'!$G$53)</f>
        <v>0</v>
      </c>
      <c r="F1787" s="553">
        <f>-'Foglio deposito bis'!$F$79*(C1787-sezione!$AM$34)*IF(ABS(L1787)&lt;'Progetto del paramento slu'!$G$58,ABS(L1787)*'Progetto del paramento slu'!$G$54,'Progetto del paramento slu'!$G$53)</f>
        <v>21614935.415254638</v>
      </c>
      <c r="G1787" s="553">
        <f>-'Foglio deposito bis'!$F$80*(C1787-sezione!$AN$34)*IF(ABS(M1787)&lt;'Progetto del paramento slu'!$G$58,ABS(M1787)*'Progetto del paramento slu'!$G$54,'Progetto del paramento slu'!$G$53)</f>
        <v>0</v>
      </c>
      <c r="H1787" s="553">
        <f>-'Foglio deposito bis'!$F$81*(C1787-sezione!$AO$34)*IF(ABS(N1787)&lt;'Progetto del paramento slu'!$G$58,ABS(N1787)*'Progetto del paramento slu'!$G$54,'Progetto del paramento slu'!$G$53)</f>
        <v>131702781.89176998</v>
      </c>
      <c r="I1787" s="479">
        <f>-'Foglio deposito bis'!$F$82*(C1787-sezione!$AP$34)*IF(ABS(O1787)&lt;'Progetto del paramento slu'!$G$58,ABS(O1787)*'Progetto del paramento slu'!$G$54,'Progetto del paramento slu'!$G$53)</f>
        <v>223719192.51430395</v>
      </c>
      <c r="J1787" s="479">
        <f t="shared" si="129"/>
        <v>376319223.10706186</v>
      </c>
      <c r="K1787" s="558">
        <f>'Progetto del paramento slu'!$G$60*(sezione!$AL$34-C1787)/C1787</f>
        <v>1.149385328226025E-2</v>
      </c>
      <c r="L1787" s="558">
        <f>'Progetto del paramento slu'!$G$60*(sezione!$AM$34-C1787)/C1787</f>
        <v>5.2726949808475941E-2</v>
      </c>
      <c r="M1787" s="559">
        <f>'Progetto del paramento slu'!$G$60*(sezione!$AN$34-C1787)/C1787</f>
        <v>9.3960046334691627E-2</v>
      </c>
      <c r="N1787" s="559">
        <f>'Progetto del paramento slu'!$G$60*(sezione!$AO$34-C1787)/C1787</f>
        <v>0.12394775289921213</v>
      </c>
      <c r="O1787" s="559">
        <f>'Progetto del paramento slu'!$G$60*(sezione!$AP$34-C1787)/C1787</f>
        <v>9.3962668456870124E-2</v>
      </c>
      <c r="P1787" s="553">
        <f>-'Progetto del paramento slu'!$G$47*'Progetto del paramento slu'!$G$41*IF(DATI!$G$218="dx",DATI!$E$61,DATI!$E$64*DATI!$E$63)*1000*C1787*sezione!$AD$5</f>
        <v>-131615.57358539896</v>
      </c>
      <c r="Q1787" s="553">
        <f>'Foglio deposito bis'!$F$78*IF(ABS(K1787)&lt;'Progetto del paramento slu'!$G$58,ABS(K1787)*'Progetto del paramento slu'!$G$54,'Progetto del paramento slu'!$G$53)*IF(K1787&lt;0,-1,1)</f>
        <v>0</v>
      </c>
      <c r="R1787" s="553">
        <f>'Foglio deposito bis'!$F$79*IF(ABS(L1787)&lt;'Progetto del paramento slu'!$G$58,ABS(L1787)*'Progetto del paramento slu'!$G$54,'Progetto del paramento slu'!$G$53)*IF(L1787&lt;0,-1,1)</f>
        <v>153664.85805602249</v>
      </c>
      <c r="S1787" s="553">
        <f>'Foglio deposito bis'!$F$80*IF(ABS(M1787)&lt;'Progetto del paramento slu'!$G$58,ABS(M1787)*'Progetto del paramento slu'!$G$54,'Progetto del paramento slu'!$G$53)*IF(M1787&lt;0,-1,1)</f>
        <v>0</v>
      </c>
      <c r="T1787" s="553">
        <f>'Foglio deposito bis'!$F$81*IF(ABS(N1787)&lt;'Progetto del paramento slu'!$G$58,ABS(N1787)*'Progetto del paramento slu'!$G$54,'Progetto del paramento slu'!$G$53)*IF(N1787&lt;0,-1,1)</f>
        <v>398299.31208121032</v>
      </c>
      <c r="U1787" s="553">
        <f>'Foglio deposito bis'!$F$82*IF(ABS(O1787)&lt;'Progetto del paramento slu'!$G$58,ABS(O1787)*'Progetto del paramento slu'!$G$54,'Progetto del paramento slu'!$G$53)*IF(O1787&lt;0,-1,1)</f>
        <v>892485.49558937876</v>
      </c>
      <c r="V1787" s="479">
        <f t="shared" si="132"/>
        <v>1312834.0921412127</v>
      </c>
      <c r="W1787" s="559"/>
      <c r="X1787" s="559"/>
    </row>
    <row r="1788" spans="1:24" x14ac:dyDescent="0.25">
      <c r="A1788" s="553">
        <f t="shared" si="131"/>
        <v>1309972.8840197909</v>
      </c>
      <c r="B1788" s="3">
        <f t="shared" si="133"/>
        <v>2.3499999999999996</v>
      </c>
      <c r="C1788" s="553">
        <f>'Foglio deposito bis'!$E$160/sezione!$B$247*B1788</f>
        <v>9.5401412544238564</v>
      </c>
      <c r="D1788" s="611">
        <f>-'Progetto del paramento slu'!$G$47*'Progetto del paramento slu'!$G$41*IF(DATI!$G$218="dx",DATI!$E$61,DATI!$E$64*DATI!$E$63)*1000*C1788^2*sezione!$AD$5*(1-sezione!$AD$6)</f>
        <v>-749229.65586726076</v>
      </c>
      <c r="E1788" s="553">
        <f>-'Foglio deposito bis'!$F$78*(C1788-sezione!$AL$34)*IF(ABS(K1788)&lt;'Progetto del paramento slu'!$G$58,ABS(K1788)*'Progetto del paramento slu'!$G$54,'Progetto del paramento slu'!$G$53)</f>
        <v>0</v>
      </c>
      <c r="F1788" s="553">
        <f>-'Foglio deposito bis'!$F$79*(C1788-sezione!$AM$34)*IF(ABS(L1788)&lt;'Progetto del paramento slu'!$G$58,ABS(L1788)*'Progetto del paramento slu'!$G$54,'Progetto del paramento slu'!$G$53)</f>
        <v>21583744.256707929</v>
      </c>
      <c r="G1788" s="553">
        <f>-'Foglio deposito bis'!$F$80*(C1788-sezione!$AN$34)*IF(ABS(M1788)&lt;'Progetto del paramento slu'!$G$58,ABS(M1788)*'Progetto del paramento slu'!$G$54,'Progetto del paramento slu'!$G$53)</f>
        <v>0</v>
      </c>
      <c r="H1788" s="553">
        <f>-'Foglio deposito bis'!$F$81*(C1788-sezione!$AO$34)*IF(ABS(N1788)&lt;'Progetto del paramento slu'!$G$58,ABS(N1788)*'Progetto del paramento slu'!$G$54,'Progetto del paramento slu'!$G$53)</f>
        <v>131621934.4088169</v>
      </c>
      <c r="I1788" s="479">
        <f>-'Foglio deposito bis'!$F$82*(C1788-sezione!$AP$34)*IF(ABS(O1788)&lt;'Progetto del paramento slu'!$G$58,ABS(O1788)*'Progetto del paramento slu'!$G$54,'Progetto del paramento slu'!$G$53)</f>
        <v>223538034.26546466</v>
      </c>
      <c r="J1788" s="479">
        <f t="shared" si="129"/>
        <v>375994483.27512223</v>
      </c>
      <c r="K1788" s="558">
        <f>'Progetto del paramento slu'!$G$60*(sezione!$AL$34-C1788)/C1788</f>
        <v>1.1174835127318542E-2</v>
      </c>
      <c r="L1788" s="558">
        <f>'Progetto del paramento slu'!$G$60*(sezione!$AM$34-C1788)/C1788</f>
        <v>5.1530631727444542E-2</v>
      </c>
      <c r="M1788" s="559">
        <f>'Progetto del paramento slu'!$G$60*(sezione!$AN$34-C1788)/C1788</f>
        <v>9.1886428327570532E-2</v>
      </c>
      <c r="N1788" s="559">
        <f>'Progetto del paramento slu'!$G$60*(sezione!$AO$34-C1788)/C1788</f>
        <v>0.12123609858220762</v>
      </c>
      <c r="O1788" s="559">
        <f>'Progetto del paramento slu'!$G$60*(sezione!$AP$34-C1788)/C1788</f>
        <v>9.1888994659915443E-2</v>
      </c>
      <c r="P1788" s="553">
        <f>-'Progetto del paramento slu'!$G$47*'Progetto del paramento slu'!$G$41*IF(DATI!$G$218="dx",DATI!$E$61,DATI!$E$64*DATI!$E$63)*1000*C1788*sezione!$AD$5</f>
        <v>-134476.78170682068</v>
      </c>
      <c r="Q1788" s="553">
        <f>'Foglio deposito bis'!$F$78*IF(ABS(K1788)&lt;'Progetto del paramento slu'!$G$58,ABS(K1788)*'Progetto del paramento slu'!$G$54,'Progetto del paramento slu'!$G$53)*IF(K1788&lt;0,-1,1)</f>
        <v>0</v>
      </c>
      <c r="R1788" s="553">
        <f>'Foglio deposito bis'!$F$79*IF(ABS(L1788)&lt;'Progetto del paramento slu'!$G$58,ABS(L1788)*'Progetto del paramento slu'!$G$54,'Progetto del paramento slu'!$G$53)*IF(L1788&lt;0,-1,1)</f>
        <v>153664.85805602249</v>
      </c>
      <c r="S1788" s="553">
        <f>'Foglio deposito bis'!$F$80*IF(ABS(M1788)&lt;'Progetto del paramento slu'!$G$58,ABS(M1788)*'Progetto del paramento slu'!$G$54,'Progetto del paramento slu'!$G$53)*IF(M1788&lt;0,-1,1)</f>
        <v>0</v>
      </c>
      <c r="T1788" s="553">
        <f>'Foglio deposito bis'!$F$81*IF(ABS(N1788)&lt;'Progetto del paramento slu'!$G$58,ABS(N1788)*'Progetto del paramento slu'!$G$54,'Progetto del paramento slu'!$G$53)*IF(N1788&lt;0,-1,1)</f>
        <v>398299.31208121032</v>
      </c>
      <c r="U1788" s="553">
        <f>'Foglio deposito bis'!$F$82*IF(ABS(O1788)&lt;'Progetto del paramento slu'!$G$58,ABS(O1788)*'Progetto del paramento slu'!$G$54,'Progetto del paramento slu'!$G$53)*IF(O1788&lt;0,-1,1)</f>
        <v>892485.49558937876</v>
      </c>
      <c r="V1788" s="479">
        <f t="shared" si="132"/>
        <v>1309972.8840197909</v>
      </c>
      <c r="W1788" s="559"/>
      <c r="X1788" s="559"/>
    </row>
    <row r="1789" spans="1:24" x14ac:dyDescent="0.25">
      <c r="A1789" s="553">
        <f t="shared" si="131"/>
        <v>1307111.6758983692</v>
      </c>
      <c r="B1789" s="3">
        <f t="shared" si="133"/>
        <v>2.3999999999999995</v>
      </c>
      <c r="C1789" s="553">
        <f>'Foglio deposito bis'!$E$160/sezione!$B$247*B1789</f>
        <v>9.7431229832413848</v>
      </c>
      <c r="D1789" s="611">
        <f>-'Progetto del paramento slu'!$G$47*'Progetto del paramento slu'!$G$41*IF(DATI!$G$218="dx",DATI!$E$61,DATI!$E$64*DATI!$E$63)*1000*C1789^2*sezione!$AD$5*(1-sezione!$AD$6)</f>
        <v>-781450.94029794866</v>
      </c>
      <c r="E1789" s="553">
        <f>-'Foglio deposito bis'!$F$78*(C1789-sezione!$AL$34)*IF(ABS(K1789)&lt;'Progetto del paramento slu'!$G$58,ABS(K1789)*'Progetto del paramento slu'!$G$54,'Progetto del paramento slu'!$G$53)</f>
        <v>0</v>
      </c>
      <c r="F1789" s="553">
        <f>-'Foglio deposito bis'!$F$79*(C1789-sezione!$AM$34)*IF(ABS(L1789)&lt;'Progetto del paramento slu'!$G$58,ABS(L1789)*'Progetto del paramento slu'!$G$54,'Progetto del paramento slu'!$G$53)</f>
        <v>21552553.098161217</v>
      </c>
      <c r="G1789" s="553">
        <f>-'Foglio deposito bis'!$F$80*(C1789-sezione!$AN$34)*IF(ABS(M1789)&lt;'Progetto del paramento slu'!$G$58,ABS(M1789)*'Progetto del paramento slu'!$G$54,'Progetto del paramento slu'!$G$53)</f>
        <v>0</v>
      </c>
      <c r="H1789" s="553">
        <f>-'Foglio deposito bis'!$F$81*(C1789-sezione!$AO$34)*IF(ABS(N1789)&lt;'Progetto del paramento slu'!$G$58,ABS(N1789)*'Progetto del paramento slu'!$G$54,'Progetto del paramento slu'!$G$53)</f>
        <v>131541086.92586383</v>
      </c>
      <c r="I1789" s="479">
        <f>-'Foglio deposito bis'!$F$82*(C1789-sezione!$AP$34)*IF(ABS(O1789)&lt;'Progetto del paramento slu'!$G$58,ABS(O1789)*'Progetto del paramento slu'!$G$54,'Progetto del paramento slu'!$G$53)</f>
        <v>223356876.01662534</v>
      </c>
      <c r="J1789" s="479">
        <f t="shared" si="129"/>
        <v>375669065.10035241</v>
      </c>
      <c r="K1789" s="558">
        <f>'Progetto del paramento slu'!$G$60*(sezione!$AL$34-C1789)/C1789</f>
        <v>1.0869109395499409E-2</v>
      </c>
      <c r="L1789" s="558">
        <f>'Progetto del paramento slu'!$G$60*(sezione!$AM$34-C1789)/C1789</f>
        <v>5.0384160233122775E-2</v>
      </c>
      <c r="M1789" s="559">
        <f>'Progetto del paramento slu'!$G$60*(sezione!$AN$34-C1789)/C1789</f>
        <v>8.9899211070746152E-2</v>
      </c>
      <c r="N1789" s="559">
        <f>'Progetto del paramento slu'!$G$60*(sezione!$AO$34-C1789)/C1789</f>
        <v>0.11863742986174496</v>
      </c>
      <c r="O1789" s="559">
        <f>'Progetto del paramento slu'!$G$60*(sezione!$AP$34-C1789)/C1789</f>
        <v>8.9901723937833869E-2</v>
      </c>
      <c r="P1789" s="553">
        <f>-'Progetto del paramento slu'!$G$47*'Progetto del paramento slu'!$G$41*IF(DATI!$G$218="dx",DATI!$E$61,DATI!$E$64*DATI!$E$63)*1000*C1789*sezione!$AD$5</f>
        <v>-137337.9898282424</v>
      </c>
      <c r="Q1789" s="553">
        <f>'Foglio deposito bis'!$F$78*IF(ABS(K1789)&lt;'Progetto del paramento slu'!$G$58,ABS(K1789)*'Progetto del paramento slu'!$G$54,'Progetto del paramento slu'!$G$53)*IF(K1789&lt;0,-1,1)</f>
        <v>0</v>
      </c>
      <c r="R1789" s="553">
        <f>'Foglio deposito bis'!$F$79*IF(ABS(L1789)&lt;'Progetto del paramento slu'!$G$58,ABS(L1789)*'Progetto del paramento slu'!$G$54,'Progetto del paramento slu'!$G$53)*IF(L1789&lt;0,-1,1)</f>
        <v>153664.85805602249</v>
      </c>
      <c r="S1789" s="553">
        <f>'Foglio deposito bis'!$F$80*IF(ABS(M1789)&lt;'Progetto del paramento slu'!$G$58,ABS(M1789)*'Progetto del paramento slu'!$G$54,'Progetto del paramento slu'!$G$53)*IF(M1789&lt;0,-1,1)</f>
        <v>0</v>
      </c>
      <c r="T1789" s="553">
        <f>'Foglio deposito bis'!$F$81*IF(ABS(N1789)&lt;'Progetto del paramento slu'!$G$58,ABS(N1789)*'Progetto del paramento slu'!$G$54,'Progetto del paramento slu'!$G$53)*IF(N1789&lt;0,-1,1)</f>
        <v>398299.31208121032</v>
      </c>
      <c r="U1789" s="553">
        <f>'Foglio deposito bis'!$F$82*IF(ABS(O1789)&lt;'Progetto del paramento slu'!$G$58,ABS(O1789)*'Progetto del paramento slu'!$G$54,'Progetto del paramento slu'!$G$53)*IF(O1789&lt;0,-1,1)</f>
        <v>892485.49558937876</v>
      </c>
      <c r="V1789" s="479">
        <f t="shared" si="132"/>
        <v>1307111.6758983692</v>
      </c>
      <c r="W1789" s="559"/>
      <c r="X1789" s="559"/>
    </row>
    <row r="1790" spans="1:24" x14ac:dyDescent="0.25">
      <c r="A1790" s="553">
        <f t="shared" si="131"/>
        <v>1304250.4677769474</v>
      </c>
      <c r="B1790" s="3">
        <f t="shared" si="133"/>
        <v>2.4499999999999993</v>
      </c>
      <c r="C1790" s="553">
        <f>'Foglio deposito bis'!$E$160/sezione!$B$247*B1790</f>
        <v>9.9461047120589132</v>
      </c>
      <c r="D1790" s="611">
        <f>-'Progetto del paramento slu'!$G$47*'Progetto del paramento slu'!$G$41*IF(DATI!$G$218="dx",DATI!$E$61,DATI!$E$64*DATI!$E$63)*1000*C1790^2*sezione!$AD$5*(1-sezione!$AD$6)</f>
        <v>-814350.56755875621</v>
      </c>
      <c r="E1790" s="553">
        <f>-'Foglio deposito bis'!$F$78*(C1790-sezione!$AL$34)*IF(ABS(K1790)&lt;'Progetto del paramento slu'!$G$58,ABS(K1790)*'Progetto del paramento slu'!$G$54,'Progetto del paramento slu'!$G$53)</f>
        <v>0</v>
      </c>
      <c r="F1790" s="553">
        <f>-'Foglio deposito bis'!$F$79*(C1790-sezione!$AM$34)*IF(ABS(L1790)&lt;'Progetto del paramento slu'!$G$58,ABS(L1790)*'Progetto del paramento slu'!$G$54,'Progetto del paramento slu'!$G$53)</f>
        <v>21521361.939614505</v>
      </c>
      <c r="G1790" s="553">
        <f>-'Foglio deposito bis'!$F$80*(C1790-sezione!$AN$34)*IF(ABS(M1790)&lt;'Progetto del paramento slu'!$G$58,ABS(M1790)*'Progetto del paramento slu'!$G$54,'Progetto del paramento slu'!$G$53)</f>
        <v>0</v>
      </c>
      <c r="H1790" s="553">
        <f>-'Foglio deposito bis'!$F$81*(C1790-sezione!$AO$34)*IF(ABS(N1790)&lt;'Progetto del paramento slu'!$G$58,ABS(N1790)*'Progetto del paramento slu'!$G$54,'Progetto del paramento slu'!$G$53)</f>
        <v>131460239.44291076</v>
      </c>
      <c r="I1790" s="479">
        <f>-'Foglio deposito bis'!$F$82*(C1790-sezione!$AP$34)*IF(ABS(O1790)&lt;'Progetto del paramento slu'!$G$58,ABS(O1790)*'Progetto del paramento slu'!$G$54,'Progetto del paramento slu'!$G$53)</f>
        <v>223175717.76778606</v>
      </c>
      <c r="J1790" s="479">
        <f t="shared" si="129"/>
        <v>375342968.58275259</v>
      </c>
      <c r="K1790" s="558">
        <f>'Progetto del paramento slu'!$G$60*(sezione!$AL$34-C1790)/C1790</f>
        <v>1.0575862264979013E-2</v>
      </c>
      <c r="L1790" s="558">
        <f>'Progetto del paramento slu'!$G$60*(sezione!$AM$34-C1790)/C1790</f>
        <v>4.9284483493671302E-2</v>
      </c>
      <c r="M1790" s="559">
        <f>'Progetto del paramento slu'!$G$60*(sezione!$AN$34-C1790)/C1790</f>
        <v>8.7993104722363588E-2</v>
      </c>
      <c r="N1790" s="559">
        <f>'Progetto del paramento slu'!$G$60*(sezione!$AO$34-C1790)/C1790</f>
        <v>0.11614482925232161</v>
      </c>
      <c r="O1790" s="559">
        <f>'Progetto del paramento slu'!$G$60*(sezione!$AP$34-C1790)/C1790</f>
        <v>8.7995566306449516E-2</v>
      </c>
      <c r="P1790" s="553">
        <f>-'Progetto del paramento slu'!$G$47*'Progetto del paramento slu'!$G$41*IF(DATI!$G$218="dx",DATI!$E$61,DATI!$E$64*DATI!$E$63)*1000*C1790*sezione!$AD$5</f>
        <v>-140199.19794966411</v>
      </c>
      <c r="Q1790" s="553">
        <f>'Foglio deposito bis'!$F$78*IF(ABS(K1790)&lt;'Progetto del paramento slu'!$G$58,ABS(K1790)*'Progetto del paramento slu'!$G$54,'Progetto del paramento slu'!$G$53)*IF(K1790&lt;0,-1,1)</f>
        <v>0</v>
      </c>
      <c r="R1790" s="553">
        <f>'Foglio deposito bis'!$F$79*IF(ABS(L1790)&lt;'Progetto del paramento slu'!$G$58,ABS(L1790)*'Progetto del paramento slu'!$G$54,'Progetto del paramento slu'!$G$53)*IF(L1790&lt;0,-1,1)</f>
        <v>153664.85805602249</v>
      </c>
      <c r="S1790" s="553">
        <f>'Foglio deposito bis'!$F$80*IF(ABS(M1790)&lt;'Progetto del paramento slu'!$G$58,ABS(M1790)*'Progetto del paramento slu'!$G$54,'Progetto del paramento slu'!$G$53)*IF(M1790&lt;0,-1,1)</f>
        <v>0</v>
      </c>
      <c r="T1790" s="553">
        <f>'Foglio deposito bis'!$F$81*IF(ABS(N1790)&lt;'Progetto del paramento slu'!$G$58,ABS(N1790)*'Progetto del paramento slu'!$G$54,'Progetto del paramento slu'!$G$53)*IF(N1790&lt;0,-1,1)</f>
        <v>398299.31208121032</v>
      </c>
      <c r="U1790" s="553">
        <f>'Foglio deposito bis'!$F$82*IF(ABS(O1790)&lt;'Progetto del paramento slu'!$G$58,ABS(O1790)*'Progetto del paramento slu'!$G$54,'Progetto del paramento slu'!$G$53)*IF(O1790&lt;0,-1,1)</f>
        <v>892485.49558937876</v>
      </c>
      <c r="V1790" s="479">
        <f t="shared" si="132"/>
        <v>1304250.4677769474</v>
      </c>
      <c r="W1790" s="559"/>
      <c r="X1790" s="559"/>
    </row>
    <row r="1791" spans="1:24" x14ac:dyDescent="0.25">
      <c r="A1791" s="553">
        <f t="shared" si="131"/>
        <v>1301389.2596555257</v>
      </c>
      <c r="B1791" s="3">
        <f t="shared" si="133"/>
        <v>2.4999999999999991</v>
      </c>
      <c r="C1791" s="553">
        <f>'Foglio deposito bis'!$E$160/sezione!$B$247*B1791</f>
        <v>10.149086440876442</v>
      </c>
      <c r="D1791" s="611">
        <f>-'Progetto del paramento slu'!$G$47*'Progetto del paramento slu'!$G$41*IF(DATI!$G$218="dx",DATI!$E$61,DATI!$E$64*DATI!$E$63)*1000*C1791^2*sezione!$AD$5*(1-sezione!$AD$6)</f>
        <v>-847928.53764968365</v>
      </c>
      <c r="E1791" s="553">
        <f>-'Foglio deposito bis'!$F$78*(C1791-sezione!$AL$34)*IF(ABS(K1791)&lt;'Progetto del paramento slu'!$G$58,ABS(K1791)*'Progetto del paramento slu'!$G$54,'Progetto del paramento slu'!$G$53)</f>
        <v>0</v>
      </c>
      <c r="F1791" s="553">
        <f>-'Foglio deposito bis'!$F$79*(C1791-sezione!$AM$34)*IF(ABS(L1791)&lt;'Progetto del paramento slu'!$G$58,ABS(L1791)*'Progetto del paramento slu'!$G$54,'Progetto del paramento slu'!$G$53)</f>
        <v>21490170.781067796</v>
      </c>
      <c r="G1791" s="553">
        <f>-'Foglio deposito bis'!$F$80*(C1791-sezione!$AN$34)*IF(ABS(M1791)&lt;'Progetto del paramento slu'!$G$58,ABS(M1791)*'Progetto del paramento slu'!$G$54,'Progetto del paramento slu'!$G$53)</f>
        <v>0</v>
      </c>
      <c r="H1791" s="553">
        <f>-'Foglio deposito bis'!$F$81*(C1791-sezione!$AO$34)*IF(ABS(N1791)&lt;'Progetto del paramento slu'!$G$58,ABS(N1791)*'Progetto del paramento slu'!$G$54,'Progetto del paramento slu'!$G$53)</f>
        <v>131379391.95995767</v>
      </c>
      <c r="I1791" s="479">
        <f>-'Foglio deposito bis'!$F$82*(C1791-sezione!$AP$34)*IF(ABS(O1791)&lt;'Progetto del paramento slu'!$G$58,ABS(O1791)*'Progetto del paramento slu'!$G$54,'Progetto del paramento slu'!$G$53)</f>
        <v>222994559.51894677</v>
      </c>
      <c r="J1791" s="479">
        <f t="shared" si="129"/>
        <v>375016193.72232258</v>
      </c>
      <c r="K1791" s="558">
        <f>'Progetto del paramento slu'!$G$60*(sezione!$AL$34-C1791)/C1791</f>
        <v>1.0294345019679433E-2</v>
      </c>
      <c r="L1791" s="558">
        <f>'Progetto del paramento slu'!$G$60*(sezione!$AM$34-C1791)/C1791</f>
        <v>4.8228793823797876E-2</v>
      </c>
      <c r="M1791" s="559">
        <f>'Progetto del paramento slu'!$G$60*(sezione!$AN$34-C1791)/C1791</f>
        <v>8.6163242627916317E-2</v>
      </c>
      <c r="N1791" s="559">
        <f>'Progetto del paramento slu'!$G$60*(sezione!$AO$34-C1791)/C1791</f>
        <v>0.11375193266727518</v>
      </c>
      <c r="O1791" s="559">
        <f>'Progetto del paramento slu'!$G$60*(sezione!$AP$34-C1791)/C1791</f>
        <v>8.6165654980320541E-2</v>
      </c>
      <c r="P1791" s="553">
        <f>-'Progetto del paramento slu'!$G$47*'Progetto del paramento slu'!$G$41*IF(DATI!$G$218="dx",DATI!$E$61,DATI!$E$64*DATI!$E$63)*1000*C1791*sezione!$AD$5</f>
        <v>-143060.40607108583</v>
      </c>
      <c r="Q1791" s="553">
        <f>'Foglio deposito bis'!$F$78*IF(ABS(K1791)&lt;'Progetto del paramento slu'!$G$58,ABS(K1791)*'Progetto del paramento slu'!$G$54,'Progetto del paramento slu'!$G$53)*IF(K1791&lt;0,-1,1)</f>
        <v>0</v>
      </c>
      <c r="R1791" s="553">
        <f>'Foglio deposito bis'!$F$79*IF(ABS(L1791)&lt;'Progetto del paramento slu'!$G$58,ABS(L1791)*'Progetto del paramento slu'!$G$54,'Progetto del paramento slu'!$G$53)*IF(L1791&lt;0,-1,1)</f>
        <v>153664.85805602249</v>
      </c>
      <c r="S1791" s="553">
        <f>'Foglio deposito bis'!$F$80*IF(ABS(M1791)&lt;'Progetto del paramento slu'!$G$58,ABS(M1791)*'Progetto del paramento slu'!$G$54,'Progetto del paramento slu'!$G$53)*IF(M1791&lt;0,-1,1)</f>
        <v>0</v>
      </c>
      <c r="T1791" s="553">
        <f>'Foglio deposito bis'!$F$81*IF(ABS(N1791)&lt;'Progetto del paramento slu'!$G$58,ABS(N1791)*'Progetto del paramento slu'!$G$54,'Progetto del paramento slu'!$G$53)*IF(N1791&lt;0,-1,1)</f>
        <v>398299.31208121032</v>
      </c>
      <c r="U1791" s="553">
        <f>'Foglio deposito bis'!$F$82*IF(ABS(O1791)&lt;'Progetto del paramento slu'!$G$58,ABS(O1791)*'Progetto del paramento slu'!$G$54,'Progetto del paramento slu'!$G$53)*IF(O1791&lt;0,-1,1)</f>
        <v>892485.49558937876</v>
      </c>
      <c r="V1791" s="479">
        <f t="shared" si="132"/>
        <v>1301389.2596555257</v>
      </c>
      <c r="W1791" s="559"/>
      <c r="X1791" s="559"/>
    </row>
    <row r="1792" spans="1:24" x14ac:dyDescent="0.25">
      <c r="A1792" s="553">
        <f t="shared" si="131"/>
        <v>1298528.0515341042</v>
      </c>
      <c r="B1792" s="3">
        <f t="shared" si="133"/>
        <v>2.5499999999999989</v>
      </c>
      <c r="C1792" s="553">
        <f>'Foglio deposito bis'!$E$160/sezione!$B$247*B1792</f>
        <v>10.35206816969397</v>
      </c>
      <c r="D1792" s="611">
        <f>-'Progetto del paramento slu'!$G$47*'Progetto del paramento slu'!$G$41*IF(DATI!$G$218="dx",DATI!$E$61,DATI!$E$64*DATI!$E$63)*1000*C1792^2*sezione!$AD$5*(1-sezione!$AD$6)</f>
        <v>-882184.85057073087</v>
      </c>
      <c r="E1792" s="553">
        <f>-'Foglio deposito bis'!$F$78*(C1792-sezione!$AL$34)*IF(ABS(K1792)&lt;'Progetto del paramento slu'!$G$58,ABS(K1792)*'Progetto del paramento slu'!$G$54,'Progetto del paramento slu'!$G$53)</f>
        <v>0</v>
      </c>
      <c r="F1792" s="553">
        <f>-'Foglio deposito bis'!$F$79*(C1792-sezione!$AM$34)*IF(ABS(L1792)&lt;'Progetto del paramento slu'!$G$58,ABS(L1792)*'Progetto del paramento slu'!$G$54,'Progetto del paramento slu'!$G$53)</f>
        <v>21458979.62252108</v>
      </c>
      <c r="G1792" s="553">
        <f>-'Foglio deposito bis'!$F$80*(C1792-sezione!$AN$34)*IF(ABS(M1792)&lt;'Progetto del paramento slu'!$G$58,ABS(M1792)*'Progetto del paramento slu'!$G$54,'Progetto del paramento slu'!$G$53)</f>
        <v>0</v>
      </c>
      <c r="H1792" s="553">
        <f>-'Foglio deposito bis'!$F$81*(C1792-sezione!$AO$34)*IF(ABS(N1792)&lt;'Progetto del paramento slu'!$G$58,ABS(N1792)*'Progetto del paramento slu'!$G$54,'Progetto del paramento slu'!$G$53)</f>
        <v>131298544.4770046</v>
      </c>
      <c r="I1792" s="479">
        <f>-'Foglio deposito bis'!$F$82*(C1792-sezione!$AP$34)*IF(ABS(O1792)&lt;'Progetto del paramento slu'!$G$58,ABS(O1792)*'Progetto del paramento slu'!$G$54,'Progetto del paramento slu'!$G$53)</f>
        <v>222813401.27010742</v>
      </c>
      <c r="J1792" s="479">
        <f t="shared" si="129"/>
        <v>374688740.5190624</v>
      </c>
      <c r="K1792" s="558">
        <f>'Progetto del paramento slu'!$G$60*(sezione!$AL$34-C1792)/C1792</f>
        <v>1.0023867666352385E-2</v>
      </c>
      <c r="L1792" s="558">
        <f>'Progetto del paramento slu'!$G$60*(sezione!$AM$34-C1792)/C1792</f>
        <v>4.721450374882144E-2</v>
      </c>
      <c r="M1792" s="559">
        <f>'Progetto del paramento slu'!$G$60*(sezione!$AN$34-C1792)/C1792</f>
        <v>8.4405139831290499E-2</v>
      </c>
      <c r="N1792" s="559">
        <f>'Progetto del paramento slu'!$G$60*(sezione!$AO$34-C1792)/C1792</f>
        <v>0.1114528751639953</v>
      </c>
      <c r="O1792" s="559">
        <f>'Progetto del paramento slu'!$G$60*(sezione!$AP$34-C1792)/C1792</f>
        <v>8.4407504882667198E-2</v>
      </c>
      <c r="P1792" s="553">
        <f>-'Progetto del paramento slu'!$G$47*'Progetto del paramento slu'!$G$41*IF(DATI!$G$218="dx",DATI!$E$61,DATI!$E$64*DATI!$E$63)*1000*C1792*sezione!$AD$5</f>
        <v>-145921.61419250752</v>
      </c>
      <c r="Q1792" s="553">
        <f>'Foglio deposito bis'!$F$78*IF(ABS(K1792)&lt;'Progetto del paramento slu'!$G$58,ABS(K1792)*'Progetto del paramento slu'!$G$54,'Progetto del paramento slu'!$G$53)*IF(K1792&lt;0,-1,1)</f>
        <v>0</v>
      </c>
      <c r="R1792" s="553">
        <f>'Foglio deposito bis'!$F$79*IF(ABS(L1792)&lt;'Progetto del paramento slu'!$G$58,ABS(L1792)*'Progetto del paramento slu'!$G$54,'Progetto del paramento slu'!$G$53)*IF(L1792&lt;0,-1,1)</f>
        <v>153664.85805602249</v>
      </c>
      <c r="S1792" s="553">
        <f>'Foglio deposito bis'!$F$80*IF(ABS(M1792)&lt;'Progetto del paramento slu'!$G$58,ABS(M1792)*'Progetto del paramento slu'!$G$54,'Progetto del paramento slu'!$G$53)*IF(M1792&lt;0,-1,1)</f>
        <v>0</v>
      </c>
      <c r="T1792" s="553">
        <f>'Foglio deposito bis'!$F$81*IF(ABS(N1792)&lt;'Progetto del paramento slu'!$G$58,ABS(N1792)*'Progetto del paramento slu'!$G$54,'Progetto del paramento slu'!$G$53)*IF(N1792&lt;0,-1,1)</f>
        <v>398299.31208121032</v>
      </c>
      <c r="U1792" s="553">
        <f>'Foglio deposito bis'!$F$82*IF(ABS(O1792)&lt;'Progetto del paramento slu'!$G$58,ABS(O1792)*'Progetto del paramento slu'!$G$54,'Progetto del paramento slu'!$G$53)*IF(O1792&lt;0,-1,1)</f>
        <v>892485.49558937876</v>
      </c>
      <c r="V1792" s="479">
        <f t="shared" si="132"/>
        <v>1298528.0515341042</v>
      </c>
      <c r="W1792" s="559"/>
      <c r="X1792" s="559"/>
    </row>
    <row r="1793" spans="1:24" x14ac:dyDescent="0.25">
      <c r="A1793" s="553">
        <f t="shared" si="131"/>
        <v>1295666.8434126824</v>
      </c>
      <c r="B1793" s="3">
        <f t="shared" si="133"/>
        <v>2.5999999999999988</v>
      </c>
      <c r="C1793" s="553">
        <f>'Foglio deposito bis'!$E$160/sezione!$B$247*B1793</f>
        <v>10.555049898511497</v>
      </c>
      <c r="D1793" s="611">
        <f>-'Progetto del paramento slu'!$G$47*'Progetto del paramento slu'!$G$41*IF(DATI!$G$218="dx",DATI!$E$61,DATI!$E$64*DATI!$E$63)*1000*C1793^2*sezione!$AD$5*(1-sezione!$AD$6)</f>
        <v>-917119.50632189726</v>
      </c>
      <c r="E1793" s="553">
        <f>-'Foglio deposito bis'!$F$78*(C1793-sezione!$AL$34)*IF(ABS(K1793)&lt;'Progetto del paramento slu'!$G$58,ABS(K1793)*'Progetto del paramento slu'!$G$54,'Progetto del paramento slu'!$G$53)</f>
        <v>0</v>
      </c>
      <c r="F1793" s="553">
        <f>-'Foglio deposito bis'!$F$79*(C1793-sezione!$AM$34)*IF(ABS(L1793)&lt;'Progetto del paramento slu'!$G$58,ABS(L1793)*'Progetto del paramento slu'!$G$54,'Progetto del paramento slu'!$G$53)</f>
        <v>21427788.463974372</v>
      </c>
      <c r="G1793" s="553">
        <f>-'Foglio deposito bis'!$F$80*(C1793-sezione!$AN$34)*IF(ABS(M1793)&lt;'Progetto del paramento slu'!$G$58,ABS(M1793)*'Progetto del paramento slu'!$G$54,'Progetto del paramento slu'!$G$53)</f>
        <v>0</v>
      </c>
      <c r="H1793" s="553">
        <f>-'Foglio deposito bis'!$F$81*(C1793-sezione!$AO$34)*IF(ABS(N1793)&lt;'Progetto del paramento slu'!$G$58,ABS(N1793)*'Progetto del paramento slu'!$G$54,'Progetto del paramento slu'!$G$53)</f>
        <v>131217696.99405153</v>
      </c>
      <c r="I1793" s="479">
        <f>-'Foglio deposito bis'!$F$82*(C1793-sezione!$AP$34)*IF(ABS(O1793)&lt;'Progetto del paramento slu'!$G$58,ABS(O1793)*'Progetto del paramento slu'!$G$54,'Progetto del paramento slu'!$G$53)</f>
        <v>222632243.02126813</v>
      </c>
      <c r="J1793" s="479">
        <f t="shared" si="129"/>
        <v>374360608.97297215</v>
      </c>
      <c r="K1793" s="558">
        <f>'Progetto del paramento slu'!$G$60*(sezione!$AL$34-C1793)/C1793</f>
        <v>9.7637932881533031E-3</v>
      </c>
      <c r="L1793" s="558">
        <f>'Progetto del paramento slu'!$G$60*(sezione!$AM$34-C1793)/C1793</f>
        <v>4.6239224830574889E-2</v>
      </c>
      <c r="M1793" s="559">
        <f>'Progetto del paramento slu'!$G$60*(sezione!$AN$34-C1793)/C1793</f>
        <v>8.2714656372996478E-2</v>
      </c>
      <c r="N1793" s="559">
        <f>'Progetto del paramento slu'!$G$60*(sezione!$AO$34-C1793)/C1793</f>
        <v>0.1092422429493031</v>
      </c>
      <c r="O1793" s="559">
        <f>'Progetto del paramento slu'!$G$60*(sezione!$AP$34-C1793)/C1793</f>
        <v>8.2716975942615914E-2</v>
      </c>
      <c r="P1793" s="553">
        <f>-'Progetto del paramento slu'!$G$47*'Progetto del paramento slu'!$G$41*IF(DATI!$G$218="dx",DATI!$E$61,DATI!$E$64*DATI!$E$63)*1000*C1793*sezione!$AD$5</f>
        <v>-148782.82231392921</v>
      </c>
      <c r="Q1793" s="553">
        <f>'Foglio deposito bis'!$F$78*IF(ABS(K1793)&lt;'Progetto del paramento slu'!$G$58,ABS(K1793)*'Progetto del paramento slu'!$G$54,'Progetto del paramento slu'!$G$53)*IF(K1793&lt;0,-1,1)</f>
        <v>0</v>
      </c>
      <c r="R1793" s="553">
        <f>'Foglio deposito bis'!$F$79*IF(ABS(L1793)&lt;'Progetto del paramento slu'!$G$58,ABS(L1793)*'Progetto del paramento slu'!$G$54,'Progetto del paramento slu'!$G$53)*IF(L1793&lt;0,-1,1)</f>
        <v>153664.85805602249</v>
      </c>
      <c r="S1793" s="553">
        <f>'Foglio deposito bis'!$F$80*IF(ABS(M1793)&lt;'Progetto del paramento slu'!$G$58,ABS(M1793)*'Progetto del paramento slu'!$G$54,'Progetto del paramento slu'!$G$53)*IF(M1793&lt;0,-1,1)</f>
        <v>0</v>
      </c>
      <c r="T1793" s="553">
        <f>'Foglio deposito bis'!$F$81*IF(ABS(N1793)&lt;'Progetto del paramento slu'!$G$58,ABS(N1793)*'Progetto del paramento slu'!$G$54,'Progetto del paramento slu'!$G$53)*IF(N1793&lt;0,-1,1)</f>
        <v>398299.31208121032</v>
      </c>
      <c r="U1793" s="553">
        <f>'Foglio deposito bis'!$F$82*IF(ABS(O1793)&lt;'Progetto del paramento slu'!$G$58,ABS(O1793)*'Progetto del paramento slu'!$G$54,'Progetto del paramento slu'!$G$53)*IF(O1793&lt;0,-1,1)</f>
        <v>892485.49558937876</v>
      </c>
      <c r="V1793" s="479">
        <f t="shared" si="132"/>
        <v>1295666.8434126824</v>
      </c>
      <c r="W1793" s="559"/>
      <c r="X1793" s="559"/>
    </row>
    <row r="1794" spans="1:24" x14ac:dyDescent="0.25">
      <c r="A1794" s="553">
        <f t="shared" si="131"/>
        <v>1292805.6352912607</v>
      </c>
      <c r="B1794" s="3">
        <f t="shared" si="133"/>
        <v>2.6499999999999986</v>
      </c>
      <c r="C1794" s="553">
        <f>'Foglio deposito bis'!$E$160/sezione!$B$247*B1794</f>
        <v>10.758031627329025</v>
      </c>
      <c r="D1794" s="611">
        <f>-'Progetto del paramento slu'!$G$47*'Progetto del paramento slu'!$G$41*IF(DATI!$G$218="dx",DATI!$E$61,DATI!$E$64*DATI!$E$63)*1000*C1794^2*sezione!$AD$5*(1-sezione!$AD$6)</f>
        <v>-952732.50490318402</v>
      </c>
      <c r="E1794" s="553">
        <f>-'Foglio deposito bis'!$F$78*(C1794-sezione!$AL$34)*IF(ABS(K1794)&lt;'Progetto del paramento slu'!$G$58,ABS(K1794)*'Progetto del paramento slu'!$G$54,'Progetto del paramento slu'!$G$53)</f>
        <v>0</v>
      </c>
      <c r="F1794" s="553">
        <f>-'Foglio deposito bis'!$F$79*(C1794-sezione!$AM$34)*IF(ABS(L1794)&lt;'Progetto del paramento slu'!$G$58,ABS(L1794)*'Progetto del paramento slu'!$G$54,'Progetto del paramento slu'!$G$53)</f>
        <v>21396597.305427659</v>
      </c>
      <c r="G1794" s="553">
        <f>-'Foglio deposito bis'!$F$80*(C1794-sezione!$AN$34)*IF(ABS(M1794)&lt;'Progetto del paramento slu'!$G$58,ABS(M1794)*'Progetto del paramento slu'!$G$54,'Progetto del paramento slu'!$G$53)</f>
        <v>0</v>
      </c>
      <c r="H1794" s="553">
        <f>-'Foglio deposito bis'!$F$81*(C1794-sezione!$AO$34)*IF(ABS(N1794)&lt;'Progetto del paramento slu'!$G$58,ABS(N1794)*'Progetto del paramento slu'!$G$54,'Progetto del paramento slu'!$G$53)</f>
        <v>131136849.51109843</v>
      </c>
      <c r="I1794" s="479">
        <f>-'Foglio deposito bis'!$F$82*(C1794-sezione!$AP$34)*IF(ABS(O1794)&lt;'Progetto del paramento slu'!$G$58,ABS(O1794)*'Progetto del paramento slu'!$G$54,'Progetto del paramento slu'!$G$53)</f>
        <v>222451084.77242884</v>
      </c>
      <c r="J1794" s="479">
        <f t="shared" si="129"/>
        <v>374031799.08405173</v>
      </c>
      <c r="K1794" s="558">
        <f>'Progetto del paramento slu'!$G$60*(sezione!$AL$34-C1794)/C1794</f>
        <v>9.5135330374334307E-3</v>
      </c>
      <c r="L1794" s="558">
        <f>'Progetto del paramento slu'!$G$60*(sezione!$AM$34-C1794)/C1794</f>
        <v>4.5300748890375366E-2</v>
      </c>
      <c r="M1794" s="559">
        <f>'Progetto del paramento slu'!$G$60*(sezione!$AN$34-C1794)/C1794</f>
        <v>8.1087964743317309E-2</v>
      </c>
      <c r="N1794" s="559">
        <f>'Progetto del paramento slu'!$G$60*(sezione!$AO$34-C1794)/C1794</f>
        <v>0.10711503081818415</v>
      </c>
      <c r="O1794" s="559">
        <f>'Progetto del paramento slu'!$G$60*(sezione!$AP$34-C1794)/C1794</f>
        <v>8.1090240547472228E-2</v>
      </c>
      <c r="P1794" s="553">
        <f>-'Progetto del paramento slu'!$G$47*'Progetto del paramento slu'!$G$41*IF(DATI!$G$218="dx",DATI!$E$61,DATI!$E$64*DATI!$E$63)*1000*C1794*sezione!$AD$5</f>
        <v>-151644.03043535093</v>
      </c>
      <c r="Q1794" s="553">
        <f>'Foglio deposito bis'!$F$78*IF(ABS(K1794)&lt;'Progetto del paramento slu'!$G$58,ABS(K1794)*'Progetto del paramento slu'!$G$54,'Progetto del paramento slu'!$G$53)*IF(K1794&lt;0,-1,1)</f>
        <v>0</v>
      </c>
      <c r="R1794" s="553">
        <f>'Foglio deposito bis'!$F$79*IF(ABS(L1794)&lt;'Progetto del paramento slu'!$G$58,ABS(L1794)*'Progetto del paramento slu'!$G$54,'Progetto del paramento slu'!$G$53)*IF(L1794&lt;0,-1,1)</f>
        <v>153664.85805602249</v>
      </c>
      <c r="S1794" s="553">
        <f>'Foglio deposito bis'!$F$80*IF(ABS(M1794)&lt;'Progetto del paramento slu'!$G$58,ABS(M1794)*'Progetto del paramento slu'!$G$54,'Progetto del paramento slu'!$G$53)*IF(M1794&lt;0,-1,1)</f>
        <v>0</v>
      </c>
      <c r="T1794" s="553">
        <f>'Foglio deposito bis'!$F$81*IF(ABS(N1794)&lt;'Progetto del paramento slu'!$G$58,ABS(N1794)*'Progetto del paramento slu'!$G$54,'Progetto del paramento slu'!$G$53)*IF(N1794&lt;0,-1,1)</f>
        <v>398299.31208121032</v>
      </c>
      <c r="U1794" s="553">
        <f>'Foglio deposito bis'!$F$82*IF(ABS(O1794)&lt;'Progetto del paramento slu'!$G$58,ABS(O1794)*'Progetto del paramento slu'!$G$54,'Progetto del paramento slu'!$G$53)*IF(O1794&lt;0,-1,1)</f>
        <v>892485.49558937876</v>
      </c>
      <c r="V1794" s="479">
        <f t="shared" si="132"/>
        <v>1292805.6352912607</v>
      </c>
      <c r="W1794" s="559"/>
      <c r="X1794" s="559"/>
    </row>
    <row r="1795" spans="1:24" x14ac:dyDescent="0.25">
      <c r="A1795" s="553">
        <f t="shared" si="131"/>
        <v>1289944.4271698389</v>
      </c>
      <c r="B1795" s="3">
        <f t="shared" si="133"/>
        <v>2.6999999999999984</v>
      </c>
      <c r="C1795" s="553">
        <f>'Foglio deposito bis'!$E$160/sezione!$B$247*B1795</f>
        <v>10.961013356146553</v>
      </c>
      <c r="D1795" s="611">
        <f>-'Progetto del paramento slu'!$G$47*'Progetto del paramento slu'!$G$41*IF(DATI!$G$218="dx",DATI!$E$61,DATI!$E$64*DATI!$E$63)*1000*C1795^2*sezione!$AD$5*(1-sezione!$AD$6)</f>
        <v>-989023.84631459054</v>
      </c>
      <c r="E1795" s="553">
        <f>-'Foglio deposito bis'!$F$78*(C1795-sezione!$AL$34)*IF(ABS(K1795)&lt;'Progetto del paramento slu'!$G$58,ABS(K1795)*'Progetto del paramento slu'!$G$54,'Progetto del paramento slu'!$G$53)</f>
        <v>0</v>
      </c>
      <c r="F1795" s="553">
        <f>-'Foglio deposito bis'!$F$79*(C1795-sezione!$AM$34)*IF(ABS(L1795)&lt;'Progetto del paramento slu'!$G$58,ABS(L1795)*'Progetto del paramento slu'!$G$54,'Progetto del paramento slu'!$G$53)</f>
        <v>21365406.146880943</v>
      </c>
      <c r="G1795" s="553">
        <f>-'Foglio deposito bis'!$F$80*(C1795-sezione!$AN$34)*IF(ABS(M1795)&lt;'Progetto del paramento slu'!$G$58,ABS(M1795)*'Progetto del paramento slu'!$G$54,'Progetto del paramento slu'!$G$53)</f>
        <v>0</v>
      </c>
      <c r="H1795" s="553">
        <f>-'Foglio deposito bis'!$F$81*(C1795-sezione!$AO$34)*IF(ABS(N1795)&lt;'Progetto del paramento slu'!$G$58,ABS(N1795)*'Progetto del paramento slu'!$G$54,'Progetto del paramento slu'!$G$53)</f>
        <v>131056002.02814536</v>
      </c>
      <c r="I1795" s="479">
        <f>-'Foglio deposito bis'!$F$82*(C1795-sezione!$AP$34)*IF(ABS(O1795)&lt;'Progetto del paramento slu'!$G$58,ABS(O1795)*'Progetto del paramento slu'!$G$54,'Progetto del paramento slu'!$G$53)</f>
        <v>222269926.52358952</v>
      </c>
      <c r="J1795" s="479">
        <f t="shared" si="129"/>
        <v>373702310.85230124</v>
      </c>
      <c r="K1795" s="558">
        <f>'Progetto del paramento slu'!$G$60*(sezione!$AL$34-C1795)/C1795</f>
        <v>9.272541684888367E-3</v>
      </c>
      <c r="L1795" s="558">
        <f>'Progetto del paramento slu'!$G$60*(sezione!$AM$34-C1795)/C1795</f>
        <v>4.4397031318331379E-2</v>
      </c>
      <c r="M1795" s="559">
        <f>'Progetto del paramento slu'!$G$60*(sezione!$AN$34-C1795)/C1795</f>
        <v>7.9521520951774394E-2</v>
      </c>
      <c r="N1795" s="559">
        <f>'Progetto del paramento slu'!$G$60*(sezione!$AO$34-C1795)/C1795</f>
        <v>0.10506660432155113</v>
      </c>
      <c r="O1795" s="559">
        <f>'Progetto del paramento slu'!$G$60*(sezione!$AP$34-C1795)/C1795</f>
        <v>7.9523754611407926E-2</v>
      </c>
      <c r="P1795" s="553">
        <f>-'Progetto del paramento slu'!$G$47*'Progetto del paramento slu'!$G$41*IF(DATI!$G$218="dx",DATI!$E$61,DATI!$E$64*DATI!$E$63)*1000*C1795*sezione!$AD$5</f>
        <v>-154505.23855677265</v>
      </c>
      <c r="Q1795" s="553">
        <f>'Foglio deposito bis'!$F$78*IF(ABS(K1795)&lt;'Progetto del paramento slu'!$G$58,ABS(K1795)*'Progetto del paramento slu'!$G$54,'Progetto del paramento slu'!$G$53)*IF(K1795&lt;0,-1,1)</f>
        <v>0</v>
      </c>
      <c r="R1795" s="553">
        <f>'Foglio deposito bis'!$F$79*IF(ABS(L1795)&lt;'Progetto del paramento slu'!$G$58,ABS(L1795)*'Progetto del paramento slu'!$G$54,'Progetto del paramento slu'!$G$53)*IF(L1795&lt;0,-1,1)</f>
        <v>153664.85805602249</v>
      </c>
      <c r="S1795" s="553">
        <f>'Foglio deposito bis'!$F$80*IF(ABS(M1795)&lt;'Progetto del paramento slu'!$G$58,ABS(M1795)*'Progetto del paramento slu'!$G$54,'Progetto del paramento slu'!$G$53)*IF(M1795&lt;0,-1,1)</f>
        <v>0</v>
      </c>
      <c r="T1795" s="553">
        <f>'Foglio deposito bis'!$F$81*IF(ABS(N1795)&lt;'Progetto del paramento slu'!$G$58,ABS(N1795)*'Progetto del paramento slu'!$G$54,'Progetto del paramento slu'!$G$53)*IF(N1795&lt;0,-1,1)</f>
        <v>398299.31208121032</v>
      </c>
      <c r="U1795" s="553">
        <f>'Foglio deposito bis'!$F$82*IF(ABS(O1795)&lt;'Progetto del paramento slu'!$G$58,ABS(O1795)*'Progetto del paramento slu'!$G$54,'Progetto del paramento slu'!$G$53)*IF(O1795&lt;0,-1,1)</f>
        <v>892485.49558937876</v>
      </c>
      <c r="V1795" s="479">
        <f t="shared" si="132"/>
        <v>1289944.4271698389</v>
      </c>
      <c r="W1795" s="559"/>
      <c r="X1795" s="559"/>
    </row>
    <row r="1796" spans="1:24" x14ac:dyDescent="0.25">
      <c r="A1796" s="553">
        <f t="shared" si="131"/>
        <v>1287083.2190484172</v>
      </c>
      <c r="B1796" s="3">
        <f t="shared" si="133"/>
        <v>2.7499999999999982</v>
      </c>
      <c r="C1796" s="553">
        <f>'Foglio deposito bis'!$E$160/sezione!$B$247*B1796</f>
        <v>11.163995084964082</v>
      </c>
      <c r="D1796" s="611">
        <f>-'Progetto del paramento slu'!$G$47*'Progetto del paramento slu'!$G$41*IF(DATI!$G$218="dx",DATI!$E$61,DATI!$E$64*DATI!$E$63)*1000*C1796^2*sezione!$AD$5*(1-sezione!$AD$6)</f>
        <v>-1025993.5305561167</v>
      </c>
      <c r="E1796" s="553">
        <f>-'Foglio deposito bis'!$F$78*(C1796-sezione!$AL$34)*IF(ABS(K1796)&lt;'Progetto del paramento slu'!$G$58,ABS(K1796)*'Progetto del paramento slu'!$G$54,'Progetto del paramento slu'!$G$53)</f>
        <v>0</v>
      </c>
      <c r="F1796" s="553">
        <f>-'Foglio deposito bis'!$F$79*(C1796-sezione!$AM$34)*IF(ABS(L1796)&lt;'Progetto del paramento slu'!$G$58,ABS(L1796)*'Progetto del paramento slu'!$G$54,'Progetto del paramento slu'!$G$53)</f>
        <v>21334214.988334235</v>
      </c>
      <c r="G1796" s="553">
        <f>-'Foglio deposito bis'!$F$80*(C1796-sezione!$AN$34)*IF(ABS(M1796)&lt;'Progetto del paramento slu'!$G$58,ABS(M1796)*'Progetto del paramento slu'!$G$54,'Progetto del paramento slu'!$G$53)</f>
        <v>0</v>
      </c>
      <c r="H1796" s="553">
        <f>-'Foglio deposito bis'!$F$81*(C1796-sezione!$AO$34)*IF(ABS(N1796)&lt;'Progetto del paramento slu'!$G$58,ABS(N1796)*'Progetto del paramento slu'!$G$54,'Progetto del paramento slu'!$G$53)</f>
        <v>130975154.54519229</v>
      </c>
      <c r="I1796" s="479">
        <f>-'Foglio deposito bis'!$F$82*(C1796-sezione!$AP$34)*IF(ABS(O1796)&lt;'Progetto del paramento slu'!$G$58,ABS(O1796)*'Progetto del paramento slu'!$G$54,'Progetto del paramento slu'!$G$53)</f>
        <v>222088768.27475023</v>
      </c>
      <c r="J1796" s="479">
        <f t="shared" si="129"/>
        <v>373372144.27772063</v>
      </c>
      <c r="K1796" s="558">
        <f>'Progetto del paramento slu'!$G$60*(sezione!$AL$34-C1796)/C1796</f>
        <v>9.0403136542540341E-3</v>
      </c>
      <c r="L1796" s="558">
        <f>'Progetto del paramento slu'!$G$60*(sezione!$AM$34-C1796)/C1796</f>
        <v>4.3526176203452629E-2</v>
      </c>
      <c r="M1796" s="559">
        <f>'Progetto del paramento slu'!$G$60*(sezione!$AN$34-C1796)/C1796</f>
        <v>7.8012038752651225E-2</v>
      </c>
      <c r="N1796" s="559">
        <f>'Progetto del paramento slu'!$G$60*(sezione!$AO$34-C1796)/C1796</f>
        <v>0.10309266606115929</v>
      </c>
      <c r="O1796" s="559">
        <f>'Progetto del paramento slu'!$G$60*(sezione!$AP$34-C1796)/C1796</f>
        <v>7.801423180029142E-2</v>
      </c>
      <c r="P1796" s="553">
        <f>-'Progetto del paramento slu'!$G$47*'Progetto del paramento slu'!$G$41*IF(DATI!$G$218="dx",DATI!$E$61,DATI!$E$64*DATI!$E$63)*1000*C1796*sezione!$AD$5</f>
        <v>-157366.44667819436</v>
      </c>
      <c r="Q1796" s="553">
        <f>'Foglio deposito bis'!$F$78*IF(ABS(K1796)&lt;'Progetto del paramento slu'!$G$58,ABS(K1796)*'Progetto del paramento slu'!$G$54,'Progetto del paramento slu'!$G$53)*IF(K1796&lt;0,-1,1)</f>
        <v>0</v>
      </c>
      <c r="R1796" s="553">
        <f>'Foglio deposito bis'!$F$79*IF(ABS(L1796)&lt;'Progetto del paramento slu'!$G$58,ABS(L1796)*'Progetto del paramento slu'!$G$54,'Progetto del paramento slu'!$G$53)*IF(L1796&lt;0,-1,1)</f>
        <v>153664.85805602249</v>
      </c>
      <c r="S1796" s="553">
        <f>'Foglio deposito bis'!$F$80*IF(ABS(M1796)&lt;'Progetto del paramento slu'!$G$58,ABS(M1796)*'Progetto del paramento slu'!$G$54,'Progetto del paramento slu'!$G$53)*IF(M1796&lt;0,-1,1)</f>
        <v>0</v>
      </c>
      <c r="T1796" s="553">
        <f>'Foglio deposito bis'!$F$81*IF(ABS(N1796)&lt;'Progetto del paramento slu'!$G$58,ABS(N1796)*'Progetto del paramento slu'!$G$54,'Progetto del paramento slu'!$G$53)*IF(N1796&lt;0,-1,1)</f>
        <v>398299.31208121032</v>
      </c>
      <c r="U1796" s="553">
        <f>'Foglio deposito bis'!$F$82*IF(ABS(O1796)&lt;'Progetto del paramento slu'!$G$58,ABS(O1796)*'Progetto del paramento slu'!$G$54,'Progetto del paramento slu'!$G$53)*IF(O1796&lt;0,-1,1)</f>
        <v>892485.49558937876</v>
      </c>
      <c r="V1796" s="479">
        <f t="shared" si="132"/>
        <v>1287083.2190484172</v>
      </c>
      <c r="W1796" s="559"/>
      <c r="X1796" s="559"/>
    </row>
    <row r="1797" spans="1:24" x14ac:dyDescent="0.25">
      <c r="A1797" s="553">
        <f t="shared" si="131"/>
        <v>1284222.0109269954</v>
      </c>
      <c r="B1797" s="3">
        <f t="shared" si="133"/>
        <v>2.799999999999998</v>
      </c>
      <c r="C1797" s="553">
        <f>'Foglio deposito bis'!$E$160/sezione!$B$247*B1797</f>
        <v>11.36697681378161</v>
      </c>
      <c r="D1797" s="611">
        <f>-'Progetto del paramento slu'!$G$47*'Progetto del paramento slu'!$G$41*IF(DATI!$G$218="dx",DATI!$E$61,DATI!$E$64*DATI!$E$63)*1000*C1797^2*sezione!$AD$5*(1-sezione!$AD$6)</f>
        <v>-1063641.5576277624</v>
      </c>
      <c r="E1797" s="553">
        <f>-'Foglio deposito bis'!$F$78*(C1797-sezione!$AL$34)*IF(ABS(K1797)&lt;'Progetto del paramento slu'!$G$58,ABS(K1797)*'Progetto del paramento slu'!$G$54,'Progetto del paramento slu'!$G$53)</f>
        <v>0</v>
      </c>
      <c r="F1797" s="553">
        <f>-'Foglio deposito bis'!$F$79*(C1797-sezione!$AM$34)*IF(ABS(L1797)&lt;'Progetto del paramento slu'!$G$58,ABS(L1797)*'Progetto del paramento slu'!$G$54,'Progetto del paramento slu'!$G$53)</f>
        <v>21303023.829787526</v>
      </c>
      <c r="G1797" s="553">
        <f>-'Foglio deposito bis'!$F$80*(C1797-sezione!$AN$34)*IF(ABS(M1797)&lt;'Progetto del paramento slu'!$G$58,ABS(M1797)*'Progetto del paramento slu'!$G$54,'Progetto del paramento slu'!$G$53)</f>
        <v>0</v>
      </c>
      <c r="H1797" s="553">
        <f>-'Foglio deposito bis'!$F$81*(C1797-sezione!$AO$34)*IF(ABS(N1797)&lt;'Progetto del paramento slu'!$G$58,ABS(N1797)*'Progetto del paramento slu'!$G$54,'Progetto del paramento slu'!$G$53)</f>
        <v>130894307.06223924</v>
      </c>
      <c r="I1797" s="479">
        <f>-'Foglio deposito bis'!$F$82*(C1797-sezione!$AP$34)*IF(ABS(O1797)&lt;'Progetto del paramento slu'!$G$58,ABS(O1797)*'Progetto del paramento slu'!$G$54,'Progetto del paramento slu'!$G$53)</f>
        <v>221907610.02591094</v>
      </c>
      <c r="J1797" s="479">
        <f t="shared" si="129"/>
        <v>373041299.36030996</v>
      </c>
      <c r="K1797" s="558">
        <f>'Progetto del paramento slu'!$G$60*(sezione!$AL$34-C1797)/C1797</f>
        <v>8.8163794818566406E-3</v>
      </c>
      <c r="L1797" s="558">
        <f>'Progetto del paramento slu'!$G$60*(sezione!$AM$34-C1797)/C1797</f>
        <v>4.2686423056962408E-2</v>
      </c>
      <c r="M1797" s="559">
        <f>'Progetto del paramento slu'!$G$60*(sezione!$AN$34-C1797)/C1797</f>
        <v>7.6556466632068179E-2</v>
      </c>
      <c r="N1797" s="559">
        <f>'Progetto del paramento slu'!$G$60*(sezione!$AO$34-C1797)/C1797</f>
        <v>0.10118922559578146</v>
      </c>
      <c r="O1797" s="559">
        <f>'Progetto del paramento slu'!$G$60*(sezione!$AP$34-C1797)/C1797</f>
        <v>7.6558620518143369E-2</v>
      </c>
      <c r="P1797" s="553">
        <f>-'Progetto del paramento slu'!$G$47*'Progetto del paramento slu'!$G$41*IF(DATI!$G$218="dx",DATI!$E$61,DATI!$E$64*DATI!$E$63)*1000*C1797*sezione!$AD$5</f>
        <v>-160227.65479961608</v>
      </c>
      <c r="Q1797" s="553">
        <f>'Foglio deposito bis'!$F$78*IF(ABS(K1797)&lt;'Progetto del paramento slu'!$G$58,ABS(K1797)*'Progetto del paramento slu'!$G$54,'Progetto del paramento slu'!$G$53)*IF(K1797&lt;0,-1,1)</f>
        <v>0</v>
      </c>
      <c r="R1797" s="553">
        <f>'Foglio deposito bis'!$F$79*IF(ABS(L1797)&lt;'Progetto del paramento slu'!$G$58,ABS(L1797)*'Progetto del paramento slu'!$G$54,'Progetto del paramento slu'!$G$53)*IF(L1797&lt;0,-1,1)</f>
        <v>153664.85805602249</v>
      </c>
      <c r="S1797" s="553">
        <f>'Foglio deposito bis'!$F$80*IF(ABS(M1797)&lt;'Progetto del paramento slu'!$G$58,ABS(M1797)*'Progetto del paramento slu'!$G$54,'Progetto del paramento slu'!$G$53)*IF(M1797&lt;0,-1,1)</f>
        <v>0</v>
      </c>
      <c r="T1797" s="553">
        <f>'Foglio deposito bis'!$F$81*IF(ABS(N1797)&lt;'Progetto del paramento slu'!$G$58,ABS(N1797)*'Progetto del paramento slu'!$G$54,'Progetto del paramento slu'!$G$53)*IF(N1797&lt;0,-1,1)</f>
        <v>398299.31208121032</v>
      </c>
      <c r="U1797" s="553">
        <f>'Foglio deposito bis'!$F$82*IF(ABS(O1797)&lt;'Progetto del paramento slu'!$G$58,ABS(O1797)*'Progetto del paramento slu'!$G$54,'Progetto del paramento slu'!$G$53)*IF(O1797&lt;0,-1,1)</f>
        <v>892485.49558937876</v>
      </c>
      <c r="V1797" s="479">
        <f t="shared" si="132"/>
        <v>1284222.0109269954</v>
      </c>
      <c r="W1797" s="559"/>
      <c r="X1797" s="559"/>
    </row>
    <row r="1798" spans="1:24" x14ac:dyDescent="0.25">
      <c r="A1798" s="553">
        <f t="shared" si="131"/>
        <v>1281360.8028055737</v>
      </c>
      <c r="B1798" s="3">
        <f t="shared" si="133"/>
        <v>2.8499999999999979</v>
      </c>
      <c r="C1798" s="553">
        <f>'Foglio deposito bis'!$E$160/sezione!$B$247*B1798</f>
        <v>11.569958542599139</v>
      </c>
      <c r="D1798" s="611">
        <f>-'Progetto del paramento slu'!$G$47*'Progetto del paramento slu'!$G$41*IF(DATI!$G$218="dx",DATI!$E$61,DATI!$E$64*DATI!$E$63)*1000*C1798^2*sezione!$AD$5*(1-sezione!$AD$6)</f>
        <v>-1101967.9275295278</v>
      </c>
      <c r="E1798" s="553">
        <f>-'Foglio deposito bis'!$F$78*(C1798-sezione!$AL$34)*IF(ABS(K1798)&lt;'Progetto del paramento slu'!$G$58,ABS(K1798)*'Progetto del paramento slu'!$G$54,'Progetto del paramento slu'!$G$53)</f>
        <v>0</v>
      </c>
      <c r="F1798" s="553">
        <f>-'Foglio deposito bis'!$F$79*(C1798-sezione!$AM$34)*IF(ABS(L1798)&lt;'Progetto del paramento slu'!$G$58,ABS(L1798)*'Progetto del paramento slu'!$G$54,'Progetto del paramento slu'!$G$53)</f>
        <v>21271832.671240814</v>
      </c>
      <c r="G1798" s="553">
        <f>-'Foglio deposito bis'!$F$80*(C1798-sezione!$AN$34)*IF(ABS(M1798)&lt;'Progetto del paramento slu'!$G$58,ABS(M1798)*'Progetto del paramento slu'!$G$54,'Progetto del paramento slu'!$G$53)</f>
        <v>0</v>
      </c>
      <c r="H1798" s="553">
        <f>-'Foglio deposito bis'!$F$81*(C1798-sezione!$AO$34)*IF(ABS(N1798)&lt;'Progetto del paramento slu'!$G$58,ABS(N1798)*'Progetto del paramento slu'!$G$54,'Progetto del paramento slu'!$G$53)</f>
        <v>130813459.57928616</v>
      </c>
      <c r="I1798" s="479">
        <f>-'Foglio deposito bis'!$F$82*(C1798-sezione!$AP$34)*IF(ABS(O1798)&lt;'Progetto del paramento slu'!$G$58,ABS(O1798)*'Progetto del paramento slu'!$G$54,'Progetto del paramento slu'!$G$53)</f>
        <v>221726451.77707165</v>
      </c>
      <c r="J1798" s="479">
        <f t="shared" si="129"/>
        <v>372709776.10006911</v>
      </c>
      <c r="K1798" s="558">
        <f>'Progetto del paramento slu'!$G$60*(sezione!$AL$34-C1798)/C1798</f>
        <v>8.600302648841613E-3</v>
      </c>
      <c r="L1798" s="558">
        <f>'Progetto del paramento slu'!$G$60*(sezione!$AM$34-C1798)/C1798</f>
        <v>4.1876134933156055E-2</v>
      </c>
      <c r="M1798" s="559">
        <f>'Progetto del paramento slu'!$G$60*(sezione!$AN$34-C1798)/C1798</f>
        <v>7.5151967217470486E-2</v>
      </c>
      <c r="N1798" s="559">
        <f>'Progetto del paramento slu'!$G$60*(sezione!$AO$34-C1798)/C1798</f>
        <v>9.9352572515153711E-2</v>
      </c>
      <c r="O1798" s="559">
        <f>'Progetto del paramento slu'!$G$60*(sezione!$AP$34-C1798)/C1798</f>
        <v>7.5154083316070666E-2</v>
      </c>
      <c r="P1798" s="553">
        <f>-'Progetto del paramento slu'!$G$47*'Progetto del paramento slu'!$G$41*IF(DATI!$G$218="dx",DATI!$E$61,DATI!$E$64*DATI!$E$63)*1000*C1798*sezione!$AD$5</f>
        <v>-163088.86292103777</v>
      </c>
      <c r="Q1798" s="553">
        <f>'Foglio deposito bis'!$F$78*IF(ABS(K1798)&lt;'Progetto del paramento slu'!$G$58,ABS(K1798)*'Progetto del paramento slu'!$G$54,'Progetto del paramento slu'!$G$53)*IF(K1798&lt;0,-1,1)</f>
        <v>0</v>
      </c>
      <c r="R1798" s="553">
        <f>'Foglio deposito bis'!$F$79*IF(ABS(L1798)&lt;'Progetto del paramento slu'!$G$58,ABS(L1798)*'Progetto del paramento slu'!$G$54,'Progetto del paramento slu'!$G$53)*IF(L1798&lt;0,-1,1)</f>
        <v>153664.85805602249</v>
      </c>
      <c r="S1798" s="553">
        <f>'Foglio deposito bis'!$F$80*IF(ABS(M1798)&lt;'Progetto del paramento slu'!$G$58,ABS(M1798)*'Progetto del paramento slu'!$G$54,'Progetto del paramento slu'!$G$53)*IF(M1798&lt;0,-1,1)</f>
        <v>0</v>
      </c>
      <c r="T1798" s="553">
        <f>'Foglio deposito bis'!$F$81*IF(ABS(N1798)&lt;'Progetto del paramento slu'!$G$58,ABS(N1798)*'Progetto del paramento slu'!$G$54,'Progetto del paramento slu'!$G$53)*IF(N1798&lt;0,-1,1)</f>
        <v>398299.31208121032</v>
      </c>
      <c r="U1798" s="553">
        <f>'Foglio deposito bis'!$F$82*IF(ABS(O1798)&lt;'Progetto del paramento slu'!$G$58,ABS(O1798)*'Progetto del paramento slu'!$G$54,'Progetto del paramento slu'!$G$53)*IF(O1798&lt;0,-1,1)</f>
        <v>892485.49558937876</v>
      </c>
      <c r="V1798" s="479">
        <f t="shared" si="132"/>
        <v>1281360.8028055737</v>
      </c>
      <c r="W1798" s="559"/>
      <c r="X1798" s="559"/>
    </row>
    <row r="1799" spans="1:24" x14ac:dyDescent="0.25">
      <c r="A1799" s="553">
        <f t="shared" si="131"/>
        <v>1278499.5946841519</v>
      </c>
      <c r="B1799" s="3">
        <f t="shared" si="133"/>
        <v>2.8999999999999977</v>
      </c>
      <c r="C1799" s="553">
        <f>'Foglio deposito bis'!$E$160/sezione!$B$247*B1799</f>
        <v>11.772940271416667</v>
      </c>
      <c r="D1799" s="611">
        <f>-'Progetto del paramento slu'!$G$47*'Progetto del paramento slu'!$G$41*IF(DATI!$G$218="dx",DATI!$E$61,DATI!$E$64*DATI!$E$63)*1000*C1799^2*sezione!$AD$5*(1-sezione!$AD$6)</f>
        <v>-1140972.6402614133</v>
      </c>
      <c r="E1799" s="553">
        <f>-'Foglio deposito bis'!$F$78*(C1799-sezione!$AL$34)*IF(ABS(K1799)&lt;'Progetto del paramento slu'!$G$58,ABS(K1799)*'Progetto del paramento slu'!$G$54,'Progetto del paramento slu'!$G$53)</f>
        <v>0</v>
      </c>
      <c r="F1799" s="553">
        <f>-'Foglio deposito bis'!$F$79*(C1799-sezione!$AM$34)*IF(ABS(L1799)&lt;'Progetto del paramento slu'!$G$58,ABS(L1799)*'Progetto del paramento slu'!$G$54,'Progetto del paramento slu'!$G$53)</f>
        <v>21240641.512694098</v>
      </c>
      <c r="G1799" s="553">
        <f>-'Foglio deposito bis'!$F$80*(C1799-sezione!$AN$34)*IF(ABS(M1799)&lt;'Progetto del paramento slu'!$G$58,ABS(M1799)*'Progetto del paramento slu'!$G$54,'Progetto del paramento slu'!$G$53)</f>
        <v>0</v>
      </c>
      <c r="H1799" s="553">
        <f>-'Foglio deposito bis'!$F$81*(C1799-sezione!$AO$34)*IF(ABS(N1799)&lt;'Progetto del paramento slu'!$G$58,ABS(N1799)*'Progetto del paramento slu'!$G$54,'Progetto del paramento slu'!$G$53)</f>
        <v>130732612.09633309</v>
      </c>
      <c r="I1799" s="479">
        <f>-'Foglio deposito bis'!$F$82*(C1799-sezione!$AP$34)*IF(ABS(O1799)&lt;'Progetto del paramento slu'!$G$58,ABS(O1799)*'Progetto del paramento slu'!$G$54,'Progetto del paramento slu'!$G$53)</f>
        <v>221545293.52823231</v>
      </c>
      <c r="J1799" s="479">
        <f t="shared" si="129"/>
        <v>372377574.49699807</v>
      </c>
      <c r="K1799" s="558">
        <f>'Progetto del paramento slu'!$G$60*(sezione!$AL$34-C1799)/C1799</f>
        <v>8.3916767411029644E-3</v>
      </c>
      <c r="L1799" s="558">
        <f>'Progetto del paramento slu'!$G$60*(sezione!$AM$34-C1799)/C1799</f>
        <v>4.1093787779136116E-2</v>
      </c>
      <c r="M1799" s="559">
        <f>'Progetto del paramento slu'!$G$60*(sezione!$AN$34-C1799)/C1799</f>
        <v>7.3795898817169261E-2</v>
      </c>
      <c r="N1799" s="559">
        <f>'Progetto del paramento slu'!$G$60*(sezione!$AO$34-C1799)/C1799</f>
        <v>9.7579252299375197E-2</v>
      </c>
      <c r="O1799" s="559">
        <f>'Progetto del paramento slu'!$G$60*(sezione!$AP$34-C1799)/C1799</f>
        <v>7.3797978431310834E-2</v>
      </c>
      <c r="P1799" s="553">
        <f>-'Progetto del paramento slu'!$G$47*'Progetto del paramento slu'!$G$41*IF(DATI!$G$218="dx",DATI!$E$61,DATI!$E$64*DATI!$E$63)*1000*C1799*sezione!$AD$5</f>
        <v>-165950.07104245949</v>
      </c>
      <c r="Q1799" s="553">
        <f>'Foglio deposito bis'!$F$78*IF(ABS(K1799)&lt;'Progetto del paramento slu'!$G$58,ABS(K1799)*'Progetto del paramento slu'!$G$54,'Progetto del paramento slu'!$G$53)*IF(K1799&lt;0,-1,1)</f>
        <v>0</v>
      </c>
      <c r="R1799" s="553">
        <f>'Foglio deposito bis'!$F$79*IF(ABS(L1799)&lt;'Progetto del paramento slu'!$G$58,ABS(L1799)*'Progetto del paramento slu'!$G$54,'Progetto del paramento slu'!$G$53)*IF(L1799&lt;0,-1,1)</f>
        <v>153664.85805602249</v>
      </c>
      <c r="S1799" s="553">
        <f>'Foglio deposito bis'!$F$80*IF(ABS(M1799)&lt;'Progetto del paramento slu'!$G$58,ABS(M1799)*'Progetto del paramento slu'!$G$54,'Progetto del paramento slu'!$G$53)*IF(M1799&lt;0,-1,1)</f>
        <v>0</v>
      </c>
      <c r="T1799" s="553">
        <f>'Foglio deposito bis'!$F$81*IF(ABS(N1799)&lt;'Progetto del paramento slu'!$G$58,ABS(N1799)*'Progetto del paramento slu'!$G$54,'Progetto del paramento slu'!$G$53)*IF(N1799&lt;0,-1,1)</f>
        <v>398299.31208121032</v>
      </c>
      <c r="U1799" s="553">
        <f>'Foglio deposito bis'!$F$82*IF(ABS(O1799)&lt;'Progetto del paramento slu'!$G$58,ABS(O1799)*'Progetto del paramento slu'!$G$54,'Progetto del paramento slu'!$G$53)*IF(O1799&lt;0,-1,1)</f>
        <v>892485.49558937876</v>
      </c>
      <c r="V1799" s="479">
        <f t="shared" si="132"/>
        <v>1278499.5946841519</v>
      </c>
      <c r="W1799" s="559"/>
      <c r="X1799" s="559"/>
    </row>
    <row r="1800" spans="1:24" x14ac:dyDescent="0.25">
      <c r="A1800" s="553">
        <f t="shared" si="131"/>
        <v>1275638.3865627304</v>
      </c>
      <c r="B1800" s="3">
        <f t="shared" si="133"/>
        <v>2.9499999999999975</v>
      </c>
      <c r="C1800" s="553">
        <f>'Foglio deposito bis'!$E$160/sezione!$B$247*B1800</f>
        <v>11.975922000234196</v>
      </c>
      <c r="D1800" s="611">
        <f>-'Progetto del paramento slu'!$G$47*'Progetto del paramento slu'!$G$41*IF(DATI!$G$218="dx",DATI!$E$61,DATI!$E$64*DATI!$E$63)*1000*C1800^2*sezione!$AD$5*(1-sezione!$AD$6)</f>
        <v>-1180655.6958234182</v>
      </c>
      <c r="E1800" s="553">
        <f>-'Foglio deposito bis'!$F$78*(C1800-sezione!$AL$34)*IF(ABS(K1800)&lt;'Progetto del paramento slu'!$G$58,ABS(K1800)*'Progetto del paramento slu'!$G$54,'Progetto del paramento slu'!$G$53)</f>
        <v>0</v>
      </c>
      <c r="F1800" s="553">
        <f>-'Foglio deposito bis'!$F$79*(C1800-sezione!$AM$34)*IF(ABS(L1800)&lt;'Progetto del paramento slu'!$G$58,ABS(L1800)*'Progetto del paramento slu'!$G$54,'Progetto del paramento slu'!$G$53)</f>
        <v>21209450.35414739</v>
      </c>
      <c r="G1800" s="553">
        <f>-'Foglio deposito bis'!$F$80*(C1800-sezione!$AN$34)*IF(ABS(M1800)&lt;'Progetto del paramento slu'!$G$58,ABS(M1800)*'Progetto del paramento slu'!$G$54,'Progetto del paramento slu'!$G$53)</f>
        <v>0</v>
      </c>
      <c r="H1800" s="553">
        <f>-'Foglio deposito bis'!$F$81*(C1800-sezione!$AO$34)*IF(ABS(N1800)&lt;'Progetto del paramento slu'!$G$58,ABS(N1800)*'Progetto del paramento slu'!$G$54,'Progetto del paramento slu'!$G$53)</f>
        <v>130651764.61338</v>
      </c>
      <c r="I1800" s="479">
        <f>-'Foglio deposito bis'!$F$82*(C1800-sezione!$AP$34)*IF(ABS(O1800)&lt;'Progetto del paramento slu'!$G$58,ABS(O1800)*'Progetto del paramento slu'!$G$54,'Progetto del paramento slu'!$G$53)</f>
        <v>221364135.27939305</v>
      </c>
      <c r="J1800" s="479">
        <f t="shared" si="129"/>
        <v>372044694.55109704</v>
      </c>
      <c r="K1800" s="558">
        <f>'Progetto del paramento slu'!$G$60*(sezione!$AL$34-C1800)/C1800</f>
        <v>8.190122898033423E-3</v>
      </c>
      <c r="L1800" s="558">
        <f>'Progetto del paramento slu'!$G$60*(sezione!$AM$34-C1800)/C1800</f>
        <v>4.0337960867625339E-2</v>
      </c>
      <c r="M1800" s="559">
        <f>'Progetto del paramento slu'!$G$60*(sezione!$AN$34-C1800)/C1800</f>
        <v>7.2485798837217244E-2</v>
      </c>
      <c r="N1800" s="559">
        <f>'Progetto del paramento slu'!$G$60*(sezione!$AO$34-C1800)/C1800</f>
        <v>9.5866044633284089E-2</v>
      </c>
      <c r="O1800" s="559">
        <f>'Progetto del paramento slu'!$G$60*(sezione!$AP$34-C1800)/C1800</f>
        <v>7.2487843203661501E-2</v>
      </c>
      <c r="P1800" s="553">
        <f>-'Progetto del paramento slu'!$G$47*'Progetto del paramento slu'!$G$41*IF(DATI!$G$218="dx",DATI!$E$61,DATI!$E$64*DATI!$E$63)*1000*C1800*sezione!$AD$5</f>
        <v>-168811.27916388118</v>
      </c>
      <c r="Q1800" s="553">
        <f>'Foglio deposito bis'!$F$78*IF(ABS(K1800)&lt;'Progetto del paramento slu'!$G$58,ABS(K1800)*'Progetto del paramento slu'!$G$54,'Progetto del paramento slu'!$G$53)*IF(K1800&lt;0,-1,1)</f>
        <v>0</v>
      </c>
      <c r="R1800" s="553">
        <f>'Foglio deposito bis'!$F$79*IF(ABS(L1800)&lt;'Progetto del paramento slu'!$G$58,ABS(L1800)*'Progetto del paramento slu'!$G$54,'Progetto del paramento slu'!$G$53)*IF(L1800&lt;0,-1,1)</f>
        <v>153664.85805602249</v>
      </c>
      <c r="S1800" s="553">
        <f>'Foglio deposito bis'!$F$80*IF(ABS(M1800)&lt;'Progetto del paramento slu'!$G$58,ABS(M1800)*'Progetto del paramento slu'!$G$54,'Progetto del paramento slu'!$G$53)*IF(M1800&lt;0,-1,1)</f>
        <v>0</v>
      </c>
      <c r="T1800" s="553">
        <f>'Foglio deposito bis'!$F$81*IF(ABS(N1800)&lt;'Progetto del paramento slu'!$G$58,ABS(N1800)*'Progetto del paramento slu'!$G$54,'Progetto del paramento slu'!$G$53)*IF(N1800&lt;0,-1,1)</f>
        <v>398299.31208121032</v>
      </c>
      <c r="U1800" s="553">
        <f>'Foglio deposito bis'!$F$82*IF(ABS(O1800)&lt;'Progetto del paramento slu'!$G$58,ABS(O1800)*'Progetto del paramento slu'!$G$54,'Progetto del paramento slu'!$G$53)*IF(O1800&lt;0,-1,1)</f>
        <v>892485.49558937876</v>
      </c>
      <c r="V1800" s="479">
        <f t="shared" si="132"/>
        <v>1275638.3865627304</v>
      </c>
      <c r="W1800" s="559"/>
      <c r="X1800" s="559"/>
    </row>
    <row r="1801" spans="1:24" x14ac:dyDescent="0.25">
      <c r="A1801" s="553">
        <f t="shared" si="131"/>
        <v>1272777.1784413087</v>
      </c>
      <c r="B1801" s="3">
        <f t="shared" si="133"/>
        <v>2.9999999999999973</v>
      </c>
      <c r="C1801" s="553">
        <f>'Foglio deposito bis'!$E$160/sezione!$B$247*B1801</f>
        <v>12.178903729051722</v>
      </c>
      <c r="D1801" s="611">
        <f>-'Progetto del paramento slu'!$G$47*'Progetto del paramento slu'!$G$41*IF(DATI!$G$218="dx",DATI!$E$61,DATI!$E$64*DATI!$E$63)*1000*C1801^2*sezione!$AD$5*(1-sezione!$AD$6)</f>
        <v>-1221017.0942155432</v>
      </c>
      <c r="E1801" s="553">
        <f>-'Foglio deposito bis'!$F$78*(C1801-sezione!$AL$34)*IF(ABS(K1801)&lt;'Progetto del paramento slu'!$G$58,ABS(K1801)*'Progetto del paramento slu'!$G$54,'Progetto del paramento slu'!$G$53)</f>
        <v>0</v>
      </c>
      <c r="F1801" s="553">
        <f>-'Foglio deposito bis'!$F$79*(C1801-sezione!$AM$34)*IF(ABS(L1801)&lt;'Progetto del paramento slu'!$G$58,ABS(L1801)*'Progetto del paramento slu'!$G$54,'Progetto del paramento slu'!$G$53)</f>
        <v>21178259.195600677</v>
      </c>
      <c r="G1801" s="553">
        <f>-'Foglio deposito bis'!$F$80*(C1801-sezione!$AN$34)*IF(ABS(M1801)&lt;'Progetto del paramento slu'!$G$58,ABS(M1801)*'Progetto del paramento slu'!$G$54,'Progetto del paramento slu'!$G$53)</f>
        <v>0</v>
      </c>
      <c r="H1801" s="553">
        <f>-'Foglio deposito bis'!$F$81*(C1801-sezione!$AO$34)*IF(ABS(N1801)&lt;'Progetto del paramento slu'!$G$58,ABS(N1801)*'Progetto del paramento slu'!$G$54,'Progetto del paramento slu'!$G$53)</f>
        <v>130570917.13042691</v>
      </c>
      <c r="I1801" s="479">
        <f>-'Foglio deposito bis'!$F$82*(C1801-sezione!$AP$34)*IF(ABS(O1801)&lt;'Progetto del paramento slu'!$G$58,ABS(O1801)*'Progetto del paramento slu'!$G$54,'Progetto del paramento slu'!$G$53)</f>
        <v>221182977.03055376</v>
      </c>
      <c r="J1801" s="479">
        <f t="shared" si="129"/>
        <v>371711136.26236582</v>
      </c>
      <c r="K1801" s="558">
        <f>'Progetto del paramento slu'!$G$60*(sezione!$AL$34-C1801)/C1801</f>
        <v>7.9952875163995345E-3</v>
      </c>
      <c r="L1801" s="558">
        <f>'Progetto del paramento slu'!$G$60*(sezione!$AM$34-C1801)/C1801</f>
        <v>3.9607328186498258E-2</v>
      </c>
      <c r="M1801" s="559">
        <f>'Progetto del paramento slu'!$G$60*(sezione!$AN$34-C1801)/C1801</f>
        <v>7.1219368856596979E-2</v>
      </c>
      <c r="N1801" s="559">
        <f>'Progetto del paramento slu'!$G$60*(sezione!$AO$34-C1801)/C1801</f>
        <v>9.4209943889396033E-2</v>
      </c>
      <c r="O1801" s="559">
        <f>'Progetto del paramento slu'!$G$60*(sezione!$AP$34-C1801)/C1801</f>
        <v>7.1221379150267161E-2</v>
      </c>
      <c r="P1801" s="553">
        <f>-'Progetto del paramento slu'!$G$47*'Progetto del paramento slu'!$G$41*IF(DATI!$G$218="dx",DATI!$E$61,DATI!$E$64*DATI!$E$63)*1000*C1801*sezione!$AD$5</f>
        <v>-171672.48728530286</v>
      </c>
      <c r="Q1801" s="553">
        <f>'Foglio deposito bis'!$F$78*IF(ABS(K1801)&lt;'Progetto del paramento slu'!$G$58,ABS(K1801)*'Progetto del paramento slu'!$G$54,'Progetto del paramento slu'!$G$53)*IF(K1801&lt;0,-1,1)</f>
        <v>0</v>
      </c>
      <c r="R1801" s="553">
        <f>'Foglio deposito bis'!$F$79*IF(ABS(L1801)&lt;'Progetto del paramento slu'!$G$58,ABS(L1801)*'Progetto del paramento slu'!$G$54,'Progetto del paramento slu'!$G$53)*IF(L1801&lt;0,-1,1)</f>
        <v>153664.85805602249</v>
      </c>
      <c r="S1801" s="553">
        <f>'Foglio deposito bis'!$F$80*IF(ABS(M1801)&lt;'Progetto del paramento slu'!$G$58,ABS(M1801)*'Progetto del paramento slu'!$G$54,'Progetto del paramento slu'!$G$53)*IF(M1801&lt;0,-1,1)</f>
        <v>0</v>
      </c>
      <c r="T1801" s="553">
        <f>'Foglio deposito bis'!$F$81*IF(ABS(N1801)&lt;'Progetto del paramento slu'!$G$58,ABS(N1801)*'Progetto del paramento slu'!$G$54,'Progetto del paramento slu'!$G$53)*IF(N1801&lt;0,-1,1)</f>
        <v>398299.31208121032</v>
      </c>
      <c r="U1801" s="553">
        <f>'Foglio deposito bis'!$F$82*IF(ABS(O1801)&lt;'Progetto del paramento slu'!$G$58,ABS(O1801)*'Progetto del paramento slu'!$G$54,'Progetto del paramento slu'!$G$53)*IF(O1801&lt;0,-1,1)</f>
        <v>892485.49558937876</v>
      </c>
      <c r="V1801" s="479">
        <f t="shared" si="132"/>
        <v>1272777.1784413087</v>
      </c>
      <c r="W1801" s="559"/>
      <c r="X1801" s="559"/>
    </row>
    <row r="1802" spans="1:24" x14ac:dyDescent="0.25">
      <c r="A1802" s="553">
        <f t="shared" si="131"/>
        <v>1269915.9703198869</v>
      </c>
      <c r="B1802" s="3">
        <f t="shared" si="133"/>
        <v>3.0499999999999972</v>
      </c>
      <c r="C1802" s="553">
        <f>'Foglio deposito bis'!$E$160/sezione!$B$247*B1802</f>
        <v>12.381885457869251</v>
      </c>
      <c r="D1802" s="611">
        <f>-'Progetto del paramento slu'!$G$47*'Progetto del paramento slu'!$G$41*IF(DATI!$G$218="dx",DATI!$E$61,DATI!$E$64*DATI!$E$63)*1000*C1802^2*sezione!$AD$5*(1-sezione!$AD$6)</f>
        <v>-1262056.8354377875</v>
      </c>
      <c r="E1802" s="553">
        <f>-'Foglio deposito bis'!$F$78*(C1802-sezione!$AL$34)*IF(ABS(K1802)&lt;'Progetto del paramento slu'!$G$58,ABS(K1802)*'Progetto del paramento slu'!$G$54,'Progetto del paramento slu'!$G$53)</f>
        <v>0</v>
      </c>
      <c r="F1802" s="553">
        <f>-'Foglio deposito bis'!$F$79*(C1802-sezione!$AM$34)*IF(ABS(L1802)&lt;'Progetto del paramento slu'!$G$58,ABS(L1802)*'Progetto del paramento slu'!$G$54,'Progetto del paramento slu'!$G$53)</f>
        <v>21147068.037053965</v>
      </c>
      <c r="G1802" s="553">
        <f>-'Foglio deposito bis'!$F$80*(C1802-sezione!$AN$34)*IF(ABS(M1802)&lt;'Progetto del paramento slu'!$G$58,ABS(M1802)*'Progetto del paramento slu'!$G$54,'Progetto del paramento slu'!$G$53)</f>
        <v>0</v>
      </c>
      <c r="H1802" s="553">
        <f>-'Foglio deposito bis'!$F$81*(C1802-sezione!$AO$34)*IF(ABS(N1802)&lt;'Progetto del paramento slu'!$G$58,ABS(N1802)*'Progetto del paramento slu'!$G$54,'Progetto del paramento slu'!$G$53)</f>
        <v>130490069.64747384</v>
      </c>
      <c r="I1802" s="479">
        <f>-'Foglio deposito bis'!$F$82*(C1802-sezione!$AP$34)*IF(ABS(O1802)&lt;'Progetto del paramento slu'!$G$58,ABS(O1802)*'Progetto del paramento slu'!$G$54,'Progetto del paramento slu'!$G$53)</f>
        <v>221001818.78171441</v>
      </c>
      <c r="J1802" s="479">
        <f t="shared" si="129"/>
        <v>371376899.63080442</v>
      </c>
      <c r="K1802" s="558">
        <f>'Progetto del paramento slu'!$G$60*(sezione!$AL$34-C1802)/C1802</f>
        <v>7.8068401800651154E-3</v>
      </c>
      <c r="L1802" s="558">
        <f>'Progetto del paramento slu'!$G$60*(sezione!$AM$34-C1802)/C1802</f>
        <v>3.8900650675244189E-2</v>
      </c>
      <c r="M1802" s="559">
        <f>'Progetto del paramento slu'!$G$60*(sezione!$AN$34-C1802)/C1802</f>
        <v>6.9994461170423253E-2</v>
      </c>
      <c r="N1802" s="559">
        <f>'Progetto del paramento slu'!$G$60*(sezione!$AO$34-C1802)/C1802</f>
        <v>9.2608141530553495E-2</v>
      </c>
      <c r="O1802" s="559">
        <f>'Progetto del paramento slu'!$G$60*(sezione!$AP$34-C1802)/C1802</f>
        <v>6.9996438508459505E-2</v>
      </c>
      <c r="P1802" s="553">
        <f>-'Progetto del paramento slu'!$G$47*'Progetto del paramento slu'!$G$41*IF(DATI!$G$218="dx",DATI!$E$61,DATI!$E$64*DATI!$E$63)*1000*C1802*sezione!$AD$5</f>
        <v>-174533.69540672458</v>
      </c>
      <c r="Q1802" s="553">
        <f>'Foglio deposito bis'!$F$78*IF(ABS(K1802)&lt;'Progetto del paramento slu'!$G$58,ABS(K1802)*'Progetto del paramento slu'!$G$54,'Progetto del paramento slu'!$G$53)*IF(K1802&lt;0,-1,1)</f>
        <v>0</v>
      </c>
      <c r="R1802" s="553">
        <f>'Foglio deposito bis'!$F$79*IF(ABS(L1802)&lt;'Progetto del paramento slu'!$G$58,ABS(L1802)*'Progetto del paramento slu'!$G$54,'Progetto del paramento slu'!$G$53)*IF(L1802&lt;0,-1,1)</f>
        <v>153664.85805602249</v>
      </c>
      <c r="S1802" s="553">
        <f>'Foglio deposito bis'!$F$80*IF(ABS(M1802)&lt;'Progetto del paramento slu'!$G$58,ABS(M1802)*'Progetto del paramento slu'!$G$54,'Progetto del paramento slu'!$G$53)*IF(M1802&lt;0,-1,1)</f>
        <v>0</v>
      </c>
      <c r="T1802" s="553">
        <f>'Foglio deposito bis'!$F$81*IF(ABS(N1802)&lt;'Progetto del paramento slu'!$G$58,ABS(N1802)*'Progetto del paramento slu'!$G$54,'Progetto del paramento slu'!$G$53)*IF(N1802&lt;0,-1,1)</f>
        <v>398299.31208121032</v>
      </c>
      <c r="U1802" s="553">
        <f>'Foglio deposito bis'!$F$82*IF(ABS(O1802)&lt;'Progetto del paramento slu'!$G$58,ABS(O1802)*'Progetto del paramento slu'!$G$54,'Progetto del paramento slu'!$G$53)*IF(O1802&lt;0,-1,1)</f>
        <v>892485.49558937876</v>
      </c>
      <c r="V1802" s="479">
        <f t="shared" si="132"/>
        <v>1269915.9703198869</v>
      </c>
      <c r="W1802" s="559"/>
      <c r="X1802" s="559"/>
    </row>
    <row r="1803" spans="1:24" x14ac:dyDescent="0.25">
      <c r="A1803" s="553">
        <f t="shared" si="131"/>
        <v>1267054.7621984654</v>
      </c>
      <c r="B1803" s="3">
        <f t="shared" si="133"/>
        <v>3.099999999999997</v>
      </c>
      <c r="C1803" s="553">
        <f>'Foglio deposito bis'!$E$160/sezione!$B$247*B1803</f>
        <v>12.584867186686779</v>
      </c>
      <c r="D1803" s="611">
        <f>-'Progetto del paramento slu'!$G$47*'Progetto del paramento slu'!$G$41*IF(DATI!$G$218="dx",DATI!$E$61,DATI!$E$64*DATI!$E$63)*1000*C1803^2*sezione!$AD$5*(1-sezione!$AD$6)</f>
        <v>-1303774.9194901516</v>
      </c>
      <c r="E1803" s="553">
        <f>-'Foglio deposito bis'!$F$78*(C1803-sezione!$AL$34)*IF(ABS(K1803)&lt;'Progetto del paramento slu'!$G$58,ABS(K1803)*'Progetto del paramento slu'!$G$54,'Progetto del paramento slu'!$G$53)</f>
        <v>0</v>
      </c>
      <c r="F1803" s="553">
        <f>-'Foglio deposito bis'!$F$79*(C1803-sezione!$AM$34)*IF(ABS(L1803)&lt;'Progetto del paramento slu'!$G$58,ABS(L1803)*'Progetto del paramento slu'!$G$54,'Progetto del paramento slu'!$G$53)</f>
        <v>21115876.878507257</v>
      </c>
      <c r="G1803" s="553">
        <f>-'Foglio deposito bis'!$F$80*(C1803-sezione!$AN$34)*IF(ABS(M1803)&lt;'Progetto del paramento slu'!$G$58,ABS(M1803)*'Progetto del paramento slu'!$G$54,'Progetto del paramento slu'!$G$53)</f>
        <v>0</v>
      </c>
      <c r="H1803" s="553">
        <f>-'Foglio deposito bis'!$F$81*(C1803-sezione!$AO$34)*IF(ABS(N1803)&lt;'Progetto del paramento slu'!$G$58,ABS(N1803)*'Progetto del paramento slu'!$G$54,'Progetto del paramento slu'!$G$53)</f>
        <v>130409222.16452077</v>
      </c>
      <c r="I1803" s="479">
        <f>-'Foglio deposito bis'!$F$82*(C1803-sezione!$AP$34)*IF(ABS(O1803)&lt;'Progetto del paramento slu'!$G$58,ABS(O1803)*'Progetto del paramento slu'!$G$54,'Progetto del paramento slu'!$G$53)</f>
        <v>220820660.53287512</v>
      </c>
      <c r="J1803" s="479">
        <f t="shared" si="129"/>
        <v>371041984.65641296</v>
      </c>
      <c r="K1803" s="558">
        <f>'Progetto del paramento slu'!$G$60*(sezione!$AL$34-C1803)/C1803</f>
        <v>7.624471790064067E-3</v>
      </c>
      <c r="L1803" s="558">
        <f>'Progetto del paramento slu'!$G$60*(sezione!$AM$34-C1803)/C1803</f>
        <v>3.8216769212740247E-2</v>
      </c>
      <c r="M1803" s="559">
        <f>'Progetto del paramento slu'!$G$60*(sezione!$AN$34-C1803)/C1803</f>
        <v>6.880906663541643E-2</v>
      </c>
      <c r="N1803" s="559">
        <f>'Progetto del paramento slu'!$G$60*(sezione!$AO$34-C1803)/C1803</f>
        <v>9.1058010215544563E-2</v>
      </c>
      <c r="O1803" s="559">
        <f>'Progetto del paramento slu'!$G$60*(sezione!$AP$34-C1803)/C1803</f>
        <v>6.8811012080903705E-2</v>
      </c>
      <c r="P1803" s="553">
        <f>-'Progetto del paramento slu'!$G$47*'Progetto del paramento slu'!$G$41*IF(DATI!$G$218="dx",DATI!$E$61,DATI!$E$64*DATI!$E$63)*1000*C1803*sezione!$AD$5</f>
        <v>-177394.9035281463</v>
      </c>
      <c r="Q1803" s="553">
        <f>'Foglio deposito bis'!$F$78*IF(ABS(K1803)&lt;'Progetto del paramento slu'!$G$58,ABS(K1803)*'Progetto del paramento slu'!$G$54,'Progetto del paramento slu'!$G$53)*IF(K1803&lt;0,-1,1)</f>
        <v>0</v>
      </c>
      <c r="R1803" s="553">
        <f>'Foglio deposito bis'!$F$79*IF(ABS(L1803)&lt;'Progetto del paramento slu'!$G$58,ABS(L1803)*'Progetto del paramento slu'!$G$54,'Progetto del paramento slu'!$G$53)*IF(L1803&lt;0,-1,1)</f>
        <v>153664.85805602249</v>
      </c>
      <c r="S1803" s="553">
        <f>'Foglio deposito bis'!$F$80*IF(ABS(M1803)&lt;'Progetto del paramento slu'!$G$58,ABS(M1803)*'Progetto del paramento slu'!$G$54,'Progetto del paramento slu'!$G$53)*IF(M1803&lt;0,-1,1)</f>
        <v>0</v>
      </c>
      <c r="T1803" s="553">
        <f>'Foglio deposito bis'!$F$81*IF(ABS(N1803)&lt;'Progetto del paramento slu'!$G$58,ABS(N1803)*'Progetto del paramento slu'!$G$54,'Progetto del paramento slu'!$G$53)*IF(N1803&lt;0,-1,1)</f>
        <v>398299.31208121032</v>
      </c>
      <c r="U1803" s="553">
        <f>'Foglio deposito bis'!$F$82*IF(ABS(O1803)&lt;'Progetto del paramento slu'!$G$58,ABS(O1803)*'Progetto del paramento slu'!$G$54,'Progetto del paramento slu'!$G$53)*IF(O1803&lt;0,-1,1)</f>
        <v>892485.49558937876</v>
      </c>
      <c r="V1803" s="479">
        <f t="shared" si="132"/>
        <v>1267054.7621984654</v>
      </c>
      <c r="W1803" s="559"/>
      <c r="X1803" s="559"/>
    </row>
    <row r="1804" spans="1:24" x14ac:dyDescent="0.25">
      <c r="A1804" s="553">
        <f t="shared" si="131"/>
        <v>1264193.5540770437</v>
      </c>
      <c r="B1804" s="3">
        <f t="shared" si="133"/>
        <v>3.1499999999999968</v>
      </c>
      <c r="C1804" s="553">
        <f>'Foglio deposito bis'!$E$160/sezione!$B$247*B1804</f>
        <v>12.787848915504307</v>
      </c>
      <c r="D1804" s="611">
        <f>-'Progetto del paramento slu'!$G$47*'Progetto del paramento slu'!$G$41*IF(DATI!$G$218="dx",DATI!$E$61,DATI!$E$64*DATI!$E$63)*1000*C1804^2*sezione!$AD$5*(1-sezione!$AD$6)</f>
        <v>-1346171.346372636</v>
      </c>
      <c r="E1804" s="553">
        <f>-'Foglio deposito bis'!$F$78*(C1804-sezione!$AL$34)*IF(ABS(K1804)&lt;'Progetto del paramento slu'!$G$58,ABS(K1804)*'Progetto del paramento slu'!$G$54,'Progetto del paramento slu'!$G$53)</f>
        <v>0</v>
      </c>
      <c r="F1804" s="553">
        <f>-'Foglio deposito bis'!$F$79*(C1804-sezione!$AM$34)*IF(ABS(L1804)&lt;'Progetto del paramento slu'!$G$58,ABS(L1804)*'Progetto del paramento slu'!$G$54,'Progetto del paramento slu'!$G$53)</f>
        <v>21084685.719960548</v>
      </c>
      <c r="G1804" s="553">
        <f>-'Foglio deposito bis'!$F$80*(C1804-sezione!$AN$34)*IF(ABS(M1804)&lt;'Progetto del paramento slu'!$G$58,ABS(M1804)*'Progetto del paramento slu'!$G$54,'Progetto del paramento slu'!$G$53)</f>
        <v>0</v>
      </c>
      <c r="H1804" s="553">
        <f>-'Foglio deposito bis'!$F$81*(C1804-sezione!$AO$34)*IF(ABS(N1804)&lt;'Progetto del paramento slu'!$G$58,ABS(N1804)*'Progetto del paramento slu'!$G$54,'Progetto del paramento slu'!$G$53)</f>
        <v>130328374.6815677</v>
      </c>
      <c r="I1804" s="479">
        <f>-'Foglio deposito bis'!$F$82*(C1804-sezione!$AP$34)*IF(ABS(O1804)&lt;'Progetto del paramento slu'!$G$58,ABS(O1804)*'Progetto del paramento slu'!$G$54,'Progetto del paramento slu'!$G$53)</f>
        <v>220639502.28403583</v>
      </c>
      <c r="J1804" s="479">
        <f t="shared" si="129"/>
        <v>370706391.33919144</v>
      </c>
      <c r="K1804" s="558">
        <f>'Progetto del paramento slu'!$G$60*(sezione!$AL$34-C1804)/C1804</f>
        <v>7.4478928727614623E-3</v>
      </c>
      <c r="L1804" s="558">
        <f>'Progetto del paramento slu'!$G$60*(sezione!$AM$34-C1804)/C1804</f>
        <v>3.755459827285549E-2</v>
      </c>
      <c r="M1804" s="559">
        <f>'Progetto del paramento slu'!$G$60*(sezione!$AN$34-C1804)/C1804</f>
        <v>6.7661303672949508E-2</v>
      </c>
      <c r="N1804" s="559">
        <f>'Progetto del paramento slu'!$G$60*(sezione!$AO$34-C1804)/C1804</f>
        <v>8.9557089418472444E-2</v>
      </c>
      <c r="O1804" s="559">
        <f>'Progetto del paramento slu'!$G$60*(sezione!$AP$34-C1804)/C1804</f>
        <v>6.7663218238349671E-2</v>
      </c>
      <c r="P1804" s="553">
        <f>-'Progetto del paramento slu'!$G$47*'Progetto del paramento slu'!$G$41*IF(DATI!$G$218="dx",DATI!$E$61,DATI!$E$64*DATI!$E$63)*1000*C1804*sezione!$AD$5</f>
        <v>-180256.11164956802</v>
      </c>
      <c r="Q1804" s="553">
        <f>'Foglio deposito bis'!$F$78*IF(ABS(K1804)&lt;'Progetto del paramento slu'!$G$58,ABS(K1804)*'Progetto del paramento slu'!$G$54,'Progetto del paramento slu'!$G$53)*IF(K1804&lt;0,-1,1)</f>
        <v>0</v>
      </c>
      <c r="R1804" s="553">
        <f>'Foglio deposito bis'!$F$79*IF(ABS(L1804)&lt;'Progetto del paramento slu'!$G$58,ABS(L1804)*'Progetto del paramento slu'!$G$54,'Progetto del paramento slu'!$G$53)*IF(L1804&lt;0,-1,1)</f>
        <v>153664.85805602249</v>
      </c>
      <c r="S1804" s="553">
        <f>'Foglio deposito bis'!$F$80*IF(ABS(M1804)&lt;'Progetto del paramento slu'!$G$58,ABS(M1804)*'Progetto del paramento slu'!$G$54,'Progetto del paramento slu'!$G$53)*IF(M1804&lt;0,-1,1)</f>
        <v>0</v>
      </c>
      <c r="T1804" s="553">
        <f>'Foglio deposito bis'!$F$81*IF(ABS(N1804)&lt;'Progetto del paramento slu'!$G$58,ABS(N1804)*'Progetto del paramento slu'!$G$54,'Progetto del paramento slu'!$G$53)*IF(N1804&lt;0,-1,1)</f>
        <v>398299.31208121032</v>
      </c>
      <c r="U1804" s="553">
        <f>'Foglio deposito bis'!$F$82*IF(ABS(O1804)&lt;'Progetto del paramento slu'!$G$58,ABS(O1804)*'Progetto del paramento slu'!$G$54,'Progetto del paramento slu'!$G$53)*IF(O1804&lt;0,-1,1)</f>
        <v>892485.49558937876</v>
      </c>
      <c r="V1804" s="479">
        <f t="shared" si="132"/>
        <v>1264193.5540770437</v>
      </c>
      <c r="W1804" s="559"/>
      <c r="X1804" s="559"/>
    </row>
    <row r="1805" spans="1:24" x14ac:dyDescent="0.25">
      <c r="A1805" s="553">
        <f t="shared" si="131"/>
        <v>1261332.3459556219</v>
      </c>
      <c r="B1805" s="3">
        <f t="shared" si="133"/>
        <v>3.1999999999999966</v>
      </c>
      <c r="C1805" s="553">
        <f>'Foglio deposito bis'!$E$160/sezione!$B$247*B1805</f>
        <v>12.990830644321836</v>
      </c>
      <c r="D1805" s="611">
        <f>-'Progetto del paramento slu'!$G$47*'Progetto del paramento slu'!$G$41*IF(DATI!$G$218="dx",DATI!$E$61,DATI!$E$64*DATI!$E$63)*1000*C1805^2*sezione!$AD$5*(1-sezione!$AD$6)</f>
        <v>-1389246.1160852397</v>
      </c>
      <c r="E1805" s="553">
        <f>-'Foglio deposito bis'!$F$78*(C1805-sezione!$AL$34)*IF(ABS(K1805)&lt;'Progetto del paramento slu'!$G$58,ABS(K1805)*'Progetto del paramento slu'!$G$54,'Progetto del paramento slu'!$G$53)</f>
        <v>0</v>
      </c>
      <c r="F1805" s="553">
        <f>-'Foglio deposito bis'!$F$79*(C1805-sezione!$AM$34)*IF(ABS(L1805)&lt;'Progetto del paramento slu'!$G$58,ABS(L1805)*'Progetto del paramento slu'!$G$54,'Progetto del paramento slu'!$G$53)</f>
        <v>21053494.561413832</v>
      </c>
      <c r="G1805" s="553">
        <f>-'Foglio deposito bis'!$F$80*(C1805-sezione!$AN$34)*IF(ABS(M1805)&lt;'Progetto del paramento slu'!$G$58,ABS(M1805)*'Progetto del paramento slu'!$G$54,'Progetto del paramento slu'!$G$53)</f>
        <v>0</v>
      </c>
      <c r="H1805" s="553">
        <f>-'Foglio deposito bis'!$F$81*(C1805-sezione!$AO$34)*IF(ABS(N1805)&lt;'Progetto del paramento slu'!$G$58,ABS(N1805)*'Progetto del paramento slu'!$G$54,'Progetto del paramento slu'!$G$53)</f>
        <v>130247527.19861463</v>
      </c>
      <c r="I1805" s="479">
        <f>-'Foglio deposito bis'!$F$82*(C1805-sezione!$AP$34)*IF(ABS(O1805)&lt;'Progetto del paramento slu'!$G$58,ABS(O1805)*'Progetto del paramento slu'!$G$54,'Progetto del paramento slu'!$G$53)</f>
        <v>220458344.03519651</v>
      </c>
      <c r="J1805" s="479">
        <f t="shared" ref="J1805:J1868" si="134">D1805+E1805+F1805+G1805+H1805+I1805</f>
        <v>370370119.67913973</v>
      </c>
      <c r="K1805" s="558">
        <f>'Progetto del paramento slu'!$G$60*(sezione!$AL$34-C1805)/C1805</f>
        <v>7.2768320466245649E-3</v>
      </c>
      <c r="L1805" s="558">
        <f>'Progetto del paramento slu'!$G$60*(sezione!$AM$34-C1805)/C1805</f>
        <v>3.6913120174842114E-2</v>
      </c>
      <c r="M1805" s="559">
        <f>'Progetto del paramento slu'!$G$60*(sezione!$AN$34-C1805)/C1805</f>
        <v>6.6549408303059665E-2</v>
      </c>
      <c r="N1805" s="559">
        <f>'Progetto del paramento slu'!$G$60*(sezione!$AO$34-C1805)/C1805</f>
        <v>8.810307239630881E-2</v>
      </c>
      <c r="O1805" s="559">
        <f>'Progetto del paramento slu'!$G$60*(sezione!$AP$34-C1805)/C1805</f>
        <v>6.655129295337546E-2</v>
      </c>
      <c r="P1805" s="553">
        <f>-'Progetto del paramento slu'!$G$47*'Progetto del paramento slu'!$G$41*IF(DATI!$G$218="dx",DATI!$E$61,DATI!$E$64*DATI!$E$63)*1000*C1805*sezione!$AD$5</f>
        <v>-183117.31977098971</v>
      </c>
      <c r="Q1805" s="553">
        <f>'Foglio deposito bis'!$F$78*IF(ABS(K1805)&lt;'Progetto del paramento slu'!$G$58,ABS(K1805)*'Progetto del paramento slu'!$G$54,'Progetto del paramento slu'!$G$53)*IF(K1805&lt;0,-1,1)</f>
        <v>0</v>
      </c>
      <c r="R1805" s="553">
        <f>'Foglio deposito bis'!$F$79*IF(ABS(L1805)&lt;'Progetto del paramento slu'!$G$58,ABS(L1805)*'Progetto del paramento slu'!$G$54,'Progetto del paramento slu'!$G$53)*IF(L1805&lt;0,-1,1)</f>
        <v>153664.85805602249</v>
      </c>
      <c r="S1805" s="553">
        <f>'Foglio deposito bis'!$F$80*IF(ABS(M1805)&lt;'Progetto del paramento slu'!$G$58,ABS(M1805)*'Progetto del paramento slu'!$G$54,'Progetto del paramento slu'!$G$53)*IF(M1805&lt;0,-1,1)</f>
        <v>0</v>
      </c>
      <c r="T1805" s="553">
        <f>'Foglio deposito bis'!$F$81*IF(ABS(N1805)&lt;'Progetto del paramento slu'!$G$58,ABS(N1805)*'Progetto del paramento slu'!$G$54,'Progetto del paramento slu'!$G$53)*IF(N1805&lt;0,-1,1)</f>
        <v>398299.31208121032</v>
      </c>
      <c r="U1805" s="553">
        <f>'Foglio deposito bis'!$F$82*IF(ABS(O1805)&lt;'Progetto del paramento slu'!$G$58,ABS(O1805)*'Progetto del paramento slu'!$G$54,'Progetto del paramento slu'!$G$53)*IF(O1805&lt;0,-1,1)</f>
        <v>892485.49558937876</v>
      </c>
      <c r="V1805" s="479">
        <f t="shared" si="132"/>
        <v>1261332.3459556219</v>
      </c>
      <c r="W1805" s="559"/>
      <c r="X1805" s="559"/>
    </row>
    <row r="1806" spans="1:24" x14ac:dyDescent="0.25">
      <c r="A1806" s="553">
        <f t="shared" ref="A1806:A1869" si="135">ABS(V1806)</f>
        <v>1258471.1378342002</v>
      </c>
      <c r="B1806" s="3">
        <f t="shared" si="133"/>
        <v>3.2499999999999964</v>
      </c>
      <c r="C1806" s="553">
        <f>'Foglio deposito bis'!$E$160/sezione!$B$247*B1806</f>
        <v>13.193812373139364</v>
      </c>
      <c r="D1806" s="611">
        <f>-'Progetto del paramento slu'!$G$47*'Progetto del paramento slu'!$G$41*IF(DATI!$G$218="dx",DATI!$E$61,DATI!$E$64*DATI!$E$63)*1000*C1806^2*sezione!$AD$5*(1-sezione!$AD$6)</f>
        <v>-1432999.2286279635</v>
      </c>
      <c r="E1806" s="553">
        <f>-'Foglio deposito bis'!$F$78*(C1806-sezione!$AL$34)*IF(ABS(K1806)&lt;'Progetto del paramento slu'!$G$58,ABS(K1806)*'Progetto del paramento slu'!$G$54,'Progetto del paramento slu'!$G$53)</f>
        <v>0</v>
      </c>
      <c r="F1806" s="553">
        <f>-'Foglio deposito bis'!$F$79*(C1806-sezione!$AM$34)*IF(ABS(L1806)&lt;'Progetto del paramento slu'!$G$58,ABS(L1806)*'Progetto del paramento slu'!$G$54,'Progetto del paramento slu'!$G$53)</f>
        <v>21022303.40286712</v>
      </c>
      <c r="G1806" s="553">
        <f>-'Foglio deposito bis'!$F$80*(C1806-sezione!$AN$34)*IF(ABS(M1806)&lt;'Progetto del paramento slu'!$G$58,ABS(M1806)*'Progetto del paramento slu'!$G$54,'Progetto del paramento slu'!$G$53)</f>
        <v>0</v>
      </c>
      <c r="H1806" s="553">
        <f>-'Foglio deposito bis'!$F$81*(C1806-sezione!$AO$34)*IF(ABS(N1806)&lt;'Progetto del paramento slu'!$G$58,ABS(N1806)*'Progetto del paramento slu'!$G$54,'Progetto del paramento slu'!$G$53)</f>
        <v>130166679.71566156</v>
      </c>
      <c r="I1806" s="479">
        <f>-'Foglio deposito bis'!$F$82*(C1806-sezione!$AP$34)*IF(ABS(O1806)&lt;'Progetto del paramento slu'!$G$58,ABS(O1806)*'Progetto del paramento slu'!$G$54,'Progetto del paramento slu'!$G$53)</f>
        <v>220277185.78635722</v>
      </c>
      <c r="J1806" s="479">
        <f t="shared" si="134"/>
        <v>370033169.67625797</v>
      </c>
      <c r="K1806" s="558">
        <f>'Progetto del paramento slu'!$G$60*(sezione!$AL$34-C1806)/C1806</f>
        <v>7.1110346305226484E-3</v>
      </c>
      <c r="L1806" s="558">
        <f>'Progetto del paramento slu'!$G$60*(sezione!$AM$34-C1806)/C1806</f>
        <v>3.6291379864459933E-2</v>
      </c>
      <c r="M1806" s="559">
        <f>'Progetto del paramento slu'!$G$60*(sezione!$AN$34-C1806)/C1806</f>
        <v>6.5471725098397215E-2</v>
      </c>
      <c r="N1806" s="559">
        <f>'Progetto del paramento slu'!$G$60*(sezione!$AO$34-C1806)/C1806</f>
        <v>8.6693794359442508E-2</v>
      </c>
      <c r="O1806" s="559">
        <f>'Progetto del paramento slu'!$G$60*(sezione!$AP$34-C1806)/C1806</f>
        <v>6.5473580754092764E-2</v>
      </c>
      <c r="P1806" s="553">
        <f>-'Progetto del paramento slu'!$G$47*'Progetto del paramento slu'!$G$41*IF(DATI!$G$218="dx",DATI!$E$61,DATI!$E$64*DATI!$E$63)*1000*C1806*sezione!$AD$5</f>
        <v>-185978.52789241142</v>
      </c>
      <c r="Q1806" s="553">
        <f>'Foglio deposito bis'!$F$78*IF(ABS(K1806)&lt;'Progetto del paramento slu'!$G$58,ABS(K1806)*'Progetto del paramento slu'!$G$54,'Progetto del paramento slu'!$G$53)*IF(K1806&lt;0,-1,1)</f>
        <v>0</v>
      </c>
      <c r="R1806" s="553">
        <f>'Foglio deposito bis'!$F$79*IF(ABS(L1806)&lt;'Progetto del paramento slu'!$G$58,ABS(L1806)*'Progetto del paramento slu'!$G$54,'Progetto del paramento slu'!$G$53)*IF(L1806&lt;0,-1,1)</f>
        <v>153664.85805602249</v>
      </c>
      <c r="S1806" s="553">
        <f>'Foglio deposito bis'!$F$80*IF(ABS(M1806)&lt;'Progetto del paramento slu'!$G$58,ABS(M1806)*'Progetto del paramento slu'!$G$54,'Progetto del paramento slu'!$G$53)*IF(M1806&lt;0,-1,1)</f>
        <v>0</v>
      </c>
      <c r="T1806" s="553">
        <f>'Foglio deposito bis'!$F$81*IF(ABS(N1806)&lt;'Progetto del paramento slu'!$G$58,ABS(N1806)*'Progetto del paramento slu'!$G$54,'Progetto del paramento slu'!$G$53)*IF(N1806&lt;0,-1,1)</f>
        <v>398299.31208121032</v>
      </c>
      <c r="U1806" s="553">
        <f>'Foglio deposito bis'!$F$82*IF(ABS(O1806)&lt;'Progetto del paramento slu'!$G$58,ABS(O1806)*'Progetto del paramento slu'!$G$54,'Progetto del paramento slu'!$G$53)*IF(O1806&lt;0,-1,1)</f>
        <v>892485.49558937876</v>
      </c>
      <c r="V1806" s="479">
        <f t="shared" ref="V1806:V1869" si="136">P1806+Q1806+R1806+S1806+T1806+U1806</f>
        <v>1258471.1378342002</v>
      </c>
      <c r="W1806" s="559"/>
      <c r="X1806" s="559"/>
    </row>
    <row r="1807" spans="1:24" x14ac:dyDescent="0.25">
      <c r="A1807" s="553">
        <f t="shared" si="135"/>
        <v>1255609.9297127784</v>
      </c>
      <c r="B1807" s="3">
        <f t="shared" ref="B1807:B1843" si="137">B1806+0.05</f>
        <v>3.2999999999999963</v>
      </c>
      <c r="C1807" s="553">
        <f>'Foglio deposito bis'!$E$160/sezione!$B$247*B1807</f>
        <v>13.396794101956893</v>
      </c>
      <c r="D1807" s="611">
        <f>-'Progetto del paramento slu'!$G$47*'Progetto del paramento slu'!$G$41*IF(DATI!$G$218="dx",DATI!$E$61,DATI!$E$64*DATI!$E$63)*1000*C1807^2*sezione!$AD$5*(1-sezione!$AD$6)</f>
        <v>-1477430.6840008064</v>
      </c>
      <c r="E1807" s="553">
        <f>-'Foglio deposito bis'!$F$78*(C1807-sezione!$AL$34)*IF(ABS(K1807)&lt;'Progetto del paramento slu'!$G$58,ABS(K1807)*'Progetto del paramento slu'!$G$54,'Progetto del paramento slu'!$G$53)</f>
        <v>0</v>
      </c>
      <c r="F1807" s="553">
        <f>-'Foglio deposito bis'!$F$79*(C1807-sezione!$AM$34)*IF(ABS(L1807)&lt;'Progetto del paramento slu'!$G$58,ABS(L1807)*'Progetto del paramento slu'!$G$54,'Progetto del paramento slu'!$G$53)</f>
        <v>20991112.244320411</v>
      </c>
      <c r="G1807" s="553">
        <f>-'Foglio deposito bis'!$F$80*(C1807-sezione!$AN$34)*IF(ABS(M1807)&lt;'Progetto del paramento slu'!$G$58,ABS(M1807)*'Progetto del paramento slu'!$G$54,'Progetto del paramento slu'!$G$53)</f>
        <v>0</v>
      </c>
      <c r="H1807" s="553">
        <f>-'Foglio deposito bis'!$F$81*(C1807-sezione!$AO$34)*IF(ABS(N1807)&lt;'Progetto del paramento slu'!$G$58,ABS(N1807)*'Progetto del paramento slu'!$G$54,'Progetto del paramento slu'!$G$53)</f>
        <v>130085832.23270845</v>
      </c>
      <c r="I1807" s="479">
        <f>-'Foglio deposito bis'!$F$82*(C1807-sezione!$AP$34)*IF(ABS(O1807)&lt;'Progetto del paramento slu'!$G$58,ABS(O1807)*'Progetto del paramento slu'!$G$54,'Progetto del paramento slu'!$G$53)</f>
        <v>220096027.53751794</v>
      </c>
      <c r="J1807" s="479">
        <f t="shared" si="134"/>
        <v>369695541.33054602</v>
      </c>
      <c r="K1807" s="558">
        <f>'Progetto del paramento slu'!$G$60*(sezione!$AL$34-C1807)/C1807</f>
        <v>6.9502613785450322E-3</v>
      </c>
      <c r="L1807" s="558">
        <f>'Progetto del paramento slu'!$G$60*(sezione!$AM$34-C1807)/C1807</f>
        <v>3.5688480169543874E-2</v>
      </c>
      <c r="M1807" s="559">
        <f>'Progetto del paramento slu'!$G$60*(sezione!$AN$34-C1807)/C1807</f>
        <v>6.4426698960542719E-2</v>
      </c>
      <c r="N1807" s="559">
        <f>'Progetto del paramento slu'!$G$60*(sezione!$AO$34-C1807)/C1807</f>
        <v>8.5327221717632781E-2</v>
      </c>
      <c r="O1807" s="559">
        <f>'Progetto del paramento slu'!$G$60*(sezione!$AP$34-C1807)/C1807</f>
        <v>6.4428526500242875E-2</v>
      </c>
      <c r="P1807" s="553">
        <f>-'Progetto del paramento slu'!$G$47*'Progetto del paramento slu'!$G$41*IF(DATI!$G$218="dx",DATI!$E$61,DATI!$E$64*DATI!$E$63)*1000*C1807*sezione!$AD$5</f>
        <v>-188839.73601383314</v>
      </c>
      <c r="Q1807" s="553">
        <f>'Foglio deposito bis'!$F$78*IF(ABS(K1807)&lt;'Progetto del paramento slu'!$G$58,ABS(K1807)*'Progetto del paramento slu'!$G$54,'Progetto del paramento slu'!$G$53)*IF(K1807&lt;0,-1,1)</f>
        <v>0</v>
      </c>
      <c r="R1807" s="553">
        <f>'Foglio deposito bis'!$F$79*IF(ABS(L1807)&lt;'Progetto del paramento slu'!$G$58,ABS(L1807)*'Progetto del paramento slu'!$G$54,'Progetto del paramento slu'!$G$53)*IF(L1807&lt;0,-1,1)</f>
        <v>153664.85805602249</v>
      </c>
      <c r="S1807" s="553">
        <f>'Foglio deposito bis'!$F$80*IF(ABS(M1807)&lt;'Progetto del paramento slu'!$G$58,ABS(M1807)*'Progetto del paramento slu'!$G$54,'Progetto del paramento slu'!$G$53)*IF(M1807&lt;0,-1,1)</f>
        <v>0</v>
      </c>
      <c r="T1807" s="553">
        <f>'Foglio deposito bis'!$F$81*IF(ABS(N1807)&lt;'Progetto del paramento slu'!$G$58,ABS(N1807)*'Progetto del paramento slu'!$G$54,'Progetto del paramento slu'!$G$53)*IF(N1807&lt;0,-1,1)</f>
        <v>398299.31208121032</v>
      </c>
      <c r="U1807" s="553">
        <f>'Foglio deposito bis'!$F$82*IF(ABS(O1807)&lt;'Progetto del paramento slu'!$G$58,ABS(O1807)*'Progetto del paramento slu'!$G$54,'Progetto del paramento slu'!$G$53)*IF(O1807&lt;0,-1,1)</f>
        <v>892485.49558937876</v>
      </c>
      <c r="V1807" s="479">
        <f t="shared" si="136"/>
        <v>1255609.9297127784</v>
      </c>
      <c r="W1807" s="559"/>
      <c r="X1807" s="559"/>
    </row>
    <row r="1808" spans="1:24" x14ac:dyDescent="0.25">
      <c r="A1808" s="553">
        <f t="shared" si="135"/>
        <v>1252748.7215913567</v>
      </c>
      <c r="B1808" s="3">
        <f t="shared" si="137"/>
        <v>3.3499999999999961</v>
      </c>
      <c r="C1808" s="553">
        <f>'Foglio deposito bis'!$E$160/sezione!$B$247*B1808</f>
        <v>13.599775830774419</v>
      </c>
      <c r="D1808" s="611">
        <f>-'Progetto del paramento slu'!$G$47*'Progetto del paramento slu'!$G$41*IF(DATI!$G$218="dx",DATI!$E$61,DATI!$E$64*DATI!$E$63)*1000*C1808^2*sezione!$AD$5*(1-sezione!$AD$6)</f>
        <v>-1522540.4822037695</v>
      </c>
      <c r="E1808" s="553">
        <f>-'Foglio deposito bis'!$F$78*(C1808-sezione!$AL$34)*IF(ABS(K1808)&lt;'Progetto del paramento slu'!$G$58,ABS(K1808)*'Progetto del paramento slu'!$G$54,'Progetto del paramento slu'!$G$53)</f>
        <v>0</v>
      </c>
      <c r="F1808" s="553">
        <f>-'Foglio deposito bis'!$F$79*(C1808-sezione!$AM$34)*IF(ABS(L1808)&lt;'Progetto del paramento slu'!$G$58,ABS(L1808)*'Progetto del paramento slu'!$G$54,'Progetto del paramento slu'!$G$53)</f>
        <v>20959921.085773695</v>
      </c>
      <c r="G1808" s="553">
        <f>-'Foglio deposito bis'!$F$80*(C1808-sezione!$AN$34)*IF(ABS(M1808)&lt;'Progetto del paramento slu'!$G$58,ABS(M1808)*'Progetto del paramento slu'!$G$54,'Progetto del paramento slu'!$G$53)</f>
        <v>0</v>
      </c>
      <c r="H1808" s="553">
        <f>-'Foglio deposito bis'!$F$81*(C1808-sezione!$AO$34)*IF(ABS(N1808)&lt;'Progetto del paramento slu'!$G$58,ABS(N1808)*'Progetto del paramento slu'!$G$54,'Progetto del paramento slu'!$G$53)</f>
        <v>130004984.74975538</v>
      </c>
      <c r="I1808" s="479">
        <f>-'Foglio deposito bis'!$F$82*(C1808-sezione!$AP$34)*IF(ABS(O1808)&lt;'Progetto del paramento slu'!$G$58,ABS(O1808)*'Progetto del paramento slu'!$G$54,'Progetto del paramento slu'!$G$53)</f>
        <v>219914869.28867859</v>
      </c>
      <c r="J1808" s="479">
        <f t="shared" si="134"/>
        <v>369357234.64200389</v>
      </c>
      <c r="K1808" s="558">
        <f>'Progetto del paramento slu'!$G$60*(sezione!$AL$34-C1808)/C1808</f>
        <v>6.794287328118989E-3</v>
      </c>
      <c r="L1808" s="558">
        <f>'Progetto del paramento slu'!$G$60*(sezione!$AM$34-C1808)/C1808</f>
        <v>3.5103577480446208E-2</v>
      </c>
      <c r="M1808" s="559">
        <f>'Progetto del paramento slu'!$G$60*(sezione!$AN$34-C1808)/C1808</f>
        <v>6.3412867632773429E-2</v>
      </c>
      <c r="N1808" s="559">
        <f>'Progetto del paramento slu'!$G$60*(sezione!$AO$34-C1808)/C1808</f>
        <v>8.4001442289011394E-2</v>
      </c>
      <c r="O1808" s="559">
        <f>'Progetto del paramento slu'!$G$60*(sezione!$AP$34-C1808)/C1808</f>
        <v>6.3414667895761653E-2</v>
      </c>
      <c r="P1808" s="553">
        <f>-'Progetto del paramento slu'!$G$47*'Progetto del paramento slu'!$G$41*IF(DATI!$G$218="dx",DATI!$E$61,DATI!$E$64*DATI!$E$63)*1000*C1808*sezione!$AD$5</f>
        <v>-191700.94413525483</v>
      </c>
      <c r="Q1808" s="553">
        <f>'Foglio deposito bis'!$F$78*IF(ABS(K1808)&lt;'Progetto del paramento slu'!$G$58,ABS(K1808)*'Progetto del paramento slu'!$G$54,'Progetto del paramento slu'!$G$53)*IF(K1808&lt;0,-1,1)</f>
        <v>0</v>
      </c>
      <c r="R1808" s="553">
        <f>'Foglio deposito bis'!$F$79*IF(ABS(L1808)&lt;'Progetto del paramento slu'!$G$58,ABS(L1808)*'Progetto del paramento slu'!$G$54,'Progetto del paramento slu'!$G$53)*IF(L1808&lt;0,-1,1)</f>
        <v>153664.85805602249</v>
      </c>
      <c r="S1808" s="553">
        <f>'Foglio deposito bis'!$F$80*IF(ABS(M1808)&lt;'Progetto del paramento slu'!$G$58,ABS(M1808)*'Progetto del paramento slu'!$G$54,'Progetto del paramento slu'!$G$53)*IF(M1808&lt;0,-1,1)</f>
        <v>0</v>
      </c>
      <c r="T1808" s="553">
        <f>'Foglio deposito bis'!$F$81*IF(ABS(N1808)&lt;'Progetto del paramento slu'!$G$58,ABS(N1808)*'Progetto del paramento slu'!$G$54,'Progetto del paramento slu'!$G$53)*IF(N1808&lt;0,-1,1)</f>
        <v>398299.31208121032</v>
      </c>
      <c r="U1808" s="553">
        <f>'Foglio deposito bis'!$F$82*IF(ABS(O1808)&lt;'Progetto del paramento slu'!$G$58,ABS(O1808)*'Progetto del paramento slu'!$G$54,'Progetto del paramento slu'!$G$53)*IF(O1808&lt;0,-1,1)</f>
        <v>892485.49558937876</v>
      </c>
      <c r="V1808" s="479">
        <f t="shared" si="136"/>
        <v>1252748.7215913567</v>
      </c>
      <c r="W1808" s="559"/>
      <c r="X1808" s="559"/>
    </row>
    <row r="1809" spans="1:24" x14ac:dyDescent="0.25">
      <c r="A1809" s="553">
        <f t="shared" si="135"/>
        <v>1249887.5134699349</v>
      </c>
      <c r="B1809" s="3">
        <f t="shared" si="137"/>
        <v>3.3999999999999959</v>
      </c>
      <c r="C1809" s="553">
        <f>'Foglio deposito bis'!$E$160/sezione!$B$247*B1809</f>
        <v>13.802757559591948</v>
      </c>
      <c r="D1809" s="611">
        <f>-'Progetto del paramento slu'!$G$47*'Progetto del paramento slu'!$G$41*IF(DATI!$G$218="dx",DATI!$E$61,DATI!$E$64*DATI!$E$63)*1000*C1809^2*sezione!$AD$5*(1-sezione!$AD$6)</f>
        <v>-1568328.6232368522</v>
      </c>
      <c r="E1809" s="553">
        <f>-'Foglio deposito bis'!$F$78*(C1809-sezione!$AL$34)*IF(ABS(K1809)&lt;'Progetto del paramento slu'!$G$58,ABS(K1809)*'Progetto del paramento slu'!$G$54,'Progetto del paramento slu'!$G$53)</f>
        <v>0</v>
      </c>
      <c r="F1809" s="553">
        <f>-'Foglio deposito bis'!$F$79*(C1809-sezione!$AM$34)*IF(ABS(L1809)&lt;'Progetto del paramento slu'!$G$58,ABS(L1809)*'Progetto del paramento slu'!$G$54,'Progetto del paramento slu'!$G$53)</f>
        <v>20928729.927226983</v>
      </c>
      <c r="G1809" s="553">
        <f>-'Foglio deposito bis'!$F$80*(C1809-sezione!$AN$34)*IF(ABS(M1809)&lt;'Progetto del paramento slu'!$G$58,ABS(M1809)*'Progetto del paramento slu'!$G$54,'Progetto del paramento slu'!$G$53)</f>
        <v>0</v>
      </c>
      <c r="H1809" s="553">
        <f>-'Foglio deposito bis'!$F$81*(C1809-sezione!$AO$34)*IF(ABS(N1809)&lt;'Progetto del paramento slu'!$G$58,ABS(N1809)*'Progetto del paramento slu'!$G$54,'Progetto del paramento slu'!$G$53)</f>
        <v>129924137.26680231</v>
      </c>
      <c r="I1809" s="479">
        <f>-'Foglio deposito bis'!$F$82*(C1809-sezione!$AP$34)*IF(ABS(O1809)&lt;'Progetto del paramento slu'!$G$58,ABS(O1809)*'Progetto del paramento slu'!$G$54,'Progetto del paramento slu'!$G$53)</f>
        <v>219733711.0398393</v>
      </c>
      <c r="J1809" s="479">
        <f t="shared" si="134"/>
        <v>369018249.6106317</v>
      </c>
      <c r="K1809" s="558">
        <f>'Progetto del paramento slu'!$G$60*(sezione!$AL$34-C1809)/C1809</f>
        <v>6.6429007497642986E-3</v>
      </c>
      <c r="L1809" s="558">
        <f>'Progetto del paramento slu'!$G$60*(sezione!$AM$34-C1809)/C1809</f>
        <v>3.4535877811616114E-2</v>
      </c>
      <c r="M1809" s="559">
        <f>'Progetto del paramento slu'!$G$60*(sezione!$AN$34-C1809)/C1809</f>
        <v>6.2428854873467943E-2</v>
      </c>
      <c r="N1809" s="559">
        <f>'Progetto del paramento slu'!$G$60*(sezione!$AO$34-C1809)/C1809</f>
        <v>8.2714656372996534E-2</v>
      </c>
      <c r="O1809" s="559">
        <f>'Progetto del paramento slu'!$G$60*(sezione!$AP$34-C1809)/C1809</f>
        <v>6.2430628662000456E-2</v>
      </c>
      <c r="P1809" s="553">
        <f>-'Progetto del paramento slu'!$G$47*'Progetto del paramento slu'!$G$41*IF(DATI!$G$218="dx",DATI!$E$61,DATI!$E$64*DATI!$E$63)*1000*C1809*sezione!$AD$5</f>
        <v>-194562.15225667655</v>
      </c>
      <c r="Q1809" s="553">
        <f>'Foglio deposito bis'!$F$78*IF(ABS(K1809)&lt;'Progetto del paramento slu'!$G$58,ABS(K1809)*'Progetto del paramento slu'!$G$54,'Progetto del paramento slu'!$G$53)*IF(K1809&lt;0,-1,1)</f>
        <v>0</v>
      </c>
      <c r="R1809" s="553">
        <f>'Foglio deposito bis'!$F$79*IF(ABS(L1809)&lt;'Progetto del paramento slu'!$G$58,ABS(L1809)*'Progetto del paramento slu'!$G$54,'Progetto del paramento slu'!$G$53)*IF(L1809&lt;0,-1,1)</f>
        <v>153664.85805602249</v>
      </c>
      <c r="S1809" s="553">
        <f>'Foglio deposito bis'!$F$80*IF(ABS(M1809)&lt;'Progetto del paramento slu'!$G$58,ABS(M1809)*'Progetto del paramento slu'!$G$54,'Progetto del paramento slu'!$G$53)*IF(M1809&lt;0,-1,1)</f>
        <v>0</v>
      </c>
      <c r="T1809" s="553">
        <f>'Foglio deposito bis'!$F$81*IF(ABS(N1809)&lt;'Progetto del paramento slu'!$G$58,ABS(N1809)*'Progetto del paramento slu'!$G$54,'Progetto del paramento slu'!$G$53)*IF(N1809&lt;0,-1,1)</f>
        <v>398299.31208121032</v>
      </c>
      <c r="U1809" s="553">
        <f>'Foglio deposito bis'!$F$82*IF(ABS(O1809)&lt;'Progetto del paramento slu'!$G$58,ABS(O1809)*'Progetto del paramento slu'!$G$54,'Progetto del paramento slu'!$G$53)*IF(O1809&lt;0,-1,1)</f>
        <v>892485.49558937876</v>
      </c>
      <c r="V1809" s="479">
        <f t="shared" si="136"/>
        <v>1249887.5134699349</v>
      </c>
      <c r="W1809" s="559"/>
      <c r="X1809" s="559"/>
    </row>
    <row r="1810" spans="1:24" x14ac:dyDescent="0.25">
      <c r="A1810" s="553">
        <f t="shared" si="135"/>
        <v>1247026.3053485132</v>
      </c>
      <c r="B1810" s="3">
        <f t="shared" si="137"/>
        <v>3.4499999999999957</v>
      </c>
      <c r="C1810" s="553">
        <f>'Foglio deposito bis'!$E$160/sezione!$B$247*B1810</f>
        <v>14.005739288409476</v>
      </c>
      <c r="D1810" s="611">
        <f>-'Progetto del paramento slu'!$G$47*'Progetto del paramento slu'!$G$41*IF(DATI!$G$218="dx",DATI!$E$61,DATI!$E$64*DATI!$E$63)*1000*C1810^2*sezione!$AD$5*(1-sezione!$AD$6)</f>
        <v>-1614795.1071000546</v>
      </c>
      <c r="E1810" s="553">
        <f>-'Foglio deposito bis'!$F$78*(C1810-sezione!$AL$34)*IF(ABS(K1810)&lt;'Progetto del paramento slu'!$G$58,ABS(K1810)*'Progetto del paramento slu'!$G$54,'Progetto del paramento slu'!$G$53)</f>
        <v>0</v>
      </c>
      <c r="F1810" s="553">
        <f>-'Foglio deposito bis'!$F$79*(C1810-sezione!$AM$34)*IF(ABS(L1810)&lt;'Progetto del paramento slu'!$G$58,ABS(L1810)*'Progetto del paramento slu'!$G$54,'Progetto del paramento slu'!$G$53)</f>
        <v>20897538.768680274</v>
      </c>
      <c r="G1810" s="553">
        <f>-'Foglio deposito bis'!$F$80*(C1810-sezione!$AN$34)*IF(ABS(M1810)&lt;'Progetto del paramento slu'!$G$58,ABS(M1810)*'Progetto del paramento slu'!$G$54,'Progetto del paramento slu'!$G$53)</f>
        <v>0</v>
      </c>
      <c r="H1810" s="553">
        <f>-'Foglio deposito bis'!$F$81*(C1810-sezione!$AO$34)*IF(ABS(N1810)&lt;'Progetto del paramento slu'!$G$58,ABS(N1810)*'Progetto del paramento slu'!$G$54,'Progetto del paramento slu'!$G$53)</f>
        <v>129843289.78384924</v>
      </c>
      <c r="I1810" s="479">
        <f>-'Foglio deposito bis'!$F$82*(C1810-sezione!$AP$34)*IF(ABS(O1810)&lt;'Progetto del paramento slu'!$G$58,ABS(O1810)*'Progetto del paramento slu'!$G$54,'Progetto del paramento slu'!$G$53)</f>
        <v>219552552.79100001</v>
      </c>
      <c r="J1810" s="479">
        <f t="shared" si="134"/>
        <v>368678586.23642945</v>
      </c>
      <c r="K1810" s="558">
        <f>'Progetto del paramento slu'!$G$60*(sezione!$AL$34-C1810)/C1810</f>
        <v>6.4959021881735111E-3</v>
      </c>
      <c r="L1810" s="558">
        <f>'Progetto del paramento slu'!$G$60*(sezione!$AM$34-C1810)/C1810</f>
        <v>3.398463320565067E-2</v>
      </c>
      <c r="M1810" s="559">
        <f>'Progetto del paramento slu'!$G$60*(sezione!$AN$34-C1810)/C1810</f>
        <v>6.1473364223127824E-2</v>
      </c>
      <c r="N1810" s="559">
        <f>'Progetto del paramento slu'!$G$60*(sezione!$AO$34-C1810)/C1810</f>
        <v>8.1465168599474849E-2</v>
      </c>
      <c r="O1810" s="559">
        <f>'Progetto del paramento slu'!$G$60*(sezione!$AP$34-C1810)/C1810</f>
        <v>6.1475112304580151E-2</v>
      </c>
      <c r="P1810" s="553">
        <f>-'Progetto del paramento slu'!$G$47*'Progetto del paramento slu'!$G$41*IF(DATI!$G$218="dx",DATI!$E$61,DATI!$E$64*DATI!$E$63)*1000*C1810*sezione!$AD$5</f>
        <v>-197423.36037809827</v>
      </c>
      <c r="Q1810" s="553">
        <f>'Foglio deposito bis'!$F$78*IF(ABS(K1810)&lt;'Progetto del paramento slu'!$G$58,ABS(K1810)*'Progetto del paramento slu'!$G$54,'Progetto del paramento slu'!$G$53)*IF(K1810&lt;0,-1,1)</f>
        <v>0</v>
      </c>
      <c r="R1810" s="553">
        <f>'Foglio deposito bis'!$F$79*IF(ABS(L1810)&lt;'Progetto del paramento slu'!$G$58,ABS(L1810)*'Progetto del paramento slu'!$G$54,'Progetto del paramento slu'!$G$53)*IF(L1810&lt;0,-1,1)</f>
        <v>153664.85805602249</v>
      </c>
      <c r="S1810" s="553">
        <f>'Foglio deposito bis'!$F$80*IF(ABS(M1810)&lt;'Progetto del paramento slu'!$G$58,ABS(M1810)*'Progetto del paramento slu'!$G$54,'Progetto del paramento slu'!$G$53)*IF(M1810&lt;0,-1,1)</f>
        <v>0</v>
      </c>
      <c r="T1810" s="553">
        <f>'Foglio deposito bis'!$F$81*IF(ABS(N1810)&lt;'Progetto del paramento slu'!$G$58,ABS(N1810)*'Progetto del paramento slu'!$G$54,'Progetto del paramento slu'!$G$53)*IF(N1810&lt;0,-1,1)</f>
        <v>398299.31208121032</v>
      </c>
      <c r="U1810" s="553">
        <f>'Foglio deposito bis'!$F$82*IF(ABS(O1810)&lt;'Progetto del paramento slu'!$G$58,ABS(O1810)*'Progetto del paramento slu'!$G$54,'Progetto del paramento slu'!$G$53)*IF(O1810&lt;0,-1,1)</f>
        <v>892485.49558937876</v>
      </c>
      <c r="V1810" s="479">
        <f t="shared" si="136"/>
        <v>1247026.3053485132</v>
      </c>
      <c r="W1810" s="559"/>
      <c r="X1810" s="559"/>
    </row>
    <row r="1811" spans="1:24" x14ac:dyDescent="0.25">
      <c r="A1811" s="553">
        <f t="shared" si="135"/>
        <v>1244165.0972270914</v>
      </c>
      <c r="B1811" s="3">
        <f t="shared" si="137"/>
        <v>3.4999999999999956</v>
      </c>
      <c r="C1811" s="553">
        <f>'Foglio deposito bis'!$E$160/sezione!$B$247*B1811</f>
        <v>14.208721017227004</v>
      </c>
      <c r="D1811" s="611">
        <f>-'Progetto del paramento slu'!$G$47*'Progetto del paramento slu'!$G$41*IF(DATI!$G$218="dx",DATI!$E$61,DATI!$E$64*DATI!$E$63)*1000*C1811^2*sezione!$AD$5*(1-sezione!$AD$6)</f>
        <v>-1661939.9337933767</v>
      </c>
      <c r="E1811" s="553">
        <f>-'Foglio deposito bis'!$F$78*(C1811-sezione!$AL$34)*IF(ABS(K1811)&lt;'Progetto del paramento slu'!$G$58,ABS(K1811)*'Progetto del paramento slu'!$G$54,'Progetto del paramento slu'!$G$53)</f>
        <v>0</v>
      </c>
      <c r="F1811" s="553">
        <f>-'Foglio deposito bis'!$F$79*(C1811-sezione!$AM$34)*IF(ABS(L1811)&lt;'Progetto del paramento slu'!$G$58,ABS(L1811)*'Progetto del paramento slu'!$G$54,'Progetto del paramento slu'!$G$53)</f>
        <v>20866347.610133566</v>
      </c>
      <c r="G1811" s="553">
        <f>-'Foglio deposito bis'!$F$80*(C1811-sezione!$AN$34)*IF(ABS(M1811)&lt;'Progetto del paramento slu'!$G$58,ABS(M1811)*'Progetto del paramento slu'!$G$54,'Progetto del paramento slu'!$G$53)</f>
        <v>0</v>
      </c>
      <c r="H1811" s="553">
        <f>-'Foglio deposito bis'!$F$81*(C1811-sezione!$AO$34)*IF(ABS(N1811)&lt;'Progetto del paramento slu'!$G$58,ABS(N1811)*'Progetto del paramento slu'!$G$54,'Progetto del paramento slu'!$G$53)</f>
        <v>129762442.30089615</v>
      </c>
      <c r="I1811" s="479">
        <f>-'Foglio deposito bis'!$F$82*(C1811-sezione!$AP$34)*IF(ABS(O1811)&lt;'Progetto del paramento slu'!$G$58,ABS(O1811)*'Progetto del paramento slu'!$G$54,'Progetto del paramento slu'!$G$53)</f>
        <v>219371394.54216072</v>
      </c>
      <c r="J1811" s="479">
        <f t="shared" si="134"/>
        <v>368338244.51939702</v>
      </c>
      <c r="K1811" s="558">
        <f>'Progetto del paramento slu'!$G$60*(sezione!$AL$34-C1811)/C1811</f>
        <v>6.3531035854853188E-3</v>
      </c>
      <c r="L1811" s="558">
        <f>'Progetto del paramento slu'!$G$60*(sezione!$AM$34-C1811)/C1811</f>
        <v>3.3449138445569945E-2</v>
      </c>
      <c r="M1811" s="559">
        <f>'Progetto del paramento slu'!$G$60*(sezione!$AN$34-C1811)/C1811</f>
        <v>6.0545173305654572E-2</v>
      </c>
      <c r="N1811" s="559">
        <f>'Progetto del paramento slu'!$G$60*(sezione!$AO$34-C1811)/C1811</f>
        <v>8.0251380476625209E-2</v>
      </c>
      <c r="O1811" s="559">
        <f>'Progetto del paramento slu'!$G$60*(sezione!$AP$34-C1811)/C1811</f>
        <v>6.0546896414514731E-2</v>
      </c>
      <c r="P1811" s="553">
        <f>-'Progetto del paramento slu'!$G$47*'Progetto del paramento slu'!$G$41*IF(DATI!$G$218="dx",DATI!$E$61,DATI!$E$64*DATI!$E$63)*1000*C1811*sezione!$AD$5</f>
        <v>-200284.56849951998</v>
      </c>
      <c r="Q1811" s="553">
        <f>'Foglio deposito bis'!$F$78*IF(ABS(K1811)&lt;'Progetto del paramento slu'!$G$58,ABS(K1811)*'Progetto del paramento slu'!$G$54,'Progetto del paramento slu'!$G$53)*IF(K1811&lt;0,-1,1)</f>
        <v>0</v>
      </c>
      <c r="R1811" s="553">
        <f>'Foglio deposito bis'!$F$79*IF(ABS(L1811)&lt;'Progetto del paramento slu'!$G$58,ABS(L1811)*'Progetto del paramento slu'!$G$54,'Progetto del paramento slu'!$G$53)*IF(L1811&lt;0,-1,1)</f>
        <v>153664.85805602249</v>
      </c>
      <c r="S1811" s="553">
        <f>'Foglio deposito bis'!$F$80*IF(ABS(M1811)&lt;'Progetto del paramento slu'!$G$58,ABS(M1811)*'Progetto del paramento slu'!$G$54,'Progetto del paramento slu'!$G$53)*IF(M1811&lt;0,-1,1)</f>
        <v>0</v>
      </c>
      <c r="T1811" s="553">
        <f>'Foglio deposito bis'!$F$81*IF(ABS(N1811)&lt;'Progetto del paramento slu'!$G$58,ABS(N1811)*'Progetto del paramento slu'!$G$54,'Progetto del paramento slu'!$G$53)*IF(N1811&lt;0,-1,1)</f>
        <v>398299.31208121032</v>
      </c>
      <c r="U1811" s="553">
        <f>'Foglio deposito bis'!$F$82*IF(ABS(O1811)&lt;'Progetto del paramento slu'!$G$58,ABS(O1811)*'Progetto del paramento slu'!$G$54,'Progetto del paramento slu'!$G$53)*IF(O1811&lt;0,-1,1)</f>
        <v>892485.49558937876</v>
      </c>
      <c r="V1811" s="479">
        <f t="shared" si="136"/>
        <v>1244165.0972270914</v>
      </c>
      <c r="W1811" s="559"/>
      <c r="X1811" s="559"/>
    </row>
    <row r="1812" spans="1:24" x14ac:dyDescent="0.25">
      <c r="A1812" s="553">
        <f t="shared" si="135"/>
        <v>1241303.8891056699</v>
      </c>
      <c r="B1812" s="3">
        <f t="shared" si="137"/>
        <v>3.5499999999999954</v>
      </c>
      <c r="C1812" s="553">
        <f>'Foglio deposito bis'!$E$160/sezione!$B$247*B1812</f>
        <v>14.411702746044533</v>
      </c>
      <c r="D1812" s="611">
        <f>-'Progetto del paramento slu'!$G$47*'Progetto del paramento slu'!$G$41*IF(DATI!$G$218="dx",DATI!$E$61,DATI!$E$64*DATI!$E$63)*1000*C1812^2*sezione!$AD$5*(1-sezione!$AD$6)</f>
        <v>-1709763.1033168191</v>
      </c>
      <c r="E1812" s="553">
        <f>-'Foglio deposito bis'!$F$78*(C1812-sezione!$AL$34)*IF(ABS(K1812)&lt;'Progetto del paramento slu'!$G$58,ABS(K1812)*'Progetto del paramento slu'!$G$54,'Progetto del paramento slu'!$G$53)</f>
        <v>0</v>
      </c>
      <c r="F1812" s="553">
        <f>-'Foglio deposito bis'!$F$79*(C1812-sezione!$AM$34)*IF(ABS(L1812)&lt;'Progetto del paramento slu'!$G$58,ABS(L1812)*'Progetto del paramento slu'!$G$54,'Progetto del paramento slu'!$G$53)</f>
        <v>20835156.45158685</v>
      </c>
      <c r="G1812" s="553">
        <f>-'Foglio deposito bis'!$F$80*(C1812-sezione!$AN$34)*IF(ABS(M1812)&lt;'Progetto del paramento slu'!$G$58,ABS(M1812)*'Progetto del paramento slu'!$G$54,'Progetto del paramento slu'!$G$53)</f>
        <v>0</v>
      </c>
      <c r="H1812" s="553">
        <f>-'Foglio deposito bis'!$F$81*(C1812-sezione!$AO$34)*IF(ABS(N1812)&lt;'Progetto del paramento slu'!$G$58,ABS(N1812)*'Progetto del paramento slu'!$G$54,'Progetto del paramento slu'!$G$53)</f>
        <v>129681594.81794308</v>
      </c>
      <c r="I1812" s="479">
        <f>-'Foglio deposito bis'!$F$82*(C1812-sezione!$AP$34)*IF(ABS(O1812)&lt;'Progetto del paramento slu'!$G$58,ABS(O1812)*'Progetto del paramento slu'!$G$54,'Progetto del paramento slu'!$G$53)</f>
        <v>219190236.2933214</v>
      </c>
      <c r="J1812" s="479">
        <f t="shared" si="134"/>
        <v>367997224.45953453</v>
      </c>
      <c r="K1812" s="558">
        <f>'Progetto del paramento slu'!$G$60*(sezione!$AL$34-C1812)/C1812</f>
        <v>6.2143274786474979E-3</v>
      </c>
      <c r="L1812" s="558">
        <f>'Progetto del paramento slu'!$G$60*(sezione!$AM$34-C1812)/C1812</f>
        <v>3.2928728044928114E-2</v>
      </c>
      <c r="M1812" s="559">
        <f>'Progetto del paramento slu'!$G$60*(sezione!$AN$34-C1812)/C1812</f>
        <v>5.9643128611208733E-2</v>
      </c>
      <c r="N1812" s="559">
        <f>'Progetto del paramento slu'!$G$60*(sezione!$AO$34-C1812)/C1812</f>
        <v>7.9071783568503737E-2</v>
      </c>
      <c r="O1812" s="559">
        <f>'Progetto del paramento slu'!$G$60*(sezione!$AP$34-C1812)/C1812</f>
        <v>5.9644827450930013E-2</v>
      </c>
      <c r="P1812" s="553">
        <f>-'Progetto del paramento slu'!$G$47*'Progetto del paramento slu'!$G$41*IF(DATI!$G$218="dx",DATI!$E$61,DATI!$E$64*DATI!$E$63)*1000*C1812*sezione!$AD$5</f>
        <v>-203145.77662094164</v>
      </c>
      <c r="Q1812" s="553">
        <f>'Foglio deposito bis'!$F$78*IF(ABS(K1812)&lt;'Progetto del paramento slu'!$G$58,ABS(K1812)*'Progetto del paramento slu'!$G$54,'Progetto del paramento slu'!$G$53)*IF(K1812&lt;0,-1,1)</f>
        <v>0</v>
      </c>
      <c r="R1812" s="553">
        <f>'Foglio deposito bis'!$F$79*IF(ABS(L1812)&lt;'Progetto del paramento slu'!$G$58,ABS(L1812)*'Progetto del paramento slu'!$G$54,'Progetto del paramento slu'!$G$53)*IF(L1812&lt;0,-1,1)</f>
        <v>153664.85805602249</v>
      </c>
      <c r="S1812" s="553">
        <f>'Foglio deposito bis'!$F$80*IF(ABS(M1812)&lt;'Progetto del paramento slu'!$G$58,ABS(M1812)*'Progetto del paramento slu'!$G$54,'Progetto del paramento slu'!$G$53)*IF(M1812&lt;0,-1,1)</f>
        <v>0</v>
      </c>
      <c r="T1812" s="553">
        <f>'Foglio deposito bis'!$F$81*IF(ABS(N1812)&lt;'Progetto del paramento slu'!$G$58,ABS(N1812)*'Progetto del paramento slu'!$G$54,'Progetto del paramento slu'!$G$53)*IF(N1812&lt;0,-1,1)</f>
        <v>398299.31208121032</v>
      </c>
      <c r="U1812" s="553">
        <f>'Foglio deposito bis'!$F$82*IF(ABS(O1812)&lt;'Progetto del paramento slu'!$G$58,ABS(O1812)*'Progetto del paramento slu'!$G$54,'Progetto del paramento slu'!$G$53)*IF(O1812&lt;0,-1,1)</f>
        <v>892485.49558937876</v>
      </c>
      <c r="V1812" s="479">
        <f t="shared" si="136"/>
        <v>1241303.8891056699</v>
      </c>
      <c r="W1812" s="559"/>
      <c r="X1812" s="559"/>
    </row>
    <row r="1813" spans="1:24" x14ac:dyDescent="0.25">
      <c r="A1813" s="553">
        <f t="shared" si="135"/>
        <v>1238442.6809842482</v>
      </c>
      <c r="B1813" s="3">
        <f t="shared" si="137"/>
        <v>3.5999999999999952</v>
      </c>
      <c r="C1813" s="553">
        <f>'Foglio deposito bis'!$E$160/sezione!$B$247*B1813</f>
        <v>14.614684474862061</v>
      </c>
      <c r="D1813" s="611">
        <f>-'Progetto del paramento slu'!$G$47*'Progetto del paramento slu'!$G$41*IF(DATI!$G$218="dx",DATI!$E$61,DATI!$E$64*DATI!$E$63)*1000*C1813^2*sezione!$AD$5*(1-sezione!$AD$6)</f>
        <v>-1758264.6156703806</v>
      </c>
      <c r="E1813" s="553">
        <f>-'Foglio deposito bis'!$F$78*(C1813-sezione!$AL$34)*IF(ABS(K1813)&lt;'Progetto del paramento slu'!$G$58,ABS(K1813)*'Progetto del paramento slu'!$G$54,'Progetto del paramento slu'!$G$53)</f>
        <v>0</v>
      </c>
      <c r="F1813" s="553">
        <f>-'Foglio deposito bis'!$F$79*(C1813-sezione!$AM$34)*IF(ABS(L1813)&lt;'Progetto del paramento slu'!$G$58,ABS(L1813)*'Progetto del paramento slu'!$G$54,'Progetto del paramento slu'!$G$53)</f>
        <v>20803965.293040141</v>
      </c>
      <c r="G1813" s="553">
        <f>-'Foglio deposito bis'!$F$80*(C1813-sezione!$AN$34)*IF(ABS(M1813)&lt;'Progetto del paramento slu'!$G$58,ABS(M1813)*'Progetto del paramento slu'!$G$54,'Progetto del paramento slu'!$G$53)</f>
        <v>0</v>
      </c>
      <c r="H1813" s="553">
        <f>-'Foglio deposito bis'!$F$81*(C1813-sezione!$AO$34)*IF(ABS(N1813)&lt;'Progetto del paramento slu'!$G$58,ABS(N1813)*'Progetto del paramento slu'!$G$54,'Progetto del paramento slu'!$G$53)</f>
        <v>129600747.33498999</v>
      </c>
      <c r="I1813" s="479">
        <f>-'Foglio deposito bis'!$F$82*(C1813-sezione!$AP$34)*IF(ABS(O1813)&lt;'Progetto del paramento slu'!$G$58,ABS(O1813)*'Progetto del paramento slu'!$G$54,'Progetto del paramento slu'!$G$53)</f>
        <v>219009078.04448211</v>
      </c>
      <c r="J1813" s="479">
        <f t="shared" si="134"/>
        <v>367655526.05684185</v>
      </c>
      <c r="K1813" s="558">
        <f>'Progetto del paramento slu'!$G$60*(sezione!$AL$34-C1813)/C1813</f>
        <v>6.0794062636662823E-3</v>
      </c>
      <c r="L1813" s="558">
        <f>'Progetto del paramento slu'!$G$60*(sezione!$AM$34-C1813)/C1813</f>
        <v>3.2422773488748557E-2</v>
      </c>
      <c r="M1813" s="559">
        <f>'Progetto del paramento slu'!$G$60*(sezione!$AN$34-C1813)/C1813</f>
        <v>5.8766140713830836E-2</v>
      </c>
      <c r="N1813" s="559">
        <f>'Progetto del paramento slu'!$G$60*(sezione!$AO$34-C1813)/C1813</f>
        <v>7.7924953241163386E-2</v>
      </c>
      <c r="O1813" s="559">
        <f>'Progetto del paramento slu'!$G$60*(sezione!$AP$34-C1813)/C1813</f>
        <v>5.8767815958555986E-2</v>
      </c>
      <c r="P1813" s="553">
        <f>-'Progetto del paramento slu'!$G$47*'Progetto del paramento slu'!$G$41*IF(DATI!$G$218="dx",DATI!$E$61,DATI!$E$64*DATI!$E$63)*1000*C1813*sezione!$AD$5</f>
        <v>-206006.98474236336</v>
      </c>
      <c r="Q1813" s="553">
        <f>'Foglio deposito bis'!$F$78*IF(ABS(K1813)&lt;'Progetto del paramento slu'!$G$58,ABS(K1813)*'Progetto del paramento slu'!$G$54,'Progetto del paramento slu'!$G$53)*IF(K1813&lt;0,-1,1)</f>
        <v>0</v>
      </c>
      <c r="R1813" s="553">
        <f>'Foglio deposito bis'!$F$79*IF(ABS(L1813)&lt;'Progetto del paramento slu'!$G$58,ABS(L1813)*'Progetto del paramento slu'!$G$54,'Progetto del paramento slu'!$G$53)*IF(L1813&lt;0,-1,1)</f>
        <v>153664.85805602249</v>
      </c>
      <c r="S1813" s="553">
        <f>'Foglio deposito bis'!$F$80*IF(ABS(M1813)&lt;'Progetto del paramento slu'!$G$58,ABS(M1813)*'Progetto del paramento slu'!$G$54,'Progetto del paramento slu'!$G$53)*IF(M1813&lt;0,-1,1)</f>
        <v>0</v>
      </c>
      <c r="T1813" s="553">
        <f>'Foglio deposito bis'!$F$81*IF(ABS(N1813)&lt;'Progetto del paramento slu'!$G$58,ABS(N1813)*'Progetto del paramento slu'!$G$54,'Progetto del paramento slu'!$G$53)*IF(N1813&lt;0,-1,1)</f>
        <v>398299.31208121032</v>
      </c>
      <c r="U1813" s="553">
        <f>'Foglio deposito bis'!$F$82*IF(ABS(O1813)&lt;'Progetto del paramento slu'!$G$58,ABS(O1813)*'Progetto del paramento slu'!$G$54,'Progetto del paramento slu'!$G$53)*IF(O1813&lt;0,-1,1)</f>
        <v>892485.49558937876</v>
      </c>
      <c r="V1813" s="479">
        <f t="shared" si="136"/>
        <v>1238442.6809842482</v>
      </c>
      <c r="W1813" s="559"/>
      <c r="X1813" s="559"/>
    </row>
    <row r="1814" spans="1:24" x14ac:dyDescent="0.25">
      <c r="A1814" s="553">
        <f t="shared" si="135"/>
        <v>1235581.4728628264</v>
      </c>
      <c r="B1814" s="3">
        <f t="shared" si="137"/>
        <v>3.649999999999995</v>
      </c>
      <c r="C1814" s="553">
        <f>'Foglio deposito bis'!$E$160/sezione!$B$247*B1814</f>
        <v>14.81766620367959</v>
      </c>
      <c r="D1814" s="611">
        <f>-'Progetto del paramento slu'!$G$47*'Progetto del paramento slu'!$G$41*IF(DATI!$G$218="dx",DATI!$E$61,DATI!$E$64*DATI!$E$63)*1000*C1814^2*sezione!$AD$5*(1-sezione!$AD$6)</f>
        <v>-1807444.4708540621</v>
      </c>
      <c r="E1814" s="553">
        <f>-'Foglio deposito bis'!$F$78*(C1814-sezione!$AL$34)*IF(ABS(K1814)&lt;'Progetto del paramento slu'!$G$58,ABS(K1814)*'Progetto del paramento slu'!$G$54,'Progetto del paramento slu'!$G$53)</f>
        <v>0</v>
      </c>
      <c r="F1814" s="553">
        <f>-'Foglio deposito bis'!$F$79*(C1814-sezione!$AM$34)*IF(ABS(L1814)&lt;'Progetto del paramento slu'!$G$58,ABS(L1814)*'Progetto del paramento slu'!$G$54,'Progetto del paramento slu'!$G$53)</f>
        <v>20772774.134493429</v>
      </c>
      <c r="G1814" s="553">
        <f>-'Foglio deposito bis'!$F$80*(C1814-sezione!$AN$34)*IF(ABS(M1814)&lt;'Progetto del paramento slu'!$G$58,ABS(M1814)*'Progetto del paramento slu'!$G$54,'Progetto del paramento slu'!$G$53)</f>
        <v>0</v>
      </c>
      <c r="H1814" s="553">
        <f>-'Foglio deposito bis'!$F$81*(C1814-sezione!$AO$34)*IF(ABS(N1814)&lt;'Progetto del paramento slu'!$G$58,ABS(N1814)*'Progetto del paramento slu'!$G$54,'Progetto del paramento slu'!$G$53)</f>
        <v>129519899.85203691</v>
      </c>
      <c r="I1814" s="479">
        <f>-'Foglio deposito bis'!$F$82*(C1814-sezione!$AP$34)*IF(ABS(O1814)&lt;'Progetto del paramento slu'!$G$58,ABS(O1814)*'Progetto del paramento slu'!$G$54,'Progetto del paramento slu'!$G$53)</f>
        <v>218827919.79564282</v>
      </c>
      <c r="J1814" s="479">
        <f t="shared" si="134"/>
        <v>367313149.31131911</v>
      </c>
      <c r="K1814" s="558">
        <f>'Progetto del paramento slu'!$G$60*(sezione!$AL$34-C1814)/C1814</f>
        <v>5.9481815203283883E-3</v>
      </c>
      <c r="L1814" s="558">
        <f>'Progetto del paramento slu'!$G$60*(sezione!$AM$34-C1814)/C1814</f>
        <v>3.1930680701231458E-2</v>
      </c>
      <c r="M1814" s="559">
        <f>'Progetto del paramento slu'!$G$60*(sezione!$AN$34-C1814)/C1814</f>
        <v>5.7913179882134527E-2</v>
      </c>
      <c r="N1814" s="559">
        <f>'Progetto del paramento slu'!$G$60*(sezione!$AO$34-C1814)/C1814</f>
        <v>7.6809542922791296E-2</v>
      </c>
      <c r="O1814" s="559">
        <f>'Progetto del paramento slu'!$G$60*(sezione!$AP$34-C1814)/C1814</f>
        <v>5.7914832178301796E-2</v>
      </c>
      <c r="P1814" s="553">
        <f>-'Progetto del paramento slu'!$G$47*'Progetto del paramento slu'!$G$41*IF(DATI!$G$218="dx",DATI!$E$61,DATI!$E$64*DATI!$E$63)*1000*C1814*sezione!$AD$5</f>
        <v>-208868.19286378508</v>
      </c>
      <c r="Q1814" s="553">
        <f>'Foglio deposito bis'!$F$78*IF(ABS(K1814)&lt;'Progetto del paramento slu'!$G$58,ABS(K1814)*'Progetto del paramento slu'!$G$54,'Progetto del paramento slu'!$G$53)*IF(K1814&lt;0,-1,1)</f>
        <v>0</v>
      </c>
      <c r="R1814" s="553">
        <f>'Foglio deposito bis'!$F$79*IF(ABS(L1814)&lt;'Progetto del paramento slu'!$G$58,ABS(L1814)*'Progetto del paramento slu'!$G$54,'Progetto del paramento slu'!$G$53)*IF(L1814&lt;0,-1,1)</f>
        <v>153664.85805602249</v>
      </c>
      <c r="S1814" s="553">
        <f>'Foglio deposito bis'!$F$80*IF(ABS(M1814)&lt;'Progetto del paramento slu'!$G$58,ABS(M1814)*'Progetto del paramento slu'!$G$54,'Progetto del paramento slu'!$G$53)*IF(M1814&lt;0,-1,1)</f>
        <v>0</v>
      </c>
      <c r="T1814" s="553">
        <f>'Foglio deposito bis'!$F$81*IF(ABS(N1814)&lt;'Progetto del paramento slu'!$G$58,ABS(N1814)*'Progetto del paramento slu'!$G$54,'Progetto del paramento slu'!$G$53)*IF(N1814&lt;0,-1,1)</f>
        <v>398299.31208121032</v>
      </c>
      <c r="U1814" s="553">
        <f>'Foglio deposito bis'!$F$82*IF(ABS(O1814)&lt;'Progetto del paramento slu'!$G$58,ABS(O1814)*'Progetto del paramento slu'!$G$54,'Progetto del paramento slu'!$G$53)*IF(O1814&lt;0,-1,1)</f>
        <v>892485.49558937876</v>
      </c>
      <c r="V1814" s="479">
        <f t="shared" si="136"/>
        <v>1235581.4728628264</v>
      </c>
      <c r="W1814" s="559"/>
      <c r="X1814" s="559"/>
    </row>
    <row r="1815" spans="1:24" x14ac:dyDescent="0.25">
      <c r="A1815" s="553">
        <f t="shared" si="135"/>
        <v>1232720.2647414049</v>
      </c>
      <c r="B1815" s="3">
        <f t="shared" si="137"/>
        <v>3.6999999999999948</v>
      </c>
      <c r="C1815" s="553">
        <f>'Foglio deposito bis'!$E$160/sezione!$B$247*B1815</f>
        <v>15.020647932497118</v>
      </c>
      <c r="D1815" s="611">
        <f>-'Progetto del paramento slu'!$G$47*'Progetto del paramento slu'!$G$41*IF(DATI!$G$218="dx",DATI!$E$61,DATI!$E$64*DATI!$E$63)*1000*C1815^2*sezione!$AD$5*(1-sezione!$AD$6)</f>
        <v>-1857302.6688678635</v>
      </c>
      <c r="E1815" s="553">
        <f>-'Foglio deposito bis'!$F$78*(C1815-sezione!$AL$34)*IF(ABS(K1815)&lt;'Progetto del paramento slu'!$G$58,ABS(K1815)*'Progetto del paramento slu'!$G$54,'Progetto del paramento slu'!$G$53)</f>
        <v>0</v>
      </c>
      <c r="F1815" s="553">
        <f>-'Foglio deposito bis'!$F$79*(C1815-sezione!$AM$34)*IF(ABS(L1815)&lt;'Progetto del paramento slu'!$G$58,ABS(L1815)*'Progetto del paramento slu'!$G$54,'Progetto del paramento slu'!$G$53)</f>
        <v>20741582.975946717</v>
      </c>
      <c r="G1815" s="553">
        <f>-'Foglio deposito bis'!$F$80*(C1815-sezione!$AN$34)*IF(ABS(M1815)&lt;'Progetto del paramento slu'!$G$58,ABS(M1815)*'Progetto del paramento slu'!$G$54,'Progetto del paramento slu'!$G$53)</f>
        <v>0</v>
      </c>
      <c r="H1815" s="553">
        <f>-'Foglio deposito bis'!$F$81*(C1815-sezione!$AO$34)*IF(ABS(N1815)&lt;'Progetto del paramento slu'!$G$58,ABS(N1815)*'Progetto del paramento slu'!$G$54,'Progetto del paramento slu'!$G$53)</f>
        <v>129439052.36908384</v>
      </c>
      <c r="I1815" s="479">
        <f>-'Foglio deposito bis'!$F$82*(C1815-sezione!$AP$34)*IF(ABS(O1815)&lt;'Progetto del paramento slu'!$G$58,ABS(O1815)*'Progetto del paramento slu'!$G$54,'Progetto del paramento slu'!$G$53)</f>
        <v>218646761.5468035</v>
      </c>
      <c r="J1815" s="479">
        <f t="shared" si="134"/>
        <v>366970094.22296619</v>
      </c>
      <c r="K1815" s="558">
        <f>'Progetto del paramento slu'!$G$60*(sezione!$AL$34-C1815)/C1815</f>
        <v>5.8205033916753019E-3</v>
      </c>
      <c r="L1815" s="558">
        <f>'Progetto del paramento slu'!$G$60*(sezione!$AM$34-C1815)/C1815</f>
        <v>3.1451887718782379E-2</v>
      </c>
      <c r="M1815" s="559">
        <f>'Progetto del paramento slu'!$G$60*(sezione!$AN$34-C1815)/C1815</f>
        <v>5.7083272045889463E-2</v>
      </c>
      <c r="N1815" s="559">
        <f>'Progetto del paramento slu'!$G$60*(sezione!$AO$34-C1815)/C1815</f>
        <v>7.5724278829240058E-2</v>
      </c>
      <c r="O1815" s="559">
        <f>'Progetto del paramento slu'!$G$60*(sezione!$AP$34-C1815)/C1815</f>
        <v>5.7084902013730149E-2</v>
      </c>
      <c r="P1815" s="553">
        <f>-'Progetto del paramento slu'!$G$47*'Progetto del paramento slu'!$G$41*IF(DATI!$G$218="dx",DATI!$E$61,DATI!$E$64*DATI!$E$63)*1000*C1815*sezione!$AD$5</f>
        <v>-211729.4009852068</v>
      </c>
      <c r="Q1815" s="553">
        <f>'Foglio deposito bis'!$F$78*IF(ABS(K1815)&lt;'Progetto del paramento slu'!$G$58,ABS(K1815)*'Progetto del paramento slu'!$G$54,'Progetto del paramento slu'!$G$53)*IF(K1815&lt;0,-1,1)</f>
        <v>0</v>
      </c>
      <c r="R1815" s="553">
        <f>'Foglio deposito bis'!$F$79*IF(ABS(L1815)&lt;'Progetto del paramento slu'!$G$58,ABS(L1815)*'Progetto del paramento slu'!$G$54,'Progetto del paramento slu'!$G$53)*IF(L1815&lt;0,-1,1)</f>
        <v>153664.85805602249</v>
      </c>
      <c r="S1815" s="553">
        <f>'Foglio deposito bis'!$F$80*IF(ABS(M1815)&lt;'Progetto del paramento slu'!$G$58,ABS(M1815)*'Progetto del paramento slu'!$G$54,'Progetto del paramento slu'!$G$53)*IF(M1815&lt;0,-1,1)</f>
        <v>0</v>
      </c>
      <c r="T1815" s="553">
        <f>'Foglio deposito bis'!$F$81*IF(ABS(N1815)&lt;'Progetto del paramento slu'!$G$58,ABS(N1815)*'Progetto del paramento slu'!$G$54,'Progetto del paramento slu'!$G$53)*IF(N1815&lt;0,-1,1)</f>
        <v>398299.31208121032</v>
      </c>
      <c r="U1815" s="553">
        <f>'Foglio deposito bis'!$F$82*IF(ABS(O1815)&lt;'Progetto del paramento slu'!$G$58,ABS(O1815)*'Progetto del paramento slu'!$G$54,'Progetto del paramento slu'!$G$53)*IF(O1815&lt;0,-1,1)</f>
        <v>892485.49558937876</v>
      </c>
      <c r="V1815" s="479">
        <f t="shared" si="136"/>
        <v>1232720.2647414049</v>
      </c>
      <c r="W1815" s="559"/>
      <c r="X1815" s="559"/>
    </row>
    <row r="1816" spans="1:24" x14ac:dyDescent="0.25">
      <c r="A1816" s="553">
        <f t="shared" si="135"/>
        <v>1229859.0566199832</v>
      </c>
      <c r="B1816" s="3">
        <f t="shared" si="137"/>
        <v>3.7499999999999947</v>
      </c>
      <c r="C1816" s="553">
        <f>'Foglio deposito bis'!$E$160/sezione!$B$247*B1816</f>
        <v>15.223629661314645</v>
      </c>
      <c r="D1816" s="611">
        <f>-'Progetto del paramento slu'!$G$47*'Progetto del paramento slu'!$G$41*IF(DATI!$G$218="dx",DATI!$E$61,DATI!$E$64*DATI!$E$63)*1000*C1816^2*sezione!$AD$5*(1-sezione!$AD$6)</f>
        <v>-1907839.2097117836</v>
      </c>
      <c r="E1816" s="553">
        <f>-'Foglio deposito bis'!$F$78*(C1816-sezione!$AL$34)*IF(ABS(K1816)&lt;'Progetto del paramento slu'!$G$58,ABS(K1816)*'Progetto del paramento slu'!$G$54,'Progetto del paramento slu'!$G$53)</f>
        <v>0</v>
      </c>
      <c r="F1816" s="553">
        <f>-'Foglio deposito bis'!$F$79*(C1816-sezione!$AM$34)*IF(ABS(L1816)&lt;'Progetto del paramento slu'!$G$58,ABS(L1816)*'Progetto del paramento slu'!$G$54,'Progetto del paramento slu'!$G$53)</f>
        <v>20710391.817400005</v>
      </c>
      <c r="G1816" s="553">
        <f>-'Foglio deposito bis'!$F$80*(C1816-sezione!$AN$34)*IF(ABS(M1816)&lt;'Progetto del paramento slu'!$G$58,ABS(M1816)*'Progetto del paramento slu'!$G$54,'Progetto del paramento slu'!$G$53)</f>
        <v>0</v>
      </c>
      <c r="H1816" s="553">
        <f>-'Foglio deposito bis'!$F$81*(C1816-sezione!$AO$34)*IF(ABS(N1816)&lt;'Progetto del paramento slu'!$G$58,ABS(N1816)*'Progetto del paramento slu'!$G$54,'Progetto del paramento slu'!$G$53)</f>
        <v>129358204.88613077</v>
      </c>
      <c r="I1816" s="479">
        <f>-'Foglio deposito bis'!$F$82*(C1816-sezione!$AP$34)*IF(ABS(O1816)&lt;'Progetto del paramento slu'!$G$58,ABS(O1816)*'Progetto del paramento slu'!$G$54,'Progetto del paramento slu'!$G$53)</f>
        <v>218465603.29796422</v>
      </c>
      <c r="J1816" s="479">
        <f t="shared" si="134"/>
        <v>366626360.79178321</v>
      </c>
      <c r="K1816" s="558">
        <f>'Progetto del paramento slu'!$G$60*(sezione!$AL$34-C1816)/C1816</f>
        <v>5.6962300131196322E-3</v>
      </c>
      <c r="L1816" s="558">
        <f>'Progetto del paramento slu'!$G$60*(sezione!$AM$34-C1816)/C1816</f>
        <v>3.0985862549198624E-2</v>
      </c>
      <c r="M1816" s="559">
        <f>'Progetto del paramento slu'!$G$60*(sezione!$AN$34-C1816)/C1816</f>
        <v>5.6275495085277606E-2</v>
      </c>
      <c r="N1816" s="559">
        <f>'Progetto del paramento slu'!$G$60*(sezione!$AO$34-C1816)/C1816</f>
        <v>7.4667955111516887E-2</v>
      </c>
      <c r="O1816" s="559">
        <f>'Progetto del paramento slu'!$G$60*(sezione!$AP$34-C1816)/C1816</f>
        <v>5.6277103320213753E-2</v>
      </c>
      <c r="P1816" s="553">
        <f>-'Progetto del paramento slu'!$G$47*'Progetto del paramento slu'!$G$41*IF(DATI!$G$218="dx",DATI!$E$61,DATI!$E$64*DATI!$E$63)*1000*C1816*sezione!$AD$5</f>
        <v>-214590.60910662852</v>
      </c>
      <c r="Q1816" s="553">
        <f>'Foglio deposito bis'!$F$78*IF(ABS(K1816)&lt;'Progetto del paramento slu'!$G$58,ABS(K1816)*'Progetto del paramento slu'!$G$54,'Progetto del paramento slu'!$G$53)*IF(K1816&lt;0,-1,1)</f>
        <v>0</v>
      </c>
      <c r="R1816" s="553">
        <f>'Foglio deposito bis'!$F$79*IF(ABS(L1816)&lt;'Progetto del paramento slu'!$G$58,ABS(L1816)*'Progetto del paramento slu'!$G$54,'Progetto del paramento slu'!$G$53)*IF(L1816&lt;0,-1,1)</f>
        <v>153664.85805602249</v>
      </c>
      <c r="S1816" s="553">
        <f>'Foglio deposito bis'!$F$80*IF(ABS(M1816)&lt;'Progetto del paramento slu'!$G$58,ABS(M1816)*'Progetto del paramento slu'!$G$54,'Progetto del paramento slu'!$G$53)*IF(M1816&lt;0,-1,1)</f>
        <v>0</v>
      </c>
      <c r="T1816" s="553">
        <f>'Foglio deposito bis'!$F$81*IF(ABS(N1816)&lt;'Progetto del paramento slu'!$G$58,ABS(N1816)*'Progetto del paramento slu'!$G$54,'Progetto del paramento slu'!$G$53)*IF(N1816&lt;0,-1,1)</f>
        <v>398299.31208121032</v>
      </c>
      <c r="U1816" s="553">
        <f>'Foglio deposito bis'!$F$82*IF(ABS(O1816)&lt;'Progetto del paramento slu'!$G$58,ABS(O1816)*'Progetto del paramento slu'!$G$54,'Progetto del paramento slu'!$G$53)*IF(O1816&lt;0,-1,1)</f>
        <v>892485.49558937876</v>
      </c>
      <c r="V1816" s="479">
        <f t="shared" si="136"/>
        <v>1229859.0566199832</v>
      </c>
      <c r="W1816" s="559"/>
      <c r="X1816" s="559"/>
    </row>
    <row r="1817" spans="1:24" x14ac:dyDescent="0.25">
      <c r="A1817" s="553">
        <f t="shared" si="135"/>
        <v>1226997.8484985614</v>
      </c>
      <c r="B1817" s="3">
        <f t="shared" si="137"/>
        <v>3.7999999999999945</v>
      </c>
      <c r="C1817" s="553">
        <f>'Foglio deposito bis'!$E$160/sezione!$B$247*B1817</f>
        <v>15.426611390132173</v>
      </c>
      <c r="D1817" s="611">
        <f>-'Progetto del paramento slu'!$G$47*'Progetto del paramento slu'!$G$41*IF(DATI!$G$218="dx",DATI!$E$61,DATI!$E$64*DATI!$E$63)*1000*C1817^2*sezione!$AD$5*(1-sezione!$AD$6)</f>
        <v>-1959054.0933858247</v>
      </c>
      <c r="E1817" s="553">
        <f>-'Foglio deposito bis'!$F$78*(C1817-sezione!$AL$34)*IF(ABS(K1817)&lt;'Progetto del paramento slu'!$G$58,ABS(K1817)*'Progetto del paramento slu'!$G$54,'Progetto del paramento slu'!$G$53)</f>
        <v>0</v>
      </c>
      <c r="F1817" s="553">
        <f>-'Foglio deposito bis'!$F$79*(C1817-sezione!$AM$34)*IF(ABS(L1817)&lt;'Progetto del paramento slu'!$G$58,ABS(L1817)*'Progetto del paramento slu'!$G$54,'Progetto del paramento slu'!$G$53)</f>
        <v>20679200.658853296</v>
      </c>
      <c r="G1817" s="553">
        <f>-'Foglio deposito bis'!$F$80*(C1817-sezione!$AN$34)*IF(ABS(M1817)&lt;'Progetto del paramento slu'!$G$58,ABS(M1817)*'Progetto del paramento slu'!$G$54,'Progetto del paramento slu'!$G$53)</f>
        <v>0</v>
      </c>
      <c r="H1817" s="553">
        <f>-'Foglio deposito bis'!$F$81*(C1817-sezione!$AO$34)*IF(ABS(N1817)&lt;'Progetto del paramento slu'!$G$58,ABS(N1817)*'Progetto del paramento slu'!$G$54,'Progetto del paramento slu'!$G$53)</f>
        <v>129277357.40317769</v>
      </c>
      <c r="I1817" s="479">
        <f>-'Foglio deposito bis'!$F$82*(C1817-sezione!$AP$34)*IF(ABS(O1817)&lt;'Progetto del paramento slu'!$G$58,ABS(O1817)*'Progetto del paramento slu'!$G$54,'Progetto del paramento slu'!$G$53)</f>
        <v>218284445.04912493</v>
      </c>
      <c r="J1817" s="479">
        <f t="shared" si="134"/>
        <v>366281949.01777005</v>
      </c>
      <c r="K1817" s="558">
        <f>'Progetto del paramento slu'!$G$60*(sezione!$AL$34-C1817)/C1817</f>
        <v>5.5752269866312168E-3</v>
      </c>
      <c r="L1817" s="558">
        <f>'Progetto del paramento slu'!$G$60*(sezione!$AM$34-C1817)/C1817</f>
        <v>3.0532101199867063E-2</v>
      </c>
      <c r="M1817" s="559">
        <f>'Progetto del paramento slu'!$G$60*(sezione!$AN$34-C1817)/C1817</f>
        <v>5.5488975413102909E-2</v>
      </c>
      <c r="N1817" s="559">
        <f>'Progetto del paramento slu'!$G$60*(sezione!$AO$34-C1817)/C1817</f>
        <v>7.3639429386365349E-2</v>
      </c>
      <c r="O1817" s="559">
        <f>'Progetto del paramento slu'!$G$60*(sezione!$AP$34-C1817)/C1817</f>
        <v>5.5490562487053051E-2</v>
      </c>
      <c r="P1817" s="553">
        <f>-'Progetto del paramento slu'!$G$47*'Progetto del paramento slu'!$G$41*IF(DATI!$G$218="dx",DATI!$E$61,DATI!$E$64*DATI!$E$63)*1000*C1817*sezione!$AD$5</f>
        <v>-217451.81722805023</v>
      </c>
      <c r="Q1817" s="553">
        <f>'Foglio deposito bis'!$F$78*IF(ABS(K1817)&lt;'Progetto del paramento slu'!$G$58,ABS(K1817)*'Progetto del paramento slu'!$G$54,'Progetto del paramento slu'!$G$53)*IF(K1817&lt;0,-1,1)</f>
        <v>0</v>
      </c>
      <c r="R1817" s="553">
        <f>'Foglio deposito bis'!$F$79*IF(ABS(L1817)&lt;'Progetto del paramento slu'!$G$58,ABS(L1817)*'Progetto del paramento slu'!$G$54,'Progetto del paramento slu'!$G$53)*IF(L1817&lt;0,-1,1)</f>
        <v>153664.85805602249</v>
      </c>
      <c r="S1817" s="553">
        <f>'Foglio deposito bis'!$F$80*IF(ABS(M1817)&lt;'Progetto del paramento slu'!$G$58,ABS(M1817)*'Progetto del paramento slu'!$G$54,'Progetto del paramento slu'!$G$53)*IF(M1817&lt;0,-1,1)</f>
        <v>0</v>
      </c>
      <c r="T1817" s="553">
        <f>'Foglio deposito bis'!$F$81*IF(ABS(N1817)&lt;'Progetto del paramento slu'!$G$58,ABS(N1817)*'Progetto del paramento slu'!$G$54,'Progetto del paramento slu'!$G$53)*IF(N1817&lt;0,-1,1)</f>
        <v>398299.31208121032</v>
      </c>
      <c r="U1817" s="553">
        <f>'Foglio deposito bis'!$F$82*IF(ABS(O1817)&lt;'Progetto del paramento slu'!$G$58,ABS(O1817)*'Progetto del paramento slu'!$G$54,'Progetto del paramento slu'!$G$53)*IF(O1817&lt;0,-1,1)</f>
        <v>892485.49558937876</v>
      </c>
      <c r="V1817" s="479">
        <f t="shared" si="136"/>
        <v>1226997.8484985614</v>
      </c>
      <c r="W1817" s="559"/>
      <c r="X1817" s="559"/>
    </row>
    <row r="1818" spans="1:24" x14ac:dyDescent="0.25">
      <c r="A1818" s="553">
        <f t="shared" si="135"/>
        <v>1224136.6403771397</v>
      </c>
      <c r="B1818" s="3">
        <f t="shared" si="137"/>
        <v>3.8499999999999943</v>
      </c>
      <c r="C1818" s="553">
        <f>'Foglio deposito bis'!$E$160/sezione!$B$247*B1818</f>
        <v>15.629593118949701</v>
      </c>
      <c r="D1818" s="611">
        <f>-'Progetto del paramento slu'!$G$47*'Progetto del paramento slu'!$G$41*IF(DATI!$G$218="dx",DATI!$E$61,DATI!$E$64*DATI!$E$63)*1000*C1818^2*sezione!$AD$5*(1-sezione!$AD$6)</f>
        <v>-2010947.319889985</v>
      </c>
      <c r="E1818" s="553">
        <f>-'Foglio deposito bis'!$F$78*(C1818-sezione!$AL$34)*IF(ABS(K1818)&lt;'Progetto del paramento slu'!$G$58,ABS(K1818)*'Progetto del paramento slu'!$G$54,'Progetto del paramento slu'!$G$53)</f>
        <v>0</v>
      </c>
      <c r="F1818" s="553">
        <f>-'Foglio deposito bis'!$F$79*(C1818-sezione!$AM$34)*IF(ABS(L1818)&lt;'Progetto del paramento slu'!$G$58,ABS(L1818)*'Progetto del paramento slu'!$G$54,'Progetto del paramento slu'!$G$53)</f>
        <v>20648009.50030658</v>
      </c>
      <c r="G1818" s="553">
        <f>-'Foglio deposito bis'!$F$80*(C1818-sezione!$AN$34)*IF(ABS(M1818)&lt;'Progetto del paramento slu'!$G$58,ABS(M1818)*'Progetto del paramento slu'!$G$54,'Progetto del paramento slu'!$G$53)</f>
        <v>0</v>
      </c>
      <c r="H1818" s="553">
        <f>-'Foglio deposito bis'!$F$81*(C1818-sezione!$AO$34)*IF(ABS(N1818)&lt;'Progetto del paramento slu'!$G$58,ABS(N1818)*'Progetto del paramento slu'!$G$54,'Progetto del paramento slu'!$G$53)</f>
        <v>129196509.92022462</v>
      </c>
      <c r="I1818" s="479">
        <f>-'Foglio deposito bis'!$F$82*(C1818-sezione!$AP$34)*IF(ABS(O1818)&lt;'Progetto del paramento slu'!$G$58,ABS(O1818)*'Progetto del paramento slu'!$G$54,'Progetto del paramento slu'!$G$53)</f>
        <v>218103286.80028564</v>
      </c>
      <c r="J1818" s="479">
        <f t="shared" si="134"/>
        <v>365936858.90092683</v>
      </c>
      <c r="K1818" s="558">
        <f>'Progetto del paramento slu'!$G$60*(sezione!$AL$34-C1818)/C1818</f>
        <v>5.4573668958957464E-3</v>
      </c>
      <c r="L1818" s="558">
        <f>'Progetto del paramento slu'!$G$60*(sezione!$AM$34-C1818)/C1818</f>
        <v>3.0090125859609046E-2</v>
      </c>
      <c r="M1818" s="559">
        <f>'Progetto del paramento slu'!$G$60*(sezione!$AN$34-C1818)/C1818</f>
        <v>5.4722884823322347E-2</v>
      </c>
      <c r="N1818" s="559">
        <f>'Progetto del paramento slu'!$G$60*(sezione!$AO$34-C1818)/C1818</f>
        <v>7.2637618615113836E-2</v>
      </c>
      <c r="O1818" s="559">
        <f>'Progetto del paramento slu'!$G$60*(sezione!$AP$34-C1818)/C1818</f>
        <v>5.4724451285922487E-2</v>
      </c>
      <c r="P1818" s="553">
        <f>-'Progetto del paramento slu'!$G$47*'Progetto del paramento slu'!$G$41*IF(DATI!$G$218="dx",DATI!$E$61,DATI!$E$64*DATI!$E$63)*1000*C1818*sezione!$AD$5</f>
        <v>-220313.02534947189</v>
      </c>
      <c r="Q1818" s="553">
        <f>'Foglio deposito bis'!$F$78*IF(ABS(K1818)&lt;'Progetto del paramento slu'!$G$58,ABS(K1818)*'Progetto del paramento slu'!$G$54,'Progetto del paramento slu'!$G$53)*IF(K1818&lt;0,-1,1)</f>
        <v>0</v>
      </c>
      <c r="R1818" s="553">
        <f>'Foglio deposito bis'!$F$79*IF(ABS(L1818)&lt;'Progetto del paramento slu'!$G$58,ABS(L1818)*'Progetto del paramento slu'!$G$54,'Progetto del paramento slu'!$G$53)*IF(L1818&lt;0,-1,1)</f>
        <v>153664.85805602249</v>
      </c>
      <c r="S1818" s="553">
        <f>'Foglio deposito bis'!$F$80*IF(ABS(M1818)&lt;'Progetto del paramento slu'!$G$58,ABS(M1818)*'Progetto del paramento slu'!$G$54,'Progetto del paramento slu'!$G$53)*IF(M1818&lt;0,-1,1)</f>
        <v>0</v>
      </c>
      <c r="T1818" s="553">
        <f>'Foglio deposito bis'!$F$81*IF(ABS(N1818)&lt;'Progetto del paramento slu'!$G$58,ABS(N1818)*'Progetto del paramento slu'!$G$54,'Progetto del paramento slu'!$G$53)*IF(N1818&lt;0,-1,1)</f>
        <v>398299.31208121032</v>
      </c>
      <c r="U1818" s="553">
        <f>'Foglio deposito bis'!$F$82*IF(ABS(O1818)&lt;'Progetto del paramento slu'!$G$58,ABS(O1818)*'Progetto del paramento slu'!$G$54,'Progetto del paramento slu'!$G$53)*IF(O1818&lt;0,-1,1)</f>
        <v>892485.49558937876</v>
      </c>
      <c r="V1818" s="479">
        <f t="shared" si="136"/>
        <v>1224136.6403771397</v>
      </c>
      <c r="W1818" s="559"/>
      <c r="X1818" s="559"/>
    </row>
    <row r="1819" spans="1:24" x14ac:dyDescent="0.25">
      <c r="A1819" s="553">
        <f t="shared" si="135"/>
        <v>1221275.4322557179</v>
      </c>
      <c r="B1819" s="3">
        <f t="shared" si="137"/>
        <v>3.8999999999999941</v>
      </c>
      <c r="C1819" s="553">
        <f>'Foglio deposito bis'!$E$160/sezione!$B$247*B1819</f>
        <v>15.83257484776723</v>
      </c>
      <c r="D1819" s="611">
        <f>-'Progetto del paramento slu'!$G$47*'Progetto del paramento slu'!$G$41*IF(DATI!$G$218="dx",DATI!$E$61,DATI!$E$64*DATI!$E$63)*1000*C1819^2*sezione!$AD$5*(1-sezione!$AD$6)</f>
        <v>-2063518.8892242652</v>
      </c>
      <c r="E1819" s="553">
        <f>-'Foglio deposito bis'!$F$78*(C1819-sezione!$AL$34)*IF(ABS(K1819)&lt;'Progetto del paramento slu'!$G$58,ABS(K1819)*'Progetto del paramento slu'!$G$54,'Progetto del paramento slu'!$G$53)</f>
        <v>0</v>
      </c>
      <c r="F1819" s="553">
        <f>-'Foglio deposito bis'!$F$79*(C1819-sezione!$AM$34)*IF(ABS(L1819)&lt;'Progetto del paramento slu'!$G$58,ABS(L1819)*'Progetto del paramento slu'!$G$54,'Progetto del paramento slu'!$G$53)</f>
        <v>20616818.341759872</v>
      </c>
      <c r="G1819" s="553">
        <f>-'Foglio deposito bis'!$F$80*(C1819-sezione!$AN$34)*IF(ABS(M1819)&lt;'Progetto del paramento slu'!$G$58,ABS(M1819)*'Progetto del paramento slu'!$G$54,'Progetto del paramento slu'!$G$53)</f>
        <v>0</v>
      </c>
      <c r="H1819" s="553">
        <f>-'Foglio deposito bis'!$F$81*(C1819-sezione!$AO$34)*IF(ABS(N1819)&lt;'Progetto del paramento slu'!$G$58,ABS(N1819)*'Progetto del paramento slu'!$G$54,'Progetto del paramento slu'!$G$53)</f>
        <v>129115662.43727157</v>
      </c>
      <c r="I1819" s="479">
        <f>-'Foglio deposito bis'!$F$82*(C1819-sezione!$AP$34)*IF(ABS(O1819)&lt;'Progetto del paramento slu'!$G$58,ABS(O1819)*'Progetto del paramento slu'!$G$54,'Progetto del paramento slu'!$G$53)</f>
        <v>217922128.55144629</v>
      </c>
      <c r="J1819" s="479">
        <f t="shared" si="134"/>
        <v>365591090.44125342</v>
      </c>
      <c r="K1819" s="558">
        <f>'Progetto del paramento slu'!$G$60*(sezione!$AL$34-C1819)/C1819</f>
        <v>5.3425288587688781E-3</v>
      </c>
      <c r="L1819" s="558">
        <f>'Progetto del paramento slu'!$G$60*(sezione!$AM$34-C1819)/C1819</f>
        <v>2.9659483220383292E-2</v>
      </c>
      <c r="M1819" s="559">
        <f>'Progetto del paramento slu'!$G$60*(sezione!$AN$34-C1819)/C1819</f>
        <v>5.3976437581997709E-2</v>
      </c>
      <c r="N1819" s="559">
        <f>'Progetto del paramento slu'!$G$60*(sezione!$AO$34-C1819)/C1819</f>
        <v>7.1661495299535471E-2</v>
      </c>
      <c r="O1819" s="559">
        <f>'Progetto del paramento slu'!$G$60*(sezione!$AP$34-C1819)/C1819</f>
        <v>5.3977983961743997E-2</v>
      </c>
      <c r="P1819" s="553">
        <f>-'Progetto del paramento slu'!$G$47*'Progetto del paramento slu'!$G$41*IF(DATI!$G$218="dx",DATI!$E$61,DATI!$E$64*DATI!$E$63)*1000*C1819*sezione!$AD$5</f>
        <v>-223174.23347089361</v>
      </c>
      <c r="Q1819" s="553">
        <f>'Foglio deposito bis'!$F$78*IF(ABS(K1819)&lt;'Progetto del paramento slu'!$G$58,ABS(K1819)*'Progetto del paramento slu'!$G$54,'Progetto del paramento slu'!$G$53)*IF(K1819&lt;0,-1,1)</f>
        <v>0</v>
      </c>
      <c r="R1819" s="553">
        <f>'Foglio deposito bis'!$F$79*IF(ABS(L1819)&lt;'Progetto del paramento slu'!$G$58,ABS(L1819)*'Progetto del paramento slu'!$G$54,'Progetto del paramento slu'!$G$53)*IF(L1819&lt;0,-1,1)</f>
        <v>153664.85805602249</v>
      </c>
      <c r="S1819" s="553">
        <f>'Foglio deposito bis'!$F$80*IF(ABS(M1819)&lt;'Progetto del paramento slu'!$G$58,ABS(M1819)*'Progetto del paramento slu'!$G$54,'Progetto del paramento slu'!$G$53)*IF(M1819&lt;0,-1,1)</f>
        <v>0</v>
      </c>
      <c r="T1819" s="553">
        <f>'Foglio deposito bis'!$F$81*IF(ABS(N1819)&lt;'Progetto del paramento slu'!$G$58,ABS(N1819)*'Progetto del paramento slu'!$G$54,'Progetto del paramento slu'!$G$53)*IF(N1819&lt;0,-1,1)</f>
        <v>398299.31208121032</v>
      </c>
      <c r="U1819" s="553">
        <f>'Foglio deposito bis'!$F$82*IF(ABS(O1819)&lt;'Progetto del paramento slu'!$G$58,ABS(O1819)*'Progetto del paramento slu'!$G$54,'Progetto del paramento slu'!$G$53)*IF(O1819&lt;0,-1,1)</f>
        <v>892485.49558937876</v>
      </c>
      <c r="V1819" s="479">
        <f t="shared" si="136"/>
        <v>1221275.4322557179</v>
      </c>
      <c r="W1819" s="559"/>
      <c r="X1819" s="559"/>
    </row>
    <row r="1820" spans="1:24" x14ac:dyDescent="0.25">
      <c r="A1820" s="553">
        <f t="shared" si="135"/>
        <v>1218414.2241342962</v>
      </c>
      <c r="B1820" s="3">
        <f t="shared" si="137"/>
        <v>3.949999999999994</v>
      </c>
      <c r="C1820" s="553">
        <f>'Foglio deposito bis'!$E$160/sezione!$B$247*B1820</f>
        <v>16.035556576584757</v>
      </c>
      <c r="D1820" s="611">
        <f>-'Progetto del paramento slu'!$G$47*'Progetto del paramento slu'!$G$41*IF(DATI!$G$218="dx",DATI!$E$61,DATI!$E$64*DATI!$E$63)*1000*C1820^2*sezione!$AD$5*(1-sezione!$AD$6)</f>
        <v>-2116768.8013886646</v>
      </c>
      <c r="E1820" s="553">
        <f>-'Foglio deposito bis'!$F$78*(C1820-sezione!$AL$34)*IF(ABS(K1820)&lt;'Progetto del paramento slu'!$G$58,ABS(K1820)*'Progetto del paramento slu'!$G$54,'Progetto del paramento slu'!$G$53)</f>
        <v>0</v>
      </c>
      <c r="F1820" s="553">
        <f>-'Foglio deposito bis'!$F$79*(C1820-sezione!$AM$34)*IF(ABS(L1820)&lt;'Progetto del paramento slu'!$G$58,ABS(L1820)*'Progetto del paramento slu'!$G$54,'Progetto del paramento slu'!$G$53)</f>
        <v>20585627.183213159</v>
      </c>
      <c r="G1820" s="553">
        <f>-'Foglio deposito bis'!$F$80*(C1820-sezione!$AN$34)*IF(ABS(M1820)&lt;'Progetto del paramento slu'!$G$58,ABS(M1820)*'Progetto del paramento slu'!$G$54,'Progetto del paramento slu'!$G$53)</f>
        <v>0</v>
      </c>
      <c r="H1820" s="553">
        <f>-'Foglio deposito bis'!$F$81*(C1820-sezione!$AO$34)*IF(ABS(N1820)&lt;'Progetto del paramento slu'!$G$58,ABS(N1820)*'Progetto del paramento slu'!$G$54,'Progetto del paramento slu'!$G$53)</f>
        <v>129034814.95431846</v>
      </c>
      <c r="I1820" s="479">
        <f>-'Foglio deposito bis'!$F$82*(C1820-sezione!$AP$34)*IF(ABS(O1820)&lt;'Progetto del paramento slu'!$G$58,ABS(O1820)*'Progetto del paramento slu'!$G$54,'Progetto del paramento slu'!$G$53)</f>
        <v>217740970.302607</v>
      </c>
      <c r="J1820" s="479">
        <f t="shared" si="134"/>
        <v>365244643.63874996</v>
      </c>
      <c r="K1820" s="558">
        <f>'Progetto del paramento slu'!$G$60*(sezione!$AL$34-C1820)/C1820</f>
        <v>5.2305981137211717E-3</v>
      </c>
      <c r="L1820" s="558">
        <f>'Progetto del paramento slu'!$G$60*(sezione!$AM$34-C1820)/C1820</f>
        <v>2.9239742926454391E-2</v>
      </c>
      <c r="M1820" s="559">
        <f>'Progetto del paramento slu'!$G$60*(sezione!$AN$34-C1820)/C1820</f>
        <v>5.3248887739187616E-2</v>
      </c>
      <c r="N1820" s="559">
        <f>'Progetto del paramento slu'!$G$60*(sezione!$AO$34-C1820)/C1820</f>
        <v>7.071008396662995E-2</v>
      </c>
      <c r="O1820" s="559">
        <f>'Progetto del paramento slu'!$G$60*(sezione!$AP$34-C1820)/C1820</f>
        <v>5.3250414544506741E-2</v>
      </c>
      <c r="P1820" s="553">
        <f>-'Progetto del paramento slu'!$G$47*'Progetto del paramento slu'!$G$41*IF(DATI!$G$218="dx",DATI!$E$61,DATI!$E$64*DATI!$E$63)*1000*C1820*sezione!$AD$5</f>
        <v>-226035.4415923153</v>
      </c>
      <c r="Q1820" s="553">
        <f>'Foglio deposito bis'!$F$78*IF(ABS(K1820)&lt;'Progetto del paramento slu'!$G$58,ABS(K1820)*'Progetto del paramento slu'!$G$54,'Progetto del paramento slu'!$G$53)*IF(K1820&lt;0,-1,1)</f>
        <v>0</v>
      </c>
      <c r="R1820" s="553">
        <f>'Foglio deposito bis'!$F$79*IF(ABS(L1820)&lt;'Progetto del paramento slu'!$G$58,ABS(L1820)*'Progetto del paramento slu'!$G$54,'Progetto del paramento slu'!$G$53)*IF(L1820&lt;0,-1,1)</f>
        <v>153664.85805602249</v>
      </c>
      <c r="S1820" s="553">
        <f>'Foglio deposito bis'!$F$80*IF(ABS(M1820)&lt;'Progetto del paramento slu'!$G$58,ABS(M1820)*'Progetto del paramento slu'!$G$54,'Progetto del paramento slu'!$G$53)*IF(M1820&lt;0,-1,1)</f>
        <v>0</v>
      </c>
      <c r="T1820" s="553">
        <f>'Foglio deposito bis'!$F$81*IF(ABS(N1820)&lt;'Progetto del paramento slu'!$G$58,ABS(N1820)*'Progetto del paramento slu'!$G$54,'Progetto del paramento slu'!$G$53)*IF(N1820&lt;0,-1,1)</f>
        <v>398299.31208121032</v>
      </c>
      <c r="U1820" s="553">
        <f>'Foglio deposito bis'!$F$82*IF(ABS(O1820)&lt;'Progetto del paramento slu'!$G$58,ABS(O1820)*'Progetto del paramento slu'!$G$54,'Progetto del paramento slu'!$G$53)*IF(O1820&lt;0,-1,1)</f>
        <v>892485.49558937876</v>
      </c>
      <c r="V1820" s="479">
        <f t="shared" si="136"/>
        <v>1218414.2241342962</v>
      </c>
      <c r="W1820" s="559"/>
      <c r="X1820" s="559"/>
    </row>
    <row r="1821" spans="1:24" x14ac:dyDescent="0.25">
      <c r="A1821" s="553">
        <f t="shared" si="135"/>
        <v>1215553.0160128744</v>
      </c>
      <c r="B1821" s="3">
        <f t="shared" si="137"/>
        <v>3.9999999999999938</v>
      </c>
      <c r="C1821" s="553">
        <f>'Foglio deposito bis'!$E$160/sezione!$B$247*B1821</f>
        <v>16.238538305402287</v>
      </c>
      <c r="D1821" s="611">
        <f>-'Progetto del paramento slu'!$G$47*'Progetto del paramento slu'!$G$41*IF(DATI!$G$218="dx",DATI!$E$61,DATI!$E$64*DATI!$E$63)*1000*C1821^2*sezione!$AD$5*(1-sezione!$AD$6)</f>
        <v>-2170697.0563831851</v>
      </c>
      <c r="E1821" s="553">
        <f>-'Foglio deposito bis'!$F$78*(C1821-sezione!$AL$34)*IF(ABS(K1821)&lt;'Progetto del paramento slu'!$G$58,ABS(K1821)*'Progetto del paramento slu'!$G$54,'Progetto del paramento slu'!$G$53)</f>
        <v>0</v>
      </c>
      <c r="F1821" s="553">
        <f>-'Foglio deposito bis'!$F$79*(C1821-sezione!$AM$34)*IF(ABS(L1821)&lt;'Progetto del paramento slu'!$G$58,ABS(L1821)*'Progetto del paramento slu'!$G$54,'Progetto del paramento slu'!$G$53)</f>
        <v>20554436.024666443</v>
      </c>
      <c r="G1821" s="553">
        <f>-'Foglio deposito bis'!$F$80*(C1821-sezione!$AN$34)*IF(ABS(M1821)&lt;'Progetto del paramento slu'!$G$58,ABS(M1821)*'Progetto del paramento slu'!$G$54,'Progetto del paramento slu'!$G$53)</f>
        <v>0</v>
      </c>
      <c r="H1821" s="553">
        <f>-'Foglio deposito bis'!$F$81*(C1821-sezione!$AO$34)*IF(ABS(N1821)&lt;'Progetto del paramento slu'!$G$58,ABS(N1821)*'Progetto del paramento slu'!$G$54,'Progetto del paramento slu'!$G$53)</f>
        <v>128953967.47136539</v>
      </c>
      <c r="I1821" s="479">
        <f>-'Foglio deposito bis'!$F$82*(C1821-sezione!$AP$34)*IF(ABS(O1821)&lt;'Progetto del paramento slu'!$G$58,ABS(O1821)*'Progetto del paramento slu'!$G$54,'Progetto del paramento slu'!$G$53)</f>
        <v>217559812.05376771</v>
      </c>
      <c r="J1821" s="479">
        <f t="shared" si="134"/>
        <v>364897518.49341637</v>
      </c>
      <c r="K1821" s="558">
        <f>'Progetto del paramento slu'!$G$60*(sezione!$AL$34-C1821)/C1821</f>
        <v>5.1214656372996553E-3</v>
      </c>
      <c r="L1821" s="558">
        <f>'Progetto del paramento slu'!$G$60*(sezione!$AM$34-C1821)/C1821</f>
        <v>2.8830496139873707E-2</v>
      </c>
      <c r="M1821" s="559">
        <f>'Progetto del paramento slu'!$G$60*(sezione!$AN$34-C1821)/C1821</f>
        <v>5.2539526642447765E-2</v>
      </c>
      <c r="N1821" s="559">
        <f>'Progetto del paramento slu'!$G$60*(sezione!$AO$34-C1821)/C1821</f>
        <v>6.9782457917047083E-2</v>
      </c>
      <c r="O1821" s="559">
        <f>'Progetto del paramento slu'!$G$60*(sezione!$AP$34-C1821)/C1821</f>
        <v>5.2541034362700398E-2</v>
      </c>
      <c r="P1821" s="553">
        <f>-'Progetto del paramento slu'!$G$47*'Progetto del paramento slu'!$G$41*IF(DATI!$G$218="dx",DATI!$E$61,DATI!$E$64*DATI!$E$63)*1000*C1821*sezione!$AD$5</f>
        <v>-228896.64971373702</v>
      </c>
      <c r="Q1821" s="553">
        <f>'Foglio deposito bis'!$F$78*IF(ABS(K1821)&lt;'Progetto del paramento slu'!$G$58,ABS(K1821)*'Progetto del paramento slu'!$G$54,'Progetto del paramento slu'!$G$53)*IF(K1821&lt;0,-1,1)</f>
        <v>0</v>
      </c>
      <c r="R1821" s="553">
        <f>'Foglio deposito bis'!$F$79*IF(ABS(L1821)&lt;'Progetto del paramento slu'!$G$58,ABS(L1821)*'Progetto del paramento slu'!$G$54,'Progetto del paramento slu'!$G$53)*IF(L1821&lt;0,-1,1)</f>
        <v>153664.85805602249</v>
      </c>
      <c r="S1821" s="553">
        <f>'Foglio deposito bis'!$F$80*IF(ABS(M1821)&lt;'Progetto del paramento slu'!$G$58,ABS(M1821)*'Progetto del paramento slu'!$G$54,'Progetto del paramento slu'!$G$53)*IF(M1821&lt;0,-1,1)</f>
        <v>0</v>
      </c>
      <c r="T1821" s="553">
        <f>'Foglio deposito bis'!$F$81*IF(ABS(N1821)&lt;'Progetto del paramento slu'!$G$58,ABS(N1821)*'Progetto del paramento slu'!$G$54,'Progetto del paramento slu'!$G$53)*IF(N1821&lt;0,-1,1)</f>
        <v>398299.31208121032</v>
      </c>
      <c r="U1821" s="553">
        <f>'Foglio deposito bis'!$F$82*IF(ABS(O1821)&lt;'Progetto del paramento slu'!$G$58,ABS(O1821)*'Progetto del paramento slu'!$G$54,'Progetto del paramento slu'!$G$53)*IF(O1821&lt;0,-1,1)</f>
        <v>892485.49558937876</v>
      </c>
      <c r="V1821" s="479">
        <f t="shared" si="136"/>
        <v>1215553.0160128744</v>
      </c>
      <c r="W1821" s="559"/>
      <c r="X1821" s="559"/>
    </row>
    <row r="1822" spans="1:24" x14ac:dyDescent="0.25">
      <c r="A1822" s="553">
        <f t="shared" si="135"/>
        <v>1212691.8078914527</v>
      </c>
      <c r="B1822" s="3">
        <f t="shared" si="137"/>
        <v>4.0499999999999936</v>
      </c>
      <c r="C1822" s="553">
        <f>'Foglio deposito bis'!$E$160/sezione!$B$247*B1822</f>
        <v>16.441520034219813</v>
      </c>
      <c r="D1822" s="611">
        <f>-'Progetto del paramento slu'!$G$47*'Progetto del paramento slu'!$G$41*IF(DATI!$G$218="dx",DATI!$E$61,DATI!$E$64*DATI!$E$63)*1000*C1822^2*sezione!$AD$5*(1-sezione!$AD$6)</f>
        <v>-2225303.6542078238</v>
      </c>
      <c r="E1822" s="553">
        <f>-'Foglio deposito bis'!$F$78*(C1822-sezione!$AL$34)*IF(ABS(K1822)&lt;'Progetto del paramento slu'!$G$58,ABS(K1822)*'Progetto del paramento slu'!$G$54,'Progetto del paramento slu'!$G$53)</f>
        <v>0</v>
      </c>
      <c r="F1822" s="553">
        <f>-'Foglio deposito bis'!$F$79*(C1822-sezione!$AM$34)*IF(ABS(L1822)&lt;'Progetto del paramento slu'!$G$58,ABS(L1822)*'Progetto del paramento slu'!$G$54,'Progetto del paramento slu'!$G$53)</f>
        <v>20523244.866119735</v>
      </c>
      <c r="G1822" s="553">
        <f>-'Foglio deposito bis'!$F$80*(C1822-sezione!$AN$34)*IF(ABS(M1822)&lt;'Progetto del paramento slu'!$G$58,ABS(M1822)*'Progetto del paramento slu'!$G$54,'Progetto del paramento slu'!$G$53)</f>
        <v>0</v>
      </c>
      <c r="H1822" s="553">
        <f>-'Foglio deposito bis'!$F$81*(C1822-sezione!$AO$34)*IF(ABS(N1822)&lt;'Progetto del paramento slu'!$G$58,ABS(N1822)*'Progetto del paramento slu'!$G$54,'Progetto del paramento slu'!$G$53)</f>
        <v>128873119.98841232</v>
      </c>
      <c r="I1822" s="479">
        <f>-'Foglio deposito bis'!$F$82*(C1822-sezione!$AP$34)*IF(ABS(O1822)&lt;'Progetto del paramento slu'!$G$58,ABS(O1822)*'Progetto del paramento slu'!$G$54,'Progetto del paramento slu'!$G$53)</f>
        <v>217378653.80492839</v>
      </c>
      <c r="J1822" s="479">
        <f t="shared" si="134"/>
        <v>364549715.0052526</v>
      </c>
      <c r="K1822" s="558">
        <f>'Progetto del paramento slu'!$G$60*(sezione!$AL$34-C1822)/C1822</f>
        <v>5.0150277899255868E-3</v>
      </c>
      <c r="L1822" s="558">
        <f>'Progetto del paramento slu'!$G$60*(sezione!$AM$34-C1822)/C1822</f>
        <v>2.8431354212220952E-2</v>
      </c>
      <c r="M1822" s="559">
        <f>'Progetto del paramento slu'!$G$60*(sezione!$AN$34-C1822)/C1822</f>
        <v>5.1847680634516315E-2</v>
      </c>
      <c r="N1822" s="559">
        <f>'Progetto del paramento slu'!$G$60*(sezione!$AO$34-C1822)/C1822</f>
        <v>6.8877736214367491E-2</v>
      </c>
      <c r="O1822" s="559">
        <f>'Progetto del paramento slu'!$G$60*(sezione!$AP$34-C1822)/C1822</f>
        <v>5.1849169740938665E-2</v>
      </c>
      <c r="P1822" s="553">
        <f>-'Progetto del paramento slu'!$G$47*'Progetto del paramento slu'!$G$41*IF(DATI!$G$218="dx",DATI!$E$61,DATI!$E$64*DATI!$E$63)*1000*C1822*sezione!$AD$5</f>
        <v>-231757.85783515873</v>
      </c>
      <c r="Q1822" s="553">
        <f>'Foglio deposito bis'!$F$78*IF(ABS(K1822)&lt;'Progetto del paramento slu'!$G$58,ABS(K1822)*'Progetto del paramento slu'!$G$54,'Progetto del paramento slu'!$G$53)*IF(K1822&lt;0,-1,1)</f>
        <v>0</v>
      </c>
      <c r="R1822" s="553">
        <f>'Foglio deposito bis'!$F$79*IF(ABS(L1822)&lt;'Progetto del paramento slu'!$G$58,ABS(L1822)*'Progetto del paramento slu'!$G$54,'Progetto del paramento slu'!$G$53)*IF(L1822&lt;0,-1,1)</f>
        <v>153664.85805602249</v>
      </c>
      <c r="S1822" s="553">
        <f>'Foglio deposito bis'!$F$80*IF(ABS(M1822)&lt;'Progetto del paramento slu'!$G$58,ABS(M1822)*'Progetto del paramento slu'!$G$54,'Progetto del paramento slu'!$G$53)*IF(M1822&lt;0,-1,1)</f>
        <v>0</v>
      </c>
      <c r="T1822" s="553">
        <f>'Foglio deposito bis'!$F$81*IF(ABS(N1822)&lt;'Progetto del paramento slu'!$G$58,ABS(N1822)*'Progetto del paramento slu'!$G$54,'Progetto del paramento slu'!$G$53)*IF(N1822&lt;0,-1,1)</f>
        <v>398299.31208121032</v>
      </c>
      <c r="U1822" s="553">
        <f>'Foglio deposito bis'!$F$82*IF(ABS(O1822)&lt;'Progetto del paramento slu'!$G$58,ABS(O1822)*'Progetto del paramento slu'!$G$54,'Progetto del paramento slu'!$G$53)*IF(O1822&lt;0,-1,1)</f>
        <v>892485.49558937876</v>
      </c>
      <c r="V1822" s="479">
        <f t="shared" si="136"/>
        <v>1212691.8078914527</v>
      </c>
      <c r="W1822" s="559"/>
      <c r="X1822" s="559"/>
    </row>
    <row r="1823" spans="1:24" x14ac:dyDescent="0.25">
      <c r="A1823" s="553">
        <f t="shared" si="135"/>
        <v>1209830.5997700312</v>
      </c>
      <c r="B1823" s="3">
        <f t="shared" si="137"/>
        <v>4.0999999999999934</v>
      </c>
      <c r="C1823" s="553">
        <f>'Foglio deposito bis'!$E$160/sezione!$B$247*B1823</f>
        <v>16.644501763037344</v>
      </c>
      <c r="D1823" s="611">
        <f>-'Progetto del paramento slu'!$G$47*'Progetto del paramento slu'!$G$41*IF(DATI!$G$218="dx",DATI!$E$61,DATI!$E$64*DATI!$E$63)*1000*C1823^2*sezione!$AD$5*(1-sezione!$AD$6)</f>
        <v>-2280588.5948625836</v>
      </c>
      <c r="E1823" s="553">
        <f>-'Foglio deposito bis'!$F$78*(C1823-sezione!$AL$34)*IF(ABS(K1823)&lt;'Progetto del paramento slu'!$G$58,ABS(K1823)*'Progetto del paramento slu'!$G$54,'Progetto del paramento slu'!$G$53)</f>
        <v>0</v>
      </c>
      <c r="F1823" s="553">
        <f>-'Foglio deposito bis'!$F$79*(C1823-sezione!$AM$34)*IF(ABS(L1823)&lt;'Progetto del paramento slu'!$G$58,ABS(L1823)*'Progetto del paramento slu'!$G$54,'Progetto del paramento slu'!$G$53)</f>
        <v>20492053.707573023</v>
      </c>
      <c r="G1823" s="553">
        <f>-'Foglio deposito bis'!$F$80*(C1823-sezione!$AN$34)*IF(ABS(M1823)&lt;'Progetto del paramento slu'!$G$58,ABS(M1823)*'Progetto del paramento slu'!$G$54,'Progetto del paramento slu'!$G$53)</f>
        <v>0</v>
      </c>
      <c r="H1823" s="553">
        <f>-'Foglio deposito bis'!$F$81*(C1823-sezione!$AO$34)*IF(ABS(N1823)&lt;'Progetto del paramento slu'!$G$58,ABS(N1823)*'Progetto del paramento slu'!$G$54,'Progetto del paramento slu'!$G$53)</f>
        <v>128792272.50545925</v>
      </c>
      <c r="I1823" s="479">
        <f>-'Foglio deposito bis'!$F$82*(C1823-sezione!$AP$34)*IF(ABS(O1823)&lt;'Progetto del paramento slu'!$G$58,ABS(O1823)*'Progetto del paramento slu'!$G$54,'Progetto del paramento slu'!$G$53)</f>
        <v>217197495.5560891</v>
      </c>
      <c r="J1823" s="479">
        <f t="shared" si="134"/>
        <v>364201233.17425883</v>
      </c>
      <c r="K1823" s="558">
        <f>'Progetto del paramento slu'!$G$60*(sezione!$AL$34-C1823)/C1823</f>
        <v>4.9111859876094207E-3</v>
      </c>
      <c r="L1823" s="558">
        <f>'Progetto del paramento slu'!$G$60*(sezione!$AM$34-C1823)/C1823</f>
        <v>2.8041947453535328E-2</v>
      </c>
      <c r="M1823" s="559">
        <f>'Progetto del paramento slu'!$G$60*(sezione!$AN$34-C1823)/C1823</f>
        <v>5.1172708919461234E-2</v>
      </c>
      <c r="N1823" s="559">
        <f>'Progetto del paramento slu'!$G$60*(sezione!$AO$34-C1823)/C1823</f>
        <v>6.7995080894680066E-2</v>
      </c>
      <c r="O1823" s="559">
        <f>'Progetto del paramento slu'!$G$60*(sezione!$AP$34-C1823)/C1823</f>
        <v>5.117417986604917E-2</v>
      </c>
      <c r="P1823" s="553">
        <f>-'Progetto del paramento slu'!$G$47*'Progetto del paramento slu'!$G$41*IF(DATI!$G$218="dx",DATI!$E$61,DATI!$E$64*DATI!$E$63)*1000*C1823*sezione!$AD$5</f>
        <v>-234619.06595658045</v>
      </c>
      <c r="Q1823" s="553">
        <f>'Foglio deposito bis'!$F$78*IF(ABS(K1823)&lt;'Progetto del paramento slu'!$G$58,ABS(K1823)*'Progetto del paramento slu'!$G$54,'Progetto del paramento slu'!$G$53)*IF(K1823&lt;0,-1,1)</f>
        <v>0</v>
      </c>
      <c r="R1823" s="553">
        <f>'Foglio deposito bis'!$F$79*IF(ABS(L1823)&lt;'Progetto del paramento slu'!$G$58,ABS(L1823)*'Progetto del paramento slu'!$G$54,'Progetto del paramento slu'!$G$53)*IF(L1823&lt;0,-1,1)</f>
        <v>153664.85805602249</v>
      </c>
      <c r="S1823" s="553">
        <f>'Foglio deposito bis'!$F$80*IF(ABS(M1823)&lt;'Progetto del paramento slu'!$G$58,ABS(M1823)*'Progetto del paramento slu'!$G$54,'Progetto del paramento slu'!$G$53)*IF(M1823&lt;0,-1,1)</f>
        <v>0</v>
      </c>
      <c r="T1823" s="553">
        <f>'Foglio deposito bis'!$F$81*IF(ABS(N1823)&lt;'Progetto del paramento slu'!$G$58,ABS(N1823)*'Progetto del paramento slu'!$G$54,'Progetto del paramento slu'!$G$53)*IF(N1823&lt;0,-1,1)</f>
        <v>398299.31208121032</v>
      </c>
      <c r="U1823" s="553">
        <f>'Foglio deposito bis'!$F$82*IF(ABS(O1823)&lt;'Progetto del paramento slu'!$G$58,ABS(O1823)*'Progetto del paramento slu'!$G$54,'Progetto del paramento slu'!$G$53)*IF(O1823&lt;0,-1,1)</f>
        <v>892485.49558937876</v>
      </c>
      <c r="V1823" s="479">
        <f t="shared" si="136"/>
        <v>1209830.5997700312</v>
      </c>
      <c r="W1823" s="559"/>
      <c r="X1823" s="559"/>
    </row>
    <row r="1824" spans="1:24" x14ac:dyDescent="0.25">
      <c r="A1824" s="553">
        <f t="shared" si="135"/>
        <v>1206969.3916486094</v>
      </c>
      <c r="B1824" s="3">
        <f t="shared" si="137"/>
        <v>4.1499999999999932</v>
      </c>
      <c r="C1824" s="553">
        <f>'Foglio deposito bis'!$E$160/sezione!$B$247*B1824</f>
        <v>16.84748349185487</v>
      </c>
      <c r="D1824" s="611">
        <f>-'Progetto del paramento slu'!$G$47*'Progetto del paramento slu'!$G$41*IF(DATI!$G$218="dx",DATI!$E$61,DATI!$E$64*DATI!$E$63)*1000*C1824^2*sezione!$AD$5*(1-sezione!$AD$6)</f>
        <v>-2336551.878347462</v>
      </c>
      <c r="E1824" s="553">
        <f>-'Foglio deposito bis'!$F$78*(C1824-sezione!$AL$34)*IF(ABS(K1824)&lt;'Progetto del paramento slu'!$G$58,ABS(K1824)*'Progetto del paramento slu'!$G$54,'Progetto del paramento slu'!$G$53)</f>
        <v>0</v>
      </c>
      <c r="F1824" s="553">
        <f>-'Foglio deposito bis'!$F$79*(C1824-sezione!$AM$34)*IF(ABS(L1824)&lt;'Progetto del paramento slu'!$G$58,ABS(L1824)*'Progetto del paramento slu'!$G$54,'Progetto del paramento slu'!$G$53)</f>
        <v>20460862.549026314</v>
      </c>
      <c r="G1824" s="553">
        <f>-'Foglio deposito bis'!$F$80*(C1824-sezione!$AN$34)*IF(ABS(M1824)&lt;'Progetto del paramento slu'!$G$58,ABS(M1824)*'Progetto del paramento slu'!$G$54,'Progetto del paramento slu'!$G$53)</f>
        <v>0</v>
      </c>
      <c r="H1824" s="553">
        <f>-'Foglio deposito bis'!$F$81*(C1824-sezione!$AO$34)*IF(ABS(N1824)&lt;'Progetto del paramento slu'!$G$58,ABS(N1824)*'Progetto del paramento slu'!$G$54,'Progetto del paramento slu'!$G$53)</f>
        <v>128711425.02250618</v>
      </c>
      <c r="I1824" s="479">
        <f>-'Foglio deposito bis'!$F$82*(C1824-sezione!$AP$34)*IF(ABS(O1824)&lt;'Progetto del paramento slu'!$G$58,ABS(O1824)*'Progetto del paramento slu'!$G$54,'Progetto del paramento slu'!$G$53)</f>
        <v>217016337.30724981</v>
      </c>
      <c r="J1824" s="479">
        <f t="shared" si="134"/>
        <v>363852073.00043488</v>
      </c>
      <c r="K1824" s="558">
        <f>'Progetto del paramento slu'!$G$60*(sezione!$AL$34-C1824)/C1824</f>
        <v>4.8098463973972596E-3</v>
      </c>
      <c r="L1824" s="558">
        <f>'Progetto del paramento slu'!$G$60*(sezione!$AM$34-C1824)/C1824</f>
        <v>2.7661923990239728E-2</v>
      </c>
      <c r="M1824" s="559">
        <f>'Progetto del paramento slu'!$G$60*(sezione!$AN$34-C1824)/C1824</f>
        <v>5.051400158308219E-2</v>
      </c>
      <c r="N1824" s="559">
        <f>'Progetto del paramento slu'!$G$60*(sezione!$AO$34-C1824)/C1824</f>
        <v>6.713369437787671E-2</v>
      </c>
      <c r="O1824" s="559">
        <f>'Progetto del paramento slu'!$G$60*(sezione!$AP$34-C1824)/C1824</f>
        <v>5.0515454807422082E-2</v>
      </c>
      <c r="P1824" s="553">
        <f>-'Progetto del paramento slu'!$G$47*'Progetto del paramento slu'!$G$41*IF(DATI!$G$218="dx",DATI!$E$61,DATI!$E$64*DATI!$E$63)*1000*C1824*sezione!$AD$5</f>
        <v>-237480.27407800217</v>
      </c>
      <c r="Q1824" s="553">
        <f>'Foglio deposito bis'!$F$78*IF(ABS(K1824)&lt;'Progetto del paramento slu'!$G$58,ABS(K1824)*'Progetto del paramento slu'!$G$54,'Progetto del paramento slu'!$G$53)*IF(K1824&lt;0,-1,1)</f>
        <v>0</v>
      </c>
      <c r="R1824" s="553">
        <f>'Foglio deposito bis'!$F$79*IF(ABS(L1824)&lt;'Progetto del paramento slu'!$G$58,ABS(L1824)*'Progetto del paramento slu'!$G$54,'Progetto del paramento slu'!$G$53)*IF(L1824&lt;0,-1,1)</f>
        <v>153664.85805602249</v>
      </c>
      <c r="S1824" s="553">
        <f>'Foglio deposito bis'!$F$80*IF(ABS(M1824)&lt;'Progetto del paramento slu'!$G$58,ABS(M1824)*'Progetto del paramento slu'!$G$54,'Progetto del paramento slu'!$G$53)*IF(M1824&lt;0,-1,1)</f>
        <v>0</v>
      </c>
      <c r="T1824" s="553">
        <f>'Foglio deposito bis'!$F$81*IF(ABS(N1824)&lt;'Progetto del paramento slu'!$G$58,ABS(N1824)*'Progetto del paramento slu'!$G$54,'Progetto del paramento slu'!$G$53)*IF(N1824&lt;0,-1,1)</f>
        <v>398299.31208121032</v>
      </c>
      <c r="U1824" s="553">
        <f>'Foglio deposito bis'!$F$82*IF(ABS(O1824)&lt;'Progetto del paramento slu'!$G$58,ABS(O1824)*'Progetto del paramento slu'!$G$54,'Progetto del paramento slu'!$G$53)*IF(O1824&lt;0,-1,1)</f>
        <v>892485.49558937876</v>
      </c>
      <c r="V1824" s="479">
        <f t="shared" si="136"/>
        <v>1206969.3916486094</v>
      </c>
      <c r="W1824" s="559"/>
      <c r="X1824" s="559"/>
    </row>
    <row r="1825" spans="1:24" x14ac:dyDescent="0.25">
      <c r="A1825" s="553">
        <f t="shared" si="135"/>
        <v>1204108.1835271877</v>
      </c>
      <c r="B1825" s="3">
        <f t="shared" si="137"/>
        <v>4.1999999999999931</v>
      </c>
      <c r="C1825" s="553">
        <f>'Foglio deposito bis'!$E$160/sezione!$B$247*B1825</f>
        <v>17.0504652206724</v>
      </c>
      <c r="D1825" s="611">
        <f>-'Progetto del paramento slu'!$G$47*'Progetto del paramento slu'!$G$41*IF(DATI!$G$218="dx",DATI!$E$61,DATI!$E$64*DATI!$E$63)*1000*C1825^2*sezione!$AD$5*(1-sezione!$AD$6)</f>
        <v>-2393193.5046624606</v>
      </c>
      <c r="E1825" s="553">
        <f>-'Foglio deposito bis'!$F$78*(C1825-sezione!$AL$34)*IF(ABS(K1825)&lt;'Progetto del paramento slu'!$G$58,ABS(K1825)*'Progetto del paramento slu'!$G$54,'Progetto del paramento slu'!$G$53)</f>
        <v>0</v>
      </c>
      <c r="F1825" s="553">
        <f>-'Foglio deposito bis'!$F$79*(C1825-sezione!$AM$34)*IF(ABS(L1825)&lt;'Progetto del paramento slu'!$G$58,ABS(L1825)*'Progetto del paramento slu'!$G$54,'Progetto del paramento slu'!$G$53)</f>
        <v>20429671.390479602</v>
      </c>
      <c r="G1825" s="553">
        <f>-'Foglio deposito bis'!$F$80*(C1825-sezione!$AN$34)*IF(ABS(M1825)&lt;'Progetto del paramento slu'!$G$58,ABS(M1825)*'Progetto del paramento slu'!$G$54,'Progetto del paramento slu'!$G$53)</f>
        <v>0</v>
      </c>
      <c r="H1825" s="553">
        <f>-'Foglio deposito bis'!$F$81*(C1825-sezione!$AO$34)*IF(ABS(N1825)&lt;'Progetto del paramento slu'!$G$58,ABS(N1825)*'Progetto del paramento slu'!$G$54,'Progetto del paramento slu'!$G$53)</f>
        <v>128630577.53955311</v>
      </c>
      <c r="I1825" s="479">
        <f>-'Foglio deposito bis'!$F$82*(C1825-sezione!$AP$34)*IF(ABS(O1825)&lt;'Progetto del paramento slu'!$G$58,ABS(O1825)*'Progetto del paramento slu'!$G$54,'Progetto del paramento slu'!$G$53)</f>
        <v>216835179.05841053</v>
      </c>
      <c r="J1825" s="479">
        <f t="shared" si="134"/>
        <v>363502234.48378074</v>
      </c>
      <c r="K1825" s="558">
        <f>'Progetto del paramento slu'!$G$60*(sezione!$AL$34-C1825)/C1825</f>
        <v>4.7109196545711014E-3</v>
      </c>
      <c r="L1825" s="558">
        <f>'Progetto del paramento slu'!$G$60*(sezione!$AM$34-C1825)/C1825</f>
        <v>2.7290948704641629E-2</v>
      </c>
      <c r="M1825" s="559">
        <f>'Progetto del paramento slu'!$G$60*(sezione!$AN$34-C1825)/C1825</f>
        <v>4.9870977754712158E-2</v>
      </c>
      <c r="N1825" s="559">
        <f>'Progetto del paramento slu'!$G$60*(sezione!$AO$34-C1825)/C1825</f>
        <v>6.6292817063854356E-2</v>
      </c>
      <c r="O1825" s="559">
        <f>'Progetto del paramento slu'!$G$60*(sezione!$AP$34-C1825)/C1825</f>
        <v>4.9872413678762287E-2</v>
      </c>
      <c r="P1825" s="553">
        <f>-'Progetto del paramento slu'!$G$47*'Progetto del paramento slu'!$G$41*IF(DATI!$G$218="dx",DATI!$E$61,DATI!$E$64*DATI!$E$63)*1000*C1825*sezione!$AD$5</f>
        <v>-240341.48219942386</v>
      </c>
      <c r="Q1825" s="553">
        <f>'Foglio deposito bis'!$F$78*IF(ABS(K1825)&lt;'Progetto del paramento slu'!$G$58,ABS(K1825)*'Progetto del paramento slu'!$G$54,'Progetto del paramento slu'!$G$53)*IF(K1825&lt;0,-1,1)</f>
        <v>0</v>
      </c>
      <c r="R1825" s="553">
        <f>'Foglio deposito bis'!$F$79*IF(ABS(L1825)&lt;'Progetto del paramento slu'!$G$58,ABS(L1825)*'Progetto del paramento slu'!$G$54,'Progetto del paramento slu'!$G$53)*IF(L1825&lt;0,-1,1)</f>
        <v>153664.85805602249</v>
      </c>
      <c r="S1825" s="553">
        <f>'Foglio deposito bis'!$F$80*IF(ABS(M1825)&lt;'Progetto del paramento slu'!$G$58,ABS(M1825)*'Progetto del paramento slu'!$G$54,'Progetto del paramento slu'!$G$53)*IF(M1825&lt;0,-1,1)</f>
        <v>0</v>
      </c>
      <c r="T1825" s="553">
        <f>'Foglio deposito bis'!$F$81*IF(ABS(N1825)&lt;'Progetto del paramento slu'!$G$58,ABS(N1825)*'Progetto del paramento slu'!$G$54,'Progetto del paramento slu'!$G$53)*IF(N1825&lt;0,-1,1)</f>
        <v>398299.31208121032</v>
      </c>
      <c r="U1825" s="553">
        <f>'Foglio deposito bis'!$F$82*IF(ABS(O1825)&lt;'Progetto del paramento slu'!$G$58,ABS(O1825)*'Progetto del paramento slu'!$G$54,'Progetto del paramento slu'!$G$53)*IF(O1825&lt;0,-1,1)</f>
        <v>892485.49558937876</v>
      </c>
      <c r="V1825" s="479">
        <f t="shared" si="136"/>
        <v>1204108.1835271877</v>
      </c>
      <c r="W1825" s="559"/>
      <c r="X1825" s="559"/>
    </row>
    <row r="1826" spans="1:24" x14ac:dyDescent="0.25">
      <c r="A1826" s="553">
        <f t="shared" si="135"/>
        <v>1201246.9754057659</v>
      </c>
      <c r="B1826" s="3">
        <f t="shared" si="137"/>
        <v>4.2499999999999929</v>
      </c>
      <c r="C1826" s="553">
        <f>'Foglio deposito bis'!$E$160/sezione!$B$247*B1826</f>
        <v>17.253446949489927</v>
      </c>
      <c r="D1826" s="611">
        <f>-'Progetto del paramento slu'!$G$47*'Progetto del paramento slu'!$G$41*IF(DATI!$G$218="dx",DATI!$E$61,DATI!$E$64*DATI!$E$63)*1000*C1826^2*sezione!$AD$5*(1-sezione!$AD$6)</f>
        <v>-2450513.4738075794</v>
      </c>
      <c r="E1826" s="553">
        <f>-'Foglio deposito bis'!$F$78*(C1826-sezione!$AL$34)*IF(ABS(K1826)&lt;'Progetto del paramento slu'!$G$58,ABS(K1826)*'Progetto del paramento slu'!$G$54,'Progetto del paramento slu'!$G$53)</f>
        <v>0</v>
      </c>
      <c r="F1826" s="553">
        <f>-'Foglio deposito bis'!$F$79*(C1826-sezione!$AM$34)*IF(ABS(L1826)&lt;'Progetto del paramento slu'!$G$58,ABS(L1826)*'Progetto del paramento slu'!$G$54,'Progetto del paramento slu'!$G$53)</f>
        <v>20398480.23193289</v>
      </c>
      <c r="G1826" s="553">
        <f>-'Foglio deposito bis'!$F$80*(C1826-sezione!$AN$34)*IF(ABS(M1826)&lt;'Progetto del paramento slu'!$G$58,ABS(M1826)*'Progetto del paramento slu'!$G$54,'Progetto del paramento slu'!$G$53)</f>
        <v>0</v>
      </c>
      <c r="H1826" s="553">
        <f>-'Foglio deposito bis'!$F$81*(C1826-sezione!$AO$34)*IF(ABS(N1826)&lt;'Progetto del paramento slu'!$G$58,ABS(N1826)*'Progetto del paramento slu'!$G$54,'Progetto del paramento slu'!$G$53)</f>
        <v>128549730.05660003</v>
      </c>
      <c r="I1826" s="479">
        <f>-'Foglio deposito bis'!$F$82*(C1826-sezione!$AP$34)*IF(ABS(O1826)&lt;'Progetto del paramento slu'!$G$58,ABS(O1826)*'Progetto del paramento slu'!$G$54,'Progetto del paramento slu'!$G$53)</f>
        <v>216654020.80957121</v>
      </c>
      <c r="J1826" s="479">
        <f t="shared" si="134"/>
        <v>363151717.62429655</v>
      </c>
      <c r="K1826" s="558">
        <f>'Progetto del paramento slu'!$G$60*(sezione!$AL$34-C1826)/C1826</f>
        <v>4.6143205998114426E-3</v>
      </c>
      <c r="L1826" s="558">
        <f>'Progetto del paramento slu'!$G$60*(sezione!$AM$34-C1826)/C1826</f>
        <v>2.6928702249292908E-2</v>
      </c>
      <c r="M1826" s="559">
        <f>'Progetto del paramento slu'!$G$60*(sezione!$AN$34-C1826)/C1826</f>
        <v>4.9243083898774374E-2</v>
      </c>
      <c r="N1826" s="559">
        <f>'Progetto del paramento slu'!$G$60*(sezione!$AO$34-C1826)/C1826</f>
        <v>6.5471725098397271E-2</v>
      </c>
      <c r="O1826" s="559">
        <f>'Progetto del paramento slu'!$G$60*(sezione!$AP$34-C1826)/C1826</f>
        <v>4.9244502929600385E-2</v>
      </c>
      <c r="P1826" s="553">
        <f>-'Progetto del paramento slu'!$G$47*'Progetto del paramento slu'!$G$41*IF(DATI!$G$218="dx",DATI!$E$61,DATI!$E$64*DATI!$E$63)*1000*C1826*sezione!$AD$5</f>
        <v>-243202.69032084558</v>
      </c>
      <c r="Q1826" s="553">
        <f>'Foglio deposito bis'!$F$78*IF(ABS(K1826)&lt;'Progetto del paramento slu'!$G$58,ABS(K1826)*'Progetto del paramento slu'!$G$54,'Progetto del paramento slu'!$G$53)*IF(K1826&lt;0,-1,1)</f>
        <v>0</v>
      </c>
      <c r="R1826" s="553">
        <f>'Foglio deposito bis'!$F$79*IF(ABS(L1826)&lt;'Progetto del paramento slu'!$G$58,ABS(L1826)*'Progetto del paramento slu'!$G$54,'Progetto del paramento slu'!$G$53)*IF(L1826&lt;0,-1,1)</f>
        <v>153664.85805602249</v>
      </c>
      <c r="S1826" s="553">
        <f>'Foglio deposito bis'!$F$80*IF(ABS(M1826)&lt;'Progetto del paramento slu'!$G$58,ABS(M1826)*'Progetto del paramento slu'!$G$54,'Progetto del paramento slu'!$G$53)*IF(M1826&lt;0,-1,1)</f>
        <v>0</v>
      </c>
      <c r="T1826" s="553">
        <f>'Foglio deposito bis'!$F$81*IF(ABS(N1826)&lt;'Progetto del paramento slu'!$G$58,ABS(N1826)*'Progetto del paramento slu'!$G$54,'Progetto del paramento slu'!$G$53)*IF(N1826&lt;0,-1,1)</f>
        <v>398299.31208121032</v>
      </c>
      <c r="U1826" s="553">
        <f>'Foglio deposito bis'!$F$82*IF(ABS(O1826)&lt;'Progetto del paramento slu'!$G$58,ABS(O1826)*'Progetto del paramento slu'!$G$54,'Progetto del paramento slu'!$G$53)*IF(O1826&lt;0,-1,1)</f>
        <v>892485.49558937876</v>
      </c>
      <c r="V1826" s="479">
        <f t="shared" si="136"/>
        <v>1201246.9754057659</v>
      </c>
      <c r="W1826" s="559"/>
      <c r="X1826" s="559"/>
    </row>
    <row r="1827" spans="1:24" x14ac:dyDescent="0.25">
      <c r="A1827" s="553">
        <f t="shared" si="135"/>
        <v>1198385.7672843444</v>
      </c>
      <c r="B1827" s="3">
        <f t="shared" si="137"/>
        <v>4.2999999999999927</v>
      </c>
      <c r="C1827" s="553">
        <f>'Foglio deposito bis'!$E$160/sezione!$B$247*B1827</f>
        <v>17.456428678307457</v>
      </c>
      <c r="D1827" s="611">
        <f>-'Progetto del paramento slu'!$G$47*'Progetto del paramento slu'!$G$41*IF(DATI!$G$218="dx",DATI!$E$61,DATI!$E$64*DATI!$E$63)*1000*C1827^2*sezione!$AD$5*(1-sezione!$AD$6)</f>
        <v>-2508511.7857828173</v>
      </c>
      <c r="E1827" s="553">
        <f>-'Foglio deposito bis'!$F$78*(C1827-sezione!$AL$34)*IF(ABS(K1827)&lt;'Progetto del paramento slu'!$G$58,ABS(K1827)*'Progetto del paramento slu'!$G$54,'Progetto del paramento slu'!$G$53)</f>
        <v>0</v>
      </c>
      <c r="F1827" s="553">
        <f>-'Foglio deposito bis'!$F$79*(C1827-sezione!$AM$34)*IF(ABS(L1827)&lt;'Progetto del paramento slu'!$G$58,ABS(L1827)*'Progetto del paramento slu'!$G$54,'Progetto del paramento slu'!$G$53)</f>
        <v>20367289.073386181</v>
      </c>
      <c r="G1827" s="553">
        <f>-'Foglio deposito bis'!$F$80*(C1827-sezione!$AN$34)*IF(ABS(M1827)&lt;'Progetto del paramento slu'!$G$58,ABS(M1827)*'Progetto del paramento slu'!$G$54,'Progetto del paramento slu'!$G$53)</f>
        <v>0</v>
      </c>
      <c r="H1827" s="553">
        <f>-'Foglio deposito bis'!$F$81*(C1827-sezione!$AO$34)*IF(ABS(N1827)&lt;'Progetto del paramento slu'!$G$58,ABS(N1827)*'Progetto del paramento slu'!$G$54,'Progetto del paramento slu'!$G$53)</f>
        <v>128468882.57364693</v>
      </c>
      <c r="I1827" s="479">
        <f>-'Foglio deposito bis'!$F$82*(C1827-sezione!$AP$34)*IF(ABS(O1827)&lt;'Progetto del paramento slu'!$G$58,ABS(O1827)*'Progetto del paramento slu'!$G$54,'Progetto del paramento slu'!$G$53)</f>
        <v>216472862.56073192</v>
      </c>
      <c r="J1827" s="479">
        <f t="shared" si="134"/>
        <v>362800522.42198217</v>
      </c>
      <c r="K1827" s="558">
        <f>'Progetto del paramento slu'!$G$60*(sezione!$AL$34-C1827)/C1827</f>
        <v>4.5199680346973544E-3</v>
      </c>
      <c r="L1827" s="558">
        <f>'Progetto del paramento slu'!$G$60*(sezione!$AM$34-C1827)/C1827</f>
        <v>2.6574880130115084E-2</v>
      </c>
      <c r="M1827" s="559">
        <f>'Progetto del paramento slu'!$G$60*(sezione!$AN$34-C1827)/C1827</f>
        <v>4.8629792225532806E-2</v>
      </c>
      <c r="N1827" s="559">
        <f>'Progetto del paramento slu'!$G$60*(sezione!$AO$34-C1827)/C1827</f>
        <v>6.4669728294927509E-2</v>
      </c>
      <c r="O1827" s="559">
        <f>'Progetto del paramento slu'!$G$60*(sezione!$AP$34-C1827)/C1827</f>
        <v>4.8631194756000383E-2</v>
      </c>
      <c r="P1827" s="553">
        <f>-'Progetto del paramento slu'!$G$47*'Progetto del paramento slu'!$G$41*IF(DATI!$G$218="dx",DATI!$E$61,DATI!$E$64*DATI!$E$63)*1000*C1827*sezione!$AD$5</f>
        <v>-246063.89844226729</v>
      </c>
      <c r="Q1827" s="553">
        <f>'Foglio deposito bis'!$F$78*IF(ABS(K1827)&lt;'Progetto del paramento slu'!$G$58,ABS(K1827)*'Progetto del paramento slu'!$G$54,'Progetto del paramento slu'!$G$53)*IF(K1827&lt;0,-1,1)</f>
        <v>0</v>
      </c>
      <c r="R1827" s="553">
        <f>'Foglio deposito bis'!$F$79*IF(ABS(L1827)&lt;'Progetto del paramento slu'!$G$58,ABS(L1827)*'Progetto del paramento slu'!$G$54,'Progetto del paramento slu'!$G$53)*IF(L1827&lt;0,-1,1)</f>
        <v>153664.85805602249</v>
      </c>
      <c r="S1827" s="553">
        <f>'Foglio deposito bis'!$F$80*IF(ABS(M1827)&lt;'Progetto del paramento slu'!$G$58,ABS(M1827)*'Progetto del paramento slu'!$G$54,'Progetto del paramento slu'!$G$53)*IF(M1827&lt;0,-1,1)</f>
        <v>0</v>
      </c>
      <c r="T1827" s="553">
        <f>'Foglio deposito bis'!$F$81*IF(ABS(N1827)&lt;'Progetto del paramento slu'!$G$58,ABS(N1827)*'Progetto del paramento slu'!$G$54,'Progetto del paramento slu'!$G$53)*IF(N1827&lt;0,-1,1)</f>
        <v>398299.31208121032</v>
      </c>
      <c r="U1827" s="553">
        <f>'Foglio deposito bis'!$F$82*IF(ABS(O1827)&lt;'Progetto del paramento slu'!$G$58,ABS(O1827)*'Progetto del paramento slu'!$G$54,'Progetto del paramento slu'!$G$53)*IF(O1827&lt;0,-1,1)</f>
        <v>892485.49558937876</v>
      </c>
      <c r="V1827" s="479">
        <f t="shared" si="136"/>
        <v>1198385.7672843444</v>
      </c>
      <c r="W1827" s="559"/>
      <c r="X1827" s="559"/>
    </row>
    <row r="1828" spans="1:24" x14ac:dyDescent="0.25">
      <c r="A1828" s="553">
        <f t="shared" si="135"/>
        <v>1195524.5591629227</v>
      </c>
      <c r="B1828" s="3">
        <f t="shared" si="137"/>
        <v>4.3499999999999925</v>
      </c>
      <c r="C1828" s="553">
        <f>'Foglio deposito bis'!$E$160/sezione!$B$247*B1828</f>
        <v>17.659410407124984</v>
      </c>
      <c r="D1828" s="611">
        <f>-'Progetto del paramento slu'!$G$47*'Progetto del paramento slu'!$G$41*IF(DATI!$G$218="dx",DATI!$E$61,DATI!$E$64*DATI!$E$63)*1000*C1828^2*sezione!$AD$5*(1-sezione!$AD$6)</f>
        <v>-2567188.4405881753</v>
      </c>
      <c r="E1828" s="553">
        <f>-'Foglio deposito bis'!$F$78*(C1828-sezione!$AL$34)*IF(ABS(K1828)&lt;'Progetto del paramento slu'!$G$58,ABS(K1828)*'Progetto del paramento slu'!$G$54,'Progetto del paramento slu'!$G$53)</f>
        <v>0</v>
      </c>
      <c r="F1828" s="553">
        <f>-'Foglio deposito bis'!$F$79*(C1828-sezione!$AM$34)*IF(ABS(L1828)&lt;'Progetto del paramento slu'!$G$58,ABS(L1828)*'Progetto del paramento slu'!$G$54,'Progetto del paramento slu'!$G$53)</f>
        <v>20336097.914839465</v>
      </c>
      <c r="G1828" s="553">
        <f>-'Foglio deposito bis'!$F$80*(C1828-sezione!$AN$34)*IF(ABS(M1828)&lt;'Progetto del paramento slu'!$G$58,ABS(M1828)*'Progetto del paramento slu'!$G$54,'Progetto del paramento slu'!$G$53)</f>
        <v>0</v>
      </c>
      <c r="H1828" s="553">
        <f>-'Foglio deposito bis'!$F$81*(C1828-sezione!$AO$34)*IF(ABS(N1828)&lt;'Progetto del paramento slu'!$G$58,ABS(N1828)*'Progetto del paramento slu'!$G$54,'Progetto del paramento slu'!$G$53)</f>
        <v>128388035.09069386</v>
      </c>
      <c r="I1828" s="479">
        <f>-'Foglio deposito bis'!$F$82*(C1828-sezione!$AP$34)*IF(ABS(O1828)&lt;'Progetto del paramento slu'!$G$58,ABS(O1828)*'Progetto del paramento slu'!$G$54,'Progetto del paramento slu'!$G$53)</f>
        <v>216291704.31189263</v>
      </c>
      <c r="J1828" s="479">
        <f t="shared" si="134"/>
        <v>362448648.87683779</v>
      </c>
      <c r="K1828" s="558">
        <f>'Progetto del paramento slu'!$G$60*(sezione!$AL$34-C1828)/C1828</f>
        <v>4.4277844940686503E-3</v>
      </c>
      <c r="L1828" s="558">
        <f>'Progetto del paramento slu'!$G$60*(sezione!$AM$34-C1828)/C1828</f>
        <v>2.622919185275744E-2</v>
      </c>
      <c r="M1828" s="559">
        <f>'Progetto del paramento slu'!$G$60*(sezione!$AN$34-C1828)/C1828</f>
        <v>4.8030599211446222E-2</v>
      </c>
      <c r="N1828" s="559">
        <f>'Progetto del paramento slu'!$G$60*(sezione!$AO$34-C1828)/C1828</f>
        <v>6.3886168199583537E-2</v>
      </c>
      <c r="O1828" s="559">
        <f>'Progetto del paramento slu'!$G$60*(sezione!$AP$34-C1828)/C1828</f>
        <v>4.8031985620873935E-2</v>
      </c>
      <c r="P1828" s="553">
        <f>-'Progetto del paramento slu'!$G$47*'Progetto del paramento slu'!$G$41*IF(DATI!$G$218="dx",DATI!$E$61,DATI!$E$64*DATI!$E$63)*1000*C1828*sezione!$AD$5</f>
        <v>-248925.10656368901</v>
      </c>
      <c r="Q1828" s="553">
        <f>'Foglio deposito bis'!$F$78*IF(ABS(K1828)&lt;'Progetto del paramento slu'!$G$58,ABS(K1828)*'Progetto del paramento slu'!$G$54,'Progetto del paramento slu'!$G$53)*IF(K1828&lt;0,-1,1)</f>
        <v>0</v>
      </c>
      <c r="R1828" s="553">
        <f>'Foglio deposito bis'!$F$79*IF(ABS(L1828)&lt;'Progetto del paramento slu'!$G$58,ABS(L1828)*'Progetto del paramento slu'!$G$54,'Progetto del paramento slu'!$G$53)*IF(L1828&lt;0,-1,1)</f>
        <v>153664.85805602249</v>
      </c>
      <c r="S1828" s="553">
        <f>'Foglio deposito bis'!$F$80*IF(ABS(M1828)&lt;'Progetto del paramento slu'!$G$58,ABS(M1828)*'Progetto del paramento slu'!$G$54,'Progetto del paramento slu'!$G$53)*IF(M1828&lt;0,-1,1)</f>
        <v>0</v>
      </c>
      <c r="T1828" s="553">
        <f>'Foglio deposito bis'!$F$81*IF(ABS(N1828)&lt;'Progetto del paramento slu'!$G$58,ABS(N1828)*'Progetto del paramento slu'!$G$54,'Progetto del paramento slu'!$G$53)*IF(N1828&lt;0,-1,1)</f>
        <v>398299.31208121032</v>
      </c>
      <c r="U1828" s="553">
        <f>'Foglio deposito bis'!$F$82*IF(ABS(O1828)&lt;'Progetto del paramento slu'!$G$58,ABS(O1828)*'Progetto del paramento slu'!$G$54,'Progetto del paramento slu'!$G$53)*IF(O1828&lt;0,-1,1)</f>
        <v>892485.49558937876</v>
      </c>
      <c r="V1828" s="479">
        <f t="shared" si="136"/>
        <v>1195524.5591629227</v>
      </c>
      <c r="W1828" s="559"/>
      <c r="X1828" s="559"/>
    </row>
    <row r="1829" spans="1:24" x14ac:dyDescent="0.25">
      <c r="A1829" s="553">
        <f t="shared" si="135"/>
        <v>1192663.3510415009</v>
      </c>
      <c r="B1829" s="3">
        <f t="shared" si="137"/>
        <v>4.3999999999999924</v>
      </c>
      <c r="C1829" s="553">
        <f>'Foglio deposito bis'!$E$160/sezione!$B$247*B1829</f>
        <v>17.86239213594251</v>
      </c>
      <c r="D1829" s="611">
        <f>-'Progetto del paramento slu'!$G$47*'Progetto del paramento slu'!$G$41*IF(DATI!$G$218="dx",DATI!$E$61,DATI!$E$64*DATI!$E$63)*1000*C1829^2*sezione!$AD$5*(1-sezione!$AD$6)</f>
        <v>-2626543.4382236521</v>
      </c>
      <c r="E1829" s="553">
        <f>-'Foglio deposito bis'!$F$78*(C1829-sezione!$AL$34)*IF(ABS(K1829)&lt;'Progetto del paramento slu'!$G$58,ABS(K1829)*'Progetto del paramento slu'!$G$54,'Progetto del paramento slu'!$G$53)</f>
        <v>0</v>
      </c>
      <c r="F1829" s="553">
        <f>-'Foglio deposito bis'!$F$79*(C1829-sezione!$AM$34)*IF(ABS(L1829)&lt;'Progetto del paramento slu'!$G$58,ABS(L1829)*'Progetto del paramento slu'!$G$54,'Progetto del paramento slu'!$G$53)</f>
        <v>20304906.756292757</v>
      </c>
      <c r="G1829" s="553">
        <f>-'Foglio deposito bis'!$F$80*(C1829-sezione!$AN$34)*IF(ABS(M1829)&lt;'Progetto del paramento slu'!$G$58,ABS(M1829)*'Progetto del paramento slu'!$G$54,'Progetto del paramento slu'!$G$53)</f>
        <v>0</v>
      </c>
      <c r="H1829" s="553">
        <f>-'Foglio deposito bis'!$F$81*(C1829-sezione!$AO$34)*IF(ABS(N1829)&lt;'Progetto del paramento slu'!$G$58,ABS(N1829)*'Progetto del paramento slu'!$G$54,'Progetto del paramento slu'!$G$53)</f>
        <v>128307187.60774079</v>
      </c>
      <c r="I1829" s="479">
        <f>-'Foglio deposito bis'!$F$82*(C1829-sezione!$AP$34)*IF(ABS(O1829)&lt;'Progetto del paramento slu'!$G$58,ABS(O1829)*'Progetto del paramento slu'!$G$54,'Progetto del paramento slu'!$G$53)</f>
        <v>216110546.06305334</v>
      </c>
      <c r="J1829" s="479">
        <f t="shared" si="134"/>
        <v>362096096.98886323</v>
      </c>
      <c r="K1829" s="558">
        <f>'Progetto del paramento slu'!$G$60*(sezione!$AL$34-C1829)/C1829</f>
        <v>4.3376960339087806E-3</v>
      </c>
      <c r="L1829" s="558">
        <f>'Progetto del paramento slu'!$G$60*(sezione!$AM$34-C1829)/C1829</f>
        <v>2.5891360127157925E-2</v>
      </c>
      <c r="M1829" s="559">
        <f>'Progetto del paramento slu'!$G$60*(sezione!$AN$34-C1829)/C1829</f>
        <v>4.744502422040707E-2</v>
      </c>
      <c r="N1829" s="559">
        <f>'Progetto del paramento slu'!$G$60*(sezione!$AO$34-C1829)/C1829</f>
        <v>6.3120416288224637E-2</v>
      </c>
      <c r="O1829" s="559">
        <f>'Progetto del paramento slu'!$G$60*(sezione!$AP$34-C1829)/C1829</f>
        <v>4.7446394875182193E-2</v>
      </c>
      <c r="P1829" s="553">
        <f>-'Progetto del paramento slu'!$G$47*'Progetto del paramento slu'!$G$41*IF(DATI!$G$218="dx",DATI!$E$61,DATI!$E$64*DATI!$E$63)*1000*C1829*sezione!$AD$5</f>
        <v>-251786.31468511067</v>
      </c>
      <c r="Q1829" s="553">
        <f>'Foglio deposito bis'!$F$78*IF(ABS(K1829)&lt;'Progetto del paramento slu'!$G$58,ABS(K1829)*'Progetto del paramento slu'!$G$54,'Progetto del paramento slu'!$G$53)*IF(K1829&lt;0,-1,1)</f>
        <v>0</v>
      </c>
      <c r="R1829" s="553">
        <f>'Foglio deposito bis'!$F$79*IF(ABS(L1829)&lt;'Progetto del paramento slu'!$G$58,ABS(L1829)*'Progetto del paramento slu'!$G$54,'Progetto del paramento slu'!$G$53)*IF(L1829&lt;0,-1,1)</f>
        <v>153664.85805602249</v>
      </c>
      <c r="S1829" s="553">
        <f>'Foglio deposito bis'!$F$80*IF(ABS(M1829)&lt;'Progetto del paramento slu'!$G$58,ABS(M1829)*'Progetto del paramento slu'!$G$54,'Progetto del paramento slu'!$G$53)*IF(M1829&lt;0,-1,1)</f>
        <v>0</v>
      </c>
      <c r="T1829" s="553">
        <f>'Foglio deposito bis'!$F$81*IF(ABS(N1829)&lt;'Progetto del paramento slu'!$G$58,ABS(N1829)*'Progetto del paramento slu'!$G$54,'Progetto del paramento slu'!$G$53)*IF(N1829&lt;0,-1,1)</f>
        <v>398299.31208121032</v>
      </c>
      <c r="U1829" s="553">
        <f>'Foglio deposito bis'!$F$82*IF(ABS(O1829)&lt;'Progetto del paramento slu'!$G$58,ABS(O1829)*'Progetto del paramento slu'!$G$54,'Progetto del paramento slu'!$G$53)*IF(O1829&lt;0,-1,1)</f>
        <v>892485.49558937876</v>
      </c>
      <c r="V1829" s="479">
        <f t="shared" si="136"/>
        <v>1192663.3510415009</v>
      </c>
      <c r="W1829" s="559"/>
      <c r="X1829" s="559"/>
    </row>
    <row r="1830" spans="1:24" x14ac:dyDescent="0.25">
      <c r="A1830" s="553">
        <f t="shared" si="135"/>
        <v>1189802.1429200792</v>
      </c>
      <c r="B1830" s="3">
        <f t="shared" si="137"/>
        <v>4.4499999999999922</v>
      </c>
      <c r="C1830" s="553">
        <f>'Foglio deposito bis'!$E$160/sezione!$B$247*B1830</f>
        <v>18.065373864760041</v>
      </c>
      <c r="D1830" s="611">
        <f>-'Progetto del paramento slu'!$G$47*'Progetto del paramento slu'!$G$41*IF(DATI!$G$218="dx",DATI!$E$61,DATI!$E$64*DATI!$E$63)*1000*C1830^2*sezione!$AD$5*(1-sezione!$AD$6)</f>
        <v>-2686576.7786892503</v>
      </c>
      <c r="E1830" s="553">
        <f>-'Foglio deposito bis'!$F$78*(C1830-sezione!$AL$34)*IF(ABS(K1830)&lt;'Progetto del paramento slu'!$G$58,ABS(K1830)*'Progetto del paramento slu'!$G$54,'Progetto del paramento slu'!$G$53)</f>
        <v>0</v>
      </c>
      <c r="F1830" s="553">
        <f>-'Foglio deposito bis'!$F$79*(C1830-sezione!$AM$34)*IF(ABS(L1830)&lt;'Progetto del paramento slu'!$G$58,ABS(L1830)*'Progetto del paramento slu'!$G$54,'Progetto del paramento slu'!$G$53)</f>
        <v>20273715.597746044</v>
      </c>
      <c r="G1830" s="553">
        <f>-'Foglio deposito bis'!$F$80*(C1830-sezione!$AN$34)*IF(ABS(M1830)&lt;'Progetto del paramento slu'!$G$58,ABS(M1830)*'Progetto del paramento slu'!$G$54,'Progetto del paramento slu'!$G$53)</f>
        <v>0</v>
      </c>
      <c r="H1830" s="553">
        <f>-'Foglio deposito bis'!$F$81*(C1830-sezione!$AO$34)*IF(ABS(N1830)&lt;'Progetto del paramento slu'!$G$58,ABS(N1830)*'Progetto del paramento slu'!$G$54,'Progetto del paramento slu'!$G$53)</f>
        <v>128226340.1247877</v>
      </c>
      <c r="I1830" s="479">
        <f>-'Foglio deposito bis'!$F$82*(C1830-sezione!$AP$34)*IF(ABS(O1830)&lt;'Progetto del paramento slu'!$G$58,ABS(O1830)*'Progetto del paramento slu'!$G$54,'Progetto del paramento slu'!$G$53)</f>
        <v>215929387.81421399</v>
      </c>
      <c r="J1830" s="479">
        <f t="shared" si="134"/>
        <v>361742866.75805849</v>
      </c>
      <c r="K1830" s="558">
        <f>'Progetto del paramento slu'!$G$60*(sezione!$AL$34-C1830)/C1830</f>
        <v>4.2496320335277818E-3</v>
      </c>
      <c r="L1830" s="558">
        <f>'Progetto del paramento slu'!$G$60*(sezione!$AM$34-C1830)/C1830</f>
        <v>2.5561120125729184E-2</v>
      </c>
      <c r="M1830" s="559">
        <f>'Progetto del paramento slu'!$G$60*(sezione!$AN$34-C1830)/C1830</f>
        <v>4.6872608217930586E-2</v>
      </c>
      <c r="N1830" s="559">
        <f>'Progetto del paramento slu'!$G$60*(sezione!$AO$34-C1830)/C1830</f>
        <v>6.2371872284986148E-2</v>
      </c>
      <c r="O1830" s="559">
        <f>'Progetto del paramento slu'!$G$60*(sezione!$AP$34-C1830)/C1830</f>
        <v>4.687396347209026E-2</v>
      </c>
      <c r="P1830" s="553">
        <f>-'Progetto del paramento slu'!$G$47*'Progetto del paramento slu'!$G$41*IF(DATI!$G$218="dx",DATI!$E$61,DATI!$E$64*DATI!$E$63)*1000*C1830*sezione!$AD$5</f>
        <v>-254647.52280653242</v>
      </c>
      <c r="Q1830" s="553">
        <f>'Foglio deposito bis'!$F$78*IF(ABS(K1830)&lt;'Progetto del paramento slu'!$G$58,ABS(K1830)*'Progetto del paramento slu'!$G$54,'Progetto del paramento slu'!$G$53)*IF(K1830&lt;0,-1,1)</f>
        <v>0</v>
      </c>
      <c r="R1830" s="553">
        <f>'Foglio deposito bis'!$F$79*IF(ABS(L1830)&lt;'Progetto del paramento slu'!$G$58,ABS(L1830)*'Progetto del paramento slu'!$G$54,'Progetto del paramento slu'!$G$53)*IF(L1830&lt;0,-1,1)</f>
        <v>153664.85805602249</v>
      </c>
      <c r="S1830" s="553">
        <f>'Foglio deposito bis'!$F$80*IF(ABS(M1830)&lt;'Progetto del paramento slu'!$G$58,ABS(M1830)*'Progetto del paramento slu'!$G$54,'Progetto del paramento slu'!$G$53)*IF(M1830&lt;0,-1,1)</f>
        <v>0</v>
      </c>
      <c r="T1830" s="553">
        <f>'Foglio deposito bis'!$F$81*IF(ABS(N1830)&lt;'Progetto del paramento slu'!$G$58,ABS(N1830)*'Progetto del paramento slu'!$G$54,'Progetto del paramento slu'!$G$53)*IF(N1830&lt;0,-1,1)</f>
        <v>398299.31208121032</v>
      </c>
      <c r="U1830" s="553">
        <f>'Foglio deposito bis'!$F$82*IF(ABS(O1830)&lt;'Progetto del paramento slu'!$G$58,ABS(O1830)*'Progetto del paramento slu'!$G$54,'Progetto del paramento slu'!$G$53)*IF(O1830&lt;0,-1,1)</f>
        <v>892485.49558937876</v>
      </c>
      <c r="V1830" s="479">
        <f t="shared" si="136"/>
        <v>1189802.1429200792</v>
      </c>
      <c r="W1830" s="559"/>
      <c r="X1830" s="559"/>
    </row>
    <row r="1831" spans="1:24" x14ac:dyDescent="0.25">
      <c r="A1831" s="553">
        <f t="shared" si="135"/>
        <v>1186940.9347986574</v>
      </c>
      <c r="B1831" s="3">
        <f t="shared" si="137"/>
        <v>4.499999999999992</v>
      </c>
      <c r="C1831" s="553">
        <f>'Foglio deposito bis'!$E$160/sezione!$B$247*B1831</f>
        <v>18.268355593577567</v>
      </c>
      <c r="D1831" s="611">
        <f>-'Progetto del paramento slu'!$G$47*'Progetto del paramento slu'!$G$41*IF(DATI!$G$218="dx",DATI!$E$61,DATI!$E$64*DATI!$E$63)*1000*C1831^2*sezione!$AD$5*(1-sezione!$AD$6)</f>
        <v>-2747288.4619849664</v>
      </c>
      <c r="E1831" s="553">
        <f>-'Foglio deposito bis'!$F$78*(C1831-sezione!$AL$34)*IF(ABS(K1831)&lt;'Progetto del paramento slu'!$G$58,ABS(K1831)*'Progetto del paramento slu'!$G$54,'Progetto del paramento slu'!$G$53)</f>
        <v>0</v>
      </c>
      <c r="F1831" s="553">
        <f>-'Foglio deposito bis'!$F$79*(C1831-sezione!$AM$34)*IF(ABS(L1831)&lt;'Progetto del paramento slu'!$G$58,ABS(L1831)*'Progetto del paramento slu'!$G$54,'Progetto del paramento slu'!$G$53)</f>
        <v>20242524.439199336</v>
      </c>
      <c r="G1831" s="553">
        <f>-'Foglio deposito bis'!$F$80*(C1831-sezione!$AN$34)*IF(ABS(M1831)&lt;'Progetto del paramento slu'!$G$58,ABS(M1831)*'Progetto del paramento slu'!$G$54,'Progetto del paramento slu'!$G$53)</f>
        <v>0</v>
      </c>
      <c r="H1831" s="553">
        <f>-'Foglio deposito bis'!$F$81*(C1831-sezione!$AO$34)*IF(ABS(N1831)&lt;'Progetto del paramento slu'!$G$58,ABS(N1831)*'Progetto del paramento slu'!$G$54,'Progetto del paramento slu'!$G$53)</f>
        <v>128145492.64183463</v>
      </c>
      <c r="I1831" s="479">
        <f>-'Foglio deposito bis'!$F$82*(C1831-sezione!$AP$34)*IF(ABS(O1831)&lt;'Progetto del paramento slu'!$G$58,ABS(O1831)*'Progetto del paramento slu'!$G$54,'Progetto del paramento slu'!$G$53)</f>
        <v>215748229.5653747</v>
      </c>
      <c r="J1831" s="479">
        <f t="shared" si="134"/>
        <v>361388958.18442369</v>
      </c>
      <c r="K1831" s="558">
        <f>'Progetto del paramento slu'!$G$60*(sezione!$AL$34-C1831)/C1831</f>
        <v>4.16352501093303E-3</v>
      </c>
      <c r="L1831" s="558">
        <f>'Progetto del paramento slu'!$G$60*(sezione!$AM$34-C1831)/C1831</f>
        <v>2.5238218790998867E-2</v>
      </c>
      <c r="M1831" s="559">
        <f>'Progetto del paramento slu'!$G$60*(sezione!$AN$34-C1831)/C1831</f>
        <v>4.63129125710647E-2</v>
      </c>
      <c r="N1831" s="559">
        <f>'Progetto del paramento slu'!$G$60*(sezione!$AO$34-C1831)/C1831</f>
        <v>6.163996259293076E-2</v>
      </c>
      <c r="O1831" s="559">
        <f>'Progetto del paramento slu'!$G$60*(sezione!$AP$34-C1831)/C1831</f>
        <v>4.6314252766844817E-2</v>
      </c>
      <c r="P1831" s="553">
        <f>-'Progetto del paramento slu'!$G$47*'Progetto del paramento slu'!$G$41*IF(DATI!$G$218="dx",DATI!$E$61,DATI!$E$64*DATI!$E$63)*1000*C1831*sezione!$AD$5</f>
        <v>-257508.73092795411</v>
      </c>
      <c r="Q1831" s="553">
        <f>'Foglio deposito bis'!$F$78*IF(ABS(K1831)&lt;'Progetto del paramento slu'!$G$58,ABS(K1831)*'Progetto del paramento slu'!$G$54,'Progetto del paramento slu'!$G$53)*IF(K1831&lt;0,-1,1)</f>
        <v>0</v>
      </c>
      <c r="R1831" s="553">
        <f>'Foglio deposito bis'!$F$79*IF(ABS(L1831)&lt;'Progetto del paramento slu'!$G$58,ABS(L1831)*'Progetto del paramento slu'!$G$54,'Progetto del paramento slu'!$G$53)*IF(L1831&lt;0,-1,1)</f>
        <v>153664.85805602249</v>
      </c>
      <c r="S1831" s="553">
        <f>'Foglio deposito bis'!$F$80*IF(ABS(M1831)&lt;'Progetto del paramento slu'!$G$58,ABS(M1831)*'Progetto del paramento slu'!$G$54,'Progetto del paramento slu'!$G$53)*IF(M1831&lt;0,-1,1)</f>
        <v>0</v>
      </c>
      <c r="T1831" s="553">
        <f>'Foglio deposito bis'!$F$81*IF(ABS(N1831)&lt;'Progetto del paramento slu'!$G$58,ABS(N1831)*'Progetto del paramento slu'!$G$54,'Progetto del paramento slu'!$G$53)*IF(N1831&lt;0,-1,1)</f>
        <v>398299.31208121032</v>
      </c>
      <c r="U1831" s="553">
        <f>'Foglio deposito bis'!$F$82*IF(ABS(O1831)&lt;'Progetto del paramento slu'!$G$58,ABS(O1831)*'Progetto del paramento slu'!$G$54,'Progetto del paramento slu'!$G$53)*IF(O1831&lt;0,-1,1)</f>
        <v>892485.49558937876</v>
      </c>
      <c r="V1831" s="479">
        <f t="shared" si="136"/>
        <v>1186940.9347986574</v>
      </c>
      <c r="W1831" s="559"/>
      <c r="X1831" s="559"/>
    </row>
    <row r="1832" spans="1:24" x14ac:dyDescent="0.25">
      <c r="A1832" s="553">
        <f t="shared" si="135"/>
        <v>1184079.7266772357</v>
      </c>
      <c r="B1832" s="3">
        <f t="shared" si="137"/>
        <v>4.5499999999999918</v>
      </c>
      <c r="C1832" s="553">
        <f>'Foglio deposito bis'!$E$160/sezione!$B$247*B1832</f>
        <v>18.471337322395097</v>
      </c>
      <c r="D1832" s="611">
        <f>-'Progetto del paramento slu'!$G$47*'Progetto del paramento slu'!$G$41*IF(DATI!$G$218="dx",DATI!$E$61,DATI!$E$64*DATI!$E$63)*1000*C1832^2*sezione!$AD$5*(1-sezione!$AD$6)</f>
        <v>-2808678.4881108045</v>
      </c>
      <c r="E1832" s="553">
        <f>-'Foglio deposito bis'!$F$78*(C1832-sezione!$AL$34)*IF(ABS(K1832)&lt;'Progetto del paramento slu'!$G$58,ABS(K1832)*'Progetto del paramento slu'!$G$54,'Progetto del paramento slu'!$G$53)</f>
        <v>0</v>
      </c>
      <c r="F1832" s="553">
        <f>-'Foglio deposito bis'!$F$79*(C1832-sezione!$AM$34)*IF(ABS(L1832)&lt;'Progetto del paramento slu'!$G$58,ABS(L1832)*'Progetto del paramento slu'!$G$54,'Progetto del paramento slu'!$G$53)</f>
        <v>20211333.28065262</v>
      </c>
      <c r="G1832" s="553">
        <f>-'Foglio deposito bis'!$F$80*(C1832-sezione!$AN$34)*IF(ABS(M1832)&lt;'Progetto del paramento slu'!$G$58,ABS(M1832)*'Progetto del paramento slu'!$G$54,'Progetto del paramento slu'!$G$53)</f>
        <v>0</v>
      </c>
      <c r="H1832" s="553">
        <f>-'Foglio deposito bis'!$F$81*(C1832-sezione!$AO$34)*IF(ABS(N1832)&lt;'Progetto del paramento slu'!$G$58,ABS(N1832)*'Progetto del paramento slu'!$G$54,'Progetto del paramento slu'!$G$53)</f>
        <v>128064645.15888156</v>
      </c>
      <c r="I1832" s="479">
        <f>-'Foglio deposito bis'!$F$82*(C1832-sezione!$AP$34)*IF(ABS(O1832)&lt;'Progetto del paramento slu'!$G$58,ABS(O1832)*'Progetto del paramento slu'!$G$54,'Progetto del paramento slu'!$G$53)</f>
        <v>215567071.31653541</v>
      </c>
      <c r="J1832" s="479">
        <f t="shared" si="134"/>
        <v>361034371.26795876</v>
      </c>
      <c r="K1832" s="558">
        <f>'Progetto del paramento slu'!$G$60*(sezione!$AL$34-C1832)/C1832</f>
        <v>4.0793104503733255E-3</v>
      </c>
      <c r="L1832" s="558">
        <f>'Progetto del paramento slu'!$G$60*(sezione!$AM$34-C1832)/C1832</f>
        <v>2.4922414188899969E-2</v>
      </c>
      <c r="M1832" s="559">
        <f>'Progetto del paramento slu'!$G$60*(sezione!$AN$34-C1832)/C1832</f>
        <v>4.576551792742662E-2</v>
      </c>
      <c r="N1832" s="559">
        <f>'Progetto del paramento slu'!$G$60*(sezione!$AO$34-C1832)/C1832</f>
        <v>6.0924138828173269E-2</v>
      </c>
      <c r="O1832" s="559">
        <f>'Progetto del paramento slu'!$G$60*(sezione!$AP$34-C1832)/C1832</f>
        <v>4.5766843395780583E-2</v>
      </c>
      <c r="P1832" s="553">
        <f>-'Progetto del paramento slu'!$G$47*'Progetto del paramento slu'!$G$41*IF(DATI!$G$218="dx",DATI!$E$61,DATI!$E$64*DATI!$E$63)*1000*C1832*sezione!$AD$5</f>
        <v>-260369.9390493758</v>
      </c>
      <c r="Q1832" s="553">
        <f>'Foglio deposito bis'!$F$78*IF(ABS(K1832)&lt;'Progetto del paramento slu'!$G$58,ABS(K1832)*'Progetto del paramento slu'!$G$54,'Progetto del paramento slu'!$G$53)*IF(K1832&lt;0,-1,1)</f>
        <v>0</v>
      </c>
      <c r="R1832" s="553">
        <f>'Foglio deposito bis'!$F$79*IF(ABS(L1832)&lt;'Progetto del paramento slu'!$G$58,ABS(L1832)*'Progetto del paramento slu'!$G$54,'Progetto del paramento slu'!$G$53)*IF(L1832&lt;0,-1,1)</f>
        <v>153664.85805602249</v>
      </c>
      <c r="S1832" s="553">
        <f>'Foglio deposito bis'!$F$80*IF(ABS(M1832)&lt;'Progetto del paramento slu'!$G$58,ABS(M1832)*'Progetto del paramento slu'!$G$54,'Progetto del paramento slu'!$G$53)*IF(M1832&lt;0,-1,1)</f>
        <v>0</v>
      </c>
      <c r="T1832" s="553">
        <f>'Foglio deposito bis'!$F$81*IF(ABS(N1832)&lt;'Progetto del paramento slu'!$G$58,ABS(N1832)*'Progetto del paramento slu'!$G$54,'Progetto del paramento slu'!$G$53)*IF(N1832&lt;0,-1,1)</f>
        <v>398299.31208121032</v>
      </c>
      <c r="U1832" s="553">
        <f>'Foglio deposito bis'!$F$82*IF(ABS(O1832)&lt;'Progetto del paramento slu'!$G$58,ABS(O1832)*'Progetto del paramento slu'!$G$54,'Progetto del paramento slu'!$G$53)*IF(O1832&lt;0,-1,1)</f>
        <v>892485.49558937876</v>
      </c>
      <c r="V1832" s="479">
        <f t="shared" si="136"/>
        <v>1184079.7266772357</v>
      </c>
      <c r="W1832" s="559"/>
      <c r="X1832" s="559"/>
    </row>
    <row r="1833" spans="1:24" x14ac:dyDescent="0.25">
      <c r="A1833" s="553">
        <f t="shared" si="135"/>
        <v>1181218.5185558139</v>
      </c>
      <c r="B1833" s="3">
        <f t="shared" si="137"/>
        <v>4.5999999999999917</v>
      </c>
      <c r="C1833" s="553">
        <f>'Foglio deposito bis'!$E$160/sezione!$B$247*B1833</f>
        <v>18.674319051212624</v>
      </c>
      <c r="D1833" s="611">
        <f>-'Progetto del paramento slu'!$G$47*'Progetto del paramento slu'!$G$41*IF(DATI!$G$218="dx",DATI!$E$61,DATI!$E$64*DATI!$E$63)*1000*C1833^2*sezione!$AD$5*(1-sezione!$AD$6)</f>
        <v>-2870746.8570667603</v>
      </c>
      <c r="E1833" s="553">
        <f>-'Foglio deposito bis'!$F$78*(C1833-sezione!$AL$34)*IF(ABS(K1833)&lt;'Progetto del paramento slu'!$G$58,ABS(K1833)*'Progetto del paramento slu'!$G$54,'Progetto del paramento slu'!$G$53)</f>
        <v>0</v>
      </c>
      <c r="F1833" s="553">
        <f>-'Foglio deposito bis'!$F$79*(C1833-sezione!$AM$34)*IF(ABS(L1833)&lt;'Progetto del paramento slu'!$G$58,ABS(L1833)*'Progetto del paramento slu'!$G$54,'Progetto del paramento slu'!$G$53)</f>
        <v>20180142.122105911</v>
      </c>
      <c r="G1833" s="553">
        <f>-'Foglio deposito bis'!$F$80*(C1833-sezione!$AN$34)*IF(ABS(M1833)&lt;'Progetto del paramento slu'!$G$58,ABS(M1833)*'Progetto del paramento slu'!$G$54,'Progetto del paramento slu'!$G$53)</f>
        <v>0</v>
      </c>
      <c r="H1833" s="553">
        <f>-'Foglio deposito bis'!$F$81*(C1833-sezione!$AO$34)*IF(ABS(N1833)&lt;'Progetto del paramento slu'!$G$58,ABS(N1833)*'Progetto del paramento slu'!$G$54,'Progetto del paramento slu'!$G$53)</f>
        <v>127983797.67592846</v>
      </c>
      <c r="I1833" s="479">
        <f>-'Foglio deposito bis'!$F$82*(C1833-sezione!$AP$34)*IF(ABS(O1833)&lt;'Progetto del paramento slu'!$G$58,ABS(O1833)*'Progetto del paramento slu'!$G$54,'Progetto del paramento slu'!$G$53)</f>
        <v>215385913.06769612</v>
      </c>
      <c r="J1833" s="479">
        <f t="shared" si="134"/>
        <v>360679106.00866377</v>
      </c>
      <c r="K1833" s="558">
        <f>'Progetto del paramento slu'!$G$60*(sezione!$AL$34-C1833)/C1833</f>
        <v>3.9969266411301382E-3</v>
      </c>
      <c r="L1833" s="558">
        <f>'Progetto del paramento slu'!$G$60*(sezione!$AM$34-C1833)/C1833</f>
        <v>2.4613474904238018E-2</v>
      </c>
      <c r="M1833" s="559">
        <f>'Progetto del paramento slu'!$G$60*(sezione!$AN$34-C1833)/C1833</f>
        <v>4.5230023167345895E-2</v>
      </c>
      <c r="N1833" s="559">
        <f>'Progetto del paramento slu'!$G$60*(sezione!$AO$34-C1833)/C1833</f>
        <v>6.0223876449606174E-2</v>
      </c>
      <c r="O1833" s="559">
        <f>'Progetto del paramento slu'!$G$60*(sezione!$AP$34-C1833)/C1833</f>
        <v>4.5231334228435151E-2</v>
      </c>
      <c r="P1833" s="553">
        <f>-'Progetto del paramento slu'!$G$47*'Progetto del paramento slu'!$G$41*IF(DATI!$G$218="dx",DATI!$E$61,DATI!$E$64*DATI!$E$63)*1000*C1833*sezione!$AD$5</f>
        <v>-263231.14717079751</v>
      </c>
      <c r="Q1833" s="553">
        <f>'Foglio deposito bis'!$F$78*IF(ABS(K1833)&lt;'Progetto del paramento slu'!$G$58,ABS(K1833)*'Progetto del paramento slu'!$G$54,'Progetto del paramento slu'!$G$53)*IF(K1833&lt;0,-1,1)</f>
        <v>0</v>
      </c>
      <c r="R1833" s="553">
        <f>'Foglio deposito bis'!$F$79*IF(ABS(L1833)&lt;'Progetto del paramento slu'!$G$58,ABS(L1833)*'Progetto del paramento slu'!$G$54,'Progetto del paramento slu'!$G$53)*IF(L1833&lt;0,-1,1)</f>
        <v>153664.85805602249</v>
      </c>
      <c r="S1833" s="553">
        <f>'Foglio deposito bis'!$F$80*IF(ABS(M1833)&lt;'Progetto del paramento slu'!$G$58,ABS(M1833)*'Progetto del paramento slu'!$G$54,'Progetto del paramento slu'!$G$53)*IF(M1833&lt;0,-1,1)</f>
        <v>0</v>
      </c>
      <c r="T1833" s="553">
        <f>'Foglio deposito bis'!$F$81*IF(ABS(N1833)&lt;'Progetto del paramento slu'!$G$58,ABS(N1833)*'Progetto del paramento slu'!$G$54,'Progetto del paramento slu'!$G$53)*IF(N1833&lt;0,-1,1)</f>
        <v>398299.31208121032</v>
      </c>
      <c r="U1833" s="553">
        <f>'Foglio deposito bis'!$F$82*IF(ABS(O1833)&lt;'Progetto del paramento slu'!$G$58,ABS(O1833)*'Progetto del paramento slu'!$G$54,'Progetto del paramento slu'!$G$53)*IF(O1833&lt;0,-1,1)</f>
        <v>892485.49558937876</v>
      </c>
      <c r="V1833" s="479">
        <f t="shared" si="136"/>
        <v>1181218.5185558139</v>
      </c>
      <c r="W1833" s="559"/>
      <c r="X1833" s="559"/>
    </row>
    <row r="1834" spans="1:24" x14ac:dyDescent="0.25">
      <c r="A1834" s="553">
        <f t="shared" si="135"/>
        <v>1178357.3104343922</v>
      </c>
      <c r="B1834" s="3">
        <f t="shared" si="137"/>
        <v>4.6499999999999915</v>
      </c>
      <c r="C1834" s="553">
        <f>'Foglio deposito bis'!$E$160/sezione!$B$247*B1834</f>
        <v>18.877300780030154</v>
      </c>
      <c r="D1834" s="611">
        <f>-'Progetto del paramento slu'!$G$47*'Progetto del paramento slu'!$G$41*IF(DATI!$G$218="dx",DATI!$E$61,DATI!$E$64*DATI!$E$63)*1000*C1834^2*sezione!$AD$5*(1-sezione!$AD$6)</f>
        <v>-2933493.5688528372</v>
      </c>
      <c r="E1834" s="553">
        <f>-'Foglio deposito bis'!$F$78*(C1834-sezione!$AL$34)*IF(ABS(K1834)&lt;'Progetto del paramento slu'!$G$58,ABS(K1834)*'Progetto del paramento slu'!$G$54,'Progetto del paramento slu'!$G$53)</f>
        <v>0</v>
      </c>
      <c r="F1834" s="553">
        <f>-'Foglio deposito bis'!$F$79*(C1834-sezione!$AM$34)*IF(ABS(L1834)&lt;'Progetto del paramento slu'!$G$58,ABS(L1834)*'Progetto del paramento slu'!$G$54,'Progetto del paramento slu'!$G$53)</f>
        <v>20148950.963559195</v>
      </c>
      <c r="G1834" s="553">
        <f>-'Foglio deposito bis'!$F$80*(C1834-sezione!$AN$34)*IF(ABS(M1834)&lt;'Progetto del paramento slu'!$G$58,ABS(M1834)*'Progetto del paramento slu'!$G$54,'Progetto del paramento slu'!$G$53)</f>
        <v>0</v>
      </c>
      <c r="H1834" s="553">
        <f>-'Foglio deposito bis'!$F$81*(C1834-sezione!$AO$34)*IF(ABS(N1834)&lt;'Progetto del paramento slu'!$G$58,ABS(N1834)*'Progetto del paramento slu'!$G$54,'Progetto del paramento slu'!$G$53)</f>
        <v>127902950.19297539</v>
      </c>
      <c r="I1834" s="479">
        <f>-'Foglio deposito bis'!$F$82*(C1834-sezione!$AP$34)*IF(ABS(O1834)&lt;'Progetto del paramento slu'!$G$58,ABS(O1834)*'Progetto del paramento slu'!$G$54,'Progetto del paramento slu'!$G$53)</f>
        <v>215204754.81885681</v>
      </c>
      <c r="J1834" s="479">
        <f t="shared" si="134"/>
        <v>360323162.40653855</v>
      </c>
      <c r="K1834" s="558">
        <f>'Progetto del paramento slu'!$G$60*(sezione!$AL$34-C1834)/C1834</f>
        <v>3.9163145267093833E-3</v>
      </c>
      <c r="L1834" s="558">
        <f>'Progetto del paramento slu'!$G$60*(sezione!$AM$34-C1834)/C1834</f>
        <v>2.4311179475160184E-2</v>
      </c>
      <c r="M1834" s="559">
        <f>'Progetto del paramento slu'!$G$60*(sezione!$AN$34-C1834)/C1834</f>
        <v>4.4706044423610987E-2</v>
      </c>
      <c r="N1834" s="559">
        <f>'Progetto del paramento slu'!$G$60*(sezione!$AO$34-C1834)/C1834</f>
        <v>5.9538673477029756E-2</v>
      </c>
      <c r="O1834" s="559">
        <f>'Progetto del paramento slu'!$G$60*(sezione!$AP$34-C1834)/C1834</f>
        <v>4.4707341387269166E-2</v>
      </c>
      <c r="P1834" s="553">
        <f>-'Progetto del paramento slu'!$G$47*'Progetto del paramento slu'!$G$41*IF(DATI!$G$218="dx",DATI!$E$61,DATI!$E$64*DATI!$E$63)*1000*C1834*sezione!$AD$5</f>
        <v>-266092.35529221926</v>
      </c>
      <c r="Q1834" s="553">
        <f>'Foglio deposito bis'!$F$78*IF(ABS(K1834)&lt;'Progetto del paramento slu'!$G$58,ABS(K1834)*'Progetto del paramento slu'!$G$54,'Progetto del paramento slu'!$G$53)*IF(K1834&lt;0,-1,1)</f>
        <v>0</v>
      </c>
      <c r="R1834" s="553">
        <f>'Foglio deposito bis'!$F$79*IF(ABS(L1834)&lt;'Progetto del paramento slu'!$G$58,ABS(L1834)*'Progetto del paramento slu'!$G$54,'Progetto del paramento slu'!$G$53)*IF(L1834&lt;0,-1,1)</f>
        <v>153664.85805602249</v>
      </c>
      <c r="S1834" s="553">
        <f>'Foglio deposito bis'!$F$80*IF(ABS(M1834)&lt;'Progetto del paramento slu'!$G$58,ABS(M1834)*'Progetto del paramento slu'!$G$54,'Progetto del paramento slu'!$G$53)*IF(M1834&lt;0,-1,1)</f>
        <v>0</v>
      </c>
      <c r="T1834" s="553">
        <f>'Foglio deposito bis'!$F$81*IF(ABS(N1834)&lt;'Progetto del paramento slu'!$G$58,ABS(N1834)*'Progetto del paramento slu'!$G$54,'Progetto del paramento slu'!$G$53)*IF(N1834&lt;0,-1,1)</f>
        <v>398299.31208121032</v>
      </c>
      <c r="U1834" s="553">
        <f>'Foglio deposito bis'!$F$82*IF(ABS(O1834)&lt;'Progetto del paramento slu'!$G$58,ABS(O1834)*'Progetto del paramento slu'!$G$54,'Progetto del paramento slu'!$G$53)*IF(O1834&lt;0,-1,1)</f>
        <v>892485.49558937876</v>
      </c>
      <c r="V1834" s="479">
        <f t="shared" si="136"/>
        <v>1178357.3104343922</v>
      </c>
      <c r="W1834" s="559"/>
      <c r="X1834" s="559"/>
    </row>
    <row r="1835" spans="1:24" x14ac:dyDescent="0.25">
      <c r="A1835" s="553">
        <f t="shared" si="135"/>
        <v>1175496.1023129707</v>
      </c>
      <c r="B1835" s="3">
        <f t="shared" si="137"/>
        <v>4.6999999999999913</v>
      </c>
      <c r="C1835" s="553">
        <f>'Foglio deposito bis'!$E$160/sezione!$B$247*B1835</f>
        <v>19.080282508847681</v>
      </c>
      <c r="D1835" s="611">
        <f>-'Progetto del paramento slu'!$G$47*'Progetto del paramento slu'!$G$41*IF(DATI!$G$218="dx",DATI!$E$61,DATI!$E$64*DATI!$E$63)*1000*C1835^2*sezione!$AD$5*(1-sezione!$AD$6)</f>
        <v>-2996918.6234690333</v>
      </c>
      <c r="E1835" s="553">
        <f>-'Foglio deposito bis'!$F$78*(C1835-sezione!$AL$34)*IF(ABS(K1835)&lt;'Progetto del paramento slu'!$G$58,ABS(K1835)*'Progetto del paramento slu'!$G$54,'Progetto del paramento slu'!$G$53)</f>
        <v>0</v>
      </c>
      <c r="F1835" s="553">
        <f>-'Foglio deposito bis'!$F$79*(C1835-sezione!$AM$34)*IF(ABS(L1835)&lt;'Progetto del paramento slu'!$G$58,ABS(L1835)*'Progetto del paramento slu'!$G$54,'Progetto del paramento slu'!$G$53)</f>
        <v>20117759.805012483</v>
      </c>
      <c r="G1835" s="553">
        <f>-'Foglio deposito bis'!$F$80*(C1835-sezione!$AN$34)*IF(ABS(M1835)&lt;'Progetto del paramento slu'!$G$58,ABS(M1835)*'Progetto del paramento slu'!$G$54,'Progetto del paramento slu'!$G$53)</f>
        <v>0</v>
      </c>
      <c r="H1835" s="553">
        <f>-'Foglio deposito bis'!$F$81*(C1835-sezione!$AO$34)*IF(ABS(N1835)&lt;'Progetto del paramento slu'!$G$58,ABS(N1835)*'Progetto del paramento slu'!$G$54,'Progetto del paramento slu'!$G$53)</f>
        <v>127822102.71002232</v>
      </c>
      <c r="I1835" s="479">
        <f>-'Foglio deposito bis'!$F$82*(C1835-sezione!$AP$34)*IF(ABS(O1835)&lt;'Progetto del paramento slu'!$G$58,ABS(O1835)*'Progetto del paramento slu'!$G$54,'Progetto del paramento slu'!$G$53)</f>
        <v>215023596.57001752</v>
      </c>
      <c r="J1835" s="479">
        <f t="shared" si="134"/>
        <v>359966540.46158326</v>
      </c>
      <c r="K1835" s="558">
        <f>'Progetto del paramento slu'!$G$60*(sezione!$AL$34-C1835)/C1835</f>
        <v>3.8374175636592843E-3</v>
      </c>
      <c r="L1835" s="558">
        <f>'Progetto del paramento slu'!$G$60*(sezione!$AM$34-C1835)/C1835</f>
        <v>2.4015315863722311E-2</v>
      </c>
      <c r="M1835" s="559">
        <f>'Progetto del paramento slu'!$G$60*(sezione!$AN$34-C1835)/C1835</f>
        <v>4.4193214163785341E-2</v>
      </c>
      <c r="N1835" s="559">
        <f>'Progetto del paramento slu'!$G$60*(sezione!$AO$34-C1835)/C1835</f>
        <v>5.8868049291103917E-2</v>
      </c>
      <c r="O1835" s="559">
        <f>'Progetto del paramento slu'!$G$60*(sezione!$AP$34-C1835)/C1835</f>
        <v>4.4194497329957796E-2</v>
      </c>
      <c r="P1835" s="553">
        <f>-'Progetto del paramento slu'!$G$47*'Progetto del paramento slu'!$G$41*IF(DATI!$G$218="dx",DATI!$E$61,DATI!$E$64*DATI!$E$63)*1000*C1835*sezione!$AD$5</f>
        <v>-268953.56341364095</v>
      </c>
      <c r="Q1835" s="553">
        <f>'Foglio deposito bis'!$F$78*IF(ABS(K1835)&lt;'Progetto del paramento slu'!$G$58,ABS(K1835)*'Progetto del paramento slu'!$G$54,'Progetto del paramento slu'!$G$53)*IF(K1835&lt;0,-1,1)</f>
        <v>0</v>
      </c>
      <c r="R1835" s="553">
        <f>'Foglio deposito bis'!$F$79*IF(ABS(L1835)&lt;'Progetto del paramento slu'!$G$58,ABS(L1835)*'Progetto del paramento slu'!$G$54,'Progetto del paramento slu'!$G$53)*IF(L1835&lt;0,-1,1)</f>
        <v>153664.85805602249</v>
      </c>
      <c r="S1835" s="553">
        <f>'Foglio deposito bis'!$F$80*IF(ABS(M1835)&lt;'Progetto del paramento slu'!$G$58,ABS(M1835)*'Progetto del paramento slu'!$G$54,'Progetto del paramento slu'!$G$53)*IF(M1835&lt;0,-1,1)</f>
        <v>0</v>
      </c>
      <c r="T1835" s="553">
        <f>'Foglio deposito bis'!$F$81*IF(ABS(N1835)&lt;'Progetto del paramento slu'!$G$58,ABS(N1835)*'Progetto del paramento slu'!$G$54,'Progetto del paramento slu'!$G$53)*IF(N1835&lt;0,-1,1)</f>
        <v>398299.31208121032</v>
      </c>
      <c r="U1835" s="553">
        <f>'Foglio deposito bis'!$F$82*IF(ABS(O1835)&lt;'Progetto del paramento slu'!$G$58,ABS(O1835)*'Progetto del paramento slu'!$G$54,'Progetto del paramento slu'!$G$53)*IF(O1835&lt;0,-1,1)</f>
        <v>892485.49558937876</v>
      </c>
      <c r="V1835" s="479">
        <f t="shared" si="136"/>
        <v>1175496.1023129707</v>
      </c>
      <c r="W1835" s="559"/>
      <c r="X1835" s="559"/>
    </row>
    <row r="1836" spans="1:24" x14ac:dyDescent="0.25">
      <c r="A1836" s="553">
        <f t="shared" si="135"/>
        <v>1172634.8941915489</v>
      </c>
      <c r="B1836" s="3">
        <f t="shared" si="137"/>
        <v>4.7499999999999911</v>
      </c>
      <c r="C1836" s="553">
        <f>'Foglio deposito bis'!$E$160/sezione!$B$247*B1836</f>
        <v>19.283264237665207</v>
      </c>
      <c r="D1836" s="611">
        <f>-'Progetto del paramento slu'!$G$47*'Progetto del paramento slu'!$G$41*IF(DATI!$G$218="dx",DATI!$E$61,DATI!$E$64*DATI!$E$63)*1000*C1836^2*sezione!$AD$5*(1-sezione!$AD$6)</f>
        <v>-3061022.0209153481</v>
      </c>
      <c r="E1836" s="553">
        <f>-'Foglio deposito bis'!$F$78*(C1836-sezione!$AL$34)*IF(ABS(K1836)&lt;'Progetto del paramento slu'!$G$58,ABS(K1836)*'Progetto del paramento slu'!$G$54,'Progetto del paramento slu'!$G$53)</f>
        <v>0</v>
      </c>
      <c r="F1836" s="553">
        <f>-'Foglio deposito bis'!$F$79*(C1836-sezione!$AM$34)*IF(ABS(L1836)&lt;'Progetto del paramento slu'!$G$58,ABS(L1836)*'Progetto del paramento slu'!$G$54,'Progetto del paramento slu'!$G$53)</f>
        <v>20086568.646465775</v>
      </c>
      <c r="G1836" s="553">
        <f>-'Foglio deposito bis'!$F$80*(C1836-sezione!$AN$34)*IF(ABS(M1836)&lt;'Progetto del paramento slu'!$G$58,ABS(M1836)*'Progetto del paramento slu'!$G$54,'Progetto del paramento slu'!$G$53)</f>
        <v>0</v>
      </c>
      <c r="H1836" s="553">
        <f>-'Foglio deposito bis'!$F$81*(C1836-sezione!$AO$34)*IF(ABS(N1836)&lt;'Progetto del paramento slu'!$G$58,ABS(N1836)*'Progetto del paramento slu'!$G$54,'Progetto del paramento slu'!$G$53)</f>
        <v>127741255.22706924</v>
      </c>
      <c r="I1836" s="479">
        <f>-'Foglio deposito bis'!$F$82*(C1836-sezione!$AP$34)*IF(ABS(O1836)&lt;'Progetto del paramento slu'!$G$58,ABS(O1836)*'Progetto del paramento slu'!$G$54,'Progetto del paramento slu'!$G$53)</f>
        <v>214842438.32117823</v>
      </c>
      <c r="J1836" s="479">
        <f t="shared" si="134"/>
        <v>359609240.17379791</v>
      </c>
      <c r="K1836" s="558">
        <f>'Progetto del paramento slu'!$G$60*(sezione!$AL$34-C1836)/C1836</f>
        <v>3.7601815893049764E-3</v>
      </c>
      <c r="L1836" s="558">
        <f>'Progetto del paramento slu'!$G$60*(sezione!$AM$34-C1836)/C1836</f>
        <v>2.3725680959893664E-2</v>
      </c>
      <c r="M1836" s="559">
        <f>'Progetto del paramento slu'!$G$60*(sezione!$AN$34-C1836)/C1836</f>
        <v>4.3691180330482346E-2</v>
      </c>
      <c r="N1836" s="559">
        <f>'Progetto del paramento slu'!$G$60*(sezione!$AO$34-C1836)/C1836</f>
        <v>5.8211543509092301E-2</v>
      </c>
      <c r="O1836" s="559">
        <f>'Progetto del paramento slu'!$G$60*(sezione!$AP$34-C1836)/C1836</f>
        <v>4.369244998964246E-2</v>
      </c>
      <c r="P1836" s="553">
        <f>-'Progetto del paramento slu'!$G$47*'Progetto del paramento slu'!$G$41*IF(DATI!$G$218="dx",DATI!$E$61,DATI!$E$64*DATI!$E$63)*1000*C1836*sezione!$AD$5</f>
        <v>-271814.77153506258</v>
      </c>
      <c r="Q1836" s="553">
        <f>'Foglio deposito bis'!$F$78*IF(ABS(K1836)&lt;'Progetto del paramento slu'!$G$58,ABS(K1836)*'Progetto del paramento slu'!$G$54,'Progetto del paramento slu'!$G$53)*IF(K1836&lt;0,-1,1)</f>
        <v>0</v>
      </c>
      <c r="R1836" s="553">
        <f>'Foglio deposito bis'!$F$79*IF(ABS(L1836)&lt;'Progetto del paramento slu'!$G$58,ABS(L1836)*'Progetto del paramento slu'!$G$54,'Progetto del paramento slu'!$G$53)*IF(L1836&lt;0,-1,1)</f>
        <v>153664.85805602249</v>
      </c>
      <c r="S1836" s="553">
        <f>'Foglio deposito bis'!$F$80*IF(ABS(M1836)&lt;'Progetto del paramento slu'!$G$58,ABS(M1836)*'Progetto del paramento slu'!$G$54,'Progetto del paramento slu'!$G$53)*IF(M1836&lt;0,-1,1)</f>
        <v>0</v>
      </c>
      <c r="T1836" s="553">
        <f>'Foglio deposito bis'!$F$81*IF(ABS(N1836)&lt;'Progetto del paramento slu'!$G$58,ABS(N1836)*'Progetto del paramento slu'!$G$54,'Progetto del paramento slu'!$G$53)*IF(N1836&lt;0,-1,1)</f>
        <v>398299.31208121032</v>
      </c>
      <c r="U1836" s="553">
        <f>'Foglio deposito bis'!$F$82*IF(ABS(O1836)&lt;'Progetto del paramento slu'!$G$58,ABS(O1836)*'Progetto del paramento slu'!$G$54,'Progetto del paramento slu'!$G$53)*IF(O1836&lt;0,-1,1)</f>
        <v>892485.49558937876</v>
      </c>
      <c r="V1836" s="479">
        <f t="shared" si="136"/>
        <v>1172634.8941915489</v>
      </c>
      <c r="W1836" s="559"/>
      <c r="X1836" s="559"/>
    </row>
    <row r="1837" spans="1:24" x14ac:dyDescent="0.25">
      <c r="A1837" s="553">
        <f t="shared" si="135"/>
        <v>1169773.6860701272</v>
      </c>
      <c r="B1837" s="3">
        <f t="shared" si="137"/>
        <v>4.7999999999999909</v>
      </c>
      <c r="C1837" s="553">
        <f>'Foglio deposito bis'!$E$160/sezione!$B$247*B1837</f>
        <v>19.486245966482738</v>
      </c>
      <c r="D1837" s="611">
        <f>-'Progetto del paramento slu'!$G$47*'Progetto del paramento slu'!$G$41*IF(DATI!$G$218="dx",DATI!$E$61,DATI!$E$64*DATI!$E$63)*1000*C1837^2*sezione!$AD$5*(1-sezione!$AD$6)</f>
        <v>-3125803.7611917839</v>
      </c>
      <c r="E1837" s="553">
        <f>-'Foglio deposito bis'!$F$78*(C1837-sezione!$AL$34)*IF(ABS(K1837)&lt;'Progetto del paramento slu'!$G$58,ABS(K1837)*'Progetto del paramento slu'!$G$54,'Progetto del paramento slu'!$G$53)</f>
        <v>0</v>
      </c>
      <c r="F1837" s="553">
        <f>-'Foglio deposito bis'!$F$79*(C1837-sezione!$AM$34)*IF(ABS(L1837)&lt;'Progetto del paramento slu'!$G$58,ABS(L1837)*'Progetto del paramento slu'!$G$54,'Progetto del paramento slu'!$G$53)</f>
        <v>20055377.487919062</v>
      </c>
      <c r="G1837" s="553">
        <f>-'Foglio deposito bis'!$F$80*(C1837-sezione!$AN$34)*IF(ABS(M1837)&lt;'Progetto del paramento slu'!$G$58,ABS(M1837)*'Progetto del paramento slu'!$G$54,'Progetto del paramento slu'!$G$53)</f>
        <v>0</v>
      </c>
      <c r="H1837" s="553">
        <f>-'Foglio deposito bis'!$F$81*(C1837-sezione!$AO$34)*IF(ABS(N1837)&lt;'Progetto del paramento slu'!$G$58,ABS(N1837)*'Progetto del paramento slu'!$G$54,'Progetto del paramento slu'!$G$53)</f>
        <v>127660407.74411617</v>
      </c>
      <c r="I1837" s="479">
        <f>-'Foglio deposito bis'!$F$82*(C1837-sezione!$AP$34)*IF(ABS(O1837)&lt;'Progetto del paramento slu'!$G$58,ABS(O1837)*'Progetto del paramento slu'!$G$54,'Progetto del paramento slu'!$G$53)</f>
        <v>214661280.07233891</v>
      </c>
      <c r="J1837" s="479">
        <f t="shared" si="134"/>
        <v>359251261.54318237</v>
      </c>
      <c r="K1837" s="558">
        <f>'Progetto del paramento slu'!$G$60*(sezione!$AL$34-C1837)/C1837</f>
        <v>3.6845546977497157E-3</v>
      </c>
      <c r="L1837" s="558">
        <f>'Progetto del paramento slu'!$G$60*(sezione!$AM$34-C1837)/C1837</f>
        <v>2.3442080116561438E-2</v>
      </c>
      <c r="M1837" s="559">
        <f>'Progetto del paramento slu'!$G$60*(sezione!$AN$34-C1837)/C1837</f>
        <v>4.3199605535373158E-2</v>
      </c>
      <c r="N1837" s="559">
        <f>'Progetto del paramento slu'!$G$60*(sezione!$AO$34-C1837)/C1837</f>
        <v>5.756871493087258E-2</v>
      </c>
      <c r="O1837" s="559">
        <f>'Progetto del paramento slu'!$G$60*(sezione!$AP$34-C1837)/C1837</f>
        <v>4.3200861968917016E-2</v>
      </c>
      <c r="P1837" s="553">
        <f>-'Progetto del paramento slu'!$G$47*'Progetto del paramento slu'!$G$41*IF(DATI!$G$218="dx",DATI!$E$61,DATI!$E$64*DATI!$E$63)*1000*C1837*sezione!$AD$5</f>
        <v>-274675.97965648439</v>
      </c>
      <c r="Q1837" s="553">
        <f>'Foglio deposito bis'!$F$78*IF(ABS(K1837)&lt;'Progetto del paramento slu'!$G$58,ABS(K1837)*'Progetto del paramento slu'!$G$54,'Progetto del paramento slu'!$G$53)*IF(K1837&lt;0,-1,1)</f>
        <v>0</v>
      </c>
      <c r="R1837" s="553">
        <f>'Foglio deposito bis'!$F$79*IF(ABS(L1837)&lt;'Progetto del paramento slu'!$G$58,ABS(L1837)*'Progetto del paramento slu'!$G$54,'Progetto del paramento slu'!$G$53)*IF(L1837&lt;0,-1,1)</f>
        <v>153664.85805602249</v>
      </c>
      <c r="S1837" s="553">
        <f>'Foglio deposito bis'!$F$80*IF(ABS(M1837)&lt;'Progetto del paramento slu'!$G$58,ABS(M1837)*'Progetto del paramento slu'!$G$54,'Progetto del paramento slu'!$G$53)*IF(M1837&lt;0,-1,1)</f>
        <v>0</v>
      </c>
      <c r="T1837" s="553">
        <f>'Foglio deposito bis'!$F$81*IF(ABS(N1837)&lt;'Progetto del paramento slu'!$G$58,ABS(N1837)*'Progetto del paramento slu'!$G$54,'Progetto del paramento slu'!$G$53)*IF(N1837&lt;0,-1,1)</f>
        <v>398299.31208121032</v>
      </c>
      <c r="U1837" s="553">
        <f>'Foglio deposito bis'!$F$82*IF(ABS(O1837)&lt;'Progetto del paramento slu'!$G$58,ABS(O1837)*'Progetto del paramento slu'!$G$54,'Progetto del paramento slu'!$G$53)*IF(O1837&lt;0,-1,1)</f>
        <v>892485.49558937876</v>
      </c>
      <c r="V1837" s="479">
        <f t="shared" si="136"/>
        <v>1169773.6860701272</v>
      </c>
      <c r="W1837" s="559"/>
      <c r="X1837" s="559"/>
    </row>
    <row r="1838" spans="1:24" x14ac:dyDescent="0.25">
      <c r="A1838" s="553">
        <f t="shared" si="135"/>
        <v>1166912.4779487057</v>
      </c>
      <c r="B1838" s="3">
        <f t="shared" si="137"/>
        <v>4.8499999999999908</v>
      </c>
      <c r="C1838" s="553">
        <f>'Foglio deposito bis'!$E$160/sezione!$B$247*B1838</f>
        <v>19.689227695300264</v>
      </c>
      <c r="D1838" s="611">
        <f>-'Progetto del paramento slu'!$G$47*'Progetto del paramento slu'!$G$41*IF(DATI!$G$218="dx",DATI!$E$61,DATI!$E$64*DATI!$E$63)*1000*C1838^2*sezione!$AD$5*(1-sezione!$AD$6)</f>
        <v>-3191263.844298339</v>
      </c>
      <c r="E1838" s="553">
        <f>-'Foglio deposito bis'!$F$78*(C1838-sezione!$AL$34)*IF(ABS(K1838)&lt;'Progetto del paramento slu'!$G$58,ABS(K1838)*'Progetto del paramento slu'!$G$54,'Progetto del paramento slu'!$G$53)</f>
        <v>0</v>
      </c>
      <c r="F1838" s="553">
        <f>-'Foglio deposito bis'!$F$79*(C1838-sezione!$AM$34)*IF(ABS(L1838)&lt;'Progetto del paramento slu'!$G$58,ABS(L1838)*'Progetto del paramento slu'!$G$54,'Progetto del paramento slu'!$G$53)</f>
        <v>20024186.32937235</v>
      </c>
      <c r="G1838" s="553">
        <f>-'Foglio deposito bis'!$F$80*(C1838-sezione!$AN$34)*IF(ABS(M1838)&lt;'Progetto del paramento slu'!$G$58,ABS(M1838)*'Progetto del paramento slu'!$G$54,'Progetto del paramento slu'!$G$53)</f>
        <v>0</v>
      </c>
      <c r="H1838" s="553">
        <f>-'Foglio deposito bis'!$F$81*(C1838-sezione!$AO$34)*IF(ABS(N1838)&lt;'Progetto del paramento slu'!$G$58,ABS(N1838)*'Progetto del paramento slu'!$G$54,'Progetto del paramento slu'!$G$53)</f>
        <v>127579560.2611631</v>
      </c>
      <c r="I1838" s="479">
        <f>-'Foglio deposito bis'!$F$82*(C1838-sezione!$AP$34)*IF(ABS(O1838)&lt;'Progetto del paramento slu'!$G$58,ABS(O1838)*'Progetto del paramento slu'!$G$54,'Progetto del paramento slu'!$G$53)</f>
        <v>214480121.82349962</v>
      </c>
      <c r="J1838" s="479">
        <f t="shared" si="134"/>
        <v>358892604.56973672</v>
      </c>
      <c r="K1838" s="558">
        <f>'Progetto del paramento slu'!$G$60*(sezione!$AL$34-C1838)/C1838</f>
        <v>3.6104871235461107E-3</v>
      </c>
      <c r="L1838" s="558">
        <f>'Progetto del paramento slu'!$G$60*(sezione!$AM$34-C1838)/C1838</f>
        <v>2.3164326713297913E-2</v>
      </c>
      <c r="M1838" s="559">
        <f>'Progetto del paramento slu'!$G$60*(sezione!$AN$34-C1838)/C1838</f>
        <v>4.2718166303049719E-2</v>
      </c>
      <c r="N1838" s="559">
        <f>'Progetto del paramento slu'!$G$60*(sezione!$AO$34-C1838)/C1838</f>
        <v>5.6939140550141952E-2</v>
      </c>
      <c r="O1838" s="559">
        <f>'Progetto del paramento slu'!$G$60*(sezione!$AP$34-C1838)/C1838</f>
        <v>4.2719409783670455E-2</v>
      </c>
      <c r="P1838" s="553">
        <f>-'Progetto del paramento slu'!$G$47*'Progetto del paramento slu'!$G$41*IF(DATI!$G$218="dx",DATI!$E$61,DATI!$E$64*DATI!$E$63)*1000*C1838*sezione!$AD$5</f>
        <v>-277537.18777790602</v>
      </c>
      <c r="Q1838" s="553">
        <f>'Foglio deposito bis'!$F$78*IF(ABS(K1838)&lt;'Progetto del paramento slu'!$G$58,ABS(K1838)*'Progetto del paramento slu'!$G$54,'Progetto del paramento slu'!$G$53)*IF(K1838&lt;0,-1,1)</f>
        <v>0</v>
      </c>
      <c r="R1838" s="553">
        <f>'Foglio deposito bis'!$F$79*IF(ABS(L1838)&lt;'Progetto del paramento slu'!$G$58,ABS(L1838)*'Progetto del paramento slu'!$G$54,'Progetto del paramento slu'!$G$53)*IF(L1838&lt;0,-1,1)</f>
        <v>153664.85805602249</v>
      </c>
      <c r="S1838" s="553">
        <f>'Foglio deposito bis'!$F$80*IF(ABS(M1838)&lt;'Progetto del paramento slu'!$G$58,ABS(M1838)*'Progetto del paramento slu'!$G$54,'Progetto del paramento slu'!$G$53)*IF(M1838&lt;0,-1,1)</f>
        <v>0</v>
      </c>
      <c r="T1838" s="553">
        <f>'Foglio deposito bis'!$F$81*IF(ABS(N1838)&lt;'Progetto del paramento slu'!$G$58,ABS(N1838)*'Progetto del paramento slu'!$G$54,'Progetto del paramento slu'!$G$53)*IF(N1838&lt;0,-1,1)</f>
        <v>398299.31208121032</v>
      </c>
      <c r="U1838" s="553">
        <f>'Foglio deposito bis'!$F$82*IF(ABS(O1838)&lt;'Progetto del paramento slu'!$G$58,ABS(O1838)*'Progetto del paramento slu'!$G$54,'Progetto del paramento slu'!$G$53)*IF(O1838&lt;0,-1,1)</f>
        <v>892485.49558937876</v>
      </c>
      <c r="V1838" s="479">
        <f t="shared" si="136"/>
        <v>1166912.4779487057</v>
      </c>
      <c r="W1838" s="559"/>
      <c r="X1838" s="559"/>
    </row>
    <row r="1839" spans="1:24" x14ac:dyDescent="0.25">
      <c r="A1839" s="553">
        <f t="shared" si="135"/>
        <v>1164051.2698272837</v>
      </c>
      <c r="B1839" s="3">
        <f t="shared" si="137"/>
        <v>4.8999999999999906</v>
      </c>
      <c r="C1839" s="553">
        <f>'Foglio deposito bis'!$E$160/sezione!$B$247*B1839</f>
        <v>19.892209424117794</v>
      </c>
      <c r="D1839" s="611">
        <f>-'Progetto del paramento slu'!$G$47*'Progetto del paramento slu'!$G$41*IF(DATI!$G$218="dx",DATI!$E$61,DATI!$E$64*DATI!$E$63)*1000*C1839^2*sezione!$AD$5*(1-sezione!$AD$6)</f>
        <v>-3257402.2702350146</v>
      </c>
      <c r="E1839" s="553">
        <f>-'Foglio deposito bis'!$F$78*(C1839-sezione!$AL$34)*IF(ABS(K1839)&lt;'Progetto del paramento slu'!$G$58,ABS(K1839)*'Progetto del paramento slu'!$G$54,'Progetto del paramento slu'!$G$53)</f>
        <v>0</v>
      </c>
      <c r="F1839" s="553">
        <f>-'Foglio deposito bis'!$F$79*(C1839-sezione!$AM$34)*IF(ABS(L1839)&lt;'Progetto del paramento slu'!$G$58,ABS(L1839)*'Progetto del paramento slu'!$G$54,'Progetto del paramento slu'!$G$53)</f>
        <v>19992995.170825642</v>
      </c>
      <c r="G1839" s="553">
        <f>-'Foglio deposito bis'!$F$80*(C1839-sezione!$AN$34)*IF(ABS(M1839)&lt;'Progetto del paramento slu'!$G$58,ABS(M1839)*'Progetto del paramento slu'!$G$54,'Progetto del paramento slu'!$G$53)</f>
        <v>0</v>
      </c>
      <c r="H1839" s="553">
        <f>-'Foglio deposito bis'!$F$81*(C1839-sezione!$AO$34)*IF(ABS(N1839)&lt;'Progetto del paramento slu'!$G$58,ABS(N1839)*'Progetto del paramento slu'!$G$54,'Progetto del paramento slu'!$G$53)</f>
        <v>127498712.77821</v>
      </c>
      <c r="I1839" s="479">
        <f>-'Foglio deposito bis'!$F$82*(C1839-sezione!$AP$34)*IF(ABS(O1839)&lt;'Progetto del paramento slu'!$G$58,ABS(O1839)*'Progetto del paramento slu'!$G$54,'Progetto del paramento slu'!$G$53)</f>
        <v>214298963.57466033</v>
      </c>
      <c r="J1839" s="479">
        <f t="shared" si="134"/>
        <v>358533269.25346094</v>
      </c>
      <c r="K1839" s="558">
        <f>'Progetto del paramento slu'!$G$60*(sezione!$AL$34-C1839)/C1839</f>
        <v>3.5379311324895174E-3</v>
      </c>
      <c r="L1839" s="558">
        <f>'Progetto del paramento slu'!$G$60*(sezione!$AM$34-C1839)/C1839</f>
        <v>2.2892241746835691E-2</v>
      </c>
      <c r="M1839" s="559">
        <f>'Progetto del paramento slu'!$G$60*(sezione!$AN$34-C1839)/C1839</f>
        <v>4.2246552361181869E-2</v>
      </c>
      <c r="N1839" s="559">
        <f>'Progetto del paramento slu'!$G$60*(sezione!$AO$34-C1839)/C1839</f>
        <v>5.6322414626160895E-2</v>
      </c>
      <c r="O1839" s="559">
        <f>'Progetto del paramento slu'!$G$60*(sezione!$AP$34-C1839)/C1839</f>
        <v>4.2247783153224833E-2</v>
      </c>
      <c r="P1839" s="553">
        <f>-'Progetto del paramento slu'!$G$47*'Progetto del paramento slu'!$G$41*IF(DATI!$G$218="dx",DATI!$E$61,DATI!$E$64*DATI!$E$63)*1000*C1839*sezione!$AD$5</f>
        <v>-280398.39589932782</v>
      </c>
      <c r="Q1839" s="553">
        <f>'Foglio deposito bis'!$F$78*IF(ABS(K1839)&lt;'Progetto del paramento slu'!$G$58,ABS(K1839)*'Progetto del paramento slu'!$G$54,'Progetto del paramento slu'!$G$53)*IF(K1839&lt;0,-1,1)</f>
        <v>0</v>
      </c>
      <c r="R1839" s="553">
        <f>'Foglio deposito bis'!$F$79*IF(ABS(L1839)&lt;'Progetto del paramento slu'!$G$58,ABS(L1839)*'Progetto del paramento slu'!$G$54,'Progetto del paramento slu'!$G$53)*IF(L1839&lt;0,-1,1)</f>
        <v>153664.85805602249</v>
      </c>
      <c r="S1839" s="553">
        <f>'Foglio deposito bis'!$F$80*IF(ABS(M1839)&lt;'Progetto del paramento slu'!$G$58,ABS(M1839)*'Progetto del paramento slu'!$G$54,'Progetto del paramento slu'!$G$53)*IF(M1839&lt;0,-1,1)</f>
        <v>0</v>
      </c>
      <c r="T1839" s="553">
        <f>'Foglio deposito bis'!$F$81*IF(ABS(N1839)&lt;'Progetto del paramento slu'!$G$58,ABS(N1839)*'Progetto del paramento slu'!$G$54,'Progetto del paramento slu'!$G$53)*IF(N1839&lt;0,-1,1)</f>
        <v>398299.31208121032</v>
      </c>
      <c r="U1839" s="553">
        <f>'Foglio deposito bis'!$F$82*IF(ABS(O1839)&lt;'Progetto del paramento slu'!$G$58,ABS(O1839)*'Progetto del paramento slu'!$G$54,'Progetto del paramento slu'!$G$53)*IF(O1839&lt;0,-1,1)</f>
        <v>892485.49558937876</v>
      </c>
      <c r="V1839" s="479">
        <f t="shared" si="136"/>
        <v>1164051.2698272837</v>
      </c>
      <c r="W1839" s="559"/>
      <c r="X1839" s="559"/>
    </row>
    <row r="1840" spans="1:24" x14ac:dyDescent="0.25">
      <c r="A1840" s="553">
        <f t="shared" si="135"/>
        <v>1161190.0617058622</v>
      </c>
      <c r="B1840" s="3">
        <f t="shared" si="137"/>
        <v>4.9499999999999904</v>
      </c>
      <c r="C1840" s="553">
        <f>'Foglio deposito bis'!$E$160/sezione!$B$247*B1840</f>
        <v>20.095191152935321</v>
      </c>
      <c r="D1840" s="611">
        <f>-'Progetto del paramento slu'!$G$47*'Progetto del paramento slu'!$G$41*IF(DATI!$G$218="dx",DATI!$E$61,DATI!$E$64*DATI!$E$63)*1000*C1840^2*sezione!$AD$5*(1-sezione!$AD$6)</f>
        <v>-3324219.039001809</v>
      </c>
      <c r="E1840" s="553">
        <f>-'Foglio deposito bis'!$F$78*(C1840-sezione!$AL$34)*IF(ABS(K1840)&lt;'Progetto del paramento slu'!$G$58,ABS(K1840)*'Progetto del paramento slu'!$G$54,'Progetto del paramento slu'!$G$53)</f>
        <v>0</v>
      </c>
      <c r="F1840" s="553">
        <f>-'Foglio deposito bis'!$F$79*(C1840-sezione!$AM$34)*IF(ABS(L1840)&lt;'Progetto del paramento slu'!$G$58,ABS(L1840)*'Progetto del paramento slu'!$G$54,'Progetto del paramento slu'!$G$53)</f>
        <v>19961804.012278929</v>
      </c>
      <c r="G1840" s="553">
        <f>-'Foglio deposito bis'!$F$80*(C1840-sezione!$AN$34)*IF(ABS(M1840)&lt;'Progetto del paramento slu'!$G$58,ABS(M1840)*'Progetto del paramento slu'!$G$54,'Progetto del paramento slu'!$G$53)</f>
        <v>0</v>
      </c>
      <c r="H1840" s="553">
        <f>-'Foglio deposito bis'!$F$81*(C1840-sezione!$AO$34)*IF(ABS(N1840)&lt;'Progetto del paramento slu'!$G$58,ABS(N1840)*'Progetto del paramento slu'!$G$54,'Progetto del paramento slu'!$G$53)</f>
        <v>127417865.29525693</v>
      </c>
      <c r="I1840" s="479">
        <f>-'Foglio deposito bis'!$F$82*(C1840-sezione!$AP$34)*IF(ABS(O1840)&lt;'Progetto del paramento slu'!$G$58,ABS(O1840)*'Progetto del paramento slu'!$G$54,'Progetto del paramento slu'!$G$53)</f>
        <v>214117805.32582104</v>
      </c>
      <c r="J1840" s="479">
        <f t="shared" si="134"/>
        <v>358173255.59435511</v>
      </c>
      <c r="K1840" s="558">
        <f>'Progetto del paramento slu'!$G$60*(sezione!$AL$34-C1840)/C1840</f>
        <v>3.4668409190300284E-3</v>
      </c>
      <c r="L1840" s="558">
        <f>'Progetto del paramento slu'!$G$60*(sezione!$AM$34-C1840)/C1840</f>
        <v>2.2625653446362609E-2</v>
      </c>
      <c r="M1840" s="559">
        <f>'Progetto del paramento slu'!$G$60*(sezione!$AN$34-C1840)/C1840</f>
        <v>4.178446597369518E-2</v>
      </c>
      <c r="N1840" s="559">
        <f>'Progetto del paramento slu'!$G$60*(sezione!$AO$34-C1840)/C1840</f>
        <v>5.5718147811755242E-2</v>
      </c>
      <c r="O1840" s="559">
        <f>'Progetto del paramento slu'!$G$60*(sezione!$AP$34-C1840)/C1840</f>
        <v>4.178568433349529E-2</v>
      </c>
      <c r="P1840" s="553">
        <f>-'Progetto del paramento slu'!$G$47*'Progetto del paramento slu'!$G$41*IF(DATI!$G$218="dx",DATI!$E$61,DATI!$E$64*DATI!$E$63)*1000*C1840*sezione!$AD$5</f>
        <v>-283259.60402074945</v>
      </c>
      <c r="Q1840" s="553">
        <f>'Foglio deposito bis'!$F$78*IF(ABS(K1840)&lt;'Progetto del paramento slu'!$G$58,ABS(K1840)*'Progetto del paramento slu'!$G$54,'Progetto del paramento slu'!$G$53)*IF(K1840&lt;0,-1,1)</f>
        <v>0</v>
      </c>
      <c r="R1840" s="553">
        <f>'Foglio deposito bis'!$F$79*IF(ABS(L1840)&lt;'Progetto del paramento slu'!$G$58,ABS(L1840)*'Progetto del paramento slu'!$G$54,'Progetto del paramento slu'!$G$53)*IF(L1840&lt;0,-1,1)</f>
        <v>153664.85805602249</v>
      </c>
      <c r="S1840" s="553">
        <f>'Foglio deposito bis'!$F$80*IF(ABS(M1840)&lt;'Progetto del paramento slu'!$G$58,ABS(M1840)*'Progetto del paramento slu'!$G$54,'Progetto del paramento slu'!$G$53)*IF(M1840&lt;0,-1,1)</f>
        <v>0</v>
      </c>
      <c r="T1840" s="553">
        <f>'Foglio deposito bis'!$F$81*IF(ABS(N1840)&lt;'Progetto del paramento slu'!$G$58,ABS(N1840)*'Progetto del paramento slu'!$G$54,'Progetto del paramento slu'!$G$53)*IF(N1840&lt;0,-1,1)</f>
        <v>398299.31208121032</v>
      </c>
      <c r="U1840" s="553">
        <f>'Foglio deposito bis'!$F$82*IF(ABS(O1840)&lt;'Progetto del paramento slu'!$G$58,ABS(O1840)*'Progetto del paramento slu'!$G$54,'Progetto del paramento slu'!$G$53)*IF(O1840&lt;0,-1,1)</f>
        <v>892485.49558937876</v>
      </c>
      <c r="V1840" s="479">
        <f t="shared" si="136"/>
        <v>1161190.0617058622</v>
      </c>
      <c r="W1840" s="559"/>
      <c r="X1840" s="559"/>
    </row>
    <row r="1841" spans="1:24" x14ac:dyDescent="0.25">
      <c r="A1841" s="553">
        <f t="shared" si="135"/>
        <v>1158328.8535844404</v>
      </c>
      <c r="B1841" s="3">
        <f t="shared" si="137"/>
        <v>4.9999999999999902</v>
      </c>
      <c r="C1841" s="553">
        <f>'Foglio deposito bis'!$E$160/sezione!$B$247*B1841</f>
        <v>20.298172881752851</v>
      </c>
      <c r="D1841" s="611">
        <f>-'Progetto del paramento slu'!$G$47*'Progetto del paramento slu'!$G$41*IF(DATI!$G$218="dx",DATI!$E$61,DATI!$E$64*DATI!$E$63)*1000*C1841^2*sezione!$AD$5*(1-sezione!$AD$6)</f>
        <v>-3391714.1505987239</v>
      </c>
      <c r="E1841" s="553">
        <f>-'Foglio deposito bis'!$F$78*(C1841-sezione!$AL$34)*IF(ABS(K1841)&lt;'Progetto del paramento slu'!$G$58,ABS(K1841)*'Progetto del paramento slu'!$G$54,'Progetto del paramento slu'!$G$53)</f>
        <v>0</v>
      </c>
      <c r="F1841" s="553">
        <f>-'Foglio deposito bis'!$F$79*(C1841-sezione!$AM$34)*IF(ABS(L1841)&lt;'Progetto del paramento slu'!$G$58,ABS(L1841)*'Progetto del paramento slu'!$G$54,'Progetto del paramento slu'!$G$53)</f>
        <v>19930612.853732217</v>
      </c>
      <c r="G1841" s="553">
        <f>-'Foglio deposito bis'!$F$80*(C1841-sezione!$AN$34)*IF(ABS(M1841)&lt;'Progetto del paramento slu'!$G$58,ABS(M1841)*'Progetto del paramento slu'!$G$54,'Progetto del paramento slu'!$G$53)</f>
        <v>0</v>
      </c>
      <c r="H1841" s="553">
        <f>-'Foglio deposito bis'!$F$81*(C1841-sezione!$AO$34)*IF(ABS(N1841)&lt;'Progetto del paramento slu'!$G$58,ABS(N1841)*'Progetto del paramento slu'!$G$54,'Progetto del paramento slu'!$G$53)</f>
        <v>127337017.81230387</v>
      </c>
      <c r="I1841" s="479">
        <f>-'Foglio deposito bis'!$F$82*(C1841-sezione!$AP$34)*IF(ABS(O1841)&lt;'Progetto del paramento slu'!$G$58,ABS(O1841)*'Progetto del paramento slu'!$G$54,'Progetto del paramento slu'!$G$53)</f>
        <v>213936647.07698169</v>
      </c>
      <c r="J1841" s="479">
        <f t="shared" si="134"/>
        <v>357812563.59241903</v>
      </c>
      <c r="K1841" s="558">
        <f>'Progetto del paramento slu'!$G$60*(sezione!$AL$34-C1841)/C1841</f>
        <v>3.3971725098397268E-3</v>
      </c>
      <c r="L1841" s="558">
        <f>'Progetto del paramento slu'!$G$60*(sezione!$AM$34-C1841)/C1841</f>
        <v>2.2364396911898975E-2</v>
      </c>
      <c r="M1841" s="559">
        <f>'Progetto del paramento slu'!$G$60*(sezione!$AN$34-C1841)/C1841</f>
        <v>4.1331621313958226E-2</v>
      </c>
      <c r="N1841" s="559">
        <f>'Progetto del paramento slu'!$G$60*(sezione!$AO$34-C1841)/C1841</f>
        <v>5.5125966333637678E-2</v>
      </c>
      <c r="O1841" s="559">
        <f>'Progetto del paramento slu'!$G$60*(sezione!$AP$34-C1841)/C1841</f>
        <v>4.1332827490160332E-2</v>
      </c>
      <c r="P1841" s="553">
        <f>-'Progetto del paramento slu'!$G$47*'Progetto del paramento slu'!$G$41*IF(DATI!$G$218="dx",DATI!$E$61,DATI!$E$64*DATI!$E$63)*1000*C1841*sezione!$AD$5</f>
        <v>-286120.8121421712</v>
      </c>
      <c r="Q1841" s="553">
        <f>'Foglio deposito bis'!$F$78*IF(ABS(K1841)&lt;'Progetto del paramento slu'!$G$58,ABS(K1841)*'Progetto del paramento slu'!$G$54,'Progetto del paramento slu'!$G$53)*IF(K1841&lt;0,-1,1)</f>
        <v>0</v>
      </c>
      <c r="R1841" s="553">
        <f>'Foglio deposito bis'!$F$79*IF(ABS(L1841)&lt;'Progetto del paramento slu'!$G$58,ABS(L1841)*'Progetto del paramento slu'!$G$54,'Progetto del paramento slu'!$G$53)*IF(L1841&lt;0,-1,1)</f>
        <v>153664.85805602249</v>
      </c>
      <c r="S1841" s="553">
        <f>'Foglio deposito bis'!$F$80*IF(ABS(M1841)&lt;'Progetto del paramento slu'!$G$58,ABS(M1841)*'Progetto del paramento slu'!$G$54,'Progetto del paramento slu'!$G$53)*IF(M1841&lt;0,-1,1)</f>
        <v>0</v>
      </c>
      <c r="T1841" s="553">
        <f>'Foglio deposito bis'!$F$81*IF(ABS(N1841)&lt;'Progetto del paramento slu'!$G$58,ABS(N1841)*'Progetto del paramento slu'!$G$54,'Progetto del paramento slu'!$G$53)*IF(N1841&lt;0,-1,1)</f>
        <v>398299.31208121032</v>
      </c>
      <c r="U1841" s="553">
        <f>'Foglio deposito bis'!$F$82*IF(ABS(O1841)&lt;'Progetto del paramento slu'!$G$58,ABS(O1841)*'Progetto del paramento slu'!$G$54,'Progetto del paramento slu'!$G$53)*IF(O1841&lt;0,-1,1)</f>
        <v>892485.49558937876</v>
      </c>
      <c r="V1841" s="479">
        <f t="shared" si="136"/>
        <v>1158328.8535844404</v>
      </c>
      <c r="W1841" s="559"/>
      <c r="X1841" s="559"/>
    </row>
    <row r="1842" spans="1:24" x14ac:dyDescent="0.25">
      <c r="A1842" s="553">
        <f t="shared" si="135"/>
        <v>1155467.6454630187</v>
      </c>
      <c r="B1842" s="3">
        <f t="shared" si="137"/>
        <v>5.0499999999999901</v>
      </c>
      <c r="C1842" s="553">
        <f>'Foglio deposito bis'!$E$160/sezione!$B$247*B1842</f>
        <v>20.501154610570378</v>
      </c>
      <c r="D1842" s="611">
        <f>-'Progetto del paramento slu'!$G$47*'Progetto del paramento slu'!$G$41*IF(DATI!$G$218="dx",DATI!$E$61,DATI!$E$64*DATI!$E$63)*1000*C1842^2*sezione!$AD$5*(1-sezione!$AD$6)</f>
        <v>-3459887.6050257576</v>
      </c>
      <c r="E1842" s="553">
        <f>-'Foglio deposito bis'!$F$78*(C1842-sezione!$AL$34)*IF(ABS(K1842)&lt;'Progetto del paramento slu'!$G$58,ABS(K1842)*'Progetto del paramento slu'!$G$54,'Progetto del paramento slu'!$G$53)</f>
        <v>0</v>
      </c>
      <c r="F1842" s="553">
        <f>-'Foglio deposito bis'!$F$79*(C1842-sezione!$AM$34)*IF(ABS(L1842)&lt;'Progetto del paramento slu'!$G$58,ABS(L1842)*'Progetto del paramento slu'!$G$54,'Progetto del paramento slu'!$G$53)</f>
        <v>19899421.695185505</v>
      </c>
      <c r="G1842" s="553">
        <f>-'Foglio deposito bis'!$F$80*(C1842-sezione!$AN$34)*IF(ABS(M1842)&lt;'Progetto del paramento slu'!$G$58,ABS(M1842)*'Progetto del paramento slu'!$G$54,'Progetto del paramento slu'!$G$53)</f>
        <v>0</v>
      </c>
      <c r="H1842" s="553">
        <f>-'Foglio deposito bis'!$F$81*(C1842-sezione!$AO$34)*IF(ABS(N1842)&lt;'Progetto del paramento slu'!$G$58,ABS(N1842)*'Progetto del paramento slu'!$G$54,'Progetto del paramento slu'!$G$53)</f>
        <v>127256170.3293508</v>
      </c>
      <c r="I1842" s="479">
        <f>-'Foglio deposito bis'!$F$82*(C1842-sezione!$AP$34)*IF(ABS(O1842)&lt;'Progetto del paramento slu'!$G$58,ABS(O1842)*'Progetto del paramento slu'!$G$54,'Progetto del paramento slu'!$G$53)</f>
        <v>213755488.8281424</v>
      </c>
      <c r="J1842" s="479">
        <f t="shared" si="134"/>
        <v>357451193.24765295</v>
      </c>
      <c r="K1842" s="558">
        <f>'Progetto del paramento slu'!$G$60*(sezione!$AL$34-C1842)/C1842</f>
        <v>3.3288836731086412E-3</v>
      </c>
      <c r="L1842" s="558">
        <f>'Progetto del paramento slu'!$G$60*(sezione!$AM$34-C1842)/C1842</f>
        <v>2.2108313774157406E-2</v>
      </c>
      <c r="M1842" s="559">
        <f>'Progetto del paramento slu'!$G$60*(sezione!$AN$34-C1842)/C1842</f>
        <v>4.0887743875206169E-2</v>
      </c>
      <c r="N1842" s="559">
        <f>'Progetto del paramento slu'!$G$60*(sezione!$AO$34-C1842)/C1842</f>
        <v>5.4545511221423447E-2</v>
      </c>
      <c r="O1842" s="559">
        <f>'Progetto del paramento slu'!$G$60*(sezione!$AP$34-C1842)/C1842</f>
        <v>4.0888938109069642E-2</v>
      </c>
      <c r="P1842" s="553">
        <f>-'Progetto del paramento slu'!$G$47*'Progetto del paramento slu'!$G$41*IF(DATI!$G$218="dx",DATI!$E$61,DATI!$E$64*DATI!$E$63)*1000*C1842*sezione!$AD$5</f>
        <v>-288982.02026359289</v>
      </c>
      <c r="Q1842" s="553">
        <f>'Foglio deposito bis'!$F$78*IF(ABS(K1842)&lt;'Progetto del paramento slu'!$G$58,ABS(K1842)*'Progetto del paramento slu'!$G$54,'Progetto del paramento slu'!$G$53)*IF(K1842&lt;0,-1,1)</f>
        <v>0</v>
      </c>
      <c r="R1842" s="553">
        <f>'Foglio deposito bis'!$F$79*IF(ABS(L1842)&lt;'Progetto del paramento slu'!$G$58,ABS(L1842)*'Progetto del paramento slu'!$G$54,'Progetto del paramento slu'!$G$53)*IF(L1842&lt;0,-1,1)</f>
        <v>153664.85805602249</v>
      </c>
      <c r="S1842" s="553">
        <f>'Foglio deposito bis'!$F$80*IF(ABS(M1842)&lt;'Progetto del paramento slu'!$G$58,ABS(M1842)*'Progetto del paramento slu'!$G$54,'Progetto del paramento slu'!$G$53)*IF(M1842&lt;0,-1,1)</f>
        <v>0</v>
      </c>
      <c r="T1842" s="553">
        <f>'Foglio deposito bis'!$F$81*IF(ABS(N1842)&lt;'Progetto del paramento slu'!$G$58,ABS(N1842)*'Progetto del paramento slu'!$G$54,'Progetto del paramento slu'!$G$53)*IF(N1842&lt;0,-1,1)</f>
        <v>398299.31208121032</v>
      </c>
      <c r="U1842" s="553">
        <f>'Foglio deposito bis'!$F$82*IF(ABS(O1842)&lt;'Progetto del paramento slu'!$G$58,ABS(O1842)*'Progetto del paramento slu'!$G$54,'Progetto del paramento slu'!$G$53)*IF(O1842&lt;0,-1,1)</f>
        <v>892485.49558937876</v>
      </c>
      <c r="V1842" s="479">
        <f t="shared" si="136"/>
        <v>1155467.6454630187</v>
      </c>
      <c r="W1842" s="559"/>
      <c r="X1842" s="559"/>
    </row>
    <row r="1843" spans="1:24" x14ac:dyDescent="0.25">
      <c r="A1843" s="553">
        <f t="shared" si="135"/>
        <v>1152606.4373415969</v>
      </c>
      <c r="B1843" s="3">
        <f t="shared" si="137"/>
        <v>5.0999999999999899</v>
      </c>
      <c r="C1843" s="553">
        <f>'Foglio deposito bis'!$E$160/sezione!$B$247*B1843</f>
        <v>20.704136339387905</v>
      </c>
      <c r="D1843" s="611">
        <f>-'Progetto del paramento slu'!$G$47*'Progetto del paramento slu'!$G$41*IF(DATI!$G$218="dx",DATI!$E$61,DATI!$E$64*DATI!$E$63)*1000*C1843^2*sezione!$AD$5*(1-sezione!$AD$6)</f>
        <v>-3528739.4022829109</v>
      </c>
      <c r="E1843" s="553">
        <f>-'Foglio deposito bis'!$F$78*(C1843-sezione!$AL$34)*IF(ABS(K1843)&lt;'Progetto del paramento slu'!$G$58,ABS(K1843)*'Progetto del paramento slu'!$G$54,'Progetto del paramento slu'!$G$53)</f>
        <v>0</v>
      </c>
      <c r="F1843" s="553">
        <f>-'Foglio deposito bis'!$F$79*(C1843-sezione!$AM$34)*IF(ABS(L1843)&lt;'Progetto del paramento slu'!$G$58,ABS(L1843)*'Progetto del paramento slu'!$G$54,'Progetto del paramento slu'!$G$53)</f>
        <v>19868230.536638796</v>
      </c>
      <c r="G1843" s="553">
        <f>-'Foglio deposito bis'!$F$80*(C1843-sezione!$AN$34)*IF(ABS(M1843)&lt;'Progetto del paramento slu'!$G$58,ABS(M1843)*'Progetto del paramento slu'!$G$54,'Progetto del paramento slu'!$G$53)</f>
        <v>0</v>
      </c>
      <c r="H1843" s="553">
        <f>-'Foglio deposito bis'!$F$81*(C1843-sezione!$AO$34)*IF(ABS(N1843)&lt;'Progetto del paramento slu'!$G$58,ABS(N1843)*'Progetto del paramento slu'!$G$54,'Progetto del paramento slu'!$G$53)</f>
        <v>127175322.84639773</v>
      </c>
      <c r="I1843" s="479">
        <f>-'Foglio deposito bis'!$F$82*(C1843-sezione!$AP$34)*IF(ABS(O1843)&lt;'Progetto del paramento slu'!$G$58,ABS(O1843)*'Progetto del paramento slu'!$G$54,'Progetto del paramento slu'!$G$53)</f>
        <v>213574330.57930312</v>
      </c>
      <c r="J1843" s="479">
        <f t="shared" si="134"/>
        <v>357089144.56005669</v>
      </c>
      <c r="K1843" s="558">
        <f>'Progetto del paramento slu'!$G$60*(sezione!$AL$34-C1843)/C1843</f>
        <v>3.2619338331762045E-3</v>
      </c>
      <c r="L1843" s="558">
        <f>'Progetto del paramento slu'!$G$60*(sezione!$AM$34-C1843)/C1843</f>
        <v>2.1857251874410767E-2</v>
      </c>
      <c r="M1843" s="559">
        <f>'Progetto del paramento slu'!$G$60*(sezione!$AN$34-C1843)/C1843</f>
        <v>4.0452569915645331E-2</v>
      </c>
      <c r="N1843" s="559">
        <f>'Progetto del paramento slu'!$G$60*(sezione!$AO$34-C1843)/C1843</f>
        <v>5.3976437581997737E-2</v>
      </c>
      <c r="O1843" s="559">
        <f>'Progetto del paramento slu'!$G$60*(sezione!$AP$34-C1843)/C1843</f>
        <v>4.0453752441333674E-2</v>
      </c>
      <c r="P1843" s="553">
        <f>-'Progetto del paramento slu'!$G$47*'Progetto del paramento slu'!$G$41*IF(DATI!$G$218="dx",DATI!$E$61,DATI!$E$64*DATI!$E$63)*1000*C1843*sezione!$AD$5</f>
        <v>-291843.22838501458</v>
      </c>
      <c r="Q1843" s="553">
        <f>'Foglio deposito bis'!$F$78*IF(ABS(K1843)&lt;'Progetto del paramento slu'!$G$58,ABS(K1843)*'Progetto del paramento slu'!$G$54,'Progetto del paramento slu'!$G$53)*IF(K1843&lt;0,-1,1)</f>
        <v>0</v>
      </c>
      <c r="R1843" s="553">
        <f>'Foglio deposito bis'!$F$79*IF(ABS(L1843)&lt;'Progetto del paramento slu'!$G$58,ABS(L1843)*'Progetto del paramento slu'!$G$54,'Progetto del paramento slu'!$G$53)*IF(L1843&lt;0,-1,1)</f>
        <v>153664.85805602249</v>
      </c>
      <c r="S1843" s="553">
        <f>'Foglio deposito bis'!$F$80*IF(ABS(M1843)&lt;'Progetto del paramento slu'!$G$58,ABS(M1843)*'Progetto del paramento slu'!$G$54,'Progetto del paramento slu'!$G$53)*IF(M1843&lt;0,-1,1)</f>
        <v>0</v>
      </c>
      <c r="T1843" s="553">
        <f>'Foglio deposito bis'!$F$81*IF(ABS(N1843)&lt;'Progetto del paramento slu'!$G$58,ABS(N1843)*'Progetto del paramento slu'!$G$54,'Progetto del paramento slu'!$G$53)*IF(N1843&lt;0,-1,1)</f>
        <v>398299.31208121032</v>
      </c>
      <c r="U1843" s="553">
        <f>'Foglio deposito bis'!$F$82*IF(ABS(O1843)&lt;'Progetto del paramento slu'!$G$58,ABS(O1843)*'Progetto del paramento slu'!$G$54,'Progetto del paramento slu'!$G$53)*IF(O1843&lt;0,-1,1)</f>
        <v>892485.49558937876</v>
      </c>
      <c r="V1843" s="479">
        <f t="shared" si="136"/>
        <v>1152606.4373415969</v>
      </c>
      <c r="W1843" s="559"/>
      <c r="X1843" s="559"/>
    </row>
    <row r="1844" spans="1:24" x14ac:dyDescent="0.25">
      <c r="A1844" s="553">
        <f t="shared" si="135"/>
        <v>1141161.6048559102</v>
      </c>
      <c r="B1844" s="3">
        <f>B1843+0.2</f>
        <v>5.2999999999999901</v>
      </c>
      <c r="C1844" s="553">
        <f>'Foglio deposito bis'!$E$160/sezione!$B$247*B1844</f>
        <v>21.516063254658022</v>
      </c>
      <c r="D1844" s="611">
        <f>-'Progetto del paramento slu'!$G$47*'Progetto del paramento slu'!$G$41*IF(DATI!$G$218="dx",DATI!$E$61,DATI!$E$64*DATI!$E$63)*1000*C1844^2*sezione!$AD$5*(1-sezione!$AD$6)</f>
        <v>-3810930.0196127258</v>
      </c>
      <c r="E1844" s="553">
        <f>-'Foglio deposito bis'!$F$78*(C1844-sezione!$AL$34)*IF(ABS(K1844)&lt;'Progetto del paramento slu'!$G$58,ABS(K1844)*'Progetto del paramento slu'!$G$54,'Progetto del paramento slu'!$G$53)</f>
        <v>0</v>
      </c>
      <c r="F1844" s="553">
        <f>-'Foglio deposito bis'!$F$79*(C1844-sezione!$AM$34)*IF(ABS(L1844)&lt;'Progetto del paramento slu'!$G$58,ABS(L1844)*'Progetto del paramento slu'!$G$54,'Progetto del paramento slu'!$G$53)</f>
        <v>19743465.902451944</v>
      </c>
      <c r="G1844" s="553">
        <f>-'Foglio deposito bis'!$F$80*(C1844-sezione!$AN$34)*IF(ABS(M1844)&lt;'Progetto del paramento slu'!$G$58,ABS(M1844)*'Progetto del paramento slu'!$G$54,'Progetto del paramento slu'!$G$53)</f>
        <v>0</v>
      </c>
      <c r="H1844" s="553">
        <f>-'Foglio deposito bis'!$F$81*(C1844-sezione!$AO$34)*IF(ABS(N1844)&lt;'Progetto del paramento slu'!$G$58,ABS(N1844)*'Progetto del paramento slu'!$G$54,'Progetto del paramento slu'!$G$53)</f>
        <v>126851932.91458541</v>
      </c>
      <c r="I1844" s="479">
        <f>-'Foglio deposito bis'!$F$82*(C1844-sezione!$AP$34)*IF(ABS(O1844)&lt;'Progetto del paramento slu'!$G$58,ABS(O1844)*'Progetto del paramento slu'!$G$54,'Progetto del paramento slu'!$G$53)</f>
        <v>212849697.58394587</v>
      </c>
      <c r="J1844" s="479">
        <f t="shared" si="134"/>
        <v>355634166.38137048</v>
      </c>
      <c r="K1844" s="558">
        <f>'Progetto del paramento slu'!$G$60*(sezione!$AL$34-C1844)/C1844</f>
        <v>3.0067665187167238E-3</v>
      </c>
      <c r="L1844" s="558">
        <f>'Progetto del paramento slu'!$G$60*(sezione!$AM$34-C1844)/C1844</f>
        <v>2.0900374445187712E-2</v>
      </c>
      <c r="M1844" s="559">
        <f>'Progetto del paramento slu'!$G$60*(sezione!$AN$34-C1844)/C1844</f>
        <v>3.8793982371658702E-2</v>
      </c>
      <c r="N1844" s="559">
        <f>'Progetto del paramento slu'!$G$60*(sezione!$AO$34-C1844)/C1844</f>
        <v>5.1807515409092154E-2</v>
      </c>
      <c r="O1844" s="559">
        <f>'Progetto del paramento slu'!$G$60*(sezione!$AP$34-C1844)/C1844</f>
        <v>3.8795120273736161E-2</v>
      </c>
      <c r="P1844" s="553">
        <f>-'Progetto del paramento slu'!$G$47*'Progetto del paramento slu'!$G$41*IF(DATI!$G$218="dx",DATI!$E$61,DATI!$E$64*DATI!$E$63)*1000*C1844*sezione!$AD$5</f>
        <v>-303288.06087070145</v>
      </c>
      <c r="Q1844" s="553">
        <f>'Foglio deposito bis'!$F$78*IF(ABS(K1844)&lt;'Progetto del paramento slu'!$G$58,ABS(K1844)*'Progetto del paramento slu'!$G$54,'Progetto del paramento slu'!$G$53)*IF(K1844&lt;0,-1,1)</f>
        <v>0</v>
      </c>
      <c r="R1844" s="553">
        <f>'Foglio deposito bis'!$F$79*IF(ABS(L1844)&lt;'Progetto del paramento slu'!$G$58,ABS(L1844)*'Progetto del paramento slu'!$G$54,'Progetto del paramento slu'!$G$53)*IF(L1844&lt;0,-1,1)</f>
        <v>153664.85805602249</v>
      </c>
      <c r="S1844" s="553">
        <f>'Foglio deposito bis'!$F$80*IF(ABS(M1844)&lt;'Progetto del paramento slu'!$G$58,ABS(M1844)*'Progetto del paramento slu'!$G$54,'Progetto del paramento slu'!$G$53)*IF(M1844&lt;0,-1,1)</f>
        <v>0</v>
      </c>
      <c r="T1844" s="553">
        <f>'Foglio deposito bis'!$F$81*IF(ABS(N1844)&lt;'Progetto del paramento slu'!$G$58,ABS(N1844)*'Progetto del paramento slu'!$G$54,'Progetto del paramento slu'!$G$53)*IF(N1844&lt;0,-1,1)</f>
        <v>398299.31208121032</v>
      </c>
      <c r="U1844" s="553">
        <f>'Foglio deposito bis'!$F$82*IF(ABS(O1844)&lt;'Progetto del paramento slu'!$G$58,ABS(O1844)*'Progetto del paramento slu'!$G$54,'Progetto del paramento slu'!$G$53)*IF(O1844&lt;0,-1,1)</f>
        <v>892485.49558937876</v>
      </c>
      <c r="V1844" s="479">
        <f t="shared" si="136"/>
        <v>1141161.6048559102</v>
      </c>
      <c r="W1844" s="559"/>
      <c r="X1844" s="559"/>
    </row>
    <row r="1845" spans="1:24" x14ac:dyDescent="0.25">
      <c r="A1845" s="553">
        <f t="shared" si="135"/>
        <v>1129716.7723702232</v>
      </c>
      <c r="B1845" s="3">
        <f t="shared" ref="B1845:B1908" si="138">B1844+0.2</f>
        <v>5.4999999999999902</v>
      </c>
      <c r="C1845" s="553">
        <f>'Foglio deposito bis'!$E$160/sezione!$B$247*B1845</f>
        <v>22.327990169928139</v>
      </c>
      <c r="D1845" s="611">
        <f>-'Progetto del paramento slu'!$G$47*'Progetto del paramento slu'!$G$41*IF(DATI!$G$218="dx",DATI!$E$61,DATI!$E$64*DATI!$E$63)*1000*C1845^2*sezione!$AD$5*(1-sezione!$AD$6)</f>
        <v>-4103974.1222244571</v>
      </c>
      <c r="E1845" s="553">
        <f>-'Foglio deposito bis'!$F$78*(C1845-sezione!$AL$34)*IF(ABS(K1845)&lt;'Progetto del paramento slu'!$G$58,ABS(K1845)*'Progetto del paramento slu'!$G$54,'Progetto del paramento slu'!$G$53)</f>
        <v>0</v>
      </c>
      <c r="F1845" s="553">
        <f>-'Foglio deposito bis'!$F$79*(C1845-sezione!$AM$34)*IF(ABS(L1845)&lt;'Progetto del paramento slu'!$G$58,ABS(L1845)*'Progetto del paramento slu'!$G$54,'Progetto del paramento slu'!$G$53)</f>
        <v>19618701.268265102</v>
      </c>
      <c r="G1845" s="553">
        <f>-'Foglio deposito bis'!$F$80*(C1845-sezione!$AN$34)*IF(ABS(M1845)&lt;'Progetto del paramento slu'!$G$58,ABS(M1845)*'Progetto del paramento slu'!$G$54,'Progetto del paramento slu'!$G$53)</f>
        <v>0</v>
      </c>
      <c r="H1845" s="553">
        <f>-'Foglio deposito bis'!$F$81*(C1845-sezione!$AO$34)*IF(ABS(N1845)&lt;'Progetto del paramento slu'!$G$58,ABS(N1845)*'Progetto del paramento slu'!$G$54,'Progetto del paramento slu'!$G$53)</f>
        <v>126528542.98277311</v>
      </c>
      <c r="I1845" s="479">
        <f>-'Foglio deposito bis'!$F$82*(C1845-sezione!$AP$34)*IF(ABS(O1845)&lt;'Progetto del paramento slu'!$G$58,ABS(O1845)*'Progetto del paramento slu'!$G$54,'Progetto del paramento slu'!$G$53)</f>
        <v>212125064.58858868</v>
      </c>
      <c r="J1845" s="479">
        <f t="shared" si="134"/>
        <v>354168334.71740246</v>
      </c>
      <c r="K1845" s="558">
        <f>'Progetto del paramento slu'!$G$60*(sezione!$AL$34-C1845)/C1845</f>
        <v>2.7701568271270237E-3</v>
      </c>
      <c r="L1845" s="558">
        <f>'Progetto del paramento slu'!$G$60*(sezione!$AM$34-C1845)/C1845</f>
        <v>2.0013088101726341E-2</v>
      </c>
      <c r="M1845" s="559">
        <f>'Progetto del paramento slu'!$G$60*(sezione!$AN$34-C1845)/C1845</f>
        <v>3.7256019376325659E-2</v>
      </c>
      <c r="N1845" s="559">
        <f>'Progetto del paramento slu'!$G$60*(sezione!$AO$34-C1845)/C1845</f>
        <v>4.9796333030579711E-2</v>
      </c>
      <c r="O1845" s="559">
        <f>'Progetto del paramento slu'!$G$60*(sezione!$AP$34-C1845)/C1845</f>
        <v>3.7257115900145757E-2</v>
      </c>
      <c r="P1845" s="553">
        <f>-'Progetto del paramento slu'!$G$47*'Progetto del paramento slu'!$G$41*IF(DATI!$G$218="dx",DATI!$E$61,DATI!$E$64*DATI!$E$63)*1000*C1845*sezione!$AD$5</f>
        <v>-314732.89335638832</v>
      </c>
      <c r="Q1845" s="553">
        <f>'Foglio deposito bis'!$F$78*IF(ABS(K1845)&lt;'Progetto del paramento slu'!$G$58,ABS(K1845)*'Progetto del paramento slu'!$G$54,'Progetto del paramento slu'!$G$53)*IF(K1845&lt;0,-1,1)</f>
        <v>0</v>
      </c>
      <c r="R1845" s="553">
        <f>'Foglio deposito bis'!$F$79*IF(ABS(L1845)&lt;'Progetto del paramento slu'!$G$58,ABS(L1845)*'Progetto del paramento slu'!$G$54,'Progetto del paramento slu'!$G$53)*IF(L1845&lt;0,-1,1)</f>
        <v>153664.85805602249</v>
      </c>
      <c r="S1845" s="553">
        <f>'Foglio deposito bis'!$F$80*IF(ABS(M1845)&lt;'Progetto del paramento slu'!$G$58,ABS(M1845)*'Progetto del paramento slu'!$G$54,'Progetto del paramento slu'!$G$53)*IF(M1845&lt;0,-1,1)</f>
        <v>0</v>
      </c>
      <c r="T1845" s="553">
        <f>'Foglio deposito bis'!$F$81*IF(ABS(N1845)&lt;'Progetto del paramento slu'!$G$58,ABS(N1845)*'Progetto del paramento slu'!$G$54,'Progetto del paramento slu'!$G$53)*IF(N1845&lt;0,-1,1)</f>
        <v>398299.31208121032</v>
      </c>
      <c r="U1845" s="553">
        <f>'Foglio deposito bis'!$F$82*IF(ABS(O1845)&lt;'Progetto del paramento slu'!$G$58,ABS(O1845)*'Progetto del paramento slu'!$G$54,'Progetto del paramento slu'!$G$53)*IF(O1845&lt;0,-1,1)</f>
        <v>892485.49558937876</v>
      </c>
      <c r="V1845" s="479">
        <f t="shared" si="136"/>
        <v>1129716.7723702232</v>
      </c>
      <c r="W1845" s="559"/>
      <c r="X1845" s="559"/>
    </row>
    <row r="1846" spans="1:24" x14ac:dyDescent="0.25">
      <c r="A1846" s="553">
        <f t="shared" si="135"/>
        <v>1118271.9398845364</v>
      </c>
      <c r="B1846" s="3">
        <f t="shared" si="138"/>
        <v>5.6999999999999904</v>
      </c>
      <c r="C1846" s="553">
        <f>'Foglio deposito bis'!$E$160/sezione!$B$247*B1846</f>
        <v>23.139917085198256</v>
      </c>
      <c r="D1846" s="611">
        <f>-'Progetto del paramento slu'!$G$47*'Progetto del paramento slu'!$G$41*IF(DATI!$G$218="dx",DATI!$E$61,DATI!$E$64*DATI!$E$63)*1000*C1846^2*sezione!$AD$5*(1-sezione!$AD$6)</f>
        <v>-4407871.7101181047</v>
      </c>
      <c r="E1846" s="553">
        <f>-'Foglio deposito bis'!$F$78*(C1846-sezione!$AL$34)*IF(ABS(K1846)&lt;'Progetto del paramento slu'!$G$58,ABS(K1846)*'Progetto del paramento slu'!$G$54,'Progetto del paramento slu'!$G$53)</f>
        <v>0</v>
      </c>
      <c r="F1846" s="553">
        <f>-'Foglio deposito bis'!$F$79*(C1846-sezione!$AM$34)*IF(ABS(L1846)&lt;'Progetto del paramento slu'!$G$58,ABS(L1846)*'Progetto del paramento slu'!$G$54,'Progetto del paramento slu'!$G$53)</f>
        <v>19493936.634078257</v>
      </c>
      <c r="G1846" s="553">
        <f>-'Foglio deposito bis'!$F$80*(C1846-sezione!$AN$34)*IF(ABS(M1846)&lt;'Progetto del paramento slu'!$G$58,ABS(M1846)*'Progetto del paramento slu'!$G$54,'Progetto del paramento slu'!$G$53)</f>
        <v>0</v>
      </c>
      <c r="H1846" s="553">
        <f>-'Foglio deposito bis'!$F$81*(C1846-sezione!$AO$34)*IF(ABS(N1846)&lt;'Progetto del paramento slu'!$G$58,ABS(N1846)*'Progetto del paramento slu'!$G$54,'Progetto del paramento slu'!$G$53)</f>
        <v>126205153.05096079</v>
      </c>
      <c r="I1846" s="479">
        <f>-'Foglio deposito bis'!$F$82*(C1846-sezione!$AP$34)*IF(ABS(O1846)&lt;'Progetto del paramento slu'!$G$58,ABS(O1846)*'Progetto del paramento slu'!$G$54,'Progetto del paramento slu'!$G$53)</f>
        <v>211400431.5932315</v>
      </c>
      <c r="J1846" s="479">
        <f t="shared" si="134"/>
        <v>352691649.56815243</v>
      </c>
      <c r="K1846" s="558">
        <f>'Progetto del paramento slu'!$G$60*(sezione!$AL$34-C1846)/C1846</f>
        <v>2.5501513244208119E-3</v>
      </c>
      <c r="L1846" s="558">
        <f>'Progetto del paramento slu'!$G$60*(sezione!$AM$34-C1846)/C1846</f>
        <v>1.9188067466578047E-2</v>
      </c>
      <c r="M1846" s="559">
        <f>'Progetto del paramento slu'!$G$60*(sezione!$AN$34-C1846)/C1846</f>
        <v>3.5825983608735276E-2</v>
      </c>
      <c r="N1846" s="559">
        <f>'Progetto del paramento slu'!$G$60*(sezione!$AO$34-C1846)/C1846</f>
        <v>4.7926286257576903E-2</v>
      </c>
      <c r="O1846" s="559">
        <f>'Progetto del paramento slu'!$G$60*(sezione!$AP$34-C1846)/C1846</f>
        <v>3.5827041658035373E-2</v>
      </c>
      <c r="P1846" s="553">
        <f>-'Progetto del paramento slu'!$G$47*'Progetto del paramento slu'!$G$41*IF(DATI!$G$218="dx",DATI!$E$61,DATI!$E$64*DATI!$E$63)*1000*C1846*sezione!$AD$5</f>
        <v>-326177.72584207525</v>
      </c>
      <c r="Q1846" s="553">
        <f>'Foglio deposito bis'!$F$78*IF(ABS(K1846)&lt;'Progetto del paramento slu'!$G$58,ABS(K1846)*'Progetto del paramento slu'!$G$54,'Progetto del paramento slu'!$G$53)*IF(K1846&lt;0,-1,1)</f>
        <v>0</v>
      </c>
      <c r="R1846" s="553">
        <f>'Foglio deposito bis'!$F$79*IF(ABS(L1846)&lt;'Progetto del paramento slu'!$G$58,ABS(L1846)*'Progetto del paramento slu'!$G$54,'Progetto del paramento slu'!$G$53)*IF(L1846&lt;0,-1,1)</f>
        <v>153664.85805602249</v>
      </c>
      <c r="S1846" s="553">
        <f>'Foglio deposito bis'!$F$80*IF(ABS(M1846)&lt;'Progetto del paramento slu'!$G$58,ABS(M1846)*'Progetto del paramento slu'!$G$54,'Progetto del paramento slu'!$G$53)*IF(M1846&lt;0,-1,1)</f>
        <v>0</v>
      </c>
      <c r="T1846" s="553">
        <f>'Foglio deposito bis'!$F$81*IF(ABS(N1846)&lt;'Progetto del paramento slu'!$G$58,ABS(N1846)*'Progetto del paramento slu'!$G$54,'Progetto del paramento slu'!$G$53)*IF(N1846&lt;0,-1,1)</f>
        <v>398299.31208121032</v>
      </c>
      <c r="U1846" s="553">
        <f>'Foglio deposito bis'!$F$82*IF(ABS(O1846)&lt;'Progetto del paramento slu'!$G$58,ABS(O1846)*'Progetto del paramento slu'!$G$54,'Progetto del paramento slu'!$G$53)*IF(O1846&lt;0,-1,1)</f>
        <v>892485.49558937876</v>
      </c>
      <c r="V1846" s="479">
        <f t="shared" si="136"/>
        <v>1118271.9398845364</v>
      </c>
      <c r="W1846" s="559"/>
      <c r="X1846" s="559"/>
    </row>
    <row r="1847" spans="1:24" x14ac:dyDescent="0.25">
      <c r="A1847" s="553">
        <f t="shared" si="135"/>
        <v>1106827.1073988494</v>
      </c>
      <c r="B1847" s="3">
        <f t="shared" si="138"/>
        <v>5.8999999999999906</v>
      </c>
      <c r="C1847" s="553">
        <f>'Foglio deposito bis'!$E$160/sezione!$B$247*B1847</f>
        <v>23.95184400046837</v>
      </c>
      <c r="D1847" s="611">
        <f>-'Progetto del paramento slu'!$G$47*'Progetto del paramento slu'!$G$41*IF(DATI!$G$218="dx",DATI!$E$61,DATI!$E$64*DATI!$E$63)*1000*C1847^2*sezione!$AD$5*(1-sezione!$AD$6)</f>
        <v>-4722622.7832936654</v>
      </c>
      <c r="E1847" s="553">
        <f>-'Foglio deposito bis'!$F$78*(C1847-sezione!$AL$34)*IF(ABS(K1847)&lt;'Progetto del paramento slu'!$G$58,ABS(K1847)*'Progetto del paramento slu'!$G$54,'Progetto del paramento slu'!$G$53)</f>
        <v>0</v>
      </c>
      <c r="F1847" s="553">
        <f>-'Foglio deposito bis'!$F$79*(C1847-sezione!$AM$34)*IF(ABS(L1847)&lt;'Progetto del paramento slu'!$G$58,ABS(L1847)*'Progetto del paramento slu'!$G$54,'Progetto del paramento slu'!$G$53)</f>
        <v>19369171.999891408</v>
      </c>
      <c r="G1847" s="553">
        <f>-'Foglio deposito bis'!$F$80*(C1847-sezione!$AN$34)*IF(ABS(M1847)&lt;'Progetto del paramento slu'!$G$58,ABS(M1847)*'Progetto del paramento slu'!$G$54,'Progetto del paramento slu'!$G$53)</f>
        <v>0</v>
      </c>
      <c r="H1847" s="553">
        <f>-'Foglio deposito bis'!$F$81*(C1847-sezione!$AO$34)*IF(ABS(N1847)&lt;'Progetto del paramento slu'!$G$58,ABS(N1847)*'Progetto del paramento slu'!$G$54,'Progetto del paramento slu'!$G$53)</f>
        <v>125881763.11914848</v>
      </c>
      <c r="I1847" s="479">
        <f>-'Foglio deposito bis'!$F$82*(C1847-sezione!$AP$34)*IF(ABS(O1847)&lt;'Progetto del paramento slu'!$G$58,ABS(O1847)*'Progetto del paramento slu'!$G$54,'Progetto del paramento slu'!$G$53)</f>
        <v>210675798.59787425</v>
      </c>
      <c r="J1847" s="479">
        <f t="shared" si="134"/>
        <v>351204110.93362045</v>
      </c>
      <c r="K1847" s="558">
        <f>'Progetto del paramento slu'!$G$60*(sezione!$AL$34-C1847)/C1847</f>
        <v>2.3450614490167169E-3</v>
      </c>
      <c r="L1847" s="558">
        <f>'Progetto del paramento slu'!$G$60*(sezione!$AM$34-C1847)/C1847</f>
        <v>1.8418980433812689E-2</v>
      </c>
      <c r="M1847" s="559">
        <f>'Progetto del paramento slu'!$G$60*(sezione!$AN$34-C1847)/C1847</f>
        <v>3.4492899418608655E-2</v>
      </c>
      <c r="N1847" s="559">
        <f>'Progetto del paramento slu'!$G$60*(sezione!$AO$34-C1847)/C1847</f>
        <v>4.6183022316642092E-2</v>
      </c>
      <c r="O1847" s="559">
        <f>'Progetto del paramento slu'!$G$60*(sezione!$AP$34-C1847)/C1847</f>
        <v>3.4493921601830783E-2</v>
      </c>
      <c r="P1847" s="553">
        <f>-'Progetto del paramento slu'!$G$47*'Progetto del paramento slu'!$G$41*IF(DATI!$G$218="dx",DATI!$E$61,DATI!$E$64*DATI!$E$63)*1000*C1847*sezione!$AD$5</f>
        <v>-337622.55832776206</v>
      </c>
      <c r="Q1847" s="553">
        <f>'Foglio deposito bis'!$F$78*IF(ABS(K1847)&lt;'Progetto del paramento slu'!$G$58,ABS(K1847)*'Progetto del paramento slu'!$G$54,'Progetto del paramento slu'!$G$53)*IF(K1847&lt;0,-1,1)</f>
        <v>0</v>
      </c>
      <c r="R1847" s="553">
        <f>'Foglio deposito bis'!$F$79*IF(ABS(L1847)&lt;'Progetto del paramento slu'!$G$58,ABS(L1847)*'Progetto del paramento slu'!$G$54,'Progetto del paramento slu'!$G$53)*IF(L1847&lt;0,-1,1)</f>
        <v>153664.85805602249</v>
      </c>
      <c r="S1847" s="553">
        <f>'Foglio deposito bis'!$F$80*IF(ABS(M1847)&lt;'Progetto del paramento slu'!$G$58,ABS(M1847)*'Progetto del paramento slu'!$G$54,'Progetto del paramento slu'!$G$53)*IF(M1847&lt;0,-1,1)</f>
        <v>0</v>
      </c>
      <c r="T1847" s="553">
        <f>'Foglio deposito bis'!$F$81*IF(ABS(N1847)&lt;'Progetto del paramento slu'!$G$58,ABS(N1847)*'Progetto del paramento slu'!$G$54,'Progetto del paramento slu'!$G$53)*IF(N1847&lt;0,-1,1)</f>
        <v>398299.31208121032</v>
      </c>
      <c r="U1847" s="553">
        <f>'Foglio deposito bis'!$F$82*IF(ABS(O1847)&lt;'Progetto del paramento slu'!$G$58,ABS(O1847)*'Progetto del paramento slu'!$G$54,'Progetto del paramento slu'!$G$53)*IF(O1847&lt;0,-1,1)</f>
        <v>892485.49558937876</v>
      </c>
      <c r="V1847" s="479">
        <f t="shared" si="136"/>
        <v>1106827.1073988494</v>
      </c>
      <c r="W1847" s="559"/>
      <c r="X1847" s="559"/>
    </row>
    <row r="1848" spans="1:24" x14ac:dyDescent="0.25">
      <c r="A1848" s="553">
        <f t="shared" si="135"/>
        <v>1095382.2749131625</v>
      </c>
      <c r="B1848" s="3">
        <f t="shared" si="138"/>
        <v>6.0999999999999908</v>
      </c>
      <c r="C1848" s="553">
        <f>'Foglio deposito bis'!$E$160/sezione!$B$247*B1848</f>
        <v>24.763770915738487</v>
      </c>
      <c r="D1848" s="611">
        <f>-'Progetto del paramento slu'!$G$47*'Progetto del paramento slu'!$G$41*IF(DATI!$G$218="dx",DATI!$E$61,DATI!$E$64*DATI!$E$63)*1000*C1848^2*sezione!$AD$5*(1-sezione!$AD$6)</f>
        <v>-5048227.3417511443</v>
      </c>
      <c r="E1848" s="553">
        <f>-'Foglio deposito bis'!$F$78*(C1848-sezione!$AL$34)*IF(ABS(K1848)&lt;'Progetto del paramento slu'!$G$58,ABS(K1848)*'Progetto del paramento slu'!$G$54,'Progetto del paramento slu'!$G$53)</f>
        <v>0</v>
      </c>
      <c r="F1848" s="553">
        <f>-'Foglio deposito bis'!$F$79*(C1848-sezione!$AM$34)*IF(ABS(L1848)&lt;'Progetto del paramento slu'!$G$58,ABS(L1848)*'Progetto del paramento slu'!$G$54,'Progetto del paramento slu'!$G$53)</f>
        <v>19244407.365704563</v>
      </c>
      <c r="G1848" s="553">
        <f>-'Foglio deposito bis'!$F$80*(C1848-sezione!$AN$34)*IF(ABS(M1848)&lt;'Progetto del paramento slu'!$G$58,ABS(M1848)*'Progetto del paramento slu'!$G$54,'Progetto del paramento slu'!$G$53)</f>
        <v>0</v>
      </c>
      <c r="H1848" s="553">
        <f>-'Foglio deposito bis'!$F$81*(C1848-sezione!$AO$34)*IF(ABS(N1848)&lt;'Progetto del paramento slu'!$G$58,ABS(N1848)*'Progetto del paramento slu'!$G$54,'Progetto del paramento slu'!$G$53)</f>
        <v>125558373.18733621</v>
      </c>
      <c r="I1848" s="479">
        <f>-'Foglio deposito bis'!$F$82*(C1848-sezione!$AP$34)*IF(ABS(O1848)&lt;'Progetto del paramento slu'!$G$58,ABS(O1848)*'Progetto del paramento slu'!$G$54,'Progetto del paramento slu'!$G$53)</f>
        <v>209951165.60251707</v>
      </c>
      <c r="J1848" s="479">
        <f t="shared" si="134"/>
        <v>349705718.81380665</v>
      </c>
      <c r="K1848" s="558">
        <f>'Progetto del paramento slu'!$G$60*(sezione!$AL$34-C1848)/C1848</f>
        <v>2.1534200900325613E-3</v>
      </c>
      <c r="L1848" s="558">
        <f>'Progetto del paramento slu'!$G$60*(sezione!$AM$34-C1848)/C1848</f>
        <v>1.7700325337622103E-2</v>
      </c>
      <c r="M1848" s="559">
        <f>'Progetto del paramento slu'!$G$60*(sezione!$AN$34-C1848)/C1848</f>
        <v>3.3247230585211653E-2</v>
      </c>
      <c r="N1848" s="559">
        <f>'Progetto del paramento slu'!$G$60*(sezione!$AO$34-C1848)/C1848</f>
        <v>4.4554070765276774E-2</v>
      </c>
      <c r="O1848" s="559">
        <f>'Progetto del paramento slu'!$G$60*(sezione!$AP$34-C1848)/C1848</f>
        <v>3.3248219254229772E-2</v>
      </c>
      <c r="P1848" s="553">
        <f>-'Progetto del paramento slu'!$G$47*'Progetto del paramento slu'!$G$41*IF(DATI!$G$218="dx",DATI!$E$61,DATI!$E$64*DATI!$E$63)*1000*C1848*sezione!$AD$5</f>
        <v>-349067.39081344899</v>
      </c>
      <c r="Q1848" s="553">
        <f>'Foglio deposito bis'!$F$78*IF(ABS(K1848)&lt;'Progetto del paramento slu'!$G$58,ABS(K1848)*'Progetto del paramento slu'!$G$54,'Progetto del paramento slu'!$G$53)*IF(K1848&lt;0,-1,1)</f>
        <v>0</v>
      </c>
      <c r="R1848" s="553">
        <f>'Foglio deposito bis'!$F$79*IF(ABS(L1848)&lt;'Progetto del paramento slu'!$G$58,ABS(L1848)*'Progetto del paramento slu'!$G$54,'Progetto del paramento slu'!$G$53)*IF(L1848&lt;0,-1,1)</f>
        <v>153664.85805602249</v>
      </c>
      <c r="S1848" s="553">
        <f>'Foglio deposito bis'!$F$80*IF(ABS(M1848)&lt;'Progetto del paramento slu'!$G$58,ABS(M1848)*'Progetto del paramento slu'!$G$54,'Progetto del paramento slu'!$G$53)*IF(M1848&lt;0,-1,1)</f>
        <v>0</v>
      </c>
      <c r="T1848" s="553">
        <f>'Foglio deposito bis'!$F$81*IF(ABS(N1848)&lt;'Progetto del paramento slu'!$G$58,ABS(N1848)*'Progetto del paramento slu'!$G$54,'Progetto del paramento slu'!$G$53)*IF(N1848&lt;0,-1,1)</f>
        <v>398299.31208121032</v>
      </c>
      <c r="U1848" s="553">
        <f>'Foglio deposito bis'!$F$82*IF(ABS(O1848)&lt;'Progetto del paramento slu'!$G$58,ABS(O1848)*'Progetto del paramento slu'!$G$54,'Progetto del paramento slu'!$G$53)*IF(O1848&lt;0,-1,1)</f>
        <v>892485.49558937876</v>
      </c>
      <c r="V1848" s="479">
        <f t="shared" si="136"/>
        <v>1095382.2749131625</v>
      </c>
      <c r="W1848" s="559"/>
      <c r="X1848" s="559"/>
    </row>
    <row r="1849" spans="1:24" x14ac:dyDescent="0.25">
      <c r="A1849" s="553">
        <f t="shared" si="135"/>
        <v>1083937.4424274757</v>
      </c>
      <c r="B1849" s="3">
        <f t="shared" si="138"/>
        <v>6.2999999999999909</v>
      </c>
      <c r="C1849" s="553">
        <f>'Foglio deposito bis'!$E$160/sezione!$B$247*B1849</f>
        <v>25.575697831008604</v>
      </c>
      <c r="D1849" s="611">
        <f>-'Progetto del paramento slu'!$G$47*'Progetto del paramento slu'!$G$41*IF(DATI!$G$218="dx",DATI!$E$61,DATI!$E$64*DATI!$E$63)*1000*C1849^2*sezione!$AD$5*(1-sezione!$AD$6)</f>
        <v>-5384685.3854905395</v>
      </c>
      <c r="E1849" s="553">
        <f>-'Foglio deposito bis'!$F$78*(C1849-sezione!$AL$34)*IF(ABS(K1849)&lt;'Progetto del paramento slu'!$G$58,ABS(K1849)*'Progetto del paramento slu'!$G$54,'Progetto del paramento slu'!$G$53)</f>
        <v>0</v>
      </c>
      <c r="F1849" s="553">
        <f>-'Foglio deposito bis'!$F$79*(C1849-sezione!$AM$34)*IF(ABS(L1849)&lt;'Progetto del paramento slu'!$G$58,ABS(L1849)*'Progetto del paramento slu'!$G$54,'Progetto del paramento slu'!$G$53)</f>
        <v>19119642.731517717</v>
      </c>
      <c r="G1849" s="553">
        <f>-'Foglio deposito bis'!$F$80*(C1849-sezione!$AN$34)*IF(ABS(M1849)&lt;'Progetto del paramento slu'!$G$58,ABS(M1849)*'Progetto del paramento slu'!$G$54,'Progetto del paramento slu'!$G$53)</f>
        <v>0</v>
      </c>
      <c r="H1849" s="553">
        <f>-'Foglio deposito bis'!$F$81*(C1849-sezione!$AO$34)*IF(ABS(N1849)&lt;'Progetto del paramento slu'!$G$58,ABS(N1849)*'Progetto del paramento slu'!$G$54,'Progetto del paramento slu'!$G$53)</f>
        <v>125234983.25552389</v>
      </c>
      <c r="I1849" s="479">
        <f>-'Foglio deposito bis'!$F$82*(C1849-sezione!$AP$34)*IF(ABS(O1849)&lt;'Progetto del paramento slu'!$G$58,ABS(O1849)*'Progetto del paramento slu'!$G$54,'Progetto del paramento slu'!$G$53)</f>
        <v>209226532.60715985</v>
      </c>
      <c r="J1849" s="479">
        <f t="shared" si="134"/>
        <v>348196473.20871091</v>
      </c>
      <c r="K1849" s="558">
        <f>'Progetto del paramento slu'!$G$60*(sezione!$AL$34-C1849)/C1849</f>
        <v>1.9739464363807335E-3</v>
      </c>
      <c r="L1849" s="558">
        <f>'Progetto del paramento slu'!$G$60*(sezione!$AM$34-C1849)/C1849</f>
        <v>1.7027299136427754E-2</v>
      </c>
      <c r="M1849" s="559">
        <f>'Progetto del paramento slu'!$G$60*(sezione!$AN$34-C1849)/C1849</f>
        <v>3.2080651836474766E-2</v>
      </c>
      <c r="N1849" s="559">
        <f>'Progetto del paramento slu'!$G$60*(sezione!$AO$34-C1849)/C1849</f>
        <v>4.3028544709236234E-2</v>
      </c>
      <c r="O1849" s="559">
        <f>'Progetto del paramento slu'!$G$60*(sezione!$AP$34-C1849)/C1849</f>
        <v>3.2081609119174855E-2</v>
      </c>
      <c r="P1849" s="553">
        <f>-'Progetto del paramento slu'!$G$47*'Progetto del paramento slu'!$G$41*IF(DATI!$G$218="dx",DATI!$E$61,DATI!$E$64*DATI!$E$63)*1000*C1849*sezione!$AD$5</f>
        <v>-360512.22329913586</v>
      </c>
      <c r="Q1849" s="553">
        <f>'Foglio deposito bis'!$F$78*IF(ABS(K1849)&lt;'Progetto del paramento slu'!$G$58,ABS(K1849)*'Progetto del paramento slu'!$G$54,'Progetto del paramento slu'!$G$53)*IF(K1849&lt;0,-1,1)</f>
        <v>0</v>
      </c>
      <c r="R1849" s="553">
        <f>'Foglio deposito bis'!$F$79*IF(ABS(L1849)&lt;'Progetto del paramento slu'!$G$58,ABS(L1849)*'Progetto del paramento slu'!$G$54,'Progetto del paramento slu'!$G$53)*IF(L1849&lt;0,-1,1)</f>
        <v>153664.85805602249</v>
      </c>
      <c r="S1849" s="553">
        <f>'Foglio deposito bis'!$F$80*IF(ABS(M1849)&lt;'Progetto del paramento slu'!$G$58,ABS(M1849)*'Progetto del paramento slu'!$G$54,'Progetto del paramento slu'!$G$53)*IF(M1849&lt;0,-1,1)</f>
        <v>0</v>
      </c>
      <c r="T1849" s="553">
        <f>'Foglio deposito bis'!$F$81*IF(ABS(N1849)&lt;'Progetto del paramento slu'!$G$58,ABS(N1849)*'Progetto del paramento slu'!$G$54,'Progetto del paramento slu'!$G$53)*IF(N1849&lt;0,-1,1)</f>
        <v>398299.31208121032</v>
      </c>
      <c r="U1849" s="553">
        <f>'Foglio deposito bis'!$F$82*IF(ABS(O1849)&lt;'Progetto del paramento slu'!$G$58,ABS(O1849)*'Progetto del paramento slu'!$G$54,'Progetto del paramento slu'!$G$53)*IF(O1849&lt;0,-1,1)</f>
        <v>892485.49558937876</v>
      </c>
      <c r="V1849" s="479">
        <f t="shared" si="136"/>
        <v>1083937.4424274757</v>
      </c>
      <c r="W1849" s="559"/>
      <c r="X1849" s="559"/>
    </row>
    <row r="1850" spans="1:24" x14ac:dyDescent="0.25">
      <c r="A1850" s="553">
        <f t="shared" si="135"/>
        <v>1072492.6099417887</v>
      </c>
      <c r="B1850" s="3">
        <f t="shared" si="138"/>
        <v>6.4999999999999911</v>
      </c>
      <c r="C1850" s="553">
        <f>'Foglio deposito bis'!$E$160/sezione!$B$247*B1850</f>
        <v>26.387624746278721</v>
      </c>
      <c r="D1850" s="611">
        <f>-'Progetto del paramento slu'!$G$47*'Progetto del paramento slu'!$G$41*IF(DATI!$G$218="dx",DATI!$E$61,DATI!$E$64*DATI!$E$63)*1000*C1850^2*sezione!$AD$5*(1-sezione!$AD$6)</f>
        <v>-5731996.9145118492</v>
      </c>
      <c r="E1850" s="553">
        <f>-'Foglio deposito bis'!$F$78*(C1850-sezione!$AL$34)*IF(ABS(K1850)&lt;'Progetto del paramento slu'!$G$58,ABS(K1850)*'Progetto del paramento slu'!$G$54,'Progetto del paramento slu'!$G$53)</f>
        <v>0</v>
      </c>
      <c r="F1850" s="553">
        <f>-'Foglio deposito bis'!$F$79*(C1850-sezione!$AM$34)*IF(ABS(L1850)&lt;'Progetto del paramento slu'!$G$58,ABS(L1850)*'Progetto del paramento slu'!$G$54,'Progetto del paramento slu'!$G$53)</f>
        <v>18994878.097330868</v>
      </c>
      <c r="G1850" s="553">
        <f>-'Foglio deposito bis'!$F$80*(C1850-sezione!$AN$34)*IF(ABS(M1850)&lt;'Progetto del paramento slu'!$G$58,ABS(M1850)*'Progetto del paramento slu'!$G$54,'Progetto del paramento slu'!$G$53)</f>
        <v>0</v>
      </c>
      <c r="H1850" s="553">
        <f>-'Foglio deposito bis'!$F$81*(C1850-sezione!$AO$34)*IF(ABS(N1850)&lt;'Progetto del paramento slu'!$G$58,ABS(N1850)*'Progetto del paramento slu'!$G$54,'Progetto del paramento slu'!$G$53)</f>
        <v>124911593.32371157</v>
      </c>
      <c r="I1850" s="479">
        <f>-'Foglio deposito bis'!$F$82*(C1850-sezione!$AP$34)*IF(ABS(O1850)&lt;'Progetto del paramento slu'!$G$58,ABS(O1850)*'Progetto del paramento slu'!$G$54,'Progetto del paramento slu'!$G$53)</f>
        <v>208501899.61180267</v>
      </c>
      <c r="J1850" s="479">
        <f t="shared" si="134"/>
        <v>346676374.11833322</v>
      </c>
      <c r="K1850" s="558">
        <f>'Progetto del paramento slu'!$G$60*(sezione!$AL$34-C1850)/C1850</f>
        <v>1.8055173152613255E-3</v>
      </c>
      <c r="L1850" s="558">
        <f>'Progetto del paramento slu'!$G$60*(sezione!$AM$34-C1850)/C1850</f>
        <v>1.6395689932229972E-2</v>
      </c>
      <c r="M1850" s="559">
        <f>'Progetto del paramento slu'!$G$60*(sezione!$AN$34-C1850)/C1850</f>
        <v>3.0985862549198613E-2</v>
      </c>
      <c r="N1850" s="559">
        <f>'Progetto del paramento slu'!$G$60*(sezione!$AO$34-C1850)/C1850</f>
        <v>4.1596897179721273E-2</v>
      </c>
      <c r="O1850" s="559">
        <f>'Progetto del paramento slu'!$G$60*(sezione!$AP$34-C1850)/C1850</f>
        <v>3.0986790377046391E-2</v>
      </c>
      <c r="P1850" s="553">
        <f>-'Progetto del paramento slu'!$G$47*'Progetto del paramento slu'!$G$41*IF(DATI!$G$218="dx",DATI!$E$61,DATI!$E$64*DATI!$E$63)*1000*C1850*sezione!$AD$5</f>
        <v>-371957.05578482279</v>
      </c>
      <c r="Q1850" s="553">
        <f>'Foglio deposito bis'!$F$78*IF(ABS(K1850)&lt;'Progetto del paramento slu'!$G$58,ABS(K1850)*'Progetto del paramento slu'!$G$54,'Progetto del paramento slu'!$G$53)*IF(K1850&lt;0,-1,1)</f>
        <v>0</v>
      </c>
      <c r="R1850" s="553">
        <f>'Foglio deposito bis'!$F$79*IF(ABS(L1850)&lt;'Progetto del paramento slu'!$G$58,ABS(L1850)*'Progetto del paramento slu'!$G$54,'Progetto del paramento slu'!$G$53)*IF(L1850&lt;0,-1,1)</f>
        <v>153664.85805602249</v>
      </c>
      <c r="S1850" s="553">
        <f>'Foglio deposito bis'!$F$80*IF(ABS(M1850)&lt;'Progetto del paramento slu'!$G$58,ABS(M1850)*'Progetto del paramento slu'!$G$54,'Progetto del paramento slu'!$G$53)*IF(M1850&lt;0,-1,1)</f>
        <v>0</v>
      </c>
      <c r="T1850" s="553">
        <f>'Foglio deposito bis'!$F$81*IF(ABS(N1850)&lt;'Progetto del paramento slu'!$G$58,ABS(N1850)*'Progetto del paramento slu'!$G$54,'Progetto del paramento slu'!$G$53)*IF(N1850&lt;0,-1,1)</f>
        <v>398299.31208121032</v>
      </c>
      <c r="U1850" s="553">
        <f>'Foglio deposito bis'!$F$82*IF(ABS(O1850)&lt;'Progetto del paramento slu'!$G$58,ABS(O1850)*'Progetto del paramento slu'!$G$54,'Progetto del paramento slu'!$G$53)*IF(O1850&lt;0,-1,1)</f>
        <v>892485.49558937876</v>
      </c>
      <c r="V1850" s="479">
        <f t="shared" si="136"/>
        <v>1072492.6099417887</v>
      </c>
      <c r="W1850" s="559"/>
      <c r="X1850" s="559"/>
    </row>
    <row r="1851" spans="1:24" x14ac:dyDescent="0.25">
      <c r="A1851" s="553">
        <f t="shared" si="135"/>
        <v>1061047.777456102</v>
      </c>
      <c r="B1851" s="3">
        <f t="shared" si="138"/>
        <v>6.6999999999999913</v>
      </c>
      <c r="C1851" s="553">
        <f>'Foglio deposito bis'!$E$160/sezione!$B$247*B1851</f>
        <v>27.199551661548835</v>
      </c>
      <c r="D1851" s="611">
        <f>-'Progetto del paramento slu'!$G$47*'Progetto del paramento slu'!$G$41*IF(DATI!$G$218="dx",DATI!$E$61,DATI!$E$64*DATI!$E$63)*1000*C1851^2*sezione!$AD$5*(1-sezione!$AD$6)</f>
        <v>-6090161.9288150761</v>
      </c>
      <c r="E1851" s="553">
        <f>-'Foglio deposito bis'!$F$78*(C1851-sezione!$AL$34)*IF(ABS(K1851)&lt;'Progetto del paramento slu'!$G$58,ABS(K1851)*'Progetto del paramento slu'!$G$54,'Progetto del paramento slu'!$G$53)</f>
        <v>0</v>
      </c>
      <c r="F1851" s="553">
        <f>-'Foglio deposito bis'!$F$79*(C1851-sezione!$AM$34)*IF(ABS(L1851)&lt;'Progetto del paramento slu'!$G$58,ABS(L1851)*'Progetto del paramento slu'!$G$54,'Progetto del paramento slu'!$G$53)</f>
        <v>18870113.463144023</v>
      </c>
      <c r="G1851" s="553">
        <f>-'Foglio deposito bis'!$F$80*(C1851-sezione!$AN$34)*IF(ABS(M1851)&lt;'Progetto del paramento slu'!$G$58,ABS(M1851)*'Progetto del paramento slu'!$G$54,'Progetto del paramento slu'!$G$53)</f>
        <v>0</v>
      </c>
      <c r="H1851" s="553">
        <f>-'Foglio deposito bis'!$F$81*(C1851-sezione!$AO$34)*IF(ABS(N1851)&lt;'Progetto del paramento slu'!$G$58,ABS(N1851)*'Progetto del paramento slu'!$G$54,'Progetto del paramento slu'!$G$53)</f>
        <v>124588203.39189927</v>
      </c>
      <c r="I1851" s="479">
        <f>-'Foglio deposito bis'!$F$82*(C1851-sezione!$AP$34)*IF(ABS(O1851)&lt;'Progetto del paramento slu'!$G$58,ABS(O1851)*'Progetto del paramento slu'!$G$54,'Progetto del paramento slu'!$G$53)</f>
        <v>207777266.61644548</v>
      </c>
      <c r="J1851" s="479">
        <f t="shared" si="134"/>
        <v>345145421.54267371</v>
      </c>
      <c r="K1851" s="558">
        <f>'Progetto del paramento slu'!$G$60*(sezione!$AL$34-C1851)/C1851</f>
        <v>1.6471436640594953E-3</v>
      </c>
      <c r="L1851" s="558">
        <f>'Progetto del paramento slu'!$G$60*(sezione!$AM$34-C1851)/C1851</f>
        <v>1.5801788740223106E-2</v>
      </c>
      <c r="M1851" s="559">
        <f>'Progetto del paramento slu'!$G$60*(sezione!$AN$34-C1851)/C1851</f>
        <v>2.995643381638672E-2</v>
      </c>
      <c r="N1851" s="559">
        <f>'Progetto del paramento slu'!$G$60*(sezione!$AO$34-C1851)/C1851</f>
        <v>4.0250721144505709E-2</v>
      </c>
      <c r="O1851" s="559">
        <f>'Progetto del paramento slu'!$G$60*(sezione!$AP$34-C1851)/C1851</f>
        <v>2.9957333947880832E-2</v>
      </c>
      <c r="P1851" s="553">
        <f>-'Progetto del paramento slu'!$G$47*'Progetto del paramento slu'!$G$41*IF(DATI!$G$218="dx",DATI!$E$61,DATI!$E$64*DATI!$E$63)*1000*C1851*sezione!$AD$5</f>
        <v>-383401.8882705096</v>
      </c>
      <c r="Q1851" s="553">
        <f>'Foglio deposito bis'!$F$78*IF(ABS(K1851)&lt;'Progetto del paramento slu'!$G$58,ABS(K1851)*'Progetto del paramento slu'!$G$54,'Progetto del paramento slu'!$G$53)*IF(K1851&lt;0,-1,1)</f>
        <v>0</v>
      </c>
      <c r="R1851" s="553">
        <f>'Foglio deposito bis'!$F$79*IF(ABS(L1851)&lt;'Progetto del paramento slu'!$G$58,ABS(L1851)*'Progetto del paramento slu'!$G$54,'Progetto del paramento slu'!$G$53)*IF(L1851&lt;0,-1,1)</f>
        <v>153664.85805602249</v>
      </c>
      <c r="S1851" s="553">
        <f>'Foglio deposito bis'!$F$80*IF(ABS(M1851)&lt;'Progetto del paramento slu'!$G$58,ABS(M1851)*'Progetto del paramento slu'!$G$54,'Progetto del paramento slu'!$G$53)*IF(M1851&lt;0,-1,1)</f>
        <v>0</v>
      </c>
      <c r="T1851" s="553">
        <f>'Foglio deposito bis'!$F$81*IF(ABS(N1851)&lt;'Progetto del paramento slu'!$G$58,ABS(N1851)*'Progetto del paramento slu'!$G$54,'Progetto del paramento slu'!$G$53)*IF(N1851&lt;0,-1,1)</f>
        <v>398299.31208121032</v>
      </c>
      <c r="U1851" s="553">
        <f>'Foglio deposito bis'!$F$82*IF(ABS(O1851)&lt;'Progetto del paramento slu'!$G$58,ABS(O1851)*'Progetto del paramento slu'!$G$54,'Progetto del paramento slu'!$G$53)*IF(O1851&lt;0,-1,1)</f>
        <v>892485.49558937876</v>
      </c>
      <c r="V1851" s="479">
        <f t="shared" si="136"/>
        <v>1061047.777456102</v>
      </c>
      <c r="W1851" s="559"/>
      <c r="X1851" s="559"/>
    </row>
    <row r="1852" spans="1:24" x14ac:dyDescent="0.25">
      <c r="A1852" s="553">
        <f t="shared" si="135"/>
        <v>1049602.944970415</v>
      </c>
      <c r="B1852" s="3">
        <f t="shared" si="138"/>
        <v>6.8999999999999915</v>
      </c>
      <c r="C1852" s="553">
        <f>'Foglio deposito bis'!$E$160/sezione!$B$247*B1852</f>
        <v>28.011478576818952</v>
      </c>
      <c r="D1852" s="611">
        <f>-'Progetto del paramento slu'!$G$47*'Progetto del paramento slu'!$G$41*IF(DATI!$G$218="dx",DATI!$E$61,DATI!$E$64*DATI!$E$63)*1000*C1852^2*sezione!$AD$5*(1-sezione!$AD$6)</f>
        <v>-6459180.4284002185</v>
      </c>
      <c r="E1852" s="553">
        <f>-'Foglio deposito bis'!$F$78*(C1852-sezione!$AL$34)*IF(ABS(K1852)&lt;'Progetto del paramento slu'!$G$58,ABS(K1852)*'Progetto del paramento slu'!$G$54,'Progetto del paramento slu'!$G$53)</f>
        <v>0</v>
      </c>
      <c r="F1852" s="553">
        <f>-'Foglio deposito bis'!$F$79*(C1852-sezione!$AM$34)*IF(ABS(L1852)&lt;'Progetto del paramento slu'!$G$58,ABS(L1852)*'Progetto del paramento slu'!$G$54,'Progetto del paramento slu'!$G$53)</f>
        <v>18745348.828957174</v>
      </c>
      <c r="G1852" s="553">
        <f>-'Foglio deposito bis'!$F$80*(C1852-sezione!$AN$34)*IF(ABS(M1852)&lt;'Progetto del paramento slu'!$G$58,ABS(M1852)*'Progetto del paramento slu'!$G$54,'Progetto del paramento slu'!$G$53)</f>
        <v>0</v>
      </c>
      <c r="H1852" s="553">
        <f>-'Foglio deposito bis'!$F$81*(C1852-sezione!$AO$34)*IF(ABS(N1852)&lt;'Progetto del paramento slu'!$G$58,ABS(N1852)*'Progetto del paramento slu'!$G$54,'Progetto del paramento slu'!$G$53)</f>
        <v>124264813.46008696</v>
      </c>
      <c r="I1852" s="479">
        <f>-'Foglio deposito bis'!$F$82*(C1852-sezione!$AP$34)*IF(ABS(O1852)&lt;'Progetto del paramento slu'!$G$58,ABS(O1852)*'Progetto del paramento slu'!$G$54,'Progetto del paramento slu'!$G$53)</f>
        <v>207052633.62108827</v>
      </c>
      <c r="J1852" s="479">
        <f t="shared" si="134"/>
        <v>343603615.48173219</v>
      </c>
      <c r="K1852" s="558">
        <f>'Progetto del paramento slu'!$G$60*(sezione!$AL$34-C1852)/C1852</f>
        <v>1.4979510940867557E-3</v>
      </c>
      <c r="L1852" s="558">
        <f>'Progetto del paramento slu'!$G$60*(sezione!$AM$34-C1852)/C1852</f>
        <v>1.5242316602825335E-2</v>
      </c>
      <c r="M1852" s="559">
        <f>'Progetto del paramento slu'!$G$60*(sezione!$AN$34-C1852)/C1852</f>
        <v>2.8986682111563914E-2</v>
      </c>
      <c r="N1852" s="559">
        <f>'Progetto del paramento slu'!$G$60*(sezione!$AO$34-C1852)/C1852</f>
        <v>3.898258429973743E-2</v>
      </c>
      <c r="O1852" s="559">
        <f>'Progetto del paramento slu'!$G$60*(sezione!$AP$34-C1852)/C1852</f>
        <v>2.8987556152290078E-2</v>
      </c>
      <c r="P1852" s="553">
        <f>-'Progetto del paramento slu'!$G$47*'Progetto del paramento slu'!$G$41*IF(DATI!$G$218="dx",DATI!$E$61,DATI!$E$64*DATI!$E$63)*1000*C1852*sezione!$AD$5</f>
        <v>-394846.72075619653</v>
      </c>
      <c r="Q1852" s="553">
        <f>'Foglio deposito bis'!$F$78*IF(ABS(K1852)&lt;'Progetto del paramento slu'!$G$58,ABS(K1852)*'Progetto del paramento slu'!$G$54,'Progetto del paramento slu'!$G$53)*IF(K1852&lt;0,-1,1)</f>
        <v>0</v>
      </c>
      <c r="R1852" s="553">
        <f>'Foglio deposito bis'!$F$79*IF(ABS(L1852)&lt;'Progetto del paramento slu'!$G$58,ABS(L1852)*'Progetto del paramento slu'!$G$54,'Progetto del paramento slu'!$G$53)*IF(L1852&lt;0,-1,1)</f>
        <v>153664.85805602249</v>
      </c>
      <c r="S1852" s="553">
        <f>'Foglio deposito bis'!$F$80*IF(ABS(M1852)&lt;'Progetto del paramento slu'!$G$58,ABS(M1852)*'Progetto del paramento slu'!$G$54,'Progetto del paramento slu'!$G$53)*IF(M1852&lt;0,-1,1)</f>
        <v>0</v>
      </c>
      <c r="T1852" s="553">
        <f>'Foglio deposito bis'!$F$81*IF(ABS(N1852)&lt;'Progetto del paramento slu'!$G$58,ABS(N1852)*'Progetto del paramento slu'!$G$54,'Progetto del paramento slu'!$G$53)*IF(N1852&lt;0,-1,1)</f>
        <v>398299.31208121032</v>
      </c>
      <c r="U1852" s="553">
        <f>'Foglio deposito bis'!$F$82*IF(ABS(O1852)&lt;'Progetto del paramento slu'!$G$58,ABS(O1852)*'Progetto del paramento slu'!$G$54,'Progetto del paramento slu'!$G$53)*IF(O1852&lt;0,-1,1)</f>
        <v>892485.49558937876</v>
      </c>
      <c r="V1852" s="479">
        <f t="shared" si="136"/>
        <v>1049602.944970415</v>
      </c>
      <c r="W1852" s="559"/>
      <c r="X1852" s="559"/>
    </row>
    <row r="1853" spans="1:24" x14ac:dyDescent="0.25">
      <c r="A1853" s="553">
        <f t="shared" si="135"/>
        <v>1038158.1124847282</v>
      </c>
      <c r="B1853" s="3">
        <f t="shared" si="138"/>
        <v>7.0999999999999917</v>
      </c>
      <c r="C1853" s="553">
        <f>'Foglio deposito bis'!$E$160/sezione!$B$247*B1853</f>
        <v>28.823405492089069</v>
      </c>
      <c r="D1853" s="611">
        <f>-'Progetto del paramento slu'!$G$47*'Progetto del paramento slu'!$G$41*IF(DATI!$G$218="dx",DATI!$E$61,DATI!$E$64*DATI!$E$63)*1000*C1853^2*sezione!$AD$5*(1-sezione!$AD$6)</f>
        <v>-6839052.4132672772</v>
      </c>
      <c r="E1853" s="553">
        <f>-'Foglio deposito bis'!$F$78*(C1853-sezione!$AL$34)*IF(ABS(K1853)&lt;'Progetto del paramento slu'!$G$58,ABS(K1853)*'Progetto del paramento slu'!$G$54,'Progetto del paramento slu'!$G$53)</f>
        <v>0</v>
      </c>
      <c r="F1853" s="553">
        <f>-'Foglio deposito bis'!$F$79*(C1853-sezione!$AM$34)*IF(ABS(L1853)&lt;'Progetto del paramento slu'!$G$58,ABS(L1853)*'Progetto del paramento slu'!$G$54,'Progetto del paramento slu'!$G$53)</f>
        <v>18620584.194770329</v>
      </c>
      <c r="G1853" s="553">
        <f>-'Foglio deposito bis'!$F$80*(C1853-sezione!$AN$34)*IF(ABS(M1853)&lt;'Progetto del paramento slu'!$G$58,ABS(M1853)*'Progetto del paramento slu'!$G$54,'Progetto del paramento slu'!$G$53)</f>
        <v>0</v>
      </c>
      <c r="H1853" s="553">
        <f>-'Foglio deposito bis'!$F$81*(C1853-sezione!$AO$34)*IF(ABS(N1853)&lt;'Progetto del paramento slu'!$G$58,ABS(N1853)*'Progetto del paramento slu'!$G$54,'Progetto del paramento slu'!$G$53)</f>
        <v>123941423.52827464</v>
      </c>
      <c r="I1853" s="479">
        <f>-'Foglio deposito bis'!$F$82*(C1853-sezione!$AP$34)*IF(ABS(O1853)&lt;'Progetto del paramento slu'!$G$58,ABS(O1853)*'Progetto del paramento slu'!$G$54,'Progetto del paramento slu'!$G$53)</f>
        <v>206328000.62573102</v>
      </c>
      <c r="J1853" s="479">
        <f t="shared" si="134"/>
        <v>342050955.93550873</v>
      </c>
      <c r="K1853" s="558">
        <f>'Progetto del paramento slu'!$G$60*(sezione!$AL$34-C1853)/C1853</f>
        <v>1.3571637393237483E-3</v>
      </c>
      <c r="L1853" s="558">
        <f>'Progetto del paramento slu'!$G$60*(sezione!$AM$34-C1853)/C1853</f>
        <v>1.4714364022464056E-2</v>
      </c>
      <c r="M1853" s="559">
        <f>'Progetto del paramento slu'!$G$60*(sezione!$AN$34-C1853)/C1853</f>
        <v>2.8071564305604362E-2</v>
      </c>
      <c r="N1853" s="559">
        <f>'Progetto del paramento slu'!$G$60*(sezione!$AO$34-C1853)/C1853</f>
        <v>3.778589178425186E-2</v>
      </c>
      <c r="O1853" s="559">
        <f>'Progetto del paramento slu'!$G$60*(sezione!$AP$34-C1853)/C1853</f>
        <v>2.8072413725465001E-2</v>
      </c>
      <c r="P1853" s="553">
        <f>-'Progetto del paramento slu'!$G$47*'Progetto del paramento slu'!$G$41*IF(DATI!$G$218="dx",DATI!$E$61,DATI!$E$64*DATI!$E$63)*1000*C1853*sezione!$AD$5</f>
        <v>-406291.5532418834</v>
      </c>
      <c r="Q1853" s="553">
        <f>'Foglio deposito bis'!$F$78*IF(ABS(K1853)&lt;'Progetto del paramento slu'!$G$58,ABS(K1853)*'Progetto del paramento slu'!$G$54,'Progetto del paramento slu'!$G$53)*IF(K1853&lt;0,-1,1)</f>
        <v>0</v>
      </c>
      <c r="R1853" s="553">
        <f>'Foglio deposito bis'!$F$79*IF(ABS(L1853)&lt;'Progetto del paramento slu'!$G$58,ABS(L1853)*'Progetto del paramento slu'!$G$54,'Progetto del paramento slu'!$G$53)*IF(L1853&lt;0,-1,1)</f>
        <v>153664.85805602249</v>
      </c>
      <c r="S1853" s="553">
        <f>'Foglio deposito bis'!$F$80*IF(ABS(M1853)&lt;'Progetto del paramento slu'!$G$58,ABS(M1853)*'Progetto del paramento slu'!$G$54,'Progetto del paramento slu'!$G$53)*IF(M1853&lt;0,-1,1)</f>
        <v>0</v>
      </c>
      <c r="T1853" s="553">
        <f>'Foglio deposito bis'!$F$81*IF(ABS(N1853)&lt;'Progetto del paramento slu'!$G$58,ABS(N1853)*'Progetto del paramento slu'!$G$54,'Progetto del paramento slu'!$G$53)*IF(N1853&lt;0,-1,1)</f>
        <v>398299.31208121032</v>
      </c>
      <c r="U1853" s="553">
        <f>'Foglio deposito bis'!$F$82*IF(ABS(O1853)&lt;'Progetto del paramento slu'!$G$58,ABS(O1853)*'Progetto del paramento slu'!$G$54,'Progetto del paramento slu'!$G$53)*IF(O1853&lt;0,-1,1)</f>
        <v>892485.49558937876</v>
      </c>
      <c r="V1853" s="479">
        <f t="shared" si="136"/>
        <v>1038158.1124847282</v>
      </c>
      <c r="W1853" s="559"/>
      <c r="X1853" s="559"/>
    </row>
    <row r="1854" spans="1:24" x14ac:dyDescent="0.25">
      <c r="A1854" s="553">
        <f t="shared" si="135"/>
        <v>1026713.2799990412</v>
      </c>
      <c r="B1854" s="3">
        <f t="shared" si="138"/>
        <v>7.2999999999999918</v>
      </c>
      <c r="C1854" s="553">
        <f>'Foglio deposito bis'!$E$160/sezione!$B$247*B1854</f>
        <v>29.635332407359186</v>
      </c>
      <c r="D1854" s="611">
        <f>-'Progetto del paramento slu'!$G$47*'Progetto del paramento slu'!$G$41*IF(DATI!$G$218="dx",DATI!$E$61,DATI!$E$64*DATI!$E$63)*1000*C1854^2*sezione!$AD$5*(1-sezione!$AD$6)</f>
        <v>-7229777.8834162513</v>
      </c>
      <c r="E1854" s="553">
        <f>-'Foglio deposito bis'!$F$78*(C1854-sezione!$AL$34)*IF(ABS(K1854)&lt;'Progetto del paramento slu'!$G$58,ABS(K1854)*'Progetto del paramento slu'!$G$54,'Progetto del paramento slu'!$G$53)</f>
        <v>0</v>
      </c>
      <c r="F1854" s="553">
        <f>-'Foglio deposito bis'!$F$79*(C1854-sezione!$AM$34)*IF(ABS(L1854)&lt;'Progetto del paramento slu'!$G$58,ABS(L1854)*'Progetto del paramento slu'!$G$54,'Progetto del paramento slu'!$G$53)</f>
        <v>18495819.560583483</v>
      </c>
      <c r="G1854" s="553">
        <f>-'Foglio deposito bis'!$F$80*(C1854-sezione!$AN$34)*IF(ABS(M1854)&lt;'Progetto del paramento slu'!$G$58,ABS(M1854)*'Progetto del paramento slu'!$G$54,'Progetto del paramento slu'!$G$53)</f>
        <v>0</v>
      </c>
      <c r="H1854" s="553">
        <f>-'Foglio deposito bis'!$F$81*(C1854-sezione!$AO$34)*IF(ABS(N1854)&lt;'Progetto del paramento slu'!$G$58,ABS(N1854)*'Progetto del paramento slu'!$G$54,'Progetto del paramento slu'!$G$53)</f>
        <v>123618033.59646234</v>
      </c>
      <c r="I1854" s="479">
        <f>-'Foglio deposito bis'!$F$82*(C1854-sezione!$AP$34)*IF(ABS(O1854)&lt;'Progetto del paramento slu'!$G$58,ABS(O1854)*'Progetto del paramento slu'!$G$54,'Progetto del paramento slu'!$G$53)</f>
        <v>205603367.63037384</v>
      </c>
      <c r="J1854" s="479">
        <f t="shared" si="134"/>
        <v>340487442.90400338</v>
      </c>
      <c r="K1854" s="558">
        <f>'Progetto del paramento slu'!$G$60*(sezione!$AL$34-C1854)/C1854</f>
        <v>1.2240907601641928E-3</v>
      </c>
      <c r="L1854" s="558">
        <f>'Progetto del paramento slu'!$G$60*(sezione!$AM$34-C1854)/C1854</f>
        <v>1.4215340350615724E-2</v>
      </c>
      <c r="M1854" s="559">
        <f>'Progetto del paramento slu'!$G$60*(sezione!$AN$34-C1854)/C1854</f>
        <v>2.7206589941067255E-2</v>
      </c>
      <c r="N1854" s="559">
        <f>'Progetto del paramento slu'!$G$60*(sezione!$AO$34-C1854)/C1854</f>
        <v>3.6654771461395633E-2</v>
      </c>
      <c r="O1854" s="559">
        <f>'Progetto del paramento slu'!$G$60*(sezione!$AP$34-C1854)/C1854</f>
        <v>2.7207416089150893E-2</v>
      </c>
      <c r="P1854" s="553">
        <f>-'Progetto del paramento slu'!$G$47*'Progetto del paramento slu'!$G$41*IF(DATI!$G$218="dx",DATI!$E$61,DATI!$E$64*DATI!$E$63)*1000*C1854*sezione!$AD$5</f>
        <v>-417736.38572757028</v>
      </c>
      <c r="Q1854" s="553">
        <f>'Foglio deposito bis'!$F$78*IF(ABS(K1854)&lt;'Progetto del paramento slu'!$G$58,ABS(K1854)*'Progetto del paramento slu'!$G$54,'Progetto del paramento slu'!$G$53)*IF(K1854&lt;0,-1,1)</f>
        <v>0</v>
      </c>
      <c r="R1854" s="553">
        <f>'Foglio deposito bis'!$F$79*IF(ABS(L1854)&lt;'Progetto del paramento slu'!$G$58,ABS(L1854)*'Progetto del paramento slu'!$G$54,'Progetto del paramento slu'!$G$53)*IF(L1854&lt;0,-1,1)</f>
        <v>153664.85805602249</v>
      </c>
      <c r="S1854" s="553">
        <f>'Foglio deposito bis'!$F$80*IF(ABS(M1854)&lt;'Progetto del paramento slu'!$G$58,ABS(M1854)*'Progetto del paramento slu'!$G$54,'Progetto del paramento slu'!$G$53)*IF(M1854&lt;0,-1,1)</f>
        <v>0</v>
      </c>
      <c r="T1854" s="553">
        <f>'Foglio deposito bis'!$F$81*IF(ABS(N1854)&lt;'Progetto del paramento slu'!$G$58,ABS(N1854)*'Progetto del paramento slu'!$G$54,'Progetto del paramento slu'!$G$53)*IF(N1854&lt;0,-1,1)</f>
        <v>398299.31208121032</v>
      </c>
      <c r="U1854" s="553">
        <f>'Foglio deposito bis'!$F$82*IF(ABS(O1854)&lt;'Progetto del paramento slu'!$G$58,ABS(O1854)*'Progetto del paramento slu'!$G$54,'Progetto del paramento slu'!$G$53)*IF(O1854&lt;0,-1,1)</f>
        <v>892485.49558937876</v>
      </c>
      <c r="V1854" s="479">
        <f t="shared" si="136"/>
        <v>1026713.2799990412</v>
      </c>
      <c r="W1854" s="559"/>
      <c r="X1854" s="559"/>
    </row>
    <row r="1855" spans="1:24" x14ac:dyDescent="0.25">
      <c r="A1855" s="553">
        <f t="shared" si="135"/>
        <v>1015268.4475133545</v>
      </c>
      <c r="B1855" s="3">
        <f t="shared" si="138"/>
        <v>7.499999999999992</v>
      </c>
      <c r="C1855" s="553">
        <f>'Foglio deposito bis'!$E$160/sezione!$B$247*B1855</f>
        <v>30.4472593226293</v>
      </c>
      <c r="D1855" s="611">
        <f>-'Progetto del paramento slu'!$G$47*'Progetto del paramento slu'!$G$41*IF(DATI!$G$218="dx",DATI!$E$61,DATI!$E$64*DATI!$E$63)*1000*C1855^2*sezione!$AD$5*(1-sezione!$AD$6)</f>
        <v>-7631356.8388471408</v>
      </c>
      <c r="E1855" s="553">
        <f>-'Foglio deposito bis'!$F$78*(C1855-sezione!$AL$34)*IF(ABS(K1855)&lt;'Progetto del paramento slu'!$G$58,ABS(K1855)*'Progetto del paramento slu'!$G$54,'Progetto del paramento slu'!$G$53)</f>
        <v>0</v>
      </c>
      <c r="F1855" s="553">
        <f>-'Foglio deposito bis'!$F$79*(C1855-sezione!$AM$34)*IF(ABS(L1855)&lt;'Progetto del paramento slu'!$G$58,ABS(L1855)*'Progetto del paramento slu'!$G$54,'Progetto del paramento slu'!$G$53)</f>
        <v>18371054.926396634</v>
      </c>
      <c r="G1855" s="553">
        <f>-'Foglio deposito bis'!$F$80*(C1855-sezione!$AN$34)*IF(ABS(M1855)&lt;'Progetto del paramento slu'!$G$58,ABS(M1855)*'Progetto del paramento slu'!$G$54,'Progetto del paramento slu'!$G$53)</f>
        <v>0</v>
      </c>
      <c r="H1855" s="553">
        <f>-'Foglio deposito bis'!$F$81*(C1855-sezione!$AO$34)*IF(ABS(N1855)&lt;'Progetto del paramento slu'!$G$58,ABS(N1855)*'Progetto del paramento slu'!$G$54,'Progetto del paramento slu'!$G$53)</f>
        <v>123294643.66465005</v>
      </c>
      <c r="I1855" s="479">
        <f>-'Foglio deposito bis'!$F$82*(C1855-sezione!$AP$34)*IF(ABS(O1855)&lt;'Progetto del paramento slu'!$G$58,ABS(O1855)*'Progetto del paramento slu'!$G$54,'Progetto del paramento slu'!$G$53)</f>
        <v>204878734.63501665</v>
      </c>
      <c r="J1855" s="479">
        <f t="shared" si="134"/>
        <v>338913076.38721621</v>
      </c>
      <c r="K1855" s="558">
        <f>'Progetto del paramento slu'!$G$60*(sezione!$AL$34-C1855)/C1855</f>
        <v>1.0981150065598145E-3</v>
      </c>
      <c r="L1855" s="558">
        <f>'Progetto del paramento slu'!$G$60*(sezione!$AM$34-C1855)/C1855</f>
        <v>1.3742931274599307E-2</v>
      </c>
      <c r="M1855" s="559">
        <f>'Progetto del paramento slu'!$G$60*(sezione!$AN$34-C1855)/C1855</f>
        <v>2.6387747542638798E-2</v>
      </c>
      <c r="N1855" s="559">
        <f>'Progetto del paramento slu'!$G$60*(sezione!$AO$34-C1855)/C1855</f>
        <v>3.5583977555758428E-2</v>
      </c>
      <c r="O1855" s="559">
        <f>'Progetto del paramento slu'!$G$60*(sezione!$AP$34-C1855)/C1855</f>
        <v>2.6388551660106868E-2</v>
      </c>
      <c r="P1855" s="553">
        <f>-'Progetto del paramento slu'!$G$47*'Progetto del paramento slu'!$G$41*IF(DATI!$G$218="dx",DATI!$E$61,DATI!$E$64*DATI!$E$63)*1000*C1855*sezione!$AD$5</f>
        <v>-429181.21821325709</v>
      </c>
      <c r="Q1855" s="553">
        <f>'Foglio deposito bis'!$F$78*IF(ABS(K1855)&lt;'Progetto del paramento slu'!$G$58,ABS(K1855)*'Progetto del paramento slu'!$G$54,'Progetto del paramento slu'!$G$53)*IF(K1855&lt;0,-1,1)</f>
        <v>0</v>
      </c>
      <c r="R1855" s="553">
        <f>'Foglio deposito bis'!$F$79*IF(ABS(L1855)&lt;'Progetto del paramento slu'!$G$58,ABS(L1855)*'Progetto del paramento slu'!$G$54,'Progetto del paramento slu'!$G$53)*IF(L1855&lt;0,-1,1)</f>
        <v>153664.85805602249</v>
      </c>
      <c r="S1855" s="553">
        <f>'Foglio deposito bis'!$F$80*IF(ABS(M1855)&lt;'Progetto del paramento slu'!$G$58,ABS(M1855)*'Progetto del paramento slu'!$G$54,'Progetto del paramento slu'!$G$53)*IF(M1855&lt;0,-1,1)</f>
        <v>0</v>
      </c>
      <c r="T1855" s="553">
        <f>'Foglio deposito bis'!$F$81*IF(ABS(N1855)&lt;'Progetto del paramento slu'!$G$58,ABS(N1855)*'Progetto del paramento slu'!$G$54,'Progetto del paramento slu'!$G$53)*IF(N1855&lt;0,-1,1)</f>
        <v>398299.31208121032</v>
      </c>
      <c r="U1855" s="553">
        <f>'Foglio deposito bis'!$F$82*IF(ABS(O1855)&lt;'Progetto del paramento slu'!$G$58,ABS(O1855)*'Progetto del paramento slu'!$G$54,'Progetto del paramento slu'!$G$53)*IF(O1855&lt;0,-1,1)</f>
        <v>892485.49558937876</v>
      </c>
      <c r="V1855" s="479">
        <f t="shared" si="136"/>
        <v>1015268.4475133545</v>
      </c>
      <c r="W1855" s="559"/>
      <c r="X1855" s="559"/>
    </row>
    <row r="1856" spans="1:24" x14ac:dyDescent="0.25">
      <c r="A1856" s="553">
        <f t="shared" si="135"/>
        <v>1003823.6150276675</v>
      </c>
      <c r="B1856" s="3">
        <f t="shared" si="138"/>
        <v>7.6999999999999922</v>
      </c>
      <c r="C1856" s="553">
        <f>'Foglio deposito bis'!$E$160/sezione!$B$247*B1856</f>
        <v>31.259186237899417</v>
      </c>
      <c r="D1856" s="611">
        <f>-'Progetto del paramento slu'!$G$47*'Progetto del paramento slu'!$G$41*IF(DATI!$G$218="dx",DATI!$E$61,DATI!$E$64*DATI!$E$63)*1000*C1856^2*sezione!$AD$5*(1-sezione!$AD$6)</f>
        <v>-8043789.2795599476</v>
      </c>
      <c r="E1856" s="553">
        <f>-'Foglio deposito bis'!$F$78*(C1856-sezione!$AL$34)*IF(ABS(K1856)&lt;'Progetto del paramento slu'!$G$58,ABS(K1856)*'Progetto del paramento slu'!$G$54,'Progetto del paramento slu'!$G$53)</f>
        <v>0</v>
      </c>
      <c r="F1856" s="553">
        <f>-'Foglio deposito bis'!$F$79*(C1856-sezione!$AM$34)*IF(ABS(L1856)&lt;'Progetto del paramento slu'!$G$58,ABS(L1856)*'Progetto del paramento slu'!$G$54,'Progetto del paramento slu'!$G$53)</f>
        <v>18246290.292209789</v>
      </c>
      <c r="G1856" s="553">
        <f>-'Foglio deposito bis'!$F$80*(C1856-sezione!$AN$34)*IF(ABS(M1856)&lt;'Progetto del paramento slu'!$G$58,ABS(M1856)*'Progetto del paramento slu'!$G$54,'Progetto del paramento slu'!$G$53)</f>
        <v>0</v>
      </c>
      <c r="H1856" s="553">
        <f>-'Foglio deposito bis'!$F$81*(C1856-sezione!$AO$34)*IF(ABS(N1856)&lt;'Progetto del paramento slu'!$G$58,ABS(N1856)*'Progetto del paramento slu'!$G$54,'Progetto del paramento slu'!$G$53)</f>
        <v>122971253.73283772</v>
      </c>
      <c r="I1856" s="479">
        <f>-'Foglio deposito bis'!$F$82*(C1856-sezione!$AP$34)*IF(ABS(O1856)&lt;'Progetto del paramento slu'!$G$58,ABS(O1856)*'Progetto del paramento slu'!$G$54,'Progetto del paramento slu'!$G$53)</f>
        <v>204154101.63965943</v>
      </c>
      <c r="J1856" s="479">
        <f t="shared" si="134"/>
        <v>337327856.38514698</v>
      </c>
      <c r="K1856" s="558">
        <f>'Progetto del paramento slu'!$G$60*(sezione!$AL$34-C1856)/C1856</f>
        <v>9.7868344794787101E-4</v>
      </c>
      <c r="L1856" s="558">
        <f>'Progetto del paramento slu'!$G$60*(sezione!$AM$34-C1856)/C1856</f>
        <v>1.3295062929804516E-2</v>
      </c>
      <c r="M1856" s="559">
        <f>'Progetto del paramento slu'!$G$60*(sezione!$AN$34-C1856)/C1856</f>
        <v>2.5611442411661158E-2</v>
      </c>
      <c r="N1856" s="559">
        <f>'Progetto del paramento slu'!$G$60*(sezione!$AO$34-C1856)/C1856</f>
        <v>3.4568809307556909E-2</v>
      </c>
      <c r="O1856" s="559">
        <f>'Progetto del paramento slu'!$G$60*(sezione!$AP$34-C1856)/C1856</f>
        <v>2.5612225642961228E-2</v>
      </c>
      <c r="P1856" s="553">
        <f>-'Progetto del paramento slu'!$G$47*'Progetto del paramento slu'!$G$41*IF(DATI!$G$218="dx",DATI!$E$61,DATI!$E$64*DATI!$E$63)*1000*C1856*sezione!$AD$5</f>
        <v>-440626.05069894408</v>
      </c>
      <c r="Q1856" s="553">
        <f>'Foglio deposito bis'!$F$78*IF(ABS(K1856)&lt;'Progetto del paramento slu'!$G$58,ABS(K1856)*'Progetto del paramento slu'!$G$54,'Progetto del paramento slu'!$G$53)*IF(K1856&lt;0,-1,1)</f>
        <v>0</v>
      </c>
      <c r="R1856" s="553">
        <f>'Foglio deposito bis'!$F$79*IF(ABS(L1856)&lt;'Progetto del paramento slu'!$G$58,ABS(L1856)*'Progetto del paramento slu'!$G$54,'Progetto del paramento slu'!$G$53)*IF(L1856&lt;0,-1,1)</f>
        <v>153664.85805602249</v>
      </c>
      <c r="S1856" s="553">
        <f>'Foglio deposito bis'!$F$80*IF(ABS(M1856)&lt;'Progetto del paramento slu'!$G$58,ABS(M1856)*'Progetto del paramento slu'!$G$54,'Progetto del paramento slu'!$G$53)*IF(M1856&lt;0,-1,1)</f>
        <v>0</v>
      </c>
      <c r="T1856" s="553">
        <f>'Foglio deposito bis'!$F$81*IF(ABS(N1856)&lt;'Progetto del paramento slu'!$G$58,ABS(N1856)*'Progetto del paramento slu'!$G$54,'Progetto del paramento slu'!$G$53)*IF(N1856&lt;0,-1,1)</f>
        <v>398299.31208121032</v>
      </c>
      <c r="U1856" s="553">
        <f>'Foglio deposito bis'!$F$82*IF(ABS(O1856)&lt;'Progetto del paramento slu'!$G$58,ABS(O1856)*'Progetto del paramento slu'!$G$54,'Progetto del paramento slu'!$G$53)*IF(O1856&lt;0,-1,1)</f>
        <v>892485.49558937876</v>
      </c>
      <c r="V1856" s="479">
        <f t="shared" si="136"/>
        <v>1003823.6150276675</v>
      </c>
      <c r="W1856" s="559"/>
      <c r="X1856" s="559"/>
    </row>
    <row r="1857" spans="1:24" x14ac:dyDescent="0.25">
      <c r="A1857" s="553">
        <f t="shared" si="135"/>
        <v>992378.78254198073</v>
      </c>
      <c r="B1857" s="3">
        <f t="shared" si="138"/>
        <v>7.8999999999999924</v>
      </c>
      <c r="C1857" s="553">
        <f>'Foglio deposito bis'!$E$160/sezione!$B$247*B1857</f>
        <v>32.071113153169534</v>
      </c>
      <c r="D1857" s="611">
        <f>-'Progetto del paramento slu'!$G$47*'Progetto del paramento slu'!$G$41*IF(DATI!$G$218="dx",DATI!$E$61,DATI!$E$64*DATI!$E$63)*1000*C1857^2*sezione!$AD$5*(1-sezione!$AD$6)</f>
        <v>-8467075.2055546716</v>
      </c>
      <c r="E1857" s="553">
        <f>-'Foglio deposito bis'!$F$78*(C1857-sezione!$AL$34)*IF(ABS(K1857)&lt;'Progetto del paramento slu'!$G$58,ABS(K1857)*'Progetto del paramento slu'!$G$54,'Progetto del paramento slu'!$G$53)</f>
        <v>0</v>
      </c>
      <c r="F1857" s="553">
        <f>-'Foglio deposito bis'!$F$79*(C1857-sezione!$AM$34)*IF(ABS(L1857)&lt;'Progetto del paramento slu'!$G$58,ABS(L1857)*'Progetto del paramento slu'!$G$54,'Progetto del paramento slu'!$G$53)</f>
        <v>18121525.65802294</v>
      </c>
      <c r="G1857" s="553">
        <f>-'Foglio deposito bis'!$F$80*(C1857-sezione!$AN$34)*IF(ABS(M1857)&lt;'Progetto del paramento slu'!$G$58,ABS(M1857)*'Progetto del paramento slu'!$G$54,'Progetto del paramento slu'!$G$53)</f>
        <v>0</v>
      </c>
      <c r="H1857" s="553">
        <f>-'Foglio deposito bis'!$F$81*(C1857-sezione!$AO$34)*IF(ABS(N1857)&lt;'Progetto del paramento slu'!$G$58,ABS(N1857)*'Progetto del paramento slu'!$G$54,'Progetto del paramento slu'!$G$53)</f>
        <v>122647863.80102541</v>
      </c>
      <c r="I1857" s="479">
        <f>-'Foglio deposito bis'!$F$82*(C1857-sezione!$AP$34)*IF(ABS(O1857)&lt;'Progetto del paramento slu'!$G$58,ABS(O1857)*'Progetto del paramento slu'!$G$54,'Progetto del paramento slu'!$G$53)</f>
        <v>203429468.64430222</v>
      </c>
      <c r="J1857" s="479">
        <f t="shared" si="134"/>
        <v>335731782.89779592</v>
      </c>
      <c r="K1857" s="558">
        <f>'Progetto del paramento slu'!$G$60*(sezione!$AL$34-C1857)/C1857</f>
        <v>8.6529905686058279E-4</v>
      </c>
      <c r="L1857" s="558">
        <f>'Progetto del paramento slu'!$G$60*(sezione!$AM$34-C1857)/C1857</f>
        <v>1.2869871463227186E-2</v>
      </c>
      <c r="M1857" s="559">
        <f>'Progetto del paramento slu'!$G$60*(sezione!$AN$34-C1857)/C1857</f>
        <v>2.4874443869593789E-2</v>
      </c>
      <c r="N1857" s="559">
        <f>'Progetto del paramento slu'!$G$60*(sezione!$AO$34-C1857)/C1857</f>
        <v>3.3605041983314952E-2</v>
      </c>
      <c r="O1857" s="559">
        <f>'Progetto del paramento slu'!$G$60*(sezione!$AP$34-C1857)/C1857</f>
        <v>2.4875207272253352E-2</v>
      </c>
      <c r="P1857" s="553">
        <f>-'Progetto del paramento slu'!$G$47*'Progetto del paramento slu'!$G$41*IF(DATI!$G$218="dx",DATI!$E$61,DATI!$E$64*DATI!$E$63)*1000*C1857*sezione!$AD$5</f>
        <v>-452070.88318463089</v>
      </c>
      <c r="Q1857" s="553">
        <f>'Foglio deposito bis'!$F$78*IF(ABS(K1857)&lt;'Progetto del paramento slu'!$G$58,ABS(K1857)*'Progetto del paramento slu'!$G$54,'Progetto del paramento slu'!$G$53)*IF(K1857&lt;0,-1,1)</f>
        <v>0</v>
      </c>
      <c r="R1857" s="553">
        <f>'Foglio deposito bis'!$F$79*IF(ABS(L1857)&lt;'Progetto del paramento slu'!$G$58,ABS(L1857)*'Progetto del paramento slu'!$G$54,'Progetto del paramento slu'!$G$53)*IF(L1857&lt;0,-1,1)</f>
        <v>153664.85805602249</v>
      </c>
      <c r="S1857" s="553">
        <f>'Foglio deposito bis'!$F$80*IF(ABS(M1857)&lt;'Progetto del paramento slu'!$G$58,ABS(M1857)*'Progetto del paramento slu'!$G$54,'Progetto del paramento slu'!$G$53)*IF(M1857&lt;0,-1,1)</f>
        <v>0</v>
      </c>
      <c r="T1857" s="553">
        <f>'Foglio deposito bis'!$F$81*IF(ABS(N1857)&lt;'Progetto del paramento slu'!$G$58,ABS(N1857)*'Progetto del paramento slu'!$G$54,'Progetto del paramento slu'!$G$53)*IF(N1857&lt;0,-1,1)</f>
        <v>398299.31208121032</v>
      </c>
      <c r="U1857" s="553">
        <f>'Foglio deposito bis'!$F$82*IF(ABS(O1857)&lt;'Progetto del paramento slu'!$G$58,ABS(O1857)*'Progetto del paramento slu'!$G$54,'Progetto del paramento slu'!$G$53)*IF(O1857&lt;0,-1,1)</f>
        <v>892485.49558937876</v>
      </c>
      <c r="V1857" s="479">
        <f t="shared" si="136"/>
        <v>992378.78254198073</v>
      </c>
      <c r="W1857" s="559"/>
      <c r="X1857" s="559"/>
    </row>
    <row r="1858" spans="1:24" x14ac:dyDescent="0.25">
      <c r="A1858" s="553">
        <f t="shared" si="135"/>
        <v>980933.95005629375</v>
      </c>
      <c r="B1858" s="3">
        <f t="shared" si="138"/>
        <v>8.0999999999999925</v>
      </c>
      <c r="C1858" s="553">
        <f>'Foglio deposito bis'!$E$160/sezione!$B$247*B1858</f>
        <v>32.883040068439648</v>
      </c>
      <c r="D1858" s="611">
        <f>-'Progetto del paramento slu'!$G$47*'Progetto del paramento slu'!$G$41*IF(DATI!$G$218="dx",DATI!$E$61,DATI!$E$64*DATI!$E$63)*1000*C1858^2*sezione!$AD$5*(1-sezione!$AD$6)</f>
        <v>-8901214.6168313082</v>
      </c>
      <c r="E1858" s="553">
        <f>-'Foglio deposito bis'!$F$78*(C1858-sezione!$AL$34)*IF(ABS(K1858)&lt;'Progetto del paramento slu'!$G$58,ABS(K1858)*'Progetto del paramento slu'!$G$54,'Progetto del paramento slu'!$G$53)</f>
        <v>0</v>
      </c>
      <c r="F1858" s="553">
        <f>-'Foglio deposito bis'!$F$79*(C1858-sezione!$AM$34)*IF(ABS(L1858)&lt;'Progetto del paramento slu'!$G$58,ABS(L1858)*'Progetto del paramento slu'!$G$54,'Progetto del paramento slu'!$G$53)</f>
        <v>17996761.023836095</v>
      </c>
      <c r="G1858" s="553">
        <f>-'Foglio deposito bis'!$F$80*(C1858-sezione!$AN$34)*IF(ABS(M1858)&lt;'Progetto del paramento slu'!$G$58,ABS(M1858)*'Progetto del paramento slu'!$G$54,'Progetto del paramento slu'!$G$53)</f>
        <v>0</v>
      </c>
      <c r="H1858" s="553">
        <f>-'Foglio deposito bis'!$F$81*(C1858-sezione!$AO$34)*IF(ABS(N1858)&lt;'Progetto del paramento slu'!$G$58,ABS(N1858)*'Progetto del paramento slu'!$G$54,'Progetto del paramento slu'!$G$53)</f>
        <v>122324473.86921312</v>
      </c>
      <c r="I1858" s="479">
        <f>-'Foglio deposito bis'!$F$82*(C1858-sezione!$AP$34)*IF(ABS(O1858)&lt;'Progetto del paramento slu'!$G$58,ABS(O1858)*'Progetto del paramento slu'!$G$54,'Progetto del paramento slu'!$G$53)</f>
        <v>202704835.64894503</v>
      </c>
      <c r="J1858" s="479">
        <f t="shared" si="134"/>
        <v>334124855.92516291</v>
      </c>
      <c r="K1858" s="558">
        <f>'Progetto del paramento slu'!$G$60*(sezione!$AL$34-C1858)/C1858</f>
        <v>7.5751389496279075E-4</v>
      </c>
      <c r="L1858" s="558">
        <f>'Progetto del paramento slu'!$G$60*(sezione!$AM$34-C1858)/C1858</f>
        <v>1.2465677106110467E-2</v>
      </c>
      <c r="M1858" s="559">
        <f>'Progetto del paramento slu'!$G$60*(sezione!$AN$34-C1858)/C1858</f>
        <v>2.4173840317258142E-2</v>
      </c>
      <c r="N1858" s="559">
        <f>'Progetto del paramento slu'!$G$60*(sezione!$AO$34-C1858)/C1858</f>
        <v>3.2688868107183723E-2</v>
      </c>
      <c r="O1858" s="559">
        <f>'Progetto del paramento slu'!$G$60*(sezione!$AP$34-C1858)/C1858</f>
        <v>2.4174584870469321E-2</v>
      </c>
      <c r="P1858" s="553">
        <f>-'Progetto del paramento slu'!$G$47*'Progetto del paramento slu'!$G$41*IF(DATI!$G$218="dx",DATI!$E$61,DATI!$E$64*DATI!$E$63)*1000*C1858*sezione!$AD$5</f>
        <v>-463515.71567031776</v>
      </c>
      <c r="Q1858" s="553">
        <f>'Foglio deposito bis'!$F$78*IF(ABS(K1858)&lt;'Progetto del paramento slu'!$G$58,ABS(K1858)*'Progetto del paramento slu'!$G$54,'Progetto del paramento slu'!$G$53)*IF(K1858&lt;0,-1,1)</f>
        <v>0</v>
      </c>
      <c r="R1858" s="553">
        <f>'Foglio deposito bis'!$F$79*IF(ABS(L1858)&lt;'Progetto del paramento slu'!$G$58,ABS(L1858)*'Progetto del paramento slu'!$G$54,'Progetto del paramento slu'!$G$53)*IF(L1858&lt;0,-1,1)</f>
        <v>153664.85805602249</v>
      </c>
      <c r="S1858" s="553">
        <f>'Foglio deposito bis'!$F$80*IF(ABS(M1858)&lt;'Progetto del paramento slu'!$G$58,ABS(M1858)*'Progetto del paramento slu'!$G$54,'Progetto del paramento slu'!$G$53)*IF(M1858&lt;0,-1,1)</f>
        <v>0</v>
      </c>
      <c r="T1858" s="553">
        <f>'Foglio deposito bis'!$F$81*IF(ABS(N1858)&lt;'Progetto del paramento slu'!$G$58,ABS(N1858)*'Progetto del paramento slu'!$G$54,'Progetto del paramento slu'!$G$53)*IF(N1858&lt;0,-1,1)</f>
        <v>398299.31208121032</v>
      </c>
      <c r="U1858" s="553">
        <f>'Foglio deposito bis'!$F$82*IF(ABS(O1858)&lt;'Progetto del paramento slu'!$G$58,ABS(O1858)*'Progetto del paramento slu'!$G$54,'Progetto del paramento slu'!$G$53)*IF(O1858&lt;0,-1,1)</f>
        <v>892485.49558937876</v>
      </c>
      <c r="V1858" s="479">
        <f t="shared" si="136"/>
        <v>980933.95005629375</v>
      </c>
      <c r="W1858" s="559"/>
      <c r="X1858" s="559"/>
    </row>
    <row r="1859" spans="1:24" x14ac:dyDescent="0.25">
      <c r="A1859" s="553">
        <f t="shared" si="135"/>
        <v>969489.11757060699</v>
      </c>
      <c r="B1859" s="3">
        <f t="shared" si="138"/>
        <v>8.2999999999999918</v>
      </c>
      <c r="C1859" s="553">
        <f>'Foglio deposito bis'!$E$160/sezione!$B$247*B1859</f>
        <v>33.694966983709762</v>
      </c>
      <c r="D1859" s="611">
        <f>-'Progetto del paramento slu'!$G$47*'Progetto del paramento slu'!$G$41*IF(DATI!$G$218="dx",DATI!$E$61,DATI!$E$64*DATI!$E$63)*1000*C1859^2*sezione!$AD$5*(1-sezione!$AD$6)</f>
        <v>-9346207.5133898593</v>
      </c>
      <c r="E1859" s="553">
        <f>-'Foglio deposito bis'!$F$78*(C1859-sezione!$AL$34)*IF(ABS(K1859)&lt;'Progetto del paramento slu'!$G$58,ABS(K1859)*'Progetto del paramento slu'!$G$54,'Progetto del paramento slu'!$G$53)</f>
        <v>0</v>
      </c>
      <c r="F1859" s="553">
        <f>-'Foglio deposito bis'!$F$79*(C1859-sezione!$AM$34)*IF(ABS(L1859)&lt;'Progetto del paramento slu'!$G$58,ABS(L1859)*'Progetto del paramento slu'!$G$54,'Progetto del paramento slu'!$G$53)</f>
        <v>17871996.38964925</v>
      </c>
      <c r="G1859" s="553">
        <f>-'Foglio deposito bis'!$F$80*(C1859-sezione!$AN$34)*IF(ABS(M1859)&lt;'Progetto del paramento slu'!$G$58,ABS(M1859)*'Progetto del paramento slu'!$G$54,'Progetto del paramento slu'!$G$53)</f>
        <v>0</v>
      </c>
      <c r="H1859" s="553">
        <f>-'Foglio deposito bis'!$F$81*(C1859-sezione!$AO$34)*IF(ABS(N1859)&lt;'Progetto del paramento slu'!$G$58,ABS(N1859)*'Progetto del paramento slu'!$G$54,'Progetto del paramento slu'!$G$53)</f>
        <v>122001083.93740082</v>
      </c>
      <c r="I1859" s="479">
        <f>-'Foglio deposito bis'!$F$82*(C1859-sezione!$AP$34)*IF(ABS(O1859)&lt;'Progetto del paramento slu'!$G$58,ABS(O1859)*'Progetto del paramento slu'!$G$54,'Progetto del paramento slu'!$G$53)</f>
        <v>201980202.65358782</v>
      </c>
      <c r="J1859" s="479">
        <f t="shared" si="134"/>
        <v>332507075.46724802</v>
      </c>
      <c r="K1859" s="558">
        <f>'Progetto del paramento slu'!$G$60*(sezione!$AL$34-C1859)/C1859</f>
        <v>6.5492319869862729E-4</v>
      </c>
      <c r="L1859" s="558">
        <f>'Progetto del paramento slu'!$G$60*(sezione!$AM$34-C1859)/C1859</f>
        <v>1.2080961995119852E-2</v>
      </c>
      <c r="M1859" s="559">
        <f>'Progetto del paramento slu'!$G$60*(sezione!$AN$34-C1859)/C1859</f>
        <v>2.3507000791541076E-2</v>
      </c>
      <c r="N1859" s="559">
        <f>'Progetto del paramento slu'!$G$60*(sezione!$AO$34-C1859)/C1859</f>
        <v>3.1816847188938333E-2</v>
      </c>
      <c r="O1859" s="559">
        <f>'Progetto del paramento slu'!$G$60*(sezione!$AP$34-C1859)/C1859</f>
        <v>2.3507727403711019E-2</v>
      </c>
      <c r="P1859" s="553">
        <f>-'Progetto del paramento slu'!$G$47*'Progetto del paramento slu'!$G$41*IF(DATI!$G$218="dx",DATI!$E$61,DATI!$E$64*DATI!$E$63)*1000*C1859*sezione!$AD$5</f>
        <v>-474960.54815600457</v>
      </c>
      <c r="Q1859" s="553">
        <f>'Foglio deposito bis'!$F$78*IF(ABS(K1859)&lt;'Progetto del paramento slu'!$G$58,ABS(K1859)*'Progetto del paramento slu'!$G$54,'Progetto del paramento slu'!$G$53)*IF(K1859&lt;0,-1,1)</f>
        <v>0</v>
      </c>
      <c r="R1859" s="553">
        <f>'Foglio deposito bis'!$F$79*IF(ABS(L1859)&lt;'Progetto del paramento slu'!$G$58,ABS(L1859)*'Progetto del paramento slu'!$G$54,'Progetto del paramento slu'!$G$53)*IF(L1859&lt;0,-1,1)</f>
        <v>153664.85805602249</v>
      </c>
      <c r="S1859" s="553">
        <f>'Foglio deposito bis'!$F$80*IF(ABS(M1859)&lt;'Progetto del paramento slu'!$G$58,ABS(M1859)*'Progetto del paramento slu'!$G$54,'Progetto del paramento slu'!$G$53)*IF(M1859&lt;0,-1,1)</f>
        <v>0</v>
      </c>
      <c r="T1859" s="553">
        <f>'Foglio deposito bis'!$F$81*IF(ABS(N1859)&lt;'Progetto del paramento slu'!$G$58,ABS(N1859)*'Progetto del paramento slu'!$G$54,'Progetto del paramento slu'!$G$53)*IF(N1859&lt;0,-1,1)</f>
        <v>398299.31208121032</v>
      </c>
      <c r="U1859" s="553">
        <f>'Foglio deposito bis'!$F$82*IF(ABS(O1859)&lt;'Progetto del paramento slu'!$G$58,ABS(O1859)*'Progetto del paramento slu'!$G$54,'Progetto del paramento slu'!$G$53)*IF(O1859&lt;0,-1,1)</f>
        <v>892485.49558937876</v>
      </c>
      <c r="V1859" s="479">
        <f t="shared" si="136"/>
        <v>969489.11757060699</v>
      </c>
      <c r="W1859" s="559"/>
      <c r="X1859" s="559"/>
    </row>
    <row r="1860" spans="1:24" x14ac:dyDescent="0.25">
      <c r="A1860" s="553">
        <f t="shared" si="135"/>
        <v>958044.28508492012</v>
      </c>
      <c r="B1860" s="3">
        <f t="shared" si="138"/>
        <v>8.4999999999999911</v>
      </c>
      <c r="C1860" s="553">
        <f>'Foglio deposito bis'!$E$160/sezione!$B$247*B1860</f>
        <v>34.506893898979875</v>
      </c>
      <c r="D1860" s="611">
        <f>-'Progetto del paramento slu'!$G$47*'Progetto del paramento slu'!$G$41*IF(DATI!$G$218="dx",DATI!$E$61,DATI!$E$64*DATI!$E$63)*1000*C1860^2*sezione!$AD$5*(1-sezione!$AD$6)</f>
        <v>-9802053.8952303268</v>
      </c>
      <c r="E1860" s="553">
        <f>-'Foglio deposito bis'!$F$78*(C1860-sezione!$AL$34)*IF(ABS(K1860)&lt;'Progetto del paramento slu'!$G$58,ABS(K1860)*'Progetto del paramento slu'!$G$54,'Progetto del paramento slu'!$G$53)</f>
        <v>0</v>
      </c>
      <c r="F1860" s="553">
        <f>-'Foglio deposito bis'!$F$79*(C1860-sezione!$AM$34)*IF(ABS(L1860)&lt;'Progetto del paramento slu'!$G$58,ABS(L1860)*'Progetto del paramento slu'!$G$54,'Progetto del paramento slu'!$G$53)</f>
        <v>17747231.755462401</v>
      </c>
      <c r="G1860" s="553">
        <f>-'Foglio deposito bis'!$F$80*(C1860-sezione!$AN$34)*IF(ABS(M1860)&lt;'Progetto del paramento slu'!$G$58,ABS(M1860)*'Progetto del paramento slu'!$G$54,'Progetto del paramento slu'!$G$53)</f>
        <v>0</v>
      </c>
      <c r="H1860" s="553">
        <f>-'Foglio deposito bis'!$F$81*(C1860-sezione!$AO$34)*IF(ABS(N1860)&lt;'Progetto del paramento slu'!$G$58,ABS(N1860)*'Progetto del paramento slu'!$G$54,'Progetto del paramento slu'!$G$53)</f>
        <v>121677694.00558853</v>
      </c>
      <c r="I1860" s="479">
        <f>-'Foglio deposito bis'!$F$82*(C1860-sezione!$AP$34)*IF(ABS(O1860)&lt;'Progetto del paramento slu'!$G$58,ABS(O1860)*'Progetto del paramento slu'!$G$54,'Progetto del paramento slu'!$G$53)</f>
        <v>201255569.65823063</v>
      </c>
      <c r="J1860" s="479">
        <f t="shared" si="134"/>
        <v>330878441.52405125</v>
      </c>
      <c r="K1860" s="558">
        <f>'Progetto del paramento slu'!$G$60*(sezione!$AL$34-C1860)/C1860</f>
        <v>5.5716029990571854E-4</v>
      </c>
      <c r="L1860" s="558">
        <f>'Progetto del paramento slu'!$G$60*(sezione!$AM$34-C1860)/C1860</f>
        <v>1.1714351124646444E-2</v>
      </c>
      <c r="M1860" s="559">
        <f>'Progetto del paramento slu'!$G$60*(sezione!$AN$34-C1860)/C1860</f>
        <v>2.2871541949387172E-2</v>
      </c>
      <c r="N1860" s="559">
        <f>'Progetto del paramento slu'!$G$60*(sezione!$AO$34-C1860)/C1860</f>
        <v>3.098586254919861E-2</v>
      </c>
      <c r="O1860" s="559">
        <f>'Progetto del paramento slu'!$G$60*(sezione!$AP$34-C1860)/C1860</f>
        <v>2.2872251464800177E-2</v>
      </c>
      <c r="P1860" s="553">
        <f>-'Progetto del paramento slu'!$G$47*'Progetto del paramento slu'!$G$41*IF(DATI!$G$218="dx",DATI!$E$61,DATI!$E$64*DATI!$E$63)*1000*C1860*sezione!$AD$5</f>
        <v>-486405.38064169144</v>
      </c>
      <c r="Q1860" s="553">
        <f>'Foglio deposito bis'!$F$78*IF(ABS(K1860)&lt;'Progetto del paramento slu'!$G$58,ABS(K1860)*'Progetto del paramento slu'!$G$54,'Progetto del paramento slu'!$G$53)*IF(K1860&lt;0,-1,1)</f>
        <v>0</v>
      </c>
      <c r="R1860" s="553">
        <f>'Foglio deposito bis'!$F$79*IF(ABS(L1860)&lt;'Progetto del paramento slu'!$G$58,ABS(L1860)*'Progetto del paramento slu'!$G$54,'Progetto del paramento slu'!$G$53)*IF(L1860&lt;0,-1,1)</f>
        <v>153664.85805602249</v>
      </c>
      <c r="S1860" s="553">
        <f>'Foglio deposito bis'!$F$80*IF(ABS(M1860)&lt;'Progetto del paramento slu'!$G$58,ABS(M1860)*'Progetto del paramento slu'!$G$54,'Progetto del paramento slu'!$G$53)*IF(M1860&lt;0,-1,1)</f>
        <v>0</v>
      </c>
      <c r="T1860" s="553">
        <f>'Foglio deposito bis'!$F$81*IF(ABS(N1860)&lt;'Progetto del paramento slu'!$G$58,ABS(N1860)*'Progetto del paramento slu'!$G$54,'Progetto del paramento slu'!$G$53)*IF(N1860&lt;0,-1,1)</f>
        <v>398299.31208121032</v>
      </c>
      <c r="U1860" s="553">
        <f>'Foglio deposito bis'!$F$82*IF(ABS(O1860)&lt;'Progetto del paramento slu'!$G$58,ABS(O1860)*'Progetto del paramento slu'!$G$54,'Progetto del paramento slu'!$G$53)*IF(O1860&lt;0,-1,1)</f>
        <v>892485.49558937876</v>
      </c>
      <c r="V1860" s="479">
        <f t="shared" si="136"/>
        <v>958044.28508492012</v>
      </c>
      <c r="W1860" s="559"/>
      <c r="X1860" s="559"/>
    </row>
    <row r="1861" spans="1:24" x14ac:dyDescent="0.25">
      <c r="A1861" s="553">
        <f t="shared" si="135"/>
        <v>946599.45259923325</v>
      </c>
      <c r="B1861" s="3">
        <f t="shared" si="138"/>
        <v>8.6999999999999904</v>
      </c>
      <c r="C1861" s="553">
        <f>'Foglio deposito bis'!$E$160/sezione!$B$247*B1861</f>
        <v>35.318820814249989</v>
      </c>
      <c r="D1861" s="611">
        <f>-'Progetto del paramento slu'!$G$47*'Progetto del paramento slu'!$G$41*IF(DATI!$G$218="dx",DATI!$E$61,DATI!$E$64*DATI!$E$63)*1000*C1861^2*sezione!$AD$5*(1-sezione!$AD$6)</f>
        <v>-10268753.762352712</v>
      </c>
      <c r="E1861" s="553">
        <f>-'Foglio deposito bis'!$F$78*(C1861-sezione!$AL$34)*IF(ABS(K1861)&lt;'Progetto del paramento slu'!$G$58,ABS(K1861)*'Progetto del paramento slu'!$G$54,'Progetto del paramento slu'!$G$53)</f>
        <v>0</v>
      </c>
      <c r="F1861" s="553">
        <f>-'Foglio deposito bis'!$F$79*(C1861-sezione!$AM$34)*IF(ABS(L1861)&lt;'Progetto del paramento slu'!$G$58,ABS(L1861)*'Progetto del paramento slu'!$G$54,'Progetto del paramento slu'!$G$53)</f>
        <v>17622467.121275555</v>
      </c>
      <c r="G1861" s="553">
        <f>-'Foglio deposito bis'!$F$80*(C1861-sezione!$AN$34)*IF(ABS(M1861)&lt;'Progetto del paramento slu'!$G$58,ABS(M1861)*'Progetto del paramento slu'!$G$54,'Progetto del paramento slu'!$G$53)</f>
        <v>0</v>
      </c>
      <c r="H1861" s="553">
        <f>-'Foglio deposito bis'!$F$81*(C1861-sezione!$AO$34)*IF(ABS(N1861)&lt;'Progetto del paramento slu'!$G$58,ABS(N1861)*'Progetto del paramento slu'!$G$54,'Progetto del paramento slu'!$G$53)</f>
        <v>121354304.0737762</v>
      </c>
      <c r="I1861" s="479">
        <f>-'Foglio deposito bis'!$F$82*(C1861-sezione!$AP$34)*IF(ABS(O1861)&lt;'Progetto del paramento slu'!$G$58,ABS(O1861)*'Progetto del paramento slu'!$G$54,'Progetto del paramento slu'!$G$53)</f>
        <v>200530936.66287342</v>
      </c>
      <c r="J1861" s="479">
        <f t="shared" si="134"/>
        <v>329238954.09557247</v>
      </c>
      <c r="K1861" s="558">
        <f>'Progetto del paramento slu'!$G$60*(sezione!$AL$34-C1861)/C1861</f>
        <v>4.6389224703432283E-4</v>
      </c>
      <c r="L1861" s="558">
        <f>'Progetto del paramento slu'!$G$60*(sezione!$AM$34-C1861)/C1861</f>
        <v>1.1364595926378711E-2</v>
      </c>
      <c r="M1861" s="559">
        <f>'Progetto del paramento slu'!$G$60*(sezione!$AN$34-C1861)/C1861</f>
        <v>2.2265299605723099E-2</v>
      </c>
      <c r="N1861" s="559">
        <f>'Progetto del paramento slu'!$G$60*(sezione!$AO$34-C1861)/C1861</f>
        <v>3.0193084099791746E-2</v>
      </c>
      <c r="O1861" s="559">
        <f>'Progetto del paramento slu'!$G$60*(sezione!$AP$34-C1861)/C1861</f>
        <v>2.2265992810436955E-2</v>
      </c>
      <c r="P1861" s="553">
        <f>-'Progetto del paramento slu'!$G$47*'Progetto del paramento slu'!$G$41*IF(DATI!$G$218="dx",DATI!$E$61,DATI!$E$64*DATI!$E$63)*1000*C1861*sezione!$AD$5</f>
        <v>-497850.21312737832</v>
      </c>
      <c r="Q1861" s="553">
        <f>'Foglio deposito bis'!$F$78*IF(ABS(K1861)&lt;'Progetto del paramento slu'!$G$58,ABS(K1861)*'Progetto del paramento slu'!$G$54,'Progetto del paramento slu'!$G$53)*IF(K1861&lt;0,-1,1)</f>
        <v>0</v>
      </c>
      <c r="R1861" s="553">
        <f>'Foglio deposito bis'!$F$79*IF(ABS(L1861)&lt;'Progetto del paramento slu'!$G$58,ABS(L1861)*'Progetto del paramento slu'!$G$54,'Progetto del paramento slu'!$G$53)*IF(L1861&lt;0,-1,1)</f>
        <v>153664.85805602249</v>
      </c>
      <c r="S1861" s="553">
        <f>'Foglio deposito bis'!$F$80*IF(ABS(M1861)&lt;'Progetto del paramento slu'!$G$58,ABS(M1861)*'Progetto del paramento slu'!$G$54,'Progetto del paramento slu'!$G$53)*IF(M1861&lt;0,-1,1)</f>
        <v>0</v>
      </c>
      <c r="T1861" s="553">
        <f>'Foglio deposito bis'!$F$81*IF(ABS(N1861)&lt;'Progetto del paramento slu'!$G$58,ABS(N1861)*'Progetto del paramento slu'!$G$54,'Progetto del paramento slu'!$G$53)*IF(N1861&lt;0,-1,1)</f>
        <v>398299.31208121032</v>
      </c>
      <c r="U1861" s="553">
        <f>'Foglio deposito bis'!$F$82*IF(ABS(O1861)&lt;'Progetto del paramento slu'!$G$58,ABS(O1861)*'Progetto del paramento slu'!$G$54,'Progetto del paramento slu'!$G$53)*IF(O1861&lt;0,-1,1)</f>
        <v>892485.49558937876</v>
      </c>
      <c r="V1861" s="479">
        <f t="shared" si="136"/>
        <v>946599.45259923325</v>
      </c>
      <c r="W1861" s="559"/>
      <c r="X1861" s="559"/>
    </row>
    <row r="1862" spans="1:24" x14ac:dyDescent="0.25">
      <c r="A1862" s="553">
        <f t="shared" si="135"/>
        <v>935154.62011354649</v>
      </c>
      <c r="B1862" s="3">
        <f t="shared" si="138"/>
        <v>8.8999999999999897</v>
      </c>
      <c r="C1862" s="553">
        <f>'Foglio deposito bis'!$E$160/sezione!$B$247*B1862</f>
        <v>36.130747729520102</v>
      </c>
      <c r="D1862" s="611">
        <f>-'Progetto del paramento slu'!$G$47*'Progetto del paramento slu'!$G$41*IF(DATI!$G$218="dx",DATI!$E$61,DATI!$E$64*DATI!$E$63)*1000*C1862^2*sezione!$AD$5*(1-sezione!$AD$6)</f>
        <v>-10746307.114757014</v>
      </c>
      <c r="E1862" s="553">
        <f>-'Foglio deposito bis'!$F$78*(C1862-sezione!$AL$34)*IF(ABS(K1862)&lt;'Progetto del paramento slu'!$G$58,ABS(K1862)*'Progetto del paramento slu'!$G$54,'Progetto del paramento slu'!$G$53)</f>
        <v>0</v>
      </c>
      <c r="F1862" s="553">
        <f>-'Foglio deposito bis'!$F$79*(C1862-sezione!$AM$34)*IF(ABS(L1862)&lt;'Progetto del paramento slu'!$G$58,ABS(L1862)*'Progetto del paramento slu'!$G$54,'Progetto del paramento slu'!$G$53)</f>
        <v>17497702.487088714</v>
      </c>
      <c r="G1862" s="553">
        <f>-'Foglio deposito bis'!$F$80*(C1862-sezione!$AN$34)*IF(ABS(M1862)&lt;'Progetto del paramento slu'!$G$58,ABS(M1862)*'Progetto del paramento slu'!$G$54,'Progetto del paramento slu'!$G$53)</f>
        <v>0</v>
      </c>
      <c r="H1862" s="553">
        <f>-'Foglio deposito bis'!$F$81*(C1862-sezione!$AO$34)*IF(ABS(N1862)&lt;'Progetto del paramento slu'!$G$58,ABS(N1862)*'Progetto del paramento slu'!$G$54,'Progetto del paramento slu'!$G$53)</f>
        <v>121030914.14196388</v>
      </c>
      <c r="I1862" s="479">
        <f>-'Foglio deposito bis'!$F$82*(C1862-sezione!$AP$34)*IF(ABS(O1862)&lt;'Progetto del paramento slu'!$G$58,ABS(O1862)*'Progetto del paramento slu'!$G$54,'Progetto del paramento slu'!$G$53)</f>
        <v>199806303.66751623</v>
      </c>
      <c r="J1862" s="479">
        <f t="shared" si="134"/>
        <v>327588613.18181181</v>
      </c>
      <c r="K1862" s="558">
        <f>'Progetto del paramento slu'!$G$60*(sezione!$AL$34-C1862)/C1862</f>
        <v>3.7481601676388871E-4</v>
      </c>
      <c r="L1862" s="558">
        <f>'Progetto del paramento slu'!$G$60*(sezione!$AM$34-C1862)/C1862</f>
        <v>1.1030560062864583E-2</v>
      </c>
      <c r="M1862" s="559">
        <f>'Progetto del paramento slu'!$G$60*(sezione!$AN$34-C1862)/C1862</f>
        <v>2.1686304108965278E-2</v>
      </c>
      <c r="N1862" s="559">
        <f>'Progetto del paramento slu'!$G$60*(sezione!$AO$34-C1862)/C1862</f>
        <v>2.9435936142493055E-2</v>
      </c>
      <c r="O1862" s="559">
        <f>'Progetto del paramento slu'!$G$60*(sezione!$AP$34-C1862)/C1862</f>
        <v>2.1686981736045115E-2</v>
      </c>
      <c r="P1862" s="553">
        <f>-'Progetto del paramento slu'!$G$47*'Progetto del paramento slu'!$G$41*IF(DATI!$G$218="dx",DATI!$E$61,DATI!$E$64*DATI!$E$63)*1000*C1862*sezione!$AD$5</f>
        <v>-509295.04561306513</v>
      </c>
      <c r="Q1862" s="553">
        <f>'Foglio deposito bis'!$F$78*IF(ABS(K1862)&lt;'Progetto del paramento slu'!$G$58,ABS(K1862)*'Progetto del paramento slu'!$G$54,'Progetto del paramento slu'!$G$53)*IF(K1862&lt;0,-1,1)</f>
        <v>0</v>
      </c>
      <c r="R1862" s="553">
        <f>'Foglio deposito bis'!$F$79*IF(ABS(L1862)&lt;'Progetto del paramento slu'!$G$58,ABS(L1862)*'Progetto del paramento slu'!$G$54,'Progetto del paramento slu'!$G$53)*IF(L1862&lt;0,-1,1)</f>
        <v>153664.85805602249</v>
      </c>
      <c r="S1862" s="553">
        <f>'Foglio deposito bis'!$F$80*IF(ABS(M1862)&lt;'Progetto del paramento slu'!$G$58,ABS(M1862)*'Progetto del paramento slu'!$G$54,'Progetto del paramento slu'!$G$53)*IF(M1862&lt;0,-1,1)</f>
        <v>0</v>
      </c>
      <c r="T1862" s="553">
        <f>'Foglio deposito bis'!$F$81*IF(ABS(N1862)&lt;'Progetto del paramento slu'!$G$58,ABS(N1862)*'Progetto del paramento slu'!$G$54,'Progetto del paramento slu'!$G$53)*IF(N1862&lt;0,-1,1)</f>
        <v>398299.31208121032</v>
      </c>
      <c r="U1862" s="553">
        <f>'Foglio deposito bis'!$F$82*IF(ABS(O1862)&lt;'Progetto del paramento slu'!$G$58,ABS(O1862)*'Progetto del paramento slu'!$G$54,'Progetto del paramento slu'!$G$53)*IF(O1862&lt;0,-1,1)</f>
        <v>892485.49558937876</v>
      </c>
      <c r="V1862" s="479">
        <f t="shared" si="136"/>
        <v>935154.62011354649</v>
      </c>
      <c r="W1862" s="559"/>
      <c r="X1862" s="559"/>
    </row>
    <row r="1863" spans="1:24" x14ac:dyDescent="0.25">
      <c r="A1863" s="553">
        <f t="shared" si="135"/>
        <v>923709.78762785951</v>
      </c>
      <c r="B1863" s="3">
        <f t="shared" si="138"/>
        <v>9.099999999999989</v>
      </c>
      <c r="C1863" s="553">
        <f>'Foglio deposito bis'!$E$160/sezione!$B$247*B1863</f>
        <v>36.942674644790216</v>
      </c>
      <c r="D1863" s="611">
        <f>-'Progetto del paramento slu'!$G$47*'Progetto del paramento slu'!$G$41*IF(DATI!$G$218="dx",DATI!$E$61,DATI!$E$64*DATI!$E$63)*1000*C1863^2*sezione!$AD$5*(1-sezione!$AD$6)</f>
        <v>-11234713.952443231</v>
      </c>
      <c r="E1863" s="553">
        <f>-'Foglio deposito bis'!$F$78*(C1863-sezione!$AL$34)*IF(ABS(K1863)&lt;'Progetto del paramento slu'!$G$58,ABS(K1863)*'Progetto del paramento slu'!$G$54,'Progetto del paramento slu'!$G$53)</f>
        <v>0</v>
      </c>
      <c r="F1863" s="553">
        <f>-'Foglio deposito bis'!$F$79*(C1863-sezione!$AM$34)*IF(ABS(L1863)&lt;'Progetto del paramento slu'!$G$58,ABS(L1863)*'Progetto del paramento slu'!$G$54,'Progetto del paramento slu'!$G$53)</f>
        <v>17372937.852901865</v>
      </c>
      <c r="G1863" s="553">
        <f>-'Foglio deposito bis'!$F$80*(C1863-sezione!$AN$34)*IF(ABS(M1863)&lt;'Progetto del paramento slu'!$G$58,ABS(M1863)*'Progetto del paramento slu'!$G$54,'Progetto del paramento slu'!$G$53)</f>
        <v>0</v>
      </c>
      <c r="H1863" s="553">
        <f>-'Foglio deposito bis'!$F$81*(C1863-sezione!$AO$34)*IF(ABS(N1863)&lt;'Progetto del paramento slu'!$G$58,ABS(N1863)*'Progetto del paramento slu'!$G$54,'Progetto del paramento slu'!$G$53)</f>
        <v>120707524.2101516</v>
      </c>
      <c r="I1863" s="479">
        <f>-'Foglio deposito bis'!$F$82*(C1863-sezione!$AP$34)*IF(ABS(O1863)&lt;'Progetto del paramento slu'!$G$58,ABS(O1863)*'Progetto del paramento slu'!$G$54,'Progetto del paramento slu'!$G$53)</f>
        <v>199081670.67215905</v>
      </c>
      <c r="J1863" s="479">
        <f t="shared" si="134"/>
        <v>325927418.78276926</v>
      </c>
      <c r="K1863" s="558">
        <f>'Progetto del paramento slu'!$G$60*(sezione!$AL$34-C1863)/C1863</f>
        <v>2.8965522518666049E-4</v>
      </c>
      <c r="L1863" s="558">
        <f>'Progetto del paramento slu'!$G$60*(sezione!$AM$34-C1863)/C1863</f>
        <v>1.0711207094449978E-2</v>
      </c>
      <c r="M1863" s="559">
        <f>'Progetto del paramento slu'!$G$60*(sezione!$AN$34-C1863)/C1863</f>
        <v>2.1132758963713295E-2</v>
      </c>
      <c r="N1863" s="559">
        <f>'Progetto del paramento slu'!$G$60*(sezione!$AO$34-C1863)/C1863</f>
        <v>2.8712069414086615E-2</v>
      </c>
      <c r="O1863" s="559">
        <f>'Progetto del paramento slu'!$G$60*(sezione!$AP$34-C1863)/C1863</f>
        <v>2.113342169789028E-2</v>
      </c>
      <c r="P1863" s="553">
        <f>-'Progetto del paramento slu'!$G$47*'Progetto del paramento slu'!$G$41*IF(DATI!$G$218="dx",DATI!$E$61,DATI!$E$64*DATI!$E$63)*1000*C1863*sezione!$AD$5</f>
        <v>-520739.878098752</v>
      </c>
      <c r="Q1863" s="553">
        <f>'Foglio deposito bis'!$F$78*IF(ABS(K1863)&lt;'Progetto del paramento slu'!$G$58,ABS(K1863)*'Progetto del paramento slu'!$G$54,'Progetto del paramento slu'!$G$53)*IF(K1863&lt;0,-1,1)</f>
        <v>0</v>
      </c>
      <c r="R1863" s="553">
        <f>'Foglio deposito bis'!$F$79*IF(ABS(L1863)&lt;'Progetto del paramento slu'!$G$58,ABS(L1863)*'Progetto del paramento slu'!$G$54,'Progetto del paramento slu'!$G$53)*IF(L1863&lt;0,-1,1)</f>
        <v>153664.85805602249</v>
      </c>
      <c r="S1863" s="553">
        <f>'Foglio deposito bis'!$F$80*IF(ABS(M1863)&lt;'Progetto del paramento slu'!$G$58,ABS(M1863)*'Progetto del paramento slu'!$G$54,'Progetto del paramento slu'!$G$53)*IF(M1863&lt;0,-1,1)</f>
        <v>0</v>
      </c>
      <c r="T1863" s="553">
        <f>'Foglio deposito bis'!$F$81*IF(ABS(N1863)&lt;'Progetto del paramento slu'!$G$58,ABS(N1863)*'Progetto del paramento slu'!$G$54,'Progetto del paramento slu'!$G$53)*IF(N1863&lt;0,-1,1)</f>
        <v>398299.31208121032</v>
      </c>
      <c r="U1863" s="553">
        <f>'Foglio deposito bis'!$F$82*IF(ABS(O1863)&lt;'Progetto del paramento slu'!$G$58,ABS(O1863)*'Progetto del paramento slu'!$G$54,'Progetto del paramento slu'!$G$53)*IF(O1863&lt;0,-1,1)</f>
        <v>892485.49558937876</v>
      </c>
      <c r="V1863" s="479">
        <f t="shared" si="136"/>
        <v>923709.78762785951</v>
      </c>
      <c r="W1863" s="559"/>
      <c r="X1863" s="559"/>
    </row>
    <row r="1864" spans="1:24" x14ac:dyDescent="0.25">
      <c r="A1864" s="553">
        <f t="shared" si="135"/>
        <v>912264.95514217275</v>
      </c>
      <c r="B1864" s="3">
        <f t="shared" si="138"/>
        <v>9.2999999999999883</v>
      </c>
      <c r="C1864" s="553">
        <f>'Foglio deposito bis'!$E$160/sezione!$B$247*B1864</f>
        <v>37.75460156006033</v>
      </c>
      <c r="D1864" s="611">
        <f>-'Progetto del paramento slu'!$G$47*'Progetto del paramento slu'!$G$41*IF(DATI!$G$218="dx",DATI!$E$61,DATI!$E$64*DATI!$E$63)*1000*C1864^2*sezione!$AD$5*(1-sezione!$AD$6)</f>
        <v>-11733974.275411362</v>
      </c>
      <c r="E1864" s="553">
        <f>-'Foglio deposito bis'!$F$78*(C1864-sezione!$AL$34)*IF(ABS(K1864)&lt;'Progetto del paramento slu'!$G$58,ABS(K1864)*'Progetto del paramento slu'!$G$54,'Progetto del paramento slu'!$G$53)</f>
        <v>0</v>
      </c>
      <c r="F1864" s="553">
        <f>-'Foglio deposito bis'!$F$79*(C1864-sezione!$AM$34)*IF(ABS(L1864)&lt;'Progetto del paramento slu'!$G$58,ABS(L1864)*'Progetto del paramento slu'!$G$54,'Progetto del paramento slu'!$G$53)</f>
        <v>17248173.218715016</v>
      </c>
      <c r="G1864" s="553">
        <f>-'Foglio deposito bis'!$F$80*(C1864-sezione!$AN$34)*IF(ABS(M1864)&lt;'Progetto del paramento slu'!$G$58,ABS(M1864)*'Progetto del paramento slu'!$G$54,'Progetto del paramento slu'!$G$53)</f>
        <v>0</v>
      </c>
      <c r="H1864" s="553">
        <f>-'Foglio deposito bis'!$F$81*(C1864-sezione!$AO$34)*IF(ABS(N1864)&lt;'Progetto del paramento slu'!$G$58,ABS(N1864)*'Progetto del paramento slu'!$G$54,'Progetto del paramento slu'!$G$53)</f>
        <v>120384134.27833928</v>
      </c>
      <c r="I1864" s="479">
        <f>-'Foglio deposito bis'!$F$82*(C1864-sezione!$AP$34)*IF(ABS(O1864)&lt;'Progetto del paramento slu'!$G$58,ABS(O1864)*'Progetto del paramento slu'!$G$54,'Progetto del paramento slu'!$G$53)</f>
        <v>198357037.6768018</v>
      </c>
      <c r="J1864" s="479">
        <f t="shared" si="134"/>
        <v>324255370.89844477</v>
      </c>
      <c r="K1864" s="558">
        <f>'Progetto del paramento slu'!$G$60*(sezione!$AL$34-C1864)/C1864</f>
        <v>2.0815726335468939E-4</v>
      </c>
      <c r="L1864" s="558">
        <f>'Progetto del paramento slu'!$G$60*(sezione!$AM$34-C1864)/C1864</f>
        <v>1.0405589737580085E-2</v>
      </c>
      <c r="M1864" s="559">
        <f>'Progetto del paramento slu'!$G$60*(sezione!$AN$34-C1864)/C1864</f>
        <v>2.0603022211805481E-2</v>
      </c>
      <c r="N1864" s="559">
        <f>'Progetto del paramento slu'!$G$60*(sezione!$AO$34-C1864)/C1864</f>
        <v>2.8019336738514859E-2</v>
      </c>
      <c r="O1864" s="559">
        <f>'Progetto del paramento slu'!$G$60*(sezione!$AP$34-C1864)/C1864</f>
        <v>2.0603670693634571E-2</v>
      </c>
      <c r="P1864" s="553">
        <f>-'Progetto del paramento slu'!$G$47*'Progetto del paramento slu'!$G$41*IF(DATI!$G$218="dx",DATI!$E$61,DATI!$E$64*DATI!$E$63)*1000*C1864*sezione!$AD$5</f>
        <v>-532184.71058443887</v>
      </c>
      <c r="Q1864" s="553">
        <f>'Foglio deposito bis'!$F$78*IF(ABS(K1864)&lt;'Progetto del paramento slu'!$G$58,ABS(K1864)*'Progetto del paramento slu'!$G$54,'Progetto del paramento slu'!$G$53)*IF(K1864&lt;0,-1,1)</f>
        <v>0</v>
      </c>
      <c r="R1864" s="553">
        <f>'Foglio deposito bis'!$F$79*IF(ABS(L1864)&lt;'Progetto del paramento slu'!$G$58,ABS(L1864)*'Progetto del paramento slu'!$G$54,'Progetto del paramento slu'!$G$53)*IF(L1864&lt;0,-1,1)</f>
        <v>153664.85805602249</v>
      </c>
      <c r="S1864" s="553">
        <f>'Foglio deposito bis'!$F$80*IF(ABS(M1864)&lt;'Progetto del paramento slu'!$G$58,ABS(M1864)*'Progetto del paramento slu'!$G$54,'Progetto del paramento slu'!$G$53)*IF(M1864&lt;0,-1,1)</f>
        <v>0</v>
      </c>
      <c r="T1864" s="553">
        <f>'Foglio deposito bis'!$F$81*IF(ABS(N1864)&lt;'Progetto del paramento slu'!$G$58,ABS(N1864)*'Progetto del paramento slu'!$G$54,'Progetto del paramento slu'!$G$53)*IF(N1864&lt;0,-1,1)</f>
        <v>398299.31208121032</v>
      </c>
      <c r="U1864" s="553">
        <f>'Foglio deposito bis'!$F$82*IF(ABS(O1864)&lt;'Progetto del paramento slu'!$G$58,ABS(O1864)*'Progetto del paramento slu'!$G$54,'Progetto del paramento slu'!$G$53)*IF(O1864&lt;0,-1,1)</f>
        <v>892485.49558937876</v>
      </c>
      <c r="V1864" s="479">
        <f t="shared" si="136"/>
        <v>912264.95514217275</v>
      </c>
      <c r="W1864" s="559"/>
      <c r="X1864" s="559"/>
    </row>
    <row r="1865" spans="1:24" x14ac:dyDescent="0.25">
      <c r="A1865" s="553">
        <f t="shared" si="135"/>
        <v>900820.122656486</v>
      </c>
      <c r="B1865" s="3">
        <f t="shared" si="138"/>
        <v>9.4999999999999876</v>
      </c>
      <c r="C1865" s="553">
        <f>'Foglio deposito bis'!$E$160/sezione!$B$247*B1865</f>
        <v>38.566528475330436</v>
      </c>
      <c r="D1865" s="611">
        <f>-'Progetto del paramento slu'!$G$47*'Progetto del paramento slu'!$G$41*IF(DATI!$G$218="dx",DATI!$E$61,DATI!$E$64*DATI!$E$63)*1000*C1865^2*sezione!$AD$5*(1-sezione!$AD$6)</f>
        <v>-12244088.083661405</v>
      </c>
      <c r="E1865" s="553">
        <f>-'Foglio deposito bis'!$F$78*(C1865-sezione!$AL$34)*IF(ABS(K1865)&lt;'Progetto del paramento slu'!$G$58,ABS(K1865)*'Progetto del paramento slu'!$G$54,'Progetto del paramento slu'!$G$53)</f>
        <v>0</v>
      </c>
      <c r="F1865" s="553">
        <f>-'Foglio deposito bis'!$F$79*(C1865-sezione!$AM$34)*IF(ABS(L1865)&lt;'Progetto del paramento slu'!$G$58,ABS(L1865)*'Progetto del paramento slu'!$G$54,'Progetto del paramento slu'!$G$53)</f>
        <v>17123408.584528174</v>
      </c>
      <c r="G1865" s="553">
        <f>-'Foglio deposito bis'!$F$80*(C1865-sezione!$AN$34)*IF(ABS(M1865)&lt;'Progetto del paramento slu'!$G$58,ABS(M1865)*'Progetto del paramento slu'!$G$54,'Progetto del paramento slu'!$G$53)</f>
        <v>0</v>
      </c>
      <c r="H1865" s="553">
        <f>-'Foglio deposito bis'!$F$81*(C1865-sezione!$AO$34)*IF(ABS(N1865)&lt;'Progetto del paramento slu'!$G$58,ABS(N1865)*'Progetto del paramento slu'!$G$54,'Progetto del paramento slu'!$G$53)</f>
        <v>120060744.346527</v>
      </c>
      <c r="I1865" s="479">
        <f>-'Foglio deposito bis'!$F$82*(C1865-sezione!$AP$34)*IF(ABS(O1865)&lt;'Progetto del paramento slu'!$G$58,ABS(O1865)*'Progetto del paramento slu'!$G$54,'Progetto del paramento slu'!$G$53)</f>
        <v>197632404.68144459</v>
      </c>
      <c r="J1865" s="479">
        <f t="shared" si="134"/>
        <v>322572469.52883834</v>
      </c>
      <c r="K1865" s="558">
        <f>'Progetto del paramento slu'!$G$60*(sezione!$AL$34-C1865)/C1865</f>
        <v>1.3009079465248617E-4</v>
      </c>
      <c r="L1865" s="558">
        <f>'Progetto del paramento slu'!$G$60*(sezione!$AM$34-C1865)/C1865</f>
        <v>1.0112840479946822E-2</v>
      </c>
      <c r="M1865" s="559">
        <f>'Progetto del paramento slu'!$G$60*(sezione!$AN$34-C1865)/C1865</f>
        <v>2.0095590165241161E-2</v>
      </c>
      <c r="N1865" s="559">
        <f>'Progetto del paramento slu'!$G$60*(sezione!$AO$34-C1865)/C1865</f>
        <v>2.7355771754546131E-2</v>
      </c>
      <c r="O1865" s="559">
        <f>'Progetto del paramento slu'!$G$60*(sezione!$AP$34-C1865)/C1865</f>
        <v>2.0096224994821218E-2</v>
      </c>
      <c r="P1865" s="553">
        <f>-'Progetto del paramento slu'!$G$47*'Progetto del paramento slu'!$G$41*IF(DATI!$G$218="dx",DATI!$E$61,DATI!$E$64*DATI!$E$63)*1000*C1865*sezione!$AD$5</f>
        <v>-543629.54307012551</v>
      </c>
      <c r="Q1865" s="553">
        <f>'Foglio deposito bis'!$F$78*IF(ABS(K1865)&lt;'Progetto del paramento slu'!$G$58,ABS(K1865)*'Progetto del paramento slu'!$G$54,'Progetto del paramento slu'!$G$53)*IF(K1865&lt;0,-1,1)</f>
        <v>0</v>
      </c>
      <c r="R1865" s="553">
        <f>'Foglio deposito bis'!$F$79*IF(ABS(L1865)&lt;'Progetto del paramento slu'!$G$58,ABS(L1865)*'Progetto del paramento slu'!$G$54,'Progetto del paramento slu'!$G$53)*IF(L1865&lt;0,-1,1)</f>
        <v>153664.85805602249</v>
      </c>
      <c r="S1865" s="553">
        <f>'Foglio deposito bis'!$F$80*IF(ABS(M1865)&lt;'Progetto del paramento slu'!$G$58,ABS(M1865)*'Progetto del paramento slu'!$G$54,'Progetto del paramento slu'!$G$53)*IF(M1865&lt;0,-1,1)</f>
        <v>0</v>
      </c>
      <c r="T1865" s="553">
        <f>'Foglio deposito bis'!$F$81*IF(ABS(N1865)&lt;'Progetto del paramento slu'!$G$58,ABS(N1865)*'Progetto del paramento slu'!$G$54,'Progetto del paramento slu'!$G$53)*IF(N1865&lt;0,-1,1)</f>
        <v>398299.31208121032</v>
      </c>
      <c r="U1865" s="553">
        <f>'Foglio deposito bis'!$F$82*IF(ABS(O1865)&lt;'Progetto del paramento slu'!$G$58,ABS(O1865)*'Progetto del paramento slu'!$G$54,'Progetto del paramento slu'!$G$53)*IF(O1865&lt;0,-1,1)</f>
        <v>892485.49558937876</v>
      </c>
      <c r="V1865" s="479">
        <f t="shared" si="136"/>
        <v>900820.122656486</v>
      </c>
      <c r="W1865" s="559"/>
      <c r="X1865" s="559"/>
    </row>
    <row r="1866" spans="1:24" x14ac:dyDescent="0.25">
      <c r="A1866" s="553">
        <f t="shared" si="135"/>
        <v>889375.29017079924</v>
      </c>
      <c r="B1866" s="3">
        <f t="shared" si="138"/>
        <v>9.6999999999999869</v>
      </c>
      <c r="C1866" s="553">
        <f>'Foglio deposito bis'!$E$160/sezione!$B$247*B1866</f>
        <v>39.37845539060055</v>
      </c>
      <c r="D1866" s="611">
        <f>-'Progetto del paramento slu'!$G$47*'Progetto del paramento slu'!$G$41*IF(DATI!$G$218="dx",DATI!$E$61,DATI!$E$64*DATI!$E$63)*1000*C1866^2*sezione!$AD$5*(1-sezione!$AD$6)</f>
        <v>-12765055.377193369</v>
      </c>
      <c r="E1866" s="553">
        <f>-'Foglio deposito bis'!$F$78*(C1866-sezione!$AL$34)*IF(ABS(K1866)&lt;'Progetto del paramento slu'!$G$58,ABS(K1866)*'Progetto del paramento slu'!$G$54,'Progetto del paramento slu'!$G$53)</f>
        <v>0</v>
      </c>
      <c r="F1866" s="553">
        <f>-'Foglio deposito bis'!$F$79*(C1866-sezione!$AM$34)*IF(ABS(L1866)&lt;'Progetto del paramento slu'!$G$58,ABS(L1866)*'Progetto del paramento slu'!$G$54,'Progetto del paramento slu'!$G$53)</f>
        <v>16998643.950341325</v>
      </c>
      <c r="G1866" s="553">
        <f>-'Foglio deposito bis'!$F$80*(C1866-sezione!$AN$34)*IF(ABS(M1866)&lt;'Progetto del paramento slu'!$G$58,ABS(M1866)*'Progetto del paramento slu'!$G$54,'Progetto del paramento slu'!$G$53)</f>
        <v>0</v>
      </c>
      <c r="H1866" s="553">
        <f>-'Foglio deposito bis'!$F$81*(C1866-sezione!$AO$34)*IF(ABS(N1866)&lt;'Progetto del paramento slu'!$G$58,ABS(N1866)*'Progetto del paramento slu'!$G$54,'Progetto del paramento slu'!$G$53)</f>
        <v>119737354.41471468</v>
      </c>
      <c r="I1866" s="479">
        <f>-'Foglio deposito bis'!$F$82*(C1866-sezione!$AP$34)*IF(ABS(O1866)&lt;'Progetto del paramento slu'!$G$58,ABS(O1866)*'Progetto del paramento slu'!$G$54,'Progetto del paramento slu'!$G$53)</f>
        <v>196907771.6860874</v>
      </c>
      <c r="J1866" s="479">
        <f t="shared" si="134"/>
        <v>320878714.67395002</v>
      </c>
      <c r="K1866" s="558">
        <f>'Progetto del paramento slu'!$G$60*(sezione!$AL$34-C1866)/C1866</f>
        <v>5.5243561773053558E-5</v>
      </c>
      <c r="L1866" s="558">
        <f>'Progetto del paramento slu'!$G$60*(sezione!$AM$34-C1866)/C1866</f>
        <v>9.8321633566489514E-3</v>
      </c>
      <c r="M1866" s="559">
        <f>'Progetto del paramento slu'!$G$60*(sezione!$AN$34-C1866)/C1866</f>
        <v>1.9609083151524851E-2</v>
      </c>
      <c r="N1866" s="559">
        <f>'Progetto del paramento slu'!$G$60*(sezione!$AO$34-C1866)/C1866</f>
        <v>2.6719570275070954E-2</v>
      </c>
      <c r="O1866" s="559">
        <f>'Progetto del paramento slu'!$G$60*(sezione!$AP$34-C1866)/C1866</f>
        <v>1.9609704891835215E-2</v>
      </c>
      <c r="P1866" s="553">
        <f>-'Progetto del paramento slu'!$G$47*'Progetto del paramento slu'!$G$41*IF(DATI!$G$218="dx",DATI!$E$61,DATI!$E$64*DATI!$E$63)*1000*C1866*sezione!$AD$5</f>
        <v>-555074.37555581238</v>
      </c>
      <c r="Q1866" s="553">
        <f>'Foglio deposito bis'!$F$78*IF(ABS(K1866)&lt;'Progetto del paramento slu'!$G$58,ABS(K1866)*'Progetto del paramento slu'!$G$54,'Progetto del paramento slu'!$G$53)*IF(K1866&lt;0,-1,1)</f>
        <v>0</v>
      </c>
      <c r="R1866" s="553">
        <f>'Foglio deposito bis'!$F$79*IF(ABS(L1866)&lt;'Progetto del paramento slu'!$G$58,ABS(L1866)*'Progetto del paramento slu'!$G$54,'Progetto del paramento slu'!$G$53)*IF(L1866&lt;0,-1,1)</f>
        <v>153664.85805602249</v>
      </c>
      <c r="S1866" s="553">
        <f>'Foglio deposito bis'!$F$80*IF(ABS(M1866)&lt;'Progetto del paramento slu'!$G$58,ABS(M1866)*'Progetto del paramento slu'!$G$54,'Progetto del paramento slu'!$G$53)*IF(M1866&lt;0,-1,1)</f>
        <v>0</v>
      </c>
      <c r="T1866" s="553">
        <f>'Foglio deposito bis'!$F$81*IF(ABS(N1866)&lt;'Progetto del paramento slu'!$G$58,ABS(N1866)*'Progetto del paramento slu'!$G$54,'Progetto del paramento slu'!$G$53)*IF(N1866&lt;0,-1,1)</f>
        <v>398299.31208121032</v>
      </c>
      <c r="U1866" s="553">
        <f>'Foglio deposito bis'!$F$82*IF(ABS(O1866)&lt;'Progetto del paramento slu'!$G$58,ABS(O1866)*'Progetto del paramento slu'!$G$54,'Progetto del paramento slu'!$G$53)*IF(O1866&lt;0,-1,1)</f>
        <v>892485.49558937876</v>
      </c>
      <c r="V1866" s="479">
        <f t="shared" si="136"/>
        <v>889375.29017079924</v>
      </c>
      <c r="W1866" s="559"/>
      <c r="X1866" s="559"/>
    </row>
    <row r="1867" spans="1:24" x14ac:dyDescent="0.25">
      <c r="A1867" s="553">
        <f t="shared" si="135"/>
        <v>877930.45768511225</v>
      </c>
      <c r="B1867" s="3">
        <f t="shared" si="138"/>
        <v>9.8999999999999861</v>
      </c>
      <c r="C1867" s="553">
        <f>'Foglio deposito bis'!$E$160/sezione!$B$247*B1867</f>
        <v>40.190382305870664</v>
      </c>
      <c r="D1867" s="611">
        <f>-'Progetto del paramento slu'!$G$47*'Progetto del paramento slu'!$G$41*IF(DATI!$G$218="dx",DATI!$E$61,DATI!$E$64*DATI!$E$63)*1000*C1867^2*sezione!$AD$5*(1-sezione!$AD$6)</f>
        <v>-13296876.156007249</v>
      </c>
      <c r="E1867" s="553">
        <f>-'Foglio deposito bis'!$F$78*(C1867-sezione!$AL$34)*IF(ABS(K1867)&lt;'Progetto del paramento slu'!$G$58,ABS(K1867)*'Progetto del paramento slu'!$G$54,'Progetto del paramento slu'!$G$53)</f>
        <v>0</v>
      </c>
      <c r="F1867" s="553">
        <f>-'Foglio deposito bis'!$F$79*(C1867-sezione!$AM$34)*IF(ABS(L1867)&lt;'Progetto del paramento slu'!$G$58,ABS(L1867)*'Progetto del paramento slu'!$G$54,'Progetto del paramento slu'!$G$53)</f>
        <v>16873879.31615448</v>
      </c>
      <c r="G1867" s="553">
        <f>-'Foglio deposito bis'!$F$80*(C1867-sezione!$AN$34)*IF(ABS(M1867)&lt;'Progetto del paramento slu'!$G$58,ABS(M1867)*'Progetto del paramento slu'!$G$54,'Progetto del paramento slu'!$G$53)</f>
        <v>0</v>
      </c>
      <c r="H1867" s="553">
        <f>-'Foglio deposito bis'!$F$81*(C1867-sezione!$AO$34)*IF(ABS(N1867)&lt;'Progetto del paramento slu'!$G$58,ABS(N1867)*'Progetto del paramento slu'!$G$54,'Progetto del paramento slu'!$G$53)</f>
        <v>119413964.48290236</v>
      </c>
      <c r="I1867" s="479">
        <f>-'Foglio deposito bis'!$F$82*(C1867-sezione!$AP$34)*IF(ABS(O1867)&lt;'Progetto del paramento slu'!$G$58,ABS(O1867)*'Progetto del paramento slu'!$G$54,'Progetto del paramento slu'!$G$53)</f>
        <v>196183138.69073021</v>
      </c>
      <c r="J1867" s="479">
        <f t="shared" si="134"/>
        <v>319174106.33377981</v>
      </c>
      <c r="K1867" s="558">
        <f>'Progetto del paramento slu'!$G$60*(sezione!$AL$34-C1867)/C1867</f>
        <v>-1.6579540484987859E-5</v>
      </c>
      <c r="L1867" s="558">
        <f>'Progetto del paramento slu'!$G$60*(sezione!$AM$34-C1867)/C1867</f>
        <v>9.5628267231812961E-3</v>
      </c>
      <c r="M1867" s="559">
        <f>'Progetto del paramento slu'!$G$60*(sezione!$AN$34-C1867)/C1867</f>
        <v>1.9142232986847581E-2</v>
      </c>
      <c r="N1867" s="559">
        <f>'Progetto del paramento slu'!$G$60*(sezione!$AO$34-C1867)/C1867</f>
        <v>2.6109073905877602E-2</v>
      </c>
      <c r="O1867" s="559">
        <f>'Progetto del paramento slu'!$G$60*(sezione!$AP$34-C1867)/C1867</f>
        <v>1.9142842166747633E-2</v>
      </c>
      <c r="P1867" s="553">
        <f>-'Progetto del paramento slu'!$G$47*'Progetto del paramento slu'!$G$41*IF(DATI!$G$218="dx",DATI!$E$61,DATI!$E$64*DATI!$E$63)*1000*C1867*sezione!$AD$5</f>
        <v>-566519.20804149925</v>
      </c>
      <c r="Q1867" s="553">
        <f>'Foglio deposito bis'!$F$78*IF(ABS(K1867)&lt;'Progetto del paramento slu'!$G$58,ABS(K1867)*'Progetto del paramento slu'!$G$54,'Progetto del paramento slu'!$G$53)*IF(K1867&lt;0,-1,1)</f>
        <v>0</v>
      </c>
      <c r="R1867" s="553">
        <f>'Foglio deposito bis'!$F$79*IF(ABS(L1867)&lt;'Progetto del paramento slu'!$G$58,ABS(L1867)*'Progetto del paramento slu'!$G$54,'Progetto del paramento slu'!$G$53)*IF(L1867&lt;0,-1,1)</f>
        <v>153664.85805602249</v>
      </c>
      <c r="S1867" s="553">
        <f>'Foglio deposito bis'!$F$80*IF(ABS(M1867)&lt;'Progetto del paramento slu'!$G$58,ABS(M1867)*'Progetto del paramento slu'!$G$54,'Progetto del paramento slu'!$G$53)*IF(M1867&lt;0,-1,1)</f>
        <v>0</v>
      </c>
      <c r="T1867" s="553">
        <f>'Foglio deposito bis'!$F$81*IF(ABS(N1867)&lt;'Progetto del paramento slu'!$G$58,ABS(N1867)*'Progetto del paramento slu'!$G$54,'Progetto del paramento slu'!$G$53)*IF(N1867&lt;0,-1,1)</f>
        <v>398299.31208121032</v>
      </c>
      <c r="U1867" s="553">
        <f>'Foglio deposito bis'!$F$82*IF(ABS(O1867)&lt;'Progetto del paramento slu'!$G$58,ABS(O1867)*'Progetto del paramento slu'!$G$54,'Progetto del paramento slu'!$G$53)*IF(O1867&lt;0,-1,1)</f>
        <v>892485.49558937876</v>
      </c>
      <c r="V1867" s="479">
        <f t="shared" si="136"/>
        <v>877930.45768511225</v>
      </c>
      <c r="W1867" s="559"/>
      <c r="X1867" s="559"/>
    </row>
    <row r="1868" spans="1:24" x14ac:dyDescent="0.25">
      <c r="A1868" s="553">
        <f t="shared" si="135"/>
        <v>866485.6251994255</v>
      </c>
      <c r="B1868" s="3">
        <f t="shared" si="138"/>
        <v>10.099999999999985</v>
      </c>
      <c r="C1868" s="553">
        <f>'Foglio deposito bis'!$E$160/sezione!$B$247*B1868</f>
        <v>41.002309221140777</v>
      </c>
      <c r="D1868" s="611">
        <f>-'Progetto del paramento slu'!$G$47*'Progetto del paramento slu'!$G$41*IF(DATI!$G$218="dx",DATI!$E$61,DATI!$E$64*DATI!$E$63)*1000*C1868^2*sezione!$AD$5*(1-sezione!$AD$6)</f>
        <v>-13839550.420103047</v>
      </c>
      <c r="E1868" s="553">
        <f>-'Foglio deposito bis'!$F$78*(C1868-sezione!$AL$34)*IF(ABS(K1868)&lt;'Progetto del paramento slu'!$G$58,ABS(K1868)*'Progetto del paramento slu'!$G$54,'Progetto del paramento slu'!$G$53)</f>
        <v>0</v>
      </c>
      <c r="F1868" s="553">
        <f>-'Foglio deposito bis'!$F$79*(C1868-sezione!$AM$34)*IF(ABS(L1868)&lt;'Progetto del paramento slu'!$G$58,ABS(L1868)*'Progetto del paramento slu'!$G$54,'Progetto del paramento slu'!$G$53)</f>
        <v>16749114.681967633</v>
      </c>
      <c r="G1868" s="553">
        <f>-'Foglio deposito bis'!$F$80*(C1868-sezione!$AN$34)*IF(ABS(M1868)&lt;'Progetto del paramento slu'!$G$58,ABS(M1868)*'Progetto del paramento slu'!$G$54,'Progetto del paramento slu'!$G$53)</f>
        <v>0</v>
      </c>
      <c r="H1868" s="553">
        <f>-'Foglio deposito bis'!$F$81*(C1868-sezione!$AO$34)*IF(ABS(N1868)&lt;'Progetto del paramento slu'!$G$58,ABS(N1868)*'Progetto del paramento slu'!$G$54,'Progetto del paramento slu'!$G$53)</f>
        <v>119090574.55109008</v>
      </c>
      <c r="I1868" s="479">
        <f>-'Foglio deposito bis'!$F$82*(C1868-sezione!$AP$34)*IF(ABS(O1868)&lt;'Progetto del paramento slu'!$G$58,ABS(O1868)*'Progetto del paramento slu'!$G$54,'Progetto del paramento slu'!$G$53)</f>
        <v>195458505.695373</v>
      </c>
      <c r="J1868" s="479">
        <f t="shared" si="134"/>
        <v>317458644.50832766</v>
      </c>
      <c r="K1868" s="558">
        <f>'Progetto del paramento slu'!$G$60*(sezione!$AL$34-C1868)/C1868</f>
        <v>-8.5558163445681099E-5</v>
      </c>
      <c r="L1868" s="558">
        <f>'Progetto del paramento slu'!$G$60*(sezione!$AM$34-C1868)/C1868</f>
        <v>9.3041568870786961E-3</v>
      </c>
      <c r="M1868" s="559">
        <f>'Progetto del paramento slu'!$G$60*(sezione!$AN$34-C1868)/C1868</f>
        <v>1.8693871937603076E-2</v>
      </c>
      <c r="N1868" s="559">
        <f>'Progetto del paramento slu'!$G$60*(sezione!$AO$34-C1868)/C1868</f>
        <v>2.5522755610711712E-2</v>
      </c>
      <c r="O1868" s="559">
        <f>'Progetto del paramento slu'!$G$60*(sezione!$AP$34-C1868)/C1868</f>
        <v>1.8694469054534809E-2</v>
      </c>
      <c r="P1868" s="553">
        <f>-'Progetto del paramento slu'!$G$47*'Progetto del paramento slu'!$G$41*IF(DATI!$G$218="dx",DATI!$E$61,DATI!$E$64*DATI!$E$63)*1000*C1868*sezione!$AD$5</f>
        <v>-577964.04052718601</v>
      </c>
      <c r="Q1868" s="553">
        <f>'Foglio deposito bis'!$F$78*IF(ABS(K1868)&lt;'Progetto del paramento slu'!$G$58,ABS(K1868)*'Progetto del paramento slu'!$G$54,'Progetto del paramento slu'!$G$53)*IF(K1868&lt;0,-1,1)</f>
        <v>0</v>
      </c>
      <c r="R1868" s="553">
        <f>'Foglio deposito bis'!$F$79*IF(ABS(L1868)&lt;'Progetto del paramento slu'!$G$58,ABS(L1868)*'Progetto del paramento slu'!$G$54,'Progetto del paramento slu'!$G$53)*IF(L1868&lt;0,-1,1)</f>
        <v>153664.85805602249</v>
      </c>
      <c r="S1868" s="553">
        <f>'Foglio deposito bis'!$F$80*IF(ABS(M1868)&lt;'Progetto del paramento slu'!$G$58,ABS(M1868)*'Progetto del paramento slu'!$G$54,'Progetto del paramento slu'!$G$53)*IF(M1868&lt;0,-1,1)</f>
        <v>0</v>
      </c>
      <c r="T1868" s="553">
        <f>'Foglio deposito bis'!$F$81*IF(ABS(N1868)&lt;'Progetto del paramento slu'!$G$58,ABS(N1868)*'Progetto del paramento slu'!$G$54,'Progetto del paramento slu'!$G$53)*IF(N1868&lt;0,-1,1)</f>
        <v>398299.31208121032</v>
      </c>
      <c r="U1868" s="553">
        <f>'Foglio deposito bis'!$F$82*IF(ABS(O1868)&lt;'Progetto del paramento slu'!$G$58,ABS(O1868)*'Progetto del paramento slu'!$G$54,'Progetto del paramento slu'!$G$53)*IF(O1868&lt;0,-1,1)</f>
        <v>892485.49558937876</v>
      </c>
      <c r="V1868" s="479">
        <f t="shared" si="136"/>
        <v>866485.6251994255</v>
      </c>
      <c r="W1868" s="559"/>
      <c r="X1868" s="559"/>
    </row>
    <row r="1869" spans="1:24" x14ac:dyDescent="0.25">
      <c r="A1869" s="553">
        <f t="shared" si="135"/>
        <v>855040.79271373875</v>
      </c>
      <c r="B1869" s="3">
        <f t="shared" si="138"/>
        <v>10.299999999999985</v>
      </c>
      <c r="C1869" s="553">
        <f>'Foglio deposito bis'!$E$160/sezione!$B$247*B1869</f>
        <v>41.814236136410891</v>
      </c>
      <c r="D1869" s="611">
        <f>-'Progetto del paramento slu'!$G$47*'Progetto del paramento slu'!$G$41*IF(DATI!$G$218="dx",DATI!$E$61,DATI!$E$64*DATI!$E$63)*1000*C1869^2*sezione!$AD$5*(1-sezione!$AD$6)</f>
        <v>-14393078.169480758</v>
      </c>
      <c r="E1869" s="553">
        <f>-'Foglio deposito bis'!$F$78*(C1869-sezione!$AL$34)*IF(ABS(K1869)&lt;'Progetto del paramento slu'!$G$58,ABS(K1869)*'Progetto del paramento slu'!$G$54,'Progetto del paramento slu'!$G$53)</f>
        <v>0</v>
      </c>
      <c r="F1869" s="553">
        <f>-'Foglio deposito bis'!$F$79*(C1869-sezione!$AM$34)*IF(ABS(L1869)&lt;'Progetto del paramento slu'!$G$58,ABS(L1869)*'Progetto del paramento slu'!$G$54,'Progetto del paramento slu'!$G$53)</f>
        <v>16624350.047780786</v>
      </c>
      <c r="G1869" s="553">
        <f>-'Foglio deposito bis'!$F$80*(C1869-sezione!$AN$34)*IF(ABS(M1869)&lt;'Progetto del paramento slu'!$G$58,ABS(M1869)*'Progetto del paramento slu'!$G$54,'Progetto del paramento slu'!$G$53)</f>
        <v>0</v>
      </c>
      <c r="H1869" s="553">
        <f>-'Foglio deposito bis'!$F$81*(C1869-sezione!$AO$34)*IF(ABS(N1869)&lt;'Progetto del paramento slu'!$G$58,ABS(N1869)*'Progetto del paramento slu'!$G$54,'Progetto del paramento slu'!$G$53)</f>
        <v>118767184.61927776</v>
      </c>
      <c r="I1869" s="479">
        <f>-'Foglio deposito bis'!$F$82*(C1869-sezione!$AP$34)*IF(ABS(O1869)&lt;'Progetto del paramento slu'!$G$58,ABS(O1869)*'Progetto del paramento slu'!$G$54,'Progetto del paramento slu'!$G$53)</f>
        <v>194733872.70001578</v>
      </c>
      <c r="J1869" s="479">
        <f t="shared" ref="J1869:J1932" si="139">D1869+E1869+F1869+G1869+H1869+I1869</f>
        <v>315732329.19759357</v>
      </c>
      <c r="K1869" s="558">
        <f>'Progetto del paramento slu'!$G$60*(sezione!$AL$34-C1869)/C1869</f>
        <v>-1.5185800493217267E-4</v>
      </c>
      <c r="L1869" s="558">
        <f>'Progetto del paramento slu'!$G$60*(sezione!$AM$34-C1869)/C1869</f>
        <v>9.0555324815043518E-3</v>
      </c>
      <c r="M1869" s="559">
        <f>'Progetto del paramento slu'!$G$60*(sezione!$AN$34-C1869)/C1869</f>
        <v>1.8262922967940878E-2</v>
      </c>
      <c r="N1869" s="559">
        <f>'Progetto del paramento slu'!$G$60*(sezione!$AO$34-C1869)/C1869</f>
        <v>2.4959206958076532E-2</v>
      </c>
      <c r="O1869" s="559">
        <f>'Progetto del paramento slu'!$G$60*(sezione!$AP$34-C1869)/C1869</f>
        <v>1.8263508490369087E-2</v>
      </c>
      <c r="P1869" s="553">
        <f>-'Progetto del paramento slu'!$G$47*'Progetto del paramento slu'!$G$41*IF(DATI!$G$218="dx",DATI!$E$61,DATI!$E$64*DATI!$E$63)*1000*C1869*sezione!$AD$5</f>
        <v>-589408.87301287288</v>
      </c>
      <c r="Q1869" s="553">
        <f>'Foglio deposito bis'!$F$78*IF(ABS(K1869)&lt;'Progetto del paramento slu'!$G$58,ABS(K1869)*'Progetto del paramento slu'!$G$54,'Progetto del paramento slu'!$G$53)*IF(K1869&lt;0,-1,1)</f>
        <v>0</v>
      </c>
      <c r="R1869" s="553">
        <f>'Foglio deposito bis'!$F$79*IF(ABS(L1869)&lt;'Progetto del paramento slu'!$G$58,ABS(L1869)*'Progetto del paramento slu'!$G$54,'Progetto del paramento slu'!$G$53)*IF(L1869&lt;0,-1,1)</f>
        <v>153664.85805602249</v>
      </c>
      <c r="S1869" s="553">
        <f>'Foglio deposito bis'!$F$80*IF(ABS(M1869)&lt;'Progetto del paramento slu'!$G$58,ABS(M1869)*'Progetto del paramento slu'!$G$54,'Progetto del paramento slu'!$G$53)*IF(M1869&lt;0,-1,1)</f>
        <v>0</v>
      </c>
      <c r="T1869" s="553">
        <f>'Foglio deposito bis'!$F$81*IF(ABS(N1869)&lt;'Progetto del paramento slu'!$G$58,ABS(N1869)*'Progetto del paramento slu'!$G$54,'Progetto del paramento slu'!$G$53)*IF(N1869&lt;0,-1,1)</f>
        <v>398299.31208121032</v>
      </c>
      <c r="U1869" s="553">
        <f>'Foglio deposito bis'!$F$82*IF(ABS(O1869)&lt;'Progetto del paramento slu'!$G$58,ABS(O1869)*'Progetto del paramento slu'!$G$54,'Progetto del paramento slu'!$G$53)*IF(O1869&lt;0,-1,1)</f>
        <v>892485.49558937876</v>
      </c>
      <c r="V1869" s="479">
        <f t="shared" si="136"/>
        <v>855040.79271373875</v>
      </c>
      <c r="W1869" s="559"/>
      <c r="X1869" s="559"/>
    </row>
    <row r="1870" spans="1:24" x14ac:dyDescent="0.25">
      <c r="A1870" s="553">
        <f t="shared" ref="A1870:A1933" si="140">ABS(V1870)</f>
        <v>843595.96022805176</v>
      </c>
      <c r="B1870" s="3">
        <f t="shared" si="138"/>
        <v>10.499999999999984</v>
      </c>
      <c r="C1870" s="553">
        <f>'Foglio deposito bis'!$E$160/sezione!$B$247*B1870</f>
        <v>42.626163051681004</v>
      </c>
      <c r="D1870" s="611">
        <f>-'Progetto del paramento slu'!$G$47*'Progetto del paramento slu'!$G$41*IF(DATI!$G$218="dx",DATI!$E$61,DATI!$E$64*DATI!$E$63)*1000*C1870^2*sezione!$AD$5*(1-sezione!$AD$6)</f>
        <v>-14957459.404140385</v>
      </c>
      <c r="E1870" s="553">
        <f>-'Foglio deposito bis'!$F$78*(C1870-sezione!$AL$34)*IF(ABS(K1870)&lt;'Progetto del paramento slu'!$G$58,ABS(K1870)*'Progetto del paramento slu'!$G$54,'Progetto del paramento slu'!$G$53)</f>
        <v>0</v>
      </c>
      <c r="F1870" s="553">
        <f>-'Foglio deposito bis'!$F$79*(C1870-sezione!$AM$34)*IF(ABS(L1870)&lt;'Progetto del paramento slu'!$G$58,ABS(L1870)*'Progetto del paramento slu'!$G$54,'Progetto del paramento slu'!$G$53)</f>
        <v>16499585.413593942</v>
      </c>
      <c r="G1870" s="553">
        <f>-'Foglio deposito bis'!$F$80*(C1870-sezione!$AN$34)*IF(ABS(M1870)&lt;'Progetto del paramento slu'!$G$58,ABS(M1870)*'Progetto del paramento slu'!$G$54,'Progetto del paramento slu'!$G$53)</f>
        <v>0</v>
      </c>
      <c r="H1870" s="553">
        <f>-'Foglio deposito bis'!$F$81*(C1870-sezione!$AO$34)*IF(ABS(N1870)&lt;'Progetto del paramento slu'!$G$58,ABS(N1870)*'Progetto del paramento slu'!$G$54,'Progetto del paramento slu'!$G$53)</f>
        <v>118443794.68746546</v>
      </c>
      <c r="I1870" s="479">
        <f>-'Foglio deposito bis'!$F$82*(C1870-sezione!$AP$34)*IF(ABS(O1870)&lt;'Progetto del paramento slu'!$G$58,ABS(O1870)*'Progetto del paramento slu'!$G$54,'Progetto del paramento slu'!$G$53)</f>
        <v>194009239.7046586</v>
      </c>
      <c r="J1870" s="479">
        <f t="shared" si="139"/>
        <v>313995160.40157759</v>
      </c>
      <c r="K1870" s="558">
        <f>'Progetto del paramento slu'!$G$60*(sezione!$AL$34-C1870)/C1870</f>
        <v>-2.156321381715598E-4</v>
      </c>
      <c r="L1870" s="558">
        <f>'Progetto del paramento slu'!$G$60*(sezione!$AM$34-C1870)/C1870</f>
        <v>8.816379481856651E-3</v>
      </c>
      <c r="M1870" s="559">
        <f>'Progetto del paramento slu'!$G$60*(sezione!$AN$34-C1870)/C1870</f>
        <v>1.7848391101884863E-2</v>
      </c>
      <c r="N1870" s="559">
        <f>'Progetto del paramento slu'!$G$60*(sezione!$AO$34-C1870)/C1870</f>
        <v>2.441712682554174E-2</v>
      </c>
      <c r="O1870" s="559">
        <f>'Progetto del paramento slu'!$G$60*(sezione!$AP$34-C1870)/C1870</f>
        <v>1.7848965471504913E-2</v>
      </c>
      <c r="P1870" s="553">
        <f>-'Progetto del paramento slu'!$G$47*'Progetto del paramento slu'!$G$41*IF(DATI!$G$218="dx",DATI!$E$61,DATI!$E$64*DATI!$E$63)*1000*C1870*sezione!$AD$5</f>
        <v>-600853.70549855975</v>
      </c>
      <c r="Q1870" s="553">
        <f>'Foglio deposito bis'!$F$78*IF(ABS(K1870)&lt;'Progetto del paramento slu'!$G$58,ABS(K1870)*'Progetto del paramento slu'!$G$54,'Progetto del paramento slu'!$G$53)*IF(K1870&lt;0,-1,1)</f>
        <v>0</v>
      </c>
      <c r="R1870" s="553">
        <f>'Foglio deposito bis'!$F$79*IF(ABS(L1870)&lt;'Progetto del paramento slu'!$G$58,ABS(L1870)*'Progetto del paramento slu'!$G$54,'Progetto del paramento slu'!$G$53)*IF(L1870&lt;0,-1,1)</f>
        <v>153664.85805602249</v>
      </c>
      <c r="S1870" s="553">
        <f>'Foglio deposito bis'!$F$80*IF(ABS(M1870)&lt;'Progetto del paramento slu'!$G$58,ABS(M1870)*'Progetto del paramento slu'!$G$54,'Progetto del paramento slu'!$G$53)*IF(M1870&lt;0,-1,1)</f>
        <v>0</v>
      </c>
      <c r="T1870" s="553">
        <f>'Foglio deposito bis'!$F$81*IF(ABS(N1870)&lt;'Progetto del paramento slu'!$G$58,ABS(N1870)*'Progetto del paramento slu'!$G$54,'Progetto del paramento slu'!$G$53)*IF(N1870&lt;0,-1,1)</f>
        <v>398299.31208121032</v>
      </c>
      <c r="U1870" s="553">
        <f>'Foglio deposito bis'!$F$82*IF(ABS(O1870)&lt;'Progetto del paramento slu'!$G$58,ABS(O1870)*'Progetto del paramento slu'!$G$54,'Progetto del paramento slu'!$G$53)*IF(O1870&lt;0,-1,1)</f>
        <v>892485.49558937876</v>
      </c>
      <c r="V1870" s="479">
        <f t="shared" ref="V1870:V1933" si="141">P1870+Q1870+R1870+S1870+T1870+U1870</f>
        <v>843595.96022805176</v>
      </c>
      <c r="W1870" s="559"/>
      <c r="X1870" s="559"/>
    </row>
    <row r="1871" spans="1:24" x14ac:dyDescent="0.25">
      <c r="A1871" s="553">
        <f t="shared" si="140"/>
        <v>832151.127742365</v>
      </c>
      <c r="B1871" s="3">
        <f t="shared" si="138"/>
        <v>10.699999999999983</v>
      </c>
      <c r="C1871" s="553">
        <f>'Foglio deposito bis'!$E$160/sezione!$B$247*B1871</f>
        <v>43.438089966951118</v>
      </c>
      <c r="D1871" s="611">
        <f>-'Progetto del paramento slu'!$G$47*'Progetto del paramento slu'!$G$41*IF(DATI!$G$218="dx",DATI!$E$61,DATI!$E$64*DATI!$E$63)*1000*C1871^2*sezione!$AD$5*(1-sezione!$AD$6)</f>
        <v>-15532694.124081928</v>
      </c>
      <c r="E1871" s="553">
        <f>-'Foglio deposito bis'!$F$78*(C1871-sezione!$AL$34)*IF(ABS(K1871)&lt;'Progetto del paramento slu'!$G$58,ABS(K1871)*'Progetto del paramento slu'!$G$54,'Progetto del paramento slu'!$G$53)</f>
        <v>0</v>
      </c>
      <c r="F1871" s="553">
        <f>-'Foglio deposito bis'!$F$79*(C1871-sezione!$AM$34)*IF(ABS(L1871)&lt;'Progetto del paramento slu'!$G$58,ABS(L1871)*'Progetto del paramento slu'!$G$54,'Progetto del paramento slu'!$G$53)</f>
        <v>16374820.779407097</v>
      </c>
      <c r="G1871" s="553">
        <f>-'Foglio deposito bis'!$F$80*(C1871-sezione!$AN$34)*IF(ABS(M1871)&lt;'Progetto del paramento slu'!$G$58,ABS(M1871)*'Progetto del paramento slu'!$G$54,'Progetto del paramento slu'!$G$53)</f>
        <v>0</v>
      </c>
      <c r="H1871" s="553">
        <f>-'Foglio deposito bis'!$F$81*(C1871-sezione!$AO$34)*IF(ABS(N1871)&lt;'Progetto del paramento slu'!$G$58,ABS(N1871)*'Progetto del paramento slu'!$G$54,'Progetto del paramento slu'!$G$53)</f>
        <v>118120404.75565316</v>
      </c>
      <c r="I1871" s="479">
        <f>-'Foglio deposito bis'!$F$82*(C1871-sezione!$AP$34)*IF(ABS(O1871)&lt;'Progetto del paramento slu'!$G$58,ABS(O1871)*'Progetto del paramento slu'!$G$54,'Progetto del paramento slu'!$G$53)</f>
        <v>193284606.70930141</v>
      </c>
      <c r="J1871" s="479">
        <f t="shared" si="139"/>
        <v>312247138.12027973</v>
      </c>
      <c r="K1871" s="558">
        <f>'Progetto del paramento slu'!$G$60*(sezione!$AL$34-C1871)/C1871</f>
        <v>-2.7702219166368013E-4</v>
      </c>
      <c r="L1871" s="558">
        <f>'Progetto del paramento slu'!$G$60*(sezione!$AM$34-C1871)/C1871</f>
        <v>8.5861667812611991E-3</v>
      </c>
      <c r="M1871" s="559">
        <f>'Progetto del paramento slu'!$G$60*(sezione!$AN$34-C1871)/C1871</f>
        <v>1.7449355754186081E-2</v>
      </c>
      <c r="N1871" s="559">
        <f>'Progetto del paramento slu'!$G$60*(sezione!$AO$34-C1871)/C1871</f>
        <v>2.3895311370858718E-2</v>
      </c>
      <c r="O1871" s="559">
        <f>'Progetto del paramento slu'!$G$60*(sezione!$AP$34-C1871)/C1871</f>
        <v>1.7449919387925384E-2</v>
      </c>
      <c r="P1871" s="553">
        <f>-'Progetto del paramento slu'!$G$47*'Progetto del paramento slu'!$G$41*IF(DATI!$G$218="dx",DATI!$E$61,DATI!$E$64*DATI!$E$63)*1000*C1871*sezione!$AD$5</f>
        <v>-612298.53798424662</v>
      </c>
      <c r="Q1871" s="553">
        <f>'Foglio deposito bis'!$F$78*IF(ABS(K1871)&lt;'Progetto del paramento slu'!$G$58,ABS(K1871)*'Progetto del paramento slu'!$G$54,'Progetto del paramento slu'!$G$53)*IF(K1871&lt;0,-1,1)</f>
        <v>0</v>
      </c>
      <c r="R1871" s="553">
        <f>'Foglio deposito bis'!$F$79*IF(ABS(L1871)&lt;'Progetto del paramento slu'!$G$58,ABS(L1871)*'Progetto del paramento slu'!$G$54,'Progetto del paramento slu'!$G$53)*IF(L1871&lt;0,-1,1)</f>
        <v>153664.85805602249</v>
      </c>
      <c r="S1871" s="553">
        <f>'Foglio deposito bis'!$F$80*IF(ABS(M1871)&lt;'Progetto del paramento slu'!$G$58,ABS(M1871)*'Progetto del paramento slu'!$G$54,'Progetto del paramento slu'!$G$53)*IF(M1871&lt;0,-1,1)</f>
        <v>0</v>
      </c>
      <c r="T1871" s="553">
        <f>'Foglio deposito bis'!$F$81*IF(ABS(N1871)&lt;'Progetto del paramento slu'!$G$58,ABS(N1871)*'Progetto del paramento slu'!$G$54,'Progetto del paramento slu'!$G$53)*IF(N1871&lt;0,-1,1)</f>
        <v>398299.31208121032</v>
      </c>
      <c r="U1871" s="553">
        <f>'Foglio deposito bis'!$F$82*IF(ABS(O1871)&lt;'Progetto del paramento slu'!$G$58,ABS(O1871)*'Progetto del paramento slu'!$G$54,'Progetto del paramento slu'!$G$53)*IF(O1871&lt;0,-1,1)</f>
        <v>892485.49558937876</v>
      </c>
      <c r="V1871" s="479">
        <f t="shared" si="141"/>
        <v>832151.127742365</v>
      </c>
      <c r="W1871" s="559"/>
      <c r="X1871" s="559"/>
    </row>
    <row r="1872" spans="1:24" x14ac:dyDescent="0.25">
      <c r="A1872" s="553">
        <f t="shared" si="140"/>
        <v>820706.29525667801</v>
      </c>
      <c r="B1872" s="3">
        <f t="shared" si="138"/>
        <v>10.899999999999983</v>
      </c>
      <c r="C1872" s="553">
        <f>'Foglio deposito bis'!$E$160/sezione!$B$247*B1872</f>
        <v>44.250016882221232</v>
      </c>
      <c r="D1872" s="611">
        <f>-'Progetto del paramento slu'!$G$47*'Progetto del paramento slu'!$G$41*IF(DATI!$G$218="dx",DATI!$E$61,DATI!$E$64*DATI!$E$63)*1000*C1872^2*sezione!$AD$5*(1-sezione!$AD$6)</f>
        <v>-16118782.329305388</v>
      </c>
      <c r="E1872" s="553">
        <f>-'Foglio deposito bis'!$F$78*(C1872-sezione!$AL$34)*IF(ABS(K1872)&lt;'Progetto del paramento slu'!$G$58,ABS(K1872)*'Progetto del paramento slu'!$G$54,'Progetto del paramento slu'!$G$53)</f>
        <v>0</v>
      </c>
      <c r="F1872" s="553">
        <f>-'Foglio deposito bis'!$F$79*(C1872-sezione!$AM$34)*IF(ABS(L1872)&lt;'Progetto del paramento slu'!$G$58,ABS(L1872)*'Progetto del paramento slu'!$G$54,'Progetto del paramento slu'!$G$53)</f>
        <v>16250056.14522025</v>
      </c>
      <c r="G1872" s="553">
        <f>-'Foglio deposito bis'!$F$80*(C1872-sezione!$AN$34)*IF(ABS(M1872)&lt;'Progetto del paramento slu'!$G$58,ABS(M1872)*'Progetto del paramento slu'!$G$54,'Progetto del paramento slu'!$G$53)</f>
        <v>0</v>
      </c>
      <c r="H1872" s="553">
        <f>-'Foglio deposito bis'!$F$81*(C1872-sezione!$AO$34)*IF(ABS(N1872)&lt;'Progetto del paramento slu'!$G$58,ABS(N1872)*'Progetto del paramento slu'!$G$54,'Progetto del paramento slu'!$G$53)</f>
        <v>117797014.82384084</v>
      </c>
      <c r="I1872" s="479">
        <f>-'Foglio deposito bis'!$F$82*(C1872-sezione!$AP$34)*IF(ABS(O1872)&lt;'Progetto del paramento slu'!$G$58,ABS(O1872)*'Progetto del paramento slu'!$G$54,'Progetto del paramento slu'!$G$53)</f>
        <v>192559973.7139442</v>
      </c>
      <c r="J1872" s="479">
        <f t="shared" si="139"/>
        <v>310488262.35369992</v>
      </c>
      <c r="K1872" s="558">
        <f>'Progetto del paramento slu'!$G$60*(sezione!$AL$34-C1872)/C1872</f>
        <v>-3.3615939915608963E-4</v>
      </c>
      <c r="L1872" s="558">
        <f>'Progetto del paramento slu'!$G$60*(sezione!$AM$34-C1872)/C1872</f>
        <v>8.3644022531646645E-3</v>
      </c>
      <c r="M1872" s="559">
        <f>'Progetto del paramento slu'!$G$60*(sezione!$AN$34-C1872)/C1872</f>
        <v>1.7064963905485418E-2</v>
      </c>
      <c r="N1872" s="559">
        <f>'Progetto del paramento slu'!$G$60*(sezione!$AO$34-C1872)/C1872</f>
        <v>2.3392645107173236E-2</v>
      </c>
      <c r="O1872" s="559">
        <f>'Progetto del paramento slu'!$G$60*(sezione!$AP$34-C1872)/C1872</f>
        <v>1.7065517197321248E-2</v>
      </c>
      <c r="P1872" s="553">
        <f>-'Progetto del paramento slu'!$G$47*'Progetto del paramento slu'!$G$41*IF(DATI!$G$218="dx",DATI!$E$61,DATI!$E$64*DATI!$E$63)*1000*C1872*sezione!$AD$5</f>
        <v>-623743.37046993349</v>
      </c>
      <c r="Q1872" s="553">
        <f>'Foglio deposito bis'!$F$78*IF(ABS(K1872)&lt;'Progetto del paramento slu'!$G$58,ABS(K1872)*'Progetto del paramento slu'!$G$54,'Progetto del paramento slu'!$G$53)*IF(K1872&lt;0,-1,1)</f>
        <v>0</v>
      </c>
      <c r="R1872" s="553">
        <f>'Foglio deposito bis'!$F$79*IF(ABS(L1872)&lt;'Progetto del paramento slu'!$G$58,ABS(L1872)*'Progetto del paramento slu'!$G$54,'Progetto del paramento slu'!$G$53)*IF(L1872&lt;0,-1,1)</f>
        <v>153664.85805602249</v>
      </c>
      <c r="S1872" s="553">
        <f>'Foglio deposito bis'!$F$80*IF(ABS(M1872)&lt;'Progetto del paramento slu'!$G$58,ABS(M1872)*'Progetto del paramento slu'!$G$54,'Progetto del paramento slu'!$G$53)*IF(M1872&lt;0,-1,1)</f>
        <v>0</v>
      </c>
      <c r="T1872" s="553">
        <f>'Foglio deposito bis'!$F$81*IF(ABS(N1872)&lt;'Progetto del paramento slu'!$G$58,ABS(N1872)*'Progetto del paramento slu'!$G$54,'Progetto del paramento slu'!$G$53)*IF(N1872&lt;0,-1,1)</f>
        <v>398299.31208121032</v>
      </c>
      <c r="U1872" s="553">
        <f>'Foglio deposito bis'!$F$82*IF(ABS(O1872)&lt;'Progetto del paramento slu'!$G$58,ABS(O1872)*'Progetto del paramento slu'!$G$54,'Progetto del paramento slu'!$G$53)*IF(O1872&lt;0,-1,1)</f>
        <v>892485.49558937876</v>
      </c>
      <c r="V1872" s="479">
        <f t="shared" si="141"/>
        <v>820706.29525667801</v>
      </c>
      <c r="W1872" s="559"/>
      <c r="X1872" s="559"/>
    </row>
    <row r="1873" spans="1:24" x14ac:dyDescent="0.25">
      <c r="A1873" s="553">
        <f t="shared" si="140"/>
        <v>809261.46277099126</v>
      </c>
      <c r="B1873" s="3">
        <f t="shared" si="138"/>
        <v>11.099999999999982</v>
      </c>
      <c r="C1873" s="553">
        <f>'Foglio deposito bis'!$E$160/sezione!$B$247*B1873</f>
        <v>45.061943797491338</v>
      </c>
      <c r="D1873" s="611">
        <f>-'Progetto del paramento slu'!$G$47*'Progetto del paramento slu'!$G$41*IF(DATI!$G$218="dx",DATI!$E$61,DATI!$E$64*DATI!$E$63)*1000*C1873^2*sezione!$AD$5*(1-sezione!$AD$6)</f>
        <v>-16715724.019810757</v>
      </c>
      <c r="E1873" s="553">
        <f>-'Foglio deposito bis'!$F$78*(C1873-sezione!$AL$34)*IF(ABS(K1873)&lt;'Progetto del paramento slu'!$G$58,ABS(K1873)*'Progetto del paramento slu'!$G$54,'Progetto del paramento slu'!$G$53)</f>
        <v>0</v>
      </c>
      <c r="F1873" s="553">
        <f>-'Foglio deposito bis'!$F$79*(C1873-sezione!$AM$34)*IF(ABS(L1873)&lt;'Progetto del paramento slu'!$G$58,ABS(L1873)*'Progetto del paramento slu'!$G$54,'Progetto del paramento slu'!$G$53)</f>
        <v>16125291.511033405</v>
      </c>
      <c r="G1873" s="553">
        <f>-'Foglio deposito bis'!$F$80*(C1873-sezione!$AN$34)*IF(ABS(M1873)&lt;'Progetto del paramento slu'!$G$58,ABS(M1873)*'Progetto del paramento slu'!$G$54,'Progetto del paramento slu'!$G$53)</f>
        <v>0</v>
      </c>
      <c r="H1873" s="553">
        <f>-'Foglio deposito bis'!$F$81*(C1873-sezione!$AO$34)*IF(ABS(N1873)&lt;'Progetto del paramento slu'!$G$58,ABS(N1873)*'Progetto del paramento slu'!$G$54,'Progetto del paramento slu'!$G$53)</f>
        <v>117473624.89202856</v>
      </c>
      <c r="I1873" s="479">
        <f>-'Foglio deposito bis'!$F$82*(C1873-sezione!$AP$34)*IF(ABS(O1873)&lt;'Progetto del paramento slu'!$G$58,ABS(O1873)*'Progetto del paramento slu'!$G$54,'Progetto del paramento slu'!$G$53)</f>
        <v>191835340.71858701</v>
      </c>
      <c r="J1873" s="479">
        <f t="shared" si="139"/>
        <v>308718533.10183823</v>
      </c>
      <c r="K1873" s="558">
        <f>'Progetto del paramento slu'!$G$60*(sezione!$AL$34-C1873)/C1873</f>
        <v>-3.931655361082316E-4</v>
      </c>
      <c r="L1873" s="558">
        <f>'Progetto del paramento slu'!$G$60*(sezione!$AM$34-C1873)/C1873</f>
        <v>8.1506292395941322E-3</v>
      </c>
      <c r="M1873" s="559">
        <f>'Progetto del paramento slu'!$G$60*(sezione!$AN$34-C1873)/C1873</f>
        <v>1.6694424015296496E-2</v>
      </c>
      <c r="N1873" s="559">
        <f>'Progetto del paramento slu'!$G$60*(sezione!$AO$34-C1873)/C1873</f>
        <v>2.2908092943080036E-2</v>
      </c>
      <c r="O1873" s="559">
        <f>'Progetto del paramento slu'!$G$60*(sezione!$AP$34-C1873)/C1873</f>
        <v>1.6694967337910059E-2</v>
      </c>
      <c r="P1873" s="553">
        <f>-'Progetto del paramento slu'!$G$47*'Progetto del paramento slu'!$G$41*IF(DATI!$G$218="dx",DATI!$E$61,DATI!$E$64*DATI!$E$63)*1000*C1873*sezione!$AD$5</f>
        <v>-635188.20295562025</v>
      </c>
      <c r="Q1873" s="553">
        <f>'Foglio deposito bis'!$F$78*IF(ABS(K1873)&lt;'Progetto del paramento slu'!$G$58,ABS(K1873)*'Progetto del paramento slu'!$G$54,'Progetto del paramento slu'!$G$53)*IF(K1873&lt;0,-1,1)</f>
        <v>0</v>
      </c>
      <c r="R1873" s="553">
        <f>'Foglio deposito bis'!$F$79*IF(ABS(L1873)&lt;'Progetto del paramento slu'!$G$58,ABS(L1873)*'Progetto del paramento slu'!$G$54,'Progetto del paramento slu'!$G$53)*IF(L1873&lt;0,-1,1)</f>
        <v>153664.85805602249</v>
      </c>
      <c r="S1873" s="553">
        <f>'Foglio deposito bis'!$F$80*IF(ABS(M1873)&lt;'Progetto del paramento slu'!$G$58,ABS(M1873)*'Progetto del paramento slu'!$G$54,'Progetto del paramento slu'!$G$53)*IF(M1873&lt;0,-1,1)</f>
        <v>0</v>
      </c>
      <c r="T1873" s="553">
        <f>'Foglio deposito bis'!$F$81*IF(ABS(N1873)&lt;'Progetto del paramento slu'!$G$58,ABS(N1873)*'Progetto del paramento slu'!$G$54,'Progetto del paramento slu'!$G$53)*IF(N1873&lt;0,-1,1)</f>
        <v>398299.31208121032</v>
      </c>
      <c r="U1873" s="553">
        <f>'Foglio deposito bis'!$F$82*IF(ABS(O1873)&lt;'Progetto del paramento slu'!$G$58,ABS(O1873)*'Progetto del paramento slu'!$G$54,'Progetto del paramento slu'!$G$53)*IF(O1873&lt;0,-1,1)</f>
        <v>892485.49558937876</v>
      </c>
      <c r="V1873" s="479">
        <f t="shared" si="141"/>
        <v>809261.46277099126</v>
      </c>
      <c r="W1873" s="559"/>
      <c r="X1873" s="559"/>
    </row>
    <row r="1874" spans="1:24" x14ac:dyDescent="0.25">
      <c r="A1874" s="553">
        <f t="shared" si="140"/>
        <v>797816.63028530451</v>
      </c>
      <c r="B1874" s="3">
        <f t="shared" si="138"/>
        <v>11.299999999999981</v>
      </c>
      <c r="C1874" s="553">
        <f>'Foglio deposito bis'!$E$160/sezione!$B$247*B1874</f>
        <v>45.873870712761452</v>
      </c>
      <c r="D1874" s="611">
        <f>-'Progetto del paramento slu'!$G$47*'Progetto del paramento slu'!$G$41*IF(DATI!$G$218="dx",DATI!$E$61,DATI!$E$64*DATI!$E$63)*1000*C1874^2*sezione!$AD$5*(1-sezione!$AD$6)</f>
        <v>-17323519.195598047</v>
      </c>
      <c r="E1874" s="553">
        <f>-'Foglio deposito bis'!$F$78*(C1874-sezione!$AL$34)*IF(ABS(K1874)&lt;'Progetto del paramento slu'!$G$58,ABS(K1874)*'Progetto del paramento slu'!$G$54,'Progetto del paramento slu'!$G$53)</f>
        <v>0</v>
      </c>
      <c r="F1874" s="553">
        <f>-'Foglio deposito bis'!$F$79*(C1874-sezione!$AM$34)*IF(ABS(L1874)&lt;'Progetto del paramento slu'!$G$58,ABS(L1874)*'Progetto del paramento slu'!$G$54,'Progetto del paramento slu'!$G$53)</f>
        <v>16000526.876846557</v>
      </c>
      <c r="G1874" s="553">
        <f>-'Foglio deposito bis'!$F$80*(C1874-sezione!$AN$34)*IF(ABS(M1874)&lt;'Progetto del paramento slu'!$G$58,ABS(M1874)*'Progetto del paramento slu'!$G$54,'Progetto del paramento slu'!$G$53)</f>
        <v>0</v>
      </c>
      <c r="H1874" s="553">
        <f>-'Foglio deposito bis'!$F$81*(C1874-sezione!$AO$34)*IF(ABS(N1874)&lt;'Progetto del paramento slu'!$G$58,ABS(N1874)*'Progetto del paramento slu'!$G$54,'Progetto del paramento slu'!$G$53)</f>
        <v>117150234.96021622</v>
      </c>
      <c r="I1874" s="479">
        <f>-'Foglio deposito bis'!$F$82*(C1874-sezione!$AP$34)*IF(ABS(O1874)&lt;'Progetto del paramento slu'!$G$58,ABS(O1874)*'Progetto del paramento slu'!$G$54,'Progetto del paramento slu'!$G$53)</f>
        <v>191110707.7232298</v>
      </c>
      <c r="J1874" s="479">
        <f t="shared" si="139"/>
        <v>306937950.36469454</v>
      </c>
      <c r="K1874" s="558">
        <f>'Progetto del paramento slu'!$G$60*(sezione!$AL$34-C1874)/C1874</f>
        <v>-4.4815375670808591E-4</v>
      </c>
      <c r="L1874" s="558">
        <f>'Progetto del paramento slu'!$G$60*(sezione!$AM$34-C1874)/C1874</f>
        <v>7.9444234123446766E-3</v>
      </c>
      <c r="M1874" s="559">
        <f>'Progetto del paramento slu'!$G$60*(sezione!$AN$34-C1874)/C1874</f>
        <v>1.6337000581397441E-2</v>
      </c>
      <c r="N1874" s="559">
        <f>'Progetto del paramento slu'!$G$60*(sezione!$AO$34-C1874)/C1874</f>
        <v>2.2440693067981268E-2</v>
      </c>
      <c r="O1874" s="559">
        <f>'Progetto del paramento slu'!$G$60*(sezione!$AP$34-C1874)/C1874</f>
        <v>1.633753428768156E-2</v>
      </c>
      <c r="P1874" s="553">
        <f>-'Progetto del paramento slu'!$G$47*'Progetto del paramento slu'!$G$41*IF(DATI!$G$218="dx",DATI!$E$61,DATI!$E$64*DATI!$E$63)*1000*C1874*sezione!$AD$5</f>
        <v>-646633.035441307</v>
      </c>
      <c r="Q1874" s="553">
        <f>'Foglio deposito bis'!$F$78*IF(ABS(K1874)&lt;'Progetto del paramento slu'!$G$58,ABS(K1874)*'Progetto del paramento slu'!$G$54,'Progetto del paramento slu'!$G$53)*IF(K1874&lt;0,-1,1)</f>
        <v>0</v>
      </c>
      <c r="R1874" s="553">
        <f>'Foglio deposito bis'!$F$79*IF(ABS(L1874)&lt;'Progetto del paramento slu'!$G$58,ABS(L1874)*'Progetto del paramento slu'!$G$54,'Progetto del paramento slu'!$G$53)*IF(L1874&lt;0,-1,1)</f>
        <v>153664.85805602249</v>
      </c>
      <c r="S1874" s="553">
        <f>'Foglio deposito bis'!$F$80*IF(ABS(M1874)&lt;'Progetto del paramento slu'!$G$58,ABS(M1874)*'Progetto del paramento slu'!$G$54,'Progetto del paramento slu'!$G$53)*IF(M1874&lt;0,-1,1)</f>
        <v>0</v>
      </c>
      <c r="T1874" s="553">
        <f>'Foglio deposito bis'!$F$81*IF(ABS(N1874)&lt;'Progetto del paramento slu'!$G$58,ABS(N1874)*'Progetto del paramento slu'!$G$54,'Progetto del paramento slu'!$G$53)*IF(N1874&lt;0,-1,1)</f>
        <v>398299.31208121032</v>
      </c>
      <c r="U1874" s="553">
        <f>'Foglio deposito bis'!$F$82*IF(ABS(O1874)&lt;'Progetto del paramento slu'!$G$58,ABS(O1874)*'Progetto del paramento slu'!$G$54,'Progetto del paramento slu'!$G$53)*IF(O1874&lt;0,-1,1)</f>
        <v>892485.49558937876</v>
      </c>
      <c r="V1874" s="479">
        <f t="shared" si="141"/>
        <v>797816.63028530451</v>
      </c>
      <c r="W1874" s="559"/>
      <c r="X1874" s="559"/>
    </row>
    <row r="1875" spans="1:24" x14ac:dyDescent="0.25">
      <c r="A1875" s="553">
        <f t="shared" si="140"/>
        <v>786371.79779961775</v>
      </c>
      <c r="B1875" s="3">
        <f t="shared" si="138"/>
        <v>11.49999999999998</v>
      </c>
      <c r="C1875" s="553">
        <f>'Foglio deposito bis'!$E$160/sezione!$B$247*B1875</f>
        <v>46.685797628031565</v>
      </c>
      <c r="D1875" s="611">
        <f>-'Progetto del paramento slu'!$G$47*'Progetto del paramento slu'!$G$41*IF(DATI!$G$218="dx",DATI!$E$61,DATI!$E$64*DATI!$E$63)*1000*C1875^2*sezione!$AD$5*(1-sezione!$AD$6)</f>
        <v>-17942167.856667258</v>
      </c>
      <c r="E1875" s="553">
        <f>-'Foglio deposito bis'!$F$78*(C1875-sezione!$AL$34)*IF(ABS(K1875)&lt;'Progetto del paramento slu'!$G$58,ABS(K1875)*'Progetto del paramento slu'!$G$54,'Progetto del paramento slu'!$G$53)</f>
        <v>0</v>
      </c>
      <c r="F1875" s="553">
        <f>-'Foglio deposito bis'!$F$79*(C1875-sezione!$AM$34)*IF(ABS(L1875)&lt;'Progetto del paramento slu'!$G$58,ABS(L1875)*'Progetto del paramento slu'!$G$54,'Progetto del paramento slu'!$G$53)</f>
        <v>15875762.242659714</v>
      </c>
      <c r="G1875" s="553">
        <f>-'Foglio deposito bis'!$F$80*(C1875-sezione!$AN$34)*IF(ABS(M1875)&lt;'Progetto del paramento slu'!$G$58,ABS(M1875)*'Progetto del paramento slu'!$G$54,'Progetto del paramento slu'!$G$53)</f>
        <v>0</v>
      </c>
      <c r="H1875" s="553">
        <f>-'Foglio deposito bis'!$F$81*(C1875-sezione!$AO$34)*IF(ABS(N1875)&lt;'Progetto del paramento slu'!$G$58,ABS(N1875)*'Progetto del paramento slu'!$G$54,'Progetto del paramento slu'!$G$53)</f>
        <v>116826845.02840394</v>
      </c>
      <c r="I1875" s="479">
        <f>-'Foglio deposito bis'!$F$82*(C1875-sezione!$AP$34)*IF(ABS(O1875)&lt;'Progetto del paramento slu'!$G$58,ABS(O1875)*'Progetto del paramento slu'!$G$54,'Progetto del paramento slu'!$G$53)</f>
        <v>190386074.72787261</v>
      </c>
      <c r="J1875" s="479">
        <f t="shared" si="139"/>
        <v>305146514.14226902</v>
      </c>
      <c r="K1875" s="558">
        <f>'Progetto del paramento slu'!$G$60*(sezione!$AL$34-C1875)/C1875</f>
        <v>-5.0122934354794525E-4</v>
      </c>
      <c r="L1875" s="558">
        <f>'Progetto del paramento slu'!$G$60*(sezione!$AM$34-C1875)/C1875</f>
        <v>7.7453899616952053E-3</v>
      </c>
      <c r="M1875" s="559">
        <f>'Progetto del paramento slu'!$G$60*(sezione!$AN$34-C1875)/C1875</f>
        <v>1.5992009266938355E-2</v>
      </c>
      <c r="N1875" s="559">
        <f>'Progetto del paramento slu'!$G$60*(sezione!$AO$34-C1875)/C1875</f>
        <v>2.1989550579842469E-2</v>
      </c>
      <c r="O1875" s="559">
        <f>'Progetto del paramento slu'!$G$60*(sezione!$AP$34-C1875)/C1875</f>
        <v>1.5992533691374058E-2</v>
      </c>
      <c r="P1875" s="553">
        <f>-'Progetto del paramento slu'!$G$47*'Progetto del paramento slu'!$G$41*IF(DATI!$G$218="dx",DATI!$E$61,DATI!$E$64*DATI!$E$63)*1000*C1875*sezione!$AD$5</f>
        <v>-658077.86792699387</v>
      </c>
      <c r="Q1875" s="553">
        <f>'Foglio deposito bis'!$F$78*IF(ABS(K1875)&lt;'Progetto del paramento slu'!$G$58,ABS(K1875)*'Progetto del paramento slu'!$G$54,'Progetto del paramento slu'!$G$53)*IF(K1875&lt;0,-1,1)</f>
        <v>0</v>
      </c>
      <c r="R1875" s="553">
        <f>'Foglio deposito bis'!$F$79*IF(ABS(L1875)&lt;'Progetto del paramento slu'!$G$58,ABS(L1875)*'Progetto del paramento slu'!$G$54,'Progetto del paramento slu'!$G$53)*IF(L1875&lt;0,-1,1)</f>
        <v>153664.85805602249</v>
      </c>
      <c r="S1875" s="553">
        <f>'Foglio deposito bis'!$F$80*IF(ABS(M1875)&lt;'Progetto del paramento slu'!$G$58,ABS(M1875)*'Progetto del paramento slu'!$G$54,'Progetto del paramento slu'!$G$53)*IF(M1875&lt;0,-1,1)</f>
        <v>0</v>
      </c>
      <c r="T1875" s="553">
        <f>'Foglio deposito bis'!$F$81*IF(ABS(N1875)&lt;'Progetto del paramento slu'!$G$58,ABS(N1875)*'Progetto del paramento slu'!$G$54,'Progetto del paramento slu'!$G$53)*IF(N1875&lt;0,-1,1)</f>
        <v>398299.31208121032</v>
      </c>
      <c r="U1875" s="553">
        <f>'Foglio deposito bis'!$F$82*IF(ABS(O1875)&lt;'Progetto del paramento slu'!$G$58,ABS(O1875)*'Progetto del paramento slu'!$G$54,'Progetto del paramento slu'!$G$53)*IF(O1875&lt;0,-1,1)</f>
        <v>892485.49558937876</v>
      </c>
      <c r="V1875" s="479">
        <f t="shared" si="141"/>
        <v>786371.79779961775</v>
      </c>
      <c r="W1875" s="559"/>
      <c r="X1875" s="559"/>
    </row>
    <row r="1876" spans="1:24" x14ac:dyDescent="0.25">
      <c r="A1876" s="553">
        <f t="shared" si="140"/>
        <v>774926.96531393076</v>
      </c>
      <c r="B1876" s="3">
        <f t="shared" si="138"/>
        <v>11.69999999999998</v>
      </c>
      <c r="C1876" s="553">
        <f>'Foglio deposito bis'!$E$160/sezione!$B$247*B1876</f>
        <v>47.497724543301679</v>
      </c>
      <c r="D1876" s="611">
        <f>-'Progetto del paramento slu'!$G$47*'Progetto del paramento slu'!$G$41*IF(DATI!$G$218="dx",DATI!$E$61,DATI!$E$64*DATI!$E$63)*1000*C1876^2*sezione!$AD$5*(1-sezione!$AD$6)</f>
        <v>-18571670.003018379</v>
      </c>
      <c r="E1876" s="553">
        <f>-'Foglio deposito bis'!$F$78*(C1876-sezione!$AL$34)*IF(ABS(K1876)&lt;'Progetto del paramento slu'!$G$58,ABS(K1876)*'Progetto del paramento slu'!$G$54,'Progetto del paramento slu'!$G$53)</f>
        <v>0</v>
      </c>
      <c r="F1876" s="553">
        <f>-'Foglio deposito bis'!$F$79*(C1876-sezione!$AM$34)*IF(ABS(L1876)&lt;'Progetto del paramento slu'!$G$58,ABS(L1876)*'Progetto del paramento slu'!$G$54,'Progetto del paramento slu'!$G$53)</f>
        <v>15750997.608472865</v>
      </c>
      <c r="G1876" s="553">
        <f>-'Foglio deposito bis'!$F$80*(C1876-sezione!$AN$34)*IF(ABS(M1876)&lt;'Progetto del paramento slu'!$G$58,ABS(M1876)*'Progetto del paramento slu'!$G$54,'Progetto del paramento slu'!$G$53)</f>
        <v>0</v>
      </c>
      <c r="H1876" s="553">
        <f>-'Foglio deposito bis'!$F$81*(C1876-sezione!$AO$34)*IF(ABS(N1876)&lt;'Progetto del paramento slu'!$G$58,ABS(N1876)*'Progetto del paramento slu'!$G$54,'Progetto del paramento slu'!$G$53)</f>
        <v>116503455.09659164</v>
      </c>
      <c r="I1876" s="479">
        <f>-'Foglio deposito bis'!$F$82*(C1876-sezione!$AP$34)*IF(ABS(O1876)&lt;'Progetto del paramento slu'!$G$58,ABS(O1876)*'Progetto del paramento slu'!$G$54,'Progetto del paramento slu'!$G$53)</f>
        <v>189661441.73251539</v>
      </c>
      <c r="J1876" s="479">
        <f t="shared" si="139"/>
        <v>303344224.43456149</v>
      </c>
      <c r="K1876" s="558">
        <f>'Progetto del paramento slu'!$G$60*(sezione!$AL$34-C1876)/C1876</f>
        <v>-5.5249038041037344E-4</v>
      </c>
      <c r="L1876" s="558">
        <f>'Progetto del paramento slu'!$G$60*(sezione!$AM$34-C1876)/C1876</f>
        <v>7.553161073461101E-3</v>
      </c>
      <c r="M1876" s="559">
        <f>'Progetto del paramento slu'!$G$60*(sezione!$AN$34-C1876)/C1876</f>
        <v>1.5658812527332575E-2</v>
      </c>
      <c r="N1876" s="559">
        <f>'Progetto del paramento slu'!$G$60*(sezione!$AO$34-C1876)/C1876</f>
        <v>2.1553831766511829E-2</v>
      </c>
      <c r="O1876" s="559">
        <f>'Progetto del paramento slu'!$G$60*(sezione!$AP$34-C1876)/C1876</f>
        <v>1.5659327987248006E-2</v>
      </c>
      <c r="P1876" s="553">
        <f>-'Progetto del paramento slu'!$G$47*'Progetto del paramento slu'!$G$41*IF(DATI!$G$218="dx",DATI!$E$61,DATI!$E$64*DATI!$E$63)*1000*C1876*sezione!$AD$5</f>
        <v>-669522.70041268074</v>
      </c>
      <c r="Q1876" s="553">
        <f>'Foglio deposito bis'!$F$78*IF(ABS(K1876)&lt;'Progetto del paramento slu'!$G$58,ABS(K1876)*'Progetto del paramento slu'!$G$54,'Progetto del paramento slu'!$G$53)*IF(K1876&lt;0,-1,1)</f>
        <v>0</v>
      </c>
      <c r="R1876" s="553">
        <f>'Foglio deposito bis'!$F$79*IF(ABS(L1876)&lt;'Progetto del paramento slu'!$G$58,ABS(L1876)*'Progetto del paramento slu'!$G$54,'Progetto del paramento slu'!$G$53)*IF(L1876&lt;0,-1,1)</f>
        <v>153664.85805602249</v>
      </c>
      <c r="S1876" s="553">
        <f>'Foglio deposito bis'!$F$80*IF(ABS(M1876)&lt;'Progetto del paramento slu'!$G$58,ABS(M1876)*'Progetto del paramento slu'!$G$54,'Progetto del paramento slu'!$G$53)*IF(M1876&lt;0,-1,1)</f>
        <v>0</v>
      </c>
      <c r="T1876" s="553">
        <f>'Foglio deposito bis'!$F$81*IF(ABS(N1876)&lt;'Progetto del paramento slu'!$G$58,ABS(N1876)*'Progetto del paramento slu'!$G$54,'Progetto del paramento slu'!$G$53)*IF(N1876&lt;0,-1,1)</f>
        <v>398299.31208121032</v>
      </c>
      <c r="U1876" s="553">
        <f>'Foglio deposito bis'!$F$82*IF(ABS(O1876)&lt;'Progetto del paramento slu'!$G$58,ABS(O1876)*'Progetto del paramento slu'!$G$54,'Progetto del paramento slu'!$G$53)*IF(O1876&lt;0,-1,1)</f>
        <v>892485.49558937876</v>
      </c>
      <c r="V1876" s="479">
        <f t="shared" si="141"/>
        <v>774926.96531393076</v>
      </c>
      <c r="W1876" s="559"/>
      <c r="X1876" s="559"/>
    </row>
    <row r="1877" spans="1:24" x14ac:dyDescent="0.25">
      <c r="A1877" s="553">
        <f t="shared" si="140"/>
        <v>763482.13282824401</v>
      </c>
      <c r="B1877" s="3">
        <f t="shared" si="138"/>
        <v>11.899999999999979</v>
      </c>
      <c r="C1877" s="553">
        <f>'Foglio deposito bis'!$E$160/sezione!$B$247*B1877</f>
        <v>48.309651458571793</v>
      </c>
      <c r="D1877" s="611">
        <f>-'Progetto del paramento slu'!$G$47*'Progetto del paramento slu'!$G$41*IF(DATI!$G$218="dx",DATI!$E$61,DATI!$E$64*DATI!$E$63)*1000*C1877^2*sezione!$AD$5*(1-sezione!$AD$6)</f>
        <v>-19212025.634651419</v>
      </c>
      <c r="E1877" s="553">
        <f>-'Foglio deposito bis'!$F$78*(C1877-sezione!$AL$34)*IF(ABS(K1877)&lt;'Progetto del paramento slu'!$G$58,ABS(K1877)*'Progetto del paramento slu'!$G$54,'Progetto del paramento slu'!$G$53)</f>
        <v>0</v>
      </c>
      <c r="F1877" s="553">
        <f>-'Foglio deposito bis'!$F$79*(C1877-sezione!$AM$34)*IF(ABS(L1877)&lt;'Progetto del paramento slu'!$G$58,ABS(L1877)*'Progetto del paramento slu'!$G$54,'Progetto del paramento slu'!$G$53)</f>
        <v>15626232.974286018</v>
      </c>
      <c r="G1877" s="553">
        <f>-'Foglio deposito bis'!$F$80*(C1877-sezione!$AN$34)*IF(ABS(M1877)&lt;'Progetto del paramento slu'!$G$58,ABS(M1877)*'Progetto del paramento slu'!$G$54,'Progetto del paramento slu'!$G$53)</f>
        <v>0</v>
      </c>
      <c r="H1877" s="553">
        <f>-'Foglio deposito bis'!$F$81*(C1877-sezione!$AO$34)*IF(ABS(N1877)&lt;'Progetto del paramento slu'!$G$58,ABS(N1877)*'Progetto del paramento slu'!$G$54,'Progetto del paramento slu'!$G$53)</f>
        <v>116180065.16477932</v>
      </c>
      <c r="I1877" s="479">
        <f>-'Foglio deposito bis'!$F$82*(C1877-sezione!$AP$34)*IF(ABS(O1877)&lt;'Progetto del paramento slu'!$G$58,ABS(O1877)*'Progetto del paramento slu'!$G$54,'Progetto del paramento slu'!$G$53)</f>
        <v>188936808.73715818</v>
      </c>
      <c r="J1877" s="479">
        <f t="shared" si="139"/>
        <v>301531081.24157208</v>
      </c>
      <c r="K1877" s="558">
        <f>'Progetto del paramento slu'!$G$60*(sezione!$AL$34-C1877)/C1877</f>
        <v>-6.0202835721019914E-4</v>
      </c>
      <c r="L1877" s="558">
        <f>'Progetto del paramento slu'!$G$60*(sezione!$AM$34-C1877)/C1877</f>
        <v>7.3673936604617537E-3</v>
      </c>
      <c r="M1877" s="559">
        <f>'Progetto del paramento slu'!$G$60*(sezione!$AN$34-C1877)/C1877</f>
        <v>1.5336815678133706E-2</v>
      </c>
      <c r="N1877" s="559">
        <f>'Progetto del paramento slu'!$G$60*(sezione!$AO$34-C1877)/C1877</f>
        <v>2.1132758963713305E-2</v>
      </c>
      <c r="O1877" s="559">
        <f>'Progetto del paramento slu'!$G$60*(sezione!$AP$34-C1877)/C1877</f>
        <v>1.5337322474857279E-2</v>
      </c>
      <c r="P1877" s="553">
        <f>-'Progetto del paramento slu'!$G$47*'Progetto del paramento slu'!$G$41*IF(DATI!$G$218="dx",DATI!$E$61,DATI!$E$64*DATI!$E$63)*1000*C1877*sezione!$AD$5</f>
        <v>-680967.5328983675</v>
      </c>
      <c r="Q1877" s="553">
        <f>'Foglio deposito bis'!$F$78*IF(ABS(K1877)&lt;'Progetto del paramento slu'!$G$58,ABS(K1877)*'Progetto del paramento slu'!$G$54,'Progetto del paramento slu'!$G$53)*IF(K1877&lt;0,-1,1)</f>
        <v>0</v>
      </c>
      <c r="R1877" s="553">
        <f>'Foglio deposito bis'!$F$79*IF(ABS(L1877)&lt;'Progetto del paramento slu'!$G$58,ABS(L1877)*'Progetto del paramento slu'!$G$54,'Progetto del paramento slu'!$G$53)*IF(L1877&lt;0,-1,1)</f>
        <v>153664.85805602249</v>
      </c>
      <c r="S1877" s="553">
        <f>'Foglio deposito bis'!$F$80*IF(ABS(M1877)&lt;'Progetto del paramento slu'!$G$58,ABS(M1877)*'Progetto del paramento slu'!$G$54,'Progetto del paramento slu'!$G$53)*IF(M1877&lt;0,-1,1)</f>
        <v>0</v>
      </c>
      <c r="T1877" s="553">
        <f>'Foglio deposito bis'!$F$81*IF(ABS(N1877)&lt;'Progetto del paramento slu'!$G$58,ABS(N1877)*'Progetto del paramento slu'!$G$54,'Progetto del paramento slu'!$G$53)*IF(N1877&lt;0,-1,1)</f>
        <v>398299.31208121032</v>
      </c>
      <c r="U1877" s="553">
        <f>'Foglio deposito bis'!$F$82*IF(ABS(O1877)&lt;'Progetto del paramento slu'!$G$58,ABS(O1877)*'Progetto del paramento slu'!$G$54,'Progetto del paramento slu'!$G$53)*IF(O1877&lt;0,-1,1)</f>
        <v>892485.49558937876</v>
      </c>
      <c r="V1877" s="479">
        <f t="shared" si="141"/>
        <v>763482.13282824401</v>
      </c>
      <c r="W1877" s="559"/>
      <c r="X1877" s="559"/>
    </row>
    <row r="1878" spans="1:24" x14ac:dyDescent="0.25">
      <c r="A1878" s="553">
        <f t="shared" si="140"/>
        <v>752037.30034255725</v>
      </c>
      <c r="B1878" s="3">
        <f t="shared" si="138"/>
        <v>12.099999999999978</v>
      </c>
      <c r="C1878" s="553">
        <f>'Foglio deposito bis'!$E$160/sezione!$B$247*B1878</f>
        <v>49.121578373841906</v>
      </c>
      <c r="D1878" s="611">
        <f>-'Progetto del paramento slu'!$G$47*'Progetto del paramento slu'!$G$41*IF(DATI!$G$218="dx",DATI!$E$61,DATI!$E$64*DATI!$E$63)*1000*C1878^2*sezione!$AD$5*(1-sezione!$AD$6)</f>
        <v>-19863234.751566373</v>
      </c>
      <c r="E1878" s="553">
        <f>-'Foglio deposito bis'!$F$78*(C1878-sezione!$AL$34)*IF(ABS(K1878)&lt;'Progetto del paramento slu'!$G$58,ABS(K1878)*'Progetto del paramento slu'!$G$54,'Progetto del paramento slu'!$G$53)</f>
        <v>0</v>
      </c>
      <c r="F1878" s="553">
        <f>-'Foglio deposito bis'!$F$79*(C1878-sezione!$AM$34)*IF(ABS(L1878)&lt;'Progetto del paramento slu'!$G$58,ABS(L1878)*'Progetto del paramento slu'!$G$54,'Progetto del paramento slu'!$G$53)</f>
        <v>15501468.340099171</v>
      </c>
      <c r="G1878" s="553">
        <f>-'Foglio deposito bis'!$F$80*(C1878-sezione!$AN$34)*IF(ABS(M1878)&lt;'Progetto del paramento slu'!$G$58,ABS(M1878)*'Progetto del paramento slu'!$G$54,'Progetto del paramento slu'!$G$53)</f>
        <v>0</v>
      </c>
      <c r="H1878" s="553">
        <f>-'Foglio deposito bis'!$F$81*(C1878-sezione!$AO$34)*IF(ABS(N1878)&lt;'Progetto del paramento slu'!$G$58,ABS(N1878)*'Progetto del paramento slu'!$G$54,'Progetto del paramento slu'!$G$53)</f>
        <v>115856675.23296703</v>
      </c>
      <c r="I1878" s="479">
        <f>-'Foglio deposito bis'!$F$82*(C1878-sezione!$AP$34)*IF(ABS(O1878)&lt;'Progetto del paramento slu'!$G$58,ABS(O1878)*'Progetto del paramento slu'!$G$54,'Progetto del paramento slu'!$G$53)</f>
        <v>188212175.74180096</v>
      </c>
      <c r="J1878" s="479">
        <f t="shared" si="139"/>
        <v>299707084.56330079</v>
      </c>
      <c r="K1878" s="558">
        <f>'Progetto del paramento slu'!$G$60*(sezione!$AL$34-C1878)/C1878</f>
        <v>-6.4992871494226189E-4</v>
      </c>
      <c r="L1878" s="558">
        <f>'Progetto del paramento slu'!$G$60*(sezione!$AM$34-C1878)/C1878</f>
        <v>7.1877673189665175E-3</v>
      </c>
      <c r="M1878" s="559">
        <f>'Progetto del paramento slu'!$G$60*(sezione!$AN$34-C1878)/C1878</f>
        <v>1.5025463352875296E-2</v>
      </c>
      <c r="N1878" s="559">
        <f>'Progetto del paramento slu'!$G$60*(sezione!$AO$34-C1878)/C1878</f>
        <v>2.0725605922990775E-2</v>
      </c>
      <c r="O1878" s="559">
        <f>'Progetto del paramento slu'!$G$60*(sezione!$AP$34-C1878)/C1878</f>
        <v>1.5025961772793524E-2</v>
      </c>
      <c r="P1878" s="553">
        <f>-'Progetto del paramento slu'!$G$47*'Progetto del paramento slu'!$G$41*IF(DATI!$G$218="dx",DATI!$E$61,DATI!$E$64*DATI!$E$63)*1000*C1878*sezione!$AD$5</f>
        <v>-692412.36538405437</v>
      </c>
      <c r="Q1878" s="553">
        <f>'Foglio deposito bis'!$F$78*IF(ABS(K1878)&lt;'Progetto del paramento slu'!$G$58,ABS(K1878)*'Progetto del paramento slu'!$G$54,'Progetto del paramento slu'!$G$53)*IF(K1878&lt;0,-1,1)</f>
        <v>0</v>
      </c>
      <c r="R1878" s="553">
        <f>'Foglio deposito bis'!$F$79*IF(ABS(L1878)&lt;'Progetto del paramento slu'!$G$58,ABS(L1878)*'Progetto del paramento slu'!$G$54,'Progetto del paramento slu'!$G$53)*IF(L1878&lt;0,-1,1)</f>
        <v>153664.85805602249</v>
      </c>
      <c r="S1878" s="553">
        <f>'Foglio deposito bis'!$F$80*IF(ABS(M1878)&lt;'Progetto del paramento slu'!$G$58,ABS(M1878)*'Progetto del paramento slu'!$G$54,'Progetto del paramento slu'!$G$53)*IF(M1878&lt;0,-1,1)</f>
        <v>0</v>
      </c>
      <c r="T1878" s="553">
        <f>'Foglio deposito bis'!$F$81*IF(ABS(N1878)&lt;'Progetto del paramento slu'!$G$58,ABS(N1878)*'Progetto del paramento slu'!$G$54,'Progetto del paramento slu'!$G$53)*IF(N1878&lt;0,-1,1)</f>
        <v>398299.31208121032</v>
      </c>
      <c r="U1878" s="553">
        <f>'Foglio deposito bis'!$F$82*IF(ABS(O1878)&lt;'Progetto del paramento slu'!$G$58,ABS(O1878)*'Progetto del paramento slu'!$G$54,'Progetto del paramento slu'!$G$53)*IF(O1878&lt;0,-1,1)</f>
        <v>892485.49558937876</v>
      </c>
      <c r="V1878" s="479">
        <f t="shared" si="141"/>
        <v>752037.30034255725</v>
      </c>
      <c r="W1878" s="559"/>
      <c r="X1878" s="559"/>
    </row>
    <row r="1879" spans="1:24" x14ac:dyDescent="0.25">
      <c r="A1879" s="553">
        <f t="shared" si="140"/>
        <v>740592.46785687027</v>
      </c>
      <c r="B1879" s="3">
        <f t="shared" si="138"/>
        <v>12.299999999999978</v>
      </c>
      <c r="C1879" s="553">
        <f>'Foglio deposito bis'!$E$160/sezione!$B$247*B1879</f>
        <v>49.93350528911202</v>
      </c>
      <c r="D1879" s="611">
        <f>-'Progetto del paramento slu'!$G$47*'Progetto del paramento slu'!$G$41*IF(DATI!$G$218="dx",DATI!$E$61,DATI!$E$64*DATI!$E$63)*1000*C1879^2*sezione!$AD$5*(1-sezione!$AD$6)</f>
        <v>-20525297.353763245</v>
      </c>
      <c r="E1879" s="553">
        <f>-'Foglio deposito bis'!$F$78*(C1879-sezione!$AL$34)*IF(ABS(K1879)&lt;'Progetto del paramento slu'!$G$58,ABS(K1879)*'Progetto del paramento slu'!$G$54,'Progetto del paramento slu'!$G$53)</f>
        <v>0</v>
      </c>
      <c r="F1879" s="553">
        <f>-'Foglio deposito bis'!$F$79*(C1879-sezione!$AM$34)*IF(ABS(L1879)&lt;'Progetto del paramento slu'!$G$58,ABS(L1879)*'Progetto del paramento slu'!$G$54,'Progetto del paramento slu'!$G$53)</f>
        <v>15376703.705912327</v>
      </c>
      <c r="G1879" s="553">
        <f>-'Foglio deposito bis'!$F$80*(C1879-sezione!$AN$34)*IF(ABS(M1879)&lt;'Progetto del paramento slu'!$G$58,ABS(M1879)*'Progetto del paramento slu'!$G$54,'Progetto del paramento slu'!$G$53)</f>
        <v>0</v>
      </c>
      <c r="H1879" s="553">
        <f>-'Foglio deposito bis'!$F$81*(C1879-sezione!$AO$34)*IF(ABS(N1879)&lt;'Progetto del paramento slu'!$G$58,ABS(N1879)*'Progetto del paramento slu'!$G$54,'Progetto del paramento slu'!$G$53)</f>
        <v>115533285.3011547</v>
      </c>
      <c r="I1879" s="479">
        <f>-'Foglio deposito bis'!$F$82*(C1879-sezione!$AP$34)*IF(ABS(O1879)&lt;'Progetto del paramento slu'!$G$58,ABS(O1879)*'Progetto del paramento slu'!$G$54,'Progetto del paramento slu'!$G$53)</f>
        <v>187487542.74644378</v>
      </c>
      <c r="J1879" s="479">
        <f t="shared" si="139"/>
        <v>297872234.39974755</v>
      </c>
      <c r="K1879" s="558">
        <f>'Progetto del paramento slu'!$G$60*(sezione!$AL$34-C1879)/C1879</f>
        <v>-6.9627133746352581E-4</v>
      </c>
      <c r="L1879" s="558">
        <f>'Progetto del paramento slu'!$G$60*(sezione!$AM$34-C1879)/C1879</f>
        <v>7.013982484511779E-3</v>
      </c>
      <c r="M1879" s="559">
        <f>'Progetto del paramento slu'!$G$60*(sezione!$AN$34-C1879)/C1879</f>
        <v>1.4724236306487082E-2</v>
      </c>
      <c r="N1879" s="559">
        <f>'Progetto del paramento slu'!$G$60*(sezione!$AO$34-C1879)/C1879</f>
        <v>2.0331693631560031E-2</v>
      </c>
      <c r="O1879" s="559">
        <f>'Progetto del paramento slu'!$G$60*(sezione!$AP$34-C1879)/C1879</f>
        <v>1.4724726622016395E-2</v>
      </c>
      <c r="P1879" s="553">
        <f>-'Progetto del paramento slu'!$G$47*'Progetto del paramento slu'!$G$41*IF(DATI!$G$218="dx",DATI!$E$61,DATI!$E$64*DATI!$E$63)*1000*C1879*sezione!$AD$5</f>
        <v>-703857.19786974124</v>
      </c>
      <c r="Q1879" s="553">
        <f>'Foglio deposito bis'!$F$78*IF(ABS(K1879)&lt;'Progetto del paramento slu'!$G$58,ABS(K1879)*'Progetto del paramento slu'!$G$54,'Progetto del paramento slu'!$G$53)*IF(K1879&lt;0,-1,1)</f>
        <v>0</v>
      </c>
      <c r="R1879" s="553">
        <f>'Foglio deposito bis'!$F$79*IF(ABS(L1879)&lt;'Progetto del paramento slu'!$G$58,ABS(L1879)*'Progetto del paramento slu'!$G$54,'Progetto del paramento slu'!$G$53)*IF(L1879&lt;0,-1,1)</f>
        <v>153664.85805602249</v>
      </c>
      <c r="S1879" s="553">
        <f>'Foglio deposito bis'!$F$80*IF(ABS(M1879)&lt;'Progetto del paramento slu'!$G$58,ABS(M1879)*'Progetto del paramento slu'!$G$54,'Progetto del paramento slu'!$G$53)*IF(M1879&lt;0,-1,1)</f>
        <v>0</v>
      </c>
      <c r="T1879" s="553">
        <f>'Foglio deposito bis'!$F$81*IF(ABS(N1879)&lt;'Progetto del paramento slu'!$G$58,ABS(N1879)*'Progetto del paramento slu'!$G$54,'Progetto del paramento slu'!$G$53)*IF(N1879&lt;0,-1,1)</f>
        <v>398299.31208121032</v>
      </c>
      <c r="U1879" s="553">
        <f>'Foglio deposito bis'!$F$82*IF(ABS(O1879)&lt;'Progetto del paramento slu'!$G$58,ABS(O1879)*'Progetto del paramento slu'!$G$54,'Progetto del paramento slu'!$G$53)*IF(O1879&lt;0,-1,1)</f>
        <v>892485.49558937876</v>
      </c>
      <c r="V1879" s="479">
        <f t="shared" si="141"/>
        <v>740592.46785687027</v>
      </c>
      <c r="W1879" s="559"/>
      <c r="X1879" s="559"/>
    </row>
    <row r="1880" spans="1:24" x14ac:dyDescent="0.25">
      <c r="A1880" s="553">
        <f t="shared" si="140"/>
        <v>729147.63537118351</v>
      </c>
      <c r="B1880" s="3">
        <f t="shared" si="138"/>
        <v>12.499999999999977</v>
      </c>
      <c r="C1880" s="553">
        <f>'Foglio deposito bis'!$E$160/sezione!$B$247*B1880</f>
        <v>50.745432204382126</v>
      </c>
      <c r="D1880" s="611">
        <f>-'Progetto del paramento slu'!$G$47*'Progetto del paramento slu'!$G$41*IF(DATI!$G$218="dx",DATI!$E$61,DATI!$E$64*DATI!$E$63)*1000*C1880^2*sezione!$AD$5*(1-sezione!$AD$6)</f>
        <v>-21198213.441242024</v>
      </c>
      <c r="E1880" s="553">
        <f>-'Foglio deposito bis'!$F$78*(C1880-sezione!$AL$34)*IF(ABS(K1880)&lt;'Progetto del paramento slu'!$G$58,ABS(K1880)*'Progetto del paramento slu'!$G$54,'Progetto del paramento slu'!$G$53)</f>
        <v>0</v>
      </c>
      <c r="F1880" s="553">
        <f>-'Foglio deposito bis'!$F$79*(C1880-sezione!$AM$34)*IF(ABS(L1880)&lt;'Progetto del paramento slu'!$G$58,ABS(L1880)*'Progetto del paramento slu'!$G$54,'Progetto del paramento slu'!$G$53)</f>
        <v>15251939.071725482</v>
      </c>
      <c r="G1880" s="553">
        <f>-'Foglio deposito bis'!$F$80*(C1880-sezione!$AN$34)*IF(ABS(M1880)&lt;'Progetto del paramento slu'!$G$58,ABS(M1880)*'Progetto del paramento slu'!$G$54,'Progetto del paramento slu'!$G$53)</f>
        <v>0</v>
      </c>
      <c r="H1880" s="553">
        <f>-'Foglio deposito bis'!$F$81*(C1880-sezione!$AO$34)*IF(ABS(N1880)&lt;'Progetto del paramento slu'!$G$58,ABS(N1880)*'Progetto del paramento slu'!$G$54,'Progetto del paramento slu'!$G$53)</f>
        <v>115209895.36934239</v>
      </c>
      <c r="I1880" s="479">
        <f>-'Foglio deposito bis'!$F$82*(C1880-sezione!$AP$34)*IF(ABS(O1880)&lt;'Progetto del paramento slu'!$G$58,ABS(O1880)*'Progetto del paramento slu'!$G$54,'Progetto del paramento slu'!$G$53)</f>
        <v>186762909.75108656</v>
      </c>
      <c r="J1880" s="479">
        <f t="shared" si="139"/>
        <v>296026530.75091243</v>
      </c>
      <c r="K1880" s="558">
        <f>'Progetto del paramento slu'!$G$60*(sezione!$AL$34-C1880)/C1880</f>
        <v>-7.4113099606410912E-4</v>
      </c>
      <c r="L1880" s="558">
        <f>'Progetto del paramento slu'!$G$60*(sezione!$AM$34-C1880)/C1880</f>
        <v>6.8457587647595911E-3</v>
      </c>
      <c r="M1880" s="559">
        <f>'Progetto del paramento slu'!$G$60*(sezione!$AN$34-C1880)/C1880</f>
        <v>1.4432648525583291E-2</v>
      </c>
      <c r="N1880" s="559">
        <f>'Progetto del paramento slu'!$G$60*(sezione!$AO$34-C1880)/C1880</f>
        <v>1.9950386533455069E-2</v>
      </c>
      <c r="O1880" s="559">
        <f>'Progetto del paramento slu'!$G$60*(sezione!$AP$34-C1880)/C1880</f>
        <v>1.4433130996064135E-2</v>
      </c>
      <c r="P1880" s="553">
        <f>-'Progetto del paramento slu'!$G$47*'Progetto del paramento slu'!$G$41*IF(DATI!$G$218="dx",DATI!$E$61,DATI!$E$64*DATI!$E$63)*1000*C1880*sezione!$AD$5</f>
        <v>-715302.030355428</v>
      </c>
      <c r="Q1880" s="553">
        <f>'Foglio deposito bis'!$F$78*IF(ABS(K1880)&lt;'Progetto del paramento slu'!$G$58,ABS(K1880)*'Progetto del paramento slu'!$G$54,'Progetto del paramento slu'!$G$53)*IF(K1880&lt;0,-1,1)</f>
        <v>0</v>
      </c>
      <c r="R1880" s="553">
        <f>'Foglio deposito bis'!$F$79*IF(ABS(L1880)&lt;'Progetto del paramento slu'!$G$58,ABS(L1880)*'Progetto del paramento slu'!$G$54,'Progetto del paramento slu'!$G$53)*IF(L1880&lt;0,-1,1)</f>
        <v>153664.85805602249</v>
      </c>
      <c r="S1880" s="553">
        <f>'Foglio deposito bis'!$F$80*IF(ABS(M1880)&lt;'Progetto del paramento slu'!$G$58,ABS(M1880)*'Progetto del paramento slu'!$G$54,'Progetto del paramento slu'!$G$53)*IF(M1880&lt;0,-1,1)</f>
        <v>0</v>
      </c>
      <c r="T1880" s="553">
        <f>'Foglio deposito bis'!$F$81*IF(ABS(N1880)&lt;'Progetto del paramento slu'!$G$58,ABS(N1880)*'Progetto del paramento slu'!$G$54,'Progetto del paramento slu'!$G$53)*IF(N1880&lt;0,-1,1)</f>
        <v>398299.31208121032</v>
      </c>
      <c r="U1880" s="553">
        <f>'Foglio deposito bis'!$F$82*IF(ABS(O1880)&lt;'Progetto del paramento slu'!$G$58,ABS(O1880)*'Progetto del paramento slu'!$G$54,'Progetto del paramento slu'!$G$53)*IF(O1880&lt;0,-1,1)</f>
        <v>892485.49558937876</v>
      </c>
      <c r="V1880" s="479">
        <f t="shared" si="141"/>
        <v>729147.63537118351</v>
      </c>
      <c r="W1880" s="559"/>
      <c r="X1880" s="559"/>
    </row>
    <row r="1881" spans="1:24" x14ac:dyDescent="0.25">
      <c r="A1881" s="553">
        <f t="shared" si="140"/>
        <v>717702.80288549676</v>
      </c>
      <c r="B1881" s="3">
        <f t="shared" si="138"/>
        <v>12.699999999999976</v>
      </c>
      <c r="C1881" s="553">
        <f>'Foglio deposito bis'!$E$160/sezione!$B$247*B1881</f>
        <v>51.55735911965224</v>
      </c>
      <c r="D1881" s="611">
        <f>-'Progetto del paramento slu'!$G$47*'Progetto del paramento slu'!$G$41*IF(DATI!$G$218="dx",DATI!$E$61,DATI!$E$64*DATI!$E$63)*1000*C1881^2*sezione!$AD$5*(1-sezione!$AD$6)</f>
        <v>-21881983.014002725</v>
      </c>
      <c r="E1881" s="553">
        <f>-'Foglio deposito bis'!$F$78*(C1881-sezione!$AL$34)*IF(ABS(K1881)&lt;'Progetto del paramento slu'!$G$58,ABS(K1881)*'Progetto del paramento slu'!$G$54,'Progetto del paramento slu'!$G$53)</f>
        <v>0</v>
      </c>
      <c r="F1881" s="553">
        <f>-'Foglio deposito bis'!$F$79*(C1881-sezione!$AM$34)*IF(ABS(L1881)&lt;'Progetto del paramento slu'!$G$58,ABS(L1881)*'Progetto del paramento slu'!$G$54,'Progetto del paramento slu'!$G$53)</f>
        <v>15127174.437538637</v>
      </c>
      <c r="G1881" s="553">
        <f>-'Foglio deposito bis'!$F$80*(C1881-sezione!$AN$34)*IF(ABS(M1881)&lt;'Progetto del paramento slu'!$G$58,ABS(M1881)*'Progetto del paramento slu'!$G$54,'Progetto del paramento slu'!$G$53)</f>
        <v>0</v>
      </c>
      <c r="H1881" s="553">
        <f>-'Foglio deposito bis'!$F$81*(C1881-sezione!$AO$34)*IF(ABS(N1881)&lt;'Progetto del paramento slu'!$G$58,ABS(N1881)*'Progetto del paramento slu'!$G$54,'Progetto del paramento slu'!$G$53)</f>
        <v>114886505.43753012</v>
      </c>
      <c r="I1881" s="479">
        <f>-'Foglio deposito bis'!$F$82*(C1881-sezione!$AP$34)*IF(ABS(O1881)&lt;'Progetto del paramento slu'!$G$58,ABS(O1881)*'Progetto del paramento slu'!$G$54,'Progetto del paramento slu'!$G$53)</f>
        <v>186038276.75572938</v>
      </c>
      <c r="J1881" s="479">
        <f t="shared" si="139"/>
        <v>294169973.61679542</v>
      </c>
      <c r="K1881" s="558">
        <f>'Progetto del paramento slu'!$G$60*(sezione!$AL$34-C1881)/C1881</f>
        <v>-7.8457775203160339E-4</v>
      </c>
      <c r="L1881" s="558">
        <f>'Progetto del paramento slu'!$G$60*(sezione!$AM$34-C1881)/C1881</f>
        <v>6.682833429881488E-3</v>
      </c>
      <c r="M1881" s="559">
        <f>'Progetto del paramento slu'!$G$60*(sezione!$AN$34-C1881)/C1881</f>
        <v>1.4150244611794578E-2</v>
      </c>
      <c r="N1881" s="559">
        <f>'Progetto del paramento slu'!$G$60*(sezione!$AO$34-C1881)/C1881</f>
        <v>1.9581089107731372E-2</v>
      </c>
      <c r="O1881" s="559">
        <f>'Progetto del paramento slu'!$G$60*(sezione!$AP$34-C1881)/C1881</f>
        <v>1.4150719484315092E-2</v>
      </c>
      <c r="P1881" s="553">
        <f>-'Progetto del paramento slu'!$G$47*'Progetto del paramento slu'!$G$41*IF(DATI!$G$218="dx",DATI!$E$61,DATI!$E$64*DATI!$E$63)*1000*C1881*sezione!$AD$5</f>
        <v>-726746.86284111475</v>
      </c>
      <c r="Q1881" s="553">
        <f>'Foglio deposito bis'!$F$78*IF(ABS(K1881)&lt;'Progetto del paramento slu'!$G$58,ABS(K1881)*'Progetto del paramento slu'!$G$54,'Progetto del paramento slu'!$G$53)*IF(K1881&lt;0,-1,1)</f>
        <v>0</v>
      </c>
      <c r="R1881" s="553">
        <f>'Foglio deposito bis'!$F$79*IF(ABS(L1881)&lt;'Progetto del paramento slu'!$G$58,ABS(L1881)*'Progetto del paramento slu'!$G$54,'Progetto del paramento slu'!$G$53)*IF(L1881&lt;0,-1,1)</f>
        <v>153664.85805602249</v>
      </c>
      <c r="S1881" s="553">
        <f>'Foglio deposito bis'!$F$80*IF(ABS(M1881)&lt;'Progetto del paramento slu'!$G$58,ABS(M1881)*'Progetto del paramento slu'!$G$54,'Progetto del paramento slu'!$G$53)*IF(M1881&lt;0,-1,1)</f>
        <v>0</v>
      </c>
      <c r="T1881" s="553">
        <f>'Foglio deposito bis'!$F$81*IF(ABS(N1881)&lt;'Progetto del paramento slu'!$G$58,ABS(N1881)*'Progetto del paramento slu'!$G$54,'Progetto del paramento slu'!$G$53)*IF(N1881&lt;0,-1,1)</f>
        <v>398299.31208121032</v>
      </c>
      <c r="U1881" s="553">
        <f>'Foglio deposito bis'!$F$82*IF(ABS(O1881)&lt;'Progetto del paramento slu'!$G$58,ABS(O1881)*'Progetto del paramento slu'!$G$54,'Progetto del paramento slu'!$G$53)*IF(O1881&lt;0,-1,1)</f>
        <v>892485.49558937876</v>
      </c>
      <c r="V1881" s="479">
        <f t="shared" si="141"/>
        <v>717702.80288549676</v>
      </c>
      <c r="W1881" s="559"/>
      <c r="X1881" s="559"/>
    </row>
    <row r="1882" spans="1:24" x14ac:dyDescent="0.25">
      <c r="A1882" s="553">
        <f t="shared" si="140"/>
        <v>706257.97039981</v>
      </c>
      <c r="B1882" s="3">
        <f t="shared" si="138"/>
        <v>12.899999999999975</v>
      </c>
      <c r="C1882" s="553">
        <f>'Foglio deposito bis'!$E$160/sezione!$B$247*B1882</f>
        <v>52.369286034922354</v>
      </c>
      <c r="D1882" s="611">
        <f>-'Progetto del paramento slu'!$G$47*'Progetto del paramento slu'!$G$41*IF(DATI!$G$218="dx",DATI!$E$61,DATI!$E$64*DATI!$E$63)*1000*C1882^2*sezione!$AD$5*(1-sezione!$AD$6)</f>
        <v>-22576606.072045341</v>
      </c>
      <c r="E1882" s="553">
        <f>-'Foglio deposito bis'!$F$78*(C1882-sezione!$AL$34)*IF(ABS(K1882)&lt;'Progetto del paramento slu'!$G$58,ABS(K1882)*'Progetto del paramento slu'!$G$54,'Progetto del paramento slu'!$G$53)</f>
        <v>0</v>
      </c>
      <c r="F1882" s="553">
        <f>-'Foglio deposito bis'!$F$79*(C1882-sezione!$AM$34)*IF(ABS(L1882)&lt;'Progetto del paramento slu'!$G$58,ABS(L1882)*'Progetto del paramento slu'!$G$54,'Progetto del paramento slu'!$G$53)</f>
        <v>15002409.80335179</v>
      </c>
      <c r="G1882" s="553">
        <f>-'Foglio deposito bis'!$F$80*(C1882-sezione!$AN$34)*IF(ABS(M1882)&lt;'Progetto del paramento slu'!$G$58,ABS(M1882)*'Progetto del paramento slu'!$G$54,'Progetto del paramento slu'!$G$53)</f>
        <v>0</v>
      </c>
      <c r="H1882" s="553">
        <f>-'Foglio deposito bis'!$F$81*(C1882-sezione!$AO$34)*IF(ABS(N1882)&lt;'Progetto del paramento slu'!$G$58,ABS(N1882)*'Progetto del paramento slu'!$G$54,'Progetto del paramento slu'!$G$53)</f>
        <v>114563115.5057178</v>
      </c>
      <c r="I1882" s="479">
        <f>-'Foglio deposito bis'!$F$82*(C1882-sezione!$AP$34)*IF(ABS(O1882)&lt;'Progetto del paramento slu'!$G$58,ABS(O1882)*'Progetto del paramento slu'!$G$54,'Progetto del paramento slu'!$G$53)</f>
        <v>185313643.76037216</v>
      </c>
      <c r="J1882" s="479">
        <f t="shared" si="139"/>
        <v>292302562.99739641</v>
      </c>
      <c r="K1882" s="558">
        <f>'Progetto del paramento slu'!$G$60*(sezione!$AL$34-C1882)/C1882</f>
        <v>-8.2667732176754756E-4</v>
      </c>
      <c r="L1882" s="558">
        <f>'Progetto del paramento slu'!$G$60*(sezione!$AM$34-C1882)/C1882</f>
        <v>6.5249600433716966E-3</v>
      </c>
      <c r="M1882" s="559">
        <f>'Progetto del paramento slu'!$G$60*(sezione!$AN$34-C1882)/C1882</f>
        <v>1.3876597408510941E-2</v>
      </c>
      <c r="N1882" s="559">
        <f>'Progetto del paramento slu'!$G$60*(sezione!$AO$34-C1882)/C1882</f>
        <v>1.9223242764975848E-2</v>
      </c>
      <c r="O1882" s="559">
        <f>'Progetto del paramento slu'!$G$60*(sezione!$AP$34-C1882)/C1882</f>
        <v>1.3877064918666797E-2</v>
      </c>
      <c r="P1882" s="553">
        <f>-'Progetto del paramento slu'!$G$47*'Progetto del paramento slu'!$G$41*IF(DATI!$G$218="dx",DATI!$E$61,DATI!$E$64*DATI!$E$63)*1000*C1882*sezione!$AD$5</f>
        <v>-738191.69532680162</v>
      </c>
      <c r="Q1882" s="553">
        <f>'Foglio deposito bis'!$F$78*IF(ABS(K1882)&lt;'Progetto del paramento slu'!$G$58,ABS(K1882)*'Progetto del paramento slu'!$G$54,'Progetto del paramento slu'!$G$53)*IF(K1882&lt;0,-1,1)</f>
        <v>0</v>
      </c>
      <c r="R1882" s="553">
        <f>'Foglio deposito bis'!$F$79*IF(ABS(L1882)&lt;'Progetto del paramento slu'!$G$58,ABS(L1882)*'Progetto del paramento slu'!$G$54,'Progetto del paramento slu'!$G$53)*IF(L1882&lt;0,-1,1)</f>
        <v>153664.85805602249</v>
      </c>
      <c r="S1882" s="553">
        <f>'Foglio deposito bis'!$F$80*IF(ABS(M1882)&lt;'Progetto del paramento slu'!$G$58,ABS(M1882)*'Progetto del paramento slu'!$G$54,'Progetto del paramento slu'!$G$53)*IF(M1882&lt;0,-1,1)</f>
        <v>0</v>
      </c>
      <c r="T1882" s="553">
        <f>'Foglio deposito bis'!$F$81*IF(ABS(N1882)&lt;'Progetto del paramento slu'!$G$58,ABS(N1882)*'Progetto del paramento slu'!$G$54,'Progetto del paramento slu'!$G$53)*IF(N1882&lt;0,-1,1)</f>
        <v>398299.31208121032</v>
      </c>
      <c r="U1882" s="553">
        <f>'Foglio deposito bis'!$F$82*IF(ABS(O1882)&lt;'Progetto del paramento slu'!$G$58,ABS(O1882)*'Progetto del paramento slu'!$G$54,'Progetto del paramento slu'!$G$53)*IF(O1882&lt;0,-1,1)</f>
        <v>892485.49558937876</v>
      </c>
      <c r="V1882" s="479">
        <f t="shared" si="141"/>
        <v>706257.97039981</v>
      </c>
      <c r="W1882" s="559"/>
      <c r="X1882" s="559"/>
    </row>
    <row r="1883" spans="1:24" x14ac:dyDescent="0.25">
      <c r="A1883" s="553">
        <f t="shared" si="140"/>
        <v>694813.13791412301</v>
      </c>
      <c r="B1883" s="3">
        <f t="shared" si="138"/>
        <v>13.099999999999975</v>
      </c>
      <c r="C1883" s="553">
        <f>'Foglio deposito bis'!$E$160/sezione!$B$247*B1883</f>
        <v>53.181212950192467</v>
      </c>
      <c r="D1883" s="611">
        <f>-'Progetto del paramento slu'!$G$47*'Progetto del paramento slu'!$G$41*IF(DATI!$G$218="dx",DATI!$E$61,DATI!$E$64*DATI!$E$63)*1000*C1883^2*sezione!$AD$5*(1-sezione!$AD$6)</f>
        <v>-23282082.615369879</v>
      </c>
      <c r="E1883" s="553">
        <f>-'Foglio deposito bis'!$F$78*(C1883-sezione!$AL$34)*IF(ABS(K1883)&lt;'Progetto del paramento slu'!$G$58,ABS(K1883)*'Progetto del paramento slu'!$G$54,'Progetto del paramento slu'!$G$53)</f>
        <v>0</v>
      </c>
      <c r="F1883" s="553">
        <f>-'Foglio deposito bis'!$F$79*(C1883-sezione!$AM$34)*IF(ABS(L1883)&lt;'Progetto del paramento slu'!$G$58,ABS(L1883)*'Progetto del paramento slu'!$G$54,'Progetto del paramento slu'!$G$53)</f>
        <v>14877645.169164943</v>
      </c>
      <c r="G1883" s="553">
        <f>-'Foglio deposito bis'!$F$80*(C1883-sezione!$AN$34)*IF(ABS(M1883)&lt;'Progetto del paramento slu'!$G$58,ABS(M1883)*'Progetto del paramento slu'!$G$54,'Progetto del paramento slu'!$G$53)</f>
        <v>0</v>
      </c>
      <c r="H1883" s="553">
        <f>-'Foglio deposito bis'!$F$81*(C1883-sezione!$AO$34)*IF(ABS(N1883)&lt;'Progetto del paramento slu'!$G$58,ABS(N1883)*'Progetto del paramento slu'!$G$54,'Progetto del paramento slu'!$G$53)</f>
        <v>114239725.5739055</v>
      </c>
      <c r="I1883" s="479">
        <f>-'Foglio deposito bis'!$F$82*(C1883-sezione!$AP$34)*IF(ABS(O1883)&lt;'Progetto del paramento slu'!$G$58,ABS(O1883)*'Progetto del paramento slu'!$G$54,'Progetto del paramento slu'!$G$53)</f>
        <v>184589010.76501498</v>
      </c>
      <c r="J1883" s="479">
        <f t="shared" si="139"/>
        <v>290424298.89271557</v>
      </c>
      <c r="K1883" s="558">
        <f>'Progetto del paramento slu'!$G$60*(sezione!$AL$34-C1883)/C1883</f>
        <v>-8.6749140845811929E-4</v>
      </c>
      <c r="L1883" s="558">
        <f>'Progetto del paramento slu'!$G$60*(sezione!$AM$34-C1883)/C1883</f>
        <v>6.3719072182820526E-3</v>
      </c>
      <c r="M1883" s="559">
        <f>'Progetto del paramento slu'!$G$60*(sezione!$AN$34-C1883)/C1883</f>
        <v>1.3611305845022225E-2</v>
      </c>
      <c r="N1883" s="559">
        <f>'Progetto del paramento slu'!$G$60*(sezione!$AO$34-C1883)/C1883</f>
        <v>1.8876323028105987E-2</v>
      </c>
      <c r="O1883" s="559">
        <f>'Progetto del paramento slu'!$G$60*(sezione!$AP$34-C1883)/C1883</f>
        <v>1.3611766217618448E-2</v>
      </c>
      <c r="P1883" s="553">
        <f>-'Progetto del paramento slu'!$G$47*'Progetto del paramento slu'!$G$41*IF(DATI!$G$218="dx",DATI!$E$61,DATI!$E$64*DATI!$E$63)*1000*C1883*sezione!$AD$5</f>
        <v>-749636.52781248849</v>
      </c>
      <c r="Q1883" s="553">
        <f>'Foglio deposito bis'!$F$78*IF(ABS(K1883)&lt;'Progetto del paramento slu'!$G$58,ABS(K1883)*'Progetto del paramento slu'!$G$54,'Progetto del paramento slu'!$G$53)*IF(K1883&lt;0,-1,1)</f>
        <v>0</v>
      </c>
      <c r="R1883" s="553">
        <f>'Foglio deposito bis'!$F$79*IF(ABS(L1883)&lt;'Progetto del paramento slu'!$G$58,ABS(L1883)*'Progetto del paramento slu'!$G$54,'Progetto del paramento slu'!$G$53)*IF(L1883&lt;0,-1,1)</f>
        <v>153664.85805602249</v>
      </c>
      <c r="S1883" s="553">
        <f>'Foglio deposito bis'!$F$80*IF(ABS(M1883)&lt;'Progetto del paramento slu'!$G$58,ABS(M1883)*'Progetto del paramento slu'!$G$54,'Progetto del paramento slu'!$G$53)*IF(M1883&lt;0,-1,1)</f>
        <v>0</v>
      </c>
      <c r="T1883" s="553">
        <f>'Foglio deposito bis'!$F$81*IF(ABS(N1883)&lt;'Progetto del paramento slu'!$G$58,ABS(N1883)*'Progetto del paramento slu'!$G$54,'Progetto del paramento slu'!$G$53)*IF(N1883&lt;0,-1,1)</f>
        <v>398299.31208121032</v>
      </c>
      <c r="U1883" s="553">
        <f>'Foglio deposito bis'!$F$82*IF(ABS(O1883)&lt;'Progetto del paramento slu'!$G$58,ABS(O1883)*'Progetto del paramento slu'!$G$54,'Progetto del paramento slu'!$G$53)*IF(O1883&lt;0,-1,1)</f>
        <v>892485.49558937876</v>
      </c>
      <c r="V1883" s="479">
        <f t="shared" si="141"/>
        <v>694813.13791412301</v>
      </c>
      <c r="W1883" s="559"/>
      <c r="X1883" s="559"/>
    </row>
    <row r="1884" spans="1:24" x14ac:dyDescent="0.25">
      <c r="A1884" s="553">
        <f t="shared" si="140"/>
        <v>683368.30542843626</v>
      </c>
      <c r="B1884" s="3">
        <f t="shared" si="138"/>
        <v>13.299999999999974</v>
      </c>
      <c r="C1884" s="553">
        <f>'Foglio deposito bis'!$E$160/sezione!$B$247*B1884</f>
        <v>53.993139865462581</v>
      </c>
      <c r="D1884" s="611">
        <f>-'Progetto del paramento slu'!$G$47*'Progetto del paramento slu'!$G$41*IF(DATI!$G$218="dx",DATI!$E$61,DATI!$E$64*DATI!$E$63)*1000*C1884^2*sezione!$AD$5*(1-sezione!$AD$6)</f>
        <v>-23998412.643976331</v>
      </c>
      <c r="E1884" s="553">
        <f>-'Foglio deposito bis'!$F$78*(C1884-sezione!$AL$34)*IF(ABS(K1884)&lt;'Progetto del paramento slu'!$G$58,ABS(K1884)*'Progetto del paramento slu'!$G$54,'Progetto del paramento slu'!$G$53)</f>
        <v>0</v>
      </c>
      <c r="F1884" s="553">
        <f>-'Foglio deposito bis'!$F$79*(C1884-sezione!$AM$34)*IF(ABS(L1884)&lt;'Progetto del paramento slu'!$G$58,ABS(L1884)*'Progetto del paramento slu'!$G$54,'Progetto del paramento slu'!$G$53)</f>
        <v>14752880.534978097</v>
      </c>
      <c r="G1884" s="553">
        <f>-'Foglio deposito bis'!$F$80*(C1884-sezione!$AN$34)*IF(ABS(M1884)&lt;'Progetto del paramento slu'!$G$58,ABS(M1884)*'Progetto del paramento slu'!$G$54,'Progetto del paramento slu'!$G$53)</f>
        <v>0</v>
      </c>
      <c r="H1884" s="553">
        <f>-'Foglio deposito bis'!$F$81*(C1884-sezione!$AO$34)*IF(ABS(N1884)&lt;'Progetto del paramento slu'!$G$58,ABS(N1884)*'Progetto del paramento slu'!$G$54,'Progetto del paramento slu'!$G$53)</f>
        <v>113916335.64209318</v>
      </c>
      <c r="I1884" s="479">
        <f>-'Foglio deposito bis'!$F$82*(C1884-sezione!$AP$34)*IF(ABS(O1884)&lt;'Progetto del paramento slu'!$G$58,ABS(O1884)*'Progetto del paramento slu'!$G$54,'Progetto del paramento slu'!$G$53)</f>
        <v>183864377.76965776</v>
      </c>
      <c r="J1884" s="479">
        <f t="shared" si="139"/>
        <v>288535181.30275273</v>
      </c>
      <c r="K1884" s="558">
        <f>'Progetto del paramento slu'!$G$60*(sezione!$AL$34-C1884)/C1884</f>
        <v>-9.0707800381965127E-4</v>
      </c>
      <c r="L1884" s="558">
        <f>'Progetto del paramento slu'!$G$60*(sezione!$AM$34-C1884)/C1884</f>
        <v>6.2234574856763081E-3</v>
      </c>
      <c r="M1884" s="559">
        <f>'Progetto del paramento slu'!$G$60*(sezione!$AN$34-C1884)/C1884</f>
        <v>1.3353992975172266E-2</v>
      </c>
      <c r="N1884" s="559">
        <f>'Progetto del paramento slu'!$G$60*(sezione!$AO$34-C1884)/C1884</f>
        <v>1.8539836967532964E-2</v>
      </c>
      <c r="O1884" s="559">
        <f>'Progetto del paramento slu'!$G$60*(sezione!$AP$34-C1884)/C1884</f>
        <v>1.3354446424872306E-2</v>
      </c>
      <c r="P1884" s="553">
        <f>-'Progetto del paramento slu'!$G$47*'Progetto del paramento slu'!$G$41*IF(DATI!$G$218="dx",DATI!$E$61,DATI!$E$64*DATI!$E$63)*1000*C1884*sezione!$AD$5</f>
        <v>-761081.36029817536</v>
      </c>
      <c r="Q1884" s="553">
        <f>'Foglio deposito bis'!$F$78*IF(ABS(K1884)&lt;'Progetto del paramento slu'!$G$58,ABS(K1884)*'Progetto del paramento slu'!$G$54,'Progetto del paramento slu'!$G$53)*IF(K1884&lt;0,-1,1)</f>
        <v>0</v>
      </c>
      <c r="R1884" s="553">
        <f>'Foglio deposito bis'!$F$79*IF(ABS(L1884)&lt;'Progetto del paramento slu'!$G$58,ABS(L1884)*'Progetto del paramento slu'!$G$54,'Progetto del paramento slu'!$G$53)*IF(L1884&lt;0,-1,1)</f>
        <v>153664.85805602249</v>
      </c>
      <c r="S1884" s="553">
        <f>'Foglio deposito bis'!$F$80*IF(ABS(M1884)&lt;'Progetto del paramento slu'!$G$58,ABS(M1884)*'Progetto del paramento slu'!$G$54,'Progetto del paramento slu'!$G$53)*IF(M1884&lt;0,-1,1)</f>
        <v>0</v>
      </c>
      <c r="T1884" s="553">
        <f>'Foglio deposito bis'!$F$81*IF(ABS(N1884)&lt;'Progetto del paramento slu'!$G$58,ABS(N1884)*'Progetto del paramento slu'!$G$54,'Progetto del paramento slu'!$G$53)*IF(N1884&lt;0,-1,1)</f>
        <v>398299.31208121032</v>
      </c>
      <c r="U1884" s="553">
        <f>'Foglio deposito bis'!$F$82*IF(ABS(O1884)&lt;'Progetto del paramento slu'!$G$58,ABS(O1884)*'Progetto del paramento slu'!$G$54,'Progetto del paramento slu'!$G$53)*IF(O1884&lt;0,-1,1)</f>
        <v>892485.49558937876</v>
      </c>
      <c r="V1884" s="479">
        <f t="shared" si="141"/>
        <v>683368.30542843626</v>
      </c>
      <c r="W1884" s="559"/>
      <c r="X1884" s="559"/>
    </row>
    <row r="1885" spans="1:24" x14ac:dyDescent="0.25">
      <c r="A1885" s="553">
        <f t="shared" si="140"/>
        <v>671923.47294274927</v>
      </c>
      <c r="B1885" s="3">
        <f t="shared" si="138"/>
        <v>13.499999999999973</v>
      </c>
      <c r="C1885" s="553">
        <f>'Foglio deposito bis'!$E$160/sezione!$B$247*B1885</f>
        <v>54.805066780732695</v>
      </c>
      <c r="D1885" s="611">
        <f>-'Progetto del paramento slu'!$G$47*'Progetto del paramento slu'!$G$41*IF(DATI!$G$218="dx",DATI!$E$61,DATI!$E$64*DATI!$E$63)*1000*C1885^2*sezione!$AD$5*(1-sezione!$AD$6)</f>
        <v>-24725596.157864694</v>
      </c>
      <c r="E1885" s="553">
        <f>-'Foglio deposito bis'!$F$78*(C1885-sezione!$AL$34)*IF(ABS(K1885)&lt;'Progetto del paramento slu'!$G$58,ABS(K1885)*'Progetto del paramento slu'!$G$54,'Progetto del paramento slu'!$G$53)</f>
        <v>0</v>
      </c>
      <c r="F1885" s="553">
        <f>-'Foglio deposito bis'!$F$79*(C1885-sezione!$AM$34)*IF(ABS(L1885)&lt;'Progetto del paramento slu'!$G$58,ABS(L1885)*'Progetto del paramento slu'!$G$54,'Progetto del paramento slu'!$G$53)</f>
        <v>14628115.900791254</v>
      </c>
      <c r="G1885" s="553">
        <f>-'Foglio deposito bis'!$F$80*(C1885-sezione!$AN$34)*IF(ABS(M1885)&lt;'Progetto del paramento slu'!$G$58,ABS(M1885)*'Progetto del paramento slu'!$G$54,'Progetto del paramento slu'!$G$53)</f>
        <v>0</v>
      </c>
      <c r="H1885" s="553">
        <f>-'Foglio deposito bis'!$F$81*(C1885-sezione!$AO$34)*IF(ABS(N1885)&lt;'Progetto del paramento slu'!$G$58,ABS(N1885)*'Progetto del paramento slu'!$G$54,'Progetto del paramento slu'!$G$53)</f>
        <v>113592945.71028087</v>
      </c>
      <c r="I1885" s="479">
        <f>-'Foglio deposito bis'!$F$82*(C1885-sezione!$AP$34)*IF(ABS(O1885)&lt;'Progetto del paramento slu'!$G$58,ABS(O1885)*'Progetto del paramento slu'!$G$54,'Progetto del paramento slu'!$G$53)</f>
        <v>183139744.77430058</v>
      </c>
      <c r="J1885" s="479">
        <f t="shared" si="139"/>
        <v>286635210.22750801</v>
      </c>
      <c r="K1885" s="558">
        <f>'Progetto del paramento slu'!$G$60*(sezione!$AL$34-C1885)/C1885</f>
        <v>-9.4549166302232304E-4</v>
      </c>
      <c r="L1885" s="558">
        <f>'Progetto del paramento slu'!$G$60*(sezione!$AM$34-C1885)/C1885</f>
        <v>6.0794062636662883E-3</v>
      </c>
      <c r="M1885" s="559">
        <f>'Progetto del paramento slu'!$G$60*(sezione!$AN$34-C1885)/C1885</f>
        <v>1.3104304190354901E-2</v>
      </c>
      <c r="N1885" s="559">
        <f>'Progetto del paramento slu'!$G$60*(sezione!$AO$34-C1885)/C1885</f>
        <v>1.8213320864310253E-2</v>
      </c>
      <c r="O1885" s="559">
        <f>'Progetto del paramento slu'!$G$60*(sezione!$AP$34-C1885)/C1885</f>
        <v>1.3104750922281607E-2</v>
      </c>
      <c r="P1885" s="553">
        <f>-'Progetto del paramento slu'!$G$47*'Progetto del paramento slu'!$G$41*IF(DATI!$G$218="dx",DATI!$E$61,DATI!$E$64*DATI!$E$63)*1000*C1885*sezione!$AD$5</f>
        <v>-772526.19278386224</v>
      </c>
      <c r="Q1885" s="553">
        <f>'Foglio deposito bis'!$F$78*IF(ABS(K1885)&lt;'Progetto del paramento slu'!$G$58,ABS(K1885)*'Progetto del paramento slu'!$G$54,'Progetto del paramento slu'!$G$53)*IF(K1885&lt;0,-1,1)</f>
        <v>0</v>
      </c>
      <c r="R1885" s="553">
        <f>'Foglio deposito bis'!$F$79*IF(ABS(L1885)&lt;'Progetto del paramento slu'!$G$58,ABS(L1885)*'Progetto del paramento slu'!$G$54,'Progetto del paramento slu'!$G$53)*IF(L1885&lt;0,-1,1)</f>
        <v>153664.85805602249</v>
      </c>
      <c r="S1885" s="553">
        <f>'Foglio deposito bis'!$F$80*IF(ABS(M1885)&lt;'Progetto del paramento slu'!$G$58,ABS(M1885)*'Progetto del paramento slu'!$G$54,'Progetto del paramento slu'!$G$53)*IF(M1885&lt;0,-1,1)</f>
        <v>0</v>
      </c>
      <c r="T1885" s="553">
        <f>'Foglio deposito bis'!$F$81*IF(ABS(N1885)&lt;'Progetto del paramento slu'!$G$58,ABS(N1885)*'Progetto del paramento slu'!$G$54,'Progetto del paramento slu'!$G$53)*IF(N1885&lt;0,-1,1)</f>
        <v>398299.31208121032</v>
      </c>
      <c r="U1885" s="553">
        <f>'Foglio deposito bis'!$F$82*IF(ABS(O1885)&lt;'Progetto del paramento slu'!$G$58,ABS(O1885)*'Progetto del paramento slu'!$G$54,'Progetto del paramento slu'!$G$53)*IF(O1885&lt;0,-1,1)</f>
        <v>892485.49558937876</v>
      </c>
      <c r="V1885" s="479">
        <f t="shared" si="141"/>
        <v>671923.47294274927</v>
      </c>
      <c r="W1885" s="559"/>
      <c r="X1885" s="559"/>
    </row>
    <row r="1886" spans="1:24" x14ac:dyDescent="0.25">
      <c r="A1886" s="553">
        <f t="shared" si="140"/>
        <v>660478.64045706252</v>
      </c>
      <c r="B1886" s="3">
        <f t="shared" si="138"/>
        <v>13.699999999999973</v>
      </c>
      <c r="C1886" s="553">
        <f>'Foglio deposito bis'!$E$160/sezione!$B$247*B1886</f>
        <v>55.616993696002808</v>
      </c>
      <c r="D1886" s="611">
        <f>-'Progetto del paramento slu'!$G$47*'Progetto del paramento slu'!$G$41*IF(DATI!$G$218="dx",DATI!$E$61,DATI!$E$64*DATI!$E$63)*1000*C1886^2*sezione!$AD$5*(1-sezione!$AD$6)</f>
        <v>-25463633.157034975</v>
      </c>
      <c r="E1886" s="553">
        <f>-'Foglio deposito bis'!$F$78*(C1886-sezione!$AL$34)*IF(ABS(K1886)&lt;'Progetto del paramento slu'!$G$58,ABS(K1886)*'Progetto del paramento slu'!$G$54,'Progetto del paramento slu'!$G$53)</f>
        <v>0</v>
      </c>
      <c r="F1886" s="553">
        <f>-'Foglio deposito bis'!$F$79*(C1886-sezione!$AM$34)*IF(ABS(L1886)&lt;'Progetto del paramento slu'!$G$58,ABS(L1886)*'Progetto del paramento slu'!$G$54,'Progetto del paramento slu'!$G$53)</f>
        <v>14503351.266604407</v>
      </c>
      <c r="G1886" s="553">
        <f>-'Foglio deposito bis'!$F$80*(C1886-sezione!$AN$34)*IF(ABS(M1886)&lt;'Progetto del paramento slu'!$G$58,ABS(M1886)*'Progetto del paramento slu'!$G$54,'Progetto del paramento slu'!$G$53)</f>
        <v>0</v>
      </c>
      <c r="H1886" s="553">
        <f>-'Foglio deposito bis'!$F$81*(C1886-sezione!$AO$34)*IF(ABS(N1886)&lt;'Progetto del paramento slu'!$G$58,ABS(N1886)*'Progetto del paramento slu'!$G$54,'Progetto del paramento slu'!$G$53)</f>
        <v>113269555.77846858</v>
      </c>
      <c r="I1886" s="479">
        <f>-'Foglio deposito bis'!$F$82*(C1886-sezione!$AP$34)*IF(ABS(O1886)&lt;'Progetto del paramento slu'!$G$58,ABS(O1886)*'Progetto del paramento slu'!$G$54,'Progetto del paramento slu'!$G$53)</f>
        <v>182415111.77894339</v>
      </c>
      <c r="J1886" s="479">
        <f t="shared" si="139"/>
        <v>284724385.6669814</v>
      </c>
      <c r="K1886" s="558">
        <f>'Progetto del paramento slu'!$G$60*(sezione!$AL$34-C1886)/C1886</f>
        <v>-9.827837555329462E-4</v>
      </c>
      <c r="L1886" s="558">
        <f>'Progetto del paramento slu'!$G$60*(sezione!$AM$34-C1886)/C1886</f>
        <v>5.9395609167514525E-3</v>
      </c>
      <c r="M1886" s="559">
        <f>'Progetto del paramento slu'!$G$60*(sezione!$AN$34-C1886)/C1886</f>
        <v>1.2861905589035851E-2</v>
      </c>
      <c r="N1886" s="559">
        <f>'Progetto del paramento slu'!$G$60*(sezione!$AO$34-C1886)/C1886</f>
        <v>1.7896338077969958E-2</v>
      </c>
      <c r="O1886" s="559">
        <f>'Progetto del paramento slu'!$G$60*(sezione!$AP$34-C1886)/C1886</f>
        <v>1.2862345799328592E-2</v>
      </c>
      <c r="P1886" s="553">
        <f>-'Progetto del paramento slu'!$G$47*'Progetto del paramento slu'!$G$41*IF(DATI!$G$218="dx",DATI!$E$61,DATI!$E$64*DATI!$E$63)*1000*C1886*sezione!$AD$5</f>
        <v>-783971.02526954899</v>
      </c>
      <c r="Q1886" s="553">
        <f>'Foglio deposito bis'!$F$78*IF(ABS(K1886)&lt;'Progetto del paramento slu'!$G$58,ABS(K1886)*'Progetto del paramento slu'!$G$54,'Progetto del paramento slu'!$G$53)*IF(K1886&lt;0,-1,1)</f>
        <v>0</v>
      </c>
      <c r="R1886" s="553">
        <f>'Foglio deposito bis'!$F$79*IF(ABS(L1886)&lt;'Progetto del paramento slu'!$G$58,ABS(L1886)*'Progetto del paramento slu'!$G$54,'Progetto del paramento slu'!$G$53)*IF(L1886&lt;0,-1,1)</f>
        <v>153664.85805602249</v>
      </c>
      <c r="S1886" s="553">
        <f>'Foglio deposito bis'!$F$80*IF(ABS(M1886)&lt;'Progetto del paramento slu'!$G$58,ABS(M1886)*'Progetto del paramento slu'!$G$54,'Progetto del paramento slu'!$G$53)*IF(M1886&lt;0,-1,1)</f>
        <v>0</v>
      </c>
      <c r="T1886" s="553">
        <f>'Foglio deposito bis'!$F$81*IF(ABS(N1886)&lt;'Progetto del paramento slu'!$G$58,ABS(N1886)*'Progetto del paramento slu'!$G$54,'Progetto del paramento slu'!$G$53)*IF(N1886&lt;0,-1,1)</f>
        <v>398299.31208121032</v>
      </c>
      <c r="U1886" s="553">
        <f>'Foglio deposito bis'!$F$82*IF(ABS(O1886)&lt;'Progetto del paramento slu'!$G$58,ABS(O1886)*'Progetto del paramento slu'!$G$54,'Progetto del paramento slu'!$G$53)*IF(O1886&lt;0,-1,1)</f>
        <v>892485.49558937876</v>
      </c>
      <c r="V1886" s="479">
        <f t="shared" si="141"/>
        <v>660478.64045706252</v>
      </c>
      <c r="W1886" s="559"/>
      <c r="X1886" s="559"/>
    </row>
    <row r="1887" spans="1:24" x14ac:dyDescent="0.25">
      <c r="A1887" s="553">
        <f t="shared" si="140"/>
        <v>649033.80797137576</v>
      </c>
      <c r="B1887" s="3">
        <f t="shared" si="138"/>
        <v>13.899999999999972</v>
      </c>
      <c r="C1887" s="553">
        <f>'Foglio deposito bis'!$E$160/sezione!$B$247*B1887</f>
        <v>56.428920611272922</v>
      </c>
      <c r="D1887" s="611">
        <f>-'Progetto del paramento slu'!$G$47*'Progetto del paramento slu'!$G$41*IF(DATI!$G$218="dx",DATI!$E$61,DATI!$E$64*DATI!$E$63)*1000*C1887^2*sezione!$AD$5*(1-sezione!$AD$6)</f>
        <v>-26212523.641487174</v>
      </c>
      <c r="E1887" s="553">
        <f>-'Foglio deposito bis'!$F$78*(C1887-sezione!$AL$34)*IF(ABS(K1887)&lt;'Progetto del paramento slu'!$G$58,ABS(K1887)*'Progetto del paramento slu'!$G$54,'Progetto del paramento slu'!$G$53)</f>
        <v>0</v>
      </c>
      <c r="F1887" s="553">
        <f>-'Foglio deposito bis'!$F$79*(C1887-sezione!$AM$34)*IF(ABS(L1887)&lt;'Progetto del paramento slu'!$G$58,ABS(L1887)*'Progetto del paramento slu'!$G$54,'Progetto del paramento slu'!$G$53)</f>
        <v>14378586.63241756</v>
      </c>
      <c r="G1887" s="553">
        <f>-'Foglio deposito bis'!$F$80*(C1887-sezione!$AN$34)*IF(ABS(M1887)&lt;'Progetto del paramento slu'!$G$58,ABS(M1887)*'Progetto del paramento slu'!$G$54,'Progetto del paramento slu'!$G$53)</f>
        <v>0</v>
      </c>
      <c r="H1887" s="553">
        <f>-'Foglio deposito bis'!$F$81*(C1887-sezione!$AO$34)*IF(ABS(N1887)&lt;'Progetto del paramento slu'!$G$58,ABS(N1887)*'Progetto del paramento slu'!$G$54,'Progetto del paramento slu'!$G$53)</f>
        <v>112946165.84665628</v>
      </c>
      <c r="I1887" s="479">
        <f>-'Foglio deposito bis'!$F$82*(C1887-sezione!$AP$34)*IF(ABS(O1887)&lt;'Progetto del paramento slu'!$G$58,ABS(O1887)*'Progetto del paramento slu'!$G$54,'Progetto del paramento slu'!$G$53)</f>
        <v>181690478.78358617</v>
      </c>
      <c r="J1887" s="479">
        <f t="shared" si="139"/>
        <v>282802707.62117285</v>
      </c>
      <c r="K1887" s="558">
        <f>'Progetto del paramento slu'!$G$60*(sezione!$AL$34-C1887)/C1887</f>
        <v>-1.0190026943022563E-3</v>
      </c>
      <c r="L1887" s="558">
        <f>'Progetto del paramento slu'!$G$60*(sezione!$AM$34-C1887)/C1887</f>
        <v>5.8037398963665388E-3</v>
      </c>
      <c r="M1887" s="559">
        <f>'Progetto del paramento slu'!$G$60*(sezione!$AN$34-C1887)/C1887</f>
        <v>1.2626482487035334E-2</v>
      </c>
      <c r="N1887" s="559">
        <f>'Progetto del paramento slu'!$G$60*(sezione!$AO$34-C1887)/C1887</f>
        <v>1.7588477098430821E-2</v>
      </c>
      <c r="O1887" s="559">
        <f>'Progetto del paramento slu'!$G$60*(sezione!$AP$34-C1887)/C1887</f>
        <v>1.2626916363367028E-2</v>
      </c>
      <c r="P1887" s="553">
        <f>-'Progetto del paramento slu'!$G$47*'Progetto del paramento slu'!$G$41*IF(DATI!$G$218="dx",DATI!$E$61,DATI!$E$64*DATI!$E$63)*1000*C1887*sezione!$AD$5</f>
        <v>-795415.85775523586</v>
      </c>
      <c r="Q1887" s="553">
        <f>'Foglio deposito bis'!$F$78*IF(ABS(K1887)&lt;'Progetto del paramento slu'!$G$58,ABS(K1887)*'Progetto del paramento slu'!$G$54,'Progetto del paramento slu'!$G$53)*IF(K1887&lt;0,-1,1)</f>
        <v>0</v>
      </c>
      <c r="R1887" s="553">
        <f>'Foglio deposito bis'!$F$79*IF(ABS(L1887)&lt;'Progetto del paramento slu'!$G$58,ABS(L1887)*'Progetto del paramento slu'!$G$54,'Progetto del paramento slu'!$G$53)*IF(L1887&lt;0,-1,1)</f>
        <v>153664.85805602249</v>
      </c>
      <c r="S1887" s="553">
        <f>'Foglio deposito bis'!$F$80*IF(ABS(M1887)&lt;'Progetto del paramento slu'!$G$58,ABS(M1887)*'Progetto del paramento slu'!$G$54,'Progetto del paramento slu'!$G$53)*IF(M1887&lt;0,-1,1)</f>
        <v>0</v>
      </c>
      <c r="T1887" s="553">
        <f>'Foglio deposito bis'!$F$81*IF(ABS(N1887)&lt;'Progetto del paramento slu'!$G$58,ABS(N1887)*'Progetto del paramento slu'!$G$54,'Progetto del paramento slu'!$G$53)*IF(N1887&lt;0,-1,1)</f>
        <v>398299.31208121032</v>
      </c>
      <c r="U1887" s="553">
        <f>'Foglio deposito bis'!$F$82*IF(ABS(O1887)&lt;'Progetto del paramento slu'!$G$58,ABS(O1887)*'Progetto del paramento slu'!$G$54,'Progetto del paramento slu'!$G$53)*IF(O1887&lt;0,-1,1)</f>
        <v>892485.49558937876</v>
      </c>
      <c r="V1887" s="479">
        <f t="shared" si="141"/>
        <v>649033.80797137576</v>
      </c>
      <c r="W1887" s="559"/>
      <c r="X1887" s="559"/>
    </row>
    <row r="1888" spans="1:24" x14ac:dyDescent="0.25">
      <c r="A1888" s="553">
        <f t="shared" si="140"/>
        <v>637588.97548568901</v>
      </c>
      <c r="B1888" s="3">
        <f t="shared" si="138"/>
        <v>14.099999999999971</v>
      </c>
      <c r="C1888" s="553">
        <f>'Foglio deposito bis'!$E$160/sezione!$B$247*B1888</f>
        <v>57.240847526543028</v>
      </c>
      <c r="D1888" s="611">
        <f>-'Progetto del paramento slu'!$G$47*'Progetto del paramento slu'!$G$41*IF(DATI!$G$218="dx",DATI!$E$61,DATI!$E$64*DATI!$E$63)*1000*C1888^2*sezione!$AD$5*(1-sezione!$AD$6)</f>
        <v>-26972267.611221284</v>
      </c>
      <c r="E1888" s="553">
        <f>-'Foglio deposito bis'!$F$78*(C1888-sezione!$AL$34)*IF(ABS(K1888)&lt;'Progetto del paramento slu'!$G$58,ABS(K1888)*'Progetto del paramento slu'!$G$54,'Progetto del paramento slu'!$G$53)</f>
        <v>0</v>
      </c>
      <c r="F1888" s="553">
        <f>-'Foglio deposito bis'!$F$79*(C1888-sezione!$AM$34)*IF(ABS(L1888)&lt;'Progetto del paramento slu'!$G$58,ABS(L1888)*'Progetto del paramento slu'!$G$54,'Progetto del paramento slu'!$G$53)</f>
        <v>14253821.998230711</v>
      </c>
      <c r="G1888" s="553">
        <f>-'Foglio deposito bis'!$F$80*(C1888-sezione!$AN$34)*IF(ABS(M1888)&lt;'Progetto del paramento slu'!$G$58,ABS(M1888)*'Progetto del paramento slu'!$G$54,'Progetto del paramento slu'!$G$53)</f>
        <v>0</v>
      </c>
      <c r="H1888" s="553">
        <f>-'Foglio deposito bis'!$F$81*(C1888-sezione!$AO$34)*IF(ABS(N1888)&lt;'Progetto del paramento slu'!$G$58,ABS(N1888)*'Progetto del paramento slu'!$G$54,'Progetto del paramento slu'!$G$53)</f>
        <v>112622775.91484398</v>
      </c>
      <c r="I1888" s="479">
        <f>-'Foglio deposito bis'!$F$82*(C1888-sezione!$AP$34)*IF(ABS(O1888)&lt;'Progetto del paramento slu'!$G$58,ABS(O1888)*'Progetto del paramento slu'!$G$54,'Progetto del paramento slu'!$G$53)</f>
        <v>180965845.78822896</v>
      </c>
      <c r="J1888" s="479">
        <f t="shared" si="139"/>
        <v>280870176.09008235</v>
      </c>
      <c r="K1888" s="558">
        <f>'Progetto del paramento slu'!$G$60*(sezione!$AL$34-C1888)/C1888</f>
        <v>-1.0541941454469048E-3</v>
      </c>
      <c r="L1888" s="558">
        <f>'Progetto del paramento slu'!$G$60*(sezione!$AM$34-C1888)/C1888</f>
        <v>5.6717719545741063E-3</v>
      </c>
      <c r="M1888" s="559">
        <f>'Progetto del paramento slu'!$G$60*(sezione!$AN$34-C1888)/C1888</f>
        <v>1.239773805459512E-2</v>
      </c>
      <c r="N1888" s="559">
        <f>'Progetto del paramento slu'!$G$60*(sezione!$AO$34-C1888)/C1888</f>
        <v>1.728934976370131E-2</v>
      </c>
      <c r="O1888" s="559">
        <f>'Progetto del paramento slu'!$G$60*(sezione!$AP$34-C1888)/C1888</f>
        <v>1.2398165776652604E-2</v>
      </c>
      <c r="P1888" s="553">
        <f>-'Progetto del paramento slu'!$G$47*'Progetto del paramento slu'!$G$41*IF(DATI!$G$218="dx",DATI!$E$61,DATI!$E$64*DATI!$E$63)*1000*C1888*sezione!$AD$5</f>
        <v>-806860.69024092262</v>
      </c>
      <c r="Q1888" s="553">
        <f>'Foglio deposito bis'!$F$78*IF(ABS(K1888)&lt;'Progetto del paramento slu'!$G$58,ABS(K1888)*'Progetto del paramento slu'!$G$54,'Progetto del paramento slu'!$G$53)*IF(K1888&lt;0,-1,1)</f>
        <v>0</v>
      </c>
      <c r="R1888" s="553">
        <f>'Foglio deposito bis'!$F$79*IF(ABS(L1888)&lt;'Progetto del paramento slu'!$G$58,ABS(L1888)*'Progetto del paramento slu'!$G$54,'Progetto del paramento slu'!$G$53)*IF(L1888&lt;0,-1,1)</f>
        <v>153664.85805602249</v>
      </c>
      <c r="S1888" s="553">
        <f>'Foglio deposito bis'!$F$80*IF(ABS(M1888)&lt;'Progetto del paramento slu'!$G$58,ABS(M1888)*'Progetto del paramento slu'!$G$54,'Progetto del paramento slu'!$G$53)*IF(M1888&lt;0,-1,1)</f>
        <v>0</v>
      </c>
      <c r="T1888" s="553">
        <f>'Foglio deposito bis'!$F$81*IF(ABS(N1888)&lt;'Progetto del paramento slu'!$G$58,ABS(N1888)*'Progetto del paramento slu'!$G$54,'Progetto del paramento slu'!$G$53)*IF(N1888&lt;0,-1,1)</f>
        <v>398299.31208121032</v>
      </c>
      <c r="U1888" s="553">
        <f>'Foglio deposito bis'!$F$82*IF(ABS(O1888)&lt;'Progetto del paramento slu'!$G$58,ABS(O1888)*'Progetto del paramento slu'!$G$54,'Progetto del paramento slu'!$G$53)*IF(O1888&lt;0,-1,1)</f>
        <v>892485.49558937876</v>
      </c>
      <c r="V1888" s="479">
        <f t="shared" si="141"/>
        <v>637588.97548568901</v>
      </c>
      <c r="W1888" s="559"/>
      <c r="X1888" s="559"/>
    </row>
    <row r="1889" spans="1:24" x14ac:dyDescent="0.25">
      <c r="A1889" s="553">
        <f t="shared" si="140"/>
        <v>626144.14300000202</v>
      </c>
      <c r="B1889" s="3">
        <f t="shared" si="138"/>
        <v>14.299999999999971</v>
      </c>
      <c r="C1889" s="553">
        <f>'Foglio deposito bis'!$E$160/sezione!$B$247*B1889</f>
        <v>58.052774441813142</v>
      </c>
      <c r="D1889" s="611">
        <f>-'Progetto del paramento slu'!$G$47*'Progetto del paramento slu'!$G$41*IF(DATI!$G$218="dx",DATI!$E$61,DATI!$E$64*DATI!$E$63)*1000*C1889^2*sezione!$AD$5*(1-sezione!$AD$6)</f>
        <v>-27742865.066237312</v>
      </c>
      <c r="E1889" s="553">
        <f>-'Foglio deposito bis'!$F$78*(C1889-sezione!$AL$34)*IF(ABS(K1889)&lt;'Progetto del paramento slu'!$G$58,ABS(K1889)*'Progetto del paramento slu'!$G$54,'Progetto del paramento slu'!$G$53)</f>
        <v>0</v>
      </c>
      <c r="F1889" s="553">
        <f>-'Foglio deposito bis'!$F$79*(C1889-sezione!$AM$34)*IF(ABS(L1889)&lt;'Progetto del paramento slu'!$G$58,ABS(L1889)*'Progetto del paramento slu'!$G$54,'Progetto del paramento slu'!$G$53)</f>
        <v>14129057.364043867</v>
      </c>
      <c r="G1889" s="553">
        <f>-'Foglio deposito bis'!$F$80*(C1889-sezione!$AN$34)*IF(ABS(M1889)&lt;'Progetto del paramento slu'!$G$58,ABS(M1889)*'Progetto del paramento slu'!$G$54,'Progetto del paramento slu'!$G$53)</f>
        <v>0</v>
      </c>
      <c r="H1889" s="553">
        <f>-'Foglio deposito bis'!$F$81*(C1889-sezione!$AO$34)*IF(ABS(N1889)&lt;'Progetto del paramento slu'!$G$58,ABS(N1889)*'Progetto del paramento slu'!$G$54,'Progetto del paramento slu'!$G$53)</f>
        <v>112299385.98303166</v>
      </c>
      <c r="I1889" s="479">
        <f>-'Foglio deposito bis'!$F$82*(C1889-sezione!$AP$34)*IF(ABS(O1889)&lt;'Progetto del paramento slu'!$G$58,ABS(O1889)*'Progetto del paramento slu'!$G$54,'Progetto del paramento slu'!$G$53)</f>
        <v>180241212.79287177</v>
      </c>
      <c r="J1889" s="479">
        <f t="shared" si="139"/>
        <v>278926791.07370996</v>
      </c>
      <c r="K1889" s="558">
        <f>'Progetto del paramento slu'!$G$60*(sezione!$AL$34-C1889)/C1889</f>
        <v>-1.0884012203357593E-3</v>
      </c>
      <c r="L1889" s="558">
        <f>'Progetto del paramento slu'!$G$60*(sezione!$AM$34-C1889)/C1889</f>
        <v>5.5434954237409033E-3</v>
      </c>
      <c r="M1889" s="559">
        <f>'Progetto del paramento slu'!$G$60*(sezione!$AN$34-C1889)/C1889</f>
        <v>1.2175392067817566E-2</v>
      </c>
      <c r="N1889" s="559">
        <f>'Progetto del paramento slu'!$G$60*(sezione!$AO$34-C1889)/C1889</f>
        <v>1.6998589627146048E-2</v>
      </c>
      <c r="O1889" s="559">
        <f>'Progetto del paramento slu'!$G$60*(sezione!$AP$34-C1889)/C1889</f>
        <v>1.2175813807748372E-2</v>
      </c>
      <c r="P1889" s="553">
        <f>-'Progetto del paramento slu'!$G$47*'Progetto del paramento slu'!$G$41*IF(DATI!$G$218="dx",DATI!$E$61,DATI!$E$64*DATI!$E$63)*1000*C1889*sezione!$AD$5</f>
        <v>-818305.52272660949</v>
      </c>
      <c r="Q1889" s="553">
        <f>'Foglio deposito bis'!$F$78*IF(ABS(K1889)&lt;'Progetto del paramento slu'!$G$58,ABS(K1889)*'Progetto del paramento slu'!$G$54,'Progetto del paramento slu'!$G$53)*IF(K1889&lt;0,-1,1)</f>
        <v>0</v>
      </c>
      <c r="R1889" s="553">
        <f>'Foglio deposito bis'!$F$79*IF(ABS(L1889)&lt;'Progetto del paramento slu'!$G$58,ABS(L1889)*'Progetto del paramento slu'!$G$54,'Progetto del paramento slu'!$G$53)*IF(L1889&lt;0,-1,1)</f>
        <v>153664.85805602249</v>
      </c>
      <c r="S1889" s="553">
        <f>'Foglio deposito bis'!$F$80*IF(ABS(M1889)&lt;'Progetto del paramento slu'!$G$58,ABS(M1889)*'Progetto del paramento slu'!$G$54,'Progetto del paramento slu'!$G$53)*IF(M1889&lt;0,-1,1)</f>
        <v>0</v>
      </c>
      <c r="T1889" s="553">
        <f>'Foglio deposito bis'!$F$81*IF(ABS(N1889)&lt;'Progetto del paramento slu'!$G$58,ABS(N1889)*'Progetto del paramento slu'!$G$54,'Progetto del paramento slu'!$G$53)*IF(N1889&lt;0,-1,1)</f>
        <v>398299.31208121032</v>
      </c>
      <c r="U1889" s="553">
        <f>'Foglio deposito bis'!$F$82*IF(ABS(O1889)&lt;'Progetto del paramento slu'!$G$58,ABS(O1889)*'Progetto del paramento slu'!$G$54,'Progetto del paramento slu'!$G$53)*IF(O1889&lt;0,-1,1)</f>
        <v>892485.49558937876</v>
      </c>
      <c r="V1889" s="479">
        <f t="shared" si="141"/>
        <v>626144.14300000202</v>
      </c>
      <c r="W1889" s="559"/>
      <c r="X1889" s="559"/>
    </row>
    <row r="1890" spans="1:24" x14ac:dyDescent="0.25">
      <c r="A1890" s="553">
        <f t="shared" si="140"/>
        <v>614699.31051431526</v>
      </c>
      <c r="B1890" s="3">
        <f t="shared" si="138"/>
        <v>14.49999999999997</v>
      </c>
      <c r="C1890" s="553">
        <f>'Foglio deposito bis'!$E$160/sezione!$B$247*B1890</f>
        <v>58.864701357083256</v>
      </c>
      <c r="D1890" s="611">
        <f>-'Progetto del paramento slu'!$G$47*'Progetto del paramento slu'!$G$41*IF(DATI!$G$218="dx",DATI!$E$61,DATI!$E$64*DATI!$E$63)*1000*C1890^2*sezione!$AD$5*(1-sezione!$AD$6)</f>
        <v>-28524316.006535258</v>
      </c>
      <c r="E1890" s="553">
        <f>-'Foglio deposito bis'!$F$78*(C1890-sezione!$AL$34)*IF(ABS(K1890)&lt;'Progetto del paramento slu'!$G$58,ABS(K1890)*'Progetto del paramento slu'!$G$54,'Progetto del paramento slu'!$G$53)</f>
        <v>0</v>
      </c>
      <c r="F1890" s="553">
        <f>-'Foglio deposito bis'!$F$79*(C1890-sezione!$AM$34)*IF(ABS(L1890)&lt;'Progetto del paramento slu'!$G$58,ABS(L1890)*'Progetto del paramento slu'!$G$54,'Progetto del paramento slu'!$G$53)</f>
        <v>14004292.729857022</v>
      </c>
      <c r="G1890" s="553">
        <f>-'Foglio deposito bis'!$F$80*(C1890-sezione!$AN$34)*IF(ABS(M1890)&lt;'Progetto del paramento slu'!$G$58,ABS(M1890)*'Progetto del paramento slu'!$G$54,'Progetto del paramento slu'!$G$53)</f>
        <v>0</v>
      </c>
      <c r="H1890" s="553">
        <f>-'Foglio deposito bis'!$F$81*(C1890-sezione!$AO$34)*IF(ABS(N1890)&lt;'Progetto del paramento slu'!$G$58,ABS(N1890)*'Progetto del paramento slu'!$G$54,'Progetto del paramento slu'!$G$53)</f>
        <v>111975996.05121934</v>
      </c>
      <c r="I1890" s="479">
        <f>-'Foglio deposito bis'!$F$82*(C1890-sezione!$AP$34)*IF(ABS(O1890)&lt;'Progetto del paramento slu'!$G$58,ABS(O1890)*'Progetto del paramento slu'!$G$54,'Progetto del paramento slu'!$G$53)</f>
        <v>179516579.79751459</v>
      </c>
      <c r="J1890" s="479">
        <f t="shared" si="139"/>
        <v>276972552.5720557</v>
      </c>
      <c r="K1890" s="558">
        <f>'Progetto del paramento slu'!$G$60*(sezione!$AL$34-C1890)/C1890</f>
        <v>-1.121664651779404E-3</v>
      </c>
      <c r="L1890" s="558">
        <f>'Progetto del paramento slu'!$G$60*(sezione!$AM$34-C1890)/C1890</f>
        <v>5.4187575558272364E-3</v>
      </c>
      <c r="M1890" s="559">
        <f>'Progetto del paramento slu'!$G$60*(sezione!$AN$34-C1890)/C1890</f>
        <v>1.1959179763433875E-2</v>
      </c>
      <c r="N1890" s="559">
        <f>'Progetto del paramento slu'!$G$60*(sezione!$AO$34-C1890)/C1890</f>
        <v>1.6715850459875066E-2</v>
      </c>
      <c r="O1890" s="559">
        <f>'Progetto del paramento slu'!$G$60*(sezione!$AP$34-C1890)/C1890</f>
        <v>1.1959595686262188E-2</v>
      </c>
      <c r="P1890" s="553">
        <f>-'Progetto del paramento slu'!$G$47*'Progetto del paramento slu'!$G$41*IF(DATI!$G$218="dx",DATI!$E$61,DATI!$E$64*DATI!$E$63)*1000*C1890*sezione!$AD$5</f>
        <v>-829750.35521229624</v>
      </c>
      <c r="Q1890" s="553">
        <f>'Foglio deposito bis'!$F$78*IF(ABS(K1890)&lt;'Progetto del paramento slu'!$G$58,ABS(K1890)*'Progetto del paramento slu'!$G$54,'Progetto del paramento slu'!$G$53)*IF(K1890&lt;0,-1,1)</f>
        <v>0</v>
      </c>
      <c r="R1890" s="553">
        <f>'Foglio deposito bis'!$F$79*IF(ABS(L1890)&lt;'Progetto del paramento slu'!$G$58,ABS(L1890)*'Progetto del paramento slu'!$G$54,'Progetto del paramento slu'!$G$53)*IF(L1890&lt;0,-1,1)</f>
        <v>153664.85805602249</v>
      </c>
      <c r="S1890" s="553">
        <f>'Foglio deposito bis'!$F$80*IF(ABS(M1890)&lt;'Progetto del paramento slu'!$G$58,ABS(M1890)*'Progetto del paramento slu'!$G$54,'Progetto del paramento slu'!$G$53)*IF(M1890&lt;0,-1,1)</f>
        <v>0</v>
      </c>
      <c r="T1890" s="553">
        <f>'Foglio deposito bis'!$F$81*IF(ABS(N1890)&lt;'Progetto del paramento slu'!$G$58,ABS(N1890)*'Progetto del paramento slu'!$G$54,'Progetto del paramento slu'!$G$53)*IF(N1890&lt;0,-1,1)</f>
        <v>398299.31208121032</v>
      </c>
      <c r="U1890" s="553">
        <f>'Foglio deposito bis'!$F$82*IF(ABS(O1890)&lt;'Progetto del paramento slu'!$G$58,ABS(O1890)*'Progetto del paramento slu'!$G$54,'Progetto del paramento slu'!$G$53)*IF(O1890&lt;0,-1,1)</f>
        <v>892485.49558937876</v>
      </c>
      <c r="V1890" s="479">
        <f t="shared" si="141"/>
        <v>614699.31051431526</v>
      </c>
      <c r="W1890" s="559"/>
      <c r="X1890" s="559"/>
    </row>
    <row r="1891" spans="1:24" x14ac:dyDescent="0.25">
      <c r="A1891" s="553">
        <f t="shared" si="140"/>
        <v>603254.47802862851</v>
      </c>
      <c r="B1891" s="3">
        <f t="shared" si="138"/>
        <v>14.699999999999969</v>
      </c>
      <c r="C1891" s="553">
        <f>'Foglio deposito bis'!$E$160/sezione!$B$247*B1891</f>
        <v>59.676628272353369</v>
      </c>
      <c r="D1891" s="611">
        <f>-'Progetto del paramento slu'!$G$47*'Progetto del paramento slu'!$G$41*IF(DATI!$G$218="dx",DATI!$E$61,DATI!$E$64*DATI!$E$63)*1000*C1891^2*sezione!$AD$5*(1-sezione!$AD$6)</f>
        <v>-29316620.432115115</v>
      </c>
      <c r="E1891" s="553">
        <f>-'Foglio deposito bis'!$F$78*(C1891-sezione!$AL$34)*IF(ABS(K1891)&lt;'Progetto del paramento slu'!$G$58,ABS(K1891)*'Progetto del paramento slu'!$G$54,'Progetto del paramento slu'!$G$53)</f>
        <v>0</v>
      </c>
      <c r="F1891" s="553">
        <f>-'Foglio deposito bis'!$F$79*(C1891-sezione!$AM$34)*IF(ABS(L1891)&lt;'Progetto del paramento slu'!$G$58,ABS(L1891)*'Progetto del paramento slu'!$G$54,'Progetto del paramento slu'!$G$53)</f>
        <v>13879528.095670175</v>
      </c>
      <c r="G1891" s="553">
        <f>-'Foglio deposito bis'!$F$80*(C1891-sezione!$AN$34)*IF(ABS(M1891)&lt;'Progetto del paramento slu'!$G$58,ABS(M1891)*'Progetto del paramento slu'!$G$54,'Progetto del paramento slu'!$G$53)</f>
        <v>0</v>
      </c>
      <c r="H1891" s="553">
        <f>-'Foglio deposito bis'!$F$81*(C1891-sezione!$AO$34)*IF(ABS(N1891)&lt;'Progetto del paramento slu'!$G$58,ABS(N1891)*'Progetto del paramento slu'!$G$54,'Progetto del paramento slu'!$G$53)</f>
        <v>111652606.11940706</v>
      </c>
      <c r="I1891" s="479">
        <f>-'Foglio deposito bis'!$F$82*(C1891-sezione!$AP$34)*IF(ABS(O1891)&lt;'Progetto del paramento slu'!$G$58,ABS(O1891)*'Progetto del paramento slu'!$G$54,'Progetto del paramento slu'!$G$53)</f>
        <v>178791946.80215737</v>
      </c>
      <c r="J1891" s="479">
        <f t="shared" si="139"/>
        <v>275007460.58511949</v>
      </c>
      <c r="K1891" s="558">
        <f>'Progetto del paramento slu'!$G$60*(sezione!$AL$34-C1891)/C1891</f>
        <v>-1.1540229558368272E-3</v>
      </c>
      <c r="L1891" s="558">
        <f>'Progetto del paramento slu'!$G$60*(sezione!$AM$34-C1891)/C1891</f>
        <v>5.2974139156118987E-3</v>
      </c>
      <c r="M1891" s="559">
        <f>'Progetto del paramento slu'!$G$60*(sezione!$AN$34-C1891)/C1891</f>
        <v>1.1748850787060627E-2</v>
      </c>
      <c r="N1891" s="559">
        <f>'Progetto del paramento slu'!$G$60*(sezione!$AO$34-C1891)/C1891</f>
        <v>1.6440804875386971E-2</v>
      </c>
      <c r="O1891" s="559">
        <f>'Progetto del paramento slu'!$G$60*(sezione!$AP$34-C1891)/C1891</f>
        <v>1.1749261051074949E-2</v>
      </c>
      <c r="P1891" s="553">
        <f>-'Progetto del paramento slu'!$G$47*'Progetto del paramento slu'!$G$41*IF(DATI!$G$218="dx",DATI!$E$61,DATI!$E$64*DATI!$E$63)*1000*C1891*sezione!$AD$5</f>
        <v>-841195.18769798311</v>
      </c>
      <c r="Q1891" s="553">
        <f>'Foglio deposito bis'!$F$78*IF(ABS(K1891)&lt;'Progetto del paramento slu'!$G$58,ABS(K1891)*'Progetto del paramento slu'!$G$54,'Progetto del paramento slu'!$G$53)*IF(K1891&lt;0,-1,1)</f>
        <v>0</v>
      </c>
      <c r="R1891" s="553">
        <f>'Foglio deposito bis'!$F$79*IF(ABS(L1891)&lt;'Progetto del paramento slu'!$G$58,ABS(L1891)*'Progetto del paramento slu'!$G$54,'Progetto del paramento slu'!$G$53)*IF(L1891&lt;0,-1,1)</f>
        <v>153664.85805602249</v>
      </c>
      <c r="S1891" s="553">
        <f>'Foglio deposito bis'!$F$80*IF(ABS(M1891)&lt;'Progetto del paramento slu'!$G$58,ABS(M1891)*'Progetto del paramento slu'!$G$54,'Progetto del paramento slu'!$G$53)*IF(M1891&lt;0,-1,1)</f>
        <v>0</v>
      </c>
      <c r="T1891" s="553">
        <f>'Foglio deposito bis'!$F$81*IF(ABS(N1891)&lt;'Progetto del paramento slu'!$G$58,ABS(N1891)*'Progetto del paramento slu'!$G$54,'Progetto del paramento slu'!$G$53)*IF(N1891&lt;0,-1,1)</f>
        <v>398299.31208121032</v>
      </c>
      <c r="U1891" s="553">
        <f>'Foglio deposito bis'!$F$82*IF(ABS(O1891)&lt;'Progetto del paramento slu'!$G$58,ABS(O1891)*'Progetto del paramento slu'!$G$54,'Progetto del paramento slu'!$G$53)*IF(O1891&lt;0,-1,1)</f>
        <v>892485.49558937876</v>
      </c>
      <c r="V1891" s="479">
        <f t="shared" si="141"/>
        <v>603254.47802862851</v>
      </c>
      <c r="W1891" s="559"/>
      <c r="X1891" s="559"/>
    </row>
    <row r="1892" spans="1:24" x14ac:dyDescent="0.25">
      <c r="A1892" s="553">
        <f t="shared" si="140"/>
        <v>591809.64554294152</v>
      </c>
      <c r="B1892" s="3">
        <f t="shared" si="138"/>
        <v>14.899999999999968</v>
      </c>
      <c r="C1892" s="553">
        <f>'Foglio deposito bis'!$E$160/sezione!$B$247*B1892</f>
        <v>60.488555187623483</v>
      </c>
      <c r="D1892" s="611">
        <f>-'Progetto del paramento slu'!$G$47*'Progetto del paramento slu'!$G$41*IF(DATI!$G$218="dx",DATI!$E$61,DATI!$E$64*DATI!$E$63)*1000*C1892^2*sezione!$AD$5*(1-sezione!$AD$6)</f>
        <v>-30119778.342976894</v>
      </c>
      <c r="E1892" s="553">
        <f>-'Foglio deposito bis'!$F$78*(C1892-sezione!$AL$34)*IF(ABS(K1892)&lt;'Progetto del paramento slu'!$G$58,ABS(K1892)*'Progetto del paramento slu'!$G$54,'Progetto del paramento slu'!$G$53)</f>
        <v>0</v>
      </c>
      <c r="F1892" s="553">
        <f>-'Foglio deposito bis'!$F$79*(C1892-sezione!$AM$34)*IF(ABS(L1892)&lt;'Progetto del paramento slu'!$G$58,ABS(L1892)*'Progetto del paramento slu'!$G$54,'Progetto del paramento slu'!$G$53)</f>
        <v>13754763.461483328</v>
      </c>
      <c r="G1892" s="553">
        <f>-'Foglio deposito bis'!$F$80*(C1892-sezione!$AN$34)*IF(ABS(M1892)&lt;'Progetto del paramento slu'!$G$58,ABS(M1892)*'Progetto del paramento slu'!$G$54,'Progetto del paramento slu'!$G$53)</f>
        <v>0</v>
      </c>
      <c r="H1892" s="553">
        <f>-'Foglio deposito bis'!$F$81*(C1892-sezione!$AO$34)*IF(ABS(N1892)&lt;'Progetto del paramento slu'!$G$58,ABS(N1892)*'Progetto del paramento slu'!$G$54,'Progetto del paramento slu'!$G$53)</f>
        <v>111329216.18759476</v>
      </c>
      <c r="I1892" s="479">
        <f>-'Foglio deposito bis'!$F$82*(C1892-sezione!$AP$34)*IF(ABS(O1892)&lt;'Progetto del paramento slu'!$G$58,ABS(O1892)*'Progetto del paramento slu'!$G$54,'Progetto del paramento slu'!$G$53)</f>
        <v>178067313.80680013</v>
      </c>
      <c r="J1892" s="479">
        <f t="shared" si="139"/>
        <v>273031515.11290133</v>
      </c>
      <c r="K1892" s="558">
        <f>'Progetto del paramento slu'!$G$60*(sezione!$AL$34-C1892)/C1892</f>
        <v>-1.1855125805906952E-3</v>
      </c>
      <c r="L1892" s="558">
        <f>'Progetto del paramento slu'!$G$60*(sezione!$AM$34-C1892)/C1892</f>
        <v>5.1793278227848932E-3</v>
      </c>
      <c r="M1892" s="559">
        <f>'Progetto del paramento slu'!$G$60*(sezione!$AN$34-C1892)/C1892</f>
        <v>1.1544168226160481E-2</v>
      </c>
      <c r="N1892" s="559">
        <f>'Progetto del paramento slu'!$G$60*(sezione!$AO$34-C1892)/C1892</f>
        <v>1.6173143064979092E-2</v>
      </c>
      <c r="O1892" s="559">
        <f>'Progetto del paramento slu'!$G$60*(sezione!$AP$34-C1892)/C1892</f>
        <v>1.1544572983275284E-2</v>
      </c>
      <c r="P1892" s="553">
        <f>-'Progetto del paramento slu'!$G$47*'Progetto del paramento slu'!$G$41*IF(DATI!$G$218="dx",DATI!$E$61,DATI!$E$64*DATI!$E$63)*1000*C1892*sezione!$AD$5</f>
        <v>-852640.02018366999</v>
      </c>
      <c r="Q1892" s="553">
        <f>'Foglio deposito bis'!$F$78*IF(ABS(K1892)&lt;'Progetto del paramento slu'!$G$58,ABS(K1892)*'Progetto del paramento slu'!$G$54,'Progetto del paramento slu'!$G$53)*IF(K1892&lt;0,-1,1)</f>
        <v>0</v>
      </c>
      <c r="R1892" s="553">
        <f>'Foglio deposito bis'!$F$79*IF(ABS(L1892)&lt;'Progetto del paramento slu'!$G$58,ABS(L1892)*'Progetto del paramento slu'!$G$54,'Progetto del paramento slu'!$G$53)*IF(L1892&lt;0,-1,1)</f>
        <v>153664.85805602249</v>
      </c>
      <c r="S1892" s="553">
        <f>'Foglio deposito bis'!$F$80*IF(ABS(M1892)&lt;'Progetto del paramento slu'!$G$58,ABS(M1892)*'Progetto del paramento slu'!$G$54,'Progetto del paramento slu'!$G$53)*IF(M1892&lt;0,-1,1)</f>
        <v>0</v>
      </c>
      <c r="T1892" s="553">
        <f>'Foglio deposito bis'!$F$81*IF(ABS(N1892)&lt;'Progetto del paramento slu'!$G$58,ABS(N1892)*'Progetto del paramento slu'!$G$54,'Progetto del paramento slu'!$G$53)*IF(N1892&lt;0,-1,1)</f>
        <v>398299.31208121032</v>
      </c>
      <c r="U1892" s="553">
        <f>'Foglio deposito bis'!$F$82*IF(ABS(O1892)&lt;'Progetto del paramento slu'!$G$58,ABS(O1892)*'Progetto del paramento slu'!$G$54,'Progetto del paramento slu'!$G$53)*IF(O1892&lt;0,-1,1)</f>
        <v>892485.49558937876</v>
      </c>
      <c r="V1892" s="479">
        <f t="shared" si="141"/>
        <v>591809.64554294152</v>
      </c>
      <c r="W1892" s="559"/>
      <c r="X1892" s="559"/>
    </row>
    <row r="1893" spans="1:24" x14ac:dyDescent="0.25">
      <c r="A1893" s="553">
        <f t="shared" si="140"/>
        <v>580364.81305725477</v>
      </c>
      <c r="B1893" s="3">
        <f t="shared" si="138"/>
        <v>15.099999999999968</v>
      </c>
      <c r="C1893" s="553">
        <f>'Foglio deposito bis'!$E$160/sezione!$B$247*B1893</f>
        <v>61.300482102893596</v>
      </c>
      <c r="D1893" s="611">
        <f>-'Progetto del paramento slu'!$G$47*'Progetto del paramento slu'!$G$41*IF(DATI!$G$218="dx",DATI!$E$61,DATI!$E$64*DATI!$E$63)*1000*C1893^2*sezione!$AD$5*(1-sezione!$AD$6)</f>
        <v>-30933789.739120588</v>
      </c>
      <c r="E1893" s="553">
        <f>-'Foglio deposito bis'!$F$78*(C1893-sezione!$AL$34)*IF(ABS(K1893)&lt;'Progetto del paramento slu'!$G$58,ABS(K1893)*'Progetto del paramento slu'!$G$54,'Progetto del paramento slu'!$G$53)</f>
        <v>0</v>
      </c>
      <c r="F1893" s="553">
        <f>-'Foglio deposito bis'!$F$79*(C1893-sezione!$AM$34)*IF(ABS(L1893)&lt;'Progetto del paramento slu'!$G$58,ABS(L1893)*'Progetto del paramento slu'!$G$54,'Progetto del paramento slu'!$G$53)</f>
        <v>13629998.827296482</v>
      </c>
      <c r="G1893" s="553">
        <f>-'Foglio deposito bis'!$F$80*(C1893-sezione!$AN$34)*IF(ABS(M1893)&lt;'Progetto del paramento slu'!$G$58,ABS(M1893)*'Progetto del paramento slu'!$G$54,'Progetto del paramento slu'!$G$53)</f>
        <v>0</v>
      </c>
      <c r="H1893" s="553">
        <f>-'Foglio deposito bis'!$F$81*(C1893-sezione!$AO$34)*IF(ABS(N1893)&lt;'Progetto del paramento slu'!$G$58,ABS(N1893)*'Progetto del paramento slu'!$G$54,'Progetto del paramento slu'!$G$53)</f>
        <v>111005826.25578244</v>
      </c>
      <c r="I1893" s="479">
        <f>-'Foglio deposito bis'!$F$82*(C1893-sezione!$AP$34)*IF(ABS(O1893)&lt;'Progetto del paramento slu'!$G$58,ABS(O1893)*'Progetto del paramento slu'!$G$54,'Progetto del paramento slu'!$G$53)</f>
        <v>177342680.81144294</v>
      </c>
      <c r="J1893" s="479">
        <f t="shared" si="139"/>
        <v>271044716.15540129</v>
      </c>
      <c r="K1893" s="558">
        <f>'Progetto del paramento slu'!$G$60*(sezione!$AL$34-C1893)/C1893</f>
        <v>-1.2161680430994276E-3</v>
      </c>
      <c r="L1893" s="558">
        <f>'Progetto del paramento slu'!$G$60*(sezione!$AM$34-C1893)/C1893</f>
        <v>5.0643698383771472E-3</v>
      </c>
      <c r="M1893" s="559">
        <f>'Progetto del paramento slu'!$G$60*(sezione!$AN$34-C1893)/C1893</f>
        <v>1.134490771985372E-2</v>
      </c>
      <c r="N1893" s="559">
        <f>'Progetto del paramento slu'!$G$60*(sezione!$AO$34-C1893)/C1893</f>
        <v>1.5912571633654865E-2</v>
      </c>
      <c r="O1893" s="559">
        <f>'Progetto del paramento slu'!$G$60*(sezione!$AP$34-C1893)/C1893</f>
        <v>1.1345307115947134E-2</v>
      </c>
      <c r="P1893" s="553">
        <f>-'Progetto del paramento slu'!$G$47*'Progetto del paramento slu'!$G$41*IF(DATI!$G$218="dx",DATI!$E$61,DATI!$E$64*DATI!$E$63)*1000*C1893*sezione!$AD$5</f>
        <v>-864084.85266935686</v>
      </c>
      <c r="Q1893" s="553">
        <f>'Foglio deposito bis'!$F$78*IF(ABS(K1893)&lt;'Progetto del paramento slu'!$G$58,ABS(K1893)*'Progetto del paramento slu'!$G$54,'Progetto del paramento slu'!$G$53)*IF(K1893&lt;0,-1,1)</f>
        <v>0</v>
      </c>
      <c r="R1893" s="553">
        <f>'Foglio deposito bis'!$F$79*IF(ABS(L1893)&lt;'Progetto del paramento slu'!$G$58,ABS(L1893)*'Progetto del paramento slu'!$G$54,'Progetto del paramento slu'!$G$53)*IF(L1893&lt;0,-1,1)</f>
        <v>153664.85805602249</v>
      </c>
      <c r="S1893" s="553">
        <f>'Foglio deposito bis'!$F$80*IF(ABS(M1893)&lt;'Progetto del paramento slu'!$G$58,ABS(M1893)*'Progetto del paramento slu'!$G$54,'Progetto del paramento slu'!$G$53)*IF(M1893&lt;0,-1,1)</f>
        <v>0</v>
      </c>
      <c r="T1893" s="553">
        <f>'Foglio deposito bis'!$F$81*IF(ABS(N1893)&lt;'Progetto del paramento slu'!$G$58,ABS(N1893)*'Progetto del paramento slu'!$G$54,'Progetto del paramento slu'!$G$53)*IF(N1893&lt;0,-1,1)</f>
        <v>398299.31208121032</v>
      </c>
      <c r="U1893" s="553">
        <f>'Foglio deposito bis'!$F$82*IF(ABS(O1893)&lt;'Progetto del paramento slu'!$G$58,ABS(O1893)*'Progetto del paramento slu'!$G$54,'Progetto del paramento slu'!$G$53)*IF(O1893&lt;0,-1,1)</f>
        <v>892485.49558937876</v>
      </c>
      <c r="V1893" s="479">
        <f t="shared" si="141"/>
        <v>580364.81305725477</v>
      </c>
      <c r="W1893" s="559"/>
      <c r="X1893" s="559"/>
    </row>
    <row r="1894" spans="1:24" x14ac:dyDescent="0.25">
      <c r="A1894" s="553">
        <f t="shared" si="140"/>
        <v>568919.98057156778</v>
      </c>
      <c r="B1894" s="3">
        <f t="shared" si="138"/>
        <v>15.299999999999967</v>
      </c>
      <c r="C1894" s="553">
        <f>'Foglio deposito bis'!$E$160/sezione!$B$247*B1894</f>
        <v>62.11240901816371</v>
      </c>
      <c r="D1894" s="611">
        <f>-'Progetto del paramento slu'!$G$47*'Progetto del paramento slu'!$G$41*IF(DATI!$G$218="dx",DATI!$E$61,DATI!$E$64*DATI!$E$63)*1000*C1894^2*sezione!$AD$5*(1-sezione!$AD$6)</f>
        <v>-31758654.620546196</v>
      </c>
      <c r="E1894" s="553">
        <f>-'Foglio deposito bis'!$F$78*(C1894-sezione!$AL$34)*IF(ABS(K1894)&lt;'Progetto del paramento slu'!$G$58,ABS(K1894)*'Progetto del paramento slu'!$G$54,'Progetto del paramento slu'!$G$53)</f>
        <v>0</v>
      </c>
      <c r="F1894" s="553">
        <f>-'Foglio deposito bis'!$F$79*(C1894-sezione!$AM$34)*IF(ABS(L1894)&lt;'Progetto del paramento slu'!$G$58,ABS(L1894)*'Progetto del paramento slu'!$G$54,'Progetto del paramento slu'!$G$53)</f>
        <v>13505234.193109639</v>
      </c>
      <c r="G1894" s="553">
        <f>-'Foglio deposito bis'!$F$80*(C1894-sezione!$AN$34)*IF(ABS(M1894)&lt;'Progetto del paramento slu'!$G$58,ABS(M1894)*'Progetto del paramento slu'!$G$54,'Progetto del paramento slu'!$G$53)</f>
        <v>0</v>
      </c>
      <c r="H1894" s="553">
        <f>-'Foglio deposito bis'!$F$81*(C1894-sezione!$AO$34)*IF(ABS(N1894)&lt;'Progetto del paramento slu'!$G$58,ABS(N1894)*'Progetto del paramento slu'!$G$54,'Progetto del paramento slu'!$G$53)</f>
        <v>110682436.32397014</v>
      </c>
      <c r="I1894" s="479">
        <f>-'Foglio deposito bis'!$F$82*(C1894-sezione!$AP$34)*IF(ABS(O1894)&lt;'Progetto del paramento slu'!$G$58,ABS(O1894)*'Progetto del paramento slu'!$G$54,'Progetto del paramento slu'!$G$53)</f>
        <v>176618047.81608576</v>
      </c>
      <c r="J1894" s="479">
        <f t="shared" si="139"/>
        <v>269047063.7126193</v>
      </c>
      <c r="K1894" s="558">
        <f>'Progetto del paramento slu'!$G$60*(sezione!$AL$34-C1894)/C1894</f>
        <v>-1.2460220556079319E-3</v>
      </c>
      <c r="L1894" s="558">
        <f>'Progetto del paramento slu'!$G$60*(sezione!$AM$34-C1894)/C1894</f>
        <v>4.9524172914702557E-3</v>
      </c>
      <c r="M1894" s="559">
        <f>'Progetto del paramento slu'!$G$60*(sezione!$AN$34-C1894)/C1894</f>
        <v>1.1150856638548444E-2</v>
      </c>
      <c r="N1894" s="559">
        <f>'Progetto del paramento slu'!$G$60*(sezione!$AO$34-C1894)/C1894</f>
        <v>1.5658812527332581E-2</v>
      </c>
      <c r="O1894" s="559">
        <f>'Progetto del paramento slu'!$G$60*(sezione!$AP$34-C1894)/C1894</f>
        <v>1.1151250813777892E-2</v>
      </c>
      <c r="P1894" s="553">
        <f>-'Progetto del paramento slu'!$G$47*'Progetto del paramento slu'!$G$41*IF(DATI!$G$218="dx",DATI!$E$61,DATI!$E$64*DATI!$E$63)*1000*C1894*sezione!$AD$5</f>
        <v>-875529.68515504373</v>
      </c>
      <c r="Q1894" s="553">
        <f>'Foglio deposito bis'!$F$78*IF(ABS(K1894)&lt;'Progetto del paramento slu'!$G$58,ABS(K1894)*'Progetto del paramento slu'!$G$54,'Progetto del paramento slu'!$G$53)*IF(K1894&lt;0,-1,1)</f>
        <v>0</v>
      </c>
      <c r="R1894" s="553">
        <f>'Foglio deposito bis'!$F$79*IF(ABS(L1894)&lt;'Progetto del paramento slu'!$G$58,ABS(L1894)*'Progetto del paramento slu'!$G$54,'Progetto del paramento slu'!$G$53)*IF(L1894&lt;0,-1,1)</f>
        <v>153664.85805602249</v>
      </c>
      <c r="S1894" s="553">
        <f>'Foglio deposito bis'!$F$80*IF(ABS(M1894)&lt;'Progetto del paramento slu'!$G$58,ABS(M1894)*'Progetto del paramento slu'!$G$54,'Progetto del paramento slu'!$G$53)*IF(M1894&lt;0,-1,1)</f>
        <v>0</v>
      </c>
      <c r="T1894" s="553">
        <f>'Foglio deposito bis'!$F$81*IF(ABS(N1894)&lt;'Progetto del paramento slu'!$G$58,ABS(N1894)*'Progetto del paramento slu'!$G$54,'Progetto del paramento slu'!$G$53)*IF(N1894&lt;0,-1,1)</f>
        <v>398299.31208121032</v>
      </c>
      <c r="U1894" s="553">
        <f>'Foglio deposito bis'!$F$82*IF(ABS(O1894)&lt;'Progetto del paramento slu'!$G$58,ABS(O1894)*'Progetto del paramento slu'!$G$54,'Progetto del paramento slu'!$G$53)*IF(O1894&lt;0,-1,1)</f>
        <v>892485.49558937876</v>
      </c>
      <c r="V1894" s="479">
        <f t="shared" si="141"/>
        <v>568919.98057156778</v>
      </c>
      <c r="W1894" s="559"/>
      <c r="X1894" s="559"/>
    </row>
    <row r="1895" spans="1:24" x14ac:dyDescent="0.25">
      <c r="A1895" s="553">
        <f t="shared" si="140"/>
        <v>557475.14808588102</v>
      </c>
      <c r="B1895" s="3">
        <f t="shared" si="138"/>
        <v>15.499999999999966</v>
      </c>
      <c r="C1895" s="553">
        <f>'Foglio deposito bis'!$E$160/sezione!$B$247*B1895</f>
        <v>62.924335933433824</v>
      </c>
      <c r="D1895" s="611">
        <f>-'Progetto del paramento slu'!$G$47*'Progetto del paramento slu'!$G$41*IF(DATI!$G$218="dx",DATI!$E$61,DATI!$E$64*DATI!$E$63)*1000*C1895^2*sezione!$AD$5*(1-sezione!$AD$6)</f>
        <v>-32594372.987253722</v>
      </c>
      <c r="E1895" s="553">
        <f>-'Foglio deposito bis'!$F$78*(C1895-sezione!$AL$34)*IF(ABS(K1895)&lt;'Progetto del paramento slu'!$G$58,ABS(K1895)*'Progetto del paramento slu'!$G$54,'Progetto del paramento slu'!$G$53)</f>
        <v>0</v>
      </c>
      <c r="F1895" s="553">
        <f>-'Foglio deposito bis'!$F$79*(C1895-sezione!$AM$34)*IF(ABS(L1895)&lt;'Progetto del paramento slu'!$G$58,ABS(L1895)*'Progetto del paramento slu'!$G$54,'Progetto del paramento slu'!$G$53)</f>
        <v>13380469.558922792</v>
      </c>
      <c r="G1895" s="553">
        <f>-'Foglio deposito bis'!$F$80*(C1895-sezione!$AN$34)*IF(ABS(M1895)&lt;'Progetto del paramento slu'!$G$58,ABS(M1895)*'Progetto del paramento slu'!$G$54,'Progetto del paramento slu'!$G$53)</f>
        <v>0</v>
      </c>
      <c r="H1895" s="553">
        <f>-'Foglio deposito bis'!$F$81*(C1895-sezione!$AO$34)*IF(ABS(N1895)&lt;'Progetto del paramento slu'!$G$58,ABS(N1895)*'Progetto del paramento slu'!$G$54,'Progetto del paramento slu'!$G$53)</f>
        <v>110359046.39215782</v>
      </c>
      <c r="I1895" s="479">
        <f>-'Foglio deposito bis'!$F$82*(C1895-sezione!$AP$34)*IF(ABS(O1895)&lt;'Progetto del paramento slu'!$G$58,ABS(O1895)*'Progetto del paramento slu'!$G$54,'Progetto del paramento slu'!$G$53)</f>
        <v>175893414.82072854</v>
      </c>
      <c r="J1895" s="479">
        <f t="shared" si="139"/>
        <v>267038557.78455544</v>
      </c>
      <c r="K1895" s="558">
        <f>'Progetto del paramento slu'!$G$60*(sezione!$AL$34-C1895)/C1895</f>
        <v>-1.2751056419871842E-3</v>
      </c>
      <c r="L1895" s="558">
        <f>'Progetto del paramento slu'!$G$60*(sezione!$AM$34-C1895)/C1895</f>
        <v>4.843353842548059E-3</v>
      </c>
      <c r="M1895" s="559">
        <f>'Progetto del paramento slu'!$G$60*(sezione!$AN$34-C1895)/C1895</f>
        <v>1.0961813327083302E-2</v>
      </c>
      <c r="N1895" s="559">
        <f>'Progetto del paramento slu'!$G$60*(sezione!$AO$34-C1895)/C1895</f>
        <v>1.5411602043108933E-2</v>
      </c>
      <c r="O1895" s="559">
        <f>'Progetto del paramento slu'!$G$60*(sezione!$AP$34-C1895)/C1895</f>
        <v>1.0962202416180756E-2</v>
      </c>
      <c r="P1895" s="553">
        <f>-'Progetto del paramento slu'!$G$47*'Progetto del paramento slu'!$G$41*IF(DATI!$G$218="dx",DATI!$E$61,DATI!$E$64*DATI!$E$63)*1000*C1895*sezione!$AD$5</f>
        <v>-886974.5176407306</v>
      </c>
      <c r="Q1895" s="553">
        <f>'Foglio deposito bis'!$F$78*IF(ABS(K1895)&lt;'Progetto del paramento slu'!$G$58,ABS(K1895)*'Progetto del paramento slu'!$G$54,'Progetto del paramento slu'!$G$53)*IF(K1895&lt;0,-1,1)</f>
        <v>0</v>
      </c>
      <c r="R1895" s="553">
        <f>'Foglio deposito bis'!$F$79*IF(ABS(L1895)&lt;'Progetto del paramento slu'!$G$58,ABS(L1895)*'Progetto del paramento slu'!$G$54,'Progetto del paramento slu'!$G$53)*IF(L1895&lt;0,-1,1)</f>
        <v>153664.85805602249</v>
      </c>
      <c r="S1895" s="553">
        <f>'Foglio deposito bis'!$F$80*IF(ABS(M1895)&lt;'Progetto del paramento slu'!$G$58,ABS(M1895)*'Progetto del paramento slu'!$G$54,'Progetto del paramento slu'!$G$53)*IF(M1895&lt;0,-1,1)</f>
        <v>0</v>
      </c>
      <c r="T1895" s="553">
        <f>'Foglio deposito bis'!$F$81*IF(ABS(N1895)&lt;'Progetto del paramento slu'!$G$58,ABS(N1895)*'Progetto del paramento slu'!$G$54,'Progetto del paramento slu'!$G$53)*IF(N1895&lt;0,-1,1)</f>
        <v>398299.31208121032</v>
      </c>
      <c r="U1895" s="553">
        <f>'Foglio deposito bis'!$F$82*IF(ABS(O1895)&lt;'Progetto del paramento slu'!$G$58,ABS(O1895)*'Progetto del paramento slu'!$G$54,'Progetto del paramento slu'!$G$53)*IF(O1895&lt;0,-1,1)</f>
        <v>892485.49558937876</v>
      </c>
      <c r="V1895" s="479">
        <f t="shared" si="141"/>
        <v>557475.14808588102</v>
      </c>
      <c r="W1895" s="559"/>
      <c r="X1895" s="559"/>
    </row>
    <row r="1896" spans="1:24" x14ac:dyDescent="0.25">
      <c r="A1896" s="553">
        <f t="shared" si="140"/>
        <v>546030.31560019427</v>
      </c>
      <c r="B1896" s="3">
        <f t="shared" si="138"/>
        <v>15.699999999999966</v>
      </c>
      <c r="C1896" s="553">
        <f>'Foglio deposito bis'!$E$160/sezione!$B$247*B1896</f>
        <v>63.73626284870393</v>
      </c>
      <c r="D1896" s="611">
        <f>-'Progetto del paramento slu'!$G$47*'Progetto del paramento slu'!$G$41*IF(DATI!$G$218="dx",DATI!$E$61,DATI!$E$64*DATI!$E$63)*1000*C1896^2*sezione!$AD$5*(1-sezione!$AD$6)</f>
        <v>-33440944.839243151</v>
      </c>
      <c r="E1896" s="553">
        <f>-'Foglio deposito bis'!$F$78*(C1896-sezione!$AL$34)*IF(ABS(K1896)&lt;'Progetto del paramento slu'!$G$58,ABS(K1896)*'Progetto del paramento slu'!$G$54,'Progetto del paramento slu'!$G$53)</f>
        <v>0</v>
      </c>
      <c r="F1896" s="553">
        <f>-'Foglio deposito bis'!$F$79*(C1896-sezione!$AM$34)*IF(ABS(L1896)&lt;'Progetto del paramento slu'!$G$58,ABS(L1896)*'Progetto del paramento slu'!$G$54,'Progetto del paramento slu'!$G$53)</f>
        <v>13255704.924735943</v>
      </c>
      <c r="G1896" s="553">
        <f>-'Foglio deposito bis'!$F$80*(C1896-sezione!$AN$34)*IF(ABS(M1896)&lt;'Progetto del paramento slu'!$G$58,ABS(M1896)*'Progetto del paramento slu'!$G$54,'Progetto del paramento slu'!$G$53)</f>
        <v>0</v>
      </c>
      <c r="H1896" s="553">
        <f>-'Foglio deposito bis'!$F$81*(C1896-sezione!$AO$34)*IF(ABS(N1896)&lt;'Progetto del paramento slu'!$G$58,ABS(N1896)*'Progetto del paramento slu'!$G$54,'Progetto del paramento slu'!$G$53)</f>
        <v>110035656.46034552</v>
      </c>
      <c r="I1896" s="479">
        <f>-'Foglio deposito bis'!$F$82*(C1896-sezione!$AP$34)*IF(ABS(O1896)&lt;'Progetto del paramento slu'!$G$58,ABS(O1896)*'Progetto del paramento slu'!$G$54,'Progetto del paramento slu'!$G$53)</f>
        <v>175168781.82537135</v>
      </c>
      <c r="J1896" s="479">
        <f t="shared" si="139"/>
        <v>265019198.37120968</v>
      </c>
      <c r="K1896" s="558">
        <f>'Progetto del paramento slu'!$G$60*(sezione!$AL$34-C1896)/C1896</f>
        <v>-1.3034482452739715E-3</v>
      </c>
      <c r="L1896" s="558">
        <f>'Progetto del paramento slu'!$G$60*(sezione!$AM$34-C1896)/C1896</f>
        <v>4.7370690802226072E-3</v>
      </c>
      <c r="M1896" s="559">
        <f>'Progetto del paramento slu'!$G$60*(sezione!$AN$34-C1896)/C1896</f>
        <v>1.0777586405719186E-2</v>
      </c>
      <c r="N1896" s="559">
        <f>'Progetto del paramento slu'!$G$60*(sezione!$AO$34-C1896)/C1896</f>
        <v>1.5170689915171244E-2</v>
      </c>
      <c r="O1896" s="559">
        <f>'Progetto del paramento slu'!$G$60*(sezione!$AP$34-C1896)/C1896</f>
        <v>1.0777970538267628E-2</v>
      </c>
      <c r="P1896" s="553">
        <f>-'Progetto del paramento slu'!$G$47*'Progetto del paramento slu'!$G$41*IF(DATI!$G$218="dx",DATI!$E$61,DATI!$E$64*DATI!$E$63)*1000*C1896*sezione!$AD$5</f>
        <v>-898419.35012641724</v>
      </c>
      <c r="Q1896" s="553">
        <f>'Foglio deposito bis'!$F$78*IF(ABS(K1896)&lt;'Progetto del paramento slu'!$G$58,ABS(K1896)*'Progetto del paramento slu'!$G$54,'Progetto del paramento slu'!$G$53)*IF(K1896&lt;0,-1,1)</f>
        <v>0</v>
      </c>
      <c r="R1896" s="553">
        <f>'Foglio deposito bis'!$F$79*IF(ABS(L1896)&lt;'Progetto del paramento slu'!$G$58,ABS(L1896)*'Progetto del paramento slu'!$G$54,'Progetto del paramento slu'!$G$53)*IF(L1896&lt;0,-1,1)</f>
        <v>153664.85805602249</v>
      </c>
      <c r="S1896" s="553">
        <f>'Foglio deposito bis'!$F$80*IF(ABS(M1896)&lt;'Progetto del paramento slu'!$G$58,ABS(M1896)*'Progetto del paramento slu'!$G$54,'Progetto del paramento slu'!$G$53)*IF(M1896&lt;0,-1,1)</f>
        <v>0</v>
      </c>
      <c r="T1896" s="553">
        <f>'Foglio deposito bis'!$F$81*IF(ABS(N1896)&lt;'Progetto del paramento slu'!$G$58,ABS(N1896)*'Progetto del paramento slu'!$G$54,'Progetto del paramento slu'!$G$53)*IF(N1896&lt;0,-1,1)</f>
        <v>398299.31208121032</v>
      </c>
      <c r="U1896" s="553">
        <f>'Foglio deposito bis'!$F$82*IF(ABS(O1896)&lt;'Progetto del paramento slu'!$G$58,ABS(O1896)*'Progetto del paramento slu'!$G$54,'Progetto del paramento slu'!$G$53)*IF(O1896&lt;0,-1,1)</f>
        <v>892485.49558937876</v>
      </c>
      <c r="V1896" s="479">
        <f t="shared" si="141"/>
        <v>546030.31560019427</v>
      </c>
      <c r="W1896" s="559"/>
      <c r="X1896" s="559"/>
    </row>
    <row r="1897" spans="1:24" x14ac:dyDescent="0.25">
      <c r="A1897" s="553">
        <f t="shared" si="140"/>
        <v>534585.48311450751</v>
      </c>
      <c r="B1897" s="3">
        <f t="shared" si="138"/>
        <v>15.899999999999965</v>
      </c>
      <c r="C1897" s="553">
        <f>'Foglio deposito bis'!$E$160/sezione!$B$247*B1897</f>
        <v>64.548189763974051</v>
      </c>
      <c r="D1897" s="611">
        <f>-'Progetto del paramento slu'!$G$47*'Progetto del paramento slu'!$G$41*IF(DATI!$G$218="dx",DATI!$E$61,DATI!$E$64*DATI!$E$63)*1000*C1897^2*sezione!$AD$5*(1-sezione!$AD$6)</f>
        <v>-34298370.176514521</v>
      </c>
      <c r="E1897" s="553">
        <f>-'Foglio deposito bis'!$F$78*(C1897-sezione!$AL$34)*IF(ABS(K1897)&lt;'Progetto del paramento slu'!$G$58,ABS(K1897)*'Progetto del paramento slu'!$G$54,'Progetto del paramento slu'!$G$53)</f>
        <v>0</v>
      </c>
      <c r="F1897" s="553">
        <f>-'Foglio deposito bis'!$F$79*(C1897-sezione!$AM$34)*IF(ABS(L1897)&lt;'Progetto del paramento slu'!$G$58,ABS(L1897)*'Progetto del paramento slu'!$G$54,'Progetto del paramento slu'!$G$53)</f>
        <v>13130940.290549096</v>
      </c>
      <c r="G1897" s="553">
        <f>-'Foglio deposito bis'!$F$80*(C1897-sezione!$AN$34)*IF(ABS(M1897)&lt;'Progetto del paramento slu'!$G$58,ABS(M1897)*'Progetto del paramento slu'!$G$54,'Progetto del paramento slu'!$G$53)</f>
        <v>0</v>
      </c>
      <c r="H1897" s="553">
        <f>-'Foglio deposito bis'!$F$81*(C1897-sezione!$AO$34)*IF(ABS(N1897)&lt;'Progetto del paramento slu'!$G$58,ABS(N1897)*'Progetto del paramento slu'!$G$54,'Progetto del paramento slu'!$G$53)</f>
        <v>109712266.52853321</v>
      </c>
      <c r="I1897" s="479">
        <f>-'Foglio deposito bis'!$F$82*(C1897-sezione!$AP$34)*IF(ABS(O1897)&lt;'Progetto del paramento slu'!$G$58,ABS(O1897)*'Progetto del paramento slu'!$G$54,'Progetto del paramento slu'!$G$53)</f>
        <v>174444148.83001414</v>
      </c>
      <c r="J1897" s="479">
        <f t="shared" si="139"/>
        <v>262988985.47258192</v>
      </c>
      <c r="K1897" s="558">
        <f>'Progetto del paramento slu'!$G$60*(sezione!$AL$34-C1897)/C1897</f>
        <v>-1.331077827094425E-3</v>
      </c>
      <c r="L1897" s="558">
        <f>'Progetto del paramento slu'!$G$60*(sezione!$AM$34-C1897)/C1897</f>
        <v>4.6334581483959067E-3</v>
      </c>
      <c r="M1897" s="559">
        <f>'Progetto del paramento slu'!$G$60*(sezione!$AN$34-C1897)/C1897</f>
        <v>1.0597994123886239E-2</v>
      </c>
      <c r="N1897" s="559">
        <f>'Progetto del paramento slu'!$G$60*(sezione!$AO$34-C1897)/C1897</f>
        <v>1.4935838469697389E-2</v>
      </c>
      <c r="O1897" s="559">
        <f>'Progetto del paramento slu'!$G$60*(sezione!$AP$34-C1897)/C1897</f>
        <v>1.0598373424578726E-2</v>
      </c>
      <c r="P1897" s="553">
        <f>-'Progetto del paramento slu'!$G$47*'Progetto del paramento slu'!$G$41*IF(DATI!$G$218="dx",DATI!$E$61,DATI!$E$64*DATI!$E$63)*1000*C1897*sezione!$AD$5</f>
        <v>-909864.18261210411</v>
      </c>
      <c r="Q1897" s="553">
        <f>'Foglio deposito bis'!$F$78*IF(ABS(K1897)&lt;'Progetto del paramento slu'!$G$58,ABS(K1897)*'Progetto del paramento slu'!$G$54,'Progetto del paramento slu'!$G$53)*IF(K1897&lt;0,-1,1)</f>
        <v>0</v>
      </c>
      <c r="R1897" s="553">
        <f>'Foglio deposito bis'!$F$79*IF(ABS(L1897)&lt;'Progetto del paramento slu'!$G$58,ABS(L1897)*'Progetto del paramento slu'!$G$54,'Progetto del paramento slu'!$G$53)*IF(L1897&lt;0,-1,1)</f>
        <v>153664.85805602249</v>
      </c>
      <c r="S1897" s="553">
        <f>'Foglio deposito bis'!$F$80*IF(ABS(M1897)&lt;'Progetto del paramento slu'!$G$58,ABS(M1897)*'Progetto del paramento slu'!$G$54,'Progetto del paramento slu'!$G$53)*IF(M1897&lt;0,-1,1)</f>
        <v>0</v>
      </c>
      <c r="T1897" s="553">
        <f>'Foglio deposito bis'!$F$81*IF(ABS(N1897)&lt;'Progetto del paramento slu'!$G$58,ABS(N1897)*'Progetto del paramento slu'!$G$54,'Progetto del paramento slu'!$G$53)*IF(N1897&lt;0,-1,1)</f>
        <v>398299.31208121032</v>
      </c>
      <c r="U1897" s="553">
        <f>'Foglio deposito bis'!$F$82*IF(ABS(O1897)&lt;'Progetto del paramento slu'!$G$58,ABS(O1897)*'Progetto del paramento slu'!$G$54,'Progetto del paramento slu'!$G$53)*IF(O1897&lt;0,-1,1)</f>
        <v>892485.49558937876</v>
      </c>
      <c r="V1897" s="479">
        <f t="shared" si="141"/>
        <v>534585.48311450751</v>
      </c>
      <c r="W1897" s="559"/>
      <c r="X1897" s="559"/>
    </row>
    <row r="1898" spans="1:24" x14ac:dyDescent="0.25">
      <c r="A1898" s="553">
        <f t="shared" si="140"/>
        <v>523140.65062882053</v>
      </c>
      <c r="B1898" s="3">
        <f t="shared" si="138"/>
        <v>16.099999999999966</v>
      </c>
      <c r="C1898" s="553">
        <f>'Foglio deposito bis'!$E$160/sezione!$B$247*B1898</f>
        <v>65.360116679244172</v>
      </c>
      <c r="D1898" s="611">
        <f>-'Progetto del paramento slu'!$G$47*'Progetto del paramento slu'!$G$41*IF(DATI!$G$218="dx",DATI!$E$61,DATI!$E$64*DATI!$E$63)*1000*C1898^2*sezione!$AD$5*(1-sezione!$AD$6)</f>
        <v>-35166648.999067798</v>
      </c>
      <c r="E1898" s="553">
        <f>-'Foglio deposito bis'!$F$78*(C1898-sezione!$AL$34)*IF(ABS(K1898)&lt;'Progetto del paramento slu'!$G$58,ABS(K1898)*'Progetto del paramento slu'!$G$54,'Progetto del paramento slu'!$G$53)</f>
        <v>0</v>
      </c>
      <c r="F1898" s="553">
        <f>-'Foglio deposito bis'!$F$79*(C1898-sezione!$AM$34)*IF(ABS(L1898)&lt;'Progetto del paramento slu'!$G$58,ABS(L1898)*'Progetto del paramento slu'!$G$54,'Progetto del paramento slu'!$G$53)</f>
        <v>13006175.656362249</v>
      </c>
      <c r="G1898" s="553">
        <f>-'Foglio deposito bis'!$F$80*(C1898-sezione!$AN$34)*IF(ABS(M1898)&lt;'Progetto del paramento slu'!$G$58,ABS(M1898)*'Progetto del paramento slu'!$G$54,'Progetto del paramento slu'!$G$53)</f>
        <v>0</v>
      </c>
      <c r="H1898" s="553">
        <f>-'Foglio deposito bis'!$F$81*(C1898-sezione!$AO$34)*IF(ABS(N1898)&lt;'Progetto del paramento slu'!$G$58,ABS(N1898)*'Progetto del paramento slu'!$G$54,'Progetto del paramento slu'!$G$53)</f>
        <v>109388876.59672092</v>
      </c>
      <c r="I1898" s="479">
        <f>-'Foglio deposito bis'!$F$82*(C1898-sezione!$AP$34)*IF(ABS(O1898)&lt;'Progetto del paramento slu'!$G$58,ABS(O1898)*'Progetto del paramento slu'!$G$54,'Progetto del paramento slu'!$G$53)</f>
        <v>173719515.83465692</v>
      </c>
      <c r="J1898" s="479">
        <f t="shared" si="139"/>
        <v>260947919.08867228</v>
      </c>
      <c r="K1898" s="558">
        <f>'Progetto del paramento slu'!$G$60*(sezione!$AL$34-C1898)/C1898</f>
        <v>-1.3580209596771031E-3</v>
      </c>
      <c r="L1898" s="558">
        <f>'Progetto del paramento slu'!$G$60*(sezione!$AM$34-C1898)/C1898</f>
        <v>4.5324214012108632E-3</v>
      </c>
      <c r="M1898" s="559">
        <f>'Progetto del paramento slu'!$G$60*(sezione!$AN$34-C1898)/C1898</f>
        <v>1.0422863762098829E-2</v>
      </c>
      <c r="N1898" s="559">
        <f>'Progetto del paramento slu'!$G$60*(sezione!$AO$34-C1898)/C1898</f>
        <v>1.4706821842744624E-2</v>
      </c>
      <c r="O1898" s="559">
        <f>'Progetto del paramento slu'!$G$60*(sezione!$AP$34-C1898)/C1898</f>
        <v>1.0423238350981471E-2</v>
      </c>
      <c r="P1898" s="553">
        <f>-'Progetto del paramento slu'!$G$47*'Progetto del paramento slu'!$G$41*IF(DATI!$G$218="dx",DATI!$E$61,DATI!$E$64*DATI!$E$63)*1000*C1898*sezione!$AD$5</f>
        <v>-921309.0150977911</v>
      </c>
      <c r="Q1898" s="553">
        <f>'Foglio deposito bis'!$F$78*IF(ABS(K1898)&lt;'Progetto del paramento slu'!$G$58,ABS(K1898)*'Progetto del paramento slu'!$G$54,'Progetto del paramento slu'!$G$53)*IF(K1898&lt;0,-1,1)</f>
        <v>0</v>
      </c>
      <c r="R1898" s="553">
        <f>'Foglio deposito bis'!$F$79*IF(ABS(L1898)&lt;'Progetto del paramento slu'!$G$58,ABS(L1898)*'Progetto del paramento slu'!$G$54,'Progetto del paramento slu'!$G$53)*IF(L1898&lt;0,-1,1)</f>
        <v>153664.85805602249</v>
      </c>
      <c r="S1898" s="553">
        <f>'Foglio deposito bis'!$F$80*IF(ABS(M1898)&lt;'Progetto del paramento slu'!$G$58,ABS(M1898)*'Progetto del paramento slu'!$G$54,'Progetto del paramento slu'!$G$53)*IF(M1898&lt;0,-1,1)</f>
        <v>0</v>
      </c>
      <c r="T1898" s="553">
        <f>'Foglio deposito bis'!$F$81*IF(ABS(N1898)&lt;'Progetto del paramento slu'!$G$58,ABS(N1898)*'Progetto del paramento slu'!$G$54,'Progetto del paramento slu'!$G$53)*IF(N1898&lt;0,-1,1)</f>
        <v>398299.31208121032</v>
      </c>
      <c r="U1898" s="553">
        <f>'Foglio deposito bis'!$F$82*IF(ABS(O1898)&lt;'Progetto del paramento slu'!$G$58,ABS(O1898)*'Progetto del paramento slu'!$G$54,'Progetto del paramento slu'!$G$53)*IF(O1898&lt;0,-1,1)</f>
        <v>892485.49558937876</v>
      </c>
      <c r="V1898" s="479">
        <f t="shared" si="141"/>
        <v>523140.65062882053</v>
      </c>
      <c r="W1898" s="559"/>
      <c r="X1898" s="559"/>
    </row>
    <row r="1899" spans="1:24" x14ac:dyDescent="0.25">
      <c r="A1899" s="553">
        <f t="shared" si="140"/>
        <v>511695.81814313377</v>
      </c>
      <c r="B1899" s="3">
        <f t="shared" si="138"/>
        <v>16.299999999999965</v>
      </c>
      <c r="C1899" s="553">
        <f>'Foglio deposito bis'!$E$160/sezione!$B$247*B1899</f>
        <v>66.172043594514278</v>
      </c>
      <c r="D1899" s="611">
        <f>-'Progetto del paramento slu'!$G$47*'Progetto del paramento slu'!$G$41*IF(DATI!$G$218="dx",DATI!$E$61,DATI!$E$64*DATI!$E$63)*1000*C1899^2*sezione!$AD$5*(1-sezione!$AD$6)</f>
        <v>-36045781.306902975</v>
      </c>
      <c r="E1899" s="553">
        <f>-'Foglio deposito bis'!$F$78*(C1899-sezione!$AL$34)*IF(ABS(K1899)&lt;'Progetto del paramento slu'!$G$58,ABS(K1899)*'Progetto del paramento slu'!$G$54,'Progetto del paramento slu'!$G$53)</f>
        <v>0</v>
      </c>
      <c r="F1899" s="553">
        <f>-'Foglio deposito bis'!$F$79*(C1899-sezione!$AM$34)*IF(ABS(L1899)&lt;'Progetto del paramento slu'!$G$58,ABS(L1899)*'Progetto del paramento slu'!$G$54,'Progetto del paramento slu'!$G$53)</f>
        <v>12881411.022175405</v>
      </c>
      <c r="G1899" s="553">
        <f>-'Foglio deposito bis'!$F$80*(C1899-sezione!$AN$34)*IF(ABS(M1899)&lt;'Progetto del paramento slu'!$G$58,ABS(M1899)*'Progetto del paramento slu'!$G$54,'Progetto del paramento slu'!$G$53)</f>
        <v>0</v>
      </c>
      <c r="H1899" s="553">
        <f>-'Foglio deposito bis'!$F$81*(C1899-sezione!$AO$34)*IF(ABS(N1899)&lt;'Progetto del paramento slu'!$G$58,ABS(N1899)*'Progetto del paramento slu'!$G$54,'Progetto del paramento slu'!$G$53)</f>
        <v>109065486.66490862</v>
      </c>
      <c r="I1899" s="479">
        <f>-'Foglio deposito bis'!$F$82*(C1899-sezione!$AP$34)*IF(ABS(O1899)&lt;'Progetto del paramento slu'!$G$58,ABS(O1899)*'Progetto del paramento slu'!$G$54,'Progetto del paramento slu'!$G$53)</f>
        <v>172994882.83929974</v>
      </c>
      <c r="J1899" s="479">
        <f t="shared" si="139"/>
        <v>258895999.21948078</v>
      </c>
      <c r="K1899" s="558">
        <f>'Progetto del paramento slu'!$G$60*(sezione!$AL$34-C1899)/C1899</f>
        <v>-1.3843029110921076E-3</v>
      </c>
      <c r="L1899" s="558">
        <f>'Progetto del paramento slu'!$G$60*(sezione!$AM$34-C1899)/C1899</f>
        <v>4.4338640834045966E-3</v>
      </c>
      <c r="M1899" s="559">
        <f>'Progetto del paramento slu'!$G$60*(sezione!$AN$34-C1899)/C1899</f>
        <v>1.02520310779013E-2</v>
      </c>
      <c r="N1899" s="559">
        <f>'Progetto del paramento slu'!$G$60*(sezione!$AO$34-C1899)/C1899</f>
        <v>1.4483425255717086E-2</v>
      </c>
      <c r="O1899" s="559">
        <f>'Progetto del paramento slu'!$G$60*(sezione!$AP$34-C1899)/C1899</f>
        <v>1.0252401070601333E-2</v>
      </c>
      <c r="P1899" s="553">
        <f>-'Progetto del paramento slu'!$G$47*'Progetto del paramento slu'!$G$41*IF(DATI!$G$218="dx",DATI!$E$61,DATI!$E$64*DATI!$E$63)*1000*C1899*sezione!$AD$5</f>
        <v>-932753.84758347773</v>
      </c>
      <c r="Q1899" s="553">
        <f>'Foglio deposito bis'!$F$78*IF(ABS(K1899)&lt;'Progetto del paramento slu'!$G$58,ABS(K1899)*'Progetto del paramento slu'!$G$54,'Progetto del paramento slu'!$G$53)*IF(K1899&lt;0,-1,1)</f>
        <v>0</v>
      </c>
      <c r="R1899" s="553">
        <f>'Foglio deposito bis'!$F$79*IF(ABS(L1899)&lt;'Progetto del paramento slu'!$G$58,ABS(L1899)*'Progetto del paramento slu'!$G$54,'Progetto del paramento slu'!$G$53)*IF(L1899&lt;0,-1,1)</f>
        <v>153664.85805602249</v>
      </c>
      <c r="S1899" s="553">
        <f>'Foglio deposito bis'!$F$80*IF(ABS(M1899)&lt;'Progetto del paramento slu'!$G$58,ABS(M1899)*'Progetto del paramento slu'!$G$54,'Progetto del paramento slu'!$G$53)*IF(M1899&lt;0,-1,1)</f>
        <v>0</v>
      </c>
      <c r="T1899" s="553">
        <f>'Foglio deposito bis'!$F$81*IF(ABS(N1899)&lt;'Progetto del paramento slu'!$G$58,ABS(N1899)*'Progetto del paramento slu'!$G$54,'Progetto del paramento slu'!$G$53)*IF(N1899&lt;0,-1,1)</f>
        <v>398299.31208121032</v>
      </c>
      <c r="U1899" s="553">
        <f>'Foglio deposito bis'!$F$82*IF(ABS(O1899)&lt;'Progetto del paramento slu'!$G$58,ABS(O1899)*'Progetto del paramento slu'!$G$54,'Progetto del paramento slu'!$G$53)*IF(O1899&lt;0,-1,1)</f>
        <v>892485.49558937876</v>
      </c>
      <c r="V1899" s="479">
        <f t="shared" si="141"/>
        <v>511695.81814313377</v>
      </c>
      <c r="W1899" s="559"/>
      <c r="X1899" s="559"/>
    </row>
    <row r="1900" spans="1:24" x14ac:dyDescent="0.25">
      <c r="A1900" s="553">
        <f t="shared" si="140"/>
        <v>500250.98565744702</v>
      </c>
      <c r="B1900" s="3">
        <f t="shared" si="138"/>
        <v>16.499999999999964</v>
      </c>
      <c r="C1900" s="553">
        <f>'Foglio deposito bis'!$E$160/sezione!$B$247*B1900</f>
        <v>66.983970509784385</v>
      </c>
      <c r="D1900" s="611">
        <f>-'Progetto del paramento slu'!$G$47*'Progetto del paramento slu'!$G$41*IF(DATI!$G$218="dx",DATI!$E$61,DATI!$E$64*DATI!$E$63)*1000*C1900^2*sezione!$AD$5*(1-sezione!$AD$6)</f>
        <v>-36935767.100020073</v>
      </c>
      <c r="E1900" s="553">
        <f>-'Foglio deposito bis'!$F$78*(C1900-sezione!$AL$34)*IF(ABS(K1900)&lt;'Progetto del paramento slu'!$G$58,ABS(K1900)*'Progetto del paramento slu'!$G$54,'Progetto del paramento slu'!$G$53)</f>
        <v>0</v>
      </c>
      <c r="F1900" s="553">
        <f>-'Foglio deposito bis'!$F$79*(C1900-sezione!$AM$34)*IF(ABS(L1900)&lt;'Progetto del paramento slu'!$G$58,ABS(L1900)*'Progetto del paramento slu'!$G$54,'Progetto del paramento slu'!$G$53)</f>
        <v>12756646.38798856</v>
      </c>
      <c r="G1900" s="553">
        <f>-'Foglio deposito bis'!$F$80*(C1900-sezione!$AN$34)*IF(ABS(M1900)&lt;'Progetto del paramento slu'!$G$58,ABS(M1900)*'Progetto del paramento slu'!$G$54,'Progetto del paramento slu'!$G$53)</f>
        <v>0</v>
      </c>
      <c r="H1900" s="553">
        <f>-'Foglio deposito bis'!$F$81*(C1900-sezione!$AO$34)*IF(ABS(N1900)&lt;'Progetto del paramento slu'!$G$58,ABS(N1900)*'Progetto del paramento slu'!$G$54,'Progetto del paramento slu'!$G$53)</f>
        <v>108742096.7330963</v>
      </c>
      <c r="I1900" s="479">
        <f>-'Foglio deposito bis'!$F$82*(C1900-sezione!$AP$34)*IF(ABS(O1900)&lt;'Progetto del paramento slu'!$G$58,ABS(O1900)*'Progetto del paramento slu'!$G$54,'Progetto del paramento slu'!$G$53)</f>
        <v>172270249.84394252</v>
      </c>
      <c r="J1900" s="479">
        <f t="shared" si="139"/>
        <v>256833225.86500731</v>
      </c>
      <c r="K1900" s="558">
        <f>'Progetto del paramento slu'!$G$60*(sezione!$AL$34-C1900)/C1900</f>
        <v>-1.4099477242909911E-3</v>
      </c>
      <c r="L1900" s="558">
        <f>'Progetto del paramento slu'!$G$60*(sezione!$AM$34-C1900)/C1900</f>
        <v>4.3376960339087832E-3</v>
      </c>
      <c r="M1900" s="559">
        <f>'Progetto del paramento slu'!$G$60*(sezione!$AN$34-C1900)/C1900</f>
        <v>1.0085339792108558E-2</v>
      </c>
      <c r="N1900" s="559">
        <f>'Progetto del paramento slu'!$G$60*(sezione!$AO$34-C1900)/C1900</f>
        <v>1.4265444343526576E-2</v>
      </c>
      <c r="O1900" s="559">
        <f>'Progetto del paramento slu'!$G$60*(sezione!$AP$34-C1900)/C1900</f>
        <v>1.0085705300048591E-2</v>
      </c>
      <c r="P1900" s="553">
        <f>-'Progetto del paramento slu'!$G$47*'Progetto del paramento slu'!$G$41*IF(DATI!$G$218="dx",DATI!$E$61,DATI!$E$64*DATI!$E$63)*1000*C1900*sezione!$AD$5</f>
        <v>-944198.68006916461</v>
      </c>
      <c r="Q1900" s="553">
        <f>'Foglio deposito bis'!$F$78*IF(ABS(K1900)&lt;'Progetto del paramento slu'!$G$58,ABS(K1900)*'Progetto del paramento slu'!$G$54,'Progetto del paramento slu'!$G$53)*IF(K1900&lt;0,-1,1)</f>
        <v>0</v>
      </c>
      <c r="R1900" s="553">
        <f>'Foglio deposito bis'!$F$79*IF(ABS(L1900)&lt;'Progetto del paramento slu'!$G$58,ABS(L1900)*'Progetto del paramento slu'!$G$54,'Progetto del paramento slu'!$G$53)*IF(L1900&lt;0,-1,1)</f>
        <v>153664.85805602249</v>
      </c>
      <c r="S1900" s="553">
        <f>'Foglio deposito bis'!$F$80*IF(ABS(M1900)&lt;'Progetto del paramento slu'!$G$58,ABS(M1900)*'Progetto del paramento slu'!$G$54,'Progetto del paramento slu'!$G$53)*IF(M1900&lt;0,-1,1)</f>
        <v>0</v>
      </c>
      <c r="T1900" s="553">
        <f>'Foglio deposito bis'!$F$81*IF(ABS(N1900)&lt;'Progetto del paramento slu'!$G$58,ABS(N1900)*'Progetto del paramento slu'!$G$54,'Progetto del paramento slu'!$G$53)*IF(N1900&lt;0,-1,1)</f>
        <v>398299.31208121032</v>
      </c>
      <c r="U1900" s="553">
        <f>'Foglio deposito bis'!$F$82*IF(ABS(O1900)&lt;'Progetto del paramento slu'!$G$58,ABS(O1900)*'Progetto del paramento slu'!$G$54,'Progetto del paramento slu'!$G$53)*IF(O1900&lt;0,-1,1)</f>
        <v>892485.49558937876</v>
      </c>
      <c r="V1900" s="479">
        <f t="shared" si="141"/>
        <v>500250.98565744702</v>
      </c>
      <c r="W1900" s="559"/>
      <c r="X1900" s="559"/>
    </row>
    <row r="1901" spans="1:24" x14ac:dyDescent="0.25">
      <c r="A1901" s="553">
        <f t="shared" si="140"/>
        <v>488806.15317176003</v>
      </c>
      <c r="B1901" s="3">
        <f t="shared" si="138"/>
        <v>16.699999999999964</v>
      </c>
      <c r="C1901" s="553">
        <f>'Foglio deposito bis'!$E$160/sezione!$B$247*B1901</f>
        <v>67.795897425054505</v>
      </c>
      <c r="D1901" s="611">
        <f>-'Progetto del paramento slu'!$G$47*'Progetto del paramento slu'!$G$41*IF(DATI!$G$218="dx",DATI!$E$61,DATI!$E$64*DATI!$E$63)*1000*C1901^2*sezione!$AD$5*(1-sezione!$AD$6)</f>
        <v>-37836606.378419109</v>
      </c>
      <c r="E1901" s="553">
        <f>-'Foglio deposito bis'!$F$78*(C1901-sezione!$AL$34)*IF(ABS(K1901)&lt;'Progetto del paramento slu'!$G$58,ABS(K1901)*'Progetto del paramento slu'!$G$54,'Progetto del paramento slu'!$G$53)</f>
        <v>0</v>
      </c>
      <c r="F1901" s="553">
        <f>-'Foglio deposito bis'!$F$79*(C1901-sezione!$AM$34)*IF(ABS(L1901)&lt;'Progetto del paramento slu'!$G$58,ABS(L1901)*'Progetto del paramento slu'!$G$54,'Progetto del paramento slu'!$G$53)</f>
        <v>12631881.753801713</v>
      </c>
      <c r="G1901" s="553">
        <f>-'Foglio deposito bis'!$F$80*(C1901-sezione!$AN$34)*IF(ABS(M1901)&lt;'Progetto del paramento slu'!$G$58,ABS(M1901)*'Progetto del paramento slu'!$G$54,'Progetto del paramento slu'!$G$53)</f>
        <v>0</v>
      </c>
      <c r="H1901" s="553">
        <f>-'Foglio deposito bis'!$F$81*(C1901-sezione!$AO$34)*IF(ABS(N1901)&lt;'Progetto del paramento slu'!$G$58,ABS(N1901)*'Progetto del paramento slu'!$G$54,'Progetto del paramento slu'!$G$53)</f>
        <v>108418706.801284</v>
      </c>
      <c r="I1901" s="479">
        <f>-'Foglio deposito bis'!$F$82*(C1901-sezione!$AP$34)*IF(ABS(O1901)&lt;'Progetto del paramento slu'!$G$58,ABS(O1901)*'Progetto del paramento slu'!$G$54,'Progetto del paramento slu'!$G$53)</f>
        <v>171545616.84858534</v>
      </c>
      <c r="J1901" s="479">
        <f t="shared" si="139"/>
        <v>254759599.02525192</v>
      </c>
      <c r="K1901" s="558">
        <f>'Progetto del paramento slu'!$G$60*(sezione!$AL$34-C1901)/C1901</f>
        <v>-1.434978290467147E-3</v>
      </c>
      <c r="L1901" s="558">
        <f>'Progetto del paramento slu'!$G$60*(sezione!$AM$34-C1901)/C1901</f>
        <v>4.2438314107481985E-3</v>
      </c>
      <c r="M1901" s="559">
        <f>'Progetto del paramento slu'!$G$60*(sezione!$AN$34-C1901)/C1901</f>
        <v>9.9226411119635437E-3</v>
      </c>
      <c r="N1901" s="559">
        <f>'Progetto del paramento slu'!$G$60*(sezione!$AO$34-C1901)/C1901</f>
        <v>1.4052684531029253E-2</v>
      </c>
      <c r="O1901" s="559">
        <f>'Progetto del paramento slu'!$G$60*(sezione!$AP$34-C1901)/C1901</f>
        <v>9.9230022425629786E-3</v>
      </c>
      <c r="P1901" s="553">
        <f>-'Progetto del paramento slu'!$G$47*'Progetto del paramento slu'!$G$41*IF(DATI!$G$218="dx",DATI!$E$61,DATI!$E$64*DATI!$E$63)*1000*C1901*sezione!$AD$5</f>
        <v>-955643.51255485148</v>
      </c>
      <c r="Q1901" s="553">
        <f>'Foglio deposito bis'!$F$78*IF(ABS(K1901)&lt;'Progetto del paramento slu'!$G$58,ABS(K1901)*'Progetto del paramento slu'!$G$54,'Progetto del paramento slu'!$G$53)*IF(K1901&lt;0,-1,1)</f>
        <v>0</v>
      </c>
      <c r="R1901" s="553">
        <f>'Foglio deposito bis'!$F$79*IF(ABS(L1901)&lt;'Progetto del paramento slu'!$G$58,ABS(L1901)*'Progetto del paramento slu'!$G$54,'Progetto del paramento slu'!$G$53)*IF(L1901&lt;0,-1,1)</f>
        <v>153664.85805602249</v>
      </c>
      <c r="S1901" s="553">
        <f>'Foglio deposito bis'!$F$80*IF(ABS(M1901)&lt;'Progetto del paramento slu'!$G$58,ABS(M1901)*'Progetto del paramento slu'!$G$54,'Progetto del paramento slu'!$G$53)*IF(M1901&lt;0,-1,1)</f>
        <v>0</v>
      </c>
      <c r="T1901" s="553">
        <f>'Foglio deposito bis'!$F$81*IF(ABS(N1901)&lt;'Progetto del paramento slu'!$G$58,ABS(N1901)*'Progetto del paramento slu'!$G$54,'Progetto del paramento slu'!$G$53)*IF(N1901&lt;0,-1,1)</f>
        <v>398299.31208121032</v>
      </c>
      <c r="U1901" s="553">
        <f>'Foglio deposito bis'!$F$82*IF(ABS(O1901)&lt;'Progetto del paramento slu'!$G$58,ABS(O1901)*'Progetto del paramento slu'!$G$54,'Progetto del paramento slu'!$G$53)*IF(O1901&lt;0,-1,1)</f>
        <v>892485.49558937876</v>
      </c>
      <c r="V1901" s="479">
        <f t="shared" si="141"/>
        <v>488806.15317176003</v>
      </c>
      <c r="W1901" s="559"/>
      <c r="X1901" s="559"/>
    </row>
    <row r="1902" spans="1:24" x14ac:dyDescent="0.25">
      <c r="A1902" s="553">
        <f t="shared" si="140"/>
        <v>477361.32068607328</v>
      </c>
      <c r="B1902" s="3">
        <f t="shared" si="138"/>
        <v>16.899999999999963</v>
      </c>
      <c r="C1902" s="553">
        <f>'Foglio deposito bis'!$E$160/sezione!$B$247*B1902</f>
        <v>68.607824340324612</v>
      </c>
      <c r="D1902" s="611">
        <f>-'Progetto del paramento slu'!$G$47*'Progetto del paramento slu'!$G$41*IF(DATI!$G$218="dx",DATI!$E$61,DATI!$E$64*DATI!$E$63)*1000*C1902^2*sezione!$AD$5*(1-sezione!$AD$6)</f>
        <v>-38748299.142100029</v>
      </c>
      <c r="E1902" s="553">
        <f>-'Foglio deposito bis'!$F$78*(C1902-sezione!$AL$34)*IF(ABS(K1902)&lt;'Progetto del paramento slu'!$G$58,ABS(K1902)*'Progetto del paramento slu'!$G$54,'Progetto del paramento slu'!$G$53)</f>
        <v>0</v>
      </c>
      <c r="F1902" s="553">
        <f>-'Foglio deposito bis'!$F$79*(C1902-sezione!$AM$34)*IF(ABS(L1902)&lt;'Progetto del paramento slu'!$G$58,ABS(L1902)*'Progetto del paramento slu'!$G$54,'Progetto del paramento slu'!$G$53)</f>
        <v>12507117.119614867</v>
      </c>
      <c r="G1902" s="553">
        <f>-'Foglio deposito bis'!$F$80*(C1902-sezione!$AN$34)*IF(ABS(M1902)&lt;'Progetto del paramento slu'!$G$58,ABS(M1902)*'Progetto del paramento slu'!$G$54,'Progetto del paramento slu'!$G$53)</f>
        <v>0</v>
      </c>
      <c r="H1902" s="553">
        <f>-'Foglio deposito bis'!$F$81*(C1902-sezione!$AO$34)*IF(ABS(N1902)&lt;'Progetto del paramento slu'!$G$58,ABS(N1902)*'Progetto del paramento slu'!$G$54,'Progetto del paramento slu'!$G$53)</f>
        <v>108095316.86947168</v>
      </c>
      <c r="I1902" s="479">
        <f>-'Foglio deposito bis'!$F$82*(C1902-sezione!$AP$34)*IF(ABS(O1902)&lt;'Progetto del paramento slu'!$G$58,ABS(O1902)*'Progetto del paramento slu'!$G$54,'Progetto del paramento slu'!$G$53)</f>
        <v>170820983.85322815</v>
      </c>
      <c r="J1902" s="479">
        <f t="shared" si="139"/>
        <v>252675118.70021468</v>
      </c>
      <c r="K1902" s="558">
        <f>'Progetto del paramento slu'!$G$60*(sezione!$AL$34-C1902)/C1902</f>
        <v>-1.4594164172071808E-3</v>
      </c>
      <c r="L1902" s="558">
        <f>'Progetto del paramento slu'!$G$60*(sezione!$AM$34-C1902)/C1902</f>
        <v>4.1521884354730736E-3</v>
      </c>
      <c r="M1902" s="559">
        <f>'Progetto del paramento slu'!$G$60*(sezione!$AN$34-C1902)/C1902</f>
        <v>9.7637932881533256E-3</v>
      </c>
      <c r="N1902" s="559">
        <f>'Progetto del paramento slu'!$G$60*(sezione!$AO$34-C1902)/C1902</f>
        <v>1.3844960453738965E-2</v>
      </c>
      <c r="O1902" s="559">
        <f>'Progetto del paramento slu'!$G$60*(sezione!$AP$34-C1902)/C1902</f>
        <v>9.7641501450178546E-3</v>
      </c>
      <c r="P1902" s="553">
        <f>-'Progetto del paramento slu'!$G$47*'Progetto del paramento slu'!$G$41*IF(DATI!$G$218="dx",DATI!$E$61,DATI!$E$64*DATI!$E$63)*1000*C1902*sezione!$AD$5</f>
        <v>-967088.34504053835</v>
      </c>
      <c r="Q1902" s="553">
        <f>'Foglio deposito bis'!$F$78*IF(ABS(K1902)&lt;'Progetto del paramento slu'!$G$58,ABS(K1902)*'Progetto del paramento slu'!$G$54,'Progetto del paramento slu'!$G$53)*IF(K1902&lt;0,-1,1)</f>
        <v>0</v>
      </c>
      <c r="R1902" s="553">
        <f>'Foglio deposito bis'!$F$79*IF(ABS(L1902)&lt;'Progetto del paramento slu'!$G$58,ABS(L1902)*'Progetto del paramento slu'!$G$54,'Progetto del paramento slu'!$G$53)*IF(L1902&lt;0,-1,1)</f>
        <v>153664.85805602249</v>
      </c>
      <c r="S1902" s="553">
        <f>'Foglio deposito bis'!$F$80*IF(ABS(M1902)&lt;'Progetto del paramento slu'!$G$58,ABS(M1902)*'Progetto del paramento slu'!$G$54,'Progetto del paramento slu'!$G$53)*IF(M1902&lt;0,-1,1)</f>
        <v>0</v>
      </c>
      <c r="T1902" s="553">
        <f>'Foglio deposito bis'!$F$81*IF(ABS(N1902)&lt;'Progetto del paramento slu'!$G$58,ABS(N1902)*'Progetto del paramento slu'!$G$54,'Progetto del paramento slu'!$G$53)*IF(N1902&lt;0,-1,1)</f>
        <v>398299.31208121032</v>
      </c>
      <c r="U1902" s="553">
        <f>'Foglio deposito bis'!$F$82*IF(ABS(O1902)&lt;'Progetto del paramento slu'!$G$58,ABS(O1902)*'Progetto del paramento slu'!$G$54,'Progetto del paramento slu'!$G$53)*IF(O1902&lt;0,-1,1)</f>
        <v>892485.49558937876</v>
      </c>
      <c r="V1902" s="479">
        <f t="shared" si="141"/>
        <v>477361.32068607328</v>
      </c>
      <c r="W1902" s="559"/>
      <c r="X1902" s="559"/>
    </row>
    <row r="1903" spans="1:24" x14ac:dyDescent="0.25">
      <c r="A1903" s="553">
        <f t="shared" si="140"/>
        <v>465916.48820038629</v>
      </c>
      <c r="B1903" s="3">
        <f t="shared" si="138"/>
        <v>17.099999999999962</v>
      </c>
      <c r="C1903" s="553">
        <f>'Foglio deposito bis'!$E$160/sezione!$B$247*B1903</f>
        <v>69.419751255594733</v>
      </c>
      <c r="D1903" s="611">
        <f>-'Progetto del paramento slu'!$G$47*'Progetto del paramento slu'!$G$41*IF(DATI!$G$218="dx",DATI!$E$61,DATI!$E$64*DATI!$E$63)*1000*C1903^2*sezione!$AD$5*(1-sezione!$AD$6)</f>
        <v>-39670845.391062893</v>
      </c>
      <c r="E1903" s="553">
        <f>-'Foglio deposito bis'!$F$78*(C1903-sezione!$AL$34)*IF(ABS(K1903)&lt;'Progetto del paramento slu'!$G$58,ABS(K1903)*'Progetto del paramento slu'!$G$54,'Progetto del paramento slu'!$G$53)</f>
        <v>0</v>
      </c>
      <c r="F1903" s="553">
        <f>-'Foglio deposito bis'!$F$79*(C1903-sezione!$AM$34)*IF(ABS(L1903)&lt;'Progetto del paramento slu'!$G$58,ABS(L1903)*'Progetto del paramento slu'!$G$54,'Progetto del paramento slu'!$G$53)</f>
        <v>12382352.48542802</v>
      </c>
      <c r="G1903" s="553">
        <f>-'Foglio deposito bis'!$F$80*(C1903-sezione!$AN$34)*IF(ABS(M1903)&lt;'Progetto del paramento slu'!$G$58,ABS(M1903)*'Progetto del paramento slu'!$G$54,'Progetto del paramento slu'!$G$53)</f>
        <v>0</v>
      </c>
      <c r="H1903" s="553">
        <f>-'Foglio deposito bis'!$F$81*(C1903-sezione!$AO$34)*IF(ABS(N1903)&lt;'Progetto del paramento slu'!$G$58,ABS(N1903)*'Progetto del paramento slu'!$G$54,'Progetto del paramento slu'!$G$53)</f>
        <v>107771926.9376594</v>
      </c>
      <c r="I1903" s="479">
        <f>-'Foglio deposito bis'!$F$82*(C1903-sezione!$AP$34)*IF(ABS(O1903)&lt;'Progetto del paramento slu'!$G$58,ABS(O1903)*'Progetto del paramento slu'!$G$54,'Progetto del paramento slu'!$G$53)</f>
        <v>170096350.85787091</v>
      </c>
      <c r="J1903" s="479">
        <f t="shared" si="139"/>
        <v>250579784.88989544</v>
      </c>
      <c r="K1903" s="558">
        <f>'Progetto del paramento slu'!$G$60*(sezione!$AL$34-C1903)/C1903</f>
        <v>-1.4832828918597285E-3</v>
      </c>
      <c r="L1903" s="558">
        <f>'Progetto del paramento slu'!$G$60*(sezione!$AM$34-C1903)/C1903</f>
        <v>4.0626891555260187E-3</v>
      </c>
      <c r="M1903" s="559">
        <f>'Progetto del paramento slu'!$G$60*(sezione!$AN$34-C1903)/C1903</f>
        <v>9.6086612029117648E-3</v>
      </c>
      <c r="N1903" s="559">
        <f>'Progetto del paramento slu'!$G$60*(sezione!$AO$34-C1903)/C1903</f>
        <v>1.3642095419192308E-2</v>
      </c>
      <c r="O1903" s="559">
        <f>'Progetto del paramento slu'!$G$60*(sezione!$AP$34-C1903)/C1903</f>
        <v>9.6090138860117965E-3</v>
      </c>
      <c r="P1903" s="553">
        <f>-'Progetto del paramento slu'!$G$47*'Progetto del paramento slu'!$G$41*IF(DATI!$G$218="dx",DATI!$E$61,DATI!$E$64*DATI!$E$63)*1000*C1903*sezione!$AD$5</f>
        <v>-978533.17752622522</v>
      </c>
      <c r="Q1903" s="553">
        <f>'Foglio deposito bis'!$F$78*IF(ABS(K1903)&lt;'Progetto del paramento slu'!$G$58,ABS(K1903)*'Progetto del paramento slu'!$G$54,'Progetto del paramento slu'!$G$53)*IF(K1903&lt;0,-1,1)</f>
        <v>0</v>
      </c>
      <c r="R1903" s="553">
        <f>'Foglio deposito bis'!$F$79*IF(ABS(L1903)&lt;'Progetto del paramento slu'!$G$58,ABS(L1903)*'Progetto del paramento slu'!$G$54,'Progetto del paramento slu'!$G$53)*IF(L1903&lt;0,-1,1)</f>
        <v>153664.85805602249</v>
      </c>
      <c r="S1903" s="553">
        <f>'Foglio deposito bis'!$F$80*IF(ABS(M1903)&lt;'Progetto del paramento slu'!$G$58,ABS(M1903)*'Progetto del paramento slu'!$G$54,'Progetto del paramento slu'!$G$53)*IF(M1903&lt;0,-1,1)</f>
        <v>0</v>
      </c>
      <c r="T1903" s="553">
        <f>'Foglio deposito bis'!$F$81*IF(ABS(N1903)&lt;'Progetto del paramento slu'!$G$58,ABS(N1903)*'Progetto del paramento slu'!$G$54,'Progetto del paramento slu'!$G$53)*IF(N1903&lt;0,-1,1)</f>
        <v>398299.31208121032</v>
      </c>
      <c r="U1903" s="553">
        <f>'Foglio deposito bis'!$F$82*IF(ABS(O1903)&lt;'Progetto del paramento slu'!$G$58,ABS(O1903)*'Progetto del paramento slu'!$G$54,'Progetto del paramento slu'!$G$53)*IF(O1903&lt;0,-1,1)</f>
        <v>892485.49558937876</v>
      </c>
      <c r="V1903" s="479">
        <f t="shared" si="141"/>
        <v>465916.48820038629</v>
      </c>
      <c r="W1903" s="559"/>
      <c r="X1903" s="559"/>
    </row>
    <row r="1904" spans="1:24" x14ac:dyDescent="0.25">
      <c r="A1904" s="553">
        <f t="shared" si="140"/>
        <v>454471.65571469953</v>
      </c>
      <c r="B1904" s="3">
        <f t="shared" si="138"/>
        <v>17.299999999999962</v>
      </c>
      <c r="C1904" s="553">
        <f>'Foglio deposito bis'!$E$160/sezione!$B$247*B1904</f>
        <v>70.231678170864839</v>
      </c>
      <c r="D1904" s="611">
        <f>-'Progetto del paramento slu'!$G$47*'Progetto del paramento slu'!$G$41*IF(DATI!$G$218="dx",DATI!$E$61,DATI!$E$64*DATI!$E$63)*1000*C1904^2*sezione!$AD$5*(1-sezione!$AD$6)</f>
        <v>-40604245.125307657</v>
      </c>
      <c r="E1904" s="553">
        <f>-'Foglio deposito bis'!$F$78*(C1904-sezione!$AL$34)*IF(ABS(K1904)&lt;'Progetto del paramento slu'!$G$58,ABS(K1904)*'Progetto del paramento slu'!$G$54,'Progetto del paramento slu'!$G$53)</f>
        <v>0</v>
      </c>
      <c r="F1904" s="553">
        <f>-'Foglio deposito bis'!$F$79*(C1904-sezione!$AM$34)*IF(ABS(L1904)&lt;'Progetto del paramento slu'!$G$58,ABS(L1904)*'Progetto del paramento slu'!$G$54,'Progetto del paramento slu'!$G$53)</f>
        <v>12257587.851241175</v>
      </c>
      <c r="G1904" s="553">
        <f>-'Foglio deposito bis'!$F$80*(C1904-sezione!$AN$34)*IF(ABS(M1904)&lt;'Progetto del paramento slu'!$G$58,ABS(M1904)*'Progetto del paramento slu'!$G$54,'Progetto del paramento slu'!$G$53)</f>
        <v>0</v>
      </c>
      <c r="H1904" s="553">
        <f>-'Foglio deposito bis'!$F$81*(C1904-sezione!$AO$34)*IF(ABS(N1904)&lt;'Progetto del paramento slu'!$G$58,ABS(N1904)*'Progetto del paramento slu'!$G$54,'Progetto del paramento slu'!$G$53)</f>
        <v>107448537.0058471</v>
      </c>
      <c r="I1904" s="479">
        <f>-'Foglio deposito bis'!$F$82*(C1904-sezione!$AP$34)*IF(ABS(O1904)&lt;'Progetto del paramento slu'!$G$58,ABS(O1904)*'Progetto del paramento slu'!$G$54,'Progetto del paramento slu'!$G$53)</f>
        <v>169371717.86251375</v>
      </c>
      <c r="J1904" s="479">
        <f t="shared" si="139"/>
        <v>248473597.59429437</v>
      </c>
      <c r="K1904" s="558">
        <f>'Progetto del paramento slu'!$G$60*(sezione!$AL$34-C1904)/C1904</f>
        <v>-1.5065975405087486E-3</v>
      </c>
      <c r="L1904" s="558">
        <f>'Progetto del paramento slu'!$G$60*(sezione!$AM$34-C1904)/C1904</f>
        <v>3.9752592230921924E-3</v>
      </c>
      <c r="M1904" s="559">
        <f>'Progetto del paramento slu'!$G$60*(sezione!$AN$34-C1904)/C1904</f>
        <v>9.4571159866931355E-3</v>
      </c>
      <c r="N1904" s="559">
        <f>'Progetto del paramento slu'!$G$60*(sezione!$AO$34-C1904)/C1904</f>
        <v>1.3443920905675638E-2</v>
      </c>
      <c r="O1904" s="559">
        <f>'Progetto del paramento slu'!$G$60*(sezione!$AP$34-C1904)/C1904</f>
        <v>9.4574645925318938E-3</v>
      </c>
      <c r="P1904" s="553">
        <f>-'Progetto del paramento slu'!$G$47*'Progetto del paramento slu'!$G$41*IF(DATI!$G$218="dx",DATI!$E$61,DATI!$E$64*DATI!$E$63)*1000*C1904*sezione!$AD$5</f>
        <v>-989978.01001191209</v>
      </c>
      <c r="Q1904" s="553">
        <f>'Foglio deposito bis'!$F$78*IF(ABS(K1904)&lt;'Progetto del paramento slu'!$G$58,ABS(K1904)*'Progetto del paramento slu'!$G$54,'Progetto del paramento slu'!$G$53)*IF(K1904&lt;0,-1,1)</f>
        <v>0</v>
      </c>
      <c r="R1904" s="553">
        <f>'Foglio deposito bis'!$F$79*IF(ABS(L1904)&lt;'Progetto del paramento slu'!$G$58,ABS(L1904)*'Progetto del paramento slu'!$G$54,'Progetto del paramento slu'!$G$53)*IF(L1904&lt;0,-1,1)</f>
        <v>153664.85805602249</v>
      </c>
      <c r="S1904" s="553">
        <f>'Foglio deposito bis'!$F$80*IF(ABS(M1904)&lt;'Progetto del paramento slu'!$G$58,ABS(M1904)*'Progetto del paramento slu'!$G$54,'Progetto del paramento slu'!$G$53)*IF(M1904&lt;0,-1,1)</f>
        <v>0</v>
      </c>
      <c r="T1904" s="553">
        <f>'Foglio deposito bis'!$F$81*IF(ABS(N1904)&lt;'Progetto del paramento slu'!$G$58,ABS(N1904)*'Progetto del paramento slu'!$G$54,'Progetto del paramento slu'!$G$53)*IF(N1904&lt;0,-1,1)</f>
        <v>398299.31208121032</v>
      </c>
      <c r="U1904" s="553">
        <f>'Foglio deposito bis'!$F$82*IF(ABS(O1904)&lt;'Progetto del paramento slu'!$G$58,ABS(O1904)*'Progetto del paramento slu'!$G$54,'Progetto del paramento slu'!$G$53)*IF(O1904&lt;0,-1,1)</f>
        <v>892485.49558937876</v>
      </c>
      <c r="V1904" s="479">
        <f t="shared" si="141"/>
        <v>454471.65571469953</v>
      </c>
      <c r="W1904" s="559"/>
      <c r="X1904" s="559"/>
    </row>
    <row r="1905" spans="1:24" x14ac:dyDescent="0.25">
      <c r="A1905" s="553">
        <f t="shared" si="140"/>
        <v>443026.82322901278</v>
      </c>
      <c r="B1905" s="3">
        <f t="shared" si="138"/>
        <v>17.499999999999961</v>
      </c>
      <c r="C1905" s="553">
        <f>'Foglio deposito bis'!$E$160/sezione!$B$247*B1905</f>
        <v>71.04360508613496</v>
      </c>
      <c r="D1905" s="611">
        <f>-'Progetto del paramento slu'!$G$47*'Progetto del paramento slu'!$G$41*IF(DATI!$G$218="dx",DATI!$E$61,DATI!$E$64*DATI!$E$63)*1000*C1905^2*sezione!$AD$5*(1-sezione!$AD$6)</f>
        <v>-41548498.344834343</v>
      </c>
      <c r="E1905" s="553">
        <f>-'Foglio deposito bis'!$F$78*(C1905-sezione!$AL$34)*IF(ABS(K1905)&lt;'Progetto del paramento slu'!$G$58,ABS(K1905)*'Progetto del paramento slu'!$G$54,'Progetto del paramento slu'!$G$53)</f>
        <v>0</v>
      </c>
      <c r="F1905" s="553">
        <f>-'Foglio deposito bis'!$F$79*(C1905-sezione!$AM$34)*IF(ABS(L1905)&lt;'Progetto del paramento slu'!$G$58,ABS(L1905)*'Progetto del paramento slu'!$G$54,'Progetto del paramento slu'!$G$53)</f>
        <v>12132823.217054328</v>
      </c>
      <c r="G1905" s="553">
        <f>-'Foglio deposito bis'!$F$80*(C1905-sezione!$AN$34)*IF(ABS(M1905)&lt;'Progetto del paramento slu'!$G$58,ABS(M1905)*'Progetto del paramento slu'!$G$54,'Progetto del paramento slu'!$G$53)</f>
        <v>0</v>
      </c>
      <c r="H1905" s="553">
        <f>-'Foglio deposito bis'!$F$81*(C1905-sezione!$AO$34)*IF(ABS(N1905)&lt;'Progetto del paramento slu'!$G$58,ABS(N1905)*'Progetto del paramento slu'!$G$54,'Progetto del paramento slu'!$G$53)</f>
        <v>107125147.07403478</v>
      </c>
      <c r="I1905" s="479">
        <f>-'Foglio deposito bis'!$F$82*(C1905-sezione!$AP$34)*IF(ABS(O1905)&lt;'Progetto del paramento slu'!$G$58,ABS(O1905)*'Progetto del paramento slu'!$G$54,'Progetto del paramento slu'!$G$53)</f>
        <v>168647084.86715651</v>
      </c>
      <c r="J1905" s="479">
        <f t="shared" si="139"/>
        <v>246356556.81341127</v>
      </c>
      <c r="K1905" s="558">
        <f>'Progetto del paramento slu'!$G$60*(sezione!$AL$34-C1905)/C1905</f>
        <v>-1.5293792829029346E-3</v>
      </c>
      <c r="L1905" s="558">
        <f>'Progetto del paramento slu'!$G$60*(sezione!$AM$34-C1905)/C1905</f>
        <v>3.8898276891139957E-3</v>
      </c>
      <c r="M1905" s="559">
        <f>'Progetto del paramento slu'!$G$60*(sezione!$AN$34-C1905)/C1905</f>
        <v>9.3090346611309251E-3</v>
      </c>
      <c r="N1905" s="559">
        <f>'Progetto del paramento slu'!$G$60*(sezione!$AO$34-C1905)/C1905</f>
        <v>1.3250276095325057E-2</v>
      </c>
      <c r="O1905" s="559">
        <f>'Progetto del paramento slu'!$G$60*(sezione!$AP$34-C1905)/C1905</f>
        <v>9.3093792829029558E-3</v>
      </c>
      <c r="P1905" s="553">
        <f>-'Progetto del paramento slu'!$G$47*'Progetto del paramento slu'!$G$41*IF(DATI!$G$218="dx",DATI!$E$61,DATI!$E$64*DATI!$E$63)*1000*C1905*sezione!$AD$5</f>
        <v>-1001422.8424975988</v>
      </c>
      <c r="Q1905" s="553">
        <f>'Foglio deposito bis'!$F$78*IF(ABS(K1905)&lt;'Progetto del paramento slu'!$G$58,ABS(K1905)*'Progetto del paramento slu'!$G$54,'Progetto del paramento slu'!$G$53)*IF(K1905&lt;0,-1,1)</f>
        <v>0</v>
      </c>
      <c r="R1905" s="553">
        <f>'Foglio deposito bis'!$F$79*IF(ABS(L1905)&lt;'Progetto del paramento slu'!$G$58,ABS(L1905)*'Progetto del paramento slu'!$G$54,'Progetto del paramento slu'!$G$53)*IF(L1905&lt;0,-1,1)</f>
        <v>153664.85805602249</v>
      </c>
      <c r="S1905" s="553">
        <f>'Foglio deposito bis'!$F$80*IF(ABS(M1905)&lt;'Progetto del paramento slu'!$G$58,ABS(M1905)*'Progetto del paramento slu'!$G$54,'Progetto del paramento slu'!$G$53)*IF(M1905&lt;0,-1,1)</f>
        <v>0</v>
      </c>
      <c r="T1905" s="553">
        <f>'Foglio deposito bis'!$F$81*IF(ABS(N1905)&lt;'Progetto del paramento slu'!$G$58,ABS(N1905)*'Progetto del paramento slu'!$G$54,'Progetto del paramento slu'!$G$53)*IF(N1905&lt;0,-1,1)</f>
        <v>398299.31208121032</v>
      </c>
      <c r="U1905" s="553">
        <f>'Foglio deposito bis'!$F$82*IF(ABS(O1905)&lt;'Progetto del paramento slu'!$G$58,ABS(O1905)*'Progetto del paramento slu'!$G$54,'Progetto del paramento slu'!$G$53)*IF(O1905&lt;0,-1,1)</f>
        <v>892485.49558937876</v>
      </c>
      <c r="V1905" s="479">
        <f t="shared" si="141"/>
        <v>443026.82322901278</v>
      </c>
      <c r="W1905" s="559"/>
      <c r="X1905" s="559"/>
    </row>
    <row r="1906" spans="1:24" x14ac:dyDescent="0.25">
      <c r="A1906" s="553">
        <f t="shared" si="140"/>
        <v>431581.99074332579</v>
      </c>
      <c r="B1906" s="3">
        <f t="shared" si="138"/>
        <v>17.69999999999996</v>
      </c>
      <c r="C1906" s="553">
        <f>'Foglio deposito bis'!$E$160/sezione!$B$247*B1906</f>
        <v>71.855532001405066</v>
      </c>
      <c r="D1906" s="611">
        <f>-'Progetto del paramento slu'!$G$47*'Progetto del paramento slu'!$G$41*IF(DATI!$G$218="dx",DATI!$E$61,DATI!$E$64*DATI!$E$63)*1000*C1906^2*sezione!$AD$5*(1-sezione!$AD$6)</f>
        <v>-42503605.049642943</v>
      </c>
      <c r="E1906" s="553">
        <f>-'Foglio deposito bis'!$F$78*(C1906-sezione!$AL$34)*IF(ABS(K1906)&lt;'Progetto del paramento slu'!$G$58,ABS(K1906)*'Progetto del paramento slu'!$G$54,'Progetto del paramento slu'!$G$53)</f>
        <v>0</v>
      </c>
      <c r="F1906" s="553">
        <f>-'Foglio deposito bis'!$F$79*(C1906-sezione!$AM$34)*IF(ABS(L1906)&lt;'Progetto del paramento slu'!$G$58,ABS(L1906)*'Progetto del paramento slu'!$G$54,'Progetto del paramento slu'!$G$53)</f>
        <v>12008058.582867483</v>
      </c>
      <c r="G1906" s="553">
        <f>-'Foglio deposito bis'!$F$80*(C1906-sezione!$AN$34)*IF(ABS(M1906)&lt;'Progetto del paramento slu'!$G$58,ABS(M1906)*'Progetto del paramento slu'!$G$54,'Progetto del paramento slu'!$G$53)</f>
        <v>0</v>
      </c>
      <c r="H1906" s="553">
        <f>-'Foglio deposito bis'!$F$81*(C1906-sezione!$AO$34)*IF(ABS(N1906)&lt;'Progetto del paramento slu'!$G$58,ABS(N1906)*'Progetto del paramento slu'!$G$54,'Progetto del paramento slu'!$G$53)</f>
        <v>106801757.14222246</v>
      </c>
      <c r="I1906" s="479">
        <f>-'Foglio deposito bis'!$F$82*(C1906-sezione!$AP$34)*IF(ABS(O1906)&lt;'Progetto del paramento slu'!$G$58,ABS(O1906)*'Progetto del paramento slu'!$G$54,'Progetto del paramento slu'!$G$53)</f>
        <v>167922451.87179932</v>
      </c>
      <c r="J1906" s="479">
        <f t="shared" si="139"/>
        <v>244228662.54724634</v>
      </c>
      <c r="K1906" s="558">
        <f>'Progetto del paramento slu'!$G$60*(sezione!$AL$34-C1906)/C1906</f>
        <v>-1.5516461836610933E-3</v>
      </c>
      <c r="L1906" s="558">
        <f>'Progetto del paramento slu'!$G$60*(sezione!$AM$34-C1906)/C1906</f>
        <v>3.8063268112708999E-3</v>
      </c>
      <c r="M1906" s="559">
        <f>'Progetto del paramento slu'!$G$60*(sezione!$AN$34-C1906)/C1906</f>
        <v>9.1642998062028951E-3</v>
      </c>
      <c r="N1906" s="559">
        <f>'Progetto del paramento slu'!$G$60*(sezione!$AO$34-C1906)/C1906</f>
        <v>1.3061007438880707E-2</v>
      </c>
      <c r="O1906" s="559">
        <f>'Progetto del paramento slu'!$G$60*(sezione!$AP$34-C1906)/C1906</f>
        <v>9.1646405339436028E-3</v>
      </c>
      <c r="P1906" s="553">
        <f>-'Progetto del paramento slu'!$G$47*'Progetto del paramento slu'!$G$41*IF(DATI!$G$218="dx",DATI!$E$61,DATI!$E$64*DATI!$E$63)*1000*C1906*sezione!$AD$5</f>
        <v>-1012867.6749832857</v>
      </c>
      <c r="Q1906" s="553">
        <f>'Foglio deposito bis'!$F$78*IF(ABS(K1906)&lt;'Progetto del paramento slu'!$G$58,ABS(K1906)*'Progetto del paramento slu'!$G$54,'Progetto del paramento slu'!$G$53)*IF(K1906&lt;0,-1,1)</f>
        <v>0</v>
      </c>
      <c r="R1906" s="553">
        <f>'Foglio deposito bis'!$F$79*IF(ABS(L1906)&lt;'Progetto del paramento slu'!$G$58,ABS(L1906)*'Progetto del paramento slu'!$G$54,'Progetto del paramento slu'!$G$53)*IF(L1906&lt;0,-1,1)</f>
        <v>153664.85805602249</v>
      </c>
      <c r="S1906" s="553">
        <f>'Foglio deposito bis'!$F$80*IF(ABS(M1906)&lt;'Progetto del paramento slu'!$G$58,ABS(M1906)*'Progetto del paramento slu'!$G$54,'Progetto del paramento slu'!$G$53)*IF(M1906&lt;0,-1,1)</f>
        <v>0</v>
      </c>
      <c r="T1906" s="553">
        <f>'Foglio deposito bis'!$F$81*IF(ABS(N1906)&lt;'Progetto del paramento slu'!$G$58,ABS(N1906)*'Progetto del paramento slu'!$G$54,'Progetto del paramento slu'!$G$53)*IF(N1906&lt;0,-1,1)</f>
        <v>398299.31208121032</v>
      </c>
      <c r="U1906" s="553">
        <f>'Foglio deposito bis'!$F$82*IF(ABS(O1906)&lt;'Progetto del paramento slu'!$G$58,ABS(O1906)*'Progetto del paramento slu'!$G$54,'Progetto del paramento slu'!$G$53)*IF(O1906&lt;0,-1,1)</f>
        <v>892485.49558937876</v>
      </c>
      <c r="V1906" s="479">
        <f t="shared" si="141"/>
        <v>431581.99074332579</v>
      </c>
      <c r="W1906" s="559"/>
      <c r="X1906" s="559"/>
    </row>
    <row r="1907" spans="1:24" x14ac:dyDescent="0.25">
      <c r="A1907" s="553">
        <f t="shared" si="140"/>
        <v>420137.15825763927</v>
      </c>
      <c r="B1907" s="3">
        <f t="shared" si="138"/>
        <v>17.899999999999959</v>
      </c>
      <c r="C1907" s="553">
        <f>'Foglio deposito bis'!$E$160/sezione!$B$247*B1907</f>
        <v>72.667458916675173</v>
      </c>
      <c r="D1907" s="611">
        <f>-'Progetto del paramento slu'!$G$47*'Progetto del paramento slu'!$G$41*IF(DATI!$G$218="dx",DATI!$E$61,DATI!$E$64*DATI!$E$63)*1000*C1907^2*sezione!$AD$5*(1-sezione!$AD$6)</f>
        <v>-43469565.239733443</v>
      </c>
      <c r="E1907" s="553">
        <f>-'Foglio deposito bis'!$F$78*(C1907-sezione!$AL$34)*IF(ABS(K1907)&lt;'Progetto del paramento slu'!$G$58,ABS(K1907)*'Progetto del paramento slu'!$G$54,'Progetto del paramento slu'!$G$53)</f>
        <v>0</v>
      </c>
      <c r="F1907" s="553">
        <f>-'Foglio deposito bis'!$F$79*(C1907-sezione!$AM$34)*IF(ABS(L1907)&lt;'Progetto del paramento slu'!$G$58,ABS(L1907)*'Progetto del paramento slu'!$G$54,'Progetto del paramento slu'!$G$53)</f>
        <v>11883293.948680637</v>
      </c>
      <c r="G1907" s="553">
        <f>-'Foglio deposito bis'!$F$80*(C1907-sezione!$AN$34)*IF(ABS(M1907)&lt;'Progetto del paramento slu'!$G$58,ABS(M1907)*'Progetto del paramento slu'!$G$54,'Progetto del paramento slu'!$G$53)</f>
        <v>0</v>
      </c>
      <c r="H1907" s="553">
        <f>-'Foglio deposito bis'!$F$81*(C1907-sezione!$AO$34)*IF(ABS(N1907)&lt;'Progetto del paramento slu'!$G$58,ABS(N1907)*'Progetto del paramento slu'!$G$54,'Progetto del paramento slu'!$G$53)</f>
        <v>106478367.21041016</v>
      </c>
      <c r="I1907" s="479">
        <f>-'Foglio deposito bis'!$F$82*(C1907-sezione!$AP$34)*IF(ABS(O1907)&lt;'Progetto del paramento slu'!$G$58,ABS(O1907)*'Progetto del paramento slu'!$G$54,'Progetto del paramento slu'!$G$53)</f>
        <v>167197818.8764421</v>
      </c>
      <c r="J1907" s="479">
        <f t="shared" si="139"/>
        <v>242089914.79579946</v>
      </c>
      <c r="K1907" s="558">
        <f>'Progetto del paramento slu'!$G$60*(sezione!$AL$34-C1907)/C1907</f>
        <v>-1.5734155000447681E-3</v>
      </c>
      <c r="L1907" s="558">
        <f>'Progetto del paramento slu'!$G$60*(sezione!$AM$34-C1907)/C1907</f>
        <v>3.72469187483212E-3</v>
      </c>
      <c r="M1907" s="559">
        <f>'Progetto del paramento slu'!$G$60*(sezione!$AN$34-C1907)/C1907</f>
        <v>9.0227992497090084E-3</v>
      </c>
      <c r="N1907" s="559">
        <f>'Progetto del paramento slu'!$G$60*(sezione!$AO$34-C1907)/C1907</f>
        <v>1.2875968249619472E-2</v>
      </c>
      <c r="O1907" s="559">
        <f>'Progetto del paramento slu'!$G$60*(sezione!$AP$34-C1907)/C1907</f>
        <v>9.023136170435854E-3</v>
      </c>
      <c r="P1907" s="553">
        <f>-'Progetto del paramento slu'!$G$47*'Progetto del paramento slu'!$G$41*IF(DATI!$G$218="dx",DATI!$E$61,DATI!$E$64*DATI!$E$63)*1000*C1907*sezione!$AD$5</f>
        <v>-1024312.5074689724</v>
      </c>
      <c r="Q1907" s="553">
        <f>'Foglio deposito bis'!$F$78*IF(ABS(K1907)&lt;'Progetto del paramento slu'!$G$58,ABS(K1907)*'Progetto del paramento slu'!$G$54,'Progetto del paramento slu'!$G$53)*IF(K1907&lt;0,-1,1)</f>
        <v>0</v>
      </c>
      <c r="R1907" s="553">
        <f>'Foglio deposito bis'!$F$79*IF(ABS(L1907)&lt;'Progetto del paramento slu'!$G$58,ABS(L1907)*'Progetto del paramento slu'!$G$54,'Progetto del paramento slu'!$G$53)*IF(L1907&lt;0,-1,1)</f>
        <v>153664.85805602249</v>
      </c>
      <c r="S1907" s="553">
        <f>'Foglio deposito bis'!$F$80*IF(ABS(M1907)&lt;'Progetto del paramento slu'!$G$58,ABS(M1907)*'Progetto del paramento slu'!$G$54,'Progetto del paramento slu'!$G$53)*IF(M1907&lt;0,-1,1)</f>
        <v>0</v>
      </c>
      <c r="T1907" s="553">
        <f>'Foglio deposito bis'!$F$81*IF(ABS(N1907)&lt;'Progetto del paramento slu'!$G$58,ABS(N1907)*'Progetto del paramento slu'!$G$54,'Progetto del paramento slu'!$G$53)*IF(N1907&lt;0,-1,1)</f>
        <v>398299.31208121032</v>
      </c>
      <c r="U1907" s="553">
        <f>'Foglio deposito bis'!$F$82*IF(ABS(O1907)&lt;'Progetto del paramento slu'!$G$58,ABS(O1907)*'Progetto del paramento slu'!$G$54,'Progetto del paramento slu'!$G$53)*IF(O1907&lt;0,-1,1)</f>
        <v>892485.49558937876</v>
      </c>
      <c r="V1907" s="479">
        <f t="shared" si="141"/>
        <v>420137.15825763927</v>
      </c>
      <c r="W1907" s="559"/>
      <c r="X1907" s="559"/>
    </row>
    <row r="1908" spans="1:24" x14ac:dyDescent="0.25">
      <c r="A1908" s="553">
        <f t="shared" si="140"/>
        <v>408692.32577195205</v>
      </c>
      <c r="B1908" s="3">
        <f t="shared" si="138"/>
        <v>18.099999999999959</v>
      </c>
      <c r="C1908" s="553">
        <f>'Foglio deposito bis'!$E$160/sezione!$B$247*B1908</f>
        <v>73.479385831945294</v>
      </c>
      <c r="D1908" s="611">
        <f>-'Progetto del paramento slu'!$G$47*'Progetto del paramento slu'!$G$41*IF(DATI!$G$218="dx",DATI!$E$61,DATI!$E$64*DATI!$E$63)*1000*C1908^2*sezione!$AD$5*(1-sezione!$AD$6)</f>
        <v>-44446378.915105887</v>
      </c>
      <c r="E1908" s="553">
        <f>-'Foglio deposito bis'!$F$78*(C1908-sezione!$AL$34)*IF(ABS(K1908)&lt;'Progetto del paramento slu'!$G$58,ABS(K1908)*'Progetto del paramento slu'!$G$54,'Progetto del paramento slu'!$G$53)</f>
        <v>0</v>
      </c>
      <c r="F1908" s="553">
        <f>-'Foglio deposito bis'!$F$79*(C1908-sezione!$AM$34)*IF(ABS(L1908)&lt;'Progetto del paramento slu'!$G$58,ABS(L1908)*'Progetto del paramento slu'!$G$54,'Progetto del paramento slu'!$G$53)</f>
        <v>11758529.31449379</v>
      </c>
      <c r="G1908" s="553">
        <f>-'Foglio deposito bis'!$F$80*(C1908-sezione!$AN$34)*IF(ABS(M1908)&lt;'Progetto del paramento slu'!$G$58,ABS(M1908)*'Progetto del paramento slu'!$G$54,'Progetto del paramento slu'!$G$53)</f>
        <v>0</v>
      </c>
      <c r="H1908" s="553">
        <f>-'Foglio deposito bis'!$F$81*(C1908-sezione!$AO$34)*IF(ABS(N1908)&lt;'Progetto del paramento slu'!$G$58,ABS(N1908)*'Progetto del paramento slu'!$G$54,'Progetto del paramento slu'!$G$53)</f>
        <v>106154977.27859785</v>
      </c>
      <c r="I1908" s="479">
        <f>-'Foglio deposito bis'!$F$82*(C1908-sezione!$AP$34)*IF(ABS(O1908)&lt;'Progetto del paramento slu'!$G$58,ABS(O1908)*'Progetto del paramento slu'!$G$54,'Progetto del paramento slu'!$G$53)</f>
        <v>166473185.88108489</v>
      </c>
      <c r="J1908" s="479">
        <f t="shared" si="139"/>
        <v>239940313.55907065</v>
      </c>
      <c r="K1908" s="558">
        <f>'Progetto del paramento slu'!$G$60*(sezione!$AL$34-C1908)/C1908</f>
        <v>-1.5947037265636105E-3</v>
      </c>
      <c r="L1908" s="558">
        <f>'Progetto del paramento slu'!$G$60*(sezione!$AM$34-C1908)/C1908</f>
        <v>3.6448610253864608E-3</v>
      </c>
      <c r="M1908" s="559">
        <f>'Progetto del paramento slu'!$G$60*(sezione!$AN$34-C1908)/C1908</f>
        <v>8.8844257773365298E-3</v>
      </c>
      <c r="N1908" s="559">
        <f>'Progetto del paramento slu'!$G$60*(sezione!$AO$34-C1908)/C1908</f>
        <v>1.2695018324209309E-2</v>
      </c>
      <c r="O1908" s="559">
        <f>'Progetto del paramento slu'!$G$60*(sezione!$AP$34-C1908)/C1908</f>
        <v>8.884758975182417E-3</v>
      </c>
      <c r="P1908" s="553">
        <f>-'Progetto del paramento slu'!$G$47*'Progetto del paramento slu'!$G$41*IF(DATI!$G$218="dx",DATI!$E$61,DATI!$E$64*DATI!$E$63)*1000*C1908*sezione!$AD$5</f>
        <v>-1035757.3399546595</v>
      </c>
      <c r="Q1908" s="553">
        <f>'Foglio deposito bis'!$F$78*IF(ABS(K1908)&lt;'Progetto del paramento slu'!$G$58,ABS(K1908)*'Progetto del paramento slu'!$G$54,'Progetto del paramento slu'!$G$53)*IF(K1908&lt;0,-1,1)</f>
        <v>0</v>
      </c>
      <c r="R1908" s="553">
        <f>'Foglio deposito bis'!$F$79*IF(ABS(L1908)&lt;'Progetto del paramento slu'!$G$58,ABS(L1908)*'Progetto del paramento slu'!$G$54,'Progetto del paramento slu'!$G$53)*IF(L1908&lt;0,-1,1)</f>
        <v>153664.85805602249</v>
      </c>
      <c r="S1908" s="553">
        <f>'Foglio deposito bis'!$F$80*IF(ABS(M1908)&lt;'Progetto del paramento slu'!$G$58,ABS(M1908)*'Progetto del paramento slu'!$G$54,'Progetto del paramento slu'!$G$53)*IF(M1908&lt;0,-1,1)</f>
        <v>0</v>
      </c>
      <c r="T1908" s="553">
        <f>'Foglio deposito bis'!$F$81*IF(ABS(N1908)&lt;'Progetto del paramento slu'!$G$58,ABS(N1908)*'Progetto del paramento slu'!$G$54,'Progetto del paramento slu'!$G$53)*IF(N1908&lt;0,-1,1)</f>
        <v>398299.31208121032</v>
      </c>
      <c r="U1908" s="553">
        <f>'Foglio deposito bis'!$F$82*IF(ABS(O1908)&lt;'Progetto del paramento slu'!$G$58,ABS(O1908)*'Progetto del paramento slu'!$G$54,'Progetto del paramento slu'!$G$53)*IF(O1908&lt;0,-1,1)</f>
        <v>892485.49558937876</v>
      </c>
      <c r="V1908" s="479">
        <f t="shared" si="141"/>
        <v>408692.32577195205</v>
      </c>
      <c r="W1908" s="559"/>
      <c r="X1908" s="559"/>
    </row>
    <row r="1909" spans="1:24" x14ac:dyDescent="0.25">
      <c r="A1909" s="553">
        <f t="shared" si="140"/>
        <v>397247.49328626553</v>
      </c>
      <c r="B1909" s="3">
        <f t="shared" ref="B1909:B1932" si="142">B1908+0.2</f>
        <v>18.299999999999958</v>
      </c>
      <c r="C1909" s="553">
        <f>'Foglio deposito bis'!$E$160/sezione!$B$247*B1909</f>
        <v>74.2913127472154</v>
      </c>
      <c r="D1909" s="611">
        <f>-'Progetto del paramento slu'!$G$47*'Progetto del paramento slu'!$G$41*IF(DATI!$G$218="dx",DATI!$E$61,DATI!$E$64*DATI!$E$63)*1000*C1909^2*sezione!$AD$5*(1-sezione!$AD$6)</f>
        <v>-45434046.075760223</v>
      </c>
      <c r="E1909" s="553">
        <f>-'Foglio deposito bis'!$F$78*(C1909-sezione!$AL$34)*IF(ABS(K1909)&lt;'Progetto del paramento slu'!$G$58,ABS(K1909)*'Progetto del paramento slu'!$G$54,'Progetto del paramento slu'!$G$53)</f>
        <v>0</v>
      </c>
      <c r="F1909" s="553">
        <f>-'Foglio deposito bis'!$F$79*(C1909-sezione!$AM$34)*IF(ABS(L1909)&lt;'Progetto del paramento slu'!$G$58,ABS(L1909)*'Progetto del paramento slu'!$G$54,'Progetto del paramento slu'!$G$53)</f>
        <v>11633764.680306945</v>
      </c>
      <c r="G1909" s="553">
        <f>-'Foglio deposito bis'!$F$80*(C1909-sezione!$AN$34)*IF(ABS(M1909)&lt;'Progetto del paramento slu'!$G$58,ABS(M1909)*'Progetto del paramento slu'!$G$54,'Progetto del paramento slu'!$G$53)</f>
        <v>0</v>
      </c>
      <c r="H1909" s="553">
        <f>-'Foglio deposito bis'!$F$81*(C1909-sezione!$AO$34)*IF(ABS(N1909)&lt;'Progetto del paramento slu'!$G$58,ABS(N1909)*'Progetto del paramento slu'!$G$54,'Progetto del paramento slu'!$G$53)</f>
        <v>105831587.34678558</v>
      </c>
      <c r="I1909" s="479">
        <f>-'Foglio deposito bis'!$F$82*(C1909-sezione!$AP$34)*IF(ABS(O1909)&lt;'Progetto del paramento slu'!$G$58,ABS(O1909)*'Progetto del paramento slu'!$G$54,'Progetto del paramento slu'!$G$53)</f>
        <v>165748552.88572773</v>
      </c>
      <c r="J1909" s="479">
        <f t="shared" si="139"/>
        <v>237779858.83706003</v>
      </c>
      <c r="K1909" s="558">
        <f>'Progetto del paramento slu'!$G$60*(sezione!$AL$34-C1909)/C1909</f>
        <v>-1.6155266366558113E-3</v>
      </c>
      <c r="L1909" s="558">
        <f>'Progetto del paramento slu'!$G$60*(sezione!$AM$34-C1909)/C1909</f>
        <v>3.5667751125407075E-3</v>
      </c>
      <c r="M1909" s="559">
        <f>'Progetto del paramento slu'!$G$60*(sezione!$AN$34-C1909)/C1909</f>
        <v>8.7490768617372264E-3</v>
      </c>
      <c r="N1909" s="559">
        <f>'Progetto del paramento slu'!$G$60*(sezione!$AO$34-C1909)/C1909</f>
        <v>1.2518023588425603E-2</v>
      </c>
      <c r="O1909" s="559">
        <f>'Progetto del paramento slu'!$G$60*(sezione!$AP$34-C1909)/C1909</f>
        <v>8.7494064180766006E-3</v>
      </c>
      <c r="P1909" s="553">
        <f>-'Progetto del paramento slu'!$G$47*'Progetto del paramento slu'!$G$41*IF(DATI!$G$218="dx",DATI!$E$61,DATI!$E$64*DATI!$E$63)*1000*C1909*sezione!$AD$5</f>
        <v>-1047202.1724403461</v>
      </c>
      <c r="Q1909" s="553">
        <f>'Foglio deposito bis'!$F$78*IF(ABS(K1909)&lt;'Progetto del paramento slu'!$G$58,ABS(K1909)*'Progetto del paramento slu'!$G$54,'Progetto del paramento slu'!$G$53)*IF(K1909&lt;0,-1,1)</f>
        <v>0</v>
      </c>
      <c r="R1909" s="553">
        <f>'Foglio deposito bis'!$F$79*IF(ABS(L1909)&lt;'Progetto del paramento slu'!$G$58,ABS(L1909)*'Progetto del paramento slu'!$G$54,'Progetto del paramento slu'!$G$53)*IF(L1909&lt;0,-1,1)</f>
        <v>153664.85805602249</v>
      </c>
      <c r="S1909" s="553">
        <f>'Foglio deposito bis'!$F$80*IF(ABS(M1909)&lt;'Progetto del paramento slu'!$G$58,ABS(M1909)*'Progetto del paramento slu'!$G$54,'Progetto del paramento slu'!$G$53)*IF(M1909&lt;0,-1,1)</f>
        <v>0</v>
      </c>
      <c r="T1909" s="553">
        <f>'Foglio deposito bis'!$F$81*IF(ABS(N1909)&lt;'Progetto del paramento slu'!$G$58,ABS(N1909)*'Progetto del paramento slu'!$G$54,'Progetto del paramento slu'!$G$53)*IF(N1909&lt;0,-1,1)</f>
        <v>398299.31208121032</v>
      </c>
      <c r="U1909" s="553">
        <f>'Foglio deposito bis'!$F$82*IF(ABS(O1909)&lt;'Progetto del paramento slu'!$G$58,ABS(O1909)*'Progetto del paramento slu'!$G$54,'Progetto del paramento slu'!$G$53)*IF(O1909&lt;0,-1,1)</f>
        <v>892485.49558937876</v>
      </c>
      <c r="V1909" s="479">
        <f t="shared" si="141"/>
        <v>397247.49328626553</v>
      </c>
      <c r="W1909" s="559"/>
      <c r="X1909" s="559"/>
    </row>
    <row r="1910" spans="1:24" x14ac:dyDescent="0.25">
      <c r="A1910" s="553">
        <f t="shared" si="140"/>
        <v>385802.66080057877</v>
      </c>
      <c r="B1910" s="3">
        <f t="shared" si="142"/>
        <v>18.499999999999957</v>
      </c>
      <c r="C1910" s="553">
        <f>'Foglio deposito bis'!$E$160/sezione!$B$247*B1910</f>
        <v>75.103239662485521</v>
      </c>
      <c r="D1910" s="611">
        <f>-'Progetto del paramento slu'!$G$47*'Progetto del paramento slu'!$G$41*IF(DATI!$G$218="dx",DATI!$E$61,DATI!$E$64*DATI!$E$63)*1000*C1910^2*sezione!$AD$5*(1-sezione!$AD$6)</f>
        <v>-46432566.721696496</v>
      </c>
      <c r="E1910" s="553">
        <f>-'Foglio deposito bis'!$F$78*(C1910-sezione!$AL$34)*IF(ABS(K1910)&lt;'Progetto del paramento slu'!$G$58,ABS(K1910)*'Progetto del paramento slu'!$G$54,'Progetto del paramento slu'!$G$53)</f>
        <v>0</v>
      </c>
      <c r="F1910" s="553">
        <f>-'Foglio deposito bis'!$F$79*(C1910-sezione!$AM$34)*IF(ABS(L1910)&lt;'Progetto del paramento slu'!$G$58,ABS(L1910)*'Progetto del paramento slu'!$G$54,'Progetto del paramento slu'!$G$53)</f>
        <v>11509000.046120098</v>
      </c>
      <c r="G1910" s="553">
        <f>-'Foglio deposito bis'!$F$80*(C1910-sezione!$AN$34)*IF(ABS(M1910)&lt;'Progetto del paramento slu'!$G$58,ABS(M1910)*'Progetto del paramento slu'!$G$54,'Progetto del paramento slu'!$G$53)</f>
        <v>0</v>
      </c>
      <c r="H1910" s="553">
        <f>-'Foglio deposito bis'!$F$81*(C1910-sezione!$AO$34)*IF(ABS(N1910)&lt;'Progetto del paramento slu'!$G$58,ABS(N1910)*'Progetto del paramento slu'!$G$54,'Progetto del paramento slu'!$G$53)</f>
        <v>105508197.41497326</v>
      </c>
      <c r="I1910" s="479">
        <f>-'Foglio deposito bis'!$F$82*(C1910-sezione!$AP$34)*IF(ABS(O1910)&lt;'Progetto del paramento slu'!$G$58,ABS(O1910)*'Progetto del paramento slu'!$G$54,'Progetto del paramento slu'!$G$53)</f>
        <v>165023919.89037052</v>
      </c>
      <c r="J1910" s="479">
        <f t="shared" si="139"/>
        <v>235608550.62976739</v>
      </c>
      <c r="K1910" s="558">
        <f>'Progetto del paramento slu'!$G$60*(sezione!$AL$34-C1910)/C1910</f>
        <v>-1.6358993216649381E-3</v>
      </c>
      <c r="L1910" s="558">
        <f>'Progetto del paramento slu'!$G$60*(sezione!$AM$34-C1910)/C1910</f>
        <v>3.4903775437564832E-3</v>
      </c>
      <c r="M1910" s="559">
        <f>'Progetto del paramento slu'!$G$60*(sezione!$AN$34-C1910)/C1910</f>
        <v>8.6166544091779047E-3</v>
      </c>
      <c r="N1910" s="559">
        <f>'Progetto del paramento slu'!$G$60*(sezione!$AO$34-C1910)/C1910</f>
        <v>1.2344855765848029E-2</v>
      </c>
      <c r="O1910" s="559">
        <f>'Progetto del paramento slu'!$G$60*(sezione!$AP$34-C1910)/C1910</f>
        <v>8.6169804027460412E-3</v>
      </c>
      <c r="P1910" s="553">
        <f>-'Progetto del paramento slu'!$G$47*'Progetto del paramento slu'!$G$41*IF(DATI!$G$218="dx",DATI!$E$61,DATI!$E$64*DATI!$E$63)*1000*C1910*sezione!$AD$5</f>
        <v>-1058647.0049260329</v>
      </c>
      <c r="Q1910" s="553">
        <f>'Foglio deposito bis'!$F$78*IF(ABS(K1910)&lt;'Progetto del paramento slu'!$G$58,ABS(K1910)*'Progetto del paramento slu'!$G$54,'Progetto del paramento slu'!$G$53)*IF(K1910&lt;0,-1,1)</f>
        <v>0</v>
      </c>
      <c r="R1910" s="553">
        <f>'Foglio deposito bis'!$F$79*IF(ABS(L1910)&lt;'Progetto del paramento slu'!$G$58,ABS(L1910)*'Progetto del paramento slu'!$G$54,'Progetto del paramento slu'!$G$53)*IF(L1910&lt;0,-1,1)</f>
        <v>153664.85805602249</v>
      </c>
      <c r="S1910" s="553">
        <f>'Foglio deposito bis'!$F$80*IF(ABS(M1910)&lt;'Progetto del paramento slu'!$G$58,ABS(M1910)*'Progetto del paramento slu'!$G$54,'Progetto del paramento slu'!$G$53)*IF(M1910&lt;0,-1,1)</f>
        <v>0</v>
      </c>
      <c r="T1910" s="553">
        <f>'Foglio deposito bis'!$F$81*IF(ABS(N1910)&lt;'Progetto del paramento slu'!$G$58,ABS(N1910)*'Progetto del paramento slu'!$G$54,'Progetto del paramento slu'!$G$53)*IF(N1910&lt;0,-1,1)</f>
        <v>398299.31208121032</v>
      </c>
      <c r="U1910" s="553">
        <f>'Foglio deposito bis'!$F$82*IF(ABS(O1910)&lt;'Progetto del paramento slu'!$G$58,ABS(O1910)*'Progetto del paramento slu'!$G$54,'Progetto del paramento slu'!$G$53)*IF(O1910&lt;0,-1,1)</f>
        <v>892485.49558937876</v>
      </c>
      <c r="V1910" s="479">
        <f t="shared" si="141"/>
        <v>385802.66080057877</v>
      </c>
      <c r="W1910" s="559"/>
      <c r="X1910" s="559"/>
    </row>
    <row r="1911" spans="1:24" x14ac:dyDescent="0.25">
      <c r="A1911" s="553">
        <f t="shared" si="140"/>
        <v>374357.82831489178</v>
      </c>
      <c r="B1911" s="3">
        <f t="shared" si="142"/>
        <v>18.699999999999957</v>
      </c>
      <c r="C1911" s="553">
        <f>'Foglio deposito bis'!$E$160/sezione!$B$247*B1911</f>
        <v>75.915166577755627</v>
      </c>
      <c r="D1911" s="611">
        <f>-'Progetto del paramento slu'!$G$47*'Progetto del paramento slu'!$G$41*IF(DATI!$G$218="dx",DATI!$E$61,DATI!$E$64*DATI!$E$63)*1000*C1911^2*sezione!$AD$5*(1-sezione!$AD$6)</f>
        <v>-47441940.852914661</v>
      </c>
      <c r="E1911" s="553">
        <f>-'Foglio deposito bis'!$F$78*(C1911-sezione!$AL$34)*IF(ABS(K1911)&lt;'Progetto del paramento slu'!$G$58,ABS(K1911)*'Progetto del paramento slu'!$G$54,'Progetto del paramento slu'!$G$53)</f>
        <v>0</v>
      </c>
      <c r="F1911" s="553">
        <f>-'Foglio deposito bis'!$F$79*(C1911-sezione!$AM$34)*IF(ABS(L1911)&lt;'Progetto del paramento slu'!$G$58,ABS(L1911)*'Progetto del paramento slu'!$G$54,'Progetto del paramento slu'!$G$53)</f>
        <v>11384235.411933253</v>
      </c>
      <c r="G1911" s="553">
        <f>-'Foglio deposito bis'!$F$80*(C1911-sezione!$AN$34)*IF(ABS(M1911)&lt;'Progetto del paramento slu'!$G$58,ABS(M1911)*'Progetto del paramento slu'!$G$54,'Progetto del paramento slu'!$G$53)</f>
        <v>0</v>
      </c>
      <c r="H1911" s="553">
        <f>-'Foglio deposito bis'!$F$81*(C1911-sezione!$AO$34)*IF(ABS(N1911)&lt;'Progetto del paramento slu'!$G$58,ABS(N1911)*'Progetto del paramento slu'!$G$54,'Progetto del paramento slu'!$G$53)</f>
        <v>105184807.48316096</v>
      </c>
      <c r="I1911" s="479">
        <f>-'Foglio deposito bis'!$F$82*(C1911-sezione!$AP$34)*IF(ABS(O1911)&lt;'Progetto del paramento slu'!$G$58,ABS(O1911)*'Progetto del paramento slu'!$G$54,'Progetto del paramento slu'!$G$53)</f>
        <v>164299286.8950133</v>
      </c>
      <c r="J1911" s="479">
        <f t="shared" si="139"/>
        <v>233426388.93719286</v>
      </c>
      <c r="K1911" s="558">
        <f>'Progetto del paramento slu'!$G$60*(sezione!$AL$34-C1911)/C1911</f>
        <v>-1.6558362273155801E-3</v>
      </c>
      <c r="L1911" s="558">
        <f>'Progetto del paramento slu'!$G$60*(sezione!$AM$34-C1911)/C1911</f>
        <v>3.4156141475665744E-3</v>
      </c>
      <c r="M1911" s="559">
        <f>'Progetto del paramento slu'!$G$60*(sezione!$AN$34-C1911)/C1911</f>
        <v>8.4870645224487291E-3</v>
      </c>
      <c r="N1911" s="559">
        <f>'Progetto del paramento slu'!$G$60*(sezione!$AO$34-C1911)/C1911</f>
        <v>1.2175392067817571E-2</v>
      </c>
      <c r="O1911" s="559">
        <f>'Progetto del paramento slu'!$G$60*(sezione!$AP$34-C1911)/C1911</f>
        <v>8.4873870294546409E-3</v>
      </c>
      <c r="P1911" s="553">
        <f>-'Progetto del paramento slu'!$G$47*'Progetto del paramento slu'!$G$41*IF(DATI!$G$218="dx",DATI!$E$61,DATI!$E$64*DATI!$E$63)*1000*C1911*sezione!$AD$5</f>
        <v>-1070091.8374117198</v>
      </c>
      <c r="Q1911" s="553">
        <f>'Foglio deposito bis'!$F$78*IF(ABS(K1911)&lt;'Progetto del paramento slu'!$G$58,ABS(K1911)*'Progetto del paramento slu'!$G$54,'Progetto del paramento slu'!$G$53)*IF(K1911&lt;0,-1,1)</f>
        <v>0</v>
      </c>
      <c r="R1911" s="553">
        <f>'Foglio deposito bis'!$F$79*IF(ABS(L1911)&lt;'Progetto del paramento slu'!$G$58,ABS(L1911)*'Progetto del paramento slu'!$G$54,'Progetto del paramento slu'!$G$53)*IF(L1911&lt;0,-1,1)</f>
        <v>153664.85805602249</v>
      </c>
      <c r="S1911" s="553">
        <f>'Foglio deposito bis'!$F$80*IF(ABS(M1911)&lt;'Progetto del paramento slu'!$G$58,ABS(M1911)*'Progetto del paramento slu'!$G$54,'Progetto del paramento slu'!$G$53)*IF(M1911&lt;0,-1,1)</f>
        <v>0</v>
      </c>
      <c r="T1911" s="553">
        <f>'Foglio deposito bis'!$F$81*IF(ABS(N1911)&lt;'Progetto del paramento slu'!$G$58,ABS(N1911)*'Progetto del paramento slu'!$G$54,'Progetto del paramento slu'!$G$53)*IF(N1911&lt;0,-1,1)</f>
        <v>398299.31208121032</v>
      </c>
      <c r="U1911" s="553">
        <f>'Foglio deposito bis'!$F$82*IF(ABS(O1911)&lt;'Progetto del paramento slu'!$G$58,ABS(O1911)*'Progetto del paramento slu'!$G$54,'Progetto del paramento slu'!$G$53)*IF(O1911&lt;0,-1,1)</f>
        <v>892485.49558937876</v>
      </c>
      <c r="V1911" s="479">
        <f t="shared" si="141"/>
        <v>374357.82831489178</v>
      </c>
      <c r="W1911" s="559"/>
      <c r="X1911" s="559"/>
    </row>
    <row r="1912" spans="1:24" x14ac:dyDescent="0.25">
      <c r="A1912" s="553">
        <f t="shared" si="140"/>
        <v>362912.99582920503</v>
      </c>
      <c r="B1912" s="3">
        <f t="shared" si="142"/>
        <v>18.899999999999956</v>
      </c>
      <c r="C1912" s="553">
        <f>'Foglio deposito bis'!$E$160/sezione!$B$247*B1912</f>
        <v>76.727093493025748</v>
      </c>
      <c r="D1912" s="611">
        <f>-'Progetto del paramento slu'!$G$47*'Progetto del paramento slu'!$G$41*IF(DATI!$G$218="dx",DATI!$E$61,DATI!$E$64*DATI!$E$63)*1000*C1912^2*sezione!$AD$5*(1-sezione!$AD$6)</f>
        <v>-48462168.469414778</v>
      </c>
      <c r="E1912" s="553">
        <f>-'Foglio deposito bis'!$F$78*(C1912-sezione!$AL$34)*IF(ABS(K1912)&lt;'Progetto del paramento slu'!$G$58,ABS(K1912)*'Progetto del paramento slu'!$G$54,'Progetto del paramento slu'!$G$53)</f>
        <v>0</v>
      </c>
      <c r="F1912" s="553">
        <f>-'Foglio deposito bis'!$F$79*(C1912-sezione!$AM$34)*IF(ABS(L1912)&lt;'Progetto del paramento slu'!$G$58,ABS(L1912)*'Progetto del paramento slu'!$G$54,'Progetto del paramento slu'!$G$53)</f>
        <v>11259470.777746405</v>
      </c>
      <c r="G1912" s="553">
        <f>-'Foglio deposito bis'!$F$80*(C1912-sezione!$AN$34)*IF(ABS(M1912)&lt;'Progetto del paramento slu'!$G$58,ABS(M1912)*'Progetto del paramento slu'!$G$54,'Progetto del paramento slu'!$G$53)</f>
        <v>0</v>
      </c>
      <c r="H1912" s="553">
        <f>-'Foglio deposito bis'!$F$81*(C1912-sezione!$AO$34)*IF(ABS(N1912)&lt;'Progetto del paramento slu'!$G$58,ABS(N1912)*'Progetto del paramento slu'!$G$54,'Progetto del paramento slu'!$G$53)</f>
        <v>104861417.55134864</v>
      </c>
      <c r="I1912" s="479">
        <f>-'Foglio deposito bis'!$F$82*(C1912-sezione!$AP$34)*IF(ABS(O1912)&lt;'Progetto del paramento slu'!$G$58,ABS(O1912)*'Progetto del paramento slu'!$G$54,'Progetto del paramento slu'!$G$53)</f>
        <v>163574653.89965612</v>
      </c>
      <c r="J1912" s="479">
        <f t="shared" si="139"/>
        <v>231233373.75933638</v>
      </c>
      <c r="K1912" s="558">
        <f>'Progetto del paramento slu'!$G$60*(sezione!$AL$34-C1912)/C1912</f>
        <v>-1.6753511878730876E-3</v>
      </c>
      <c r="L1912" s="558">
        <f>'Progetto del paramento slu'!$G$60*(sezione!$AM$34-C1912)/C1912</f>
        <v>3.3424330454759222E-3</v>
      </c>
      <c r="M1912" s="559">
        <f>'Progetto del paramento slu'!$G$60*(sezione!$AN$34-C1912)/C1912</f>
        <v>8.3602172788249333E-3</v>
      </c>
      <c r="N1912" s="559">
        <f>'Progetto del paramento slu'!$G$60*(sezione!$AO$34-C1912)/C1912</f>
        <v>1.2009514903078758E-2</v>
      </c>
      <c r="O1912" s="559">
        <f>'Progetto del paramento slu'!$G$60*(sezione!$AP$34-C1912)/C1912</f>
        <v>8.3605363730582961E-3</v>
      </c>
      <c r="P1912" s="553">
        <f>-'Progetto del paramento slu'!$G$47*'Progetto del paramento slu'!$G$41*IF(DATI!$G$218="dx",DATI!$E$61,DATI!$E$64*DATI!$E$63)*1000*C1912*sezione!$AD$5</f>
        <v>-1081536.6698974066</v>
      </c>
      <c r="Q1912" s="553">
        <f>'Foglio deposito bis'!$F$78*IF(ABS(K1912)&lt;'Progetto del paramento slu'!$G$58,ABS(K1912)*'Progetto del paramento slu'!$G$54,'Progetto del paramento slu'!$G$53)*IF(K1912&lt;0,-1,1)</f>
        <v>0</v>
      </c>
      <c r="R1912" s="553">
        <f>'Foglio deposito bis'!$F$79*IF(ABS(L1912)&lt;'Progetto del paramento slu'!$G$58,ABS(L1912)*'Progetto del paramento slu'!$G$54,'Progetto del paramento slu'!$G$53)*IF(L1912&lt;0,-1,1)</f>
        <v>153664.85805602249</v>
      </c>
      <c r="S1912" s="553">
        <f>'Foglio deposito bis'!$F$80*IF(ABS(M1912)&lt;'Progetto del paramento slu'!$G$58,ABS(M1912)*'Progetto del paramento slu'!$G$54,'Progetto del paramento slu'!$G$53)*IF(M1912&lt;0,-1,1)</f>
        <v>0</v>
      </c>
      <c r="T1912" s="553">
        <f>'Foglio deposito bis'!$F$81*IF(ABS(N1912)&lt;'Progetto del paramento slu'!$G$58,ABS(N1912)*'Progetto del paramento slu'!$G$54,'Progetto del paramento slu'!$G$53)*IF(N1912&lt;0,-1,1)</f>
        <v>398299.31208121032</v>
      </c>
      <c r="U1912" s="553">
        <f>'Foglio deposito bis'!$F$82*IF(ABS(O1912)&lt;'Progetto del paramento slu'!$G$58,ABS(O1912)*'Progetto del paramento slu'!$G$54,'Progetto del paramento slu'!$G$53)*IF(O1912&lt;0,-1,1)</f>
        <v>892485.49558937876</v>
      </c>
      <c r="V1912" s="479">
        <f t="shared" si="141"/>
        <v>362912.99582920503</v>
      </c>
      <c r="W1912" s="559"/>
      <c r="X1912" s="559"/>
    </row>
    <row r="1913" spans="1:24" x14ac:dyDescent="0.25">
      <c r="A1913" s="553">
        <f t="shared" si="140"/>
        <v>351468.16334351804</v>
      </c>
      <c r="B1913" s="3">
        <f t="shared" si="142"/>
        <v>19.099999999999955</v>
      </c>
      <c r="C1913" s="553">
        <f>'Foglio deposito bis'!$E$160/sezione!$B$247*B1913</f>
        <v>77.539020408295855</v>
      </c>
      <c r="D1913" s="611">
        <f>-'Progetto del paramento slu'!$G$47*'Progetto del paramento slu'!$G$41*IF(DATI!$G$218="dx",DATI!$E$61,DATI!$E$64*DATI!$E$63)*1000*C1913^2*sezione!$AD$5*(1-sezione!$AD$6)</f>
        <v>-49493249.571196772</v>
      </c>
      <c r="E1913" s="553">
        <f>-'Foglio deposito bis'!$F$78*(C1913-sezione!$AL$34)*IF(ABS(K1913)&lt;'Progetto del paramento slu'!$G$58,ABS(K1913)*'Progetto del paramento slu'!$G$54,'Progetto del paramento slu'!$G$53)</f>
        <v>0</v>
      </c>
      <c r="F1913" s="553">
        <f>-'Foglio deposito bis'!$F$79*(C1913-sezione!$AM$34)*IF(ABS(L1913)&lt;'Progetto del paramento slu'!$G$58,ABS(L1913)*'Progetto del paramento slu'!$G$54,'Progetto del paramento slu'!$G$53)</f>
        <v>11134706.14355956</v>
      </c>
      <c r="G1913" s="553">
        <f>-'Foglio deposito bis'!$F$80*(C1913-sezione!$AN$34)*IF(ABS(M1913)&lt;'Progetto del paramento slu'!$G$58,ABS(M1913)*'Progetto del paramento slu'!$G$54,'Progetto del paramento slu'!$G$53)</f>
        <v>0</v>
      </c>
      <c r="H1913" s="553">
        <f>-'Foglio deposito bis'!$F$81*(C1913-sezione!$AO$34)*IF(ABS(N1913)&lt;'Progetto del paramento slu'!$G$58,ABS(N1913)*'Progetto del paramento slu'!$G$54,'Progetto del paramento slu'!$G$53)</f>
        <v>104538027.61953633</v>
      </c>
      <c r="I1913" s="479">
        <f>-'Foglio deposito bis'!$F$82*(C1913-sezione!$AP$34)*IF(ABS(O1913)&lt;'Progetto del paramento slu'!$G$58,ABS(O1913)*'Progetto del paramento slu'!$G$54,'Progetto del paramento slu'!$G$53)</f>
        <v>162850020.9042989</v>
      </c>
      <c r="J1913" s="479">
        <f t="shared" si="139"/>
        <v>229029505.09619802</v>
      </c>
      <c r="K1913" s="558">
        <f>'Progetto del paramento slu'!$G$60*(sezione!$AL$34-C1913)/C1913</f>
        <v>-1.6944574581571384E-3</v>
      </c>
      <c r="L1913" s="558">
        <f>'Progetto del paramento slu'!$G$60*(sezione!$AM$34-C1913)/C1913</f>
        <v>3.2707845319107304E-3</v>
      </c>
      <c r="M1913" s="559">
        <f>'Progetto del paramento slu'!$G$60*(sezione!$AN$34-C1913)/C1913</f>
        <v>8.236026521978598E-3</v>
      </c>
      <c r="N1913" s="559">
        <f>'Progetto del paramento slu'!$G$60*(sezione!$AO$34-C1913)/C1913</f>
        <v>1.1847111605664321E-2</v>
      </c>
      <c r="O1913" s="559">
        <f>'Progetto del paramento slu'!$G$60*(sezione!$AP$34-C1913)/C1913</f>
        <v>8.2363422749110876E-3</v>
      </c>
      <c r="P1913" s="553">
        <f>-'Progetto del paramento slu'!$G$47*'Progetto del paramento slu'!$G$41*IF(DATI!$G$218="dx",DATI!$E$61,DATI!$E$64*DATI!$E$63)*1000*C1913*sezione!$AD$5</f>
        <v>-1092981.5023830936</v>
      </c>
      <c r="Q1913" s="553">
        <f>'Foglio deposito bis'!$F$78*IF(ABS(K1913)&lt;'Progetto del paramento slu'!$G$58,ABS(K1913)*'Progetto del paramento slu'!$G$54,'Progetto del paramento slu'!$G$53)*IF(K1913&lt;0,-1,1)</f>
        <v>0</v>
      </c>
      <c r="R1913" s="553">
        <f>'Foglio deposito bis'!$F$79*IF(ABS(L1913)&lt;'Progetto del paramento slu'!$G$58,ABS(L1913)*'Progetto del paramento slu'!$G$54,'Progetto del paramento slu'!$G$53)*IF(L1913&lt;0,-1,1)</f>
        <v>153664.85805602249</v>
      </c>
      <c r="S1913" s="553">
        <f>'Foglio deposito bis'!$F$80*IF(ABS(M1913)&lt;'Progetto del paramento slu'!$G$58,ABS(M1913)*'Progetto del paramento slu'!$G$54,'Progetto del paramento slu'!$G$53)*IF(M1913&lt;0,-1,1)</f>
        <v>0</v>
      </c>
      <c r="T1913" s="553">
        <f>'Foglio deposito bis'!$F$81*IF(ABS(N1913)&lt;'Progetto del paramento slu'!$G$58,ABS(N1913)*'Progetto del paramento slu'!$G$54,'Progetto del paramento slu'!$G$53)*IF(N1913&lt;0,-1,1)</f>
        <v>398299.31208121032</v>
      </c>
      <c r="U1913" s="553">
        <f>'Foglio deposito bis'!$F$82*IF(ABS(O1913)&lt;'Progetto del paramento slu'!$G$58,ABS(O1913)*'Progetto del paramento slu'!$G$54,'Progetto del paramento slu'!$G$53)*IF(O1913&lt;0,-1,1)</f>
        <v>892485.49558937876</v>
      </c>
      <c r="V1913" s="479">
        <f t="shared" si="141"/>
        <v>351468.16334351804</v>
      </c>
      <c r="W1913" s="559"/>
      <c r="X1913" s="559"/>
    </row>
    <row r="1914" spans="1:24" x14ac:dyDescent="0.25">
      <c r="A1914" s="553">
        <f t="shared" si="140"/>
        <v>340023.33085783129</v>
      </c>
      <c r="B1914" s="3">
        <f t="shared" si="142"/>
        <v>19.299999999999955</v>
      </c>
      <c r="C1914" s="553">
        <f>'Foglio deposito bis'!$E$160/sezione!$B$247*B1914</f>
        <v>78.350947323565975</v>
      </c>
      <c r="D1914" s="611">
        <f>-'Progetto del paramento slu'!$G$47*'Progetto del paramento slu'!$G$41*IF(DATI!$G$218="dx",DATI!$E$61,DATI!$E$64*DATI!$E$63)*1000*C1914^2*sezione!$AD$5*(1-sezione!$AD$6)</f>
        <v>-50535184.158260711</v>
      </c>
      <c r="E1914" s="553">
        <f>-'Foglio deposito bis'!$F$78*(C1914-sezione!$AL$34)*IF(ABS(K1914)&lt;'Progetto del paramento slu'!$G$58,ABS(K1914)*'Progetto del paramento slu'!$G$54,'Progetto del paramento slu'!$G$53)</f>
        <v>0</v>
      </c>
      <c r="F1914" s="553">
        <f>-'Foglio deposito bis'!$F$79*(C1914-sezione!$AM$34)*IF(ABS(L1914)&lt;'Progetto del paramento slu'!$G$58,ABS(L1914)*'Progetto del paramento slu'!$G$54,'Progetto del paramento slu'!$G$53)</f>
        <v>11009941.509372713</v>
      </c>
      <c r="G1914" s="553">
        <f>-'Foglio deposito bis'!$F$80*(C1914-sezione!$AN$34)*IF(ABS(M1914)&lt;'Progetto del paramento slu'!$G$58,ABS(M1914)*'Progetto del paramento slu'!$G$54,'Progetto del paramento slu'!$G$53)</f>
        <v>0</v>
      </c>
      <c r="H1914" s="553">
        <f>-'Foglio deposito bis'!$F$81*(C1914-sezione!$AO$34)*IF(ABS(N1914)&lt;'Progetto del paramento slu'!$G$58,ABS(N1914)*'Progetto del paramento slu'!$G$54,'Progetto del paramento slu'!$G$53)</f>
        <v>104214637.68772405</v>
      </c>
      <c r="I1914" s="479">
        <f>-'Foglio deposito bis'!$F$82*(C1914-sezione!$AP$34)*IF(ABS(O1914)&lt;'Progetto del paramento slu'!$G$58,ABS(O1914)*'Progetto del paramento slu'!$G$54,'Progetto del paramento slu'!$G$53)</f>
        <v>162125387.90894172</v>
      </c>
      <c r="J1914" s="479">
        <f t="shared" si="139"/>
        <v>226814782.94777778</v>
      </c>
      <c r="K1914" s="558">
        <f>'Progetto del paramento slu'!$G$60*(sezione!$AL$34-C1914)/C1914</f>
        <v>-1.7131677435648369E-3</v>
      </c>
      <c r="L1914" s="558">
        <f>'Progetto del paramento slu'!$G$60*(sezione!$AM$34-C1914)/C1914</f>
        <v>3.2006209616318618E-3</v>
      </c>
      <c r="M1914" s="559">
        <f>'Progetto del paramento slu'!$G$60*(sezione!$AN$34-C1914)/C1914</f>
        <v>8.1144096668285606E-3</v>
      </c>
      <c r="N1914" s="559">
        <f>'Progetto del paramento slu'!$G$60*(sezione!$AO$34-C1914)/C1914</f>
        <v>1.1688074179698889E-2</v>
      </c>
      <c r="O1914" s="559">
        <f>'Progetto del paramento slu'!$G$60*(sezione!$AP$34-C1914)/C1914</f>
        <v>8.1147221477099359E-3</v>
      </c>
      <c r="P1914" s="553">
        <f>-'Progetto del paramento slu'!$G$47*'Progetto del paramento slu'!$G$41*IF(DATI!$G$218="dx",DATI!$E$61,DATI!$E$64*DATI!$E$63)*1000*C1914*sezione!$AD$5</f>
        <v>-1104426.3348687803</v>
      </c>
      <c r="Q1914" s="553">
        <f>'Foglio deposito bis'!$F$78*IF(ABS(K1914)&lt;'Progetto del paramento slu'!$G$58,ABS(K1914)*'Progetto del paramento slu'!$G$54,'Progetto del paramento slu'!$G$53)*IF(K1914&lt;0,-1,1)</f>
        <v>0</v>
      </c>
      <c r="R1914" s="553">
        <f>'Foglio deposito bis'!$F$79*IF(ABS(L1914)&lt;'Progetto del paramento slu'!$G$58,ABS(L1914)*'Progetto del paramento slu'!$G$54,'Progetto del paramento slu'!$G$53)*IF(L1914&lt;0,-1,1)</f>
        <v>153664.85805602249</v>
      </c>
      <c r="S1914" s="553">
        <f>'Foglio deposito bis'!$F$80*IF(ABS(M1914)&lt;'Progetto del paramento slu'!$G$58,ABS(M1914)*'Progetto del paramento slu'!$G$54,'Progetto del paramento slu'!$G$53)*IF(M1914&lt;0,-1,1)</f>
        <v>0</v>
      </c>
      <c r="T1914" s="553">
        <f>'Foglio deposito bis'!$F$81*IF(ABS(N1914)&lt;'Progetto del paramento slu'!$G$58,ABS(N1914)*'Progetto del paramento slu'!$G$54,'Progetto del paramento slu'!$G$53)*IF(N1914&lt;0,-1,1)</f>
        <v>398299.31208121032</v>
      </c>
      <c r="U1914" s="553">
        <f>'Foglio deposito bis'!$F$82*IF(ABS(O1914)&lt;'Progetto del paramento slu'!$G$58,ABS(O1914)*'Progetto del paramento slu'!$G$54,'Progetto del paramento slu'!$G$53)*IF(O1914&lt;0,-1,1)</f>
        <v>892485.49558937876</v>
      </c>
      <c r="V1914" s="479">
        <f t="shared" si="141"/>
        <v>340023.33085783129</v>
      </c>
      <c r="W1914" s="559"/>
      <c r="X1914" s="559"/>
    </row>
    <row r="1915" spans="1:24" x14ac:dyDescent="0.25">
      <c r="A1915" s="553">
        <f t="shared" si="140"/>
        <v>328578.49837214453</v>
      </c>
      <c r="B1915" s="3">
        <f t="shared" si="142"/>
        <v>19.499999999999954</v>
      </c>
      <c r="C1915" s="553">
        <f>'Foglio deposito bis'!$E$160/sezione!$B$247*B1915</f>
        <v>79.162874238836082</v>
      </c>
      <c r="D1915" s="611">
        <f>-'Progetto del paramento slu'!$G$47*'Progetto del paramento slu'!$G$41*IF(DATI!$G$218="dx",DATI!$E$61,DATI!$E$64*DATI!$E$63)*1000*C1915^2*sezione!$AD$5*(1-sezione!$AD$6)</f>
        <v>-51587972.230606541</v>
      </c>
      <c r="E1915" s="553">
        <f>-'Foglio deposito bis'!$F$78*(C1915-sezione!$AL$34)*IF(ABS(K1915)&lt;'Progetto del paramento slu'!$G$58,ABS(K1915)*'Progetto del paramento slu'!$G$54,'Progetto del paramento slu'!$G$53)</f>
        <v>0</v>
      </c>
      <c r="F1915" s="553">
        <f>-'Foglio deposito bis'!$F$79*(C1915-sezione!$AM$34)*IF(ABS(L1915)&lt;'Progetto del paramento slu'!$G$58,ABS(L1915)*'Progetto del paramento slu'!$G$54,'Progetto del paramento slu'!$G$53)</f>
        <v>10885176.875185868</v>
      </c>
      <c r="G1915" s="553">
        <f>-'Foglio deposito bis'!$F$80*(C1915-sezione!$AN$34)*IF(ABS(M1915)&lt;'Progetto del paramento slu'!$G$58,ABS(M1915)*'Progetto del paramento slu'!$G$54,'Progetto del paramento slu'!$G$53)</f>
        <v>0</v>
      </c>
      <c r="H1915" s="553">
        <f>-'Foglio deposito bis'!$F$81*(C1915-sezione!$AO$34)*IF(ABS(N1915)&lt;'Progetto del paramento slu'!$G$58,ABS(N1915)*'Progetto del paramento slu'!$G$54,'Progetto del paramento slu'!$G$53)</f>
        <v>103891247.75591174</v>
      </c>
      <c r="I1915" s="479">
        <f>-'Foglio deposito bis'!$F$82*(C1915-sezione!$AP$34)*IF(ABS(O1915)&lt;'Progetto del paramento slu'!$G$58,ABS(O1915)*'Progetto del paramento slu'!$G$54,'Progetto del paramento slu'!$G$53)</f>
        <v>161400754.9135845</v>
      </c>
      <c r="J1915" s="479">
        <f t="shared" si="139"/>
        <v>224589207.31407556</v>
      </c>
      <c r="K1915" s="558">
        <f>'Progetto del paramento slu'!$G$60*(sezione!$AL$34-C1915)/C1915</f>
        <v>-1.731494228246223E-3</v>
      </c>
      <c r="L1915" s="558">
        <f>'Progetto del paramento slu'!$G$60*(sezione!$AM$34-C1915)/C1915</f>
        <v>3.1318966440766639E-3</v>
      </c>
      <c r="M1915" s="559">
        <f>'Progetto del paramento slu'!$G$60*(sezione!$AN$34-C1915)/C1915</f>
        <v>7.9952875163995518E-3</v>
      </c>
      <c r="N1915" s="559">
        <f>'Progetto del paramento slu'!$G$60*(sezione!$AO$34-C1915)/C1915</f>
        <v>1.1532299059907105E-2</v>
      </c>
      <c r="O1915" s="559">
        <f>'Progetto del paramento slu'!$G$60*(sezione!$AP$34-C1915)/C1915</f>
        <v>7.9955967923488105E-3</v>
      </c>
      <c r="P1915" s="553">
        <f>-'Progetto del paramento slu'!$G$47*'Progetto del paramento slu'!$G$41*IF(DATI!$G$218="dx",DATI!$E$61,DATI!$E$64*DATI!$E$63)*1000*C1915*sezione!$AD$5</f>
        <v>-1115871.1673544671</v>
      </c>
      <c r="Q1915" s="553">
        <f>'Foglio deposito bis'!$F$78*IF(ABS(K1915)&lt;'Progetto del paramento slu'!$G$58,ABS(K1915)*'Progetto del paramento slu'!$G$54,'Progetto del paramento slu'!$G$53)*IF(K1915&lt;0,-1,1)</f>
        <v>0</v>
      </c>
      <c r="R1915" s="553">
        <f>'Foglio deposito bis'!$F$79*IF(ABS(L1915)&lt;'Progetto del paramento slu'!$G$58,ABS(L1915)*'Progetto del paramento slu'!$G$54,'Progetto del paramento slu'!$G$53)*IF(L1915&lt;0,-1,1)</f>
        <v>153664.85805602249</v>
      </c>
      <c r="S1915" s="553">
        <f>'Foglio deposito bis'!$F$80*IF(ABS(M1915)&lt;'Progetto del paramento slu'!$G$58,ABS(M1915)*'Progetto del paramento slu'!$G$54,'Progetto del paramento slu'!$G$53)*IF(M1915&lt;0,-1,1)</f>
        <v>0</v>
      </c>
      <c r="T1915" s="553">
        <f>'Foglio deposito bis'!$F$81*IF(ABS(N1915)&lt;'Progetto del paramento slu'!$G$58,ABS(N1915)*'Progetto del paramento slu'!$G$54,'Progetto del paramento slu'!$G$53)*IF(N1915&lt;0,-1,1)</f>
        <v>398299.31208121032</v>
      </c>
      <c r="U1915" s="553">
        <f>'Foglio deposito bis'!$F$82*IF(ABS(O1915)&lt;'Progetto del paramento slu'!$G$58,ABS(O1915)*'Progetto del paramento slu'!$G$54,'Progetto del paramento slu'!$G$53)*IF(O1915&lt;0,-1,1)</f>
        <v>892485.49558937876</v>
      </c>
      <c r="V1915" s="479">
        <f t="shared" si="141"/>
        <v>328578.49837214453</v>
      </c>
      <c r="W1915" s="559"/>
      <c r="X1915" s="559"/>
    </row>
    <row r="1916" spans="1:24" x14ac:dyDescent="0.25">
      <c r="A1916" s="553">
        <f t="shared" si="140"/>
        <v>317133.66588645778</v>
      </c>
      <c r="B1916" s="3">
        <f t="shared" si="142"/>
        <v>19.699999999999953</v>
      </c>
      <c r="C1916" s="553">
        <f>'Foglio deposito bis'!$E$160/sezione!$B$247*B1916</f>
        <v>79.974801154106189</v>
      </c>
      <c r="D1916" s="611">
        <f>-'Progetto del paramento slu'!$G$47*'Progetto del paramento slu'!$G$41*IF(DATI!$G$218="dx",DATI!$E$61,DATI!$E$64*DATI!$E$63)*1000*C1916^2*sezione!$AD$5*(1-sezione!$AD$6)</f>
        <v>-52651613.788234293</v>
      </c>
      <c r="E1916" s="553">
        <f>-'Foglio deposito bis'!$F$78*(C1916-sezione!$AL$34)*IF(ABS(K1916)&lt;'Progetto del paramento slu'!$G$58,ABS(K1916)*'Progetto del paramento slu'!$G$54,'Progetto del paramento slu'!$G$53)</f>
        <v>0</v>
      </c>
      <c r="F1916" s="553">
        <f>-'Foglio deposito bis'!$F$79*(C1916-sezione!$AM$34)*IF(ABS(L1916)&lt;'Progetto del paramento slu'!$G$58,ABS(L1916)*'Progetto del paramento slu'!$G$54,'Progetto del paramento slu'!$G$53)</f>
        <v>10760412.240999022</v>
      </c>
      <c r="G1916" s="553">
        <f>-'Foglio deposito bis'!$F$80*(C1916-sezione!$AN$34)*IF(ABS(M1916)&lt;'Progetto del paramento slu'!$G$58,ABS(M1916)*'Progetto del paramento slu'!$G$54,'Progetto del paramento slu'!$G$53)</f>
        <v>0</v>
      </c>
      <c r="H1916" s="553">
        <f>-'Foglio deposito bis'!$F$81*(C1916-sezione!$AO$34)*IF(ABS(N1916)&lt;'Progetto del paramento slu'!$G$58,ABS(N1916)*'Progetto del paramento slu'!$G$54,'Progetto del paramento slu'!$G$53)</f>
        <v>103567857.82409942</v>
      </c>
      <c r="I1916" s="479">
        <f>-'Foglio deposito bis'!$F$82*(C1916-sezione!$AP$34)*IF(ABS(O1916)&lt;'Progetto del paramento slu'!$G$58,ABS(O1916)*'Progetto del paramento slu'!$G$54,'Progetto del paramento slu'!$G$53)</f>
        <v>160676121.91822731</v>
      </c>
      <c r="J1916" s="479">
        <f t="shared" si="139"/>
        <v>222352778.19509146</v>
      </c>
      <c r="K1916" s="558">
        <f>'Progetto del paramento slu'!$G$60*(sezione!$AL$34-C1916)/C1916</f>
        <v>-1.7494486015635202E-3</v>
      </c>
      <c r="L1916" s="558">
        <f>'Progetto del paramento slu'!$G$60*(sezione!$AM$34-C1916)/C1916</f>
        <v>3.0645677441367997E-3</v>
      </c>
      <c r="M1916" s="559">
        <f>'Progetto del paramento slu'!$G$60*(sezione!$AN$34-C1916)/C1916</f>
        <v>7.8785840898371196E-3</v>
      </c>
      <c r="N1916" s="559">
        <f>'Progetto del paramento slu'!$G$60*(sezione!$AO$34-C1916)/C1916</f>
        <v>1.1379686886710079E-2</v>
      </c>
      <c r="O1916" s="559">
        <f>'Progetto del paramento slu'!$G$60*(sezione!$AP$34-C1916)/C1916</f>
        <v>7.878890225929025E-3</v>
      </c>
      <c r="P1916" s="553">
        <f>-'Progetto del paramento slu'!$G$47*'Progetto del paramento slu'!$G$41*IF(DATI!$G$218="dx",DATI!$E$61,DATI!$E$64*DATI!$E$63)*1000*C1916*sezione!$AD$5</f>
        <v>-1127315.9998401538</v>
      </c>
      <c r="Q1916" s="553">
        <f>'Foglio deposito bis'!$F$78*IF(ABS(K1916)&lt;'Progetto del paramento slu'!$G$58,ABS(K1916)*'Progetto del paramento slu'!$G$54,'Progetto del paramento slu'!$G$53)*IF(K1916&lt;0,-1,1)</f>
        <v>0</v>
      </c>
      <c r="R1916" s="553">
        <f>'Foglio deposito bis'!$F$79*IF(ABS(L1916)&lt;'Progetto del paramento slu'!$G$58,ABS(L1916)*'Progetto del paramento slu'!$G$54,'Progetto del paramento slu'!$G$53)*IF(L1916&lt;0,-1,1)</f>
        <v>153664.85805602249</v>
      </c>
      <c r="S1916" s="553">
        <f>'Foglio deposito bis'!$F$80*IF(ABS(M1916)&lt;'Progetto del paramento slu'!$G$58,ABS(M1916)*'Progetto del paramento slu'!$G$54,'Progetto del paramento slu'!$G$53)*IF(M1916&lt;0,-1,1)</f>
        <v>0</v>
      </c>
      <c r="T1916" s="553">
        <f>'Foglio deposito bis'!$F$81*IF(ABS(N1916)&lt;'Progetto del paramento slu'!$G$58,ABS(N1916)*'Progetto del paramento slu'!$G$54,'Progetto del paramento slu'!$G$53)*IF(N1916&lt;0,-1,1)</f>
        <v>398299.31208121032</v>
      </c>
      <c r="U1916" s="553">
        <f>'Foglio deposito bis'!$F$82*IF(ABS(O1916)&lt;'Progetto del paramento slu'!$G$58,ABS(O1916)*'Progetto del paramento slu'!$G$54,'Progetto del paramento slu'!$G$53)*IF(O1916&lt;0,-1,1)</f>
        <v>892485.49558937876</v>
      </c>
      <c r="V1916" s="479">
        <f t="shared" si="141"/>
        <v>317133.66588645778</v>
      </c>
      <c r="W1916" s="559"/>
      <c r="X1916" s="559"/>
    </row>
    <row r="1917" spans="1:24" x14ac:dyDescent="0.25">
      <c r="A1917" s="553">
        <f t="shared" si="140"/>
        <v>305688.83340077079</v>
      </c>
      <c r="B1917" s="3">
        <f t="shared" si="142"/>
        <v>19.899999999999952</v>
      </c>
      <c r="C1917" s="553">
        <f>'Foglio deposito bis'!$E$160/sezione!$B$247*B1917</f>
        <v>80.786728069376309</v>
      </c>
      <c r="D1917" s="611">
        <f>-'Progetto del paramento slu'!$G$47*'Progetto del paramento slu'!$G$41*IF(DATI!$G$218="dx",DATI!$E$61,DATI!$E$64*DATI!$E$63)*1000*C1917^2*sezione!$AD$5*(1-sezione!$AD$6)</f>
        <v>-53726108.831143983</v>
      </c>
      <c r="E1917" s="553">
        <f>-'Foglio deposito bis'!$F$78*(C1917-sezione!$AL$34)*IF(ABS(K1917)&lt;'Progetto del paramento slu'!$G$58,ABS(K1917)*'Progetto del paramento slu'!$G$54,'Progetto del paramento slu'!$G$53)</f>
        <v>0</v>
      </c>
      <c r="F1917" s="553">
        <f>-'Foglio deposito bis'!$F$79*(C1917-sezione!$AM$34)*IF(ABS(L1917)&lt;'Progetto del paramento slu'!$G$58,ABS(L1917)*'Progetto del paramento slu'!$G$54,'Progetto del paramento slu'!$G$53)</f>
        <v>10635647.606812175</v>
      </c>
      <c r="G1917" s="553">
        <f>-'Foglio deposito bis'!$F$80*(C1917-sezione!$AN$34)*IF(ABS(M1917)&lt;'Progetto del paramento slu'!$G$58,ABS(M1917)*'Progetto del paramento slu'!$G$54,'Progetto del paramento slu'!$G$53)</f>
        <v>0</v>
      </c>
      <c r="H1917" s="553">
        <f>-'Foglio deposito bis'!$F$81*(C1917-sezione!$AO$34)*IF(ABS(N1917)&lt;'Progetto del paramento slu'!$G$58,ABS(N1917)*'Progetto del paramento slu'!$G$54,'Progetto del paramento slu'!$G$53)</f>
        <v>103244467.89228712</v>
      </c>
      <c r="I1917" s="479">
        <f>-'Foglio deposito bis'!$F$82*(C1917-sezione!$AP$34)*IF(ABS(O1917)&lt;'Progetto del paramento slu'!$G$58,ABS(O1917)*'Progetto del paramento slu'!$G$54,'Progetto del paramento slu'!$G$53)</f>
        <v>159951488.92287013</v>
      </c>
      <c r="J1917" s="479">
        <f t="shared" si="139"/>
        <v>220105495.59082544</v>
      </c>
      <c r="K1917" s="558">
        <f>'Progetto del paramento slu'!$G$60*(sezione!$AL$34-C1917)/C1917</f>
        <v>-1.7670420829548415E-3</v>
      </c>
      <c r="L1917" s="558">
        <f>'Progetto del paramento slu'!$G$60*(sezione!$AM$34-C1917)/C1917</f>
        <v>2.9985921889193442E-3</v>
      </c>
      <c r="M1917" s="559">
        <f>'Progetto del paramento slu'!$G$60*(sezione!$AN$34-C1917)/C1917</f>
        <v>7.76422646079353E-3</v>
      </c>
      <c r="N1917" s="559">
        <f>'Progetto del paramento slu'!$G$60*(sezione!$AO$34-C1917)/C1917</f>
        <v>1.1230142294883847E-2</v>
      </c>
      <c r="O1917" s="559">
        <f>'Progetto del paramento slu'!$G$60*(sezione!$AP$34-C1917)/C1917</f>
        <v>7.7645295201407933E-3</v>
      </c>
      <c r="P1917" s="553">
        <f>-'Progetto del paramento slu'!$G$47*'Progetto del paramento slu'!$G$41*IF(DATI!$G$218="dx",DATI!$E$61,DATI!$E$64*DATI!$E$63)*1000*C1917*sezione!$AD$5</f>
        <v>-1138760.8323258408</v>
      </c>
      <c r="Q1917" s="553">
        <f>'Foglio deposito bis'!$F$78*IF(ABS(K1917)&lt;'Progetto del paramento slu'!$G$58,ABS(K1917)*'Progetto del paramento slu'!$G$54,'Progetto del paramento slu'!$G$53)*IF(K1917&lt;0,-1,1)</f>
        <v>0</v>
      </c>
      <c r="R1917" s="553">
        <f>'Foglio deposito bis'!$F$79*IF(ABS(L1917)&lt;'Progetto del paramento slu'!$G$58,ABS(L1917)*'Progetto del paramento slu'!$G$54,'Progetto del paramento slu'!$G$53)*IF(L1917&lt;0,-1,1)</f>
        <v>153664.85805602249</v>
      </c>
      <c r="S1917" s="553">
        <f>'Foglio deposito bis'!$F$80*IF(ABS(M1917)&lt;'Progetto del paramento slu'!$G$58,ABS(M1917)*'Progetto del paramento slu'!$G$54,'Progetto del paramento slu'!$G$53)*IF(M1917&lt;0,-1,1)</f>
        <v>0</v>
      </c>
      <c r="T1917" s="553">
        <f>'Foglio deposito bis'!$F$81*IF(ABS(N1917)&lt;'Progetto del paramento slu'!$G$58,ABS(N1917)*'Progetto del paramento slu'!$G$54,'Progetto del paramento slu'!$G$53)*IF(N1917&lt;0,-1,1)</f>
        <v>398299.31208121032</v>
      </c>
      <c r="U1917" s="553">
        <f>'Foglio deposito bis'!$F$82*IF(ABS(O1917)&lt;'Progetto del paramento slu'!$G$58,ABS(O1917)*'Progetto del paramento slu'!$G$54,'Progetto del paramento slu'!$G$53)*IF(O1917&lt;0,-1,1)</f>
        <v>892485.49558937876</v>
      </c>
      <c r="V1917" s="479">
        <f t="shared" si="141"/>
        <v>305688.83340077079</v>
      </c>
      <c r="W1917" s="559"/>
      <c r="X1917" s="559"/>
    </row>
    <row r="1918" spans="1:24" x14ac:dyDescent="0.25">
      <c r="A1918" s="553">
        <f t="shared" si="140"/>
        <v>294244.00091508403</v>
      </c>
      <c r="B1918" s="3">
        <f t="shared" si="142"/>
        <v>20.099999999999952</v>
      </c>
      <c r="C1918" s="553">
        <f>'Foglio deposito bis'!$E$160/sezione!$B$247*B1918</f>
        <v>81.598654984646416</v>
      </c>
      <c r="D1918" s="611">
        <f>-'Progetto del paramento slu'!$G$47*'Progetto del paramento slu'!$G$41*IF(DATI!$G$218="dx",DATI!$E$61,DATI!$E$64*DATI!$E$63)*1000*C1918^2*sezione!$AD$5*(1-sezione!$AD$6)</f>
        <v>-54811457.359335557</v>
      </c>
      <c r="E1918" s="553">
        <f>-'Foglio deposito bis'!$F$78*(C1918-sezione!$AL$34)*IF(ABS(K1918)&lt;'Progetto del paramento slu'!$G$58,ABS(K1918)*'Progetto del paramento slu'!$G$54,'Progetto del paramento slu'!$G$53)</f>
        <v>0</v>
      </c>
      <c r="F1918" s="553">
        <f>-'Foglio deposito bis'!$F$79*(C1918-sezione!$AM$34)*IF(ABS(L1918)&lt;'Progetto del paramento slu'!$G$58,ABS(L1918)*'Progetto del paramento slu'!$G$54,'Progetto del paramento slu'!$G$53)</f>
        <v>10510882.97262533</v>
      </c>
      <c r="G1918" s="553">
        <f>-'Foglio deposito bis'!$F$80*(C1918-sezione!$AN$34)*IF(ABS(M1918)&lt;'Progetto del paramento slu'!$G$58,ABS(M1918)*'Progetto del paramento slu'!$G$54,'Progetto del paramento slu'!$G$53)</f>
        <v>0</v>
      </c>
      <c r="H1918" s="553">
        <f>-'Foglio deposito bis'!$F$81*(C1918-sezione!$AO$34)*IF(ABS(N1918)&lt;'Progetto del paramento slu'!$G$58,ABS(N1918)*'Progetto del paramento slu'!$G$54,'Progetto del paramento slu'!$G$53)</f>
        <v>102921077.9604748</v>
      </c>
      <c r="I1918" s="479">
        <f>-'Foglio deposito bis'!$F$82*(C1918-sezione!$AP$34)*IF(ABS(O1918)&lt;'Progetto del paramento slu'!$G$58,ABS(O1918)*'Progetto del paramento slu'!$G$54,'Progetto del paramento slu'!$G$53)</f>
        <v>159226855.92751288</v>
      </c>
      <c r="J1918" s="479">
        <f t="shared" si="139"/>
        <v>217847359.50127745</v>
      </c>
      <c r="K1918" s="558">
        <f>'Progetto del paramento slu'!$G$60*(sezione!$AL$34-C1918)/C1918</f>
        <v>-1.7842854453134999E-3</v>
      </c>
      <c r="L1918" s="558">
        <f>'Progetto del paramento slu'!$G$60*(sezione!$AM$34-C1918)/C1918</f>
        <v>2.9339295800743762E-3</v>
      </c>
      <c r="M1918" s="559">
        <f>'Progetto del paramento slu'!$G$60*(sezione!$AN$34-C1918)/C1918</f>
        <v>7.652144605462252E-3</v>
      </c>
      <c r="N1918" s="559">
        <f>'Progetto del paramento slu'!$G$60*(sezione!$AO$34-C1918)/C1918</f>
        <v>1.1083573714835251E-2</v>
      </c>
      <c r="O1918" s="559">
        <f>'Progetto del paramento slu'!$G$60*(sezione!$AP$34-C1918)/C1918</f>
        <v>7.6524446492936219E-3</v>
      </c>
      <c r="P1918" s="553">
        <f>-'Progetto del paramento slu'!$G$47*'Progetto del paramento slu'!$G$41*IF(DATI!$G$218="dx",DATI!$E$61,DATI!$E$64*DATI!$E$63)*1000*C1918*sezione!$AD$5</f>
        <v>-1150205.6648115276</v>
      </c>
      <c r="Q1918" s="553">
        <f>'Foglio deposito bis'!$F$78*IF(ABS(K1918)&lt;'Progetto del paramento slu'!$G$58,ABS(K1918)*'Progetto del paramento slu'!$G$54,'Progetto del paramento slu'!$G$53)*IF(K1918&lt;0,-1,1)</f>
        <v>0</v>
      </c>
      <c r="R1918" s="553">
        <f>'Foglio deposito bis'!$F$79*IF(ABS(L1918)&lt;'Progetto del paramento slu'!$G$58,ABS(L1918)*'Progetto del paramento slu'!$G$54,'Progetto del paramento slu'!$G$53)*IF(L1918&lt;0,-1,1)</f>
        <v>153664.85805602249</v>
      </c>
      <c r="S1918" s="553">
        <f>'Foglio deposito bis'!$F$80*IF(ABS(M1918)&lt;'Progetto del paramento slu'!$G$58,ABS(M1918)*'Progetto del paramento slu'!$G$54,'Progetto del paramento slu'!$G$53)*IF(M1918&lt;0,-1,1)</f>
        <v>0</v>
      </c>
      <c r="T1918" s="553">
        <f>'Foglio deposito bis'!$F$81*IF(ABS(N1918)&lt;'Progetto del paramento slu'!$G$58,ABS(N1918)*'Progetto del paramento slu'!$G$54,'Progetto del paramento slu'!$G$53)*IF(N1918&lt;0,-1,1)</f>
        <v>398299.31208121032</v>
      </c>
      <c r="U1918" s="553">
        <f>'Foglio deposito bis'!$F$82*IF(ABS(O1918)&lt;'Progetto del paramento slu'!$G$58,ABS(O1918)*'Progetto del paramento slu'!$G$54,'Progetto del paramento slu'!$G$53)*IF(O1918&lt;0,-1,1)</f>
        <v>892485.49558937876</v>
      </c>
      <c r="V1918" s="479">
        <f t="shared" si="141"/>
        <v>294244.00091508403</v>
      </c>
      <c r="W1918" s="559"/>
      <c r="X1918" s="559"/>
    </row>
    <row r="1919" spans="1:24" x14ac:dyDescent="0.25">
      <c r="A1919" s="553">
        <f t="shared" si="140"/>
        <v>282799.16842939705</v>
      </c>
      <c r="B1919" s="3">
        <f t="shared" si="142"/>
        <v>20.299999999999951</v>
      </c>
      <c r="C1919" s="553">
        <f>'Foglio deposito bis'!$E$160/sezione!$B$247*B1919</f>
        <v>82.410581899916536</v>
      </c>
      <c r="D1919" s="611">
        <f>-'Progetto del paramento slu'!$G$47*'Progetto del paramento slu'!$G$41*IF(DATI!$G$218="dx",DATI!$E$61,DATI!$E$64*DATI!$E$63)*1000*C1919^2*sezione!$AD$5*(1-sezione!$AD$6)</f>
        <v>-55907659.372809067</v>
      </c>
      <c r="E1919" s="553">
        <f>-'Foglio deposito bis'!$F$78*(C1919-sezione!$AL$34)*IF(ABS(K1919)&lt;'Progetto del paramento slu'!$G$58,ABS(K1919)*'Progetto del paramento slu'!$G$54,'Progetto del paramento slu'!$G$53)</f>
        <v>0</v>
      </c>
      <c r="F1919" s="553">
        <f>-'Foglio deposito bis'!$F$79*(C1919-sezione!$AM$34)*IF(ABS(L1919)&lt;'Progetto del paramento slu'!$G$58,ABS(L1919)*'Progetto del paramento slu'!$G$54,'Progetto del paramento slu'!$G$53)</f>
        <v>10386118.338438483</v>
      </c>
      <c r="G1919" s="553">
        <f>-'Foglio deposito bis'!$F$80*(C1919-sezione!$AN$34)*IF(ABS(M1919)&lt;'Progetto del paramento slu'!$G$58,ABS(M1919)*'Progetto del paramento slu'!$G$54,'Progetto del paramento slu'!$G$53)</f>
        <v>0</v>
      </c>
      <c r="H1919" s="553">
        <f>-'Foglio deposito bis'!$F$81*(C1919-sezione!$AO$34)*IF(ABS(N1919)&lt;'Progetto del paramento slu'!$G$58,ABS(N1919)*'Progetto del paramento slu'!$G$54,'Progetto del paramento slu'!$G$53)</f>
        <v>102597688.02866249</v>
      </c>
      <c r="I1919" s="479">
        <f>-'Foglio deposito bis'!$F$82*(C1919-sezione!$AP$34)*IF(ABS(O1919)&lt;'Progetto del paramento slu'!$G$58,ABS(O1919)*'Progetto del paramento slu'!$G$54,'Progetto del paramento slu'!$G$53)</f>
        <v>158502222.93215567</v>
      </c>
      <c r="J1919" s="479">
        <f t="shared" si="139"/>
        <v>215578369.92644757</v>
      </c>
      <c r="K1919" s="558">
        <f>'Progetto del paramento slu'!$G$60*(sezione!$AL$34-C1919)/C1919</f>
        <v>-1.8011890369852882E-3</v>
      </c>
      <c r="L1919" s="558">
        <f>'Progetto del paramento slu'!$G$60*(sezione!$AM$34-C1919)/C1919</f>
        <v>2.8705411113051698E-3</v>
      </c>
      <c r="M1919" s="559">
        <f>'Progetto del paramento slu'!$G$60*(sezione!$AN$34-C1919)/C1919</f>
        <v>7.5422712595956277E-3</v>
      </c>
      <c r="N1919" s="559">
        <f>'Progetto del paramento slu'!$G$60*(sezione!$AO$34-C1919)/C1919</f>
        <v>1.0939893185625051E-2</v>
      </c>
      <c r="O1919" s="559">
        <f>'Progetto del paramento slu'!$G$60*(sezione!$AP$34-C1919)/C1919</f>
        <v>7.5425683473301372E-3</v>
      </c>
      <c r="P1919" s="553">
        <f>-'Progetto del paramento slu'!$G$47*'Progetto del paramento slu'!$G$41*IF(DATI!$G$218="dx",DATI!$E$61,DATI!$E$64*DATI!$E$63)*1000*C1919*sezione!$AD$5</f>
        <v>-1161650.4972972146</v>
      </c>
      <c r="Q1919" s="553">
        <f>'Foglio deposito bis'!$F$78*IF(ABS(K1919)&lt;'Progetto del paramento slu'!$G$58,ABS(K1919)*'Progetto del paramento slu'!$G$54,'Progetto del paramento slu'!$G$53)*IF(K1919&lt;0,-1,1)</f>
        <v>0</v>
      </c>
      <c r="R1919" s="553">
        <f>'Foglio deposito bis'!$F$79*IF(ABS(L1919)&lt;'Progetto del paramento slu'!$G$58,ABS(L1919)*'Progetto del paramento slu'!$G$54,'Progetto del paramento slu'!$G$53)*IF(L1919&lt;0,-1,1)</f>
        <v>153664.85805602249</v>
      </c>
      <c r="S1919" s="553">
        <f>'Foglio deposito bis'!$F$80*IF(ABS(M1919)&lt;'Progetto del paramento slu'!$G$58,ABS(M1919)*'Progetto del paramento slu'!$G$54,'Progetto del paramento slu'!$G$53)*IF(M1919&lt;0,-1,1)</f>
        <v>0</v>
      </c>
      <c r="T1919" s="553">
        <f>'Foglio deposito bis'!$F$81*IF(ABS(N1919)&lt;'Progetto del paramento slu'!$G$58,ABS(N1919)*'Progetto del paramento slu'!$G$54,'Progetto del paramento slu'!$G$53)*IF(N1919&lt;0,-1,1)</f>
        <v>398299.31208121032</v>
      </c>
      <c r="U1919" s="553">
        <f>'Foglio deposito bis'!$F$82*IF(ABS(O1919)&lt;'Progetto del paramento slu'!$G$58,ABS(O1919)*'Progetto del paramento slu'!$G$54,'Progetto del paramento slu'!$G$53)*IF(O1919&lt;0,-1,1)</f>
        <v>892485.49558937876</v>
      </c>
      <c r="V1919" s="479">
        <f t="shared" si="141"/>
        <v>282799.16842939705</v>
      </c>
      <c r="W1919" s="559"/>
      <c r="X1919" s="559"/>
    </row>
    <row r="1920" spans="1:24" x14ac:dyDescent="0.25">
      <c r="A1920" s="553">
        <f t="shared" si="140"/>
        <v>271354.33594371029</v>
      </c>
      <c r="B1920" s="3">
        <f t="shared" si="142"/>
        <v>20.49999999999995</v>
      </c>
      <c r="C1920" s="553">
        <f>'Foglio deposito bis'!$E$160/sezione!$B$247*B1920</f>
        <v>83.222508815186643</v>
      </c>
      <c r="D1920" s="611">
        <f>-'Progetto del paramento slu'!$G$47*'Progetto del paramento slu'!$G$41*IF(DATI!$G$218="dx",DATI!$E$61,DATI!$E$64*DATI!$E$63)*1000*C1920^2*sezione!$AD$5*(1-sezione!$AD$6)</f>
        <v>-57014714.871564485</v>
      </c>
      <c r="E1920" s="553">
        <f>-'Foglio deposito bis'!$F$78*(C1920-sezione!$AL$34)*IF(ABS(K1920)&lt;'Progetto del paramento slu'!$G$58,ABS(K1920)*'Progetto del paramento slu'!$G$54,'Progetto del paramento slu'!$G$53)</f>
        <v>0</v>
      </c>
      <c r="F1920" s="553">
        <f>-'Foglio deposito bis'!$F$79*(C1920-sezione!$AM$34)*IF(ABS(L1920)&lt;'Progetto del paramento slu'!$G$58,ABS(L1920)*'Progetto del paramento slu'!$G$54,'Progetto del paramento slu'!$G$53)</f>
        <v>10261353.704251638</v>
      </c>
      <c r="G1920" s="553">
        <f>-'Foglio deposito bis'!$F$80*(C1920-sezione!$AN$34)*IF(ABS(M1920)&lt;'Progetto del paramento slu'!$G$58,ABS(M1920)*'Progetto del paramento slu'!$G$54,'Progetto del paramento slu'!$G$53)</f>
        <v>0</v>
      </c>
      <c r="H1920" s="553">
        <f>-'Foglio deposito bis'!$F$81*(C1920-sezione!$AO$34)*IF(ABS(N1920)&lt;'Progetto del paramento slu'!$G$58,ABS(N1920)*'Progetto del paramento slu'!$G$54,'Progetto del paramento slu'!$G$53)</f>
        <v>102274298.0968502</v>
      </c>
      <c r="I1920" s="479">
        <f>-'Foglio deposito bis'!$F$82*(C1920-sezione!$AP$34)*IF(ABS(O1920)&lt;'Progetto del paramento slu'!$G$58,ABS(O1920)*'Progetto del paramento slu'!$G$54,'Progetto del paramento slu'!$G$53)</f>
        <v>157777589.93679848</v>
      </c>
      <c r="J1920" s="479">
        <f t="shared" si="139"/>
        <v>213298526.86633584</v>
      </c>
      <c r="K1920" s="558">
        <f>'Progetto del paramento slu'!$G$60*(sezione!$AL$34-C1920)/C1920</f>
        <v>-1.8177628024781142E-3</v>
      </c>
      <c r="L1920" s="558">
        <f>'Progetto del paramento slu'!$G$60*(sezione!$AM$34-C1920)/C1920</f>
        <v>2.8083894907070714E-3</v>
      </c>
      <c r="M1920" s="559">
        <f>'Progetto del paramento slu'!$G$60*(sezione!$AN$34-C1920)/C1920</f>
        <v>7.4345417838922569E-3</v>
      </c>
      <c r="N1920" s="559">
        <f>'Progetto del paramento slu'!$G$60*(sezione!$AO$34-C1920)/C1920</f>
        <v>1.0799016178936027E-2</v>
      </c>
      <c r="O1920" s="559">
        <f>'Progetto del paramento slu'!$G$60*(sezione!$AP$34-C1920)/C1920</f>
        <v>7.4348359732098433E-3</v>
      </c>
      <c r="P1920" s="553">
        <f>-'Progetto del paramento slu'!$G$47*'Progetto del paramento slu'!$G$41*IF(DATI!$G$218="dx",DATI!$E$61,DATI!$E$64*DATI!$E$63)*1000*C1920*sezione!$AD$5</f>
        <v>-1173095.3297829013</v>
      </c>
      <c r="Q1920" s="553">
        <f>'Foglio deposito bis'!$F$78*IF(ABS(K1920)&lt;'Progetto del paramento slu'!$G$58,ABS(K1920)*'Progetto del paramento slu'!$G$54,'Progetto del paramento slu'!$G$53)*IF(K1920&lt;0,-1,1)</f>
        <v>0</v>
      </c>
      <c r="R1920" s="553">
        <f>'Foglio deposito bis'!$F$79*IF(ABS(L1920)&lt;'Progetto del paramento slu'!$G$58,ABS(L1920)*'Progetto del paramento slu'!$G$54,'Progetto del paramento slu'!$G$53)*IF(L1920&lt;0,-1,1)</f>
        <v>153664.85805602249</v>
      </c>
      <c r="S1920" s="553">
        <f>'Foglio deposito bis'!$F$80*IF(ABS(M1920)&lt;'Progetto del paramento slu'!$G$58,ABS(M1920)*'Progetto del paramento slu'!$G$54,'Progetto del paramento slu'!$G$53)*IF(M1920&lt;0,-1,1)</f>
        <v>0</v>
      </c>
      <c r="T1920" s="553">
        <f>'Foglio deposito bis'!$F$81*IF(ABS(N1920)&lt;'Progetto del paramento slu'!$G$58,ABS(N1920)*'Progetto del paramento slu'!$G$54,'Progetto del paramento slu'!$G$53)*IF(N1920&lt;0,-1,1)</f>
        <v>398299.31208121032</v>
      </c>
      <c r="U1920" s="553">
        <f>'Foglio deposito bis'!$F$82*IF(ABS(O1920)&lt;'Progetto del paramento slu'!$G$58,ABS(O1920)*'Progetto del paramento slu'!$G$54,'Progetto del paramento slu'!$G$53)*IF(O1920&lt;0,-1,1)</f>
        <v>892485.49558937876</v>
      </c>
      <c r="V1920" s="479">
        <f t="shared" si="141"/>
        <v>271354.33594371029</v>
      </c>
      <c r="W1920" s="559"/>
      <c r="X1920" s="559"/>
    </row>
    <row r="1921" spans="1:24" x14ac:dyDescent="0.25">
      <c r="A1921" s="553">
        <f t="shared" si="140"/>
        <v>259909.5034580233</v>
      </c>
      <c r="B1921" s="3">
        <f t="shared" si="142"/>
        <v>20.69999999999995</v>
      </c>
      <c r="C1921" s="553">
        <f>'Foglio deposito bis'!$E$160/sezione!$B$247*B1921</f>
        <v>84.034435730456764</v>
      </c>
      <c r="D1921" s="611">
        <f>-'Progetto del paramento slu'!$G$47*'Progetto del paramento slu'!$G$41*IF(DATI!$G$218="dx",DATI!$E$61,DATI!$E$64*DATI!$E$63)*1000*C1921^2*sezione!$AD$5*(1-sezione!$AD$6)</f>
        <v>-58132623.855601832</v>
      </c>
      <c r="E1921" s="553">
        <f>-'Foglio deposito bis'!$F$78*(C1921-sezione!$AL$34)*IF(ABS(K1921)&lt;'Progetto del paramento slu'!$G$58,ABS(K1921)*'Progetto del paramento slu'!$G$54,'Progetto del paramento slu'!$G$53)</f>
        <v>0</v>
      </c>
      <c r="F1921" s="553">
        <f>-'Foglio deposito bis'!$F$79*(C1921-sezione!$AM$34)*IF(ABS(L1921)&lt;'Progetto del paramento slu'!$G$58,ABS(L1921)*'Progetto del paramento slu'!$G$54,'Progetto del paramento slu'!$G$53)</f>
        <v>10136589.070064791</v>
      </c>
      <c r="G1921" s="553">
        <f>-'Foglio deposito bis'!$F$80*(C1921-sezione!$AN$34)*IF(ABS(M1921)&lt;'Progetto del paramento slu'!$G$58,ABS(M1921)*'Progetto del paramento slu'!$G$54,'Progetto del paramento slu'!$G$53)</f>
        <v>0</v>
      </c>
      <c r="H1921" s="553">
        <f>-'Foglio deposito bis'!$F$81*(C1921-sezione!$AO$34)*IF(ABS(N1921)&lt;'Progetto del paramento slu'!$G$58,ABS(N1921)*'Progetto del paramento slu'!$G$54,'Progetto del paramento slu'!$G$53)</f>
        <v>101950908.1650379</v>
      </c>
      <c r="I1921" s="479">
        <f>-'Foglio deposito bis'!$F$82*(C1921-sezione!$AP$34)*IF(ABS(O1921)&lt;'Progetto del paramento slu'!$G$58,ABS(O1921)*'Progetto del paramento slu'!$G$54,'Progetto del paramento slu'!$G$53)</f>
        <v>157052956.94144127</v>
      </c>
      <c r="J1921" s="479">
        <f t="shared" si="139"/>
        <v>211007830.32094213</v>
      </c>
      <c r="K1921" s="558">
        <f>'Progetto del paramento slu'!$G$60*(sezione!$AL$34-C1921)/C1921</f>
        <v>-1.8340163019710796E-3</v>
      </c>
      <c r="L1921" s="558">
        <f>'Progetto del paramento slu'!$G$60*(sezione!$AM$34-C1921)/C1921</f>
        <v>2.7474388676084517E-3</v>
      </c>
      <c r="M1921" s="559">
        <f>'Progetto del paramento slu'!$G$60*(sezione!$AN$34-C1921)/C1921</f>
        <v>7.3288940371879826E-3</v>
      </c>
      <c r="N1921" s="559">
        <f>'Progetto del paramento slu'!$G$60*(sezione!$AO$34-C1921)/C1921</f>
        <v>1.0660861433245822E-2</v>
      </c>
      <c r="O1921" s="559">
        <f>'Progetto del paramento slu'!$G$60*(sezione!$AP$34-C1921)/C1921</f>
        <v>7.3291853840967043E-3</v>
      </c>
      <c r="P1921" s="553">
        <f>-'Progetto del paramento slu'!$G$47*'Progetto del paramento slu'!$G$41*IF(DATI!$G$218="dx",DATI!$E$61,DATI!$E$64*DATI!$E$63)*1000*C1921*sezione!$AD$5</f>
        <v>-1184540.1622685883</v>
      </c>
      <c r="Q1921" s="553">
        <f>'Foglio deposito bis'!$F$78*IF(ABS(K1921)&lt;'Progetto del paramento slu'!$G$58,ABS(K1921)*'Progetto del paramento slu'!$G$54,'Progetto del paramento slu'!$G$53)*IF(K1921&lt;0,-1,1)</f>
        <v>0</v>
      </c>
      <c r="R1921" s="553">
        <f>'Foglio deposito bis'!$F$79*IF(ABS(L1921)&lt;'Progetto del paramento slu'!$G$58,ABS(L1921)*'Progetto del paramento slu'!$G$54,'Progetto del paramento slu'!$G$53)*IF(L1921&lt;0,-1,1)</f>
        <v>153664.85805602249</v>
      </c>
      <c r="S1921" s="553">
        <f>'Foglio deposito bis'!$F$80*IF(ABS(M1921)&lt;'Progetto del paramento slu'!$G$58,ABS(M1921)*'Progetto del paramento slu'!$G$54,'Progetto del paramento slu'!$G$53)*IF(M1921&lt;0,-1,1)</f>
        <v>0</v>
      </c>
      <c r="T1921" s="553">
        <f>'Foglio deposito bis'!$F$81*IF(ABS(N1921)&lt;'Progetto del paramento slu'!$G$58,ABS(N1921)*'Progetto del paramento slu'!$G$54,'Progetto del paramento slu'!$G$53)*IF(N1921&lt;0,-1,1)</f>
        <v>398299.31208121032</v>
      </c>
      <c r="U1921" s="553">
        <f>'Foglio deposito bis'!$F$82*IF(ABS(O1921)&lt;'Progetto del paramento slu'!$G$58,ABS(O1921)*'Progetto del paramento slu'!$G$54,'Progetto del paramento slu'!$G$53)*IF(O1921&lt;0,-1,1)</f>
        <v>892485.49558937876</v>
      </c>
      <c r="V1921" s="479">
        <f t="shared" si="141"/>
        <v>259909.5034580233</v>
      </c>
      <c r="W1921" s="559"/>
      <c r="X1921" s="559"/>
    </row>
    <row r="1922" spans="1:24" x14ac:dyDescent="0.25">
      <c r="A1922" s="553">
        <f t="shared" si="140"/>
        <v>248464.67097233678</v>
      </c>
      <c r="B1922" s="3">
        <f t="shared" si="142"/>
        <v>20.899999999999949</v>
      </c>
      <c r="C1922" s="553">
        <f>'Foglio deposito bis'!$E$160/sezione!$B$247*B1922</f>
        <v>84.84636264572687</v>
      </c>
      <c r="D1922" s="611">
        <f>-'Progetto del paramento slu'!$G$47*'Progetto del paramento slu'!$G$41*IF(DATI!$G$218="dx",DATI!$E$61,DATI!$E$64*DATI!$E$63)*1000*C1922^2*sezione!$AD$5*(1-sezione!$AD$6)</f>
        <v>-59261386.324921079</v>
      </c>
      <c r="E1922" s="553">
        <f>-'Foglio deposito bis'!$F$78*(C1922-sezione!$AL$34)*IF(ABS(K1922)&lt;'Progetto del paramento slu'!$G$58,ABS(K1922)*'Progetto del paramento slu'!$G$54,'Progetto del paramento slu'!$G$53)</f>
        <v>0</v>
      </c>
      <c r="F1922" s="553">
        <f>-'Foglio deposito bis'!$F$79*(C1922-sezione!$AM$34)*IF(ABS(L1922)&lt;'Progetto del paramento slu'!$G$58,ABS(L1922)*'Progetto del paramento slu'!$G$54,'Progetto del paramento slu'!$G$53)</f>
        <v>10011824.435877945</v>
      </c>
      <c r="G1922" s="553">
        <f>-'Foglio deposito bis'!$F$80*(C1922-sezione!$AN$34)*IF(ABS(M1922)&lt;'Progetto del paramento slu'!$G$58,ABS(M1922)*'Progetto del paramento slu'!$G$54,'Progetto del paramento slu'!$G$53)</f>
        <v>0</v>
      </c>
      <c r="H1922" s="553">
        <f>-'Foglio deposito bis'!$F$81*(C1922-sezione!$AO$34)*IF(ABS(N1922)&lt;'Progetto del paramento slu'!$G$58,ABS(N1922)*'Progetto del paramento slu'!$G$54,'Progetto del paramento slu'!$G$53)</f>
        <v>101627518.2332256</v>
      </c>
      <c r="I1922" s="479">
        <f>-'Foglio deposito bis'!$F$82*(C1922-sezione!$AP$34)*IF(ABS(O1922)&lt;'Progetto del paramento slu'!$G$58,ABS(O1922)*'Progetto del paramento slu'!$G$54,'Progetto del paramento slu'!$G$53)</f>
        <v>156328323.94608408</v>
      </c>
      <c r="J1922" s="479">
        <f t="shared" si="139"/>
        <v>208706280.29026654</v>
      </c>
      <c r="K1922" s="558">
        <f>'Progetto del paramento slu'!$G$60*(sezione!$AL$34-C1922)/C1922</f>
        <v>-1.8499587297034139E-3</v>
      </c>
      <c r="L1922" s="558">
        <f>'Progetto del paramento slu'!$G$60*(sezione!$AM$34-C1922)/C1922</f>
        <v>2.6876547636121989E-3</v>
      </c>
      <c r="M1922" s="559">
        <f>'Progetto del paramento slu'!$G$60*(sezione!$AN$34-C1922)/C1922</f>
        <v>7.2252682569278123E-3</v>
      </c>
      <c r="N1922" s="559">
        <f>'Progetto del paramento slu'!$G$60*(sezione!$AO$34-C1922)/C1922</f>
        <v>1.0525350797520986E-2</v>
      </c>
      <c r="O1922" s="559">
        <f>'Progetto del paramento slu'!$G$60*(sezione!$AP$34-C1922)/C1922</f>
        <v>7.2255568158278386E-3</v>
      </c>
      <c r="P1922" s="553">
        <f>-'Progetto del paramento slu'!$G$47*'Progetto del paramento slu'!$G$41*IF(DATI!$G$218="dx",DATI!$E$61,DATI!$E$64*DATI!$E$63)*1000*C1922*sezione!$AD$5</f>
        <v>-1195984.9947542748</v>
      </c>
      <c r="Q1922" s="553">
        <f>'Foglio deposito bis'!$F$78*IF(ABS(K1922)&lt;'Progetto del paramento slu'!$G$58,ABS(K1922)*'Progetto del paramento slu'!$G$54,'Progetto del paramento slu'!$G$53)*IF(K1922&lt;0,-1,1)</f>
        <v>0</v>
      </c>
      <c r="R1922" s="553">
        <f>'Foglio deposito bis'!$F$79*IF(ABS(L1922)&lt;'Progetto del paramento slu'!$G$58,ABS(L1922)*'Progetto del paramento slu'!$G$54,'Progetto del paramento slu'!$G$53)*IF(L1922&lt;0,-1,1)</f>
        <v>153664.85805602249</v>
      </c>
      <c r="S1922" s="553">
        <f>'Foglio deposito bis'!$F$80*IF(ABS(M1922)&lt;'Progetto del paramento slu'!$G$58,ABS(M1922)*'Progetto del paramento slu'!$G$54,'Progetto del paramento slu'!$G$53)*IF(M1922&lt;0,-1,1)</f>
        <v>0</v>
      </c>
      <c r="T1922" s="553">
        <f>'Foglio deposito bis'!$F$81*IF(ABS(N1922)&lt;'Progetto del paramento slu'!$G$58,ABS(N1922)*'Progetto del paramento slu'!$G$54,'Progetto del paramento slu'!$G$53)*IF(N1922&lt;0,-1,1)</f>
        <v>398299.31208121032</v>
      </c>
      <c r="U1922" s="553">
        <f>'Foglio deposito bis'!$F$82*IF(ABS(O1922)&lt;'Progetto del paramento slu'!$G$58,ABS(O1922)*'Progetto del paramento slu'!$G$54,'Progetto del paramento slu'!$G$53)*IF(O1922&lt;0,-1,1)</f>
        <v>892485.49558937876</v>
      </c>
      <c r="V1922" s="479">
        <f t="shared" si="141"/>
        <v>248464.67097233678</v>
      </c>
      <c r="W1922" s="559"/>
      <c r="X1922" s="559"/>
    </row>
    <row r="1923" spans="1:24" x14ac:dyDescent="0.25">
      <c r="A1923" s="553">
        <f t="shared" si="140"/>
        <v>237019.83848665003</v>
      </c>
      <c r="B1923" s="3">
        <f t="shared" si="142"/>
        <v>21.099999999999948</v>
      </c>
      <c r="C1923" s="553">
        <f>'Foglio deposito bis'!$E$160/sezione!$B$247*B1923</f>
        <v>85.658289560996977</v>
      </c>
      <c r="D1923" s="611">
        <f>-'Progetto del paramento slu'!$G$47*'Progetto del paramento slu'!$G$41*IF(DATI!$G$218="dx",DATI!$E$61,DATI!$E$64*DATI!$E$63)*1000*C1923^2*sezione!$AD$5*(1-sezione!$AD$6)</f>
        <v>-60401002.279522233</v>
      </c>
      <c r="E1923" s="553">
        <f>-'Foglio deposito bis'!$F$78*(C1923-sezione!$AL$34)*IF(ABS(K1923)&lt;'Progetto del paramento slu'!$G$58,ABS(K1923)*'Progetto del paramento slu'!$G$54,'Progetto del paramento slu'!$G$53)</f>
        <v>0</v>
      </c>
      <c r="F1923" s="553">
        <f>-'Foglio deposito bis'!$F$79*(C1923-sezione!$AM$34)*IF(ABS(L1923)&lt;'Progetto del paramento slu'!$G$58,ABS(L1923)*'Progetto del paramento slu'!$G$54,'Progetto del paramento slu'!$G$53)</f>
        <v>9887059.8016911019</v>
      </c>
      <c r="G1923" s="553">
        <f>-'Foglio deposito bis'!$F$80*(C1923-sezione!$AN$34)*IF(ABS(M1923)&lt;'Progetto del paramento slu'!$G$58,ABS(M1923)*'Progetto del paramento slu'!$G$54,'Progetto del paramento slu'!$G$53)</f>
        <v>0</v>
      </c>
      <c r="H1923" s="553">
        <f>-'Foglio deposito bis'!$F$81*(C1923-sezione!$AO$34)*IF(ABS(N1923)&lt;'Progetto del paramento slu'!$G$58,ABS(N1923)*'Progetto del paramento slu'!$G$54,'Progetto del paramento slu'!$G$53)</f>
        <v>101304128.30141328</v>
      </c>
      <c r="I1923" s="479">
        <f>-'Foglio deposito bis'!$F$82*(C1923-sezione!$AP$34)*IF(ABS(O1923)&lt;'Progetto del paramento slu'!$G$58,ABS(O1923)*'Progetto del paramento slu'!$G$54,'Progetto del paramento slu'!$G$53)</f>
        <v>155603690.95072687</v>
      </c>
      <c r="J1923" s="479">
        <f t="shared" si="139"/>
        <v>206393876.77430901</v>
      </c>
      <c r="K1923" s="558">
        <f>'Progetto del paramento slu'!$G$60*(sezione!$AL$34-C1923)/C1923</f>
        <v>-1.865598931317599E-3</v>
      </c>
      <c r="L1923" s="558">
        <f>'Progetto del paramento slu'!$G$60*(sezione!$AM$34-C1923)/C1923</f>
        <v>2.6290040075590032E-3</v>
      </c>
      <c r="M1923" s="559">
        <f>'Progetto del paramento slu'!$G$60*(sezione!$AN$34-C1923)/C1923</f>
        <v>7.1236069464356046E-3</v>
      </c>
      <c r="N1923" s="559">
        <f>'Progetto del paramento slu'!$G$60*(sezione!$AO$34-C1923)/C1923</f>
        <v>1.0392409083800408E-2</v>
      </c>
      <c r="O1923" s="559">
        <f>'Progetto del paramento slu'!$G$60*(sezione!$AP$34-C1923)/C1923</f>
        <v>7.1238927701801806E-3</v>
      </c>
      <c r="P1923" s="553">
        <f>-'Progetto del paramento slu'!$G$47*'Progetto del paramento slu'!$G$41*IF(DATI!$G$218="dx",DATI!$E$61,DATI!$E$64*DATI!$E$63)*1000*C1923*sezione!$AD$5</f>
        <v>-1207429.8272399616</v>
      </c>
      <c r="Q1923" s="553">
        <f>'Foglio deposito bis'!$F$78*IF(ABS(K1923)&lt;'Progetto del paramento slu'!$G$58,ABS(K1923)*'Progetto del paramento slu'!$G$54,'Progetto del paramento slu'!$G$53)*IF(K1923&lt;0,-1,1)</f>
        <v>0</v>
      </c>
      <c r="R1923" s="553">
        <f>'Foglio deposito bis'!$F$79*IF(ABS(L1923)&lt;'Progetto del paramento slu'!$G$58,ABS(L1923)*'Progetto del paramento slu'!$G$54,'Progetto del paramento slu'!$G$53)*IF(L1923&lt;0,-1,1)</f>
        <v>153664.85805602249</v>
      </c>
      <c r="S1923" s="553">
        <f>'Foglio deposito bis'!$F$80*IF(ABS(M1923)&lt;'Progetto del paramento slu'!$G$58,ABS(M1923)*'Progetto del paramento slu'!$G$54,'Progetto del paramento slu'!$G$53)*IF(M1923&lt;0,-1,1)</f>
        <v>0</v>
      </c>
      <c r="T1923" s="553">
        <f>'Foglio deposito bis'!$F$81*IF(ABS(N1923)&lt;'Progetto del paramento slu'!$G$58,ABS(N1923)*'Progetto del paramento slu'!$G$54,'Progetto del paramento slu'!$G$53)*IF(N1923&lt;0,-1,1)</f>
        <v>398299.31208121032</v>
      </c>
      <c r="U1923" s="553">
        <f>'Foglio deposito bis'!$F$82*IF(ABS(O1923)&lt;'Progetto del paramento slu'!$G$58,ABS(O1923)*'Progetto del paramento slu'!$G$54,'Progetto del paramento slu'!$G$53)*IF(O1923&lt;0,-1,1)</f>
        <v>892485.49558937876</v>
      </c>
      <c r="V1923" s="479">
        <f t="shared" si="141"/>
        <v>237019.83848665003</v>
      </c>
      <c r="W1923" s="559"/>
      <c r="X1923" s="559"/>
    </row>
    <row r="1924" spans="1:24" x14ac:dyDescent="0.25">
      <c r="A1924" s="553">
        <f t="shared" si="140"/>
        <v>225575.00600096304</v>
      </c>
      <c r="B1924" s="3">
        <f t="shared" si="142"/>
        <v>21.299999999999947</v>
      </c>
      <c r="C1924" s="553">
        <f>'Foglio deposito bis'!$E$160/sezione!$B$247*B1924</f>
        <v>86.470216476267098</v>
      </c>
      <c r="D1924" s="611">
        <f>-'Progetto del paramento slu'!$G$47*'Progetto del paramento slu'!$G$41*IF(DATI!$G$218="dx",DATI!$E$61,DATI!$E$64*DATI!$E$63)*1000*C1924^2*sezione!$AD$5*(1-sezione!$AD$6)</f>
        <v>-61551471.719405338</v>
      </c>
      <c r="E1924" s="553">
        <f>-'Foglio deposito bis'!$F$78*(C1924-sezione!$AL$34)*IF(ABS(K1924)&lt;'Progetto del paramento slu'!$G$58,ABS(K1924)*'Progetto del paramento slu'!$G$54,'Progetto del paramento slu'!$G$53)</f>
        <v>0</v>
      </c>
      <c r="F1924" s="553">
        <f>-'Foglio deposito bis'!$F$79*(C1924-sezione!$AM$34)*IF(ABS(L1924)&lt;'Progetto del paramento slu'!$G$58,ABS(L1924)*'Progetto del paramento slu'!$G$54,'Progetto del paramento slu'!$G$53)</f>
        <v>9762295.1675042529</v>
      </c>
      <c r="G1924" s="553">
        <f>-'Foglio deposito bis'!$F$80*(C1924-sezione!$AN$34)*IF(ABS(M1924)&lt;'Progetto del paramento slu'!$G$58,ABS(M1924)*'Progetto del paramento slu'!$G$54,'Progetto del paramento slu'!$G$53)</f>
        <v>0</v>
      </c>
      <c r="H1924" s="553">
        <f>-'Foglio deposito bis'!$F$81*(C1924-sezione!$AO$34)*IF(ABS(N1924)&lt;'Progetto del paramento slu'!$G$58,ABS(N1924)*'Progetto del paramento slu'!$G$54,'Progetto del paramento slu'!$G$53)</f>
        <v>100980738.36960098</v>
      </c>
      <c r="I1924" s="479">
        <f>-'Foglio deposito bis'!$F$82*(C1924-sezione!$AP$34)*IF(ABS(O1924)&lt;'Progetto del paramento slu'!$G$58,ABS(O1924)*'Progetto del paramento slu'!$G$54,'Progetto del paramento slu'!$G$53)</f>
        <v>154879057.95536968</v>
      </c>
      <c r="J1924" s="479">
        <f t="shared" si="139"/>
        <v>204070619.77306956</v>
      </c>
      <c r="K1924" s="558">
        <f>'Progetto del paramento slu'!$G$60*(sezione!$AL$34-C1924)/C1924</f>
        <v>-1.8809454202254152E-3</v>
      </c>
      <c r="L1924" s="558">
        <f>'Progetto del paramento slu'!$G$60*(sezione!$AM$34-C1924)/C1924</f>
        <v>2.5714546741546929E-3</v>
      </c>
      <c r="M1924" s="559">
        <f>'Progetto del paramento slu'!$G$60*(sezione!$AN$34-C1924)/C1924</f>
        <v>7.0238547685348004E-3</v>
      </c>
      <c r="N1924" s="559">
        <f>'Progetto del paramento slu'!$G$60*(sezione!$AO$34-C1924)/C1924</f>
        <v>1.026196392808397E-2</v>
      </c>
      <c r="O1924" s="559">
        <f>'Progetto del paramento slu'!$G$60*(sezione!$AP$34-C1924)/C1924</f>
        <v>7.0241379084883485E-3</v>
      </c>
      <c r="P1924" s="553">
        <f>-'Progetto del paramento slu'!$G$47*'Progetto del paramento slu'!$G$41*IF(DATI!$G$218="dx",DATI!$E$61,DATI!$E$64*DATI!$E$63)*1000*C1924*sezione!$AD$5</f>
        <v>-1218874.6597256486</v>
      </c>
      <c r="Q1924" s="553">
        <f>'Foglio deposito bis'!$F$78*IF(ABS(K1924)&lt;'Progetto del paramento slu'!$G$58,ABS(K1924)*'Progetto del paramento slu'!$G$54,'Progetto del paramento slu'!$G$53)*IF(K1924&lt;0,-1,1)</f>
        <v>0</v>
      </c>
      <c r="R1924" s="553">
        <f>'Foglio deposito bis'!$F$79*IF(ABS(L1924)&lt;'Progetto del paramento slu'!$G$58,ABS(L1924)*'Progetto del paramento slu'!$G$54,'Progetto del paramento slu'!$G$53)*IF(L1924&lt;0,-1,1)</f>
        <v>153664.85805602249</v>
      </c>
      <c r="S1924" s="553">
        <f>'Foglio deposito bis'!$F$80*IF(ABS(M1924)&lt;'Progetto del paramento slu'!$G$58,ABS(M1924)*'Progetto del paramento slu'!$G$54,'Progetto del paramento slu'!$G$53)*IF(M1924&lt;0,-1,1)</f>
        <v>0</v>
      </c>
      <c r="T1924" s="553">
        <f>'Foglio deposito bis'!$F$81*IF(ABS(N1924)&lt;'Progetto del paramento slu'!$G$58,ABS(N1924)*'Progetto del paramento slu'!$G$54,'Progetto del paramento slu'!$G$53)*IF(N1924&lt;0,-1,1)</f>
        <v>398299.31208121032</v>
      </c>
      <c r="U1924" s="553">
        <f>'Foglio deposito bis'!$F$82*IF(ABS(O1924)&lt;'Progetto del paramento slu'!$G$58,ABS(O1924)*'Progetto del paramento slu'!$G$54,'Progetto del paramento slu'!$G$53)*IF(O1924&lt;0,-1,1)</f>
        <v>892485.49558937876</v>
      </c>
      <c r="V1924" s="479">
        <f t="shared" si="141"/>
        <v>225575.00600096304</v>
      </c>
      <c r="W1924" s="559"/>
      <c r="X1924" s="559"/>
    </row>
    <row r="1925" spans="1:24" x14ac:dyDescent="0.25">
      <c r="A1925" s="553">
        <f t="shared" si="140"/>
        <v>214130.17351527628</v>
      </c>
      <c r="B1925" s="3">
        <f t="shared" si="142"/>
        <v>21.499999999999947</v>
      </c>
      <c r="C1925" s="553">
        <f>'Foglio deposito bis'!$E$160/sezione!$B$247*B1925</f>
        <v>87.282143391537204</v>
      </c>
      <c r="D1925" s="611">
        <f>-'Progetto del paramento slu'!$G$47*'Progetto del paramento slu'!$G$41*IF(DATI!$G$218="dx",DATI!$E$61,DATI!$E$64*DATI!$E$63)*1000*C1925^2*sezione!$AD$5*(1-sezione!$AD$6)</f>
        <v>-62712794.644570321</v>
      </c>
      <c r="E1925" s="553">
        <f>-'Foglio deposito bis'!$F$78*(C1925-sezione!$AL$34)*IF(ABS(K1925)&lt;'Progetto del paramento slu'!$G$58,ABS(K1925)*'Progetto del paramento slu'!$G$54,'Progetto del paramento slu'!$G$53)</f>
        <v>0</v>
      </c>
      <c r="F1925" s="553">
        <f>-'Foglio deposito bis'!$F$79*(C1925-sezione!$AM$34)*IF(ABS(L1925)&lt;'Progetto del paramento slu'!$G$58,ABS(L1925)*'Progetto del paramento slu'!$G$54,'Progetto del paramento slu'!$G$53)</f>
        <v>9637530.5333174076</v>
      </c>
      <c r="G1925" s="553">
        <f>-'Foglio deposito bis'!$F$80*(C1925-sezione!$AN$34)*IF(ABS(M1925)&lt;'Progetto del paramento slu'!$G$58,ABS(M1925)*'Progetto del paramento slu'!$G$54,'Progetto del paramento slu'!$G$53)</f>
        <v>0</v>
      </c>
      <c r="H1925" s="553">
        <f>-'Foglio deposito bis'!$F$81*(C1925-sezione!$AO$34)*IF(ABS(N1925)&lt;'Progetto del paramento slu'!$G$58,ABS(N1925)*'Progetto del paramento slu'!$G$54,'Progetto del paramento slu'!$G$53)</f>
        <v>100657348.43778868</v>
      </c>
      <c r="I1925" s="479">
        <f>-'Foglio deposito bis'!$F$82*(C1925-sezione!$AP$34)*IF(ABS(O1925)&lt;'Progetto del paramento slu'!$G$58,ABS(O1925)*'Progetto del paramento slu'!$G$54,'Progetto del paramento slu'!$G$53)</f>
        <v>154154424.9600125</v>
      </c>
      <c r="J1925" s="479">
        <f t="shared" si="139"/>
        <v>201736509.28654826</v>
      </c>
      <c r="K1925" s="558">
        <f>'Progetto del paramento slu'!$G$60*(sezione!$AL$34-C1925)/C1925</f>
        <v>-1.8960063930605277E-3</v>
      </c>
      <c r="L1925" s="558">
        <f>'Progetto del paramento slu'!$G$60*(sezione!$AM$34-C1925)/C1925</f>
        <v>2.5149760260230218E-3</v>
      </c>
      <c r="M1925" s="559">
        <f>'Progetto del paramento slu'!$G$60*(sezione!$AN$34-C1925)/C1925</f>
        <v>6.9259584451065717E-3</v>
      </c>
      <c r="N1925" s="559">
        <f>'Progetto del paramento slu'!$G$60*(sezione!$AO$34-C1925)/C1925</f>
        <v>1.0133945658985517E-2</v>
      </c>
      <c r="O1925" s="559">
        <f>'Progetto del paramento slu'!$G$60*(sezione!$AP$34-C1925)/C1925</f>
        <v>6.9262389512000852E-3</v>
      </c>
      <c r="P1925" s="553">
        <f>-'Progetto del paramento slu'!$G$47*'Progetto del paramento slu'!$G$41*IF(DATI!$G$218="dx",DATI!$E$61,DATI!$E$64*DATI!$E$63)*1000*C1925*sezione!$AD$5</f>
        <v>-1230319.4922113353</v>
      </c>
      <c r="Q1925" s="553">
        <f>'Foglio deposito bis'!$F$78*IF(ABS(K1925)&lt;'Progetto del paramento slu'!$G$58,ABS(K1925)*'Progetto del paramento slu'!$G$54,'Progetto del paramento slu'!$G$53)*IF(K1925&lt;0,-1,1)</f>
        <v>0</v>
      </c>
      <c r="R1925" s="553">
        <f>'Foglio deposito bis'!$F$79*IF(ABS(L1925)&lt;'Progetto del paramento slu'!$G$58,ABS(L1925)*'Progetto del paramento slu'!$G$54,'Progetto del paramento slu'!$G$53)*IF(L1925&lt;0,-1,1)</f>
        <v>153664.85805602249</v>
      </c>
      <c r="S1925" s="553">
        <f>'Foglio deposito bis'!$F$80*IF(ABS(M1925)&lt;'Progetto del paramento slu'!$G$58,ABS(M1925)*'Progetto del paramento slu'!$G$54,'Progetto del paramento slu'!$G$53)*IF(M1925&lt;0,-1,1)</f>
        <v>0</v>
      </c>
      <c r="T1925" s="553">
        <f>'Foglio deposito bis'!$F$81*IF(ABS(N1925)&lt;'Progetto del paramento slu'!$G$58,ABS(N1925)*'Progetto del paramento slu'!$G$54,'Progetto del paramento slu'!$G$53)*IF(N1925&lt;0,-1,1)</f>
        <v>398299.31208121032</v>
      </c>
      <c r="U1925" s="553">
        <f>'Foglio deposito bis'!$F$82*IF(ABS(O1925)&lt;'Progetto del paramento slu'!$G$58,ABS(O1925)*'Progetto del paramento slu'!$G$54,'Progetto del paramento slu'!$G$53)*IF(O1925&lt;0,-1,1)</f>
        <v>892485.49558937876</v>
      </c>
      <c r="V1925" s="479">
        <f t="shared" si="141"/>
        <v>214130.17351527628</v>
      </c>
      <c r="W1925" s="559"/>
      <c r="X1925" s="559"/>
    </row>
    <row r="1926" spans="1:24" x14ac:dyDescent="0.25">
      <c r="A1926" s="553">
        <f t="shared" si="140"/>
        <v>202685.3410295893</v>
      </c>
      <c r="B1926" s="3">
        <f t="shared" si="142"/>
        <v>21.699999999999946</v>
      </c>
      <c r="C1926" s="553">
        <f>'Foglio deposito bis'!$E$160/sezione!$B$247*B1926</f>
        <v>88.094070306807325</v>
      </c>
      <c r="D1926" s="611">
        <f>-'Progetto del paramento slu'!$G$47*'Progetto del paramento slu'!$G$41*IF(DATI!$G$218="dx",DATI!$E$61,DATI!$E$64*DATI!$E$63)*1000*C1926^2*sezione!$AD$5*(1-sezione!$AD$6)</f>
        <v>-63884971.055017255</v>
      </c>
      <c r="E1926" s="553">
        <f>-'Foglio deposito bis'!$F$78*(C1926-sezione!$AL$34)*IF(ABS(K1926)&lt;'Progetto del paramento slu'!$G$58,ABS(K1926)*'Progetto del paramento slu'!$G$54,'Progetto del paramento slu'!$G$53)</f>
        <v>0</v>
      </c>
      <c r="F1926" s="553">
        <f>-'Foglio deposito bis'!$F$79*(C1926-sezione!$AM$34)*IF(ABS(L1926)&lt;'Progetto del paramento slu'!$G$58,ABS(L1926)*'Progetto del paramento slu'!$G$54,'Progetto del paramento slu'!$G$53)</f>
        <v>9512765.8991305605</v>
      </c>
      <c r="G1926" s="553">
        <f>-'Foglio deposito bis'!$F$80*(C1926-sezione!$AN$34)*IF(ABS(M1926)&lt;'Progetto del paramento slu'!$G$58,ABS(M1926)*'Progetto del paramento slu'!$G$54,'Progetto del paramento slu'!$G$53)</f>
        <v>0</v>
      </c>
      <c r="H1926" s="553">
        <f>-'Foglio deposito bis'!$F$81*(C1926-sezione!$AO$34)*IF(ABS(N1926)&lt;'Progetto del paramento slu'!$G$58,ABS(N1926)*'Progetto del paramento slu'!$G$54,'Progetto del paramento slu'!$G$53)</f>
        <v>100333958.50597638</v>
      </c>
      <c r="I1926" s="479">
        <f>-'Foglio deposito bis'!$F$82*(C1926-sezione!$AP$34)*IF(ABS(O1926)&lt;'Progetto del paramento slu'!$G$58,ABS(O1926)*'Progetto del paramento slu'!$G$54,'Progetto del paramento slu'!$G$53)</f>
        <v>153429791.96465528</v>
      </c>
      <c r="J1926" s="479">
        <f t="shared" si="139"/>
        <v>199391545.31474495</v>
      </c>
      <c r="K1926" s="558">
        <f>'Progetto del paramento slu'!$G$60*(sezione!$AL$34-C1926)/C1926</f>
        <v>-1.9107897442765596E-3</v>
      </c>
      <c r="L1926" s="558">
        <f>'Progetto del paramento slu'!$G$60*(sezione!$AM$34-C1926)/C1926</f>
        <v>2.4595384589629014E-3</v>
      </c>
      <c r="M1926" s="559">
        <f>'Progetto del paramento slu'!$G$60*(sezione!$AN$34-C1926)/C1926</f>
        <v>6.8298666622023611E-3</v>
      </c>
      <c r="N1926" s="559">
        <f>'Progetto del paramento slu'!$G$60*(sezione!$AO$34-C1926)/C1926</f>
        <v>1.0008287173649242E-2</v>
      </c>
      <c r="O1926" s="559">
        <f>'Progetto del paramento slu'!$G$60*(sezione!$AP$34-C1926)/C1926</f>
        <v>6.8301445829862572E-3</v>
      </c>
      <c r="P1926" s="553">
        <f>-'Progetto del paramento slu'!$G$47*'Progetto del paramento slu'!$G$41*IF(DATI!$G$218="dx",DATI!$E$61,DATI!$E$64*DATI!$E$63)*1000*C1926*sezione!$AD$5</f>
        <v>-1241764.3246970223</v>
      </c>
      <c r="Q1926" s="553">
        <f>'Foglio deposito bis'!$F$78*IF(ABS(K1926)&lt;'Progetto del paramento slu'!$G$58,ABS(K1926)*'Progetto del paramento slu'!$G$54,'Progetto del paramento slu'!$G$53)*IF(K1926&lt;0,-1,1)</f>
        <v>0</v>
      </c>
      <c r="R1926" s="553">
        <f>'Foglio deposito bis'!$F$79*IF(ABS(L1926)&lt;'Progetto del paramento slu'!$G$58,ABS(L1926)*'Progetto del paramento slu'!$G$54,'Progetto del paramento slu'!$G$53)*IF(L1926&lt;0,-1,1)</f>
        <v>153664.85805602249</v>
      </c>
      <c r="S1926" s="553">
        <f>'Foglio deposito bis'!$F$80*IF(ABS(M1926)&lt;'Progetto del paramento slu'!$G$58,ABS(M1926)*'Progetto del paramento slu'!$G$54,'Progetto del paramento slu'!$G$53)*IF(M1926&lt;0,-1,1)</f>
        <v>0</v>
      </c>
      <c r="T1926" s="553">
        <f>'Foglio deposito bis'!$F$81*IF(ABS(N1926)&lt;'Progetto del paramento slu'!$G$58,ABS(N1926)*'Progetto del paramento slu'!$G$54,'Progetto del paramento slu'!$G$53)*IF(N1926&lt;0,-1,1)</f>
        <v>398299.31208121032</v>
      </c>
      <c r="U1926" s="553">
        <f>'Foglio deposito bis'!$F$82*IF(ABS(O1926)&lt;'Progetto del paramento slu'!$G$58,ABS(O1926)*'Progetto del paramento slu'!$G$54,'Progetto del paramento slu'!$G$53)*IF(O1926&lt;0,-1,1)</f>
        <v>892485.49558937876</v>
      </c>
      <c r="V1926" s="479">
        <f t="shared" si="141"/>
        <v>202685.3410295893</v>
      </c>
      <c r="W1926" s="559"/>
      <c r="X1926" s="559"/>
    </row>
    <row r="1927" spans="1:24" x14ac:dyDescent="0.25">
      <c r="A1927" s="553">
        <f t="shared" si="140"/>
        <v>191240.50854390254</v>
      </c>
      <c r="B1927" s="3">
        <f t="shared" si="142"/>
        <v>21.899999999999945</v>
      </c>
      <c r="C1927" s="553">
        <f>'Foglio deposito bis'!$E$160/sezione!$B$247*B1927</f>
        <v>88.905997222077431</v>
      </c>
      <c r="D1927" s="611">
        <f>-'Progetto del paramento slu'!$G$47*'Progetto del paramento slu'!$G$41*IF(DATI!$G$218="dx",DATI!$E$61,DATI!$E$64*DATI!$E$63)*1000*C1927^2*sezione!$AD$5*(1-sezione!$AD$6)</f>
        <v>-65068000.950746082</v>
      </c>
      <c r="E1927" s="553">
        <f>-'Foglio deposito bis'!$F$78*(C1927-sezione!$AL$34)*IF(ABS(K1927)&lt;'Progetto del paramento slu'!$G$58,ABS(K1927)*'Progetto del paramento slu'!$G$54,'Progetto del paramento slu'!$G$53)</f>
        <v>0</v>
      </c>
      <c r="F1927" s="553">
        <f>-'Foglio deposito bis'!$F$79*(C1927-sezione!$AM$34)*IF(ABS(L1927)&lt;'Progetto del paramento slu'!$G$58,ABS(L1927)*'Progetto del paramento slu'!$G$54,'Progetto del paramento slu'!$G$53)</f>
        <v>9388001.2649437152</v>
      </c>
      <c r="G1927" s="553">
        <f>-'Foglio deposito bis'!$F$80*(C1927-sezione!$AN$34)*IF(ABS(M1927)&lt;'Progetto del paramento slu'!$G$58,ABS(M1927)*'Progetto del paramento slu'!$G$54,'Progetto del paramento slu'!$G$53)</f>
        <v>0</v>
      </c>
      <c r="H1927" s="553">
        <f>-'Foglio deposito bis'!$F$81*(C1927-sezione!$AO$34)*IF(ABS(N1927)&lt;'Progetto del paramento slu'!$G$58,ABS(N1927)*'Progetto del paramento slu'!$G$54,'Progetto del paramento slu'!$G$53)</f>
        <v>100010568.57416408</v>
      </c>
      <c r="I1927" s="479">
        <f>-'Foglio deposito bis'!$F$82*(C1927-sezione!$AP$34)*IF(ABS(O1927)&lt;'Progetto del paramento slu'!$G$58,ABS(O1927)*'Progetto del paramento slu'!$G$54,'Progetto del paramento slu'!$G$53)</f>
        <v>152705158.96929809</v>
      </c>
      <c r="J1927" s="479">
        <f t="shared" si="139"/>
        <v>197035727.85765982</v>
      </c>
      <c r="K1927" s="558">
        <f>'Progetto del paramento slu'!$G$60*(sezione!$AL$34-C1927)/C1927</f>
        <v>-1.9253030799452667E-3</v>
      </c>
      <c r="L1927" s="558">
        <f>'Progetto del paramento slu'!$G$60*(sezione!$AM$34-C1927)/C1927</f>
        <v>2.4051134502052498E-3</v>
      </c>
      <c r="M1927" s="559">
        <f>'Progetto del paramento slu'!$G$60*(sezione!$AN$34-C1927)/C1927</f>
        <v>6.7355299803557658E-3</v>
      </c>
      <c r="N1927" s="559">
        <f>'Progetto del paramento slu'!$G$60*(sezione!$AO$34-C1927)/C1927</f>
        <v>9.8849238204652325E-3</v>
      </c>
      <c r="O1927" s="559">
        <f>'Progetto del paramento slu'!$G$60*(sezione!$AP$34-C1927)/C1927</f>
        <v>6.7358053630503113E-3</v>
      </c>
      <c r="P1927" s="553">
        <f>-'Progetto del paramento slu'!$G$47*'Progetto del paramento slu'!$G$41*IF(DATI!$G$218="dx",DATI!$E$61,DATI!$E$64*DATI!$E$63)*1000*C1927*sezione!$AD$5</f>
        <v>-1253209.1571827091</v>
      </c>
      <c r="Q1927" s="553">
        <f>'Foglio deposito bis'!$F$78*IF(ABS(K1927)&lt;'Progetto del paramento slu'!$G$58,ABS(K1927)*'Progetto del paramento slu'!$G$54,'Progetto del paramento slu'!$G$53)*IF(K1927&lt;0,-1,1)</f>
        <v>0</v>
      </c>
      <c r="R1927" s="553">
        <f>'Foglio deposito bis'!$F$79*IF(ABS(L1927)&lt;'Progetto del paramento slu'!$G$58,ABS(L1927)*'Progetto del paramento slu'!$G$54,'Progetto del paramento slu'!$G$53)*IF(L1927&lt;0,-1,1)</f>
        <v>153664.85805602249</v>
      </c>
      <c r="S1927" s="553">
        <f>'Foglio deposito bis'!$F$80*IF(ABS(M1927)&lt;'Progetto del paramento slu'!$G$58,ABS(M1927)*'Progetto del paramento slu'!$G$54,'Progetto del paramento slu'!$G$53)*IF(M1927&lt;0,-1,1)</f>
        <v>0</v>
      </c>
      <c r="T1927" s="553">
        <f>'Foglio deposito bis'!$F$81*IF(ABS(N1927)&lt;'Progetto del paramento slu'!$G$58,ABS(N1927)*'Progetto del paramento slu'!$G$54,'Progetto del paramento slu'!$G$53)*IF(N1927&lt;0,-1,1)</f>
        <v>398299.31208121032</v>
      </c>
      <c r="U1927" s="553">
        <f>'Foglio deposito bis'!$F$82*IF(ABS(O1927)&lt;'Progetto del paramento slu'!$G$58,ABS(O1927)*'Progetto del paramento slu'!$G$54,'Progetto del paramento slu'!$G$53)*IF(O1927&lt;0,-1,1)</f>
        <v>892485.49558937876</v>
      </c>
      <c r="V1927" s="479">
        <f t="shared" si="141"/>
        <v>191240.50854390254</v>
      </c>
      <c r="W1927" s="559"/>
      <c r="X1927" s="559"/>
    </row>
    <row r="1928" spans="1:24" x14ac:dyDescent="0.25">
      <c r="A1928" s="553">
        <f t="shared" si="140"/>
        <v>179795.67605821555</v>
      </c>
      <c r="B1928" s="3">
        <f t="shared" si="142"/>
        <v>22.099999999999945</v>
      </c>
      <c r="C1928" s="553">
        <f>'Foglio deposito bis'!$E$160/sezione!$B$247*B1928</f>
        <v>89.717924137347552</v>
      </c>
      <c r="D1928" s="611">
        <f>-'Progetto del paramento slu'!$G$47*'Progetto del paramento slu'!$G$41*IF(DATI!$G$218="dx",DATI!$E$61,DATI!$E$64*DATI!$E$63)*1000*C1928^2*sezione!$AD$5*(1-sezione!$AD$6)</f>
        <v>-66261884.331756845</v>
      </c>
      <c r="E1928" s="553">
        <f>-'Foglio deposito bis'!$F$78*(C1928-sezione!$AL$34)*IF(ABS(K1928)&lt;'Progetto del paramento slu'!$G$58,ABS(K1928)*'Progetto del paramento slu'!$G$54,'Progetto del paramento slu'!$G$53)</f>
        <v>0</v>
      </c>
      <c r="F1928" s="553">
        <f>-'Foglio deposito bis'!$F$79*(C1928-sezione!$AM$34)*IF(ABS(L1928)&lt;'Progetto del paramento slu'!$G$58,ABS(L1928)*'Progetto del paramento slu'!$G$54,'Progetto del paramento slu'!$G$53)</f>
        <v>9263236.630756868</v>
      </c>
      <c r="G1928" s="553">
        <f>-'Foglio deposito bis'!$F$80*(C1928-sezione!$AN$34)*IF(ABS(M1928)&lt;'Progetto del paramento slu'!$G$58,ABS(M1928)*'Progetto del paramento slu'!$G$54,'Progetto del paramento slu'!$G$53)</f>
        <v>0</v>
      </c>
      <c r="H1928" s="553">
        <f>-'Foglio deposito bis'!$F$81*(C1928-sezione!$AO$34)*IF(ABS(N1928)&lt;'Progetto del paramento slu'!$G$58,ABS(N1928)*'Progetto del paramento slu'!$G$54,'Progetto del paramento slu'!$G$53)</f>
        <v>99687178.642351761</v>
      </c>
      <c r="I1928" s="479">
        <f>-'Foglio deposito bis'!$F$82*(C1928-sezione!$AP$34)*IF(ABS(O1928)&lt;'Progetto del paramento slu'!$G$58,ABS(O1928)*'Progetto del paramento slu'!$G$54,'Progetto del paramento slu'!$G$53)</f>
        <v>151980525.97394088</v>
      </c>
      <c r="J1928" s="479">
        <f t="shared" si="139"/>
        <v>194669056.91529268</v>
      </c>
      <c r="K1928" s="558">
        <f>'Progetto del paramento slu'!$G$60*(sezione!$AL$34-C1928)/C1928</f>
        <v>-1.9395537308054909E-3</v>
      </c>
      <c r="L1928" s="558">
        <f>'Progetto del paramento slu'!$G$60*(sezione!$AM$34-C1928)/C1928</f>
        <v>2.3516735094794099E-3</v>
      </c>
      <c r="M1928" s="559">
        <f>'Progetto del paramento slu'!$G$60*(sezione!$AN$34-C1928)/C1928</f>
        <v>6.6429007497643107E-3</v>
      </c>
      <c r="N1928" s="559">
        <f>'Progetto del paramento slu'!$G$60*(sezione!$AO$34-C1928)/C1928</f>
        <v>9.7637932881533291E-3</v>
      </c>
      <c r="O1928" s="559">
        <f>'Progetto del paramento slu'!$G$60*(sezione!$AP$34-C1928)/C1928</f>
        <v>6.6431736403077743E-3</v>
      </c>
      <c r="P1928" s="553">
        <f>-'Progetto del paramento slu'!$G$47*'Progetto del paramento slu'!$G$41*IF(DATI!$G$218="dx",DATI!$E$61,DATI!$E$64*DATI!$E$63)*1000*C1928*sezione!$AD$5</f>
        <v>-1264653.9896683961</v>
      </c>
      <c r="Q1928" s="553">
        <f>'Foglio deposito bis'!$F$78*IF(ABS(K1928)&lt;'Progetto del paramento slu'!$G$58,ABS(K1928)*'Progetto del paramento slu'!$G$54,'Progetto del paramento slu'!$G$53)*IF(K1928&lt;0,-1,1)</f>
        <v>0</v>
      </c>
      <c r="R1928" s="553">
        <f>'Foglio deposito bis'!$F$79*IF(ABS(L1928)&lt;'Progetto del paramento slu'!$G$58,ABS(L1928)*'Progetto del paramento slu'!$G$54,'Progetto del paramento slu'!$G$53)*IF(L1928&lt;0,-1,1)</f>
        <v>153664.85805602249</v>
      </c>
      <c r="S1928" s="553">
        <f>'Foglio deposito bis'!$F$80*IF(ABS(M1928)&lt;'Progetto del paramento slu'!$G$58,ABS(M1928)*'Progetto del paramento slu'!$G$54,'Progetto del paramento slu'!$G$53)*IF(M1928&lt;0,-1,1)</f>
        <v>0</v>
      </c>
      <c r="T1928" s="553">
        <f>'Foglio deposito bis'!$F$81*IF(ABS(N1928)&lt;'Progetto del paramento slu'!$G$58,ABS(N1928)*'Progetto del paramento slu'!$G$54,'Progetto del paramento slu'!$G$53)*IF(N1928&lt;0,-1,1)</f>
        <v>398299.31208121032</v>
      </c>
      <c r="U1928" s="553">
        <f>'Foglio deposito bis'!$F$82*IF(ABS(O1928)&lt;'Progetto del paramento slu'!$G$58,ABS(O1928)*'Progetto del paramento slu'!$G$54,'Progetto del paramento slu'!$G$53)*IF(O1928&lt;0,-1,1)</f>
        <v>892485.49558937876</v>
      </c>
      <c r="V1928" s="479">
        <f t="shared" si="141"/>
        <v>179795.67605821555</v>
      </c>
      <c r="W1928" s="559"/>
      <c r="X1928" s="559"/>
    </row>
    <row r="1929" spans="1:24" x14ac:dyDescent="0.25">
      <c r="A1929" s="553">
        <f t="shared" si="140"/>
        <v>168350.84357252903</v>
      </c>
      <c r="B1929" s="3">
        <f t="shared" si="142"/>
        <v>22.299999999999944</v>
      </c>
      <c r="C1929" s="553">
        <f>'Foglio deposito bis'!$E$160/sezione!$B$247*B1929</f>
        <v>90.529851052617659</v>
      </c>
      <c r="D1929" s="611">
        <f>-'Progetto del paramento slu'!$G$47*'Progetto del paramento slu'!$G$41*IF(DATI!$G$218="dx",DATI!$E$61,DATI!$E$64*DATI!$E$63)*1000*C1929^2*sezione!$AD$5*(1-sezione!$AD$6)</f>
        <v>-67466621.198049501</v>
      </c>
      <c r="E1929" s="553">
        <f>-'Foglio deposito bis'!$F$78*(C1929-sezione!$AL$34)*IF(ABS(K1929)&lt;'Progetto del paramento slu'!$G$58,ABS(K1929)*'Progetto del paramento slu'!$G$54,'Progetto del paramento slu'!$G$53)</f>
        <v>0</v>
      </c>
      <c r="F1929" s="553">
        <f>-'Foglio deposito bis'!$F$79*(C1929-sezione!$AM$34)*IF(ABS(L1929)&lt;'Progetto del paramento slu'!$G$58,ABS(L1929)*'Progetto del paramento slu'!$G$54,'Progetto del paramento slu'!$G$53)</f>
        <v>9138471.9965700228</v>
      </c>
      <c r="G1929" s="553">
        <f>-'Foglio deposito bis'!$F$80*(C1929-sezione!$AN$34)*IF(ABS(M1929)&lt;'Progetto del paramento slu'!$G$58,ABS(M1929)*'Progetto del paramento slu'!$G$54,'Progetto del paramento slu'!$G$53)</f>
        <v>0</v>
      </c>
      <c r="H1929" s="553">
        <f>-'Foglio deposito bis'!$F$81*(C1929-sezione!$AO$34)*IF(ABS(N1929)&lt;'Progetto del paramento slu'!$G$58,ABS(N1929)*'Progetto del paramento slu'!$G$54,'Progetto del paramento slu'!$G$53)</f>
        <v>99363788.71053946</v>
      </c>
      <c r="I1929" s="479">
        <f>-'Foglio deposito bis'!$F$82*(C1929-sezione!$AP$34)*IF(ABS(O1929)&lt;'Progetto del paramento slu'!$G$58,ABS(O1929)*'Progetto del paramento slu'!$G$54,'Progetto del paramento slu'!$G$53)</f>
        <v>151255892.97858369</v>
      </c>
      <c r="J1929" s="479">
        <f t="shared" si="139"/>
        <v>192291532.48764366</v>
      </c>
      <c r="K1929" s="558">
        <f>'Progetto del paramento slu'!$G$60*(sezione!$AL$34-C1929)/C1929</f>
        <v>-1.953548764609926E-3</v>
      </c>
      <c r="L1929" s="558">
        <f>'Progetto del paramento slu'!$G$60*(sezione!$AM$34-C1929)/C1929</f>
        <v>2.2991921327127785E-3</v>
      </c>
      <c r="M1929" s="559">
        <f>'Progetto del paramento slu'!$G$60*(sezione!$AN$34-C1929)/C1929</f>
        <v>6.551933030035483E-3</v>
      </c>
      <c r="N1929" s="559">
        <f>'Progetto del paramento slu'!$G$60*(sezione!$AO$34-C1929)/C1929</f>
        <v>9.6448355008156329E-3</v>
      </c>
      <c r="O1929" s="559">
        <f>'Progetto del paramento slu'!$G$60*(sezione!$AP$34-C1929)/C1929</f>
        <v>6.5522034731301266E-3</v>
      </c>
      <c r="P1929" s="553">
        <f>-'Progetto del paramento slu'!$G$47*'Progetto del paramento slu'!$G$41*IF(DATI!$G$218="dx",DATI!$E$61,DATI!$E$64*DATI!$E$63)*1000*C1929*sezione!$AD$5</f>
        <v>-1276098.8221540826</v>
      </c>
      <c r="Q1929" s="553">
        <f>'Foglio deposito bis'!$F$78*IF(ABS(K1929)&lt;'Progetto del paramento slu'!$G$58,ABS(K1929)*'Progetto del paramento slu'!$G$54,'Progetto del paramento slu'!$G$53)*IF(K1929&lt;0,-1,1)</f>
        <v>0</v>
      </c>
      <c r="R1929" s="553">
        <f>'Foglio deposito bis'!$F$79*IF(ABS(L1929)&lt;'Progetto del paramento slu'!$G$58,ABS(L1929)*'Progetto del paramento slu'!$G$54,'Progetto del paramento slu'!$G$53)*IF(L1929&lt;0,-1,1)</f>
        <v>153664.85805602249</v>
      </c>
      <c r="S1929" s="553">
        <f>'Foglio deposito bis'!$F$80*IF(ABS(M1929)&lt;'Progetto del paramento slu'!$G$58,ABS(M1929)*'Progetto del paramento slu'!$G$54,'Progetto del paramento slu'!$G$53)*IF(M1929&lt;0,-1,1)</f>
        <v>0</v>
      </c>
      <c r="T1929" s="553">
        <f>'Foglio deposito bis'!$F$81*IF(ABS(N1929)&lt;'Progetto del paramento slu'!$G$58,ABS(N1929)*'Progetto del paramento slu'!$G$54,'Progetto del paramento slu'!$G$53)*IF(N1929&lt;0,-1,1)</f>
        <v>398299.31208121032</v>
      </c>
      <c r="U1929" s="553">
        <f>'Foglio deposito bis'!$F$82*IF(ABS(O1929)&lt;'Progetto del paramento slu'!$G$58,ABS(O1929)*'Progetto del paramento slu'!$G$54,'Progetto del paramento slu'!$G$53)*IF(O1929&lt;0,-1,1)</f>
        <v>892485.49558937876</v>
      </c>
      <c r="V1929" s="479">
        <f t="shared" si="141"/>
        <v>168350.84357252903</v>
      </c>
      <c r="W1929" s="559"/>
      <c r="X1929" s="559"/>
    </row>
    <row r="1930" spans="1:24" x14ac:dyDescent="0.25">
      <c r="A1930" s="553">
        <f t="shared" si="140"/>
        <v>156906.01108684205</v>
      </c>
      <c r="B1930" s="3">
        <f t="shared" si="142"/>
        <v>22.499999999999943</v>
      </c>
      <c r="C1930" s="553">
        <f>'Foglio deposito bis'!$E$160/sezione!$B$247*B1930</f>
        <v>91.341777967887765</v>
      </c>
      <c r="D1930" s="611">
        <f>-'Progetto del paramento slu'!$G$47*'Progetto del paramento slu'!$G$41*IF(DATI!$G$218="dx",DATI!$E$61,DATI!$E$64*DATI!$E$63)*1000*C1930^2*sezione!$AD$5*(1-sezione!$AD$6)</f>
        <v>-68682211.549624071</v>
      </c>
      <c r="E1930" s="553">
        <f>-'Foglio deposito bis'!$F$78*(C1930-sezione!$AL$34)*IF(ABS(K1930)&lt;'Progetto del paramento slu'!$G$58,ABS(K1930)*'Progetto del paramento slu'!$G$54,'Progetto del paramento slu'!$G$53)</f>
        <v>0</v>
      </c>
      <c r="F1930" s="553">
        <f>-'Foglio deposito bis'!$F$79*(C1930-sezione!$AM$34)*IF(ABS(L1930)&lt;'Progetto del paramento slu'!$G$58,ABS(L1930)*'Progetto del paramento slu'!$G$54,'Progetto del paramento slu'!$G$53)</f>
        <v>9013707.3623831775</v>
      </c>
      <c r="G1930" s="553">
        <f>-'Foglio deposito bis'!$F$80*(C1930-sezione!$AN$34)*IF(ABS(M1930)&lt;'Progetto del paramento slu'!$G$58,ABS(M1930)*'Progetto del paramento slu'!$G$54,'Progetto del paramento slu'!$G$53)</f>
        <v>0</v>
      </c>
      <c r="H1930" s="553">
        <f>-'Foglio deposito bis'!$F$81*(C1930-sezione!$AO$34)*IF(ABS(N1930)&lt;'Progetto del paramento slu'!$G$58,ABS(N1930)*'Progetto del paramento slu'!$G$54,'Progetto del paramento slu'!$G$53)</f>
        <v>99040398.778727159</v>
      </c>
      <c r="I1930" s="479">
        <f>-'Foglio deposito bis'!$F$82*(C1930-sezione!$AP$34)*IF(ABS(O1930)&lt;'Progetto del paramento slu'!$G$58,ABS(O1930)*'Progetto del paramento slu'!$G$54,'Progetto del paramento slu'!$G$53)</f>
        <v>150531259.98322648</v>
      </c>
      <c r="J1930" s="479">
        <f t="shared" si="139"/>
        <v>189903154.57471275</v>
      </c>
      <c r="K1930" s="558">
        <f>'Progetto del paramento slu'!$G$60*(sezione!$AL$34-C1930)/C1930</f>
        <v>-1.9672949978133927E-3</v>
      </c>
      <c r="L1930" s="558">
        <f>'Progetto del paramento slu'!$G$60*(sezione!$AM$34-C1930)/C1930</f>
        <v>2.247643758199777E-3</v>
      </c>
      <c r="M1930" s="559">
        <f>'Progetto del paramento slu'!$G$60*(sezione!$AN$34-C1930)/C1930</f>
        <v>6.4625825142129462E-3</v>
      </c>
      <c r="N1930" s="559">
        <f>'Progetto del paramento slu'!$G$60*(sezione!$AO$34-C1930)/C1930</f>
        <v>9.5279925185861609E-3</v>
      </c>
      <c r="O1930" s="559">
        <f>'Progetto del paramento slu'!$G$60*(sezione!$AP$34-C1930)/C1930</f>
        <v>6.4628505533689696E-3</v>
      </c>
      <c r="P1930" s="553">
        <f>-'Progetto del paramento slu'!$G$47*'Progetto del paramento slu'!$G$41*IF(DATI!$G$218="dx",DATI!$E$61,DATI!$E$64*DATI!$E$63)*1000*C1930*sezione!$AD$5</f>
        <v>-1287543.6546397696</v>
      </c>
      <c r="Q1930" s="553">
        <f>'Foglio deposito bis'!$F$78*IF(ABS(K1930)&lt;'Progetto del paramento slu'!$G$58,ABS(K1930)*'Progetto del paramento slu'!$G$54,'Progetto del paramento slu'!$G$53)*IF(K1930&lt;0,-1,1)</f>
        <v>0</v>
      </c>
      <c r="R1930" s="553">
        <f>'Foglio deposito bis'!$F$79*IF(ABS(L1930)&lt;'Progetto del paramento slu'!$G$58,ABS(L1930)*'Progetto del paramento slu'!$G$54,'Progetto del paramento slu'!$G$53)*IF(L1930&lt;0,-1,1)</f>
        <v>153664.85805602249</v>
      </c>
      <c r="S1930" s="553">
        <f>'Foglio deposito bis'!$F$80*IF(ABS(M1930)&lt;'Progetto del paramento slu'!$G$58,ABS(M1930)*'Progetto del paramento slu'!$G$54,'Progetto del paramento slu'!$G$53)*IF(M1930&lt;0,-1,1)</f>
        <v>0</v>
      </c>
      <c r="T1930" s="553">
        <f>'Foglio deposito bis'!$F$81*IF(ABS(N1930)&lt;'Progetto del paramento slu'!$G$58,ABS(N1930)*'Progetto del paramento slu'!$G$54,'Progetto del paramento slu'!$G$53)*IF(N1930&lt;0,-1,1)</f>
        <v>398299.31208121032</v>
      </c>
      <c r="U1930" s="553">
        <f>'Foglio deposito bis'!$F$82*IF(ABS(O1930)&lt;'Progetto del paramento slu'!$G$58,ABS(O1930)*'Progetto del paramento slu'!$G$54,'Progetto del paramento slu'!$G$53)*IF(O1930&lt;0,-1,1)</f>
        <v>892485.49558937876</v>
      </c>
      <c r="V1930" s="479">
        <f t="shared" si="141"/>
        <v>156906.01108684205</v>
      </c>
      <c r="W1930" s="559"/>
      <c r="X1930" s="559"/>
    </row>
    <row r="1931" spans="1:24" x14ac:dyDescent="0.25">
      <c r="A1931" s="553">
        <f t="shared" si="140"/>
        <v>145461.17860115529</v>
      </c>
      <c r="B1931" s="3">
        <f t="shared" si="142"/>
        <v>22.699999999999942</v>
      </c>
      <c r="C1931" s="553">
        <f>'Foglio deposito bis'!$E$160/sezione!$B$247*B1931</f>
        <v>92.153704883157886</v>
      </c>
      <c r="D1931" s="611">
        <f>-'Progetto del paramento slu'!$G$47*'Progetto del paramento slu'!$G$41*IF(DATI!$G$218="dx",DATI!$E$61,DATI!$E$64*DATI!$E$63)*1000*C1931^2*sezione!$AD$5*(1-sezione!$AD$6)</f>
        <v>-69908655.38648057</v>
      </c>
      <c r="E1931" s="553">
        <f>-'Foglio deposito bis'!$F$78*(C1931-sezione!$AL$34)*IF(ABS(K1931)&lt;'Progetto del paramento slu'!$G$58,ABS(K1931)*'Progetto del paramento slu'!$G$54,'Progetto del paramento slu'!$G$53)</f>
        <v>0</v>
      </c>
      <c r="F1931" s="553">
        <f>-'Foglio deposito bis'!$F$79*(C1931-sezione!$AM$34)*IF(ABS(L1931)&lt;'Progetto del paramento slu'!$G$58,ABS(L1931)*'Progetto del paramento slu'!$G$54,'Progetto del paramento slu'!$G$53)</f>
        <v>8888942.7281963304</v>
      </c>
      <c r="G1931" s="553">
        <f>-'Foglio deposito bis'!$F$80*(C1931-sezione!$AN$34)*IF(ABS(M1931)&lt;'Progetto del paramento slu'!$G$58,ABS(M1931)*'Progetto del paramento slu'!$G$54,'Progetto del paramento slu'!$G$53)</f>
        <v>0</v>
      </c>
      <c r="H1931" s="553">
        <f>-'Foglio deposito bis'!$F$81*(C1931-sezione!$AO$34)*IF(ABS(N1931)&lt;'Progetto del paramento slu'!$G$58,ABS(N1931)*'Progetto del paramento slu'!$G$54,'Progetto del paramento slu'!$G$53)</f>
        <v>98717008.846914843</v>
      </c>
      <c r="I1931" s="479">
        <f>-'Foglio deposito bis'!$F$82*(C1931-sezione!$AP$34)*IF(ABS(O1931)&lt;'Progetto del paramento slu'!$G$58,ABS(O1931)*'Progetto del paramento slu'!$G$54,'Progetto del paramento slu'!$G$53)</f>
        <v>149806626.98786923</v>
      </c>
      <c r="J1931" s="479">
        <f t="shared" si="139"/>
        <v>187503923.17649984</v>
      </c>
      <c r="K1931" s="558">
        <f>'Progetto del paramento slu'!$G$60*(sezione!$AL$34-C1931)/C1931</f>
        <v>-1.9807990066432312E-3</v>
      </c>
      <c r="L1931" s="558">
        <f>'Progetto del paramento slu'!$G$60*(sezione!$AM$34-C1931)/C1931</f>
        <v>2.1970037250878842E-3</v>
      </c>
      <c r="M1931" s="559">
        <f>'Progetto del paramento slu'!$G$60*(sezione!$AN$34-C1931)/C1931</f>
        <v>6.3748064568189986E-3</v>
      </c>
      <c r="N1931" s="559">
        <f>'Progetto del paramento slu'!$G$60*(sezione!$AO$34-C1931)/C1931</f>
        <v>9.4132084435325364E-3</v>
      </c>
      <c r="O1931" s="559">
        <f>'Progetto del paramento slu'!$G$60*(sezione!$AP$34-C1931)/C1931</f>
        <v>6.3750721343965554E-3</v>
      </c>
      <c r="P1931" s="553">
        <f>-'Progetto del paramento slu'!$G$47*'Progetto del paramento slu'!$G$41*IF(DATI!$G$218="dx",DATI!$E$61,DATI!$E$64*DATI!$E$63)*1000*C1931*sezione!$AD$5</f>
        <v>-1298988.4871254563</v>
      </c>
      <c r="Q1931" s="553">
        <f>'Foglio deposito bis'!$F$78*IF(ABS(K1931)&lt;'Progetto del paramento slu'!$G$58,ABS(K1931)*'Progetto del paramento slu'!$G$54,'Progetto del paramento slu'!$G$53)*IF(K1931&lt;0,-1,1)</f>
        <v>0</v>
      </c>
      <c r="R1931" s="553">
        <f>'Foglio deposito bis'!$F$79*IF(ABS(L1931)&lt;'Progetto del paramento slu'!$G$58,ABS(L1931)*'Progetto del paramento slu'!$G$54,'Progetto del paramento slu'!$G$53)*IF(L1931&lt;0,-1,1)</f>
        <v>153664.85805602249</v>
      </c>
      <c r="S1931" s="553">
        <f>'Foglio deposito bis'!$F$80*IF(ABS(M1931)&lt;'Progetto del paramento slu'!$G$58,ABS(M1931)*'Progetto del paramento slu'!$G$54,'Progetto del paramento slu'!$G$53)*IF(M1931&lt;0,-1,1)</f>
        <v>0</v>
      </c>
      <c r="T1931" s="553">
        <f>'Foglio deposito bis'!$F$81*IF(ABS(N1931)&lt;'Progetto del paramento slu'!$G$58,ABS(N1931)*'Progetto del paramento slu'!$G$54,'Progetto del paramento slu'!$G$53)*IF(N1931&lt;0,-1,1)</f>
        <v>398299.31208121032</v>
      </c>
      <c r="U1931" s="553">
        <f>'Foglio deposito bis'!$F$82*IF(ABS(O1931)&lt;'Progetto del paramento slu'!$G$58,ABS(O1931)*'Progetto del paramento slu'!$G$54,'Progetto del paramento slu'!$G$53)*IF(O1931&lt;0,-1,1)</f>
        <v>892485.49558937876</v>
      </c>
      <c r="V1931" s="479">
        <f t="shared" si="141"/>
        <v>145461.17860115529</v>
      </c>
      <c r="W1931" s="559"/>
      <c r="X1931" s="559"/>
    </row>
    <row r="1932" spans="1:24" x14ac:dyDescent="0.25">
      <c r="A1932" s="553">
        <f t="shared" si="140"/>
        <v>134016.3461154683</v>
      </c>
      <c r="B1932" s="3">
        <f t="shared" si="142"/>
        <v>22.899999999999942</v>
      </c>
      <c r="C1932" s="553">
        <f>'Foglio deposito bis'!$E$160/sezione!$B$247*B1932</f>
        <v>92.965631798427992</v>
      </c>
      <c r="D1932" s="611">
        <f>-'Progetto del paramento slu'!$G$47*'Progetto del paramento slu'!$G$41*IF(DATI!$G$218="dx",DATI!$E$61,DATI!$E$64*DATI!$E$63)*1000*C1932^2*sezione!$AD$5*(1-sezione!$AD$6)</f>
        <v>-71145952.708618984</v>
      </c>
      <c r="E1932" s="553">
        <f>-'Foglio deposito bis'!$F$78*(C1932-sezione!$AL$34)*IF(ABS(K1932)&lt;'Progetto del paramento slu'!$G$58,ABS(K1932)*'Progetto del paramento slu'!$G$54,'Progetto del paramento slu'!$G$53)</f>
        <v>0</v>
      </c>
      <c r="F1932" s="553">
        <f>-'Foglio deposito bis'!$F$79*(C1932-sezione!$AM$34)*IF(ABS(L1932)&lt;'Progetto del paramento slu'!$G$58,ABS(L1932)*'Progetto del paramento slu'!$G$54,'Progetto del paramento slu'!$G$53)</f>
        <v>8764178.0940094851</v>
      </c>
      <c r="G1932" s="553">
        <f>-'Foglio deposito bis'!$F$80*(C1932-sezione!$AN$34)*IF(ABS(M1932)&lt;'Progetto del paramento slu'!$G$58,ABS(M1932)*'Progetto del paramento slu'!$G$54,'Progetto del paramento slu'!$G$53)</f>
        <v>0</v>
      </c>
      <c r="H1932" s="553">
        <f>-'Foglio deposito bis'!$F$81*(C1932-sezione!$AO$34)*IF(ABS(N1932)&lt;'Progetto del paramento slu'!$G$58,ABS(N1932)*'Progetto del paramento slu'!$G$54,'Progetto del paramento slu'!$G$53)</f>
        <v>98393618.915102556</v>
      </c>
      <c r="I1932" s="479">
        <f>-'Foglio deposito bis'!$F$82*(C1932-sezione!$AP$34)*IF(ABS(O1932)&lt;'Progetto del paramento slu'!$G$58,ABS(O1932)*'Progetto del paramento slu'!$G$54,'Progetto del paramento slu'!$G$53)</f>
        <v>149081993.99251208</v>
      </c>
      <c r="J1932" s="479">
        <f t="shared" si="139"/>
        <v>185093838.29300514</v>
      </c>
      <c r="K1932" s="558">
        <f>'Progetto del paramento slu'!$G$60*(sezione!$AL$34-C1932)/C1932</f>
        <v>-1.9940671375895782E-3</v>
      </c>
      <c r="L1932" s="558">
        <f>'Progetto del paramento slu'!$G$60*(sezione!$AM$34-C1932)/C1932</f>
        <v>2.147248234039082E-3</v>
      </c>
      <c r="M1932" s="559">
        <f>'Progetto del paramento slu'!$G$60*(sezione!$AN$34-C1932)/C1932</f>
        <v>6.288563605667743E-3</v>
      </c>
      <c r="N1932" s="559">
        <f>'Progetto del paramento slu'!$G$60*(sezione!$AO$34-C1932)/C1932</f>
        <v>9.3004293304885868E-3</v>
      </c>
      <c r="O1932" s="559">
        <f>'Progetto del paramento slu'!$G$60*(sezione!$AP$34-C1932)/C1932</f>
        <v>6.2888269629171115E-3</v>
      </c>
      <c r="P1932" s="553">
        <f>-'Progetto del paramento slu'!$G$47*'Progetto del paramento slu'!$G$41*IF(DATI!$G$218="dx",DATI!$E$61,DATI!$E$64*DATI!$E$63)*1000*C1932*sezione!$AD$5</f>
        <v>-1310433.3196111433</v>
      </c>
      <c r="Q1932" s="553">
        <f>'Foglio deposito bis'!$F$78*IF(ABS(K1932)&lt;'Progetto del paramento slu'!$G$58,ABS(K1932)*'Progetto del paramento slu'!$G$54,'Progetto del paramento slu'!$G$53)*IF(K1932&lt;0,-1,1)</f>
        <v>0</v>
      </c>
      <c r="R1932" s="553">
        <f>'Foglio deposito bis'!$F$79*IF(ABS(L1932)&lt;'Progetto del paramento slu'!$G$58,ABS(L1932)*'Progetto del paramento slu'!$G$54,'Progetto del paramento slu'!$G$53)*IF(L1932&lt;0,-1,1)</f>
        <v>153664.85805602249</v>
      </c>
      <c r="S1932" s="553">
        <f>'Foglio deposito bis'!$F$80*IF(ABS(M1932)&lt;'Progetto del paramento slu'!$G$58,ABS(M1932)*'Progetto del paramento slu'!$G$54,'Progetto del paramento slu'!$G$53)*IF(M1932&lt;0,-1,1)</f>
        <v>0</v>
      </c>
      <c r="T1932" s="553">
        <f>'Foglio deposito bis'!$F$81*IF(ABS(N1932)&lt;'Progetto del paramento slu'!$G$58,ABS(N1932)*'Progetto del paramento slu'!$G$54,'Progetto del paramento slu'!$G$53)*IF(N1932&lt;0,-1,1)</f>
        <v>398299.31208121032</v>
      </c>
      <c r="U1932" s="553">
        <f>'Foglio deposito bis'!$F$82*IF(ABS(O1932)&lt;'Progetto del paramento slu'!$G$58,ABS(O1932)*'Progetto del paramento slu'!$G$54,'Progetto del paramento slu'!$G$53)*IF(O1932&lt;0,-1,1)</f>
        <v>892485.49558937876</v>
      </c>
      <c r="V1932" s="479">
        <f t="shared" si="141"/>
        <v>134016.3461154683</v>
      </c>
      <c r="W1932" s="559"/>
      <c r="X1932" s="559"/>
    </row>
    <row r="1933" spans="1:24" x14ac:dyDescent="0.25">
      <c r="A1933" s="553">
        <f t="shared" si="140"/>
        <v>76792.183687034063</v>
      </c>
      <c r="B1933" s="3">
        <f t="shared" ref="B1933:B1983" si="143">B1932+1</f>
        <v>23.899999999999942</v>
      </c>
      <c r="C1933" s="553">
        <f>'Foglio deposito bis'!$E$160/sezione!$B$247*B1933</f>
        <v>97.025266374778582</v>
      </c>
      <c r="D1933" s="611">
        <f>-'Progetto del paramento slu'!$G$47*'Progetto del paramento slu'!$G$41*IF(DATI!$G$218="dx",DATI!$E$61,DATI!$E$64*DATI!$E$63)*1000*C1933^2*sezione!$AD$5*(1-sezione!$AD$6)</f>
        <v>-77495241.598539814</v>
      </c>
      <c r="E1933" s="553">
        <f>-'Foglio deposito bis'!$F$78*(C1933-sezione!$AL$34)*IF(ABS(K1933)&lt;'Progetto del paramento slu'!$G$58,ABS(K1933)*'Progetto del paramento slu'!$G$54,'Progetto del paramento slu'!$G$53)</f>
        <v>0</v>
      </c>
      <c r="F1933" s="553">
        <f>-'Foglio deposito bis'!$F$79*(C1933-sezione!$AM$34)*IF(ABS(L1933)&lt;'Progetto del paramento slu'!$G$58,ABS(L1933)*'Progetto del paramento slu'!$G$54,'Progetto del paramento slu'!$G$53)</f>
        <v>8140354.9230752522</v>
      </c>
      <c r="G1933" s="553">
        <f>-'Foglio deposito bis'!$F$80*(C1933-sezione!$AN$34)*IF(ABS(M1933)&lt;'Progetto del paramento slu'!$G$58,ABS(M1933)*'Progetto del paramento slu'!$G$54,'Progetto del paramento slu'!$G$53)</f>
        <v>0</v>
      </c>
      <c r="H1933" s="553">
        <f>-'Foglio deposito bis'!$F$81*(C1933-sezione!$AO$34)*IF(ABS(N1933)&lt;'Progetto del paramento slu'!$G$58,ABS(N1933)*'Progetto del paramento slu'!$G$54,'Progetto del paramento slu'!$G$53)</f>
        <v>96776669.256041005</v>
      </c>
      <c r="I1933" s="479">
        <f>-'Foglio deposito bis'!$F$82*(C1933-sezione!$AP$34)*IF(ABS(O1933)&lt;'Progetto del paramento slu'!$G$58,ABS(O1933)*'Progetto del paramento slu'!$G$54,'Progetto del paramento slu'!$G$53)</f>
        <v>145458829.01572603</v>
      </c>
      <c r="J1933" s="479">
        <f t="shared" ref="J1933:J1983" si="144">D1933+E1933+F1933+G1933+H1933+I1933</f>
        <v>172880611.59630248</v>
      </c>
      <c r="K1933" s="558">
        <f>'Progetto del paramento slu'!$G$60*(sezione!$AL$34-C1933)/C1933</f>
        <v>-2.0570768807866673E-3</v>
      </c>
      <c r="L1933" s="558">
        <f>'Progetto del paramento slu'!$G$60*(sezione!$AM$34-C1933)/C1933</f>
        <v>1.9109616970499979E-3</v>
      </c>
      <c r="M1933" s="559">
        <f>'Progetto del paramento slu'!$G$60*(sezione!$AN$34-C1933)/C1933</f>
        <v>5.8790002748866626E-3</v>
      </c>
      <c r="N1933" s="559">
        <f>'Progetto del paramento slu'!$G$60*(sezione!$AO$34-C1933)/C1933</f>
        <v>8.7648465133133291E-3</v>
      </c>
      <c r="O1933" s="559">
        <f>'Progetto del paramento slu'!$G$60*(sezione!$AP$34-C1933)/C1933</f>
        <v>5.8792526130042582E-3</v>
      </c>
      <c r="P1933" s="553">
        <f>-'Progetto del paramento slu'!$G$47*'Progetto del paramento slu'!$G$41*IF(DATI!$G$218="dx",DATI!$E$61,DATI!$E$64*DATI!$E$63)*1000*C1933*sezione!$AD$5</f>
        <v>-1367657.4820395776</v>
      </c>
      <c r="Q1933" s="553">
        <f>'Foglio deposito bis'!$F$78*IF(ABS(K1933)&lt;'Progetto del paramento slu'!$G$58,ABS(K1933)*'Progetto del paramento slu'!$G$54,'Progetto del paramento slu'!$G$53)*IF(K1933&lt;0,-1,1)</f>
        <v>0</v>
      </c>
      <c r="R1933" s="553">
        <f>'Foglio deposito bis'!$F$79*IF(ABS(L1933)&lt;'Progetto del paramento slu'!$G$58,ABS(L1933)*'Progetto del paramento slu'!$G$54,'Progetto del paramento slu'!$G$53)*IF(L1933&lt;0,-1,1)</f>
        <v>153664.85805602249</v>
      </c>
      <c r="S1933" s="553">
        <f>'Foglio deposito bis'!$F$80*IF(ABS(M1933)&lt;'Progetto del paramento slu'!$G$58,ABS(M1933)*'Progetto del paramento slu'!$G$54,'Progetto del paramento slu'!$G$53)*IF(M1933&lt;0,-1,1)</f>
        <v>0</v>
      </c>
      <c r="T1933" s="553">
        <f>'Foglio deposito bis'!$F$81*IF(ABS(N1933)&lt;'Progetto del paramento slu'!$G$58,ABS(N1933)*'Progetto del paramento slu'!$G$54,'Progetto del paramento slu'!$G$53)*IF(N1933&lt;0,-1,1)</f>
        <v>398299.31208121032</v>
      </c>
      <c r="U1933" s="553">
        <f>'Foglio deposito bis'!$F$82*IF(ABS(O1933)&lt;'Progetto del paramento slu'!$G$58,ABS(O1933)*'Progetto del paramento slu'!$G$54,'Progetto del paramento slu'!$G$53)*IF(O1933&lt;0,-1,1)</f>
        <v>892485.49558937876</v>
      </c>
      <c r="V1933" s="479">
        <f t="shared" si="141"/>
        <v>76792.183687034063</v>
      </c>
      <c r="W1933" s="559"/>
      <c r="X1933" s="559"/>
    </row>
    <row r="1934" spans="1:24" x14ac:dyDescent="0.25">
      <c r="A1934" s="553">
        <f t="shared" ref="A1934:A1983" si="145">ABS(V1934)</f>
        <v>2913.015397149371</v>
      </c>
      <c r="B1934" s="3">
        <f t="shared" si="143"/>
        <v>24.899999999999942</v>
      </c>
      <c r="C1934" s="553">
        <f>'Foglio deposito bis'!$E$160/sezione!$B$247*B1934</f>
        <v>101.08490095112916</v>
      </c>
      <c r="D1934" s="611">
        <f>-'Progetto del paramento slu'!$G$47*'Progetto del paramento slu'!$G$41*IF(DATI!$G$218="dx",DATI!$E$61,DATI!$E$64*DATI!$E$63)*1000*C1934^2*sezione!$AD$5*(1-sezione!$AD$6)</f>
        <v>-84115867.620508522</v>
      </c>
      <c r="E1934" s="553">
        <f>-'Foglio deposito bis'!$F$78*(C1934-sezione!$AL$34)*IF(ABS(K1934)&lt;'Progetto del paramento slu'!$G$58,ABS(K1934)*'Progetto del paramento slu'!$G$54,'Progetto del paramento slu'!$G$53)</f>
        <v>0</v>
      </c>
      <c r="F1934" s="553">
        <f>-'Foglio deposito bis'!$F$79*(C1934-sezione!$AM$34)*IF(ABS(L1934)&lt;'Progetto del paramento slu'!$G$58,ABS(L1934)*'Progetto del paramento slu'!$G$54,'Progetto del paramento slu'!$G$53)</f>
        <v>6701850.4907686496</v>
      </c>
      <c r="G1934" s="553">
        <f>-'Foglio deposito bis'!$F$80*(C1934-sezione!$AN$34)*IF(ABS(M1934)&lt;'Progetto del paramento slu'!$G$58,ABS(M1934)*'Progetto del paramento slu'!$G$54,'Progetto del paramento slu'!$G$53)</f>
        <v>0</v>
      </c>
      <c r="H1934" s="553">
        <f>-'Foglio deposito bis'!$F$81*(C1934-sezione!$AO$34)*IF(ABS(N1934)&lt;'Progetto del paramento slu'!$G$58,ABS(N1934)*'Progetto del paramento slu'!$G$54,'Progetto del paramento slu'!$G$53)</f>
        <v>95159719.596979484</v>
      </c>
      <c r="I1934" s="479">
        <f>-'Foglio deposito bis'!$F$82*(C1934-sezione!$AP$34)*IF(ABS(O1934)&lt;'Progetto del paramento slu'!$G$58,ABS(O1934)*'Progetto del paramento slu'!$G$54,'Progetto del paramento slu'!$G$53)</f>
        <v>141835664.03894001</v>
      </c>
      <c r="J1934" s="479">
        <f t="shared" si="144"/>
        <v>159581366.50617963</v>
      </c>
      <c r="K1934" s="558">
        <f>'Progetto del paramento slu'!$G$60*(sezione!$AL$34-C1934)/C1934</f>
        <v>-2.115025600433789E-3</v>
      </c>
      <c r="L1934" s="558">
        <f>'Progetto del paramento slu'!$G$60*(sezione!$AM$34-C1934)/C1934</f>
        <v>1.6936539983732908E-3</v>
      </c>
      <c r="M1934" s="559">
        <f>'Progetto del paramento slu'!$G$60*(sezione!$AN$34-C1934)/C1934</f>
        <v>5.5023335971803701E-3</v>
      </c>
      <c r="N1934" s="559">
        <f>'Progetto del paramento slu'!$G$60*(sezione!$AO$34-C1934)/C1934</f>
        <v>8.2722823963127922E-3</v>
      </c>
      <c r="O1934" s="559">
        <f>'Progetto del paramento slu'!$G$60*(sezione!$AP$34-C1934)/C1934</f>
        <v>5.5025758012370194E-3</v>
      </c>
      <c r="P1934" s="553">
        <f>-'Progetto del paramento slu'!$G$47*'Progetto del paramento slu'!$G$41*IF(DATI!$G$218="dx",DATI!$E$61,DATI!$E$64*DATI!$E$63)*1000*C1934*sezione!$AD$5</f>
        <v>-1424881.6444680118</v>
      </c>
      <c r="Q1934" s="553">
        <f>'Foglio deposito bis'!$F$78*IF(ABS(K1934)&lt;'Progetto del paramento slu'!$G$58,ABS(K1934)*'Progetto del paramento slu'!$G$54,'Progetto del paramento slu'!$G$53)*IF(K1934&lt;0,-1,1)</f>
        <v>0</v>
      </c>
      <c r="R1934" s="553">
        <f>'Foglio deposito bis'!$F$79*IF(ABS(L1934)&lt;'Progetto del paramento slu'!$G$58,ABS(L1934)*'Progetto del paramento slu'!$G$54,'Progetto del paramento slu'!$G$53)*IF(L1934&lt;0,-1,1)</f>
        <v>137009.85219457213</v>
      </c>
      <c r="S1934" s="553">
        <f>'Foglio deposito bis'!$F$80*IF(ABS(M1934)&lt;'Progetto del paramento slu'!$G$58,ABS(M1934)*'Progetto del paramento slu'!$G$54,'Progetto del paramento slu'!$G$53)*IF(M1934&lt;0,-1,1)</f>
        <v>0</v>
      </c>
      <c r="T1934" s="553">
        <f>'Foglio deposito bis'!$F$81*IF(ABS(N1934)&lt;'Progetto del paramento slu'!$G$58,ABS(N1934)*'Progetto del paramento slu'!$G$54,'Progetto del paramento slu'!$G$53)*IF(N1934&lt;0,-1,1)</f>
        <v>398299.31208121032</v>
      </c>
      <c r="U1934" s="553">
        <f>'Foglio deposito bis'!$F$82*IF(ABS(O1934)&lt;'Progetto del paramento slu'!$G$58,ABS(O1934)*'Progetto del paramento slu'!$G$54,'Progetto del paramento slu'!$G$53)*IF(O1934&lt;0,-1,1)</f>
        <v>892485.49558937876</v>
      </c>
      <c r="V1934" s="479">
        <f t="shared" ref="V1934:V1983" si="146">P1934+Q1934+R1934+S1934+T1934+U1934</f>
        <v>2913.015397149371</v>
      </c>
      <c r="W1934" s="559"/>
      <c r="X1934" s="559"/>
    </row>
    <row r="1935" spans="1:24" x14ac:dyDescent="0.25">
      <c r="A1935" s="553">
        <f t="shared" si="145"/>
        <v>70532.996069870191</v>
      </c>
      <c r="B1935" s="3">
        <f t="shared" si="143"/>
        <v>25.899999999999942</v>
      </c>
      <c r="C1935" s="553">
        <f>'Foglio deposito bis'!$E$160/sezione!$B$247*B1935</f>
        <v>105.14453552747973</v>
      </c>
      <c r="D1935" s="611">
        <f>-'Progetto del paramento slu'!$G$47*'Progetto del paramento slu'!$G$41*IF(DATI!$G$218="dx",DATI!$E$61,DATI!$E$64*DATI!$E$63)*1000*C1935^2*sezione!$AD$5*(1-sezione!$AD$6)</f>
        <v>-91007830.774525136</v>
      </c>
      <c r="E1935" s="553">
        <f>-'Foglio deposito bis'!$F$78*(C1935-sezione!$AL$34)*IF(ABS(K1935)&lt;'Progetto del paramento slu'!$G$58,ABS(K1935)*'Progetto del paramento slu'!$G$54,'Progetto del paramento slu'!$G$53)</f>
        <v>0</v>
      </c>
      <c r="F1935" s="553">
        <f>-'Foglio deposito bis'!$F$79*(C1935-sezione!$AM$34)*IF(ABS(L1935)&lt;'Progetto del paramento slu'!$G$58,ABS(L1935)*'Progetto del paramento slu'!$G$54,'Progetto del paramento slu'!$G$53)</f>
        <v>5418001.9842700437</v>
      </c>
      <c r="G1935" s="553">
        <f>-'Foglio deposito bis'!$F$80*(C1935-sezione!$AN$34)*IF(ABS(M1935)&lt;'Progetto del paramento slu'!$G$58,ABS(M1935)*'Progetto del paramento slu'!$G$54,'Progetto del paramento slu'!$G$53)</f>
        <v>0</v>
      </c>
      <c r="H1935" s="553">
        <f>-'Foglio deposito bis'!$F$81*(C1935-sezione!$AO$34)*IF(ABS(N1935)&lt;'Progetto del paramento slu'!$G$58,ABS(N1935)*'Progetto del paramento slu'!$G$54,'Progetto del paramento slu'!$G$53)</f>
        <v>93542769.937917948</v>
      </c>
      <c r="I1935" s="479">
        <f>-'Foglio deposito bis'!$F$82*(C1935-sezione!$AP$34)*IF(ABS(O1935)&lt;'Progetto del paramento slu'!$G$58,ABS(O1935)*'Progetto del paramento slu'!$G$54,'Progetto del paramento slu'!$G$53)</f>
        <v>138212499.062154</v>
      </c>
      <c r="J1935" s="479">
        <f t="shared" si="144"/>
        <v>146165440.20981684</v>
      </c>
      <c r="K1935" s="558">
        <f>'Progetto del paramento slu'!$G$60*(sezione!$AL$34-C1935)/C1935</f>
        <v>-2.1684995154749556E-3</v>
      </c>
      <c r="L1935" s="558">
        <f>'Progetto del paramento slu'!$G$60*(sezione!$AM$34-C1935)/C1935</f>
        <v>1.4931268169689163E-3</v>
      </c>
      <c r="M1935" s="559">
        <f>'Progetto del paramento slu'!$G$60*(sezione!$AN$34-C1935)/C1935</f>
        <v>5.1547531494127883E-3</v>
      </c>
      <c r="N1935" s="559">
        <f>'Progetto del paramento slu'!$G$60*(sezione!$AO$34-C1935)/C1935</f>
        <v>7.8177541184628781E-3</v>
      </c>
      <c r="O1935" s="559">
        <f>'Progetto del paramento slu'!$G$60*(sezione!$AP$34-C1935)/C1935</f>
        <v>5.1549860019614582E-3</v>
      </c>
      <c r="P1935" s="553">
        <f>-'Progetto del paramento slu'!$G$47*'Progetto del paramento slu'!$G$41*IF(DATI!$G$218="dx",DATI!$E$61,DATI!$E$64*DATI!$E$63)*1000*C1935*sezione!$AD$5</f>
        <v>-1482105.8068964463</v>
      </c>
      <c r="Q1935" s="553">
        <f>'Foglio deposito bis'!$F$78*IF(ABS(K1935)&lt;'Progetto del paramento slu'!$G$58,ABS(K1935)*'Progetto del paramento slu'!$G$54,'Progetto del paramento slu'!$G$53)*IF(K1935&lt;0,-1,1)</f>
        <v>0</v>
      </c>
      <c r="R1935" s="553">
        <f>'Foglio deposito bis'!$F$79*IF(ABS(L1935)&lt;'Progetto del paramento slu'!$G$58,ABS(L1935)*'Progetto del paramento slu'!$G$54,'Progetto del paramento slu'!$G$53)*IF(L1935&lt;0,-1,1)</f>
        <v>120788.00315598707</v>
      </c>
      <c r="S1935" s="553">
        <f>'Foglio deposito bis'!$F$80*IF(ABS(M1935)&lt;'Progetto del paramento slu'!$G$58,ABS(M1935)*'Progetto del paramento slu'!$G$54,'Progetto del paramento slu'!$G$53)*IF(M1935&lt;0,-1,1)</f>
        <v>0</v>
      </c>
      <c r="T1935" s="553">
        <f>'Foglio deposito bis'!$F$81*IF(ABS(N1935)&lt;'Progetto del paramento slu'!$G$58,ABS(N1935)*'Progetto del paramento slu'!$G$54,'Progetto del paramento slu'!$G$53)*IF(N1935&lt;0,-1,1)</f>
        <v>398299.31208121032</v>
      </c>
      <c r="U1935" s="553">
        <f>'Foglio deposito bis'!$F$82*IF(ABS(O1935)&lt;'Progetto del paramento slu'!$G$58,ABS(O1935)*'Progetto del paramento slu'!$G$54,'Progetto del paramento slu'!$G$53)*IF(O1935&lt;0,-1,1)</f>
        <v>892485.49558937876</v>
      </c>
      <c r="V1935" s="479">
        <f t="shared" si="146"/>
        <v>-70532.996069870191</v>
      </c>
      <c r="W1935" s="559"/>
      <c r="X1935" s="559"/>
    </row>
    <row r="1936" spans="1:24" x14ac:dyDescent="0.25">
      <c r="A1936" s="553">
        <f t="shared" si="145"/>
        <v>142772.92210651143</v>
      </c>
      <c r="B1936" s="3">
        <f t="shared" si="143"/>
        <v>26.899999999999942</v>
      </c>
      <c r="C1936" s="553">
        <f>'Foglio deposito bis'!$E$160/sezione!$B$247*B1936</f>
        <v>109.20417010383031</v>
      </c>
      <c r="D1936" s="611">
        <f>-'Progetto del paramento slu'!$G$47*'Progetto del paramento slu'!$G$41*IF(DATI!$G$218="dx",DATI!$E$61,DATI!$E$64*DATI!$E$63)*1000*C1936^2*sezione!$AD$5*(1-sezione!$AD$6)</f>
        <v>-98171131.060589656</v>
      </c>
      <c r="E1936" s="553">
        <f>-'Foglio deposito bis'!$F$78*(C1936-sezione!$AL$34)*IF(ABS(K1936)&lt;'Progetto del paramento slu'!$G$58,ABS(K1936)*'Progetto del paramento slu'!$G$54,'Progetto del paramento slu'!$G$53)</f>
        <v>0</v>
      </c>
      <c r="F1936" s="553">
        <f>-'Foglio deposito bis'!$F$79*(C1936-sezione!$AM$34)*IF(ABS(L1936)&lt;'Progetto del paramento slu'!$G$58,ABS(L1936)*'Progetto del paramento slu'!$G$54,'Progetto del paramento slu'!$G$53)</f>
        <v>4315066.2923281481</v>
      </c>
      <c r="G1936" s="553">
        <f>-'Foglio deposito bis'!$F$80*(C1936-sezione!$AN$34)*IF(ABS(M1936)&lt;'Progetto del paramento slu'!$G$58,ABS(M1936)*'Progetto del paramento slu'!$G$54,'Progetto del paramento slu'!$G$53)</f>
        <v>0</v>
      </c>
      <c r="H1936" s="553">
        <f>-'Foglio deposito bis'!$F$81*(C1936-sezione!$AO$34)*IF(ABS(N1936)&lt;'Progetto del paramento slu'!$G$58,ABS(N1936)*'Progetto del paramento slu'!$G$54,'Progetto del paramento slu'!$G$53)</f>
        <v>91925820.278856426</v>
      </c>
      <c r="I1936" s="479">
        <f>-'Foglio deposito bis'!$F$82*(C1936-sezione!$AP$34)*IF(ABS(O1936)&lt;'Progetto del paramento slu'!$G$58,ABS(O1936)*'Progetto del paramento slu'!$G$54,'Progetto del paramento slu'!$G$53)</f>
        <v>134589334.08536798</v>
      </c>
      <c r="J1936" s="479">
        <f t="shared" si="144"/>
        <v>132659089.5959629</v>
      </c>
      <c r="K1936" s="558">
        <f>'Progetto del paramento slu'!$G$60*(sezione!$AL$34-C1936)/C1936</f>
        <v>-2.2179976747509797E-3</v>
      </c>
      <c r="L1936" s="558">
        <f>'Progetto del paramento slu'!$G$60*(sezione!$AM$34-C1936)/C1936</f>
        <v>1.307508719683826E-3</v>
      </c>
      <c r="M1936" s="559">
        <f>'Progetto del paramento slu'!$G$60*(sezione!$AN$34-C1936)/C1936</f>
        <v>4.8330151141186325E-3</v>
      </c>
      <c r="N1936" s="559">
        <f>'Progetto del paramento slu'!$G$60*(sezione!$AO$34-C1936)/C1936</f>
        <v>7.3970197646166733E-3</v>
      </c>
      <c r="O1936" s="559">
        <f>'Progetto del paramento slu'!$G$60*(sezione!$AP$34-C1936)/C1936</f>
        <v>4.8332393104387264E-3</v>
      </c>
      <c r="P1936" s="553">
        <f>-'Progetto del paramento slu'!$G$47*'Progetto del paramento slu'!$G$41*IF(DATI!$G$218="dx",DATI!$E$61,DATI!$E$64*DATI!$E$63)*1000*C1936*sezione!$AD$5</f>
        <v>-1539329.9693248805</v>
      </c>
      <c r="Q1936" s="553">
        <f>'Foglio deposito bis'!$F$78*IF(ABS(K1936)&lt;'Progetto del paramento slu'!$G$58,ABS(K1936)*'Progetto del paramento slu'!$G$54,'Progetto del paramento slu'!$G$53)*IF(K1936&lt;0,-1,1)</f>
        <v>0</v>
      </c>
      <c r="R1936" s="553">
        <f>'Foglio deposito bis'!$F$79*IF(ABS(L1936)&lt;'Progetto del paramento slu'!$G$58,ABS(L1936)*'Progetto del paramento slu'!$G$54,'Progetto del paramento slu'!$G$53)*IF(L1936&lt;0,-1,1)</f>
        <v>105772.23954778006</v>
      </c>
      <c r="S1936" s="553">
        <f>'Foglio deposito bis'!$F$80*IF(ABS(M1936)&lt;'Progetto del paramento slu'!$G$58,ABS(M1936)*'Progetto del paramento slu'!$G$54,'Progetto del paramento slu'!$G$53)*IF(M1936&lt;0,-1,1)</f>
        <v>0</v>
      </c>
      <c r="T1936" s="553">
        <f>'Foglio deposito bis'!$F$81*IF(ABS(N1936)&lt;'Progetto del paramento slu'!$G$58,ABS(N1936)*'Progetto del paramento slu'!$G$54,'Progetto del paramento slu'!$G$53)*IF(N1936&lt;0,-1,1)</f>
        <v>398299.31208121032</v>
      </c>
      <c r="U1936" s="553">
        <f>'Foglio deposito bis'!$F$82*IF(ABS(O1936)&lt;'Progetto del paramento slu'!$G$58,ABS(O1936)*'Progetto del paramento slu'!$G$54,'Progetto del paramento slu'!$G$53)*IF(O1936&lt;0,-1,1)</f>
        <v>892485.49558937876</v>
      </c>
      <c r="V1936" s="479">
        <f t="shared" si="146"/>
        <v>-142772.92210651143</v>
      </c>
      <c r="W1936" s="559"/>
      <c r="X1936" s="559"/>
    </row>
    <row r="1937" spans="1:24" x14ac:dyDescent="0.25">
      <c r="A1937" s="553">
        <f t="shared" si="145"/>
        <v>213936.4493181915</v>
      </c>
      <c r="B1937" s="3">
        <f t="shared" si="143"/>
        <v>27.899999999999942</v>
      </c>
      <c r="C1937" s="553">
        <f>'Foglio deposito bis'!$E$160/sezione!$B$247*B1937</f>
        <v>113.26380468018088</v>
      </c>
      <c r="D1937" s="611">
        <f>-'Progetto del paramento slu'!$G$47*'Progetto del paramento slu'!$G$41*IF(DATI!$G$218="dx",DATI!$E$61,DATI!$E$64*DATI!$E$63)*1000*C1937^2*sezione!$AD$5*(1-sezione!$AD$6)</f>
        <v>-105605768.47870207</v>
      </c>
      <c r="E1937" s="553">
        <f>-'Foglio deposito bis'!$F$78*(C1937-sezione!$AL$34)*IF(ABS(K1937)&lt;'Progetto del paramento slu'!$G$58,ABS(K1937)*'Progetto del paramento slu'!$G$54,'Progetto del paramento slu'!$G$53)</f>
        <v>0</v>
      </c>
      <c r="F1937" s="553">
        <f>-'Foglio deposito bis'!$F$79*(C1937-sezione!$AM$34)*IF(ABS(L1937)&lt;'Progetto del paramento slu'!$G$58,ABS(L1937)*'Progetto del paramento slu'!$G$54,'Progetto del paramento slu'!$G$53)</f>
        <v>3373590.4241304155</v>
      </c>
      <c r="G1937" s="553">
        <f>-'Foglio deposito bis'!$F$80*(C1937-sezione!$AN$34)*IF(ABS(M1937)&lt;'Progetto del paramento slu'!$G$58,ABS(M1937)*'Progetto del paramento slu'!$G$54,'Progetto del paramento slu'!$G$53)</f>
        <v>0</v>
      </c>
      <c r="H1937" s="553">
        <f>-'Foglio deposito bis'!$F$81*(C1937-sezione!$AO$34)*IF(ABS(N1937)&lt;'Progetto del paramento slu'!$G$58,ABS(N1937)*'Progetto del paramento slu'!$G$54,'Progetto del paramento slu'!$G$53)</f>
        <v>90308870.61979489</v>
      </c>
      <c r="I1937" s="479">
        <f>-'Foglio deposito bis'!$F$82*(C1937-sezione!$AP$34)*IF(ABS(O1937)&lt;'Progetto del paramento slu'!$G$58,ABS(O1937)*'Progetto del paramento slu'!$G$54,'Progetto del paramento slu'!$G$53)</f>
        <v>130966169.10858193</v>
      </c>
      <c r="J1937" s="479">
        <f t="shared" si="144"/>
        <v>119042861.67380516</v>
      </c>
      <c r="K1937" s="558">
        <f>'Progetto del paramento slu'!$G$60*(sezione!$AL$34-C1937)/C1937</f>
        <v>-2.263947578881769E-3</v>
      </c>
      <c r="L1937" s="558">
        <f>'Progetto del paramento slu'!$G$60*(sezione!$AM$34-C1937)/C1937</f>
        <v>1.1351965791933662E-3</v>
      </c>
      <c r="M1937" s="559">
        <f>'Progetto del paramento slu'!$G$60*(sezione!$AN$34-C1937)/C1937</f>
        <v>4.534340737268501E-3</v>
      </c>
      <c r="N1937" s="559">
        <f>'Progetto del paramento slu'!$G$60*(sezione!$AO$34-C1937)/C1937</f>
        <v>7.0064455795049623E-3</v>
      </c>
      <c r="O1937" s="559">
        <f>'Progetto del paramento slu'!$G$60*(sezione!$AP$34-C1937)/C1937</f>
        <v>4.5345568978781984E-3</v>
      </c>
      <c r="P1937" s="553">
        <f>-'Progetto del paramento slu'!$G$47*'Progetto del paramento slu'!$G$41*IF(DATI!$G$218="dx",DATI!$E$61,DATI!$E$64*DATI!$E$63)*1000*C1937*sezione!$AD$5</f>
        <v>-1596554.1317533148</v>
      </c>
      <c r="Q1937" s="553">
        <f>'Foglio deposito bis'!$F$78*IF(ABS(K1937)&lt;'Progetto del paramento slu'!$G$58,ABS(K1937)*'Progetto del paramento slu'!$G$54,'Progetto del paramento slu'!$G$53)*IF(K1937&lt;0,-1,1)</f>
        <v>0</v>
      </c>
      <c r="R1937" s="553">
        <f>'Foglio deposito bis'!$F$79*IF(ABS(L1937)&lt;'Progetto del paramento slu'!$G$58,ABS(L1937)*'Progetto del paramento slu'!$G$54,'Progetto del paramento slu'!$G$53)*IF(L1937&lt;0,-1,1)</f>
        <v>91832.874764534179</v>
      </c>
      <c r="S1937" s="553">
        <f>'Foglio deposito bis'!$F$80*IF(ABS(M1937)&lt;'Progetto del paramento slu'!$G$58,ABS(M1937)*'Progetto del paramento slu'!$G$54,'Progetto del paramento slu'!$G$53)*IF(M1937&lt;0,-1,1)</f>
        <v>0</v>
      </c>
      <c r="T1937" s="553">
        <f>'Foglio deposito bis'!$F$81*IF(ABS(N1937)&lt;'Progetto del paramento slu'!$G$58,ABS(N1937)*'Progetto del paramento slu'!$G$54,'Progetto del paramento slu'!$G$53)*IF(N1937&lt;0,-1,1)</f>
        <v>398299.31208121032</v>
      </c>
      <c r="U1937" s="553">
        <f>'Foglio deposito bis'!$F$82*IF(ABS(O1937)&lt;'Progetto del paramento slu'!$G$58,ABS(O1937)*'Progetto del paramento slu'!$G$54,'Progetto del paramento slu'!$G$53)*IF(O1937&lt;0,-1,1)</f>
        <v>892485.49558937876</v>
      </c>
      <c r="V1937" s="479">
        <f t="shared" si="146"/>
        <v>-213936.4493181915</v>
      </c>
      <c r="W1937" s="559"/>
      <c r="X1937" s="559"/>
    </row>
    <row r="1938" spans="1:24" x14ac:dyDescent="0.25">
      <c r="A1938" s="553">
        <f t="shared" si="145"/>
        <v>284135.31460715597</v>
      </c>
      <c r="B1938" s="3">
        <f t="shared" si="143"/>
        <v>28.899999999999942</v>
      </c>
      <c r="C1938" s="553">
        <f>'Foglio deposito bis'!$E$160/sezione!$B$247*B1938</f>
        <v>117.32343925653146</v>
      </c>
      <c r="D1938" s="611">
        <f>-'Progetto del paramento slu'!$G$47*'Progetto del paramento slu'!$G$41*IF(DATI!$G$218="dx",DATI!$E$61,DATI!$E$64*DATI!$E$63)*1000*C1938^2*sezione!$AD$5*(1-sezione!$AD$6)</f>
        <v>-113311743.02886239</v>
      </c>
      <c r="E1938" s="553">
        <f>-'Foglio deposito bis'!$F$78*(C1938-sezione!$AL$34)*IF(ABS(K1938)&lt;'Progetto del paramento slu'!$G$58,ABS(K1938)*'Progetto del paramento slu'!$G$54,'Progetto del paramento slu'!$G$53)</f>
        <v>0</v>
      </c>
      <c r="F1938" s="553">
        <f>-'Foglio deposito bis'!$F$79*(C1938-sezione!$AM$34)*IF(ABS(L1938)&lt;'Progetto del paramento slu'!$G$58,ABS(L1938)*'Progetto del paramento slu'!$G$54,'Progetto del paramento slu'!$G$53)</f>
        <v>2576813.844340079</v>
      </c>
      <c r="G1938" s="553">
        <f>-'Foglio deposito bis'!$F$80*(C1938-sezione!$AN$34)*IF(ABS(M1938)&lt;'Progetto del paramento slu'!$G$58,ABS(M1938)*'Progetto del paramento slu'!$G$54,'Progetto del paramento slu'!$G$53)</f>
        <v>0</v>
      </c>
      <c r="H1938" s="553">
        <f>-'Foglio deposito bis'!$F$81*(C1938-sezione!$AO$34)*IF(ABS(N1938)&lt;'Progetto del paramento slu'!$G$58,ABS(N1938)*'Progetto del paramento slu'!$G$54,'Progetto del paramento slu'!$G$53)</f>
        <v>88691920.960733369</v>
      </c>
      <c r="I1938" s="479">
        <f>-'Foglio deposito bis'!$F$82*(C1938-sezione!$AP$34)*IF(ABS(O1938)&lt;'Progetto del paramento slu'!$G$58,ABS(O1938)*'Progetto del paramento slu'!$G$54,'Progetto del paramento slu'!$G$53)</f>
        <v>127343004.13179593</v>
      </c>
      <c r="J1938" s="479">
        <f t="shared" si="144"/>
        <v>105299995.908007</v>
      </c>
      <c r="K1938" s="558">
        <f>'Progetto del paramento slu'!$G$60*(sezione!$AL$34-C1938)/C1938</f>
        <v>-2.306717558851258E-3</v>
      </c>
      <c r="L1938" s="558">
        <f>'Progetto del paramento slu'!$G$60*(sezione!$AM$34-C1938)/C1938</f>
        <v>9.7480915430778225E-4</v>
      </c>
      <c r="M1938" s="559">
        <f>'Progetto del paramento slu'!$G$60*(sezione!$AN$34-C1938)/C1938</f>
        <v>4.2563358674668223E-3</v>
      </c>
      <c r="N1938" s="559">
        <f>'Progetto del paramento slu'!$G$60*(sezione!$AO$34-C1938)/C1938</f>
        <v>6.6429007497643064E-3</v>
      </c>
      <c r="O1938" s="559">
        <f>'Progetto del paramento slu'!$G$60*(sezione!$AP$34-C1938)/C1938</f>
        <v>4.2565445484706475E-3</v>
      </c>
      <c r="P1938" s="553">
        <f>-'Progetto del paramento slu'!$G$47*'Progetto del paramento slu'!$G$41*IF(DATI!$G$218="dx",DATI!$E$61,DATI!$E$64*DATI!$E$63)*1000*C1938*sezione!$AD$5</f>
        <v>-1653778.2941817492</v>
      </c>
      <c r="Q1938" s="553">
        <f>'Foglio deposito bis'!$F$78*IF(ABS(K1938)&lt;'Progetto del paramento slu'!$G$58,ABS(K1938)*'Progetto del paramento slu'!$G$54,'Progetto del paramento slu'!$G$53)*IF(K1938&lt;0,-1,1)</f>
        <v>0</v>
      </c>
      <c r="R1938" s="553">
        <f>'Foglio deposito bis'!$F$79*IF(ABS(L1938)&lt;'Progetto del paramento slu'!$G$58,ABS(L1938)*'Progetto del paramento slu'!$G$54,'Progetto del paramento slu'!$G$53)*IF(L1938&lt;0,-1,1)</f>
        <v>78858.171904004252</v>
      </c>
      <c r="S1938" s="553">
        <f>'Foglio deposito bis'!$F$80*IF(ABS(M1938)&lt;'Progetto del paramento slu'!$G$58,ABS(M1938)*'Progetto del paramento slu'!$G$54,'Progetto del paramento slu'!$G$53)*IF(M1938&lt;0,-1,1)</f>
        <v>0</v>
      </c>
      <c r="T1938" s="553">
        <f>'Foglio deposito bis'!$F$81*IF(ABS(N1938)&lt;'Progetto del paramento slu'!$G$58,ABS(N1938)*'Progetto del paramento slu'!$G$54,'Progetto del paramento slu'!$G$53)*IF(N1938&lt;0,-1,1)</f>
        <v>398299.31208121032</v>
      </c>
      <c r="U1938" s="553">
        <f>'Foglio deposito bis'!$F$82*IF(ABS(O1938)&lt;'Progetto del paramento slu'!$G$58,ABS(O1938)*'Progetto del paramento slu'!$G$54,'Progetto del paramento slu'!$G$53)*IF(O1938&lt;0,-1,1)</f>
        <v>892485.49558937876</v>
      </c>
      <c r="V1938" s="479">
        <f t="shared" si="146"/>
        <v>-284135.31460715597</v>
      </c>
      <c r="W1938" s="559"/>
      <c r="X1938" s="559"/>
    </row>
    <row r="1939" spans="1:24" x14ac:dyDescent="0.25">
      <c r="A1939" s="553">
        <f t="shared" si="145"/>
        <v>353466.30679508182</v>
      </c>
      <c r="B1939" s="3">
        <f t="shared" si="143"/>
        <v>29.899999999999942</v>
      </c>
      <c r="C1939" s="553">
        <f>'Foglio deposito bis'!$E$160/sezione!$B$247*B1939</f>
        <v>121.38307383288205</v>
      </c>
      <c r="D1939" s="611">
        <f>-'Progetto del paramento slu'!$G$47*'Progetto del paramento slu'!$G$41*IF(DATI!$G$218="dx",DATI!$E$61,DATI!$E$64*DATI!$E$63)*1000*C1939^2*sezione!$AD$5*(1-sezione!$AD$6)</f>
        <v>-121289054.7110706</v>
      </c>
      <c r="E1939" s="553">
        <f>-'Foglio deposito bis'!$F$78*(C1939-sezione!$AL$34)*IF(ABS(K1939)&lt;'Progetto del paramento slu'!$G$58,ABS(K1939)*'Progetto del paramento slu'!$G$54,'Progetto del paramento slu'!$G$53)</f>
        <v>0</v>
      </c>
      <c r="F1939" s="553">
        <f>-'Foglio deposito bis'!$F$79*(C1939-sezione!$AM$34)*IF(ABS(L1939)&lt;'Progetto del paramento slu'!$G$58,ABS(L1939)*'Progetto del paramento slu'!$G$54,'Progetto del paramento slu'!$G$53)</f>
        <v>1910218.2297055598</v>
      </c>
      <c r="G1939" s="553">
        <f>-'Foglio deposito bis'!$F$80*(C1939-sezione!$AN$34)*IF(ABS(M1939)&lt;'Progetto del paramento slu'!$G$58,ABS(M1939)*'Progetto del paramento slu'!$G$54,'Progetto del paramento slu'!$G$53)</f>
        <v>0</v>
      </c>
      <c r="H1939" s="553">
        <f>-'Foglio deposito bis'!$F$81*(C1939-sezione!$AO$34)*IF(ABS(N1939)&lt;'Progetto del paramento slu'!$G$58,ABS(N1939)*'Progetto del paramento slu'!$G$54,'Progetto del paramento slu'!$G$53)</f>
        <v>87074971.301671833</v>
      </c>
      <c r="I1939" s="479">
        <f>-'Foglio deposito bis'!$F$82*(C1939-sezione!$AP$34)*IF(ABS(O1939)&lt;'Progetto del paramento slu'!$G$58,ABS(O1939)*'Progetto del paramento slu'!$G$54,'Progetto del paramento slu'!$G$53)</f>
        <v>123719839.1550099</v>
      </c>
      <c r="J1939" s="479">
        <f t="shared" si="144"/>
        <v>91415973.975316688</v>
      </c>
      <c r="K1939" s="558">
        <f>'Progetto del paramento slu'!$G$60*(sezione!$AL$34-C1939)/C1939</f>
        <v>-2.3466266705953632E-3</v>
      </c>
      <c r="L1939" s="558">
        <f>'Progetto del paramento slu'!$G$60*(sezione!$AM$34-C1939)/C1939</f>
        <v>8.251499852673876E-4</v>
      </c>
      <c r="M1939" s="559">
        <f>'Progetto del paramento slu'!$G$60*(sezione!$AN$34-C1939)/C1939</f>
        <v>3.9969266411301382E-3</v>
      </c>
      <c r="N1939" s="559">
        <f>'Progetto del paramento slu'!$G$60*(sezione!$AO$34-C1939)/C1939</f>
        <v>6.3036732999394119E-3</v>
      </c>
      <c r="O1939" s="559">
        <f>'Progetto del paramento slu'!$G$60*(sezione!$AP$34-C1939)/C1939</f>
        <v>3.9971283428361769E-3</v>
      </c>
      <c r="P1939" s="553">
        <f>-'Progetto del paramento slu'!$G$47*'Progetto del paramento slu'!$G$41*IF(DATI!$G$218="dx",DATI!$E$61,DATI!$E$64*DATI!$E$63)*1000*C1939*sezione!$AD$5</f>
        <v>-1711002.4566101839</v>
      </c>
      <c r="Q1939" s="553">
        <f>'Foglio deposito bis'!$F$78*IF(ABS(K1939)&lt;'Progetto del paramento slu'!$G$58,ABS(K1939)*'Progetto del paramento slu'!$G$54,'Progetto del paramento slu'!$G$53)*IF(K1939&lt;0,-1,1)</f>
        <v>0</v>
      </c>
      <c r="R1939" s="553">
        <f>'Foglio deposito bis'!$F$79*IF(ABS(L1939)&lt;'Progetto del paramento slu'!$G$58,ABS(L1939)*'Progetto del paramento slu'!$G$54,'Progetto del paramento slu'!$G$53)*IF(L1939&lt;0,-1,1)</f>
        <v>66751.342144513081</v>
      </c>
      <c r="S1939" s="553">
        <f>'Foglio deposito bis'!$F$80*IF(ABS(M1939)&lt;'Progetto del paramento slu'!$G$58,ABS(M1939)*'Progetto del paramento slu'!$G$54,'Progetto del paramento slu'!$G$53)*IF(M1939&lt;0,-1,1)</f>
        <v>0</v>
      </c>
      <c r="T1939" s="553">
        <f>'Foglio deposito bis'!$F$81*IF(ABS(N1939)&lt;'Progetto del paramento slu'!$G$58,ABS(N1939)*'Progetto del paramento slu'!$G$54,'Progetto del paramento slu'!$G$53)*IF(N1939&lt;0,-1,1)</f>
        <v>398299.31208121032</v>
      </c>
      <c r="U1939" s="553">
        <f>'Foglio deposito bis'!$F$82*IF(ABS(O1939)&lt;'Progetto del paramento slu'!$G$58,ABS(O1939)*'Progetto del paramento slu'!$G$54,'Progetto del paramento slu'!$G$53)*IF(O1939&lt;0,-1,1)</f>
        <v>892485.49558937876</v>
      </c>
      <c r="V1939" s="479">
        <f t="shared" si="146"/>
        <v>-353466.30679508182</v>
      </c>
      <c r="W1939" s="559"/>
      <c r="X1939" s="559"/>
    </row>
    <row r="1940" spans="1:24" x14ac:dyDescent="0.25">
      <c r="A1940" s="553">
        <f t="shared" si="145"/>
        <v>422013.68540634098</v>
      </c>
      <c r="B1940" s="3">
        <f t="shared" si="143"/>
        <v>30.899999999999942</v>
      </c>
      <c r="C1940" s="553">
        <f>'Foglio deposito bis'!$E$160/sezione!$B$247*B1940</f>
        <v>125.44270840923262</v>
      </c>
      <c r="D1940" s="611">
        <f>-'Progetto del paramento slu'!$G$47*'Progetto del paramento slu'!$G$41*IF(DATI!$G$218="dx",DATI!$E$61,DATI!$E$64*DATI!$E$63)*1000*C1940^2*sezione!$AD$5*(1-sezione!$AD$6)</f>
        <v>-129537703.52532671</v>
      </c>
      <c r="E1940" s="553">
        <f>-'Foglio deposito bis'!$F$78*(C1940-sezione!$AL$34)*IF(ABS(K1940)&lt;'Progetto del paramento slu'!$G$58,ABS(K1940)*'Progetto del paramento slu'!$G$54,'Progetto del paramento slu'!$G$53)</f>
        <v>0</v>
      </c>
      <c r="F1940" s="553">
        <f>-'Foglio deposito bis'!$F$79*(C1940-sezione!$AM$34)*IF(ABS(L1940)&lt;'Progetto del paramento slu'!$G$58,ABS(L1940)*'Progetto del paramento slu'!$G$54,'Progetto del paramento slu'!$G$53)</f>
        <v>1361164.6515709567</v>
      </c>
      <c r="G1940" s="553">
        <f>-'Foglio deposito bis'!$F$80*(C1940-sezione!$AN$34)*IF(ABS(M1940)&lt;'Progetto del paramento slu'!$G$58,ABS(M1940)*'Progetto del paramento slu'!$G$54,'Progetto del paramento slu'!$G$53)</f>
        <v>0</v>
      </c>
      <c r="H1940" s="553">
        <f>-'Foglio deposito bis'!$F$81*(C1940-sezione!$AO$34)*IF(ABS(N1940)&lt;'Progetto del paramento slu'!$G$58,ABS(N1940)*'Progetto del paramento slu'!$G$54,'Progetto del paramento slu'!$G$53)</f>
        <v>85458021.642610282</v>
      </c>
      <c r="I1940" s="479">
        <f>-'Foglio deposito bis'!$F$82*(C1940-sezione!$AP$34)*IF(ABS(O1940)&lt;'Progetto del paramento slu'!$G$58,ABS(O1940)*'Progetto del paramento slu'!$G$54,'Progetto del paramento slu'!$G$53)</f>
        <v>120096674.17822386</v>
      </c>
      <c r="J1940" s="479">
        <f t="shared" si="144"/>
        <v>77378156.947078392</v>
      </c>
      <c r="K1940" s="558">
        <f>'Progetto del paramento slu'!$G$60*(sezione!$AL$34-C1940)/C1940</f>
        <v>-2.383952668310724E-3</v>
      </c>
      <c r="L1940" s="558">
        <f>'Progetto del paramento slu'!$G$60*(sezione!$AM$34-C1940)/C1940</f>
        <v>6.8517749383478581E-4</v>
      </c>
      <c r="M1940" s="559">
        <f>'Progetto del paramento slu'!$G$60*(sezione!$AN$34-C1940)/C1940</f>
        <v>3.754307655980295E-3</v>
      </c>
      <c r="N1940" s="559">
        <f>'Progetto del paramento slu'!$G$60*(sezione!$AO$34-C1940)/C1940</f>
        <v>5.9864023193588476E-3</v>
      </c>
      <c r="O1940" s="559">
        <f>'Progetto del paramento slu'!$G$60*(sezione!$AP$34-C1940)/C1940</f>
        <v>3.7545028301230309E-3</v>
      </c>
      <c r="P1940" s="553">
        <f>-'Progetto del paramento slu'!$G$47*'Progetto del paramento slu'!$G$41*IF(DATI!$G$218="dx",DATI!$E$61,DATI!$E$64*DATI!$E$63)*1000*C1940*sezione!$AD$5</f>
        <v>-1768226.6190386182</v>
      </c>
      <c r="Q1940" s="553">
        <f>'Foglio deposito bis'!$F$78*IF(ABS(K1940)&lt;'Progetto del paramento slu'!$G$58,ABS(K1940)*'Progetto del paramento slu'!$G$54,'Progetto del paramento slu'!$G$53)*IF(K1940&lt;0,-1,1)</f>
        <v>0</v>
      </c>
      <c r="R1940" s="553">
        <f>'Foglio deposito bis'!$F$79*IF(ABS(L1940)&lt;'Progetto del paramento slu'!$G$58,ABS(L1940)*'Progetto del paramento slu'!$G$54,'Progetto del paramento slu'!$G$53)*IF(L1940&lt;0,-1,1)</f>
        <v>55428.125961688049</v>
      </c>
      <c r="S1940" s="553">
        <f>'Foglio deposito bis'!$F$80*IF(ABS(M1940)&lt;'Progetto del paramento slu'!$G$58,ABS(M1940)*'Progetto del paramento slu'!$G$54,'Progetto del paramento slu'!$G$53)*IF(M1940&lt;0,-1,1)</f>
        <v>0</v>
      </c>
      <c r="T1940" s="553">
        <f>'Foglio deposito bis'!$F$81*IF(ABS(N1940)&lt;'Progetto del paramento slu'!$G$58,ABS(N1940)*'Progetto del paramento slu'!$G$54,'Progetto del paramento slu'!$G$53)*IF(N1940&lt;0,-1,1)</f>
        <v>398299.31208121032</v>
      </c>
      <c r="U1940" s="553">
        <f>'Foglio deposito bis'!$F$82*IF(ABS(O1940)&lt;'Progetto del paramento slu'!$G$58,ABS(O1940)*'Progetto del paramento slu'!$G$54,'Progetto del paramento slu'!$G$53)*IF(O1940&lt;0,-1,1)</f>
        <v>892485.49558937876</v>
      </c>
      <c r="V1940" s="479">
        <f t="shared" si="146"/>
        <v>-422013.68540634098</v>
      </c>
      <c r="W1940" s="559"/>
      <c r="X1940" s="559"/>
    </row>
    <row r="1941" spans="1:24" x14ac:dyDescent="0.25">
      <c r="A1941" s="553">
        <f t="shared" si="145"/>
        <v>489851.14450770523</v>
      </c>
      <c r="B1941" s="3">
        <f t="shared" si="143"/>
        <v>31.899999999999942</v>
      </c>
      <c r="C1941" s="553">
        <f>'Foglio deposito bis'!$E$160/sezione!$B$247*B1941</f>
        <v>129.5023429855832</v>
      </c>
      <c r="D1941" s="611">
        <f>-'Progetto del paramento slu'!$G$47*'Progetto del paramento slu'!$G$41*IF(DATI!$G$218="dx",DATI!$E$61,DATI!$E$64*DATI!$E$63)*1000*C1941^2*sezione!$AD$5*(1-sezione!$AD$6)</f>
        <v>-138057689.47163075</v>
      </c>
      <c r="E1941" s="553">
        <f>-'Foglio deposito bis'!$F$78*(C1941-sezione!$AL$34)*IF(ABS(K1941)&lt;'Progetto del paramento slu'!$G$58,ABS(K1941)*'Progetto del paramento slu'!$G$54,'Progetto del paramento slu'!$G$53)</f>
        <v>0</v>
      </c>
      <c r="F1941" s="553">
        <f>-'Foglio deposito bis'!$F$79*(C1941-sezione!$AM$34)*IF(ABS(L1941)&lt;'Progetto del paramento slu'!$G$58,ABS(L1941)*'Progetto del paramento slu'!$G$54,'Progetto del paramento slu'!$G$53)</f>
        <v>918598.99992060184</v>
      </c>
      <c r="G1941" s="553">
        <f>-'Foglio deposito bis'!$F$80*(C1941-sezione!$AN$34)*IF(ABS(M1941)&lt;'Progetto del paramento slu'!$G$58,ABS(M1941)*'Progetto del paramento slu'!$G$54,'Progetto del paramento slu'!$G$53)</f>
        <v>0</v>
      </c>
      <c r="H1941" s="553">
        <f>-'Foglio deposito bis'!$F$81*(C1941-sezione!$AO$34)*IF(ABS(N1941)&lt;'Progetto del paramento slu'!$G$58,ABS(N1941)*'Progetto del paramento slu'!$G$54,'Progetto del paramento slu'!$G$53)</f>
        <v>83841071.98354876</v>
      </c>
      <c r="I1941" s="479">
        <f>-'Foglio deposito bis'!$F$82*(C1941-sezione!$AP$34)*IF(ABS(O1941)&lt;'Progetto del paramento slu'!$G$58,ABS(O1941)*'Progetto del paramento slu'!$G$54,'Progetto del paramento slu'!$G$53)</f>
        <v>116473509.20143786</v>
      </c>
      <c r="J1941" s="479">
        <f t="shared" si="144"/>
        <v>63175490.713276476</v>
      </c>
      <c r="K1941" s="558">
        <f>'Progetto del paramento slu'!$G$60*(sezione!$AL$34-C1941)/C1941</f>
        <v>-2.4189384780815477E-3</v>
      </c>
      <c r="L1941" s="558">
        <f>'Progetto del paramento slu'!$G$60*(sezione!$AM$34-C1941)/C1941</f>
        <v>5.5398070719419679E-4</v>
      </c>
      <c r="M1941" s="559">
        <f>'Progetto del paramento slu'!$G$60*(sezione!$AN$34-C1941)/C1941</f>
        <v>3.5268998924699408E-3</v>
      </c>
      <c r="N1941" s="559">
        <f>'Progetto del paramento slu'!$G$60*(sezione!$AO$34-C1941)/C1941</f>
        <v>5.6890229363068465E-3</v>
      </c>
      <c r="O1941" s="559">
        <f>'Progetto del paramento slu'!$G$60*(sezione!$AP$34-C1941)/C1941</f>
        <v>3.5270889483009927E-3</v>
      </c>
      <c r="P1941" s="553">
        <f>-'Progetto del paramento slu'!$G$47*'Progetto del paramento slu'!$G$41*IF(DATI!$G$218="dx",DATI!$E$61,DATI!$E$64*DATI!$E$63)*1000*C1941*sezione!$AD$5</f>
        <v>-1825450.7814670524</v>
      </c>
      <c r="Q1941" s="553">
        <f>'Foglio deposito bis'!$F$78*IF(ABS(K1941)&lt;'Progetto del paramento slu'!$G$58,ABS(K1941)*'Progetto del paramento slu'!$G$54,'Progetto del paramento slu'!$G$53)*IF(K1941&lt;0,-1,1)</f>
        <v>0</v>
      </c>
      <c r="R1941" s="553">
        <f>'Foglio deposito bis'!$F$79*IF(ABS(L1941)&lt;'Progetto del paramento slu'!$G$58,ABS(L1941)*'Progetto del paramento slu'!$G$54,'Progetto del paramento slu'!$G$53)*IF(L1941&lt;0,-1,1)</f>
        <v>44814.829288757996</v>
      </c>
      <c r="S1941" s="553">
        <f>'Foglio deposito bis'!$F$80*IF(ABS(M1941)&lt;'Progetto del paramento slu'!$G$58,ABS(M1941)*'Progetto del paramento slu'!$G$54,'Progetto del paramento slu'!$G$53)*IF(M1941&lt;0,-1,1)</f>
        <v>0</v>
      </c>
      <c r="T1941" s="553">
        <f>'Foglio deposito bis'!$F$81*IF(ABS(N1941)&lt;'Progetto del paramento slu'!$G$58,ABS(N1941)*'Progetto del paramento slu'!$G$54,'Progetto del paramento slu'!$G$53)*IF(N1941&lt;0,-1,1)</f>
        <v>398299.31208121032</v>
      </c>
      <c r="U1941" s="553">
        <f>'Foglio deposito bis'!$F$82*IF(ABS(O1941)&lt;'Progetto del paramento slu'!$G$58,ABS(O1941)*'Progetto del paramento slu'!$G$54,'Progetto del paramento slu'!$G$53)*IF(O1941&lt;0,-1,1)</f>
        <v>892485.49558937876</v>
      </c>
      <c r="V1941" s="479">
        <f t="shared" si="146"/>
        <v>-489851.14450770523</v>
      </c>
      <c r="W1941" s="559"/>
      <c r="X1941" s="559"/>
    </row>
    <row r="1942" spans="1:24" x14ac:dyDescent="0.25">
      <c r="A1942" s="553">
        <f t="shared" si="145"/>
        <v>557043.41840098915</v>
      </c>
      <c r="B1942" s="3">
        <f t="shared" si="143"/>
        <v>32.899999999999942</v>
      </c>
      <c r="C1942" s="553">
        <f>'Foglio deposito bis'!$E$160/sezione!$B$247*B1942</f>
        <v>133.56197756193379</v>
      </c>
      <c r="D1942" s="611">
        <f>-'Progetto del paramento slu'!$G$47*'Progetto del paramento slu'!$G$41*IF(DATI!$G$218="dx",DATI!$E$61,DATI!$E$64*DATI!$E$63)*1000*C1942^2*sezione!$AD$5*(1-sezione!$AD$6)</f>
        <v>-146849012.54998267</v>
      </c>
      <c r="E1942" s="553">
        <f>-'Foglio deposito bis'!$F$78*(C1942-sezione!$AL$34)*IF(ABS(K1942)&lt;'Progetto del paramento slu'!$G$58,ABS(K1942)*'Progetto del paramento slu'!$G$54,'Progetto del paramento slu'!$G$53)</f>
        <v>0</v>
      </c>
      <c r="F1942" s="553">
        <f>-'Foglio deposito bis'!$F$79*(C1942-sezione!$AM$34)*IF(ABS(L1942)&lt;'Progetto del paramento slu'!$G$58,ABS(L1942)*'Progetto del paramento slu'!$G$54,'Progetto del paramento slu'!$G$53)</f>
        <v>572811.12948237406</v>
      </c>
      <c r="G1942" s="553">
        <f>-'Foglio deposito bis'!$F$80*(C1942-sezione!$AN$34)*IF(ABS(M1942)&lt;'Progetto del paramento slu'!$G$58,ABS(M1942)*'Progetto del paramento slu'!$G$54,'Progetto del paramento slu'!$G$53)</f>
        <v>0</v>
      </c>
      <c r="H1942" s="553">
        <f>-'Foglio deposito bis'!$F$81*(C1942-sezione!$AO$34)*IF(ABS(N1942)&lt;'Progetto del paramento slu'!$G$58,ABS(N1942)*'Progetto del paramento slu'!$G$54,'Progetto del paramento slu'!$G$53)</f>
        <v>82224122.324487239</v>
      </c>
      <c r="I1942" s="479">
        <f>-'Foglio deposito bis'!$F$82*(C1942-sezione!$AP$34)*IF(ABS(O1942)&lt;'Progetto del paramento slu'!$G$58,ABS(O1942)*'Progetto del paramento slu'!$G$54,'Progetto del paramento slu'!$G$53)</f>
        <v>112850344.22465183</v>
      </c>
      <c r="J1942" s="479">
        <f t="shared" si="144"/>
        <v>48798265.128638789</v>
      </c>
      <c r="K1942" s="558">
        <f>'Progetto del paramento slu'!$G$60*(sezione!$AL$34-C1942)/C1942</f>
        <v>-2.4517974909058168E-3</v>
      </c>
      <c r="L1942" s="558">
        <f>'Progetto del paramento slu'!$G$60*(sezione!$AM$34-C1942)/C1942</f>
        <v>4.3075940910318721E-4</v>
      </c>
      <c r="M1942" s="559">
        <f>'Progetto del paramento slu'!$G$60*(sezione!$AN$34-C1942)/C1942</f>
        <v>3.3133163091121913E-3</v>
      </c>
      <c r="N1942" s="559">
        <f>'Progetto del paramento slu'!$G$60*(sezione!$AO$34-C1942)/C1942</f>
        <v>5.4097213273005583E-3</v>
      </c>
      <c r="O1942" s="559">
        <f>'Progetto del paramento slu'!$G$60*(sezione!$AP$34-C1942)/C1942</f>
        <v>3.3134996185653991E-3</v>
      </c>
      <c r="P1942" s="553">
        <f>-'Progetto del paramento slu'!$G$47*'Progetto del paramento slu'!$G$41*IF(DATI!$G$218="dx",DATI!$E$61,DATI!$E$64*DATI!$E$63)*1000*C1942*sezione!$AD$5</f>
        <v>-1882674.9438954869</v>
      </c>
      <c r="Q1942" s="553">
        <f>'Foglio deposito bis'!$F$78*IF(ABS(K1942)&lt;'Progetto del paramento slu'!$G$58,ABS(K1942)*'Progetto del paramento slu'!$G$54,'Progetto del paramento slu'!$G$53)*IF(K1942&lt;0,-1,1)</f>
        <v>0</v>
      </c>
      <c r="R1942" s="553">
        <f>'Foglio deposito bis'!$F$79*IF(ABS(L1942)&lt;'Progetto del paramento slu'!$G$58,ABS(L1942)*'Progetto del paramento slu'!$G$54,'Progetto del paramento slu'!$G$53)*IF(L1942&lt;0,-1,1)</f>
        <v>34846.717823908766</v>
      </c>
      <c r="S1942" s="553">
        <f>'Foglio deposito bis'!$F$80*IF(ABS(M1942)&lt;'Progetto del paramento slu'!$G$58,ABS(M1942)*'Progetto del paramento slu'!$G$54,'Progetto del paramento slu'!$G$53)*IF(M1942&lt;0,-1,1)</f>
        <v>0</v>
      </c>
      <c r="T1942" s="553">
        <f>'Foglio deposito bis'!$F$81*IF(ABS(N1942)&lt;'Progetto del paramento slu'!$G$58,ABS(N1942)*'Progetto del paramento slu'!$G$54,'Progetto del paramento slu'!$G$53)*IF(N1942&lt;0,-1,1)</f>
        <v>398299.31208121032</v>
      </c>
      <c r="U1942" s="553">
        <f>'Foglio deposito bis'!$F$82*IF(ABS(O1942)&lt;'Progetto del paramento slu'!$G$58,ABS(O1942)*'Progetto del paramento slu'!$G$54,'Progetto del paramento slu'!$G$53)*IF(O1942&lt;0,-1,1)</f>
        <v>892485.49558937876</v>
      </c>
      <c r="V1942" s="479">
        <f t="shared" si="146"/>
        <v>-557043.41840098915</v>
      </c>
      <c r="W1942" s="559"/>
      <c r="X1942" s="559"/>
    </row>
    <row r="1943" spans="1:24" x14ac:dyDescent="0.25">
      <c r="A1943" s="553">
        <f t="shared" si="145"/>
        <v>623647.60312230466</v>
      </c>
      <c r="B1943" s="3">
        <f t="shared" si="143"/>
        <v>33.899999999999942</v>
      </c>
      <c r="C1943" s="553">
        <f>'Foglio deposito bis'!$E$160/sezione!$B$247*B1943</f>
        <v>137.62161213828435</v>
      </c>
      <c r="D1943" s="611">
        <f>-'Progetto del paramento slu'!$G$47*'Progetto del paramento slu'!$G$41*IF(DATI!$G$218="dx",DATI!$E$61,DATI!$E$64*DATI!$E$63)*1000*C1943^2*sezione!$AD$5*(1-sezione!$AD$6)</f>
        <v>-155911672.76038241</v>
      </c>
      <c r="E1943" s="553">
        <f>-'Foglio deposito bis'!$F$78*(C1943-sezione!$AL$34)*IF(ABS(K1943)&lt;'Progetto del paramento slu'!$G$58,ABS(K1943)*'Progetto del paramento slu'!$G$54,'Progetto del paramento slu'!$G$53)</f>
        <v>0</v>
      </c>
      <c r="F1943" s="553">
        <f>-'Foglio deposito bis'!$F$79*(C1943-sezione!$AM$34)*IF(ABS(L1943)&lt;'Progetto del paramento slu'!$G$58,ABS(L1943)*'Progetto del paramento slu'!$G$54,'Progetto del paramento slu'!$G$53)</f>
        <v>315236.63483927422</v>
      </c>
      <c r="G1943" s="553">
        <f>-'Foglio deposito bis'!$F$80*(C1943-sezione!$AN$34)*IF(ABS(M1943)&lt;'Progetto del paramento slu'!$G$58,ABS(M1943)*'Progetto del paramento slu'!$G$54,'Progetto del paramento slu'!$G$53)</f>
        <v>0</v>
      </c>
      <c r="H1943" s="553">
        <f>-'Foglio deposito bis'!$F$81*(C1943-sezione!$AO$34)*IF(ABS(N1943)&lt;'Progetto del paramento slu'!$G$58,ABS(N1943)*'Progetto del paramento slu'!$G$54,'Progetto del paramento slu'!$G$53)</f>
        <v>80607172.665425703</v>
      </c>
      <c r="I1943" s="479">
        <f>-'Foglio deposito bis'!$F$82*(C1943-sezione!$AP$34)*IF(ABS(O1943)&lt;'Progetto del paramento slu'!$G$58,ABS(O1943)*'Progetto del paramento slu'!$G$54,'Progetto del paramento slu'!$G$53)</f>
        <v>109227179.24786583</v>
      </c>
      <c r="J1943" s="479">
        <f t="shared" si="144"/>
        <v>34237915.787748381</v>
      </c>
      <c r="K1943" s="558">
        <f>'Progetto del paramento slu'!$G$60*(sezione!$AL$34-C1943)/C1943</f>
        <v>-2.4827179189026954E-3</v>
      </c>
      <c r="L1943" s="558">
        <f>'Progetto del paramento slu'!$G$60*(sezione!$AM$34-C1943)/C1943</f>
        <v>3.1480780411489285E-4</v>
      </c>
      <c r="M1943" s="559">
        <f>'Progetto del paramento slu'!$G$60*(sezione!$AN$34-C1943)/C1943</f>
        <v>3.112333527132481E-3</v>
      </c>
      <c r="N1943" s="559">
        <f>'Progetto del paramento slu'!$G$60*(sezione!$AO$34-C1943)/C1943</f>
        <v>5.1468976893270903E-3</v>
      </c>
      <c r="O1943" s="559">
        <f>'Progetto del paramento slu'!$G$60*(sezione!$AP$34-C1943)/C1943</f>
        <v>3.1125114292271873E-3</v>
      </c>
      <c r="P1943" s="553">
        <f>-'Progetto del paramento slu'!$G$47*'Progetto del paramento slu'!$G$41*IF(DATI!$G$218="dx",DATI!$E$61,DATI!$E$64*DATI!$E$63)*1000*C1943*sezione!$AD$5</f>
        <v>-1939899.1063239209</v>
      </c>
      <c r="Q1943" s="553">
        <f>'Foglio deposito bis'!$F$78*IF(ABS(K1943)&lt;'Progetto del paramento slu'!$G$58,ABS(K1943)*'Progetto del paramento slu'!$G$54,'Progetto del paramento slu'!$G$53)*IF(K1943&lt;0,-1,1)</f>
        <v>0</v>
      </c>
      <c r="R1943" s="553">
        <f>'Foglio deposito bis'!$F$79*IF(ABS(L1943)&lt;'Progetto del paramento slu'!$G$58,ABS(L1943)*'Progetto del paramento slu'!$G$54,'Progetto del paramento slu'!$G$53)*IF(L1943&lt;0,-1,1)</f>
        <v>25466.695531027108</v>
      </c>
      <c r="S1943" s="553">
        <f>'Foglio deposito bis'!$F$80*IF(ABS(M1943)&lt;'Progetto del paramento slu'!$G$58,ABS(M1943)*'Progetto del paramento slu'!$G$54,'Progetto del paramento slu'!$G$53)*IF(M1943&lt;0,-1,1)</f>
        <v>0</v>
      </c>
      <c r="T1943" s="553">
        <f>'Foglio deposito bis'!$F$81*IF(ABS(N1943)&lt;'Progetto del paramento slu'!$G$58,ABS(N1943)*'Progetto del paramento slu'!$G$54,'Progetto del paramento slu'!$G$53)*IF(N1943&lt;0,-1,1)</f>
        <v>398299.31208121032</v>
      </c>
      <c r="U1943" s="553">
        <f>'Foglio deposito bis'!$F$82*IF(ABS(O1943)&lt;'Progetto del paramento slu'!$G$58,ABS(O1943)*'Progetto del paramento slu'!$G$54,'Progetto del paramento slu'!$G$53)*IF(O1943&lt;0,-1,1)</f>
        <v>892485.49558937876</v>
      </c>
      <c r="V1943" s="479">
        <f t="shared" si="146"/>
        <v>-623647.60312230466</v>
      </c>
      <c r="W1943" s="559"/>
      <c r="X1943" s="559"/>
    </row>
    <row r="1944" spans="1:24" x14ac:dyDescent="0.25">
      <c r="A1944" s="553">
        <f t="shared" si="145"/>
        <v>689714.25074947299</v>
      </c>
      <c r="B1944" s="3">
        <f t="shared" si="143"/>
        <v>34.899999999999942</v>
      </c>
      <c r="C1944" s="553">
        <f>'Foglio deposito bis'!$E$160/sezione!$B$247*B1944</f>
        <v>141.68124671463494</v>
      </c>
      <c r="D1944" s="611">
        <f>-'Progetto del paramento slu'!$G$47*'Progetto del paramento slu'!$G$41*IF(DATI!$G$218="dx",DATI!$E$61,DATI!$E$64*DATI!$E$63)*1000*C1944^2*sezione!$AD$5*(1-sezione!$AD$6)</f>
        <v>-165245670.10283017</v>
      </c>
      <c r="E1944" s="553">
        <f>-'Foglio deposito bis'!$F$78*(C1944-sezione!$AL$34)*IF(ABS(K1944)&lt;'Progetto del paramento slu'!$G$58,ABS(K1944)*'Progetto del paramento slu'!$G$54,'Progetto del paramento slu'!$G$53)</f>
        <v>0</v>
      </c>
      <c r="F1944" s="553">
        <f>-'Foglio deposito bis'!$F$79*(C1944-sezione!$AM$34)*IF(ABS(L1944)&lt;'Progetto del paramento slu'!$G$58,ABS(L1944)*'Progetto del paramento slu'!$G$54,'Progetto del paramento slu'!$G$53)</f>
        <v>138292.70431836505</v>
      </c>
      <c r="G1944" s="553">
        <f>-'Foglio deposito bis'!$F$80*(C1944-sezione!$AN$34)*IF(ABS(M1944)&lt;'Progetto del paramento slu'!$G$58,ABS(M1944)*'Progetto del paramento slu'!$G$54,'Progetto del paramento slu'!$G$53)</f>
        <v>0</v>
      </c>
      <c r="H1944" s="553">
        <f>-'Foglio deposito bis'!$F$81*(C1944-sezione!$AO$34)*IF(ABS(N1944)&lt;'Progetto del paramento slu'!$G$58,ABS(N1944)*'Progetto del paramento slu'!$G$54,'Progetto del paramento slu'!$G$53)</f>
        <v>78990223.006364182</v>
      </c>
      <c r="I1944" s="479">
        <f>-'Foglio deposito bis'!$F$82*(C1944-sezione!$AP$34)*IF(ABS(O1944)&lt;'Progetto del paramento slu'!$G$58,ABS(O1944)*'Progetto del paramento slu'!$G$54,'Progetto del paramento slu'!$G$53)</f>
        <v>105604014.27107978</v>
      </c>
      <c r="J1944" s="479">
        <f t="shared" si="144"/>
        <v>19486859.878932163</v>
      </c>
      <c r="K1944" s="558">
        <f>'Progetto del paramento slu'!$G$60*(sezione!$AL$34-C1944)/C1944</f>
        <v>-2.5118664026017585E-3</v>
      </c>
      <c r="L1944" s="558">
        <f>'Progetto del paramento slu'!$G$60*(sezione!$AM$34-C1944)/C1944</f>
        <v>2.0550099024340546E-4</v>
      </c>
      <c r="M1944" s="559">
        <f>'Progetto del paramento slu'!$G$60*(sezione!$AN$34-C1944)/C1944</f>
        <v>2.9228683830885699E-3</v>
      </c>
      <c r="N1944" s="559">
        <f>'Progetto del paramento slu'!$G$60*(sezione!$AO$34-C1944)/C1944</f>
        <v>4.8991355778850521E-3</v>
      </c>
      <c r="O1944" s="559">
        <f>'Progetto del paramento slu'!$G$60*(sezione!$AP$34-C1944)/C1944</f>
        <v>2.9230411877020522E-3</v>
      </c>
      <c r="P1944" s="553">
        <f>-'Progetto del paramento slu'!$G$47*'Progetto del paramento slu'!$G$41*IF(DATI!$G$218="dx",DATI!$E$61,DATI!$E$64*DATI!$E$63)*1000*C1944*sezione!$AD$5</f>
        <v>-1997123.2687523554</v>
      </c>
      <c r="Q1944" s="553">
        <f>'Foglio deposito bis'!$F$78*IF(ABS(K1944)&lt;'Progetto del paramento slu'!$G$58,ABS(K1944)*'Progetto del paramento slu'!$G$54,'Progetto del paramento slu'!$G$53)*IF(K1944&lt;0,-1,1)</f>
        <v>0</v>
      </c>
      <c r="R1944" s="553">
        <f>'Foglio deposito bis'!$F$79*IF(ABS(L1944)&lt;'Progetto del paramento slu'!$G$58,ABS(L1944)*'Progetto del paramento slu'!$G$54,'Progetto del paramento slu'!$G$53)*IF(L1944&lt;0,-1,1)</f>
        <v>16624.21033229334</v>
      </c>
      <c r="S1944" s="553">
        <f>'Foglio deposito bis'!$F$80*IF(ABS(M1944)&lt;'Progetto del paramento slu'!$G$58,ABS(M1944)*'Progetto del paramento slu'!$G$54,'Progetto del paramento slu'!$G$53)*IF(M1944&lt;0,-1,1)</f>
        <v>0</v>
      </c>
      <c r="T1944" s="553">
        <f>'Foglio deposito bis'!$F$81*IF(ABS(N1944)&lt;'Progetto del paramento slu'!$G$58,ABS(N1944)*'Progetto del paramento slu'!$G$54,'Progetto del paramento slu'!$G$53)*IF(N1944&lt;0,-1,1)</f>
        <v>398299.31208121032</v>
      </c>
      <c r="U1944" s="553">
        <f>'Foglio deposito bis'!$F$82*IF(ABS(O1944)&lt;'Progetto del paramento slu'!$G$58,ABS(O1944)*'Progetto del paramento slu'!$G$54,'Progetto del paramento slu'!$G$53)*IF(O1944&lt;0,-1,1)</f>
        <v>892485.49558937876</v>
      </c>
      <c r="V1944" s="479">
        <f t="shared" si="146"/>
        <v>-689714.25074947299</v>
      </c>
      <c r="W1944" s="559"/>
      <c r="X1944" s="559"/>
    </row>
    <row r="1945" spans="1:24" x14ac:dyDescent="0.25">
      <c r="A1945" s="553">
        <f t="shared" si="145"/>
        <v>755288.28081682301</v>
      </c>
      <c r="B1945" s="3">
        <f t="shared" si="143"/>
        <v>35.899999999999942</v>
      </c>
      <c r="C1945" s="553">
        <f>'Foglio deposito bis'!$E$160/sezione!$B$247*B1945</f>
        <v>145.7408812909855</v>
      </c>
      <c r="D1945" s="611">
        <f>-'Progetto del paramento slu'!$G$47*'Progetto del paramento slu'!$G$41*IF(DATI!$G$218="dx",DATI!$E$61,DATI!$E$64*DATI!$E$63)*1000*C1945^2*sezione!$AD$5*(1-sezione!$AD$6)</f>
        <v>-174851004.57732573</v>
      </c>
      <c r="E1945" s="553">
        <f>-'Foglio deposito bis'!$F$78*(C1945-sezione!$AL$34)*IF(ABS(K1945)&lt;'Progetto del paramento slu'!$G$58,ABS(K1945)*'Progetto del paramento slu'!$G$54,'Progetto del paramento slu'!$G$53)</f>
        <v>0</v>
      </c>
      <c r="F1945" s="553">
        <f>-'Foglio deposito bis'!$F$79*(C1945-sezione!$AM$34)*IF(ABS(L1945)&lt;'Progetto del paramento slu'!$G$58,ABS(L1945)*'Progetto del paramento slu'!$G$54,'Progetto del paramento slu'!$G$53)</f>
        <v>35241.407770162266</v>
      </c>
      <c r="G1945" s="553">
        <f>-'Foglio deposito bis'!$F$80*(C1945-sezione!$AN$34)*IF(ABS(M1945)&lt;'Progetto del paramento slu'!$G$58,ABS(M1945)*'Progetto del paramento slu'!$G$54,'Progetto del paramento slu'!$G$53)</f>
        <v>0</v>
      </c>
      <c r="H1945" s="553">
        <f>-'Foglio deposito bis'!$F$81*(C1945-sezione!$AO$34)*IF(ABS(N1945)&lt;'Progetto del paramento slu'!$G$58,ABS(N1945)*'Progetto del paramento slu'!$G$54,'Progetto del paramento slu'!$G$53)</f>
        <v>77373273.34730266</v>
      </c>
      <c r="I1945" s="479">
        <f>-'Foglio deposito bis'!$F$82*(C1945-sezione!$AP$34)*IF(ABS(O1945)&lt;'Progetto del paramento slu'!$G$58,ABS(O1945)*'Progetto del paramento slu'!$G$54,'Progetto del paramento slu'!$G$53)</f>
        <v>101980849.29429378</v>
      </c>
      <c r="J1945" s="479">
        <f t="shared" si="144"/>
        <v>4538359.4720408618</v>
      </c>
      <c r="K1945" s="558">
        <f>'Progetto del paramento slu'!$G$60*(sezione!$AL$34-C1945)/C1945</f>
        <v>-2.5393910153426566E-3</v>
      </c>
      <c r="L1945" s="558">
        <f>'Progetto del paramento slu'!$G$60*(sezione!$AM$34-C1945)/C1945</f>
        <v>1.0228369246503789E-4</v>
      </c>
      <c r="M1945" s="559">
        <f>'Progetto del paramento slu'!$G$60*(sezione!$AN$34-C1945)/C1945</f>
        <v>2.7439584002727324E-3</v>
      </c>
      <c r="N1945" s="559">
        <f>'Progetto del paramento slu'!$G$60*(sezione!$AO$34-C1945)/C1945</f>
        <v>4.6651763695874197E-3</v>
      </c>
      <c r="O1945" s="559">
        <f>'Progetto del paramento slu'!$G$60*(sezione!$AP$34-C1945)/C1945</f>
        <v>2.744126391387232E-3</v>
      </c>
      <c r="P1945" s="553">
        <f>-'Progetto del paramento slu'!$G$47*'Progetto del paramento slu'!$G$41*IF(DATI!$G$218="dx",DATI!$E$61,DATI!$E$64*DATI!$E$63)*1000*C1945*sezione!$AD$5</f>
        <v>-2054347.4311807898</v>
      </c>
      <c r="Q1945" s="553">
        <f>'Foglio deposito bis'!$F$78*IF(ABS(K1945)&lt;'Progetto del paramento slu'!$G$58,ABS(K1945)*'Progetto del paramento slu'!$G$54,'Progetto del paramento slu'!$G$53)*IF(K1945&lt;0,-1,1)</f>
        <v>0</v>
      </c>
      <c r="R1945" s="553">
        <f>'Foglio deposito bis'!$F$79*IF(ABS(L1945)&lt;'Progetto del paramento slu'!$G$58,ABS(L1945)*'Progetto del paramento slu'!$G$54,'Progetto del paramento slu'!$G$53)*IF(L1945&lt;0,-1,1)</f>
        <v>8274.3426933776682</v>
      </c>
      <c r="S1945" s="553">
        <f>'Foglio deposito bis'!$F$80*IF(ABS(M1945)&lt;'Progetto del paramento slu'!$G$58,ABS(M1945)*'Progetto del paramento slu'!$G$54,'Progetto del paramento slu'!$G$53)*IF(M1945&lt;0,-1,1)</f>
        <v>0</v>
      </c>
      <c r="T1945" s="553">
        <f>'Foglio deposito bis'!$F$81*IF(ABS(N1945)&lt;'Progetto del paramento slu'!$G$58,ABS(N1945)*'Progetto del paramento slu'!$G$54,'Progetto del paramento slu'!$G$53)*IF(N1945&lt;0,-1,1)</f>
        <v>398299.31208121032</v>
      </c>
      <c r="U1945" s="553">
        <f>'Foglio deposito bis'!$F$82*IF(ABS(O1945)&lt;'Progetto del paramento slu'!$G$58,ABS(O1945)*'Progetto del paramento slu'!$G$54,'Progetto del paramento slu'!$G$53)*IF(O1945&lt;0,-1,1)</f>
        <v>892485.49558937876</v>
      </c>
      <c r="V1945" s="479">
        <f t="shared" si="146"/>
        <v>-755288.28081682301</v>
      </c>
      <c r="W1945" s="559"/>
      <c r="X1945" s="559"/>
    </row>
    <row r="1946" spans="1:24" x14ac:dyDescent="0.25">
      <c r="A1946" s="553">
        <f t="shared" si="145"/>
        <v>820409.74353247043</v>
      </c>
      <c r="B1946" s="3">
        <f t="shared" si="143"/>
        <v>36.899999999999942</v>
      </c>
      <c r="C1946" s="553">
        <f>'Foglio deposito bis'!$E$160/sezione!$B$247*B1946</f>
        <v>149.80051586733609</v>
      </c>
      <c r="D1946" s="611">
        <f>-'Progetto del paramento slu'!$G$47*'Progetto del paramento slu'!$G$41*IF(DATI!$G$218="dx",DATI!$E$61,DATI!$E$64*DATI!$E$63)*1000*C1946^2*sezione!$AD$5*(1-sezione!$AD$6)</f>
        <v>-184727676.18386924</v>
      </c>
      <c r="E1946" s="553">
        <f>-'Foglio deposito bis'!$F$78*(C1946-sezione!$AL$34)*IF(ABS(K1946)&lt;'Progetto del paramento slu'!$G$58,ABS(K1946)*'Progetto del paramento slu'!$G$54,'Progetto del paramento slu'!$G$53)</f>
        <v>0</v>
      </c>
      <c r="F1946" s="553">
        <f>-'Foglio deposito bis'!$F$79*(C1946-sezione!$AM$34)*IF(ABS(L1946)&lt;'Progetto del paramento slu'!$G$58,ABS(L1946)*'Progetto del paramento slu'!$G$54,'Progetto del paramento slu'!$G$53)</f>
        <v>75.213977371276627</v>
      </c>
      <c r="G1946" s="553">
        <f>-'Foglio deposito bis'!$F$80*(C1946-sezione!$AN$34)*IF(ABS(M1946)&lt;'Progetto del paramento slu'!$G$58,ABS(M1946)*'Progetto del paramento slu'!$G$54,'Progetto del paramento slu'!$G$53)</f>
        <v>0</v>
      </c>
      <c r="H1946" s="553">
        <f>-'Foglio deposito bis'!$F$81*(C1946-sezione!$AO$34)*IF(ABS(N1946)&lt;'Progetto del paramento slu'!$G$58,ABS(N1946)*'Progetto del paramento slu'!$G$54,'Progetto del paramento slu'!$G$53)</f>
        <v>75756323.688241109</v>
      </c>
      <c r="I1946" s="479">
        <f>-'Foglio deposito bis'!$F$82*(C1946-sezione!$AP$34)*IF(ABS(O1946)&lt;'Progetto del paramento slu'!$G$58,ABS(O1946)*'Progetto del paramento slu'!$G$54,'Progetto del paramento slu'!$G$53)</f>
        <v>98357684.317507744</v>
      </c>
      <c r="J1946" s="479">
        <f t="shared" si="144"/>
        <v>-10613592.964143023</v>
      </c>
      <c r="K1946" s="558">
        <f>'Progetto del paramento slu'!$G$60*(sezione!$AL$34-C1946)/C1946</f>
        <v>-2.565423779154509E-3</v>
      </c>
      <c r="L1946" s="558">
        <f>'Progetto del paramento slu'!$G$60*(sezione!$AM$34-C1946)/C1946</f>
        <v>4.6608281705919835E-6</v>
      </c>
      <c r="M1946" s="559">
        <f>'Progetto del paramento slu'!$G$60*(sezione!$AN$34-C1946)/C1946</f>
        <v>2.5747454354956927E-3</v>
      </c>
      <c r="N1946" s="559">
        <f>'Progetto del paramento slu'!$G$60*(sezione!$AO$34-C1946)/C1946</f>
        <v>4.4438978771866753E-3</v>
      </c>
      <c r="O1946" s="559">
        <f>'Progetto del paramento slu'!$G$60*(sezione!$AP$34-C1946)/C1946</f>
        <v>2.5749088740054634E-3</v>
      </c>
      <c r="P1946" s="553">
        <f>-'Progetto del paramento slu'!$G$47*'Progetto del paramento slu'!$G$41*IF(DATI!$G$218="dx",DATI!$E$61,DATI!$E$64*DATI!$E$63)*1000*C1946*sezione!$AD$5</f>
        <v>-2111571.5936092241</v>
      </c>
      <c r="Q1946" s="553">
        <f>'Foglio deposito bis'!$F$78*IF(ABS(K1946)&lt;'Progetto del paramento slu'!$G$58,ABS(K1946)*'Progetto del paramento slu'!$G$54,'Progetto del paramento slu'!$G$53)*IF(K1946&lt;0,-1,1)</f>
        <v>0</v>
      </c>
      <c r="R1946" s="553">
        <f>'Foglio deposito bis'!$F$79*IF(ABS(L1946)&lt;'Progetto del paramento slu'!$G$58,ABS(L1946)*'Progetto del paramento slu'!$G$54,'Progetto del paramento slu'!$G$53)*IF(L1946&lt;0,-1,1)</f>
        <v>377.04240616468536</v>
      </c>
      <c r="S1946" s="553">
        <f>'Foglio deposito bis'!$F$80*IF(ABS(M1946)&lt;'Progetto del paramento slu'!$G$58,ABS(M1946)*'Progetto del paramento slu'!$G$54,'Progetto del paramento slu'!$G$53)*IF(M1946&lt;0,-1,1)</f>
        <v>0</v>
      </c>
      <c r="T1946" s="553">
        <f>'Foglio deposito bis'!$F$81*IF(ABS(N1946)&lt;'Progetto del paramento slu'!$G$58,ABS(N1946)*'Progetto del paramento slu'!$G$54,'Progetto del paramento slu'!$G$53)*IF(N1946&lt;0,-1,1)</f>
        <v>398299.31208121032</v>
      </c>
      <c r="U1946" s="553">
        <f>'Foglio deposito bis'!$F$82*IF(ABS(O1946)&lt;'Progetto del paramento slu'!$G$58,ABS(O1946)*'Progetto del paramento slu'!$G$54,'Progetto del paramento slu'!$G$53)*IF(O1946&lt;0,-1,1)</f>
        <v>892485.49558937876</v>
      </c>
      <c r="V1946" s="479">
        <f t="shared" si="146"/>
        <v>-820409.74353247043</v>
      </c>
      <c r="W1946" s="559"/>
      <c r="X1946" s="559"/>
    </row>
    <row r="1947" spans="1:24" x14ac:dyDescent="0.25">
      <c r="A1947" s="553">
        <f t="shared" si="145"/>
        <v>885114.46216963697</v>
      </c>
      <c r="B1947" s="3">
        <f t="shared" si="143"/>
        <v>37.899999999999942</v>
      </c>
      <c r="C1947" s="553">
        <f>'Foglio deposito bis'!$E$160/sezione!$B$247*B1947</f>
        <v>153.86015044368668</v>
      </c>
      <c r="D1947" s="611">
        <f>-'Progetto del paramento slu'!$G$47*'Progetto del paramento slu'!$G$41*IF(DATI!$G$218="dx",DATI!$E$61,DATI!$E$64*DATI!$E$63)*1000*C1947^2*sezione!$AD$5*(1-sezione!$AD$6)</f>
        <v>-194875684.92246068</v>
      </c>
      <c r="E1947" s="553">
        <f>-'Foglio deposito bis'!$F$78*(C1947-sezione!$AL$34)*IF(ABS(K1947)&lt;'Progetto del paramento slu'!$G$58,ABS(K1947)*'Progetto del paramento slu'!$G$54,'Progetto del paramento slu'!$G$53)</f>
        <v>0</v>
      </c>
      <c r="F1947" s="553">
        <f>-'Foglio deposito bis'!$F$79*(C1947-sezione!$AM$34)*IF(ABS(L1947)&lt;'Progetto del paramento slu'!$G$58,ABS(L1947)*'Progetto del paramento slu'!$G$54,'Progetto del paramento slu'!$G$53)</f>
        <v>-27420.631956714988</v>
      </c>
      <c r="G1947" s="553">
        <f>-'Foglio deposito bis'!$F$80*(C1947-sezione!$AN$34)*IF(ABS(M1947)&lt;'Progetto del paramento slu'!$G$58,ABS(M1947)*'Progetto del paramento slu'!$G$54,'Progetto del paramento slu'!$G$53)</f>
        <v>0</v>
      </c>
      <c r="H1947" s="553">
        <f>-'Foglio deposito bis'!$F$81*(C1947-sezione!$AO$34)*IF(ABS(N1947)&lt;'Progetto del paramento slu'!$G$58,ABS(N1947)*'Progetto del paramento slu'!$G$54,'Progetto del paramento slu'!$G$53)</f>
        <v>74139374.029179573</v>
      </c>
      <c r="I1947" s="479">
        <f>-'Foglio deposito bis'!$F$82*(C1947-sezione!$AP$34)*IF(ABS(O1947)&lt;'Progetto del paramento slu'!$G$58,ABS(O1947)*'Progetto del paramento slu'!$G$54,'Progetto del paramento slu'!$G$53)</f>
        <v>94734519.340721712</v>
      </c>
      <c r="J1947" s="479">
        <f t="shared" si="144"/>
        <v>-26029212.184516117</v>
      </c>
      <c r="K1947" s="558">
        <f>'Progetto del paramento slu'!$G$60*(sezione!$AL$34-C1947)/C1947</f>
        <v>-2.5900827823430441E-3</v>
      </c>
      <c r="L1947" s="558">
        <f>'Progetto del paramento slu'!$G$60*(sezione!$AM$34-C1947)/C1947</f>
        <v>-8.7810433786416131E-5</v>
      </c>
      <c r="M1947" s="559">
        <f>'Progetto del paramento slu'!$G$60*(sezione!$AN$34-C1947)/C1947</f>
        <v>2.4144619147702124E-3</v>
      </c>
      <c r="N1947" s="559">
        <f>'Progetto del paramento slu'!$G$60*(sezione!$AO$34-C1947)/C1947</f>
        <v>4.2342963500841234E-3</v>
      </c>
      <c r="O1947" s="559">
        <f>'Progetto del paramento slu'!$G$60*(sezione!$AP$34-C1947)/C1947</f>
        <v>2.4146210409182476E-3</v>
      </c>
      <c r="P1947" s="553">
        <f>-'Progetto del paramento slu'!$G$47*'Progetto del paramento slu'!$G$41*IF(DATI!$G$218="dx",DATI!$E$61,DATI!$E$64*DATI!$E$63)*1000*C1947*sezione!$AD$5</f>
        <v>-2168795.7560376585</v>
      </c>
      <c r="Q1947" s="553">
        <f>'Foglio deposito bis'!$F$78*IF(ABS(K1947)&lt;'Progetto del paramento slu'!$G$58,ABS(K1947)*'Progetto del paramento slu'!$G$54,'Progetto del paramento slu'!$G$53)*IF(K1947&lt;0,-1,1)</f>
        <v>0</v>
      </c>
      <c r="R1947" s="553">
        <f>'Foglio deposito bis'!$F$79*IF(ABS(L1947)&lt;'Progetto del paramento slu'!$G$58,ABS(L1947)*'Progetto del paramento slu'!$G$54,'Progetto del paramento slu'!$G$53)*IF(L1947&lt;0,-1,1)</f>
        <v>-7103.5138025674005</v>
      </c>
      <c r="S1947" s="553">
        <f>'Foglio deposito bis'!$F$80*IF(ABS(M1947)&lt;'Progetto del paramento slu'!$G$58,ABS(M1947)*'Progetto del paramento slu'!$G$54,'Progetto del paramento slu'!$G$53)*IF(M1947&lt;0,-1,1)</f>
        <v>0</v>
      </c>
      <c r="T1947" s="553">
        <f>'Foglio deposito bis'!$F$81*IF(ABS(N1947)&lt;'Progetto del paramento slu'!$G$58,ABS(N1947)*'Progetto del paramento slu'!$G$54,'Progetto del paramento slu'!$G$53)*IF(N1947&lt;0,-1,1)</f>
        <v>398299.31208121032</v>
      </c>
      <c r="U1947" s="553">
        <f>'Foglio deposito bis'!$F$82*IF(ABS(O1947)&lt;'Progetto del paramento slu'!$G$58,ABS(O1947)*'Progetto del paramento slu'!$G$54,'Progetto del paramento slu'!$G$53)*IF(O1947&lt;0,-1,1)</f>
        <v>892485.49558937876</v>
      </c>
      <c r="V1947" s="479">
        <f t="shared" si="146"/>
        <v>-885114.46216963697</v>
      </c>
      <c r="W1947" s="559"/>
      <c r="X1947" s="559"/>
    </row>
    <row r="1948" spans="1:24" x14ac:dyDescent="0.25">
      <c r="A1948" s="553">
        <f t="shared" si="145"/>
        <v>949434.57637447771</v>
      </c>
      <c r="B1948" s="3">
        <f t="shared" si="143"/>
        <v>38.899999999999942</v>
      </c>
      <c r="C1948" s="553">
        <f>'Foglio deposito bis'!$E$160/sezione!$B$247*B1948</f>
        <v>157.91978502003724</v>
      </c>
      <c r="D1948" s="611">
        <f>-'Progetto del paramento slu'!$G$47*'Progetto del paramento slu'!$G$41*IF(DATI!$G$218="dx",DATI!$E$61,DATI!$E$64*DATI!$E$63)*1000*C1948^2*sezione!$AD$5*(1-sezione!$AD$6)</f>
        <v>-205295030.79309994</v>
      </c>
      <c r="E1948" s="553">
        <f>-'Foglio deposito bis'!$F$78*(C1948-sezione!$AL$34)*IF(ABS(K1948)&lt;'Progetto del paramento slu'!$G$58,ABS(K1948)*'Progetto del paramento slu'!$G$54,'Progetto del paramento slu'!$G$53)</f>
        <v>0</v>
      </c>
      <c r="F1948" s="553">
        <f>-'Foglio deposito bis'!$F$79*(C1948-sezione!$AM$34)*IF(ABS(L1948)&lt;'Progetto del paramento slu'!$G$58,ABS(L1948)*'Progetto del paramento slu'!$G$54,'Progetto del paramento slu'!$G$53)</f>
        <v>-112456.71478489169</v>
      </c>
      <c r="G1948" s="553">
        <f>-'Foglio deposito bis'!$F$80*(C1948-sezione!$AN$34)*IF(ABS(M1948)&lt;'Progetto del paramento slu'!$G$58,ABS(M1948)*'Progetto del paramento slu'!$G$54,'Progetto del paramento slu'!$G$53)</f>
        <v>0</v>
      </c>
      <c r="H1948" s="553">
        <f>-'Foglio deposito bis'!$F$81*(C1948-sezione!$AO$34)*IF(ABS(N1948)&lt;'Progetto del paramento slu'!$G$58,ABS(N1948)*'Progetto del paramento slu'!$G$54,'Progetto del paramento slu'!$G$53)</f>
        <v>72522424.370118052</v>
      </c>
      <c r="I1948" s="479">
        <f>-'Foglio deposito bis'!$F$82*(C1948-sezione!$AP$34)*IF(ABS(O1948)&lt;'Progetto del paramento slu'!$G$58,ABS(O1948)*'Progetto del paramento slu'!$G$54,'Progetto del paramento slu'!$G$53)</f>
        <v>91111354.363935694</v>
      </c>
      <c r="J1948" s="479">
        <f t="shared" si="144"/>
        <v>-41773708.773831084</v>
      </c>
      <c r="K1948" s="558">
        <f>'Progetto del paramento slu'!$G$60*(sezione!$AL$34-C1948)/C1948</f>
        <v>-2.6134739704576191E-3</v>
      </c>
      <c r="L1948" s="558">
        <f>'Progetto del paramento slu'!$G$60*(sezione!$AM$34-C1948)/C1948</f>
        <v>-1.75527389216071E-4</v>
      </c>
      <c r="M1948" s="559">
        <f>'Progetto del paramento slu'!$G$60*(sezione!$AN$34-C1948)/C1948</f>
        <v>2.262419192025477E-3</v>
      </c>
      <c r="N1948" s="559">
        <f>'Progetto del paramento slu'!$G$60*(sezione!$AO$34-C1948)/C1948</f>
        <v>4.035471251110239E-3</v>
      </c>
      <c r="O1948" s="559">
        <f>'Progetto del paramento slu'!$G$60*(sezione!$AP$34-C1948)/C1948</f>
        <v>2.2625742275270331E-3</v>
      </c>
      <c r="P1948" s="553">
        <f>-'Progetto del paramento slu'!$G$47*'Progetto del paramento slu'!$G$41*IF(DATI!$G$218="dx",DATI!$E$61,DATI!$E$64*DATI!$E$63)*1000*C1948*sezione!$AD$5</f>
        <v>-2226019.918466093</v>
      </c>
      <c r="Q1948" s="553">
        <f>'Foglio deposito bis'!$F$78*IF(ABS(K1948)&lt;'Progetto del paramento slu'!$G$58,ABS(K1948)*'Progetto del paramento slu'!$G$54,'Progetto del paramento slu'!$G$53)*IF(K1948&lt;0,-1,1)</f>
        <v>0</v>
      </c>
      <c r="R1948" s="553">
        <f>'Foglio deposito bis'!$F$79*IF(ABS(L1948)&lt;'Progetto del paramento slu'!$G$58,ABS(L1948)*'Progetto del paramento slu'!$G$54,'Progetto del paramento slu'!$G$53)*IF(L1948&lt;0,-1,1)</f>
        <v>-14199.465578973875</v>
      </c>
      <c r="S1948" s="553">
        <f>'Foglio deposito bis'!$F$80*IF(ABS(M1948)&lt;'Progetto del paramento slu'!$G$58,ABS(M1948)*'Progetto del paramento slu'!$G$54,'Progetto del paramento slu'!$G$53)*IF(M1948&lt;0,-1,1)</f>
        <v>0</v>
      </c>
      <c r="T1948" s="553">
        <f>'Foglio deposito bis'!$F$81*IF(ABS(N1948)&lt;'Progetto del paramento slu'!$G$58,ABS(N1948)*'Progetto del paramento slu'!$G$54,'Progetto del paramento slu'!$G$53)*IF(N1948&lt;0,-1,1)</f>
        <v>398299.31208121032</v>
      </c>
      <c r="U1948" s="553">
        <f>'Foglio deposito bis'!$F$82*IF(ABS(O1948)&lt;'Progetto del paramento slu'!$G$58,ABS(O1948)*'Progetto del paramento slu'!$G$54,'Progetto del paramento slu'!$G$53)*IF(O1948&lt;0,-1,1)</f>
        <v>892485.49558937876</v>
      </c>
      <c r="V1948" s="479">
        <f t="shared" si="146"/>
        <v>-949434.57637447771</v>
      </c>
      <c r="W1948" s="559"/>
      <c r="X1948" s="559"/>
    </row>
    <row r="1949" spans="1:24" x14ac:dyDescent="0.25">
      <c r="A1949" s="553">
        <f t="shared" si="145"/>
        <v>1013399.0037734834</v>
      </c>
      <c r="B1949" s="3">
        <f t="shared" si="143"/>
        <v>39.899999999999942</v>
      </c>
      <c r="C1949" s="553">
        <f>'Foglio deposito bis'!$E$160/sezione!$B$247*B1949</f>
        <v>161.97941959638783</v>
      </c>
      <c r="D1949" s="611">
        <f>-'Progetto del paramento slu'!$G$47*'Progetto del paramento slu'!$G$41*IF(DATI!$G$218="dx",DATI!$E$61,DATI!$E$64*DATI!$E$63)*1000*C1949^2*sezione!$AD$5*(1-sezione!$AD$6)</f>
        <v>-215985713.79578716</v>
      </c>
      <c r="E1949" s="553">
        <f>-'Foglio deposito bis'!$F$78*(C1949-sezione!$AL$34)*IF(ABS(K1949)&lt;'Progetto del paramento slu'!$G$58,ABS(K1949)*'Progetto del paramento slu'!$G$54,'Progetto del paramento slu'!$G$53)</f>
        <v>0</v>
      </c>
      <c r="F1949" s="553">
        <f>-'Foglio deposito bis'!$F$79*(C1949-sezione!$AM$34)*IF(ABS(L1949)&lt;'Progetto del paramento slu'!$G$58,ABS(L1949)*'Progetto del paramento slu'!$G$54,'Progetto del paramento slu'!$G$53)</f>
        <v>-250845.8184883061</v>
      </c>
      <c r="G1949" s="553">
        <f>-'Foglio deposito bis'!$F$80*(C1949-sezione!$AN$34)*IF(ABS(M1949)&lt;'Progetto del paramento slu'!$G$58,ABS(M1949)*'Progetto del paramento slu'!$G$54,'Progetto del paramento slu'!$G$53)</f>
        <v>0</v>
      </c>
      <c r="H1949" s="553">
        <f>-'Foglio deposito bis'!$F$81*(C1949-sezione!$AO$34)*IF(ABS(N1949)&lt;'Progetto del paramento slu'!$G$58,ABS(N1949)*'Progetto del paramento slu'!$G$54,'Progetto del paramento slu'!$G$53)</f>
        <v>70905474.711056516</v>
      </c>
      <c r="I1949" s="479">
        <f>-'Foglio deposito bis'!$F$82*(C1949-sezione!$AP$34)*IF(ABS(O1949)&lt;'Progetto del paramento slu'!$G$58,ABS(O1949)*'Progetto del paramento slu'!$G$54,'Progetto del paramento slu'!$G$53)</f>
        <v>87488189.387149662</v>
      </c>
      <c r="J1949" s="479">
        <f t="shared" si="144"/>
        <v>-57842895.516069263</v>
      </c>
      <c r="K1949" s="558">
        <f>'Progetto del paramento slu'!$G$60*(sezione!$AL$34-C1949)/C1949</f>
        <v>-2.6356926679398846E-3</v>
      </c>
      <c r="L1949" s="558">
        <f>'Progetto del paramento slu'!$G$60*(sezione!$AM$34-C1949)/C1949</f>
        <v>-2.5884750477456583E-4</v>
      </c>
      <c r="M1949" s="559">
        <f>'Progetto del paramento slu'!$G$60*(sezione!$AN$34-C1949)/C1949</f>
        <v>2.1179976583907524E-3</v>
      </c>
      <c r="N1949" s="559">
        <f>'Progetto del paramento slu'!$G$60*(sezione!$AO$34-C1949)/C1949</f>
        <v>3.8466123225109846E-3</v>
      </c>
      <c r="O1949" s="559">
        <f>'Progetto del paramento slu'!$G$60*(sezione!$AP$34-C1949)/C1949</f>
        <v>2.1181488082907662E-3</v>
      </c>
      <c r="P1949" s="553">
        <f>-'Progetto del paramento slu'!$G$47*'Progetto del paramento slu'!$G$41*IF(DATI!$G$218="dx",DATI!$E$61,DATI!$E$64*DATI!$E$63)*1000*C1949*sezione!$AD$5</f>
        <v>-2283244.080894527</v>
      </c>
      <c r="Q1949" s="553">
        <f>'Foglio deposito bis'!$F$78*IF(ABS(K1949)&lt;'Progetto del paramento slu'!$G$58,ABS(K1949)*'Progetto del paramento slu'!$G$54,'Progetto del paramento slu'!$G$53)*IF(K1949&lt;0,-1,1)</f>
        <v>0</v>
      </c>
      <c r="R1949" s="553">
        <f>'Foglio deposito bis'!$F$79*IF(ABS(L1949)&lt;'Progetto del paramento slu'!$G$58,ABS(L1949)*'Progetto del paramento slu'!$G$54,'Progetto del paramento slu'!$G$53)*IF(L1949&lt;0,-1,1)</f>
        <v>-20939.730549545489</v>
      </c>
      <c r="S1949" s="553">
        <f>'Foglio deposito bis'!$F$80*IF(ABS(M1949)&lt;'Progetto del paramento slu'!$G$58,ABS(M1949)*'Progetto del paramento slu'!$G$54,'Progetto del paramento slu'!$G$53)*IF(M1949&lt;0,-1,1)</f>
        <v>0</v>
      </c>
      <c r="T1949" s="553">
        <f>'Foglio deposito bis'!$F$81*IF(ABS(N1949)&lt;'Progetto del paramento slu'!$G$58,ABS(N1949)*'Progetto del paramento slu'!$G$54,'Progetto del paramento slu'!$G$53)*IF(N1949&lt;0,-1,1)</f>
        <v>398299.31208121032</v>
      </c>
      <c r="U1949" s="553">
        <f>'Foglio deposito bis'!$F$82*IF(ABS(O1949)&lt;'Progetto del paramento slu'!$G$58,ABS(O1949)*'Progetto del paramento slu'!$G$54,'Progetto del paramento slu'!$G$53)*IF(O1949&lt;0,-1,1)</f>
        <v>892485.49558937876</v>
      </c>
      <c r="V1949" s="479">
        <f t="shared" si="146"/>
        <v>-1013399.0037734834</v>
      </c>
      <c r="W1949" s="559"/>
      <c r="X1949" s="559"/>
    </row>
    <row r="1950" spans="1:24" x14ac:dyDescent="0.25">
      <c r="A1950" s="553">
        <f t="shared" si="145"/>
        <v>1077033.8338634153</v>
      </c>
      <c r="B1950" s="3">
        <f t="shared" si="143"/>
        <v>40.899999999999942</v>
      </c>
      <c r="C1950" s="553">
        <f>'Foglio deposito bis'!$E$160/sezione!$B$247*B1950</f>
        <v>166.03905417273839</v>
      </c>
      <c r="D1950" s="611">
        <f>-'Progetto del paramento slu'!$G$47*'Progetto del paramento slu'!$G$41*IF(DATI!$G$218="dx",DATI!$E$61,DATI!$E$64*DATI!$E$63)*1000*C1950^2*sezione!$AD$5*(1-sezione!$AD$6)</f>
        <v>-226947733.93052226</v>
      </c>
      <c r="E1950" s="553">
        <f>-'Foglio deposito bis'!$F$78*(C1950-sezione!$AL$34)*IF(ABS(K1950)&lt;'Progetto del paramento slu'!$G$58,ABS(K1950)*'Progetto del paramento slu'!$G$54,'Progetto del paramento slu'!$G$53)</f>
        <v>0</v>
      </c>
      <c r="F1950" s="553">
        <f>-'Foglio deposito bis'!$F$79*(C1950-sezione!$AM$34)*IF(ABS(L1950)&lt;'Progetto del paramento slu'!$G$58,ABS(L1950)*'Progetto del paramento slu'!$G$54,'Progetto del paramento slu'!$G$53)</f>
        <v>-438674.51855288027</v>
      </c>
      <c r="G1950" s="553">
        <f>-'Foglio deposito bis'!$F$80*(C1950-sezione!$AN$34)*IF(ABS(M1950)&lt;'Progetto del paramento slu'!$G$58,ABS(M1950)*'Progetto del paramento slu'!$G$54,'Progetto del paramento slu'!$G$53)</f>
        <v>0</v>
      </c>
      <c r="H1950" s="553">
        <f>-'Foglio deposito bis'!$F$81*(C1950-sezione!$AO$34)*IF(ABS(N1950)&lt;'Progetto del paramento slu'!$G$58,ABS(N1950)*'Progetto del paramento slu'!$G$54,'Progetto del paramento slu'!$G$53)</f>
        <v>69288525.051994994</v>
      </c>
      <c r="I1950" s="479">
        <f>-'Foglio deposito bis'!$F$82*(C1950-sezione!$AP$34)*IF(ABS(O1950)&lt;'Progetto del paramento slu'!$G$58,ABS(O1950)*'Progetto del paramento slu'!$G$54,'Progetto del paramento slu'!$G$53)</f>
        <v>83865024.410363644</v>
      </c>
      <c r="J1950" s="479">
        <f t="shared" si="144"/>
        <v>-74232858.986716479</v>
      </c>
      <c r="K1950" s="558">
        <f>'Progetto del paramento slu'!$G$60*(sezione!$AL$34-C1950)/C1950</f>
        <v>-2.6568248765477111E-3</v>
      </c>
      <c r="L1950" s="558">
        <f>'Progetto del paramento slu'!$G$60*(sezione!$AM$34-C1950)/C1950</f>
        <v>-3.380932870539161E-4</v>
      </c>
      <c r="M1950" s="559">
        <f>'Progetto del paramento slu'!$G$60*(sezione!$AN$34-C1950)/C1950</f>
        <v>1.980638302439879E-3</v>
      </c>
      <c r="N1950" s="559">
        <f>'Progetto del paramento slu'!$G$60*(sezione!$AO$34-C1950)/C1950</f>
        <v>3.666988549344457E-3</v>
      </c>
      <c r="O1950" s="559">
        <f>'Progetto del paramento slu'!$G$60*(sezione!$AP$34-C1950)/C1950</f>
        <v>1.9807857567433152E-3</v>
      </c>
      <c r="P1950" s="553">
        <f>-'Progetto del paramento slu'!$G$47*'Progetto del paramento slu'!$G$41*IF(DATI!$G$218="dx",DATI!$E$61,DATI!$E$64*DATI!$E$63)*1000*C1950*sezione!$AD$5</f>
        <v>-2340468.2433229615</v>
      </c>
      <c r="Q1950" s="553">
        <f>'Foglio deposito bis'!$F$78*IF(ABS(K1950)&lt;'Progetto del paramento slu'!$G$58,ABS(K1950)*'Progetto del paramento slu'!$G$54,'Progetto del paramento slu'!$G$53)*IF(K1950&lt;0,-1,1)</f>
        <v>0</v>
      </c>
      <c r="R1950" s="553">
        <f>'Foglio deposito bis'!$F$79*IF(ABS(L1950)&lt;'Progetto del paramento slu'!$G$58,ABS(L1950)*'Progetto del paramento slu'!$G$54,'Progetto del paramento slu'!$G$53)*IF(L1950&lt;0,-1,1)</f>
        <v>-27350.398211042655</v>
      </c>
      <c r="S1950" s="553">
        <f>'Foglio deposito bis'!$F$80*IF(ABS(M1950)&lt;'Progetto del paramento slu'!$G$58,ABS(M1950)*'Progetto del paramento slu'!$G$54,'Progetto del paramento slu'!$G$53)*IF(M1950&lt;0,-1,1)</f>
        <v>0</v>
      </c>
      <c r="T1950" s="553">
        <f>'Foglio deposito bis'!$F$81*IF(ABS(N1950)&lt;'Progetto del paramento slu'!$G$58,ABS(N1950)*'Progetto del paramento slu'!$G$54,'Progetto del paramento slu'!$G$53)*IF(N1950&lt;0,-1,1)</f>
        <v>398299.31208121032</v>
      </c>
      <c r="U1950" s="553">
        <f>'Foglio deposito bis'!$F$82*IF(ABS(O1950)&lt;'Progetto del paramento slu'!$G$58,ABS(O1950)*'Progetto del paramento slu'!$G$54,'Progetto del paramento slu'!$G$53)*IF(O1950&lt;0,-1,1)</f>
        <v>892485.49558937876</v>
      </c>
      <c r="V1950" s="479">
        <f t="shared" si="146"/>
        <v>-1077033.8338634153</v>
      </c>
      <c r="W1950" s="559"/>
      <c r="X1950" s="559"/>
    </row>
    <row r="1951" spans="1:24" x14ac:dyDescent="0.25">
      <c r="A1951" s="553">
        <f t="shared" si="145"/>
        <v>1163646.3760829263</v>
      </c>
      <c r="B1951" s="3">
        <f t="shared" si="143"/>
        <v>41.899999999999942</v>
      </c>
      <c r="C1951" s="553">
        <f>'Foglio deposito bis'!$E$160/sezione!$B$247*B1951</f>
        <v>170.09868874908898</v>
      </c>
      <c r="D1951" s="611">
        <f>-'Progetto del paramento slu'!$G$47*'Progetto del paramento slu'!$G$41*IF(DATI!$G$218="dx",DATI!$E$61,DATI!$E$64*DATI!$E$63)*1000*C1951^2*sezione!$AD$5*(1-sezione!$AD$6)</f>
        <v>-238181091.19730529</v>
      </c>
      <c r="E1951" s="553">
        <f>-'Foglio deposito bis'!$F$78*(C1951-sezione!$AL$34)*IF(ABS(K1951)&lt;'Progetto del paramento slu'!$G$58,ABS(K1951)*'Progetto del paramento slu'!$G$54,'Progetto del paramento slu'!$G$53)</f>
        <v>0</v>
      </c>
      <c r="F1951" s="553">
        <f>-'Foglio deposito bis'!$F$79*(C1951-sezione!$AM$34)*IF(ABS(L1951)&lt;'Progetto del paramento slu'!$G$58,ABS(L1951)*'Progetto del paramento slu'!$G$54,'Progetto del paramento slu'!$G$53)</f>
        <v>-672402.98707686283</v>
      </c>
      <c r="G1951" s="553">
        <f>-'Foglio deposito bis'!$F$80*(C1951-sezione!$AN$34)*IF(ABS(M1951)&lt;'Progetto del paramento slu'!$G$58,ABS(M1951)*'Progetto del paramento slu'!$G$54,'Progetto del paramento slu'!$G$53)</f>
        <v>0</v>
      </c>
      <c r="H1951" s="553">
        <f>-'Foglio deposito bis'!$F$81*(C1951-sezione!$AO$34)*IF(ABS(N1951)&lt;'Progetto del paramento slu'!$G$58,ABS(N1951)*'Progetto del paramento slu'!$G$54,'Progetto del paramento slu'!$G$53)</f>
        <v>67671575.392933458</v>
      </c>
      <c r="I1951" s="479">
        <f>-'Foglio deposito bis'!$F$82*(C1951-sezione!$AP$34)*IF(ABS(O1951)&lt;'Progetto del paramento slu'!$G$58,ABS(O1951)*'Progetto del paramento slu'!$G$54,'Progetto del paramento slu'!$G$53)</f>
        <v>78148460.447078496</v>
      </c>
      <c r="J1951" s="479">
        <f t="shared" si="144"/>
        <v>-93033458.344370186</v>
      </c>
      <c r="K1951" s="558">
        <f>'Progetto del paramento slu'!$G$60*(sezione!$AL$34-C1951)/C1951</f>
        <v>-2.6769483878472883E-3</v>
      </c>
      <c r="L1951" s="558">
        <f>'Progetto del paramento slu'!$G$60*(sezione!$AM$34-C1951)/C1951</f>
        <v>-4.135564544273313E-4</v>
      </c>
      <c r="M1951" s="559">
        <f>'Progetto del paramento slu'!$G$60*(sezione!$AN$34-C1951)/C1951</f>
        <v>1.8498354789926257E-3</v>
      </c>
      <c r="N1951" s="559">
        <f>'Progetto del paramento slu'!$G$60*(sezione!$AO$34-C1951)/C1951</f>
        <v>3.4959387032980492E-3</v>
      </c>
      <c r="O1951" s="559">
        <f>'Progetto del paramento slu'!$G$60*(sezione!$AP$34-C1951)/C1951</f>
        <v>1.8499794141002758E-3</v>
      </c>
      <c r="P1951" s="553">
        <f>-'Progetto del paramento slu'!$G$47*'Progetto del paramento slu'!$G$41*IF(DATI!$G$218="dx",DATI!$E$61,DATI!$E$64*DATI!$E$63)*1000*C1951*sezione!$AD$5</f>
        <v>-2397692.405751396</v>
      </c>
      <c r="Q1951" s="553">
        <f>'Foglio deposito bis'!$F$78*IF(ABS(K1951)&lt;'Progetto del paramento slu'!$G$58,ABS(K1951)*'Progetto del paramento slu'!$G$54,'Progetto del paramento slu'!$G$53)*IF(K1951&lt;0,-1,1)</f>
        <v>0</v>
      </c>
      <c r="R1951" s="553">
        <f>'Foglio deposito bis'!$F$79*IF(ABS(L1951)&lt;'Progetto del paramento slu'!$G$58,ABS(L1951)*'Progetto del paramento slu'!$G$54,'Progetto del paramento slu'!$G$53)*IF(L1951&lt;0,-1,1)</f>
        <v>-33455.067416143807</v>
      </c>
      <c r="S1951" s="553">
        <f>'Foglio deposito bis'!$F$80*IF(ABS(M1951)&lt;'Progetto del paramento slu'!$G$58,ABS(M1951)*'Progetto del paramento slu'!$G$54,'Progetto del paramento slu'!$G$53)*IF(M1951&lt;0,-1,1)</f>
        <v>0</v>
      </c>
      <c r="T1951" s="553">
        <f>'Foglio deposito bis'!$F$81*IF(ABS(N1951)&lt;'Progetto del paramento slu'!$G$58,ABS(N1951)*'Progetto del paramento slu'!$G$54,'Progetto del paramento slu'!$G$53)*IF(N1951&lt;0,-1,1)</f>
        <v>398299.31208121032</v>
      </c>
      <c r="U1951" s="553">
        <f>'Foglio deposito bis'!$F$82*IF(ABS(O1951)&lt;'Progetto del paramento slu'!$G$58,ABS(O1951)*'Progetto del paramento slu'!$G$54,'Progetto del paramento slu'!$G$53)*IF(O1951&lt;0,-1,1)</f>
        <v>869201.78500340297</v>
      </c>
      <c r="V1951" s="479">
        <f t="shared" si="146"/>
        <v>-1163646.3760829263</v>
      </c>
      <c r="W1951" s="559"/>
      <c r="X1951" s="559"/>
    </row>
    <row r="1952" spans="1:24" x14ac:dyDescent="0.25">
      <c r="A1952" s="553">
        <f t="shared" si="145"/>
        <v>1285283.9852163256</v>
      </c>
      <c r="B1952" s="3">
        <f t="shared" si="143"/>
        <v>42.899999999999942</v>
      </c>
      <c r="C1952" s="553">
        <f>'Foglio deposito bis'!$E$160/sezione!$B$247*B1952</f>
        <v>174.15832332543957</v>
      </c>
      <c r="D1952" s="611">
        <f>-'Progetto del paramento slu'!$G$47*'Progetto del paramento slu'!$G$41*IF(DATI!$G$218="dx",DATI!$E$61,DATI!$E$64*DATI!$E$63)*1000*C1952^2*sezione!$AD$5*(1-sezione!$AD$6)</f>
        <v>-249685785.59613621</v>
      </c>
      <c r="E1952" s="553">
        <f>-'Foglio deposito bis'!$F$78*(C1952-sezione!$AL$34)*IF(ABS(K1952)&lt;'Progetto del paramento slu'!$G$58,ABS(K1952)*'Progetto del paramento slu'!$G$54,'Progetto del paramento slu'!$G$53)</f>
        <v>0</v>
      </c>
      <c r="F1952" s="553">
        <f>-'Foglio deposito bis'!$F$79*(C1952-sezione!$AM$34)*IF(ABS(L1952)&lt;'Progetto del paramento slu'!$G$58,ABS(L1952)*'Progetto del paramento slu'!$G$54,'Progetto del paramento slu'!$G$53)</f>
        <v>-948821.4500421125</v>
      </c>
      <c r="G1952" s="553">
        <f>-'Foglio deposito bis'!$F$80*(C1952-sezione!$AN$34)*IF(ABS(M1952)&lt;'Progetto del paramento slu'!$G$58,ABS(M1952)*'Progetto del paramento slu'!$G$54,'Progetto del paramento slu'!$G$53)</f>
        <v>0</v>
      </c>
      <c r="H1952" s="553">
        <f>-'Foglio deposito bis'!$F$81*(C1952-sezione!$AO$34)*IF(ABS(N1952)&lt;'Progetto del paramento slu'!$G$58,ABS(N1952)*'Progetto del paramento slu'!$G$54,'Progetto del paramento slu'!$G$53)</f>
        <v>66054625.733871922</v>
      </c>
      <c r="I1952" s="479">
        <f>-'Foglio deposito bis'!$F$82*(C1952-sezione!$AP$34)*IF(ABS(O1952)&lt;'Progetto del paramento slu'!$G$58,ABS(O1952)*'Progetto del paramento slu'!$G$54,'Progetto del paramento slu'!$G$53)</f>
        <v>69589655.19147706</v>
      </c>
      <c r="J1952" s="479">
        <f t="shared" si="144"/>
        <v>-114990326.12082934</v>
      </c>
      <c r="K1952" s="558">
        <f>'Progetto del paramento slu'!$G$60*(sezione!$AL$34-C1952)/C1952</f>
        <v>-2.6961337401119204E-3</v>
      </c>
      <c r="L1952" s="558">
        <f>'Progetto del paramento slu'!$G$60*(sezione!$AM$34-C1952)/C1952</f>
        <v>-4.8550152541970151E-4</v>
      </c>
      <c r="M1952" s="559">
        <f>'Progetto del paramento slu'!$G$60*(sezione!$AN$34-C1952)/C1952</f>
        <v>1.7251306892725176E-3</v>
      </c>
      <c r="N1952" s="559">
        <f>'Progetto del paramento slu'!$G$60*(sezione!$AO$34-C1952)/C1952</f>
        <v>3.332863209048677E-3</v>
      </c>
      <c r="O1952" s="559">
        <f>'Progetto del paramento slu'!$G$60*(sezione!$AP$34-C1952)/C1952</f>
        <v>1.7252712692494533E-3</v>
      </c>
      <c r="P1952" s="553">
        <f>-'Progetto del paramento slu'!$G$47*'Progetto del paramento slu'!$G$41*IF(DATI!$G$218="dx",DATI!$E$61,DATI!$E$64*DATI!$E$63)*1000*C1952*sezione!$AD$5</f>
        <v>-2454916.56817983</v>
      </c>
      <c r="Q1952" s="553">
        <f>'Foglio deposito bis'!$F$78*IF(ABS(K1952)&lt;'Progetto del paramento slu'!$G$58,ABS(K1952)*'Progetto del paramento slu'!$G$54,'Progetto del paramento slu'!$G$53)*IF(K1952&lt;0,-1,1)</f>
        <v>0</v>
      </c>
      <c r="R1952" s="553">
        <f>'Foglio deposito bis'!$F$79*IF(ABS(L1952)&lt;'Progetto del paramento slu'!$G$58,ABS(L1952)*'Progetto del paramento slu'!$G$54,'Progetto del paramento slu'!$G$53)*IF(L1952&lt;0,-1,1)</f>
        <v>-39275.136658303192</v>
      </c>
      <c r="S1952" s="553">
        <f>'Foglio deposito bis'!$F$80*IF(ABS(M1952)&lt;'Progetto del paramento slu'!$G$58,ABS(M1952)*'Progetto del paramento slu'!$G$54,'Progetto del paramento slu'!$G$53)*IF(M1952&lt;0,-1,1)</f>
        <v>0</v>
      </c>
      <c r="T1952" s="553">
        <f>'Foglio deposito bis'!$F$81*IF(ABS(N1952)&lt;'Progetto del paramento slu'!$G$58,ABS(N1952)*'Progetto del paramento slu'!$G$54,'Progetto del paramento slu'!$G$53)*IF(N1952&lt;0,-1,1)</f>
        <v>398299.31208121032</v>
      </c>
      <c r="U1952" s="553">
        <f>'Foglio deposito bis'!$F$82*IF(ABS(O1952)&lt;'Progetto del paramento slu'!$G$58,ABS(O1952)*'Progetto del paramento slu'!$G$54,'Progetto del paramento slu'!$G$53)*IF(O1952&lt;0,-1,1)</f>
        <v>810608.40754059702</v>
      </c>
      <c r="V1952" s="479">
        <f t="shared" si="146"/>
        <v>-1285283.9852163256</v>
      </c>
      <c r="W1952" s="559"/>
      <c r="X1952" s="559"/>
    </row>
    <row r="1953" spans="1:24" x14ac:dyDescent="0.25">
      <c r="A1953" s="553">
        <f t="shared" si="145"/>
        <v>1403987.0409690887</v>
      </c>
      <c r="B1953" s="3">
        <f t="shared" si="143"/>
        <v>43.899999999999942</v>
      </c>
      <c r="C1953" s="553">
        <f>'Foglio deposito bis'!$E$160/sezione!$B$247*B1953</f>
        <v>178.21795790179013</v>
      </c>
      <c r="D1953" s="611">
        <f>-'Progetto del paramento slu'!$G$47*'Progetto del paramento slu'!$G$41*IF(DATI!$G$218="dx",DATI!$E$61,DATI!$E$64*DATI!$E$63)*1000*C1953^2*sezione!$AD$5*(1-sezione!$AD$6)</f>
        <v>-261461817.12701494</v>
      </c>
      <c r="E1953" s="553">
        <f>-'Foglio deposito bis'!$F$78*(C1953-sezione!$AL$34)*IF(ABS(K1953)&lt;'Progetto del paramento slu'!$G$58,ABS(K1953)*'Progetto del paramento slu'!$G$54,'Progetto del paramento slu'!$G$53)</f>
        <v>0</v>
      </c>
      <c r="F1953" s="553">
        <f>-'Foglio deposito bis'!$F$79*(C1953-sezione!$AM$34)*IF(ABS(L1953)&lt;'Progetto del paramento slu'!$G$58,ABS(L1953)*'Progetto del paramento slu'!$G$54,'Progetto del paramento slu'!$G$53)</f>
        <v>-1265012.5957556015</v>
      </c>
      <c r="G1953" s="553">
        <f>-'Foglio deposito bis'!$F$80*(C1953-sezione!$AN$34)*IF(ABS(M1953)&lt;'Progetto del paramento slu'!$G$58,ABS(M1953)*'Progetto del paramento slu'!$G$54,'Progetto del paramento slu'!$G$53)</f>
        <v>0</v>
      </c>
      <c r="H1953" s="553">
        <f>-'Foglio deposito bis'!$F$81*(C1953-sezione!$AO$34)*IF(ABS(N1953)&lt;'Progetto del paramento slu'!$G$58,ABS(N1953)*'Progetto del paramento slu'!$G$54,'Progetto del paramento slu'!$G$53)</f>
        <v>64437676.074810401</v>
      </c>
      <c r="I1953" s="479">
        <f>-'Foglio deposito bis'!$F$82*(C1953-sezione!$AP$34)*IF(ABS(O1953)&lt;'Progetto del paramento slu'!$G$58,ABS(O1953)*'Progetto del paramento slu'!$G$54,'Progetto del paramento slu'!$G$53)</f>
        <v>61724913.171058968</v>
      </c>
      <c r="J1953" s="479">
        <f t="shared" si="144"/>
        <v>-136564240.47690117</v>
      </c>
      <c r="K1953" s="558">
        <f>'Progetto del paramento slu'!$G$60*(sezione!$AL$34-C1953)/C1953</f>
        <v>-2.7144450444373893E-3</v>
      </c>
      <c r="L1953" s="558">
        <f>'Progetto del paramento slu'!$G$60*(sezione!$AM$34-C1953)/C1953</f>
        <v>-5.5416891664020922E-4</v>
      </c>
      <c r="M1953" s="559">
        <f>'Progetto del paramento slu'!$G$60*(sezione!$AN$34-C1953)/C1953</f>
        <v>1.6061072111569707E-3</v>
      </c>
      <c r="N1953" s="559">
        <f>'Progetto del paramento slu'!$G$60*(sezione!$AO$34-C1953)/C1953</f>
        <v>3.1772171222821922E-3</v>
      </c>
      <c r="O1953" s="559">
        <f>'Progetto del paramento slu'!$G$60*(sezione!$AP$34-C1953)/C1953</f>
        <v>1.6062445888565275E-3</v>
      </c>
      <c r="P1953" s="553">
        <f>-'Progetto del paramento slu'!$G$47*'Progetto del paramento slu'!$G$41*IF(DATI!$G$218="dx",DATI!$E$61,DATI!$E$64*DATI!$E$63)*1000*C1953*sezione!$AD$5</f>
        <v>-2512140.7306082644</v>
      </c>
      <c r="Q1953" s="553">
        <f>'Foglio deposito bis'!$F$78*IF(ABS(K1953)&lt;'Progetto del paramento slu'!$G$58,ABS(K1953)*'Progetto del paramento slu'!$G$54,'Progetto del paramento slu'!$G$53)*IF(K1953&lt;0,-1,1)</f>
        <v>0</v>
      </c>
      <c r="R1953" s="553">
        <f>'Foglio deposito bis'!$F$79*IF(ABS(L1953)&lt;'Progetto del paramento slu'!$G$58,ABS(L1953)*'Progetto del paramento slu'!$G$54,'Progetto del paramento slu'!$G$53)*IF(L1953&lt;0,-1,1)</f>
        <v>-44830.054682140908</v>
      </c>
      <c r="S1953" s="553">
        <f>'Foglio deposito bis'!$F$80*IF(ABS(M1953)&lt;'Progetto del paramento slu'!$G$58,ABS(M1953)*'Progetto del paramento slu'!$G$54,'Progetto del paramento slu'!$G$53)*IF(M1953&lt;0,-1,1)</f>
        <v>0</v>
      </c>
      <c r="T1953" s="553">
        <f>'Foglio deposito bis'!$F$81*IF(ABS(N1953)&lt;'Progetto del paramento slu'!$G$58,ABS(N1953)*'Progetto del paramento slu'!$G$54,'Progetto del paramento slu'!$G$53)*IF(N1953&lt;0,-1,1)</f>
        <v>398299.31208121032</v>
      </c>
      <c r="U1953" s="553">
        <f>'Foglio deposito bis'!$F$82*IF(ABS(O1953)&lt;'Progetto del paramento slu'!$G$58,ABS(O1953)*'Progetto del paramento slu'!$G$54,'Progetto del paramento slu'!$G$53)*IF(O1953&lt;0,-1,1)</f>
        <v>754684.43224010605</v>
      </c>
      <c r="V1953" s="479">
        <f t="shared" si="146"/>
        <v>-1403987.0409690887</v>
      </c>
      <c r="W1953" s="559"/>
      <c r="X1953" s="559"/>
    </row>
    <row r="1954" spans="1:24" x14ac:dyDescent="0.25">
      <c r="A1954" s="553">
        <f t="shared" si="145"/>
        <v>1519951.6159501676</v>
      </c>
      <c r="B1954" s="3">
        <f t="shared" si="143"/>
        <v>44.899999999999942</v>
      </c>
      <c r="C1954" s="553">
        <f>'Foglio deposito bis'!$E$160/sezione!$B$247*B1954</f>
        <v>182.27759247814072</v>
      </c>
      <c r="D1954" s="611">
        <f>-'Progetto del paramento slu'!$G$47*'Progetto del paramento slu'!$G$41*IF(DATI!$G$218="dx",DATI!$E$61,DATI!$E$64*DATI!$E$63)*1000*C1954^2*sezione!$AD$5*(1-sezione!$AD$6)</f>
        <v>-273509185.78994173</v>
      </c>
      <c r="E1954" s="553">
        <f>-'Foglio deposito bis'!$F$78*(C1954-sezione!$AL$34)*IF(ABS(K1954)&lt;'Progetto del paramento slu'!$G$58,ABS(K1954)*'Progetto del paramento slu'!$G$54,'Progetto del paramento slu'!$G$53)</f>
        <v>0</v>
      </c>
      <c r="F1954" s="553">
        <f>-'Foglio deposito bis'!$F$79*(C1954-sezione!$AM$34)*IF(ABS(L1954)&lt;'Progetto del paramento slu'!$G$58,ABS(L1954)*'Progetto del paramento slu'!$G$54,'Progetto del paramento slu'!$G$53)</f>
        <v>-1618319.0066617734</v>
      </c>
      <c r="G1954" s="553">
        <f>-'Foglio deposito bis'!$F$80*(C1954-sezione!$AN$34)*IF(ABS(M1954)&lt;'Progetto del paramento slu'!$G$58,ABS(M1954)*'Progetto del paramento slu'!$G$54,'Progetto del paramento slu'!$G$53)</f>
        <v>0</v>
      </c>
      <c r="H1954" s="553">
        <f>-'Foglio deposito bis'!$F$81*(C1954-sezione!$AO$34)*IF(ABS(N1954)&lt;'Progetto del paramento slu'!$G$58,ABS(N1954)*'Progetto del paramento slu'!$G$54,'Progetto del paramento slu'!$G$53)</f>
        <v>62820726.415748864</v>
      </c>
      <c r="I1954" s="479">
        <f>-'Foglio deposito bis'!$F$82*(C1954-sezione!$AP$34)*IF(ABS(O1954)&lt;'Progetto del paramento slu'!$G$58,ABS(O1954)*'Progetto del paramento slu'!$G$54,'Progetto del paramento slu'!$G$53)</f>
        <v>54507860.450288445</v>
      </c>
      <c r="J1954" s="479">
        <f t="shared" si="144"/>
        <v>-157798917.93056619</v>
      </c>
      <c r="K1954" s="558">
        <f>'Progetto del paramento slu'!$G$60*(sezione!$AL$34-C1954)/C1954</f>
        <v>-2.7319407004632828E-3</v>
      </c>
      <c r="L1954" s="558">
        <f>'Progetto del paramento slu'!$G$60*(sezione!$AM$34-C1954)/C1954</f>
        <v>-6.1977762673730958E-4</v>
      </c>
      <c r="M1954" s="559">
        <f>'Progetto del paramento slu'!$G$60*(sezione!$AN$34-C1954)/C1954</f>
        <v>1.4923854469886635E-3</v>
      </c>
      <c r="N1954" s="559">
        <f>'Progetto del paramento slu'!$G$60*(sezione!$AO$34-C1954)/C1954</f>
        <v>3.0285040460620986E-3</v>
      </c>
      <c r="O1954" s="559">
        <f>'Progetto del paramento slu'!$G$60*(sezione!$AP$34-C1954)/C1954</f>
        <v>1.492519765051259E-3</v>
      </c>
      <c r="P1954" s="553">
        <f>-'Progetto del paramento slu'!$G$47*'Progetto del paramento slu'!$G$41*IF(DATI!$G$218="dx",DATI!$E$61,DATI!$E$64*DATI!$E$63)*1000*C1954*sezione!$AD$5</f>
        <v>-2569364.8930366989</v>
      </c>
      <c r="Q1954" s="553">
        <f>'Foglio deposito bis'!$F$78*IF(ABS(K1954)&lt;'Progetto del paramento slu'!$G$58,ABS(K1954)*'Progetto del paramento slu'!$G$54,'Progetto del paramento slu'!$G$53)*IF(K1954&lt;0,-1,1)</f>
        <v>0</v>
      </c>
      <c r="R1954" s="553">
        <f>'Foglio deposito bis'!$F$79*IF(ABS(L1954)&lt;'Progetto del paramento slu'!$G$58,ABS(L1954)*'Progetto del paramento slu'!$G$54,'Progetto del paramento slu'!$G$53)*IF(L1954&lt;0,-1,1)</f>
        <v>-50137.537604694153</v>
      </c>
      <c r="S1954" s="553">
        <f>'Foglio deposito bis'!$F$80*IF(ABS(M1954)&lt;'Progetto del paramento slu'!$G$58,ABS(M1954)*'Progetto del paramento slu'!$G$54,'Progetto del paramento slu'!$G$53)*IF(M1954&lt;0,-1,1)</f>
        <v>0</v>
      </c>
      <c r="T1954" s="553">
        <f>'Foglio deposito bis'!$F$81*IF(ABS(N1954)&lt;'Progetto del paramento slu'!$G$58,ABS(N1954)*'Progetto del paramento slu'!$G$54,'Progetto del paramento slu'!$G$53)*IF(N1954&lt;0,-1,1)</f>
        <v>398299.31208121032</v>
      </c>
      <c r="U1954" s="553">
        <f>'Foglio deposito bis'!$F$82*IF(ABS(O1954)&lt;'Progetto del paramento slu'!$G$58,ABS(O1954)*'Progetto del paramento slu'!$G$54,'Progetto del paramento slu'!$G$53)*IF(O1954&lt;0,-1,1)</f>
        <v>701251.5026100151</v>
      </c>
      <c r="V1954" s="479">
        <f t="shared" si="146"/>
        <v>-1519951.6159501676</v>
      </c>
      <c r="W1954" s="559"/>
      <c r="X1954" s="559"/>
    </row>
    <row r="1955" spans="1:24" x14ac:dyDescent="0.25">
      <c r="A1955" s="553">
        <f t="shared" si="145"/>
        <v>1633356.6958309119</v>
      </c>
      <c r="B1955" s="3">
        <f t="shared" si="143"/>
        <v>45.899999999999942</v>
      </c>
      <c r="C1955" s="553">
        <f>'Foglio deposito bis'!$E$160/sezione!$B$247*B1955</f>
        <v>186.33722705449128</v>
      </c>
      <c r="D1955" s="611">
        <f>-'Progetto del paramento slu'!$G$47*'Progetto del paramento slu'!$G$41*IF(DATI!$G$218="dx",DATI!$E$61,DATI!$E$64*DATI!$E$63)*1000*C1955^2*sezione!$AD$5*(1-sezione!$AD$6)</f>
        <v>-285827891.58491623</v>
      </c>
      <c r="E1955" s="553">
        <f>-'Foglio deposito bis'!$F$78*(C1955-sezione!$AL$34)*IF(ABS(K1955)&lt;'Progetto del paramento slu'!$G$58,ABS(K1955)*'Progetto del paramento slu'!$G$54,'Progetto del paramento slu'!$G$53)</f>
        <v>0</v>
      </c>
      <c r="F1955" s="553">
        <f>-'Foglio deposito bis'!$F$79*(C1955-sezione!$AM$34)*IF(ABS(L1955)&lt;'Progetto del paramento slu'!$G$58,ABS(L1955)*'Progetto del paramento slu'!$G$54,'Progetto del paramento slu'!$G$53)</f>
        <v>-2006314.8484343032</v>
      </c>
      <c r="G1955" s="553">
        <f>-'Foglio deposito bis'!$F$80*(C1955-sezione!$AN$34)*IF(ABS(M1955)&lt;'Progetto del paramento slu'!$G$58,ABS(M1955)*'Progetto del paramento slu'!$G$54,'Progetto del paramento slu'!$G$53)</f>
        <v>0</v>
      </c>
      <c r="H1955" s="553">
        <f>-'Foglio deposito bis'!$F$81*(C1955-sezione!$AO$34)*IF(ABS(N1955)&lt;'Progetto del paramento slu'!$G$58,ABS(N1955)*'Progetto del paramento slu'!$G$54,'Progetto del paramento slu'!$G$53)</f>
        <v>61203776.756687343</v>
      </c>
      <c r="I1955" s="479">
        <f>-'Foglio deposito bis'!$F$82*(C1955-sezione!$AP$34)*IF(ABS(O1955)&lt;'Progetto del paramento slu'!$G$58,ABS(O1955)*'Progetto del paramento slu'!$G$54,'Progetto del paramento slu'!$G$53)</f>
        <v>47896164.39520172</v>
      </c>
      <c r="J1955" s="479">
        <f t="shared" si="144"/>
        <v>-178734265.28146151</v>
      </c>
      <c r="K1955" s="558">
        <f>'Progetto del paramento slu'!$G$60*(sezione!$AL$34-C1955)/C1955</f>
        <v>-2.7486740185359779E-3</v>
      </c>
      <c r="L1955" s="558">
        <f>'Progetto del paramento slu'!$G$60*(sezione!$AM$34-C1955)/C1955</f>
        <v>-6.8252756950991703E-4</v>
      </c>
      <c r="M1955" s="559">
        <f>'Progetto del paramento slu'!$G$60*(sezione!$AN$34-C1955)/C1955</f>
        <v>1.3836188795161438E-3</v>
      </c>
      <c r="N1955" s="559">
        <f>'Progetto del paramento slu'!$G$60*(sezione!$AO$34-C1955)/C1955</f>
        <v>2.8862708424441884E-3</v>
      </c>
      <c r="O1955" s="559">
        <f>'Progetto del paramento slu'!$G$60*(sezione!$AP$34-C1955)/C1955</f>
        <v>1.383750271259293E-3</v>
      </c>
      <c r="P1955" s="553">
        <f>-'Progetto del paramento slu'!$G$47*'Progetto del paramento slu'!$G$41*IF(DATI!$G$218="dx",DATI!$E$61,DATI!$E$64*DATI!$E$63)*1000*C1955*sezione!$AD$5</f>
        <v>-2626589.0554651329</v>
      </c>
      <c r="Q1955" s="553">
        <f>'Foglio deposito bis'!$F$78*IF(ABS(K1955)&lt;'Progetto del paramento slu'!$G$58,ABS(K1955)*'Progetto del paramento slu'!$G$54,'Progetto del paramento slu'!$G$53)*IF(K1955&lt;0,-1,1)</f>
        <v>0</v>
      </c>
      <c r="R1955" s="553">
        <f>'Foglio deposito bis'!$F$79*IF(ABS(L1955)&lt;'Progetto del paramento slu'!$G$58,ABS(L1955)*'Progetto del paramento slu'!$G$54,'Progetto del paramento slu'!$G$53)*IF(L1955&lt;0,-1,1)</f>
        <v>-55213.75765480494</v>
      </c>
      <c r="S1955" s="553">
        <f>'Foglio deposito bis'!$F$80*IF(ABS(M1955)&lt;'Progetto del paramento slu'!$G$58,ABS(M1955)*'Progetto del paramento slu'!$G$54,'Progetto del paramento slu'!$G$53)*IF(M1955&lt;0,-1,1)</f>
        <v>0</v>
      </c>
      <c r="T1955" s="553">
        <f>'Foglio deposito bis'!$F$81*IF(ABS(N1955)&lt;'Progetto del paramento slu'!$G$58,ABS(N1955)*'Progetto del paramento slu'!$G$54,'Progetto del paramento slu'!$G$53)*IF(N1955&lt;0,-1,1)</f>
        <v>398299.31208121032</v>
      </c>
      <c r="U1955" s="553">
        <f>'Foglio deposito bis'!$F$82*IF(ABS(O1955)&lt;'Progetto del paramento slu'!$G$58,ABS(O1955)*'Progetto del paramento slu'!$G$54,'Progetto del paramento slu'!$G$53)*IF(O1955&lt;0,-1,1)</f>
        <v>650146.80520781537</v>
      </c>
      <c r="V1955" s="479">
        <f t="shared" si="146"/>
        <v>-1633356.6958309119</v>
      </c>
      <c r="W1955" s="559"/>
      <c r="X1955" s="559"/>
    </row>
    <row r="1956" spans="1:24" x14ac:dyDescent="0.25">
      <c r="A1956" s="553">
        <f t="shared" si="145"/>
        <v>1744366.0009802156</v>
      </c>
      <c r="B1956" s="3">
        <f t="shared" si="143"/>
        <v>46.899999999999942</v>
      </c>
      <c r="C1956" s="553">
        <f>'Foglio deposito bis'!$E$160/sezione!$B$247*B1956</f>
        <v>190.39686163084187</v>
      </c>
      <c r="D1956" s="611">
        <f>-'Progetto del paramento slu'!$G$47*'Progetto del paramento slu'!$G$41*IF(DATI!$G$218="dx",DATI!$E$61,DATI!$E$64*DATI!$E$63)*1000*C1956^2*sezione!$AD$5*(1-sezione!$AD$6)</f>
        <v>-298417934.51193875</v>
      </c>
      <c r="E1956" s="553">
        <f>-'Foglio deposito bis'!$F$78*(C1956-sezione!$AL$34)*IF(ABS(K1956)&lt;'Progetto del paramento slu'!$G$58,ABS(K1956)*'Progetto del paramento slu'!$G$54,'Progetto del paramento slu'!$G$53)</f>
        <v>0</v>
      </c>
      <c r="F1956" s="553">
        <f>-'Foglio deposito bis'!$F$79*(C1956-sezione!$AM$34)*IF(ABS(L1956)&lt;'Progetto del paramento slu'!$G$58,ABS(L1956)*'Progetto del paramento slu'!$G$54,'Progetto del paramento slu'!$G$53)</f>
        <v>-2426781.1809324906</v>
      </c>
      <c r="G1956" s="553">
        <f>-'Foglio deposito bis'!$F$80*(C1956-sezione!$AN$34)*IF(ABS(M1956)&lt;'Progetto del paramento slu'!$G$58,ABS(M1956)*'Progetto del paramento slu'!$G$54,'Progetto del paramento slu'!$G$53)</f>
        <v>0</v>
      </c>
      <c r="H1956" s="553">
        <f>-'Foglio deposito bis'!$F$81*(C1956-sezione!$AO$34)*IF(ABS(N1956)&lt;'Progetto del paramento slu'!$G$58,ABS(N1956)*'Progetto del paramento slu'!$G$54,'Progetto del paramento slu'!$G$53)</f>
        <v>59586827.097625807</v>
      </c>
      <c r="I1956" s="479">
        <f>-'Foglio deposito bis'!$F$82*(C1956-sezione!$AP$34)*IF(ABS(O1956)&lt;'Progetto del paramento slu'!$G$58,ABS(O1956)*'Progetto del paramento slu'!$G$54,'Progetto del paramento slu'!$G$53)</f>
        <v>41851102.831021488</v>
      </c>
      <c r="J1956" s="479">
        <f t="shared" si="144"/>
        <v>-199406785.76422393</v>
      </c>
      <c r="K1956" s="558">
        <f>'Progetto del paramento slu'!$G$60*(sezione!$AL$34-C1956)/C1956</f>
        <v>-2.7646937622772152E-3</v>
      </c>
      <c r="L1956" s="558">
        <f>'Progetto del paramento slu'!$G$60*(sezione!$AM$34-C1956)/C1956</f>
        <v>-7.4260160853955649E-4</v>
      </c>
      <c r="M1956" s="559">
        <f>'Progetto del paramento slu'!$G$60*(sezione!$AN$34-C1956)/C1956</f>
        <v>1.279490545198102E-3</v>
      </c>
      <c r="N1956" s="559">
        <f>'Progetto del paramento slu'!$G$60*(sezione!$AO$34-C1956)/C1956</f>
        <v>2.7501030206436719E-3</v>
      </c>
      <c r="O1956" s="559">
        <f>'Progetto del paramento slu'!$G$60*(sezione!$AP$34-C1956)/C1956</f>
        <v>1.2796191354115464E-3</v>
      </c>
      <c r="P1956" s="553">
        <f>-'Progetto del paramento slu'!$G$47*'Progetto del paramento slu'!$G$41*IF(DATI!$G$218="dx",DATI!$E$61,DATI!$E$64*DATI!$E$63)*1000*C1956*sezione!$AD$5</f>
        <v>-2683813.2178935674</v>
      </c>
      <c r="Q1956" s="553">
        <f>'Foglio deposito bis'!$F$78*IF(ABS(K1956)&lt;'Progetto del paramento slu'!$G$58,ABS(K1956)*'Progetto del paramento slu'!$G$54,'Progetto del paramento slu'!$G$53)*IF(K1956&lt;0,-1,1)</f>
        <v>0</v>
      </c>
      <c r="R1956" s="553">
        <f>'Foglio deposito bis'!$F$79*IF(ABS(L1956)&lt;'Progetto del paramento slu'!$G$58,ABS(L1956)*'Progetto del paramento slu'!$G$54,'Progetto del paramento slu'!$G$53)*IF(L1956&lt;0,-1,1)</f>
        <v>-60073.507766744719</v>
      </c>
      <c r="S1956" s="553">
        <f>'Foglio deposito bis'!$F$80*IF(ABS(M1956)&lt;'Progetto del paramento slu'!$G$58,ABS(M1956)*'Progetto del paramento slu'!$G$54,'Progetto del paramento slu'!$G$53)*IF(M1956&lt;0,-1,1)</f>
        <v>0</v>
      </c>
      <c r="T1956" s="553">
        <f>'Foglio deposito bis'!$F$81*IF(ABS(N1956)&lt;'Progetto del paramento slu'!$G$58,ABS(N1956)*'Progetto del paramento slu'!$G$54,'Progetto del paramento slu'!$G$53)*IF(N1956&lt;0,-1,1)</f>
        <v>398299.31208121032</v>
      </c>
      <c r="U1956" s="553">
        <f>'Foglio deposito bis'!$F$82*IF(ABS(O1956)&lt;'Progetto del paramento slu'!$G$58,ABS(O1956)*'Progetto del paramento slu'!$G$54,'Progetto del paramento slu'!$G$53)*IF(O1956&lt;0,-1,1)</f>
        <v>601221.41259888595</v>
      </c>
      <c r="V1956" s="479">
        <f t="shared" si="146"/>
        <v>-1744366.0009802156</v>
      </c>
      <c r="W1956" s="559"/>
      <c r="X1956" s="559"/>
    </row>
    <row r="1957" spans="1:24" x14ac:dyDescent="0.25">
      <c r="A1957" s="553">
        <f t="shared" si="145"/>
        <v>1853129.5799198803</v>
      </c>
      <c r="B1957" s="3">
        <f t="shared" si="143"/>
        <v>47.899999999999942</v>
      </c>
      <c r="C1957" s="553">
        <f>'Foglio deposito bis'!$E$160/sezione!$B$247*B1957</f>
        <v>194.45649620719246</v>
      </c>
      <c r="D1957" s="611">
        <f>-'Progetto del paramento slu'!$G$47*'Progetto del paramento slu'!$G$41*IF(DATI!$G$218="dx",DATI!$E$61,DATI!$E$64*DATI!$E$63)*1000*C1957^2*sezione!$AD$5*(1-sezione!$AD$6)</f>
        <v>-311279314.57100922</v>
      </c>
      <c r="E1957" s="553">
        <f>-'Foglio deposito bis'!$F$78*(C1957-sezione!$AL$34)*IF(ABS(K1957)&lt;'Progetto del paramento slu'!$G$58,ABS(K1957)*'Progetto del paramento slu'!$G$54,'Progetto del paramento slu'!$G$53)</f>
        <v>0</v>
      </c>
      <c r="F1957" s="553">
        <f>-'Foglio deposito bis'!$F$79*(C1957-sezione!$AM$34)*IF(ABS(L1957)&lt;'Progetto del paramento slu'!$G$58,ABS(L1957)*'Progetto del paramento slu'!$G$54,'Progetto del paramento slu'!$G$53)</f>
        <v>-2877684.3617309285</v>
      </c>
      <c r="G1957" s="553">
        <f>-'Foglio deposito bis'!$F$80*(C1957-sezione!$AN$34)*IF(ABS(M1957)&lt;'Progetto del paramento slu'!$G$58,ABS(M1957)*'Progetto del paramento slu'!$G$54,'Progetto del paramento slu'!$G$53)</f>
        <v>0</v>
      </c>
      <c r="H1957" s="553">
        <f>-'Foglio deposito bis'!$F$81*(C1957-sezione!$AO$34)*IF(ABS(N1957)&lt;'Progetto del paramento slu'!$G$58,ABS(N1957)*'Progetto del paramento slu'!$G$54,'Progetto del paramento slu'!$G$53)</f>
        <v>57969877.438564263</v>
      </c>
      <c r="I1957" s="479">
        <f>-'Foglio deposito bis'!$F$82*(C1957-sezione!$AP$34)*IF(ABS(O1957)&lt;'Progetto del paramento slu'!$G$58,ABS(O1957)*'Progetto del paramento slu'!$G$54,'Progetto del paramento slu'!$G$53)</f>
        <v>36337187.167503119</v>
      </c>
      <c r="J1957" s="479">
        <f t="shared" si="144"/>
        <v>-219849934.32667276</v>
      </c>
      <c r="K1957" s="558">
        <f>'Progetto del paramento slu'!$G$60*(sezione!$AL$34-C1957)/C1957</f>
        <v>-2.7800446231900085E-3</v>
      </c>
      <c r="L1957" s="558">
        <f>'Progetto del paramento slu'!$G$60*(sezione!$AM$34-C1957)/C1957</f>
        <v>-8.0016733696253054E-4</v>
      </c>
      <c r="M1957" s="559">
        <f>'Progetto del paramento slu'!$G$60*(sezione!$AN$34-C1957)/C1957</f>
        <v>1.1797099492649472E-3</v>
      </c>
      <c r="N1957" s="559">
        <f>'Progetto del paramento slu'!$G$60*(sezione!$AO$34-C1957)/C1957</f>
        <v>2.6196207028849308E-3</v>
      </c>
      <c r="O1957" s="559">
        <f>'Progetto del paramento slu'!$G$60*(sezione!$AP$34-C1957)/C1957</f>
        <v>1.1798358549227872E-3</v>
      </c>
      <c r="P1957" s="553">
        <f>-'Progetto del paramento slu'!$G$47*'Progetto del paramento slu'!$G$41*IF(DATI!$G$218="dx",DATI!$E$61,DATI!$E$64*DATI!$E$63)*1000*C1957*sezione!$AD$5</f>
        <v>-2741037.3803220023</v>
      </c>
      <c r="Q1957" s="553">
        <f>'Foglio deposito bis'!$F$78*IF(ABS(K1957)&lt;'Progetto del paramento slu'!$G$58,ABS(K1957)*'Progetto del paramento slu'!$G$54,'Progetto del paramento slu'!$G$53)*IF(K1957&lt;0,-1,1)</f>
        <v>0</v>
      </c>
      <c r="R1957" s="553">
        <f>'Foglio deposito bis'!$F$79*IF(ABS(L1957)&lt;'Progetto del paramento slu'!$G$58,ABS(L1957)*'Progetto del paramento slu'!$G$54,'Progetto del paramento slu'!$G$53)*IF(L1957&lt;0,-1,1)</f>
        <v>-64730.345556682856</v>
      </c>
      <c r="S1957" s="553">
        <f>'Foglio deposito bis'!$F$80*IF(ABS(M1957)&lt;'Progetto del paramento slu'!$G$58,ABS(M1957)*'Progetto del paramento slu'!$G$54,'Progetto del paramento slu'!$G$53)*IF(M1957&lt;0,-1,1)</f>
        <v>0</v>
      </c>
      <c r="T1957" s="553">
        <f>'Foglio deposito bis'!$F$81*IF(ABS(N1957)&lt;'Progetto del paramento slu'!$G$58,ABS(N1957)*'Progetto del paramento slu'!$G$54,'Progetto del paramento slu'!$G$53)*IF(N1957&lt;0,-1,1)</f>
        <v>398299.31208121032</v>
      </c>
      <c r="U1957" s="553">
        <f>'Foglio deposito bis'!$F$82*IF(ABS(O1957)&lt;'Progetto del paramento slu'!$G$58,ABS(O1957)*'Progetto del paramento slu'!$G$54,'Progetto del paramento slu'!$G$53)*IF(O1957&lt;0,-1,1)</f>
        <v>554338.83387759468</v>
      </c>
      <c r="V1957" s="479">
        <f t="shared" si="146"/>
        <v>-1853129.5799198803</v>
      </c>
      <c r="W1957" s="559"/>
      <c r="X1957" s="559"/>
    </row>
    <row r="1958" spans="1:24" x14ac:dyDescent="0.25">
      <c r="A1958" s="553">
        <f t="shared" si="145"/>
        <v>1959785.2072639917</v>
      </c>
      <c r="B1958" s="3">
        <f t="shared" si="143"/>
        <v>48.899999999999942</v>
      </c>
      <c r="C1958" s="553">
        <f>'Foglio deposito bis'!$E$160/sezione!$B$247*B1958</f>
        <v>198.51613078354302</v>
      </c>
      <c r="D1958" s="611">
        <f>-'Progetto del paramento slu'!$G$47*'Progetto del paramento slu'!$G$41*IF(DATI!$G$218="dx",DATI!$E$61,DATI!$E$64*DATI!$E$63)*1000*C1958^2*sezione!$AD$5*(1-sezione!$AD$6)</f>
        <v>-324412031.76212746</v>
      </c>
      <c r="E1958" s="553">
        <f>-'Foglio deposito bis'!$F$78*(C1958-sezione!$AL$34)*IF(ABS(K1958)&lt;'Progetto del paramento slu'!$G$58,ABS(K1958)*'Progetto del paramento slu'!$G$54,'Progetto del paramento slu'!$G$53)</f>
        <v>0</v>
      </c>
      <c r="F1958" s="553">
        <f>-'Foglio deposito bis'!$F$79*(C1958-sezione!$AM$34)*IF(ABS(L1958)&lt;'Progetto del paramento slu'!$G$58,ABS(L1958)*'Progetto del paramento slu'!$G$54,'Progetto del paramento slu'!$G$53)</f>
        <v>-3357157.0995228481</v>
      </c>
      <c r="G1958" s="553">
        <f>-'Foglio deposito bis'!$F$80*(C1958-sezione!$AN$34)*IF(ABS(M1958)&lt;'Progetto del paramento slu'!$G$58,ABS(M1958)*'Progetto del paramento slu'!$G$54,'Progetto del paramento slu'!$G$53)</f>
        <v>0</v>
      </c>
      <c r="H1958" s="553">
        <f>-'Foglio deposito bis'!$F$81*(C1958-sezione!$AO$34)*IF(ABS(N1958)&lt;'Progetto del paramento slu'!$G$58,ABS(N1958)*'Progetto del paramento slu'!$G$54,'Progetto del paramento slu'!$G$53)</f>
        <v>56352927.779502742</v>
      </c>
      <c r="I1958" s="479">
        <f>-'Foglio deposito bis'!$F$82*(C1958-sezione!$AP$34)*IF(ABS(O1958)&lt;'Progetto del paramento slu'!$G$58,ABS(O1958)*'Progetto del paramento slu'!$G$54,'Progetto del paramento slu'!$G$53)</f>
        <v>31321831.766569234</v>
      </c>
      <c r="J1958" s="479">
        <f t="shared" si="144"/>
        <v>-240094429.31557831</v>
      </c>
      <c r="K1958" s="558">
        <f>'Progetto del paramento slu'!$G$60*(sezione!$AL$34-C1958)/C1958</f>
        <v>-2.794767637030703E-3</v>
      </c>
      <c r="L1958" s="558">
        <f>'Progetto del paramento slu'!$G$60*(sezione!$AM$34-C1958)/C1958</f>
        <v>-8.5537863886513718E-4</v>
      </c>
      <c r="M1958" s="559">
        <f>'Progetto del paramento slu'!$G$60*(sezione!$AN$34-C1958)/C1958</f>
        <v>1.0840103593004291E-3</v>
      </c>
      <c r="N1958" s="559">
        <f>'Progetto del paramento slu'!$G$60*(sezione!$AO$34-C1958)/C1958</f>
        <v>2.4944750852390228E-3</v>
      </c>
      <c r="O1958" s="559">
        <f>'Progetto del paramento slu'!$G$60*(sezione!$AP$34-C1958)/C1958</f>
        <v>1.0841336902004401E-3</v>
      </c>
      <c r="P1958" s="553">
        <f>-'Progetto del paramento slu'!$G$47*'Progetto del paramento slu'!$G$41*IF(DATI!$G$218="dx",DATI!$E$61,DATI!$E$64*DATI!$E$63)*1000*C1958*sezione!$AD$5</f>
        <v>-2798261.5427504359</v>
      </c>
      <c r="Q1958" s="553">
        <f>'Foglio deposito bis'!$F$78*IF(ABS(K1958)&lt;'Progetto del paramento slu'!$G$58,ABS(K1958)*'Progetto del paramento slu'!$G$54,'Progetto del paramento slu'!$G$53)*IF(K1958&lt;0,-1,1)</f>
        <v>0</v>
      </c>
      <c r="R1958" s="553">
        <f>'Foglio deposito bis'!$F$79*IF(ABS(L1958)&lt;'Progetto del paramento slu'!$G$58,ABS(L1958)*'Progetto del paramento slu'!$G$54,'Progetto del paramento slu'!$G$53)*IF(L1958&lt;0,-1,1)</f>
        <v>-69196.719633331057</v>
      </c>
      <c r="S1958" s="553">
        <f>'Foglio deposito bis'!$F$80*IF(ABS(M1958)&lt;'Progetto del paramento slu'!$G$58,ABS(M1958)*'Progetto del paramento slu'!$G$54,'Progetto del paramento slu'!$G$53)*IF(M1958&lt;0,-1,1)</f>
        <v>0</v>
      </c>
      <c r="T1958" s="553">
        <f>'Foglio deposito bis'!$F$81*IF(ABS(N1958)&lt;'Progetto del paramento slu'!$G$58,ABS(N1958)*'Progetto del paramento slu'!$G$54,'Progetto del paramento slu'!$G$53)*IF(N1958&lt;0,-1,1)</f>
        <v>398299.31208121032</v>
      </c>
      <c r="U1958" s="553">
        <f>'Foglio deposito bis'!$F$82*IF(ABS(O1958)&lt;'Progetto del paramento slu'!$G$58,ABS(O1958)*'Progetto del paramento slu'!$G$54,'Progetto del paramento slu'!$G$53)*IF(O1958&lt;0,-1,1)</f>
        <v>509373.74303856492</v>
      </c>
      <c r="V1958" s="479">
        <f t="shared" si="146"/>
        <v>-1959785.2072639917</v>
      </c>
      <c r="W1958" s="559"/>
      <c r="X1958" s="559"/>
    </row>
    <row r="1959" spans="1:24" x14ac:dyDescent="0.25">
      <c r="A1959" s="553">
        <f t="shared" si="145"/>
        <v>2064459.6135694</v>
      </c>
      <c r="B1959" s="3">
        <f t="shared" si="143"/>
        <v>49.899999999999942</v>
      </c>
      <c r="C1959" s="553">
        <f>'Foglio deposito bis'!$E$160/sezione!$B$247*B1959</f>
        <v>202.57576535989361</v>
      </c>
      <c r="D1959" s="611">
        <f>-'Progetto del paramento slu'!$G$47*'Progetto del paramento slu'!$G$41*IF(DATI!$G$218="dx",DATI!$E$61,DATI!$E$64*DATI!$E$63)*1000*C1959^2*sezione!$AD$5*(1-sezione!$AD$6)</f>
        <v>-337816086.08529371</v>
      </c>
      <c r="E1959" s="553">
        <f>-'Foglio deposito bis'!$F$78*(C1959-sezione!$AL$34)*IF(ABS(K1959)&lt;'Progetto del paramento slu'!$G$58,ABS(K1959)*'Progetto del paramento slu'!$G$54,'Progetto del paramento slu'!$G$53)</f>
        <v>0</v>
      </c>
      <c r="F1959" s="553">
        <f>-'Foglio deposito bis'!$F$79*(C1959-sezione!$AM$34)*IF(ABS(L1959)&lt;'Progetto del paramento slu'!$G$58,ABS(L1959)*'Progetto del paramento slu'!$G$54,'Progetto del paramento slu'!$G$53)</f>
        <v>-3863481.7856713738</v>
      </c>
      <c r="G1959" s="553">
        <f>-'Foglio deposito bis'!$F$80*(C1959-sezione!$AN$34)*IF(ABS(M1959)&lt;'Progetto del paramento slu'!$G$58,ABS(M1959)*'Progetto del paramento slu'!$G$54,'Progetto del paramento slu'!$G$53)</f>
        <v>0</v>
      </c>
      <c r="H1959" s="553">
        <f>-'Foglio deposito bis'!$F$81*(C1959-sezione!$AO$34)*IF(ABS(N1959)&lt;'Progetto del paramento slu'!$G$58,ABS(N1959)*'Progetto del paramento slu'!$G$54,'Progetto del paramento slu'!$G$53)</f>
        <v>54735978.120441206</v>
      </c>
      <c r="I1959" s="479">
        <f>-'Foglio deposito bis'!$F$82*(C1959-sezione!$AP$34)*IF(ABS(O1959)&lt;'Progetto del paramento slu'!$G$58,ABS(O1959)*'Progetto del paramento slu'!$G$54,'Progetto del paramento slu'!$G$53)</f>
        <v>26775063.065338936</v>
      </c>
      <c r="J1959" s="479">
        <f t="shared" si="144"/>
        <v>-260168526.68518493</v>
      </c>
      <c r="K1959" s="558">
        <f>'Progetto del paramento slu'!$G$60*(sezione!$AL$34-C1959)/C1959</f>
        <v>-2.8089005501162603E-3</v>
      </c>
      <c r="L1959" s="558">
        <f>'Progetto del paramento slu'!$G$60*(sezione!$AM$34-C1959)/C1959</f>
        <v>-9.0837706293597623E-4</v>
      </c>
      <c r="M1959" s="559">
        <f>'Progetto del paramento slu'!$G$60*(sezione!$AN$34-C1959)/C1959</f>
        <v>9.9214642424430783E-4</v>
      </c>
      <c r="N1959" s="559">
        <f>'Progetto del paramento slu'!$G$60*(sezione!$AO$34-C1959)/C1959</f>
        <v>2.3743453240117874E-3</v>
      </c>
      <c r="O1959" s="559">
        <f>'Progetto del paramento slu'!$G$60*(sezione!$AP$34-C1959)/C1959</f>
        <v>9.9226728358319644E-4</v>
      </c>
      <c r="P1959" s="553">
        <f>-'Progetto del paramento slu'!$G$47*'Progetto del paramento slu'!$G$41*IF(DATI!$G$218="dx",DATI!$E$61,DATI!$E$64*DATI!$E$63)*1000*C1959*sezione!$AD$5</f>
        <v>-2855485.7051788708</v>
      </c>
      <c r="Q1959" s="553">
        <f>'Foglio deposito bis'!$F$78*IF(ABS(K1959)&lt;'Progetto del paramento slu'!$G$58,ABS(K1959)*'Progetto del paramento slu'!$G$54,'Progetto del paramento slu'!$G$53)*IF(K1959&lt;0,-1,1)</f>
        <v>0</v>
      </c>
      <c r="R1959" s="553">
        <f>'Foglio deposito bis'!$F$79*IF(ABS(L1959)&lt;'Progetto del paramento slu'!$G$58,ABS(L1959)*'Progetto del paramento slu'!$G$54,'Progetto del paramento slu'!$G$53)*IF(L1959&lt;0,-1,1)</f>
        <v>-73484.08072093525</v>
      </c>
      <c r="S1959" s="553">
        <f>'Foglio deposito bis'!$F$80*IF(ABS(M1959)&lt;'Progetto del paramento slu'!$G$58,ABS(M1959)*'Progetto del paramento slu'!$G$54,'Progetto del paramento slu'!$G$53)*IF(M1959&lt;0,-1,1)</f>
        <v>0</v>
      </c>
      <c r="T1959" s="553">
        <f>'Foglio deposito bis'!$F$81*IF(ABS(N1959)&lt;'Progetto del paramento slu'!$G$58,ABS(N1959)*'Progetto del paramento slu'!$G$54,'Progetto del paramento slu'!$G$53)*IF(N1959&lt;0,-1,1)</f>
        <v>398299.31208121032</v>
      </c>
      <c r="U1959" s="553">
        <f>'Foglio deposito bis'!$F$82*IF(ABS(O1959)&lt;'Progetto del paramento slu'!$G$58,ABS(O1959)*'Progetto del paramento slu'!$G$54,'Progetto del paramento slu'!$G$53)*IF(O1959&lt;0,-1,1)</f>
        <v>466210.86024919542</v>
      </c>
      <c r="V1959" s="479">
        <f t="shared" si="146"/>
        <v>-2064459.6135694</v>
      </c>
      <c r="W1959" s="559"/>
      <c r="X1959" s="559"/>
    </row>
    <row r="1960" spans="1:24" x14ac:dyDescent="0.25">
      <c r="A1960" s="553">
        <f t="shared" si="145"/>
        <v>2167269.5702136299</v>
      </c>
      <c r="B1960" s="3">
        <f t="shared" si="143"/>
        <v>50.899999999999942</v>
      </c>
      <c r="C1960" s="553">
        <f>'Foglio deposito bis'!$E$160/sezione!$B$247*B1960</f>
        <v>206.63539993624417</v>
      </c>
      <c r="D1960" s="611">
        <f>-'Progetto del paramento slu'!$G$47*'Progetto del paramento slu'!$G$41*IF(DATI!$G$218="dx",DATI!$E$61,DATI!$E$64*DATI!$E$63)*1000*C1960^2*sezione!$AD$5*(1-sezione!$AD$6)</f>
        <v>-351491477.54050767</v>
      </c>
      <c r="E1960" s="553">
        <f>-'Foglio deposito bis'!$F$78*(C1960-sezione!$AL$34)*IF(ABS(K1960)&lt;'Progetto del paramento slu'!$G$58,ABS(K1960)*'Progetto del paramento slu'!$G$54,'Progetto del paramento slu'!$G$53)</f>
        <v>0</v>
      </c>
      <c r="F1960" s="553">
        <f>-'Foglio deposito bis'!$F$79*(C1960-sezione!$AM$34)*IF(ABS(L1960)&lt;'Progetto del paramento slu'!$G$58,ABS(L1960)*'Progetto del paramento slu'!$G$54,'Progetto del paramento slu'!$G$53)</f>
        <v>-4395075.7906073462</v>
      </c>
      <c r="G1960" s="553">
        <f>-'Foglio deposito bis'!$F$80*(C1960-sezione!$AN$34)*IF(ABS(M1960)&lt;'Progetto del paramento slu'!$G$58,ABS(M1960)*'Progetto del paramento slu'!$G$54,'Progetto del paramento slu'!$G$53)</f>
        <v>0</v>
      </c>
      <c r="H1960" s="553">
        <f>-'Foglio deposito bis'!$F$81*(C1960-sezione!$AO$34)*IF(ABS(N1960)&lt;'Progetto del paramento slu'!$G$58,ABS(N1960)*'Progetto del paramento slu'!$G$54,'Progetto del paramento slu'!$G$53)</f>
        <v>53119028.461379685</v>
      </c>
      <c r="I1960" s="479">
        <f>-'Foglio deposito bis'!$F$82*(C1960-sezione!$AP$34)*IF(ABS(O1960)&lt;'Progetto del paramento slu'!$G$58,ABS(O1960)*'Progetto del paramento slu'!$G$54,'Progetto del paramento slu'!$G$53)</f>
        <v>22669262.987208929</v>
      </c>
      <c r="J1960" s="479">
        <f t="shared" si="144"/>
        <v>-280098261.8825264</v>
      </c>
      <c r="K1960" s="558">
        <f>'Progetto del paramento slu'!$G$60*(sezione!$AL$34-C1960)/C1960</f>
        <v>-2.8224781424518938E-3</v>
      </c>
      <c r="L1960" s="558">
        <f>'Progetto del paramento slu'!$G$60*(sezione!$AM$34-C1960)/C1960</f>
        <v>-9.5929303419460131E-4</v>
      </c>
      <c r="M1960" s="559">
        <f>'Progetto del paramento slu'!$G$60*(sezione!$AN$34-C1960)/C1960</f>
        <v>9.0389207406269109E-4</v>
      </c>
      <c r="N1960" s="559">
        <f>'Progetto del paramento slu'!$G$60*(sezione!$AO$34-C1960)/C1960</f>
        <v>2.2589357891589037E-3</v>
      </c>
      <c r="O1960" s="559">
        <f>'Progetto del paramento slu'!$G$60*(sezione!$AP$34-C1960)/C1960</f>
        <v>9.0401055895484314E-4</v>
      </c>
      <c r="P1960" s="553">
        <f>-'Progetto del paramento slu'!$G$47*'Progetto del paramento slu'!$G$41*IF(DATI!$G$218="dx",DATI!$E$61,DATI!$E$64*DATI!$E$63)*1000*C1960*sezione!$AD$5</f>
        <v>-2912709.8676073048</v>
      </c>
      <c r="Q1960" s="553">
        <f>'Foglio deposito bis'!$F$78*IF(ABS(K1960)&lt;'Progetto del paramento slu'!$G$58,ABS(K1960)*'Progetto del paramento slu'!$G$54,'Progetto del paramento slu'!$G$53)*IF(K1960&lt;0,-1,1)</f>
        <v>0</v>
      </c>
      <c r="R1960" s="553">
        <f>'Foglio deposito bis'!$F$79*IF(ABS(L1960)&lt;'Progetto del paramento slu'!$G$58,ABS(L1960)*'Progetto del paramento slu'!$G$54,'Progetto del paramento slu'!$G$53)*IF(L1960&lt;0,-1,1)</f>
        <v>-77602.979683289755</v>
      </c>
      <c r="S1960" s="553">
        <f>'Foglio deposito bis'!$F$80*IF(ABS(M1960)&lt;'Progetto del paramento slu'!$G$58,ABS(M1960)*'Progetto del paramento slu'!$G$54,'Progetto del paramento slu'!$G$53)*IF(M1960&lt;0,-1,1)</f>
        <v>0</v>
      </c>
      <c r="T1960" s="553">
        <f>'Foglio deposito bis'!$F$81*IF(ABS(N1960)&lt;'Progetto del paramento slu'!$G$58,ABS(N1960)*'Progetto del paramento slu'!$G$54,'Progetto del paramento slu'!$G$53)*IF(N1960&lt;0,-1,1)</f>
        <v>398299.31208121032</v>
      </c>
      <c r="U1960" s="553">
        <f>'Foglio deposito bis'!$F$82*IF(ABS(O1960)&lt;'Progetto del paramento slu'!$G$58,ABS(O1960)*'Progetto del paramento slu'!$G$54,'Progetto del paramento slu'!$G$53)*IF(O1960&lt;0,-1,1)</f>
        <v>424743.96499575436</v>
      </c>
      <c r="V1960" s="479">
        <f t="shared" si="146"/>
        <v>-2167269.5702136299</v>
      </c>
      <c r="W1960" s="559"/>
      <c r="X1960" s="559"/>
    </row>
    <row r="1961" spans="1:24" x14ac:dyDescent="0.25">
      <c r="A1961" s="553">
        <f t="shared" si="145"/>
        <v>2268322.8488533981</v>
      </c>
      <c r="B1961" s="3">
        <f t="shared" si="143"/>
        <v>51.899999999999942</v>
      </c>
      <c r="C1961" s="553">
        <f>'Foglio deposito bis'!$E$160/sezione!$B$247*B1961</f>
        <v>210.69503451259476</v>
      </c>
      <c r="D1961" s="611">
        <f>-'Progetto del paramento slu'!$G$47*'Progetto del paramento slu'!$G$41*IF(DATI!$G$218="dx",DATI!$E$61,DATI!$E$64*DATI!$E$63)*1000*C1961^2*sezione!$AD$5*(1-sezione!$AD$6)</f>
        <v>-365438206.12776977</v>
      </c>
      <c r="E1961" s="553">
        <f>-'Foglio deposito bis'!$F$78*(C1961-sezione!$AL$34)*IF(ABS(K1961)&lt;'Progetto del paramento slu'!$G$58,ABS(K1961)*'Progetto del paramento slu'!$G$54,'Progetto del paramento slu'!$G$53)</f>
        <v>0</v>
      </c>
      <c r="F1961" s="553">
        <f>-'Foglio deposito bis'!$F$79*(C1961-sezione!$AM$34)*IF(ABS(L1961)&lt;'Progetto del paramento slu'!$G$58,ABS(L1961)*'Progetto del paramento slu'!$G$54,'Progetto del paramento slu'!$G$53)</f>
        <v>-4950478.4600656023</v>
      </c>
      <c r="G1961" s="553">
        <f>-'Foglio deposito bis'!$F$80*(C1961-sezione!$AN$34)*IF(ABS(M1961)&lt;'Progetto del paramento slu'!$G$58,ABS(M1961)*'Progetto del paramento slu'!$G$54,'Progetto del paramento slu'!$G$53)</f>
        <v>0</v>
      </c>
      <c r="H1961" s="553">
        <f>-'Foglio deposito bis'!$F$81*(C1961-sezione!$AO$34)*IF(ABS(N1961)&lt;'Progetto del paramento slu'!$G$58,ABS(N1961)*'Progetto del paramento slu'!$G$54,'Progetto del paramento slu'!$G$53)</f>
        <v>51502078.802318148</v>
      </c>
      <c r="I1961" s="479">
        <f>-'Foglio deposito bis'!$F$82*(C1961-sezione!$AP$34)*IF(ABS(O1961)&lt;'Progetto del paramento slu'!$G$58,ABS(O1961)*'Progetto del paramento slu'!$G$54,'Progetto del paramento slu'!$G$53)</f>
        <v>18978942.016393017</v>
      </c>
      <c r="J1961" s="479">
        <f t="shared" si="144"/>
        <v>-299907663.76912421</v>
      </c>
      <c r="K1961" s="558">
        <f>'Progetto del paramento slu'!$G$60*(sezione!$AL$34-C1961)/C1961</f>
        <v>-2.8355325135029168E-3</v>
      </c>
      <c r="L1961" s="558">
        <f>'Progetto del paramento slu'!$G$60*(sezione!$AM$34-C1961)/C1961</f>
        <v>-1.0082469256359385E-3</v>
      </c>
      <c r="M1961" s="559">
        <f>'Progetto del paramento slu'!$G$60*(sezione!$AN$34-C1961)/C1961</f>
        <v>8.1903866223103977E-4</v>
      </c>
      <c r="N1961" s="559">
        <f>'Progetto del paramento slu'!$G$60*(sezione!$AO$34-C1961)/C1961</f>
        <v>2.1479736352252058E-3</v>
      </c>
      <c r="O1961" s="559">
        <f>'Progetto del paramento slu'!$G$60*(sezione!$AP$34-C1961)/C1961</f>
        <v>8.1915486417729287E-4</v>
      </c>
      <c r="P1961" s="553">
        <f>-'Progetto del paramento slu'!$G$47*'Progetto del paramento slu'!$G$41*IF(DATI!$G$218="dx",DATI!$E$61,DATI!$E$64*DATI!$E$63)*1000*C1961*sezione!$AD$5</f>
        <v>-2969934.0300357393</v>
      </c>
      <c r="Q1961" s="553">
        <f>'Foglio deposito bis'!$F$78*IF(ABS(K1961)&lt;'Progetto del paramento slu'!$G$58,ABS(K1961)*'Progetto del paramento slu'!$G$54,'Progetto del paramento slu'!$G$53)*IF(K1961&lt;0,-1,1)</f>
        <v>0</v>
      </c>
      <c r="R1961" s="553">
        <f>'Foglio deposito bis'!$F$79*IF(ABS(L1961)&lt;'Progetto del paramento slu'!$G$58,ABS(L1961)*'Progetto del paramento slu'!$G$54,'Progetto del paramento slu'!$G$53)*IF(L1961&lt;0,-1,1)</f>
        <v>-81563.154215495728</v>
      </c>
      <c r="S1961" s="553">
        <f>'Foglio deposito bis'!$F$80*IF(ABS(M1961)&lt;'Progetto del paramento slu'!$G$58,ABS(M1961)*'Progetto del paramento slu'!$G$54,'Progetto del paramento slu'!$G$53)*IF(M1961&lt;0,-1,1)</f>
        <v>0</v>
      </c>
      <c r="T1961" s="553">
        <f>'Foglio deposito bis'!$F$81*IF(ABS(N1961)&lt;'Progetto del paramento slu'!$G$58,ABS(N1961)*'Progetto del paramento slu'!$G$54,'Progetto del paramento slu'!$G$53)*IF(N1961&lt;0,-1,1)</f>
        <v>398299.31208121032</v>
      </c>
      <c r="U1961" s="553">
        <f>'Foglio deposito bis'!$F$82*IF(ABS(O1961)&lt;'Progetto del paramento slu'!$G$58,ABS(O1961)*'Progetto del paramento slu'!$G$54,'Progetto del paramento slu'!$G$53)*IF(O1961&lt;0,-1,1)</f>
        <v>384875.02331662667</v>
      </c>
      <c r="V1961" s="479">
        <f t="shared" si="146"/>
        <v>-2268322.8488533981</v>
      </c>
      <c r="W1961" s="559"/>
      <c r="X1961" s="559"/>
    </row>
    <row r="1962" spans="1:24" x14ac:dyDescent="0.25">
      <c r="A1962" s="553">
        <f t="shared" si="145"/>
        <v>2367719.0720598446</v>
      </c>
      <c r="B1962" s="3">
        <f t="shared" si="143"/>
        <v>52.899999999999942</v>
      </c>
      <c r="C1962" s="553">
        <f>'Foglio deposito bis'!$E$160/sezione!$B$247*B1962</f>
        <v>214.75466908894532</v>
      </c>
      <c r="D1962" s="611">
        <f>-'Progetto del paramento slu'!$G$47*'Progetto del paramento slu'!$G$41*IF(DATI!$G$218="dx",DATI!$E$61,DATI!$E$64*DATI!$E$63)*1000*C1962^2*sezione!$AD$5*(1-sezione!$AD$6)</f>
        <v>-379656271.84707958</v>
      </c>
      <c r="E1962" s="553">
        <f>-'Foglio deposito bis'!$F$78*(C1962-sezione!$AL$34)*IF(ABS(K1962)&lt;'Progetto del paramento slu'!$G$58,ABS(K1962)*'Progetto del paramento slu'!$G$54,'Progetto del paramento slu'!$G$53)</f>
        <v>0</v>
      </c>
      <c r="F1962" s="553">
        <f>-'Foglio deposito bis'!$F$79*(C1962-sezione!$AM$34)*IF(ABS(L1962)&lt;'Progetto del paramento slu'!$G$58,ABS(L1962)*'Progetto del paramento slu'!$G$54,'Progetto del paramento slu'!$G$53)</f>
        <v>-5528339.5862282384</v>
      </c>
      <c r="G1962" s="553">
        <f>-'Foglio deposito bis'!$F$80*(C1962-sezione!$AN$34)*IF(ABS(M1962)&lt;'Progetto del paramento slu'!$G$58,ABS(M1962)*'Progetto del paramento slu'!$G$54,'Progetto del paramento slu'!$G$53)</f>
        <v>0</v>
      </c>
      <c r="H1962" s="553">
        <f>-'Foglio deposito bis'!$F$81*(C1962-sezione!$AO$34)*IF(ABS(N1962)&lt;'Progetto del paramento slu'!$G$58,ABS(N1962)*'Progetto del paramento slu'!$G$54,'Progetto del paramento slu'!$G$53)</f>
        <v>49885129.143256627</v>
      </c>
      <c r="I1962" s="479">
        <f>-'Foglio deposito bis'!$F$82*(C1962-sezione!$AP$34)*IF(ABS(O1962)&lt;'Progetto del paramento slu'!$G$58,ABS(O1962)*'Progetto del paramento slu'!$G$54,'Progetto del paramento slu'!$G$53)</f>
        <v>15680538.010699525</v>
      </c>
      <c r="J1962" s="479">
        <f t="shared" si="144"/>
        <v>-319618944.27935171</v>
      </c>
      <c r="K1962" s="558">
        <f>'Progetto del paramento slu'!$G$60*(sezione!$AL$34-C1962)/C1962</f>
        <v>-2.8480933355539014E-3</v>
      </c>
      <c r="L1962" s="558">
        <f>'Progetto del paramento slu'!$G$60*(sezione!$AM$34-C1962)/C1962</f>
        <v>-1.0553500083271307E-3</v>
      </c>
      <c r="M1962" s="559">
        <f>'Progetto del paramento slu'!$G$60*(sezione!$AN$34-C1962)/C1962</f>
        <v>7.3739331889964034E-4</v>
      </c>
      <c r="N1962" s="559">
        <f>'Progetto del paramento slu'!$G$60*(sezione!$AO$34-C1962)/C1962</f>
        <v>2.0412066477918374E-3</v>
      </c>
      <c r="O1962" s="559">
        <f>'Progetto del paramento slu'!$G$60*(sezione!$AP$34-C1962)/C1962</f>
        <v>7.375073242117488E-4</v>
      </c>
      <c r="P1962" s="553">
        <f>-'Progetto del paramento slu'!$G$47*'Progetto del paramento slu'!$G$41*IF(DATI!$G$218="dx",DATI!$E$61,DATI!$E$64*DATI!$E$63)*1000*C1962*sezione!$AD$5</f>
        <v>-3027158.1924641733</v>
      </c>
      <c r="Q1962" s="553">
        <f>'Foglio deposito bis'!$F$78*IF(ABS(K1962)&lt;'Progetto del paramento slu'!$G$58,ABS(K1962)*'Progetto del paramento slu'!$G$54,'Progetto del paramento slu'!$G$53)*IF(K1962&lt;0,-1,1)</f>
        <v>0</v>
      </c>
      <c r="R1962" s="553">
        <f>'Foglio deposito bis'!$F$79*IF(ABS(L1962)&lt;'Progetto del paramento slu'!$G$58,ABS(L1962)*'Progetto del paramento slu'!$G$54,'Progetto del paramento slu'!$G$53)*IF(L1962&lt;0,-1,1)</f>
        <v>-85373.605703005844</v>
      </c>
      <c r="S1962" s="553">
        <f>'Foglio deposito bis'!$F$80*IF(ABS(M1962)&lt;'Progetto del paramento slu'!$G$58,ABS(M1962)*'Progetto del paramento slu'!$G$54,'Progetto del paramento slu'!$G$53)*IF(M1962&lt;0,-1,1)</f>
        <v>0</v>
      </c>
      <c r="T1962" s="553">
        <f>'Foglio deposito bis'!$F$81*IF(ABS(N1962)&lt;'Progetto del paramento slu'!$G$58,ABS(N1962)*'Progetto del paramento slu'!$G$54,'Progetto del paramento slu'!$G$53)*IF(N1962&lt;0,-1,1)</f>
        <v>398299.31208121032</v>
      </c>
      <c r="U1962" s="553">
        <f>'Foglio deposito bis'!$F$82*IF(ABS(O1962)&lt;'Progetto del paramento slu'!$G$58,ABS(O1962)*'Progetto del paramento slu'!$G$54,'Progetto del paramento slu'!$G$53)*IF(O1962&lt;0,-1,1)</f>
        <v>346513.41402612417</v>
      </c>
      <c r="V1962" s="479">
        <f t="shared" si="146"/>
        <v>-2367719.0720598446</v>
      </c>
      <c r="W1962" s="559"/>
      <c r="X1962" s="559"/>
    </row>
    <row r="1963" spans="1:24" x14ac:dyDescent="0.25">
      <c r="A1963" s="553">
        <f t="shared" si="145"/>
        <v>2465550.4692633972</v>
      </c>
      <c r="B1963" s="3">
        <f t="shared" si="143"/>
        <v>53.899999999999942</v>
      </c>
      <c r="C1963" s="553">
        <f>'Foglio deposito bis'!$E$160/sezione!$B$247*B1963</f>
        <v>218.81430366529591</v>
      </c>
      <c r="D1963" s="611">
        <f>-'Progetto del paramento slu'!$G$47*'Progetto del paramento slu'!$G$41*IF(DATI!$G$218="dx",DATI!$E$61,DATI!$E$64*DATI!$E$63)*1000*C1963^2*sezione!$AD$5*(1-sezione!$AD$6)</f>
        <v>-394145674.69843733</v>
      </c>
      <c r="E1963" s="553">
        <f>-'Foglio deposito bis'!$F$78*(C1963-sezione!$AL$34)*IF(ABS(K1963)&lt;'Progetto del paramento slu'!$G$58,ABS(K1963)*'Progetto del paramento slu'!$G$54,'Progetto del paramento slu'!$G$53)</f>
        <v>0</v>
      </c>
      <c r="F1963" s="553">
        <f>-'Foglio deposito bis'!$F$79*(C1963-sezione!$AM$34)*IF(ABS(L1963)&lt;'Progetto del paramento slu'!$G$58,ABS(L1963)*'Progetto del paramento slu'!$G$54,'Progetto del paramento slu'!$G$53)</f>
        <v>-6127409.1622285964</v>
      </c>
      <c r="G1963" s="553">
        <f>-'Foglio deposito bis'!$F$80*(C1963-sezione!$AN$34)*IF(ABS(M1963)&lt;'Progetto del paramento slu'!$G$58,ABS(M1963)*'Progetto del paramento slu'!$G$54,'Progetto del paramento slu'!$G$53)</f>
        <v>0</v>
      </c>
      <c r="H1963" s="553">
        <f>-'Foglio deposito bis'!$F$81*(C1963-sezione!$AO$34)*IF(ABS(N1963)&lt;'Progetto del paramento slu'!$G$58,ABS(N1963)*'Progetto del paramento slu'!$G$54,'Progetto del paramento slu'!$G$53)</f>
        <v>48268179.484195091</v>
      </c>
      <c r="I1963" s="479">
        <f>-'Foglio deposito bis'!$F$82*(C1963-sezione!$AP$34)*IF(ABS(O1963)&lt;'Progetto del paramento slu'!$G$58,ABS(O1963)*'Progetto del paramento slu'!$G$54,'Progetto del paramento slu'!$G$53)</f>
        <v>12752237.409917507</v>
      </c>
      <c r="J1963" s="479">
        <f t="shared" si="144"/>
        <v>-339252666.96655327</v>
      </c>
      <c r="K1963" s="558">
        <f>'Progetto del paramento slu'!$G$60*(sezione!$AL$34-C1963)/C1963</f>
        <v>-2.8601880788645898E-3</v>
      </c>
      <c r="L1963" s="558">
        <f>'Progetto del paramento slu'!$G$60*(sezione!$AM$34-C1963)/C1963</f>
        <v>-1.100705295742212E-3</v>
      </c>
      <c r="M1963" s="559">
        <f>'Progetto del paramento slu'!$G$60*(sezione!$AN$34-C1963)/C1963</f>
        <v>6.587774873801661E-4</v>
      </c>
      <c r="N1963" s="559">
        <f>'Progetto del paramento slu'!$G$60*(sezione!$AO$34-C1963)/C1963</f>
        <v>1.9384013296509866E-3</v>
      </c>
      <c r="O1963" s="559">
        <f>'Progetto del paramento slu'!$G$60*(sezione!$AP$34-C1963)/C1963</f>
        <v>6.588893775658904E-4</v>
      </c>
      <c r="P1963" s="553">
        <f>-'Progetto del paramento slu'!$G$47*'Progetto del paramento slu'!$G$41*IF(DATI!$G$218="dx",DATI!$E$61,DATI!$E$64*DATI!$E$63)*1000*C1963*sezione!$AD$5</f>
        <v>-3084382.3548926078</v>
      </c>
      <c r="Q1963" s="553">
        <f>'Foglio deposito bis'!$F$78*IF(ABS(K1963)&lt;'Progetto del paramento slu'!$G$58,ABS(K1963)*'Progetto del paramento slu'!$G$54,'Progetto del paramento slu'!$G$53)*IF(K1963&lt;0,-1,1)</f>
        <v>0</v>
      </c>
      <c r="R1963" s="553">
        <f>'Foglio deposito bis'!$F$79*IF(ABS(L1963)&lt;'Progetto del paramento slu'!$G$58,ABS(L1963)*'Progetto del paramento slu'!$G$54,'Progetto del paramento slu'!$G$53)*IF(L1963&lt;0,-1,1)</f>
        <v>-89042.667524931167</v>
      </c>
      <c r="S1963" s="553">
        <f>'Foglio deposito bis'!$F$80*IF(ABS(M1963)&lt;'Progetto del paramento slu'!$G$58,ABS(M1963)*'Progetto del paramento slu'!$G$54,'Progetto del paramento slu'!$G$53)*IF(M1963&lt;0,-1,1)</f>
        <v>0</v>
      </c>
      <c r="T1963" s="553">
        <f>'Foglio deposito bis'!$F$81*IF(ABS(N1963)&lt;'Progetto del paramento slu'!$G$58,ABS(N1963)*'Progetto del paramento slu'!$G$54,'Progetto del paramento slu'!$G$53)*IF(N1963&lt;0,-1,1)</f>
        <v>398299.31208121032</v>
      </c>
      <c r="U1963" s="553">
        <f>'Foglio deposito bis'!$F$82*IF(ABS(O1963)&lt;'Progetto del paramento slu'!$G$58,ABS(O1963)*'Progetto del paramento slu'!$G$54,'Progetto del paramento slu'!$G$53)*IF(O1963&lt;0,-1,1)</f>
        <v>309575.24107293127</v>
      </c>
      <c r="V1963" s="479">
        <f t="shared" si="146"/>
        <v>-2465550.4692633972</v>
      </c>
      <c r="W1963" s="559"/>
      <c r="X1963" s="559"/>
    </row>
    <row r="1964" spans="1:24" x14ac:dyDescent="0.25">
      <c r="A1964" s="553">
        <f t="shared" si="145"/>
        <v>2574524.2752455873</v>
      </c>
      <c r="B1964" s="3">
        <f t="shared" si="143"/>
        <v>54.899999999999942</v>
      </c>
      <c r="C1964" s="553">
        <f>'Foglio deposito bis'!$E$160/sezione!$B$247*B1964</f>
        <v>222.8739382416465</v>
      </c>
      <c r="D1964" s="611">
        <f>-'Progetto del paramento slu'!$G$47*'Progetto del paramento slu'!$G$41*IF(DATI!$G$218="dx",DATI!$E$61,DATI!$E$64*DATI!$E$63)*1000*C1964^2*sezione!$AD$5*(1-sezione!$AD$6)</f>
        <v>-408906414.6818431</v>
      </c>
      <c r="E1964" s="553">
        <f>-'Foglio deposito bis'!$F$78*(C1964-sezione!$AL$34)*IF(ABS(K1964)&lt;'Progetto del paramento slu'!$G$58,ABS(K1964)*'Progetto del paramento slu'!$G$54,'Progetto del paramento slu'!$G$53)</f>
        <v>0</v>
      </c>
      <c r="F1964" s="553">
        <f>-'Foglio deposito bis'!$F$79*(C1964-sezione!$AM$34)*IF(ABS(L1964)&lt;'Progetto del paramento slu'!$G$58,ABS(L1964)*'Progetto del paramento slu'!$G$54,'Progetto del paramento slu'!$G$53)</f>
        <v>-6746528.2563815499</v>
      </c>
      <c r="G1964" s="553">
        <f>-'Foglio deposito bis'!$F$80*(C1964-sezione!$AN$34)*IF(ABS(M1964)&lt;'Progetto del paramento slu'!$G$58,ABS(M1964)*'Progetto del paramento slu'!$G$54,'Progetto del paramento slu'!$G$53)</f>
        <v>0</v>
      </c>
      <c r="H1964" s="553">
        <f>-'Foglio deposito bis'!$F$81*(C1964-sezione!$AO$34)*IF(ABS(N1964)&lt;'Progetto del paramento slu'!$G$58,ABS(N1964)*'Progetto del paramento slu'!$G$54,'Progetto del paramento slu'!$G$53)</f>
        <v>45172896.86409121</v>
      </c>
      <c r="I1964" s="479">
        <f>-'Foglio deposito bis'!$F$82*(C1964-sezione!$AP$34)*IF(ABS(O1964)&lt;'Progetto del paramento slu'!$G$58,ABS(O1964)*'Progetto del paramento slu'!$G$54,'Progetto del paramento slu'!$G$53)</f>
        <v>10173815.984270407</v>
      </c>
      <c r="J1964" s="479">
        <f t="shared" si="144"/>
        <v>-360306230.08986306</v>
      </c>
      <c r="K1964" s="558">
        <f>'Progetto del paramento slu'!$G$60*(sezione!$AL$34-C1964)/C1964</f>
        <v>-2.8718422122186046E-3</v>
      </c>
      <c r="L1964" s="558">
        <f>'Progetto del paramento slu'!$G$60*(sezione!$AM$34-C1964)/C1964</f>
        <v>-1.1444082958197673E-3</v>
      </c>
      <c r="M1964" s="559">
        <f>'Progetto del paramento slu'!$G$60*(sezione!$AN$34-C1964)/C1964</f>
        <v>5.8302562057906994E-4</v>
      </c>
      <c r="N1964" s="559">
        <f>'Progetto del paramento slu'!$G$60*(sezione!$AO$34-C1964)/C1964</f>
        <v>1.8393411961418608E-3</v>
      </c>
      <c r="O1964" s="559">
        <f>'Progetto del paramento slu'!$G$60*(sezione!$AP$34-C1964)/C1964</f>
        <v>5.8313547269219456E-4</v>
      </c>
      <c r="P1964" s="553">
        <f>-'Progetto del paramento slu'!$G$47*'Progetto del paramento slu'!$G$41*IF(DATI!$G$218="dx",DATI!$E$61,DATI!$E$64*DATI!$E$63)*1000*C1964*sezione!$AD$5</f>
        <v>-3141606.5173210427</v>
      </c>
      <c r="Q1964" s="553">
        <f>'Foglio deposito bis'!$F$78*IF(ABS(K1964)&lt;'Progetto del paramento slu'!$G$58,ABS(K1964)*'Progetto del paramento slu'!$G$54,'Progetto del paramento slu'!$G$53)*IF(K1964&lt;0,-1,1)</f>
        <v>0</v>
      </c>
      <c r="R1964" s="553">
        <f>'Foglio deposito bis'!$F$79*IF(ABS(L1964)&lt;'Progetto del paramento slu'!$G$58,ABS(L1964)*'Progetto del paramento slu'!$G$54,'Progetto del paramento slu'!$G$53)*IF(L1964&lt;0,-1,1)</f>
        <v>-92578.065892505838</v>
      </c>
      <c r="S1964" s="553">
        <f>'Foglio deposito bis'!$F$80*IF(ABS(M1964)&lt;'Progetto del paramento slu'!$G$58,ABS(M1964)*'Progetto del paramento slu'!$G$54,'Progetto del paramento slu'!$G$53)*IF(M1964&lt;0,-1,1)</f>
        <v>0</v>
      </c>
      <c r="T1964" s="553">
        <f>'Foglio deposito bis'!$F$81*IF(ABS(N1964)&lt;'Progetto del paramento slu'!$G$58,ABS(N1964)*'Progetto del paramento slu'!$G$54,'Progetto del paramento slu'!$G$53)*IF(N1964&lt;0,-1,1)</f>
        <v>385677.5869173237</v>
      </c>
      <c r="U1964" s="553">
        <f>'Foglio deposito bis'!$F$82*IF(ABS(O1964)&lt;'Progetto del paramento slu'!$G$58,ABS(O1964)*'Progetto del paramento slu'!$G$54,'Progetto del paramento slu'!$G$53)*IF(O1964&lt;0,-1,1)</f>
        <v>273982.72105063801</v>
      </c>
      <c r="V1964" s="479">
        <f t="shared" si="146"/>
        <v>-2574524.2752455873</v>
      </c>
      <c r="W1964" s="559"/>
      <c r="X1964" s="559"/>
    </row>
    <row r="1965" spans="1:24" x14ac:dyDescent="0.25">
      <c r="A1965" s="553">
        <f t="shared" si="145"/>
        <v>2689504.4483784991</v>
      </c>
      <c r="B1965" s="3">
        <f t="shared" si="143"/>
        <v>55.899999999999942</v>
      </c>
      <c r="C1965" s="553">
        <f>'Foglio deposito bis'!$E$160/sezione!$B$247*B1965</f>
        <v>226.93357281799706</v>
      </c>
      <c r="D1965" s="611">
        <f>-'Progetto del paramento slu'!$G$47*'Progetto del paramento slu'!$G$41*IF(DATI!$G$218="dx",DATI!$E$61,DATI!$E$64*DATI!$E$63)*1000*C1965^2*sezione!$AD$5*(1-sezione!$AD$6)</f>
        <v>-423938491.79729658</v>
      </c>
      <c r="E1965" s="553">
        <f>-'Foglio deposito bis'!$F$78*(C1965-sezione!$AL$34)*IF(ABS(K1965)&lt;'Progetto del paramento slu'!$G$58,ABS(K1965)*'Progetto del paramento slu'!$G$54,'Progetto del paramento slu'!$G$53)</f>
        <v>0</v>
      </c>
      <c r="F1965" s="553">
        <f>-'Foglio deposito bis'!$F$79*(C1965-sezione!$AM$34)*IF(ABS(L1965)&lt;'Progetto del paramento slu'!$G$58,ABS(L1965)*'Progetto del paramento slu'!$G$54,'Progetto del paramento slu'!$G$53)</f>
        <v>-7384620.8659239896</v>
      </c>
      <c r="G1965" s="553">
        <f>-'Foglio deposito bis'!$F$80*(C1965-sezione!$AN$34)*IF(ABS(M1965)&lt;'Progetto del paramento slu'!$G$58,ABS(M1965)*'Progetto del paramento slu'!$G$54,'Progetto del paramento slu'!$G$53)</f>
        <v>0</v>
      </c>
      <c r="H1965" s="553">
        <f>-'Foglio deposito bis'!$F$81*(C1965-sezione!$AO$34)*IF(ABS(N1965)&lt;'Progetto del paramento slu'!$G$58,ABS(N1965)*'Progetto del paramento slu'!$G$54,'Progetto del paramento slu'!$G$53)</f>
        <v>41342690.376392983</v>
      </c>
      <c r="I1965" s="479">
        <f>-'Foglio deposito bis'!$F$82*(C1965-sezione!$AP$34)*IF(ABS(O1965)&lt;'Progetto del paramento slu'!$G$58,ABS(O1965)*'Progetto del paramento slu'!$G$54,'Progetto del paramento slu'!$G$53)</f>
        <v>7926496.6760586919</v>
      </c>
      <c r="J1965" s="479">
        <f t="shared" si="144"/>
        <v>-382053925.61076891</v>
      </c>
      <c r="K1965" s="558">
        <f>'Progetto del paramento slu'!$G$60*(sezione!$AL$34-C1965)/C1965</f>
        <v>-2.8830793819463576E-3</v>
      </c>
      <c r="L1965" s="558">
        <f>'Progetto del paramento slu'!$G$60*(sezione!$AM$34-C1965)/C1965</f>
        <v>-1.1865476822988412E-3</v>
      </c>
      <c r="M1965" s="559">
        <f>'Progetto del paramento slu'!$G$60*(sezione!$AN$34-C1965)/C1965</f>
        <v>5.0998401734867534E-4</v>
      </c>
      <c r="N1965" s="559">
        <f>'Progetto del paramento slu'!$G$60*(sezione!$AO$34-C1965)/C1965</f>
        <v>1.7438252534559601E-3</v>
      </c>
      <c r="O1965" s="559">
        <f>'Progetto del paramento slu'!$G$60*(sezione!$AP$34-C1965)/C1965</f>
        <v>5.1009190430771905E-4</v>
      </c>
      <c r="P1965" s="553">
        <f>-'Progetto del paramento slu'!$G$47*'Progetto del paramento slu'!$G$41*IF(DATI!$G$218="dx",DATI!$E$61,DATI!$E$64*DATI!$E$63)*1000*C1965*sezione!$AD$5</f>
        <v>-3198830.6797494763</v>
      </c>
      <c r="Q1965" s="553">
        <f>'Foglio deposito bis'!$F$78*IF(ABS(K1965)&lt;'Progetto del paramento slu'!$G$58,ABS(K1965)*'Progetto del paramento slu'!$G$54,'Progetto del paramento slu'!$G$53)*IF(K1965&lt;0,-1,1)</f>
        <v>0</v>
      </c>
      <c r="R1965" s="553">
        <f>'Foglio deposito bis'!$F$79*IF(ABS(L1965)&lt;'Progetto del paramento slu'!$G$58,ABS(L1965)*'Progetto del paramento slu'!$G$54,'Progetto del paramento slu'!$G$53)*IF(L1965&lt;0,-1,1)</f>
        <v>-95986.974157483899</v>
      </c>
      <c r="S1965" s="553">
        <f>'Foglio deposito bis'!$F$80*IF(ABS(M1965)&lt;'Progetto del paramento slu'!$G$58,ABS(M1965)*'Progetto del paramento slu'!$G$54,'Progetto del paramento slu'!$G$53)*IF(M1965&lt;0,-1,1)</f>
        <v>0</v>
      </c>
      <c r="T1965" s="553">
        <f>'Foglio deposito bis'!$F$81*IF(ABS(N1965)&lt;'Progetto del paramento slu'!$G$58,ABS(N1965)*'Progetto del paramento slu'!$G$54,'Progetto del paramento slu'!$G$53)*IF(N1965&lt;0,-1,1)</f>
        <v>365649.5690789246</v>
      </c>
      <c r="U1965" s="553">
        <f>'Foglio deposito bis'!$F$82*IF(ABS(O1965)&lt;'Progetto del paramento slu'!$G$58,ABS(O1965)*'Progetto del paramento slu'!$G$54,'Progetto del paramento slu'!$G$53)*IF(O1965&lt;0,-1,1)</f>
        <v>239663.63644953613</v>
      </c>
      <c r="V1965" s="479">
        <f t="shared" si="146"/>
        <v>-2689504.4483784991</v>
      </c>
      <c r="W1965" s="559"/>
      <c r="X1965" s="559"/>
    </row>
    <row r="1966" spans="1:24" x14ac:dyDescent="0.25">
      <c r="A1966" s="553">
        <f t="shared" si="145"/>
        <v>2802454.5332616959</v>
      </c>
      <c r="B1966" s="3">
        <f t="shared" si="143"/>
        <v>56.899999999999942</v>
      </c>
      <c r="C1966" s="553">
        <f>'Foglio deposito bis'!$E$160/sezione!$B$247*B1966</f>
        <v>230.99320739434765</v>
      </c>
      <c r="D1966" s="611">
        <f>-'Progetto del paramento slu'!$G$47*'Progetto del paramento slu'!$G$41*IF(DATI!$G$218="dx",DATI!$E$61,DATI!$E$64*DATI!$E$63)*1000*C1966^2*sezione!$AD$5*(1-sezione!$AD$6)</f>
        <v>-439241906.0447982</v>
      </c>
      <c r="E1966" s="553">
        <f>-'Foglio deposito bis'!$F$78*(C1966-sezione!$AL$34)*IF(ABS(K1966)&lt;'Progetto del paramento slu'!$G$58,ABS(K1966)*'Progetto del paramento slu'!$G$54,'Progetto del paramento slu'!$G$53)</f>
        <v>0</v>
      </c>
      <c r="F1966" s="553">
        <f>-'Foglio deposito bis'!$F$79*(C1966-sezione!$AM$34)*IF(ABS(L1966)&lt;'Progetto del paramento slu'!$G$58,ABS(L1966)*'Progetto del paramento slu'!$G$54,'Progetto del paramento slu'!$G$53)</f>
        <v>-8040686.6297633285</v>
      </c>
      <c r="G1966" s="553">
        <f>-'Foglio deposito bis'!$F$80*(C1966-sezione!$AN$34)*IF(ABS(M1966)&lt;'Progetto del paramento slu'!$G$58,ABS(M1966)*'Progetto del paramento slu'!$G$54,'Progetto del paramento slu'!$G$53)</f>
        <v>0</v>
      </c>
      <c r="H1966" s="553">
        <f>-'Foglio deposito bis'!$F$81*(C1966-sezione!$AO$34)*IF(ABS(N1966)&lt;'Progetto del paramento slu'!$G$58,ABS(N1966)*'Progetto del paramento slu'!$G$54,'Progetto del paramento slu'!$G$53)</f>
        <v>37751834.541245013</v>
      </c>
      <c r="I1966" s="479">
        <f>-'Foglio deposito bis'!$F$82*(C1966-sezione!$AP$34)*IF(ABS(O1966)&lt;'Progetto del paramento slu'!$G$58,ABS(O1966)*'Progetto del paramento slu'!$G$54,'Progetto del paramento slu'!$G$53)</f>
        <v>5992822.4316389859</v>
      </c>
      <c r="J1966" s="479">
        <f t="shared" si="144"/>
        <v>-403537935.70167756</v>
      </c>
      <c r="K1966" s="558">
        <f>'Progetto del paramento slu'!$G$60*(sezione!$AL$34-C1966)/C1966</f>
        <v>-2.8939215720703237E-3</v>
      </c>
      <c r="L1966" s="558">
        <f>'Progetto del paramento slu'!$G$60*(sezione!$AM$34-C1966)/C1966</f>
        <v>-1.2272058952637122E-3</v>
      </c>
      <c r="M1966" s="559">
        <f>'Progetto del paramento slu'!$G$60*(sezione!$AN$34-C1966)/C1966</f>
        <v>4.3950978154289869E-4</v>
      </c>
      <c r="N1966" s="559">
        <f>'Progetto del paramento slu'!$G$60*(sezione!$AO$34-C1966)/C1966</f>
        <v>1.6516666374022521E-3</v>
      </c>
      <c r="O1966" s="559">
        <f>'Progetto del paramento slu'!$G$60*(sezione!$AP$34-C1966)/C1966</f>
        <v>4.3961577242181859E-4</v>
      </c>
      <c r="P1966" s="553">
        <f>-'Progetto del paramento slu'!$G$47*'Progetto del paramento slu'!$G$41*IF(DATI!$G$218="dx",DATI!$E$61,DATI!$E$64*DATI!$E$63)*1000*C1966*sezione!$AD$5</f>
        <v>-3256054.8421779112</v>
      </c>
      <c r="Q1966" s="553">
        <f>'Foglio deposito bis'!$F$78*IF(ABS(K1966)&lt;'Progetto del paramento slu'!$G$58,ABS(K1966)*'Progetto del paramento slu'!$G$54,'Progetto del paramento slu'!$G$53)*IF(K1966&lt;0,-1,1)</f>
        <v>0</v>
      </c>
      <c r="R1966" s="553">
        <f>'Foglio deposito bis'!$F$79*IF(ABS(L1966)&lt;'Progetto del paramento slu'!$G$58,ABS(L1966)*'Progetto del paramento slu'!$G$54,'Progetto del paramento slu'!$G$53)*IF(L1966&lt;0,-1,1)</f>
        <v>-99276.061393815995</v>
      </c>
      <c r="S1966" s="553">
        <f>'Foglio deposito bis'!$F$80*IF(ABS(M1966)&lt;'Progetto del paramento slu'!$G$58,ABS(M1966)*'Progetto del paramento slu'!$G$54,'Progetto del paramento slu'!$G$53)*IF(M1966&lt;0,-1,1)</f>
        <v>0</v>
      </c>
      <c r="T1966" s="553">
        <f>'Foglio deposito bis'!$F$81*IF(ABS(N1966)&lt;'Progetto del paramento slu'!$G$58,ABS(N1966)*'Progetto del paramento slu'!$G$54,'Progetto del paramento slu'!$G$53)*IF(N1966&lt;0,-1,1)</f>
        <v>346325.52374802611</v>
      </c>
      <c r="U1966" s="553">
        <f>'Foglio deposito bis'!$F$82*IF(ABS(O1966)&lt;'Progetto del paramento slu'!$G$58,ABS(O1966)*'Progetto del paramento slu'!$G$54,'Progetto del paramento slu'!$G$53)*IF(O1966&lt;0,-1,1)</f>
        <v>206550.84656200526</v>
      </c>
      <c r="V1966" s="479">
        <f t="shared" si="146"/>
        <v>-2802454.5332616959</v>
      </c>
      <c r="W1966" s="559"/>
      <c r="X1966" s="559"/>
    </row>
    <row r="1967" spans="1:24" x14ac:dyDescent="0.25">
      <c r="A1967" s="553">
        <f t="shared" si="145"/>
        <v>2913479.7158148475</v>
      </c>
      <c r="B1967" s="3">
        <f t="shared" si="143"/>
        <v>57.899999999999942</v>
      </c>
      <c r="C1967" s="553">
        <f>'Foglio deposito bis'!$E$160/sezione!$B$247*B1967</f>
        <v>235.05284197069821</v>
      </c>
      <c r="D1967" s="611">
        <f>-'Progetto del paramento slu'!$G$47*'Progetto del paramento slu'!$G$41*IF(DATI!$G$218="dx",DATI!$E$61,DATI!$E$64*DATI!$E$63)*1000*C1967^2*sezione!$AD$5*(1-sezione!$AD$6)</f>
        <v>-454816657.42434746</v>
      </c>
      <c r="E1967" s="553">
        <f>-'Foglio deposito bis'!$F$78*(C1967-sezione!$AL$34)*IF(ABS(K1967)&lt;'Progetto del paramento slu'!$G$58,ABS(K1967)*'Progetto del paramento slu'!$G$54,'Progetto del paramento slu'!$G$53)</f>
        <v>0</v>
      </c>
      <c r="F1967" s="553">
        <f>-'Foglio deposito bis'!$F$79*(C1967-sezione!$AM$34)*IF(ABS(L1967)&lt;'Progetto del paramento slu'!$G$58,ABS(L1967)*'Progetto del paramento slu'!$G$54,'Progetto del paramento slu'!$G$53)</f>
        <v>-8713794.296381589</v>
      </c>
      <c r="G1967" s="553">
        <f>-'Foglio deposito bis'!$F$80*(C1967-sezione!$AN$34)*IF(ABS(M1967)&lt;'Progetto del paramento slu'!$G$58,ABS(M1967)*'Progetto del paramento slu'!$G$54,'Progetto del paramento slu'!$G$53)</f>
        <v>0</v>
      </c>
      <c r="H1967" s="553">
        <f>-'Foglio deposito bis'!$F$81*(C1967-sezione!$AO$34)*IF(ABS(N1967)&lt;'Progetto del paramento slu'!$G$58,ABS(N1967)*'Progetto del paramento slu'!$G$54,'Progetto del paramento slu'!$G$53)</f>
        <v>34387927.770432331</v>
      </c>
      <c r="I1967" s="479">
        <f>-'Foglio deposito bis'!$F$82*(C1967-sezione!$AP$34)*IF(ABS(O1967)&lt;'Progetto del paramento slu'!$G$58,ABS(O1967)*'Progetto del paramento slu'!$G$54,'Progetto del paramento slu'!$G$53)</f>
        <v>4356542.2114366014</v>
      </c>
      <c r="J1967" s="479">
        <f t="shared" si="144"/>
        <v>-424785981.73886007</v>
      </c>
      <c r="K1967" s="558">
        <f>'Progetto del paramento slu'!$G$60*(sezione!$AL$34-C1967)/C1967</f>
        <v>-2.9043892478549465E-3</v>
      </c>
      <c r="L1967" s="558">
        <f>'Progetto del paramento slu'!$G$60*(sezione!$AM$34-C1967)/C1967</f>
        <v>-1.2664596794560487E-3</v>
      </c>
      <c r="M1967" s="559">
        <f>'Progetto del paramento slu'!$G$60*(sezione!$AN$34-C1967)/C1967</f>
        <v>3.7146988894284883E-4</v>
      </c>
      <c r="N1967" s="559">
        <f>'Progetto del paramento slu'!$G$60*(sezione!$AO$34-C1967)/C1967</f>
        <v>1.5626913932329561E-3</v>
      </c>
      <c r="O1967" s="559">
        <f>'Progetto del paramento slu'!$G$60*(sezione!$AP$34-C1967)/C1967</f>
        <v>3.7157404923664059E-4</v>
      </c>
      <c r="P1967" s="553">
        <f>-'Progetto del paramento slu'!$G$47*'Progetto del paramento slu'!$G$41*IF(DATI!$G$218="dx",DATI!$E$61,DATI!$E$64*DATI!$E$63)*1000*C1967*sezione!$AD$5</f>
        <v>-3313279.0046063452</v>
      </c>
      <c r="Q1967" s="553">
        <f>'Foglio deposito bis'!$F$78*IF(ABS(K1967)&lt;'Progetto del paramento slu'!$G$58,ABS(K1967)*'Progetto del paramento slu'!$G$54,'Progetto del paramento slu'!$G$53)*IF(K1967&lt;0,-1,1)</f>
        <v>0</v>
      </c>
      <c r="R1967" s="553">
        <f>'Foglio deposito bis'!$F$79*IF(ABS(L1967)&lt;'Progetto del paramento slu'!$G$58,ABS(L1967)*'Progetto del paramento slu'!$G$54,'Progetto del paramento slu'!$G$53)*IF(L1967&lt;0,-1,1)</f>
        <v>-102451.53594495528</v>
      </c>
      <c r="S1967" s="553">
        <f>'Foglio deposito bis'!$F$80*IF(ABS(M1967)&lt;'Progetto del paramento slu'!$G$58,ABS(M1967)*'Progetto del paramento slu'!$G$54,'Progetto del paramento slu'!$G$53)*IF(M1967&lt;0,-1,1)</f>
        <v>0</v>
      </c>
      <c r="T1967" s="553">
        <f>'Foglio deposito bis'!$F$81*IF(ABS(N1967)&lt;'Progetto del paramento slu'!$G$58,ABS(N1967)*'Progetto del paramento slu'!$G$54,'Progetto del paramento slu'!$G$53)*IF(N1967&lt;0,-1,1)</f>
        <v>327668.97566517274</v>
      </c>
      <c r="U1967" s="553">
        <f>'Foglio deposito bis'!$F$82*IF(ABS(O1967)&lt;'Progetto del paramento slu'!$G$58,ABS(O1967)*'Progetto del paramento slu'!$G$54,'Progetto del paramento slu'!$G$53)*IF(O1967&lt;0,-1,1)</f>
        <v>174581.84907128051</v>
      </c>
      <c r="V1967" s="479">
        <f t="shared" si="146"/>
        <v>-2913479.7158148475</v>
      </c>
      <c r="W1967" s="559"/>
      <c r="X1967" s="559"/>
    </row>
    <row r="1968" spans="1:24" x14ac:dyDescent="0.25">
      <c r="A1968" s="553">
        <f t="shared" si="145"/>
        <v>3022678.0386014557</v>
      </c>
      <c r="B1968" s="3">
        <f t="shared" si="143"/>
        <v>58.899999999999942</v>
      </c>
      <c r="C1968" s="553">
        <f>'Foglio deposito bis'!$E$160/sezione!$B$247*B1968</f>
        <v>239.1124765470488</v>
      </c>
      <c r="D1968" s="611">
        <f>-'Progetto del paramento slu'!$G$47*'Progetto del paramento slu'!$G$41*IF(DATI!$G$218="dx",DATI!$E$61,DATI!$E$64*DATI!$E$63)*1000*C1968^2*sezione!$AD$5*(1-sezione!$AD$6)</f>
        <v>-470662745.93594486</v>
      </c>
      <c r="E1968" s="553">
        <f>-'Foglio deposito bis'!$F$78*(C1968-sezione!$AL$34)*IF(ABS(K1968)&lt;'Progetto del paramento slu'!$G$58,ABS(K1968)*'Progetto del paramento slu'!$G$54,'Progetto del paramento slu'!$G$53)</f>
        <v>0</v>
      </c>
      <c r="F1968" s="553">
        <f>-'Foglio deposito bis'!$F$79*(C1968-sezione!$AM$34)*IF(ABS(L1968)&lt;'Progetto del paramento slu'!$G$58,ABS(L1968)*'Progetto del paramento slu'!$G$54,'Progetto del paramento slu'!$G$53)</f>
        <v>-9403075.8571482692</v>
      </c>
      <c r="G1968" s="553">
        <f>-'Foglio deposito bis'!$F$80*(C1968-sezione!$AN$34)*IF(ABS(M1968)&lt;'Progetto del paramento slu'!$G$58,ABS(M1968)*'Progetto del paramento slu'!$G$54,'Progetto del paramento slu'!$G$53)</f>
        <v>0</v>
      </c>
      <c r="H1968" s="553">
        <f>-'Foglio deposito bis'!$F$81*(C1968-sezione!$AO$34)*IF(ABS(N1968)&lt;'Progetto del paramento slu'!$G$58,ABS(N1968)*'Progetto del paramento slu'!$G$54,'Progetto del paramento slu'!$G$53)</f>
        <v>31239410.688861385</v>
      </c>
      <c r="I1968" s="479">
        <f>-'Foglio deposito bis'!$F$82*(C1968-sezione!$AP$34)*IF(ABS(O1968)&lt;'Progetto del paramento slu'!$G$58,ABS(O1968)*'Progetto del paramento slu'!$G$54,'Progetto del paramento slu'!$G$53)</f>
        <v>3002508.6118411263</v>
      </c>
      <c r="J1968" s="479">
        <f t="shared" si="144"/>
        <v>-445823902.49239063</v>
      </c>
      <c r="K1968" s="558">
        <f>'Progetto del paramento slu'!$G$60*(sezione!$AL$34-C1968)/C1968</f>
        <v>-2.9145014847334703E-3</v>
      </c>
      <c r="L1968" s="558">
        <f>'Progetto del paramento slu'!$G$60*(sezione!$AM$34-C1968)/C1968</f>
        <v>-1.3043805677505134E-3</v>
      </c>
      <c r="M1968" s="559">
        <f>'Progetto del paramento slu'!$G$60*(sezione!$AN$34-C1968)/C1968</f>
        <v>3.0574034923244367E-4</v>
      </c>
      <c r="N1968" s="559">
        <f>'Progetto del paramento slu'!$G$60*(sezione!$AO$34-C1968)/C1968</f>
        <v>1.4767373797655032E-3</v>
      </c>
      <c r="O1968" s="559">
        <f>'Progetto del paramento slu'!$G$60*(sezione!$AP$34-C1968)/C1968</f>
        <v>3.0584274110019479E-4</v>
      </c>
      <c r="P1968" s="553">
        <f>-'Progetto del paramento slu'!$G$47*'Progetto del paramento slu'!$G$41*IF(DATI!$G$218="dx",DATI!$E$61,DATI!$E$64*DATI!$E$63)*1000*C1968*sezione!$AD$5</f>
        <v>-3370503.1670347797</v>
      </c>
      <c r="Q1968" s="553">
        <f>'Foglio deposito bis'!$F$78*IF(ABS(K1968)&lt;'Progetto del paramento slu'!$G$58,ABS(K1968)*'Progetto del paramento slu'!$G$54,'Progetto del paramento slu'!$G$53)*IF(K1968&lt;0,-1,1)</f>
        <v>0</v>
      </c>
      <c r="R1968" s="553">
        <f>'Foglio deposito bis'!$F$79*IF(ABS(L1968)&lt;'Progetto del paramento slu'!$G$58,ABS(L1968)*'Progetto del paramento slu'!$G$54,'Progetto del paramento slu'!$G$53)*IF(L1968&lt;0,-1,1)</f>
        <v>-105519.18453510512</v>
      </c>
      <c r="S1968" s="553">
        <f>'Foglio deposito bis'!$F$80*IF(ABS(M1968)&lt;'Progetto del paramento slu'!$G$58,ABS(M1968)*'Progetto del paramento slu'!$G$54,'Progetto del paramento slu'!$G$53)*IF(M1968&lt;0,-1,1)</f>
        <v>0</v>
      </c>
      <c r="T1968" s="553">
        <f>'Foglio deposito bis'!$F$81*IF(ABS(N1968)&lt;'Progetto del paramento slu'!$G$58,ABS(N1968)*'Progetto del paramento slu'!$G$54,'Progetto del paramento slu'!$G$53)*IF(N1968&lt;0,-1,1)</f>
        <v>309645.92666832439</v>
      </c>
      <c r="U1968" s="553">
        <f>'Foglio deposito bis'!$F$82*IF(ABS(O1968)&lt;'Progetto del paramento slu'!$G$58,ABS(O1968)*'Progetto del paramento slu'!$G$54,'Progetto del paramento slu'!$G$53)*IF(O1968&lt;0,-1,1)</f>
        <v>143698.38630010479</v>
      </c>
      <c r="V1968" s="479">
        <f t="shared" si="146"/>
        <v>-3022678.0386014557</v>
      </c>
      <c r="W1968" s="559"/>
      <c r="X1968" s="559"/>
    </row>
    <row r="1969" spans="1:24" x14ac:dyDescent="0.25">
      <c r="A1969" s="553">
        <f t="shared" si="145"/>
        <v>3130140.9971023155</v>
      </c>
      <c r="B1969" s="3">
        <f t="shared" si="143"/>
        <v>59.899999999999942</v>
      </c>
      <c r="C1969" s="553">
        <f>'Foglio deposito bis'!$E$160/sezione!$B$247*B1969</f>
        <v>243.17211112339939</v>
      </c>
      <c r="D1969" s="611">
        <f>-'Progetto del paramento slu'!$G$47*'Progetto del paramento slu'!$G$41*IF(DATI!$G$218="dx",DATI!$E$61,DATI!$E$64*DATI!$E$63)*1000*C1969^2*sezione!$AD$5*(1-sezione!$AD$6)</f>
        <v>-486780171.57959002</v>
      </c>
      <c r="E1969" s="553">
        <f>-'Foglio deposito bis'!$F$78*(C1969-sezione!$AL$34)*IF(ABS(K1969)&lt;'Progetto del paramento slu'!$G$58,ABS(K1969)*'Progetto del paramento slu'!$G$54,'Progetto del paramento slu'!$G$53)</f>
        <v>0</v>
      </c>
      <c r="F1969" s="553">
        <f>-'Foglio deposito bis'!$F$79*(C1969-sezione!$AM$34)*IF(ABS(L1969)&lt;'Progetto del paramento slu'!$G$58,ABS(L1969)*'Progetto del paramento slu'!$G$54,'Progetto del paramento slu'!$G$53)</f>
        <v>-10107721.267281309</v>
      </c>
      <c r="G1969" s="553">
        <f>-'Foglio deposito bis'!$F$80*(C1969-sezione!$AN$34)*IF(ABS(M1969)&lt;'Progetto del paramento slu'!$G$58,ABS(M1969)*'Progetto del paramento slu'!$G$54,'Progetto del paramento slu'!$G$53)</f>
        <v>0</v>
      </c>
      <c r="H1969" s="553">
        <f>-'Foglio deposito bis'!$F$81*(C1969-sezione!$AO$34)*IF(ABS(N1969)&lt;'Progetto del paramento slu'!$G$58,ABS(N1969)*'Progetto del paramento slu'!$G$54,'Progetto del paramento slu'!$G$53)</f>
        <v>28295495.832964189</v>
      </c>
      <c r="I1969" s="479">
        <f>-'Foglio deposito bis'!$F$82*(C1969-sezione!$AP$34)*IF(ABS(O1969)&lt;'Progetto del paramento slu'!$G$58,ABS(O1969)*'Progetto del paramento slu'!$G$54,'Progetto del paramento slu'!$G$53)</f>
        <v>1916585.742004147</v>
      </c>
      <c r="J1969" s="479">
        <f t="shared" si="144"/>
        <v>-466675811.27190298</v>
      </c>
      <c r="K1969" s="558">
        <f>'Progetto del paramento slu'!$G$60*(sezione!$AL$34-C1969)/C1969</f>
        <v>-2.9242760843205579E-3</v>
      </c>
      <c r="L1969" s="558">
        <f>'Progetto del paramento slu'!$G$60*(sezione!$AM$34-C1969)/C1969</f>
        <v>-1.3410353162020907E-3</v>
      </c>
      <c r="M1969" s="559">
        <f>'Progetto del paramento slu'!$G$60*(sezione!$AN$34-C1969)/C1969</f>
        <v>2.4220545191637593E-4</v>
      </c>
      <c r="N1969" s="559">
        <f>'Progetto del paramento slu'!$G$60*(sezione!$AO$34-C1969)/C1969</f>
        <v>1.3936532832752608E-3</v>
      </c>
      <c r="O1969" s="559">
        <f>'Progetto del paramento slu'!$G$60*(sezione!$AP$34-C1969)/C1969</f>
        <v>2.4230613440403103E-4</v>
      </c>
      <c r="P1969" s="553">
        <f>-'Progetto del paramento slu'!$G$47*'Progetto del paramento slu'!$G$41*IF(DATI!$G$218="dx",DATI!$E$61,DATI!$E$64*DATI!$E$63)*1000*C1969*sezione!$AD$5</f>
        <v>-3427727.3294632146</v>
      </c>
      <c r="Q1969" s="553">
        <f>'Foglio deposito bis'!$F$78*IF(ABS(K1969)&lt;'Progetto del paramento slu'!$G$58,ABS(K1969)*'Progetto del paramento slu'!$G$54,'Progetto del paramento slu'!$G$53)*IF(K1969&lt;0,-1,1)</f>
        <v>0</v>
      </c>
      <c r="R1969" s="553">
        <f>'Foglio deposito bis'!$F$79*IF(ABS(L1969)&lt;'Progetto del paramento slu'!$G$58,ABS(L1969)*'Progetto del paramento slu'!$G$54,'Progetto del paramento slu'!$G$53)*IF(L1969&lt;0,-1,1)</f>
        <v>-108484.40746281254</v>
      </c>
      <c r="S1969" s="553">
        <f>'Foglio deposito bis'!$F$80*IF(ABS(M1969)&lt;'Progetto del paramento slu'!$G$58,ABS(M1969)*'Progetto del paramento slu'!$G$54,'Progetto del paramento slu'!$G$53)*IF(M1969&lt;0,-1,1)</f>
        <v>0</v>
      </c>
      <c r="T1969" s="553">
        <f>'Foglio deposito bis'!$F$81*IF(ABS(N1969)&lt;'Progetto del paramento slu'!$G$58,ABS(N1969)*'Progetto del paramento slu'!$G$54,'Progetto del paramento slu'!$G$53)*IF(N1969&lt;0,-1,1)</f>
        <v>292224.64892345766</v>
      </c>
      <c r="U1969" s="553">
        <f>'Foglio deposito bis'!$F$82*IF(ABS(O1969)&lt;'Progetto del paramento slu'!$G$58,ABS(O1969)*'Progetto del paramento slu'!$G$54,'Progetto del paramento slu'!$G$53)*IF(O1969&lt;0,-1,1)</f>
        <v>113846.09090025378</v>
      </c>
      <c r="V1969" s="479">
        <f t="shared" si="146"/>
        <v>-3130140.9971023155</v>
      </c>
      <c r="W1969" s="559"/>
      <c r="X1969" s="559"/>
    </row>
    <row r="1970" spans="1:24" x14ac:dyDescent="0.25">
      <c r="A1970" s="553">
        <f t="shared" si="145"/>
        <v>3235954.0772428317</v>
      </c>
      <c r="B1970" s="3">
        <f t="shared" si="143"/>
        <v>60.899999999999942</v>
      </c>
      <c r="C1970" s="553">
        <f>'Foglio deposito bis'!$E$160/sezione!$B$247*B1970</f>
        <v>247.23174569974995</v>
      </c>
      <c r="D1970" s="611">
        <f>-'Progetto del paramento slu'!$G$47*'Progetto del paramento slu'!$G$41*IF(DATI!$G$218="dx",DATI!$E$61,DATI!$E$64*DATI!$E$63)*1000*C1970^2*sezione!$AD$5*(1-sezione!$AD$6)</f>
        <v>-503168934.35528302</v>
      </c>
      <c r="E1970" s="553">
        <f>-'Foglio deposito bis'!$F$78*(C1970-sezione!$AL$34)*IF(ABS(K1970)&lt;'Progetto del paramento slu'!$G$58,ABS(K1970)*'Progetto del paramento slu'!$G$54,'Progetto del paramento slu'!$G$53)</f>
        <v>0</v>
      </c>
      <c r="F1970" s="553">
        <f>-'Foglio deposito bis'!$F$79*(C1970-sezione!$AM$34)*IF(ABS(L1970)&lt;'Progetto del paramento slu'!$G$58,ABS(L1970)*'Progetto del paramento slu'!$G$54,'Progetto del paramento slu'!$G$53)</f>
        <v>-10826973.686910441</v>
      </c>
      <c r="G1970" s="553">
        <f>-'Foglio deposito bis'!$F$80*(C1970-sezione!$AN$34)*IF(ABS(M1970)&lt;'Progetto del paramento slu'!$G$58,ABS(M1970)*'Progetto del paramento slu'!$G$54,'Progetto del paramento slu'!$G$53)</f>
        <v>0</v>
      </c>
      <c r="H1970" s="553">
        <f>-'Foglio deposito bis'!$F$81*(C1970-sezione!$AO$34)*IF(ABS(N1970)&lt;'Progetto del paramento slu'!$G$58,ABS(N1970)*'Progetto del paramento slu'!$G$54,'Progetto del paramento slu'!$G$53)</f>
        <v>25546104.275367651</v>
      </c>
      <c r="I1970" s="479">
        <f>-'Foglio deposito bis'!$F$82*(C1970-sezione!$AP$34)*IF(ABS(O1970)&lt;'Progetto del paramento slu'!$G$58,ABS(O1970)*'Progetto del paramento slu'!$G$54,'Progetto del paramento slu'!$G$53)</f>
        <v>1085566.1768144113</v>
      </c>
      <c r="J1970" s="479">
        <f t="shared" si="144"/>
        <v>-487364237.59001136</v>
      </c>
      <c r="K1970" s="558">
        <f>'Progetto del paramento slu'!$G$60*(sezione!$AL$34-C1970)/C1970</f>
        <v>-2.9337296789950971E-3</v>
      </c>
      <c r="L1970" s="558">
        <f>'Progetto del paramento slu'!$G$60*(sezione!$AM$34-C1970)/C1970</f>
        <v>-1.3764862962316131E-3</v>
      </c>
      <c r="M1970" s="559">
        <f>'Progetto del paramento slu'!$G$60*(sezione!$AN$34-C1970)/C1970</f>
        <v>1.8075708653187078E-4</v>
      </c>
      <c r="N1970" s="559">
        <f>'Progetto del paramento slu'!$G$60*(sezione!$AO$34-C1970)/C1970</f>
        <v>1.3132977285416772E-3</v>
      </c>
      <c r="O1970" s="559">
        <f>'Progetto del paramento slu'!$G$60*(sezione!$AP$34-C1970)/C1970</f>
        <v>1.8085611577670725E-4</v>
      </c>
      <c r="P1970" s="553">
        <f>-'Progetto del paramento slu'!$G$47*'Progetto del paramento slu'!$G$41*IF(DATI!$G$218="dx",DATI!$E$61,DATI!$E$64*DATI!$E$63)*1000*C1970*sezione!$AD$5</f>
        <v>-3484951.4918916482</v>
      </c>
      <c r="Q1970" s="553">
        <f>'Foglio deposito bis'!$F$78*IF(ABS(K1970)&lt;'Progetto del paramento slu'!$G$58,ABS(K1970)*'Progetto del paramento slu'!$G$54,'Progetto del paramento slu'!$G$53)*IF(K1970&lt;0,-1,1)</f>
        <v>0</v>
      </c>
      <c r="R1970" s="553">
        <f>'Foglio deposito bis'!$F$79*IF(ABS(L1970)&lt;'Progetto del paramento slu'!$G$58,ABS(L1970)*'Progetto del paramento slu'!$G$54,'Progetto del paramento slu'!$G$53)*IF(L1970&lt;0,-1,1)</f>
        <v>-111352.25032721266</v>
      </c>
      <c r="S1970" s="553">
        <f>'Foglio deposito bis'!$F$80*IF(ABS(M1970)&lt;'Progetto del paramento slu'!$G$58,ABS(M1970)*'Progetto del paramento slu'!$G$54,'Progetto del paramento slu'!$G$53)*IF(M1970&lt;0,-1,1)</f>
        <v>0</v>
      </c>
      <c r="T1970" s="553">
        <f>'Foglio deposito bis'!$F$81*IF(ABS(N1970)&lt;'Progetto del paramento slu'!$G$58,ABS(N1970)*'Progetto del paramento slu'!$G$54,'Progetto del paramento slu'!$G$53)*IF(N1970&lt;0,-1,1)</f>
        <v>275375.49852653412</v>
      </c>
      <c r="U1970" s="553">
        <f>'Foglio deposito bis'!$F$82*IF(ABS(O1970)&lt;'Progetto del paramento slu'!$G$58,ABS(O1970)*'Progetto del paramento slu'!$G$54,'Progetto del paramento slu'!$G$53)*IF(O1970&lt;0,-1,1)</f>
        <v>84974.16644949498</v>
      </c>
      <c r="V1970" s="479">
        <f t="shared" si="146"/>
        <v>-3235954.0772428317</v>
      </c>
      <c r="W1970" s="559"/>
      <c r="X1970" s="559"/>
    </row>
    <row r="1971" spans="1:24" x14ac:dyDescent="0.25">
      <c r="A1971" s="553">
        <f t="shared" si="145"/>
        <v>3340197.240817531</v>
      </c>
      <c r="B1971" s="3">
        <f t="shared" si="143"/>
        <v>61.899999999999942</v>
      </c>
      <c r="C1971" s="553">
        <f>'Foglio deposito bis'!$E$160/sezione!$B$247*B1971</f>
        <v>251.29138027610054</v>
      </c>
      <c r="D1971" s="611">
        <f>-'Progetto del paramento slu'!$G$47*'Progetto del paramento slu'!$G$41*IF(DATI!$G$218="dx",DATI!$E$61,DATI!$E$64*DATI!$E$63)*1000*C1971^2*sezione!$AD$5*(1-sezione!$AD$6)</f>
        <v>-519829034.26302415</v>
      </c>
      <c r="E1971" s="553">
        <f>-'Foglio deposito bis'!$F$78*(C1971-sezione!$AL$34)*IF(ABS(K1971)&lt;'Progetto del paramento slu'!$G$58,ABS(K1971)*'Progetto del paramento slu'!$G$54,'Progetto del paramento slu'!$G$53)</f>
        <v>0</v>
      </c>
      <c r="F1971" s="553">
        <f>-'Foglio deposito bis'!$F$79*(C1971-sezione!$AM$34)*IF(ABS(L1971)&lt;'Progetto del paramento slu'!$G$58,ABS(L1971)*'Progetto del paramento slu'!$G$54,'Progetto del paramento slu'!$G$53)</f>
        <v>-11560125.183426816</v>
      </c>
      <c r="G1971" s="553">
        <f>-'Foglio deposito bis'!$F$80*(C1971-sezione!$AN$34)*IF(ABS(M1971)&lt;'Progetto del paramento slu'!$G$58,ABS(M1971)*'Progetto del paramento slu'!$G$54,'Progetto del paramento slu'!$G$53)</f>
        <v>0</v>
      </c>
      <c r="H1971" s="553">
        <f>-'Foglio deposito bis'!$F$81*(C1971-sezione!$AO$34)*IF(ABS(N1971)&lt;'Progetto del paramento slu'!$G$58,ABS(N1971)*'Progetto del paramento slu'!$G$54,'Progetto del paramento slu'!$G$53)</f>
        <v>22981808.392567672</v>
      </c>
      <c r="I1971" s="479">
        <f>-'Foglio deposito bis'!$F$82*(C1971-sezione!$AP$34)*IF(ABS(O1971)&lt;'Progetto del paramento slu'!$G$58,ABS(O1971)*'Progetto del paramento slu'!$G$54,'Progetto del paramento slu'!$G$53)</f>
        <v>497095.9596654186</v>
      </c>
      <c r="J1971" s="479">
        <f t="shared" si="144"/>
        <v>-507910255.09421784</v>
      </c>
      <c r="K1971" s="558">
        <f>'Progetto del paramento slu'!$G$60*(sezione!$AL$34-C1971)/C1971</f>
        <v>-2.9428778263457414E-3</v>
      </c>
      <c r="L1971" s="558">
        <f>'Progetto del paramento slu'!$G$60*(sezione!$AM$34-C1971)/C1971</f>
        <v>-1.4107918487965307E-3</v>
      </c>
      <c r="M1971" s="559">
        <f>'Progetto del paramento slu'!$G$60*(sezione!$AN$34-C1971)/C1971</f>
        <v>1.212941287526804E-4</v>
      </c>
      <c r="N1971" s="559">
        <f>'Progetto del paramento slu'!$G$60*(sezione!$AO$34-C1971)/C1971</f>
        <v>1.2355384760611974E-3</v>
      </c>
      <c r="O1971" s="559">
        <f>'Progetto del paramento slu'!$G$60*(sezione!$AP$34-C1971)/C1971</f>
        <v>1.213915581712675E-4</v>
      </c>
      <c r="P1971" s="553">
        <f>-'Progetto del paramento slu'!$G$47*'Progetto del paramento slu'!$G$41*IF(DATI!$G$218="dx",DATI!$E$61,DATI!$E$64*DATI!$E$63)*1000*C1971*sezione!$AD$5</f>
        <v>-3542175.6543200831</v>
      </c>
      <c r="Q1971" s="553">
        <f>'Foglio deposito bis'!$F$78*IF(ABS(K1971)&lt;'Progetto del paramento slu'!$G$58,ABS(K1971)*'Progetto del paramento slu'!$G$54,'Progetto del paramento slu'!$G$53)*IF(K1971&lt;0,-1,1)</f>
        <v>0</v>
      </c>
      <c r="R1971" s="553">
        <f>'Foglio deposito bis'!$F$79*IF(ABS(L1971)&lt;'Progetto del paramento slu'!$G$58,ABS(L1971)*'Progetto del paramento slu'!$G$54,'Progetto del paramento slu'!$G$53)*IF(L1971&lt;0,-1,1)</f>
        <v>-114127.43267903122</v>
      </c>
      <c r="S1971" s="553">
        <f>'Foglio deposito bis'!$F$80*IF(ABS(M1971)&lt;'Progetto del paramento slu'!$G$58,ABS(M1971)*'Progetto del paramento slu'!$G$54,'Progetto del paramento slu'!$G$53)*IF(M1971&lt;0,-1,1)</f>
        <v>0</v>
      </c>
      <c r="T1971" s="553">
        <f>'Foglio deposito bis'!$F$81*IF(ABS(N1971)&lt;'Progetto del paramento slu'!$G$58,ABS(N1971)*'Progetto del paramento slu'!$G$54,'Progetto del paramento slu'!$G$53)*IF(N1971&lt;0,-1,1)</f>
        <v>259070.74717312978</v>
      </c>
      <c r="U1971" s="553">
        <f>'Foglio deposito bis'!$F$82*IF(ABS(O1971)&lt;'Progetto del paramento slu'!$G$58,ABS(O1971)*'Progetto del paramento slu'!$G$54,'Progetto del paramento slu'!$G$53)*IF(O1971&lt;0,-1,1)</f>
        <v>57035.099008453552</v>
      </c>
      <c r="V1971" s="479">
        <f t="shared" si="146"/>
        <v>-3340197.240817531</v>
      </c>
      <c r="W1971" s="559"/>
      <c r="X1971" s="559"/>
    </row>
    <row r="1972" spans="1:24" x14ac:dyDescent="0.25">
      <c r="A1972" s="553">
        <f t="shared" si="145"/>
        <v>3442945.3646101537</v>
      </c>
      <c r="B1972" s="3">
        <f t="shared" si="143"/>
        <v>62.899999999999942</v>
      </c>
      <c r="C1972" s="553">
        <f>'Foglio deposito bis'!$E$160/sezione!$B$247*B1972</f>
        <v>255.3510148524511</v>
      </c>
      <c r="D1972" s="611">
        <f>-'Progetto del paramento slu'!$G$47*'Progetto del paramento slu'!$G$41*IF(DATI!$G$218="dx",DATI!$E$61,DATI!$E$64*DATI!$E$63)*1000*C1972^2*sezione!$AD$5*(1-sezione!$AD$6)</f>
        <v>-536760471.30281293</v>
      </c>
      <c r="E1972" s="553">
        <f>-'Foglio deposito bis'!$F$78*(C1972-sezione!$AL$34)*IF(ABS(K1972)&lt;'Progetto del paramento slu'!$G$58,ABS(K1972)*'Progetto del paramento slu'!$G$54,'Progetto del paramento slu'!$G$53)</f>
        <v>0</v>
      </c>
      <c r="F1972" s="553">
        <f>-'Foglio deposito bis'!$F$79*(C1972-sezione!$AM$34)*IF(ABS(L1972)&lt;'Progetto del paramento slu'!$G$58,ABS(L1972)*'Progetto del paramento slu'!$G$54,'Progetto del paramento slu'!$G$53)</f>
        <v>-12306512.843783336</v>
      </c>
      <c r="G1972" s="553">
        <f>-'Foglio deposito bis'!$F$80*(C1972-sezione!$AN$34)*IF(ABS(M1972)&lt;'Progetto del paramento slu'!$G$58,ABS(M1972)*'Progetto del paramento slu'!$G$54,'Progetto del paramento slu'!$G$53)</f>
        <v>0</v>
      </c>
      <c r="H1972" s="553">
        <f>-'Foglio deposito bis'!$F$81*(C1972-sezione!$AO$34)*IF(ABS(N1972)&lt;'Progetto del paramento slu'!$G$58,ABS(N1972)*'Progetto del paramento slu'!$G$54,'Progetto del paramento slu'!$G$53)</f>
        <v>20593780.091966677</v>
      </c>
      <c r="I1972" s="479">
        <f>-'Foglio deposito bis'!$F$82*(C1972-sezione!$AP$34)*IF(ABS(O1972)&lt;'Progetto del paramento slu'!$G$58,ABS(O1972)*'Progetto del paramento slu'!$G$54,'Progetto del paramento slu'!$G$53)</f>
        <v>139606.75917208527</v>
      </c>
      <c r="J1972" s="479">
        <f t="shared" si="144"/>
        <v>-528333597.29545754</v>
      </c>
      <c r="K1972" s="558">
        <f>'Progetto del paramento slu'!$G$60*(sezione!$AL$34-C1972)/C1972</f>
        <v>-2.9517350946073355E-3</v>
      </c>
      <c r="L1972" s="558">
        <f>'Progetto del paramento slu'!$G$60*(sezione!$AM$34-C1972)/C1972</f>
        <v>-1.4440066047775077E-3</v>
      </c>
      <c r="M1972" s="559">
        <f>'Progetto del paramento slu'!$G$60*(sezione!$AN$34-C1972)/C1972</f>
        <v>6.3721885052320002E-5</v>
      </c>
      <c r="N1972" s="559">
        <f>'Progetto del paramento slu'!$G$60*(sezione!$AO$34-C1972)/C1972</f>
        <v>1.1602516958376492E-3</v>
      </c>
      <c r="O1972" s="559">
        <f>'Progetto del paramento slu'!$G$60*(sezione!$AP$34-C1972)/C1972</f>
        <v>6.381776551353688E-5</v>
      </c>
      <c r="P1972" s="553">
        <f>-'Progetto del paramento slu'!$G$47*'Progetto del paramento slu'!$G$41*IF(DATI!$G$218="dx",DATI!$E$61,DATI!$E$64*DATI!$E$63)*1000*C1972*sezione!$AD$5</f>
        <v>-3599399.8167485171</v>
      </c>
      <c r="Q1972" s="553">
        <f>'Foglio deposito bis'!$F$78*IF(ABS(K1972)&lt;'Progetto del paramento slu'!$G$58,ABS(K1972)*'Progetto del paramento slu'!$G$54,'Progetto del paramento slu'!$G$53)*IF(K1972&lt;0,-1,1)</f>
        <v>0</v>
      </c>
      <c r="R1972" s="553">
        <f>'Foglio deposito bis'!$F$79*IF(ABS(L1972)&lt;'Progetto del paramento slu'!$G$58,ABS(L1972)*'Progetto del paramento slu'!$G$54,'Progetto del paramento slu'!$G$53)*IF(L1972&lt;0,-1,1)</f>
        <v>-116814.37393858207</v>
      </c>
      <c r="S1972" s="553">
        <f>'Foglio deposito bis'!$F$80*IF(ABS(M1972)&lt;'Progetto del paramento slu'!$G$58,ABS(M1972)*'Progetto del paramento slu'!$G$54,'Progetto del paramento slu'!$G$53)*IF(M1972&lt;0,-1,1)</f>
        <v>0</v>
      </c>
      <c r="T1972" s="553">
        <f>'Foglio deposito bis'!$F$81*IF(ABS(N1972)&lt;'Progetto del paramento slu'!$G$58,ABS(N1972)*'Progetto del paramento slu'!$G$54,'Progetto del paramento slu'!$G$53)*IF(N1972&lt;0,-1,1)</f>
        <v>243284.42988501664</v>
      </c>
      <c r="U1972" s="553">
        <f>'Foglio deposito bis'!$F$82*IF(ABS(O1972)&lt;'Progetto del paramento slu'!$G$58,ABS(O1972)*'Progetto del paramento slu'!$G$54,'Progetto del paramento slu'!$G$53)*IF(O1972&lt;0,-1,1)</f>
        <v>29984.396191928732</v>
      </c>
      <c r="V1972" s="479">
        <f t="shared" si="146"/>
        <v>-3442945.3646101537</v>
      </c>
      <c r="W1972" s="559"/>
      <c r="X1972" s="559"/>
    </row>
    <row r="1973" spans="1:24" x14ac:dyDescent="0.25">
      <c r="A1973" s="553">
        <f t="shared" si="145"/>
        <v>3544268.6382818329</v>
      </c>
      <c r="B1973" s="3">
        <f t="shared" si="143"/>
        <v>63.899999999999942</v>
      </c>
      <c r="C1973" s="553">
        <f>'Foglio deposito bis'!$E$160/sezione!$B$247*B1973</f>
        <v>259.41064942880172</v>
      </c>
      <c r="D1973" s="611">
        <f>-'Progetto del paramento slu'!$G$47*'Progetto del paramento slu'!$G$41*IF(DATI!$G$218="dx",DATI!$E$61,DATI!$E$64*DATI!$E$63)*1000*C1973^2*sezione!$AD$5*(1-sezione!$AD$6)</f>
        <v>-553963245.47464991</v>
      </c>
      <c r="E1973" s="553">
        <f>-'Foglio deposito bis'!$F$78*(C1973-sezione!$AL$34)*IF(ABS(K1973)&lt;'Progetto del paramento slu'!$G$58,ABS(K1973)*'Progetto del paramento slu'!$G$54,'Progetto del paramento slu'!$G$53)</f>
        <v>0</v>
      </c>
      <c r="F1973" s="553">
        <f>-'Foglio deposito bis'!$F$79*(C1973-sezione!$AM$34)*IF(ABS(L1973)&lt;'Progetto del paramento slu'!$G$58,ABS(L1973)*'Progetto del paramento slu'!$G$54,'Progetto del paramento slu'!$G$53)</f>
        <v>-13065515.251837291</v>
      </c>
      <c r="G1973" s="553">
        <f>-'Foglio deposito bis'!$F$80*(C1973-sezione!$AN$34)*IF(ABS(M1973)&lt;'Progetto del paramento slu'!$G$58,ABS(M1973)*'Progetto del paramento slu'!$G$54,'Progetto del paramento slu'!$G$53)</f>
        <v>0</v>
      </c>
      <c r="H1973" s="553">
        <f>-'Foglio deposito bis'!$F$81*(C1973-sezione!$AO$34)*IF(ABS(N1973)&lt;'Progetto del paramento slu'!$G$58,ABS(N1973)*'Progetto del paramento slu'!$G$54,'Progetto del paramento slu'!$G$53)</f>
        <v>18373743.90022194</v>
      </c>
      <c r="I1973" s="479">
        <f>-'Foglio deposito bis'!$F$82*(C1973-sezione!$AP$34)*IF(ABS(O1973)&lt;'Progetto del paramento slu'!$G$58,ABS(O1973)*'Progetto del paramento slu'!$G$54,'Progetto del paramento slu'!$G$53)</f>
        <v>2254.3961486947192</v>
      </c>
      <c r="J1973" s="479">
        <f t="shared" si="144"/>
        <v>-548652762.43011653</v>
      </c>
      <c r="K1973" s="558">
        <f>'Progetto del paramento slu'!$G$60*(sezione!$AL$34-C1973)/C1973</f>
        <v>-2.9603151400751392E-3</v>
      </c>
      <c r="L1973" s="558">
        <f>'Progetto del paramento slu'!$G$60*(sezione!$AM$34-C1973)/C1973</f>
        <v>-1.4761817752817724E-3</v>
      </c>
      <c r="M1973" s="559">
        <f>'Progetto del paramento slu'!$G$60*(sezione!$AN$34-C1973)/C1973</f>
        <v>7.9515895115945256E-6</v>
      </c>
      <c r="N1973" s="559">
        <f>'Progetto del paramento slu'!$G$60*(sezione!$AO$34-C1973)/C1973</f>
        <v>1.0873213093613159E-3</v>
      </c>
      <c r="O1973" s="559">
        <f>'Progetto del paramento slu'!$G$60*(sezione!$AP$34-C1973)/C1973</f>
        <v>8.0459694961100355E-6</v>
      </c>
      <c r="P1973" s="553">
        <f>-'Progetto del paramento slu'!$G$47*'Progetto del paramento slu'!$G$41*IF(DATI!$G$218="dx",DATI!$E$61,DATI!$E$64*DATI!$E$63)*1000*C1973*sezione!$AD$5</f>
        <v>-3656623.9791769516</v>
      </c>
      <c r="Q1973" s="553">
        <f>'Foglio deposito bis'!$F$78*IF(ABS(K1973)&lt;'Progetto del paramento slu'!$G$58,ABS(K1973)*'Progetto del paramento slu'!$G$54,'Progetto del paramento slu'!$G$53)*IF(K1973&lt;0,-1,1)</f>
        <v>0</v>
      </c>
      <c r="R1973" s="553">
        <f>'Foglio deposito bis'!$F$79*IF(ABS(L1973)&lt;'Progetto del paramento slu'!$G$58,ABS(L1973)*'Progetto del paramento slu'!$G$54,'Progetto del paramento slu'!$G$53)*IF(L1973&lt;0,-1,1)</f>
        <v>-119417.21688015014</v>
      </c>
      <c r="S1973" s="553">
        <f>'Foglio deposito bis'!$F$80*IF(ABS(M1973)&lt;'Progetto del paramento slu'!$G$58,ABS(M1973)*'Progetto del paramento slu'!$G$54,'Progetto del paramento slu'!$G$53)*IF(M1973&lt;0,-1,1)</f>
        <v>0</v>
      </c>
      <c r="T1973" s="553">
        <f>'Foglio deposito bis'!$F$81*IF(ABS(N1973)&lt;'Progetto del paramento slu'!$G$58,ABS(N1973)*'Progetto del paramento slu'!$G$54,'Progetto del paramento slu'!$G$53)*IF(N1973&lt;0,-1,1)</f>
        <v>227992.20703471592</v>
      </c>
      <c r="U1973" s="553">
        <f>'Foglio deposito bis'!$F$82*IF(ABS(O1973)&lt;'Progetto del paramento slu'!$G$58,ABS(O1973)*'Progetto del paramento slu'!$G$54,'Progetto del paramento slu'!$G$53)*IF(O1973&lt;0,-1,1)</f>
        <v>3780.3507405529949</v>
      </c>
      <c r="V1973" s="479">
        <f t="shared" si="146"/>
        <v>-3544268.6382818329</v>
      </c>
      <c r="W1973" s="559"/>
      <c r="X1973" s="559"/>
    </row>
    <row r="1974" spans="1:24" x14ac:dyDescent="0.25">
      <c r="A1974" s="553">
        <f t="shared" si="145"/>
        <v>3644232.9254745203</v>
      </c>
      <c r="B1974" s="3">
        <f t="shared" si="143"/>
        <v>64.899999999999949</v>
      </c>
      <c r="C1974" s="553">
        <f>'Foglio deposito bis'!$E$160/sezione!$B$247*B1974</f>
        <v>263.47028400515228</v>
      </c>
      <c r="D1974" s="611">
        <f>-'Progetto del paramento slu'!$G$47*'Progetto del paramento slu'!$G$41*IF(DATI!$G$218="dx",DATI!$E$61,DATI!$E$64*DATI!$E$63)*1000*C1974^2*sezione!$AD$5*(1-sezione!$AD$6)</f>
        <v>-571437356.77853441</v>
      </c>
      <c r="E1974" s="553">
        <f>-'Foglio deposito bis'!$F$78*(C1974-sezione!$AL$34)*IF(ABS(K1974)&lt;'Progetto del paramento slu'!$G$58,ABS(K1974)*'Progetto del paramento slu'!$G$54,'Progetto del paramento slu'!$G$53)</f>
        <v>0</v>
      </c>
      <c r="F1974" s="553">
        <f>-'Foglio deposito bis'!$F$79*(C1974-sezione!$AM$34)*IF(ABS(L1974)&lt;'Progetto del paramento slu'!$G$58,ABS(L1974)*'Progetto del paramento slu'!$G$54,'Progetto del paramento slu'!$G$53)</f>
        <v>-13836549.291362269</v>
      </c>
      <c r="G1974" s="553">
        <f>-'Foglio deposito bis'!$F$80*(C1974-sezione!$AN$34)*IF(ABS(M1974)&lt;'Progetto del paramento slu'!$G$58,ABS(M1974)*'Progetto del paramento slu'!$G$54,'Progetto del paramento slu'!$G$53)</f>
        <v>0</v>
      </c>
      <c r="H1974" s="553">
        <f>-'Foglio deposito bis'!$F$81*(C1974-sezione!$AO$34)*IF(ABS(N1974)&lt;'Progetto del paramento slu'!$G$58,ABS(N1974)*'Progetto del paramento slu'!$G$54,'Progetto del paramento slu'!$G$53)</f>
        <v>16313934.388572834</v>
      </c>
      <c r="I1974" s="479">
        <f>-'Foglio deposito bis'!$F$82*(C1974-sezione!$AP$34)*IF(ABS(O1974)&lt;'Progetto del paramento slu'!$G$58,ABS(O1974)*'Progetto del paramento slu'!$G$54,'Progetto del paramento slu'!$G$53)</f>
        <v>-74863.053763049989</v>
      </c>
      <c r="J1974" s="479">
        <f t="shared" si="144"/>
        <v>-569034834.73508692</v>
      </c>
      <c r="K1974" s="558">
        <f>'Progetto del paramento slu'!$G$60*(sezione!$AL$34-C1974)/C1974</f>
        <v>-2.9686307773621173E-3</v>
      </c>
      <c r="L1974" s="558">
        <f>'Progetto del paramento slu'!$G$60*(sezione!$AM$34-C1974)/C1974</f>
        <v>-1.507365415107939E-3</v>
      </c>
      <c r="M1974" s="559">
        <f>'Progetto del paramento slu'!$G$60*(sezione!$AN$34-C1974)/C1974</f>
        <v>-4.6100052853761145E-5</v>
      </c>
      <c r="N1974" s="559">
        <f>'Progetto del paramento slu'!$G$60*(sezione!$AO$34-C1974)/C1974</f>
        <v>1.0166383924220047E-3</v>
      </c>
      <c r="O1974" s="559">
        <f>'Progetto del paramento slu'!$G$60*(sezione!$AP$34-C1974)/C1974</f>
        <v>-4.6007127106295184E-5</v>
      </c>
      <c r="P1974" s="553">
        <f>-'Progetto del paramento slu'!$G$47*'Progetto del paramento slu'!$G$41*IF(DATI!$G$218="dx",DATI!$E$61,DATI!$E$64*DATI!$E$63)*1000*C1974*sezione!$AD$5</f>
        <v>-3713848.1416053856</v>
      </c>
      <c r="Q1974" s="553">
        <f>'Foglio deposito bis'!$F$78*IF(ABS(K1974)&lt;'Progetto del paramento slu'!$G$58,ABS(K1974)*'Progetto del paramento slu'!$G$54,'Progetto del paramento slu'!$G$53)*IF(K1974&lt;0,-1,1)</f>
        <v>0</v>
      </c>
      <c r="R1974" s="553">
        <f>'Foglio deposito bis'!$F$79*IF(ABS(L1974)&lt;'Progetto del paramento slu'!$G$58,ABS(L1974)*'Progetto del paramento slu'!$G$54,'Progetto del paramento slu'!$G$53)*IF(L1974&lt;0,-1,1)</f>
        <v>-121939.84894524456</v>
      </c>
      <c r="S1974" s="553">
        <f>'Foglio deposito bis'!$F$80*IF(ABS(M1974)&lt;'Progetto del paramento slu'!$G$58,ABS(M1974)*'Progetto del paramento slu'!$G$54,'Progetto del paramento slu'!$G$53)*IF(M1974&lt;0,-1,1)</f>
        <v>0</v>
      </c>
      <c r="T1974" s="553">
        <f>'Foglio deposito bis'!$F$81*IF(ABS(N1974)&lt;'Progetto del paramento slu'!$G$58,ABS(N1974)*'Progetto del paramento slu'!$G$54,'Progetto del paramento slu'!$G$53)*IF(N1974&lt;0,-1,1)</f>
        <v>213171.23912587305</v>
      </c>
      <c r="U1974" s="553">
        <f>'Foglio deposito bis'!$F$82*IF(ABS(O1974)&lt;'Progetto del paramento slu'!$G$58,ABS(O1974)*'Progetto del paramento slu'!$G$54,'Progetto del paramento slu'!$G$53)*IF(O1974&lt;0,-1,1)</f>
        <v>-21616.174049763038</v>
      </c>
      <c r="V1974" s="479">
        <f t="shared" si="146"/>
        <v>-3644232.9254745203</v>
      </c>
      <c r="W1974" s="559"/>
      <c r="X1974" s="559"/>
    </row>
    <row r="1975" spans="1:24" x14ac:dyDescent="0.25">
      <c r="A1975" s="553">
        <f t="shared" si="145"/>
        <v>3742900.0920370352</v>
      </c>
      <c r="B1975" s="3">
        <f t="shared" si="143"/>
        <v>65.899999999999949</v>
      </c>
      <c r="C1975" s="553">
        <f>'Foglio deposito bis'!$E$160/sezione!$B$247*B1975</f>
        <v>267.5299185815029</v>
      </c>
      <c r="D1975" s="611">
        <f>-'Progetto del paramento slu'!$G$47*'Progetto del paramento slu'!$G$41*IF(DATI!$G$218="dx",DATI!$E$61,DATI!$E$64*DATI!$E$63)*1000*C1975^2*sezione!$AD$5*(1-sezione!$AD$6)</f>
        <v>-589182805.21446717</v>
      </c>
      <c r="E1975" s="553">
        <f>-'Foglio deposito bis'!$F$78*(C1975-sezione!$AL$34)*IF(ABS(K1975)&lt;'Progetto del paramento slu'!$G$58,ABS(K1975)*'Progetto del paramento slu'!$G$54,'Progetto del paramento slu'!$G$53)</f>
        <v>0</v>
      </c>
      <c r="F1975" s="553">
        <f>-'Foglio deposito bis'!$F$79*(C1975-sezione!$AM$34)*IF(ABS(L1975)&lt;'Progetto del paramento slu'!$G$58,ABS(L1975)*'Progetto del paramento slu'!$G$54,'Progetto del paramento slu'!$G$53)</f>
        <v>-14619067.240136558</v>
      </c>
      <c r="G1975" s="553">
        <f>-'Foglio deposito bis'!$F$80*(C1975-sezione!$AN$34)*IF(ABS(M1975)&lt;'Progetto del paramento slu'!$G$58,ABS(M1975)*'Progetto del paramento slu'!$G$54,'Progetto del paramento slu'!$G$53)</f>
        <v>0</v>
      </c>
      <c r="H1975" s="553">
        <f>-'Foglio deposito bis'!$F$81*(C1975-sezione!$AO$34)*IF(ABS(N1975)&lt;'Progetto del paramento slu'!$G$58,ABS(N1975)*'Progetto del paramento slu'!$G$54,'Progetto del paramento slu'!$G$53)</f>
        <v>14407057.474465633</v>
      </c>
      <c r="I1975" s="479">
        <f>-'Foglio deposito bis'!$F$82*(C1975-sezione!$AP$34)*IF(ABS(O1975)&lt;'Progetto del paramento slu'!$G$58,ABS(O1975)*'Progetto del paramento slu'!$G$54,'Progetto del paramento slu'!$G$53)</f>
        <v>-347874.56719097635</v>
      </c>
      <c r="J1975" s="479">
        <f t="shared" si="144"/>
        <v>-589742689.54732907</v>
      </c>
      <c r="K1975" s="558">
        <f>'Progetto del paramento slu'!$G$60*(sezione!$AL$34-C1975)/C1975</f>
        <v>-2.9766940432595051E-3</v>
      </c>
      <c r="L1975" s="558">
        <f>'Progetto del paramento slu'!$G$60*(sezione!$AM$34-C1975)/C1975</f>
        <v>-1.5376026622231454E-3</v>
      </c>
      <c r="M1975" s="559">
        <f>'Progetto del paramento slu'!$G$60*(sezione!$AN$34-C1975)/C1975</f>
        <v>-9.8511281186785057E-5</v>
      </c>
      <c r="N1975" s="559">
        <f>'Progetto del paramento slu'!$G$60*(sezione!$AO$34-C1975)/C1975</f>
        <v>9.481006322942042E-4</v>
      </c>
      <c r="O1975" s="559">
        <f>'Progetto del paramento slu'!$G$60*(sezione!$AP$34-C1975)/C1975</f>
        <v>-9.8419765541708551E-5</v>
      </c>
      <c r="P1975" s="553">
        <f>-'Progetto del paramento slu'!$G$47*'Progetto del paramento slu'!$G$41*IF(DATI!$G$218="dx",DATI!$E$61,DATI!$E$64*DATI!$E$63)*1000*C1975*sezione!$AD$5</f>
        <v>-3771072.304033821</v>
      </c>
      <c r="Q1975" s="553">
        <f>'Foglio deposito bis'!$F$78*IF(ABS(K1975)&lt;'Progetto del paramento slu'!$G$58,ABS(K1975)*'Progetto del paramento slu'!$G$54,'Progetto del paramento slu'!$G$53)*IF(K1975&lt;0,-1,1)</f>
        <v>0</v>
      </c>
      <c r="R1975" s="553">
        <f>'Foglio deposito bis'!$F$79*IF(ABS(L1975)&lt;'Progetto del paramento slu'!$G$58,ABS(L1975)*'Progetto del paramento slu'!$G$54,'Progetto del paramento slu'!$G$53)*IF(L1975&lt;0,-1,1)</f>
        <v>-124385.92161534379</v>
      </c>
      <c r="S1975" s="553">
        <f>'Foglio deposito bis'!$F$80*IF(ABS(M1975)&lt;'Progetto del paramento slu'!$G$58,ABS(M1975)*'Progetto del paramento slu'!$G$54,'Progetto del paramento slu'!$G$53)*IF(M1975&lt;0,-1,1)</f>
        <v>0</v>
      </c>
      <c r="T1975" s="553">
        <f>'Foglio deposito bis'!$F$81*IF(ABS(N1975)&lt;'Progetto del paramento slu'!$G$58,ABS(N1975)*'Progetto del paramento slu'!$G$54,'Progetto del paramento slu'!$G$53)*IF(N1975&lt;0,-1,1)</f>
        <v>198800.07297450624</v>
      </c>
      <c r="U1975" s="553">
        <f>'Foglio deposito bis'!$F$82*IF(ABS(O1975)&lt;'Progetto del paramento slu'!$G$58,ABS(O1975)*'Progetto del paramento slu'!$G$54,'Progetto del paramento slu'!$G$53)*IF(O1975&lt;0,-1,1)</f>
        <v>-46241.939362376346</v>
      </c>
      <c r="V1975" s="479">
        <f t="shared" si="146"/>
        <v>-3742900.0920370352</v>
      </c>
      <c r="W1975" s="559"/>
      <c r="X1975" s="559"/>
    </row>
    <row r="1976" spans="1:24" x14ac:dyDescent="0.25">
      <c r="A1976" s="553">
        <f t="shared" si="145"/>
        <v>3840328.3048137757</v>
      </c>
      <c r="B1976" s="3">
        <f t="shared" si="143"/>
        <v>66.899999999999949</v>
      </c>
      <c r="C1976" s="553">
        <f>'Foglio deposito bis'!$E$160/sezione!$B$247*B1976</f>
        <v>271.58955315785346</v>
      </c>
      <c r="D1976" s="611">
        <f>-'Progetto del paramento slu'!$G$47*'Progetto del paramento slu'!$G$41*IF(DATI!$G$218="dx",DATI!$E$61,DATI!$E$64*DATI!$E$63)*1000*C1976^2*sezione!$AD$5*(1-sezione!$AD$6)</f>
        <v>-607199590.78244758</v>
      </c>
      <c r="E1976" s="553">
        <f>-'Foglio deposito bis'!$F$78*(C1976-sezione!$AL$34)*IF(ABS(K1976)&lt;'Progetto del paramento slu'!$G$58,ABS(K1976)*'Progetto del paramento slu'!$G$54,'Progetto del paramento slu'!$G$53)</f>
        <v>0</v>
      </c>
      <c r="F1976" s="553">
        <f>-'Foglio deposito bis'!$F$79*(C1976-sezione!$AM$34)*IF(ABS(L1976)&lt;'Progetto del paramento slu'!$G$58,ABS(L1976)*'Progetto del paramento slu'!$G$54,'Progetto del paramento slu'!$G$53)</f>
        <v>-15412554.124651181</v>
      </c>
      <c r="G1976" s="553">
        <f>-'Foglio deposito bis'!$F$80*(C1976-sezione!$AN$34)*IF(ABS(M1976)&lt;'Progetto del paramento slu'!$G$58,ABS(M1976)*'Progetto del paramento slu'!$G$54,'Progetto del paramento slu'!$G$53)</f>
        <v>0</v>
      </c>
      <c r="H1976" s="553">
        <f>-'Foglio deposito bis'!$F$81*(C1976-sezione!$AO$34)*IF(ABS(N1976)&lt;'Progetto del paramento slu'!$G$58,ABS(N1976)*'Progetto del paramento slu'!$G$54,'Progetto del paramento slu'!$G$53)</f>
        <v>12646255.193885051</v>
      </c>
      <c r="I1976" s="479">
        <f>-'Foglio deposito bis'!$F$82*(C1976-sezione!$AP$34)*IF(ABS(O1976)&lt;'Progetto del paramento slu'!$G$58,ABS(O1976)*'Progetto del paramento slu'!$G$54,'Progetto del paramento slu'!$G$53)</f>
        <v>-812302.26128387591</v>
      </c>
      <c r="J1976" s="479">
        <f t="shared" si="144"/>
        <v>-610778191.97449756</v>
      </c>
      <c r="K1976" s="558">
        <f>'Progetto del paramento slu'!$G$60*(sezione!$AL$34-C1976)/C1976</f>
        <v>-2.9845162548699762E-3</v>
      </c>
      <c r="L1976" s="558">
        <f>'Progetto del paramento slu'!$G$60*(sezione!$AM$34-C1976)/C1976</f>
        <v>-1.5669359557624104E-3</v>
      </c>
      <c r="M1976" s="559">
        <f>'Progetto del paramento slu'!$G$60*(sezione!$AN$34-C1976)/C1976</f>
        <v>-1.4935565665484489E-4</v>
      </c>
      <c r="N1976" s="559">
        <f>'Progetto del paramento slu'!$G$60*(sezione!$AO$34-C1976)/C1976</f>
        <v>8.816118336052028E-4</v>
      </c>
      <c r="O1976" s="559">
        <f>'Progetto del paramento slu'!$G$60*(sezione!$AP$34-C1976)/C1976</f>
        <v>-1.4926550895663054E-4</v>
      </c>
      <c r="P1976" s="553">
        <f>-'Progetto del paramento slu'!$G$47*'Progetto del paramento slu'!$G$41*IF(DATI!$G$218="dx",DATI!$E$61,DATI!$E$64*DATI!$E$63)*1000*C1976*sezione!$AD$5</f>
        <v>-3828296.466462255</v>
      </c>
      <c r="Q1976" s="553">
        <f>'Foglio deposito bis'!$F$78*IF(ABS(K1976)&lt;'Progetto del paramento slu'!$G$58,ABS(K1976)*'Progetto del paramento slu'!$G$54,'Progetto del paramento slu'!$G$53)*IF(K1976&lt;0,-1,1)</f>
        <v>0</v>
      </c>
      <c r="R1976" s="553">
        <f>'Foglio deposito bis'!$F$79*IF(ABS(L1976)&lt;'Progetto del paramento slu'!$G$58,ABS(L1976)*'Progetto del paramento slu'!$G$54,'Progetto del paramento slu'!$G$53)*IF(L1976&lt;0,-1,1)</f>
        <v>-126758.86804717389</v>
      </c>
      <c r="S1976" s="553">
        <f>'Foglio deposito bis'!$F$80*IF(ABS(M1976)&lt;'Progetto del paramento slu'!$G$58,ABS(M1976)*'Progetto del paramento slu'!$G$54,'Progetto del paramento slu'!$G$53)*IF(M1976&lt;0,-1,1)</f>
        <v>0</v>
      </c>
      <c r="T1976" s="553">
        <f>'Foglio deposito bis'!$F$81*IF(ABS(N1976)&lt;'Progetto del paramento slu'!$G$58,ABS(N1976)*'Progetto del paramento slu'!$G$54,'Progetto del paramento slu'!$G$53)*IF(N1976&lt;0,-1,1)</f>
        <v>184858.53809821783</v>
      </c>
      <c r="U1976" s="553">
        <f>'Foglio deposito bis'!$F$82*IF(ABS(O1976)&lt;'Progetto del paramento slu'!$G$58,ABS(O1976)*'Progetto del paramento slu'!$G$54,'Progetto del paramento slu'!$G$53)*IF(O1976&lt;0,-1,1)</f>
        <v>-70131.508402564417</v>
      </c>
      <c r="V1976" s="479">
        <f t="shared" si="146"/>
        <v>-3840328.3048137757</v>
      </c>
      <c r="W1976" s="559"/>
      <c r="X1976" s="559"/>
    </row>
    <row r="1977" spans="1:24" x14ac:dyDescent="0.25">
      <c r="A1977" s="553">
        <f t="shared" si="145"/>
        <v>3936572.3040309199</v>
      </c>
      <c r="B1977" s="3">
        <f t="shared" si="143"/>
        <v>67.899999999999949</v>
      </c>
      <c r="C1977" s="553">
        <f>'Foglio deposito bis'!$E$160/sezione!$B$247*B1977</f>
        <v>275.64918773420402</v>
      </c>
      <c r="D1977" s="611">
        <f>-'Progetto del paramento slu'!$G$47*'Progetto del paramento slu'!$G$41*IF(DATI!$G$218="dx",DATI!$E$61,DATI!$E$64*DATI!$E$63)*1000*C1977^2*sezione!$AD$5*(1-sezione!$AD$6)</f>
        <v>-625487713.48247588</v>
      </c>
      <c r="E1977" s="553">
        <f>-'Foglio deposito bis'!$F$78*(C1977-sezione!$AL$34)*IF(ABS(K1977)&lt;'Progetto del paramento slu'!$G$58,ABS(K1977)*'Progetto del paramento slu'!$G$54,'Progetto del paramento slu'!$G$53)</f>
        <v>0</v>
      </c>
      <c r="F1977" s="553">
        <f>-'Foglio deposito bis'!$F$79*(C1977-sezione!$AM$34)*IF(ABS(L1977)&lt;'Progetto del paramento slu'!$G$58,ABS(L1977)*'Progetto del paramento slu'!$G$54,'Progetto del paramento slu'!$G$53)</f>
        <v>-16216525.308570068</v>
      </c>
      <c r="G1977" s="553">
        <f>-'Foglio deposito bis'!$F$80*(C1977-sezione!$AN$34)*IF(ABS(M1977)&lt;'Progetto del paramento slu'!$G$58,ABS(M1977)*'Progetto del paramento slu'!$G$54,'Progetto del paramento slu'!$G$53)</f>
        <v>0</v>
      </c>
      <c r="H1977" s="553">
        <f>-'Foglio deposito bis'!$F$81*(C1977-sezione!$AO$34)*IF(ABS(N1977)&lt;'Progetto del paramento slu'!$G$58,ABS(N1977)*'Progetto del paramento slu'!$G$54,'Progetto del paramento slu'!$G$53)</f>
        <v>11025073.586586891</v>
      </c>
      <c r="I1977" s="479">
        <f>-'Foglio deposito bis'!$F$82*(C1977-sezione!$AP$34)*IF(ABS(O1977)&lt;'Progetto del paramento slu'!$G$58,ABS(O1977)*'Progetto del paramento slu'!$G$54,'Progetto del paramento slu'!$G$53)</f>
        <v>-1459688.8673820316</v>
      </c>
      <c r="J1977" s="479">
        <f t="shared" si="144"/>
        <v>-632138854.07184112</v>
      </c>
      <c r="K1977" s="558">
        <f>'Progetto del paramento slu'!$G$60*(sezione!$AL$34-C1977)/C1977</f>
        <v>-2.9921080626038499E-3</v>
      </c>
      <c r="L1977" s="558">
        <f>'Progetto del paramento slu'!$G$60*(sezione!$AM$34-C1977)/C1977</f>
        <v>-1.5954052347644367E-3</v>
      </c>
      <c r="M1977" s="559">
        <f>'Progetto del paramento slu'!$G$60*(sezione!$AN$34-C1977)/C1977</f>
        <v>-1.9870240692502374E-4</v>
      </c>
      <c r="N1977" s="559">
        <f>'Progetto del paramento slu'!$G$60*(sezione!$AO$34-C1977)/C1977</f>
        <v>8.1708146786727671E-4</v>
      </c>
      <c r="O1977" s="559">
        <f>'Progetto del paramento slu'!$G$60*(sezione!$AP$34-C1977)/C1977</f>
        <v>-1.9861358688068589E-4</v>
      </c>
      <c r="P1977" s="553">
        <f>-'Progetto del paramento slu'!$G$47*'Progetto del paramento slu'!$G$41*IF(DATI!$G$218="dx",DATI!$E$61,DATI!$E$64*DATI!$E$63)*1000*C1977*sezione!$AD$5</f>
        <v>-3885520.6288906895</v>
      </c>
      <c r="Q1977" s="553">
        <f>'Foglio deposito bis'!$F$78*IF(ABS(K1977)&lt;'Progetto del paramento slu'!$G$58,ABS(K1977)*'Progetto del paramento slu'!$G$54,'Progetto del paramento slu'!$G$53)*IF(K1977&lt;0,-1,1)</f>
        <v>0</v>
      </c>
      <c r="R1977" s="553">
        <f>'Foglio deposito bis'!$F$79*IF(ABS(L1977)&lt;'Progetto del paramento slu'!$G$58,ABS(L1977)*'Progetto del paramento slu'!$G$54,'Progetto del paramento slu'!$G$53)*IF(L1977&lt;0,-1,1)</f>
        <v>-129061.91914964232</v>
      </c>
      <c r="S1977" s="553">
        <f>'Foglio deposito bis'!$F$80*IF(ABS(M1977)&lt;'Progetto del paramento slu'!$G$58,ABS(M1977)*'Progetto del paramento slu'!$G$54,'Progetto del paramento slu'!$G$53)*IF(M1977&lt;0,-1,1)</f>
        <v>0</v>
      </c>
      <c r="T1977" s="553">
        <f>'Foglio deposito bis'!$F$81*IF(ABS(N1977)&lt;'Progetto del paramento slu'!$G$58,ABS(N1977)*'Progetto del paramento slu'!$G$54,'Progetto del paramento slu'!$G$53)*IF(N1977&lt;0,-1,1)</f>
        <v>171327.65226099541</v>
      </c>
      <c r="U1977" s="553">
        <f>'Foglio deposito bis'!$F$82*IF(ABS(O1977)&lt;'Progetto del paramento slu'!$G$58,ABS(O1977)*'Progetto del paramento slu'!$G$54,'Progetto del paramento slu'!$G$53)*IF(O1977&lt;0,-1,1)</f>
        <v>-93317.40825158346</v>
      </c>
      <c r="V1977" s="479">
        <f t="shared" si="146"/>
        <v>-3936572.3040309199</v>
      </c>
      <c r="W1977" s="559"/>
      <c r="X1977" s="559"/>
    </row>
    <row r="1978" spans="1:24" x14ac:dyDescent="0.25">
      <c r="A1978" s="553">
        <f t="shared" si="145"/>
        <v>4031683.6519624712</v>
      </c>
      <c r="B1978" s="3">
        <f t="shared" si="143"/>
        <v>68.899999999999949</v>
      </c>
      <c r="C1978" s="553">
        <f>'Foglio deposito bis'!$E$160/sezione!$B$247*B1978</f>
        <v>279.70882231055464</v>
      </c>
      <c r="D1978" s="611">
        <f>-'Progetto del paramento slu'!$G$47*'Progetto del paramento slu'!$G$41*IF(DATI!$G$218="dx",DATI!$E$61,DATI!$E$64*DATI!$E$63)*1000*C1978^2*sezione!$AD$5*(1-sezione!$AD$6)</f>
        <v>-644047173.31455231</v>
      </c>
      <c r="E1978" s="553">
        <f>-'Foglio deposito bis'!$F$78*(C1978-sezione!$AL$34)*IF(ABS(K1978)&lt;'Progetto del paramento slu'!$G$58,ABS(K1978)*'Progetto del paramento slu'!$G$54,'Progetto del paramento slu'!$G$53)</f>
        <v>0</v>
      </c>
      <c r="F1978" s="553">
        <f>-'Foglio deposito bis'!$F$79*(C1978-sezione!$AM$34)*IF(ABS(L1978)&lt;'Progetto del paramento slu'!$G$58,ABS(L1978)*'Progetto del paramento slu'!$G$54,'Progetto del paramento slu'!$G$53)</f>
        <v>-17030524.291193478</v>
      </c>
      <c r="G1978" s="553">
        <f>-'Foglio deposito bis'!$F$80*(C1978-sezione!$AN$34)*IF(ABS(M1978)&lt;'Progetto del paramento slu'!$G$58,ABS(M1978)*'Progetto del paramento slu'!$G$54,'Progetto del paramento slu'!$G$53)</f>
        <v>0</v>
      </c>
      <c r="H1978" s="553">
        <f>-'Foglio deposito bis'!$F$81*(C1978-sezione!$AO$34)*IF(ABS(N1978)&lt;'Progetto del paramento slu'!$G$58,ABS(N1978)*'Progetto del paramento slu'!$G$54,'Progetto del paramento slu'!$G$53)</f>
        <v>9537433.3779724725</v>
      </c>
      <c r="I1978" s="479">
        <f>-'Foglio deposito bis'!$F$82*(C1978-sezione!$AP$34)*IF(ABS(O1978)&lt;'Progetto del paramento slu'!$G$58,ABS(O1978)*'Progetto del paramento slu'!$G$54,'Progetto del paramento slu'!$G$53)</f>
        <v>-2282068.1048466209</v>
      </c>
      <c r="J1978" s="479">
        <f t="shared" si="144"/>
        <v>-653822332.33261991</v>
      </c>
      <c r="K1978" s="558">
        <f>'Progetto del paramento slu'!$G$60*(sezione!$AL$34-C1978)/C1978</f>
        <v>-2.9994794985602528E-3</v>
      </c>
      <c r="L1978" s="558">
        <f>'Progetto del paramento slu'!$G$60*(sezione!$AM$34-C1978)/C1978</f>
        <v>-1.6230481196009476E-3</v>
      </c>
      <c r="M1978" s="559">
        <f>'Progetto del paramento slu'!$G$60*(sezione!$AN$34-C1978)/C1978</f>
        <v>-2.4661674064164216E-4</v>
      </c>
      <c r="N1978" s="559">
        <f>'Progetto del paramento slu'!$G$60*(sezione!$AO$34-C1978)/C1978</f>
        <v>7.5442426223785259E-4</v>
      </c>
      <c r="O1978" s="559">
        <f>'Progetto del paramento slu'!$G$60*(sezione!$AP$34-C1978)/C1978</f>
        <v>-2.4652920971260676E-4</v>
      </c>
      <c r="P1978" s="553">
        <f>-'Progetto del paramento slu'!$G$47*'Progetto del paramento slu'!$G$41*IF(DATI!$G$218="dx",DATI!$E$61,DATI!$E$64*DATI!$E$63)*1000*C1978*sezione!$AD$5</f>
        <v>-3942744.7913191244</v>
      </c>
      <c r="Q1978" s="553">
        <f>'Foglio deposito bis'!$F$78*IF(ABS(K1978)&lt;'Progetto del paramento slu'!$G$58,ABS(K1978)*'Progetto del paramento slu'!$G$54,'Progetto del paramento slu'!$G$53)*IF(K1978&lt;0,-1,1)</f>
        <v>0</v>
      </c>
      <c r="R1978" s="553">
        <f>'Foglio deposito bis'!$F$79*IF(ABS(L1978)&lt;'Progetto del paramento slu'!$G$58,ABS(L1978)*'Progetto del paramento slu'!$G$54,'Progetto del paramento slu'!$G$53)*IF(L1978&lt;0,-1,1)</f>
        <v>-131298.1182607474</v>
      </c>
      <c r="S1978" s="553">
        <f>'Foglio deposito bis'!$F$80*IF(ABS(M1978)&lt;'Progetto del paramento slu'!$G$58,ABS(M1978)*'Progetto del paramento slu'!$G$54,'Progetto del paramento slu'!$G$53)*IF(M1978&lt;0,-1,1)</f>
        <v>0</v>
      </c>
      <c r="T1978" s="553">
        <f>'Foglio deposito bis'!$F$81*IF(ABS(N1978)&lt;'Progetto del paramento slu'!$G$58,ABS(N1978)*'Progetto del paramento slu'!$G$54,'Progetto del paramento slu'!$G$53)*IF(N1978&lt;0,-1,1)</f>
        <v>158189.5352434309</v>
      </c>
      <c r="U1978" s="553">
        <f>'Foglio deposito bis'!$F$82*IF(ABS(O1978)&lt;'Progetto del paramento slu'!$G$58,ABS(O1978)*'Progetto del paramento slu'!$G$54,'Progetto del paramento slu'!$G$53)*IF(O1978&lt;0,-1,1)</f>
        <v>-115830.27762603042</v>
      </c>
      <c r="V1978" s="479">
        <f t="shared" si="146"/>
        <v>-4031683.6519624712</v>
      </c>
      <c r="W1978" s="559"/>
      <c r="X1978" s="559"/>
    </row>
    <row r="1979" spans="1:24" x14ac:dyDescent="0.25">
      <c r="A1979" s="553">
        <f t="shared" si="145"/>
        <v>4125710.9602515856</v>
      </c>
      <c r="B1979" s="3">
        <f t="shared" si="143"/>
        <v>69.899999999999949</v>
      </c>
      <c r="C1979" s="553">
        <f>'Foglio deposito bis'!$E$160/sezione!$B$247*B1979</f>
        <v>283.7684568869052</v>
      </c>
      <c r="D1979" s="611">
        <f>-'Progetto del paramento slu'!$G$47*'Progetto del paramento slu'!$G$41*IF(DATI!$G$218="dx",DATI!$E$61,DATI!$E$64*DATI!$E$63)*1000*C1979^2*sezione!$AD$5*(1-sezione!$AD$6)</f>
        <v>-662877970.27867639</v>
      </c>
      <c r="E1979" s="553">
        <f>-'Foglio deposito bis'!$F$78*(C1979-sezione!$AL$34)*IF(ABS(K1979)&lt;'Progetto del paramento slu'!$G$58,ABS(K1979)*'Progetto del paramento slu'!$G$54,'Progetto del paramento slu'!$G$53)</f>
        <v>0</v>
      </c>
      <c r="F1979" s="553">
        <f>-'Foglio deposito bis'!$F$79*(C1979-sezione!$AM$34)*IF(ABS(L1979)&lt;'Progetto del paramento slu'!$G$58,ABS(L1979)*'Progetto del paramento slu'!$G$54,'Progetto del paramento slu'!$G$53)</f>
        <v>-17854120.694894567</v>
      </c>
      <c r="G1979" s="553">
        <f>-'Foglio deposito bis'!$F$80*(C1979-sezione!$AN$34)*IF(ABS(M1979)&lt;'Progetto del paramento slu'!$G$58,ABS(M1979)*'Progetto del paramento slu'!$G$54,'Progetto del paramento slu'!$G$53)</f>
        <v>0</v>
      </c>
      <c r="H1979" s="553">
        <f>-'Foglio deposito bis'!$F$81*(C1979-sezione!$AO$34)*IF(ABS(N1979)&lt;'Progetto del paramento slu'!$G$58,ABS(N1979)*'Progetto del paramento slu'!$G$54,'Progetto del paramento slu'!$G$53)</f>
        <v>8177603.177540387</v>
      </c>
      <c r="I1979" s="479">
        <f>-'Foglio deposito bis'!$F$82*(C1979-sezione!$AP$34)*IF(ABS(O1979)&lt;'Progetto del paramento slu'!$G$58,ABS(O1979)*'Progetto del paramento slu'!$G$54,'Progetto del paramento slu'!$G$53)</f>
        <v>-3271929.5603142553</v>
      </c>
      <c r="J1979" s="479">
        <f t="shared" si="144"/>
        <v>-675826417.35634482</v>
      </c>
      <c r="K1979" s="558">
        <f>'Progetto del paramento slu'!$G$60*(sezione!$AL$34-C1979)/C1979</f>
        <v>-3.0066400207553849E-3</v>
      </c>
      <c r="L1979" s="558">
        <f>'Progetto del paramento slu'!$G$60*(sezione!$AM$34-C1979)/C1979</f>
        <v>-1.6499000778326933E-3</v>
      </c>
      <c r="M1979" s="559">
        <f>'Progetto del paramento slu'!$G$60*(sezione!$AN$34-C1979)/C1979</f>
        <v>-2.9316013491000194E-4</v>
      </c>
      <c r="N1979" s="559">
        <f>'Progetto del paramento slu'!$G$60*(sezione!$AO$34-C1979)/C1979</f>
        <v>6.9355982357922831E-4</v>
      </c>
      <c r="O1979" s="559">
        <f>'Progetto del paramento slu'!$G$60*(sezione!$AP$34-C1979)/C1979</f>
        <v>-2.9307385621171094E-4</v>
      </c>
      <c r="P1979" s="553">
        <f>-'Progetto del paramento slu'!$G$47*'Progetto del paramento slu'!$G$41*IF(DATI!$G$218="dx",DATI!$E$61,DATI!$E$64*DATI!$E$63)*1000*C1979*sezione!$AD$5</f>
        <v>-3999968.9537475579</v>
      </c>
      <c r="Q1979" s="553">
        <f>'Foglio deposito bis'!$F$78*IF(ABS(K1979)&lt;'Progetto del paramento slu'!$G$58,ABS(K1979)*'Progetto del paramento slu'!$G$54,'Progetto del paramento slu'!$G$53)*IF(K1979&lt;0,-1,1)</f>
        <v>0</v>
      </c>
      <c r="R1979" s="553">
        <f>'Foglio deposito bis'!$F$79*IF(ABS(L1979)&lt;'Progetto del paramento slu'!$G$58,ABS(L1979)*'Progetto del paramento slu'!$G$54,'Progetto del paramento slu'!$G$53)*IF(L1979&lt;0,-1,1)</f>
        <v>-133470.33456466775</v>
      </c>
      <c r="S1979" s="553">
        <f>'Foglio deposito bis'!$F$80*IF(ABS(M1979)&lt;'Progetto del paramento slu'!$G$58,ABS(M1979)*'Progetto del paramento slu'!$G$54,'Progetto del paramento slu'!$G$53)*IF(M1979&lt;0,-1,1)</f>
        <v>0</v>
      </c>
      <c r="T1979" s="553">
        <f>'Foglio deposito bis'!$F$81*IF(ABS(N1979)&lt;'Progetto del paramento slu'!$G$58,ABS(N1979)*'Progetto del paramento slu'!$G$54,'Progetto del paramento slu'!$G$53)*IF(N1979&lt;0,-1,1)</f>
        <v>145427.33001463808</v>
      </c>
      <c r="U1979" s="553">
        <f>'Foglio deposito bis'!$F$82*IF(ABS(O1979)&lt;'Progetto del paramento slu'!$G$58,ABS(O1979)*'Progetto del paramento slu'!$G$54,'Progetto del paramento slu'!$G$53)*IF(O1979&lt;0,-1,1)</f>
        <v>-137699.00195399791</v>
      </c>
      <c r="V1979" s="479">
        <f t="shared" si="146"/>
        <v>-4125710.9602515856</v>
      </c>
      <c r="W1979" s="559"/>
      <c r="X1979" s="559"/>
    </row>
    <row r="1980" spans="1:24" x14ac:dyDescent="0.25">
      <c r="A1980" s="553">
        <f t="shared" si="145"/>
        <v>4218700.0979945594</v>
      </c>
      <c r="B1980" s="3">
        <f t="shared" si="143"/>
        <v>70.899999999999949</v>
      </c>
      <c r="C1980" s="553">
        <f>'Foglio deposito bis'!$E$160/sezione!$B$247*B1980</f>
        <v>287.82809146325576</v>
      </c>
      <c r="D1980" s="611">
        <f>-'Progetto del paramento slu'!$G$47*'Progetto del paramento slu'!$G$41*IF(DATI!$G$218="dx",DATI!$E$61,DATI!$E$64*DATI!$E$63)*1000*C1980^2*sezione!$AD$5*(1-sezione!$AD$6)</f>
        <v>-681980104.37484848</v>
      </c>
      <c r="E1980" s="553">
        <f>-'Foglio deposito bis'!$F$78*(C1980-sezione!$AL$34)*IF(ABS(K1980)&lt;'Progetto del paramento slu'!$G$58,ABS(K1980)*'Progetto del paramento slu'!$G$54,'Progetto del paramento slu'!$G$53)</f>
        <v>0</v>
      </c>
      <c r="F1980" s="553">
        <f>-'Foglio deposito bis'!$F$79*(C1980-sezione!$AM$34)*IF(ABS(L1980)&lt;'Progetto del paramento slu'!$G$58,ABS(L1980)*'Progetto del paramento slu'!$G$54,'Progetto del paramento slu'!$G$53)</f>
        <v>-18686908.422871776</v>
      </c>
      <c r="G1980" s="553">
        <f>-'Foglio deposito bis'!$F$80*(C1980-sezione!$AN$34)*IF(ABS(M1980)&lt;'Progetto del paramento slu'!$G$58,ABS(M1980)*'Progetto del paramento slu'!$G$54,'Progetto del paramento slu'!$G$53)</f>
        <v>0</v>
      </c>
      <c r="H1980" s="553">
        <f>-'Foglio deposito bis'!$F$81*(C1980-sezione!$AO$34)*IF(ABS(N1980)&lt;'Progetto del paramento slu'!$G$58,ABS(N1980)*'Progetto del paramento slu'!$G$54,'Progetto del paramento slu'!$G$53)</f>
        <v>6940174.9454521518</v>
      </c>
      <c r="I1980" s="479">
        <f>-'Foglio deposito bis'!$F$82*(C1980-sezione!$AP$34)*IF(ABS(O1980)&lt;'Progetto del paramento slu'!$G$58,ABS(O1980)*'Progetto del paramento slu'!$G$54,'Progetto del paramento slu'!$G$53)</f>
        <v>-4422186.5390880583</v>
      </c>
      <c r="J1980" s="479">
        <f t="shared" si="144"/>
        <v>-698149024.39135623</v>
      </c>
      <c r="K1980" s="558">
        <f>'Progetto del paramento slu'!$G$60*(sezione!$AL$34-C1980)/C1980</f>
        <v>-3.0135985536079183E-3</v>
      </c>
      <c r="L1980" s="558">
        <f>'Progetto del paramento slu'!$G$60*(sezione!$AM$34-C1980)/C1980</f>
        <v>-1.6759945760296934E-3</v>
      </c>
      <c r="M1980" s="559">
        <f>'Progetto del paramento slu'!$G$60*(sezione!$AN$34-C1980)/C1980</f>
        <v>-3.383905984514686E-4</v>
      </c>
      <c r="N1980" s="559">
        <f>'Progetto del paramento slu'!$G$60*(sezione!$AO$34-C1980)/C1980</f>
        <v>6.3441229433269493E-4</v>
      </c>
      <c r="O1980" s="559">
        <f>'Progetto del paramento slu'!$G$60*(sezione!$AP$34-C1980)/C1980</f>
        <v>-3.3830553666006465E-4</v>
      </c>
      <c r="P1980" s="553">
        <f>-'Progetto del paramento slu'!$G$47*'Progetto del paramento slu'!$G$41*IF(DATI!$G$218="dx",DATI!$E$61,DATI!$E$64*DATI!$E$63)*1000*C1980*sezione!$AD$5</f>
        <v>-4057193.1161759919</v>
      </c>
      <c r="Q1980" s="553">
        <f>'Foglio deposito bis'!$F$78*IF(ABS(K1980)&lt;'Progetto del paramento slu'!$G$58,ABS(K1980)*'Progetto del paramento slu'!$G$54,'Progetto del paramento slu'!$G$53)*IF(K1980&lt;0,-1,1)</f>
        <v>0</v>
      </c>
      <c r="R1980" s="553">
        <f>'Foglio deposito bis'!$F$79*IF(ABS(L1980)&lt;'Progetto del paramento slu'!$G$58,ABS(L1980)*'Progetto del paramento slu'!$G$54,'Progetto del paramento slu'!$G$53)*IF(L1980&lt;0,-1,1)</f>
        <v>-135581.27537341404</v>
      </c>
      <c r="S1980" s="553">
        <f>'Foglio deposito bis'!$F$80*IF(ABS(M1980)&lt;'Progetto del paramento slu'!$G$58,ABS(M1980)*'Progetto del paramento slu'!$G$54,'Progetto del paramento slu'!$G$53)*IF(M1980&lt;0,-1,1)</f>
        <v>0</v>
      </c>
      <c r="T1980" s="553">
        <f>'Foglio deposito bis'!$F$81*IF(ABS(N1980)&lt;'Progetto del paramento slu'!$G$58,ABS(N1980)*'Progetto del paramento slu'!$G$54,'Progetto del paramento slu'!$G$53)*IF(N1980&lt;0,-1,1)</f>
        <v>133025.13057509187</v>
      </c>
      <c r="U1980" s="553">
        <f>'Foglio deposito bis'!$F$82*IF(ABS(O1980)&lt;'Progetto del paramento slu'!$G$58,ABS(O1980)*'Progetto del paramento slu'!$G$54,'Progetto del paramento slu'!$G$53)*IF(O1980&lt;0,-1,1)</f>
        <v>-158950.83702024556</v>
      </c>
      <c r="V1980" s="479">
        <f t="shared" si="146"/>
        <v>-4218700.0979945594</v>
      </c>
      <c r="W1980" s="559"/>
      <c r="X1980" s="559"/>
    </row>
    <row r="1981" spans="1:24" x14ac:dyDescent="0.25">
      <c r="A1981" s="553">
        <f t="shared" si="145"/>
        <v>4310694.3824603567</v>
      </c>
      <c r="B1981" s="3">
        <f t="shared" si="143"/>
        <v>71.899999999999949</v>
      </c>
      <c r="C1981" s="553">
        <f>'Foglio deposito bis'!$E$160/sezione!$B$247*B1981</f>
        <v>291.88772603960632</v>
      </c>
      <c r="D1981" s="611">
        <f>-'Progetto del paramento slu'!$G$47*'Progetto del paramento slu'!$G$41*IF(DATI!$G$218="dx",DATI!$E$61,DATI!$E$64*DATI!$E$63)*1000*C1981^2*sezione!$AD$5*(1-sezione!$AD$6)</f>
        <v>-701353575.60306835</v>
      </c>
      <c r="E1981" s="553">
        <f>-'Foglio deposito bis'!$F$78*(C1981-sezione!$AL$34)*IF(ABS(K1981)&lt;'Progetto del paramento slu'!$G$58,ABS(K1981)*'Progetto del paramento slu'!$G$54,'Progetto del paramento slu'!$G$53)</f>
        <v>0</v>
      </c>
      <c r="F1981" s="553">
        <f>-'Foglio deposito bis'!$F$79*(C1981-sezione!$AM$34)*IF(ABS(L1981)&lt;'Progetto del paramento slu'!$G$58,ABS(L1981)*'Progetto del paramento slu'!$G$54,'Progetto del paramento slu'!$G$53)</f>
        <v>-19528503.970635127</v>
      </c>
      <c r="G1981" s="553">
        <f>-'Foglio deposito bis'!$F$80*(C1981-sezione!$AN$34)*IF(ABS(M1981)&lt;'Progetto del paramento slu'!$G$58,ABS(M1981)*'Progetto del paramento slu'!$G$54,'Progetto del paramento slu'!$G$53)</f>
        <v>0</v>
      </c>
      <c r="H1981" s="553">
        <f>-'Foglio deposito bis'!$F$81*(C1981-sezione!$AO$34)*IF(ABS(N1981)&lt;'Progetto del paramento slu'!$G$58,ABS(N1981)*'Progetto del paramento slu'!$G$54,'Progetto del paramento slu'!$G$53)</f>
        <v>5820041.5063943984</v>
      </c>
      <c r="I1981" s="479">
        <f>-'Foglio deposito bis'!$F$82*(C1981-sezione!$AP$34)*IF(ABS(O1981)&lt;'Progetto del paramento slu'!$G$58,ABS(O1981)*'Progetto del paramento slu'!$G$54,'Progetto del paramento slu'!$G$53)</f>
        <v>-5726146.5993054658</v>
      </c>
      <c r="J1981" s="479">
        <f t="shared" si="144"/>
        <v>-720788184.66661465</v>
      </c>
      <c r="K1981" s="558">
        <f>'Progetto del paramento slu'!$G$60*(sezione!$AL$34-C1981)/C1981</f>
        <v>-3.0203635250459163E-3</v>
      </c>
      <c r="L1981" s="558">
        <f>'Progetto del paramento slu'!$G$60*(sezione!$AM$34-C1981)/C1981</f>
        <v>-1.7013632189221872E-3</v>
      </c>
      <c r="M1981" s="559">
        <f>'Progetto del paramento slu'!$G$60*(sezione!$AN$34-C1981)/C1981</f>
        <v>-3.8236291279845777E-4</v>
      </c>
      <c r="N1981" s="559">
        <f>'Progetto del paramento slu'!$G$60*(sezione!$AO$34-C1981)/C1981</f>
        <v>5.7691003710970911E-4</v>
      </c>
      <c r="O1981" s="559">
        <f>'Progetto del paramento slu'!$G$60*(sezione!$AP$34-C1981)/C1981</f>
        <v>-3.8227903406395789E-4</v>
      </c>
      <c r="P1981" s="553">
        <f>-'Progetto del paramento slu'!$G$47*'Progetto del paramento slu'!$G$41*IF(DATI!$G$218="dx",DATI!$E$61,DATI!$E$64*DATI!$E$63)*1000*C1981*sezione!$AD$5</f>
        <v>-4114417.2786044264</v>
      </c>
      <c r="Q1981" s="553">
        <f>'Foglio deposito bis'!$F$78*IF(ABS(K1981)&lt;'Progetto del paramento slu'!$G$58,ABS(K1981)*'Progetto del paramento slu'!$G$54,'Progetto del paramento slu'!$G$53)*IF(K1981&lt;0,-1,1)</f>
        <v>0</v>
      </c>
      <c r="R1981" s="553">
        <f>'Foglio deposito bis'!$F$79*IF(ABS(L1981)&lt;'Progetto del paramento slu'!$G$58,ABS(L1981)*'Progetto del paramento slu'!$G$54,'Progetto del paramento slu'!$G$53)*IF(L1981&lt;0,-1,1)</f>
        <v>-137633.49738358601</v>
      </c>
      <c r="S1981" s="553">
        <f>'Foglio deposito bis'!$F$80*IF(ABS(M1981)&lt;'Progetto del paramento slu'!$G$58,ABS(M1981)*'Progetto del paramento slu'!$G$54,'Progetto del paramento slu'!$G$53)*IF(M1981&lt;0,-1,1)</f>
        <v>0</v>
      </c>
      <c r="T1981" s="553">
        <f>'Foglio deposito bis'!$F$81*IF(ABS(N1981)&lt;'Progetto del paramento slu'!$G$58,ABS(N1981)*'Progetto del paramento slu'!$G$54,'Progetto del paramento slu'!$G$53)*IF(N1981&lt;0,-1,1)</f>
        <v>120967.91582092945</v>
      </c>
      <c r="U1981" s="553">
        <f>'Foglio deposito bis'!$F$82*IF(ABS(O1981)&lt;'Progetto del paramento slu'!$G$58,ABS(O1981)*'Progetto del paramento slu'!$G$54,'Progetto del paramento slu'!$G$53)*IF(O1981&lt;0,-1,1)</f>
        <v>-179611.52229327356</v>
      </c>
      <c r="V1981" s="479">
        <f t="shared" si="146"/>
        <v>-4310694.3824603567</v>
      </c>
      <c r="W1981" s="559"/>
      <c r="X1981" s="559"/>
    </row>
    <row r="1982" spans="1:24" x14ac:dyDescent="0.25">
      <c r="A1982" s="553">
        <f t="shared" si="145"/>
        <v>4401734.7541130586</v>
      </c>
      <c r="B1982" s="3">
        <f t="shared" si="143"/>
        <v>72.899999999999949</v>
      </c>
      <c r="C1982" s="553">
        <f>'Foglio deposito bis'!$E$160/sezione!$B$247*B1982</f>
        <v>295.94736061595694</v>
      </c>
      <c r="D1982" s="611">
        <f>-'Progetto del paramento slu'!$G$47*'Progetto del paramento slu'!$G$41*IF(DATI!$G$218="dx",DATI!$E$61,DATI!$E$64*DATI!$E$63)*1000*C1982^2*sezione!$AD$5*(1-sezione!$AD$6)</f>
        <v>-720998383.96333647</v>
      </c>
      <c r="E1982" s="553">
        <f>-'Foglio deposito bis'!$F$78*(C1982-sezione!$AL$34)*IF(ABS(K1982)&lt;'Progetto del paramento slu'!$G$58,ABS(K1982)*'Progetto del paramento slu'!$G$54,'Progetto del paramento slu'!$G$53)</f>
        <v>0</v>
      </c>
      <c r="F1982" s="553">
        <f>-'Foglio deposito bis'!$F$79*(C1982-sezione!$AM$34)*IF(ABS(L1982)&lt;'Progetto del paramento slu'!$G$58,ABS(L1982)*'Progetto del paramento slu'!$G$54,'Progetto del paramento slu'!$G$53)</f>
        <v>-20378544.876465041</v>
      </c>
      <c r="G1982" s="553">
        <f>-'Foglio deposito bis'!$F$80*(C1982-sezione!$AN$34)*IF(ABS(M1982)&lt;'Progetto del paramento slu'!$G$58,ABS(M1982)*'Progetto del paramento slu'!$G$54,'Progetto del paramento slu'!$G$53)</f>
        <v>0</v>
      </c>
      <c r="H1982" s="553">
        <f>-'Foglio deposito bis'!$F$81*(C1982-sezione!$AO$34)*IF(ABS(N1982)&lt;'Progetto del paramento slu'!$G$58,ABS(N1982)*'Progetto del paramento slu'!$G$54,'Progetto del paramento slu'!$G$53)</f>
        <v>4812375.9141518623</v>
      </c>
      <c r="I1982" s="479">
        <f>-'Foglio deposito bis'!$F$82*(C1982-sezione!$AP$34)*IF(ABS(O1982)&lt;'Progetto del paramento slu'!$G$58,ABS(O1982)*'Progetto del paramento slu'!$G$54,'Progetto del paramento slu'!$G$53)</f>
        <v>-7177484.5112774633</v>
      </c>
      <c r="J1982" s="479">
        <f t="shared" si="144"/>
        <v>-743742037.43692708</v>
      </c>
      <c r="K1982" s="558">
        <f>'Progetto del paramento slu'!$G$60*(sezione!$AL$34-C1982)/C1982</f>
        <v>-3.0269429005596901E-3</v>
      </c>
      <c r="L1982" s="558">
        <f>'Progetto del paramento slu'!$G$60*(sezione!$AM$34-C1982)/C1982</f>
        <v>-1.7260358770988379E-3</v>
      </c>
      <c r="M1982" s="559">
        <f>'Progetto del paramento slu'!$G$60*(sezione!$AN$34-C1982)/C1982</f>
        <v>-4.2512885363798553E-4</v>
      </c>
      <c r="N1982" s="559">
        <f>'Progetto del paramento slu'!$G$60*(sezione!$AO$34-C1982)/C1982</f>
        <v>5.2098534524263435E-4</v>
      </c>
      <c r="O1982" s="559">
        <f>'Progetto del paramento slu'!$G$60*(sezione!$AP$34-C1982)/C1982</f>
        <v>-4.2504612550341023E-4</v>
      </c>
      <c r="P1982" s="553">
        <f>-'Progetto del paramento slu'!$G$47*'Progetto del paramento slu'!$G$41*IF(DATI!$G$218="dx",DATI!$E$61,DATI!$E$64*DATI!$E$63)*1000*C1982*sezione!$AD$5</f>
        <v>-4171641.4410328614</v>
      </c>
      <c r="Q1982" s="553">
        <f>'Foglio deposito bis'!$F$78*IF(ABS(K1982)&lt;'Progetto del paramento slu'!$G$58,ABS(K1982)*'Progetto del paramento slu'!$G$54,'Progetto del paramento slu'!$G$53)*IF(K1982&lt;0,-1,1)</f>
        <v>0</v>
      </c>
      <c r="R1982" s="553">
        <f>'Foglio deposito bis'!$F$79*IF(ABS(L1982)&lt;'Progetto del paramento slu'!$G$58,ABS(L1982)*'Progetto del paramento slu'!$G$54,'Progetto del paramento slu'!$G$53)*IF(L1982&lt;0,-1,1)</f>
        <v>-139629.41700664768</v>
      </c>
      <c r="S1982" s="553">
        <f>'Foglio deposito bis'!$F$80*IF(ABS(M1982)&lt;'Progetto del paramento slu'!$G$58,ABS(M1982)*'Progetto del paramento slu'!$G$54,'Progetto del paramento slu'!$G$53)*IF(M1982&lt;0,-1,1)</f>
        <v>0</v>
      </c>
      <c r="T1982" s="553">
        <f>'Foglio deposito bis'!$F$81*IF(ABS(N1982)&lt;'Progetto del paramento slu'!$G$58,ABS(N1982)*'Progetto del paramento slu'!$G$54,'Progetto del paramento slu'!$G$53)*IF(N1982&lt;0,-1,1)</f>
        <v>109241.48885151753</v>
      </c>
      <c r="U1982" s="553">
        <f>'Foglio deposito bis'!$F$82*IF(ABS(O1982)&lt;'Progetto del paramento slu'!$G$58,ABS(O1982)*'Progetto del paramento slu'!$G$54,'Progetto del paramento slu'!$G$53)*IF(O1982&lt;0,-1,1)</f>
        <v>-199705.38492506652</v>
      </c>
      <c r="V1982" s="479">
        <f t="shared" si="146"/>
        <v>-4401734.7541130586</v>
      </c>
      <c r="W1982" s="559"/>
      <c r="X1982" s="559"/>
    </row>
    <row r="1983" spans="1:24" x14ac:dyDescent="0.25">
      <c r="A1983" s="553">
        <f t="shared" si="145"/>
        <v>4491859.9374241</v>
      </c>
      <c r="B1983" s="3">
        <f t="shared" si="143"/>
        <v>73.899999999999949</v>
      </c>
      <c r="C1983" s="553">
        <f>'Foglio deposito bis'!$E$160/sezione!$B$247*B1983</f>
        <v>300.0069951923075</v>
      </c>
      <c r="D1983" s="32">
        <f>-'Progetto del paramento slu'!$G$47*'Progetto del paramento slu'!$G$41*IF(DATI!$G$218="dx",DATI!$E$61,DATI!$E$64*DATI!$E$63)*1000*C1983^2*sezione!$AD$5*(1-sezione!$AD$6)</f>
        <v>-740914529.455652</v>
      </c>
      <c r="E1983" s="553">
        <f>-'Foglio deposito bis'!$F$78*(C1983-sezione!$AL$34)*IF(ABS(K1983)&lt;'Progetto del paramento slu'!$G$58,ABS(K1983)*'Progetto del paramento slu'!$G$54,'Progetto del paramento slu'!$G$53)</f>
        <v>0</v>
      </c>
      <c r="F1983" s="553">
        <f>-'Foglio deposito bis'!$F$79*(C1983-sezione!$AM$34)*IF(ABS(L1983)&lt;'Progetto del paramento slu'!$G$58,ABS(L1983)*'Progetto del paramento slu'!$G$54,'Progetto del paramento slu'!$G$53)</f>
        <v>-21236688.297679495</v>
      </c>
      <c r="G1983" s="553">
        <f>-'Foglio deposito bis'!$F$80*(C1983-sezione!$AN$34)*IF(ABS(M1983)&lt;'Progetto del paramento slu'!$G$58,ABS(M1983)*'Progetto del paramento slu'!$G$54,'Progetto del paramento slu'!$G$53)</f>
        <v>0</v>
      </c>
      <c r="H1983" s="553">
        <f>-'Foglio deposito bis'!$F$81*(C1983-sezione!$AO$34)*IF(ABS(N1983)&lt;'Progetto del paramento slu'!$G$58,ABS(N1983)*'Progetto del paramento slu'!$G$54,'Progetto del paramento slu'!$G$53)</f>
        <v>3912612.4915872826</v>
      </c>
      <c r="I1983" s="479">
        <f>-'Foglio deposito bis'!$F$82*(C1983-sezione!$AP$34)*IF(ABS(O1983)&lt;'Progetto del paramento slu'!$G$58,ABS(O1983)*'Progetto del paramento slu'!$G$54,'Progetto del paramento slu'!$G$53)</f>
        <v>-8770217.4122805465</v>
      </c>
      <c r="J1983" s="479">
        <f t="shared" si="144"/>
        <v>-767008822.67402482</v>
      </c>
      <c r="K1983" s="558">
        <f>'Progetto del paramento slu'!$G$60*(sezione!$AL$34-C1983)/C1983</f>
        <v>-3.0333442144898702E-3</v>
      </c>
      <c r="L1983" s="558">
        <f>'Progetto del paramento slu'!$G$60*(sezione!$AM$34-C1983)/C1983</f>
        <v>-1.7500408043370132E-3</v>
      </c>
      <c r="M1983" s="559">
        <f>'Progetto del paramento slu'!$G$60*(sezione!$AN$34-C1983)/C1983</f>
        <v>-4.6673739418415613E-4</v>
      </c>
      <c r="N1983" s="559">
        <f>'Progetto del paramento slu'!$G$60*(sezione!$AO$34-C1983)/C1983</f>
        <v>4.6657417683610352E-4</v>
      </c>
      <c r="O1983" s="559">
        <f>'Progetto del paramento slu'!$G$60*(sezione!$AP$34-C1983)/C1983</f>
        <v>-4.6665578551012988E-4</v>
      </c>
      <c r="P1983" s="553">
        <f>-'Progetto del paramento slu'!$G$47*'Progetto del paramento slu'!$G$41*IF(DATI!$G$218="dx",DATI!$E$61,DATI!$E$64*DATI!$E$63)*1000*C1983*sezione!$AD$5</f>
        <v>-4228865.6034612954</v>
      </c>
      <c r="Q1983" s="553">
        <f>'Foglio deposito bis'!$F$78*IF(ABS(K1983)&lt;'Progetto del paramento slu'!$G$58,ABS(K1983)*'Progetto del paramento slu'!$G$54,'Progetto del paramento slu'!$G$53)*IF(K1983&lt;0,-1,1)</f>
        <v>0</v>
      </c>
      <c r="R1983" s="553">
        <f>'Foglio deposito bis'!$F$79*IF(ABS(L1983)&lt;'Progetto del paramento slu'!$G$58,ABS(L1983)*'Progetto del paramento slu'!$G$54,'Progetto del paramento slu'!$G$53)*IF(L1983&lt;0,-1,1)</f>
        <v>-141571.31986047898</v>
      </c>
      <c r="S1983" s="553">
        <f>'Foglio deposito bis'!$F$80*IF(ABS(M1983)&lt;'Progetto del paramento slu'!$G$58,ABS(M1983)*'Progetto del paramento slu'!$G$54,'Progetto del paramento slu'!$G$53)*IF(M1983&lt;0,-1,1)</f>
        <v>0</v>
      </c>
      <c r="T1983" s="553">
        <f>'Foglio deposito bis'!$F$81*IF(ABS(N1983)&lt;'Progetto del paramento slu'!$G$58,ABS(N1983)*'Progetto del paramento slu'!$G$54,'Progetto del paramento slu'!$G$53)*IF(N1983&lt;0,-1,1)</f>
        <v>97832.421204687955</v>
      </c>
      <c r="U1983" s="553">
        <f>'Foglio deposito bis'!$F$82*IF(ABS(O1983)&lt;'Progetto del paramento slu'!$G$58,ABS(O1983)*'Progetto del paramento slu'!$G$54,'Progetto del paramento slu'!$G$53)*IF(O1983&lt;0,-1,1)</f>
        <v>-219255.43530701366</v>
      </c>
      <c r="V1983" s="479">
        <f t="shared" si="146"/>
        <v>-4491859.9374241</v>
      </c>
      <c r="W1983" s="559"/>
      <c r="X1983" s="559"/>
    </row>
    <row r="1984" spans="1:24" x14ac:dyDescent="0.25">
      <c r="P1984" s="553"/>
      <c r="Q1984" s="553"/>
      <c r="R1984" s="553"/>
      <c r="S1984" s="553"/>
      <c r="T1984" s="553"/>
      <c r="U1984" s="553"/>
      <c r="V1984" s="479"/>
    </row>
    <row r="1985" spans="1:24" x14ac:dyDescent="0.25">
      <c r="P1985" s="553"/>
      <c r="Q1985" s="553"/>
      <c r="R1985" s="553"/>
      <c r="S1985" s="553"/>
      <c r="T1985" s="553"/>
      <c r="U1985" s="553"/>
      <c r="V1985" s="479"/>
    </row>
    <row r="1986" spans="1:24" ht="15.75" x14ac:dyDescent="0.25">
      <c r="A1986" s="1035" t="s">
        <v>957</v>
      </c>
      <c r="B1986" s="1036"/>
      <c r="C1986" s="1036"/>
      <c r="D1986" s="1036"/>
      <c r="E1986" s="1036"/>
      <c r="F1986" s="1036"/>
      <c r="G1986" s="1036"/>
      <c r="H1986" s="1036"/>
      <c r="I1986" s="1036"/>
      <c r="J1986" s="1036"/>
      <c r="K1986" s="1036"/>
      <c r="L1986" s="1036"/>
      <c r="M1986" s="1036"/>
      <c r="N1986" s="1036"/>
      <c r="O1986" s="1037"/>
      <c r="P1986" s="553"/>
      <c r="Q1986" s="553"/>
      <c r="R1986" s="553"/>
      <c r="S1986" s="553"/>
      <c r="T1986" s="553"/>
      <c r="U1986" s="553"/>
      <c r="V1986" s="479"/>
      <c r="W1986" s="613"/>
      <c r="X1986" s="613"/>
    </row>
    <row r="1987" spans="1:24" x14ac:dyDescent="0.25">
      <c r="A1987" s="571">
        <v>1</v>
      </c>
      <c r="B1987" s="571">
        <v>2</v>
      </c>
      <c r="C1987" s="571">
        <v>3</v>
      </c>
      <c r="D1987" s="571">
        <v>4</v>
      </c>
      <c r="E1987" s="571">
        <v>5</v>
      </c>
      <c r="F1987" s="571">
        <v>6</v>
      </c>
      <c r="G1987" s="571">
        <v>7</v>
      </c>
      <c r="H1987" s="571">
        <v>8</v>
      </c>
      <c r="I1987" s="571">
        <v>9</v>
      </c>
      <c r="J1987" s="571">
        <v>10</v>
      </c>
      <c r="K1987" s="571">
        <v>11</v>
      </c>
      <c r="L1987" s="571">
        <v>12</v>
      </c>
      <c r="M1987" s="571">
        <v>13</v>
      </c>
      <c r="N1987" s="571">
        <v>14</v>
      </c>
      <c r="O1987" s="571">
        <v>15</v>
      </c>
      <c r="P1987" s="606">
        <v>4</v>
      </c>
      <c r="Q1987" s="606">
        <v>5</v>
      </c>
      <c r="R1987" s="606">
        <v>6</v>
      </c>
      <c r="S1987" s="606">
        <v>7</v>
      </c>
      <c r="T1987" s="606">
        <v>8</v>
      </c>
      <c r="U1987" s="606">
        <v>9</v>
      </c>
      <c r="V1987" s="606">
        <v>10</v>
      </c>
      <c r="W1987" s="47"/>
      <c r="X1987" s="47"/>
    </row>
    <row r="1988" spans="1:24" x14ac:dyDescent="0.25">
      <c r="A1988" s="573" t="s">
        <v>929</v>
      </c>
      <c r="B1988" s="83" t="s">
        <v>917</v>
      </c>
      <c r="C1988" s="571" t="s">
        <v>134</v>
      </c>
      <c r="D1988" s="571" t="s">
        <v>911</v>
      </c>
      <c r="E1988" s="571" t="s">
        <v>912</v>
      </c>
      <c r="F1988" s="571" t="s">
        <v>913</v>
      </c>
      <c r="G1988" s="571" t="s">
        <v>914</v>
      </c>
      <c r="H1988" s="571" t="s">
        <v>915</v>
      </c>
      <c r="I1988" s="571" t="s">
        <v>916</v>
      </c>
      <c r="J1988" s="572" t="s">
        <v>910</v>
      </c>
      <c r="K1988" s="573" t="s">
        <v>923</v>
      </c>
      <c r="L1988" s="573" t="s">
        <v>924</v>
      </c>
      <c r="M1988" s="573" t="s">
        <v>925</v>
      </c>
      <c r="N1988" s="573" t="s">
        <v>926</v>
      </c>
      <c r="O1988" s="573" t="s">
        <v>927</v>
      </c>
      <c r="P1988" s="606" t="s">
        <v>293</v>
      </c>
      <c r="Q1988" s="606" t="s">
        <v>968</v>
      </c>
      <c r="R1988" s="606" t="s">
        <v>969</v>
      </c>
      <c r="S1988" s="606" t="s">
        <v>970</v>
      </c>
      <c r="T1988" s="606" t="s">
        <v>971</v>
      </c>
      <c r="U1988" s="606" t="s">
        <v>972</v>
      </c>
      <c r="V1988" s="607" t="s">
        <v>1021</v>
      </c>
      <c r="W1988" s="58"/>
      <c r="X1988" s="58"/>
    </row>
    <row r="1989" spans="1:24" x14ac:dyDescent="0.25">
      <c r="A1989" s="553">
        <f>ABS(V1989)</f>
        <v>1444308.7068266114</v>
      </c>
      <c r="B1989" s="3">
        <v>0</v>
      </c>
      <c r="C1989" s="42">
        <v>0.01</v>
      </c>
      <c r="D1989" s="611">
        <f>-'Progetto del paramento slu'!$G$47*'Progetto del paramento slu'!$G$41*IF(DATI!$G$218="dx",DATI!$E$61,DATI!$E$64*DATI!$E$63)*1000*C1989^2*sezione!$AD$5*(1-sezione!$AD$6)</f>
        <v>-0.82319997600000006</v>
      </c>
      <c r="E1989" s="553">
        <f>-'Foglio deposito bis'!$F$78*(C1989-sezione!$AL$35)*IF(ABS(K1989)&lt;'Progetto del paramento slu'!$G$58,ABS(K1989)*'Progetto del paramento slu'!$G$54,'Progetto del paramento slu'!$G$53)</f>
        <v>0</v>
      </c>
      <c r="F1989" s="553">
        <f>-'Foglio deposito bis'!$F$79*(C1989-sezione!$AM$35)*IF(ABS(L1989)&lt;'Progetto del paramento slu'!$G$58,ABS(L1989)*'Progetto del paramento slu'!$G$54,'Progetto del paramento slu'!$G$53)</f>
        <v>23048192.059822816</v>
      </c>
      <c r="G1989" s="553">
        <f>-'Foglio deposito bis'!$F$80*(C1989-sezione!$AN$35)*IF(ABS(M1989)&lt;'Progetto del paramento slu'!$G$58,ABS(M1989)*'Progetto del paramento slu'!$G$54,'Progetto del paramento slu'!$G$53)</f>
        <v>0</v>
      </c>
      <c r="H1989" s="553">
        <f>-'Foglio deposito bis'!$F$81*(C1989-sezione!$AO$35)*IF(ABS(N1989)&lt;'Progetto del paramento slu'!$G$58,ABS(N1989)*'Progetto del paramento slu'!$G$54,'Progetto del paramento slu'!$G$53)</f>
        <v>135417783.11449072</v>
      </c>
      <c r="I1989" s="479">
        <f>-'Foglio deposito bis'!$F$82*(C1989-sezione!$AP$35)*IF(ABS(O1989)&lt;'Progetto del paramento slu'!$G$58,ABS(O1989)*'Progetto del paramento slu'!$G$54,'Progetto del paramento slu'!$G$53)</f>
        <v>232044426.71906456</v>
      </c>
      <c r="J1989" s="479">
        <f t="shared" ref="J1989:J2052" si="147">D1989+E1989+F1989+G1989+H1989+I1989</f>
        <v>390510401.07017815</v>
      </c>
      <c r="K1989" s="558">
        <f>'Progetto del paramento slu'!$G$60*(sezione!$AL$35-C1989)/C1989</f>
        <v>13.996500000000001</v>
      </c>
      <c r="L1989" s="558">
        <f>'Progetto del paramento slu'!$G$60*(sezione!$AM$35-C1989)/C1989</f>
        <v>52.496499999999997</v>
      </c>
      <c r="M1989" s="559">
        <f>'Progetto del paramento slu'!$G$60*(sezione!$AN$35-C1989)/C1989</f>
        <v>90.996499999999997</v>
      </c>
      <c r="N1989" s="559">
        <f>'Progetto del paramento slu'!$G$60*(sezione!$AO$35-C1989)/C1989</f>
        <v>118.99650000000001</v>
      </c>
      <c r="O1989" s="559">
        <f>'Progetto del paramento slu'!$G$60*(sezione!$AP$35-C1989)/C1989</f>
        <v>90.999293269230705</v>
      </c>
      <c r="P1989" s="553">
        <f>-'Progetto del paramento slu'!$G$47*'Progetto del paramento slu'!$G$41*IF(DATI!$G$218="dx",DATI!$E$61,DATI!$E$64*DATI!$E$63)*1000*C1989*sezione!$AD$5</f>
        <v>-140.9589</v>
      </c>
      <c r="Q1989" s="553">
        <f>'Foglio deposito bis'!$F$78*IF(ABS(K1989)&lt;'Progetto del paramento slu'!$G$58,ABS(K1989)*'Progetto del paramento slu'!$G$54,'Progetto del paramento slu'!$G$53)*IF(K1989&lt;0,-1,1)</f>
        <v>0</v>
      </c>
      <c r="R1989" s="553">
        <f>'Foglio deposito bis'!$F$79*IF(ABS(L1989)&lt;'Progetto del paramento slu'!$G$58,ABS(L1989)*'Progetto del paramento slu'!$G$54,'Progetto del paramento slu'!$G$53)*IF(L1989&lt;0,-1,1)</f>
        <v>153664.85805602249</v>
      </c>
      <c r="S1989" s="553">
        <f>'Foglio deposito bis'!$F$80*IF(ABS(M1989)&lt;'Progetto del paramento slu'!$G$58,ABS(M1989)*'Progetto del paramento slu'!$G$54,'Progetto del paramento slu'!$G$53)*IF(M1989&lt;0,-1,1)</f>
        <v>0</v>
      </c>
      <c r="T1989" s="553">
        <f>'Foglio deposito bis'!$F$81*IF(ABS(N1989)&lt;'Progetto del paramento slu'!$G$58,ABS(N1989)*'Progetto del paramento slu'!$G$54,'Progetto del paramento slu'!$G$53)*IF(N1989&lt;0,-1,1)</f>
        <v>398299.31208121032</v>
      </c>
      <c r="U1989" s="553">
        <f>'Foglio deposito bis'!$F$82*IF(ABS(O1989)&lt;'Progetto del paramento slu'!$G$58,ABS(O1989)*'Progetto del paramento slu'!$G$54,'Progetto del paramento slu'!$G$53)*IF(O1989&lt;0,-1,1)</f>
        <v>892485.49558937876</v>
      </c>
      <c r="V1989" s="479">
        <f t="shared" ref="V1989" si="148">P1989+Q1989+R1989+S1989+T1989+U1989</f>
        <v>1444308.7068266114</v>
      </c>
      <c r="W1989" s="559"/>
      <c r="X1989" s="559"/>
    </row>
    <row r="1990" spans="1:24" x14ac:dyDescent="0.25">
      <c r="A1990" s="553">
        <f t="shared" ref="A1990:A2053" si="149">ABS(V1990)</f>
        <v>1441588.4482056065</v>
      </c>
      <c r="B1990" s="3">
        <f>B1989+0.05</f>
        <v>0.05</v>
      </c>
      <c r="C1990" s="553">
        <f>'Foglio deposito bis'!$E$161/sezione!$B$247*B1990</f>
        <v>0.20298239564900597</v>
      </c>
      <c r="D1990" s="611">
        <f>-'Progetto del paramento slu'!$G$47*'Progetto del paramento slu'!$G$41*IF(DATI!$G$218="dx",DATI!$E$61,DATI!$E$64*DATI!$E$63)*1000*C1990^2*sezione!$AD$5*(1-sezione!$AD$6)</f>
        <v>-339.17364354170314</v>
      </c>
      <c r="E1990" s="553">
        <f>-'Foglio deposito bis'!$F$78*(C1990-sezione!$AL$35)*IF(ABS(K1990)&lt;'Progetto del paramento slu'!$G$58,ABS(K1990)*'Progetto del paramento slu'!$G$54,'Progetto del paramento slu'!$G$53)</f>
        <v>0</v>
      </c>
      <c r="F1990" s="553">
        <f>-'Foglio deposito bis'!$F$79*(C1990-sezione!$AM$35)*IF(ABS(L1990)&lt;'Progetto del paramento slu'!$G$58,ABS(L1990)*'Progetto del paramento slu'!$G$54,'Progetto del paramento slu'!$G$53)</f>
        <v>23018537.447388101</v>
      </c>
      <c r="G1990" s="553">
        <f>-'Foglio deposito bis'!$F$80*(C1990-sezione!$AN$35)*IF(ABS(M1990)&lt;'Progetto del paramento slu'!$G$58,ABS(M1990)*'Progetto del paramento slu'!$G$54,'Progetto del paramento slu'!$G$53)</f>
        <v>0</v>
      </c>
      <c r="H1990" s="553">
        <f>-'Foglio deposito bis'!$F$81*(C1990-sezione!$AO$35)*IF(ABS(N1990)&lt;'Progetto del paramento slu'!$G$58,ABS(N1990)*'Progetto del paramento slu'!$G$54,'Progetto del paramento slu'!$G$53)</f>
        <v>135340918.3590599</v>
      </c>
      <c r="I1990" s="479">
        <f>-'Foglio deposito bis'!$F$82*(C1990-sezione!$AP$35)*IF(ABS(O1990)&lt;'Progetto del paramento slu'!$G$58,ABS(O1990)*'Progetto del paramento slu'!$G$54,'Progetto del paramento slu'!$G$53)</f>
        <v>231872192.73004368</v>
      </c>
      <c r="J1990" s="479">
        <f t="shared" si="147"/>
        <v>390231309.36284816</v>
      </c>
      <c r="K1990" s="558">
        <f>'Progetto del paramento slu'!$G$60*(sezione!$AL$35-C1990)/C1990</f>
        <v>0.68621498514622825</v>
      </c>
      <c r="L1990" s="558">
        <f>'Progetto del paramento slu'!$G$60*(sezione!$AM$35-C1990)/C1990</f>
        <v>2.5829311942983568</v>
      </c>
      <c r="M1990" s="559">
        <f>'Progetto del paramento slu'!$G$60*(sezione!$AN$35-C1990)/C1990</f>
        <v>4.4796474034504845</v>
      </c>
      <c r="N1990" s="559">
        <f>'Progetto del paramento slu'!$G$60*(sezione!$AO$35-C1990)/C1990</f>
        <v>5.8590773737429407</v>
      </c>
      <c r="O1990" s="559">
        <f>'Progetto del paramento slu'!$G$60*(sezione!$AP$35-C1990)/C1990</f>
        <v>4.4797850148537677</v>
      </c>
      <c r="P1990" s="553">
        <f>-'Progetto del paramento slu'!$G$47*'Progetto del paramento slu'!$G$41*IF(DATI!$G$218="dx",DATI!$E$61,DATI!$E$64*DATI!$E$63)*1000*C1990*sezione!$AD$5</f>
        <v>-2861.2175210048667</v>
      </c>
      <c r="Q1990" s="553">
        <f>'Foglio deposito bis'!$F$78*IF(ABS(K1990)&lt;'Progetto del paramento slu'!$G$58,ABS(K1990)*'Progetto del paramento slu'!$G$54,'Progetto del paramento slu'!$G$53)*IF(K1990&lt;0,-1,1)</f>
        <v>0</v>
      </c>
      <c r="R1990" s="553">
        <f>'Foglio deposito bis'!$F$79*IF(ABS(L1990)&lt;'Progetto del paramento slu'!$G$58,ABS(L1990)*'Progetto del paramento slu'!$G$54,'Progetto del paramento slu'!$G$53)*IF(L1990&lt;0,-1,1)</f>
        <v>153664.85805602249</v>
      </c>
      <c r="S1990" s="553">
        <f>'Foglio deposito bis'!$F$80*IF(ABS(M1990)&lt;'Progetto del paramento slu'!$G$58,ABS(M1990)*'Progetto del paramento slu'!$G$54,'Progetto del paramento slu'!$G$53)*IF(M1990&lt;0,-1,1)</f>
        <v>0</v>
      </c>
      <c r="T1990" s="553">
        <f>'Foglio deposito bis'!$F$81*IF(ABS(N1990)&lt;'Progetto del paramento slu'!$G$58,ABS(N1990)*'Progetto del paramento slu'!$G$54,'Progetto del paramento slu'!$G$53)*IF(N1990&lt;0,-1,1)</f>
        <v>398299.31208121032</v>
      </c>
      <c r="U1990" s="553">
        <f>'Foglio deposito bis'!$F$82*IF(ABS(O1990)&lt;'Progetto del paramento slu'!$G$58,ABS(O1990)*'Progetto del paramento slu'!$G$54,'Progetto del paramento slu'!$G$53)*IF(O1990&lt;0,-1,1)</f>
        <v>892485.49558937876</v>
      </c>
      <c r="V1990" s="479">
        <f t="shared" ref="V1990:V2053" si="150">P1990+Q1990+R1990+S1990+T1990+U1990</f>
        <v>1441588.4482056065</v>
      </c>
      <c r="W1990" s="559"/>
      <c r="X1990" s="559"/>
    </row>
    <row r="1991" spans="1:24" x14ac:dyDescent="0.25">
      <c r="A1991" s="553">
        <f t="shared" si="149"/>
        <v>1438727.2306846017</v>
      </c>
      <c r="B1991" s="3">
        <f t="shared" ref="B1991:B2054" si="151">B1990+0.05</f>
        <v>0.1</v>
      </c>
      <c r="C1991" s="553">
        <f>'Foglio deposito bis'!$E$161/sezione!$B$247*B1991</f>
        <v>0.40596479129801194</v>
      </c>
      <c r="D1991" s="611">
        <f>-'Progetto del paramento slu'!$G$47*'Progetto del paramento slu'!$G$41*IF(DATI!$G$218="dx",DATI!$E$61,DATI!$E$64*DATI!$E$63)*1000*C1991^2*sezione!$AD$5*(1-sezione!$AD$6)</f>
        <v>-1356.6945741668126</v>
      </c>
      <c r="E1991" s="553">
        <f>-'Foglio deposito bis'!$F$78*(C1991-sezione!$AL$35)*IF(ABS(K1991)&lt;'Progetto del paramento slu'!$G$58,ABS(K1991)*'Progetto del paramento slu'!$G$54,'Progetto del paramento slu'!$G$53)</f>
        <v>0</v>
      </c>
      <c r="F1991" s="553">
        <f>-'Foglio deposito bis'!$F$79*(C1991-sezione!$AM$35)*IF(ABS(L1991)&lt;'Progetto del paramento slu'!$G$58,ABS(L1991)*'Progetto del paramento slu'!$G$54,'Progetto del paramento slu'!$G$53)</f>
        <v>22987346.186372824</v>
      </c>
      <c r="G1991" s="553">
        <f>-'Foglio deposito bis'!$F$80*(C1991-sezione!$AN$35)*IF(ABS(M1991)&lt;'Progetto del paramento slu'!$G$58,ABS(M1991)*'Progetto del paramento slu'!$G$54,'Progetto del paramento slu'!$G$53)</f>
        <v>0</v>
      </c>
      <c r="H1991" s="553">
        <f>-'Foglio deposito bis'!$F$81*(C1991-sezione!$AO$35)*IF(ABS(N1991)&lt;'Progetto del paramento slu'!$G$58,ABS(N1991)*'Progetto del paramento slu'!$G$54,'Progetto del paramento slu'!$G$53)</f>
        <v>135260070.61050832</v>
      </c>
      <c r="I1991" s="479">
        <f>-'Foglio deposito bis'!$F$82*(C1991-sezione!$AP$35)*IF(ABS(O1991)&lt;'Progetto del paramento slu'!$G$58,ABS(O1991)*'Progetto del paramento slu'!$G$54,'Progetto del paramento slu'!$G$53)</f>
        <v>231691033.886067</v>
      </c>
      <c r="J1991" s="479">
        <f t="shared" si="147"/>
        <v>389937093.98837399</v>
      </c>
      <c r="K1991" s="558">
        <f>'Progetto del paramento slu'!$G$60*(sezione!$AL$35-C1991)/C1991</f>
        <v>0.34135749257311415</v>
      </c>
      <c r="L1991" s="558">
        <f>'Progetto del paramento slu'!$G$60*(sezione!$AM$35-C1991)/C1991</f>
        <v>1.2897155971491783</v>
      </c>
      <c r="M1991" s="559">
        <f>'Progetto del paramento slu'!$G$60*(sezione!$AN$35-C1991)/C1991</f>
        <v>2.2380737017252423</v>
      </c>
      <c r="N1991" s="559">
        <f>'Progetto del paramento slu'!$G$60*(sezione!$AO$35-C1991)/C1991</f>
        <v>2.9277886868714704</v>
      </c>
      <c r="O1991" s="559">
        <f>'Progetto del paramento slu'!$G$60*(sezione!$AP$35-C1991)/C1991</f>
        <v>2.2381425074268839</v>
      </c>
      <c r="P1991" s="553">
        <f>-'Progetto del paramento slu'!$G$47*'Progetto del paramento slu'!$G$41*IF(DATI!$G$218="dx",DATI!$E$61,DATI!$E$64*DATI!$E$63)*1000*C1991*sezione!$AD$5</f>
        <v>-5722.4350420097335</v>
      </c>
      <c r="Q1991" s="553">
        <f>'Foglio deposito bis'!$F$78*IF(ABS(K1991)&lt;'Progetto del paramento slu'!$G$58,ABS(K1991)*'Progetto del paramento slu'!$G$54,'Progetto del paramento slu'!$G$53)*IF(K1991&lt;0,-1,1)</f>
        <v>0</v>
      </c>
      <c r="R1991" s="553">
        <f>'Foglio deposito bis'!$F$79*IF(ABS(L1991)&lt;'Progetto del paramento slu'!$G$58,ABS(L1991)*'Progetto del paramento slu'!$G$54,'Progetto del paramento slu'!$G$53)*IF(L1991&lt;0,-1,1)</f>
        <v>153664.85805602249</v>
      </c>
      <c r="S1991" s="553">
        <f>'Foglio deposito bis'!$F$80*IF(ABS(M1991)&lt;'Progetto del paramento slu'!$G$58,ABS(M1991)*'Progetto del paramento slu'!$G$54,'Progetto del paramento slu'!$G$53)*IF(M1991&lt;0,-1,1)</f>
        <v>0</v>
      </c>
      <c r="T1991" s="553">
        <f>'Foglio deposito bis'!$F$81*IF(ABS(N1991)&lt;'Progetto del paramento slu'!$G$58,ABS(N1991)*'Progetto del paramento slu'!$G$54,'Progetto del paramento slu'!$G$53)*IF(N1991&lt;0,-1,1)</f>
        <v>398299.31208121032</v>
      </c>
      <c r="U1991" s="553">
        <f>'Foglio deposito bis'!$F$82*IF(ABS(O1991)&lt;'Progetto del paramento slu'!$G$58,ABS(O1991)*'Progetto del paramento slu'!$G$54,'Progetto del paramento slu'!$G$53)*IF(O1991&lt;0,-1,1)</f>
        <v>892485.49558937876</v>
      </c>
      <c r="V1991" s="479">
        <f t="shared" si="150"/>
        <v>1438727.2306846017</v>
      </c>
      <c r="W1991" s="559"/>
      <c r="X1991" s="559"/>
    </row>
    <row r="1992" spans="1:24" x14ac:dyDescent="0.25">
      <c r="A1992" s="553">
        <f t="shared" si="149"/>
        <v>1435866.0131635969</v>
      </c>
      <c r="B1992" s="3">
        <f t="shared" si="151"/>
        <v>0.15000000000000002</v>
      </c>
      <c r="C1992" s="553">
        <f>'Foglio deposito bis'!$E$161/sezione!$B$247*B1992</f>
        <v>0.60894718694701799</v>
      </c>
      <c r="D1992" s="611">
        <f>-'Progetto del paramento slu'!$G$47*'Progetto del paramento slu'!$G$41*IF(DATI!$G$218="dx",DATI!$E$61,DATI!$E$64*DATI!$E$63)*1000*C1992^2*sezione!$AD$5*(1-sezione!$AD$6)</f>
        <v>-3052.5627918753289</v>
      </c>
      <c r="E1992" s="553">
        <f>-'Foglio deposito bis'!$F$78*(C1992-sezione!$AL$35)*IF(ABS(K1992)&lt;'Progetto del paramento slu'!$G$58,ABS(K1992)*'Progetto del paramento slu'!$G$54,'Progetto del paramento slu'!$G$53)</f>
        <v>0</v>
      </c>
      <c r="F1992" s="553">
        <f>-'Foglio deposito bis'!$F$79*(C1992-sezione!$AM$35)*IF(ABS(L1992)&lt;'Progetto del paramento slu'!$G$58,ABS(L1992)*'Progetto del paramento slu'!$G$54,'Progetto del paramento slu'!$G$53)</f>
        <v>22956154.925357547</v>
      </c>
      <c r="G1992" s="553">
        <f>-'Foglio deposito bis'!$F$80*(C1992-sezione!$AN$35)*IF(ABS(M1992)&lt;'Progetto del paramento slu'!$G$58,ABS(M1992)*'Progetto del paramento slu'!$G$54,'Progetto del paramento slu'!$G$53)</f>
        <v>0</v>
      </c>
      <c r="H1992" s="553">
        <f>-'Foglio deposito bis'!$F$81*(C1992-sezione!$AO$35)*IF(ABS(N1992)&lt;'Progetto del paramento slu'!$G$58,ABS(N1992)*'Progetto del paramento slu'!$G$54,'Progetto del paramento slu'!$G$53)</f>
        <v>135179222.86195672</v>
      </c>
      <c r="I1992" s="479">
        <f>-'Foglio deposito bis'!$F$82*(C1992-sezione!$AP$35)*IF(ABS(O1992)&lt;'Progetto del paramento slu'!$G$58,ABS(O1992)*'Progetto del paramento slu'!$G$54,'Progetto del paramento slu'!$G$53)</f>
        <v>231509875.04209027</v>
      </c>
      <c r="J1992" s="479">
        <f t="shared" si="147"/>
        <v>389642200.26661265</v>
      </c>
      <c r="K1992" s="558">
        <f>'Progetto del paramento slu'!$G$60*(sezione!$AL$35-C1992)/C1992</f>
        <v>0.22640499504874273</v>
      </c>
      <c r="L1992" s="558">
        <f>'Progetto del paramento slu'!$G$60*(sezione!$AM$35-C1992)/C1992</f>
        <v>0.85864373143278538</v>
      </c>
      <c r="M1992" s="559">
        <f>'Progetto del paramento slu'!$G$60*(sezione!$AN$35-C1992)/C1992</f>
        <v>1.4908824678168278</v>
      </c>
      <c r="N1992" s="559">
        <f>'Progetto del paramento slu'!$G$60*(sezione!$AO$35-C1992)/C1992</f>
        <v>1.9506924579143134</v>
      </c>
      <c r="O1992" s="559">
        <f>'Progetto del paramento slu'!$G$60*(sezione!$AP$35-C1992)/C1992</f>
        <v>1.4909283382845888</v>
      </c>
      <c r="P1992" s="553">
        <f>-'Progetto del paramento slu'!$G$47*'Progetto del paramento slu'!$G$41*IF(DATI!$G$218="dx",DATI!$E$61,DATI!$E$64*DATI!$E$63)*1000*C1992*sezione!$AD$5</f>
        <v>-8583.6525630146007</v>
      </c>
      <c r="Q1992" s="553">
        <f>'Foglio deposito bis'!$F$78*IF(ABS(K1992)&lt;'Progetto del paramento slu'!$G$58,ABS(K1992)*'Progetto del paramento slu'!$G$54,'Progetto del paramento slu'!$G$53)*IF(K1992&lt;0,-1,1)</f>
        <v>0</v>
      </c>
      <c r="R1992" s="553">
        <f>'Foglio deposito bis'!$F$79*IF(ABS(L1992)&lt;'Progetto del paramento slu'!$G$58,ABS(L1992)*'Progetto del paramento slu'!$G$54,'Progetto del paramento slu'!$G$53)*IF(L1992&lt;0,-1,1)</f>
        <v>153664.85805602249</v>
      </c>
      <c r="S1992" s="553">
        <f>'Foglio deposito bis'!$F$80*IF(ABS(M1992)&lt;'Progetto del paramento slu'!$G$58,ABS(M1992)*'Progetto del paramento slu'!$G$54,'Progetto del paramento slu'!$G$53)*IF(M1992&lt;0,-1,1)</f>
        <v>0</v>
      </c>
      <c r="T1992" s="553">
        <f>'Foglio deposito bis'!$F$81*IF(ABS(N1992)&lt;'Progetto del paramento slu'!$G$58,ABS(N1992)*'Progetto del paramento slu'!$G$54,'Progetto del paramento slu'!$G$53)*IF(N1992&lt;0,-1,1)</f>
        <v>398299.31208121032</v>
      </c>
      <c r="U1992" s="553">
        <f>'Foglio deposito bis'!$F$82*IF(ABS(O1992)&lt;'Progetto del paramento slu'!$G$58,ABS(O1992)*'Progetto del paramento slu'!$G$54,'Progetto del paramento slu'!$G$53)*IF(O1992&lt;0,-1,1)</f>
        <v>892485.49558937876</v>
      </c>
      <c r="V1992" s="479">
        <f t="shared" si="150"/>
        <v>1435866.0131635969</v>
      </c>
      <c r="W1992" s="559"/>
      <c r="X1992" s="559"/>
    </row>
    <row r="1993" spans="1:24" x14ac:dyDescent="0.25">
      <c r="A1993" s="553">
        <f t="shared" si="149"/>
        <v>1433004.795642592</v>
      </c>
      <c r="B1993" s="3">
        <f t="shared" si="151"/>
        <v>0.2</v>
      </c>
      <c r="C1993" s="553">
        <f>'Foglio deposito bis'!$E$161/sezione!$B$247*B1993</f>
        <v>0.81192958259602388</v>
      </c>
      <c r="D1993" s="611">
        <f>-'Progetto del paramento slu'!$G$47*'Progetto del paramento slu'!$G$41*IF(DATI!$G$218="dx",DATI!$E$61,DATI!$E$64*DATI!$E$63)*1000*C1993^2*sezione!$AD$5*(1-sezione!$AD$6)</f>
        <v>-5426.7782966672503</v>
      </c>
      <c r="E1993" s="553">
        <f>-'Foglio deposito bis'!$F$78*(C1993-sezione!$AL$35)*IF(ABS(K1993)&lt;'Progetto del paramento slu'!$G$58,ABS(K1993)*'Progetto del paramento slu'!$G$54,'Progetto del paramento slu'!$G$53)</f>
        <v>0</v>
      </c>
      <c r="F1993" s="553">
        <f>-'Foglio deposito bis'!$F$79*(C1993-sezione!$AM$35)*IF(ABS(L1993)&lt;'Progetto del paramento slu'!$G$58,ABS(L1993)*'Progetto del paramento slu'!$G$54,'Progetto del paramento slu'!$G$53)</f>
        <v>22924963.664342269</v>
      </c>
      <c r="G1993" s="553">
        <f>-'Foglio deposito bis'!$F$80*(C1993-sezione!$AN$35)*IF(ABS(M1993)&lt;'Progetto del paramento slu'!$G$58,ABS(M1993)*'Progetto del paramento slu'!$G$54,'Progetto del paramento slu'!$G$53)</f>
        <v>0</v>
      </c>
      <c r="H1993" s="553">
        <f>-'Foglio deposito bis'!$F$81*(C1993-sezione!$AO$35)*IF(ABS(N1993)&lt;'Progetto del paramento slu'!$G$58,ABS(N1993)*'Progetto del paramento slu'!$G$54,'Progetto del paramento slu'!$G$53)</f>
        <v>135098375.11340514</v>
      </c>
      <c r="I1993" s="479">
        <f>-'Foglio deposito bis'!$F$82*(C1993-sezione!$AP$35)*IF(ABS(O1993)&lt;'Progetto del paramento slu'!$G$58,ABS(O1993)*'Progetto del paramento slu'!$G$54,'Progetto del paramento slu'!$G$53)</f>
        <v>231328716.19811356</v>
      </c>
      <c r="J1993" s="479">
        <f t="shared" si="147"/>
        <v>389346628.1975643</v>
      </c>
      <c r="K1993" s="558">
        <f>'Progetto del paramento slu'!$G$60*(sezione!$AL$35-C1993)/C1993</f>
        <v>0.1689287462865571</v>
      </c>
      <c r="L1993" s="558">
        <f>'Progetto del paramento slu'!$G$60*(sezione!$AM$35-C1993)/C1993</f>
        <v>0.64310779857458911</v>
      </c>
      <c r="M1993" s="559">
        <f>'Progetto del paramento slu'!$G$60*(sezione!$AN$35-C1993)/C1993</f>
        <v>1.1172868508626213</v>
      </c>
      <c r="N1993" s="559">
        <f>'Progetto del paramento slu'!$G$60*(sezione!$AO$35-C1993)/C1993</f>
        <v>1.4621443434357355</v>
      </c>
      <c r="O1993" s="559">
        <f>'Progetto del paramento slu'!$G$60*(sezione!$AP$35-C1993)/C1993</f>
        <v>1.117321253713442</v>
      </c>
      <c r="P1993" s="553">
        <f>-'Progetto del paramento slu'!$G$47*'Progetto del paramento slu'!$G$41*IF(DATI!$G$218="dx",DATI!$E$61,DATI!$E$64*DATI!$E$63)*1000*C1993*sezione!$AD$5</f>
        <v>-11444.870084019467</v>
      </c>
      <c r="Q1993" s="553">
        <f>'Foglio deposito bis'!$F$78*IF(ABS(K1993)&lt;'Progetto del paramento slu'!$G$58,ABS(K1993)*'Progetto del paramento slu'!$G$54,'Progetto del paramento slu'!$G$53)*IF(K1993&lt;0,-1,1)</f>
        <v>0</v>
      </c>
      <c r="R1993" s="553">
        <f>'Foglio deposito bis'!$F$79*IF(ABS(L1993)&lt;'Progetto del paramento slu'!$G$58,ABS(L1993)*'Progetto del paramento slu'!$G$54,'Progetto del paramento slu'!$G$53)*IF(L1993&lt;0,-1,1)</f>
        <v>153664.85805602249</v>
      </c>
      <c r="S1993" s="553">
        <f>'Foglio deposito bis'!$F$80*IF(ABS(M1993)&lt;'Progetto del paramento slu'!$G$58,ABS(M1993)*'Progetto del paramento slu'!$G$54,'Progetto del paramento slu'!$G$53)*IF(M1993&lt;0,-1,1)</f>
        <v>0</v>
      </c>
      <c r="T1993" s="553">
        <f>'Foglio deposito bis'!$F$81*IF(ABS(N1993)&lt;'Progetto del paramento slu'!$G$58,ABS(N1993)*'Progetto del paramento slu'!$G$54,'Progetto del paramento slu'!$G$53)*IF(N1993&lt;0,-1,1)</f>
        <v>398299.31208121032</v>
      </c>
      <c r="U1993" s="553">
        <f>'Foglio deposito bis'!$F$82*IF(ABS(O1993)&lt;'Progetto del paramento slu'!$G$58,ABS(O1993)*'Progetto del paramento slu'!$G$54,'Progetto del paramento slu'!$G$53)*IF(O1993&lt;0,-1,1)</f>
        <v>892485.49558937876</v>
      </c>
      <c r="V1993" s="479">
        <f t="shared" si="150"/>
        <v>1433004.795642592</v>
      </c>
      <c r="W1993" s="559"/>
      <c r="X1993" s="559"/>
    </row>
    <row r="1994" spans="1:24" x14ac:dyDescent="0.25">
      <c r="A1994" s="553">
        <f t="shared" si="149"/>
        <v>1430143.5781215872</v>
      </c>
      <c r="B1994" s="3">
        <f t="shared" si="151"/>
        <v>0.25</v>
      </c>
      <c r="C1994" s="553">
        <f>'Foglio deposito bis'!$E$161/sezione!$B$247*B1994</f>
        <v>1.0149119782450298</v>
      </c>
      <c r="D1994" s="611">
        <f>-'Progetto del paramento slu'!$G$47*'Progetto del paramento slu'!$G$41*IF(DATI!$G$218="dx",DATI!$E$61,DATI!$E$64*DATI!$E$63)*1000*C1994^2*sezione!$AD$5*(1-sezione!$AD$6)</f>
        <v>-8479.3410885425765</v>
      </c>
      <c r="E1994" s="553">
        <f>-'Foglio deposito bis'!$F$78*(C1994-sezione!$AL$35)*IF(ABS(K1994)&lt;'Progetto del paramento slu'!$G$58,ABS(K1994)*'Progetto del paramento slu'!$G$54,'Progetto del paramento slu'!$G$53)</f>
        <v>0</v>
      </c>
      <c r="F1994" s="553">
        <f>-'Foglio deposito bis'!$F$79*(C1994-sezione!$AM$35)*IF(ABS(L1994)&lt;'Progetto del paramento slu'!$G$58,ABS(L1994)*'Progetto del paramento slu'!$G$54,'Progetto del paramento slu'!$G$53)</f>
        <v>22893772.403326992</v>
      </c>
      <c r="G1994" s="553">
        <f>-'Foglio deposito bis'!$F$80*(C1994-sezione!$AN$35)*IF(ABS(M1994)&lt;'Progetto del paramento slu'!$G$58,ABS(M1994)*'Progetto del paramento slu'!$G$54,'Progetto del paramento slu'!$G$53)</f>
        <v>0</v>
      </c>
      <c r="H1994" s="553">
        <f>-'Foglio deposito bis'!$F$81*(C1994-sezione!$AO$35)*IF(ABS(N1994)&lt;'Progetto del paramento slu'!$G$58,ABS(N1994)*'Progetto del paramento slu'!$G$54,'Progetto del paramento slu'!$G$53)</f>
        <v>135017527.36485353</v>
      </c>
      <c r="I1994" s="479">
        <f>-'Foglio deposito bis'!$F$82*(C1994-sezione!$AP$35)*IF(ABS(O1994)&lt;'Progetto del paramento slu'!$G$58,ABS(O1994)*'Progetto del paramento slu'!$G$54,'Progetto del paramento slu'!$G$53)</f>
        <v>231147557.35413679</v>
      </c>
      <c r="J1994" s="479">
        <f t="shared" si="147"/>
        <v>389050377.78122878</v>
      </c>
      <c r="K1994" s="558">
        <f>'Progetto del paramento slu'!$G$60*(sezione!$AL$35-C1994)/C1994</f>
        <v>0.1344429970292457</v>
      </c>
      <c r="L1994" s="558">
        <f>'Progetto del paramento slu'!$G$60*(sezione!$AM$35-C1994)/C1994</f>
        <v>0.51378623885967123</v>
      </c>
      <c r="M1994" s="559">
        <f>'Progetto del paramento slu'!$G$60*(sezione!$AN$35-C1994)/C1994</f>
        <v>0.8931294806900969</v>
      </c>
      <c r="N1994" s="559">
        <f>'Progetto del paramento slu'!$G$60*(sezione!$AO$35-C1994)/C1994</f>
        <v>1.1690154747485884</v>
      </c>
      <c r="O1994" s="559">
        <f>'Progetto del paramento slu'!$G$60*(sezione!$AP$35-C1994)/C1994</f>
        <v>0.89315700297075351</v>
      </c>
      <c r="P1994" s="553">
        <f>-'Progetto del paramento slu'!$G$47*'Progetto del paramento slu'!$G$41*IF(DATI!$G$218="dx",DATI!$E$61,DATI!$E$64*DATI!$E$63)*1000*C1994*sezione!$AD$5</f>
        <v>-14306.087605024331</v>
      </c>
      <c r="Q1994" s="553">
        <f>'Foglio deposito bis'!$F$78*IF(ABS(K1994)&lt;'Progetto del paramento slu'!$G$58,ABS(K1994)*'Progetto del paramento slu'!$G$54,'Progetto del paramento slu'!$G$53)*IF(K1994&lt;0,-1,1)</f>
        <v>0</v>
      </c>
      <c r="R1994" s="553">
        <f>'Foglio deposito bis'!$F$79*IF(ABS(L1994)&lt;'Progetto del paramento slu'!$G$58,ABS(L1994)*'Progetto del paramento slu'!$G$54,'Progetto del paramento slu'!$G$53)*IF(L1994&lt;0,-1,1)</f>
        <v>153664.85805602249</v>
      </c>
      <c r="S1994" s="553">
        <f>'Foglio deposito bis'!$F$80*IF(ABS(M1994)&lt;'Progetto del paramento slu'!$G$58,ABS(M1994)*'Progetto del paramento slu'!$G$54,'Progetto del paramento slu'!$G$53)*IF(M1994&lt;0,-1,1)</f>
        <v>0</v>
      </c>
      <c r="T1994" s="553">
        <f>'Foglio deposito bis'!$F$81*IF(ABS(N1994)&lt;'Progetto del paramento slu'!$G$58,ABS(N1994)*'Progetto del paramento slu'!$G$54,'Progetto del paramento slu'!$G$53)*IF(N1994&lt;0,-1,1)</f>
        <v>398299.31208121032</v>
      </c>
      <c r="U1994" s="553">
        <f>'Foglio deposito bis'!$F$82*IF(ABS(O1994)&lt;'Progetto del paramento slu'!$G$58,ABS(O1994)*'Progetto del paramento slu'!$G$54,'Progetto del paramento slu'!$G$53)*IF(O1994&lt;0,-1,1)</f>
        <v>892485.49558937876</v>
      </c>
      <c r="V1994" s="479">
        <f t="shared" si="150"/>
        <v>1430143.5781215872</v>
      </c>
      <c r="W1994" s="559"/>
      <c r="X1994" s="559"/>
    </row>
    <row r="1995" spans="1:24" x14ac:dyDescent="0.25">
      <c r="A1995" s="553">
        <f t="shared" si="149"/>
        <v>1427282.3606005823</v>
      </c>
      <c r="B1995" s="3">
        <f t="shared" si="151"/>
        <v>0.3</v>
      </c>
      <c r="C1995" s="553">
        <f>'Foglio deposito bis'!$E$161/sezione!$B$247*B1995</f>
        <v>1.2178943738940358</v>
      </c>
      <c r="D1995" s="611">
        <f>-'Progetto del paramento slu'!$G$47*'Progetto del paramento slu'!$G$41*IF(DATI!$G$218="dx",DATI!$E$61,DATI!$E$64*DATI!$E$63)*1000*C1995^2*sezione!$AD$5*(1-sezione!$AD$6)</f>
        <v>-12210.251167501312</v>
      </c>
      <c r="E1995" s="553">
        <f>-'Foglio deposito bis'!$F$78*(C1995-sezione!$AL$35)*IF(ABS(K1995)&lt;'Progetto del paramento slu'!$G$58,ABS(K1995)*'Progetto del paramento slu'!$G$54,'Progetto del paramento slu'!$G$53)</f>
        <v>0</v>
      </c>
      <c r="F1995" s="553">
        <f>-'Foglio deposito bis'!$F$79*(C1995-sezione!$AM$35)*IF(ABS(L1995)&lt;'Progetto del paramento slu'!$G$58,ABS(L1995)*'Progetto del paramento slu'!$G$54,'Progetto del paramento slu'!$G$53)</f>
        <v>22862581.142311718</v>
      </c>
      <c r="G1995" s="553">
        <f>-'Foglio deposito bis'!$F$80*(C1995-sezione!$AN$35)*IF(ABS(M1995)&lt;'Progetto del paramento slu'!$G$58,ABS(M1995)*'Progetto del paramento slu'!$G$54,'Progetto del paramento slu'!$G$53)</f>
        <v>0</v>
      </c>
      <c r="H1995" s="553">
        <f>-'Foglio deposito bis'!$F$81*(C1995-sezione!$AO$35)*IF(ABS(N1995)&lt;'Progetto del paramento slu'!$G$58,ABS(N1995)*'Progetto del paramento slu'!$G$54,'Progetto del paramento slu'!$G$53)</f>
        <v>134936679.61630195</v>
      </c>
      <c r="I1995" s="479">
        <f>-'Foglio deposito bis'!$F$82*(C1995-sezione!$AP$35)*IF(ABS(O1995)&lt;'Progetto del paramento slu'!$G$58,ABS(O1995)*'Progetto del paramento slu'!$G$54,'Progetto del paramento slu'!$G$53)</f>
        <v>230966398.51016012</v>
      </c>
      <c r="J1995" s="479">
        <f t="shared" si="147"/>
        <v>388753449.01760626</v>
      </c>
      <c r="K1995" s="558">
        <f>'Progetto del paramento slu'!$G$60*(sezione!$AL$35-C1995)/C1995</f>
        <v>0.11145249752437139</v>
      </c>
      <c r="L1995" s="558">
        <f>'Progetto del paramento slu'!$G$60*(sezione!$AM$35-C1995)/C1995</f>
        <v>0.42757186571639272</v>
      </c>
      <c r="M1995" s="559">
        <f>'Progetto del paramento slu'!$G$60*(sezione!$AN$35-C1995)/C1995</f>
        <v>0.74369123390841418</v>
      </c>
      <c r="N1995" s="559">
        <f>'Progetto del paramento slu'!$G$60*(sezione!$AO$35-C1995)/C1995</f>
        <v>0.97359622895715692</v>
      </c>
      <c r="O1995" s="559">
        <f>'Progetto del paramento slu'!$G$60*(sezione!$AP$35-C1995)/C1995</f>
        <v>0.74371416914229471</v>
      </c>
      <c r="P1995" s="553">
        <f>-'Progetto del paramento slu'!$G$47*'Progetto del paramento slu'!$G$41*IF(DATI!$G$218="dx",DATI!$E$61,DATI!$E$64*DATI!$E$63)*1000*C1995*sezione!$AD$5</f>
        <v>-17167.305126029201</v>
      </c>
      <c r="Q1995" s="553">
        <f>'Foglio deposito bis'!$F$78*IF(ABS(K1995)&lt;'Progetto del paramento slu'!$G$58,ABS(K1995)*'Progetto del paramento slu'!$G$54,'Progetto del paramento slu'!$G$53)*IF(K1995&lt;0,-1,1)</f>
        <v>0</v>
      </c>
      <c r="R1995" s="553">
        <f>'Foglio deposito bis'!$F$79*IF(ABS(L1995)&lt;'Progetto del paramento slu'!$G$58,ABS(L1995)*'Progetto del paramento slu'!$G$54,'Progetto del paramento slu'!$G$53)*IF(L1995&lt;0,-1,1)</f>
        <v>153664.85805602249</v>
      </c>
      <c r="S1995" s="553">
        <f>'Foglio deposito bis'!$F$80*IF(ABS(M1995)&lt;'Progetto del paramento slu'!$G$58,ABS(M1995)*'Progetto del paramento slu'!$G$54,'Progetto del paramento slu'!$G$53)*IF(M1995&lt;0,-1,1)</f>
        <v>0</v>
      </c>
      <c r="T1995" s="553">
        <f>'Foglio deposito bis'!$F$81*IF(ABS(N1995)&lt;'Progetto del paramento slu'!$G$58,ABS(N1995)*'Progetto del paramento slu'!$G$54,'Progetto del paramento slu'!$G$53)*IF(N1995&lt;0,-1,1)</f>
        <v>398299.31208121032</v>
      </c>
      <c r="U1995" s="553">
        <f>'Foglio deposito bis'!$F$82*IF(ABS(O1995)&lt;'Progetto del paramento slu'!$G$58,ABS(O1995)*'Progetto del paramento slu'!$G$54,'Progetto del paramento slu'!$G$53)*IF(O1995&lt;0,-1,1)</f>
        <v>892485.49558937876</v>
      </c>
      <c r="V1995" s="479">
        <f t="shared" si="150"/>
        <v>1427282.3606005823</v>
      </c>
      <c r="W1995" s="559"/>
      <c r="X1995" s="559"/>
    </row>
    <row r="1996" spans="1:24" x14ac:dyDescent="0.25">
      <c r="A1996" s="553">
        <f t="shared" si="149"/>
        <v>1424421.1430795775</v>
      </c>
      <c r="B1996" s="3">
        <f t="shared" si="151"/>
        <v>0.35</v>
      </c>
      <c r="C1996" s="553">
        <f>'Foglio deposito bis'!$E$161/sezione!$B$247*B1996</f>
        <v>1.4208767695430415</v>
      </c>
      <c r="D1996" s="611">
        <f>-'Progetto del paramento slu'!$G$47*'Progetto del paramento slu'!$G$41*IF(DATI!$G$218="dx",DATI!$E$61,DATI!$E$64*DATI!$E$63)*1000*C1996^2*sezione!$AD$5*(1-sezione!$AD$6)</f>
        <v>-16619.508533543449</v>
      </c>
      <c r="E1996" s="553">
        <f>-'Foglio deposito bis'!$F$78*(C1996-sezione!$AL$35)*IF(ABS(K1996)&lt;'Progetto del paramento slu'!$G$58,ABS(K1996)*'Progetto del paramento slu'!$G$54,'Progetto del paramento slu'!$G$53)</f>
        <v>0</v>
      </c>
      <c r="F1996" s="553">
        <f>-'Foglio deposito bis'!$F$79*(C1996-sezione!$AM$35)*IF(ABS(L1996)&lt;'Progetto del paramento slu'!$G$58,ABS(L1996)*'Progetto del paramento slu'!$G$54,'Progetto del paramento slu'!$G$53)</f>
        <v>22831389.881296445</v>
      </c>
      <c r="G1996" s="553">
        <f>-'Foglio deposito bis'!$F$80*(C1996-sezione!$AN$35)*IF(ABS(M1996)&lt;'Progetto del paramento slu'!$G$58,ABS(M1996)*'Progetto del paramento slu'!$G$54,'Progetto del paramento slu'!$G$53)</f>
        <v>0</v>
      </c>
      <c r="H1996" s="553">
        <f>-'Foglio deposito bis'!$F$81*(C1996-sezione!$AO$35)*IF(ABS(N1996)&lt;'Progetto del paramento slu'!$G$58,ABS(N1996)*'Progetto del paramento slu'!$G$54,'Progetto del paramento slu'!$G$53)</f>
        <v>134855831.86775035</v>
      </c>
      <c r="I1996" s="479">
        <f>-'Foglio deposito bis'!$F$82*(C1996-sezione!$AP$35)*IF(ABS(O1996)&lt;'Progetto del paramento slu'!$G$58,ABS(O1996)*'Progetto del paramento slu'!$G$54,'Progetto del paramento slu'!$G$53)</f>
        <v>230785239.66618338</v>
      </c>
      <c r="J1996" s="479">
        <f t="shared" si="147"/>
        <v>388455841.90669662</v>
      </c>
      <c r="K1996" s="558">
        <f>'Progetto del paramento slu'!$G$60*(sezione!$AL$35-C1996)/C1996</f>
        <v>9.5030712163746922E-2</v>
      </c>
      <c r="L1996" s="558">
        <f>'Progetto del paramento slu'!$G$60*(sezione!$AM$35-C1996)/C1996</f>
        <v>0.36599017061405098</v>
      </c>
      <c r="M1996" s="559">
        <f>'Progetto del paramento slu'!$G$60*(sezione!$AN$35-C1996)/C1996</f>
        <v>0.63694962906435504</v>
      </c>
      <c r="N1996" s="559">
        <f>'Progetto del paramento slu'!$G$60*(sezione!$AO$35-C1996)/C1996</f>
        <v>0.83401105339184878</v>
      </c>
      <c r="O1996" s="559">
        <f>'Progetto del paramento slu'!$G$60*(sezione!$AP$35-C1996)/C1996</f>
        <v>0.63696928783625262</v>
      </c>
      <c r="P1996" s="553">
        <f>-'Progetto del paramento slu'!$G$47*'Progetto del paramento slu'!$G$41*IF(DATI!$G$218="dx",DATI!$E$61,DATI!$E$64*DATI!$E$63)*1000*C1996*sezione!$AD$5</f>
        <v>-20028.522647034064</v>
      </c>
      <c r="Q1996" s="553">
        <f>'Foglio deposito bis'!$F$78*IF(ABS(K1996)&lt;'Progetto del paramento slu'!$G$58,ABS(K1996)*'Progetto del paramento slu'!$G$54,'Progetto del paramento slu'!$G$53)*IF(K1996&lt;0,-1,1)</f>
        <v>0</v>
      </c>
      <c r="R1996" s="553">
        <f>'Foglio deposito bis'!$F$79*IF(ABS(L1996)&lt;'Progetto del paramento slu'!$G$58,ABS(L1996)*'Progetto del paramento slu'!$G$54,'Progetto del paramento slu'!$G$53)*IF(L1996&lt;0,-1,1)</f>
        <v>153664.85805602249</v>
      </c>
      <c r="S1996" s="553">
        <f>'Foglio deposito bis'!$F$80*IF(ABS(M1996)&lt;'Progetto del paramento slu'!$G$58,ABS(M1996)*'Progetto del paramento slu'!$G$54,'Progetto del paramento slu'!$G$53)*IF(M1996&lt;0,-1,1)</f>
        <v>0</v>
      </c>
      <c r="T1996" s="553">
        <f>'Foglio deposito bis'!$F$81*IF(ABS(N1996)&lt;'Progetto del paramento slu'!$G$58,ABS(N1996)*'Progetto del paramento slu'!$G$54,'Progetto del paramento slu'!$G$53)*IF(N1996&lt;0,-1,1)</f>
        <v>398299.31208121032</v>
      </c>
      <c r="U1996" s="553">
        <f>'Foglio deposito bis'!$F$82*IF(ABS(O1996)&lt;'Progetto del paramento slu'!$G$58,ABS(O1996)*'Progetto del paramento slu'!$G$54,'Progetto del paramento slu'!$G$53)*IF(O1996&lt;0,-1,1)</f>
        <v>892485.49558937876</v>
      </c>
      <c r="V1996" s="479">
        <f t="shared" si="150"/>
        <v>1424421.1430795775</v>
      </c>
      <c r="W1996" s="559"/>
      <c r="X1996" s="559"/>
    </row>
    <row r="1997" spans="1:24" x14ac:dyDescent="0.25">
      <c r="A1997" s="553">
        <f t="shared" si="149"/>
        <v>1421559.9255585726</v>
      </c>
      <c r="B1997" s="3">
        <f t="shared" si="151"/>
        <v>0.39999999999999997</v>
      </c>
      <c r="C1997" s="553">
        <f>'Foglio deposito bis'!$E$161/sezione!$B$247*B1997</f>
        <v>1.6238591651920475</v>
      </c>
      <c r="D1997" s="611">
        <f>-'Progetto del paramento slu'!$G$47*'Progetto del paramento slu'!$G$41*IF(DATI!$G$218="dx",DATI!$E$61,DATI!$E$64*DATI!$E$63)*1000*C1997^2*sezione!$AD$5*(1-sezione!$AD$6)</f>
        <v>-21707.113186668994</v>
      </c>
      <c r="E1997" s="553">
        <f>-'Foglio deposito bis'!$F$78*(C1997-sezione!$AL$35)*IF(ABS(K1997)&lt;'Progetto del paramento slu'!$G$58,ABS(K1997)*'Progetto del paramento slu'!$G$54,'Progetto del paramento slu'!$G$53)</f>
        <v>0</v>
      </c>
      <c r="F1997" s="553">
        <f>-'Foglio deposito bis'!$F$79*(C1997-sezione!$AM$35)*IF(ABS(L1997)&lt;'Progetto del paramento slu'!$G$58,ABS(L1997)*'Progetto del paramento slu'!$G$54,'Progetto del paramento slu'!$G$53)</f>
        <v>22800198.620281167</v>
      </c>
      <c r="G1997" s="553">
        <f>-'Foglio deposito bis'!$F$80*(C1997-sezione!$AN$35)*IF(ABS(M1997)&lt;'Progetto del paramento slu'!$G$58,ABS(M1997)*'Progetto del paramento slu'!$G$54,'Progetto del paramento slu'!$G$53)</f>
        <v>0</v>
      </c>
      <c r="H1997" s="553">
        <f>-'Foglio deposito bis'!$F$81*(C1997-sezione!$AO$35)*IF(ABS(N1997)&lt;'Progetto del paramento slu'!$G$58,ABS(N1997)*'Progetto del paramento slu'!$G$54,'Progetto del paramento slu'!$G$53)</f>
        <v>134774984.11919874</v>
      </c>
      <c r="I1997" s="479">
        <f>-'Foglio deposito bis'!$F$82*(C1997-sezione!$AP$35)*IF(ABS(O1997)&lt;'Progetto del paramento slu'!$G$58,ABS(O1997)*'Progetto del paramento slu'!$G$54,'Progetto del paramento slu'!$G$53)</f>
        <v>230604080.82220665</v>
      </c>
      <c r="J1997" s="479">
        <f t="shared" si="147"/>
        <v>388157556.44849992</v>
      </c>
      <c r="K1997" s="558">
        <f>'Progetto del paramento slu'!$G$60*(sezione!$AL$35-C1997)/C1997</f>
        <v>8.2714373143278563E-2</v>
      </c>
      <c r="L1997" s="558">
        <f>'Progetto del paramento slu'!$G$60*(sezione!$AM$35-C1997)/C1997</f>
        <v>0.31980389928729464</v>
      </c>
      <c r="M1997" s="559">
        <f>'Progetto del paramento slu'!$G$60*(sezione!$AN$35-C1997)/C1997</f>
        <v>0.5568934254313106</v>
      </c>
      <c r="N1997" s="559">
        <f>'Progetto del paramento slu'!$G$60*(sezione!$AO$35-C1997)/C1997</f>
        <v>0.72932217171786762</v>
      </c>
      <c r="O1997" s="559">
        <f>'Progetto del paramento slu'!$G$60*(sezione!$AP$35-C1997)/C1997</f>
        <v>0.55691062685672099</v>
      </c>
      <c r="P1997" s="553">
        <f>-'Progetto del paramento slu'!$G$47*'Progetto del paramento slu'!$G$41*IF(DATI!$G$218="dx",DATI!$E$61,DATI!$E$64*DATI!$E$63)*1000*C1997*sezione!$AD$5</f>
        <v>-22889.74016803893</v>
      </c>
      <c r="Q1997" s="553">
        <f>'Foglio deposito bis'!$F$78*IF(ABS(K1997)&lt;'Progetto del paramento slu'!$G$58,ABS(K1997)*'Progetto del paramento slu'!$G$54,'Progetto del paramento slu'!$G$53)*IF(K1997&lt;0,-1,1)</f>
        <v>0</v>
      </c>
      <c r="R1997" s="553">
        <f>'Foglio deposito bis'!$F$79*IF(ABS(L1997)&lt;'Progetto del paramento slu'!$G$58,ABS(L1997)*'Progetto del paramento slu'!$G$54,'Progetto del paramento slu'!$G$53)*IF(L1997&lt;0,-1,1)</f>
        <v>153664.85805602249</v>
      </c>
      <c r="S1997" s="553">
        <f>'Foglio deposito bis'!$F$80*IF(ABS(M1997)&lt;'Progetto del paramento slu'!$G$58,ABS(M1997)*'Progetto del paramento slu'!$G$54,'Progetto del paramento slu'!$G$53)*IF(M1997&lt;0,-1,1)</f>
        <v>0</v>
      </c>
      <c r="T1997" s="553">
        <f>'Foglio deposito bis'!$F$81*IF(ABS(N1997)&lt;'Progetto del paramento slu'!$G$58,ABS(N1997)*'Progetto del paramento slu'!$G$54,'Progetto del paramento slu'!$G$53)*IF(N1997&lt;0,-1,1)</f>
        <v>398299.31208121032</v>
      </c>
      <c r="U1997" s="553">
        <f>'Foglio deposito bis'!$F$82*IF(ABS(O1997)&lt;'Progetto del paramento slu'!$G$58,ABS(O1997)*'Progetto del paramento slu'!$G$54,'Progetto del paramento slu'!$G$53)*IF(O1997&lt;0,-1,1)</f>
        <v>892485.49558937876</v>
      </c>
      <c r="V1997" s="479">
        <f t="shared" si="150"/>
        <v>1421559.9255585726</v>
      </c>
      <c r="W1997" s="559"/>
      <c r="X1997" s="559"/>
    </row>
    <row r="1998" spans="1:24" x14ac:dyDescent="0.25">
      <c r="A1998" s="553">
        <f t="shared" si="149"/>
        <v>1418698.7080375678</v>
      </c>
      <c r="B1998" s="3">
        <f t="shared" si="151"/>
        <v>0.44999999999999996</v>
      </c>
      <c r="C1998" s="553">
        <f>'Foglio deposito bis'!$E$161/sezione!$B$247*B1998</f>
        <v>1.8268415608410533</v>
      </c>
      <c r="D1998" s="611">
        <f>-'Progetto del paramento slu'!$G$47*'Progetto del paramento slu'!$G$41*IF(DATI!$G$218="dx",DATI!$E$61,DATI!$E$64*DATI!$E$63)*1000*C1998^2*sezione!$AD$5*(1-sezione!$AD$6)</f>
        <v>-27473.06512687794</v>
      </c>
      <c r="E1998" s="553">
        <f>-'Foglio deposito bis'!$F$78*(C1998-sezione!$AL$35)*IF(ABS(K1998)&lt;'Progetto del paramento slu'!$G$58,ABS(K1998)*'Progetto del paramento slu'!$G$54,'Progetto del paramento slu'!$G$53)</f>
        <v>0</v>
      </c>
      <c r="F1998" s="553">
        <f>-'Foglio deposito bis'!$F$79*(C1998-sezione!$AM$35)*IF(ABS(L1998)&lt;'Progetto del paramento slu'!$G$58,ABS(L1998)*'Progetto del paramento slu'!$G$54,'Progetto del paramento slu'!$G$53)</f>
        <v>22769007.35926589</v>
      </c>
      <c r="G1998" s="553">
        <f>-'Foglio deposito bis'!$F$80*(C1998-sezione!$AN$35)*IF(ABS(M1998)&lt;'Progetto del paramento slu'!$G$58,ABS(M1998)*'Progetto del paramento slu'!$G$54,'Progetto del paramento slu'!$G$53)</f>
        <v>0</v>
      </c>
      <c r="H1998" s="553">
        <f>-'Foglio deposito bis'!$F$81*(C1998-sezione!$AO$35)*IF(ABS(N1998)&lt;'Progetto del paramento slu'!$G$58,ABS(N1998)*'Progetto del paramento slu'!$G$54,'Progetto del paramento slu'!$G$53)</f>
        <v>134694136.37064713</v>
      </c>
      <c r="I1998" s="479">
        <f>-'Foglio deposito bis'!$F$82*(C1998-sezione!$AP$35)*IF(ABS(O1998)&lt;'Progetto del paramento slu'!$G$58,ABS(O1998)*'Progetto del paramento slu'!$G$54,'Progetto del paramento slu'!$G$53)</f>
        <v>230422921.97822994</v>
      </c>
      <c r="J1998" s="479">
        <f t="shared" si="147"/>
        <v>387858592.6430161</v>
      </c>
      <c r="K1998" s="558">
        <f>'Progetto del paramento slu'!$G$60*(sezione!$AL$35-C1998)/C1998</f>
        <v>7.3134998349580954E-2</v>
      </c>
      <c r="L1998" s="558">
        <f>'Progetto del paramento slu'!$G$60*(sezione!$AM$35-C1998)/C1998</f>
        <v>0.28388124381092855</v>
      </c>
      <c r="M1998" s="559">
        <f>'Progetto del paramento slu'!$G$60*(sezione!$AN$35-C1998)/C1998</f>
        <v>0.49462748927227618</v>
      </c>
      <c r="N1998" s="559">
        <f>'Progetto del paramento slu'!$G$60*(sezione!$AO$35-C1998)/C1998</f>
        <v>0.64789748597143804</v>
      </c>
      <c r="O1998" s="559">
        <f>'Progetto del paramento slu'!$G$60*(sezione!$AP$35-C1998)/C1998</f>
        <v>0.49464277942819651</v>
      </c>
      <c r="P1998" s="553">
        <f>-'Progetto del paramento slu'!$G$47*'Progetto del paramento slu'!$G$41*IF(DATI!$G$218="dx",DATI!$E$61,DATI!$E$64*DATI!$E$63)*1000*C1998*sezione!$AD$5</f>
        <v>-25750.957689043797</v>
      </c>
      <c r="Q1998" s="553">
        <f>'Foglio deposito bis'!$F$78*IF(ABS(K1998)&lt;'Progetto del paramento slu'!$G$58,ABS(K1998)*'Progetto del paramento slu'!$G$54,'Progetto del paramento slu'!$G$53)*IF(K1998&lt;0,-1,1)</f>
        <v>0</v>
      </c>
      <c r="R1998" s="553">
        <f>'Foglio deposito bis'!$F$79*IF(ABS(L1998)&lt;'Progetto del paramento slu'!$G$58,ABS(L1998)*'Progetto del paramento slu'!$G$54,'Progetto del paramento slu'!$G$53)*IF(L1998&lt;0,-1,1)</f>
        <v>153664.85805602249</v>
      </c>
      <c r="S1998" s="553">
        <f>'Foglio deposito bis'!$F$80*IF(ABS(M1998)&lt;'Progetto del paramento slu'!$G$58,ABS(M1998)*'Progetto del paramento slu'!$G$54,'Progetto del paramento slu'!$G$53)*IF(M1998&lt;0,-1,1)</f>
        <v>0</v>
      </c>
      <c r="T1998" s="553">
        <f>'Foglio deposito bis'!$F$81*IF(ABS(N1998)&lt;'Progetto del paramento slu'!$G$58,ABS(N1998)*'Progetto del paramento slu'!$G$54,'Progetto del paramento slu'!$G$53)*IF(N1998&lt;0,-1,1)</f>
        <v>398299.31208121032</v>
      </c>
      <c r="U1998" s="553">
        <f>'Foglio deposito bis'!$F$82*IF(ABS(O1998)&lt;'Progetto del paramento slu'!$G$58,ABS(O1998)*'Progetto del paramento slu'!$G$54,'Progetto del paramento slu'!$G$53)*IF(O1998&lt;0,-1,1)</f>
        <v>892485.49558937876</v>
      </c>
      <c r="V1998" s="479">
        <f t="shared" si="150"/>
        <v>1418698.7080375678</v>
      </c>
      <c r="W1998" s="559"/>
      <c r="X1998" s="559"/>
    </row>
    <row r="1999" spans="1:24" x14ac:dyDescent="0.25">
      <c r="A1999" s="553">
        <f t="shared" si="149"/>
        <v>1415837.4905165629</v>
      </c>
      <c r="B1999" s="3">
        <f t="shared" si="151"/>
        <v>0.49999999999999994</v>
      </c>
      <c r="C1999" s="553">
        <f>'Foglio deposito bis'!$E$161/sezione!$B$247*B1999</f>
        <v>2.0298239564900591</v>
      </c>
      <c r="D1999" s="611">
        <f>-'Progetto del paramento slu'!$G$47*'Progetto del paramento slu'!$G$41*IF(DATI!$G$218="dx",DATI!$E$61,DATI!$E$64*DATI!$E$63)*1000*C1999^2*sezione!$AD$5*(1-sezione!$AD$6)</f>
        <v>-33917.364354170291</v>
      </c>
      <c r="E1999" s="553">
        <f>-'Foglio deposito bis'!$F$78*(C1999-sezione!$AL$35)*IF(ABS(K1999)&lt;'Progetto del paramento slu'!$G$58,ABS(K1999)*'Progetto del paramento slu'!$G$54,'Progetto del paramento slu'!$G$53)</f>
        <v>0</v>
      </c>
      <c r="F1999" s="553">
        <f>-'Foglio deposito bis'!$F$79*(C1999-sezione!$AM$35)*IF(ABS(L1999)&lt;'Progetto del paramento slu'!$G$58,ABS(L1999)*'Progetto del paramento slu'!$G$54,'Progetto del paramento slu'!$G$53)</f>
        <v>22737816.098250616</v>
      </c>
      <c r="G1999" s="553">
        <f>-'Foglio deposito bis'!$F$80*(C1999-sezione!$AN$35)*IF(ABS(M1999)&lt;'Progetto del paramento slu'!$G$58,ABS(M1999)*'Progetto del paramento slu'!$G$54,'Progetto del paramento slu'!$G$53)</f>
        <v>0</v>
      </c>
      <c r="H1999" s="553">
        <f>-'Foglio deposito bis'!$F$81*(C1999-sezione!$AO$35)*IF(ABS(N1999)&lt;'Progetto del paramento slu'!$G$58,ABS(N1999)*'Progetto del paramento slu'!$G$54,'Progetto del paramento slu'!$G$53)</f>
        <v>134613288.62209556</v>
      </c>
      <c r="I1999" s="479">
        <f>-'Foglio deposito bis'!$F$82*(C1999-sezione!$AP$35)*IF(ABS(O1999)&lt;'Progetto del paramento slu'!$G$58,ABS(O1999)*'Progetto del paramento slu'!$G$54,'Progetto del paramento slu'!$G$53)</f>
        <v>230241763.13425317</v>
      </c>
      <c r="J1999" s="479">
        <f t="shared" si="147"/>
        <v>387558950.49024516</v>
      </c>
      <c r="K1999" s="558">
        <f>'Progetto del paramento slu'!$G$60*(sezione!$AL$35-C1999)/C1999</f>
        <v>6.5471498514622861E-2</v>
      </c>
      <c r="L1999" s="558">
        <f>'Progetto del paramento slu'!$G$60*(sezione!$AM$35-C1999)/C1999</f>
        <v>0.25514311942983575</v>
      </c>
      <c r="M1999" s="559">
        <f>'Progetto del paramento slu'!$G$60*(sezione!$AN$35-C1999)/C1999</f>
        <v>0.44481474034504853</v>
      </c>
      <c r="N1999" s="559">
        <f>'Progetto del paramento slu'!$G$60*(sezione!$AO$35-C1999)/C1999</f>
        <v>0.58275773737429426</v>
      </c>
      <c r="O1999" s="559">
        <f>'Progetto del paramento slu'!$G$60*(sezione!$AP$35-C1999)/C1999</f>
        <v>0.44482850148537689</v>
      </c>
      <c r="P1999" s="553">
        <f>-'Progetto del paramento slu'!$G$47*'Progetto del paramento slu'!$G$41*IF(DATI!$G$218="dx",DATI!$E$61,DATI!$E$64*DATI!$E$63)*1000*C1999*sezione!$AD$5</f>
        <v>-28612.175210048656</v>
      </c>
      <c r="Q1999" s="553">
        <f>'Foglio deposito bis'!$F$78*IF(ABS(K1999)&lt;'Progetto del paramento slu'!$G$58,ABS(K1999)*'Progetto del paramento slu'!$G$54,'Progetto del paramento slu'!$G$53)*IF(K1999&lt;0,-1,1)</f>
        <v>0</v>
      </c>
      <c r="R1999" s="553">
        <f>'Foglio deposito bis'!$F$79*IF(ABS(L1999)&lt;'Progetto del paramento slu'!$G$58,ABS(L1999)*'Progetto del paramento slu'!$G$54,'Progetto del paramento slu'!$G$53)*IF(L1999&lt;0,-1,1)</f>
        <v>153664.85805602249</v>
      </c>
      <c r="S1999" s="553">
        <f>'Foglio deposito bis'!$F$80*IF(ABS(M1999)&lt;'Progetto del paramento slu'!$G$58,ABS(M1999)*'Progetto del paramento slu'!$G$54,'Progetto del paramento slu'!$G$53)*IF(M1999&lt;0,-1,1)</f>
        <v>0</v>
      </c>
      <c r="T1999" s="553">
        <f>'Foglio deposito bis'!$F$81*IF(ABS(N1999)&lt;'Progetto del paramento slu'!$G$58,ABS(N1999)*'Progetto del paramento slu'!$G$54,'Progetto del paramento slu'!$G$53)*IF(N1999&lt;0,-1,1)</f>
        <v>398299.31208121032</v>
      </c>
      <c r="U1999" s="553">
        <f>'Foglio deposito bis'!$F$82*IF(ABS(O1999)&lt;'Progetto del paramento slu'!$G$58,ABS(O1999)*'Progetto del paramento slu'!$G$54,'Progetto del paramento slu'!$G$53)*IF(O1999&lt;0,-1,1)</f>
        <v>892485.49558937876</v>
      </c>
      <c r="V1999" s="479">
        <f t="shared" si="150"/>
        <v>1415837.4905165629</v>
      </c>
      <c r="W1999" s="559"/>
      <c r="X1999" s="559"/>
    </row>
    <row r="2000" spans="1:24" x14ac:dyDescent="0.25">
      <c r="A2000" s="553">
        <f t="shared" si="149"/>
        <v>1412976.2729955581</v>
      </c>
      <c r="B2000" s="3">
        <f t="shared" si="151"/>
        <v>0.54999999999999993</v>
      </c>
      <c r="C2000" s="553">
        <f>'Foglio deposito bis'!$E$161/sezione!$B$247*B2000</f>
        <v>2.2328063521390651</v>
      </c>
      <c r="D2000" s="611">
        <f>-'Progetto del paramento slu'!$G$47*'Progetto del paramento slu'!$G$41*IF(DATI!$G$218="dx",DATI!$E$61,DATI!$E$64*DATI!$E$63)*1000*C2000^2*sezione!$AD$5*(1-sezione!$AD$6)</f>
        <v>-41040.010868546065</v>
      </c>
      <c r="E2000" s="553">
        <f>-'Foglio deposito bis'!$F$78*(C2000-sezione!$AL$35)*IF(ABS(K2000)&lt;'Progetto del paramento slu'!$G$58,ABS(K2000)*'Progetto del paramento slu'!$G$54,'Progetto del paramento slu'!$G$53)</f>
        <v>0</v>
      </c>
      <c r="F2000" s="553">
        <f>-'Foglio deposito bis'!$F$79*(C2000-sezione!$AM$35)*IF(ABS(L2000)&lt;'Progetto del paramento slu'!$G$58,ABS(L2000)*'Progetto del paramento slu'!$G$54,'Progetto del paramento slu'!$G$53)</f>
        <v>22706624.837235335</v>
      </c>
      <c r="G2000" s="553">
        <f>-'Foglio deposito bis'!$F$80*(C2000-sezione!$AN$35)*IF(ABS(M2000)&lt;'Progetto del paramento slu'!$G$58,ABS(M2000)*'Progetto del paramento slu'!$G$54,'Progetto del paramento slu'!$G$53)</f>
        <v>0</v>
      </c>
      <c r="H2000" s="553">
        <f>-'Foglio deposito bis'!$F$81*(C2000-sezione!$AO$35)*IF(ABS(N2000)&lt;'Progetto del paramento slu'!$G$58,ABS(N2000)*'Progetto del paramento slu'!$G$54,'Progetto del paramento slu'!$G$53)</f>
        <v>134532440.87354398</v>
      </c>
      <c r="I2000" s="479">
        <f>-'Foglio deposito bis'!$F$82*(C2000-sezione!$AP$35)*IF(ABS(O2000)&lt;'Progetto del paramento slu'!$G$58,ABS(O2000)*'Progetto del paramento slu'!$G$54,'Progetto del paramento slu'!$G$53)</f>
        <v>230060604.29027647</v>
      </c>
      <c r="J2000" s="479">
        <f t="shared" si="147"/>
        <v>387258629.99018723</v>
      </c>
      <c r="K2000" s="558">
        <f>'Progetto del paramento slu'!$G$60*(sezione!$AL$35-C2000)/C2000</f>
        <v>5.9201362286020784E-2</v>
      </c>
      <c r="L2000" s="558">
        <f>'Progetto del paramento slu'!$G$60*(sezione!$AM$35-C2000)/C2000</f>
        <v>0.2316301085725779</v>
      </c>
      <c r="M2000" s="559">
        <f>'Progetto del paramento slu'!$G$60*(sezione!$AN$35-C2000)/C2000</f>
        <v>0.40405885485913512</v>
      </c>
      <c r="N2000" s="559">
        <f>'Progetto del paramento slu'!$G$60*(sezione!$AO$35-C2000)/C2000</f>
        <v>0.52946157943117667</v>
      </c>
      <c r="O2000" s="559">
        <f>'Progetto del paramento slu'!$G$60*(sezione!$AP$35-C2000)/C2000</f>
        <v>0.40407136498670632</v>
      </c>
      <c r="P2000" s="553">
        <f>-'Progetto del paramento slu'!$G$47*'Progetto del paramento slu'!$G$41*IF(DATI!$G$218="dx",DATI!$E$61,DATI!$E$64*DATI!$E$63)*1000*C2000*sezione!$AD$5</f>
        <v>-31473.392731053525</v>
      </c>
      <c r="Q2000" s="553">
        <f>'Foglio deposito bis'!$F$78*IF(ABS(K2000)&lt;'Progetto del paramento slu'!$G$58,ABS(K2000)*'Progetto del paramento slu'!$G$54,'Progetto del paramento slu'!$G$53)*IF(K2000&lt;0,-1,1)</f>
        <v>0</v>
      </c>
      <c r="R2000" s="553">
        <f>'Foglio deposito bis'!$F$79*IF(ABS(L2000)&lt;'Progetto del paramento slu'!$G$58,ABS(L2000)*'Progetto del paramento slu'!$G$54,'Progetto del paramento slu'!$G$53)*IF(L2000&lt;0,-1,1)</f>
        <v>153664.85805602249</v>
      </c>
      <c r="S2000" s="553">
        <f>'Foglio deposito bis'!$F$80*IF(ABS(M2000)&lt;'Progetto del paramento slu'!$G$58,ABS(M2000)*'Progetto del paramento slu'!$G$54,'Progetto del paramento slu'!$G$53)*IF(M2000&lt;0,-1,1)</f>
        <v>0</v>
      </c>
      <c r="T2000" s="553">
        <f>'Foglio deposito bis'!$F$81*IF(ABS(N2000)&lt;'Progetto del paramento slu'!$G$58,ABS(N2000)*'Progetto del paramento slu'!$G$54,'Progetto del paramento slu'!$G$53)*IF(N2000&lt;0,-1,1)</f>
        <v>398299.31208121032</v>
      </c>
      <c r="U2000" s="553">
        <f>'Foglio deposito bis'!$F$82*IF(ABS(O2000)&lt;'Progetto del paramento slu'!$G$58,ABS(O2000)*'Progetto del paramento slu'!$G$54,'Progetto del paramento slu'!$G$53)*IF(O2000&lt;0,-1,1)</f>
        <v>892485.49558937876</v>
      </c>
      <c r="V2000" s="479">
        <f t="shared" si="150"/>
        <v>1412976.2729955581</v>
      </c>
      <c r="W2000" s="559"/>
      <c r="X2000" s="559"/>
    </row>
    <row r="2001" spans="1:24" x14ac:dyDescent="0.25">
      <c r="A2001" s="553">
        <f t="shared" si="149"/>
        <v>1410115.0554745533</v>
      </c>
      <c r="B2001" s="3">
        <f t="shared" si="151"/>
        <v>0.6</v>
      </c>
      <c r="C2001" s="553">
        <f>'Foglio deposito bis'!$E$161/sezione!$B$247*B2001</f>
        <v>2.4357887477880715</v>
      </c>
      <c r="D2001" s="611">
        <f>-'Progetto del paramento slu'!$G$47*'Progetto del paramento slu'!$G$41*IF(DATI!$G$218="dx",DATI!$E$61,DATI!$E$64*DATI!$E$63)*1000*C2001^2*sezione!$AD$5*(1-sezione!$AD$6)</f>
        <v>-48841.004670005248</v>
      </c>
      <c r="E2001" s="553">
        <f>-'Foglio deposito bis'!$F$78*(C2001-sezione!$AL$35)*IF(ABS(K2001)&lt;'Progetto del paramento slu'!$G$58,ABS(K2001)*'Progetto del paramento slu'!$G$54,'Progetto del paramento slu'!$G$53)</f>
        <v>0</v>
      </c>
      <c r="F2001" s="553">
        <f>-'Foglio deposito bis'!$F$79*(C2001-sezione!$AM$35)*IF(ABS(L2001)&lt;'Progetto del paramento slu'!$G$58,ABS(L2001)*'Progetto del paramento slu'!$G$54,'Progetto del paramento slu'!$G$53)</f>
        <v>22675433.576220062</v>
      </c>
      <c r="G2001" s="553">
        <f>-'Foglio deposito bis'!$F$80*(C2001-sezione!$AN$35)*IF(ABS(M2001)&lt;'Progetto del paramento slu'!$G$58,ABS(M2001)*'Progetto del paramento slu'!$G$54,'Progetto del paramento slu'!$G$53)</f>
        <v>0</v>
      </c>
      <c r="H2001" s="553">
        <f>-'Foglio deposito bis'!$F$81*(C2001-sezione!$AO$35)*IF(ABS(N2001)&lt;'Progetto del paramento slu'!$G$58,ABS(N2001)*'Progetto del paramento slu'!$G$54,'Progetto del paramento slu'!$G$53)</f>
        <v>134451593.12499237</v>
      </c>
      <c r="I2001" s="479">
        <f>-'Foglio deposito bis'!$F$82*(C2001-sezione!$AP$35)*IF(ABS(O2001)&lt;'Progetto del paramento slu'!$G$58,ABS(O2001)*'Progetto del paramento slu'!$G$54,'Progetto del paramento slu'!$G$53)</f>
        <v>229879445.44629973</v>
      </c>
      <c r="J2001" s="479">
        <f t="shared" si="147"/>
        <v>386957631.14284217</v>
      </c>
      <c r="K2001" s="558">
        <f>'Progetto del paramento slu'!$G$60*(sezione!$AL$35-C2001)/C2001</f>
        <v>5.3976248762185694E-2</v>
      </c>
      <c r="L2001" s="558">
        <f>'Progetto del paramento slu'!$G$60*(sezione!$AM$35-C2001)/C2001</f>
        <v>0.21203593285819636</v>
      </c>
      <c r="M2001" s="559">
        <f>'Progetto del paramento slu'!$G$60*(sezione!$AN$35-C2001)/C2001</f>
        <v>0.37009561695420701</v>
      </c>
      <c r="N2001" s="559">
        <f>'Progetto del paramento slu'!$G$60*(sezione!$AO$35-C2001)/C2001</f>
        <v>0.48504811447857848</v>
      </c>
      <c r="O2001" s="559">
        <f>'Progetto del paramento slu'!$G$60*(sezione!$AP$35-C2001)/C2001</f>
        <v>0.37010708457114727</v>
      </c>
      <c r="P2001" s="553">
        <f>-'Progetto del paramento slu'!$G$47*'Progetto del paramento slu'!$G$41*IF(DATI!$G$218="dx",DATI!$E$61,DATI!$E$64*DATI!$E$63)*1000*C2001*sezione!$AD$5</f>
        <v>-34334.610252058403</v>
      </c>
      <c r="Q2001" s="553">
        <f>'Foglio deposito bis'!$F$78*IF(ABS(K2001)&lt;'Progetto del paramento slu'!$G$58,ABS(K2001)*'Progetto del paramento slu'!$G$54,'Progetto del paramento slu'!$G$53)*IF(K2001&lt;0,-1,1)</f>
        <v>0</v>
      </c>
      <c r="R2001" s="553">
        <f>'Foglio deposito bis'!$F$79*IF(ABS(L2001)&lt;'Progetto del paramento slu'!$G$58,ABS(L2001)*'Progetto del paramento slu'!$G$54,'Progetto del paramento slu'!$G$53)*IF(L2001&lt;0,-1,1)</f>
        <v>153664.85805602249</v>
      </c>
      <c r="S2001" s="553">
        <f>'Foglio deposito bis'!$F$80*IF(ABS(M2001)&lt;'Progetto del paramento slu'!$G$58,ABS(M2001)*'Progetto del paramento slu'!$G$54,'Progetto del paramento slu'!$G$53)*IF(M2001&lt;0,-1,1)</f>
        <v>0</v>
      </c>
      <c r="T2001" s="553">
        <f>'Foglio deposito bis'!$F$81*IF(ABS(N2001)&lt;'Progetto del paramento slu'!$G$58,ABS(N2001)*'Progetto del paramento slu'!$G$54,'Progetto del paramento slu'!$G$53)*IF(N2001&lt;0,-1,1)</f>
        <v>398299.31208121032</v>
      </c>
      <c r="U2001" s="553">
        <f>'Foglio deposito bis'!$F$82*IF(ABS(O2001)&lt;'Progetto del paramento slu'!$G$58,ABS(O2001)*'Progetto del paramento slu'!$G$54,'Progetto del paramento slu'!$G$53)*IF(O2001&lt;0,-1,1)</f>
        <v>892485.49558937876</v>
      </c>
      <c r="V2001" s="479">
        <f t="shared" si="150"/>
        <v>1410115.0554745533</v>
      </c>
      <c r="W2001" s="559"/>
      <c r="X2001" s="559"/>
    </row>
    <row r="2002" spans="1:24" x14ac:dyDescent="0.25">
      <c r="A2002" s="553">
        <f t="shared" si="149"/>
        <v>1407253.8379535484</v>
      </c>
      <c r="B2002" s="3">
        <f t="shared" si="151"/>
        <v>0.65</v>
      </c>
      <c r="C2002" s="553">
        <f>'Foglio deposito bis'!$E$161/sezione!$B$247*B2002</f>
        <v>2.6387711434370775</v>
      </c>
      <c r="D2002" s="611">
        <f>-'Progetto del paramento slu'!$G$47*'Progetto del paramento slu'!$G$41*IF(DATI!$G$218="dx",DATI!$E$61,DATI!$E$64*DATI!$E$63)*1000*C2002^2*sezione!$AD$5*(1-sezione!$AD$6)</f>
        <v>-57320.345758547832</v>
      </c>
      <c r="E2002" s="553">
        <f>-'Foglio deposito bis'!$F$78*(C2002-sezione!$AL$35)*IF(ABS(K2002)&lt;'Progetto del paramento slu'!$G$58,ABS(K2002)*'Progetto del paramento slu'!$G$54,'Progetto del paramento slu'!$G$53)</f>
        <v>0</v>
      </c>
      <c r="F2002" s="553">
        <f>-'Foglio deposito bis'!$F$79*(C2002-sezione!$AM$35)*IF(ABS(L2002)&lt;'Progetto del paramento slu'!$G$58,ABS(L2002)*'Progetto del paramento slu'!$G$54,'Progetto del paramento slu'!$G$53)</f>
        <v>22644242.315204788</v>
      </c>
      <c r="G2002" s="553">
        <f>-'Foglio deposito bis'!$F$80*(C2002-sezione!$AN$35)*IF(ABS(M2002)&lt;'Progetto del paramento slu'!$G$58,ABS(M2002)*'Progetto del paramento slu'!$G$54,'Progetto del paramento slu'!$G$53)</f>
        <v>0</v>
      </c>
      <c r="H2002" s="553">
        <f>-'Foglio deposito bis'!$F$81*(C2002-sezione!$AO$35)*IF(ABS(N2002)&lt;'Progetto del paramento slu'!$G$58,ABS(N2002)*'Progetto del paramento slu'!$G$54,'Progetto del paramento slu'!$G$53)</f>
        <v>134370745.37644079</v>
      </c>
      <c r="I2002" s="479">
        <f>-'Foglio deposito bis'!$F$82*(C2002-sezione!$AP$35)*IF(ABS(O2002)&lt;'Progetto del paramento slu'!$G$58,ABS(O2002)*'Progetto del paramento slu'!$G$54,'Progetto del paramento slu'!$G$53)</f>
        <v>229698286.60232306</v>
      </c>
      <c r="J2002" s="479">
        <f t="shared" si="147"/>
        <v>386655953.94821012</v>
      </c>
      <c r="K2002" s="558">
        <f>'Progetto del paramento slu'!$G$60*(sezione!$AL$35-C2002)/C2002</f>
        <v>4.9554998857402187E-2</v>
      </c>
      <c r="L2002" s="558">
        <f>'Progetto del paramento slu'!$G$60*(sezione!$AM$35-C2002)/C2002</f>
        <v>0.19545624571525819</v>
      </c>
      <c r="M2002" s="559">
        <f>'Progetto del paramento slu'!$G$60*(sezione!$AN$35-C2002)/C2002</f>
        <v>0.34135749257311421</v>
      </c>
      <c r="N2002" s="559">
        <f>'Progetto del paramento slu'!$G$60*(sezione!$AO$35-C2002)/C2002</f>
        <v>0.44746749028791855</v>
      </c>
      <c r="O2002" s="559">
        <f>'Progetto del paramento slu'!$G$60*(sezione!$AP$35-C2002)/C2002</f>
        <v>0.34136807806567449</v>
      </c>
      <c r="P2002" s="553">
        <f>-'Progetto del paramento slu'!$G$47*'Progetto del paramento slu'!$G$41*IF(DATI!$G$218="dx",DATI!$E$61,DATI!$E$64*DATI!$E$63)*1000*C2002*sezione!$AD$5</f>
        <v>-37195.827773063269</v>
      </c>
      <c r="Q2002" s="553">
        <f>'Foglio deposito bis'!$F$78*IF(ABS(K2002)&lt;'Progetto del paramento slu'!$G$58,ABS(K2002)*'Progetto del paramento slu'!$G$54,'Progetto del paramento slu'!$G$53)*IF(K2002&lt;0,-1,1)</f>
        <v>0</v>
      </c>
      <c r="R2002" s="553">
        <f>'Foglio deposito bis'!$F$79*IF(ABS(L2002)&lt;'Progetto del paramento slu'!$G$58,ABS(L2002)*'Progetto del paramento slu'!$G$54,'Progetto del paramento slu'!$G$53)*IF(L2002&lt;0,-1,1)</f>
        <v>153664.85805602249</v>
      </c>
      <c r="S2002" s="553">
        <f>'Foglio deposito bis'!$F$80*IF(ABS(M2002)&lt;'Progetto del paramento slu'!$G$58,ABS(M2002)*'Progetto del paramento slu'!$G$54,'Progetto del paramento slu'!$G$53)*IF(M2002&lt;0,-1,1)</f>
        <v>0</v>
      </c>
      <c r="T2002" s="553">
        <f>'Foglio deposito bis'!$F$81*IF(ABS(N2002)&lt;'Progetto del paramento slu'!$G$58,ABS(N2002)*'Progetto del paramento slu'!$G$54,'Progetto del paramento slu'!$G$53)*IF(N2002&lt;0,-1,1)</f>
        <v>398299.31208121032</v>
      </c>
      <c r="U2002" s="553">
        <f>'Foglio deposito bis'!$F$82*IF(ABS(O2002)&lt;'Progetto del paramento slu'!$G$58,ABS(O2002)*'Progetto del paramento slu'!$G$54,'Progetto del paramento slu'!$G$53)*IF(O2002&lt;0,-1,1)</f>
        <v>892485.49558937876</v>
      </c>
      <c r="V2002" s="479">
        <f t="shared" si="150"/>
        <v>1407253.8379535484</v>
      </c>
      <c r="W2002" s="559"/>
      <c r="X2002" s="559"/>
    </row>
    <row r="2003" spans="1:24" x14ac:dyDescent="0.25">
      <c r="A2003" s="553">
        <f t="shared" si="149"/>
        <v>1404392.6204325436</v>
      </c>
      <c r="B2003" s="3">
        <f t="shared" si="151"/>
        <v>0.70000000000000007</v>
      </c>
      <c r="C2003" s="553">
        <f>'Foglio deposito bis'!$E$161/sezione!$B$247*B2003</f>
        <v>2.8417535390860835</v>
      </c>
      <c r="D2003" s="611">
        <f>-'Progetto del paramento slu'!$G$47*'Progetto del paramento slu'!$G$41*IF(DATI!$G$218="dx",DATI!$E$61,DATI!$E$64*DATI!$E$63)*1000*C2003^2*sezione!$AD$5*(1-sezione!$AD$6)</f>
        <v>-66478.034134173809</v>
      </c>
      <c r="E2003" s="553">
        <f>-'Foglio deposito bis'!$F$78*(C2003-sezione!$AL$35)*IF(ABS(K2003)&lt;'Progetto del paramento slu'!$G$58,ABS(K2003)*'Progetto del paramento slu'!$G$54,'Progetto del paramento slu'!$G$53)</f>
        <v>0</v>
      </c>
      <c r="F2003" s="553">
        <f>-'Foglio deposito bis'!$F$79*(C2003-sezione!$AM$35)*IF(ABS(L2003)&lt;'Progetto del paramento slu'!$G$58,ABS(L2003)*'Progetto del paramento slu'!$G$54,'Progetto del paramento slu'!$G$53)</f>
        <v>22613051.054189511</v>
      </c>
      <c r="G2003" s="553">
        <f>-'Foglio deposito bis'!$F$80*(C2003-sezione!$AN$35)*IF(ABS(M2003)&lt;'Progetto del paramento slu'!$G$58,ABS(M2003)*'Progetto del paramento slu'!$G$54,'Progetto del paramento slu'!$G$53)</f>
        <v>0</v>
      </c>
      <c r="H2003" s="553">
        <f>-'Foglio deposito bis'!$F$81*(C2003-sezione!$AO$35)*IF(ABS(N2003)&lt;'Progetto del paramento slu'!$G$58,ABS(N2003)*'Progetto del paramento slu'!$G$54,'Progetto del paramento slu'!$G$53)</f>
        <v>134289897.62788919</v>
      </c>
      <c r="I2003" s="479">
        <f>-'Foglio deposito bis'!$F$82*(C2003-sezione!$AP$35)*IF(ABS(O2003)&lt;'Progetto del paramento slu'!$G$58,ABS(O2003)*'Progetto del paramento slu'!$G$54,'Progetto del paramento slu'!$G$53)</f>
        <v>229517127.75834632</v>
      </c>
      <c r="J2003" s="479">
        <f t="shared" si="147"/>
        <v>386353598.40629083</v>
      </c>
      <c r="K2003" s="558">
        <f>'Progetto del paramento slu'!$G$60*(sezione!$AL$35-C2003)/C2003</f>
        <v>4.5765356081873453E-2</v>
      </c>
      <c r="L2003" s="558">
        <f>'Progetto del paramento slu'!$G$60*(sezione!$AM$35-C2003)/C2003</f>
        <v>0.18124508530702546</v>
      </c>
      <c r="M2003" s="559">
        <f>'Progetto del paramento slu'!$G$60*(sezione!$AN$35-C2003)/C2003</f>
        <v>0.31672481453217749</v>
      </c>
      <c r="N2003" s="559">
        <f>'Progetto del paramento slu'!$G$60*(sezione!$AO$35-C2003)/C2003</f>
        <v>0.41525552669592436</v>
      </c>
      <c r="O2003" s="559">
        <f>'Progetto del paramento slu'!$G$60*(sezione!$AP$35-C2003)/C2003</f>
        <v>0.31673464391812628</v>
      </c>
      <c r="P2003" s="553">
        <f>-'Progetto del paramento slu'!$G$47*'Progetto del paramento slu'!$G$41*IF(DATI!$G$218="dx",DATI!$E$61,DATI!$E$64*DATI!$E$63)*1000*C2003*sezione!$AD$5</f>
        <v>-40057.045294068135</v>
      </c>
      <c r="Q2003" s="553">
        <f>'Foglio deposito bis'!$F$78*IF(ABS(K2003)&lt;'Progetto del paramento slu'!$G$58,ABS(K2003)*'Progetto del paramento slu'!$G$54,'Progetto del paramento slu'!$G$53)*IF(K2003&lt;0,-1,1)</f>
        <v>0</v>
      </c>
      <c r="R2003" s="553">
        <f>'Foglio deposito bis'!$F$79*IF(ABS(L2003)&lt;'Progetto del paramento slu'!$G$58,ABS(L2003)*'Progetto del paramento slu'!$G$54,'Progetto del paramento slu'!$G$53)*IF(L2003&lt;0,-1,1)</f>
        <v>153664.85805602249</v>
      </c>
      <c r="S2003" s="553">
        <f>'Foglio deposito bis'!$F$80*IF(ABS(M2003)&lt;'Progetto del paramento slu'!$G$58,ABS(M2003)*'Progetto del paramento slu'!$G$54,'Progetto del paramento slu'!$G$53)*IF(M2003&lt;0,-1,1)</f>
        <v>0</v>
      </c>
      <c r="T2003" s="553">
        <f>'Foglio deposito bis'!$F$81*IF(ABS(N2003)&lt;'Progetto del paramento slu'!$G$58,ABS(N2003)*'Progetto del paramento slu'!$G$54,'Progetto del paramento slu'!$G$53)*IF(N2003&lt;0,-1,1)</f>
        <v>398299.31208121032</v>
      </c>
      <c r="U2003" s="553">
        <f>'Foglio deposito bis'!$F$82*IF(ABS(O2003)&lt;'Progetto del paramento slu'!$G$58,ABS(O2003)*'Progetto del paramento slu'!$G$54,'Progetto del paramento slu'!$G$53)*IF(O2003&lt;0,-1,1)</f>
        <v>892485.49558937876</v>
      </c>
      <c r="V2003" s="479">
        <f t="shared" si="150"/>
        <v>1404392.6204325436</v>
      </c>
      <c r="W2003" s="559"/>
      <c r="X2003" s="559"/>
    </row>
    <row r="2004" spans="1:24" x14ac:dyDescent="0.25">
      <c r="A2004" s="553">
        <f t="shared" si="149"/>
        <v>1401531.4029115385</v>
      </c>
      <c r="B2004" s="3">
        <f t="shared" si="151"/>
        <v>0.75000000000000011</v>
      </c>
      <c r="C2004" s="553">
        <f>'Foglio deposito bis'!$E$161/sezione!$B$247*B2004</f>
        <v>3.04473593473509</v>
      </c>
      <c r="D2004" s="611">
        <f>-'Progetto del paramento slu'!$G$47*'Progetto del paramento slu'!$G$41*IF(DATI!$G$218="dx",DATI!$E$61,DATI!$E$64*DATI!$E$63)*1000*C2004^2*sezione!$AD$5*(1-sezione!$AD$6)</f>
        <v>-76314.069796883239</v>
      </c>
      <c r="E2004" s="553">
        <f>-'Foglio deposito bis'!$F$78*(C2004-sezione!$AL$35)*IF(ABS(K2004)&lt;'Progetto del paramento slu'!$G$58,ABS(K2004)*'Progetto del paramento slu'!$G$54,'Progetto del paramento slu'!$G$53)</f>
        <v>0</v>
      </c>
      <c r="F2004" s="553">
        <f>-'Foglio deposito bis'!$F$79*(C2004-sezione!$AM$35)*IF(ABS(L2004)&lt;'Progetto del paramento slu'!$G$58,ABS(L2004)*'Progetto del paramento slu'!$G$54,'Progetto del paramento slu'!$G$53)</f>
        <v>22581859.793174237</v>
      </c>
      <c r="G2004" s="553">
        <f>-'Foglio deposito bis'!$F$80*(C2004-sezione!$AN$35)*IF(ABS(M2004)&lt;'Progetto del paramento slu'!$G$58,ABS(M2004)*'Progetto del paramento slu'!$G$54,'Progetto del paramento slu'!$G$53)</f>
        <v>0</v>
      </c>
      <c r="H2004" s="553">
        <f>-'Foglio deposito bis'!$F$81*(C2004-sezione!$AO$35)*IF(ABS(N2004)&lt;'Progetto del paramento slu'!$G$58,ABS(N2004)*'Progetto del paramento slu'!$G$54,'Progetto del paramento slu'!$G$53)</f>
        <v>134209049.87933758</v>
      </c>
      <c r="I2004" s="479">
        <f>-'Foglio deposito bis'!$F$82*(C2004-sezione!$AP$35)*IF(ABS(O2004)&lt;'Progetto del paramento slu'!$G$58,ABS(O2004)*'Progetto del paramento slu'!$G$54,'Progetto del paramento slu'!$G$53)</f>
        <v>229335968.91436958</v>
      </c>
      <c r="J2004" s="479">
        <f t="shared" si="147"/>
        <v>386050564.51708448</v>
      </c>
      <c r="K2004" s="558">
        <f>'Progetto del paramento slu'!$G$60*(sezione!$AL$35-C2004)/C2004</f>
        <v>4.2480999009748555E-2</v>
      </c>
      <c r="L2004" s="558">
        <f>'Progetto del paramento slu'!$G$60*(sezione!$AM$35-C2004)/C2004</f>
        <v>0.16892874628655705</v>
      </c>
      <c r="M2004" s="559">
        <f>'Progetto del paramento slu'!$G$60*(sezione!$AN$35-C2004)/C2004</f>
        <v>0.29537649356336559</v>
      </c>
      <c r="N2004" s="559">
        <f>'Progetto del paramento slu'!$G$60*(sezione!$AO$35-C2004)/C2004</f>
        <v>0.38733849158286265</v>
      </c>
      <c r="O2004" s="559">
        <f>'Progetto del paramento slu'!$G$60*(sezione!$AP$35-C2004)/C2004</f>
        <v>0.29538566765691776</v>
      </c>
      <c r="P2004" s="553">
        <f>-'Progetto del paramento slu'!$G$47*'Progetto del paramento slu'!$G$41*IF(DATI!$G$218="dx",DATI!$E$61,DATI!$E$64*DATI!$E$63)*1000*C2004*sezione!$AD$5</f>
        <v>-42918.262815073009</v>
      </c>
      <c r="Q2004" s="553">
        <f>'Foglio deposito bis'!$F$78*IF(ABS(K2004)&lt;'Progetto del paramento slu'!$G$58,ABS(K2004)*'Progetto del paramento slu'!$G$54,'Progetto del paramento slu'!$G$53)*IF(K2004&lt;0,-1,1)</f>
        <v>0</v>
      </c>
      <c r="R2004" s="553">
        <f>'Foglio deposito bis'!$F$79*IF(ABS(L2004)&lt;'Progetto del paramento slu'!$G$58,ABS(L2004)*'Progetto del paramento slu'!$G$54,'Progetto del paramento slu'!$G$53)*IF(L2004&lt;0,-1,1)</f>
        <v>153664.85805602249</v>
      </c>
      <c r="S2004" s="553">
        <f>'Foglio deposito bis'!$F$80*IF(ABS(M2004)&lt;'Progetto del paramento slu'!$G$58,ABS(M2004)*'Progetto del paramento slu'!$G$54,'Progetto del paramento slu'!$G$53)*IF(M2004&lt;0,-1,1)</f>
        <v>0</v>
      </c>
      <c r="T2004" s="553">
        <f>'Foglio deposito bis'!$F$81*IF(ABS(N2004)&lt;'Progetto del paramento slu'!$G$58,ABS(N2004)*'Progetto del paramento slu'!$G$54,'Progetto del paramento slu'!$G$53)*IF(N2004&lt;0,-1,1)</f>
        <v>398299.31208121032</v>
      </c>
      <c r="U2004" s="553">
        <f>'Foglio deposito bis'!$F$82*IF(ABS(O2004)&lt;'Progetto del paramento slu'!$G$58,ABS(O2004)*'Progetto del paramento slu'!$G$54,'Progetto del paramento slu'!$G$53)*IF(O2004&lt;0,-1,1)</f>
        <v>892485.49558937876</v>
      </c>
      <c r="V2004" s="479">
        <f t="shared" si="150"/>
        <v>1401531.4029115385</v>
      </c>
      <c r="W2004" s="559"/>
      <c r="X2004" s="559"/>
    </row>
    <row r="2005" spans="1:24" x14ac:dyDescent="0.25">
      <c r="A2005" s="553">
        <f t="shared" si="149"/>
        <v>1398670.1853905336</v>
      </c>
      <c r="B2005" s="3">
        <f t="shared" si="151"/>
        <v>0.80000000000000016</v>
      </c>
      <c r="C2005" s="553">
        <f>'Foglio deposito bis'!$E$161/sezione!$B$247*B2005</f>
        <v>3.247718330384096</v>
      </c>
      <c r="D2005" s="611">
        <f>-'Progetto del paramento slu'!$G$47*'Progetto del paramento slu'!$G$41*IF(DATI!$G$218="dx",DATI!$E$61,DATI!$E$64*DATI!$E$63)*1000*C2005^2*sezione!$AD$5*(1-sezione!$AD$6)</f>
        <v>-86828.452746676034</v>
      </c>
      <c r="E2005" s="553">
        <f>-'Foglio deposito bis'!$F$78*(C2005-sezione!$AL$35)*IF(ABS(K2005)&lt;'Progetto del paramento slu'!$G$58,ABS(K2005)*'Progetto del paramento slu'!$G$54,'Progetto del paramento slu'!$G$53)</f>
        <v>0</v>
      </c>
      <c r="F2005" s="553">
        <f>-'Foglio deposito bis'!$F$79*(C2005-sezione!$AM$35)*IF(ABS(L2005)&lt;'Progetto del paramento slu'!$G$58,ABS(L2005)*'Progetto del paramento slu'!$G$54,'Progetto del paramento slu'!$G$53)</f>
        <v>22550668.53215896</v>
      </c>
      <c r="G2005" s="553">
        <f>-'Foglio deposito bis'!$F$80*(C2005-sezione!$AN$35)*IF(ABS(M2005)&lt;'Progetto del paramento slu'!$G$58,ABS(M2005)*'Progetto del paramento slu'!$G$54,'Progetto del paramento slu'!$G$53)</f>
        <v>0</v>
      </c>
      <c r="H2005" s="553">
        <f>-'Foglio deposito bis'!$F$81*(C2005-sezione!$AO$35)*IF(ABS(N2005)&lt;'Progetto del paramento slu'!$G$58,ABS(N2005)*'Progetto del paramento slu'!$G$54,'Progetto del paramento slu'!$G$53)</f>
        <v>134128202.13078599</v>
      </c>
      <c r="I2005" s="479">
        <f>-'Foglio deposito bis'!$F$82*(C2005-sezione!$AP$35)*IF(ABS(O2005)&lt;'Progetto del paramento slu'!$G$58,ABS(O2005)*'Progetto del paramento slu'!$G$54,'Progetto del paramento slu'!$G$53)</f>
        <v>229154810.07039285</v>
      </c>
      <c r="J2005" s="479">
        <f t="shared" si="147"/>
        <v>385746852.28059113</v>
      </c>
      <c r="K2005" s="558">
        <f>'Progetto del paramento slu'!$G$60*(sezione!$AL$35-C2005)/C2005</f>
        <v>3.9607186571639273E-2</v>
      </c>
      <c r="L2005" s="558">
        <f>'Progetto del paramento slu'!$G$60*(sezione!$AM$35-C2005)/C2005</f>
        <v>0.15815194964364726</v>
      </c>
      <c r="M2005" s="559">
        <f>'Progetto del paramento slu'!$G$60*(sezione!$AN$35-C2005)/C2005</f>
        <v>0.27669671271565527</v>
      </c>
      <c r="N2005" s="559">
        <f>'Progetto del paramento slu'!$G$60*(sezione!$AO$35-C2005)/C2005</f>
        <v>0.36291108585893378</v>
      </c>
      <c r="O2005" s="559">
        <f>'Progetto del paramento slu'!$G$60*(sezione!$AP$35-C2005)/C2005</f>
        <v>0.27670531342836047</v>
      </c>
      <c r="P2005" s="553">
        <f>-'Progetto del paramento slu'!$G$47*'Progetto del paramento slu'!$G$41*IF(DATI!$G$218="dx",DATI!$E$61,DATI!$E$64*DATI!$E$63)*1000*C2005*sezione!$AD$5</f>
        <v>-45779.480336077875</v>
      </c>
      <c r="Q2005" s="553">
        <f>'Foglio deposito bis'!$F$78*IF(ABS(K2005)&lt;'Progetto del paramento slu'!$G$58,ABS(K2005)*'Progetto del paramento slu'!$G$54,'Progetto del paramento slu'!$G$53)*IF(K2005&lt;0,-1,1)</f>
        <v>0</v>
      </c>
      <c r="R2005" s="553">
        <f>'Foglio deposito bis'!$F$79*IF(ABS(L2005)&lt;'Progetto del paramento slu'!$G$58,ABS(L2005)*'Progetto del paramento slu'!$G$54,'Progetto del paramento slu'!$G$53)*IF(L2005&lt;0,-1,1)</f>
        <v>153664.85805602249</v>
      </c>
      <c r="S2005" s="553">
        <f>'Foglio deposito bis'!$F$80*IF(ABS(M2005)&lt;'Progetto del paramento slu'!$G$58,ABS(M2005)*'Progetto del paramento slu'!$G$54,'Progetto del paramento slu'!$G$53)*IF(M2005&lt;0,-1,1)</f>
        <v>0</v>
      </c>
      <c r="T2005" s="553">
        <f>'Foglio deposito bis'!$F$81*IF(ABS(N2005)&lt;'Progetto del paramento slu'!$G$58,ABS(N2005)*'Progetto del paramento slu'!$G$54,'Progetto del paramento slu'!$G$53)*IF(N2005&lt;0,-1,1)</f>
        <v>398299.31208121032</v>
      </c>
      <c r="U2005" s="553">
        <f>'Foglio deposito bis'!$F$82*IF(ABS(O2005)&lt;'Progetto del paramento slu'!$G$58,ABS(O2005)*'Progetto del paramento slu'!$G$54,'Progetto del paramento slu'!$G$53)*IF(O2005&lt;0,-1,1)</f>
        <v>892485.49558937876</v>
      </c>
      <c r="V2005" s="479">
        <f t="shared" si="150"/>
        <v>1398670.1853905336</v>
      </c>
      <c r="W2005" s="559"/>
      <c r="X2005" s="559"/>
    </row>
    <row r="2006" spans="1:24" x14ac:dyDescent="0.25">
      <c r="A2006" s="553">
        <f t="shared" si="149"/>
        <v>1395808.9678695288</v>
      </c>
      <c r="B2006" s="3">
        <f t="shared" si="151"/>
        <v>0.8500000000000002</v>
      </c>
      <c r="C2006" s="553">
        <f>'Foglio deposito bis'!$E$161/sezione!$B$247*B2006</f>
        <v>3.450700726033102</v>
      </c>
      <c r="D2006" s="611">
        <f>-'Progetto del paramento slu'!$G$47*'Progetto del paramento slu'!$G$41*IF(DATI!$G$218="dx",DATI!$E$61,DATI!$E$64*DATI!$E$63)*1000*C2006^2*sezione!$AD$5*(1-sezione!$AD$6)</f>
        <v>-98021.182983552237</v>
      </c>
      <c r="E2006" s="553">
        <f>-'Foglio deposito bis'!$F$78*(C2006-sezione!$AL$35)*IF(ABS(K2006)&lt;'Progetto del paramento slu'!$G$58,ABS(K2006)*'Progetto del paramento slu'!$G$54,'Progetto del paramento slu'!$G$53)</f>
        <v>0</v>
      </c>
      <c r="F2006" s="553">
        <f>-'Foglio deposito bis'!$F$79*(C2006-sezione!$AM$35)*IF(ABS(L2006)&lt;'Progetto del paramento slu'!$G$58,ABS(L2006)*'Progetto del paramento slu'!$G$54,'Progetto del paramento slu'!$G$53)</f>
        <v>22519477.271143686</v>
      </c>
      <c r="G2006" s="553">
        <f>-'Foglio deposito bis'!$F$80*(C2006-sezione!$AN$35)*IF(ABS(M2006)&lt;'Progetto del paramento slu'!$G$58,ABS(M2006)*'Progetto del paramento slu'!$G$54,'Progetto del paramento slu'!$G$53)</f>
        <v>0</v>
      </c>
      <c r="H2006" s="553">
        <f>-'Foglio deposito bis'!$F$81*(C2006-sezione!$AO$35)*IF(ABS(N2006)&lt;'Progetto del paramento slu'!$G$58,ABS(N2006)*'Progetto del paramento slu'!$G$54,'Progetto del paramento slu'!$G$53)</f>
        <v>134047354.38223438</v>
      </c>
      <c r="I2006" s="479">
        <f>-'Foglio deposito bis'!$F$82*(C2006-sezione!$AP$35)*IF(ABS(O2006)&lt;'Progetto del paramento slu'!$G$58,ABS(O2006)*'Progetto del paramento slu'!$G$54,'Progetto del paramento slu'!$G$53)</f>
        <v>228973651.22641611</v>
      </c>
      <c r="J2006" s="479">
        <f t="shared" si="147"/>
        <v>385442461.6968106</v>
      </c>
      <c r="K2006" s="558">
        <f>'Progetto del paramento slu'!$G$60*(sezione!$AL$35-C2006)/C2006</f>
        <v>3.7071469714484009E-2</v>
      </c>
      <c r="L2006" s="558">
        <f>'Progetto del paramento slu'!$G$60*(sezione!$AM$35-C2006)/C2006</f>
        <v>0.14864301142931508</v>
      </c>
      <c r="M2006" s="559">
        <f>'Progetto del paramento slu'!$G$60*(sezione!$AN$35-C2006)/C2006</f>
        <v>0.2602145531441461</v>
      </c>
      <c r="N2006" s="559">
        <f>'Progetto del paramento slu'!$G$60*(sezione!$AO$35-C2006)/C2006</f>
        <v>0.34135749257311415</v>
      </c>
      <c r="O2006" s="559">
        <f>'Progetto del paramento slu'!$G$60*(sezione!$AP$35-C2006)/C2006</f>
        <v>0.26022264793257449</v>
      </c>
      <c r="P2006" s="553">
        <f>-'Progetto del paramento slu'!$G$47*'Progetto del paramento slu'!$G$41*IF(DATI!$G$218="dx",DATI!$E$61,DATI!$E$64*DATI!$E$63)*1000*C2006*sezione!$AD$5</f>
        <v>-48640.697857082741</v>
      </c>
      <c r="Q2006" s="553">
        <f>'Foglio deposito bis'!$F$78*IF(ABS(K2006)&lt;'Progetto del paramento slu'!$G$58,ABS(K2006)*'Progetto del paramento slu'!$G$54,'Progetto del paramento slu'!$G$53)*IF(K2006&lt;0,-1,1)</f>
        <v>0</v>
      </c>
      <c r="R2006" s="553">
        <f>'Foglio deposito bis'!$F$79*IF(ABS(L2006)&lt;'Progetto del paramento slu'!$G$58,ABS(L2006)*'Progetto del paramento slu'!$G$54,'Progetto del paramento slu'!$G$53)*IF(L2006&lt;0,-1,1)</f>
        <v>153664.85805602249</v>
      </c>
      <c r="S2006" s="553">
        <f>'Foglio deposito bis'!$F$80*IF(ABS(M2006)&lt;'Progetto del paramento slu'!$G$58,ABS(M2006)*'Progetto del paramento slu'!$G$54,'Progetto del paramento slu'!$G$53)*IF(M2006&lt;0,-1,1)</f>
        <v>0</v>
      </c>
      <c r="T2006" s="553">
        <f>'Foglio deposito bis'!$F$81*IF(ABS(N2006)&lt;'Progetto del paramento slu'!$G$58,ABS(N2006)*'Progetto del paramento slu'!$G$54,'Progetto del paramento slu'!$G$53)*IF(N2006&lt;0,-1,1)</f>
        <v>398299.31208121032</v>
      </c>
      <c r="U2006" s="553">
        <f>'Foglio deposito bis'!$F$82*IF(ABS(O2006)&lt;'Progetto del paramento slu'!$G$58,ABS(O2006)*'Progetto del paramento slu'!$G$54,'Progetto del paramento slu'!$G$53)*IF(O2006&lt;0,-1,1)</f>
        <v>892485.49558937876</v>
      </c>
      <c r="V2006" s="479">
        <f t="shared" si="150"/>
        <v>1395808.9678695288</v>
      </c>
      <c r="W2006" s="559"/>
      <c r="X2006" s="559"/>
    </row>
    <row r="2007" spans="1:24" x14ac:dyDescent="0.25">
      <c r="A2007" s="553">
        <f t="shared" si="149"/>
        <v>1392947.750348524</v>
      </c>
      <c r="B2007" s="3">
        <f t="shared" si="151"/>
        <v>0.90000000000000024</v>
      </c>
      <c r="C2007" s="553">
        <f>'Foglio deposito bis'!$E$161/sezione!$B$247*B2007</f>
        <v>3.653683121682108</v>
      </c>
      <c r="D2007" s="611">
        <f>-'Progetto del paramento slu'!$G$47*'Progetto del paramento slu'!$G$41*IF(DATI!$G$218="dx",DATI!$E$61,DATI!$E$64*DATI!$E$63)*1000*C2007^2*sezione!$AD$5*(1-sezione!$AD$6)</f>
        <v>-109892.26050751185</v>
      </c>
      <c r="E2007" s="553">
        <f>-'Foglio deposito bis'!$F$78*(C2007-sezione!$AL$35)*IF(ABS(K2007)&lt;'Progetto del paramento slu'!$G$58,ABS(K2007)*'Progetto del paramento slu'!$G$54,'Progetto del paramento slu'!$G$53)</f>
        <v>0</v>
      </c>
      <c r="F2007" s="553">
        <f>-'Foglio deposito bis'!$F$79*(C2007-sezione!$AM$35)*IF(ABS(L2007)&lt;'Progetto del paramento slu'!$G$58,ABS(L2007)*'Progetto del paramento slu'!$G$54,'Progetto del paramento slu'!$G$53)</f>
        <v>22488286.010128405</v>
      </c>
      <c r="G2007" s="553">
        <f>-'Foglio deposito bis'!$F$80*(C2007-sezione!$AN$35)*IF(ABS(M2007)&lt;'Progetto del paramento slu'!$G$58,ABS(M2007)*'Progetto del paramento slu'!$G$54,'Progetto del paramento slu'!$G$53)</f>
        <v>0</v>
      </c>
      <c r="H2007" s="553">
        <f>-'Foglio deposito bis'!$F$81*(C2007-sezione!$AO$35)*IF(ABS(N2007)&lt;'Progetto del paramento slu'!$G$58,ABS(N2007)*'Progetto del paramento slu'!$G$54,'Progetto del paramento slu'!$G$53)</f>
        <v>133966506.6336828</v>
      </c>
      <c r="I2007" s="479">
        <f>-'Foglio deposito bis'!$F$82*(C2007-sezione!$AP$35)*IF(ABS(O2007)&lt;'Progetto del paramento slu'!$G$58,ABS(O2007)*'Progetto del paramento slu'!$G$54,'Progetto del paramento slu'!$G$53)</f>
        <v>228792492.38243943</v>
      </c>
      <c r="J2007" s="479">
        <f t="shared" si="147"/>
        <v>385137392.76574314</v>
      </c>
      <c r="K2007" s="558">
        <f>'Progetto del paramento slu'!$G$60*(sezione!$AL$35-C2007)/C2007</f>
        <v>3.4817499174790462E-2</v>
      </c>
      <c r="L2007" s="558">
        <f>'Progetto del paramento slu'!$G$60*(sezione!$AM$35-C2007)/C2007</f>
        <v>0.14019062190546422</v>
      </c>
      <c r="M2007" s="559">
        <f>'Progetto del paramento slu'!$G$60*(sezione!$AN$35-C2007)/C2007</f>
        <v>0.24556374463613798</v>
      </c>
      <c r="N2007" s="559">
        <f>'Progetto del paramento slu'!$G$60*(sezione!$AO$35-C2007)/C2007</f>
        <v>0.32219874298571893</v>
      </c>
      <c r="O2007" s="559">
        <f>'Progetto del paramento slu'!$G$60*(sezione!$AP$35-C2007)/C2007</f>
        <v>0.24557138971409817</v>
      </c>
      <c r="P2007" s="553">
        <f>-'Progetto del paramento slu'!$G$47*'Progetto del paramento slu'!$G$41*IF(DATI!$G$218="dx",DATI!$E$61,DATI!$E$64*DATI!$E$63)*1000*C2007*sezione!$AD$5</f>
        <v>-51501.915378087608</v>
      </c>
      <c r="Q2007" s="553">
        <f>'Foglio deposito bis'!$F$78*IF(ABS(K2007)&lt;'Progetto del paramento slu'!$G$58,ABS(K2007)*'Progetto del paramento slu'!$G$54,'Progetto del paramento slu'!$G$53)*IF(K2007&lt;0,-1,1)</f>
        <v>0</v>
      </c>
      <c r="R2007" s="553">
        <f>'Foglio deposito bis'!$F$79*IF(ABS(L2007)&lt;'Progetto del paramento slu'!$G$58,ABS(L2007)*'Progetto del paramento slu'!$G$54,'Progetto del paramento slu'!$G$53)*IF(L2007&lt;0,-1,1)</f>
        <v>153664.85805602249</v>
      </c>
      <c r="S2007" s="553">
        <f>'Foglio deposito bis'!$F$80*IF(ABS(M2007)&lt;'Progetto del paramento slu'!$G$58,ABS(M2007)*'Progetto del paramento slu'!$G$54,'Progetto del paramento slu'!$G$53)*IF(M2007&lt;0,-1,1)</f>
        <v>0</v>
      </c>
      <c r="T2007" s="553">
        <f>'Foglio deposito bis'!$F$81*IF(ABS(N2007)&lt;'Progetto del paramento slu'!$G$58,ABS(N2007)*'Progetto del paramento slu'!$G$54,'Progetto del paramento slu'!$G$53)*IF(N2007&lt;0,-1,1)</f>
        <v>398299.31208121032</v>
      </c>
      <c r="U2007" s="553">
        <f>'Foglio deposito bis'!$F$82*IF(ABS(O2007)&lt;'Progetto del paramento slu'!$G$58,ABS(O2007)*'Progetto del paramento slu'!$G$54,'Progetto del paramento slu'!$G$53)*IF(O2007&lt;0,-1,1)</f>
        <v>892485.49558937876</v>
      </c>
      <c r="V2007" s="479">
        <f t="shared" si="150"/>
        <v>1392947.750348524</v>
      </c>
      <c r="W2007" s="559"/>
      <c r="X2007" s="559"/>
    </row>
    <row r="2008" spans="1:24" x14ac:dyDescent="0.25">
      <c r="A2008" s="553">
        <f t="shared" si="149"/>
        <v>1390086.5328275191</v>
      </c>
      <c r="B2008" s="3">
        <f t="shared" si="151"/>
        <v>0.95000000000000029</v>
      </c>
      <c r="C2008" s="553">
        <f>'Foglio deposito bis'!$E$161/sezione!$B$247*B2008</f>
        <v>3.8566655173311144</v>
      </c>
      <c r="D2008" s="611">
        <f>-'Progetto del paramento slu'!$G$47*'Progetto del paramento slu'!$G$41*IF(DATI!$G$218="dx",DATI!$E$61,DATI!$E$64*DATI!$E$63)*1000*C2008^2*sezione!$AD$5*(1-sezione!$AD$6)</f>
        <v>-122441.68531855491</v>
      </c>
      <c r="E2008" s="553">
        <f>-'Foglio deposito bis'!$F$78*(C2008-sezione!$AL$35)*IF(ABS(K2008)&lt;'Progetto del paramento slu'!$G$58,ABS(K2008)*'Progetto del paramento slu'!$G$54,'Progetto del paramento slu'!$G$53)</f>
        <v>0</v>
      </c>
      <c r="F2008" s="553">
        <f>-'Foglio deposito bis'!$F$79*(C2008-sezione!$AM$35)*IF(ABS(L2008)&lt;'Progetto del paramento slu'!$G$58,ABS(L2008)*'Progetto del paramento slu'!$G$54,'Progetto del paramento slu'!$G$53)</f>
        <v>22457094.749113131</v>
      </c>
      <c r="G2008" s="553">
        <f>-'Foglio deposito bis'!$F$80*(C2008-sezione!$AN$35)*IF(ABS(M2008)&lt;'Progetto del paramento slu'!$G$58,ABS(M2008)*'Progetto del paramento slu'!$G$54,'Progetto del paramento slu'!$G$53)</f>
        <v>0</v>
      </c>
      <c r="H2008" s="553">
        <f>-'Foglio deposito bis'!$F$81*(C2008-sezione!$AO$35)*IF(ABS(N2008)&lt;'Progetto del paramento slu'!$G$58,ABS(N2008)*'Progetto del paramento slu'!$G$54,'Progetto del paramento slu'!$G$53)</f>
        <v>133885658.8851312</v>
      </c>
      <c r="I2008" s="479">
        <f>-'Foglio deposito bis'!$F$82*(C2008-sezione!$AP$35)*IF(ABS(O2008)&lt;'Progetto del paramento slu'!$G$58,ABS(O2008)*'Progetto del paramento slu'!$G$54,'Progetto del paramento slu'!$G$53)</f>
        <v>228611333.5384627</v>
      </c>
      <c r="J2008" s="479">
        <f t="shared" si="147"/>
        <v>384831645.48738849</v>
      </c>
      <c r="K2008" s="558">
        <f>'Progetto del paramento slu'!$G$60*(sezione!$AL$35-C2008)/C2008</f>
        <v>3.2800788691906745E-2</v>
      </c>
      <c r="L2008" s="558">
        <f>'Progetto del paramento slu'!$G$60*(sezione!$AM$35-C2008)/C2008</f>
        <v>0.13262795759465029</v>
      </c>
      <c r="M2008" s="559">
        <f>'Progetto del paramento slu'!$G$60*(sezione!$AN$35-C2008)/C2008</f>
        <v>0.23245512649739383</v>
      </c>
      <c r="N2008" s="559">
        <f>'Progetto del paramento slu'!$G$60*(sezione!$AO$35-C2008)/C2008</f>
        <v>0.30505670388120737</v>
      </c>
      <c r="O2008" s="559">
        <f>'Progetto del paramento slu'!$G$60*(sezione!$AP$35-C2008)/C2008</f>
        <v>0.23246236920282981</v>
      </c>
      <c r="P2008" s="553">
        <f>-'Progetto del paramento slu'!$G$47*'Progetto del paramento slu'!$G$41*IF(DATI!$G$218="dx",DATI!$E$61,DATI!$E$64*DATI!$E$63)*1000*C2008*sezione!$AD$5</f>
        <v>-54363.132899092481</v>
      </c>
      <c r="Q2008" s="553">
        <f>'Foglio deposito bis'!$F$78*IF(ABS(K2008)&lt;'Progetto del paramento slu'!$G$58,ABS(K2008)*'Progetto del paramento slu'!$G$54,'Progetto del paramento slu'!$G$53)*IF(K2008&lt;0,-1,1)</f>
        <v>0</v>
      </c>
      <c r="R2008" s="553">
        <f>'Foglio deposito bis'!$F$79*IF(ABS(L2008)&lt;'Progetto del paramento slu'!$G$58,ABS(L2008)*'Progetto del paramento slu'!$G$54,'Progetto del paramento slu'!$G$53)*IF(L2008&lt;0,-1,1)</f>
        <v>153664.85805602249</v>
      </c>
      <c r="S2008" s="553">
        <f>'Foglio deposito bis'!$F$80*IF(ABS(M2008)&lt;'Progetto del paramento slu'!$G$58,ABS(M2008)*'Progetto del paramento slu'!$G$54,'Progetto del paramento slu'!$G$53)*IF(M2008&lt;0,-1,1)</f>
        <v>0</v>
      </c>
      <c r="T2008" s="553">
        <f>'Foglio deposito bis'!$F$81*IF(ABS(N2008)&lt;'Progetto del paramento slu'!$G$58,ABS(N2008)*'Progetto del paramento slu'!$G$54,'Progetto del paramento slu'!$G$53)*IF(N2008&lt;0,-1,1)</f>
        <v>398299.31208121032</v>
      </c>
      <c r="U2008" s="553">
        <f>'Foglio deposito bis'!$F$82*IF(ABS(O2008)&lt;'Progetto del paramento slu'!$G$58,ABS(O2008)*'Progetto del paramento slu'!$G$54,'Progetto del paramento slu'!$G$53)*IF(O2008&lt;0,-1,1)</f>
        <v>892485.49558937876</v>
      </c>
      <c r="V2008" s="479">
        <f t="shared" si="150"/>
        <v>1390086.5328275191</v>
      </c>
      <c r="W2008" s="559"/>
      <c r="X2008" s="559"/>
    </row>
    <row r="2009" spans="1:24" x14ac:dyDescent="0.25">
      <c r="A2009" s="553">
        <f t="shared" si="149"/>
        <v>1387225.3153065143</v>
      </c>
      <c r="B2009" s="3">
        <f t="shared" si="151"/>
        <v>1.0000000000000002</v>
      </c>
      <c r="C2009" s="553">
        <f>'Foglio deposito bis'!$E$161/sezione!$B$247*B2009</f>
        <v>4.05964791298012</v>
      </c>
      <c r="D2009" s="611">
        <f>-'Progetto del paramento slu'!$G$47*'Progetto del paramento slu'!$G$41*IF(DATI!$G$218="dx",DATI!$E$61,DATI!$E$64*DATI!$E$63)*1000*C2009^2*sezione!$AD$5*(1-sezione!$AD$6)</f>
        <v>-135669.45741668128</v>
      </c>
      <c r="E2009" s="553">
        <f>-'Foglio deposito bis'!$F$78*(C2009-sezione!$AL$35)*IF(ABS(K2009)&lt;'Progetto del paramento slu'!$G$58,ABS(K2009)*'Progetto del paramento slu'!$G$54,'Progetto del paramento slu'!$G$53)</f>
        <v>0</v>
      </c>
      <c r="F2009" s="553">
        <f>-'Foglio deposito bis'!$F$79*(C2009-sezione!$AM$35)*IF(ABS(L2009)&lt;'Progetto del paramento slu'!$G$58,ABS(L2009)*'Progetto del paramento slu'!$G$54,'Progetto del paramento slu'!$G$53)</f>
        <v>22425903.488097858</v>
      </c>
      <c r="G2009" s="553">
        <f>-'Foglio deposito bis'!$F$80*(C2009-sezione!$AN$35)*IF(ABS(M2009)&lt;'Progetto del paramento slu'!$G$58,ABS(M2009)*'Progetto del paramento slu'!$G$54,'Progetto del paramento slu'!$G$53)</f>
        <v>0</v>
      </c>
      <c r="H2009" s="553">
        <f>-'Foglio deposito bis'!$F$81*(C2009-sezione!$AO$35)*IF(ABS(N2009)&lt;'Progetto del paramento slu'!$G$58,ABS(N2009)*'Progetto del paramento slu'!$G$54,'Progetto del paramento slu'!$G$53)</f>
        <v>133804811.13657962</v>
      </c>
      <c r="I2009" s="479">
        <f>-'Foglio deposito bis'!$F$82*(C2009-sezione!$AP$35)*IF(ABS(O2009)&lt;'Progetto del paramento slu'!$G$58,ABS(O2009)*'Progetto del paramento slu'!$G$54,'Progetto del paramento slu'!$G$53)</f>
        <v>228430174.69448596</v>
      </c>
      <c r="J2009" s="479">
        <f t="shared" si="147"/>
        <v>384525219.86174679</v>
      </c>
      <c r="K2009" s="558">
        <f>'Progetto del paramento slu'!$G$60*(sezione!$AL$35-C2009)/C2009</f>
        <v>3.0985749257311415E-2</v>
      </c>
      <c r="L2009" s="558">
        <f>'Progetto del paramento slu'!$G$60*(sezione!$AM$35-C2009)/C2009</f>
        <v>0.12582155971491779</v>
      </c>
      <c r="M2009" s="559">
        <f>'Progetto del paramento slu'!$G$60*(sezione!$AN$35-C2009)/C2009</f>
        <v>0.22065737017252418</v>
      </c>
      <c r="N2009" s="559">
        <f>'Progetto del paramento slu'!$G$60*(sezione!$AO$35-C2009)/C2009</f>
        <v>0.28962886868714705</v>
      </c>
      <c r="O2009" s="559">
        <f>'Progetto del paramento slu'!$G$60*(sezione!$AP$35-C2009)/C2009</f>
        <v>0.22066425074268836</v>
      </c>
      <c r="P2009" s="553">
        <f>-'Progetto del paramento slu'!$G$47*'Progetto del paramento slu'!$G$41*IF(DATI!$G$218="dx",DATI!$E$61,DATI!$E$64*DATI!$E$63)*1000*C2009*sezione!$AD$5</f>
        <v>-57224.35042009734</v>
      </c>
      <c r="Q2009" s="553">
        <f>'Foglio deposito bis'!$F$78*IF(ABS(K2009)&lt;'Progetto del paramento slu'!$G$58,ABS(K2009)*'Progetto del paramento slu'!$G$54,'Progetto del paramento slu'!$G$53)*IF(K2009&lt;0,-1,1)</f>
        <v>0</v>
      </c>
      <c r="R2009" s="553">
        <f>'Foglio deposito bis'!$F$79*IF(ABS(L2009)&lt;'Progetto del paramento slu'!$G$58,ABS(L2009)*'Progetto del paramento slu'!$G$54,'Progetto del paramento slu'!$G$53)*IF(L2009&lt;0,-1,1)</f>
        <v>153664.85805602249</v>
      </c>
      <c r="S2009" s="553">
        <f>'Foglio deposito bis'!$F$80*IF(ABS(M2009)&lt;'Progetto del paramento slu'!$G$58,ABS(M2009)*'Progetto del paramento slu'!$G$54,'Progetto del paramento slu'!$G$53)*IF(M2009&lt;0,-1,1)</f>
        <v>0</v>
      </c>
      <c r="T2009" s="553">
        <f>'Foglio deposito bis'!$F$81*IF(ABS(N2009)&lt;'Progetto del paramento slu'!$G$58,ABS(N2009)*'Progetto del paramento slu'!$G$54,'Progetto del paramento slu'!$G$53)*IF(N2009&lt;0,-1,1)</f>
        <v>398299.31208121032</v>
      </c>
      <c r="U2009" s="553">
        <f>'Foglio deposito bis'!$F$82*IF(ABS(O2009)&lt;'Progetto del paramento slu'!$G$58,ABS(O2009)*'Progetto del paramento slu'!$G$54,'Progetto del paramento slu'!$G$53)*IF(O2009&lt;0,-1,1)</f>
        <v>892485.49558937876</v>
      </c>
      <c r="V2009" s="479">
        <f t="shared" si="150"/>
        <v>1387225.3153065143</v>
      </c>
      <c r="W2009" s="559"/>
      <c r="X2009" s="559"/>
    </row>
    <row r="2010" spans="1:24" x14ac:dyDescent="0.25">
      <c r="A2010" s="553">
        <f t="shared" si="149"/>
        <v>1384364.0977855092</v>
      </c>
      <c r="B2010" s="3">
        <f t="shared" si="151"/>
        <v>1.0500000000000003</v>
      </c>
      <c r="C2010" s="553">
        <f>'Foglio deposito bis'!$E$161/sezione!$B$247*B2010</f>
        <v>4.2626303086291264</v>
      </c>
      <c r="D2010" s="611">
        <f>-'Progetto del paramento slu'!$G$47*'Progetto del paramento slu'!$G$41*IF(DATI!$G$218="dx",DATI!$E$61,DATI!$E$64*DATI!$E$63)*1000*C2010^2*sezione!$AD$5*(1-sezione!$AD$6)</f>
        <v>-149575.57680189115</v>
      </c>
      <c r="E2010" s="553">
        <f>-'Foglio deposito bis'!$F$78*(C2010-sezione!$AL$35)*IF(ABS(K2010)&lt;'Progetto del paramento slu'!$G$58,ABS(K2010)*'Progetto del paramento slu'!$G$54,'Progetto del paramento slu'!$G$53)</f>
        <v>0</v>
      </c>
      <c r="F2010" s="553">
        <f>-'Foglio deposito bis'!$F$79*(C2010-sezione!$AM$35)*IF(ABS(L2010)&lt;'Progetto del paramento slu'!$G$58,ABS(L2010)*'Progetto del paramento slu'!$G$54,'Progetto del paramento slu'!$G$53)</f>
        <v>22394712.22708258</v>
      </c>
      <c r="G2010" s="553">
        <f>-'Foglio deposito bis'!$F$80*(C2010-sezione!$AN$35)*IF(ABS(M2010)&lt;'Progetto del paramento slu'!$G$58,ABS(M2010)*'Progetto del paramento slu'!$G$54,'Progetto del paramento slu'!$G$53)</f>
        <v>0</v>
      </c>
      <c r="H2010" s="553">
        <f>-'Foglio deposito bis'!$F$81*(C2010-sezione!$AO$35)*IF(ABS(N2010)&lt;'Progetto del paramento slu'!$G$58,ABS(N2010)*'Progetto del paramento slu'!$G$54,'Progetto del paramento slu'!$G$53)</f>
        <v>133723963.38802803</v>
      </c>
      <c r="I2010" s="479">
        <f>-'Foglio deposito bis'!$F$82*(C2010-sezione!$AP$35)*IF(ABS(O2010)&lt;'Progetto del paramento slu'!$G$58,ABS(O2010)*'Progetto del paramento slu'!$G$54,'Progetto del paramento slu'!$G$53)</f>
        <v>228249015.85050929</v>
      </c>
      <c r="J2010" s="479">
        <f t="shared" si="147"/>
        <v>384218115.88881803</v>
      </c>
      <c r="K2010" s="558">
        <f>'Progetto del paramento slu'!$G$60*(sezione!$AL$35-C2010)/C2010</f>
        <v>2.9343570721248963E-2</v>
      </c>
      <c r="L2010" s="558">
        <f>'Progetto del paramento slu'!$G$60*(sezione!$AM$35-C2010)/C2010</f>
        <v>0.11966339020468361</v>
      </c>
      <c r="M2010" s="559">
        <f>'Progetto del paramento slu'!$G$60*(sezione!$AN$35-C2010)/C2010</f>
        <v>0.20998320968811826</v>
      </c>
      <c r="N2010" s="559">
        <f>'Progetto del paramento slu'!$G$60*(sezione!$AO$35-C2010)/C2010</f>
        <v>0.27567035113061616</v>
      </c>
      <c r="O2010" s="559">
        <f>'Progetto del paramento slu'!$G$60*(sezione!$AP$35-C2010)/C2010</f>
        <v>0.20998976261208413</v>
      </c>
      <c r="P2010" s="553">
        <f>-'Progetto del paramento slu'!$G$47*'Progetto del paramento slu'!$G$41*IF(DATI!$G$218="dx",DATI!$E$61,DATI!$E$64*DATI!$E$63)*1000*C2010*sezione!$AD$5</f>
        <v>-60085.567941102221</v>
      </c>
      <c r="Q2010" s="553">
        <f>'Foglio deposito bis'!$F$78*IF(ABS(K2010)&lt;'Progetto del paramento slu'!$G$58,ABS(K2010)*'Progetto del paramento slu'!$G$54,'Progetto del paramento slu'!$G$53)*IF(K2010&lt;0,-1,1)</f>
        <v>0</v>
      </c>
      <c r="R2010" s="553">
        <f>'Foglio deposito bis'!$F$79*IF(ABS(L2010)&lt;'Progetto del paramento slu'!$G$58,ABS(L2010)*'Progetto del paramento slu'!$G$54,'Progetto del paramento slu'!$G$53)*IF(L2010&lt;0,-1,1)</f>
        <v>153664.85805602249</v>
      </c>
      <c r="S2010" s="553">
        <f>'Foglio deposito bis'!$F$80*IF(ABS(M2010)&lt;'Progetto del paramento slu'!$G$58,ABS(M2010)*'Progetto del paramento slu'!$G$54,'Progetto del paramento slu'!$G$53)*IF(M2010&lt;0,-1,1)</f>
        <v>0</v>
      </c>
      <c r="T2010" s="553">
        <f>'Foglio deposito bis'!$F$81*IF(ABS(N2010)&lt;'Progetto del paramento slu'!$G$58,ABS(N2010)*'Progetto del paramento slu'!$G$54,'Progetto del paramento slu'!$G$53)*IF(N2010&lt;0,-1,1)</f>
        <v>398299.31208121032</v>
      </c>
      <c r="U2010" s="553">
        <f>'Foglio deposito bis'!$F$82*IF(ABS(O2010)&lt;'Progetto del paramento slu'!$G$58,ABS(O2010)*'Progetto del paramento slu'!$G$54,'Progetto del paramento slu'!$G$53)*IF(O2010&lt;0,-1,1)</f>
        <v>892485.49558937876</v>
      </c>
      <c r="V2010" s="479">
        <f t="shared" si="150"/>
        <v>1384364.0977855092</v>
      </c>
      <c r="W2010" s="559"/>
      <c r="X2010" s="559"/>
    </row>
    <row r="2011" spans="1:24" x14ac:dyDescent="0.25">
      <c r="A2011" s="553">
        <f t="shared" si="149"/>
        <v>1381502.8802645043</v>
      </c>
      <c r="B2011" s="3">
        <f t="shared" si="151"/>
        <v>1.1000000000000003</v>
      </c>
      <c r="C2011" s="553">
        <f>'Foglio deposito bis'!$E$161/sezione!$B$247*B2011</f>
        <v>4.465612704278132</v>
      </c>
      <c r="D2011" s="611">
        <f>-'Progetto del paramento slu'!$G$47*'Progetto del paramento slu'!$G$41*IF(DATI!$G$218="dx",DATI!$E$61,DATI!$E$64*DATI!$E$63)*1000*C2011^2*sezione!$AD$5*(1-sezione!$AD$6)</f>
        <v>-164160.04347418435</v>
      </c>
      <c r="E2011" s="553">
        <f>-'Foglio deposito bis'!$F$78*(C2011-sezione!$AL$35)*IF(ABS(K2011)&lt;'Progetto del paramento slu'!$G$58,ABS(K2011)*'Progetto del paramento slu'!$G$54,'Progetto del paramento slu'!$G$53)</f>
        <v>0</v>
      </c>
      <c r="F2011" s="553">
        <f>-'Foglio deposito bis'!$F$79*(C2011-sezione!$AM$35)*IF(ABS(L2011)&lt;'Progetto del paramento slu'!$G$58,ABS(L2011)*'Progetto del paramento slu'!$G$54,'Progetto del paramento slu'!$G$53)</f>
        <v>22363520.966067303</v>
      </c>
      <c r="G2011" s="553">
        <f>-'Foglio deposito bis'!$F$80*(C2011-sezione!$AN$35)*IF(ABS(M2011)&lt;'Progetto del paramento slu'!$G$58,ABS(M2011)*'Progetto del paramento slu'!$G$54,'Progetto del paramento slu'!$G$53)</f>
        <v>0</v>
      </c>
      <c r="H2011" s="553">
        <f>-'Foglio deposito bis'!$F$81*(C2011-sezione!$AO$35)*IF(ABS(N2011)&lt;'Progetto del paramento slu'!$G$58,ABS(N2011)*'Progetto del paramento slu'!$G$54,'Progetto del paramento slu'!$G$53)</f>
        <v>133643115.63947639</v>
      </c>
      <c r="I2011" s="479">
        <f>-'Foglio deposito bis'!$F$82*(C2011-sezione!$AP$35)*IF(ABS(O2011)&lt;'Progetto del paramento slu'!$G$58,ABS(O2011)*'Progetto del paramento slu'!$G$54,'Progetto del paramento slu'!$G$53)</f>
        <v>228067857.00653255</v>
      </c>
      <c r="J2011" s="479">
        <f t="shared" si="147"/>
        <v>383910333.56860209</v>
      </c>
      <c r="K2011" s="558">
        <f>'Progetto del paramento slu'!$G$60*(sezione!$AL$35-C2011)/C2011</f>
        <v>2.785068114301038E-2</v>
      </c>
      <c r="L2011" s="558">
        <f>'Progetto del paramento slu'!$G$60*(sezione!$AM$35-C2011)/C2011</f>
        <v>0.11406505428628891</v>
      </c>
      <c r="M2011" s="559">
        <f>'Progetto del paramento slu'!$G$60*(sezione!$AN$35-C2011)/C2011</f>
        <v>0.20027942742956745</v>
      </c>
      <c r="N2011" s="559">
        <f>'Progetto del paramento slu'!$G$60*(sezione!$AO$35-C2011)/C2011</f>
        <v>0.26298078971558819</v>
      </c>
      <c r="O2011" s="559">
        <f>'Progetto del paramento slu'!$G$60*(sezione!$AP$35-C2011)/C2011</f>
        <v>0.20028568249335305</v>
      </c>
      <c r="P2011" s="553">
        <f>-'Progetto del paramento slu'!$G$47*'Progetto del paramento slu'!$G$41*IF(DATI!$G$218="dx",DATI!$E$61,DATI!$E$64*DATI!$E$63)*1000*C2011*sezione!$AD$5</f>
        <v>-62946.785462107073</v>
      </c>
      <c r="Q2011" s="553">
        <f>'Foglio deposito bis'!$F$78*IF(ABS(K2011)&lt;'Progetto del paramento slu'!$G$58,ABS(K2011)*'Progetto del paramento slu'!$G$54,'Progetto del paramento slu'!$G$53)*IF(K2011&lt;0,-1,1)</f>
        <v>0</v>
      </c>
      <c r="R2011" s="553">
        <f>'Foglio deposito bis'!$F$79*IF(ABS(L2011)&lt;'Progetto del paramento slu'!$G$58,ABS(L2011)*'Progetto del paramento slu'!$G$54,'Progetto del paramento slu'!$G$53)*IF(L2011&lt;0,-1,1)</f>
        <v>153664.85805602249</v>
      </c>
      <c r="S2011" s="553">
        <f>'Foglio deposito bis'!$F$80*IF(ABS(M2011)&lt;'Progetto del paramento slu'!$G$58,ABS(M2011)*'Progetto del paramento slu'!$G$54,'Progetto del paramento slu'!$G$53)*IF(M2011&lt;0,-1,1)</f>
        <v>0</v>
      </c>
      <c r="T2011" s="553">
        <f>'Foglio deposito bis'!$F$81*IF(ABS(N2011)&lt;'Progetto del paramento slu'!$G$58,ABS(N2011)*'Progetto del paramento slu'!$G$54,'Progetto del paramento slu'!$G$53)*IF(N2011&lt;0,-1,1)</f>
        <v>398299.31208121032</v>
      </c>
      <c r="U2011" s="553">
        <f>'Foglio deposito bis'!$F$82*IF(ABS(O2011)&lt;'Progetto del paramento slu'!$G$58,ABS(O2011)*'Progetto del paramento slu'!$G$54,'Progetto del paramento slu'!$G$53)*IF(O2011&lt;0,-1,1)</f>
        <v>892485.49558937876</v>
      </c>
      <c r="V2011" s="479">
        <f t="shared" si="150"/>
        <v>1381502.8802645043</v>
      </c>
      <c r="W2011" s="559"/>
      <c r="X2011" s="559"/>
    </row>
    <row r="2012" spans="1:24" x14ac:dyDescent="0.25">
      <c r="A2012" s="553">
        <f t="shared" si="149"/>
        <v>1378641.6627434995</v>
      </c>
      <c r="B2012" s="3">
        <f t="shared" si="151"/>
        <v>1.1500000000000004</v>
      </c>
      <c r="C2012" s="553">
        <f>'Foglio deposito bis'!$E$161/sezione!$B$247*B2012</f>
        <v>4.6685950999271384</v>
      </c>
      <c r="D2012" s="611">
        <f>-'Progetto del paramento slu'!$G$47*'Progetto del paramento slu'!$G$41*IF(DATI!$G$218="dx",DATI!$E$61,DATI!$E$64*DATI!$E$63)*1000*C2012^2*sezione!$AD$5*(1-sezione!$AD$6)</f>
        <v>-179422.85743356103</v>
      </c>
      <c r="E2012" s="553">
        <f>-'Foglio deposito bis'!$F$78*(C2012-sezione!$AL$35)*IF(ABS(K2012)&lt;'Progetto del paramento slu'!$G$58,ABS(K2012)*'Progetto del paramento slu'!$G$54,'Progetto del paramento slu'!$G$53)</f>
        <v>0</v>
      </c>
      <c r="F2012" s="553">
        <f>-'Foglio deposito bis'!$F$79*(C2012-sezione!$AM$35)*IF(ABS(L2012)&lt;'Progetto del paramento slu'!$G$58,ABS(L2012)*'Progetto del paramento slu'!$G$54,'Progetto del paramento slu'!$G$53)</f>
        <v>22332329.705052029</v>
      </c>
      <c r="G2012" s="553">
        <f>-'Foglio deposito bis'!$F$80*(C2012-sezione!$AN$35)*IF(ABS(M2012)&lt;'Progetto del paramento slu'!$G$58,ABS(M2012)*'Progetto del paramento slu'!$G$54,'Progetto del paramento slu'!$G$53)</f>
        <v>0</v>
      </c>
      <c r="H2012" s="553">
        <f>-'Foglio deposito bis'!$F$81*(C2012-sezione!$AO$35)*IF(ABS(N2012)&lt;'Progetto del paramento slu'!$G$58,ABS(N2012)*'Progetto del paramento slu'!$G$54,'Progetto del paramento slu'!$G$53)</f>
        <v>133562267.89092481</v>
      </c>
      <c r="I2012" s="479">
        <f>-'Foglio deposito bis'!$F$82*(C2012-sezione!$AP$35)*IF(ABS(O2012)&lt;'Progetto del paramento slu'!$G$58,ABS(O2012)*'Progetto del paramento slu'!$G$54,'Progetto del paramento slu'!$G$53)</f>
        <v>227886698.16255581</v>
      </c>
      <c r="J2012" s="479">
        <f t="shared" si="147"/>
        <v>383601872.90109909</v>
      </c>
      <c r="K2012" s="558">
        <f>'Progetto del paramento slu'!$G$60*(sezione!$AL$35-C2012)/C2012</f>
        <v>2.648760804983601E-2</v>
      </c>
      <c r="L2012" s="558">
        <f>'Progetto del paramento slu'!$G$60*(sezione!$AM$35-C2012)/C2012</f>
        <v>0.10895353018688504</v>
      </c>
      <c r="M2012" s="559">
        <f>'Progetto del paramento slu'!$G$60*(sezione!$AN$35-C2012)/C2012</f>
        <v>0.19141945232393406</v>
      </c>
      <c r="N2012" s="559">
        <f>'Progetto del paramento slu'!$G$60*(sezione!$AO$35-C2012)/C2012</f>
        <v>0.25139466842360608</v>
      </c>
      <c r="O2012" s="559">
        <f>'Progetto del paramento slu'!$G$60*(sezione!$AP$35-C2012)/C2012</f>
        <v>0.19142543542842463</v>
      </c>
      <c r="P2012" s="553">
        <f>-'Progetto del paramento slu'!$G$47*'Progetto del paramento slu'!$G$41*IF(DATI!$G$218="dx",DATI!$E$61,DATI!$E$64*DATI!$E$63)*1000*C2012*sezione!$AD$5</f>
        <v>-65808.002983111961</v>
      </c>
      <c r="Q2012" s="553">
        <f>'Foglio deposito bis'!$F$78*IF(ABS(K2012)&lt;'Progetto del paramento slu'!$G$58,ABS(K2012)*'Progetto del paramento slu'!$G$54,'Progetto del paramento slu'!$G$53)*IF(K2012&lt;0,-1,1)</f>
        <v>0</v>
      </c>
      <c r="R2012" s="553">
        <f>'Foglio deposito bis'!$F$79*IF(ABS(L2012)&lt;'Progetto del paramento slu'!$G$58,ABS(L2012)*'Progetto del paramento slu'!$G$54,'Progetto del paramento slu'!$G$53)*IF(L2012&lt;0,-1,1)</f>
        <v>153664.85805602249</v>
      </c>
      <c r="S2012" s="553">
        <f>'Foglio deposito bis'!$F$80*IF(ABS(M2012)&lt;'Progetto del paramento slu'!$G$58,ABS(M2012)*'Progetto del paramento slu'!$G$54,'Progetto del paramento slu'!$G$53)*IF(M2012&lt;0,-1,1)</f>
        <v>0</v>
      </c>
      <c r="T2012" s="553">
        <f>'Foglio deposito bis'!$F$81*IF(ABS(N2012)&lt;'Progetto del paramento slu'!$G$58,ABS(N2012)*'Progetto del paramento slu'!$G$54,'Progetto del paramento slu'!$G$53)*IF(N2012&lt;0,-1,1)</f>
        <v>398299.31208121032</v>
      </c>
      <c r="U2012" s="553">
        <f>'Foglio deposito bis'!$F$82*IF(ABS(O2012)&lt;'Progetto del paramento slu'!$G$58,ABS(O2012)*'Progetto del paramento slu'!$G$54,'Progetto del paramento slu'!$G$53)*IF(O2012&lt;0,-1,1)</f>
        <v>892485.49558937876</v>
      </c>
      <c r="V2012" s="479">
        <f t="shared" si="150"/>
        <v>1378641.6627434995</v>
      </c>
      <c r="W2012" s="559"/>
      <c r="X2012" s="559"/>
    </row>
    <row r="2013" spans="1:24" x14ac:dyDescent="0.25">
      <c r="A2013" s="553">
        <f t="shared" si="149"/>
        <v>1375780.4452224947</v>
      </c>
      <c r="B2013" s="3">
        <f t="shared" si="151"/>
        <v>1.2000000000000004</v>
      </c>
      <c r="C2013" s="553">
        <f>'Foglio deposito bis'!$E$161/sezione!$B$247*B2013</f>
        <v>4.8715774955761448</v>
      </c>
      <c r="D2013" s="611">
        <f>-'Progetto del paramento slu'!$G$47*'Progetto del paramento slu'!$G$41*IF(DATI!$G$218="dx",DATI!$E$61,DATI!$E$64*DATI!$E$63)*1000*C2013^2*sezione!$AD$5*(1-sezione!$AD$6)</f>
        <v>-195364.01868002114</v>
      </c>
      <c r="E2013" s="553">
        <f>-'Foglio deposito bis'!$F$78*(C2013-sezione!$AL$35)*IF(ABS(K2013)&lt;'Progetto del paramento slu'!$G$58,ABS(K2013)*'Progetto del paramento slu'!$G$54,'Progetto del paramento slu'!$G$53)</f>
        <v>0</v>
      </c>
      <c r="F2013" s="553">
        <f>-'Foglio deposito bis'!$F$79*(C2013-sezione!$AM$35)*IF(ABS(L2013)&lt;'Progetto del paramento slu'!$G$58,ABS(L2013)*'Progetto del paramento slu'!$G$54,'Progetto del paramento slu'!$G$53)</f>
        <v>22301138.444036756</v>
      </c>
      <c r="G2013" s="553">
        <f>-'Foglio deposito bis'!$F$80*(C2013-sezione!$AN$35)*IF(ABS(M2013)&lt;'Progetto del paramento slu'!$G$58,ABS(M2013)*'Progetto del paramento slu'!$G$54,'Progetto del paramento slu'!$G$53)</f>
        <v>0</v>
      </c>
      <c r="H2013" s="553">
        <f>-'Foglio deposito bis'!$F$81*(C2013-sezione!$AO$35)*IF(ABS(N2013)&lt;'Progetto del paramento slu'!$G$58,ABS(N2013)*'Progetto del paramento slu'!$G$54,'Progetto del paramento slu'!$G$53)</f>
        <v>133481420.14237322</v>
      </c>
      <c r="I2013" s="479">
        <f>-'Foglio deposito bis'!$F$82*(C2013-sezione!$AP$35)*IF(ABS(O2013)&lt;'Progetto del paramento slu'!$G$58,ABS(O2013)*'Progetto del paramento slu'!$G$54,'Progetto del paramento slu'!$G$53)</f>
        <v>227705539.31857911</v>
      </c>
      <c r="J2013" s="479">
        <f t="shared" si="147"/>
        <v>383292733.88630903</v>
      </c>
      <c r="K2013" s="558">
        <f>'Progetto del paramento slu'!$G$60*(sezione!$AL$35-C2013)/C2013</f>
        <v>2.5238124381092839E-2</v>
      </c>
      <c r="L2013" s="558">
        <f>'Progetto del paramento slu'!$G$60*(sezione!$AM$35-C2013)/C2013</f>
        <v>0.10426796642909816</v>
      </c>
      <c r="M2013" s="559">
        <f>'Progetto del paramento slu'!$G$60*(sezione!$AN$35-C2013)/C2013</f>
        <v>0.18329780847710347</v>
      </c>
      <c r="N2013" s="559">
        <f>'Progetto del paramento slu'!$G$60*(sezione!$AO$35-C2013)/C2013</f>
        <v>0.24077405723928913</v>
      </c>
      <c r="O2013" s="559">
        <f>'Progetto del paramento slu'!$G$60*(sezione!$AP$35-C2013)/C2013</f>
        <v>0.18330354228557361</v>
      </c>
      <c r="P2013" s="553">
        <f>-'Progetto del paramento slu'!$G$47*'Progetto del paramento slu'!$G$41*IF(DATI!$G$218="dx",DATI!$E$61,DATI!$E$64*DATI!$E$63)*1000*C2013*sezione!$AD$5</f>
        <v>-68669.22050411682</v>
      </c>
      <c r="Q2013" s="553">
        <f>'Foglio deposito bis'!$F$78*IF(ABS(K2013)&lt;'Progetto del paramento slu'!$G$58,ABS(K2013)*'Progetto del paramento slu'!$G$54,'Progetto del paramento slu'!$G$53)*IF(K2013&lt;0,-1,1)</f>
        <v>0</v>
      </c>
      <c r="R2013" s="553">
        <f>'Foglio deposito bis'!$F$79*IF(ABS(L2013)&lt;'Progetto del paramento slu'!$G$58,ABS(L2013)*'Progetto del paramento slu'!$G$54,'Progetto del paramento slu'!$G$53)*IF(L2013&lt;0,-1,1)</f>
        <v>153664.85805602249</v>
      </c>
      <c r="S2013" s="553">
        <f>'Foglio deposito bis'!$F$80*IF(ABS(M2013)&lt;'Progetto del paramento slu'!$G$58,ABS(M2013)*'Progetto del paramento slu'!$G$54,'Progetto del paramento slu'!$G$53)*IF(M2013&lt;0,-1,1)</f>
        <v>0</v>
      </c>
      <c r="T2013" s="553">
        <f>'Foglio deposito bis'!$F$81*IF(ABS(N2013)&lt;'Progetto del paramento slu'!$G$58,ABS(N2013)*'Progetto del paramento slu'!$G$54,'Progetto del paramento slu'!$G$53)*IF(N2013&lt;0,-1,1)</f>
        <v>398299.31208121032</v>
      </c>
      <c r="U2013" s="553">
        <f>'Foglio deposito bis'!$F$82*IF(ABS(O2013)&lt;'Progetto del paramento slu'!$G$58,ABS(O2013)*'Progetto del paramento slu'!$G$54,'Progetto del paramento slu'!$G$53)*IF(O2013&lt;0,-1,1)</f>
        <v>892485.49558937876</v>
      </c>
      <c r="V2013" s="479">
        <f t="shared" si="150"/>
        <v>1375780.4452224947</v>
      </c>
      <c r="W2013" s="559"/>
      <c r="X2013" s="559"/>
    </row>
    <row r="2014" spans="1:24" x14ac:dyDescent="0.25">
      <c r="A2014" s="553">
        <f t="shared" si="149"/>
        <v>1372919.2277014898</v>
      </c>
      <c r="B2014" s="3">
        <f t="shared" si="151"/>
        <v>1.2500000000000004</v>
      </c>
      <c r="C2014" s="553">
        <f>'Foglio deposito bis'!$E$161/sezione!$B$247*B2014</f>
        <v>5.0745598912251504</v>
      </c>
      <c r="D2014" s="611">
        <f>-'Progetto del paramento slu'!$G$47*'Progetto del paramento slu'!$G$41*IF(DATI!$G$218="dx",DATI!$E$61,DATI!$E$64*DATI!$E$63)*1000*C2014^2*sezione!$AD$5*(1-sezione!$AD$6)</f>
        <v>-211983.52721356455</v>
      </c>
      <c r="E2014" s="553">
        <f>-'Foglio deposito bis'!$F$78*(C2014-sezione!$AL$35)*IF(ABS(K2014)&lt;'Progetto del paramento slu'!$G$58,ABS(K2014)*'Progetto del paramento slu'!$G$54,'Progetto del paramento slu'!$G$53)</f>
        <v>0</v>
      </c>
      <c r="F2014" s="553">
        <f>-'Foglio deposito bis'!$F$79*(C2014-sezione!$AM$35)*IF(ABS(L2014)&lt;'Progetto del paramento slu'!$G$58,ABS(L2014)*'Progetto del paramento slu'!$G$54,'Progetto del paramento slu'!$G$53)</f>
        <v>22269947.183021475</v>
      </c>
      <c r="G2014" s="553">
        <f>-'Foglio deposito bis'!$F$80*(C2014-sezione!$AN$35)*IF(ABS(M2014)&lt;'Progetto del paramento slu'!$G$58,ABS(M2014)*'Progetto del paramento slu'!$G$54,'Progetto del paramento slu'!$G$53)</f>
        <v>0</v>
      </c>
      <c r="H2014" s="553">
        <f>-'Foglio deposito bis'!$F$81*(C2014-sezione!$AO$35)*IF(ABS(N2014)&lt;'Progetto del paramento slu'!$G$58,ABS(N2014)*'Progetto del paramento slu'!$G$54,'Progetto del paramento slu'!$G$53)</f>
        <v>133400572.39382164</v>
      </c>
      <c r="I2014" s="479">
        <f>-'Foglio deposito bis'!$F$82*(C2014-sezione!$AP$35)*IF(ABS(O2014)&lt;'Progetto del paramento slu'!$G$58,ABS(O2014)*'Progetto del paramento slu'!$G$54,'Progetto del paramento slu'!$G$53)</f>
        <v>227524380.47460234</v>
      </c>
      <c r="J2014" s="479">
        <f t="shared" si="147"/>
        <v>382982916.52423191</v>
      </c>
      <c r="K2014" s="558">
        <f>'Progetto del paramento slu'!$G$60*(sezione!$AL$35-C2014)/C2014</f>
        <v>2.4088599405849131E-2</v>
      </c>
      <c r="L2014" s="558">
        <f>'Progetto del paramento slu'!$G$60*(sezione!$AM$35-C2014)/C2014</f>
        <v>9.9957247771934238E-2</v>
      </c>
      <c r="M2014" s="559">
        <f>'Progetto del paramento slu'!$G$60*(sezione!$AN$35-C2014)/C2014</f>
        <v>0.17582589613801933</v>
      </c>
      <c r="N2014" s="559">
        <f>'Progetto del paramento slu'!$G$60*(sezione!$AO$35-C2014)/C2014</f>
        <v>0.23100309494971763</v>
      </c>
      <c r="O2014" s="559">
        <f>'Progetto del paramento slu'!$G$60*(sezione!$AP$35-C2014)/C2014</f>
        <v>0.17583140059415064</v>
      </c>
      <c r="P2014" s="553">
        <f>-'Progetto del paramento slu'!$G$47*'Progetto del paramento slu'!$G$41*IF(DATI!$G$218="dx",DATI!$E$61,DATI!$E$64*DATI!$E$63)*1000*C2014*sezione!$AD$5</f>
        <v>-71530.438025121693</v>
      </c>
      <c r="Q2014" s="553">
        <f>'Foglio deposito bis'!$F$78*IF(ABS(K2014)&lt;'Progetto del paramento slu'!$G$58,ABS(K2014)*'Progetto del paramento slu'!$G$54,'Progetto del paramento slu'!$G$53)*IF(K2014&lt;0,-1,1)</f>
        <v>0</v>
      </c>
      <c r="R2014" s="553">
        <f>'Foglio deposito bis'!$F$79*IF(ABS(L2014)&lt;'Progetto del paramento slu'!$G$58,ABS(L2014)*'Progetto del paramento slu'!$G$54,'Progetto del paramento slu'!$G$53)*IF(L2014&lt;0,-1,1)</f>
        <v>153664.85805602249</v>
      </c>
      <c r="S2014" s="553">
        <f>'Foglio deposito bis'!$F$80*IF(ABS(M2014)&lt;'Progetto del paramento slu'!$G$58,ABS(M2014)*'Progetto del paramento slu'!$G$54,'Progetto del paramento slu'!$G$53)*IF(M2014&lt;0,-1,1)</f>
        <v>0</v>
      </c>
      <c r="T2014" s="553">
        <f>'Foglio deposito bis'!$F$81*IF(ABS(N2014)&lt;'Progetto del paramento slu'!$G$58,ABS(N2014)*'Progetto del paramento slu'!$G$54,'Progetto del paramento slu'!$G$53)*IF(N2014&lt;0,-1,1)</f>
        <v>398299.31208121032</v>
      </c>
      <c r="U2014" s="553">
        <f>'Foglio deposito bis'!$F$82*IF(ABS(O2014)&lt;'Progetto del paramento slu'!$G$58,ABS(O2014)*'Progetto del paramento slu'!$G$54,'Progetto del paramento slu'!$G$53)*IF(O2014&lt;0,-1,1)</f>
        <v>892485.49558937876</v>
      </c>
      <c r="V2014" s="479">
        <f t="shared" si="150"/>
        <v>1372919.2277014898</v>
      </c>
      <c r="W2014" s="559"/>
      <c r="X2014" s="559"/>
    </row>
    <row r="2015" spans="1:24" x14ac:dyDescent="0.25">
      <c r="A2015" s="553">
        <f t="shared" si="149"/>
        <v>1370058.010180485</v>
      </c>
      <c r="B2015" s="3">
        <f t="shared" si="151"/>
        <v>1.3000000000000005</v>
      </c>
      <c r="C2015" s="553">
        <f>'Foglio deposito bis'!$E$161/sezione!$B$247*B2015</f>
        <v>5.2775422868741568</v>
      </c>
      <c r="D2015" s="611">
        <f>-'Progetto del paramento slu'!$G$47*'Progetto del paramento slu'!$G$41*IF(DATI!$G$218="dx",DATI!$E$61,DATI!$E$64*DATI!$E$63)*1000*C2015^2*sezione!$AD$5*(1-sezione!$AD$6)</f>
        <v>-229281.3830341915</v>
      </c>
      <c r="E2015" s="553">
        <f>-'Foglio deposito bis'!$F$78*(C2015-sezione!$AL$35)*IF(ABS(K2015)&lt;'Progetto del paramento slu'!$G$58,ABS(K2015)*'Progetto del paramento slu'!$G$54,'Progetto del paramento slu'!$G$53)</f>
        <v>0</v>
      </c>
      <c r="F2015" s="553">
        <f>-'Foglio deposito bis'!$F$79*(C2015-sezione!$AM$35)*IF(ABS(L2015)&lt;'Progetto del paramento slu'!$G$58,ABS(L2015)*'Progetto del paramento slu'!$G$54,'Progetto del paramento slu'!$G$53)</f>
        <v>22238755.922006201</v>
      </c>
      <c r="G2015" s="553">
        <f>-'Foglio deposito bis'!$F$80*(C2015-sezione!$AN$35)*IF(ABS(M2015)&lt;'Progetto del paramento slu'!$G$58,ABS(M2015)*'Progetto del paramento slu'!$G$54,'Progetto del paramento slu'!$G$53)</f>
        <v>0</v>
      </c>
      <c r="H2015" s="553">
        <f>-'Foglio deposito bis'!$F$81*(C2015-sezione!$AO$35)*IF(ABS(N2015)&lt;'Progetto del paramento slu'!$G$58,ABS(N2015)*'Progetto del paramento slu'!$G$54,'Progetto del paramento slu'!$G$53)</f>
        <v>133319724.64527003</v>
      </c>
      <c r="I2015" s="479">
        <f>-'Foglio deposito bis'!$F$82*(C2015-sezione!$AP$35)*IF(ABS(O2015)&lt;'Progetto del paramento slu'!$G$58,ABS(O2015)*'Progetto del paramento slu'!$G$54,'Progetto del paramento slu'!$G$53)</f>
        <v>227343221.63062567</v>
      </c>
      <c r="J2015" s="479">
        <f t="shared" si="147"/>
        <v>382672420.81486773</v>
      </c>
      <c r="K2015" s="558">
        <f>'Progetto del paramento slu'!$G$60*(sezione!$AL$35-C2015)/C2015</f>
        <v>2.3027499428701081E-2</v>
      </c>
      <c r="L2015" s="558">
        <f>'Progetto del paramento slu'!$G$60*(sezione!$AM$35-C2015)/C2015</f>
        <v>9.597812285762905E-2</v>
      </c>
      <c r="M2015" s="559">
        <f>'Progetto del paramento slu'!$G$60*(sezione!$AN$35-C2015)/C2015</f>
        <v>0.16892874628655702</v>
      </c>
      <c r="N2015" s="559">
        <f>'Progetto del paramento slu'!$G$60*(sezione!$AO$35-C2015)/C2015</f>
        <v>0.22198374514395922</v>
      </c>
      <c r="O2015" s="559">
        <f>'Progetto del paramento slu'!$G$60*(sezione!$AP$35-C2015)/C2015</f>
        <v>0.16893403903283716</v>
      </c>
      <c r="P2015" s="553">
        <f>-'Progetto del paramento slu'!$G$47*'Progetto del paramento slu'!$G$41*IF(DATI!$G$218="dx",DATI!$E$61,DATI!$E$64*DATI!$E$63)*1000*C2015*sezione!$AD$5</f>
        <v>-74391.655546126553</v>
      </c>
      <c r="Q2015" s="553">
        <f>'Foglio deposito bis'!$F$78*IF(ABS(K2015)&lt;'Progetto del paramento slu'!$G$58,ABS(K2015)*'Progetto del paramento slu'!$G$54,'Progetto del paramento slu'!$G$53)*IF(K2015&lt;0,-1,1)</f>
        <v>0</v>
      </c>
      <c r="R2015" s="553">
        <f>'Foglio deposito bis'!$F$79*IF(ABS(L2015)&lt;'Progetto del paramento slu'!$G$58,ABS(L2015)*'Progetto del paramento slu'!$G$54,'Progetto del paramento slu'!$G$53)*IF(L2015&lt;0,-1,1)</f>
        <v>153664.85805602249</v>
      </c>
      <c r="S2015" s="553">
        <f>'Foglio deposito bis'!$F$80*IF(ABS(M2015)&lt;'Progetto del paramento slu'!$G$58,ABS(M2015)*'Progetto del paramento slu'!$G$54,'Progetto del paramento slu'!$G$53)*IF(M2015&lt;0,-1,1)</f>
        <v>0</v>
      </c>
      <c r="T2015" s="553">
        <f>'Foglio deposito bis'!$F$81*IF(ABS(N2015)&lt;'Progetto del paramento slu'!$G$58,ABS(N2015)*'Progetto del paramento slu'!$G$54,'Progetto del paramento slu'!$G$53)*IF(N2015&lt;0,-1,1)</f>
        <v>398299.31208121032</v>
      </c>
      <c r="U2015" s="553">
        <f>'Foglio deposito bis'!$F$82*IF(ABS(O2015)&lt;'Progetto del paramento slu'!$G$58,ABS(O2015)*'Progetto del paramento slu'!$G$54,'Progetto del paramento slu'!$G$53)*IF(O2015&lt;0,-1,1)</f>
        <v>892485.49558937876</v>
      </c>
      <c r="V2015" s="479">
        <f t="shared" si="150"/>
        <v>1370058.010180485</v>
      </c>
      <c r="W2015" s="559"/>
      <c r="X2015" s="559"/>
    </row>
    <row r="2016" spans="1:24" x14ac:dyDescent="0.25">
      <c r="A2016" s="553">
        <f t="shared" si="149"/>
        <v>1367196.7926594801</v>
      </c>
      <c r="B2016" s="3">
        <f t="shared" si="151"/>
        <v>1.3500000000000005</v>
      </c>
      <c r="C2016" s="553">
        <f>'Foglio deposito bis'!$E$161/sezione!$B$247*B2016</f>
        <v>5.4805246825231633</v>
      </c>
      <c r="D2016" s="611">
        <f>-'Progetto del paramento slu'!$G$47*'Progetto del paramento slu'!$G$41*IF(DATI!$G$218="dx",DATI!$E$61,DATI!$E$64*DATI!$E$63)*1000*C2016^2*sezione!$AD$5*(1-sezione!$AD$6)</f>
        <v>-247257.58614190179</v>
      </c>
      <c r="E2016" s="553">
        <f>-'Foglio deposito bis'!$F$78*(C2016-sezione!$AL$35)*IF(ABS(K2016)&lt;'Progetto del paramento slu'!$G$58,ABS(K2016)*'Progetto del paramento slu'!$G$54,'Progetto del paramento slu'!$G$53)</f>
        <v>0</v>
      </c>
      <c r="F2016" s="553">
        <f>-'Foglio deposito bis'!$F$79*(C2016-sezione!$AM$35)*IF(ABS(L2016)&lt;'Progetto del paramento slu'!$G$58,ABS(L2016)*'Progetto del paramento slu'!$G$54,'Progetto del paramento slu'!$G$53)</f>
        <v>22207564.660990924</v>
      </c>
      <c r="G2016" s="553">
        <f>-'Foglio deposito bis'!$F$80*(C2016-sezione!$AN$35)*IF(ABS(M2016)&lt;'Progetto del paramento slu'!$G$58,ABS(M2016)*'Progetto del paramento slu'!$G$54,'Progetto del paramento slu'!$G$53)</f>
        <v>0</v>
      </c>
      <c r="H2016" s="553">
        <f>-'Foglio deposito bis'!$F$81*(C2016-sezione!$AO$35)*IF(ABS(N2016)&lt;'Progetto del paramento slu'!$G$58,ABS(N2016)*'Progetto del paramento slu'!$G$54,'Progetto del paramento slu'!$G$53)</f>
        <v>133238876.89671846</v>
      </c>
      <c r="I2016" s="479">
        <f>-'Foglio deposito bis'!$F$82*(C2016-sezione!$AP$35)*IF(ABS(O2016)&lt;'Progetto del paramento slu'!$G$58,ABS(O2016)*'Progetto del paramento slu'!$G$54,'Progetto del paramento slu'!$G$53)</f>
        <v>227162062.78664893</v>
      </c>
      <c r="J2016" s="479">
        <f t="shared" si="147"/>
        <v>382361246.75821638</v>
      </c>
      <c r="K2016" s="558">
        <f>'Progetto del paramento slu'!$G$60*(sezione!$AL$35-C2016)/C2016</f>
        <v>2.2044999449860301E-2</v>
      </c>
      <c r="L2016" s="558">
        <f>'Progetto del paramento slu'!$G$60*(sezione!$AM$35-C2016)/C2016</f>
        <v>9.2293747936976131E-2</v>
      </c>
      <c r="M2016" s="559">
        <f>'Progetto del paramento slu'!$G$60*(sezione!$AN$35-C2016)/C2016</f>
        <v>0.16254249642409196</v>
      </c>
      <c r="N2016" s="559">
        <f>'Progetto del paramento slu'!$G$60*(sezione!$AO$35-C2016)/C2016</f>
        <v>0.21363249532381257</v>
      </c>
      <c r="O2016" s="559">
        <f>'Progetto del paramento slu'!$G$60*(sezione!$AP$35-C2016)/C2016</f>
        <v>0.16254759314273207</v>
      </c>
      <c r="P2016" s="553">
        <f>-'Progetto del paramento slu'!$G$47*'Progetto del paramento slu'!$G$41*IF(DATI!$G$218="dx",DATI!$E$61,DATI!$E$64*DATI!$E$63)*1000*C2016*sezione!$AD$5</f>
        <v>-77252.873067131426</v>
      </c>
      <c r="Q2016" s="553">
        <f>'Foglio deposito bis'!$F$78*IF(ABS(K2016)&lt;'Progetto del paramento slu'!$G$58,ABS(K2016)*'Progetto del paramento slu'!$G$54,'Progetto del paramento slu'!$G$53)*IF(K2016&lt;0,-1,1)</f>
        <v>0</v>
      </c>
      <c r="R2016" s="553">
        <f>'Foglio deposito bis'!$F$79*IF(ABS(L2016)&lt;'Progetto del paramento slu'!$G$58,ABS(L2016)*'Progetto del paramento slu'!$G$54,'Progetto del paramento slu'!$G$53)*IF(L2016&lt;0,-1,1)</f>
        <v>153664.85805602249</v>
      </c>
      <c r="S2016" s="553">
        <f>'Foglio deposito bis'!$F$80*IF(ABS(M2016)&lt;'Progetto del paramento slu'!$G$58,ABS(M2016)*'Progetto del paramento slu'!$G$54,'Progetto del paramento slu'!$G$53)*IF(M2016&lt;0,-1,1)</f>
        <v>0</v>
      </c>
      <c r="T2016" s="553">
        <f>'Foglio deposito bis'!$F$81*IF(ABS(N2016)&lt;'Progetto del paramento slu'!$G$58,ABS(N2016)*'Progetto del paramento slu'!$G$54,'Progetto del paramento slu'!$G$53)*IF(N2016&lt;0,-1,1)</f>
        <v>398299.31208121032</v>
      </c>
      <c r="U2016" s="553">
        <f>'Foglio deposito bis'!$F$82*IF(ABS(O2016)&lt;'Progetto del paramento slu'!$G$58,ABS(O2016)*'Progetto del paramento slu'!$G$54,'Progetto del paramento slu'!$G$53)*IF(O2016&lt;0,-1,1)</f>
        <v>892485.49558937876</v>
      </c>
      <c r="V2016" s="479">
        <f t="shared" si="150"/>
        <v>1367196.7926594801</v>
      </c>
      <c r="W2016" s="559"/>
      <c r="X2016" s="559"/>
    </row>
    <row r="2017" spans="1:24" x14ac:dyDescent="0.25">
      <c r="A2017" s="553">
        <f t="shared" si="149"/>
        <v>1364335.5751384753</v>
      </c>
      <c r="B2017" s="3">
        <f t="shared" si="151"/>
        <v>1.4000000000000006</v>
      </c>
      <c r="C2017" s="553">
        <f>'Foglio deposito bis'!$E$161/sezione!$B$247*B2017</f>
        <v>5.6835070781721688</v>
      </c>
      <c r="D2017" s="611">
        <f>-'Progetto del paramento slu'!$G$47*'Progetto del paramento slu'!$G$41*IF(DATI!$G$218="dx",DATI!$E$61,DATI!$E$64*DATI!$E$63)*1000*C2017^2*sezione!$AD$5*(1-sezione!$AD$6)</f>
        <v>-265912.13653669541</v>
      </c>
      <c r="E2017" s="553">
        <f>-'Foglio deposito bis'!$F$78*(C2017-sezione!$AL$35)*IF(ABS(K2017)&lt;'Progetto del paramento slu'!$G$58,ABS(K2017)*'Progetto del paramento slu'!$G$54,'Progetto del paramento slu'!$G$53)</f>
        <v>0</v>
      </c>
      <c r="F2017" s="553">
        <f>-'Foglio deposito bis'!$F$79*(C2017-sezione!$AM$35)*IF(ABS(L2017)&lt;'Progetto del paramento slu'!$G$58,ABS(L2017)*'Progetto del paramento slu'!$G$54,'Progetto del paramento slu'!$G$53)</f>
        <v>22176373.39997565</v>
      </c>
      <c r="G2017" s="553">
        <f>-'Foglio deposito bis'!$F$80*(C2017-sezione!$AN$35)*IF(ABS(M2017)&lt;'Progetto del paramento slu'!$G$58,ABS(M2017)*'Progetto del paramento slu'!$G$54,'Progetto del paramento slu'!$G$53)</f>
        <v>0</v>
      </c>
      <c r="H2017" s="553">
        <f>-'Foglio deposito bis'!$F$81*(C2017-sezione!$AO$35)*IF(ABS(N2017)&lt;'Progetto del paramento slu'!$G$58,ABS(N2017)*'Progetto del paramento slu'!$G$54,'Progetto del paramento slu'!$G$53)</f>
        <v>133158029.14816684</v>
      </c>
      <c r="I2017" s="479">
        <f>-'Foglio deposito bis'!$F$82*(C2017-sezione!$AP$35)*IF(ABS(O2017)&lt;'Progetto del paramento slu'!$G$58,ABS(O2017)*'Progetto del paramento slu'!$G$54,'Progetto del paramento slu'!$G$53)</f>
        <v>226980903.94267219</v>
      </c>
      <c r="J2017" s="479">
        <f t="shared" si="147"/>
        <v>382049394.35427797</v>
      </c>
      <c r="K2017" s="558">
        <f>'Progetto del paramento slu'!$G$60*(sezione!$AL$35-C2017)/C2017</f>
        <v>2.1132678040936721E-2</v>
      </c>
      <c r="L2017" s="558">
        <f>'Progetto del paramento slu'!$G$60*(sezione!$AM$35-C2017)/C2017</f>
        <v>8.8872542653512715E-2</v>
      </c>
      <c r="M2017" s="559">
        <f>'Progetto del paramento slu'!$G$60*(sezione!$AN$35-C2017)/C2017</f>
        <v>0.15661240726608869</v>
      </c>
      <c r="N2017" s="559">
        <f>'Progetto del paramento slu'!$G$60*(sezione!$AO$35-C2017)/C2017</f>
        <v>0.20587776334796212</v>
      </c>
      <c r="O2017" s="559">
        <f>'Progetto del paramento slu'!$G$60*(sezione!$AP$35-C2017)/C2017</f>
        <v>0.15661732195906308</v>
      </c>
      <c r="P2017" s="553">
        <f>-'Progetto del paramento slu'!$G$47*'Progetto del paramento slu'!$G$41*IF(DATI!$G$218="dx",DATI!$E$61,DATI!$E$64*DATI!$E$63)*1000*C2017*sezione!$AD$5</f>
        <v>-80114.0905881363</v>
      </c>
      <c r="Q2017" s="553">
        <f>'Foglio deposito bis'!$F$78*IF(ABS(K2017)&lt;'Progetto del paramento slu'!$G$58,ABS(K2017)*'Progetto del paramento slu'!$G$54,'Progetto del paramento slu'!$G$53)*IF(K2017&lt;0,-1,1)</f>
        <v>0</v>
      </c>
      <c r="R2017" s="553">
        <f>'Foglio deposito bis'!$F$79*IF(ABS(L2017)&lt;'Progetto del paramento slu'!$G$58,ABS(L2017)*'Progetto del paramento slu'!$G$54,'Progetto del paramento slu'!$G$53)*IF(L2017&lt;0,-1,1)</f>
        <v>153664.85805602249</v>
      </c>
      <c r="S2017" s="553">
        <f>'Foglio deposito bis'!$F$80*IF(ABS(M2017)&lt;'Progetto del paramento slu'!$G$58,ABS(M2017)*'Progetto del paramento slu'!$G$54,'Progetto del paramento slu'!$G$53)*IF(M2017&lt;0,-1,1)</f>
        <v>0</v>
      </c>
      <c r="T2017" s="553">
        <f>'Foglio deposito bis'!$F$81*IF(ABS(N2017)&lt;'Progetto del paramento slu'!$G$58,ABS(N2017)*'Progetto del paramento slu'!$G$54,'Progetto del paramento slu'!$G$53)*IF(N2017&lt;0,-1,1)</f>
        <v>398299.31208121032</v>
      </c>
      <c r="U2017" s="553">
        <f>'Foglio deposito bis'!$F$82*IF(ABS(O2017)&lt;'Progetto del paramento slu'!$G$58,ABS(O2017)*'Progetto del paramento slu'!$G$54,'Progetto del paramento slu'!$G$53)*IF(O2017&lt;0,-1,1)</f>
        <v>892485.49558937876</v>
      </c>
      <c r="V2017" s="479">
        <f t="shared" si="150"/>
        <v>1364335.5751384753</v>
      </c>
      <c r="W2017" s="559"/>
      <c r="X2017" s="559"/>
    </row>
    <row r="2018" spans="1:24" x14ac:dyDescent="0.25">
      <c r="A2018" s="553">
        <f t="shared" si="149"/>
        <v>1361474.3576174704</v>
      </c>
      <c r="B2018" s="3">
        <f t="shared" si="151"/>
        <v>1.4500000000000006</v>
      </c>
      <c r="C2018" s="553">
        <f>'Foglio deposito bis'!$E$161/sezione!$B$247*B2018</f>
        <v>5.8864894738211753</v>
      </c>
      <c r="D2018" s="611">
        <f>-'Progetto del paramento slu'!$G$47*'Progetto del paramento slu'!$G$41*IF(DATI!$G$218="dx",DATI!$E$61,DATI!$E$64*DATI!$E$63)*1000*C2018^2*sezione!$AD$5*(1-sezione!$AD$6)</f>
        <v>-285245.03421857255</v>
      </c>
      <c r="E2018" s="553">
        <f>-'Foglio deposito bis'!$F$78*(C2018-sezione!$AL$35)*IF(ABS(K2018)&lt;'Progetto del paramento slu'!$G$58,ABS(K2018)*'Progetto del paramento slu'!$G$54,'Progetto del paramento slu'!$G$53)</f>
        <v>0</v>
      </c>
      <c r="F2018" s="553">
        <f>-'Foglio deposito bis'!$F$79*(C2018-sezione!$AM$35)*IF(ABS(L2018)&lt;'Progetto del paramento slu'!$G$58,ABS(L2018)*'Progetto del paramento slu'!$G$54,'Progetto del paramento slu'!$G$53)</f>
        <v>22145182.138960373</v>
      </c>
      <c r="G2018" s="553">
        <f>-'Foglio deposito bis'!$F$80*(C2018-sezione!$AN$35)*IF(ABS(M2018)&lt;'Progetto del paramento slu'!$G$58,ABS(M2018)*'Progetto del paramento slu'!$G$54,'Progetto del paramento slu'!$G$53)</f>
        <v>0</v>
      </c>
      <c r="H2018" s="553">
        <f>-'Foglio deposito bis'!$F$81*(C2018-sezione!$AO$35)*IF(ABS(N2018)&lt;'Progetto del paramento slu'!$G$58,ABS(N2018)*'Progetto del paramento slu'!$G$54,'Progetto del paramento slu'!$G$53)</f>
        <v>133077181.39961523</v>
      </c>
      <c r="I2018" s="479">
        <f>-'Foglio deposito bis'!$F$82*(C2018-sezione!$AP$35)*IF(ABS(O2018)&lt;'Progetto del paramento slu'!$G$58,ABS(O2018)*'Progetto del paramento slu'!$G$54,'Progetto del paramento slu'!$G$53)</f>
        <v>226799745.09869549</v>
      </c>
      <c r="J2018" s="479">
        <f t="shared" si="147"/>
        <v>381736863.6030525</v>
      </c>
      <c r="K2018" s="558">
        <f>'Progetto del paramento slu'!$G$60*(sezione!$AL$35-C2018)/C2018</f>
        <v>2.0283275349869938E-2</v>
      </c>
      <c r="L2018" s="558">
        <f>'Progetto del paramento slu'!$G$60*(sezione!$AM$35-C2018)/C2018</f>
        <v>8.568728256201226E-2</v>
      </c>
      <c r="M2018" s="559">
        <f>'Progetto del paramento slu'!$G$60*(sezione!$AN$35-C2018)/C2018</f>
        <v>0.15109128977415456</v>
      </c>
      <c r="N2018" s="559">
        <f>'Progetto del paramento slu'!$G$60*(sezione!$AO$35-C2018)/C2018</f>
        <v>0.19865784047389443</v>
      </c>
      <c r="O2018" s="559">
        <f>'Progetto del paramento slu'!$G$60*(sezione!$AP$35-C2018)/C2018</f>
        <v>0.15109603499495744</v>
      </c>
      <c r="P2018" s="553">
        <f>-'Progetto del paramento slu'!$G$47*'Progetto del paramento slu'!$G$41*IF(DATI!$G$218="dx",DATI!$E$61,DATI!$E$64*DATI!$E$63)*1000*C2018*sezione!$AD$5</f>
        <v>-82975.308109141159</v>
      </c>
      <c r="Q2018" s="553">
        <f>'Foglio deposito bis'!$F$78*IF(ABS(K2018)&lt;'Progetto del paramento slu'!$G$58,ABS(K2018)*'Progetto del paramento slu'!$G$54,'Progetto del paramento slu'!$G$53)*IF(K2018&lt;0,-1,1)</f>
        <v>0</v>
      </c>
      <c r="R2018" s="553">
        <f>'Foglio deposito bis'!$F$79*IF(ABS(L2018)&lt;'Progetto del paramento slu'!$G$58,ABS(L2018)*'Progetto del paramento slu'!$G$54,'Progetto del paramento slu'!$G$53)*IF(L2018&lt;0,-1,1)</f>
        <v>153664.85805602249</v>
      </c>
      <c r="S2018" s="553">
        <f>'Foglio deposito bis'!$F$80*IF(ABS(M2018)&lt;'Progetto del paramento slu'!$G$58,ABS(M2018)*'Progetto del paramento slu'!$G$54,'Progetto del paramento slu'!$G$53)*IF(M2018&lt;0,-1,1)</f>
        <v>0</v>
      </c>
      <c r="T2018" s="553">
        <f>'Foglio deposito bis'!$F$81*IF(ABS(N2018)&lt;'Progetto del paramento slu'!$G$58,ABS(N2018)*'Progetto del paramento slu'!$G$54,'Progetto del paramento slu'!$G$53)*IF(N2018&lt;0,-1,1)</f>
        <v>398299.31208121032</v>
      </c>
      <c r="U2018" s="553">
        <f>'Foglio deposito bis'!$F$82*IF(ABS(O2018)&lt;'Progetto del paramento slu'!$G$58,ABS(O2018)*'Progetto del paramento slu'!$G$54,'Progetto del paramento slu'!$G$53)*IF(O2018&lt;0,-1,1)</f>
        <v>892485.49558937876</v>
      </c>
      <c r="V2018" s="479">
        <f t="shared" si="150"/>
        <v>1361474.3576174704</v>
      </c>
      <c r="W2018" s="559"/>
      <c r="X2018" s="559"/>
    </row>
    <row r="2019" spans="1:24" x14ac:dyDescent="0.25">
      <c r="A2019" s="553">
        <f t="shared" si="149"/>
        <v>1358613.1400964656</v>
      </c>
      <c r="B2019" s="3">
        <f t="shared" si="151"/>
        <v>1.5000000000000007</v>
      </c>
      <c r="C2019" s="553">
        <f>'Foglio deposito bis'!$E$161/sezione!$B$247*B2019</f>
        <v>6.0894718694701817</v>
      </c>
      <c r="D2019" s="611">
        <f>-'Progetto del paramento slu'!$G$47*'Progetto del paramento slu'!$G$41*IF(DATI!$G$218="dx",DATI!$E$61,DATI!$E$64*DATI!$E$63)*1000*C2019^2*sezione!$AD$5*(1-sezione!$AD$6)</f>
        <v>-305256.27918753307</v>
      </c>
      <c r="E2019" s="553">
        <f>-'Foglio deposito bis'!$F$78*(C2019-sezione!$AL$35)*IF(ABS(K2019)&lt;'Progetto del paramento slu'!$G$58,ABS(K2019)*'Progetto del paramento slu'!$G$54,'Progetto del paramento slu'!$G$53)</f>
        <v>0</v>
      </c>
      <c r="F2019" s="553">
        <f>-'Foglio deposito bis'!$F$79*(C2019-sezione!$AM$35)*IF(ABS(L2019)&lt;'Progetto del paramento slu'!$G$58,ABS(L2019)*'Progetto del paramento slu'!$G$54,'Progetto del paramento slu'!$G$53)</f>
        <v>22113990.877945099</v>
      </c>
      <c r="G2019" s="553">
        <f>-'Foglio deposito bis'!$F$80*(C2019-sezione!$AN$35)*IF(ABS(M2019)&lt;'Progetto del paramento slu'!$G$58,ABS(M2019)*'Progetto del paramento slu'!$G$54,'Progetto del paramento slu'!$G$53)</f>
        <v>0</v>
      </c>
      <c r="H2019" s="553">
        <f>-'Foglio deposito bis'!$F$81*(C2019-sezione!$AO$35)*IF(ABS(N2019)&lt;'Progetto del paramento slu'!$G$58,ABS(N2019)*'Progetto del paramento slu'!$G$54,'Progetto del paramento slu'!$G$53)</f>
        <v>132996333.65106365</v>
      </c>
      <c r="I2019" s="479">
        <f>-'Foglio deposito bis'!$F$82*(C2019-sezione!$AP$35)*IF(ABS(O2019)&lt;'Progetto del paramento slu'!$G$58,ABS(O2019)*'Progetto del paramento slu'!$G$54,'Progetto del paramento slu'!$G$53)</f>
        <v>226618586.25471875</v>
      </c>
      <c r="J2019" s="479">
        <f t="shared" si="147"/>
        <v>381423654.50453997</v>
      </c>
      <c r="K2019" s="558">
        <f>'Progetto del paramento slu'!$G$60*(sezione!$AL$35-C2019)/C2019</f>
        <v>1.9490499504874269E-2</v>
      </c>
      <c r="L2019" s="558">
        <f>'Progetto del paramento slu'!$G$60*(sezione!$AM$35-C2019)/C2019</f>
        <v>8.2714373143278522E-2</v>
      </c>
      <c r="M2019" s="559">
        <f>'Progetto del paramento slu'!$G$60*(sezione!$AN$35-C2019)/C2019</f>
        <v>0.14593824678168277</v>
      </c>
      <c r="N2019" s="559">
        <f>'Progetto del paramento slu'!$G$60*(sezione!$AO$35-C2019)/C2019</f>
        <v>0.1919192457914313</v>
      </c>
      <c r="O2019" s="559">
        <f>'Progetto del paramento slu'!$G$60*(sezione!$AP$35-C2019)/C2019</f>
        <v>0.14594283382845885</v>
      </c>
      <c r="P2019" s="553">
        <f>-'Progetto del paramento slu'!$G$47*'Progetto del paramento slu'!$G$41*IF(DATI!$G$218="dx",DATI!$E$61,DATI!$E$64*DATI!$E$63)*1000*C2019*sezione!$AD$5</f>
        <v>-85836.525630146047</v>
      </c>
      <c r="Q2019" s="553">
        <f>'Foglio deposito bis'!$F$78*IF(ABS(K2019)&lt;'Progetto del paramento slu'!$G$58,ABS(K2019)*'Progetto del paramento slu'!$G$54,'Progetto del paramento slu'!$G$53)*IF(K2019&lt;0,-1,1)</f>
        <v>0</v>
      </c>
      <c r="R2019" s="553">
        <f>'Foglio deposito bis'!$F$79*IF(ABS(L2019)&lt;'Progetto del paramento slu'!$G$58,ABS(L2019)*'Progetto del paramento slu'!$G$54,'Progetto del paramento slu'!$G$53)*IF(L2019&lt;0,-1,1)</f>
        <v>153664.85805602249</v>
      </c>
      <c r="S2019" s="553">
        <f>'Foglio deposito bis'!$F$80*IF(ABS(M2019)&lt;'Progetto del paramento slu'!$G$58,ABS(M2019)*'Progetto del paramento slu'!$G$54,'Progetto del paramento slu'!$G$53)*IF(M2019&lt;0,-1,1)</f>
        <v>0</v>
      </c>
      <c r="T2019" s="553">
        <f>'Foglio deposito bis'!$F$81*IF(ABS(N2019)&lt;'Progetto del paramento slu'!$G$58,ABS(N2019)*'Progetto del paramento slu'!$G$54,'Progetto del paramento slu'!$G$53)*IF(N2019&lt;0,-1,1)</f>
        <v>398299.31208121032</v>
      </c>
      <c r="U2019" s="553">
        <f>'Foglio deposito bis'!$F$82*IF(ABS(O2019)&lt;'Progetto del paramento slu'!$G$58,ABS(O2019)*'Progetto del paramento slu'!$G$54,'Progetto del paramento slu'!$G$53)*IF(O2019&lt;0,-1,1)</f>
        <v>892485.49558937876</v>
      </c>
      <c r="V2019" s="479">
        <f t="shared" si="150"/>
        <v>1358613.1400964656</v>
      </c>
      <c r="W2019" s="559"/>
      <c r="X2019" s="559"/>
    </row>
    <row r="2020" spans="1:24" x14ac:dyDescent="0.25">
      <c r="A2020" s="553">
        <f t="shared" si="149"/>
        <v>1355751.9225754607</v>
      </c>
      <c r="B2020" s="3">
        <f t="shared" si="151"/>
        <v>1.5500000000000007</v>
      </c>
      <c r="C2020" s="553">
        <f>'Foglio deposito bis'!$E$161/sezione!$B$247*B2020</f>
        <v>6.2924542651191873</v>
      </c>
      <c r="D2020" s="611">
        <f>-'Progetto del paramento slu'!$G$47*'Progetto del paramento slu'!$G$41*IF(DATI!$G$218="dx",DATI!$E$61,DATI!$E$64*DATI!$E$63)*1000*C2020^2*sezione!$AD$5*(1-sezione!$AD$6)</f>
        <v>-325945.87144357694</v>
      </c>
      <c r="E2020" s="553">
        <f>-'Foglio deposito bis'!$F$78*(C2020-sezione!$AL$35)*IF(ABS(K2020)&lt;'Progetto del paramento slu'!$G$58,ABS(K2020)*'Progetto del paramento slu'!$G$54,'Progetto del paramento slu'!$G$53)</f>
        <v>0</v>
      </c>
      <c r="F2020" s="553">
        <f>-'Foglio deposito bis'!$F$79*(C2020-sezione!$AM$35)*IF(ABS(L2020)&lt;'Progetto del paramento slu'!$G$58,ABS(L2020)*'Progetto del paramento slu'!$G$54,'Progetto del paramento slu'!$G$53)</f>
        <v>22082799.616929822</v>
      </c>
      <c r="G2020" s="553">
        <f>-'Foglio deposito bis'!$F$80*(C2020-sezione!$AN$35)*IF(ABS(M2020)&lt;'Progetto del paramento slu'!$G$58,ABS(M2020)*'Progetto del paramento slu'!$G$54,'Progetto del paramento slu'!$G$53)</f>
        <v>0</v>
      </c>
      <c r="H2020" s="553">
        <f>-'Foglio deposito bis'!$F$81*(C2020-sezione!$AO$35)*IF(ABS(N2020)&lt;'Progetto del paramento slu'!$G$58,ABS(N2020)*'Progetto del paramento slu'!$G$54,'Progetto del paramento slu'!$G$53)</f>
        <v>132915485.90251206</v>
      </c>
      <c r="I2020" s="479">
        <f>-'Foglio deposito bis'!$F$82*(C2020-sezione!$AP$35)*IF(ABS(O2020)&lt;'Progetto del paramento slu'!$G$58,ABS(O2020)*'Progetto del paramento slu'!$G$54,'Progetto del paramento slu'!$G$53)</f>
        <v>226437427.41074201</v>
      </c>
      <c r="J2020" s="479">
        <f t="shared" si="147"/>
        <v>381109767.05874032</v>
      </c>
      <c r="K2020" s="558">
        <f>'Progetto del paramento slu'!$G$60*(sezione!$AL$35-C2020)/C2020</f>
        <v>1.8748870488588004E-2</v>
      </c>
      <c r="L2020" s="558">
        <f>'Progetto del paramento slu'!$G$60*(sezione!$AM$35-C2020)/C2020</f>
        <v>7.9933264332205031E-2</v>
      </c>
      <c r="M2020" s="559">
        <f>'Progetto del paramento slu'!$G$60*(sezione!$AN$35-C2020)/C2020</f>
        <v>0.14111765817582203</v>
      </c>
      <c r="N2020" s="559">
        <f>'Progetto del paramento slu'!$G$60*(sezione!$AO$35-C2020)/C2020</f>
        <v>0.18561539915299805</v>
      </c>
      <c r="O2020" s="559">
        <f>'Progetto del paramento slu'!$G$60*(sezione!$AP$35-C2020)/C2020</f>
        <v>0.14112209725334732</v>
      </c>
      <c r="P2020" s="553">
        <f>-'Progetto del paramento slu'!$G$47*'Progetto del paramento slu'!$G$41*IF(DATI!$G$218="dx",DATI!$E$61,DATI!$E$64*DATI!$E$63)*1000*C2020*sezione!$AD$5</f>
        <v>-88697.743151150906</v>
      </c>
      <c r="Q2020" s="553">
        <f>'Foglio deposito bis'!$F$78*IF(ABS(K2020)&lt;'Progetto del paramento slu'!$G$58,ABS(K2020)*'Progetto del paramento slu'!$G$54,'Progetto del paramento slu'!$G$53)*IF(K2020&lt;0,-1,1)</f>
        <v>0</v>
      </c>
      <c r="R2020" s="553">
        <f>'Foglio deposito bis'!$F$79*IF(ABS(L2020)&lt;'Progetto del paramento slu'!$G$58,ABS(L2020)*'Progetto del paramento slu'!$G$54,'Progetto del paramento slu'!$G$53)*IF(L2020&lt;0,-1,1)</f>
        <v>153664.85805602249</v>
      </c>
      <c r="S2020" s="553">
        <f>'Foglio deposito bis'!$F$80*IF(ABS(M2020)&lt;'Progetto del paramento slu'!$G$58,ABS(M2020)*'Progetto del paramento slu'!$G$54,'Progetto del paramento slu'!$G$53)*IF(M2020&lt;0,-1,1)</f>
        <v>0</v>
      </c>
      <c r="T2020" s="553">
        <f>'Foglio deposito bis'!$F$81*IF(ABS(N2020)&lt;'Progetto del paramento slu'!$G$58,ABS(N2020)*'Progetto del paramento slu'!$G$54,'Progetto del paramento slu'!$G$53)*IF(N2020&lt;0,-1,1)</f>
        <v>398299.31208121032</v>
      </c>
      <c r="U2020" s="553">
        <f>'Foglio deposito bis'!$F$82*IF(ABS(O2020)&lt;'Progetto del paramento slu'!$G$58,ABS(O2020)*'Progetto del paramento slu'!$G$54,'Progetto del paramento slu'!$G$53)*IF(O2020&lt;0,-1,1)</f>
        <v>892485.49558937876</v>
      </c>
      <c r="V2020" s="479">
        <f t="shared" si="150"/>
        <v>1355751.9225754607</v>
      </c>
      <c r="W2020" s="559"/>
      <c r="X2020" s="559"/>
    </row>
    <row r="2021" spans="1:24" x14ac:dyDescent="0.25">
      <c r="A2021" s="553">
        <f t="shared" si="149"/>
        <v>1352890.7050544559</v>
      </c>
      <c r="B2021" s="3">
        <f t="shared" si="151"/>
        <v>1.6000000000000008</v>
      </c>
      <c r="C2021" s="553">
        <f>'Foglio deposito bis'!$E$161/sezione!$B$247*B2021</f>
        <v>6.4954366607681937</v>
      </c>
      <c r="D2021" s="611">
        <f>-'Progetto del paramento slu'!$G$47*'Progetto del paramento slu'!$G$41*IF(DATI!$G$218="dx",DATI!$E$61,DATI!$E$64*DATI!$E$63)*1000*C2021^2*sezione!$AD$5*(1-sezione!$AD$6)</f>
        <v>-347313.81098670431</v>
      </c>
      <c r="E2021" s="553">
        <f>-'Foglio deposito bis'!$F$78*(C2021-sezione!$AL$35)*IF(ABS(K2021)&lt;'Progetto del paramento slu'!$G$58,ABS(K2021)*'Progetto del paramento slu'!$G$54,'Progetto del paramento slu'!$G$53)</f>
        <v>0</v>
      </c>
      <c r="F2021" s="553">
        <f>-'Foglio deposito bis'!$F$79*(C2021-sezione!$AM$35)*IF(ABS(L2021)&lt;'Progetto del paramento slu'!$G$58,ABS(L2021)*'Progetto del paramento slu'!$G$54,'Progetto del paramento slu'!$G$53)</f>
        <v>22051608.355914544</v>
      </c>
      <c r="G2021" s="553">
        <f>-'Foglio deposito bis'!$F$80*(C2021-sezione!$AN$35)*IF(ABS(M2021)&lt;'Progetto del paramento slu'!$G$58,ABS(M2021)*'Progetto del paramento slu'!$G$54,'Progetto del paramento slu'!$G$53)</f>
        <v>0</v>
      </c>
      <c r="H2021" s="553">
        <f>-'Foglio deposito bis'!$F$81*(C2021-sezione!$AO$35)*IF(ABS(N2021)&lt;'Progetto del paramento slu'!$G$58,ABS(N2021)*'Progetto del paramento slu'!$G$54,'Progetto del paramento slu'!$G$53)</f>
        <v>132834638.15396047</v>
      </c>
      <c r="I2021" s="479">
        <f>-'Foglio deposito bis'!$F$82*(C2021-sezione!$AP$35)*IF(ABS(O2021)&lt;'Progetto del paramento slu'!$G$58,ABS(O2021)*'Progetto del paramento slu'!$G$54,'Progetto del paramento slu'!$G$53)</f>
        <v>226256268.56676531</v>
      </c>
      <c r="J2021" s="479">
        <f t="shared" si="147"/>
        <v>380795201.26565361</v>
      </c>
      <c r="K2021" s="558">
        <f>'Progetto del paramento slu'!$G$60*(sezione!$AL$35-C2021)/C2021</f>
        <v>1.8053593285819628E-2</v>
      </c>
      <c r="L2021" s="558">
        <f>'Progetto del paramento slu'!$G$60*(sezione!$AM$35-C2021)/C2021</f>
        <v>7.7325974821823587E-2</v>
      </c>
      <c r="M2021" s="559">
        <f>'Progetto del paramento slu'!$G$60*(sezione!$AN$35-C2021)/C2021</f>
        <v>0.13659835635782758</v>
      </c>
      <c r="N2021" s="559">
        <f>'Progetto del paramento slu'!$G$60*(sezione!$AO$35-C2021)/C2021</f>
        <v>0.17970554292946686</v>
      </c>
      <c r="O2021" s="559">
        <f>'Progetto del paramento slu'!$G$60*(sezione!$AP$35-C2021)/C2021</f>
        <v>0.13660265671418018</v>
      </c>
      <c r="P2021" s="553">
        <f>-'Progetto del paramento slu'!$G$47*'Progetto del paramento slu'!$G$41*IF(DATI!$G$218="dx",DATI!$E$61,DATI!$E$64*DATI!$E$63)*1000*C2021*sezione!$AD$5</f>
        <v>-91558.960672155779</v>
      </c>
      <c r="Q2021" s="553">
        <f>'Foglio deposito bis'!$F$78*IF(ABS(K2021)&lt;'Progetto del paramento slu'!$G$58,ABS(K2021)*'Progetto del paramento slu'!$G$54,'Progetto del paramento slu'!$G$53)*IF(K2021&lt;0,-1,1)</f>
        <v>0</v>
      </c>
      <c r="R2021" s="553">
        <f>'Foglio deposito bis'!$F$79*IF(ABS(L2021)&lt;'Progetto del paramento slu'!$G$58,ABS(L2021)*'Progetto del paramento slu'!$G$54,'Progetto del paramento slu'!$G$53)*IF(L2021&lt;0,-1,1)</f>
        <v>153664.85805602249</v>
      </c>
      <c r="S2021" s="553">
        <f>'Foglio deposito bis'!$F$80*IF(ABS(M2021)&lt;'Progetto del paramento slu'!$G$58,ABS(M2021)*'Progetto del paramento slu'!$G$54,'Progetto del paramento slu'!$G$53)*IF(M2021&lt;0,-1,1)</f>
        <v>0</v>
      </c>
      <c r="T2021" s="553">
        <f>'Foglio deposito bis'!$F$81*IF(ABS(N2021)&lt;'Progetto del paramento slu'!$G$58,ABS(N2021)*'Progetto del paramento slu'!$G$54,'Progetto del paramento slu'!$G$53)*IF(N2021&lt;0,-1,1)</f>
        <v>398299.31208121032</v>
      </c>
      <c r="U2021" s="553">
        <f>'Foglio deposito bis'!$F$82*IF(ABS(O2021)&lt;'Progetto del paramento slu'!$G$58,ABS(O2021)*'Progetto del paramento slu'!$G$54,'Progetto del paramento slu'!$G$53)*IF(O2021&lt;0,-1,1)</f>
        <v>892485.49558937876</v>
      </c>
      <c r="V2021" s="479">
        <f t="shared" si="150"/>
        <v>1352890.7050544559</v>
      </c>
      <c r="W2021" s="559"/>
      <c r="X2021" s="559"/>
    </row>
    <row r="2022" spans="1:24" x14ac:dyDescent="0.25">
      <c r="A2022" s="553">
        <f t="shared" si="149"/>
        <v>1350029.4875334511</v>
      </c>
      <c r="B2022" s="3">
        <f t="shared" si="151"/>
        <v>1.6500000000000008</v>
      </c>
      <c r="C2022" s="553">
        <f>'Foglio deposito bis'!$E$161/sezione!$B$247*B2022</f>
        <v>6.6984190564172001</v>
      </c>
      <c r="D2022" s="611">
        <f>-'Progetto del paramento slu'!$G$47*'Progetto del paramento slu'!$G$41*IF(DATI!$G$218="dx",DATI!$E$61,DATI!$E$64*DATI!$E$63)*1000*C2022^2*sezione!$AD$5*(1-sezione!$AD$6)</f>
        <v>-369360.09781691508</v>
      </c>
      <c r="E2022" s="553">
        <f>-'Foglio deposito bis'!$F$78*(C2022-sezione!$AL$35)*IF(ABS(K2022)&lt;'Progetto del paramento slu'!$G$58,ABS(K2022)*'Progetto del paramento slu'!$G$54,'Progetto del paramento slu'!$G$53)</f>
        <v>0</v>
      </c>
      <c r="F2022" s="553">
        <f>-'Foglio deposito bis'!$F$79*(C2022-sezione!$AM$35)*IF(ABS(L2022)&lt;'Progetto del paramento slu'!$G$58,ABS(L2022)*'Progetto del paramento slu'!$G$54,'Progetto del paramento slu'!$G$53)</f>
        <v>22020417.094899267</v>
      </c>
      <c r="G2022" s="553">
        <f>-'Foglio deposito bis'!$F$80*(C2022-sezione!$AN$35)*IF(ABS(M2022)&lt;'Progetto del paramento slu'!$G$58,ABS(M2022)*'Progetto del paramento slu'!$G$54,'Progetto del paramento slu'!$G$53)</f>
        <v>0</v>
      </c>
      <c r="H2022" s="553">
        <f>-'Foglio deposito bis'!$F$81*(C2022-sezione!$AO$35)*IF(ABS(N2022)&lt;'Progetto del paramento slu'!$G$58,ABS(N2022)*'Progetto del paramento slu'!$G$54,'Progetto del paramento slu'!$G$53)</f>
        <v>132753790.40540887</v>
      </c>
      <c r="I2022" s="479">
        <f>-'Foglio deposito bis'!$F$82*(C2022-sezione!$AP$35)*IF(ABS(O2022)&lt;'Progetto del paramento slu'!$G$58,ABS(O2022)*'Progetto del paramento slu'!$G$54,'Progetto del paramento slu'!$G$53)</f>
        <v>226075109.72278857</v>
      </c>
      <c r="J2022" s="479">
        <f t="shared" si="147"/>
        <v>380479957.12527978</v>
      </c>
      <c r="K2022" s="558">
        <f>'Progetto del paramento slu'!$G$60*(sezione!$AL$35-C2022)/C2022</f>
        <v>1.7400454095340245E-2</v>
      </c>
      <c r="L2022" s="558">
        <f>'Progetto del paramento slu'!$G$60*(sezione!$AM$35-C2022)/C2022</f>
        <v>7.4876702857525915E-2</v>
      </c>
      <c r="M2022" s="559">
        <f>'Progetto del paramento slu'!$G$60*(sezione!$AN$35-C2022)/C2022</f>
        <v>0.13235295161971158</v>
      </c>
      <c r="N2022" s="559">
        <f>'Progetto del paramento slu'!$G$60*(sezione!$AO$35-C2022)/C2022</f>
        <v>0.17415385981039205</v>
      </c>
      <c r="O2022" s="559">
        <f>'Progetto del paramento slu'!$G$60*(sezione!$AP$35-C2022)/C2022</f>
        <v>0.13235712166223532</v>
      </c>
      <c r="P2022" s="553">
        <f>-'Progetto del paramento slu'!$G$47*'Progetto del paramento slu'!$G$41*IF(DATI!$G$218="dx",DATI!$E$61,DATI!$E$64*DATI!$E$63)*1000*C2022*sezione!$AD$5</f>
        <v>-94420.178193160653</v>
      </c>
      <c r="Q2022" s="553">
        <f>'Foglio deposito bis'!$F$78*IF(ABS(K2022)&lt;'Progetto del paramento slu'!$G$58,ABS(K2022)*'Progetto del paramento slu'!$G$54,'Progetto del paramento slu'!$G$53)*IF(K2022&lt;0,-1,1)</f>
        <v>0</v>
      </c>
      <c r="R2022" s="553">
        <f>'Foglio deposito bis'!$F$79*IF(ABS(L2022)&lt;'Progetto del paramento slu'!$G$58,ABS(L2022)*'Progetto del paramento slu'!$G$54,'Progetto del paramento slu'!$G$53)*IF(L2022&lt;0,-1,1)</f>
        <v>153664.85805602249</v>
      </c>
      <c r="S2022" s="553">
        <f>'Foglio deposito bis'!$F$80*IF(ABS(M2022)&lt;'Progetto del paramento slu'!$G$58,ABS(M2022)*'Progetto del paramento slu'!$G$54,'Progetto del paramento slu'!$G$53)*IF(M2022&lt;0,-1,1)</f>
        <v>0</v>
      </c>
      <c r="T2022" s="553">
        <f>'Foglio deposito bis'!$F$81*IF(ABS(N2022)&lt;'Progetto del paramento slu'!$G$58,ABS(N2022)*'Progetto del paramento slu'!$G$54,'Progetto del paramento slu'!$G$53)*IF(N2022&lt;0,-1,1)</f>
        <v>398299.31208121032</v>
      </c>
      <c r="U2022" s="553">
        <f>'Foglio deposito bis'!$F$82*IF(ABS(O2022)&lt;'Progetto del paramento slu'!$G$58,ABS(O2022)*'Progetto del paramento slu'!$G$54,'Progetto del paramento slu'!$G$53)*IF(O2022&lt;0,-1,1)</f>
        <v>892485.49558937876</v>
      </c>
      <c r="V2022" s="479">
        <f t="shared" si="150"/>
        <v>1350029.4875334511</v>
      </c>
      <c r="W2022" s="559"/>
      <c r="X2022" s="559"/>
    </row>
    <row r="2023" spans="1:24" x14ac:dyDescent="0.25">
      <c r="A2023" s="553">
        <f t="shared" si="149"/>
        <v>1347168.2700124462</v>
      </c>
      <c r="B2023" s="3">
        <f t="shared" si="151"/>
        <v>1.7000000000000008</v>
      </c>
      <c r="C2023" s="553">
        <f>'Foglio deposito bis'!$E$161/sezione!$B$247*B2023</f>
        <v>6.9014014520662057</v>
      </c>
      <c r="D2023" s="611">
        <f>-'Progetto del paramento slu'!$G$47*'Progetto del paramento slu'!$G$41*IF(DATI!$G$218="dx",DATI!$E$61,DATI!$E$64*DATI!$E$63)*1000*C2023^2*sezione!$AD$5*(1-sezione!$AD$6)</f>
        <v>-392084.73193420912</v>
      </c>
      <c r="E2023" s="553">
        <f>-'Foglio deposito bis'!$F$78*(C2023-sezione!$AL$35)*IF(ABS(K2023)&lt;'Progetto del paramento slu'!$G$58,ABS(K2023)*'Progetto del paramento slu'!$G$54,'Progetto del paramento slu'!$G$53)</f>
        <v>0</v>
      </c>
      <c r="F2023" s="553">
        <f>-'Foglio deposito bis'!$F$79*(C2023-sezione!$AM$35)*IF(ABS(L2023)&lt;'Progetto del paramento slu'!$G$58,ABS(L2023)*'Progetto del paramento slu'!$G$54,'Progetto del paramento slu'!$G$53)</f>
        <v>21989225.833883993</v>
      </c>
      <c r="G2023" s="553">
        <f>-'Foglio deposito bis'!$F$80*(C2023-sezione!$AN$35)*IF(ABS(M2023)&lt;'Progetto del paramento slu'!$G$58,ABS(M2023)*'Progetto del paramento slu'!$G$54,'Progetto del paramento slu'!$G$53)</f>
        <v>0</v>
      </c>
      <c r="H2023" s="553">
        <f>-'Foglio deposito bis'!$F$81*(C2023-sezione!$AO$35)*IF(ABS(N2023)&lt;'Progetto del paramento slu'!$G$58,ABS(N2023)*'Progetto del paramento slu'!$G$54,'Progetto del paramento slu'!$G$53)</f>
        <v>132672942.65685727</v>
      </c>
      <c r="I2023" s="479">
        <f>-'Foglio deposito bis'!$F$82*(C2023-sezione!$AP$35)*IF(ABS(O2023)&lt;'Progetto del paramento slu'!$G$58,ABS(O2023)*'Progetto del paramento slu'!$G$54,'Progetto del paramento slu'!$G$53)</f>
        <v>225893950.87881187</v>
      </c>
      <c r="J2023" s="479">
        <f t="shared" si="147"/>
        <v>380164034.6376189</v>
      </c>
      <c r="K2023" s="558">
        <f>'Progetto del paramento slu'!$G$60*(sezione!$AL$35-C2023)/C2023</f>
        <v>1.6785734857242003E-2</v>
      </c>
      <c r="L2023" s="558">
        <f>'Progetto del paramento slu'!$G$60*(sezione!$AM$35-C2023)/C2023</f>
        <v>7.2571505714657508E-2</v>
      </c>
      <c r="M2023" s="559">
        <f>'Progetto del paramento slu'!$G$60*(sezione!$AN$35-C2023)/C2023</f>
        <v>0.12835727657207302</v>
      </c>
      <c r="N2023" s="559">
        <f>'Progetto del paramento slu'!$G$60*(sezione!$AO$35-C2023)/C2023</f>
        <v>0.16892874628655702</v>
      </c>
      <c r="O2023" s="559">
        <f>'Progetto del paramento slu'!$G$60*(sezione!$AP$35-C2023)/C2023</f>
        <v>0.12836132396628724</v>
      </c>
      <c r="P2023" s="553">
        <f>-'Progetto del paramento slu'!$G$47*'Progetto del paramento slu'!$G$41*IF(DATI!$G$218="dx",DATI!$E$61,DATI!$E$64*DATI!$E$63)*1000*C2023*sezione!$AD$5</f>
        <v>-97281.395714165497</v>
      </c>
      <c r="Q2023" s="553">
        <f>'Foglio deposito bis'!$F$78*IF(ABS(K2023)&lt;'Progetto del paramento slu'!$G$58,ABS(K2023)*'Progetto del paramento slu'!$G$54,'Progetto del paramento slu'!$G$53)*IF(K2023&lt;0,-1,1)</f>
        <v>0</v>
      </c>
      <c r="R2023" s="553">
        <f>'Foglio deposito bis'!$F$79*IF(ABS(L2023)&lt;'Progetto del paramento slu'!$G$58,ABS(L2023)*'Progetto del paramento slu'!$G$54,'Progetto del paramento slu'!$G$53)*IF(L2023&lt;0,-1,1)</f>
        <v>153664.85805602249</v>
      </c>
      <c r="S2023" s="553">
        <f>'Foglio deposito bis'!$F$80*IF(ABS(M2023)&lt;'Progetto del paramento slu'!$G$58,ABS(M2023)*'Progetto del paramento slu'!$G$54,'Progetto del paramento slu'!$G$53)*IF(M2023&lt;0,-1,1)</f>
        <v>0</v>
      </c>
      <c r="T2023" s="553">
        <f>'Foglio deposito bis'!$F$81*IF(ABS(N2023)&lt;'Progetto del paramento slu'!$G$58,ABS(N2023)*'Progetto del paramento slu'!$G$54,'Progetto del paramento slu'!$G$53)*IF(N2023&lt;0,-1,1)</f>
        <v>398299.31208121032</v>
      </c>
      <c r="U2023" s="553">
        <f>'Foglio deposito bis'!$F$82*IF(ABS(O2023)&lt;'Progetto del paramento slu'!$G$58,ABS(O2023)*'Progetto del paramento slu'!$G$54,'Progetto del paramento slu'!$G$53)*IF(O2023&lt;0,-1,1)</f>
        <v>892485.49558937876</v>
      </c>
      <c r="V2023" s="479">
        <f t="shared" si="150"/>
        <v>1347168.2700124462</v>
      </c>
      <c r="W2023" s="559"/>
      <c r="X2023" s="559"/>
    </row>
    <row r="2024" spans="1:24" x14ac:dyDescent="0.25">
      <c r="A2024" s="553">
        <f t="shared" si="149"/>
        <v>1344307.0524914411</v>
      </c>
      <c r="B2024" s="3">
        <f t="shared" si="151"/>
        <v>1.7500000000000009</v>
      </c>
      <c r="C2024" s="553">
        <f>'Foglio deposito bis'!$E$161/sezione!$B$247*B2024</f>
        <v>7.1043838477152121</v>
      </c>
      <c r="D2024" s="611">
        <f>-'Progetto del paramento slu'!$G$47*'Progetto del paramento slu'!$G$41*IF(DATI!$G$218="dx",DATI!$E$61,DATI!$E$64*DATI!$E$63)*1000*C2024^2*sezione!$AD$5*(1-sezione!$AD$6)</f>
        <v>-415487.71333858673</v>
      </c>
      <c r="E2024" s="553">
        <f>-'Foglio deposito bis'!$F$78*(C2024-sezione!$AL$35)*IF(ABS(K2024)&lt;'Progetto del paramento slu'!$G$58,ABS(K2024)*'Progetto del paramento slu'!$G$54,'Progetto del paramento slu'!$G$53)</f>
        <v>0</v>
      </c>
      <c r="F2024" s="553">
        <f>-'Foglio deposito bis'!$F$79*(C2024-sezione!$AM$35)*IF(ABS(L2024)&lt;'Progetto del paramento slu'!$G$58,ABS(L2024)*'Progetto del paramento slu'!$G$54,'Progetto del paramento slu'!$G$53)</f>
        <v>21958034.572868716</v>
      </c>
      <c r="G2024" s="553">
        <f>-'Foglio deposito bis'!$F$80*(C2024-sezione!$AN$35)*IF(ABS(M2024)&lt;'Progetto del paramento slu'!$G$58,ABS(M2024)*'Progetto del paramento slu'!$G$54,'Progetto del paramento slu'!$G$53)</f>
        <v>0</v>
      </c>
      <c r="H2024" s="553">
        <f>-'Foglio deposito bis'!$F$81*(C2024-sezione!$AO$35)*IF(ABS(N2024)&lt;'Progetto del paramento slu'!$G$58,ABS(N2024)*'Progetto del paramento slu'!$G$54,'Progetto del paramento slu'!$G$53)</f>
        <v>132592094.90830567</v>
      </c>
      <c r="I2024" s="479">
        <f>-'Foglio deposito bis'!$F$82*(C2024-sezione!$AP$35)*IF(ABS(O2024)&lt;'Progetto del paramento slu'!$G$58,ABS(O2024)*'Progetto del paramento slu'!$G$54,'Progetto del paramento slu'!$G$53)</f>
        <v>225712792.03483513</v>
      </c>
      <c r="J2024" s="479">
        <f t="shared" si="147"/>
        <v>379847433.80267096</v>
      </c>
      <c r="K2024" s="558">
        <f>'Progetto del paramento slu'!$G$60*(sezione!$AL$35-C2024)/C2024</f>
        <v>1.6206142432749374E-2</v>
      </c>
      <c r="L2024" s="558">
        <f>'Progetto del paramento slu'!$G$60*(sezione!$AM$35-C2024)/C2024</f>
        <v>7.0398034122810135E-2</v>
      </c>
      <c r="M2024" s="559">
        <f>'Progetto del paramento slu'!$G$60*(sezione!$AN$35-C2024)/C2024</f>
        <v>0.12458992581287091</v>
      </c>
      <c r="N2024" s="559">
        <f>'Progetto del paramento slu'!$G$60*(sezione!$AO$35-C2024)/C2024</f>
        <v>0.16400221067836968</v>
      </c>
      <c r="O2024" s="559">
        <f>'Progetto del paramento slu'!$G$60*(sezione!$AP$35-C2024)/C2024</f>
        <v>0.12459385756725044</v>
      </c>
      <c r="P2024" s="553">
        <f>-'Progetto del paramento slu'!$G$47*'Progetto del paramento slu'!$G$41*IF(DATI!$G$218="dx",DATI!$E$61,DATI!$E$64*DATI!$E$63)*1000*C2024*sezione!$AD$5</f>
        <v>-100142.61323517039</v>
      </c>
      <c r="Q2024" s="553">
        <f>'Foglio deposito bis'!$F$78*IF(ABS(K2024)&lt;'Progetto del paramento slu'!$G$58,ABS(K2024)*'Progetto del paramento slu'!$G$54,'Progetto del paramento slu'!$G$53)*IF(K2024&lt;0,-1,1)</f>
        <v>0</v>
      </c>
      <c r="R2024" s="553">
        <f>'Foglio deposito bis'!$F$79*IF(ABS(L2024)&lt;'Progetto del paramento slu'!$G$58,ABS(L2024)*'Progetto del paramento slu'!$G$54,'Progetto del paramento slu'!$G$53)*IF(L2024&lt;0,-1,1)</f>
        <v>153664.85805602249</v>
      </c>
      <c r="S2024" s="553">
        <f>'Foglio deposito bis'!$F$80*IF(ABS(M2024)&lt;'Progetto del paramento slu'!$G$58,ABS(M2024)*'Progetto del paramento slu'!$G$54,'Progetto del paramento slu'!$G$53)*IF(M2024&lt;0,-1,1)</f>
        <v>0</v>
      </c>
      <c r="T2024" s="553">
        <f>'Foglio deposito bis'!$F$81*IF(ABS(N2024)&lt;'Progetto del paramento slu'!$G$58,ABS(N2024)*'Progetto del paramento slu'!$G$54,'Progetto del paramento slu'!$G$53)*IF(N2024&lt;0,-1,1)</f>
        <v>398299.31208121032</v>
      </c>
      <c r="U2024" s="553">
        <f>'Foglio deposito bis'!$F$82*IF(ABS(O2024)&lt;'Progetto del paramento slu'!$G$58,ABS(O2024)*'Progetto del paramento slu'!$G$54,'Progetto del paramento slu'!$G$53)*IF(O2024&lt;0,-1,1)</f>
        <v>892485.49558937876</v>
      </c>
      <c r="V2024" s="479">
        <f t="shared" si="150"/>
        <v>1344307.0524914411</v>
      </c>
      <c r="W2024" s="559"/>
      <c r="X2024" s="559"/>
    </row>
    <row r="2025" spans="1:24" x14ac:dyDescent="0.25">
      <c r="A2025" s="553">
        <f t="shared" si="149"/>
        <v>1341445.8349704363</v>
      </c>
      <c r="B2025" s="3">
        <f t="shared" si="151"/>
        <v>1.8000000000000009</v>
      </c>
      <c r="C2025" s="553">
        <f>'Foglio deposito bis'!$E$161/sezione!$B$247*B2025</f>
        <v>7.3073662433642177</v>
      </c>
      <c r="D2025" s="611">
        <f>-'Progetto del paramento slu'!$G$47*'Progetto del paramento slu'!$G$41*IF(DATI!$G$218="dx",DATI!$E$61,DATI!$E$64*DATI!$E$63)*1000*C2025^2*sezione!$AD$5*(1-sezione!$AD$6)</f>
        <v>-439569.04203004763</v>
      </c>
      <c r="E2025" s="553">
        <f>-'Foglio deposito bis'!$F$78*(C2025-sezione!$AL$35)*IF(ABS(K2025)&lt;'Progetto del paramento slu'!$G$58,ABS(K2025)*'Progetto del paramento slu'!$G$54,'Progetto del paramento slu'!$G$53)</f>
        <v>0</v>
      </c>
      <c r="F2025" s="553">
        <f>-'Foglio deposito bis'!$F$79*(C2025-sezione!$AM$35)*IF(ABS(L2025)&lt;'Progetto del paramento slu'!$G$58,ABS(L2025)*'Progetto del paramento slu'!$G$54,'Progetto del paramento slu'!$G$53)</f>
        <v>21926843.311853442</v>
      </c>
      <c r="G2025" s="553">
        <f>-'Foglio deposito bis'!$F$80*(C2025-sezione!$AN$35)*IF(ABS(M2025)&lt;'Progetto del paramento slu'!$G$58,ABS(M2025)*'Progetto del paramento slu'!$G$54,'Progetto del paramento slu'!$G$53)</f>
        <v>0</v>
      </c>
      <c r="H2025" s="553">
        <f>-'Foglio deposito bis'!$F$81*(C2025-sezione!$AO$35)*IF(ABS(N2025)&lt;'Progetto del paramento slu'!$G$58,ABS(N2025)*'Progetto del paramento slu'!$G$54,'Progetto del paramento slu'!$G$53)</f>
        <v>132511247.15975407</v>
      </c>
      <c r="I2025" s="479">
        <f>-'Foglio deposito bis'!$F$82*(C2025-sezione!$AP$35)*IF(ABS(O2025)&lt;'Progetto del paramento slu'!$G$58,ABS(O2025)*'Progetto del paramento slu'!$G$54,'Progetto del paramento slu'!$G$53)</f>
        <v>225531633.19085839</v>
      </c>
      <c r="J2025" s="479">
        <f t="shared" si="147"/>
        <v>379530154.62043583</v>
      </c>
      <c r="K2025" s="558">
        <f>'Progetto del paramento slu'!$G$60*(sezione!$AL$35-C2025)/C2025</f>
        <v>1.5658749587395229E-2</v>
      </c>
      <c r="L2025" s="558">
        <f>'Progetto del paramento slu'!$G$60*(sezione!$AM$35-C2025)/C2025</f>
        <v>6.8345310952732094E-2</v>
      </c>
      <c r="M2025" s="559">
        <f>'Progetto del paramento slu'!$G$60*(sezione!$AN$35-C2025)/C2025</f>
        <v>0.12103187231806896</v>
      </c>
      <c r="N2025" s="559">
        <f>'Progetto del paramento slu'!$G$60*(sezione!$AO$35-C2025)/C2025</f>
        <v>0.15934937149285941</v>
      </c>
      <c r="O2025" s="559">
        <f>'Progetto del paramento slu'!$G$60*(sezione!$AP$35-C2025)/C2025</f>
        <v>0.12103569485704906</v>
      </c>
      <c r="P2025" s="553">
        <f>-'Progetto del paramento slu'!$G$47*'Progetto del paramento slu'!$G$41*IF(DATI!$G$218="dx",DATI!$E$61,DATI!$E$64*DATI!$E$63)*1000*C2025*sezione!$AD$5</f>
        <v>-103003.83075617524</v>
      </c>
      <c r="Q2025" s="553">
        <f>'Foglio deposito bis'!$F$78*IF(ABS(K2025)&lt;'Progetto del paramento slu'!$G$58,ABS(K2025)*'Progetto del paramento slu'!$G$54,'Progetto del paramento slu'!$G$53)*IF(K2025&lt;0,-1,1)</f>
        <v>0</v>
      </c>
      <c r="R2025" s="553">
        <f>'Foglio deposito bis'!$F$79*IF(ABS(L2025)&lt;'Progetto del paramento slu'!$G$58,ABS(L2025)*'Progetto del paramento slu'!$G$54,'Progetto del paramento slu'!$G$53)*IF(L2025&lt;0,-1,1)</f>
        <v>153664.85805602249</v>
      </c>
      <c r="S2025" s="553">
        <f>'Foglio deposito bis'!$F$80*IF(ABS(M2025)&lt;'Progetto del paramento slu'!$G$58,ABS(M2025)*'Progetto del paramento slu'!$G$54,'Progetto del paramento slu'!$G$53)*IF(M2025&lt;0,-1,1)</f>
        <v>0</v>
      </c>
      <c r="T2025" s="553">
        <f>'Foglio deposito bis'!$F$81*IF(ABS(N2025)&lt;'Progetto del paramento slu'!$G$58,ABS(N2025)*'Progetto del paramento slu'!$G$54,'Progetto del paramento slu'!$G$53)*IF(N2025&lt;0,-1,1)</f>
        <v>398299.31208121032</v>
      </c>
      <c r="U2025" s="553">
        <f>'Foglio deposito bis'!$F$82*IF(ABS(O2025)&lt;'Progetto del paramento slu'!$G$58,ABS(O2025)*'Progetto del paramento slu'!$G$54,'Progetto del paramento slu'!$G$53)*IF(O2025&lt;0,-1,1)</f>
        <v>892485.49558937876</v>
      </c>
      <c r="V2025" s="479">
        <f t="shared" si="150"/>
        <v>1341445.8349704363</v>
      </c>
      <c r="W2025" s="559"/>
      <c r="X2025" s="559"/>
    </row>
    <row r="2026" spans="1:24" x14ac:dyDescent="0.25">
      <c r="A2026" s="553">
        <f t="shared" si="149"/>
        <v>1338584.6174494314</v>
      </c>
      <c r="B2026" s="3">
        <f t="shared" si="151"/>
        <v>1.850000000000001</v>
      </c>
      <c r="C2026" s="553">
        <f>'Foglio deposito bis'!$E$161/sezione!$B$247*B2026</f>
        <v>7.5103486390132241</v>
      </c>
      <c r="D2026" s="611">
        <f>-'Progetto del paramento slu'!$G$47*'Progetto del paramento slu'!$G$41*IF(DATI!$G$218="dx",DATI!$E$61,DATI!$E$64*DATI!$E$63)*1000*C2026^2*sezione!$AD$5*(1-sezione!$AD$6)</f>
        <v>-464328.71800859203</v>
      </c>
      <c r="E2026" s="553">
        <f>-'Foglio deposito bis'!$F$78*(C2026-sezione!$AL$35)*IF(ABS(K2026)&lt;'Progetto del paramento slu'!$G$58,ABS(K2026)*'Progetto del paramento slu'!$G$54,'Progetto del paramento slu'!$G$53)</f>
        <v>0</v>
      </c>
      <c r="F2026" s="553">
        <f>-'Foglio deposito bis'!$F$79*(C2026-sezione!$AM$35)*IF(ABS(L2026)&lt;'Progetto del paramento slu'!$G$58,ABS(L2026)*'Progetto del paramento slu'!$G$54,'Progetto del paramento slu'!$G$53)</f>
        <v>21895652.050838169</v>
      </c>
      <c r="G2026" s="553">
        <f>-'Foglio deposito bis'!$F$80*(C2026-sezione!$AN$35)*IF(ABS(M2026)&lt;'Progetto del paramento slu'!$G$58,ABS(M2026)*'Progetto del paramento slu'!$G$54,'Progetto del paramento slu'!$G$53)</f>
        <v>0</v>
      </c>
      <c r="H2026" s="553">
        <f>-'Foglio deposito bis'!$F$81*(C2026-sezione!$AO$35)*IF(ABS(N2026)&lt;'Progetto del paramento slu'!$G$58,ABS(N2026)*'Progetto del paramento slu'!$G$54,'Progetto del paramento slu'!$G$53)</f>
        <v>132430399.41120249</v>
      </c>
      <c r="I2026" s="479">
        <f>-'Foglio deposito bis'!$F$82*(C2026-sezione!$AP$35)*IF(ABS(O2026)&lt;'Progetto del paramento slu'!$G$58,ABS(O2026)*'Progetto del paramento slu'!$G$54,'Progetto del paramento slu'!$G$53)</f>
        <v>225350474.34688172</v>
      </c>
      <c r="J2026" s="479">
        <f t="shared" si="147"/>
        <v>379212197.09091377</v>
      </c>
      <c r="K2026" s="558">
        <f>'Progetto del paramento slu'!$G$60*(sezione!$AL$35-C2026)/C2026</f>
        <v>1.514094554449265E-2</v>
      </c>
      <c r="L2026" s="558">
        <f>'Progetto del paramento slu'!$G$60*(sezione!$AM$35-C2026)/C2026</f>
        <v>6.6403545791847443E-2</v>
      </c>
      <c r="M2026" s="559">
        <f>'Progetto del paramento slu'!$G$60*(sezione!$AN$35-C2026)/C2026</f>
        <v>0.11766614603920224</v>
      </c>
      <c r="N2026" s="559">
        <f>'Progetto del paramento slu'!$G$60*(sezione!$AO$35-C2026)/C2026</f>
        <v>0.15494803712818753</v>
      </c>
      <c r="O2026" s="559">
        <f>'Progetto del paramento slu'!$G$60*(sezione!$AP$35-C2026)/C2026</f>
        <v>0.11766986526631799</v>
      </c>
      <c r="P2026" s="553">
        <f>-'Progetto del paramento slu'!$G$47*'Progetto del paramento slu'!$G$41*IF(DATI!$G$218="dx",DATI!$E$61,DATI!$E$64*DATI!$E$63)*1000*C2026*sezione!$AD$5</f>
        <v>-105865.04827718012</v>
      </c>
      <c r="Q2026" s="553">
        <f>'Foglio deposito bis'!$F$78*IF(ABS(K2026)&lt;'Progetto del paramento slu'!$G$58,ABS(K2026)*'Progetto del paramento slu'!$G$54,'Progetto del paramento slu'!$G$53)*IF(K2026&lt;0,-1,1)</f>
        <v>0</v>
      </c>
      <c r="R2026" s="553">
        <f>'Foglio deposito bis'!$F$79*IF(ABS(L2026)&lt;'Progetto del paramento slu'!$G$58,ABS(L2026)*'Progetto del paramento slu'!$G$54,'Progetto del paramento slu'!$G$53)*IF(L2026&lt;0,-1,1)</f>
        <v>153664.85805602249</v>
      </c>
      <c r="S2026" s="553">
        <f>'Foglio deposito bis'!$F$80*IF(ABS(M2026)&lt;'Progetto del paramento slu'!$G$58,ABS(M2026)*'Progetto del paramento slu'!$G$54,'Progetto del paramento slu'!$G$53)*IF(M2026&lt;0,-1,1)</f>
        <v>0</v>
      </c>
      <c r="T2026" s="553">
        <f>'Foglio deposito bis'!$F$81*IF(ABS(N2026)&lt;'Progetto del paramento slu'!$G$58,ABS(N2026)*'Progetto del paramento slu'!$G$54,'Progetto del paramento slu'!$G$53)*IF(N2026&lt;0,-1,1)</f>
        <v>398299.31208121032</v>
      </c>
      <c r="U2026" s="553">
        <f>'Foglio deposito bis'!$F$82*IF(ABS(O2026)&lt;'Progetto del paramento slu'!$G$58,ABS(O2026)*'Progetto del paramento slu'!$G$54,'Progetto del paramento slu'!$G$53)*IF(O2026&lt;0,-1,1)</f>
        <v>892485.49558937876</v>
      </c>
      <c r="V2026" s="479">
        <f t="shared" si="150"/>
        <v>1338584.6174494314</v>
      </c>
      <c r="W2026" s="559"/>
      <c r="X2026" s="559"/>
    </row>
    <row r="2027" spans="1:24" x14ac:dyDescent="0.25">
      <c r="A2027" s="553">
        <f t="shared" si="149"/>
        <v>1335723.3999284266</v>
      </c>
      <c r="B2027" s="3">
        <f t="shared" si="151"/>
        <v>1.900000000000001</v>
      </c>
      <c r="C2027" s="553">
        <f>'Foglio deposito bis'!$E$161/sezione!$B$247*B2027</f>
        <v>7.7133310346622306</v>
      </c>
      <c r="D2027" s="611">
        <f>-'Progetto del paramento slu'!$G$47*'Progetto del paramento slu'!$G$41*IF(DATI!$G$218="dx",DATI!$E$61,DATI!$E$64*DATI!$E$63)*1000*C2027^2*sezione!$AD$5*(1-sezione!$AD$6)</f>
        <v>-489766.74127421982</v>
      </c>
      <c r="E2027" s="553">
        <f>-'Foglio deposito bis'!$F$78*(C2027-sezione!$AL$35)*IF(ABS(K2027)&lt;'Progetto del paramento slu'!$G$58,ABS(K2027)*'Progetto del paramento slu'!$G$54,'Progetto del paramento slu'!$G$53)</f>
        <v>0</v>
      </c>
      <c r="F2027" s="553">
        <f>-'Foglio deposito bis'!$F$79*(C2027-sezione!$AM$35)*IF(ABS(L2027)&lt;'Progetto del paramento slu'!$G$58,ABS(L2027)*'Progetto del paramento slu'!$G$54,'Progetto del paramento slu'!$G$53)</f>
        <v>21864460.789822891</v>
      </c>
      <c r="G2027" s="553">
        <f>-'Foglio deposito bis'!$F$80*(C2027-sezione!$AN$35)*IF(ABS(M2027)&lt;'Progetto del paramento slu'!$G$58,ABS(M2027)*'Progetto del paramento slu'!$G$54,'Progetto del paramento slu'!$G$53)</f>
        <v>0</v>
      </c>
      <c r="H2027" s="553">
        <f>-'Foglio deposito bis'!$F$81*(C2027-sezione!$AO$35)*IF(ABS(N2027)&lt;'Progetto del paramento slu'!$G$58,ABS(N2027)*'Progetto del paramento slu'!$G$54,'Progetto del paramento slu'!$G$53)</f>
        <v>132349551.66265088</v>
      </c>
      <c r="I2027" s="479">
        <f>-'Foglio deposito bis'!$F$82*(C2027-sezione!$AP$35)*IF(ABS(O2027)&lt;'Progetto del paramento slu'!$G$58,ABS(O2027)*'Progetto del paramento slu'!$G$54,'Progetto del paramento slu'!$G$53)</f>
        <v>225169315.50290498</v>
      </c>
      <c r="J2027" s="479">
        <f t="shared" si="147"/>
        <v>378893561.21410453</v>
      </c>
      <c r="K2027" s="558">
        <f>'Progetto del paramento slu'!$G$60*(sezione!$AL$35-C2027)/C2027</f>
        <v>1.4650394345953369E-2</v>
      </c>
      <c r="L2027" s="558">
        <f>'Progetto del paramento slu'!$G$60*(sezione!$AM$35-C2027)/C2027</f>
        <v>6.4563978797325144E-2</v>
      </c>
      <c r="M2027" s="559">
        <f>'Progetto del paramento slu'!$G$60*(sezione!$AN$35-C2027)/C2027</f>
        <v>0.11447756324869691</v>
      </c>
      <c r="N2027" s="559">
        <f>'Progetto del paramento slu'!$G$60*(sezione!$AO$35-C2027)/C2027</f>
        <v>0.15077835194060363</v>
      </c>
      <c r="O2027" s="559">
        <f>'Progetto del paramento slu'!$G$60*(sezione!$AP$35-C2027)/C2027</f>
        <v>0.11448118460141488</v>
      </c>
      <c r="P2027" s="553">
        <f>-'Progetto del paramento slu'!$G$47*'Progetto del paramento slu'!$G$41*IF(DATI!$G$218="dx",DATI!$E$61,DATI!$E$64*DATI!$E$63)*1000*C2027*sezione!$AD$5</f>
        <v>-108726.26579818499</v>
      </c>
      <c r="Q2027" s="553">
        <f>'Foglio deposito bis'!$F$78*IF(ABS(K2027)&lt;'Progetto del paramento slu'!$G$58,ABS(K2027)*'Progetto del paramento slu'!$G$54,'Progetto del paramento slu'!$G$53)*IF(K2027&lt;0,-1,1)</f>
        <v>0</v>
      </c>
      <c r="R2027" s="553">
        <f>'Foglio deposito bis'!$F$79*IF(ABS(L2027)&lt;'Progetto del paramento slu'!$G$58,ABS(L2027)*'Progetto del paramento slu'!$G$54,'Progetto del paramento slu'!$G$53)*IF(L2027&lt;0,-1,1)</f>
        <v>153664.85805602249</v>
      </c>
      <c r="S2027" s="553">
        <f>'Foglio deposito bis'!$F$80*IF(ABS(M2027)&lt;'Progetto del paramento slu'!$G$58,ABS(M2027)*'Progetto del paramento slu'!$G$54,'Progetto del paramento slu'!$G$53)*IF(M2027&lt;0,-1,1)</f>
        <v>0</v>
      </c>
      <c r="T2027" s="553">
        <f>'Foglio deposito bis'!$F$81*IF(ABS(N2027)&lt;'Progetto del paramento slu'!$G$58,ABS(N2027)*'Progetto del paramento slu'!$G$54,'Progetto del paramento slu'!$G$53)*IF(N2027&lt;0,-1,1)</f>
        <v>398299.31208121032</v>
      </c>
      <c r="U2027" s="553">
        <f>'Foglio deposito bis'!$F$82*IF(ABS(O2027)&lt;'Progetto del paramento slu'!$G$58,ABS(O2027)*'Progetto del paramento slu'!$G$54,'Progetto del paramento slu'!$G$53)*IF(O2027&lt;0,-1,1)</f>
        <v>892485.49558937876</v>
      </c>
      <c r="V2027" s="479">
        <f t="shared" si="150"/>
        <v>1335723.3999284266</v>
      </c>
      <c r="W2027" s="559"/>
      <c r="X2027" s="559"/>
    </row>
    <row r="2028" spans="1:24" x14ac:dyDescent="0.25">
      <c r="A2028" s="553">
        <f t="shared" si="149"/>
        <v>1332862.1824074218</v>
      </c>
      <c r="B2028" s="3">
        <f t="shared" si="151"/>
        <v>1.9500000000000011</v>
      </c>
      <c r="C2028" s="553">
        <f>'Foglio deposito bis'!$E$161/sezione!$B$247*B2028</f>
        <v>7.9163134303112361</v>
      </c>
      <c r="D2028" s="611">
        <f>-'Progetto del paramento slu'!$G$47*'Progetto del paramento slu'!$G$41*IF(DATI!$G$218="dx",DATI!$E$61,DATI!$E$64*DATI!$E$63)*1000*C2028^2*sezione!$AD$5*(1-sezione!$AD$6)</f>
        <v>-515883.11182693095</v>
      </c>
      <c r="E2028" s="553">
        <f>-'Foglio deposito bis'!$F$78*(C2028-sezione!$AL$35)*IF(ABS(K2028)&lt;'Progetto del paramento slu'!$G$58,ABS(K2028)*'Progetto del paramento slu'!$G$54,'Progetto del paramento slu'!$G$53)</f>
        <v>0</v>
      </c>
      <c r="F2028" s="553">
        <f>-'Foglio deposito bis'!$F$79*(C2028-sezione!$AM$35)*IF(ABS(L2028)&lt;'Progetto del paramento slu'!$G$58,ABS(L2028)*'Progetto del paramento slu'!$G$54,'Progetto del paramento slu'!$G$53)</f>
        <v>21833269.528807614</v>
      </c>
      <c r="G2028" s="553">
        <f>-'Foglio deposito bis'!$F$80*(C2028-sezione!$AN$35)*IF(ABS(M2028)&lt;'Progetto del paramento slu'!$G$58,ABS(M2028)*'Progetto del paramento slu'!$G$54,'Progetto del paramento slu'!$G$53)</f>
        <v>0</v>
      </c>
      <c r="H2028" s="553">
        <f>-'Foglio deposito bis'!$F$81*(C2028-sezione!$AO$35)*IF(ABS(N2028)&lt;'Progetto del paramento slu'!$G$58,ABS(N2028)*'Progetto del paramento slu'!$G$54,'Progetto del paramento slu'!$G$53)</f>
        <v>132268703.91409931</v>
      </c>
      <c r="I2028" s="479">
        <f>-'Foglio deposito bis'!$F$82*(C2028-sezione!$AP$35)*IF(ABS(O2028)&lt;'Progetto del paramento slu'!$G$58,ABS(O2028)*'Progetto del paramento slu'!$G$54,'Progetto del paramento slu'!$G$53)</f>
        <v>224988156.65892825</v>
      </c>
      <c r="J2028" s="479">
        <f t="shared" si="147"/>
        <v>378574246.99000823</v>
      </c>
      <c r="K2028" s="558">
        <f>'Progetto del paramento slu'!$G$60*(sezione!$AL$35-C2028)/C2028</f>
        <v>1.4184999619134053E-2</v>
      </c>
      <c r="L2028" s="558">
        <f>'Progetto del paramento slu'!$G$60*(sezione!$AM$35-C2028)/C2028</f>
        <v>6.2818748571752694E-2</v>
      </c>
      <c r="M2028" s="559">
        <f>'Progetto del paramento slu'!$G$60*(sezione!$AN$35-C2028)/C2028</f>
        <v>0.11145249752437134</v>
      </c>
      <c r="N2028" s="559">
        <f>'Progetto del paramento slu'!$G$60*(sezione!$AO$35-C2028)/C2028</f>
        <v>0.14682249676263948</v>
      </c>
      <c r="O2028" s="559">
        <f>'Progetto del paramento slu'!$G$60*(sezione!$AP$35-C2028)/C2028</f>
        <v>0.11145602602189142</v>
      </c>
      <c r="P2028" s="553">
        <f>-'Progetto del paramento slu'!$G$47*'Progetto del paramento slu'!$G$41*IF(DATI!$G$218="dx",DATI!$E$61,DATI!$E$64*DATI!$E$63)*1000*C2028*sezione!$AD$5</f>
        <v>-111587.48331918984</v>
      </c>
      <c r="Q2028" s="553">
        <f>'Foglio deposito bis'!$F$78*IF(ABS(K2028)&lt;'Progetto del paramento slu'!$G$58,ABS(K2028)*'Progetto del paramento slu'!$G$54,'Progetto del paramento slu'!$G$53)*IF(K2028&lt;0,-1,1)</f>
        <v>0</v>
      </c>
      <c r="R2028" s="553">
        <f>'Foglio deposito bis'!$F$79*IF(ABS(L2028)&lt;'Progetto del paramento slu'!$G$58,ABS(L2028)*'Progetto del paramento slu'!$G$54,'Progetto del paramento slu'!$G$53)*IF(L2028&lt;0,-1,1)</f>
        <v>153664.85805602249</v>
      </c>
      <c r="S2028" s="553">
        <f>'Foglio deposito bis'!$F$80*IF(ABS(M2028)&lt;'Progetto del paramento slu'!$G$58,ABS(M2028)*'Progetto del paramento slu'!$G$54,'Progetto del paramento slu'!$G$53)*IF(M2028&lt;0,-1,1)</f>
        <v>0</v>
      </c>
      <c r="T2028" s="553">
        <f>'Foglio deposito bis'!$F$81*IF(ABS(N2028)&lt;'Progetto del paramento slu'!$G$58,ABS(N2028)*'Progetto del paramento slu'!$G$54,'Progetto del paramento slu'!$G$53)*IF(N2028&lt;0,-1,1)</f>
        <v>398299.31208121032</v>
      </c>
      <c r="U2028" s="553">
        <f>'Foglio deposito bis'!$F$82*IF(ABS(O2028)&lt;'Progetto del paramento slu'!$G$58,ABS(O2028)*'Progetto del paramento slu'!$G$54,'Progetto del paramento slu'!$G$53)*IF(O2028&lt;0,-1,1)</f>
        <v>892485.49558937876</v>
      </c>
      <c r="V2028" s="479">
        <f t="shared" si="150"/>
        <v>1332862.1824074218</v>
      </c>
      <c r="W2028" s="559"/>
      <c r="X2028" s="559"/>
    </row>
    <row r="2029" spans="1:24" x14ac:dyDescent="0.25">
      <c r="A2029" s="553">
        <f t="shared" si="149"/>
        <v>1330000.9648864169</v>
      </c>
      <c r="B2029" s="3">
        <f t="shared" si="151"/>
        <v>2.0000000000000009</v>
      </c>
      <c r="C2029" s="553">
        <f>'Foglio deposito bis'!$E$161/sezione!$B$247*B2029</f>
        <v>8.1192958259602417</v>
      </c>
      <c r="D2029" s="611">
        <f>-'Progetto del paramento slu'!$G$47*'Progetto del paramento slu'!$G$41*IF(DATI!$G$218="dx",DATI!$E$61,DATI!$E$64*DATI!$E$63)*1000*C2029^2*sezione!$AD$5*(1-sezione!$AD$6)</f>
        <v>-542677.82966672536</v>
      </c>
      <c r="E2029" s="553">
        <f>-'Foglio deposito bis'!$F$78*(C2029-sezione!$AL$35)*IF(ABS(K2029)&lt;'Progetto del paramento slu'!$G$58,ABS(K2029)*'Progetto del paramento slu'!$G$54,'Progetto del paramento slu'!$G$53)</f>
        <v>0</v>
      </c>
      <c r="F2029" s="553">
        <f>-'Foglio deposito bis'!$F$79*(C2029-sezione!$AM$35)*IF(ABS(L2029)&lt;'Progetto del paramento slu'!$G$58,ABS(L2029)*'Progetto del paramento slu'!$G$54,'Progetto del paramento slu'!$G$53)</f>
        <v>21802078.267792337</v>
      </c>
      <c r="G2029" s="553">
        <f>-'Foglio deposito bis'!$F$80*(C2029-sezione!$AN$35)*IF(ABS(M2029)&lt;'Progetto del paramento slu'!$G$58,ABS(M2029)*'Progetto del paramento slu'!$G$54,'Progetto del paramento slu'!$G$53)</f>
        <v>0</v>
      </c>
      <c r="H2029" s="553">
        <f>-'Foglio deposito bis'!$F$81*(C2029-sezione!$AO$35)*IF(ABS(N2029)&lt;'Progetto del paramento slu'!$G$58,ABS(N2029)*'Progetto del paramento slu'!$G$54,'Progetto del paramento slu'!$G$53)</f>
        <v>132187856.16554768</v>
      </c>
      <c r="I2029" s="479">
        <f>-'Foglio deposito bis'!$F$82*(C2029-sezione!$AP$35)*IF(ABS(O2029)&lt;'Progetto del paramento slu'!$G$58,ABS(O2029)*'Progetto del paramento slu'!$G$54,'Progetto del paramento slu'!$G$53)</f>
        <v>224806997.81495151</v>
      </c>
      <c r="J2029" s="479">
        <f t="shared" si="147"/>
        <v>378254254.41862476</v>
      </c>
      <c r="K2029" s="558">
        <f>'Progetto del paramento slu'!$G$60*(sezione!$AL$35-C2029)/C2029</f>
        <v>1.3742874628655703E-2</v>
      </c>
      <c r="L2029" s="558">
        <f>'Progetto del paramento slu'!$G$60*(sezione!$AM$35-C2029)/C2029</f>
        <v>6.116077985745888E-2</v>
      </c>
      <c r="M2029" s="559">
        <f>'Progetto del paramento slu'!$G$60*(sezione!$AN$35-C2029)/C2029</f>
        <v>0.10857868508626206</v>
      </c>
      <c r="N2029" s="559">
        <f>'Progetto del paramento slu'!$G$60*(sezione!$AO$35-C2029)/C2029</f>
        <v>0.14306443434357347</v>
      </c>
      <c r="O2029" s="559">
        <f>'Progetto del paramento slu'!$G$60*(sezione!$AP$35-C2029)/C2029</f>
        <v>0.10858212537134415</v>
      </c>
      <c r="P2029" s="553">
        <f>-'Progetto del paramento slu'!$G$47*'Progetto del paramento slu'!$G$41*IF(DATI!$G$218="dx",DATI!$E$61,DATI!$E$64*DATI!$E$63)*1000*C2029*sezione!$AD$5</f>
        <v>-114448.7008401947</v>
      </c>
      <c r="Q2029" s="553">
        <f>'Foglio deposito bis'!$F$78*IF(ABS(K2029)&lt;'Progetto del paramento slu'!$G$58,ABS(K2029)*'Progetto del paramento slu'!$G$54,'Progetto del paramento slu'!$G$53)*IF(K2029&lt;0,-1,1)</f>
        <v>0</v>
      </c>
      <c r="R2029" s="553">
        <f>'Foglio deposito bis'!$F$79*IF(ABS(L2029)&lt;'Progetto del paramento slu'!$G$58,ABS(L2029)*'Progetto del paramento slu'!$G$54,'Progetto del paramento slu'!$G$53)*IF(L2029&lt;0,-1,1)</f>
        <v>153664.85805602249</v>
      </c>
      <c r="S2029" s="553">
        <f>'Foglio deposito bis'!$F$80*IF(ABS(M2029)&lt;'Progetto del paramento slu'!$G$58,ABS(M2029)*'Progetto del paramento slu'!$G$54,'Progetto del paramento slu'!$G$53)*IF(M2029&lt;0,-1,1)</f>
        <v>0</v>
      </c>
      <c r="T2029" s="553">
        <f>'Foglio deposito bis'!$F$81*IF(ABS(N2029)&lt;'Progetto del paramento slu'!$G$58,ABS(N2029)*'Progetto del paramento slu'!$G$54,'Progetto del paramento slu'!$G$53)*IF(N2029&lt;0,-1,1)</f>
        <v>398299.31208121032</v>
      </c>
      <c r="U2029" s="553">
        <f>'Foglio deposito bis'!$F$82*IF(ABS(O2029)&lt;'Progetto del paramento slu'!$G$58,ABS(O2029)*'Progetto del paramento slu'!$G$54,'Progetto del paramento slu'!$G$53)*IF(O2029&lt;0,-1,1)</f>
        <v>892485.49558937876</v>
      </c>
      <c r="V2029" s="479">
        <f t="shared" si="150"/>
        <v>1330000.9648864169</v>
      </c>
      <c r="W2029" s="559"/>
      <c r="X2029" s="559"/>
    </row>
    <row r="2030" spans="1:24" x14ac:dyDescent="0.25">
      <c r="A2030" s="553">
        <f t="shared" si="149"/>
        <v>1327139.7473654118</v>
      </c>
      <c r="B2030" s="3">
        <f t="shared" si="151"/>
        <v>2.0500000000000007</v>
      </c>
      <c r="C2030" s="553">
        <f>'Foglio deposito bis'!$E$161/sezione!$B$247*B2030</f>
        <v>8.3222782216092472</v>
      </c>
      <c r="D2030" s="611">
        <f>-'Progetto del paramento slu'!$G$47*'Progetto del paramento slu'!$G$41*IF(DATI!$G$218="dx",DATI!$E$61,DATI!$E$64*DATI!$E$63)*1000*C2030^2*sezione!$AD$5*(1-sezione!$AD$6)</f>
        <v>-570150.89479360322</v>
      </c>
      <c r="E2030" s="553">
        <f>-'Foglio deposito bis'!$F$78*(C2030-sezione!$AL$35)*IF(ABS(K2030)&lt;'Progetto del paramento slu'!$G$58,ABS(K2030)*'Progetto del paramento slu'!$G$54,'Progetto del paramento slu'!$G$53)</f>
        <v>0</v>
      </c>
      <c r="F2030" s="553">
        <f>-'Foglio deposito bis'!$F$79*(C2030-sezione!$AM$35)*IF(ABS(L2030)&lt;'Progetto del paramento slu'!$G$58,ABS(L2030)*'Progetto del paramento slu'!$G$54,'Progetto del paramento slu'!$G$53)</f>
        <v>21770887.006777059</v>
      </c>
      <c r="G2030" s="553">
        <f>-'Foglio deposito bis'!$F$80*(C2030-sezione!$AN$35)*IF(ABS(M2030)&lt;'Progetto del paramento slu'!$G$58,ABS(M2030)*'Progetto del paramento slu'!$G$54,'Progetto del paramento slu'!$G$53)</f>
        <v>0</v>
      </c>
      <c r="H2030" s="553">
        <f>-'Foglio deposito bis'!$F$81*(C2030-sezione!$AO$35)*IF(ABS(N2030)&lt;'Progetto del paramento slu'!$G$58,ABS(N2030)*'Progetto del paramento slu'!$G$54,'Progetto del paramento slu'!$G$53)</f>
        <v>132107008.41699611</v>
      </c>
      <c r="I2030" s="479">
        <f>-'Foglio deposito bis'!$F$82*(C2030-sezione!$AP$35)*IF(ABS(O2030)&lt;'Progetto del paramento slu'!$G$58,ABS(O2030)*'Progetto del paramento slu'!$G$54,'Progetto del paramento slu'!$G$53)</f>
        <v>224625838.97097483</v>
      </c>
      <c r="J2030" s="479">
        <f t="shared" si="147"/>
        <v>377933583.4999544</v>
      </c>
      <c r="K2030" s="558">
        <f>'Progetto del paramento slu'!$G$60*(sezione!$AL$35-C2030)/C2030</f>
        <v>1.3322316710883615E-2</v>
      </c>
      <c r="L2030" s="558">
        <f>'Progetto del paramento slu'!$G$60*(sezione!$AM$35-C2030)/C2030</f>
        <v>5.9583687665813546E-2</v>
      </c>
      <c r="M2030" s="559">
        <f>'Progetto del paramento slu'!$G$60*(sezione!$AN$35-C2030)/C2030</f>
        <v>0.10584505862074349</v>
      </c>
      <c r="N2030" s="559">
        <f>'Progetto del paramento slu'!$G$60*(sezione!$AO$35-C2030)/C2030</f>
        <v>0.13948969204251072</v>
      </c>
      <c r="O2030" s="559">
        <f>'Progetto del paramento slu'!$G$60*(sezione!$AP$35-C2030)/C2030</f>
        <v>0.10584841499643333</v>
      </c>
      <c r="P2030" s="553">
        <f>-'Progetto del paramento slu'!$G$47*'Progetto del paramento slu'!$G$41*IF(DATI!$G$218="dx",DATI!$E$61,DATI!$E$64*DATI!$E$63)*1000*C2030*sezione!$AD$5</f>
        <v>-117309.91836119958</v>
      </c>
      <c r="Q2030" s="553">
        <f>'Foglio deposito bis'!$F$78*IF(ABS(K2030)&lt;'Progetto del paramento slu'!$G$58,ABS(K2030)*'Progetto del paramento slu'!$G$54,'Progetto del paramento slu'!$G$53)*IF(K2030&lt;0,-1,1)</f>
        <v>0</v>
      </c>
      <c r="R2030" s="553">
        <f>'Foglio deposito bis'!$F$79*IF(ABS(L2030)&lt;'Progetto del paramento slu'!$G$58,ABS(L2030)*'Progetto del paramento slu'!$G$54,'Progetto del paramento slu'!$G$53)*IF(L2030&lt;0,-1,1)</f>
        <v>153664.85805602249</v>
      </c>
      <c r="S2030" s="553">
        <f>'Foglio deposito bis'!$F$80*IF(ABS(M2030)&lt;'Progetto del paramento slu'!$G$58,ABS(M2030)*'Progetto del paramento slu'!$G$54,'Progetto del paramento slu'!$G$53)*IF(M2030&lt;0,-1,1)</f>
        <v>0</v>
      </c>
      <c r="T2030" s="553">
        <f>'Foglio deposito bis'!$F$81*IF(ABS(N2030)&lt;'Progetto del paramento slu'!$G$58,ABS(N2030)*'Progetto del paramento slu'!$G$54,'Progetto del paramento slu'!$G$53)*IF(N2030&lt;0,-1,1)</f>
        <v>398299.31208121032</v>
      </c>
      <c r="U2030" s="553">
        <f>'Foglio deposito bis'!$F$82*IF(ABS(O2030)&lt;'Progetto del paramento slu'!$G$58,ABS(O2030)*'Progetto del paramento slu'!$G$54,'Progetto del paramento slu'!$G$53)*IF(O2030&lt;0,-1,1)</f>
        <v>892485.49558937876</v>
      </c>
      <c r="V2030" s="479">
        <f t="shared" si="150"/>
        <v>1327139.7473654118</v>
      </c>
      <c r="W2030" s="559"/>
      <c r="X2030" s="559"/>
    </row>
    <row r="2031" spans="1:24" x14ac:dyDescent="0.25">
      <c r="A2031" s="553">
        <f t="shared" si="149"/>
        <v>1324278.529844407</v>
      </c>
      <c r="B2031" s="3">
        <f t="shared" si="151"/>
        <v>2.1000000000000005</v>
      </c>
      <c r="C2031" s="553">
        <f>'Foglio deposito bis'!$E$161/sezione!$B$247*B2031</f>
        <v>8.5252606172582528</v>
      </c>
      <c r="D2031" s="611">
        <f>-'Progetto del paramento slu'!$G$47*'Progetto del paramento slu'!$G$41*IF(DATI!$G$218="dx",DATI!$E$61,DATI!$E$64*DATI!$E$63)*1000*C2031^2*sezione!$AD$5*(1-sezione!$AD$6)</f>
        <v>-598302.30720756459</v>
      </c>
      <c r="E2031" s="553">
        <f>-'Foglio deposito bis'!$F$78*(C2031-sezione!$AL$35)*IF(ABS(K2031)&lt;'Progetto del paramento slu'!$G$58,ABS(K2031)*'Progetto del paramento slu'!$G$54,'Progetto del paramento slu'!$G$53)</f>
        <v>0</v>
      </c>
      <c r="F2031" s="553">
        <f>-'Foglio deposito bis'!$F$79*(C2031-sezione!$AM$35)*IF(ABS(L2031)&lt;'Progetto del paramento slu'!$G$58,ABS(L2031)*'Progetto del paramento slu'!$G$54,'Progetto del paramento slu'!$G$53)</f>
        <v>21739695.745761786</v>
      </c>
      <c r="G2031" s="553">
        <f>-'Foglio deposito bis'!$F$80*(C2031-sezione!$AN$35)*IF(ABS(M2031)&lt;'Progetto del paramento slu'!$G$58,ABS(M2031)*'Progetto del paramento slu'!$G$54,'Progetto del paramento slu'!$G$53)</f>
        <v>0</v>
      </c>
      <c r="H2031" s="553">
        <f>-'Foglio deposito bis'!$F$81*(C2031-sezione!$AO$35)*IF(ABS(N2031)&lt;'Progetto del paramento slu'!$G$58,ABS(N2031)*'Progetto del paramento slu'!$G$54,'Progetto del paramento slu'!$G$53)</f>
        <v>132026160.6684445</v>
      </c>
      <c r="I2031" s="479">
        <f>-'Foglio deposito bis'!$F$82*(C2031-sezione!$AP$35)*IF(ABS(O2031)&lt;'Progetto del paramento slu'!$G$58,ABS(O2031)*'Progetto del paramento slu'!$G$54,'Progetto del paramento slu'!$G$53)</f>
        <v>224444680.1269981</v>
      </c>
      <c r="J2031" s="479">
        <f t="shared" si="147"/>
        <v>377612234.23399681</v>
      </c>
      <c r="K2031" s="558">
        <f>'Progetto del paramento slu'!$G$60*(sezione!$AL$35-C2031)/C2031</f>
        <v>1.292178536062448E-2</v>
      </c>
      <c r="L2031" s="558">
        <f>'Progetto del paramento slu'!$G$60*(sezione!$AM$35-C2031)/C2031</f>
        <v>5.8081695102341804E-2</v>
      </c>
      <c r="M2031" s="559">
        <f>'Progetto del paramento slu'!$G$60*(sezione!$AN$35-C2031)/C2031</f>
        <v>0.10324160484405911</v>
      </c>
      <c r="N2031" s="559">
        <f>'Progetto del paramento slu'!$G$60*(sezione!$AO$35-C2031)/C2031</f>
        <v>0.13608517556530808</v>
      </c>
      <c r="O2031" s="559">
        <f>'Progetto del paramento slu'!$G$60*(sezione!$AP$35-C2031)/C2031</f>
        <v>0.10324488130604205</v>
      </c>
      <c r="P2031" s="553">
        <f>-'Progetto del paramento slu'!$G$47*'Progetto del paramento slu'!$G$41*IF(DATI!$G$218="dx",DATI!$E$61,DATI!$E$64*DATI!$E$63)*1000*C2031*sezione!$AD$5</f>
        <v>-120171.13588220444</v>
      </c>
      <c r="Q2031" s="553">
        <f>'Foglio deposito bis'!$F$78*IF(ABS(K2031)&lt;'Progetto del paramento slu'!$G$58,ABS(K2031)*'Progetto del paramento slu'!$G$54,'Progetto del paramento slu'!$G$53)*IF(K2031&lt;0,-1,1)</f>
        <v>0</v>
      </c>
      <c r="R2031" s="553">
        <f>'Foglio deposito bis'!$F$79*IF(ABS(L2031)&lt;'Progetto del paramento slu'!$G$58,ABS(L2031)*'Progetto del paramento slu'!$G$54,'Progetto del paramento slu'!$G$53)*IF(L2031&lt;0,-1,1)</f>
        <v>153664.85805602249</v>
      </c>
      <c r="S2031" s="553">
        <f>'Foglio deposito bis'!$F$80*IF(ABS(M2031)&lt;'Progetto del paramento slu'!$G$58,ABS(M2031)*'Progetto del paramento slu'!$G$54,'Progetto del paramento slu'!$G$53)*IF(M2031&lt;0,-1,1)</f>
        <v>0</v>
      </c>
      <c r="T2031" s="553">
        <f>'Foglio deposito bis'!$F$81*IF(ABS(N2031)&lt;'Progetto del paramento slu'!$G$58,ABS(N2031)*'Progetto del paramento slu'!$G$54,'Progetto del paramento slu'!$G$53)*IF(N2031&lt;0,-1,1)</f>
        <v>398299.31208121032</v>
      </c>
      <c r="U2031" s="553">
        <f>'Foglio deposito bis'!$F$82*IF(ABS(O2031)&lt;'Progetto del paramento slu'!$G$58,ABS(O2031)*'Progetto del paramento slu'!$G$54,'Progetto del paramento slu'!$G$53)*IF(O2031&lt;0,-1,1)</f>
        <v>892485.49558937876</v>
      </c>
      <c r="V2031" s="479">
        <f t="shared" si="150"/>
        <v>1324278.529844407</v>
      </c>
      <c r="W2031" s="559"/>
      <c r="X2031" s="559"/>
    </row>
    <row r="2032" spans="1:24" x14ac:dyDescent="0.25">
      <c r="A2032" s="553">
        <f t="shared" si="149"/>
        <v>1321417.3123234021</v>
      </c>
      <c r="B2032" s="3">
        <f t="shared" si="151"/>
        <v>2.1500000000000004</v>
      </c>
      <c r="C2032" s="553">
        <f>'Foglio deposito bis'!$E$161/sezione!$B$247*B2032</f>
        <v>8.7282430129072566</v>
      </c>
      <c r="D2032" s="611">
        <f>-'Progetto del paramento slu'!$G$47*'Progetto del paramento slu'!$G$41*IF(DATI!$G$218="dx",DATI!$E$61,DATI!$E$64*DATI!$E$63)*1000*C2032^2*sezione!$AD$5*(1-sezione!$AD$6)</f>
        <v>-627132.06690860912</v>
      </c>
      <c r="E2032" s="553">
        <f>-'Foglio deposito bis'!$F$78*(C2032-sezione!$AL$35)*IF(ABS(K2032)&lt;'Progetto del paramento slu'!$G$58,ABS(K2032)*'Progetto del paramento slu'!$G$54,'Progetto del paramento slu'!$G$53)</f>
        <v>0</v>
      </c>
      <c r="F2032" s="553">
        <f>-'Foglio deposito bis'!$F$79*(C2032-sezione!$AM$35)*IF(ABS(L2032)&lt;'Progetto del paramento slu'!$G$58,ABS(L2032)*'Progetto del paramento slu'!$G$54,'Progetto del paramento slu'!$G$53)</f>
        <v>21708504.484746512</v>
      </c>
      <c r="G2032" s="553">
        <f>-'Foglio deposito bis'!$F$80*(C2032-sezione!$AN$35)*IF(ABS(M2032)&lt;'Progetto del paramento slu'!$G$58,ABS(M2032)*'Progetto del paramento slu'!$G$54,'Progetto del paramento slu'!$G$53)</f>
        <v>0</v>
      </c>
      <c r="H2032" s="553">
        <f>-'Foglio deposito bis'!$F$81*(C2032-sezione!$AO$35)*IF(ABS(N2032)&lt;'Progetto del paramento slu'!$G$58,ABS(N2032)*'Progetto del paramento slu'!$G$54,'Progetto del paramento slu'!$G$53)</f>
        <v>131945312.91989292</v>
      </c>
      <c r="I2032" s="479">
        <f>-'Foglio deposito bis'!$F$82*(C2032-sezione!$AP$35)*IF(ABS(O2032)&lt;'Progetto del paramento slu'!$G$58,ABS(O2032)*'Progetto del paramento slu'!$G$54,'Progetto del paramento slu'!$G$53)</f>
        <v>224263521.28302136</v>
      </c>
      <c r="J2032" s="479">
        <f t="shared" si="147"/>
        <v>377290206.62075222</v>
      </c>
      <c r="K2032" s="558">
        <f>'Progetto del paramento slu'!$G$60*(sezione!$AL$35-C2032)/C2032</f>
        <v>1.2539883375493683E-2</v>
      </c>
      <c r="L2032" s="558">
        <f>'Progetto del paramento slu'!$G$60*(sezione!$AM$35-C2032)/C2032</f>
        <v>5.664956265810131E-2</v>
      </c>
      <c r="M2032" s="559">
        <f>'Progetto del paramento slu'!$G$60*(sezione!$AN$35-C2032)/C2032</f>
        <v>0.10075924194070894</v>
      </c>
      <c r="N2032" s="559">
        <f>'Progetto del paramento slu'!$G$60*(sezione!$AO$35-C2032)/C2032</f>
        <v>0.13283900869169632</v>
      </c>
      <c r="O2032" s="559">
        <f>'Progetto del paramento slu'!$G$60*(sezione!$AP$35-C2032)/C2032</f>
        <v>0.10076244220590157</v>
      </c>
      <c r="P2032" s="553">
        <f>-'Progetto del paramento slu'!$G$47*'Progetto del paramento slu'!$G$41*IF(DATI!$G$218="dx",DATI!$E$61,DATI!$E$64*DATI!$E$63)*1000*C2032*sezione!$AD$5</f>
        <v>-123032.35340320927</v>
      </c>
      <c r="Q2032" s="553">
        <f>'Foglio deposito bis'!$F$78*IF(ABS(K2032)&lt;'Progetto del paramento slu'!$G$58,ABS(K2032)*'Progetto del paramento slu'!$G$54,'Progetto del paramento slu'!$G$53)*IF(K2032&lt;0,-1,1)</f>
        <v>0</v>
      </c>
      <c r="R2032" s="553">
        <f>'Foglio deposito bis'!$F$79*IF(ABS(L2032)&lt;'Progetto del paramento slu'!$G$58,ABS(L2032)*'Progetto del paramento slu'!$G$54,'Progetto del paramento slu'!$G$53)*IF(L2032&lt;0,-1,1)</f>
        <v>153664.85805602249</v>
      </c>
      <c r="S2032" s="553">
        <f>'Foglio deposito bis'!$F$80*IF(ABS(M2032)&lt;'Progetto del paramento slu'!$G$58,ABS(M2032)*'Progetto del paramento slu'!$G$54,'Progetto del paramento slu'!$G$53)*IF(M2032&lt;0,-1,1)</f>
        <v>0</v>
      </c>
      <c r="T2032" s="553">
        <f>'Foglio deposito bis'!$F$81*IF(ABS(N2032)&lt;'Progetto del paramento slu'!$G$58,ABS(N2032)*'Progetto del paramento slu'!$G$54,'Progetto del paramento slu'!$G$53)*IF(N2032&lt;0,-1,1)</f>
        <v>398299.31208121032</v>
      </c>
      <c r="U2032" s="553">
        <f>'Foglio deposito bis'!$F$82*IF(ABS(O2032)&lt;'Progetto del paramento slu'!$G$58,ABS(O2032)*'Progetto del paramento slu'!$G$54,'Progetto del paramento slu'!$G$53)*IF(O2032&lt;0,-1,1)</f>
        <v>892485.49558937876</v>
      </c>
      <c r="V2032" s="479">
        <f t="shared" si="150"/>
        <v>1321417.3123234021</v>
      </c>
      <c r="W2032" s="559"/>
      <c r="X2032" s="559"/>
    </row>
    <row r="2033" spans="1:24" x14ac:dyDescent="0.25">
      <c r="A2033" s="553">
        <f t="shared" si="149"/>
        <v>1318556.0948023973</v>
      </c>
      <c r="B2033" s="3">
        <f t="shared" si="151"/>
        <v>2.2000000000000002</v>
      </c>
      <c r="C2033" s="553">
        <f>'Foglio deposito bis'!$E$161/sezione!$B$247*B2033</f>
        <v>8.9312254085562621</v>
      </c>
      <c r="D2033" s="611">
        <f>-'Progetto del paramento slu'!$G$47*'Progetto del paramento slu'!$G$41*IF(DATI!$G$218="dx",DATI!$E$61,DATI!$E$64*DATI!$E$63)*1000*C2033^2*sezione!$AD$5*(1-sezione!$AD$6)</f>
        <v>-656640.17389673728</v>
      </c>
      <c r="E2033" s="553">
        <f>-'Foglio deposito bis'!$F$78*(C2033-sezione!$AL$35)*IF(ABS(K2033)&lt;'Progetto del paramento slu'!$G$58,ABS(K2033)*'Progetto del paramento slu'!$G$54,'Progetto del paramento slu'!$G$53)</f>
        <v>0</v>
      </c>
      <c r="F2033" s="553">
        <f>-'Foglio deposito bis'!$F$79*(C2033-sezione!$AM$35)*IF(ABS(L2033)&lt;'Progetto del paramento slu'!$G$58,ABS(L2033)*'Progetto del paramento slu'!$G$54,'Progetto del paramento slu'!$G$53)</f>
        <v>21677313.223731235</v>
      </c>
      <c r="G2033" s="553">
        <f>-'Foglio deposito bis'!$F$80*(C2033-sezione!$AN$35)*IF(ABS(M2033)&lt;'Progetto del paramento slu'!$G$58,ABS(M2033)*'Progetto del paramento slu'!$G$54,'Progetto del paramento slu'!$G$53)</f>
        <v>0</v>
      </c>
      <c r="H2033" s="553">
        <f>-'Foglio deposito bis'!$F$81*(C2033-sezione!$AO$35)*IF(ABS(N2033)&lt;'Progetto del paramento slu'!$G$58,ABS(N2033)*'Progetto del paramento slu'!$G$54,'Progetto del paramento slu'!$G$53)</f>
        <v>131864465.17134133</v>
      </c>
      <c r="I2033" s="479">
        <f>-'Foglio deposito bis'!$F$82*(C2033-sezione!$AP$35)*IF(ABS(O2033)&lt;'Progetto del paramento slu'!$G$58,ABS(O2033)*'Progetto del paramento slu'!$G$54,'Progetto del paramento slu'!$G$53)</f>
        <v>224082362.43904465</v>
      </c>
      <c r="J2033" s="479">
        <f t="shared" si="147"/>
        <v>376967500.6602205</v>
      </c>
      <c r="K2033" s="558">
        <f>'Progetto del paramento slu'!$G$60*(sezione!$AL$35-C2033)/C2033</f>
        <v>1.217534057150519E-2</v>
      </c>
      <c r="L2033" s="558">
        <f>'Progetto del paramento slu'!$G$60*(sezione!$AM$35-C2033)/C2033</f>
        <v>5.5282527143144473E-2</v>
      </c>
      <c r="M2033" s="559">
        <f>'Progetto del paramento slu'!$G$60*(sezione!$AN$35-C2033)/C2033</f>
        <v>9.838971371478375E-2</v>
      </c>
      <c r="N2033" s="559">
        <f>'Progetto del paramento slu'!$G$60*(sezione!$AO$35-C2033)/C2033</f>
        <v>0.12974039485779412</v>
      </c>
      <c r="O2033" s="559">
        <f>'Progetto del paramento slu'!$G$60*(sezione!$AP$35-C2033)/C2033</f>
        <v>9.8392841246676549E-2</v>
      </c>
      <c r="P2033" s="553">
        <f>-'Progetto del paramento slu'!$G$47*'Progetto del paramento slu'!$G$41*IF(DATI!$G$218="dx",DATI!$E$61,DATI!$E$64*DATI!$E$63)*1000*C2033*sezione!$AD$5</f>
        <v>-125893.57092421413</v>
      </c>
      <c r="Q2033" s="553">
        <f>'Foglio deposito bis'!$F$78*IF(ABS(K2033)&lt;'Progetto del paramento slu'!$G$58,ABS(K2033)*'Progetto del paramento slu'!$G$54,'Progetto del paramento slu'!$G$53)*IF(K2033&lt;0,-1,1)</f>
        <v>0</v>
      </c>
      <c r="R2033" s="553">
        <f>'Foglio deposito bis'!$F$79*IF(ABS(L2033)&lt;'Progetto del paramento slu'!$G$58,ABS(L2033)*'Progetto del paramento slu'!$G$54,'Progetto del paramento slu'!$G$53)*IF(L2033&lt;0,-1,1)</f>
        <v>153664.85805602249</v>
      </c>
      <c r="S2033" s="553">
        <f>'Foglio deposito bis'!$F$80*IF(ABS(M2033)&lt;'Progetto del paramento slu'!$G$58,ABS(M2033)*'Progetto del paramento slu'!$G$54,'Progetto del paramento slu'!$G$53)*IF(M2033&lt;0,-1,1)</f>
        <v>0</v>
      </c>
      <c r="T2033" s="553">
        <f>'Foglio deposito bis'!$F$81*IF(ABS(N2033)&lt;'Progetto del paramento slu'!$G$58,ABS(N2033)*'Progetto del paramento slu'!$G$54,'Progetto del paramento slu'!$G$53)*IF(N2033&lt;0,-1,1)</f>
        <v>398299.31208121032</v>
      </c>
      <c r="U2033" s="553">
        <f>'Foglio deposito bis'!$F$82*IF(ABS(O2033)&lt;'Progetto del paramento slu'!$G$58,ABS(O2033)*'Progetto del paramento slu'!$G$54,'Progetto del paramento slu'!$G$53)*IF(O2033&lt;0,-1,1)</f>
        <v>892485.49558937876</v>
      </c>
      <c r="V2033" s="479">
        <f t="shared" si="150"/>
        <v>1318556.0948023973</v>
      </c>
      <c r="W2033" s="559"/>
      <c r="X2033" s="559"/>
    </row>
    <row r="2034" spans="1:24" x14ac:dyDescent="0.25">
      <c r="A2034" s="553">
        <f t="shared" si="149"/>
        <v>1315694.8772813925</v>
      </c>
      <c r="B2034" s="3">
        <f t="shared" si="151"/>
        <v>2.25</v>
      </c>
      <c r="C2034" s="553">
        <f>'Foglio deposito bis'!$E$161/sezione!$B$247*B2034</f>
        <v>9.1342078042052677</v>
      </c>
      <c r="D2034" s="611">
        <f>-'Progetto del paramento slu'!$G$47*'Progetto del paramento slu'!$G$41*IF(DATI!$G$218="dx",DATI!$E$61,DATI!$E$64*DATI!$E$63)*1000*C2034^2*sezione!$AD$5*(1-sezione!$AD$6)</f>
        <v>-686826.62817194872</v>
      </c>
      <c r="E2034" s="553">
        <f>-'Foglio deposito bis'!$F$78*(C2034-sezione!$AL$35)*IF(ABS(K2034)&lt;'Progetto del paramento slu'!$G$58,ABS(K2034)*'Progetto del paramento slu'!$G$54,'Progetto del paramento slu'!$G$53)</f>
        <v>0</v>
      </c>
      <c r="F2034" s="553">
        <f>-'Foglio deposito bis'!$F$79*(C2034-sezione!$AM$35)*IF(ABS(L2034)&lt;'Progetto del paramento slu'!$G$58,ABS(L2034)*'Progetto del paramento slu'!$G$54,'Progetto del paramento slu'!$G$53)</f>
        <v>21646121.962715961</v>
      </c>
      <c r="G2034" s="553">
        <f>-'Foglio deposito bis'!$F$80*(C2034-sezione!$AN$35)*IF(ABS(M2034)&lt;'Progetto del paramento slu'!$G$58,ABS(M2034)*'Progetto del paramento slu'!$G$54,'Progetto del paramento slu'!$G$53)</f>
        <v>0</v>
      </c>
      <c r="H2034" s="553">
        <f>-'Foglio deposito bis'!$F$81*(C2034-sezione!$AO$35)*IF(ABS(N2034)&lt;'Progetto del paramento slu'!$G$58,ABS(N2034)*'Progetto del paramento slu'!$G$54,'Progetto del paramento slu'!$G$53)</f>
        <v>131783617.42278972</v>
      </c>
      <c r="I2034" s="479">
        <f>-'Foglio deposito bis'!$F$82*(C2034-sezione!$AP$35)*IF(ABS(O2034)&lt;'Progetto del paramento slu'!$G$58,ABS(O2034)*'Progetto del paramento slu'!$G$54,'Progetto del paramento slu'!$G$53)</f>
        <v>223901203.59506795</v>
      </c>
      <c r="J2034" s="479">
        <f t="shared" si="147"/>
        <v>376644116.35240167</v>
      </c>
      <c r="K2034" s="558">
        <f>'Progetto del paramento slu'!$G$60*(sezione!$AL$35-C2034)/C2034</f>
        <v>1.1826999669916188E-2</v>
      </c>
      <c r="L2034" s="558">
        <f>'Progetto del paramento slu'!$G$60*(sezione!$AM$35-C2034)/C2034</f>
        <v>5.3976248762185708E-2</v>
      </c>
      <c r="M2034" s="559">
        <f>'Progetto del paramento slu'!$G$60*(sezione!$AN$35-C2034)/C2034</f>
        <v>9.6125497854455219E-2</v>
      </c>
      <c r="N2034" s="559">
        <f>'Progetto del paramento slu'!$G$60*(sezione!$AO$35-C2034)/C2034</f>
        <v>0.1267794971942876</v>
      </c>
      <c r="O2034" s="559">
        <f>'Progetto del paramento slu'!$G$60*(sezione!$AP$35-C2034)/C2034</f>
        <v>9.6128555885639289E-2</v>
      </c>
      <c r="P2034" s="553">
        <f>-'Progetto del paramento slu'!$G$47*'Progetto del paramento slu'!$G$41*IF(DATI!$G$218="dx",DATI!$E$61,DATI!$E$64*DATI!$E$63)*1000*C2034*sezione!$AD$5</f>
        <v>-128754.78844521898</v>
      </c>
      <c r="Q2034" s="553">
        <f>'Foglio deposito bis'!$F$78*IF(ABS(K2034)&lt;'Progetto del paramento slu'!$G$58,ABS(K2034)*'Progetto del paramento slu'!$G$54,'Progetto del paramento slu'!$G$53)*IF(K2034&lt;0,-1,1)</f>
        <v>0</v>
      </c>
      <c r="R2034" s="553">
        <f>'Foglio deposito bis'!$F$79*IF(ABS(L2034)&lt;'Progetto del paramento slu'!$G$58,ABS(L2034)*'Progetto del paramento slu'!$G$54,'Progetto del paramento slu'!$G$53)*IF(L2034&lt;0,-1,1)</f>
        <v>153664.85805602249</v>
      </c>
      <c r="S2034" s="553">
        <f>'Foglio deposito bis'!$F$80*IF(ABS(M2034)&lt;'Progetto del paramento slu'!$G$58,ABS(M2034)*'Progetto del paramento slu'!$G$54,'Progetto del paramento slu'!$G$53)*IF(M2034&lt;0,-1,1)</f>
        <v>0</v>
      </c>
      <c r="T2034" s="553">
        <f>'Foglio deposito bis'!$F$81*IF(ABS(N2034)&lt;'Progetto del paramento slu'!$G$58,ABS(N2034)*'Progetto del paramento slu'!$G$54,'Progetto del paramento slu'!$G$53)*IF(N2034&lt;0,-1,1)</f>
        <v>398299.31208121032</v>
      </c>
      <c r="U2034" s="553">
        <f>'Foglio deposito bis'!$F$82*IF(ABS(O2034)&lt;'Progetto del paramento slu'!$G$58,ABS(O2034)*'Progetto del paramento slu'!$G$54,'Progetto del paramento slu'!$G$53)*IF(O2034&lt;0,-1,1)</f>
        <v>892485.49558937876</v>
      </c>
      <c r="V2034" s="479">
        <f t="shared" si="150"/>
        <v>1315694.8772813925</v>
      </c>
      <c r="W2034" s="559"/>
      <c r="X2034" s="559"/>
    </row>
    <row r="2035" spans="1:24" x14ac:dyDescent="0.25">
      <c r="A2035" s="553">
        <f t="shared" si="149"/>
        <v>1312833.6597603876</v>
      </c>
      <c r="B2035" s="3">
        <f t="shared" si="151"/>
        <v>2.2999999999999998</v>
      </c>
      <c r="C2035" s="553">
        <f>'Foglio deposito bis'!$E$161/sezione!$B$247*B2035</f>
        <v>9.3371901998542732</v>
      </c>
      <c r="D2035" s="611">
        <f>-'Progetto del paramento slu'!$G$47*'Progetto del paramento slu'!$G$41*IF(DATI!$G$218="dx",DATI!$E$61,DATI!$E$64*DATI!$E$63)*1000*C2035^2*sezione!$AD$5*(1-sezione!$AD$6)</f>
        <v>-717691.42973424366</v>
      </c>
      <c r="E2035" s="553">
        <f>-'Foglio deposito bis'!$F$78*(C2035-sezione!$AL$35)*IF(ABS(K2035)&lt;'Progetto del paramento slu'!$G$58,ABS(K2035)*'Progetto del paramento slu'!$G$54,'Progetto del paramento slu'!$G$53)</f>
        <v>0</v>
      </c>
      <c r="F2035" s="553">
        <f>-'Foglio deposito bis'!$F$79*(C2035-sezione!$AM$35)*IF(ABS(L2035)&lt;'Progetto del paramento slu'!$G$58,ABS(L2035)*'Progetto del paramento slu'!$G$54,'Progetto del paramento slu'!$G$53)</f>
        <v>21614930.701700684</v>
      </c>
      <c r="G2035" s="553">
        <f>-'Foglio deposito bis'!$F$80*(C2035-sezione!$AN$35)*IF(ABS(M2035)&lt;'Progetto del paramento slu'!$G$58,ABS(M2035)*'Progetto del paramento slu'!$G$54,'Progetto del paramento slu'!$G$53)</f>
        <v>0</v>
      </c>
      <c r="H2035" s="553">
        <f>-'Foglio deposito bis'!$F$81*(C2035-sezione!$AO$35)*IF(ABS(N2035)&lt;'Progetto del paramento slu'!$G$58,ABS(N2035)*'Progetto del paramento slu'!$G$54,'Progetto del paramento slu'!$G$53)</f>
        <v>131702769.67423815</v>
      </c>
      <c r="I2035" s="479">
        <f>-'Foglio deposito bis'!$F$82*(C2035-sezione!$AP$35)*IF(ABS(O2035)&lt;'Progetto del paramento slu'!$G$58,ABS(O2035)*'Progetto del paramento slu'!$G$54,'Progetto del paramento slu'!$G$53)</f>
        <v>223720044.75109121</v>
      </c>
      <c r="J2035" s="479">
        <f t="shared" si="147"/>
        <v>376320053.69729578</v>
      </c>
      <c r="K2035" s="558">
        <f>'Progetto del paramento slu'!$G$60*(sezione!$AL$35-C2035)/C2035</f>
        <v>1.149380402491801E-2</v>
      </c>
      <c r="L2035" s="558">
        <f>'Progetto del paramento slu'!$G$60*(sezione!$AM$35-C2035)/C2035</f>
        <v>5.272676509344254E-2</v>
      </c>
      <c r="M2035" s="559">
        <f>'Progetto del paramento slu'!$G$60*(sezione!$AN$35-C2035)/C2035</f>
        <v>9.3959726161967072E-2</v>
      </c>
      <c r="N2035" s="559">
        <f>'Progetto del paramento slu'!$G$60*(sezione!$AO$35-C2035)/C2035</f>
        <v>0.12394733421180308</v>
      </c>
      <c r="O2035" s="559">
        <f>'Progetto del paramento slu'!$G$60*(sezione!$AP$35-C2035)/C2035</f>
        <v>9.3962717714212357E-2</v>
      </c>
      <c r="P2035" s="553">
        <f>-'Progetto del paramento slu'!$G$47*'Progetto del paramento slu'!$G$41*IF(DATI!$G$218="dx",DATI!$E$61,DATI!$E$64*DATI!$E$63)*1000*C2035*sezione!$AD$5</f>
        <v>-131616.00596622386</v>
      </c>
      <c r="Q2035" s="553">
        <f>'Foglio deposito bis'!$F$78*IF(ABS(K2035)&lt;'Progetto del paramento slu'!$G$58,ABS(K2035)*'Progetto del paramento slu'!$G$54,'Progetto del paramento slu'!$G$53)*IF(K2035&lt;0,-1,1)</f>
        <v>0</v>
      </c>
      <c r="R2035" s="553">
        <f>'Foglio deposito bis'!$F$79*IF(ABS(L2035)&lt;'Progetto del paramento slu'!$G$58,ABS(L2035)*'Progetto del paramento slu'!$G$54,'Progetto del paramento slu'!$G$53)*IF(L2035&lt;0,-1,1)</f>
        <v>153664.85805602249</v>
      </c>
      <c r="S2035" s="553">
        <f>'Foglio deposito bis'!$F$80*IF(ABS(M2035)&lt;'Progetto del paramento slu'!$G$58,ABS(M2035)*'Progetto del paramento slu'!$G$54,'Progetto del paramento slu'!$G$53)*IF(M2035&lt;0,-1,1)</f>
        <v>0</v>
      </c>
      <c r="T2035" s="553">
        <f>'Foglio deposito bis'!$F$81*IF(ABS(N2035)&lt;'Progetto del paramento slu'!$G$58,ABS(N2035)*'Progetto del paramento slu'!$G$54,'Progetto del paramento slu'!$G$53)*IF(N2035&lt;0,-1,1)</f>
        <v>398299.31208121032</v>
      </c>
      <c r="U2035" s="553">
        <f>'Foglio deposito bis'!$F$82*IF(ABS(O2035)&lt;'Progetto del paramento slu'!$G$58,ABS(O2035)*'Progetto del paramento slu'!$G$54,'Progetto del paramento slu'!$G$53)*IF(O2035&lt;0,-1,1)</f>
        <v>892485.49558937876</v>
      </c>
      <c r="V2035" s="479">
        <f t="shared" si="150"/>
        <v>1312833.6597603876</v>
      </c>
      <c r="W2035" s="559"/>
      <c r="X2035" s="559"/>
    </row>
    <row r="2036" spans="1:24" x14ac:dyDescent="0.25">
      <c r="A2036" s="553">
        <f t="shared" si="149"/>
        <v>1309972.4422393828</v>
      </c>
      <c r="B2036" s="3">
        <f t="shared" si="151"/>
        <v>2.3499999999999996</v>
      </c>
      <c r="C2036" s="553">
        <f>'Foglio deposito bis'!$E$161/sezione!$B$247*B2036</f>
        <v>9.5401725955032788</v>
      </c>
      <c r="D2036" s="611">
        <f>-'Progetto del paramento slu'!$G$47*'Progetto del paramento slu'!$G$41*IF(DATI!$G$218="dx",DATI!$E$61,DATI!$E$64*DATI!$E$63)*1000*C2036^2*sezione!$AD$5*(1-sezione!$AD$6)</f>
        <v>-749234.578583622</v>
      </c>
      <c r="E2036" s="553">
        <f>-'Foglio deposito bis'!$F$78*(C2036-sezione!$AL$35)*IF(ABS(K2036)&lt;'Progetto del paramento slu'!$G$58,ABS(K2036)*'Progetto del paramento slu'!$G$54,'Progetto del paramento slu'!$G$53)</f>
        <v>0</v>
      </c>
      <c r="F2036" s="553">
        <f>-'Foglio deposito bis'!$F$79*(C2036-sezione!$AM$35)*IF(ABS(L2036)&lt;'Progetto del paramento slu'!$G$58,ABS(L2036)*'Progetto del paramento slu'!$G$54,'Progetto del paramento slu'!$G$53)</f>
        <v>21583739.440685406</v>
      </c>
      <c r="G2036" s="553">
        <f>-'Foglio deposito bis'!$F$80*(C2036-sezione!$AN$35)*IF(ABS(M2036)&lt;'Progetto del paramento slu'!$G$58,ABS(M2036)*'Progetto del paramento slu'!$G$54,'Progetto del paramento slu'!$G$53)</f>
        <v>0</v>
      </c>
      <c r="H2036" s="553">
        <f>-'Foglio deposito bis'!$F$81*(C2036-sezione!$AO$35)*IF(ABS(N2036)&lt;'Progetto del paramento slu'!$G$58,ABS(N2036)*'Progetto del paramento slu'!$G$54,'Progetto del paramento slu'!$G$53)</f>
        <v>131621921.92568652</v>
      </c>
      <c r="I2036" s="479">
        <f>-'Foglio deposito bis'!$F$82*(C2036-sezione!$AP$35)*IF(ABS(O2036)&lt;'Progetto del paramento slu'!$G$58,ABS(O2036)*'Progetto del paramento slu'!$G$54,'Progetto del paramento slu'!$G$53)</f>
        <v>223538885.90711448</v>
      </c>
      <c r="J2036" s="479">
        <f t="shared" si="147"/>
        <v>375995312.69490278</v>
      </c>
      <c r="K2036" s="558">
        <f>'Progetto del paramento slu'!$G$60*(sezione!$AL$35-C2036)/C2036</f>
        <v>1.117478691800486E-2</v>
      </c>
      <c r="L2036" s="558">
        <f>'Progetto del paramento slu'!$G$60*(sezione!$AM$35-C2036)/C2036</f>
        <v>5.1530450942518229E-2</v>
      </c>
      <c r="M2036" s="559">
        <f>'Progetto del paramento slu'!$G$60*(sezione!$AN$35-C2036)/C2036</f>
        <v>9.1886114967031599E-2</v>
      </c>
      <c r="N2036" s="559">
        <f>'Progetto del paramento slu'!$G$60*(sezione!$AO$35-C2036)/C2036</f>
        <v>0.12123568880304131</v>
      </c>
      <c r="O2036" s="559">
        <f>'Progetto del paramento slu'!$G$60*(sezione!$AP$35-C2036)/C2036</f>
        <v>9.1889042869229109E-2</v>
      </c>
      <c r="P2036" s="553">
        <f>-'Progetto del paramento slu'!$G$47*'Progetto del paramento slu'!$G$41*IF(DATI!$G$218="dx",DATI!$E$61,DATI!$E$64*DATI!$E$63)*1000*C2036*sezione!$AD$5</f>
        <v>-134477.22348722871</v>
      </c>
      <c r="Q2036" s="553">
        <f>'Foglio deposito bis'!$F$78*IF(ABS(K2036)&lt;'Progetto del paramento slu'!$G$58,ABS(K2036)*'Progetto del paramento slu'!$G$54,'Progetto del paramento slu'!$G$53)*IF(K2036&lt;0,-1,1)</f>
        <v>0</v>
      </c>
      <c r="R2036" s="553">
        <f>'Foglio deposito bis'!$F$79*IF(ABS(L2036)&lt;'Progetto del paramento slu'!$G$58,ABS(L2036)*'Progetto del paramento slu'!$G$54,'Progetto del paramento slu'!$G$53)*IF(L2036&lt;0,-1,1)</f>
        <v>153664.85805602249</v>
      </c>
      <c r="S2036" s="553">
        <f>'Foglio deposito bis'!$F$80*IF(ABS(M2036)&lt;'Progetto del paramento slu'!$G$58,ABS(M2036)*'Progetto del paramento slu'!$G$54,'Progetto del paramento slu'!$G$53)*IF(M2036&lt;0,-1,1)</f>
        <v>0</v>
      </c>
      <c r="T2036" s="553">
        <f>'Foglio deposito bis'!$F$81*IF(ABS(N2036)&lt;'Progetto del paramento slu'!$G$58,ABS(N2036)*'Progetto del paramento slu'!$G$54,'Progetto del paramento slu'!$G$53)*IF(N2036&lt;0,-1,1)</f>
        <v>398299.31208121032</v>
      </c>
      <c r="U2036" s="553">
        <f>'Foglio deposito bis'!$F$82*IF(ABS(O2036)&lt;'Progetto del paramento slu'!$G$58,ABS(O2036)*'Progetto del paramento slu'!$G$54,'Progetto del paramento slu'!$G$53)*IF(O2036&lt;0,-1,1)</f>
        <v>892485.49558937876</v>
      </c>
      <c r="V2036" s="479">
        <f t="shared" si="150"/>
        <v>1309972.4422393828</v>
      </c>
      <c r="W2036" s="559"/>
      <c r="X2036" s="559"/>
    </row>
    <row r="2037" spans="1:24" x14ac:dyDescent="0.25">
      <c r="A2037" s="553">
        <f t="shared" si="149"/>
        <v>1307111.2247183779</v>
      </c>
      <c r="B2037" s="3">
        <f t="shared" si="151"/>
        <v>2.3999999999999995</v>
      </c>
      <c r="C2037" s="553">
        <f>'Foglio deposito bis'!$E$161/sezione!$B$247*B2037</f>
        <v>9.7431549911522843</v>
      </c>
      <c r="D2037" s="611">
        <f>-'Progetto del paramento slu'!$G$47*'Progetto del paramento slu'!$G$41*IF(DATI!$G$218="dx",DATI!$E$61,DATI!$E$64*DATI!$E$63)*1000*C2037^2*sezione!$AD$5*(1-sezione!$AD$6)</f>
        <v>-781456.07472008374</v>
      </c>
      <c r="E2037" s="553">
        <f>-'Foglio deposito bis'!$F$78*(C2037-sezione!$AL$35)*IF(ABS(K2037)&lt;'Progetto del paramento slu'!$G$58,ABS(K2037)*'Progetto del paramento slu'!$G$54,'Progetto del paramento slu'!$G$53)</f>
        <v>0</v>
      </c>
      <c r="F2037" s="553">
        <f>-'Foglio deposito bis'!$F$79*(C2037-sezione!$AM$35)*IF(ABS(L2037)&lt;'Progetto del paramento slu'!$G$58,ABS(L2037)*'Progetto del paramento slu'!$G$54,'Progetto del paramento slu'!$G$53)</f>
        <v>21552548.179670129</v>
      </c>
      <c r="G2037" s="553">
        <f>-'Foglio deposito bis'!$F$80*(C2037-sezione!$AN$35)*IF(ABS(M2037)&lt;'Progetto del paramento slu'!$G$58,ABS(M2037)*'Progetto del paramento slu'!$G$54,'Progetto del paramento slu'!$G$53)</f>
        <v>0</v>
      </c>
      <c r="H2037" s="553">
        <f>-'Foglio deposito bis'!$F$81*(C2037-sezione!$AO$35)*IF(ABS(N2037)&lt;'Progetto del paramento slu'!$G$58,ABS(N2037)*'Progetto del paramento slu'!$G$54,'Progetto del paramento slu'!$G$53)</f>
        <v>131541074.17713495</v>
      </c>
      <c r="I2037" s="479">
        <f>-'Foglio deposito bis'!$F$82*(C2037-sezione!$AP$35)*IF(ABS(O2037)&lt;'Progetto del paramento slu'!$G$58,ABS(O2037)*'Progetto del paramento slu'!$G$54,'Progetto del paramento slu'!$G$53)</f>
        <v>223357727.06313774</v>
      </c>
      <c r="J2037" s="479">
        <f t="shared" si="147"/>
        <v>375669893.34522271</v>
      </c>
      <c r="K2037" s="558">
        <f>'Progetto del paramento slu'!$G$60*(sezione!$AL$35-C2037)/C2037</f>
        <v>1.0869062190546428E-2</v>
      </c>
      <c r="L2037" s="558">
        <f>'Progetto del paramento slu'!$G$60*(sezione!$AM$35-C2037)/C2037</f>
        <v>5.0383983214549101E-2</v>
      </c>
      <c r="M2037" s="559">
        <f>'Progetto del paramento slu'!$G$60*(sezione!$AN$35-C2037)/C2037</f>
        <v>8.9898904238551777E-2</v>
      </c>
      <c r="N2037" s="559">
        <f>'Progetto del paramento slu'!$G$60*(sezione!$AO$35-C2037)/C2037</f>
        <v>0.11863702861964463</v>
      </c>
      <c r="O2037" s="559">
        <f>'Progetto del paramento slu'!$G$60*(sezione!$AP$35-C2037)/C2037</f>
        <v>8.9901771142786843E-2</v>
      </c>
      <c r="P2037" s="553">
        <f>-'Progetto del paramento slu'!$G$47*'Progetto del paramento slu'!$G$41*IF(DATI!$G$218="dx",DATI!$E$61,DATI!$E$64*DATI!$E$63)*1000*C2037*sezione!$AD$5</f>
        <v>-137338.44100823358</v>
      </c>
      <c r="Q2037" s="553">
        <f>'Foglio deposito bis'!$F$78*IF(ABS(K2037)&lt;'Progetto del paramento slu'!$G$58,ABS(K2037)*'Progetto del paramento slu'!$G$54,'Progetto del paramento slu'!$G$53)*IF(K2037&lt;0,-1,1)</f>
        <v>0</v>
      </c>
      <c r="R2037" s="553">
        <f>'Foglio deposito bis'!$F$79*IF(ABS(L2037)&lt;'Progetto del paramento slu'!$G$58,ABS(L2037)*'Progetto del paramento slu'!$G$54,'Progetto del paramento slu'!$G$53)*IF(L2037&lt;0,-1,1)</f>
        <v>153664.85805602249</v>
      </c>
      <c r="S2037" s="553">
        <f>'Foglio deposito bis'!$F$80*IF(ABS(M2037)&lt;'Progetto del paramento slu'!$G$58,ABS(M2037)*'Progetto del paramento slu'!$G$54,'Progetto del paramento slu'!$G$53)*IF(M2037&lt;0,-1,1)</f>
        <v>0</v>
      </c>
      <c r="T2037" s="553">
        <f>'Foglio deposito bis'!$F$81*IF(ABS(N2037)&lt;'Progetto del paramento slu'!$G$58,ABS(N2037)*'Progetto del paramento slu'!$G$54,'Progetto del paramento slu'!$G$53)*IF(N2037&lt;0,-1,1)</f>
        <v>398299.31208121032</v>
      </c>
      <c r="U2037" s="553">
        <f>'Foglio deposito bis'!$F$82*IF(ABS(O2037)&lt;'Progetto del paramento slu'!$G$58,ABS(O2037)*'Progetto del paramento slu'!$G$54,'Progetto del paramento slu'!$G$53)*IF(O2037&lt;0,-1,1)</f>
        <v>892485.49558937876</v>
      </c>
      <c r="V2037" s="479">
        <f t="shared" si="150"/>
        <v>1307111.2247183779</v>
      </c>
      <c r="W2037" s="559"/>
      <c r="X2037" s="559"/>
    </row>
    <row r="2038" spans="1:24" x14ac:dyDescent="0.25">
      <c r="A2038" s="553">
        <f t="shared" si="149"/>
        <v>1304250.0071973731</v>
      </c>
      <c r="B2038" s="3">
        <f t="shared" si="151"/>
        <v>2.4499999999999993</v>
      </c>
      <c r="C2038" s="553">
        <f>'Foglio deposito bis'!$E$161/sezione!$B$247*B2038</f>
        <v>9.9461373868012881</v>
      </c>
      <c r="D2038" s="611">
        <f>-'Progetto del paramento slu'!$G$47*'Progetto del paramento slu'!$G$41*IF(DATI!$G$218="dx",DATI!$E$61,DATI!$E$64*DATI!$E$63)*1000*C2038^2*sezione!$AD$5*(1-sezione!$AD$6)</f>
        <v>-814355.91814362851</v>
      </c>
      <c r="E2038" s="553">
        <f>-'Foglio deposito bis'!$F$78*(C2038-sezione!$AL$35)*IF(ABS(K2038)&lt;'Progetto del paramento slu'!$G$58,ABS(K2038)*'Progetto del paramento slu'!$G$54,'Progetto del paramento slu'!$G$53)</f>
        <v>0</v>
      </c>
      <c r="F2038" s="553">
        <f>-'Foglio deposito bis'!$F$79*(C2038-sezione!$AM$35)*IF(ABS(L2038)&lt;'Progetto del paramento slu'!$G$58,ABS(L2038)*'Progetto del paramento slu'!$G$54,'Progetto del paramento slu'!$G$53)</f>
        <v>21521356.918654855</v>
      </c>
      <c r="G2038" s="553">
        <f>-'Foglio deposito bis'!$F$80*(C2038-sezione!$AN$35)*IF(ABS(M2038)&lt;'Progetto del paramento slu'!$G$58,ABS(M2038)*'Progetto del paramento slu'!$G$54,'Progetto del paramento slu'!$G$53)</f>
        <v>0</v>
      </c>
      <c r="H2038" s="553">
        <f>-'Foglio deposito bis'!$F$81*(C2038-sezione!$AO$35)*IF(ABS(N2038)&lt;'Progetto del paramento slu'!$G$58,ABS(N2038)*'Progetto del paramento slu'!$G$54,'Progetto del paramento slu'!$G$53)</f>
        <v>131460226.42858334</v>
      </c>
      <c r="I2038" s="479">
        <f>-'Foglio deposito bis'!$F$82*(C2038-sezione!$AP$35)*IF(ABS(O2038)&lt;'Progetto del paramento slu'!$G$58,ABS(O2038)*'Progetto del paramento slu'!$G$54,'Progetto del paramento slu'!$G$53)</f>
        <v>223176568.21916103</v>
      </c>
      <c r="J2038" s="479">
        <f t="shared" si="147"/>
        <v>375343795.64825559</v>
      </c>
      <c r="K2038" s="558">
        <f>'Progetto del paramento slu'!$G$60*(sezione!$AL$35-C2038)/C2038</f>
        <v>1.0575816023392422E-2</v>
      </c>
      <c r="L2038" s="558">
        <f>'Progetto del paramento slu'!$G$60*(sezione!$AM$35-C2038)/C2038</f>
        <v>4.9284310087721578E-2</v>
      </c>
      <c r="M2038" s="559">
        <f>'Progetto del paramento slu'!$G$60*(sezione!$AN$35-C2038)/C2038</f>
        <v>8.7992804152050741E-2</v>
      </c>
      <c r="N2038" s="559">
        <f>'Progetto del paramento slu'!$G$60*(sezione!$AO$35-C2038)/C2038</f>
        <v>0.11614443619883558</v>
      </c>
      <c r="O2038" s="559">
        <f>'Progetto del paramento slu'!$G$60*(sezione!$AP$35-C2038)/C2038</f>
        <v>8.7995612548036103E-2</v>
      </c>
      <c r="P2038" s="553">
        <f>-'Progetto del paramento slu'!$G$47*'Progetto del paramento slu'!$G$41*IF(DATI!$G$218="dx",DATI!$E$61,DATI!$E$64*DATI!$E$63)*1000*C2038*sezione!$AD$5</f>
        <v>-140199.6585292384</v>
      </c>
      <c r="Q2038" s="553">
        <f>'Foglio deposito bis'!$F$78*IF(ABS(K2038)&lt;'Progetto del paramento slu'!$G$58,ABS(K2038)*'Progetto del paramento slu'!$G$54,'Progetto del paramento slu'!$G$53)*IF(K2038&lt;0,-1,1)</f>
        <v>0</v>
      </c>
      <c r="R2038" s="553">
        <f>'Foglio deposito bis'!$F$79*IF(ABS(L2038)&lt;'Progetto del paramento slu'!$G$58,ABS(L2038)*'Progetto del paramento slu'!$G$54,'Progetto del paramento slu'!$G$53)*IF(L2038&lt;0,-1,1)</f>
        <v>153664.85805602249</v>
      </c>
      <c r="S2038" s="553">
        <f>'Foglio deposito bis'!$F$80*IF(ABS(M2038)&lt;'Progetto del paramento slu'!$G$58,ABS(M2038)*'Progetto del paramento slu'!$G$54,'Progetto del paramento slu'!$G$53)*IF(M2038&lt;0,-1,1)</f>
        <v>0</v>
      </c>
      <c r="T2038" s="553">
        <f>'Foglio deposito bis'!$F$81*IF(ABS(N2038)&lt;'Progetto del paramento slu'!$G$58,ABS(N2038)*'Progetto del paramento slu'!$G$54,'Progetto del paramento slu'!$G$53)*IF(N2038&lt;0,-1,1)</f>
        <v>398299.31208121032</v>
      </c>
      <c r="U2038" s="553">
        <f>'Foglio deposito bis'!$F$82*IF(ABS(O2038)&lt;'Progetto del paramento slu'!$G$58,ABS(O2038)*'Progetto del paramento slu'!$G$54,'Progetto del paramento slu'!$G$53)*IF(O2038&lt;0,-1,1)</f>
        <v>892485.49558937876</v>
      </c>
      <c r="V2038" s="479">
        <f t="shared" si="150"/>
        <v>1304250.0071973731</v>
      </c>
      <c r="W2038" s="559"/>
      <c r="X2038" s="559"/>
    </row>
    <row r="2039" spans="1:24" x14ac:dyDescent="0.25">
      <c r="A2039" s="553">
        <f t="shared" si="149"/>
        <v>1301388.7896763682</v>
      </c>
      <c r="B2039" s="3">
        <f t="shared" si="151"/>
        <v>2.4999999999999991</v>
      </c>
      <c r="C2039" s="553">
        <f>'Foglio deposito bis'!$E$161/sezione!$B$247*B2039</f>
        <v>10.149119782450294</v>
      </c>
      <c r="D2039" s="611">
        <f>-'Progetto del paramento slu'!$G$47*'Progetto del paramento slu'!$G$41*IF(DATI!$G$218="dx",DATI!$E$61,DATI!$E$64*DATI!$E$63)*1000*C2039^2*sezione!$AD$5*(1-sezione!$AD$6)</f>
        <v>-847934.10885425704</v>
      </c>
      <c r="E2039" s="553">
        <f>-'Foglio deposito bis'!$F$78*(C2039-sezione!$AL$35)*IF(ABS(K2039)&lt;'Progetto del paramento slu'!$G$58,ABS(K2039)*'Progetto del paramento slu'!$G$54,'Progetto del paramento slu'!$G$53)</f>
        <v>0</v>
      </c>
      <c r="F2039" s="553">
        <f>-'Foglio deposito bis'!$F$79*(C2039-sezione!$AM$35)*IF(ABS(L2039)&lt;'Progetto del paramento slu'!$G$58,ABS(L2039)*'Progetto del paramento slu'!$G$54,'Progetto del paramento slu'!$G$53)</f>
        <v>21490165.657639578</v>
      </c>
      <c r="G2039" s="553">
        <f>-'Foglio deposito bis'!$F$80*(C2039-sezione!$AN$35)*IF(ABS(M2039)&lt;'Progetto del paramento slu'!$G$58,ABS(M2039)*'Progetto del paramento slu'!$G$54,'Progetto del paramento slu'!$G$53)</f>
        <v>0</v>
      </c>
      <c r="H2039" s="553">
        <f>-'Foglio deposito bis'!$F$81*(C2039-sezione!$AO$35)*IF(ABS(N2039)&lt;'Progetto del paramento slu'!$G$58,ABS(N2039)*'Progetto del paramento slu'!$G$54,'Progetto del paramento slu'!$G$53)</f>
        <v>131379378.68003176</v>
      </c>
      <c r="I2039" s="479">
        <f>-'Foglio deposito bis'!$F$82*(C2039-sezione!$AP$35)*IF(ABS(O2039)&lt;'Progetto del paramento slu'!$G$58,ABS(O2039)*'Progetto del paramento slu'!$G$54,'Progetto del paramento slu'!$G$53)</f>
        <v>222995409.3751843</v>
      </c>
      <c r="J2039" s="479">
        <f t="shared" si="147"/>
        <v>375017019.6040014</v>
      </c>
      <c r="K2039" s="558">
        <f>'Progetto del paramento slu'!$G$60*(sezione!$AL$35-C2039)/C2039</f>
        <v>1.0294299702924574E-2</v>
      </c>
      <c r="L2039" s="558">
        <f>'Progetto del paramento slu'!$G$60*(sezione!$AM$35-C2039)/C2039</f>
        <v>4.8228623885967152E-2</v>
      </c>
      <c r="M2039" s="559">
        <f>'Progetto del paramento slu'!$G$60*(sezione!$AN$35-C2039)/C2039</f>
        <v>8.6162948069009732E-2</v>
      </c>
      <c r="N2039" s="559">
        <f>'Progetto del paramento slu'!$G$60*(sezione!$AO$35-C2039)/C2039</f>
        <v>0.1137515474748589</v>
      </c>
      <c r="O2039" s="559">
        <f>'Progetto del paramento slu'!$G$60*(sezione!$AP$35-C2039)/C2039</f>
        <v>8.616570029707539E-2</v>
      </c>
      <c r="P2039" s="553">
        <f>-'Progetto del paramento slu'!$G$47*'Progetto del paramento slu'!$G$41*IF(DATI!$G$218="dx",DATI!$E$61,DATI!$E$64*DATI!$E$63)*1000*C2039*sezione!$AD$5</f>
        <v>-143060.87605024327</v>
      </c>
      <c r="Q2039" s="553">
        <f>'Foglio deposito bis'!$F$78*IF(ABS(K2039)&lt;'Progetto del paramento slu'!$G$58,ABS(K2039)*'Progetto del paramento slu'!$G$54,'Progetto del paramento slu'!$G$53)*IF(K2039&lt;0,-1,1)</f>
        <v>0</v>
      </c>
      <c r="R2039" s="553">
        <f>'Foglio deposito bis'!$F$79*IF(ABS(L2039)&lt;'Progetto del paramento slu'!$G$58,ABS(L2039)*'Progetto del paramento slu'!$G$54,'Progetto del paramento slu'!$G$53)*IF(L2039&lt;0,-1,1)</f>
        <v>153664.85805602249</v>
      </c>
      <c r="S2039" s="553">
        <f>'Foglio deposito bis'!$F$80*IF(ABS(M2039)&lt;'Progetto del paramento slu'!$G$58,ABS(M2039)*'Progetto del paramento slu'!$G$54,'Progetto del paramento slu'!$G$53)*IF(M2039&lt;0,-1,1)</f>
        <v>0</v>
      </c>
      <c r="T2039" s="553">
        <f>'Foglio deposito bis'!$F$81*IF(ABS(N2039)&lt;'Progetto del paramento slu'!$G$58,ABS(N2039)*'Progetto del paramento slu'!$G$54,'Progetto del paramento slu'!$G$53)*IF(N2039&lt;0,-1,1)</f>
        <v>398299.31208121032</v>
      </c>
      <c r="U2039" s="553">
        <f>'Foglio deposito bis'!$F$82*IF(ABS(O2039)&lt;'Progetto del paramento slu'!$G$58,ABS(O2039)*'Progetto del paramento slu'!$G$54,'Progetto del paramento slu'!$G$53)*IF(O2039&lt;0,-1,1)</f>
        <v>892485.49558937876</v>
      </c>
      <c r="V2039" s="479">
        <f t="shared" si="150"/>
        <v>1301388.7896763682</v>
      </c>
      <c r="W2039" s="559"/>
      <c r="X2039" s="559"/>
    </row>
    <row r="2040" spans="1:24" x14ac:dyDescent="0.25">
      <c r="A2040" s="553">
        <f t="shared" si="149"/>
        <v>1298527.5721553634</v>
      </c>
      <c r="B2040" s="3">
        <f t="shared" si="151"/>
        <v>2.5499999999999989</v>
      </c>
      <c r="C2040" s="553">
        <f>'Foglio deposito bis'!$E$161/sezione!$B$247*B2040</f>
        <v>10.352102178099299</v>
      </c>
      <c r="D2040" s="611">
        <f>-'Progetto del paramento slu'!$G$47*'Progetto del paramento slu'!$G$41*IF(DATI!$G$218="dx",DATI!$E$61,DATI!$E$64*DATI!$E$63)*1000*C2040^2*sezione!$AD$5*(1-sezione!$AD$6)</f>
        <v>-882190.64685196884</v>
      </c>
      <c r="E2040" s="553">
        <f>-'Foglio deposito bis'!$F$78*(C2040-sezione!$AL$35)*IF(ABS(K2040)&lt;'Progetto del paramento slu'!$G$58,ABS(K2040)*'Progetto del paramento slu'!$G$54,'Progetto del paramento slu'!$G$53)</f>
        <v>0</v>
      </c>
      <c r="F2040" s="553">
        <f>-'Foglio deposito bis'!$F$79*(C2040-sezione!$AM$35)*IF(ABS(L2040)&lt;'Progetto del paramento slu'!$G$58,ABS(L2040)*'Progetto del paramento slu'!$G$54,'Progetto del paramento slu'!$G$53)</f>
        <v>21458974.396624304</v>
      </c>
      <c r="G2040" s="553">
        <f>-'Foglio deposito bis'!$F$80*(C2040-sezione!$AN$35)*IF(ABS(M2040)&lt;'Progetto del paramento slu'!$G$58,ABS(M2040)*'Progetto del paramento slu'!$G$54,'Progetto del paramento slu'!$G$53)</f>
        <v>0</v>
      </c>
      <c r="H2040" s="553">
        <f>-'Foglio deposito bis'!$F$81*(C2040-sezione!$AO$35)*IF(ABS(N2040)&lt;'Progetto del paramento slu'!$G$58,ABS(N2040)*'Progetto del paramento slu'!$G$54,'Progetto del paramento slu'!$G$53)</f>
        <v>131298530.93148017</v>
      </c>
      <c r="I2040" s="479">
        <f>-'Foglio deposito bis'!$F$82*(C2040-sezione!$AP$35)*IF(ABS(O2040)&lt;'Progetto del paramento slu'!$G$58,ABS(O2040)*'Progetto del paramento slu'!$G$54,'Progetto del paramento slu'!$G$53)</f>
        <v>222814250.53120756</v>
      </c>
      <c r="J2040" s="479">
        <f t="shared" si="147"/>
        <v>374689565.21246004</v>
      </c>
      <c r="K2040" s="558">
        <f>'Progetto del paramento slu'!$G$60*(sezione!$AL$35-C2040)/C2040</f>
        <v>1.0023823238161348E-2</v>
      </c>
      <c r="L2040" s="558">
        <f>'Progetto del paramento slu'!$G$60*(sezione!$AM$35-C2040)/C2040</f>
        <v>4.7214337143105051E-2</v>
      </c>
      <c r="M2040" s="559">
        <f>'Progetto del paramento slu'!$G$60*(sezione!$AN$35-C2040)/C2040</f>
        <v>8.4404851048048762E-2</v>
      </c>
      <c r="N2040" s="559">
        <f>'Progetto del paramento slu'!$G$60*(sezione!$AO$35-C2040)/C2040</f>
        <v>0.11145249752437146</v>
      </c>
      <c r="O2040" s="559">
        <f>'Progetto del paramento slu'!$G$60*(sezione!$AP$35-C2040)/C2040</f>
        <v>8.440754931085824E-2</v>
      </c>
      <c r="P2040" s="553">
        <f>-'Progetto del paramento slu'!$G$47*'Progetto del paramento slu'!$G$41*IF(DATI!$G$218="dx",DATI!$E$61,DATI!$E$64*DATI!$E$63)*1000*C2040*sezione!$AD$5</f>
        <v>-145922.09357124814</v>
      </c>
      <c r="Q2040" s="553">
        <f>'Foglio deposito bis'!$F$78*IF(ABS(K2040)&lt;'Progetto del paramento slu'!$G$58,ABS(K2040)*'Progetto del paramento slu'!$G$54,'Progetto del paramento slu'!$G$53)*IF(K2040&lt;0,-1,1)</f>
        <v>0</v>
      </c>
      <c r="R2040" s="553">
        <f>'Foglio deposito bis'!$F$79*IF(ABS(L2040)&lt;'Progetto del paramento slu'!$G$58,ABS(L2040)*'Progetto del paramento slu'!$G$54,'Progetto del paramento slu'!$G$53)*IF(L2040&lt;0,-1,1)</f>
        <v>153664.85805602249</v>
      </c>
      <c r="S2040" s="553">
        <f>'Foglio deposito bis'!$F$80*IF(ABS(M2040)&lt;'Progetto del paramento slu'!$G$58,ABS(M2040)*'Progetto del paramento slu'!$G$54,'Progetto del paramento slu'!$G$53)*IF(M2040&lt;0,-1,1)</f>
        <v>0</v>
      </c>
      <c r="T2040" s="553">
        <f>'Foglio deposito bis'!$F$81*IF(ABS(N2040)&lt;'Progetto del paramento slu'!$G$58,ABS(N2040)*'Progetto del paramento slu'!$G$54,'Progetto del paramento slu'!$G$53)*IF(N2040&lt;0,-1,1)</f>
        <v>398299.31208121032</v>
      </c>
      <c r="U2040" s="553">
        <f>'Foglio deposito bis'!$F$82*IF(ABS(O2040)&lt;'Progetto del paramento slu'!$G$58,ABS(O2040)*'Progetto del paramento slu'!$G$54,'Progetto del paramento slu'!$G$53)*IF(O2040&lt;0,-1,1)</f>
        <v>892485.49558937876</v>
      </c>
      <c r="V2040" s="479">
        <f t="shared" si="150"/>
        <v>1298527.5721553634</v>
      </c>
      <c r="W2040" s="559"/>
      <c r="X2040" s="559"/>
    </row>
    <row r="2041" spans="1:24" x14ac:dyDescent="0.25">
      <c r="A2041" s="553">
        <f t="shared" si="149"/>
        <v>1295666.3546343585</v>
      </c>
      <c r="B2041" s="3">
        <f t="shared" si="151"/>
        <v>2.5999999999999988</v>
      </c>
      <c r="C2041" s="553">
        <f>'Foglio deposito bis'!$E$161/sezione!$B$247*B2041</f>
        <v>10.555084573748305</v>
      </c>
      <c r="D2041" s="611">
        <f>-'Progetto del paramento slu'!$G$47*'Progetto del paramento slu'!$G$41*IF(DATI!$G$218="dx",DATI!$E$61,DATI!$E$64*DATI!$E$63)*1000*C2041^2*sezione!$AD$5*(1-sezione!$AD$6)</f>
        <v>-917125.53213676438</v>
      </c>
      <c r="E2041" s="553">
        <f>-'Foglio deposito bis'!$F$78*(C2041-sezione!$AL$35)*IF(ABS(K2041)&lt;'Progetto del paramento slu'!$G$58,ABS(K2041)*'Progetto del paramento slu'!$G$54,'Progetto del paramento slu'!$G$53)</f>
        <v>0</v>
      </c>
      <c r="F2041" s="553">
        <f>-'Foglio deposito bis'!$F$79*(C2041-sezione!$AM$35)*IF(ABS(L2041)&lt;'Progetto del paramento slu'!$G$58,ABS(L2041)*'Progetto del paramento slu'!$G$54,'Progetto del paramento slu'!$G$53)</f>
        <v>21427783.135609027</v>
      </c>
      <c r="G2041" s="553">
        <f>-'Foglio deposito bis'!$F$80*(C2041-sezione!$AN$35)*IF(ABS(M2041)&lt;'Progetto del paramento slu'!$G$58,ABS(M2041)*'Progetto del paramento slu'!$G$54,'Progetto del paramento slu'!$G$53)</f>
        <v>0</v>
      </c>
      <c r="H2041" s="553">
        <f>-'Foglio deposito bis'!$F$81*(C2041-sezione!$AO$35)*IF(ABS(N2041)&lt;'Progetto del paramento slu'!$G$58,ABS(N2041)*'Progetto del paramento slu'!$G$54,'Progetto del paramento slu'!$G$53)</f>
        <v>131217683.18292856</v>
      </c>
      <c r="I2041" s="479">
        <f>-'Foglio deposito bis'!$F$82*(C2041-sezione!$AP$35)*IF(ABS(O2041)&lt;'Progetto del paramento slu'!$G$58,ABS(O2041)*'Progetto del paramento slu'!$G$54,'Progetto del paramento slu'!$G$53)</f>
        <v>222633091.68723089</v>
      </c>
      <c r="J2041" s="479">
        <f t="shared" si="147"/>
        <v>374361432.47363174</v>
      </c>
      <c r="K2041" s="558">
        <f>'Progetto del paramento slu'!$G$60*(sezione!$AL$35-C2041)/C2041</f>
        <v>9.7637497143505531E-3</v>
      </c>
      <c r="L2041" s="558">
        <f>'Progetto del paramento slu'!$G$60*(sezione!$AM$35-C2041)/C2041</f>
        <v>4.6239061428814572E-2</v>
      </c>
      <c r="M2041" s="559">
        <f>'Progetto del paramento slu'!$G$60*(sezione!$AN$35-C2041)/C2041</f>
        <v>8.2714373143278591E-2</v>
      </c>
      <c r="N2041" s="559">
        <f>'Progetto del paramento slu'!$G$60*(sezione!$AO$35-C2041)/C2041</f>
        <v>0.10924187257197969</v>
      </c>
      <c r="O2041" s="559">
        <f>'Progetto del paramento slu'!$G$60*(sezione!$AP$35-C2041)/C2041</f>
        <v>8.2717019516418647E-2</v>
      </c>
      <c r="P2041" s="553">
        <f>-'Progetto del paramento slu'!$G$47*'Progetto del paramento slu'!$G$41*IF(DATI!$G$218="dx",DATI!$E$61,DATI!$E$64*DATI!$E$63)*1000*C2041*sezione!$AD$5</f>
        <v>-148783.31109225299</v>
      </c>
      <c r="Q2041" s="553">
        <f>'Foglio deposito bis'!$F$78*IF(ABS(K2041)&lt;'Progetto del paramento slu'!$G$58,ABS(K2041)*'Progetto del paramento slu'!$G$54,'Progetto del paramento slu'!$G$53)*IF(K2041&lt;0,-1,1)</f>
        <v>0</v>
      </c>
      <c r="R2041" s="553">
        <f>'Foglio deposito bis'!$F$79*IF(ABS(L2041)&lt;'Progetto del paramento slu'!$G$58,ABS(L2041)*'Progetto del paramento slu'!$G$54,'Progetto del paramento slu'!$G$53)*IF(L2041&lt;0,-1,1)</f>
        <v>153664.85805602249</v>
      </c>
      <c r="S2041" s="553">
        <f>'Foglio deposito bis'!$F$80*IF(ABS(M2041)&lt;'Progetto del paramento slu'!$G$58,ABS(M2041)*'Progetto del paramento slu'!$G$54,'Progetto del paramento slu'!$G$53)*IF(M2041&lt;0,-1,1)</f>
        <v>0</v>
      </c>
      <c r="T2041" s="553">
        <f>'Foglio deposito bis'!$F$81*IF(ABS(N2041)&lt;'Progetto del paramento slu'!$G$58,ABS(N2041)*'Progetto del paramento slu'!$G$54,'Progetto del paramento slu'!$G$53)*IF(N2041&lt;0,-1,1)</f>
        <v>398299.31208121032</v>
      </c>
      <c r="U2041" s="553">
        <f>'Foglio deposito bis'!$F$82*IF(ABS(O2041)&lt;'Progetto del paramento slu'!$G$58,ABS(O2041)*'Progetto del paramento slu'!$G$54,'Progetto del paramento slu'!$G$53)*IF(O2041&lt;0,-1,1)</f>
        <v>892485.49558937876</v>
      </c>
      <c r="V2041" s="479">
        <f t="shared" si="150"/>
        <v>1295666.3546343585</v>
      </c>
      <c r="W2041" s="559"/>
      <c r="X2041" s="559"/>
    </row>
    <row r="2042" spans="1:24" x14ac:dyDescent="0.25">
      <c r="A2042" s="553">
        <f t="shared" si="149"/>
        <v>1292805.1371133537</v>
      </c>
      <c r="B2042" s="3">
        <f t="shared" si="151"/>
        <v>2.6499999999999986</v>
      </c>
      <c r="C2042" s="553">
        <f>'Foglio deposito bis'!$E$161/sezione!$B$247*B2042</f>
        <v>10.75806696939731</v>
      </c>
      <c r="D2042" s="611">
        <f>-'Progetto del paramento slu'!$G$47*'Progetto del paramento slu'!$G$41*IF(DATI!$G$218="dx",DATI!$E$61,DATI!$E$64*DATI!$E$63)*1000*C2042^2*sezione!$AD$5*(1-sezione!$AD$6)</f>
        <v>-952738.76470864296</v>
      </c>
      <c r="E2042" s="553">
        <f>-'Foglio deposito bis'!$F$78*(C2042-sezione!$AL$35)*IF(ABS(K2042)&lt;'Progetto del paramento slu'!$G$58,ABS(K2042)*'Progetto del paramento slu'!$G$54,'Progetto del paramento slu'!$G$53)</f>
        <v>0</v>
      </c>
      <c r="F2042" s="553">
        <f>-'Foglio deposito bis'!$F$79*(C2042-sezione!$AM$35)*IF(ABS(L2042)&lt;'Progetto del paramento slu'!$G$58,ABS(L2042)*'Progetto del paramento slu'!$G$54,'Progetto del paramento slu'!$G$53)</f>
        <v>21396591.874593753</v>
      </c>
      <c r="G2042" s="553">
        <f>-'Foglio deposito bis'!$F$80*(C2042-sezione!$AN$35)*IF(ABS(M2042)&lt;'Progetto del paramento slu'!$G$58,ABS(M2042)*'Progetto del paramento slu'!$G$54,'Progetto del paramento slu'!$G$53)</f>
        <v>0</v>
      </c>
      <c r="H2042" s="553">
        <f>-'Foglio deposito bis'!$F$81*(C2042-sezione!$AO$35)*IF(ABS(N2042)&lt;'Progetto del paramento slu'!$G$58,ABS(N2042)*'Progetto del paramento slu'!$G$54,'Progetto del paramento slu'!$G$53)</f>
        <v>131136835.43437696</v>
      </c>
      <c r="I2042" s="479">
        <f>-'Foglio deposito bis'!$F$82*(C2042-sezione!$AP$35)*IF(ABS(O2042)&lt;'Progetto del paramento slu'!$G$58,ABS(O2042)*'Progetto del paramento slu'!$G$54,'Progetto del paramento slu'!$G$53)</f>
        <v>222451932.84325415</v>
      </c>
      <c r="J2042" s="479">
        <f t="shared" si="147"/>
        <v>374032621.3875162</v>
      </c>
      <c r="K2042" s="558">
        <f>'Progetto del paramento slu'!$G$60*(sezione!$AL$35-C2042)/C2042</f>
        <v>9.5134902857779008E-3</v>
      </c>
      <c r="L2042" s="558">
        <f>'Progetto del paramento slu'!$G$60*(sezione!$AM$35-C2042)/C2042</f>
        <v>4.5300588571667133E-2</v>
      </c>
      <c r="M2042" s="559">
        <f>'Progetto del paramento slu'!$G$60*(sezione!$AN$35-C2042)/C2042</f>
        <v>8.1087686857556351E-2</v>
      </c>
      <c r="N2042" s="559">
        <f>'Progetto del paramento slu'!$G$60*(sezione!$AO$35-C2042)/C2042</f>
        <v>0.10711466742911215</v>
      </c>
      <c r="O2042" s="559">
        <f>'Progetto del paramento slu'!$G$60*(sezione!$AP$35-C2042)/C2042</f>
        <v>8.1090283299127736E-2</v>
      </c>
      <c r="P2042" s="553">
        <f>-'Progetto del paramento slu'!$G$47*'Progetto del paramento slu'!$G$41*IF(DATI!$G$218="dx",DATI!$E$61,DATI!$E$64*DATI!$E$63)*1000*C2042*sezione!$AD$5</f>
        <v>-151644.52861325786</v>
      </c>
      <c r="Q2042" s="553">
        <f>'Foglio deposito bis'!$F$78*IF(ABS(K2042)&lt;'Progetto del paramento slu'!$G$58,ABS(K2042)*'Progetto del paramento slu'!$G$54,'Progetto del paramento slu'!$G$53)*IF(K2042&lt;0,-1,1)</f>
        <v>0</v>
      </c>
      <c r="R2042" s="553">
        <f>'Foglio deposito bis'!$F$79*IF(ABS(L2042)&lt;'Progetto del paramento slu'!$G$58,ABS(L2042)*'Progetto del paramento slu'!$G$54,'Progetto del paramento slu'!$G$53)*IF(L2042&lt;0,-1,1)</f>
        <v>153664.85805602249</v>
      </c>
      <c r="S2042" s="553">
        <f>'Foglio deposito bis'!$F$80*IF(ABS(M2042)&lt;'Progetto del paramento slu'!$G$58,ABS(M2042)*'Progetto del paramento slu'!$G$54,'Progetto del paramento slu'!$G$53)*IF(M2042&lt;0,-1,1)</f>
        <v>0</v>
      </c>
      <c r="T2042" s="553">
        <f>'Foglio deposito bis'!$F$81*IF(ABS(N2042)&lt;'Progetto del paramento slu'!$G$58,ABS(N2042)*'Progetto del paramento slu'!$G$54,'Progetto del paramento slu'!$G$53)*IF(N2042&lt;0,-1,1)</f>
        <v>398299.31208121032</v>
      </c>
      <c r="U2042" s="553">
        <f>'Foglio deposito bis'!$F$82*IF(ABS(O2042)&lt;'Progetto del paramento slu'!$G$58,ABS(O2042)*'Progetto del paramento slu'!$G$54,'Progetto del paramento slu'!$G$53)*IF(O2042&lt;0,-1,1)</f>
        <v>892485.49558937876</v>
      </c>
      <c r="V2042" s="479">
        <f t="shared" si="150"/>
        <v>1292805.1371133537</v>
      </c>
      <c r="W2042" s="559"/>
      <c r="X2042" s="559"/>
    </row>
    <row r="2043" spans="1:24" x14ac:dyDescent="0.25">
      <c r="A2043" s="553">
        <f t="shared" si="149"/>
        <v>1289943.9195923489</v>
      </c>
      <c r="B2043" s="3">
        <f t="shared" si="151"/>
        <v>2.6999999999999984</v>
      </c>
      <c r="C2043" s="553">
        <f>'Foglio deposito bis'!$E$161/sezione!$B$247*B2043</f>
        <v>10.961049365046314</v>
      </c>
      <c r="D2043" s="611">
        <f>-'Progetto del paramento slu'!$G$47*'Progetto del paramento slu'!$G$41*IF(DATI!$G$218="dx",DATI!$E$61,DATI!$E$64*DATI!$E$63)*1000*C2043^2*sezione!$AD$5*(1-sezione!$AD$6)</f>
        <v>-989030.34456760495</v>
      </c>
      <c r="E2043" s="553">
        <f>-'Foglio deposito bis'!$F$78*(C2043-sezione!$AL$35)*IF(ABS(K2043)&lt;'Progetto del paramento slu'!$G$58,ABS(K2043)*'Progetto del paramento slu'!$G$54,'Progetto del paramento slu'!$G$53)</f>
        <v>0</v>
      </c>
      <c r="F2043" s="553">
        <f>-'Foglio deposito bis'!$F$79*(C2043-sezione!$AM$35)*IF(ABS(L2043)&lt;'Progetto del paramento slu'!$G$58,ABS(L2043)*'Progetto del paramento slu'!$G$54,'Progetto del paramento slu'!$G$53)</f>
        <v>21365400.61357848</v>
      </c>
      <c r="G2043" s="553">
        <f>-'Foglio deposito bis'!$F$80*(C2043-sezione!$AN$35)*IF(ABS(M2043)&lt;'Progetto del paramento slu'!$G$58,ABS(M2043)*'Progetto del paramento slu'!$G$54,'Progetto del paramento slu'!$G$53)</f>
        <v>0</v>
      </c>
      <c r="H2043" s="553">
        <f>-'Foglio deposito bis'!$F$81*(C2043-sezione!$AO$35)*IF(ABS(N2043)&lt;'Progetto del paramento slu'!$G$58,ABS(N2043)*'Progetto del paramento slu'!$G$54,'Progetto del paramento slu'!$G$53)</f>
        <v>131055987.68582536</v>
      </c>
      <c r="I2043" s="479">
        <f>-'Foglio deposito bis'!$F$82*(C2043-sezione!$AP$35)*IF(ABS(O2043)&lt;'Progetto del paramento slu'!$G$58,ABS(O2043)*'Progetto del paramento slu'!$G$54,'Progetto del paramento slu'!$G$53)</f>
        <v>222270773.99927741</v>
      </c>
      <c r="J2043" s="479">
        <f t="shared" si="147"/>
        <v>373703131.95411366</v>
      </c>
      <c r="K2043" s="558">
        <f>'Progetto del paramento slu'!$G$60*(sezione!$AL$35-C2043)/C2043</f>
        <v>9.2724997249301645E-3</v>
      </c>
      <c r="L2043" s="558">
        <f>'Progetto del paramento slu'!$G$60*(sezione!$AM$35-C2043)/C2043</f>
        <v>4.4396873968488119E-2</v>
      </c>
      <c r="M2043" s="559">
        <f>'Progetto del paramento slu'!$G$60*(sezione!$AN$35-C2043)/C2043</f>
        <v>7.9521248212046078E-2</v>
      </c>
      <c r="N2043" s="559">
        <f>'Progetto del paramento slu'!$G$60*(sezione!$AO$35-C2043)/C2043</f>
        <v>0.10506624766190639</v>
      </c>
      <c r="O2043" s="559">
        <f>'Progetto del paramento slu'!$G$60*(sezione!$AP$35-C2043)/C2043</f>
        <v>7.9523796571366129E-2</v>
      </c>
      <c r="P2043" s="553">
        <f>-'Progetto del paramento slu'!$G$47*'Progetto del paramento slu'!$G$41*IF(DATI!$G$218="dx",DATI!$E$61,DATI!$E$64*DATI!$E$63)*1000*C2043*sezione!$AD$5</f>
        <v>-154505.74613426268</v>
      </c>
      <c r="Q2043" s="553">
        <f>'Foglio deposito bis'!$F$78*IF(ABS(K2043)&lt;'Progetto del paramento slu'!$G$58,ABS(K2043)*'Progetto del paramento slu'!$G$54,'Progetto del paramento slu'!$G$53)*IF(K2043&lt;0,-1,1)</f>
        <v>0</v>
      </c>
      <c r="R2043" s="553">
        <f>'Foglio deposito bis'!$F$79*IF(ABS(L2043)&lt;'Progetto del paramento slu'!$G$58,ABS(L2043)*'Progetto del paramento slu'!$G$54,'Progetto del paramento slu'!$G$53)*IF(L2043&lt;0,-1,1)</f>
        <v>153664.85805602249</v>
      </c>
      <c r="S2043" s="553">
        <f>'Foglio deposito bis'!$F$80*IF(ABS(M2043)&lt;'Progetto del paramento slu'!$G$58,ABS(M2043)*'Progetto del paramento slu'!$G$54,'Progetto del paramento slu'!$G$53)*IF(M2043&lt;0,-1,1)</f>
        <v>0</v>
      </c>
      <c r="T2043" s="553">
        <f>'Foglio deposito bis'!$F$81*IF(ABS(N2043)&lt;'Progetto del paramento slu'!$G$58,ABS(N2043)*'Progetto del paramento slu'!$G$54,'Progetto del paramento slu'!$G$53)*IF(N2043&lt;0,-1,1)</f>
        <v>398299.31208121032</v>
      </c>
      <c r="U2043" s="553">
        <f>'Foglio deposito bis'!$F$82*IF(ABS(O2043)&lt;'Progetto del paramento slu'!$G$58,ABS(O2043)*'Progetto del paramento slu'!$G$54,'Progetto del paramento slu'!$G$53)*IF(O2043&lt;0,-1,1)</f>
        <v>892485.49558937876</v>
      </c>
      <c r="V2043" s="479">
        <f t="shared" si="150"/>
        <v>1289943.9195923489</v>
      </c>
      <c r="W2043" s="559"/>
      <c r="X2043" s="559"/>
    </row>
    <row r="2044" spans="1:24" x14ac:dyDescent="0.25">
      <c r="A2044" s="553">
        <f t="shared" si="149"/>
        <v>1287082.702071344</v>
      </c>
      <c r="B2044" s="3">
        <f t="shared" si="151"/>
        <v>2.7499999999999982</v>
      </c>
      <c r="C2044" s="553">
        <f>'Foglio deposito bis'!$E$161/sezione!$B$247*B2044</f>
        <v>11.16403176069532</v>
      </c>
      <c r="D2044" s="611">
        <f>-'Progetto del paramento slu'!$G$47*'Progetto del paramento slu'!$G$41*IF(DATI!$G$218="dx",DATI!$E$61,DATI!$E$64*DATI!$E$63)*1000*C2044^2*sezione!$AD$5*(1-sezione!$AD$6)</f>
        <v>-1026000.2717136503</v>
      </c>
      <c r="E2044" s="553">
        <f>-'Foglio deposito bis'!$F$78*(C2044-sezione!$AL$35)*IF(ABS(K2044)&lt;'Progetto del paramento slu'!$G$58,ABS(K2044)*'Progetto del paramento slu'!$G$54,'Progetto del paramento slu'!$G$53)</f>
        <v>0</v>
      </c>
      <c r="F2044" s="553">
        <f>-'Foglio deposito bis'!$F$79*(C2044-sezione!$AM$35)*IF(ABS(L2044)&lt;'Progetto del paramento slu'!$G$58,ABS(L2044)*'Progetto del paramento slu'!$G$54,'Progetto del paramento slu'!$G$53)</f>
        <v>21334209.352563202</v>
      </c>
      <c r="G2044" s="553">
        <f>-'Foglio deposito bis'!$F$80*(C2044-sezione!$AN$35)*IF(ABS(M2044)&lt;'Progetto del paramento slu'!$G$58,ABS(M2044)*'Progetto del paramento slu'!$G$54,'Progetto del paramento slu'!$G$53)</f>
        <v>0</v>
      </c>
      <c r="H2044" s="553">
        <f>-'Foglio deposito bis'!$F$81*(C2044-sezione!$AO$35)*IF(ABS(N2044)&lt;'Progetto del paramento slu'!$G$58,ABS(N2044)*'Progetto del paramento slu'!$G$54,'Progetto del paramento slu'!$G$53)</f>
        <v>130975139.93727379</v>
      </c>
      <c r="I2044" s="479">
        <f>-'Foglio deposito bis'!$F$82*(C2044-sezione!$AP$35)*IF(ABS(O2044)&lt;'Progetto del paramento slu'!$G$58,ABS(O2044)*'Progetto del paramento slu'!$G$54,'Progetto del paramento slu'!$G$53)</f>
        <v>222089615.15530074</v>
      </c>
      <c r="J2044" s="479">
        <f t="shared" si="147"/>
        <v>373372964.17342407</v>
      </c>
      <c r="K2044" s="558">
        <f>'Progetto del paramento slu'!$G$60*(sezione!$AL$35-C2044)/C2044</f>
        <v>9.0402724572041619E-3</v>
      </c>
      <c r="L2044" s="558">
        <f>'Progetto del paramento slu'!$G$60*(sezione!$AM$35-C2044)/C2044</f>
        <v>4.3526021714515611E-2</v>
      </c>
      <c r="M2044" s="559">
        <f>'Progetto del paramento slu'!$G$60*(sezione!$AN$35-C2044)/C2044</f>
        <v>7.8011770971827057E-2</v>
      </c>
      <c r="N2044" s="559">
        <f>'Progetto del paramento slu'!$G$60*(sezione!$AO$35-C2044)/C2044</f>
        <v>0.10309231588623538</v>
      </c>
      <c r="O2044" s="559">
        <f>'Progetto del paramento slu'!$G$60*(sezione!$AP$35-C2044)/C2044</f>
        <v>7.8014272997341289E-2</v>
      </c>
      <c r="P2044" s="553">
        <f>-'Progetto del paramento slu'!$G$47*'Progetto del paramento slu'!$G$41*IF(DATI!$G$218="dx",DATI!$E$61,DATI!$E$64*DATI!$E$63)*1000*C2044*sezione!$AD$5</f>
        <v>-157366.96365526755</v>
      </c>
      <c r="Q2044" s="553">
        <f>'Foglio deposito bis'!$F$78*IF(ABS(K2044)&lt;'Progetto del paramento slu'!$G$58,ABS(K2044)*'Progetto del paramento slu'!$G$54,'Progetto del paramento slu'!$G$53)*IF(K2044&lt;0,-1,1)</f>
        <v>0</v>
      </c>
      <c r="R2044" s="553">
        <f>'Foglio deposito bis'!$F$79*IF(ABS(L2044)&lt;'Progetto del paramento slu'!$G$58,ABS(L2044)*'Progetto del paramento slu'!$G$54,'Progetto del paramento slu'!$G$53)*IF(L2044&lt;0,-1,1)</f>
        <v>153664.85805602249</v>
      </c>
      <c r="S2044" s="553">
        <f>'Foglio deposito bis'!$F$80*IF(ABS(M2044)&lt;'Progetto del paramento slu'!$G$58,ABS(M2044)*'Progetto del paramento slu'!$G$54,'Progetto del paramento slu'!$G$53)*IF(M2044&lt;0,-1,1)</f>
        <v>0</v>
      </c>
      <c r="T2044" s="553">
        <f>'Foglio deposito bis'!$F$81*IF(ABS(N2044)&lt;'Progetto del paramento slu'!$G$58,ABS(N2044)*'Progetto del paramento slu'!$G$54,'Progetto del paramento slu'!$G$53)*IF(N2044&lt;0,-1,1)</f>
        <v>398299.31208121032</v>
      </c>
      <c r="U2044" s="553">
        <f>'Foglio deposito bis'!$F$82*IF(ABS(O2044)&lt;'Progetto del paramento slu'!$G$58,ABS(O2044)*'Progetto del paramento slu'!$G$54,'Progetto del paramento slu'!$G$53)*IF(O2044&lt;0,-1,1)</f>
        <v>892485.49558937876</v>
      </c>
      <c r="V2044" s="479">
        <f t="shared" si="150"/>
        <v>1287082.702071344</v>
      </c>
      <c r="W2044" s="559"/>
      <c r="X2044" s="559"/>
    </row>
    <row r="2045" spans="1:24" x14ac:dyDescent="0.25">
      <c r="A2045" s="553">
        <f t="shared" si="149"/>
        <v>1284221.4845503392</v>
      </c>
      <c r="B2045" s="3">
        <f t="shared" si="151"/>
        <v>2.799999999999998</v>
      </c>
      <c r="C2045" s="553">
        <f>'Foglio deposito bis'!$E$161/sezione!$B$247*B2045</f>
        <v>11.367014156344325</v>
      </c>
      <c r="D2045" s="611">
        <f>-'Progetto del paramento slu'!$G$47*'Progetto del paramento slu'!$G$41*IF(DATI!$G$218="dx",DATI!$E$61,DATI!$E$64*DATI!$E$63)*1000*C2045^2*sezione!$AD$5*(1-sezione!$AD$6)</f>
        <v>-1063648.5461467793</v>
      </c>
      <c r="E2045" s="553">
        <f>-'Foglio deposito bis'!$F$78*(C2045-sezione!$AL$35)*IF(ABS(K2045)&lt;'Progetto del paramento slu'!$G$58,ABS(K2045)*'Progetto del paramento slu'!$G$54,'Progetto del paramento slu'!$G$53)</f>
        <v>0</v>
      </c>
      <c r="F2045" s="553">
        <f>-'Foglio deposito bis'!$F$79*(C2045-sezione!$AM$35)*IF(ABS(L2045)&lt;'Progetto del paramento slu'!$G$58,ABS(L2045)*'Progetto del paramento slu'!$G$54,'Progetto del paramento slu'!$G$53)</f>
        <v>21303018.091547925</v>
      </c>
      <c r="G2045" s="553">
        <f>-'Foglio deposito bis'!$F$80*(C2045-sezione!$AN$35)*IF(ABS(M2045)&lt;'Progetto del paramento slu'!$G$58,ABS(M2045)*'Progetto del paramento slu'!$G$54,'Progetto del paramento slu'!$G$53)</f>
        <v>0</v>
      </c>
      <c r="H2045" s="553">
        <f>-'Foglio deposito bis'!$F$81*(C2045-sezione!$AO$35)*IF(ABS(N2045)&lt;'Progetto del paramento slu'!$G$58,ABS(N2045)*'Progetto del paramento slu'!$G$54,'Progetto del paramento slu'!$G$53)</f>
        <v>130894292.18872218</v>
      </c>
      <c r="I2045" s="479">
        <f>-'Foglio deposito bis'!$F$82*(C2045-sezione!$AP$35)*IF(ABS(O2045)&lt;'Progetto del paramento slu'!$G$58,ABS(O2045)*'Progetto del paramento slu'!$G$54,'Progetto del paramento slu'!$G$53)</f>
        <v>221908456.31132394</v>
      </c>
      <c r="J2045" s="479">
        <f t="shared" si="147"/>
        <v>373042118.04544723</v>
      </c>
      <c r="K2045" s="558">
        <f>'Progetto del paramento slu'!$G$60*(sezione!$AL$35-C2045)/C2045</f>
        <v>8.8163390204683747E-3</v>
      </c>
      <c r="L2045" s="558">
        <f>'Progetto del paramento slu'!$G$60*(sezione!$AM$35-C2045)/C2045</f>
        <v>4.2686271326756398E-2</v>
      </c>
      <c r="M2045" s="559">
        <f>'Progetto del paramento slu'!$G$60*(sezione!$AN$35-C2045)/C2045</f>
        <v>7.6556203633044426E-2</v>
      </c>
      <c r="N2045" s="559">
        <f>'Progetto del paramento slu'!$G$60*(sezione!$AO$35-C2045)/C2045</f>
        <v>0.10118888167398117</v>
      </c>
      <c r="O2045" s="559">
        <f>'Progetto del paramento slu'!$G$60*(sezione!$AP$35-C2045)/C2045</f>
        <v>7.6558660979531623E-2</v>
      </c>
      <c r="P2045" s="553">
        <f>-'Progetto del paramento slu'!$G$47*'Progetto del paramento slu'!$G$41*IF(DATI!$G$218="dx",DATI!$E$61,DATI!$E$64*DATI!$E$63)*1000*C2045*sezione!$AD$5</f>
        <v>-160228.1811762724</v>
      </c>
      <c r="Q2045" s="553">
        <f>'Foglio deposito bis'!$F$78*IF(ABS(K2045)&lt;'Progetto del paramento slu'!$G$58,ABS(K2045)*'Progetto del paramento slu'!$G$54,'Progetto del paramento slu'!$G$53)*IF(K2045&lt;0,-1,1)</f>
        <v>0</v>
      </c>
      <c r="R2045" s="553">
        <f>'Foglio deposito bis'!$F$79*IF(ABS(L2045)&lt;'Progetto del paramento slu'!$G$58,ABS(L2045)*'Progetto del paramento slu'!$G$54,'Progetto del paramento slu'!$G$53)*IF(L2045&lt;0,-1,1)</f>
        <v>153664.85805602249</v>
      </c>
      <c r="S2045" s="553">
        <f>'Foglio deposito bis'!$F$80*IF(ABS(M2045)&lt;'Progetto del paramento slu'!$G$58,ABS(M2045)*'Progetto del paramento slu'!$G$54,'Progetto del paramento slu'!$G$53)*IF(M2045&lt;0,-1,1)</f>
        <v>0</v>
      </c>
      <c r="T2045" s="553">
        <f>'Foglio deposito bis'!$F$81*IF(ABS(N2045)&lt;'Progetto del paramento slu'!$G$58,ABS(N2045)*'Progetto del paramento slu'!$G$54,'Progetto del paramento slu'!$G$53)*IF(N2045&lt;0,-1,1)</f>
        <v>398299.31208121032</v>
      </c>
      <c r="U2045" s="553">
        <f>'Foglio deposito bis'!$F$82*IF(ABS(O2045)&lt;'Progetto del paramento slu'!$G$58,ABS(O2045)*'Progetto del paramento slu'!$G$54,'Progetto del paramento slu'!$G$53)*IF(O2045&lt;0,-1,1)</f>
        <v>892485.49558937876</v>
      </c>
      <c r="V2045" s="479">
        <f t="shared" si="150"/>
        <v>1284221.4845503392</v>
      </c>
      <c r="W2045" s="559"/>
      <c r="X2045" s="559"/>
    </row>
    <row r="2046" spans="1:24" x14ac:dyDescent="0.25">
      <c r="A2046" s="553">
        <f t="shared" si="149"/>
        <v>1281360.2670293343</v>
      </c>
      <c r="B2046" s="3">
        <f t="shared" si="151"/>
        <v>2.8499999999999979</v>
      </c>
      <c r="C2046" s="553">
        <f>'Foglio deposito bis'!$E$161/sezione!$B$247*B2046</f>
        <v>11.569996551993331</v>
      </c>
      <c r="D2046" s="611">
        <f>-'Progetto del paramento slu'!$G$47*'Progetto del paramento slu'!$G$41*IF(DATI!$G$218="dx",DATI!$E$61,DATI!$E$64*DATI!$E$63)*1000*C2046^2*sezione!$AD$5*(1-sezione!$AD$6)</f>
        <v>-1101975.1678669916</v>
      </c>
      <c r="E2046" s="553">
        <f>-'Foglio deposito bis'!$F$78*(C2046-sezione!$AL$35)*IF(ABS(K2046)&lt;'Progetto del paramento slu'!$G$58,ABS(K2046)*'Progetto del paramento slu'!$G$54,'Progetto del paramento slu'!$G$53)</f>
        <v>0</v>
      </c>
      <c r="F2046" s="553">
        <f>-'Foglio deposito bis'!$F$79*(C2046-sezione!$AM$35)*IF(ABS(L2046)&lt;'Progetto del paramento slu'!$G$58,ABS(L2046)*'Progetto del paramento slu'!$G$54,'Progetto del paramento slu'!$G$53)</f>
        <v>21271826.830532648</v>
      </c>
      <c r="G2046" s="553">
        <f>-'Foglio deposito bis'!$F$80*(C2046-sezione!$AN$35)*IF(ABS(M2046)&lt;'Progetto del paramento slu'!$G$58,ABS(M2046)*'Progetto del paramento slu'!$G$54,'Progetto del paramento slu'!$G$53)</f>
        <v>0</v>
      </c>
      <c r="H2046" s="553">
        <f>-'Foglio deposito bis'!$F$81*(C2046-sezione!$AO$35)*IF(ABS(N2046)&lt;'Progetto del paramento slu'!$G$58,ABS(N2046)*'Progetto del paramento slu'!$G$54,'Progetto del paramento slu'!$G$53)</f>
        <v>130813444.4401706</v>
      </c>
      <c r="I2046" s="479">
        <f>-'Foglio deposito bis'!$F$82*(C2046-sezione!$AP$35)*IF(ABS(O2046)&lt;'Progetto del paramento slu'!$G$58,ABS(O2046)*'Progetto del paramento slu'!$G$54,'Progetto del paramento slu'!$G$53)</f>
        <v>221727297.46734726</v>
      </c>
      <c r="J2046" s="479">
        <f t="shared" si="147"/>
        <v>372710593.57018352</v>
      </c>
      <c r="K2046" s="558">
        <f>'Progetto del paramento slu'!$G$60*(sezione!$AL$35-C2046)/C2046</f>
        <v>8.6002628973022612E-3</v>
      </c>
      <c r="L2046" s="558">
        <f>'Progetto del paramento slu'!$G$60*(sezione!$AM$35-C2046)/C2046</f>
        <v>4.1875985864883482E-2</v>
      </c>
      <c r="M2046" s="559">
        <f>'Progetto del paramento slu'!$G$60*(sezione!$AN$35-C2046)/C2046</f>
        <v>7.5151708832464706E-2</v>
      </c>
      <c r="N2046" s="559">
        <f>'Progetto del paramento slu'!$G$60*(sezione!$AO$35-C2046)/C2046</f>
        <v>9.9352234627069241E-2</v>
      </c>
      <c r="O2046" s="559">
        <f>'Progetto del paramento slu'!$G$60*(sezione!$AP$35-C2046)/C2046</f>
        <v>7.5154123067610018E-2</v>
      </c>
      <c r="P2046" s="553">
        <f>-'Progetto del paramento slu'!$G$47*'Progetto del paramento slu'!$G$41*IF(DATI!$G$218="dx",DATI!$E$61,DATI!$E$64*DATI!$E$63)*1000*C2046*sezione!$AD$5</f>
        <v>-163089.39869727727</v>
      </c>
      <c r="Q2046" s="553">
        <f>'Foglio deposito bis'!$F$78*IF(ABS(K2046)&lt;'Progetto del paramento slu'!$G$58,ABS(K2046)*'Progetto del paramento slu'!$G$54,'Progetto del paramento slu'!$G$53)*IF(K2046&lt;0,-1,1)</f>
        <v>0</v>
      </c>
      <c r="R2046" s="553">
        <f>'Foglio deposito bis'!$F$79*IF(ABS(L2046)&lt;'Progetto del paramento slu'!$G$58,ABS(L2046)*'Progetto del paramento slu'!$G$54,'Progetto del paramento slu'!$G$53)*IF(L2046&lt;0,-1,1)</f>
        <v>153664.85805602249</v>
      </c>
      <c r="S2046" s="553">
        <f>'Foglio deposito bis'!$F$80*IF(ABS(M2046)&lt;'Progetto del paramento slu'!$G$58,ABS(M2046)*'Progetto del paramento slu'!$G$54,'Progetto del paramento slu'!$G$53)*IF(M2046&lt;0,-1,1)</f>
        <v>0</v>
      </c>
      <c r="T2046" s="553">
        <f>'Foglio deposito bis'!$F$81*IF(ABS(N2046)&lt;'Progetto del paramento slu'!$G$58,ABS(N2046)*'Progetto del paramento slu'!$G$54,'Progetto del paramento slu'!$G$53)*IF(N2046&lt;0,-1,1)</f>
        <v>398299.31208121032</v>
      </c>
      <c r="U2046" s="553">
        <f>'Foglio deposito bis'!$F$82*IF(ABS(O2046)&lt;'Progetto del paramento slu'!$G$58,ABS(O2046)*'Progetto del paramento slu'!$G$54,'Progetto del paramento slu'!$G$53)*IF(O2046&lt;0,-1,1)</f>
        <v>892485.49558937876</v>
      </c>
      <c r="V2046" s="479">
        <f t="shared" si="150"/>
        <v>1281360.2670293343</v>
      </c>
      <c r="W2046" s="559"/>
      <c r="X2046" s="559"/>
    </row>
    <row r="2047" spans="1:24" x14ac:dyDescent="0.25">
      <c r="A2047" s="553">
        <f t="shared" si="149"/>
        <v>1278499.0495083295</v>
      </c>
      <c r="B2047" s="3">
        <f t="shared" si="151"/>
        <v>2.8999999999999977</v>
      </c>
      <c r="C2047" s="553">
        <f>'Foglio deposito bis'!$E$161/sezione!$B$247*B2047</f>
        <v>11.772978947642336</v>
      </c>
      <c r="D2047" s="611">
        <f>-'Progetto del paramento slu'!$G$47*'Progetto del paramento slu'!$G$41*IF(DATI!$G$218="dx",DATI!$E$61,DATI!$E$64*DATI!$E$63)*1000*C2047^2*sezione!$AD$5*(1-sezione!$AD$6)</f>
        <v>-1140980.1368742874</v>
      </c>
      <c r="E2047" s="553">
        <f>-'Foglio deposito bis'!$F$78*(C2047-sezione!$AL$35)*IF(ABS(K2047)&lt;'Progetto del paramento slu'!$G$58,ABS(K2047)*'Progetto del paramento slu'!$G$54,'Progetto del paramento slu'!$G$53)</f>
        <v>0</v>
      </c>
      <c r="F2047" s="553">
        <f>-'Foglio deposito bis'!$F$79*(C2047-sezione!$AM$35)*IF(ABS(L2047)&lt;'Progetto del paramento slu'!$G$58,ABS(L2047)*'Progetto del paramento slu'!$G$54,'Progetto del paramento slu'!$G$53)</f>
        <v>21240635.56951737</v>
      </c>
      <c r="G2047" s="553">
        <f>-'Foglio deposito bis'!$F$80*(C2047-sezione!$AN$35)*IF(ABS(M2047)&lt;'Progetto del paramento slu'!$G$58,ABS(M2047)*'Progetto del paramento slu'!$G$54,'Progetto del paramento slu'!$G$53)</f>
        <v>0</v>
      </c>
      <c r="H2047" s="553">
        <f>-'Foglio deposito bis'!$F$81*(C2047-sezione!$AO$35)*IF(ABS(N2047)&lt;'Progetto del paramento slu'!$G$58,ABS(N2047)*'Progetto del paramento slu'!$G$54,'Progetto del paramento slu'!$G$53)</f>
        <v>130732596.69161899</v>
      </c>
      <c r="I2047" s="479">
        <f>-'Foglio deposito bis'!$F$82*(C2047-sezione!$AP$35)*IF(ABS(O2047)&lt;'Progetto del paramento slu'!$G$58,ABS(O2047)*'Progetto del paramento slu'!$G$54,'Progetto del paramento slu'!$G$53)</f>
        <v>221546138.62337053</v>
      </c>
      <c r="J2047" s="479">
        <f t="shared" si="147"/>
        <v>372378390.74763262</v>
      </c>
      <c r="K2047" s="558">
        <f>'Progetto del paramento slu'!$G$60*(sezione!$AL$35-C2047)/C2047</f>
        <v>8.3916376749349816E-3</v>
      </c>
      <c r="L2047" s="558">
        <f>'Progetto del paramento slu'!$G$60*(sezione!$AM$35-C2047)/C2047</f>
        <v>4.1093641281006177E-2</v>
      </c>
      <c r="M2047" s="559">
        <f>'Progetto del paramento slu'!$G$60*(sezione!$AN$35-C2047)/C2047</f>
        <v>7.3795644887077377E-2</v>
      </c>
      <c r="N2047" s="559">
        <f>'Progetto del paramento slu'!$G$60*(sezione!$AO$35-C2047)/C2047</f>
        <v>9.757892023694735E-2</v>
      </c>
      <c r="O2047" s="559">
        <f>'Progetto del paramento slu'!$G$60*(sezione!$AP$35-C2047)/C2047</f>
        <v>7.3798017497478816E-2</v>
      </c>
      <c r="P2047" s="553">
        <f>-'Progetto del paramento slu'!$G$47*'Progetto del paramento slu'!$G$41*IF(DATI!$G$218="dx",DATI!$E$61,DATI!$E$64*DATI!$E$63)*1000*C2047*sezione!$AD$5</f>
        <v>-165950.61621828214</v>
      </c>
      <c r="Q2047" s="553">
        <f>'Foglio deposito bis'!$F$78*IF(ABS(K2047)&lt;'Progetto del paramento slu'!$G$58,ABS(K2047)*'Progetto del paramento slu'!$G$54,'Progetto del paramento slu'!$G$53)*IF(K2047&lt;0,-1,1)</f>
        <v>0</v>
      </c>
      <c r="R2047" s="553">
        <f>'Foglio deposito bis'!$F$79*IF(ABS(L2047)&lt;'Progetto del paramento slu'!$G$58,ABS(L2047)*'Progetto del paramento slu'!$G$54,'Progetto del paramento slu'!$G$53)*IF(L2047&lt;0,-1,1)</f>
        <v>153664.85805602249</v>
      </c>
      <c r="S2047" s="553">
        <f>'Foglio deposito bis'!$F$80*IF(ABS(M2047)&lt;'Progetto del paramento slu'!$G$58,ABS(M2047)*'Progetto del paramento slu'!$G$54,'Progetto del paramento slu'!$G$53)*IF(M2047&lt;0,-1,1)</f>
        <v>0</v>
      </c>
      <c r="T2047" s="553">
        <f>'Foglio deposito bis'!$F$81*IF(ABS(N2047)&lt;'Progetto del paramento slu'!$G$58,ABS(N2047)*'Progetto del paramento slu'!$G$54,'Progetto del paramento slu'!$G$53)*IF(N2047&lt;0,-1,1)</f>
        <v>398299.31208121032</v>
      </c>
      <c r="U2047" s="553">
        <f>'Foglio deposito bis'!$F$82*IF(ABS(O2047)&lt;'Progetto del paramento slu'!$G$58,ABS(O2047)*'Progetto del paramento slu'!$G$54,'Progetto del paramento slu'!$G$53)*IF(O2047&lt;0,-1,1)</f>
        <v>892485.49558937876</v>
      </c>
      <c r="V2047" s="479">
        <f t="shared" si="150"/>
        <v>1278499.0495083295</v>
      </c>
      <c r="W2047" s="559"/>
      <c r="X2047" s="559"/>
    </row>
    <row r="2048" spans="1:24" x14ac:dyDescent="0.25">
      <c r="A2048" s="553">
        <f t="shared" si="149"/>
        <v>1275637.8319873246</v>
      </c>
      <c r="B2048" s="3">
        <f t="shared" si="151"/>
        <v>2.9499999999999975</v>
      </c>
      <c r="C2048" s="553">
        <f>'Foglio deposito bis'!$E$161/sezione!$B$247*B2048</f>
        <v>11.975961343291342</v>
      </c>
      <c r="D2048" s="611">
        <f>-'Progetto del paramento slu'!$G$47*'Progetto del paramento slu'!$G$41*IF(DATI!$G$218="dx",DATI!$E$61,DATI!$E$64*DATI!$E$63)*1000*C2048^2*sezione!$AD$5*(1-sezione!$AD$6)</f>
        <v>-1180663.4531686667</v>
      </c>
      <c r="E2048" s="553">
        <f>-'Foglio deposito bis'!$F$78*(C2048-sezione!$AL$35)*IF(ABS(K2048)&lt;'Progetto del paramento slu'!$G$58,ABS(K2048)*'Progetto del paramento slu'!$G$54,'Progetto del paramento slu'!$G$53)</f>
        <v>0</v>
      </c>
      <c r="F2048" s="553">
        <f>-'Foglio deposito bis'!$F$79*(C2048-sezione!$AM$35)*IF(ABS(L2048)&lt;'Progetto del paramento slu'!$G$58,ABS(L2048)*'Progetto del paramento slu'!$G$54,'Progetto del paramento slu'!$G$53)</f>
        <v>21209444.308502097</v>
      </c>
      <c r="G2048" s="553">
        <f>-'Foglio deposito bis'!$F$80*(C2048-sezione!$AN$35)*IF(ABS(M2048)&lt;'Progetto del paramento slu'!$G$58,ABS(M2048)*'Progetto del paramento slu'!$G$54,'Progetto del paramento slu'!$G$53)</f>
        <v>0</v>
      </c>
      <c r="H2048" s="553">
        <f>-'Foglio deposito bis'!$F$81*(C2048-sezione!$AO$35)*IF(ABS(N2048)&lt;'Progetto del paramento slu'!$G$58,ABS(N2048)*'Progetto del paramento slu'!$G$54,'Progetto del paramento slu'!$G$53)</f>
        <v>130651748.9430674</v>
      </c>
      <c r="I2048" s="479">
        <f>-'Foglio deposito bis'!$F$82*(C2048-sezione!$AP$35)*IF(ABS(O2048)&lt;'Progetto del paramento slu'!$G$58,ABS(O2048)*'Progetto del paramento slu'!$G$54,'Progetto del paramento slu'!$G$53)</f>
        <v>221364979.77939379</v>
      </c>
      <c r="J2048" s="479">
        <f t="shared" si="147"/>
        <v>372045509.57779461</v>
      </c>
      <c r="K2048" s="558">
        <f>'Progetto del paramento slu'!$G$60*(sezione!$AL$35-C2048)/C2048</f>
        <v>8.1900844940038797E-3</v>
      </c>
      <c r="L2048" s="558">
        <f>'Progetto del paramento slu'!$G$60*(sezione!$AM$35-C2048)/C2048</f>
        <v>4.0337816852514551E-2</v>
      </c>
      <c r="M2048" s="559">
        <f>'Progetto del paramento slu'!$G$60*(sezione!$AN$35-C2048)/C2048</f>
        <v>7.2485549211025221E-2</v>
      </c>
      <c r="N2048" s="559">
        <f>'Progetto del paramento slu'!$G$60*(sezione!$AO$35-C2048)/C2048</f>
        <v>9.5865718199033001E-2</v>
      </c>
      <c r="O2048" s="559">
        <f>'Progetto del paramento slu'!$G$60*(sezione!$AP$35-C2048)/C2048</f>
        <v>7.248788160769104E-2</v>
      </c>
      <c r="P2048" s="553">
        <f>-'Progetto del paramento slu'!$G$47*'Progetto del paramento slu'!$G$41*IF(DATI!$G$218="dx",DATI!$E$61,DATI!$E$64*DATI!$E$63)*1000*C2048*sezione!$AD$5</f>
        <v>-168811.83373928699</v>
      </c>
      <c r="Q2048" s="553">
        <f>'Foglio deposito bis'!$F$78*IF(ABS(K2048)&lt;'Progetto del paramento slu'!$G$58,ABS(K2048)*'Progetto del paramento slu'!$G$54,'Progetto del paramento slu'!$G$53)*IF(K2048&lt;0,-1,1)</f>
        <v>0</v>
      </c>
      <c r="R2048" s="553">
        <f>'Foglio deposito bis'!$F$79*IF(ABS(L2048)&lt;'Progetto del paramento slu'!$G$58,ABS(L2048)*'Progetto del paramento slu'!$G$54,'Progetto del paramento slu'!$G$53)*IF(L2048&lt;0,-1,1)</f>
        <v>153664.85805602249</v>
      </c>
      <c r="S2048" s="553">
        <f>'Foglio deposito bis'!$F$80*IF(ABS(M2048)&lt;'Progetto del paramento slu'!$G$58,ABS(M2048)*'Progetto del paramento slu'!$G$54,'Progetto del paramento slu'!$G$53)*IF(M2048&lt;0,-1,1)</f>
        <v>0</v>
      </c>
      <c r="T2048" s="553">
        <f>'Foglio deposito bis'!$F$81*IF(ABS(N2048)&lt;'Progetto del paramento slu'!$G$58,ABS(N2048)*'Progetto del paramento slu'!$G$54,'Progetto del paramento slu'!$G$53)*IF(N2048&lt;0,-1,1)</f>
        <v>398299.31208121032</v>
      </c>
      <c r="U2048" s="553">
        <f>'Foglio deposito bis'!$F$82*IF(ABS(O2048)&lt;'Progetto del paramento slu'!$G$58,ABS(O2048)*'Progetto del paramento slu'!$G$54,'Progetto del paramento slu'!$G$53)*IF(O2048&lt;0,-1,1)</f>
        <v>892485.49558937876</v>
      </c>
      <c r="V2048" s="479">
        <f t="shared" si="150"/>
        <v>1275637.8319873246</v>
      </c>
      <c r="W2048" s="559"/>
      <c r="X2048" s="559"/>
    </row>
    <row r="2049" spans="1:24" x14ac:dyDescent="0.25">
      <c r="A2049" s="553">
        <f t="shared" si="149"/>
        <v>1272776.6144663198</v>
      </c>
      <c r="B2049" s="3">
        <f t="shared" si="151"/>
        <v>2.9999999999999973</v>
      </c>
      <c r="C2049" s="553">
        <f>'Foglio deposito bis'!$E$161/sezione!$B$247*B2049</f>
        <v>12.178943738940346</v>
      </c>
      <c r="D2049" s="611">
        <f>-'Progetto del paramento slu'!$G$47*'Progetto del paramento slu'!$G$41*IF(DATI!$G$218="dx",DATI!$E$61,DATI!$E$64*DATI!$E$63)*1000*C2049^2*sezione!$AD$5*(1-sezione!$AD$6)</f>
        <v>-1221025.116750129</v>
      </c>
      <c r="E2049" s="553">
        <f>-'Foglio deposito bis'!$F$78*(C2049-sezione!$AL$35)*IF(ABS(K2049)&lt;'Progetto del paramento slu'!$G$58,ABS(K2049)*'Progetto del paramento slu'!$G$54,'Progetto del paramento slu'!$G$53)</f>
        <v>0</v>
      </c>
      <c r="F2049" s="553">
        <f>-'Foglio deposito bis'!$F$79*(C2049-sezione!$AM$35)*IF(ABS(L2049)&lt;'Progetto del paramento slu'!$G$58,ABS(L2049)*'Progetto del paramento slu'!$G$54,'Progetto del paramento slu'!$G$53)</f>
        <v>21178253.047486823</v>
      </c>
      <c r="G2049" s="553">
        <f>-'Foglio deposito bis'!$F$80*(C2049-sezione!$AN$35)*IF(ABS(M2049)&lt;'Progetto del paramento slu'!$G$58,ABS(M2049)*'Progetto del paramento slu'!$G$54,'Progetto del paramento slu'!$G$53)</f>
        <v>0</v>
      </c>
      <c r="H2049" s="553">
        <f>-'Foglio deposito bis'!$F$81*(C2049-sezione!$AO$35)*IF(ABS(N2049)&lt;'Progetto del paramento slu'!$G$58,ABS(N2049)*'Progetto del paramento slu'!$G$54,'Progetto del paramento slu'!$G$53)</f>
        <v>130570901.19451579</v>
      </c>
      <c r="I2049" s="479">
        <f>-'Foglio deposito bis'!$F$82*(C2049-sezione!$AP$35)*IF(ABS(O2049)&lt;'Progetto del paramento slu'!$G$58,ABS(O2049)*'Progetto del paramento slu'!$G$54,'Progetto del paramento slu'!$G$53)</f>
        <v>221183820.93541712</v>
      </c>
      <c r="J2049" s="479">
        <f t="shared" si="147"/>
        <v>371711950.0606696</v>
      </c>
      <c r="K2049" s="558">
        <f>'Progetto del paramento slu'!$G$60*(sezione!$AL$35-C2049)/C2049</f>
        <v>7.9952497524371502E-3</v>
      </c>
      <c r="L2049" s="558">
        <f>'Progetto del paramento slu'!$G$60*(sezione!$AM$35-C2049)/C2049</f>
        <v>3.9607186571639315E-2</v>
      </c>
      <c r="M2049" s="559">
        <f>'Progetto del paramento slu'!$G$60*(sezione!$AN$35-C2049)/C2049</f>
        <v>7.1219123390841479E-2</v>
      </c>
      <c r="N2049" s="559">
        <f>'Progetto del paramento slu'!$G$60*(sezione!$AO$35-C2049)/C2049</f>
        <v>9.4209622895715772E-2</v>
      </c>
      <c r="O2049" s="559">
        <f>'Progetto del paramento slu'!$G$60*(sezione!$AP$35-C2049)/C2049</f>
        <v>7.1221416914229535E-2</v>
      </c>
      <c r="P2049" s="553">
        <f>-'Progetto del paramento slu'!$G$47*'Progetto del paramento slu'!$G$41*IF(DATI!$G$218="dx",DATI!$E$61,DATI!$E$64*DATI!$E$63)*1000*C2049*sezione!$AD$5</f>
        <v>-171673.05126029183</v>
      </c>
      <c r="Q2049" s="553">
        <f>'Foglio deposito bis'!$F$78*IF(ABS(K2049)&lt;'Progetto del paramento slu'!$G$58,ABS(K2049)*'Progetto del paramento slu'!$G$54,'Progetto del paramento slu'!$G$53)*IF(K2049&lt;0,-1,1)</f>
        <v>0</v>
      </c>
      <c r="R2049" s="553">
        <f>'Foglio deposito bis'!$F$79*IF(ABS(L2049)&lt;'Progetto del paramento slu'!$G$58,ABS(L2049)*'Progetto del paramento slu'!$G$54,'Progetto del paramento slu'!$G$53)*IF(L2049&lt;0,-1,1)</f>
        <v>153664.85805602249</v>
      </c>
      <c r="S2049" s="553">
        <f>'Foglio deposito bis'!$F$80*IF(ABS(M2049)&lt;'Progetto del paramento slu'!$G$58,ABS(M2049)*'Progetto del paramento slu'!$G$54,'Progetto del paramento slu'!$G$53)*IF(M2049&lt;0,-1,1)</f>
        <v>0</v>
      </c>
      <c r="T2049" s="553">
        <f>'Foglio deposito bis'!$F$81*IF(ABS(N2049)&lt;'Progetto del paramento slu'!$G$58,ABS(N2049)*'Progetto del paramento slu'!$G$54,'Progetto del paramento slu'!$G$53)*IF(N2049&lt;0,-1,1)</f>
        <v>398299.31208121032</v>
      </c>
      <c r="U2049" s="553">
        <f>'Foglio deposito bis'!$F$82*IF(ABS(O2049)&lt;'Progetto del paramento slu'!$G$58,ABS(O2049)*'Progetto del paramento slu'!$G$54,'Progetto del paramento slu'!$G$53)*IF(O2049&lt;0,-1,1)</f>
        <v>892485.49558937876</v>
      </c>
      <c r="V2049" s="479">
        <f t="shared" si="150"/>
        <v>1272776.6144663198</v>
      </c>
      <c r="W2049" s="559"/>
      <c r="X2049" s="559"/>
    </row>
    <row r="2050" spans="1:24" x14ac:dyDescent="0.25">
      <c r="A2050" s="553">
        <f t="shared" si="149"/>
        <v>1269915.3969453149</v>
      </c>
      <c r="B2050" s="3">
        <f t="shared" si="151"/>
        <v>3.0499999999999972</v>
      </c>
      <c r="C2050" s="553">
        <f>'Foglio deposito bis'!$E$161/sezione!$B$247*B2050</f>
        <v>12.381926134589351</v>
      </c>
      <c r="D2050" s="611">
        <f>-'Progetto del paramento slu'!$G$47*'Progetto del paramento slu'!$G$41*IF(DATI!$G$218="dx",DATI!$E$61,DATI!$E$64*DATI!$E$63)*1000*C2050^2*sezione!$AD$5*(1-sezione!$AD$6)</f>
        <v>-1262065.1276186749</v>
      </c>
      <c r="E2050" s="553">
        <f>-'Foglio deposito bis'!$F$78*(C2050-sezione!$AL$35)*IF(ABS(K2050)&lt;'Progetto del paramento slu'!$G$58,ABS(K2050)*'Progetto del paramento slu'!$G$54,'Progetto del paramento slu'!$G$53)</f>
        <v>0</v>
      </c>
      <c r="F2050" s="553">
        <f>-'Foglio deposito bis'!$F$79*(C2050-sezione!$AM$35)*IF(ABS(L2050)&lt;'Progetto del paramento slu'!$G$58,ABS(L2050)*'Progetto del paramento slu'!$G$54,'Progetto del paramento slu'!$G$53)</f>
        <v>21147061.786471546</v>
      </c>
      <c r="G2050" s="553">
        <f>-'Foglio deposito bis'!$F$80*(C2050-sezione!$AN$35)*IF(ABS(M2050)&lt;'Progetto del paramento slu'!$G$58,ABS(M2050)*'Progetto del paramento slu'!$G$54,'Progetto del paramento slu'!$G$53)</f>
        <v>0</v>
      </c>
      <c r="H2050" s="553">
        <f>-'Foglio deposito bis'!$F$81*(C2050-sezione!$AO$35)*IF(ABS(N2050)&lt;'Progetto del paramento slu'!$G$58,ABS(N2050)*'Progetto del paramento slu'!$G$54,'Progetto del paramento slu'!$G$53)</f>
        <v>130490053.4459642</v>
      </c>
      <c r="I2050" s="479">
        <f>-'Foglio deposito bis'!$F$82*(C2050-sezione!$AP$35)*IF(ABS(O2050)&lt;'Progetto del paramento slu'!$G$58,ABS(O2050)*'Progetto del paramento slu'!$G$54,'Progetto del paramento slu'!$G$53)</f>
        <v>221002662.09144038</v>
      </c>
      <c r="J2050" s="479">
        <f t="shared" si="147"/>
        <v>371377712.19625747</v>
      </c>
      <c r="K2050" s="558">
        <f>'Progetto del paramento slu'!$G$60*(sezione!$AL$35-C2050)/C2050</f>
        <v>7.8068030351840841E-3</v>
      </c>
      <c r="L2050" s="558">
        <f>'Progetto del paramento slu'!$G$60*(sezione!$AM$35-C2050)/C2050</f>
        <v>3.8900511381940311E-2</v>
      </c>
      <c r="M2050" s="559">
        <f>'Progetto del paramento slu'!$G$60*(sezione!$AN$35-C2050)/C2050</f>
        <v>6.9994219728696544E-2</v>
      </c>
      <c r="N2050" s="559">
        <f>'Progetto del paramento slu'!$G$60*(sezione!$AO$35-C2050)/C2050</f>
        <v>9.2607825799064694E-2</v>
      </c>
      <c r="O2050" s="559">
        <f>'Progetto del paramento slu'!$G$60*(sezione!$AP$35-C2050)/C2050</f>
        <v>6.9996475653340537E-2</v>
      </c>
      <c r="P2050" s="553">
        <f>-'Progetto del paramento slu'!$G$47*'Progetto del paramento slu'!$G$41*IF(DATI!$G$218="dx",DATI!$E$61,DATI!$E$64*DATI!$E$63)*1000*C2050*sezione!$AD$5</f>
        <v>-174534.26878129668</v>
      </c>
      <c r="Q2050" s="553">
        <f>'Foglio deposito bis'!$F$78*IF(ABS(K2050)&lt;'Progetto del paramento slu'!$G$58,ABS(K2050)*'Progetto del paramento slu'!$G$54,'Progetto del paramento slu'!$G$53)*IF(K2050&lt;0,-1,1)</f>
        <v>0</v>
      </c>
      <c r="R2050" s="553">
        <f>'Foglio deposito bis'!$F$79*IF(ABS(L2050)&lt;'Progetto del paramento slu'!$G$58,ABS(L2050)*'Progetto del paramento slu'!$G$54,'Progetto del paramento slu'!$G$53)*IF(L2050&lt;0,-1,1)</f>
        <v>153664.85805602249</v>
      </c>
      <c r="S2050" s="553">
        <f>'Foglio deposito bis'!$F$80*IF(ABS(M2050)&lt;'Progetto del paramento slu'!$G$58,ABS(M2050)*'Progetto del paramento slu'!$G$54,'Progetto del paramento slu'!$G$53)*IF(M2050&lt;0,-1,1)</f>
        <v>0</v>
      </c>
      <c r="T2050" s="553">
        <f>'Foglio deposito bis'!$F$81*IF(ABS(N2050)&lt;'Progetto del paramento slu'!$G$58,ABS(N2050)*'Progetto del paramento slu'!$G$54,'Progetto del paramento slu'!$G$53)*IF(N2050&lt;0,-1,1)</f>
        <v>398299.31208121032</v>
      </c>
      <c r="U2050" s="553">
        <f>'Foglio deposito bis'!$F$82*IF(ABS(O2050)&lt;'Progetto del paramento slu'!$G$58,ABS(O2050)*'Progetto del paramento slu'!$G$54,'Progetto del paramento slu'!$G$53)*IF(O2050&lt;0,-1,1)</f>
        <v>892485.49558937876</v>
      </c>
      <c r="V2050" s="479">
        <f t="shared" si="150"/>
        <v>1269915.3969453149</v>
      </c>
      <c r="W2050" s="559"/>
      <c r="X2050" s="559"/>
    </row>
    <row r="2051" spans="1:24" x14ac:dyDescent="0.25">
      <c r="A2051" s="553">
        <f t="shared" si="149"/>
        <v>1267054.1794243101</v>
      </c>
      <c r="B2051" s="3">
        <f t="shared" si="151"/>
        <v>3.099999999999997</v>
      </c>
      <c r="C2051" s="553">
        <f>'Foglio deposito bis'!$E$161/sezione!$B$247*B2051</f>
        <v>12.584908530238357</v>
      </c>
      <c r="D2051" s="611">
        <f>-'Progetto del paramento slu'!$G$47*'Progetto del paramento slu'!$G$41*IF(DATI!$G$218="dx",DATI!$E$61,DATI!$E$64*DATI!$E$63)*1000*C2051^2*sezione!$AD$5*(1-sezione!$AD$6)</f>
        <v>-1303783.485774304</v>
      </c>
      <c r="E2051" s="553">
        <f>-'Foglio deposito bis'!$F$78*(C2051-sezione!$AL$35)*IF(ABS(K2051)&lt;'Progetto del paramento slu'!$G$58,ABS(K2051)*'Progetto del paramento slu'!$G$54,'Progetto del paramento slu'!$G$53)</f>
        <v>0</v>
      </c>
      <c r="F2051" s="553">
        <f>-'Foglio deposito bis'!$F$79*(C2051-sezione!$AM$35)*IF(ABS(L2051)&lt;'Progetto del paramento slu'!$G$58,ABS(L2051)*'Progetto del paramento slu'!$G$54,'Progetto del paramento slu'!$G$53)</f>
        <v>21115870.525456272</v>
      </c>
      <c r="G2051" s="553">
        <f>-'Foglio deposito bis'!$F$80*(C2051-sezione!$AN$35)*IF(ABS(M2051)&lt;'Progetto del paramento slu'!$G$58,ABS(M2051)*'Progetto del paramento slu'!$G$54,'Progetto del paramento slu'!$G$53)</f>
        <v>0</v>
      </c>
      <c r="H2051" s="553">
        <f>-'Foglio deposito bis'!$F$81*(C2051-sezione!$AO$35)*IF(ABS(N2051)&lt;'Progetto del paramento slu'!$G$58,ABS(N2051)*'Progetto del paramento slu'!$G$54,'Progetto del paramento slu'!$G$53)</f>
        <v>130409205.69741262</v>
      </c>
      <c r="I2051" s="479">
        <f>-'Foglio deposito bis'!$F$82*(C2051-sezione!$AP$35)*IF(ABS(O2051)&lt;'Progetto del paramento slu'!$G$58,ABS(O2051)*'Progetto del paramento slu'!$G$54,'Progetto del paramento slu'!$G$53)</f>
        <v>220821503.24746364</v>
      </c>
      <c r="J2051" s="479">
        <f t="shared" si="147"/>
        <v>371042795.98455822</v>
      </c>
      <c r="K2051" s="558">
        <f>'Progetto del paramento slu'!$G$60*(sezione!$AL$35-C2051)/C2051</f>
        <v>7.624435244294017E-3</v>
      </c>
      <c r="L2051" s="558">
        <f>'Progetto del paramento slu'!$G$60*(sezione!$AM$35-C2051)/C2051</f>
        <v>3.821663216610257E-2</v>
      </c>
      <c r="M2051" s="559">
        <f>'Progetto del paramento slu'!$G$60*(sezione!$AN$35-C2051)/C2051</f>
        <v>6.8808829087911111E-2</v>
      </c>
      <c r="N2051" s="559">
        <f>'Progetto del paramento slu'!$G$60*(sezione!$AO$35-C2051)/C2051</f>
        <v>9.1057699576499146E-2</v>
      </c>
      <c r="O2051" s="559">
        <f>'Progetto del paramento slu'!$G$60*(sezione!$AP$35-C2051)/C2051</f>
        <v>6.881104862667374E-2</v>
      </c>
      <c r="P2051" s="553">
        <f>-'Progetto del paramento slu'!$G$47*'Progetto del paramento slu'!$G$41*IF(DATI!$G$218="dx",DATI!$E$61,DATI!$E$64*DATI!$E$63)*1000*C2051*sezione!$AD$5</f>
        <v>-177395.48630230155</v>
      </c>
      <c r="Q2051" s="553">
        <f>'Foglio deposito bis'!$F$78*IF(ABS(K2051)&lt;'Progetto del paramento slu'!$G$58,ABS(K2051)*'Progetto del paramento slu'!$G$54,'Progetto del paramento slu'!$G$53)*IF(K2051&lt;0,-1,1)</f>
        <v>0</v>
      </c>
      <c r="R2051" s="553">
        <f>'Foglio deposito bis'!$F$79*IF(ABS(L2051)&lt;'Progetto del paramento slu'!$G$58,ABS(L2051)*'Progetto del paramento slu'!$G$54,'Progetto del paramento slu'!$G$53)*IF(L2051&lt;0,-1,1)</f>
        <v>153664.85805602249</v>
      </c>
      <c r="S2051" s="553">
        <f>'Foglio deposito bis'!$F$80*IF(ABS(M2051)&lt;'Progetto del paramento slu'!$G$58,ABS(M2051)*'Progetto del paramento slu'!$G$54,'Progetto del paramento slu'!$G$53)*IF(M2051&lt;0,-1,1)</f>
        <v>0</v>
      </c>
      <c r="T2051" s="553">
        <f>'Foglio deposito bis'!$F$81*IF(ABS(N2051)&lt;'Progetto del paramento slu'!$G$58,ABS(N2051)*'Progetto del paramento slu'!$G$54,'Progetto del paramento slu'!$G$53)*IF(N2051&lt;0,-1,1)</f>
        <v>398299.31208121032</v>
      </c>
      <c r="U2051" s="553">
        <f>'Foglio deposito bis'!$F$82*IF(ABS(O2051)&lt;'Progetto del paramento slu'!$G$58,ABS(O2051)*'Progetto del paramento slu'!$G$54,'Progetto del paramento slu'!$G$53)*IF(O2051&lt;0,-1,1)</f>
        <v>892485.49558937876</v>
      </c>
      <c r="V2051" s="479">
        <f t="shared" si="150"/>
        <v>1267054.1794243101</v>
      </c>
      <c r="W2051" s="559"/>
      <c r="X2051" s="559"/>
    </row>
    <row r="2052" spans="1:24" x14ac:dyDescent="0.25">
      <c r="A2052" s="553">
        <f t="shared" si="149"/>
        <v>1264192.9619033053</v>
      </c>
      <c r="B2052" s="3">
        <f t="shared" si="151"/>
        <v>3.1499999999999968</v>
      </c>
      <c r="C2052" s="553">
        <f>'Foglio deposito bis'!$E$161/sezione!$B$247*B2052</f>
        <v>12.787890925887362</v>
      </c>
      <c r="D2052" s="611">
        <f>-'Progetto del paramento slu'!$G$47*'Progetto del paramento slu'!$G$41*IF(DATI!$G$218="dx",DATI!$E$61,DATI!$E$64*DATI!$E$63)*1000*C2052^2*sezione!$AD$5*(1-sezione!$AD$6)</f>
        <v>-1346180.1912170167</v>
      </c>
      <c r="E2052" s="553">
        <f>-'Foglio deposito bis'!$F$78*(C2052-sezione!$AL$35)*IF(ABS(K2052)&lt;'Progetto del paramento slu'!$G$58,ABS(K2052)*'Progetto del paramento slu'!$G$54,'Progetto del paramento slu'!$G$53)</f>
        <v>0</v>
      </c>
      <c r="F2052" s="553">
        <f>-'Foglio deposito bis'!$F$79*(C2052-sezione!$AM$35)*IF(ABS(L2052)&lt;'Progetto del paramento slu'!$G$58,ABS(L2052)*'Progetto del paramento slu'!$G$54,'Progetto del paramento slu'!$G$53)</f>
        <v>21084679.264440995</v>
      </c>
      <c r="G2052" s="553">
        <f>-'Foglio deposito bis'!$F$80*(C2052-sezione!$AN$35)*IF(ABS(M2052)&lt;'Progetto del paramento slu'!$G$58,ABS(M2052)*'Progetto del paramento slu'!$G$54,'Progetto del paramento slu'!$G$53)</f>
        <v>0</v>
      </c>
      <c r="H2052" s="553">
        <f>-'Foglio deposito bis'!$F$81*(C2052-sezione!$AO$35)*IF(ABS(N2052)&lt;'Progetto del paramento slu'!$G$58,ABS(N2052)*'Progetto del paramento slu'!$G$54,'Progetto del paramento slu'!$G$53)</f>
        <v>130328357.94886102</v>
      </c>
      <c r="I2052" s="479">
        <f>-'Foglio deposito bis'!$F$82*(C2052-sezione!$AP$35)*IF(ABS(O2052)&lt;'Progetto del paramento slu'!$G$58,ABS(O2052)*'Progetto del paramento slu'!$G$54,'Progetto del paramento slu'!$G$53)</f>
        <v>220640344.40348694</v>
      </c>
      <c r="J2052" s="479">
        <f t="shared" si="147"/>
        <v>370707201.42557192</v>
      </c>
      <c r="K2052" s="558">
        <f>'Progetto del paramento slu'!$G$60*(sezione!$AL$35-C2052)/C2052</f>
        <v>7.4478569070830026E-3</v>
      </c>
      <c r="L2052" s="558">
        <f>'Progetto del paramento slu'!$G$60*(sezione!$AM$35-C2052)/C2052</f>
        <v>3.755446340156126E-2</v>
      </c>
      <c r="M2052" s="559">
        <f>'Progetto del paramento slu'!$G$60*(sezione!$AN$35-C2052)/C2052</f>
        <v>6.7661069896039511E-2</v>
      </c>
      <c r="N2052" s="559">
        <f>'Progetto del paramento slu'!$G$60*(sezione!$AO$35-C2052)/C2052</f>
        <v>8.9556783710205506E-2</v>
      </c>
      <c r="O2052" s="559">
        <f>'Progetto del paramento slu'!$G$60*(sezione!$AP$35-C2052)/C2052</f>
        <v>6.7663254204028134E-2</v>
      </c>
      <c r="P2052" s="553">
        <f>-'Progetto del paramento slu'!$G$47*'Progetto del paramento slu'!$G$41*IF(DATI!$G$218="dx",DATI!$E$61,DATI!$E$64*DATI!$E$63)*1000*C2052*sezione!$AD$5</f>
        <v>-180256.70382330642</v>
      </c>
      <c r="Q2052" s="553">
        <f>'Foglio deposito bis'!$F$78*IF(ABS(K2052)&lt;'Progetto del paramento slu'!$G$58,ABS(K2052)*'Progetto del paramento slu'!$G$54,'Progetto del paramento slu'!$G$53)*IF(K2052&lt;0,-1,1)</f>
        <v>0</v>
      </c>
      <c r="R2052" s="553">
        <f>'Foglio deposito bis'!$F$79*IF(ABS(L2052)&lt;'Progetto del paramento slu'!$G$58,ABS(L2052)*'Progetto del paramento slu'!$G$54,'Progetto del paramento slu'!$G$53)*IF(L2052&lt;0,-1,1)</f>
        <v>153664.85805602249</v>
      </c>
      <c r="S2052" s="553">
        <f>'Foglio deposito bis'!$F$80*IF(ABS(M2052)&lt;'Progetto del paramento slu'!$G$58,ABS(M2052)*'Progetto del paramento slu'!$G$54,'Progetto del paramento slu'!$G$53)*IF(M2052&lt;0,-1,1)</f>
        <v>0</v>
      </c>
      <c r="T2052" s="553">
        <f>'Foglio deposito bis'!$F$81*IF(ABS(N2052)&lt;'Progetto del paramento slu'!$G$58,ABS(N2052)*'Progetto del paramento slu'!$G$54,'Progetto del paramento slu'!$G$53)*IF(N2052&lt;0,-1,1)</f>
        <v>398299.31208121032</v>
      </c>
      <c r="U2052" s="553">
        <f>'Foglio deposito bis'!$F$82*IF(ABS(O2052)&lt;'Progetto del paramento slu'!$G$58,ABS(O2052)*'Progetto del paramento slu'!$G$54,'Progetto del paramento slu'!$G$53)*IF(O2052&lt;0,-1,1)</f>
        <v>892485.49558937876</v>
      </c>
      <c r="V2052" s="479">
        <f t="shared" si="150"/>
        <v>1264192.9619033053</v>
      </c>
      <c r="W2052" s="559"/>
      <c r="X2052" s="559"/>
    </row>
    <row r="2053" spans="1:24" x14ac:dyDescent="0.25">
      <c r="A2053" s="553">
        <f t="shared" si="149"/>
        <v>1261331.7443823004</v>
      </c>
      <c r="B2053" s="3">
        <f t="shared" si="151"/>
        <v>3.1999999999999966</v>
      </c>
      <c r="C2053" s="553">
        <f>'Foglio deposito bis'!$E$161/sezione!$B$247*B2053</f>
        <v>12.990873321536368</v>
      </c>
      <c r="D2053" s="611">
        <f>-'Progetto del paramento slu'!$G$47*'Progetto del paramento slu'!$G$41*IF(DATI!$G$218="dx",DATI!$E$61,DATI!$E$64*DATI!$E$63)*1000*C2053^2*sezione!$AD$5*(1-sezione!$AD$6)</f>
        <v>-1389255.243946813</v>
      </c>
      <c r="E2053" s="553">
        <f>-'Foglio deposito bis'!$F$78*(C2053-sezione!$AL$35)*IF(ABS(K2053)&lt;'Progetto del paramento slu'!$G$58,ABS(K2053)*'Progetto del paramento slu'!$G$54,'Progetto del paramento slu'!$G$53)</f>
        <v>0</v>
      </c>
      <c r="F2053" s="553">
        <f>-'Foglio deposito bis'!$F$79*(C2053-sezione!$AM$35)*IF(ABS(L2053)&lt;'Progetto del paramento slu'!$G$58,ABS(L2053)*'Progetto del paramento slu'!$G$54,'Progetto del paramento slu'!$G$53)</f>
        <v>21053488.003425721</v>
      </c>
      <c r="G2053" s="553">
        <f>-'Foglio deposito bis'!$F$80*(C2053-sezione!$AN$35)*IF(ABS(M2053)&lt;'Progetto del paramento slu'!$G$58,ABS(M2053)*'Progetto del paramento slu'!$G$54,'Progetto del paramento slu'!$G$53)</f>
        <v>0</v>
      </c>
      <c r="H2053" s="553">
        <f>-'Foglio deposito bis'!$F$81*(C2053-sezione!$AO$35)*IF(ABS(N2053)&lt;'Progetto del paramento slu'!$G$58,ABS(N2053)*'Progetto del paramento slu'!$G$54,'Progetto del paramento slu'!$G$53)</f>
        <v>130247510.20030944</v>
      </c>
      <c r="I2053" s="479">
        <f>-'Foglio deposito bis'!$F$82*(C2053-sezione!$AP$35)*IF(ABS(O2053)&lt;'Progetto del paramento slu'!$G$58,ABS(O2053)*'Progetto del paramento slu'!$G$54,'Progetto del paramento slu'!$G$53)</f>
        <v>220459185.5595102</v>
      </c>
      <c r="J2053" s="479">
        <f t="shared" ref="J2053:J2116" si="152">D2053+E2053+F2053+G2053+H2053+I2053</f>
        <v>370370928.51929855</v>
      </c>
      <c r="K2053" s="558">
        <f>'Progetto del paramento slu'!$G$60*(sezione!$AL$35-C2053)/C2053</f>
        <v>7.2767966429098298E-3</v>
      </c>
      <c r="L2053" s="558">
        <f>'Progetto del paramento slu'!$G$60*(sezione!$AM$35-C2053)/C2053</f>
        <v>3.6912987410911868E-2</v>
      </c>
      <c r="M2053" s="559">
        <f>'Progetto del paramento slu'!$G$60*(sezione!$AN$35-C2053)/C2053</f>
        <v>6.6549178178913898E-2</v>
      </c>
      <c r="N2053" s="559">
        <f>'Progetto del paramento slu'!$G$60*(sezione!$AO$35-C2053)/C2053</f>
        <v>8.8102771464733567E-2</v>
      </c>
      <c r="O2053" s="559">
        <f>'Progetto del paramento slu'!$G$60*(sezione!$AP$35-C2053)/C2053</f>
        <v>6.6551328357090198E-2</v>
      </c>
      <c r="P2053" s="553">
        <f>-'Progetto del paramento slu'!$G$47*'Progetto del paramento slu'!$G$41*IF(DATI!$G$218="dx",DATI!$E$61,DATI!$E$64*DATI!$E$63)*1000*C2053*sezione!$AD$5</f>
        <v>-183117.92134431127</v>
      </c>
      <c r="Q2053" s="553">
        <f>'Foglio deposito bis'!$F$78*IF(ABS(K2053)&lt;'Progetto del paramento slu'!$G$58,ABS(K2053)*'Progetto del paramento slu'!$G$54,'Progetto del paramento slu'!$G$53)*IF(K2053&lt;0,-1,1)</f>
        <v>0</v>
      </c>
      <c r="R2053" s="553">
        <f>'Foglio deposito bis'!$F$79*IF(ABS(L2053)&lt;'Progetto del paramento slu'!$G$58,ABS(L2053)*'Progetto del paramento slu'!$G$54,'Progetto del paramento slu'!$G$53)*IF(L2053&lt;0,-1,1)</f>
        <v>153664.85805602249</v>
      </c>
      <c r="S2053" s="553">
        <f>'Foglio deposito bis'!$F$80*IF(ABS(M2053)&lt;'Progetto del paramento slu'!$G$58,ABS(M2053)*'Progetto del paramento slu'!$G$54,'Progetto del paramento slu'!$G$53)*IF(M2053&lt;0,-1,1)</f>
        <v>0</v>
      </c>
      <c r="T2053" s="553">
        <f>'Foglio deposito bis'!$F$81*IF(ABS(N2053)&lt;'Progetto del paramento slu'!$G$58,ABS(N2053)*'Progetto del paramento slu'!$G$54,'Progetto del paramento slu'!$G$53)*IF(N2053&lt;0,-1,1)</f>
        <v>398299.31208121032</v>
      </c>
      <c r="U2053" s="553">
        <f>'Foglio deposito bis'!$F$82*IF(ABS(O2053)&lt;'Progetto del paramento slu'!$G$58,ABS(O2053)*'Progetto del paramento slu'!$G$54,'Progetto del paramento slu'!$G$53)*IF(O2053&lt;0,-1,1)</f>
        <v>892485.49558937876</v>
      </c>
      <c r="V2053" s="479">
        <f t="shared" si="150"/>
        <v>1261331.7443823004</v>
      </c>
      <c r="W2053" s="559"/>
      <c r="X2053" s="559"/>
    </row>
    <row r="2054" spans="1:24" x14ac:dyDescent="0.25">
      <c r="A2054" s="553">
        <f t="shared" ref="A2054:A2117" si="153">ABS(V2054)</f>
        <v>1258470.5268612956</v>
      </c>
      <c r="B2054" s="3">
        <f t="shared" si="151"/>
        <v>3.2499999999999964</v>
      </c>
      <c r="C2054" s="553">
        <f>'Foglio deposito bis'!$E$161/sezione!$B$247*B2054</f>
        <v>13.193855717185373</v>
      </c>
      <c r="D2054" s="611">
        <f>-'Progetto del paramento slu'!$G$47*'Progetto del paramento slu'!$G$41*IF(DATI!$G$218="dx",DATI!$E$61,DATI!$E$64*DATI!$E$63)*1000*C2054^2*sezione!$AD$5*(1-sezione!$AD$6)</f>
        <v>-1433008.6439636927</v>
      </c>
      <c r="E2054" s="553">
        <f>-'Foglio deposito bis'!$F$78*(C2054-sezione!$AL$35)*IF(ABS(K2054)&lt;'Progetto del paramento slu'!$G$58,ABS(K2054)*'Progetto del paramento slu'!$G$54,'Progetto del paramento slu'!$G$53)</f>
        <v>0</v>
      </c>
      <c r="F2054" s="553">
        <f>-'Foglio deposito bis'!$F$79*(C2054-sezione!$AM$35)*IF(ABS(L2054)&lt;'Progetto del paramento slu'!$G$58,ABS(L2054)*'Progetto del paramento slu'!$G$54,'Progetto del paramento slu'!$G$53)</f>
        <v>21022296.74241044</v>
      </c>
      <c r="G2054" s="553">
        <f>-'Foglio deposito bis'!$F$80*(C2054-sezione!$AN$35)*IF(ABS(M2054)&lt;'Progetto del paramento slu'!$G$58,ABS(M2054)*'Progetto del paramento slu'!$G$54,'Progetto del paramento slu'!$G$53)</f>
        <v>0</v>
      </c>
      <c r="H2054" s="553">
        <f>-'Foglio deposito bis'!$F$81*(C2054-sezione!$AO$35)*IF(ABS(N2054)&lt;'Progetto del paramento slu'!$G$58,ABS(N2054)*'Progetto del paramento slu'!$G$54,'Progetto del paramento slu'!$G$53)</f>
        <v>130166662.45175782</v>
      </c>
      <c r="I2054" s="479">
        <f>-'Foglio deposito bis'!$F$82*(C2054-sezione!$AP$35)*IF(ABS(O2054)&lt;'Progetto del paramento slu'!$G$58,ABS(O2054)*'Progetto del paramento slu'!$G$54,'Progetto del paramento slu'!$G$53)</f>
        <v>220278026.71553349</v>
      </c>
      <c r="J2054" s="479">
        <f t="shared" si="152"/>
        <v>370033977.26573807</v>
      </c>
      <c r="K2054" s="558">
        <f>'Progetto del paramento slu'!$G$60*(sezione!$AL$35-C2054)/C2054</f>
        <v>7.1109997714804488E-3</v>
      </c>
      <c r="L2054" s="558">
        <f>'Progetto del paramento slu'!$G$60*(sezione!$AM$35-C2054)/C2054</f>
        <v>3.6291249143051679E-2</v>
      </c>
      <c r="M2054" s="559">
        <f>'Progetto del paramento slu'!$G$60*(sezione!$AN$35-C2054)/C2054</f>
        <v>6.5471498514622917E-2</v>
      </c>
      <c r="N2054" s="559">
        <f>'Progetto del paramento slu'!$G$60*(sezione!$AO$35-C2054)/C2054</f>
        <v>8.6693498057583807E-2</v>
      </c>
      <c r="O2054" s="559">
        <f>'Progetto del paramento slu'!$G$60*(sezione!$AP$35-C2054)/C2054</f>
        <v>6.5473615613134958E-2</v>
      </c>
      <c r="P2054" s="553">
        <f>-'Progetto del paramento slu'!$G$47*'Progetto del paramento slu'!$G$41*IF(DATI!$G$218="dx",DATI!$E$61,DATI!$E$64*DATI!$E$63)*1000*C2054*sezione!$AD$5</f>
        <v>-185979.13886531614</v>
      </c>
      <c r="Q2054" s="553">
        <f>'Foglio deposito bis'!$F$78*IF(ABS(K2054)&lt;'Progetto del paramento slu'!$G$58,ABS(K2054)*'Progetto del paramento slu'!$G$54,'Progetto del paramento slu'!$G$53)*IF(K2054&lt;0,-1,1)</f>
        <v>0</v>
      </c>
      <c r="R2054" s="553">
        <f>'Foglio deposito bis'!$F$79*IF(ABS(L2054)&lt;'Progetto del paramento slu'!$G$58,ABS(L2054)*'Progetto del paramento slu'!$G$54,'Progetto del paramento slu'!$G$53)*IF(L2054&lt;0,-1,1)</f>
        <v>153664.85805602249</v>
      </c>
      <c r="S2054" s="553">
        <f>'Foglio deposito bis'!$F$80*IF(ABS(M2054)&lt;'Progetto del paramento slu'!$G$58,ABS(M2054)*'Progetto del paramento slu'!$G$54,'Progetto del paramento slu'!$G$53)*IF(M2054&lt;0,-1,1)</f>
        <v>0</v>
      </c>
      <c r="T2054" s="553">
        <f>'Foglio deposito bis'!$F$81*IF(ABS(N2054)&lt;'Progetto del paramento slu'!$G$58,ABS(N2054)*'Progetto del paramento slu'!$G$54,'Progetto del paramento slu'!$G$53)*IF(N2054&lt;0,-1,1)</f>
        <v>398299.31208121032</v>
      </c>
      <c r="U2054" s="553">
        <f>'Foglio deposito bis'!$F$82*IF(ABS(O2054)&lt;'Progetto del paramento slu'!$G$58,ABS(O2054)*'Progetto del paramento slu'!$G$54,'Progetto del paramento slu'!$G$53)*IF(O2054&lt;0,-1,1)</f>
        <v>892485.49558937876</v>
      </c>
      <c r="V2054" s="479">
        <f t="shared" ref="V2054:V2117" si="154">P2054+Q2054+R2054+S2054+T2054+U2054</f>
        <v>1258470.5268612956</v>
      </c>
      <c r="W2054" s="559"/>
      <c r="X2054" s="559"/>
    </row>
    <row r="2055" spans="1:24" x14ac:dyDescent="0.25">
      <c r="A2055" s="553">
        <f t="shared" si="153"/>
        <v>1255609.3093402907</v>
      </c>
      <c r="B2055" s="3">
        <f t="shared" ref="B2055:B2091" si="155">B2054+0.05</f>
        <v>3.2999999999999963</v>
      </c>
      <c r="C2055" s="553">
        <f>'Foglio deposito bis'!$E$161/sezione!$B$247*B2055</f>
        <v>13.396838112834377</v>
      </c>
      <c r="D2055" s="611">
        <f>-'Progetto del paramento slu'!$G$47*'Progetto del paramento slu'!$G$41*IF(DATI!$G$218="dx",DATI!$E$61,DATI!$E$64*DATI!$E$63)*1000*C2055^2*sezione!$AD$5*(1-sezione!$AD$6)</f>
        <v>-1477440.3912676552</v>
      </c>
      <c r="E2055" s="553">
        <f>-'Foglio deposito bis'!$F$78*(C2055-sezione!$AL$35)*IF(ABS(K2055)&lt;'Progetto del paramento slu'!$G$58,ABS(K2055)*'Progetto del paramento slu'!$G$54,'Progetto del paramento slu'!$G$53)</f>
        <v>0</v>
      </c>
      <c r="F2055" s="553">
        <f>-'Foglio deposito bis'!$F$79*(C2055-sezione!$AM$35)*IF(ABS(L2055)&lt;'Progetto del paramento slu'!$G$58,ABS(L2055)*'Progetto del paramento slu'!$G$54,'Progetto del paramento slu'!$G$53)</f>
        <v>20991105.481395166</v>
      </c>
      <c r="G2055" s="553">
        <f>-'Foglio deposito bis'!$F$80*(C2055-sezione!$AN$35)*IF(ABS(M2055)&lt;'Progetto del paramento slu'!$G$58,ABS(M2055)*'Progetto del paramento slu'!$G$54,'Progetto del paramento slu'!$G$53)</f>
        <v>0</v>
      </c>
      <c r="H2055" s="553">
        <f>-'Foglio deposito bis'!$F$81*(C2055-sezione!$AO$35)*IF(ABS(N2055)&lt;'Progetto del paramento slu'!$G$58,ABS(N2055)*'Progetto del paramento slu'!$G$54,'Progetto del paramento slu'!$G$53)</f>
        <v>130085814.70320624</v>
      </c>
      <c r="I2055" s="479">
        <f>-'Foglio deposito bis'!$F$82*(C2055-sezione!$AP$35)*IF(ABS(O2055)&lt;'Progetto del paramento slu'!$G$58,ABS(O2055)*'Progetto del paramento slu'!$G$54,'Progetto del paramento slu'!$G$53)</f>
        <v>220096867.87155676</v>
      </c>
      <c r="J2055" s="479">
        <f t="shared" si="152"/>
        <v>369696347.66489053</v>
      </c>
      <c r="K2055" s="558">
        <f>'Progetto del paramento slu'!$G$60*(sezione!$AL$35-C2055)/C2055</f>
        <v>6.9502270476701402E-3</v>
      </c>
      <c r="L2055" s="558">
        <f>'Progetto del paramento slu'!$G$60*(sezione!$AM$35-C2055)/C2055</f>
        <v>3.5688351428763018E-2</v>
      </c>
      <c r="M2055" s="559">
        <f>'Progetto del paramento slu'!$G$60*(sezione!$AN$35-C2055)/C2055</f>
        <v>6.4426475809855901E-2</v>
      </c>
      <c r="N2055" s="559">
        <f>'Progetto del paramento slu'!$G$60*(sezione!$AO$35-C2055)/C2055</f>
        <v>8.5326929905196192E-2</v>
      </c>
      <c r="O2055" s="559">
        <f>'Progetto del paramento slu'!$G$60*(sezione!$AP$35-C2055)/C2055</f>
        <v>6.4428560831117768E-2</v>
      </c>
      <c r="P2055" s="553">
        <f>-'Progetto del paramento slu'!$G$47*'Progetto del paramento slu'!$G$41*IF(DATI!$G$218="dx",DATI!$E$61,DATI!$E$64*DATI!$E$63)*1000*C2055*sezione!$AD$5</f>
        <v>-188840.35638632096</v>
      </c>
      <c r="Q2055" s="553">
        <f>'Foglio deposito bis'!$F$78*IF(ABS(K2055)&lt;'Progetto del paramento slu'!$G$58,ABS(K2055)*'Progetto del paramento slu'!$G$54,'Progetto del paramento slu'!$G$53)*IF(K2055&lt;0,-1,1)</f>
        <v>0</v>
      </c>
      <c r="R2055" s="553">
        <f>'Foglio deposito bis'!$F$79*IF(ABS(L2055)&lt;'Progetto del paramento slu'!$G$58,ABS(L2055)*'Progetto del paramento slu'!$G$54,'Progetto del paramento slu'!$G$53)*IF(L2055&lt;0,-1,1)</f>
        <v>153664.85805602249</v>
      </c>
      <c r="S2055" s="553">
        <f>'Foglio deposito bis'!$F$80*IF(ABS(M2055)&lt;'Progetto del paramento slu'!$G$58,ABS(M2055)*'Progetto del paramento slu'!$G$54,'Progetto del paramento slu'!$G$53)*IF(M2055&lt;0,-1,1)</f>
        <v>0</v>
      </c>
      <c r="T2055" s="553">
        <f>'Foglio deposito bis'!$F$81*IF(ABS(N2055)&lt;'Progetto del paramento slu'!$G$58,ABS(N2055)*'Progetto del paramento slu'!$G$54,'Progetto del paramento slu'!$G$53)*IF(N2055&lt;0,-1,1)</f>
        <v>398299.31208121032</v>
      </c>
      <c r="U2055" s="553">
        <f>'Foglio deposito bis'!$F$82*IF(ABS(O2055)&lt;'Progetto del paramento slu'!$G$58,ABS(O2055)*'Progetto del paramento slu'!$G$54,'Progetto del paramento slu'!$G$53)*IF(O2055&lt;0,-1,1)</f>
        <v>892485.49558937876</v>
      </c>
      <c r="V2055" s="479">
        <f t="shared" si="154"/>
        <v>1255609.3093402907</v>
      </c>
      <c r="W2055" s="559"/>
      <c r="X2055" s="559"/>
    </row>
    <row r="2056" spans="1:24" x14ac:dyDescent="0.25">
      <c r="A2056" s="553">
        <f t="shared" si="153"/>
        <v>1252748.0918192859</v>
      </c>
      <c r="B2056" s="3">
        <f t="shared" si="155"/>
        <v>3.3499999999999961</v>
      </c>
      <c r="C2056" s="553">
        <f>'Foglio deposito bis'!$E$161/sezione!$B$247*B2056</f>
        <v>13.599820508483383</v>
      </c>
      <c r="D2056" s="611">
        <f>-'Progetto del paramento slu'!$G$47*'Progetto del paramento slu'!$G$41*IF(DATI!$G$218="dx",DATI!$E$61,DATI!$E$64*DATI!$E$63)*1000*C2056^2*sezione!$AD$5*(1-sezione!$AD$6)</f>
        <v>-1522550.4858587016</v>
      </c>
      <c r="E2056" s="553">
        <f>-'Foglio deposito bis'!$F$78*(C2056-sezione!$AL$35)*IF(ABS(K2056)&lt;'Progetto del paramento slu'!$G$58,ABS(K2056)*'Progetto del paramento slu'!$G$54,'Progetto del paramento slu'!$G$53)</f>
        <v>0</v>
      </c>
      <c r="F2056" s="553">
        <f>-'Foglio deposito bis'!$F$79*(C2056-sezione!$AM$35)*IF(ABS(L2056)&lt;'Progetto del paramento slu'!$G$58,ABS(L2056)*'Progetto del paramento slu'!$G$54,'Progetto del paramento slu'!$G$53)</f>
        <v>20959914.220379893</v>
      </c>
      <c r="G2056" s="553">
        <f>-'Foglio deposito bis'!$F$80*(C2056-sezione!$AN$35)*IF(ABS(M2056)&lt;'Progetto del paramento slu'!$G$58,ABS(M2056)*'Progetto del paramento slu'!$G$54,'Progetto del paramento slu'!$G$53)</f>
        <v>0</v>
      </c>
      <c r="H2056" s="553">
        <f>-'Foglio deposito bis'!$F$81*(C2056-sezione!$AO$35)*IF(ABS(N2056)&lt;'Progetto del paramento slu'!$G$58,ABS(N2056)*'Progetto del paramento slu'!$G$54,'Progetto del paramento slu'!$G$53)</f>
        <v>130004966.95465463</v>
      </c>
      <c r="I2056" s="479">
        <f>-'Foglio deposito bis'!$F$82*(C2056-sezione!$AP$35)*IF(ABS(O2056)&lt;'Progetto del paramento slu'!$G$58,ABS(O2056)*'Progetto del paramento slu'!$G$54,'Progetto del paramento slu'!$G$53)</f>
        <v>219915709.02758002</v>
      </c>
      <c r="J2056" s="479">
        <f t="shared" si="152"/>
        <v>369358039.71675587</v>
      </c>
      <c r="K2056" s="558">
        <f>'Progetto del paramento slu'!$G$60*(sezione!$AL$35-C2056)/C2056</f>
        <v>6.7942535096452124E-3</v>
      </c>
      <c r="L2056" s="558">
        <f>'Progetto del paramento slu'!$G$60*(sezione!$AM$35-C2056)/C2056</f>
        <v>3.5103450661169544E-2</v>
      </c>
      <c r="M2056" s="559">
        <f>'Progetto del paramento slu'!$G$60*(sezione!$AN$35-C2056)/C2056</f>
        <v>6.3412647812693887E-2</v>
      </c>
      <c r="N2056" s="559">
        <f>'Progetto del paramento slu'!$G$60*(sezione!$AO$35-C2056)/C2056</f>
        <v>8.4001154831984295E-2</v>
      </c>
      <c r="O2056" s="559">
        <f>'Progetto del paramento slu'!$G$60*(sezione!$AP$35-C2056)/C2056</f>
        <v>6.3414701714235425E-2</v>
      </c>
      <c r="P2056" s="553">
        <f>-'Progetto del paramento slu'!$G$47*'Progetto del paramento slu'!$G$41*IF(DATI!$G$218="dx",DATI!$E$61,DATI!$E$64*DATI!$E$63)*1000*C2056*sezione!$AD$5</f>
        <v>-191701.57390732583</v>
      </c>
      <c r="Q2056" s="553">
        <f>'Foglio deposito bis'!$F$78*IF(ABS(K2056)&lt;'Progetto del paramento slu'!$G$58,ABS(K2056)*'Progetto del paramento slu'!$G$54,'Progetto del paramento slu'!$G$53)*IF(K2056&lt;0,-1,1)</f>
        <v>0</v>
      </c>
      <c r="R2056" s="553">
        <f>'Foglio deposito bis'!$F$79*IF(ABS(L2056)&lt;'Progetto del paramento slu'!$G$58,ABS(L2056)*'Progetto del paramento slu'!$G$54,'Progetto del paramento slu'!$G$53)*IF(L2056&lt;0,-1,1)</f>
        <v>153664.85805602249</v>
      </c>
      <c r="S2056" s="553">
        <f>'Foglio deposito bis'!$F$80*IF(ABS(M2056)&lt;'Progetto del paramento slu'!$G$58,ABS(M2056)*'Progetto del paramento slu'!$G$54,'Progetto del paramento slu'!$G$53)*IF(M2056&lt;0,-1,1)</f>
        <v>0</v>
      </c>
      <c r="T2056" s="553">
        <f>'Foglio deposito bis'!$F$81*IF(ABS(N2056)&lt;'Progetto del paramento slu'!$G$58,ABS(N2056)*'Progetto del paramento slu'!$G$54,'Progetto del paramento slu'!$G$53)*IF(N2056&lt;0,-1,1)</f>
        <v>398299.31208121032</v>
      </c>
      <c r="U2056" s="553">
        <f>'Foglio deposito bis'!$F$82*IF(ABS(O2056)&lt;'Progetto del paramento slu'!$G$58,ABS(O2056)*'Progetto del paramento slu'!$G$54,'Progetto del paramento slu'!$G$53)*IF(O2056&lt;0,-1,1)</f>
        <v>892485.49558937876</v>
      </c>
      <c r="V2056" s="479">
        <f t="shared" si="154"/>
        <v>1252748.0918192859</v>
      </c>
      <c r="W2056" s="559"/>
      <c r="X2056" s="559"/>
    </row>
    <row r="2057" spans="1:24" x14ac:dyDescent="0.25">
      <c r="A2057" s="553">
        <f t="shared" si="153"/>
        <v>1249886.8742982808</v>
      </c>
      <c r="B2057" s="3">
        <f t="shared" si="155"/>
        <v>3.3999999999999959</v>
      </c>
      <c r="C2057" s="553">
        <f>'Foglio deposito bis'!$E$161/sezione!$B$247*B2057</f>
        <v>13.802802904132388</v>
      </c>
      <c r="D2057" s="611">
        <f>-'Progetto del paramento slu'!$G$47*'Progetto del paramento slu'!$G$41*IF(DATI!$G$218="dx",DATI!$E$61,DATI!$E$64*DATI!$E$63)*1000*C2057^2*sezione!$AD$5*(1-sezione!$AD$6)</f>
        <v>-1568338.9277368314</v>
      </c>
      <c r="E2057" s="553">
        <f>-'Foglio deposito bis'!$F$78*(C2057-sezione!$AL$35)*IF(ABS(K2057)&lt;'Progetto del paramento slu'!$G$58,ABS(K2057)*'Progetto del paramento slu'!$G$54,'Progetto del paramento slu'!$G$53)</f>
        <v>0</v>
      </c>
      <c r="F2057" s="553">
        <f>-'Foglio deposito bis'!$F$79*(C2057-sezione!$AM$35)*IF(ABS(L2057)&lt;'Progetto del paramento slu'!$G$58,ABS(L2057)*'Progetto del paramento slu'!$G$54,'Progetto del paramento slu'!$G$53)</f>
        <v>20928722.959364615</v>
      </c>
      <c r="G2057" s="553">
        <f>-'Foglio deposito bis'!$F$80*(C2057-sezione!$AN$35)*IF(ABS(M2057)&lt;'Progetto del paramento slu'!$G$58,ABS(M2057)*'Progetto del paramento slu'!$G$54,'Progetto del paramento slu'!$G$53)</f>
        <v>0</v>
      </c>
      <c r="H2057" s="553">
        <f>-'Foglio deposito bis'!$F$81*(C2057-sezione!$AO$35)*IF(ABS(N2057)&lt;'Progetto del paramento slu'!$G$58,ABS(N2057)*'Progetto del paramento slu'!$G$54,'Progetto del paramento slu'!$G$53)</f>
        <v>129924119.20610306</v>
      </c>
      <c r="I2057" s="479">
        <f>-'Foglio deposito bis'!$F$82*(C2057-sezione!$AP$35)*IF(ABS(O2057)&lt;'Progetto del paramento slu'!$G$58,ABS(O2057)*'Progetto del paramento slu'!$G$54,'Progetto del paramento slu'!$G$53)</f>
        <v>219734550.18360332</v>
      </c>
      <c r="J2057" s="479">
        <f t="shared" si="152"/>
        <v>369019053.42133415</v>
      </c>
      <c r="K2057" s="558">
        <f>'Progetto del paramento slu'!$G$60*(sezione!$AL$35-C2057)/C2057</f>
        <v>6.6428674286210182E-3</v>
      </c>
      <c r="L2057" s="558">
        <f>'Progetto del paramento slu'!$G$60*(sezione!$AM$35-C2057)/C2057</f>
        <v>3.4535752857328815E-2</v>
      </c>
      <c r="M2057" s="559">
        <f>'Progetto del paramento slu'!$G$60*(sezione!$AN$35-C2057)/C2057</f>
        <v>6.242863828603662E-2</v>
      </c>
      <c r="N2057" s="559">
        <f>'Progetto del paramento slu'!$G$60*(sezione!$AO$35-C2057)/C2057</f>
        <v>8.2714373143278661E-2</v>
      </c>
      <c r="O2057" s="559">
        <f>'Progetto del paramento slu'!$G$60*(sezione!$AP$35-C2057)/C2057</f>
        <v>6.2430661983143731E-2</v>
      </c>
      <c r="P2057" s="553">
        <f>-'Progetto del paramento slu'!$G$47*'Progetto del paramento slu'!$G$41*IF(DATI!$G$218="dx",DATI!$E$61,DATI!$E$64*DATI!$E$63)*1000*C2057*sezione!$AD$5</f>
        <v>-194562.7914283307</v>
      </c>
      <c r="Q2057" s="553">
        <f>'Foglio deposito bis'!$F$78*IF(ABS(K2057)&lt;'Progetto del paramento slu'!$G$58,ABS(K2057)*'Progetto del paramento slu'!$G$54,'Progetto del paramento slu'!$G$53)*IF(K2057&lt;0,-1,1)</f>
        <v>0</v>
      </c>
      <c r="R2057" s="553">
        <f>'Foglio deposito bis'!$F$79*IF(ABS(L2057)&lt;'Progetto del paramento slu'!$G$58,ABS(L2057)*'Progetto del paramento slu'!$G$54,'Progetto del paramento slu'!$G$53)*IF(L2057&lt;0,-1,1)</f>
        <v>153664.85805602249</v>
      </c>
      <c r="S2057" s="553">
        <f>'Foglio deposito bis'!$F$80*IF(ABS(M2057)&lt;'Progetto del paramento slu'!$G$58,ABS(M2057)*'Progetto del paramento slu'!$G$54,'Progetto del paramento slu'!$G$53)*IF(M2057&lt;0,-1,1)</f>
        <v>0</v>
      </c>
      <c r="T2057" s="553">
        <f>'Foglio deposito bis'!$F$81*IF(ABS(N2057)&lt;'Progetto del paramento slu'!$G$58,ABS(N2057)*'Progetto del paramento slu'!$G$54,'Progetto del paramento slu'!$G$53)*IF(N2057&lt;0,-1,1)</f>
        <v>398299.31208121032</v>
      </c>
      <c r="U2057" s="553">
        <f>'Foglio deposito bis'!$F$82*IF(ABS(O2057)&lt;'Progetto del paramento slu'!$G$58,ABS(O2057)*'Progetto del paramento slu'!$G$54,'Progetto del paramento slu'!$G$53)*IF(O2057&lt;0,-1,1)</f>
        <v>892485.49558937876</v>
      </c>
      <c r="V2057" s="479">
        <f t="shared" si="154"/>
        <v>1249886.8742982808</v>
      </c>
      <c r="W2057" s="559"/>
      <c r="X2057" s="559"/>
    </row>
    <row r="2058" spans="1:24" x14ac:dyDescent="0.25">
      <c r="A2058" s="553">
        <f t="shared" si="153"/>
        <v>1247025.656777276</v>
      </c>
      <c r="B2058" s="3">
        <f t="shared" si="155"/>
        <v>3.4499999999999957</v>
      </c>
      <c r="C2058" s="553">
        <f>'Foglio deposito bis'!$E$161/sezione!$B$247*B2058</f>
        <v>14.005785299781394</v>
      </c>
      <c r="D2058" s="611">
        <f>-'Progetto del paramento slu'!$G$47*'Progetto del paramento slu'!$G$41*IF(DATI!$G$218="dx",DATI!$E$61,DATI!$E$64*DATI!$E$63)*1000*C2058^2*sezione!$AD$5*(1-sezione!$AD$6)</f>
        <v>-1614805.7169020446</v>
      </c>
      <c r="E2058" s="553">
        <f>-'Foglio deposito bis'!$F$78*(C2058-sezione!$AL$35)*IF(ABS(K2058)&lt;'Progetto del paramento slu'!$G$58,ABS(K2058)*'Progetto del paramento slu'!$G$54,'Progetto del paramento slu'!$G$53)</f>
        <v>0</v>
      </c>
      <c r="F2058" s="553">
        <f>-'Foglio deposito bis'!$F$79*(C2058-sezione!$AM$35)*IF(ABS(L2058)&lt;'Progetto del paramento slu'!$G$58,ABS(L2058)*'Progetto del paramento slu'!$G$54,'Progetto del paramento slu'!$G$53)</f>
        <v>20897531.698349338</v>
      </c>
      <c r="G2058" s="553">
        <f>-'Foglio deposito bis'!$F$80*(C2058-sezione!$AN$35)*IF(ABS(M2058)&lt;'Progetto del paramento slu'!$G$58,ABS(M2058)*'Progetto del paramento slu'!$G$54,'Progetto del paramento slu'!$G$53)</f>
        <v>0</v>
      </c>
      <c r="H2058" s="553">
        <f>-'Foglio deposito bis'!$F$81*(C2058-sezione!$AO$35)*IF(ABS(N2058)&lt;'Progetto del paramento slu'!$G$58,ABS(N2058)*'Progetto del paramento slu'!$G$54,'Progetto del paramento slu'!$G$53)</f>
        <v>129843271.45755145</v>
      </c>
      <c r="I2058" s="479">
        <f>-'Foglio deposito bis'!$F$82*(C2058-sezione!$AP$35)*IF(ABS(O2058)&lt;'Progetto del paramento slu'!$G$58,ABS(O2058)*'Progetto del paramento slu'!$G$54,'Progetto del paramento slu'!$G$53)</f>
        <v>219553391.33962658</v>
      </c>
      <c r="J2058" s="479">
        <f t="shared" si="152"/>
        <v>368679388.77862537</v>
      </c>
      <c r="K2058" s="558">
        <f>'Progetto del paramento slu'!$G$60*(sezione!$AL$35-C2058)/C2058</f>
        <v>6.4958693499453509E-3</v>
      </c>
      <c r="L2058" s="558">
        <f>'Progetto del paramento slu'!$G$60*(sezione!$AM$35-C2058)/C2058</f>
        <v>3.3984510062295067E-2</v>
      </c>
      <c r="M2058" s="559">
        <f>'Progetto del paramento slu'!$G$60*(sezione!$AN$35-C2058)/C2058</f>
        <v>6.1473150774644783E-2</v>
      </c>
      <c r="N2058" s="559">
        <f>'Progetto del paramento slu'!$G$60*(sezione!$AO$35-C2058)/C2058</f>
        <v>8.1464889474535493E-2</v>
      </c>
      <c r="O2058" s="559">
        <f>'Progetto del paramento slu'!$G$60*(sezione!$AP$35-C2058)/C2058</f>
        <v>6.1475145142808309E-2</v>
      </c>
      <c r="P2058" s="553">
        <f>-'Progetto del paramento slu'!$G$47*'Progetto del paramento slu'!$G$41*IF(DATI!$G$218="dx",DATI!$E$61,DATI!$E$64*DATI!$E$63)*1000*C2058*sezione!$AD$5</f>
        <v>-197424.00894933555</v>
      </c>
      <c r="Q2058" s="553">
        <f>'Foglio deposito bis'!$F$78*IF(ABS(K2058)&lt;'Progetto del paramento slu'!$G$58,ABS(K2058)*'Progetto del paramento slu'!$G$54,'Progetto del paramento slu'!$G$53)*IF(K2058&lt;0,-1,1)</f>
        <v>0</v>
      </c>
      <c r="R2058" s="553">
        <f>'Foglio deposito bis'!$F$79*IF(ABS(L2058)&lt;'Progetto del paramento slu'!$G$58,ABS(L2058)*'Progetto del paramento slu'!$G$54,'Progetto del paramento slu'!$G$53)*IF(L2058&lt;0,-1,1)</f>
        <v>153664.85805602249</v>
      </c>
      <c r="S2058" s="553">
        <f>'Foglio deposito bis'!$F$80*IF(ABS(M2058)&lt;'Progetto del paramento slu'!$G$58,ABS(M2058)*'Progetto del paramento slu'!$G$54,'Progetto del paramento slu'!$G$53)*IF(M2058&lt;0,-1,1)</f>
        <v>0</v>
      </c>
      <c r="T2058" s="553">
        <f>'Foglio deposito bis'!$F$81*IF(ABS(N2058)&lt;'Progetto del paramento slu'!$G$58,ABS(N2058)*'Progetto del paramento slu'!$G$54,'Progetto del paramento slu'!$G$53)*IF(N2058&lt;0,-1,1)</f>
        <v>398299.31208121032</v>
      </c>
      <c r="U2058" s="553">
        <f>'Foglio deposito bis'!$F$82*IF(ABS(O2058)&lt;'Progetto del paramento slu'!$G$58,ABS(O2058)*'Progetto del paramento slu'!$G$54,'Progetto del paramento slu'!$G$53)*IF(O2058&lt;0,-1,1)</f>
        <v>892485.49558937876</v>
      </c>
      <c r="V2058" s="479">
        <f t="shared" si="154"/>
        <v>1247025.656777276</v>
      </c>
      <c r="W2058" s="559"/>
      <c r="X2058" s="559"/>
    </row>
    <row r="2059" spans="1:24" x14ac:dyDescent="0.25">
      <c r="A2059" s="553">
        <f t="shared" si="153"/>
        <v>1244164.4392562711</v>
      </c>
      <c r="B2059" s="3">
        <f t="shared" si="155"/>
        <v>3.4999999999999956</v>
      </c>
      <c r="C2059" s="553">
        <f>'Foglio deposito bis'!$E$161/sezione!$B$247*B2059</f>
        <v>14.208767695430399</v>
      </c>
      <c r="D2059" s="611">
        <f>-'Progetto del paramento slu'!$G$47*'Progetto del paramento slu'!$G$41*IF(DATI!$G$218="dx",DATI!$E$61,DATI!$E$64*DATI!$E$63)*1000*C2059^2*sezione!$AD$5*(1-sezione!$AD$6)</f>
        <v>-1661950.8533543411</v>
      </c>
      <c r="E2059" s="553">
        <f>-'Foglio deposito bis'!$F$78*(C2059-sezione!$AL$35)*IF(ABS(K2059)&lt;'Progetto del paramento slu'!$G$58,ABS(K2059)*'Progetto del paramento slu'!$G$54,'Progetto del paramento slu'!$G$53)</f>
        <v>0</v>
      </c>
      <c r="F2059" s="553">
        <f>-'Foglio deposito bis'!$F$79*(C2059-sezione!$AM$35)*IF(ABS(L2059)&lt;'Progetto del paramento slu'!$G$58,ABS(L2059)*'Progetto del paramento slu'!$G$54,'Progetto del paramento slu'!$G$53)</f>
        <v>20866340.437334064</v>
      </c>
      <c r="G2059" s="553">
        <f>-'Foglio deposito bis'!$F$80*(C2059-sezione!$AN$35)*IF(ABS(M2059)&lt;'Progetto del paramento slu'!$G$58,ABS(M2059)*'Progetto del paramento slu'!$G$54,'Progetto del paramento slu'!$G$53)</f>
        <v>0</v>
      </c>
      <c r="H2059" s="553">
        <f>-'Foglio deposito bis'!$F$81*(C2059-sezione!$AO$35)*IF(ABS(N2059)&lt;'Progetto del paramento slu'!$G$58,ABS(N2059)*'Progetto del paramento slu'!$G$54,'Progetto del paramento slu'!$G$53)</f>
        <v>129762423.70899986</v>
      </c>
      <c r="I2059" s="479">
        <f>-'Foglio deposito bis'!$F$82*(C2059-sezione!$AP$35)*IF(ABS(O2059)&lt;'Progetto del paramento slu'!$G$58,ABS(O2059)*'Progetto del paramento slu'!$G$54,'Progetto del paramento slu'!$G$53)</f>
        <v>219372232.49564984</v>
      </c>
      <c r="J2059" s="479">
        <f t="shared" si="152"/>
        <v>368339045.78862941</v>
      </c>
      <c r="K2059" s="558">
        <f>'Progetto del paramento slu'!$G$60*(sezione!$AL$35-C2059)/C2059</f>
        <v>6.3530712163747038E-3</v>
      </c>
      <c r="L2059" s="558">
        <f>'Progetto del paramento slu'!$G$60*(sezione!$AM$35-C2059)/C2059</f>
        <v>3.3449017061405142E-2</v>
      </c>
      <c r="M2059" s="559">
        <f>'Progetto del paramento slu'!$G$60*(sezione!$AN$35-C2059)/C2059</f>
        <v>6.0544962906435573E-2</v>
      </c>
      <c r="N2059" s="559">
        <f>'Progetto del paramento slu'!$G$60*(sezione!$AO$35-C2059)/C2059</f>
        <v>8.0251105339184975E-2</v>
      </c>
      <c r="O2059" s="559">
        <f>'Progetto del paramento slu'!$G$60*(sezione!$AP$35-C2059)/C2059</f>
        <v>6.0546928783625338E-2</v>
      </c>
      <c r="P2059" s="553">
        <f>-'Progetto del paramento slu'!$G$47*'Progetto del paramento slu'!$G$41*IF(DATI!$G$218="dx",DATI!$E$61,DATI!$E$64*DATI!$E$63)*1000*C2059*sezione!$AD$5</f>
        <v>-200285.22647034042</v>
      </c>
      <c r="Q2059" s="553">
        <f>'Foglio deposito bis'!$F$78*IF(ABS(K2059)&lt;'Progetto del paramento slu'!$G$58,ABS(K2059)*'Progetto del paramento slu'!$G$54,'Progetto del paramento slu'!$G$53)*IF(K2059&lt;0,-1,1)</f>
        <v>0</v>
      </c>
      <c r="R2059" s="553">
        <f>'Foglio deposito bis'!$F$79*IF(ABS(L2059)&lt;'Progetto del paramento slu'!$G$58,ABS(L2059)*'Progetto del paramento slu'!$G$54,'Progetto del paramento slu'!$G$53)*IF(L2059&lt;0,-1,1)</f>
        <v>153664.85805602249</v>
      </c>
      <c r="S2059" s="553">
        <f>'Foglio deposito bis'!$F$80*IF(ABS(M2059)&lt;'Progetto del paramento slu'!$G$58,ABS(M2059)*'Progetto del paramento slu'!$G$54,'Progetto del paramento slu'!$G$53)*IF(M2059&lt;0,-1,1)</f>
        <v>0</v>
      </c>
      <c r="T2059" s="553">
        <f>'Foglio deposito bis'!$F$81*IF(ABS(N2059)&lt;'Progetto del paramento slu'!$G$58,ABS(N2059)*'Progetto del paramento slu'!$G$54,'Progetto del paramento slu'!$G$53)*IF(N2059&lt;0,-1,1)</f>
        <v>398299.31208121032</v>
      </c>
      <c r="U2059" s="553">
        <f>'Foglio deposito bis'!$F$82*IF(ABS(O2059)&lt;'Progetto del paramento slu'!$G$58,ABS(O2059)*'Progetto del paramento slu'!$G$54,'Progetto del paramento slu'!$G$53)*IF(O2059&lt;0,-1,1)</f>
        <v>892485.49558937876</v>
      </c>
      <c r="V2059" s="479">
        <f t="shared" si="154"/>
        <v>1244164.4392562711</v>
      </c>
      <c r="W2059" s="559"/>
      <c r="X2059" s="559"/>
    </row>
    <row r="2060" spans="1:24" x14ac:dyDescent="0.25">
      <c r="A2060" s="553">
        <f t="shared" si="153"/>
        <v>1241303.2217352663</v>
      </c>
      <c r="B2060" s="3">
        <f t="shared" si="155"/>
        <v>3.5499999999999954</v>
      </c>
      <c r="C2060" s="553">
        <f>'Foglio deposito bis'!$E$161/sezione!$B$247*B2060</f>
        <v>14.411750091079403</v>
      </c>
      <c r="D2060" s="611">
        <f>-'Progetto del paramento slu'!$G$47*'Progetto del paramento slu'!$G$41*IF(DATI!$G$218="dx",DATI!$E$61,DATI!$E$64*DATI!$E$63)*1000*C2060^2*sezione!$AD$5*(1-sezione!$AD$6)</f>
        <v>-1709774.3370937207</v>
      </c>
      <c r="E2060" s="553">
        <f>-'Foglio deposito bis'!$F$78*(C2060-sezione!$AL$35)*IF(ABS(K2060)&lt;'Progetto del paramento slu'!$G$58,ABS(K2060)*'Progetto del paramento slu'!$G$54,'Progetto del paramento slu'!$G$53)</f>
        <v>0</v>
      </c>
      <c r="F2060" s="553">
        <f>-'Foglio deposito bis'!$F$79*(C2060-sezione!$AM$35)*IF(ABS(L2060)&lt;'Progetto del paramento slu'!$G$58,ABS(L2060)*'Progetto del paramento slu'!$G$54,'Progetto del paramento slu'!$G$53)</f>
        <v>20835149.176318791</v>
      </c>
      <c r="G2060" s="553">
        <f>-'Foglio deposito bis'!$F$80*(C2060-sezione!$AN$35)*IF(ABS(M2060)&lt;'Progetto del paramento slu'!$G$58,ABS(M2060)*'Progetto del paramento slu'!$G$54,'Progetto del paramento slu'!$G$53)</f>
        <v>0</v>
      </c>
      <c r="H2060" s="553">
        <f>-'Foglio deposito bis'!$F$81*(C2060-sezione!$AO$35)*IF(ABS(N2060)&lt;'Progetto del paramento slu'!$G$58,ABS(N2060)*'Progetto del paramento slu'!$G$54,'Progetto del paramento slu'!$G$53)</f>
        <v>129681575.96044825</v>
      </c>
      <c r="I2060" s="479">
        <f>-'Foglio deposito bis'!$F$82*(C2060-sezione!$AP$35)*IF(ABS(O2060)&lt;'Progetto del paramento slu'!$G$58,ABS(O2060)*'Progetto del paramento slu'!$G$54,'Progetto del paramento slu'!$G$53)</f>
        <v>219191073.65167317</v>
      </c>
      <c r="J2060" s="479">
        <f t="shared" si="152"/>
        <v>367998024.45134652</v>
      </c>
      <c r="K2060" s="558">
        <f>'Progetto del paramento slu'!$G$60*(sezione!$AL$35-C2060)/C2060</f>
        <v>6.2142955654398502E-3</v>
      </c>
      <c r="L2060" s="558">
        <f>'Progetto del paramento slu'!$G$60*(sezione!$AM$35-C2060)/C2060</f>
        <v>3.2928608370399438E-2</v>
      </c>
      <c r="M2060" s="559">
        <f>'Progetto del paramento slu'!$G$60*(sezione!$AN$35-C2060)/C2060</f>
        <v>5.9642921175359027E-2</v>
      </c>
      <c r="N2060" s="559">
        <f>'Progetto del paramento slu'!$G$60*(sezione!$AO$35-C2060)/C2060</f>
        <v>7.9071512306238725E-2</v>
      </c>
      <c r="O2060" s="559">
        <f>'Progetto del paramento slu'!$G$60*(sezione!$AP$35-C2060)/C2060</f>
        <v>5.9644859364137666E-2</v>
      </c>
      <c r="P2060" s="553">
        <f>-'Progetto del paramento slu'!$G$47*'Progetto del paramento slu'!$G$41*IF(DATI!$G$218="dx",DATI!$E$61,DATI!$E$64*DATI!$E$63)*1000*C2060*sezione!$AD$5</f>
        <v>-203146.44399134524</v>
      </c>
      <c r="Q2060" s="553">
        <f>'Foglio deposito bis'!$F$78*IF(ABS(K2060)&lt;'Progetto del paramento slu'!$G$58,ABS(K2060)*'Progetto del paramento slu'!$G$54,'Progetto del paramento slu'!$G$53)*IF(K2060&lt;0,-1,1)</f>
        <v>0</v>
      </c>
      <c r="R2060" s="553">
        <f>'Foglio deposito bis'!$F$79*IF(ABS(L2060)&lt;'Progetto del paramento slu'!$G$58,ABS(L2060)*'Progetto del paramento slu'!$G$54,'Progetto del paramento slu'!$G$53)*IF(L2060&lt;0,-1,1)</f>
        <v>153664.85805602249</v>
      </c>
      <c r="S2060" s="553">
        <f>'Foglio deposito bis'!$F$80*IF(ABS(M2060)&lt;'Progetto del paramento slu'!$G$58,ABS(M2060)*'Progetto del paramento slu'!$G$54,'Progetto del paramento slu'!$G$53)*IF(M2060&lt;0,-1,1)</f>
        <v>0</v>
      </c>
      <c r="T2060" s="553">
        <f>'Foglio deposito bis'!$F$81*IF(ABS(N2060)&lt;'Progetto del paramento slu'!$G$58,ABS(N2060)*'Progetto del paramento slu'!$G$54,'Progetto del paramento slu'!$G$53)*IF(N2060&lt;0,-1,1)</f>
        <v>398299.31208121032</v>
      </c>
      <c r="U2060" s="553">
        <f>'Foglio deposito bis'!$F$82*IF(ABS(O2060)&lt;'Progetto del paramento slu'!$G$58,ABS(O2060)*'Progetto del paramento slu'!$G$54,'Progetto del paramento slu'!$G$53)*IF(O2060&lt;0,-1,1)</f>
        <v>892485.49558937876</v>
      </c>
      <c r="V2060" s="479">
        <f t="shared" si="154"/>
        <v>1241303.2217352663</v>
      </c>
      <c r="W2060" s="559"/>
      <c r="X2060" s="559"/>
    </row>
    <row r="2061" spans="1:24" x14ac:dyDescent="0.25">
      <c r="A2061" s="553">
        <f t="shared" si="153"/>
        <v>1238442.0042142614</v>
      </c>
      <c r="B2061" s="3">
        <f t="shared" si="155"/>
        <v>3.5999999999999952</v>
      </c>
      <c r="C2061" s="553">
        <f>'Foglio deposito bis'!$E$161/sezione!$B$247*B2061</f>
        <v>14.614732486728409</v>
      </c>
      <c r="D2061" s="611">
        <f>-'Progetto del paramento slu'!$G$47*'Progetto del paramento slu'!$G$41*IF(DATI!$G$218="dx",DATI!$E$61,DATI!$E$64*DATI!$E$63)*1000*C2061^2*sezione!$AD$5*(1-sezione!$AD$6)</f>
        <v>-1758276.1681201842</v>
      </c>
      <c r="E2061" s="553">
        <f>-'Foglio deposito bis'!$F$78*(C2061-sezione!$AL$35)*IF(ABS(K2061)&lt;'Progetto del paramento slu'!$G$58,ABS(K2061)*'Progetto del paramento slu'!$G$54,'Progetto del paramento slu'!$G$53)</f>
        <v>0</v>
      </c>
      <c r="F2061" s="553">
        <f>-'Foglio deposito bis'!$F$79*(C2061-sezione!$AM$35)*IF(ABS(L2061)&lt;'Progetto del paramento slu'!$G$58,ABS(L2061)*'Progetto del paramento slu'!$G$54,'Progetto del paramento slu'!$G$53)</f>
        <v>20803957.915303513</v>
      </c>
      <c r="G2061" s="553">
        <f>-'Foglio deposito bis'!$F$80*(C2061-sezione!$AN$35)*IF(ABS(M2061)&lt;'Progetto del paramento slu'!$G$58,ABS(M2061)*'Progetto del paramento slu'!$G$54,'Progetto del paramento slu'!$G$53)</f>
        <v>0</v>
      </c>
      <c r="H2061" s="553">
        <f>-'Foglio deposito bis'!$F$81*(C2061-sezione!$AO$35)*IF(ABS(N2061)&lt;'Progetto del paramento slu'!$G$58,ABS(N2061)*'Progetto del paramento slu'!$G$54,'Progetto del paramento slu'!$G$53)</f>
        <v>129600728.21189666</v>
      </c>
      <c r="I2061" s="479">
        <f>-'Foglio deposito bis'!$F$82*(C2061-sezione!$AP$35)*IF(ABS(O2061)&lt;'Progetto del paramento slu'!$G$58,ABS(O2061)*'Progetto del paramento slu'!$G$54,'Progetto del paramento slu'!$G$53)</f>
        <v>219009914.80769643</v>
      </c>
      <c r="J2061" s="479">
        <f t="shared" si="152"/>
        <v>367656324.76677644</v>
      </c>
      <c r="K2061" s="558">
        <f>'Progetto del paramento slu'!$G$60*(sezione!$AL$35-C2061)/C2061</f>
        <v>6.0793747936976304E-3</v>
      </c>
      <c r="L2061" s="558">
        <f>'Progetto del paramento slu'!$G$60*(sezione!$AM$35-C2061)/C2061</f>
        <v>3.2422655476366115E-2</v>
      </c>
      <c r="M2061" s="559">
        <f>'Progetto del paramento slu'!$G$60*(sezione!$AN$35-C2061)/C2061</f>
        <v>5.8765936159034596E-2</v>
      </c>
      <c r="N2061" s="559">
        <f>'Progetto del paramento slu'!$G$60*(sezione!$AO$35-C2061)/C2061</f>
        <v>7.7924685746429856E-2</v>
      </c>
      <c r="O2061" s="559">
        <f>'Progetto del paramento slu'!$G$60*(sezione!$AP$35-C2061)/C2061</f>
        <v>5.8767847428524637E-2</v>
      </c>
      <c r="P2061" s="553">
        <f>-'Progetto del paramento slu'!$G$47*'Progetto del paramento slu'!$G$41*IF(DATI!$G$218="dx",DATI!$E$61,DATI!$E$64*DATI!$E$63)*1000*C2061*sezione!$AD$5</f>
        <v>-206007.66151235011</v>
      </c>
      <c r="Q2061" s="553">
        <f>'Foglio deposito bis'!$F$78*IF(ABS(K2061)&lt;'Progetto del paramento slu'!$G$58,ABS(K2061)*'Progetto del paramento slu'!$G$54,'Progetto del paramento slu'!$G$53)*IF(K2061&lt;0,-1,1)</f>
        <v>0</v>
      </c>
      <c r="R2061" s="553">
        <f>'Foglio deposito bis'!$F$79*IF(ABS(L2061)&lt;'Progetto del paramento slu'!$G$58,ABS(L2061)*'Progetto del paramento slu'!$G$54,'Progetto del paramento slu'!$G$53)*IF(L2061&lt;0,-1,1)</f>
        <v>153664.85805602249</v>
      </c>
      <c r="S2061" s="553">
        <f>'Foglio deposito bis'!$F$80*IF(ABS(M2061)&lt;'Progetto del paramento slu'!$G$58,ABS(M2061)*'Progetto del paramento slu'!$G$54,'Progetto del paramento slu'!$G$53)*IF(M2061&lt;0,-1,1)</f>
        <v>0</v>
      </c>
      <c r="T2061" s="553">
        <f>'Foglio deposito bis'!$F$81*IF(ABS(N2061)&lt;'Progetto del paramento slu'!$G$58,ABS(N2061)*'Progetto del paramento slu'!$G$54,'Progetto del paramento slu'!$G$53)*IF(N2061&lt;0,-1,1)</f>
        <v>398299.31208121032</v>
      </c>
      <c r="U2061" s="553">
        <f>'Foglio deposito bis'!$F$82*IF(ABS(O2061)&lt;'Progetto del paramento slu'!$G$58,ABS(O2061)*'Progetto del paramento slu'!$G$54,'Progetto del paramento slu'!$G$53)*IF(O2061&lt;0,-1,1)</f>
        <v>892485.49558937876</v>
      </c>
      <c r="V2061" s="479">
        <f t="shared" si="154"/>
        <v>1238442.0042142614</v>
      </c>
      <c r="W2061" s="559"/>
      <c r="X2061" s="559"/>
    </row>
    <row r="2062" spans="1:24" x14ac:dyDescent="0.25">
      <c r="A2062" s="553">
        <f t="shared" si="153"/>
        <v>1235580.7866932566</v>
      </c>
      <c r="B2062" s="3">
        <f t="shared" si="155"/>
        <v>3.649999999999995</v>
      </c>
      <c r="C2062" s="553">
        <f>'Foglio deposito bis'!$E$161/sezione!$B$247*B2062</f>
        <v>14.817714882377414</v>
      </c>
      <c r="D2062" s="611">
        <f>-'Progetto del paramento slu'!$G$47*'Progetto del paramento slu'!$G$41*IF(DATI!$G$218="dx",DATI!$E$61,DATI!$E$64*DATI!$E$63)*1000*C2062^2*sezione!$AD$5*(1-sezione!$AD$6)</f>
        <v>-1807456.346433731</v>
      </c>
      <c r="E2062" s="553">
        <f>-'Foglio deposito bis'!$F$78*(C2062-sezione!$AL$35)*IF(ABS(K2062)&lt;'Progetto del paramento slu'!$G$58,ABS(K2062)*'Progetto del paramento slu'!$G$54,'Progetto del paramento slu'!$G$53)</f>
        <v>0</v>
      </c>
      <c r="F2062" s="553">
        <f>-'Foglio deposito bis'!$F$79*(C2062-sezione!$AM$35)*IF(ABS(L2062)&lt;'Progetto del paramento slu'!$G$58,ABS(L2062)*'Progetto del paramento slu'!$G$54,'Progetto del paramento slu'!$G$53)</f>
        <v>20772766.65428824</v>
      </c>
      <c r="G2062" s="553">
        <f>-'Foglio deposito bis'!$F$80*(C2062-sezione!$AN$35)*IF(ABS(M2062)&lt;'Progetto del paramento slu'!$G$58,ABS(M2062)*'Progetto del paramento slu'!$G$54,'Progetto del paramento slu'!$G$53)</f>
        <v>0</v>
      </c>
      <c r="H2062" s="553">
        <f>-'Foglio deposito bis'!$F$81*(C2062-sezione!$AO$35)*IF(ABS(N2062)&lt;'Progetto del paramento slu'!$G$58,ABS(N2062)*'Progetto del paramento slu'!$G$54,'Progetto del paramento slu'!$G$53)</f>
        <v>129519880.46334507</v>
      </c>
      <c r="I2062" s="479">
        <f>-'Foglio deposito bis'!$F$82*(C2062-sezione!$AP$35)*IF(ABS(O2062)&lt;'Progetto del paramento slu'!$G$58,ABS(O2062)*'Progetto del paramento slu'!$G$54,'Progetto del paramento slu'!$G$53)</f>
        <v>218828755.9637197</v>
      </c>
      <c r="J2062" s="479">
        <f t="shared" si="152"/>
        <v>367313946.73491931</v>
      </c>
      <c r="K2062" s="558">
        <f>'Progetto del paramento slu'!$G$60*(sezione!$AL$35-C2062)/C2062</f>
        <v>5.9481504814551962E-3</v>
      </c>
      <c r="L2062" s="558">
        <f>'Progetto del paramento slu'!$G$60*(sezione!$AM$35-C2062)/C2062</f>
        <v>3.1930564305456988E-2</v>
      </c>
      <c r="M2062" s="559">
        <f>'Progetto del paramento slu'!$G$60*(sezione!$AN$35-C2062)/C2062</f>
        <v>5.7912978129458781E-2</v>
      </c>
      <c r="N2062" s="559">
        <f>'Progetto del paramento slu'!$G$60*(sezione!$AO$35-C2062)/C2062</f>
        <v>7.6809279092369176E-2</v>
      </c>
      <c r="O2062" s="559">
        <f>'Progetto del paramento slu'!$G$60*(sezione!$AP$35-C2062)/C2062</f>
        <v>5.791486321717499E-2</v>
      </c>
      <c r="P2062" s="553">
        <f>-'Progetto del paramento slu'!$G$47*'Progetto del paramento slu'!$G$41*IF(DATI!$G$218="dx",DATI!$E$61,DATI!$E$64*DATI!$E$63)*1000*C2062*sezione!$AD$5</f>
        <v>-208868.87903335498</v>
      </c>
      <c r="Q2062" s="553">
        <f>'Foglio deposito bis'!$F$78*IF(ABS(K2062)&lt;'Progetto del paramento slu'!$G$58,ABS(K2062)*'Progetto del paramento slu'!$G$54,'Progetto del paramento slu'!$G$53)*IF(K2062&lt;0,-1,1)</f>
        <v>0</v>
      </c>
      <c r="R2062" s="553">
        <f>'Foglio deposito bis'!$F$79*IF(ABS(L2062)&lt;'Progetto del paramento slu'!$G$58,ABS(L2062)*'Progetto del paramento slu'!$G$54,'Progetto del paramento slu'!$G$53)*IF(L2062&lt;0,-1,1)</f>
        <v>153664.85805602249</v>
      </c>
      <c r="S2062" s="553">
        <f>'Foglio deposito bis'!$F$80*IF(ABS(M2062)&lt;'Progetto del paramento slu'!$G$58,ABS(M2062)*'Progetto del paramento slu'!$G$54,'Progetto del paramento slu'!$G$53)*IF(M2062&lt;0,-1,1)</f>
        <v>0</v>
      </c>
      <c r="T2062" s="553">
        <f>'Foglio deposito bis'!$F$81*IF(ABS(N2062)&lt;'Progetto del paramento slu'!$G$58,ABS(N2062)*'Progetto del paramento slu'!$G$54,'Progetto del paramento slu'!$G$53)*IF(N2062&lt;0,-1,1)</f>
        <v>398299.31208121032</v>
      </c>
      <c r="U2062" s="553">
        <f>'Foglio deposito bis'!$F$82*IF(ABS(O2062)&lt;'Progetto del paramento slu'!$G$58,ABS(O2062)*'Progetto del paramento slu'!$G$54,'Progetto del paramento slu'!$G$53)*IF(O2062&lt;0,-1,1)</f>
        <v>892485.49558937876</v>
      </c>
      <c r="V2062" s="479">
        <f t="shared" si="154"/>
        <v>1235580.7866932566</v>
      </c>
      <c r="W2062" s="559"/>
      <c r="X2062" s="559"/>
    </row>
    <row r="2063" spans="1:24" x14ac:dyDescent="0.25">
      <c r="A2063" s="553">
        <f t="shared" si="153"/>
        <v>1232719.5691722517</v>
      </c>
      <c r="B2063" s="3">
        <f t="shared" si="155"/>
        <v>3.6999999999999948</v>
      </c>
      <c r="C2063" s="553">
        <f>'Foglio deposito bis'!$E$161/sezione!$B$247*B2063</f>
        <v>15.02069727802642</v>
      </c>
      <c r="D2063" s="611">
        <f>-'Progetto del paramento slu'!$G$47*'Progetto del paramento slu'!$G$41*IF(DATI!$G$218="dx",DATI!$E$61,DATI!$E$64*DATI!$E$63)*1000*C2063^2*sezione!$AD$5*(1-sezione!$AD$6)</f>
        <v>-1857314.8720343609</v>
      </c>
      <c r="E2063" s="553">
        <f>-'Foglio deposito bis'!$F$78*(C2063-sezione!$AL$35)*IF(ABS(K2063)&lt;'Progetto del paramento slu'!$G$58,ABS(K2063)*'Progetto del paramento slu'!$G$54,'Progetto del paramento slu'!$G$53)</f>
        <v>0</v>
      </c>
      <c r="F2063" s="553">
        <f>-'Foglio deposito bis'!$F$79*(C2063-sezione!$AM$35)*IF(ABS(L2063)&lt;'Progetto del paramento slu'!$G$58,ABS(L2063)*'Progetto del paramento slu'!$G$54,'Progetto del paramento slu'!$G$53)</f>
        <v>20741575.393272959</v>
      </c>
      <c r="G2063" s="553">
        <f>-'Foglio deposito bis'!$F$80*(C2063-sezione!$AN$35)*IF(ABS(M2063)&lt;'Progetto del paramento slu'!$G$58,ABS(M2063)*'Progetto del paramento slu'!$G$54,'Progetto del paramento slu'!$G$53)</f>
        <v>0</v>
      </c>
      <c r="H2063" s="553">
        <f>-'Foglio deposito bis'!$F$81*(C2063-sezione!$AO$35)*IF(ABS(N2063)&lt;'Progetto del paramento slu'!$G$58,ABS(N2063)*'Progetto del paramento slu'!$G$54,'Progetto del paramento slu'!$G$53)</f>
        <v>129439032.71479347</v>
      </c>
      <c r="I2063" s="479">
        <f>-'Foglio deposito bis'!$F$82*(C2063-sezione!$AP$35)*IF(ABS(O2063)&lt;'Progetto del paramento slu'!$G$58,ABS(O2063)*'Progetto del paramento slu'!$G$54,'Progetto del paramento slu'!$G$53)</f>
        <v>218647597.11974296</v>
      </c>
      <c r="J2063" s="479">
        <f t="shared" si="152"/>
        <v>366970890.355775</v>
      </c>
      <c r="K2063" s="558">
        <f>'Progetto del paramento slu'!$G$60*(sezione!$AL$35-C2063)/C2063</f>
        <v>5.8204727722463425E-3</v>
      </c>
      <c r="L2063" s="558">
        <f>'Progetto del paramento slu'!$G$60*(sezione!$AM$35-C2063)/C2063</f>
        <v>3.1451772895923782E-2</v>
      </c>
      <c r="M2063" s="559">
        <f>'Progetto del paramento slu'!$G$60*(sezione!$AN$35-C2063)/C2063</f>
        <v>5.7083073019601228E-2</v>
      </c>
      <c r="N2063" s="559">
        <f>'Progetto del paramento slu'!$G$60*(sezione!$AO$35-C2063)/C2063</f>
        <v>7.5724018564093901E-2</v>
      </c>
      <c r="O2063" s="559">
        <f>'Progetto del paramento slu'!$G$60*(sezione!$AP$35-C2063)/C2063</f>
        <v>5.7084932633159106E-2</v>
      </c>
      <c r="P2063" s="553">
        <f>-'Progetto del paramento slu'!$G$47*'Progetto del paramento slu'!$G$41*IF(DATI!$G$218="dx",DATI!$E$61,DATI!$E$64*DATI!$E$63)*1000*C2063*sezione!$AD$5</f>
        <v>-211730.09655435983</v>
      </c>
      <c r="Q2063" s="553">
        <f>'Foglio deposito bis'!$F$78*IF(ABS(K2063)&lt;'Progetto del paramento slu'!$G$58,ABS(K2063)*'Progetto del paramento slu'!$G$54,'Progetto del paramento slu'!$G$53)*IF(K2063&lt;0,-1,1)</f>
        <v>0</v>
      </c>
      <c r="R2063" s="553">
        <f>'Foglio deposito bis'!$F$79*IF(ABS(L2063)&lt;'Progetto del paramento slu'!$G$58,ABS(L2063)*'Progetto del paramento slu'!$G$54,'Progetto del paramento slu'!$G$53)*IF(L2063&lt;0,-1,1)</f>
        <v>153664.85805602249</v>
      </c>
      <c r="S2063" s="553">
        <f>'Foglio deposito bis'!$F$80*IF(ABS(M2063)&lt;'Progetto del paramento slu'!$G$58,ABS(M2063)*'Progetto del paramento slu'!$G$54,'Progetto del paramento slu'!$G$53)*IF(M2063&lt;0,-1,1)</f>
        <v>0</v>
      </c>
      <c r="T2063" s="553">
        <f>'Foglio deposito bis'!$F$81*IF(ABS(N2063)&lt;'Progetto del paramento slu'!$G$58,ABS(N2063)*'Progetto del paramento slu'!$G$54,'Progetto del paramento slu'!$G$53)*IF(N2063&lt;0,-1,1)</f>
        <v>398299.31208121032</v>
      </c>
      <c r="U2063" s="553">
        <f>'Foglio deposito bis'!$F$82*IF(ABS(O2063)&lt;'Progetto del paramento slu'!$G$58,ABS(O2063)*'Progetto del paramento slu'!$G$54,'Progetto del paramento slu'!$G$53)*IF(O2063&lt;0,-1,1)</f>
        <v>892485.49558937876</v>
      </c>
      <c r="V2063" s="479">
        <f t="shared" si="154"/>
        <v>1232719.5691722517</v>
      </c>
      <c r="W2063" s="559"/>
      <c r="X2063" s="559"/>
    </row>
    <row r="2064" spans="1:24" x14ac:dyDescent="0.25">
      <c r="A2064" s="553">
        <f t="shared" si="153"/>
        <v>1229858.3516512469</v>
      </c>
      <c r="B2064" s="3">
        <f t="shared" si="155"/>
        <v>3.7499999999999947</v>
      </c>
      <c r="C2064" s="553">
        <f>'Foglio deposito bis'!$E$161/sezione!$B$247*B2064</f>
        <v>15.223679673675425</v>
      </c>
      <c r="D2064" s="611">
        <f>-'Progetto del paramento slu'!$G$47*'Progetto del paramento slu'!$G$41*IF(DATI!$G$218="dx",DATI!$E$61,DATI!$E$64*DATI!$E$63)*1000*C2064^2*sezione!$AD$5*(1-sezione!$AD$6)</f>
        <v>-1907851.7449220747</v>
      </c>
      <c r="E2064" s="553">
        <f>-'Foglio deposito bis'!$F$78*(C2064-sezione!$AL$35)*IF(ABS(K2064)&lt;'Progetto del paramento slu'!$G$58,ABS(K2064)*'Progetto del paramento slu'!$G$54,'Progetto del paramento slu'!$G$53)</f>
        <v>0</v>
      </c>
      <c r="F2064" s="553">
        <f>-'Foglio deposito bis'!$F$79*(C2064-sezione!$AM$35)*IF(ABS(L2064)&lt;'Progetto del paramento slu'!$G$58,ABS(L2064)*'Progetto del paramento slu'!$G$54,'Progetto del paramento slu'!$G$53)</f>
        <v>20710384.132257681</v>
      </c>
      <c r="G2064" s="553">
        <f>-'Foglio deposito bis'!$F$80*(C2064-sezione!$AN$35)*IF(ABS(M2064)&lt;'Progetto del paramento slu'!$G$58,ABS(M2064)*'Progetto del paramento slu'!$G$54,'Progetto del paramento slu'!$G$53)</f>
        <v>0</v>
      </c>
      <c r="H2064" s="553">
        <f>-'Foglio deposito bis'!$F$81*(C2064-sezione!$AO$35)*IF(ABS(N2064)&lt;'Progetto del paramento slu'!$G$58,ABS(N2064)*'Progetto del paramento slu'!$G$54,'Progetto del paramento slu'!$G$53)</f>
        <v>129358184.9662419</v>
      </c>
      <c r="I2064" s="479">
        <f>-'Foglio deposito bis'!$F$82*(C2064-sezione!$AP$35)*IF(ABS(O2064)&lt;'Progetto del paramento slu'!$G$58,ABS(O2064)*'Progetto del paramento slu'!$G$54,'Progetto del paramento slu'!$G$53)</f>
        <v>218466438.27576628</v>
      </c>
      <c r="J2064" s="479">
        <f t="shared" si="152"/>
        <v>366627155.62934375</v>
      </c>
      <c r="K2064" s="558">
        <f>'Progetto del paramento slu'!$G$60*(sezione!$AL$35-C2064)/C2064</f>
        <v>5.6961998019497244E-3</v>
      </c>
      <c r="L2064" s="558">
        <f>'Progetto del paramento slu'!$G$60*(sezione!$AM$35-C2064)/C2064</f>
        <v>3.0985749257311467E-2</v>
      </c>
      <c r="M2064" s="559">
        <f>'Progetto del paramento slu'!$G$60*(sezione!$AN$35-C2064)/C2064</f>
        <v>5.6275298712673213E-2</v>
      </c>
      <c r="N2064" s="559">
        <f>'Progetto del paramento slu'!$G$60*(sezione!$AO$35-C2064)/C2064</f>
        <v>7.4667698316572662E-2</v>
      </c>
      <c r="O2064" s="559">
        <f>'Progetto del paramento slu'!$G$60*(sezione!$AP$35-C2064)/C2064</f>
        <v>5.6277133531383652E-2</v>
      </c>
      <c r="P2064" s="553">
        <f>-'Progetto del paramento slu'!$G$47*'Progetto del paramento slu'!$G$41*IF(DATI!$G$218="dx",DATI!$E$61,DATI!$E$64*DATI!$E$63)*1000*C2064*sezione!$AD$5</f>
        <v>-214591.3140753647</v>
      </c>
      <c r="Q2064" s="553">
        <f>'Foglio deposito bis'!$F$78*IF(ABS(K2064)&lt;'Progetto del paramento slu'!$G$58,ABS(K2064)*'Progetto del paramento slu'!$G$54,'Progetto del paramento slu'!$G$53)*IF(K2064&lt;0,-1,1)</f>
        <v>0</v>
      </c>
      <c r="R2064" s="553">
        <f>'Foglio deposito bis'!$F$79*IF(ABS(L2064)&lt;'Progetto del paramento slu'!$G$58,ABS(L2064)*'Progetto del paramento slu'!$G$54,'Progetto del paramento slu'!$G$53)*IF(L2064&lt;0,-1,1)</f>
        <v>153664.85805602249</v>
      </c>
      <c r="S2064" s="553">
        <f>'Foglio deposito bis'!$F$80*IF(ABS(M2064)&lt;'Progetto del paramento slu'!$G$58,ABS(M2064)*'Progetto del paramento slu'!$G$54,'Progetto del paramento slu'!$G$53)*IF(M2064&lt;0,-1,1)</f>
        <v>0</v>
      </c>
      <c r="T2064" s="553">
        <f>'Foglio deposito bis'!$F$81*IF(ABS(N2064)&lt;'Progetto del paramento slu'!$G$58,ABS(N2064)*'Progetto del paramento slu'!$G$54,'Progetto del paramento slu'!$G$53)*IF(N2064&lt;0,-1,1)</f>
        <v>398299.31208121032</v>
      </c>
      <c r="U2064" s="553">
        <f>'Foglio deposito bis'!$F$82*IF(ABS(O2064)&lt;'Progetto del paramento slu'!$G$58,ABS(O2064)*'Progetto del paramento slu'!$G$54,'Progetto del paramento slu'!$G$53)*IF(O2064&lt;0,-1,1)</f>
        <v>892485.49558937876</v>
      </c>
      <c r="V2064" s="479">
        <f t="shared" si="154"/>
        <v>1229858.3516512469</v>
      </c>
      <c r="W2064" s="559"/>
      <c r="X2064" s="559"/>
    </row>
    <row r="2065" spans="1:24" x14ac:dyDescent="0.25">
      <c r="A2065" s="553">
        <f t="shared" si="153"/>
        <v>1226997.134130242</v>
      </c>
      <c r="B2065" s="3">
        <f t="shared" si="155"/>
        <v>3.7999999999999945</v>
      </c>
      <c r="C2065" s="553">
        <f>'Foglio deposito bis'!$E$161/sezione!$B$247*B2065</f>
        <v>15.426662069324431</v>
      </c>
      <c r="D2065" s="611">
        <f>-'Progetto del paramento slu'!$G$47*'Progetto del paramento slu'!$G$41*IF(DATI!$G$218="dx",DATI!$E$61,DATI!$E$64*DATI!$E$63)*1000*C2065^2*sezione!$AD$5*(1-sezione!$AD$6)</f>
        <v>-1959066.9650968716</v>
      </c>
      <c r="E2065" s="553">
        <f>-'Foglio deposito bis'!$F$78*(C2065-sezione!$AL$35)*IF(ABS(K2065)&lt;'Progetto del paramento slu'!$G$58,ABS(K2065)*'Progetto del paramento slu'!$G$54,'Progetto del paramento slu'!$G$53)</f>
        <v>0</v>
      </c>
      <c r="F2065" s="553">
        <f>-'Foglio deposito bis'!$F$79*(C2065-sezione!$AM$35)*IF(ABS(L2065)&lt;'Progetto del paramento slu'!$G$58,ABS(L2065)*'Progetto del paramento slu'!$G$54,'Progetto del paramento slu'!$G$53)</f>
        <v>20679192.871242408</v>
      </c>
      <c r="G2065" s="553">
        <f>-'Foglio deposito bis'!$F$80*(C2065-sezione!$AN$35)*IF(ABS(M2065)&lt;'Progetto del paramento slu'!$G$58,ABS(M2065)*'Progetto del paramento slu'!$G$54,'Progetto del paramento slu'!$G$53)</f>
        <v>0</v>
      </c>
      <c r="H2065" s="553">
        <f>-'Foglio deposito bis'!$F$81*(C2065-sezione!$AO$35)*IF(ABS(N2065)&lt;'Progetto del paramento slu'!$G$58,ABS(N2065)*'Progetto del paramento slu'!$G$54,'Progetto del paramento slu'!$G$53)</f>
        <v>129277337.21769029</v>
      </c>
      <c r="I2065" s="479">
        <f>-'Foglio deposito bis'!$F$82*(C2065-sezione!$AP$35)*IF(ABS(O2065)&lt;'Progetto del paramento slu'!$G$58,ABS(O2065)*'Progetto del paramento slu'!$G$54,'Progetto del paramento slu'!$G$53)</f>
        <v>218285279.43178955</v>
      </c>
      <c r="J2065" s="479">
        <f t="shared" si="152"/>
        <v>366282742.55562538</v>
      </c>
      <c r="K2065" s="558">
        <f>'Progetto del paramento slu'!$G$60*(sezione!$AL$35-C2065)/C2065</f>
        <v>5.5751971729767029E-3</v>
      </c>
      <c r="L2065" s="558">
        <f>'Progetto del paramento slu'!$G$60*(sezione!$AM$35-C2065)/C2065</f>
        <v>3.0531989398662633E-2</v>
      </c>
      <c r="M2065" s="559">
        <f>'Progetto del paramento slu'!$G$60*(sezione!$AN$35-C2065)/C2065</f>
        <v>5.5488781624348567E-2</v>
      </c>
      <c r="N2065" s="559">
        <f>'Progetto del paramento slu'!$G$60*(sezione!$AO$35-C2065)/C2065</f>
        <v>7.3639175970301965E-2</v>
      </c>
      <c r="O2065" s="559">
        <f>'Progetto del paramento slu'!$G$60*(sezione!$AP$35-C2065)/C2065</f>
        <v>5.5490592300707554E-2</v>
      </c>
      <c r="P2065" s="553">
        <f>-'Progetto del paramento slu'!$G$47*'Progetto del paramento slu'!$G$41*IF(DATI!$G$218="dx",DATI!$E$61,DATI!$E$64*DATI!$E$63)*1000*C2065*sezione!$AD$5</f>
        <v>-217452.53159636955</v>
      </c>
      <c r="Q2065" s="553">
        <f>'Foglio deposito bis'!$F$78*IF(ABS(K2065)&lt;'Progetto del paramento slu'!$G$58,ABS(K2065)*'Progetto del paramento slu'!$G$54,'Progetto del paramento slu'!$G$53)*IF(K2065&lt;0,-1,1)</f>
        <v>0</v>
      </c>
      <c r="R2065" s="553">
        <f>'Foglio deposito bis'!$F$79*IF(ABS(L2065)&lt;'Progetto del paramento slu'!$G$58,ABS(L2065)*'Progetto del paramento slu'!$G$54,'Progetto del paramento slu'!$G$53)*IF(L2065&lt;0,-1,1)</f>
        <v>153664.85805602249</v>
      </c>
      <c r="S2065" s="553">
        <f>'Foglio deposito bis'!$F$80*IF(ABS(M2065)&lt;'Progetto del paramento slu'!$G$58,ABS(M2065)*'Progetto del paramento slu'!$G$54,'Progetto del paramento slu'!$G$53)*IF(M2065&lt;0,-1,1)</f>
        <v>0</v>
      </c>
      <c r="T2065" s="553">
        <f>'Foglio deposito bis'!$F$81*IF(ABS(N2065)&lt;'Progetto del paramento slu'!$G$58,ABS(N2065)*'Progetto del paramento slu'!$G$54,'Progetto del paramento slu'!$G$53)*IF(N2065&lt;0,-1,1)</f>
        <v>398299.31208121032</v>
      </c>
      <c r="U2065" s="553">
        <f>'Foglio deposito bis'!$F$82*IF(ABS(O2065)&lt;'Progetto del paramento slu'!$G$58,ABS(O2065)*'Progetto del paramento slu'!$G$54,'Progetto del paramento slu'!$G$53)*IF(O2065&lt;0,-1,1)</f>
        <v>892485.49558937876</v>
      </c>
      <c r="V2065" s="479">
        <f t="shared" si="154"/>
        <v>1226997.134130242</v>
      </c>
      <c r="W2065" s="559"/>
      <c r="X2065" s="559"/>
    </row>
    <row r="2066" spans="1:24" x14ac:dyDescent="0.25">
      <c r="A2066" s="553">
        <f t="shared" si="153"/>
        <v>1224135.9166092372</v>
      </c>
      <c r="B2066" s="3">
        <f t="shared" si="155"/>
        <v>3.8499999999999943</v>
      </c>
      <c r="C2066" s="553">
        <f>'Foglio deposito bis'!$E$161/sezione!$B$247*B2066</f>
        <v>15.629644464973435</v>
      </c>
      <c r="D2066" s="611">
        <f>-'Progetto del paramento slu'!$G$47*'Progetto del paramento slu'!$G$41*IF(DATI!$G$218="dx",DATI!$E$61,DATI!$E$64*DATI!$E$63)*1000*C2066^2*sezione!$AD$5*(1-sezione!$AD$6)</f>
        <v>-2010960.5325587513</v>
      </c>
      <c r="E2066" s="553">
        <f>-'Foglio deposito bis'!$F$78*(C2066-sezione!$AL$35)*IF(ABS(K2066)&lt;'Progetto del paramento slu'!$G$58,ABS(K2066)*'Progetto del paramento slu'!$G$54,'Progetto del paramento slu'!$G$53)</f>
        <v>0</v>
      </c>
      <c r="F2066" s="553">
        <f>-'Foglio deposito bis'!$F$79*(C2066-sezione!$AM$35)*IF(ABS(L2066)&lt;'Progetto del paramento slu'!$G$58,ABS(L2066)*'Progetto del paramento slu'!$G$54,'Progetto del paramento slu'!$G$53)</f>
        <v>20648001.610227134</v>
      </c>
      <c r="G2066" s="553">
        <f>-'Foglio deposito bis'!$F$80*(C2066-sezione!$AN$35)*IF(ABS(M2066)&lt;'Progetto del paramento slu'!$G$58,ABS(M2066)*'Progetto del paramento slu'!$G$54,'Progetto del paramento slu'!$G$53)</f>
        <v>0</v>
      </c>
      <c r="H2066" s="553">
        <f>-'Foglio deposito bis'!$F$81*(C2066-sezione!$AO$35)*IF(ABS(N2066)&lt;'Progetto del paramento slu'!$G$58,ABS(N2066)*'Progetto del paramento slu'!$G$54,'Progetto del paramento slu'!$G$53)</f>
        <v>129196489.4691387</v>
      </c>
      <c r="I2066" s="479">
        <f>-'Foglio deposito bis'!$F$82*(C2066-sezione!$AP$35)*IF(ABS(O2066)&lt;'Progetto del paramento slu'!$G$58,ABS(O2066)*'Progetto del paramento slu'!$G$54,'Progetto del paramento slu'!$G$53)</f>
        <v>218104120.58781281</v>
      </c>
      <c r="J2066" s="479">
        <f t="shared" si="152"/>
        <v>365937651.13461989</v>
      </c>
      <c r="K2066" s="558">
        <f>'Progetto del paramento slu'!$G$60*(sezione!$AL$35-C2066)/C2066</f>
        <v>5.4573374694315514E-3</v>
      </c>
      <c r="L2066" s="558">
        <f>'Progetto del paramento slu'!$G$60*(sezione!$AM$35-C2066)/C2066</f>
        <v>3.0090015510368318E-2</v>
      </c>
      <c r="M2066" s="559">
        <f>'Progetto del paramento slu'!$G$60*(sezione!$AN$35-C2066)/C2066</f>
        <v>5.4722693551305088E-2</v>
      </c>
      <c r="N2066" s="559">
        <f>'Progetto del paramento slu'!$G$60*(sezione!$AO$35-C2066)/C2066</f>
        <v>7.2637368490168192E-2</v>
      </c>
      <c r="O2066" s="559">
        <f>'Progetto del paramento slu'!$G$60*(sezione!$AP$35-C2066)/C2066</f>
        <v>5.4724480712386683E-2</v>
      </c>
      <c r="P2066" s="553">
        <f>-'Progetto del paramento slu'!$G$47*'Progetto del paramento slu'!$G$41*IF(DATI!$G$218="dx",DATI!$E$61,DATI!$E$64*DATI!$E$63)*1000*C2066*sezione!$AD$5</f>
        <v>-220313.74911737439</v>
      </c>
      <c r="Q2066" s="553">
        <f>'Foglio deposito bis'!$F$78*IF(ABS(K2066)&lt;'Progetto del paramento slu'!$G$58,ABS(K2066)*'Progetto del paramento slu'!$G$54,'Progetto del paramento slu'!$G$53)*IF(K2066&lt;0,-1,1)</f>
        <v>0</v>
      </c>
      <c r="R2066" s="553">
        <f>'Foglio deposito bis'!$F$79*IF(ABS(L2066)&lt;'Progetto del paramento slu'!$G$58,ABS(L2066)*'Progetto del paramento slu'!$G$54,'Progetto del paramento slu'!$G$53)*IF(L2066&lt;0,-1,1)</f>
        <v>153664.85805602249</v>
      </c>
      <c r="S2066" s="553">
        <f>'Foglio deposito bis'!$F$80*IF(ABS(M2066)&lt;'Progetto del paramento slu'!$G$58,ABS(M2066)*'Progetto del paramento slu'!$G$54,'Progetto del paramento slu'!$G$53)*IF(M2066&lt;0,-1,1)</f>
        <v>0</v>
      </c>
      <c r="T2066" s="553">
        <f>'Foglio deposito bis'!$F$81*IF(ABS(N2066)&lt;'Progetto del paramento slu'!$G$58,ABS(N2066)*'Progetto del paramento slu'!$G$54,'Progetto del paramento slu'!$G$53)*IF(N2066&lt;0,-1,1)</f>
        <v>398299.31208121032</v>
      </c>
      <c r="U2066" s="553">
        <f>'Foglio deposito bis'!$F$82*IF(ABS(O2066)&lt;'Progetto del paramento slu'!$G$58,ABS(O2066)*'Progetto del paramento slu'!$G$54,'Progetto del paramento slu'!$G$53)*IF(O2066&lt;0,-1,1)</f>
        <v>892485.49558937876</v>
      </c>
      <c r="V2066" s="479">
        <f t="shared" si="154"/>
        <v>1224135.9166092372</v>
      </c>
      <c r="W2066" s="559"/>
      <c r="X2066" s="559"/>
    </row>
    <row r="2067" spans="1:24" x14ac:dyDescent="0.25">
      <c r="A2067" s="553">
        <f t="shared" si="153"/>
        <v>1221274.6990882324</v>
      </c>
      <c r="B2067" s="3">
        <f t="shared" si="155"/>
        <v>3.8999999999999941</v>
      </c>
      <c r="C2067" s="553">
        <f>'Foglio deposito bis'!$E$161/sezione!$B$247*B2067</f>
        <v>15.83262686062244</v>
      </c>
      <c r="D2067" s="611">
        <f>-'Progetto del paramento slu'!$G$47*'Progetto del paramento slu'!$G$41*IF(DATI!$G$218="dx",DATI!$E$61,DATI!$E$64*DATI!$E$63)*1000*C2067^2*sezione!$AD$5*(1-sezione!$AD$6)</f>
        <v>-2063532.4473077154</v>
      </c>
      <c r="E2067" s="553">
        <f>-'Foglio deposito bis'!$F$78*(C2067-sezione!$AL$35)*IF(ABS(K2067)&lt;'Progetto del paramento slu'!$G$58,ABS(K2067)*'Progetto del paramento slu'!$G$54,'Progetto del paramento slu'!$G$53)</f>
        <v>0</v>
      </c>
      <c r="F2067" s="553">
        <f>-'Foglio deposito bis'!$F$79*(C2067-sezione!$AM$35)*IF(ABS(L2067)&lt;'Progetto del paramento slu'!$G$58,ABS(L2067)*'Progetto del paramento slu'!$G$54,'Progetto del paramento slu'!$G$53)</f>
        <v>20616810.349211857</v>
      </c>
      <c r="G2067" s="553">
        <f>-'Foglio deposito bis'!$F$80*(C2067-sezione!$AN$35)*IF(ABS(M2067)&lt;'Progetto del paramento slu'!$G$58,ABS(M2067)*'Progetto del paramento slu'!$G$54,'Progetto del paramento slu'!$G$53)</f>
        <v>0</v>
      </c>
      <c r="H2067" s="553">
        <f>-'Foglio deposito bis'!$F$81*(C2067-sezione!$AO$35)*IF(ABS(N2067)&lt;'Progetto del paramento slu'!$G$58,ABS(N2067)*'Progetto del paramento slu'!$G$54,'Progetto del paramento slu'!$G$53)</f>
        <v>129115641.72058709</v>
      </c>
      <c r="I2067" s="479">
        <f>-'Foglio deposito bis'!$F$82*(C2067-sezione!$AP$35)*IF(ABS(O2067)&lt;'Progetto del paramento slu'!$G$58,ABS(O2067)*'Progetto del paramento slu'!$G$54,'Progetto del paramento slu'!$G$53)</f>
        <v>217922961.74383613</v>
      </c>
      <c r="J2067" s="479">
        <f t="shared" si="152"/>
        <v>365591881.3663274</v>
      </c>
      <c r="K2067" s="558">
        <f>'Progetto del paramento slu'!$G$60*(sezione!$AL$35-C2067)/C2067</f>
        <v>5.342499809567045E-3</v>
      </c>
      <c r="L2067" s="558">
        <f>'Progetto del paramento slu'!$G$60*(sezione!$AM$35-C2067)/C2067</f>
        <v>2.9659374285876415E-2</v>
      </c>
      <c r="M2067" s="559">
        <f>'Progetto del paramento slu'!$G$60*(sezione!$AN$35-C2067)/C2067</f>
        <v>5.3976248762185791E-2</v>
      </c>
      <c r="N2067" s="559">
        <f>'Progetto del paramento slu'!$G$60*(sezione!$AO$35-C2067)/C2067</f>
        <v>7.1661248381319889E-2</v>
      </c>
      <c r="O2067" s="559">
        <f>'Progetto del paramento slu'!$G$60*(sezione!$AP$35-C2067)/C2067</f>
        <v>5.3978013010945833E-2</v>
      </c>
      <c r="P2067" s="553">
        <f>-'Progetto del paramento slu'!$G$47*'Progetto del paramento slu'!$G$41*IF(DATI!$G$218="dx",DATI!$E$61,DATI!$E$64*DATI!$E$63)*1000*C2067*sezione!$AD$5</f>
        <v>-223174.96663837926</v>
      </c>
      <c r="Q2067" s="553">
        <f>'Foglio deposito bis'!$F$78*IF(ABS(K2067)&lt;'Progetto del paramento slu'!$G$58,ABS(K2067)*'Progetto del paramento slu'!$G$54,'Progetto del paramento slu'!$G$53)*IF(K2067&lt;0,-1,1)</f>
        <v>0</v>
      </c>
      <c r="R2067" s="553">
        <f>'Foglio deposito bis'!$F$79*IF(ABS(L2067)&lt;'Progetto del paramento slu'!$G$58,ABS(L2067)*'Progetto del paramento slu'!$G$54,'Progetto del paramento slu'!$G$53)*IF(L2067&lt;0,-1,1)</f>
        <v>153664.85805602249</v>
      </c>
      <c r="S2067" s="553">
        <f>'Foglio deposito bis'!$F$80*IF(ABS(M2067)&lt;'Progetto del paramento slu'!$G$58,ABS(M2067)*'Progetto del paramento slu'!$G$54,'Progetto del paramento slu'!$G$53)*IF(M2067&lt;0,-1,1)</f>
        <v>0</v>
      </c>
      <c r="T2067" s="553">
        <f>'Foglio deposito bis'!$F$81*IF(ABS(N2067)&lt;'Progetto del paramento slu'!$G$58,ABS(N2067)*'Progetto del paramento slu'!$G$54,'Progetto del paramento slu'!$G$53)*IF(N2067&lt;0,-1,1)</f>
        <v>398299.31208121032</v>
      </c>
      <c r="U2067" s="553">
        <f>'Foglio deposito bis'!$F$82*IF(ABS(O2067)&lt;'Progetto del paramento slu'!$G$58,ABS(O2067)*'Progetto del paramento slu'!$G$54,'Progetto del paramento slu'!$G$53)*IF(O2067&lt;0,-1,1)</f>
        <v>892485.49558937876</v>
      </c>
      <c r="V2067" s="479">
        <f t="shared" si="154"/>
        <v>1221274.6990882324</v>
      </c>
      <c r="W2067" s="559"/>
      <c r="X2067" s="559"/>
    </row>
    <row r="2068" spans="1:24" x14ac:dyDescent="0.25">
      <c r="A2068" s="553">
        <f t="shared" si="153"/>
        <v>1218413.4815672275</v>
      </c>
      <c r="B2068" s="3">
        <f t="shared" si="155"/>
        <v>3.949999999999994</v>
      </c>
      <c r="C2068" s="553">
        <f>'Foglio deposito bis'!$E$161/sezione!$B$247*B2068</f>
        <v>16.035609256271446</v>
      </c>
      <c r="D2068" s="611">
        <f>-'Progetto del paramento slu'!$G$47*'Progetto del paramento slu'!$G$41*IF(DATI!$G$218="dx",DATI!$E$61,DATI!$E$64*DATI!$E$63)*1000*C2068^2*sezione!$AD$5*(1-sezione!$AD$6)</f>
        <v>-2116782.7093437626</v>
      </c>
      <c r="E2068" s="553">
        <f>-'Foglio deposito bis'!$F$78*(C2068-sezione!$AL$35)*IF(ABS(K2068)&lt;'Progetto del paramento slu'!$G$58,ABS(K2068)*'Progetto del paramento slu'!$G$54,'Progetto del paramento slu'!$G$53)</f>
        <v>0</v>
      </c>
      <c r="F2068" s="553">
        <f>-'Foglio deposito bis'!$F$79*(C2068-sezione!$AM$35)*IF(ABS(L2068)&lt;'Progetto del paramento slu'!$G$58,ABS(L2068)*'Progetto del paramento slu'!$G$54,'Progetto del paramento slu'!$G$53)</f>
        <v>20585619.088196583</v>
      </c>
      <c r="G2068" s="553">
        <f>-'Foglio deposito bis'!$F$80*(C2068-sezione!$AN$35)*IF(ABS(M2068)&lt;'Progetto del paramento slu'!$G$58,ABS(M2068)*'Progetto del paramento slu'!$G$54,'Progetto del paramento slu'!$G$53)</f>
        <v>0</v>
      </c>
      <c r="H2068" s="553">
        <f>-'Foglio deposito bis'!$F$81*(C2068-sezione!$AO$35)*IF(ABS(N2068)&lt;'Progetto del paramento slu'!$G$58,ABS(N2068)*'Progetto del paramento slu'!$G$54,'Progetto del paramento slu'!$G$53)</f>
        <v>129034793.97203548</v>
      </c>
      <c r="I2068" s="479">
        <f>-'Foglio deposito bis'!$F$82*(C2068-sezione!$AP$35)*IF(ABS(O2068)&lt;'Progetto del paramento slu'!$G$58,ABS(O2068)*'Progetto del paramento slu'!$G$54,'Progetto del paramento slu'!$G$53)</f>
        <v>217741802.8998594</v>
      </c>
      <c r="J2068" s="479">
        <f t="shared" si="152"/>
        <v>365245433.25074768</v>
      </c>
      <c r="K2068" s="558">
        <f>'Progetto del paramento slu'!$G$60*(sezione!$AL$35-C2068)/C2068</f>
        <v>5.2305694322307521E-3</v>
      </c>
      <c r="L2068" s="558">
        <f>'Progetto del paramento slu'!$G$60*(sezione!$AM$35-C2068)/C2068</f>
        <v>2.9239635370865324E-2</v>
      </c>
      <c r="M2068" s="559">
        <f>'Progetto del paramento slu'!$G$60*(sezione!$AN$35-C2068)/C2068</f>
        <v>5.3248701309499893E-2</v>
      </c>
      <c r="N2068" s="559">
        <f>'Progetto del paramento slu'!$G$60*(sezione!$AO$35-C2068)/C2068</f>
        <v>7.0709840173961397E-2</v>
      </c>
      <c r="O2068" s="559">
        <f>'Progetto del paramento slu'!$G$60*(sezione!$AP$35-C2068)/C2068</f>
        <v>5.3250443225997146E-2</v>
      </c>
      <c r="P2068" s="553">
        <f>-'Progetto del paramento slu'!$G$47*'Progetto del paramento slu'!$G$41*IF(DATI!$G$218="dx",DATI!$E$61,DATI!$E$64*DATI!$E$63)*1000*C2068*sezione!$AD$5</f>
        <v>-226036.18415938411</v>
      </c>
      <c r="Q2068" s="553">
        <f>'Foglio deposito bis'!$F$78*IF(ABS(K2068)&lt;'Progetto del paramento slu'!$G$58,ABS(K2068)*'Progetto del paramento slu'!$G$54,'Progetto del paramento slu'!$G$53)*IF(K2068&lt;0,-1,1)</f>
        <v>0</v>
      </c>
      <c r="R2068" s="553">
        <f>'Foglio deposito bis'!$F$79*IF(ABS(L2068)&lt;'Progetto del paramento slu'!$G$58,ABS(L2068)*'Progetto del paramento slu'!$G$54,'Progetto del paramento slu'!$G$53)*IF(L2068&lt;0,-1,1)</f>
        <v>153664.85805602249</v>
      </c>
      <c r="S2068" s="553">
        <f>'Foglio deposito bis'!$F$80*IF(ABS(M2068)&lt;'Progetto del paramento slu'!$G$58,ABS(M2068)*'Progetto del paramento slu'!$G$54,'Progetto del paramento slu'!$G$53)*IF(M2068&lt;0,-1,1)</f>
        <v>0</v>
      </c>
      <c r="T2068" s="553">
        <f>'Foglio deposito bis'!$F$81*IF(ABS(N2068)&lt;'Progetto del paramento slu'!$G$58,ABS(N2068)*'Progetto del paramento slu'!$G$54,'Progetto del paramento slu'!$G$53)*IF(N2068&lt;0,-1,1)</f>
        <v>398299.31208121032</v>
      </c>
      <c r="U2068" s="553">
        <f>'Foglio deposito bis'!$F$82*IF(ABS(O2068)&lt;'Progetto del paramento slu'!$G$58,ABS(O2068)*'Progetto del paramento slu'!$G$54,'Progetto del paramento slu'!$G$53)*IF(O2068&lt;0,-1,1)</f>
        <v>892485.49558937876</v>
      </c>
      <c r="V2068" s="479">
        <f t="shared" si="154"/>
        <v>1218413.4815672275</v>
      </c>
      <c r="W2068" s="559"/>
      <c r="X2068" s="559"/>
    </row>
    <row r="2069" spans="1:24" x14ac:dyDescent="0.25">
      <c r="A2069" s="553">
        <f t="shared" si="153"/>
        <v>1215552.2640462224</v>
      </c>
      <c r="B2069" s="3">
        <f t="shared" si="155"/>
        <v>3.9999999999999938</v>
      </c>
      <c r="C2069" s="553">
        <f>'Foglio deposito bis'!$E$161/sezione!$B$247*B2069</f>
        <v>16.238591651920451</v>
      </c>
      <c r="D2069" s="611">
        <f>-'Progetto del paramento slu'!$G$47*'Progetto del paramento slu'!$G$41*IF(DATI!$G$218="dx",DATI!$E$61,DATI!$E$64*DATI!$E$63)*1000*C2069^2*sezione!$AD$5*(1-sezione!$AD$6)</f>
        <v>-2170711.3186668931</v>
      </c>
      <c r="E2069" s="553">
        <f>-'Foglio deposito bis'!$F$78*(C2069-sezione!$AL$35)*IF(ABS(K2069)&lt;'Progetto del paramento slu'!$G$58,ABS(K2069)*'Progetto del paramento slu'!$G$54,'Progetto del paramento slu'!$G$53)</f>
        <v>0</v>
      </c>
      <c r="F2069" s="553">
        <f>-'Foglio deposito bis'!$F$79*(C2069-sezione!$AM$35)*IF(ABS(L2069)&lt;'Progetto del paramento slu'!$G$58,ABS(L2069)*'Progetto del paramento slu'!$G$54,'Progetto del paramento slu'!$G$53)</f>
        <v>20554427.827181306</v>
      </c>
      <c r="G2069" s="553">
        <f>-'Foglio deposito bis'!$F$80*(C2069-sezione!$AN$35)*IF(ABS(M2069)&lt;'Progetto del paramento slu'!$G$58,ABS(M2069)*'Progetto del paramento slu'!$G$54,'Progetto del paramento slu'!$G$53)</f>
        <v>0</v>
      </c>
      <c r="H2069" s="553">
        <f>-'Foglio deposito bis'!$F$81*(C2069-sezione!$AO$35)*IF(ABS(N2069)&lt;'Progetto del paramento slu'!$G$58,ABS(N2069)*'Progetto del paramento slu'!$G$54,'Progetto del paramento slu'!$G$53)</f>
        <v>128953946.22348391</v>
      </c>
      <c r="I2069" s="479">
        <f>-'Foglio deposito bis'!$F$82*(C2069-sezione!$AP$35)*IF(ABS(O2069)&lt;'Progetto del paramento slu'!$G$58,ABS(O2069)*'Progetto del paramento slu'!$G$54,'Progetto del paramento slu'!$G$53)</f>
        <v>217560644.05588266</v>
      </c>
      <c r="J2069" s="479">
        <f t="shared" si="152"/>
        <v>364898306.78788102</v>
      </c>
      <c r="K2069" s="558">
        <f>'Progetto del paramento slu'!$G$60*(sezione!$AL$35-C2069)/C2069</f>
        <v>5.1214373143278688E-3</v>
      </c>
      <c r="L2069" s="558">
        <f>'Progetto del paramento slu'!$G$60*(sezione!$AM$35-C2069)/C2069</f>
        <v>2.8830389928729508E-2</v>
      </c>
      <c r="M2069" s="559">
        <f>'Progetto del paramento slu'!$G$60*(sezione!$AN$35-C2069)/C2069</f>
        <v>5.2539342543131147E-2</v>
      </c>
      <c r="N2069" s="559">
        <f>'Progetto del paramento slu'!$G$60*(sezione!$AO$35-C2069)/C2069</f>
        <v>6.9782217171786884E-2</v>
      </c>
      <c r="O2069" s="559">
        <f>'Progetto del paramento slu'!$G$60*(sezione!$AP$35-C2069)/C2069</f>
        <v>5.2541062685672185E-2</v>
      </c>
      <c r="P2069" s="553">
        <f>-'Progetto del paramento slu'!$G$47*'Progetto del paramento slu'!$G$41*IF(DATI!$G$218="dx",DATI!$E$61,DATI!$E$64*DATI!$E$63)*1000*C2069*sezione!$AD$5</f>
        <v>-228897.40168038898</v>
      </c>
      <c r="Q2069" s="553">
        <f>'Foglio deposito bis'!$F$78*IF(ABS(K2069)&lt;'Progetto del paramento slu'!$G$58,ABS(K2069)*'Progetto del paramento slu'!$G$54,'Progetto del paramento slu'!$G$53)*IF(K2069&lt;0,-1,1)</f>
        <v>0</v>
      </c>
      <c r="R2069" s="553">
        <f>'Foglio deposito bis'!$F$79*IF(ABS(L2069)&lt;'Progetto del paramento slu'!$G$58,ABS(L2069)*'Progetto del paramento slu'!$G$54,'Progetto del paramento slu'!$G$53)*IF(L2069&lt;0,-1,1)</f>
        <v>153664.85805602249</v>
      </c>
      <c r="S2069" s="553">
        <f>'Foglio deposito bis'!$F$80*IF(ABS(M2069)&lt;'Progetto del paramento slu'!$G$58,ABS(M2069)*'Progetto del paramento slu'!$G$54,'Progetto del paramento slu'!$G$53)*IF(M2069&lt;0,-1,1)</f>
        <v>0</v>
      </c>
      <c r="T2069" s="553">
        <f>'Foglio deposito bis'!$F$81*IF(ABS(N2069)&lt;'Progetto del paramento slu'!$G$58,ABS(N2069)*'Progetto del paramento slu'!$G$54,'Progetto del paramento slu'!$G$53)*IF(N2069&lt;0,-1,1)</f>
        <v>398299.31208121032</v>
      </c>
      <c r="U2069" s="553">
        <f>'Foglio deposito bis'!$F$82*IF(ABS(O2069)&lt;'Progetto del paramento slu'!$G$58,ABS(O2069)*'Progetto del paramento slu'!$G$54,'Progetto del paramento slu'!$G$53)*IF(O2069&lt;0,-1,1)</f>
        <v>892485.49558937876</v>
      </c>
      <c r="V2069" s="479">
        <f t="shared" si="154"/>
        <v>1215552.2640462224</v>
      </c>
      <c r="W2069" s="559"/>
      <c r="X2069" s="559"/>
    </row>
    <row r="2070" spans="1:24" x14ac:dyDescent="0.25">
      <c r="A2070" s="553">
        <f t="shared" si="153"/>
        <v>1212691.0465252176</v>
      </c>
      <c r="B2070" s="3">
        <f t="shared" si="155"/>
        <v>4.0499999999999936</v>
      </c>
      <c r="C2070" s="553">
        <f>'Foglio deposito bis'!$E$161/sezione!$B$247*B2070</f>
        <v>16.441574047569457</v>
      </c>
      <c r="D2070" s="611">
        <f>-'Progetto del paramento slu'!$G$47*'Progetto del paramento slu'!$G$41*IF(DATI!$G$218="dx",DATI!$E$61,DATI!$E$64*DATI!$E$63)*1000*C2070^2*sezione!$AD$5*(1-sezione!$AD$6)</f>
        <v>-2225318.275277107</v>
      </c>
      <c r="E2070" s="553">
        <f>-'Foglio deposito bis'!$F$78*(C2070-sezione!$AL$35)*IF(ABS(K2070)&lt;'Progetto del paramento slu'!$G$58,ABS(K2070)*'Progetto del paramento slu'!$G$54,'Progetto del paramento slu'!$G$53)</f>
        <v>0</v>
      </c>
      <c r="F2070" s="553">
        <f>-'Foglio deposito bis'!$F$79*(C2070-sezione!$AM$35)*IF(ABS(L2070)&lt;'Progetto del paramento slu'!$G$58,ABS(L2070)*'Progetto del paramento slu'!$G$54,'Progetto del paramento slu'!$G$53)</f>
        <v>20523236.566166032</v>
      </c>
      <c r="G2070" s="553">
        <f>-'Foglio deposito bis'!$F$80*(C2070-sezione!$AN$35)*IF(ABS(M2070)&lt;'Progetto del paramento slu'!$G$58,ABS(M2070)*'Progetto del paramento slu'!$G$54,'Progetto del paramento slu'!$G$53)</f>
        <v>0</v>
      </c>
      <c r="H2070" s="553">
        <f>-'Foglio deposito bis'!$F$81*(C2070-sezione!$AO$35)*IF(ABS(N2070)&lt;'Progetto del paramento slu'!$G$58,ABS(N2070)*'Progetto del paramento slu'!$G$54,'Progetto del paramento slu'!$G$53)</f>
        <v>128873098.47493231</v>
      </c>
      <c r="I2070" s="479">
        <f>-'Foglio deposito bis'!$F$82*(C2070-sezione!$AP$35)*IF(ABS(O2070)&lt;'Progetto del paramento slu'!$G$58,ABS(O2070)*'Progetto del paramento slu'!$G$54,'Progetto del paramento slu'!$G$53)</f>
        <v>217379485.21190596</v>
      </c>
      <c r="J2070" s="479">
        <f t="shared" si="152"/>
        <v>364550501.97772717</v>
      </c>
      <c r="K2070" s="558">
        <f>'Progetto del paramento slu'!$G$60*(sezione!$AL$35-C2070)/C2070</f>
        <v>5.014999816620117E-3</v>
      </c>
      <c r="L2070" s="558">
        <f>'Progetto del paramento slu'!$G$60*(sezione!$AM$35-C2070)/C2070</f>
        <v>2.8431249312325442E-2</v>
      </c>
      <c r="M2070" s="559">
        <f>'Progetto del paramento slu'!$G$60*(sezione!$AN$35-C2070)/C2070</f>
        <v>5.1847498808030766E-2</v>
      </c>
      <c r="N2070" s="559">
        <f>'Progetto del paramento slu'!$G$60*(sezione!$AO$35-C2070)/C2070</f>
        <v>6.8877498441270987E-2</v>
      </c>
      <c r="O2070" s="559">
        <f>'Progetto del paramento slu'!$G$60*(sezione!$AP$35-C2070)/C2070</f>
        <v>5.1849197714244143E-2</v>
      </c>
      <c r="P2070" s="553">
        <f>-'Progetto del paramento slu'!$G$47*'Progetto del paramento slu'!$G$41*IF(DATI!$G$218="dx",DATI!$E$61,DATI!$E$64*DATI!$E$63)*1000*C2070*sezione!$AD$5</f>
        <v>-231758.61920139383</v>
      </c>
      <c r="Q2070" s="553">
        <f>'Foglio deposito bis'!$F$78*IF(ABS(K2070)&lt;'Progetto del paramento slu'!$G$58,ABS(K2070)*'Progetto del paramento slu'!$G$54,'Progetto del paramento slu'!$G$53)*IF(K2070&lt;0,-1,1)</f>
        <v>0</v>
      </c>
      <c r="R2070" s="553">
        <f>'Foglio deposito bis'!$F$79*IF(ABS(L2070)&lt;'Progetto del paramento slu'!$G$58,ABS(L2070)*'Progetto del paramento slu'!$G$54,'Progetto del paramento slu'!$G$53)*IF(L2070&lt;0,-1,1)</f>
        <v>153664.85805602249</v>
      </c>
      <c r="S2070" s="553">
        <f>'Foglio deposito bis'!$F$80*IF(ABS(M2070)&lt;'Progetto del paramento slu'!$G$58,ABS(M2070)*'Progetto del paramento slu'!$G$54,'Progetto del paramento slu'!$G$53)*IF(M2070&lt;0,-1,1)</f>
        <v>0</v>
      </c>
      <c r="T2070" s="553">
        <f>'Foglio deposito bis'!$F$81*IF(ABS(N2070)&lt;'Progetto del paramento slu'!$G$58,ABS(N2070)*'Progetto del paramento slu'!$G$54,'Progetto del paramento slu'!$G$53)*IF(N2070&lt;0,-1,1)</f>
        <v>398299.31208121032</v>
      </c>
      <c r="U2070" s="553">
        <f>'Foglio deposito bis'!$F$82*IF(ABS(O2070)&lt;'Progetto del paramento slu'!$G$58,ABS(O2070)*'Progetto del paramento slu'!$G$54,'Progetto del paramento slu'!$G$53)*IF(O2070&lt;0,-1,1)</f>
        <v>892485.49558937876</v>
      </c>
      <c r="V2070" s="479">
        <f t="shared" si="154"/>
        <v>1212691.0465252176</v>
      </c>
      <c r="W2070" s="559"/>
      <c r="X2070" s="559"/>
    </row>
    <row r="2071" spans="1:24" x14ac:dyDescent="0.25">
      <c r="A2071" s="553">
        <f t="shared" si="153"/>
        <v>1209829.8290042127</v>
      </c>
      <c r="B2071" s="3">
        <f t="shared" si="155"/>
        <v>4.0999999999999934</v>
      </c>
      <c r="C2071" s="553">
        <f>'Foglio deposito bis'!$E$161/sezione!$B$247*B2071</f>
        <v>16.644556443218463</v>
      </c>
      <c r="D2071" s="611">
        <f>-'Progetto del paramento slu'!$G$47*'Progetto del paramento slu'!$G$41*IF(DATI!$G$218="dx",DATI!$E$61,DATI!$E$64*DATI!$E$63)*1000*C2071^2*sezione!$AD$5*(1-sezione!$AD$6)</f>
        <v>-2280603.5791744045</v>
      </c>
      <c r="E2071" s="553">
        <f>-'Foglio deposito bis'!$F$78*(C2071-sezione!$AL$35)*IF(ABS(K2071)&lt;'Progetto del paramento slu'!$G$58,ABS(K2071)*'Progetto del paramento slu'!$G$54,'Progetto del paramento slu'!$G$53)</f>
        <v>0</v>
      </c>
      <c r="F2071" s="553">
        <f>-'Foglio deposito bis'!$F$79*(C2071-sezione!$AM$35)*IF(ABS(L2071)&lt;'Progetto del paramento slu'!$G$58,ABS(L2071)*'Progetto del paramento slu'!$G$54,'Progetto del paramento slu'!$G$53)</f>
        <v>20492045.305150758</v>
      </c>
      <c r="G2071" s="553">
        <f>-'Foglio deposito bis'!$F$80*(C2071-sezione!$AN$35)*IF(ABS(M2071)&lt;'Progetto del paramento slu'!$G$58,ABS(M2071)*'Progetto del paramento slu'!$G$54,'Progetto del paramento slu'!$G$53)</f>
        <v>0</v>
      </c>
      <c r="H2071" s="553">
        <f>-'Foglio deposito bis'!$F$81*(C2071-sezione!$AO$35)*IF(ABS(N2071)&lt;'Progetto del paramento slu'!$G$58,ABS(N2071)*'Progetto del paramento slu'!$G$54,'Progetto del paramento slu'!$G$53)</f>
        <v>128792250.72638074</v>
      </c>
      <c r="I2071" s="479">
        <f>-'Foglio deposito bis'!$F$82*(C2071-sezione!$AP$35)*IF(ABS(O2071)&lt;'Progetto del paramento slu'!$G$58,ABS(O2071)*'Progetto del paramento slu'!$G$54,'Progetto del paramento slu'!$G$53)</f>
        <v>217198326.36792922</v>
      </c>
      <c r="J2071" s="479">
        <f t="shared" si="152"/>
        <v>364202018.82028627</v>
      </c>
      <c r="K2071" s="558">
        <f>'Progetto del paramento slu'!$G$60*(sezione!$AL$35-C2071)/C2071</f>
        <v>4.9111583554418232E-3</v>
      </c>
      <c r="L2071" s="558">
        <f>'Progetto del paramento slu'!$G$60*(sezione!$AM$35-C2071)/C2071</f>
        <v>2.8041843832906841E-2</v>
      </c>
      <c r="M2071" s="559">
        <f>'Progetto del paramento slu'!$G$60*(sezione!$AN$35-C2071)/C2071</f>
        <v>5.1172529310371848E-2</v>
      </c>
      <c r="N2071" s="559">
        <f>'Progetto del paramento slu'!$G$60*(sezione!$AO$35-C2071)/C2071</f>
        <v>6.7994846021255495E-2</v>
      </c>
      <c r="O2071" s="559">
        <f>'Progetto del paramento slu'!$G$60*(sezione!$AP$35-C2071)/C2071</f>
        <v>5.1174207498216766E-2</v>
      </c>
      <c r="P2071" s="553">
        <f>-'Progetto del paramento slu'!$G$47*'Progetto del paramento slu'!$G$41*IF(DATI!$G$218="dx",DATI!$E$61,DATI!$E$64*DATI!$E$63)*1000*C2071*sezione!$AD$5</f>
        <v>-234619.8367223987</v>
      </c>
      <c r="Q2071" s="553">
        <f>'Foglio deposito bis'!$F$78*IF(ABS(K2071)&lt;'Progetto del paramento slu'!$G$58,ABS(K2071)*'Progetto del paramento slu'!$G$54,'Progetto del paramento slu'!$G$53)*IF(K2071&lt;0,-1,1)</f>
        <v>0</v>
      </c>
      <c r="R2071" s="553">
        <f>'Foglio deposito bis'!$F$79*IF(ABS(L2071)&lt;'Progetto del paramento slu'!$G$58,ABS(L2071)*'Progetto del paramento slu'!$G$54,'Progetto del paramento slu'!$G$53)*IF(L2071&lt;0,-1,1)</f>
        <v>153664.85805602249</v>
      </c>
      <c r="S2071" s="553">
        <f>'Foglio deposito bis'!$F$80*IF(ABS(M2071)&lt;'Progetto del paramento slu'!$G$58,ABS(M2071)*'Progetto del paramento slu'!$G$54,'Progetto del paramento slu'!$G$53)*IF(M2071&lt;0,-1,1)</f>
        <v>0</v>
      </c>
      <c r="T2071" s="553">
        <f>'Foglio deposito bis'!$F$81*IF(ABS(N2071)&lt;'Progetto del paramento slu'!$G$58,ABS(N2071)*'Progetto del paramento slu'!$G$54,'Progetto del paramento slu'!$G$53)*IF(N2071&lt;0,-1,1)</f>
        <v>398299.31208121032</v>
      </c>
      <c r="U2071" s="553">
        <f>'Foglio deposito bis'!$F$82*IF(ABS(O2071)&lt;'Progetto del paramento slu'!$G$58,ABS(O2071)*'Progetto del paramento slu'!$G$54,'Progetto del paramento slu'!$G$53)*IF(O2071&lt;0,-1,1)</f>
        <v>892485.49558937876</v>
      </c>
      <c r="V2071" s="479">
        <f t="shared" si="154"/>
        <v>1209829.8290042127</v>
      </c>
      <c r="W2071" s="559"/>
      <c r="X2071" s="559"/>
    </row>
    <row r="2072" spans="1:24" x14ac:dyDescent="0.25">
      <c r="A2072" s="553">
        <f t="shared" si="153"/>
        <v>1206968.6114832079</v>
      </c>
      <c r="B2072" s="3">
        <f t="shared" si="155"/>
        <v>4.1499999999999932</v>
      </c>
      <c r="C2072" s="553">
        <f>'Foglio deposito bis'!$E$161/sezione!$B$247*B2072</f>
        <v>16.847538838867468</v>
      </c>
      <c r="D2072" s="611">
        <f>-'Progetto del paramento slu'!$G$47*'Progetto del paramento slu'!$G$41*IF(DATI!$G$218="dx",DATI!$E$61,DATI!$E$64*DATI!$E$63)*1000*C2072^2*sezione!$AD$5*(1-sezione!$AD$6)</f>
        <v>-2336567.2303587859</v>
      </c>
      <c r="E2072" s="553">
        <f>-'Foglio deposito bis'!$F$78*(C2072-sezione!$AL$35)*IF(ABS(K2072)&lt;'Progetto del paramento slu'!$G$58,ABS(K2072)*'Progetto del paramento slu'!$G$54,'Progetto del paramento slu'!$G$53)</f>
        <v>0</v>
      </c>
      <c r="F2072" s="553">
        <f>-'Foglio deposito bis'!$F$79*(C2072-sezione!$AM$35)*IF(ABS(L2072)&lt;'Progetto del paramento slu'!$G$58,ABS(L2072)*'Progetto del paramento slu'!$G$54,'Progetto del paramento slu'!$G$53)</f>
        <v>20460854.044135477</v>
      </c>
      <c r="G2072" s="553">
        <f>-'Foglio deposito bis'!$F$80*(C2072-sezione!$AN$35)*IF(ABS(M2072)&lt;'Progetto del paramento slu'!$G$58,ABS(M2072)*'Progetto del paramento slu'!$G$54,'Progetto del paramento slu'!$G$53)</f>
        <v>0</v>
      </c>
      <c r="H2072" s="553">
        <f>-'Foglio deposito bis'!$F$81*(C2072-sezione!$AO$35)*IF(ABS(N2072)&lt;'Progetto del paramento slu'!$G$58,ABS(N2072)*'Progetto del paramento slu'!$G$54,'Progetto del paramento slu'!$G$53)</f>
        <v>128711402.97782913</v>
      </c>
      <c r="I2072" s="479">
        <f>-'Foglio deposito bis'!$F$82*(C2072-sezione!$AP$35)*IF(ABS(O2072)&lt;'Progetto del paramento slu'!$G$58,ABS(O2072)*'Progetto del paramento slu'!$G$54,'Progetto del paramento slu'!$G$53)</f>
        <v>217017167.52395248</v>
      </c>
      <c r="J2072" s="479">
        <f t="shared" si="152"/>
        <v>363852857.31555831</v>
      </c>
      <c r="K2072" s="558">
        <f>'Progetto del paramento slu'!$G$60*(sezione!$AL$35-C2072)/C2072</f>
        <v>4.8098190981473435E-3</v>
      </c>
      <c r="L2072" s="558">
        <f>'Progetto del paramento slu'!$G$60*(sezione!$AM$35-C2072)/C2072</f>
        <v>2.7661821618052536E-2</v>
      </c>
      <c r="M2072" s="559">
        <f>'Progetto del paramento slu'!$G$60*(sezione!$AN$35-C2072)/C2072</f>
        <v>5.0513824137957727E-2</v>
      </c>
      <c r="N2072" s="559">
        <f>'Progetto del paramento slu'!$G$60*(sezione!$AO$35-C2072)/C2072</f>
        <v>6.7133462334252422E-2</v>
      </c>
      <c r="O2072" s="559">
        <f>'Progetto del paramento slu'!$G$60*(sezione!$AP$35-C2072)/C2072</f>
        <v>5.0515482106671984E-2</v>
      </c>
      <c r="P2072" s="553">
        <f>-'Progetto del paramento slu'!$G$47*'Progetto del paramento slu'!$G$41*IF(DATI!$G$218="dx",DATI!$E$61,DATI!$E$64*DATI!$E$63)*1000*C2072*sezione!$AD$5</f>
        <v>-237481.05424340355</v>
      </c>
      <c r="Q2072" s="553">
        <f>'Foglio deposito bis'!$F$78*IF(ABS(K2072)&lt;'Progetto del paramento slu'!$G$58,ABS(K2072)*'Progetto del paramento slu'!$G$54,'Progetto del paramento slu'!$G$53)*IF(K2072&lt;0,-1,1)</f>
        <v>0</v>
      </c>
      <c r="R2072" s="553">
        <f>'Foglio deposito bis'!$F$79*IF(ABS(L2072)&lt;'Progetto del paramento slu'!$G$58,ABS(L2072)*'Progetto del paramento slu'!$G$54,'Progetto del paramento slu'!$G$53)*IF(L2072&lt;0,-1,1)</f>
        <v>153664.85805602249</v>
      </c>
      <c r="S2072" s="553">
        <f>'Foglio deposito bis'!$F$80*IF(ABS(M2072)&lt;'Progetto del paramento slu'!$G$58,ABS(M2072)*'Progetto del paramento slu'!$G$54,'Progetto del paramento slu'!$G$53)*IF(M2072&lt;0,-1,1)</f>
        <v>0</v>
      </c>
      <c r="T2072" s="553">
        <f>'Foglio deposito bis'!$F$81*IF(ABS(N2072)&lt;'Progetto del paramento slu'!$G$58,ABS(N2072)*'Progetto del paramento slu'!$G$54,'Progetto del paramento slu'!$G$53)*IF(N2072&lt;0,-1,1)</f>
        <v>398299.31208121032</v>
      </c>
      <c r="U2072" s="553">
        <f>'Foglio deposito bis'!$F$82*IF(ABS(O2072)&lt;'Progetto del paramento slu'!$G$58,ABS(O2072)*'Progetto del paramento slu'!$G$54,'Progetto del paramento slu'!$G$53)*IF(O2072&lt;0,-1,1)</f>
        <v>892485.49558937876</v>
      </c>
      <c r="V2072" s="479">
        <f t="shared" si="154"/>
        <v>1206968.6114832079</v>
      </c>
      <c r="W2072" s="559"/>
      <c r="X2072" s="559"/>
    </row>
    <row r="2073" spans="1:24" x14ac:dyDescent="0.25">
      <c r="A2073" s="553">
        <f t="shared" si="153"/>
        <v>1204107.3939622031</v>
      </c>
      <c r="B2073" s="3">
        <f t="shared" si="155"/>
        <v>4.1999999999999931</v>
      </c>
      <c r="C2073" s="553">
        <f>'Foglio deposito bis'!$E$161/sezione!$B$247*B2073</f>
        <v>17.050521234516474</v>
      </c>
      <c r="D2073" s="611">
        <f>-'Progetto del paramento slu'!$G$47*'Progetto del paramento slu'!$G$41*IF(DATI!$G$218="dx",DATI!$E$61,DATI!$E$64*DATI!$E$63)*1000*C2073^2*sezione!$AD$5*(1-sezione!$AD$6)</f>
        <v>-2393209.228830249</v>
      </c>
      <c r="E2073" s="553">
        <f>-'Foglio deposito bis'!$F$78*(C2073-sezione!$AL$35)*IF(ABS(K2073)&lt;'Progetto del paramento slu'!$G$58,ABS(K2073)*'Progetto del paramento slu'!$G$54,'Progetto del paramento slu'!$G$53)</f>
        <v>0</v>
      </c>
      <c r="F2073" s="553">
        <f>-'Foglio deposito bis'!$F$79*(C2073-sezione!$AM$35)*IF(ABS(L2073)&lt;'Progetto del paramento slu'!$G$58,ABS(L2073)*'Progetto del paramento slu'!$G$54,'Progetto del paramento slu'!$G$53)</f>
        <v>20429662.783120204</v>
      </c>
      <c r="G2073" s="553">
        <f>-'Foglio deposito bis'!$F$80*(C2073-sezione!$AN$35)*IF(ABS(M2073)&lt;'Progetto del paramento slu'!$G$58,ABS(M2073)*'Progetto del paramento slu'!$G$54,'Progetto del paramento slu'!$G$53)</f>
        <v>0</v>
      </c>
      <c r="H2073" s="553">
        <f>-'Foglio deposito bis'!$F$81*(C2073-sezione!$AO$35)*IF(ABS(N2073)&lt;'Progetto del paramento slu'!$G$58,ABS(N2073)*'Progetto del paramento slu'!$G$54,'Progetto del paramento slu'!$G$53)</f>
        <v>128630555.22927752</v>
      </c>
      <c r="I2073" s="479">
        <f>-'Foglio deposito bis'!$F$82*(C2073-sezione!$AP$35)*IF(ABS(O2073)&lt;'Progetto del paramento slu'!$G$58,ABS(O2073)*'Progetto del paramento slu'!$G$54,'Progetto del paramento slu'!$G$53)</f>
        <v>216836008.67997575</v>
      </c>
      <c r="J2073" s="479">
        <f t="shared" si="152"/>
        <v>363503017.46354324</v>
      </c>
      <c r="K2073" s="558">
        <f>'Progetto del paramento slu'!$G$60*(sezione!$AL$35-C2073)/C2073</f>
        <v>4.7108926803122557E-3</v>
      </c>
      <c r="L2073" s="558">
        <f>'Progetto del paramento slu'!$G$60*(sezione!$AM$35-C2073)/C2073</f>
        <v>2.729084755117096E-2</v>
      </c>
      <c r="M2073" s="559">
        <f>'Progetto del paramento slu'!$G$60*(sezione!$AN$35-C2073)/C2073</f>
        <v>4.987080242202966E-2</v>
      </c>
      <c r="N2073" s="559">
        <f>'Progetto del paramento slu'!$G$60*(sezione!$AO$35-C2073)/C2073</f>
        <v>6.6292587782654178E-2</v>
      </c>
      <c r="O2073" s="559">
        <f>'Progetto del paramento slu'!$G$60*(sezione!$AP$35-C2073)/C2073</f>
        <v>4.9872440653021127E-2</v>
      </c>
      <c r="P2073" s="553">
        <f>-'Progetto del paramento slu'!$G$47*'Progetto del paramento slu'!$G$41*IF(DATI!$G$218="dx",DATI!$E$61,DATI!$E$64*DATI!$E$63)*1000*C2073*sezione!$AD$5</f>
        <v>-240342.27176440839</v>
      </c>
      <c r="Q2073" s="553">
        <f>'Foglio deposito bis'!$F$78*IF(ABS(K2073)&lt;'Progetto del paramento slu'!$G$58,ABS(K2073)*'Progetto del paramento slu'!$G$54,'Progetto del paramento slu'!$G$53)*IF(K2073&lt;0,-1,1)</f>
        <v>0</v>
      </c>
      <c r="R2073" s="553">
        <f>'Foglio deposito bis'!$F$79*IF(ABS(L2073)&lt;'Progetto del paramento slu'!$G$58,ABS(L2073)*'Progetto del paramento slu'!$G$54,'Progetto del paramento slu'!$G$53)*IF(L2073&lt;0,-1,1)</f>
        <v>153664.85805602249</v>
      </c>
      <c r="S2073" s="553">
        <f>'Foglio deposito bis'!$F$80*IF(ABS(M2073)&lt;'Progetto del paramento slu'!$G$58,ABS(M2073)*'Progetto del paramento slu'!$G$54,'Progetto del paramento slu'!$G$53)*IF(M2073&lt;0,-1,1)</f>
        <v>0</v>
      </c>
      <c r="T2073" s="553">
        <f>'Foglio deposito bis'!$F$81*IF(ABS(N2073)&lt;'Progetto del paramento slu'!$G$58,ABS(N2073)*'Progetto del paramento slu'!$G$54,'Progetto del paramento slu'!$G$53)*IF(N2073&lt;0,-1,1)</f>
        <v>398299.31208121032</v>
      </c>
      <c r="U2073" s="553">
        <f>'Foglio deposito bis'!$F$82*IF(ABS(O2073)&lt;'Progetto del paramento slu'!$G$58,ABS(O2073)*'Progetto del paramento slu'!$G$54,'Progetto del paramento slu'!$G$53)*IF(O2073&lt;0,-1,1)</f>
        <v>892485.49558937876</v>
      </c>
      <c r="V2073" s="479">
        <f t="shared" si="154"/>
        <v>1204107.3939622031</v>
      </c>
      <c r="W2073" s="559"/>
      <c r="X2073" s="559"/>
    </row>
    <row r="2074" spans="1:24" x14ac:dyDescent="0.25">
      <c r="A2074" s="553">
        <f t="shared" si="153"/>
        <v>1201246.1764411982</v>
      </c>
      <c r="B2074" s="3">
        <f t="shared" si="155"/>
        <v>4.2499999999999929</v>
      </c>
      <c r="C2074" s="553">
        <f>'Foglio deposito bis'!$E$161/sezione!$B$247*B2074</f>
        <v>17.253503630165476</v>
      </c>
      <c r="D2074" s="611">
        <f>-'Progetto del paramento slu'!$G$47*'Progetto del paramento slu'!$G$41*IF(DATI!$G$218="dx",DATI!$E$61,DATI!$E$64*DATI!$E$63)*1000*C2074^2*sezione!$AD$5*(1-sezione!$AD$6)</f>
        <v>-2450529.5745887957</v>
      </c>
      <c r="E2074" s="553">
        <f>-'Foglio deposito bis'!$F$78*(C2074-sezione!$AL$35)*IF(ABS(K2074)&lt;'Progetto del paramento slu'!$G$58,ABS(K2074)*'Progetto del paramento slu'!$G$54,'Progetto del paramento slu'!$G$53)</f>
        <v>0</v>
      </c>
      <c r="F2074" s="553">
        <f>-'Foglio deposito bis'!$F$79*(C2074-sezione!$AM$35)*IF(ABS(L2074)&lt;'Progetto del paramento slu'!$G$58,ABS(L2074)*'Progetto del paramento slu'!$G$54,'Progetto del paramento slu'!$G$53)</f>
        <v>20398471.522104926</v>
      </c>
      <c r="G2074" s="553">
        <f>-'Foglio deposito bis'!$F$80*(C2074-sezione!$AN$35)*IF(ABS(M2074)&lt;'Progetto del paramento slu'!$G$58,ABS(M2074)*'Progetto del paramento slu'!$G$54,'Progetto del paramento slu'!$G$53)</f>
        <v>0</v>
      </c>
      <c r="H2074" s="553">
        <f>-'Foglio deposito bis'!$F$81*(C2074-sezione!$AO$35)*IF(ABS(N2074)&lt;'Progetto del paramento slu'!$G$58,ABS(N2074)*'Progetto del paramento slu'!$G$54,'Progetto del paramento slu'!$G$53)</f>
        <v>128549707.48072593</v>
      </c>
      <c r="I2074" s="479">
        <f>-'Foglio deposito bis'!$F$82*(C2074-sezione!$AP$35)*IF(ABS(O2074)&lt;'Progetto del paramento slu'!$G$58,ABS(O2074)*'Progetto del paramento slu'!$G$54,'Progetto del paramento slu'!$G$53)</f>
        <v>216654849.83599904</v>
      </c>
      <c r="J2074" s="479">
        <f t="shared" si="152"/>
        <v>363152499.2642411</v>
      </c>
      <c r="K2074" s="558">
        <f>'Progetto del paramento slu'!$G$60*(sezione!$AL$35-C2074)/C2074</f>
        <v>4.614293942896819E-3</v>
      </c>
      <c r="L2074" s="558">
        <f>'Progetto del paramento slu'!$G$60*(sezione!$AM$35-C2074)/C2074</f>
        <v>2.6928602285863072E-2</v>
      </c>
      <c r="M2074" s="559">
        <f>'Progetto del paramento slu'!$G$60*(sezione!$AN$35-C2074)/C2074</f>
        <v>4.924291062882933E-2</v>
      </c>
      <c r="N2074" s="559">
        <f>'Progetto del paramento slu'!$G$60*(sezione!$AO$35-C2074)/C2074</f>
        <v>6.5471498514622972E-2</v>
      </c>
      <c r="O2074" s="559">
        <f>'Progetto del paramento slu'!$G$60*(sezione!$AP$35-C2074)/C2074</f>
        <v>4.9244529586515005E-2</v>
      </c>
      <c r="P2074" s="553">
        <f>-'Progetto del paramento slu'!$G$47*'Progetto del paramento slu'!$G$41*IF(DATI!$G$218="dx",DATI!$E$61,DATI!$E$64*DATI!$E$63)*1000*C2074*sezione!$AD$5</f>
        <v>-243203.4892854132</v>
      </c>
      <c r="Q2074" s="553">
        <f>'Foglio deposito bis'!$F$78*IF(ABS(K2074)&lt;'Progetto del paramento slu'!$G$58,ABS(K2074)*'Progetto del paramento slu'!$G$54,'Progetto del paramento slu'!$G$53)*IF(K2074&lt;0,-1,1)</f>
        <v>0</v>
      </c>
      <c r="R2074" s="553">
        <f>'Foglio deposito bis'!$F$79*IF(ABS(L2074)&lt;'Progetto del paramento slu'!$G$58,ABS(L2074)*'Progetto del paramento slu'!$G$54,'Progetto del paramento slu'!$G$53)*IF(L2074&lt;0,-1,1)</f>
        <v>153664.85805602249</v>
      </c>
      <c r="S2074" s="553">
        <f>'Foglio deposito bis'!$F$80*IF(ABS(M2074)&lt;'Progetto del paramento slu'!$G$58,ABS(M2074)*'Progetto del paramento slu'!$G$54,'Progetto del paramento slu'!$G$53)*IF(M2074&lt;0,-1,1)</f>
        <v>0</v>
      </c>
      <c r="T2074" s="553">
        <f>'Foglio deposito bis'!$F$81*IF(ABS(N2074)&lt;'Progetto del paramento slu'!$G$58,ABS(N2074)*'Progetto del paramento slu'!$G$54,'Progetto del paramento slu'!$G$53)*IF(N2074&lt;0,-1,1)</f>
        <v>398299.31208121032</v>
      </c>
      <c r="U2074" s="553">
        <f>'Foglio deposito bis'!$F$82*IF(ABS(O2074)&lt;'Progetto del paramento slu'!$G$58,ABS(O2074)*'Progetto del paramento slu'!$G$54,'Progetto del paramento slu'!$G$53)*IF(O2074&lt;0,-1,1)</f>
        <v>892485.49558937876</v>
      </c>
      <c r="V2074" s="479">
        <f t="shared" si="154"/>
        <v>1201246.1764411982</v>
      </c>
      <c r="W2074" s="559"/>
      <c r="X2074" s="559"/>
    </row>
    <row r="2075" spans="1:24" x14ac:dyDescent="0.25">
      <c r="A2075" s="553">
        <f t="shared" si="153"/>
        <v>1198384.9589201934</v>
      </c>
      <c r="B2075" s="3">
        <f t="shared" si="155"/>
        <v>4.2999999999999927</v>
      </c>
      <c r="C2075" s="553">
        <f>'Foglio deposito bis'!$E$161/sezione!$B$247*B2075</f>
        <v>17.456486025814481</v>
      </c>
      <c r="D2075" s="611">
        <f>-'Progetto del paramento slu'!$G$47*'Progetto del paramento slu'!$G$41*IF(DATI!$G$218="dx",DATI!$E$61,DATI!$E$64*DATI!$E$63)*1000*C2075^2*sezione!$AD$5*(1-sezione!$AD$6)</f>
        <v>-2508528.2676344267</v>
      </c>
      <c r="E2075" s="553">
        <f>-'Foglio deposito bis'!$F$78*(C2075-sezione!$AL$35)*IF(ABS(K2075)&lt;'Progetto del paramento slu'!$G$58,ABS(K2075)*'Progetto del paramento slu'!$G$54,'Progetto del paramento slu'!$G$53)</f>
        <v>0</v>
      </c>
      <c r="F2075" s="553">
        <f>-'Foglio deposito bis'!$F$79*(C2075-sezione!$AM$35)*IF(ABS(L2075)&lt;'Progetto del paramento slu'!$G$58,ABS(L2075)*'Progetto del paramento slu'!$G$54,'Progetto del paramento slu'!$G$53)</f>
        <v>20367280.261089649</v>
      </c>
      <c r="G2075" s="553">
        <f>-'Foglio deposito bis'!$F$80*(C2075-sezione!$AN$35)*IF(ABS(M2075)&lt;'Progetto del paramento slu'!$G$58,ABS(M2075)*'Progetto del paramento slu'!$G$54,'Progetto del paramento slu'!$G$53)</f>
        <v>0</v>
      </c>
      <c r="H2075" s="553">
        <f>-'Foglio deposito bis'!$F$81*(C2075-sezione!$AO$35)*IF(ABS(N2075)&lt;'Progetto del paramento slu'!$G$58,ABS(N2075)*'Progetto del paramento slu'!$G$54,'Progetto del paramento slu'!$G$53)</f>
        <v>128468859.73217435</v>
      </c>
      <c r="I2075" s="479">
        <f>-'Foglio deposito bis'!$F$82*(C2075-sezione!$AP$35)*IF(ABS(O2075)&lt;'Progetto del paramento slu'!$G$58,ABS(O2075)*'Progetto del paramento slu'!$G$54,'Progetto del paramento slu'!$G$53)</f>
        <v>216473690.99202234</v>
      </c>
      <c r="J2075" s="479">
        <f t="shared" si="152"/>
        <v>362801302.7176519</v>
      </c>
      <c r="K2075" s="558">
        <f>'Progetto del paramento slu'!$G$60*(sezione!$AL$35-C2075)/C2075</f>
        <v>4.5199416877468564E-3</v>
      </c>
      <c r="L2075" s="558">
        <f>'Progetto del paramento slu'!$G$60*(sezione!$AM$35-C2075)/C2075</f>
        <v>2.6574781329050709E-2</v>
      </c>
      <c r="M2075" s="559">
        <f>'Progetto del paramento slu'!$G$60*(sezione!$AN$35-C2075)/C2075</f>
        <v>4.8629620970354566E-2</v>
      </c>
      <c r="N2075" s="559">
        <f>'Progetto del paramento slu'!$G$60*(sezione!$AO$35-C2075)/C2075</f>
        <v>6.4669504345848283E-2</v>
      </c>
      <c r="O2075" s="559">
        <f>'Progetto del paramento slu'!$G$60*(sezione!$AP$35-C2075)/C2075</f>
        <v>4.8631221102950879E-2</v>
      </c>
      <c r="P2075" s="553">
        <f>-'Progetto del paramento slu'!$G$47*'Progetto del paramento slu'!$G$41*IF(DATI!$G$218="dx",DATI!$E$61,DATI!$E$64*DATI!$E$63)*1000*C2075*sezione!$AD$5</f>
        <v>-246064.70680641808</v>
      </c>
      <c r="Q2075" s="553">
        <f>'Foglio deposito bis'!$F$78*IF(ABS(K2075)&lt;'Progetto del paramento slu'!$G$58,ABS(K2075)*'Progetto del paramento slu'!$G$54,'Progetto del paramento slu'!$G$53)*IF(K2075&lt;0,-1,1)</f>
        <v>0</v>
      </c>
      <c r="R2075" s="553">
        <f>'Foglio deposito bis'!$F$79*IF(ABS(L2075)&lt;'Progetto del paramento slu'!$G$58,ABS(L2075)*'Progetto del paramento slu'!$G$54,'Progetto del paramento slu'!$G$53)*IF(L2075&lt;0,-1,1)</f>
        <v>153664.85805602249</v>
      </c>
      <c r="S2075" s="553">
        <f>'Foglio deposito bis'!$F$80*IF(ABS(M2075)&lt;'Progetto del paramento slu'!$G$58,ABS(M2075)*'Progetto del paramento slu'!$G$54,'Progetto del paramento slu'!$G$53)*IF(M2075&lt;0,-1,1)</f>
        <v>0</v>
      </c>
      <c r="T2075" s="553">
        <f>'Foglio deposito bis'!$F$81*IF(ABS(N2075)&lt;'Progetto del paramento slu'!$G$58,ABS(N2075)*'Progetto del paramento slu'!$G$54,'Progetto del paramento slu'!$G$53)*IF(N2075&lt;0,-1,1)</f>
        <v>398299.31208121032</v>
      </c>
      <c r="U2075" s="553">
        <f>'Foglio deposito bis'!$F$82*IF(ABS(O2075)&lt;'Progetto del paramento slu'!$G$58,ABS(O2075)*'Progetto del paramento slu'!$G$54,'Progetto del paramento slu'!$G$53)*IF(O2075&lt;0,-1,1)</f>
        <v>892485.49558937876</v>
      </c>
      <c r="V2075" s="479">
        <f t="shared" si="154"/>
        <v>1198384.9589201934</v>
      </c>
      <c r="W2075" s="559"/>
      <c r="X2075" s="559"/>
    </row>
    <row r="2076" spans="1:24" x14ac:dyDescent="0.25">
      <c r="A2076" s="553">
        <f t="shared" si="153"/>
        <v>1195523.7413991885</v>
      </c>
      <c r="B2076" s="3">
        <f t="shared" si="155"/>
        <v>4.3499999999999925</v>
      </c>
      <c r="C2076" s="553">
        <f>'Foglio deposito bis'!$E$161/sezione!$B$247*B2076</f>
        <v>17.659468421463487</v>
      </c>
      <c r="D2076" s="611">
        <f>-'Progetto del paramento slu'!$G$47*'Progetto del paramento slu'!$G$41*IF(DATI!$G$218="dx",DATI!$E$61,DATI!$E$64*DATI!$E$63)*1000*C2076^2*sezione!$AD$5*(1-sezione!$AD$6)</f>
        <v>-2567205.3079671417</v>
      </c>
      <c r="E2076" s="553">
        <f>-'Foglio deposito bis'!$F$78*(C2076-sezione!$AL$35)*IF(ABS(K2076)&lt;'Progetto del paramento slu'!$G$58,ABS(K2076)*'Progetto del paramento slu'!$G$54,'Progetto del paramento slu'!$G$53)</f>
        <v>0</v>
      </c>
      <c r="F2076" s="553">
        <f>-'Foglio deposito bis'!$F$79*(C2076-sezione!$AM$35)*IF(ABS(L2076)&lt;'Progetto del paramento slu'!$G$58,ABS(L2076)*'Progetto del paramento slu'!$G$54,'Progetto del paramento slu'!$G$53)</f>
        <v>20336089.000074375</v>
      </c>
      <c r="G2076" s="553">
        <f>-'Foglio deposito bis'!$F$80*(C2076-sezione!$AN$35)*IF(ABS(M2076)&lt;'Progetto del paramento slu'!$G$58,ABS(M2076)*'Progetto del paramento slu'!$G$54,'Progetto del paramento slu'!$G$53)</f>
        <v>0</v>
      </c>
      <c r="H2076" s="553">
        <f>-'Foglio deposito bis'!$F$81*(C2076-sezione!$AO$35)*IF(ABS(N2076)&lt;'Progetto del paramento slu'!$G$58,ABS(N2076)*'Progetto del paramento slu'!$G$54,'Progetto del paramento slu'!$G$53)</f>
        <v>128388011.98362274</v>
      </c>
      <c r="I2076" s="479">
        <f>-'Foglio deposito bis'!$F$82*(C2076-sezione!$AP$35)*IF(ABS(O2076)&lt;'Progetto del paramento slu'!$G$58,ABS(O2076)*'Progetto del paramento slu'!$G$54,'Progetto del paramento slu'!$G$53)</f>
        <v>216292532.1480456</v>
      </c>
      <c r="J2076" s="479">
        <f t="shared" si="152"/>
        <v>362449427.82377559</v>
      </c>
      <c r="K2076" s="558">
        <f>'Progetto del paramento slu'!$G$60*(sezione!$AL$35-C2076)/C2076</f>
        <v>4.4277584499566626E-3</v>
      </c>
      <c r="L2076" s="558">
        <f>'Progetto del paramento slu'!$G$60*(sezione!$AM$35-C2076)/C2076</f>
        <v>2.6229094187337484E-2</v>
      </c>
      <c r="M2076" s="559">
        <f>'Progetto del paramento slu'!$G$60*(sezione!$AN$35-C2076)/C2076</f>
        <v>4.8030429924718308E-2</v>
      </c>
      <c r="N2076" s="559">
        <f>'Progetto del paramento slu'!$G$60*(sezione!$AO$35-C2076)/C2076</f>
        <v>6.3885946824631626E-2</v>
      </c>
      <c r="O2076" s="559">
        <f>'Progetto del paramento slu'!$G$60*(sezione!$AP$35-C2076)/C2076</f>
        <v>4.8032011664985934E-2</v>
      </c>
      <c r="P2076" s="553">
        <f>-'Progetto del paramento slu'!$G$47*'Progetto del paramento slu'!$G$41*IF(DATI!$G$218="dx",DATI!$E$61,DATI!$E$64*DATI!$E$63)*1000*C2076*sezione!$AD$5</f>
        <v>-248925.92432742298</v>
      </c>
      <c r="Q2076" s="553">
        <f>'Foglio deposito bis'!$F$78*IF(ABS(K2076)&lt;'Progetto del paramento slu'!$G$58,ABS(K2076)*'Progetto del paramento slu'!$G$54,'Progetto del paramento slu'!$G$53)*IF(K2076&lt;0,-1,1)</f>
        <v>0</v>
      </c>
      <c r="R2076" s="553">
        <f>'Foglio deposito bis'!$F$79*IF(ABS(L2076)&lt;'Progetto del paramento slu'!$G$58,ABS(L2076)*'Progetto del paramento slu'!$G$54,'Progetto del paramento slu'!$G$53)*IF(L2076&lt;0,-1,1)</f>
        <v>153664.85805602249</v>
      </c>
      <c r="S2076" s="553">
        <f>'Foglio deposito bis'!$F$80*IF(ABS(M2076)&lt;'Progetto del paramento slu'!$G$58,ABS(M2076)*'Progetto del paramento slu'!$G$54,'Progetto del paramento slu'!$G$53)*IF(M2076&lt;0,-1,1)</f>
        <v>0</v>
      </c>
      <c r="T2076" s="553">
        <f>'Foglio deposito bis'!$F$81*IF(ABS(N2076)&lt;'Progetto del paramento slu'!$G$58,ABS(N2076)*'Progetto del paramento slu'!$G$54,'Progetto del paramento slu'!$G$53)*IF(N2076&lt;0,-1,1)</f>
        <v>398299.31208121032</v>
      </c>
      <c r="U2076" s="553">
        <f>'Foglio deposito bis'!$F$82*IF(ABS(O2076)&lt;'Progetto del paramento slu'!$G$58,ABS(O2076)*'Progetto del paramento slu'!$G$54,'Progetto del paramento slu'!$G$53)*IF(O2076&lt;0,-1,1)</f>
        <v>892485.49558937876</v>
      </c>
      <c r="V2076" s="479">
        <f t="shared" si="154"/>
        <v>1195523.7413991885</v>
      </c>
      <c r="W2076" s="559"/>
      <c r="X2076" s="559"/>
    </row>
    <row r="2077" spans="1:24" x14ac:dyDescent="0.25">
      <c r="A2077" s="553">
        <f t="shared" si="153"/>
        <v>1192662.5238781837</v>
      </c>
      <c r="B2077" s="3">
        <f t="shared" si="155"/>
        <v>4.3999999999999924</v>
      </c>
      <c r="C2077" s="553">
        <f>'Foglio deposito bis'!$E$161/sezione!$B$247*B2077</f>
        <v>17.862450817112492</v>
      </c>
      <c r="D2077" s="611">
        <f>-'Progetto del paramento slu'!$G$47*'Progetto del paramento slu'!$G$41*IF(DATI!$G$218="dx",DATI!$E$61,DATI!$E$64*DATI!$E$63)*1000*C2077^2*sezione!$AD$5*(1-sezione!$AD$6)</f>
        <v>-2626560.6955869398</v>
      </c>
      <c r="E2077" s="553">
        <f>-'Foglio deposito bis'!$F$78*(C2077-sezione!$AL$35)*IF(ABS(K2077)&lt;'Progetto del paramento slu'!$G$58,ABS(K2077)*'Progetto del paramento slu'!$G$54,'Progetto del paramento slu'!$G$53)</f>
        <v>0</v>
      </c>
      <c r="F2077" s="553">
        <f>-'Foglio deposito bis'!$F$79*(C2077-sezione!$AM$35)*IF(ABS(L2077)&lt;'Progetto del paramento slu'!$G$58,ABS(L2077)*'Progetto del paramento slu'!$G$54,'Progetto del paramento slu'!$G$53)</f>
        <v>20304897.739059102</v>
      </c>
      <c r="G2077" s="553">
        <f>-'Foglio deposito bis'!$F$80*(C2077-sezione!$AN$35)*IF(ABS(M2077)&lt;'Progetto del paramento slu'!$G$58,ABS(M2077)*'Progetto del paramento slu'!$G$54,'Progetto del paramento slu'!$G$53)</f>
        <v>0</v>
      </c>
      <c r="H2077" s="553">
        <f>-'Foglio deposito bis'!$F$81*(C2077-sezione!$AO$35)*IF(ABS(N2077)&lt;'Progetto del paramento slu'!$G$58,ABS(N2077)*'Progetto del paramento slu'!$G$54,'Progetto del paramento slu'!$G$53)</f>
        <v>128307164.23507115</v>
      </c>
      <c r="I2077" s="479">
        <f>-'Foglio deposito bis'!$F$82*(C2077-sezione!$AP$35)*IF(ABS(O2077)&lt;'Progetto del paramento slu'!$G$58,ABS(O2077)*'Progetto del paramento slu'!$G$54,'Progetto del paramento slu'!$G$53)</f>
        <v>216111373.30406886</v>
      </c>
      <c r="J2077" s="479">
        <f t="shared" si="152"/>
        <v>362096874.58261216</v>
      </c>
      <c r="K2077" s="558">
        <f>'Progetto del paramento slu'!$G$60*(sezione!$AL$35-C2077)/C2077</f>
        <v>4.33767028575261E-3</v>
      </c>
      <c r="L2077" s="558">
        <f>'Progetto del paramento slu'!$G$60*(sezione!$AM$35-C2077)/C2077</f>
        <v>2.5891263571572287E-2</v>
      </c>
      <c r="M2077" s="559">
        <f>'Progetto del paramento slu'!$G$60*(sezione!$AN$35-C2077)/C2077</f>
        <v>4.7444856857391964E-2</v>
      </c>
      <c r="N2077" s="559">
        <f>'Progetto del paramento slu'!$G$60*(sezione!$AO$35-C2077)/C2077</f>
        <v>6.3120197428897171E-2</v>
      </c>
      <c r="O2077" s="559">
        <f>'Progetto del paramento slu'!$G$60*(sezione!$AP$35-C2077)/C2077</f>
        <v>4.7446420623338363E-2</v>
      </c>
      <c r="P2077" s="553">
        <f>-'Progetto del paramento slu'!$G$47*'Progetto del paramento slu'!$G$41*IF(DATI!$G$218="dx",DATI!$E$61,DATI!$E$64*DATI!$E$63)*1000*C2077*sezione!$AD$5</f>
        <v>-251787.14184842783</v>
      </c>
      <c r="Q2077" s="553">
        <f>'Foglio deposito bis'!$F$78*IF(ABS(K2077)&lt;'Progetto del paramento slu'!$G$58,ABS(K2077)*'Progetto del paramento slu'!$G$54,'Progetto del paramento slu'!$G$53)*IF(K2077&lt;0,-1,1)</f>
        <v>0</v>
      </c>
      <c r="R2077" s="553">
        <f>'Foglio deposito bis'!$F$79*IF(ABS(L2077)&lt;'Progetto del paramento slu'!$G$58,ABS(L2077)*'Progetto del paramento slu'!$G$54,'Progetto del paramento slu'!$G$53)*IF(L2077&lt;0,-1,1)</f>
        <v>153664.85805602249</v>
      </c>
      <c r="S2077" s="553">
        <f>'Foglio deposito bis'!$F$80*IF(ABS(M2077)&lt;'Progetto del paramento slu'!$G$58,ABS(M2077)*'Progetto del paramento slu'!$G$54,'Progetto del paramento slu'!$G$53)*IF(M2077&lt;0,-1,1)</f>
        <v>0</v>
      </c>
      <c r="T2077" s="553">
        <f>'Foglio deposito bis'!$F$81*IF(ABS(N2077)&lt;'Progetto del paramento slu'!$G$58,ABS(N2077)*'Progetto del paramento slu'!$G$54,'Progetto del paramento slu'!$G$53)*IF(N2077&lt;0,-1,1)</f>
        <v>398299.31208121032</v>
      </c>
      <c r="U2077" s="553">
        <f>'Foglio deposito bis'!$F$82*IF(ABS(O2077)&lt;'Progetto del paramento slu'!$G$58,ABS(O2077)*'Progetto del paramento slu'!$G$54,'Progetto del paramento slu'!$G$53)*IF(O2077&lt;0,-1,1)</f>
        <v>892485.49558937876</v>
      </c>
      <c r="V2077" s="479">
        <f t="shared" si="154"/>
        <v>1192662.5238781837</v>
      </c>
      <c r="W2077" s="559"/>
      <c r="X2077" s="559"/>
    </row>
    <row r="2078" spans="1:24" x14ac:dyDescent="0.25">
      <c r="A2078" s="553">
        <f t="shared" si="153"/>
        <v>1189801.3063571788</v>
      </c>
      <c r="B2078" s="3">
        <f t="shared" si="155"/>
        <v>4.4499999999999922</v>
      </c>
      <c r="C2078" s="553">
        <f>'Foglio deposito bis'!$E$161/sezione!$B$247*B2078</f>
        <v>18.065433212761498</v>
      </c>
      <c r="D2078" s="611">
        <f>-'Progetto del paramento slu'!$G$47*'Progetto del paramento slu'!$G$41*IF(DATI!$G$218="dx",DATI!$E$61,DATI!$E$64*DATI!$E$63)*1000*C2078^2*sezione!$AD$5*(1-sezione!$AD$6)</f>
        <v>-2686594.43049382</v>
      </c>
      <c r="E2078" s="553">
        <f>-'Foglio deposito bis'!$F$78*(C2078-sezione!$AL$35)*IF(ABS(K2078)&lt;'Progetto del paramento slu'!$G$58,ABS(K2078)*'Progetto del paramento slu'!$G$54,'Progetto del paramento slu'!$G$53)</f>
        <v>0</v>
      </c>
      <c r="F2078" s="553">
        <f>-'Foglio deposito bis'!$F$79*(C2078-sezione!$AM$35)*IF(ABS(L2078)&lt;'Progetto del paramento slu'!$G$58,ABS(L2078)*'Progetto del paramento slu'!$G$54,'Progetto del paramento slu'!$G$53)</f>
        <v>20273706.478043824</v>
      </c>
      <c r="G2078" s="553">
        <f>-'Foglio deposito bis'!$F$80*(C2078-sezione!$AN$35)*IF(ABS(M2078)&lt;'Progetto del paramento slu'!$G$58,ABS(M2078)*'Progetto del paramento slu'!$G$54,'Progetto del paramento slu'!$G$53)</f>
        <v>0</v>
      </c>
      <c r="H2078" s="553">
        <f>-'Foglio deposito bis'!$F$81*(C2078-sezione!$AO$35)*IF(ABS(N2078)&lt;'Progetto del paramento slu'!$G$58,ABS(N2078)*'Progetto del paramento slu'!$G$54,'Progetto del paramento slu'!$G$53)</f>
        <v>128226316.48651956</v>
      </c>
      <c r="I2078" s="479">
        <f>-'Foglio deposito bis'!$F$82*(C2078-sezione!$AP$35)*IF(ABS(O2078)&lt;'Progetto del paramento slu'!$G$58,ABS(O2078)*'Progetto del paramento slu'!$G$54,'Progetto del paramento slu'!$G$53)</f>
        <v>215930214.46009219</v>
      </c>
      <c r="J2078" s="479">
        <f t="shared" si="152"/>
        <v>361743642.99416173</v>
      </c>
      <c r="K2078" s="558">
        <f>'Progetto del paramento slu'!$G$60*(sezione!$AL$35-C2078)/C2078</f>
        <v>4.2496065746767371E-3</v>
      </c>
      <c r="L2078" s="558">
        <f>'Progetto del paramento slu'!$G$60*(sezione!$AM$35-C2078)/C2078</f>
        <v>2.5561024655037769E-2</v>
      </c>
      <c r="M2078" s="559">
        <f>'Progetto del paramento slu'!$G$60*(sezione!$AN$35-C2078)/C2078</f>
        <v>4.6872442735398798E-2</v>
      </c>
      <c r="N2078" s="559">
        <f>'Progetto del paramento slu'!$G$60*(sezione!$AO$35-C2078)/C2078</f>
        <v>6.237165588475227E-2</v>
      </c>
      <c r="O2078" s="559">
        <f>'Progetto del paramento slu'!$G$60*(sezione!$AP$35-C2078)/C2078</f>
        <v>4.6873988930941302E-2</v>
      </c>
      <c r="P2078" s="553">
        <f>-'Progetto del paramento slu'!$G$47*'Progetto del paramento slu'!$G$41*IF(DATI!$G$218="dx",DATI!$E$61,DATI!$E$64*DATI!$E$63)*1000*C2078*sezione!$AD$5</f>
        <v>-254648.35936943267</v>
      </c>
      <c r="Q2078" s="553">
        <f>'Foglio deposito bis'!$F$78*IF(ABS(K2078)&lt;'Progetto del paramento slu'!$G$58,ABS(K2078)*'Progetto del paramento slu'!$G$54,'Progetto del paramento slu'!$G$53)*IF(K2078&lt;0,-1,1)</f>
        <v>0</v>
      </c>
      <c r="R2078" s="553">
        <f>'Foglio deposito bis'!$F$79*IF(ABS(L2078)&lt;'Progetto del paramento slu'!$G$58,ABS(L2078)*'Progetto del paramento slu'!$G$54,'Progetto del paramento slu'!$G$53)*IF(L2078&lt;0,-1,1)</f>
        <v>153664.85805602249</v>
      </c>
      <c r="S2078" s="553">
        <f>'Foglio deposito bis'!$F$80*IF(ABS(M2078)&lt;'Progetto del paramento slu'!$G$58,ABS(M2078)*'Progetto del paramento slu'!$G$54,'Progetto del paramento slu'!$G$53)*IF(M2078&lt;0,-1,1)</f>
        <v>0</v>
      </c>
      <c r="T2078" s="553">
        <f>'Foglio deposito bis'!$F$81*IF(ABS(N2078)&lt;'Progetto del paramento slu'!$G$58,ABS(N2078)*'Progetto del paramento slu'!$G$54,'Progetto del paramento slu'!$G$53)*IF(N2078&lt;0,-1,1)</f>
        <v>398299.31208121032</v>
      </c>
      <c r="U2078" s="553">
        <f>'Foglio deposito bis'!$F$82*IF(ABS(O2078)&lt;'Progetto del paramento slu'!$G$58,ABS(O2078)*'Progetto del paramento slu'!$G$54,'Progetto del paramento slu'!$G$53)*IF(O2078&lt;0,-1,1)</f>
        <v>892485.49558937876</v>
      </c>
      <c r="V2078" s="479">
        <f t="shared" si="154"/>
        <v>1189801.3063571788</v>
      </c>
      <c r="W2078" s="559"/>
      <c r="X2078" s="559"/>
    </row>
    <row r="2079" spans="1:24" x14ac:dyDescent="0.25">
      <c r="A2079" s="553">
        <f t="shared" si="153"/>
        <v>1186940.088836174</v>
      </c>
      <c r="B2079" s="3">
        <f t="shared" si="155"/>
        <v>4.499999999999992</v>
      </c>
      <c r="C2079" s="553">
        <f>'Foglio deposito bis'!$E$161/sezione!$B$247*B2079</f>
        <v>18.268415608410503</v>
      </c>
      <c r="D2079" s="611">
        <f>-'Progetto del paramento slu'!$G$47*'Progetto del paramento slu'!$G$41*IF(DATI!$G$218="dx",DATI!$E$61,DATI!$E$64*DATI!$E$63)*1000*C2079^2*sezione!$AD$5*(1-sezione!$AD$6)</f>
        <v>-2747306.5126877851</v>
      </c>
      <c r="E2079" s="553">
        <f>-'Foglio deposito bis'!$F$78*(C2079-sezione!$AL$35)*IF(ABS(K2079)&lt;'Progetto del paramento slu'!$G$58,ABS(K2079)*'Progetto del paramento slu'!$G$54,'Progetto del paramento slu'!$G$53)</f>
        <v>0</v>
      </c>
      <c r="F2079" s="553">
        <f>-'Foglio deposito bis'!$F$79*(C2079-sezione!$AM$35)*IF(ABS(L2079)&lt;'Progetto del paramento slu'!$G$58,ABS(L2079)*'Progetto del paramento slu'!$G$54,'Progetto del paramento slu'!$G$53)</f>
        <v>20242515.217028551</v>
      </c>
      <c r="G2079" s="553">
        <f>-'Foglio deposito bis'!$F$80*(C2079-sezione!$AN$35)*IF(ABS(M2079)&lt;'Progetto del paramento slu'!$G$58,ABS(M2079)*'Progetto del paramento slu'!$G$54,'Progetto del paramento slu'!$G$53)</f>
        <v>0</v>
      </c>
      <c r="H2079" s="553">
        <f>-'Foglio deposito bis'!$F$81*(C2079-sezione!$AO$35)*IF(ABS(N2079)&lt;'Progetto del paramento slu'!$G$58,ABS(N2079)*'Progetto del paramento slu'!$G$54,'Progetto del paramento slu'!$G$53)</f>
        <v>128145468.73796794</v>
      </c>
      <c r="I2079" s="479">
        <f>-'Foglio deposito bis'!$F$82*(C2079-sezione!$AP$35)*IF(ABS(O2079)&lt;'Progetto del paramento slu'!$G$58,ABS(O2079)*'Progetto del paramento slu'!$G$54,'Progetto del paramento slu'!$G$53)</f>
        <v>215749055.61611545</v>
      </c>
      <c r="J2079" s="479">
        <f t="shared" si="152"/>
        <v>361389733.05842412</v>
      </c>
      <c r="K2079" s="558">
        <f>'Progetto del paramento slu'!$G$60*(sezione!$AL$35-C2079)/C2079</f>
        <v>4.1634998349581072E-3</v>
      </c>
      <c r="L2079" s="558">
        <f>'Progetto del paramento slu'!$G$60*(sezione!$AM$35-C2079)/C2079</f>
        <v>2.5238124381092904E-2</v>
      </c>
      <c r="M2079" s="559">
        <f>'Progetto del paramento slu'!$G$60*(sezione!$AN$35-C2079)/C2079</f>
        <v>4.6312748927227698E-2</v>
      </c>
      <c r="N2079" s="559">
        <f>'Progetto del paramento slu'!$G$60*(sezione!$AO$35-C2079)/C2079</f>
        <v>6.1639748597143912E-2</v>
      </c>
      <c r="O2079" s="559">
        <f>'Progetto del paramento slu'!$G$60*(sezione!$AP$35-C2079)/C2079</f>
        <v>4.6314277942819733E-2</v>
      </c>
      <c r="P2079" s="553">
        <f>-'Progetto del paramento slu'!$G$47*'Progetto del paramento slu'!$G$41*IF(DATI!$G$218="dx",DATI!$E$61,DATI!$E$64*DATI!$E$63)*1000*C2079*sezione!$AD$5</f>
        <v>-257509.57689043754</v>
      </c>
      <c r="Q2079" s="553">
        <f>'Foglio deposito bis'!$F$78*IF(ABS(K2079)&lt;'Progetto del paramento slu'!$G$58,ABS(K2079)*'Progetto del paramento slu'!$G$54,'Progetto del paramento slu'!$G$53)*IF(K2079&lt;0,-1,1)</f>
        <v>0</v>
      </c>
      <c r="R2079" s="553">
        <f>'Foglio deposito bis'!$F$79*IF(ABS(L2079)&lt;'Progetto del paramento slu'!$G$58,ABS(L2079)*'Progetto del paramento slu'!$G$54,'Progetto del paramento slu'!$G$53)*IF(L2079&lt;0,-1,1)</f>
        <v>153664.85805602249</v>
      </c>
      <c r="S2079" s="553">
        <f>'Foglio deposito bis'!$F$80*IF(ABS(M2079)&lt;'Progetto del paramento slu'!$G$58,ABS(M2079)*'Progetto del paramento slu'!$G$54,'Progetto del paramento slu'!$G$53)*IF(M2079&lt;0,-1,1)</f>
        <v>0</v>
      </c>
      <c r="T2079" s="553">
        <f>'Foglio deposito bis'!$F$81*IF(ABS(N2079)&lt;'Progetto del paramento slu'!$G$58,ABS(N2079)*'Progetto del paramento slu'!$G$54,'Progetto del paramento slu'!$G$53)*IF(N2079&lt;0,-1,1)</f>
        <v>398299.31208121032</v>
      </c>
      <c r="U2079" s="553">
        <f>'Foglio deposito bis'!$F$82*IF(ABS(O2079)&lt;'Progetto del paramento slu'!$G$58,ABS(O2079)*'Progetto del paramento slu'!$G$54,'Progetto del paramento slu'!$G$53)*IF(O2079&lt;0,-1,1)</f>
        <v>892485.49558937876</v>
      </c>
      <c r="V2079" s="479">
        <f t="shared" si="154"/>
        <v>1186940.088836174</v>
      </c>
      <c r="W2079" s="559"/>
      <c r="X2079" s="559"/>
    </row>
    <row r="2080" spans="1:24" x14ac:dyDescent="0.25">
      <c r="A2080" s="553">
        <f t="shared" si="153"/>
        <v>1184078.8713151691</v>
      </c>
      <c r="B2080" s="3">
        <f t="shared" si="155"/>
        <v>4.5499999999999918</v>
      </c>
      <c r="C2080" s="553">
        <f>'Foglio deposito bis'!$E$161/sezione!$B$247*B2080</f>
        <v>18.471398004059509</v>
      </c>
      <c r="D2080" s="611">
        <f>-'Progetto del paramento slu'!$G$47*'Progetto del paramento slu'!$G$41*IF(DATI!$G$218="dx",DATI!$E$61,DATI!$E$64*DATI!$E$63)*1000*C2080^2*sezione!$AD$5*(1-sezione!$AD$6)</f>
        <v>-2808696.9421688328</v>
      </c>
      <c r="E2080" s="553">
        <f>-'Foglio deposito bis'!$F$78*(C2080-sezione!$AL$35)*IF(ABS(K2080)&lt;'Progetto del paramento slu'!$G$58,ABS(K2080)*'Progetto del paramento slu'!$G$54,'Progetto del paramento slu'!$G$53)</f>
        <v>0</v>
      </c>
      <c r="F2080" s="553">
        <f>-'Foglio deposito bis'!$F$79*(C2080-sezione!$AM$35)*IF(ABS(L2080)&lt;'Progetto del paramento slu'!$G$58,ABS(L2080)*'Progetto del paramento slu'!$G$54,'Progetto del paramento slu'!$G$53)</f>
        <v>20211323.956013277</v>
      </c>
      <c r="G2080" s="553">
        <f>-'Foglio deposito bis'!$F$80*(C2080-sezione!$AN$35)*IF(ABS(M2080)&lt;'Progetto del paramento slu'!$G$58,ABS(M2080)*'Progetto del paramento slu'!$G$54,'Progetto del paramento slu'!$G$53)</f>
        <v>0</v>
      </c>
      <c r="H2080" s="553">
        <f>-'Foglio deposito bis'!$F$81*(C2080-sezione!$AO$35)*IF(ABS(N2080)&lt;'Progetto del paramento slu'!$G$58,ABS(N2080)*'Progetto del paramento slu'!$G$54,'Progetto del paramento slu'!$G$53)</f>
        <v>128064620.98941636</v>
      </c>
      <c r="I2080" s="479">
        <f>-'Foglio deposito bis'!$F$82*(C2080-sezione!$AP$35)*IF(ABS(O2080)&lt;'Progetto del paramento slu'!$G$58,ABS(O2080)*'Progetto del paramento slu'!$G$54,'Progetto del paramento slu'!$G$53)</f>
        <v>215567896.77213871</v>
      </c>
      <c r="J2080" s="479">
        <f t="shared" si="152"/>
        <v>361035144.77539951</v>
      </c>
      <c r="K2080" s="558">
        <f>'Progetto del paramento slu'!$G$60*(sezione!$AL$35-C2080)/C2080</f>
        <v>4.079285551057469E-3</v>
      </c>
      <c r="L2080" s="558">
        <f>'Progetto del paramento slu'!$G$60*(sezione!$AM$35-C2080)/C2080</f>
        <v>2.4922320816465511E-2</v>
      </c>
      <c r="M2080" s="559">
        <f>'Progetto del paramento slu'!$G$60*(sezione!$AN$35-C2080)/C2080</f>
        <v>4.576535608187355E-2</v>
      </c>
      <c r="N2080" s="559">
        <f>'Progetto del paramento slu'!$G$60*(sezione!$AO$35-C2080)/C2080</f>
        <v>6.0923927183988487E-2</v>
      </c>
      <c r="O2080" s="559">
        <f>'Progetto del paramento slu'!$G$60*(sezione!$AP$35-C2080)/C2080</f>
        <v>4.5766868295096443E-2</v>
      </c>
      <c r="P2080" s="553">
        <f>-'Progetto del paramento slu'!$G$47*'Progetto del paramento slu'!$G$41*IF(DATI!$G$218="dx",DATI!$E$61,DATI!$E$64*DATI!$E$63)*1000*C2080*sezione!$AD$5</f>
        <v>-260370.79441144239</v>
      </c>
      <c r="Q2080" s="553">
        <f>'Foglio deposito bis'!$F$78*IF(ABS(K2080)&lt;'Progetto del paramento slu'!$G$58,ABS(K2080)*'Progetto del paramento slu'!$G$54,'Progetto del paramento slu'!$G$53)*IF(K2080&lt;0,-1,1)</f>
        <v>0</v>
      </c>
      <c r="R2080" s="553">
        <f>'Foglio deposito bis'!$F$79*IF(ABS(L2080)&lt;'Progetto del paramento slu'!$G$58,ABS(L2080)*'Progetto del paramento slu'!$G$54,'Progetto del paramento slu'!$G$53)*IF(L2080&lt;0,-1,1)</f>
        <v>153664.85805602249</v>
      </c>
      <c r="S2080" s="553">
        <f>'Foglio deposito bis'!$F$80*IF(ABS(M2080)&lt;'Progetto del paramento slu'!$G$58,ABS(M2080)*'Progetto del paramento slu'!$G$54,'Progetto del paramento slu'!$G$53)*IF(M2080&lt;0,-1,1)</f>
        <v>0</v>
      </c>
      <c r="T2080" s="553">
        <f>'Foglio deposito bis'!$F$81*IF(ABS(N2080)&lt;'Progetto del paramento slu'!$G$58,ABS(N2080)*'Progetto del paramento slu'!$G$54,'Progetto del paramento slu'!$G$53)*IF(N2080&lt;0,-1,1)</f>
        <v>398299.31208121032</v>
      </c>
      <c r="U2080" s="553">
        <f>'Foglio deposito bis'!$F$82*IF(ABS(O2080)&lt;'Progetto del paramento slu'!$G$58,ABS(O2080)*'Progetto del paramento slu'!$G$54,'Progetto del paramento slu'!$G$53)*IF(O2080&lt;0,-1,1)</f>
        <v>892485.49558937876</v>
      </c>
      <c r="V2080" s="479">
        <f t="shared" si="154"/>
        <v>1184078.8713151691</v>
      </c>
      <c r="W2080" s="559"/>
      <c r="X2080" s="559"/>
    </row>
    <row r="2081" spans="1:24" x14ac:dyDescent="0.25">
      <c r="A2081" s="553">
        <f t="shared" si="153"/>
        <v>1181217.6537941643</v>
      </c>
      <c r="B2081" s="3">
        <f t="shared" si="155"/>
        <v>4.5999999999999917</v>
      </c>
      <c r="C2081" s="553">
        <f>'Foglio deposito bis'!$E$161/sezione!$B$247*B2081</f>
        <v>18.674380399708514</v>
      </c>
      <c r="D2081" s="611">
        <f>-'Progetto del paramento slu'!$G$47*'Progetto del paramento slu'!$G$41*IF(DATI!$G$218="dx",DATI!$E$61,DATI!$E$64*DATI!$E$63)*1000*C2081^2*sezione!$AD$5*(1-sezione!$AD$6)</f>
        <v>-2870765.7189369644</v>
      </c>
      <c r="E2081" s="553">
        <f>-'Foglio deposito bis'!$F$78*(C2081-sezione!$AL$35)*IF(ABS(K2081)&lt;'Progetto del paramento slu'!$G$58,ABS(K2081)*'Progetto del paramento slu'!$G$54,'Progetto del paramento slu'!$G$53)</f>
        <v>0</v>
      </c>
      <c r="F2081" s="553">
        <f>-'Foglio deposito bis'!$F$79*(C2081-sezione!$AM$35)*IF(ABS(L2081)&lt;'Progetto del paramento slu'!$G$58,ABS(L2081)*'Progetto del paramento slu'!$G$54,'Progetto del paramento slu'!$G$53)</f>
        <v>20180132.694997996</v>
      </c>
      <c r="G2081" s="553">
        <f>-'Foglio deposito bis'!$F$80*(C2081-sezione!$AN$35)*IF(ABS(M2081)&lt;'Progetto del paramento slu'!$G$58,ABS(M2081)*'Progetto del paramento slu'!$G$54,'Progetto del paramento slu'!$G$53)</f>
        <v>0</v>
      </c>
      <c r="H2081" s="553">
        <f>-'Foglio deposito bis'!$F$81*(C2081-sezione!$AO$35)*IF(ABS(N2081)&lt;'Progetto del paramento slu'!$G$58,ABS(N2081)*'Progetto del paramento slu'!$G$54,'Progetto del paramento slu'!$G$53)</f>
        <v>127983773.24086477</v>
      </c>
      <c r="I2081" s="479">
        <f>-'Foglio deposito bis'!$F$82*(C2081-sezione!$AP$35)*IF(ABS(O2081)&lt;'Progetto del paramento slu'!$G$58,ABS(O2081)*'Progetto del paramento slu'!$G$54,'Progetto del paramento slu'!$G$53)</f>
        <v>215386737.92816198</v>
      </c>
      <c r="J2081" s="479">
        <f t="shared" si="152"/>
        <v>360679878.14508778</v>
      </c>
      <c r="K2081" s="558">
        <f>'Progetto del paramento slu'!$G$60*(sezione!$AL$35-C2081)/C2081</f>
        <v>3.9969020124590174E-3</v>
      </c>
      <c r="L2081" s="558">
        <f>'Progetto del paramento slu'!$G$60*(sezione!$AM$35-C2081)/C2081</f>
        <v>2.4613382546721317E-2</v>
      </c>
      <c r="M2081" s="559">
        <f>'Progetto del paramento slu'!$G$60*(sezione!$AN$35-C2081)/C2081</f>
        <v>4.5229863080983611E-2</v>
      </c>
      <c r="N2081" s="559">
        <f>'Progetto del paramento slu'!$G$60*(sezione!$AO$35-C2081)/C2081</f>
        <v>6.0223667105901657E-2</v>
      </c>
      <c r="O2081" s="559">
        <f>'Progetto del paramento slu'!$G$60*(sezione!$AP$35-C2081)/C2081</f>
        <v>4.5231358857106253E-2</v>
      </c>
      <c r="P2081" s="553">
        <f>-'Progetto del paramento slu'!$G$47*'Progetto del paramento slu'!$G$41*IF(DATI!$G$218="dx",DATI!$E$61,DATI!$E$64*DATI!$E$63)*1000*C2081*sezione!$AD$5</f>
        <v>-263232.01193244726</v>
      </c>
      <c r="Q2081" s="553">
        <f>'Foglio deposito bis'!$F$78*IF(ABS(K2081)&lt;'Progetto del paramento slu'!$G$58,ABS(K2081)*'Progetto del paramento slu'!$G$54,'Progetto del paramento slu'!$G$53)*IF(K2081&lt;0,-1,1)</f>
        <v>0</v>
      </c>
      <c r="R2081" s="553">
        <f>'Foglio deposito bis'!$F$79*IF(ABS(L2081)&lt;'Progetto del paramento slu'!$G$58,ABS(L2081)*'Progetto del paramento slu'!$G$54,'Progetto del paramento slu'!$G$53)*IF(L2081&lt;0,-1,1)</f>
        <v>153664.85805602249</v>
      </c>
      <c r="S2081" s="553">
        <f>'Foglio deposito bis'!$F$80*IF(ABS(M2081)&lt;'Progetto del paramento slu'!$G$58,ABS(M2081)*'Progetto del paramento slu'!$G$54,'Progetto del paramento slu'!$G$53)*IF(M2081&lt;0,-1,1)</f>
        <v>0</v>
      </c>
      <c r="T2081" s="553">
        <f>'Foglio deposito bis'!$F$81*IF(ABS(N2081)&lt;'Progetto del paramento slu'!$G$58,ABS(N2081)*'Progetto del paramento slu'!$G$54,'Progetto del paramento slu'!$G$53)*IF(N2081&lt;0,-1,1)</f>
        <v>398299.31208121032</v>
      </c>
      <c r="U2081" s="553">
        <f>'Foglio deposito bis'!$F$82*IF(ABS(O2081)&lt;'Progetto del paramento slu'!$G$58,ABS(O2081)*'Progetto del paramento slu'!$G$54,'Progetto del paramento slu'!$G$53)*IF(O2081&lt;0,-1,1)</f>
        <v>892485.49558937876</v>
      </c>
      <c r="V2081" s="479">
        <f t="shared" si="154"/>
        <v>1181217.6537941643</v>
      </c>
      <c r="W2081" s="559"/>
      <c r="X2081" s="559"/>
    </row>
    <row r="2082" spans="1:24" x14ac:dyDescent="0.25">
      <c r="A2082" s="553">
        <f t="shared" si="153"/>
        <v>1178356.4362731595</v>
      </c>
      <c r="B2082" s="3">
        <f t="shared" si="155"/>
        <v>4.6499999999999915</v>
      </c>
      <c r="C2082" s="553">
        <f>'Foglio deposito bis'!$E$161/sezione!$B$247*B2082</f>
        <v>18.87736279535752</v>
      </c>
      <c r="D2082" s="611">
        <f>-'Progetto del paramento slu'!$G$47*'Progetto del paramento slu'!$G$41*IF(DATI!$G$218="dx",DATI!$E$61,DATI!$E$64*DATI!$E$63)*1000*C2082^2*sezione!$AD$5*(1-sezione!$AD$6)</f>
        <v>-2933512.8429921796</v>
      </c>
      <c r="E2082" s="553">
        <f>-'Foglio deposito bis'!$F$78*(C2082-sezione!$AL$35)*IF(ABS(K2082)&lt;'Progetto del paramento slu'!$G$58,ABS(K2082)*'Progetto del paramento slu'!$G$54,'Progetto del paramento slu'!$G$53)</f>
        <v>0</v>
      </c>
      <c r="F2082" s="553">
        <f>-'Foglio deposito bis'!$F$79*(C2082-sezione!$AM$35)*IF(ABS(L2082)&lt;'Progetto del paramento slu'!$G$58,ABS(L2082)*'Progetto del paramento slu'!$G$54,'Progetto del paramento slu'!$G$53)</f>
        <v>20148941.433982719</v>
      </c>
      <c r="G2082" s="553">
        <f>-'Foglio deposito bis'!$F$80*(C2082-sezione!$AN$35)*IF(ABS(M2082)&lt;'Progetto del paramento slu'!$G$58,ABS(M2082)*'Progetto del paramento slu'!$G$54,'Progetto del paramento slu'!$G$53)</f>
        <v>0</v>
      </c>
      <c r="H2082" s="553">
        <f>-'Foglio deposito bis'!$F$81*(C2082-sezione!$AO$35)*IF(ABS(N2082)&lt;'Progetto del paramento slu'!$G$58,ABS(N2082)*'Progetto del paramento slu'!$G$54,'Progetto del paramento slu'!$G$53)</f>
        <v>127902925.49231319</v>
      </c>
      <c r="I2082" s="479">
        <f>-'Foglio deposito bis'!$F$82*(C2082-sezione!$AP$35)*IF(ABS(O2082)&lt;'Progetto del paramento slu'!$G$58,ABS(O2082)*'Progetto del paramento slu'!$G$54,'Progetto del paramento slu'!$G$53)</f>
        <v>215205579.08418524</v>
      </c>
      <c r="J2082" s="479">
        <f t="shared" si="152"/>
        <v>360323933.16748893</v>
      </c>
      <c r="K2082" s="558">
        <f>'Progetto del paramento slu'!$G$60*(sezione!$AL$35-C2082)/C2082</f>
        <v>3.9162901628626845E-3</v>
      </c>
      <c r="L2082" s="558">
        <f>'Progetto del paramento slu'!$G$60*(sezione!$AM$35-C2082)/C2082</f>
        <v>2.4311088110735065E-2</v>
      </c>
      <c r="M2082" s="559">
        <f>'Progetto del paramento slu'!$G$60*(sezione!$AN$35-C2082)/C2082</f>
        <v>4.4705886058607446E-2</v>
      </c>
      <c r="N2082" s="559">
        <f>'Progetto del paramento slu'!$G$60*(sezione!$AO$35-C2082)/C2082</f>
        <v>5.9538466384332814E-2</v>
      </c>
      <c r="O2082" s="559">
        <f>'Progetto del paramento slu'!$G$60*(sezione!$AP$35-C2082)/C2082</f>
        <v>4.470736575111587E-2</v>
      </c>
      <c r="P2082" s="553">
        <f>-'Progetto del paramento slu'!$G$47*'Progetto del paramento slu'!$G$41*IF(DATI!$G$218="dx",DATI!$E$61,DATI!$E$64*DATI!$E$63)*1000*C2082*sezione!$AD$5</f>
        <v>-266093.22945345211</v>
      </c>
      <c r="Q2082" s="553">
        <f>'Foglio deposito bis'!$F$78*IF(ABS(K2082)&lt;'Progetto del paramento slu'!$G$58,ABS(K2082)*'Progetto del paramento slu'!$G$54,'Progetto del paramento slu'!$G$53)*IF(K2082&lt;0,-1,1)</f>
        <v>0</v>
      </c>
      <c r="R2082" s="553">
        <f>'Foglio deposito bis'!$F$79*IF(ABS(L2082)&lt;'Progetto del paramento slu'!$G$58,ABS(L2082)*'Progetto del paramento slu'!$G$54,'Progetto del paramento slu'!$G$53)*IF(L2082&lt;0,-1,1)</f>
        <v>153664.85805602249</v>
      </c>
      <c r="S2082" s="553">
        <f>'Foglio deposito bis'!$F$80*IF(ABS(M2082)&lt;'Progetto del paramento slu'!$G$58,ABS(M2082)*'Progetto del paramento slu'!$G$54,'Progetto del paramento slu'!$G$53)*IF(M2082&lt;0,-1,1)</f>
        <v>0</v>
      </c>
      <c r="T2082" s="553">
        <f>'Foglio deposito bis'!$F$81*IF(ABS(N2082)&lt;'Progetto del paramento slu'!$G$58,ABS(N2082)*'Progetto del paramento slu'!$G$54,'Progetto del paramento slu'!$G$53)*IF(N2082&lt;0,-1,1)</f>
        <v>398299.31208121032</v>
      </c>
      <c r="U2082" s="553">
        <f>'Foglio deposito bis'!$F$82*IF(ABS(O2082)&lt;'Progetto del paramento slu'!$G$58,ABS(O2082)*'Progetto del paramento slu'!$G$54,'Progetto del paramento slu'!$G$53)*IF(O2082&lt;0,-1,1)</f>
        <v>892485.49558937876</v>
      </c>
      <c r="V2082" s="479">
        <f t="shared" si="154"/>
        <v>1178356.4362731595</v>
      </c>
      <c r="W2082" s="559"/>
      <c r="X2082" s="559"/>
    </row>
    <row r="2083" spans="1:24" x14ac:dyDescent="0.25">
      <c r="A2083" s="553">
        <f t="shared" si="153"/>
        <v>1175495.2187521546</v>
      </c>
      <c r="B2083" s="3">
        <f t="shared" si="155"/>
        <v>4.6999999999999913</v>
      </c>
      <c r="C2083" s="553">
        <f>'Foglio deposito bis'!$E$161/sezione!$B$247*B2083</f>
        <v>19.080345191006526</v>
      </c>
      <c r="D2083" s="611">
        <f>-'Progetto del paramento slu'!$G$47*'Progetto del paramento slu'!$G$41*IF(DATI!$G$218="dx",DATI!$E$61,DATI!$E$64*DATI!$E$63)*1000*C2083^2*sezione!$AD$5*(1-sezione!$AD$6)</f>
        <v>-2996938.3143344778</v>
      </c>
      <c r="E2083" s="553">
        <f>-'Foglio deposito bis'!$F$78*(C2083-sezione!$AL$35)*IF(ABS(K2083)&lt;'Progetto del paramento slu'!$G$58,ABS(K2083)*'Progetto del paramento slu'!$G$54,'Progetto del paramento slu'!$G$53)</f>
        <v>0</v>
      </c>
      <c r="F2083" s="553">
        <f>-'Foglio deposito bis'!$F$79*(C2083-sezione!$AM$35)*IF(ABS(L2083)&lt;'Progetto del paramento slu'!$G$58,ABS(L2083)*'Progetto del paramento slu'!$G$54,'Progetto del paramento slu'!$G$53)</f>
        <v>20117750.172967445</v>
      </c>
      <c r="G2083" s="553">
        <f>-'Foglio deposito bis'!$F$80*(C2083-sezione!$AN$35)*IF(ABS(M2083)&lt;'Progetto del paramento slu'!$G$58,ABS(M2083)*'Progetto del paramento slu'!$G$54,'Progetto del paramento slu'!$G$53)</f>
        <v>0</v>
      </c>
      <c r="H2083" s="553">
        <f>-'Foglio deposito bis'!$F$81*(C2083-sezione!$AO$35)*IF(ABS(N2083)&lt;'Progetto del paramento slu'!$G$58,ABS(N2083)*'Progetto del paramento slu'!$G$54,'Progetto del paramento slu'!$G$53)</f>
        <v>127822077.74376158</v>
      </c>
      <c r="I2083" s="479">
        <f>-'Foglio deposito bis'!$F$82*(C2083-sezione!$AP$35)*IF(ABS(O2083)&lt;'Progetto del paramento slu'!$G$58,ABS(O2083)*'Progetto del paramento slu'!$G$54,'Progetto del paramento slu'!$G$53)</f>
        <v>215024420.24020857</v>
      </c>
      <c r="J2083" s="479">
        <f t="shared" si="152"/>
        <v>359967309.84260309</v>
      </c>
      <c r="K2083" s="558">
        <f>'Progetto del paramento slu'!$G$60*(sezione!$AL$35-C2083)/C2083</f>
        <v>3.837393459002443E-3</v>
      </c>
      <c r="L2083" s="558">
        <f>'Progetto del paramento slu'!$G$60*(sezione!$AM$35-C2083)/C2083</f>
        <v>2.4015225471259161E-2</v>
      </c>
      <c r="M2083" s="559">
        <f>'Progetto del paramento slu'!$G$60*(sezione!$AN$35-C2083)/C2083</f>
        <v>4.4193057483515881E-2</v>
      </c>
      <c r="N2083" s="559">
        <f>'Progetto del paramento slu'!$G$60*(sezione!$AO$35-C2083)/C2083</f>
        <v>5.8867844401520764E-2</v>
      </c>
      <c r="O2083" s="559">
        <f>'Progetto del paramento slu'!$G$60*(sezione!$AP$35-C2083)/C2083</f>
        <v>4.4194521434614636E-2</v>
      </c>
      <c r="P2083" s="553">
        <f>-'Progetto del paramento slu'!$G$47*'Progetto del paramento slu'!$G$41*IF(DATI!$G$218="dx",DATI!$E$61,DATI!$E$64*DATI!$E$63)*1000*C2083*sezione!$AD$5</f>
        <v>-268954.44697445695</v>
      </c>
      <c r="Q2083" s="553">
        <f>'Foglio deposito bis'!$F$78*IF(ABS(K2083)&lt;'Progetto del paramento slu'!$G$58,ABS(K2083)*'Progetto del paramento slu'!$G$54,'Progetto del paramento slu'!$G$53)*IF(K2083&lt;0,-1,1)</f>
        <v>0</v>
      </c>
      <c r="R2083" s="553">
        <f>'Foglio deposito bis'!$F$79*IF(ABS(L2083)&lt;'Progetto del paramento slu'!$G$58,ABS(L2083)*'Progetto del paramento slu'!$G$54,'Progetto del paramento slu'!$G$53)*IF(L2083&lt;0,-1,1)</f>
        <v>153664.85805602249</v>
      </c>
      <c r="S2083" s="553">
        <f>'Foglio deposito bis'!$F$80*IF(ABS(M2083)&lt;'Progetto del paramento slu'!$G$58,ABS(M2083)*'Progetto del paramento slu'!$G$54,'Progetto del paramento slu'!$G$53)*IF(M2083&lt;0,-1,1)</f>
        <v>0</v>
      </c>
      <c r="T2083" s="553">
        <f>'Foglio deposito bis'!$F$81*IF(ABS(N2083)&lt;'Progetto del paramento slu'!$G$58,ABS(N2083)*'Progetto del paramento slu'!$G$54,'Progetto del paramento slu'!$G$53)*IF(N2083&lt;0,-1,1)</f>
        <v>398299.31208121032</v>
      </c>
      <c r="U2083" s="553">
        <f>'Foglio deposito bis'!$F$82*IF(ABS(O2083)&lt;'Progetto del paramento slu'!$G$58,ABS(O2083)*'Progetto del paramento slu'!$G$54,'Progetto del paramento slu'!$G$53)*IF(O2083&lt;0,-1,1)</f>
        <v>892485.49558937876</v>
      </c>
      <c r="V2083" s="479">
        <f t="shared" si="154"/>
        <v>1175495.2187521546</v>
      </c>
      <c r="W2083" s="559"/>
      <c r="X2083" s="559"/>
    </row>
    <row r="2084" spans="1:24" x14ac:dyDescent="0.25">
      <c r="A2084" s="553">
        <f t="shared" si="153"/>
        <v>1172634.0012311498</v>
      </c>
      <c r="B2084" s="3">
        <f t="shared" si="155"/>
        <v>4.7499999999999911</v>
      </c>
      <c r="C2084" s="553">
        <f>'Foglio deposito bis'!$E$161/sezione!$B$247*B2084</f>
        <v>19.283327586655531</v>
      </c>
      <c r="D2084" s="611">
        <f>-'Progetto del paramento slu'!$G$47*'Progetto del paramento slu'!$G$41*IF(DATI!$G$218="dx",DATI!$E$61,DATI!$E$64*DATI!$E$63)*1000*C2084^2*sezione!$AD$5*(1-sezione!$AD$6)</f>
        <v>-3061042.1329638595</v>
      </c>
      <c r="E2084" s="553">
        <f>-'Foglio deposito bis'!$F$78*(C2084-sezione!$AL$35)*IF(ABS(K2084)&lt;'Progetto del paramento slu'!$G$58,ABS(K2084)*'Progetto del paramento slu'!$G$54,'Progetto del paramento slu'!$G$53)</f>
        <v>0</v>
      </c>
      <c r="F2084" s="553">
        <f>-'Foglio deposito bis'!$F$79*(C2084-sezione!$AM$35)*IF(ABS(L2084)&lt;'Progetto del paramento slu'!$G$58,ABS(L2084)*'Progetto del paramento slu'!$G$54,'Progetto del paramento slu'!$G$53)</f>
        <v>20086558.911952168</v>
      </c>
      <c r="G2084" s="553">
        <f>-'Foglio deposito bis'!$F$80*(C2084-sezione!$AN$35)*IF(ABS(M2084)&lt;'Progetto del paramento slu'!$G$58,ABS(M2084)*'Progetto del paramento slu'!$G$54,'Progetto del paramento slu'!$G$53)</f>
        <v>0</v>
      </c>
      <c r="H2084" s="553">
        <f>-'Foglio deposito bis'!$F$81*(C2084-sezione!$AO$35)*IF(ABS(N2084)&lt;'Progetto del paramento slu'!$G$58,ABS(N2084)*'Progetto del paramento slu'!$G$54,'Progetto del paramento slu'!$G$53)</f>
        <v>127741229.99520998</v>
      </c>
      <c r="I2084" s="479">
        <f>-'Foglio deposito bis'!$F$82*(C2084-sezione!$AP$35)*IF(ABS(O2084)&lt;'Progetto del paramento slu'!$G$58,ABS(O2084)*'Progetto del paramento slu'!$G$54,'Progetto del paramento slu'!$G$53)</f>
        <v>214843261.39623183</v>
      </c>
      <c r="J2084" s="479">
        <f t="shared" si="152"/>
        <v>359610008.17043012</v>
      </c>
      <c r="K2084" s="558">
        <f>'Progetto del paramento slu'!$G$60*(sezione!$AL$35-C2084)/C2084</f>
        <v>3.7601577383813648E-3</v>
      </c>
      <c r="L2084" s="558">
        <f>'Progetto del paramento slu'!$G$60*(sezione!$AM$35-C2084)/C2084</f>
        <v>2.3725591518930118E-2</v>
      </c>
      <c r="M2084" s="559">
        <f>'Progetto del paramento slu'!$G$60*(sezione!$AN$35-C2084)/C2084</f>
        <v>4.3691025299478867E-2</v>
      </c>
      <c r="N2084" s="559">
        <f>'Progetto del paramento slu'!$G$60*(sezione!$AO$35-C2084)/C2084</f>
        <v>5.8211340776241592E-2</v>
      </c>
      <c r="O2084" s="559">
        <f>'Progetto del paramento slu'!$G$60*(sezione!$AP$35-C2084)/C2084</f>
        <v>4.3692473840566064E-2</v>
      </c>
      <c r="P2084" s="553">
        <f>-'Progetto del paramento slu'!$G$47*'Progetto del paramento slu'!$G$41*IF(DATI!$G$218="dx",DATI!$E$61,DATI!$E$64*DATI!$E$63)*1000*C2084*sezione!$AD$5</f>
        <v>-271815.6644954618</v>
      </c>
      <c r="Q2084" s="553">
        <f>'Foglio deposito bis'!$F$78*IF(ABS(K2084)&lt;'Progetto del paramento slu'!$G$58,ABS(K2084)*'Progetto del paramento slu'!$G$54,'Progetto del paramento slu'!$G$53)*IF(K2084&lt;0,-1,1)</f>
        <v>0</v>
      </c>
      <c r="R2084" s="553">
        <f>'Foglio deposito bis'!$F$79*IF(ABS(L2084)&lt;'Progetto del paramento slu'!$G$58,ABS(L2084)*'Progetto del paramento slu'!$G$54,'Progetto del paramento slu'!$G$53)*IF(L2084&lt;0,-1,1)</f>
        <v>153664.85805602249</v>
      </c>
      <c r="S2084" s="553">
        <f>'Foglio deposito bis'!$F$80*IF(ABS(M2084)&lt;'Progetto del paramento slu'!$G$58,ABS(M2084)*'Progetto del paramento slu'!$G$54,'Progetto del paramento slu'!$G$53)*IF(M2084&lt;0,-1,1)</f>
        <v>0</v>
      </c>
      <c r="T2084" s="553">
        <f>'Foglio deposito bis'!$F$81*IF(ABS(N2084)&lt;'Progetto del paramento slu'!$G$58,ABS(N2084)*'Progetto del paramento slu'!$G$54,'Progetto del paramento slu'!$G$53)*IF(N2084&lt;0,-1,1)</f>
        <v>398299.31208121032</v>
      </c>
      <c r="U2084" s="553">
        <f>'Foglio deposito bis'!$F$82*IF(ABS(O2084)&lt;'Progetto del paramento slu'!$G$58,ABS(O2084)*'Progetto del paramento slu'!$G$54,'Progetto del paramento slu'!$G$53)*IF(O2084&lt;0,-1,1)</f>
        <v>892485.49558937876</v>
      </c>
      <c r="V2084" s="479">
        <f t="shared" si="154"/>
        <v>1172634.0012311498</v>
      </c>
      <c r="W2084" s="559"/>
      <c r="X2084" s="559"/>
    </row>
    <row r="2085" spans="1:24" x14ac:dyDescent="0.25">
      <c r="A2085" s="553">
        <f t="shared" si="153"/>
        <v>1169772.7837101449</v>
      </c>
      <c r="B2085" s="3">
        <f t="shared" si="155"/>
        <v>4.7999999999999909</v>
      </c>
      <c r="C2085" s="553">
        <f>'Foglio deposito bis'!$E$161/sezione!$B$247*B2085</f>
        <v>19.486309982304533</v>
      </c>
      <c r="D2085" s="611">
        <f>-'Progetto del paramento slu'!$G$47*'Progetto del paramento slu'!$G$41*IF(DATI!$G$218="dx",DATI!$E$61,DATI!$E$64*DATI!$E$63)*1000*C2085^2*sezione!$AD$5*(1-sezione!$AD$6)</f>
        <v>-3125824.2988803228</v>
      </c>
      <c r="E2085" s="553">
        <f>-'Foglio deposito bis'!$F$78*(C2085-sezione!$AL$35)*IF(ABS(K2085)&lt;'Progetto del paramento slu'!$G$58,ABS(K2085)*'Progetto del paramento slu'!$G$54,'Progetto del paramento slu'!$G$53)</f>
        <v>0</v>
      </c>
      <c r="F2085" s="553">
        <f>-'Foglio deposito bis'!$F$79*(C2085-sezione!$AM$35)*IF(ABS(L2085)&lt;'Progetto del paramento slu'!$G$58,ABS(L2085)*'Progetto del paramento slu'!$G$54,'Progetto del paramento slu'!$G$53)</f>
        <v>20055367.650936894</v>
      </c>
      <c r="G2085" s="553">
        <f>-'Foglio deposito bis'!$F$80*(C2085-sezione!$AN$35)*IF(ABS(M2085)&lt;'Progetto del paramento slu'!$G$58,ABS(M2085)*'Progetto del paramento slu'!$G$54,'Progetto del paramento slu'!$G$53)</f>
        <v>0</v>
      </c>
      <c r="H2085" s="553">
        <f>-'Foglio deposito bis'!$F$81*(C2085-sezione!$AO$35)*IF(ABS(N2085)&lt;'Progetto del paramento slu'!$G$58,ABS(N2085)*'Progetto del paramento slu'!$G$54,'Progetto del paramento slu'!$G$53)</f>
        <v>127660382.24665838</v>
      </c>
      <c r="I2085" s="479">
        <f>-'Foglio deposito bis'!$F$82*(C2085-sezione!$AP$35)*IF(ABS(O2085)&lt;'Progetto del paramento slu'!$G$58,ABS(O2085)*'Progetto del paramento slu'!$G$54,'Progetto del paramento slu'!$G$53)</f>
        <v>214662102.55225509</v>
      </c>
      <c r="J2085" s="479">
        <f t="shared" si="152"/>
        <v>359252028.15097004</v>
      </c>
      <c r="K2085" s="558">
        <f>'Progetto del paramento slu'!$G$60*(sezione!$AL$35-C2085)/C2085</f>
        <v>3.6845310952732272E-3</v>
      </c>
      <c r="L2085" s="558">
        <f>'Progetto del paramento slu'!$G$60*(sezione!$AM$35-C2085)/C2085</f>
        <v>2.3441991607274601E-2</v>
      </c>
      <c r="M2085" s="559">
        <f>'Progetto del paramento slu'!$G$60*(sezione!$AN$35-C2085)/C2085</f>
        <v>4.3199452119275977E-2</v>
      </c>
      <c r="N2085" s="559">
        <f>'Progetto del paramento slu'!$G$60*(sezione!$AO$35-C2085)/C2085</f>
        <v>5.7568514309822426E-2</v>
      </c>
      <c r="O2085" s="559">
        <f>'Progetto del paramento slu'!$G$60*(sezione!$AP$35-C2085)/C2085</f>
        <v>4.320088557139351E-2</v>
      </c>
      <c r="P2085" s="553">
        <f>-'Progetto del paramento slu'!$G$47*'Progetto del paramento slu'!$G$41*IF(DATI!$G$218="dx",DATI!$E$61,DATI!$E$64*DATI!$E$63)*1000*C2085*sezione!$AD$5</f>
        <v>-274676.88201646664</v>
      </c>
      <c r="Q2085" s="553">
        <f>'Foglio deposito bis'!$F$78*IF(ABS(K2085)&lt;'Progetto del paramento slu'!$G$58,ABS(K2085)*'Progetto del paramento slu'!$G$54,'Progetto del paramento slu'!$G$53)*IF(K2085&lt;0,-1,1)</f>
        <v>0</v>
      </c>
      <c r="R2085" s="553">
        <f>'Foglio deposito bis'!$F$79*IF(ABS(L2085)&lt;'Progetto del paramento slu'!$G$58,ABS(L2085)*'Progetto del paramento slu'!$G$54,'Progetto del paramento slu'!$G$53)*IF(L2085&lt;0,-1,1)</f>
        <v>153664.85805602249</v>
      </c>
      <c r="S2085" s="553">
        <f>'Foglio deposito bis'!$F$80*IF(ABS(M2085)&lt;'Progetto del paramento slu'!$G$58,ABS(M2085)*'Progetto del paramento slu'!$G$54,'Progetto del paramento slu'!$G$53)*IF(M2085&lt;0,-1,1)</f>
        <v>0</v>
      </c>
      <c r="T2085" s="553">
        <f>'Foglio deposito bis'!$F$81*IF(ABS(N2085)&lt;'Progetto del paramento slu'!$G$58,ABS(N2085)*'Progetto del paramento slu'!$G$54,'Progetto del paramento slu'!$G$53)*IF(N2085&lt;0,-1,1)</f>
        <v>398299.31208121032</v>
      </c>
      <c r="U2085" s="553">
        <f>'Foglio deposito bis'!$F$82*IF(ABS(O2085)&lt;'Progetto del paramento slu'!$G$58,ABS(O2085)*'Progetto del paramento slu'!$G$54,'Progetto del paramento slu'!$G$53)*IF(O2085&lt;0,-1,1)</f>
        <v>892485.49558937876</v>
      </c>
      <c r="V2085" s="479">
        <f t="shared" si="154"/>
        <v>1169772.7837101449</v>
      </c>
      <c r="W2085" s="559"/>
      <c r="X2085" s="559"/>
    </row>
    <row r="2086" spans="1:24" x14ac:dyDescent="0.25">
      <c r="A2086" s="553">
        <f t="shared" si="153"/>
        <v>1166911.5661891401</v>
      </c>
      <c r="B2086" s="3">
        <f t="shared" si="155"/>
        <v>4.8499999999999908</v>
      </c>
      <c r="C2086" s="553">
        <f>'Foglio deposito bis'!$E$161/sezione!$B$247*B2086</f>
        <v>19.689292377953539</v>
      </c>
      <c r="D2086" s="611">
        <f>-'Progetto del paramento slu'!$G$47*'Progetto del paramento slu'!$G$41*IF(DATI!$G$218="dx",DATI!$E$61,DATI!$E$64*DATI!$E$63)*1000*C2086^2*sezione!$AD$5*(1-sezione!$AD$6)</f>
        <v>-3191284.8120838716</v>
      </c>
      <c r="E2086" s="553">
        <f>-'Foglio deposito bis'!$F$78*(C2086-sezione!$AL$35)*IF(ABS(K2086)&lt;'Progetto del paramento slu'!$G$58,ABS(K2086)*'Progetto del paramento slu'!$G$54,'Progetto del paramento slu'!$G$53)</f>
        <v>0</v>
      </c>
      <c r="F2086" s="553">
        <f>-'Foglio deposito bis'!$F$79*(C2086-sezione!$AM$35)*IF(ABS(L2086)&lt;'Progetto del paramento slu'!$G$58,ABS(L2086)*'Progetto del paramento slu'!$G$54,'Progetto del paramento slu'!$G$53)</f>
        <v>20024176.389921617</v>
      </c>
      <c r="G2086" s="553">
        <f>-'Foglio deposito bis'!$F$80*(C2086-sezione!$AN$35)*IF(ABS(M2086)&lt;'Progetto del paramento slu'!$G$58,ABS(M2086)*'Progetto del paramento slu'!$G$54,'Progetto del paramento slu'!$G$53)</f>
        <v>0</v>
      </c>
      <c r="H2086" s="553">
        <f>-'Foglio deposito bis'!$F$81*(C2086-sezione!$AO$35)*IF(ABS(N2086)&lt;'Progetto del paramento slu'!$G$58,ABS(N2086)*'Progetto del paramento slu'!$G$54,'Progetto del paramento slu'!$G$53)</f>
        <v>127579534.49810678</v>
      </c>
      <c r="I2086" s="479">
        <f>-'Foglio deposito bis'!$F$82*(C2086-sezione!$AP$35)*IF(ABS(O2086)&lt;'Progetto del paramento slu'!$G$58,ABS(O2086)*'Progetto del paramento slu'!$G$54,'Progetto del paramento slu'!$G$53)</f>
        <v>214480943.70827839</v>
      </c>
      <c r="J2086" s="479">
        <f t="shared" si="152"/>
        <v>358893369.7842229</v>
      </c>
      <c r="K2086" s="558">
        <f>'Progetto del paramento slu'!$G$60*(sezione!$AL$35-C2086)/C2086</f>
        <v>3.6104637643941213E-3</v>
      </c>
      <c r="L2086" s="558">
        <f>'Progetto del paramento slu'!$G$60*(sezione!$AM$35-C2086)/C2086</f>
        <v>2.3164239116477955E-2</v>
      </c>
      <c r="M2086" s="559">
        <f>'Progetto del paramento slu'!$G$60*(sezione!$AN$35-C2086)/C2086</f>
        <v>4.2718014468561792E-2</v>
      </c>
      <c r="N2086" s="559">
        <f>'Progetto del paramento slu'!$G$60*(sezione!$AO$35-C2086)/C2086</f>
        <v>5.6938941997350029E-2</v>
      </c>
      <c r="O2086" s="559">
        <f>'Progetto del paramento slu'!$G$60*(sezione!$AP$35-C2086)/C2086</f>
        <v>4.2719433142822442E-2</v>
      </c>
      <c r="P2086" s="553">
        <f>-'Progetto del paramento slu'!$G$47*'Progetto del paramento slu'!$G$41*IF(DATI!$G$218="dx",DATI!$E$61,DATI!$E$64*DATI!$E$63)*1000*C2086*sezione!$AD$5</f>
        <v>-277538.09953747148</v>
      </c>
      <c r="Q2086" s="553">
        <f>'Foglio deposito bis'!$F$78*IF(ABS(K2086)&lt;'Progetto del paramento slu'!$G$58,ABS(K2086)*'Progetto del paramento slu'!$G$54,'Progetto del paramento slu'!$G$53)*IF(K2086&lt;0,-1,1)</f>
        <v>0</v>
      </c>
      <c r="R2086" s="553">
        <f>'Foglio deposito bis'!$F$79*IF(ABS(L2086)&lt;'Progetto del paramento slu'!$G$58,ABS(L2086)*'Progetto del paramento slu'!$G$54,'Progetto del paramento slu'!$G$53)*IF(L2086&lt;0,-1,1)</f>
        <v>153664.85805602249</v>
      </c>
      <c r="S2086" s="553">
        <f>'Foglio deposito bis'!$F$80*IF(ABS(M2086)&lt;'Progetto del paramento slu'!$G$58,ABS(M2086)*'Progetto del paramento slu'!$G$54,'Progetto del paramento slu'!$G$53)*IF(M2086&lt;0,-1,1)</f>
        <v>0</v>
      </c>
      <c r="T2086" s="553">
        <f>'Foglio deposito bis'!$F$81*IF(ABS(N2086)&lt;'Progetto del paramento slu'!$G$58,ABS(N2086)*'Progetto del paramento slu'!$G$54,'Progetto del paramento slu'!$G$53)*IF(N2086&lt;0,-1,1)</f>
        <v>398299.31208121032</v>
      </c>
      <c r="U2086" s="553">
        <f>'Foglio deposito bis'!$F$82*IF(ABS(O2086)&lt;'Progetto del paramento slu'!$G$58,ABS(O2086)*'Progetto del paramento slu'!$G$54,'Progetto del paramento slu'!$G$53)*IF(O2086&lt;0,-1,1)</f>
        <v>892485.49558937876</v>
      </c>
      <c r="V2086" s="479">
        <f t="shared" si="154"/>
        <v>1166911.5661891401</v>
      </c>
      <c r="W2086" s="559"/>
      <c r="X2086" s="559"/>
    </row>
    <row r="2087" spans="1:24" x14ac:dyDescent="0.25">
      <c r="A2087" s="553">
        <f t="shared" si="153"/>
        <v>1164050.3486681352</v>
      </c>
      <c r="B2087" s="3">
        <f t="shared" si="155"/>
        <v>4.8999999999999906</v>
      </c>
      <c r="C2087" s="553">
        <f>'Foglio deposito bis'!$E$161/sezione!$B$247*B2087</f>
        <v>19.892274773602544</v>
      </c>
      <c r="D2087" s="611">
        <f>-'Progetto del paramento slu'!$G$47*'Progetto del paramento slu'!$G$41*IF(DATI!$G$218="dx",DATI!$E$61,DATI!$E$64*DATI!$E$63)*1000*C2087^2*sezione!$AD$5*(1-sezione!$AD$6)</f>
        <v>-3257423.6725745043</v>
      </c>
      <c r="E2087" s="553">
        <f>-'Foglio deposito bis'!$F$78*(C2087-sezione!$AL$35)*IF(ABS(K2087)&lt;'Progetto del paramento slu'!$G$58,ABS(K2087)*'Progetto del paramento slu'!$G$54,'Progetto del paramento slu'!$G$53)</f>
        <v>0</v>
      </c>
      <c r="F2087" s="553">
        <f>-'Foglio deposito bis'!$F$79*(C2087-sezione!$AM$35)*IF(ABS(L2087)&lt;'Progetto del paramento slu'!$G$58,ABS(L2087)*'Progetto del paramento slu'!$G$54,'Progetto del paramento slu'!$G$53)</f>
        <v>19992985.128906343</v>
      </c>
      <c r="G2087" s="553">
        <f>-'Foglio deposito bis'!$F$80*(C2087-sezione!$AN$35)*IF(ABS(M2087)&lt;'Progetto del paramento slu'!$G$58,ABS(M2087)*'Progetto del paramento slu'!$G$54,'Progetto del paramento slu'!$G$53)</f>
        <v>0</v>
      </c>
      <c r="H2087" s="553">
        <f>-'Foglio deposito bis'!$F$81*(C2087-sezione!$AO$35)*IF(ABS(N2087)&lt;'Progetto del paramento slu'!$G$58,ABS(N2087)*'Progetto del paramento slu'!$G$54,'Progetto del paramento slu'!$G$53)</f>
        <v>127498686.7495552</v>
      </c>
      <c r="I2087" s="479">
        <f>-'Foglio deposito bis'!$F$82*(C2087-sezione!$AP$35)*IF(ABS(O2087)&lt;'Progetto del paramento slu'!$G$58,ABS(O2087)*'Progetto del paramento slu'!$G$54,'Progetto del paramento slu'!$G$53)</f>
        <v>214299784.86430168</v>
      </c>
      <c r="J2087" s="479">
        <f t="shared" si="152"/>
        <v>358534033.07018876</v>
      </c>
      <c r="K2087" s="558">
        <f>'Progetto del paramento slu'!$G$60*(sezione!$AL$35-C2087)/C2087</f>
        <v>3.5379080116962223E-3</v>
      </c>
      <c r="L2087" s="558">
        <f>'Progetto del paramento slu'!$G$60*(sezione!$AM$35-C2087)/C2087</f>
        <v>2.2892155043860836E-2</v>
      </c>
      <c r="M2087" s="559">
        <f>'Progetto del paramento slu'!$G$60*(sezione!$AN$35-C2087)/C2087</f>
        <v>4.2246402076025445E-2</v>
      </c>
      <c r="N2087" s="559">
        <f>'Progetto del paramento slu'!$G$60*(sezione!$AO$35-C2087)/C2087</f>
        <v>5.6322218099417891E-2</v>
      </c>
      <c r="O2087" s="559">
        <f>'Progetto del paramento slu'!$G$60*(sezione!$AP$35-C2087)/C2087</f>
        <v>4.2247806274018126E-2</v>
      </c>
      <c r="P2087" s="553">
        <f>-'Progetto del paramento slu'!$G$47*'Progetto del paramento slu'!$G$41*IF(DATI!$G$218="dx",DATI!$E$61,DATI!$E$64*DATI!$E$63)*1000*C2087*sezione!$AD$5</f>
        <v>-280399.31705847639</v>
      </c>
      <c r="Q2087" s="553">
        <f>'Foglio deposito bis'!$F$78*IF(ABS(K2087)&lt;'Progetto del paramento slu'!$G$58,ABS(K2087)*'Progetto del paramento slu'!$G$54,'Progetto del paramento slu'!$G$53)*IF(K2087&lt;0,-1,1)</f>
        <v>0</v>
      </c>
      <c r="R2087" s="553">
        <f>'Foglio deposito bis'!$F$79*IF(ABS(L2087)&lt;'Progetto del paramento slu'!$G$58,ABS(L2087)*'Progetto del paramento slu'!$G$54,'Progetto del paramento slu'!$G$53)*IF(L2087&lt;0,-1,1)</f>
        <v>153664.85805602249</v>
      </c>
      <c r="S2087" s="553">
        <f>'Foglio deposito bis'!$F$80*IF(ABS(M2087)&lt;'Progetto del paramento slu'!$G$58,ABS(M2087)*'Progetto del paramento slu'!$G$54,'Progetto del paramento slu'!$G$53)*IF(M2087&lt;0,-1,1)</f>
        <v>0</v>
      </c>
      <c r="T2087" s="553">
        <f>'Foglio deposito bis'!$F$81*IF(ABS(N2087)&lt;'Progetto del paramento slu'!$G$58,ABS(N2087)*'Progetto del paramento slu'!$G$54,'Progetto del paramento slu'!$G$53)*IF(N2087&lt;0,-1,1)</f>
        <v>398299.31208121032</v>
      </c>
      <c r="U2087" s="553">
        <f>'Foglio deposito bis'!$F$82*IF(ABS(O2087)&lt;'Progetto del paramento slu'!$G$58,ABS(O2087)*'Progetto del paramento slu'!$G$54,'Progetto del paramento slu'!$G$53)*IF(O2087&lt;0,-1,1)</f>
        <v>892485.49558937876</v>
      </c>
      <c r="V2087" s="479">
        <f t="shared" si="154"/>
        <v>1164050.3486681352</v>
      </c>
      <c r="W2087" s="559"/>
      <c r="X2087" s="559"/>
    </row>
    <row r="2088" spans="1:24" x14ac:dyDescent="0.25">
      <c r="A2088" s="553">
        <f t="shared" si="153"/>
        <v>1161189.1311471304</v>
      </c>
      <c r="B2088" s="3">
        <f t="shared" si="155"/>
        <v>4.9499999999999904</v>
      </c>
      <c r="C2088" s="553">
        <f>'Foglio deposito bis'!$E$161/sezione!$B$247*B2088</f>
        <v>20.09525716925155</v>
      </c>
      <c r="D2088" s="611">
        <f>-'Progetto del paramento slu'!$G$47*'Progetto del paramento slu'!$G$41*IF(DATI!$G$218="dx",DATI!$E$61,DATI!$E$64*DATI!$E$63)*1000*C2088^2*sezione!$AD$5*(1-sezione!$AD$6)</f>
        <v>-3324240.8803522191</v>
      </c>
      <c r="E2088" s="553">
        <f>-'Foglio deposito bis'!$F$78*(C2088-sezione!$AL$35)*IF(ABS(K2088)&lt;'Progetto del paramento slu'!$G$58,ABS(K2088)*'Progetto del paramento slu'!$G$54,'Progetto del paramento slu'!$G$53)</f>
        <v>0</v>
      </c>
      <c r="F2088" s="553">
        <f>-'Foglio deposito bis'!$F$79*(C2088-sezione!$AM$35)*IF(ABS(L2088)&lt;'Progetto del paramento slu'!$G$58,ABS(L2088)*'Progetto del paramento slu'!$G$54,'Progetto del paramento slu'!$G$53)</f>
        <v>19961793.86789107</v>
      </c>
      <c r="G2088" s="553">
        <f>-'Foglio deposito bis'!$F$80*(C2088-sezione!$AN$35)*IF(ABS(M2088)&lt;'Progetto del paramento slu'!$G$58,ABS(M2088)*'Progetto del paramento slu'!$G$54,'Progetto del paramento slu'!$G$53)</f>
        <v>0</v>
      </c>
      <c r="H2088" s="553">
        <f>-'Foglio deposito bis'!$F$81*(C2088-sezione!$AO$35)*IF(ABS(N2088)&lt;'Progetto del paramento slu'!$G$58,ABS(N2088)*'Progetto del paramento slu'!$G$54,'Progetto del paramento slu'!$G$53)</f>
        <v>127417839.00100359</v>
      </c>
      <c r="I2088" s="479">
        <f>-'Foglio deposito bis'!$F$82*(C2088-sezione!$AP$35)*IF(ABS(O2088)&lt;'Progetto del paramento slu'!$G$58,ABS(O2088)*'Progetto del paramento slu'!$G$54,'Progetto del paramento slu'!$G$53)</f>
        <v>214118626.02032495</v>
      </c>
      <c r="J2088" s="479">
        <f t="shared" si="152"/>
        <v>358174018.00886738</v>
      </c>
      <c r="K2088" s="558">
        <f>'Progetto del paramento slu'!$G$60*(sezione!$AL$35-C2088)/C2088</f>
        <v>3.4668180317800985E-3</v>
      </c>
      <c r="L2088" s="558">
        <f>'Progetto del paramento slu'!$G$60*(sezione!$AM$35-C2088)/C2088</f>
        <v>2.262556761917537E-2</v>
      </c>
      <c r="M2088" s="559">
        <f>'Progetto del paramento slu'!$G$60*(sezione!$AN$35-C2088)/C2088</f>
        <v>4.1784317206570644E-2</v>
      </c>
      <c r="N2088" s="559">
        <f>'Progetto del paramento slu'!$G$60*(sezione!$AO$35-C2088)/C2088</f>
        <v>5.5717953270130842E-2</v>
      </c>
      <c r="O2088" s="559">
        <f>'Progetto del paramento slu'!$G$60*(sezione!$AP$35-C2088)/C2088</f>
        <v>4.1785707220745219E-2</v>
      </c>
      <c r="P2088" s="553">
        <f>-'Progetto del paramento slu'!$G$47*'Progetto del paramento slu'!$G$41*IF(DATI!$G$218="dx",DATI!$E$61,DATI!$E$64*DATI!$E$63)*1000*C2088*sezione!$AD$5</f>
        <v>-283260.53457948123</v>
      </c>
      <c r="Q2088" s="553">
        <f>'Foglio deposito bis'!$F$78*IF(ABS(K2088)&lt;'Progetto del paramento slu'!$G$58,ABS(K2088)*'Progetto del paramento slu'!$G$54,'Progetto del paramento slu'!$G$53)*IF(K2088&lt;0,-1,1)</f>
        <v>0</v>
      </c>
      <c r="R2088" s="553">
        <f>'Foglio deposito bis'!$F$79*IF(ABS(L2088)&lt;'Progetto del paramento slu'!$G$58,ABS(L2088)*'Progetto del paramento slu'!$G$54,'Progetto del paramento slu'!$G$53)*IF(L2088&lt;0,-1,1)</f>
        <v>153664.85805602249</v>
      </c>
      <c r="S2088" s="553">
        <f>'Foglio deposito bis'!$F$80*IF(ABS(M2088)&lt;'Progetto del paramento slu'!$G$58,ABS(M2088)*'Progetto del paramento slu'!$G$54,'Progetto del paramento slu'!$G$53)*IF(M2088&lt;0,-1,1)</f>
        <v>0</v>
      </c>
      <c r="T2088" s="553">
        <f>'Foglio deposito bis'!$F$81*IF(ABS(N2088)&lt;'Progetto del paramento slu'!$G$58,ABS(N2088)*'Progetto del paramento slu'!$G$54,'Progetto del paramento slu'!$G$53)*IF(N2088&lt;0,-1,1)</f>
        <v>398299.31208121032</v>
      </c>
      <c r="U2088" s="553">
        <f>'Foglio deposito bis'!$F$82*IF(ABS(O2088)&lt;'Progetto del paramento slu'!$G$58,ABS(O2088)*'Progetto del paramento slu'!$G$54,'Progetto del paramento slu'!$G$53)*IF(O2088&lt;0,-1,1)</f>
        <v>892485.49558937876</v>
      </c>
      <c r="V2088" s="479">
        <f t="shared" si="154"/>
        <v>1161189.1311471304</v>
      </c>
      <c r="W2088" s="559"/>
      <c r="X2088" s="559"/>
    </row>
    <row r="2089" spans="1:24" x14ac:dyDescent="0.25">
      <c r="A2089" s="553">
        <f t="shared" si="153"/>
        <v>1158327.9136261255</v>
      </c>
      <c r="B2089" s="3">
        <f t="shared" si="155"/>
        <v>4.9999999999999902</v>
      </c>
      <c r="C2089" s="553">
        <f>'Foglio deposito bis'!$E$161/sezione!$B$247*B2089</f>
        <v>20.298239564900555</v>
      </c>
      <c r="D2089" s="611">
        <f>-'Progetto del paramento slu'!$G$47*'Progetto del paramento slu'!$G$41*IF(DATI!$G$218="dx",DATI!$E$61,DATI!$E$64*DATI!$E$63)*1000*C2089^2*sezione!$AD$5*(1-sezione!$AD$6)</f>
        <v>-3391736.4354170174</v>
      </c>
      <c r="E2089" s="553">
        <f>-'Foglio deposito bis'!$F$78*(C2089-sezione!$AL$35)*IF(ABS(K2089)&lt;'Progetto del paramento slu'!$G$58,ABS(K2089)*'Progetto del paramento slu'!$G$54,'Progetto del paramento slu'!$G$53)</f>
        <v>0</v>
      </c>
      <c r="F2089" s="553">
        <f>-'Foglio deposito bis'!$F$79*(C2089-sezione!$AM$35)*IF(ABS(L2089)&lt;'Progetto del paramento slu'!$G$58,ABS(L2089)*'Progetto del paramento slu'!$G$54,'Progetto del paramento slu'!$G$53)</f>
        <v>19930602.606875792</v>
      </c>
      <c r="G2089" s="553">
        <f>-'Foglio deposito bis'!$F$80*(C2089-sezione!$AN$35)*IF(ABS(M2089)&lt;'Progetto del paramento slu'!$G$58,ABS(M2089)*'Progetto del paramento slu'!$G$54,'Progetto del paramento slu'!$G$53)</f>
        <v>0</v>
      </c>
      <c r="H2089" s="553">
        <f>-'Foglio deposito bis'!$F$81*(C2089-sezione!$AO$35)*IF(ABS(N2089)&lt;'Progetto del paramento slu'!$G$58,ABS(N2089)*'Progetto del paramento slu'!$G$54,'Progetto del paramento slu'!$G$53)</f>
        <v>127336991.25245202</v>
      </c>
      <c r="I2089" s="479">
        <f>-'Foglio deposito bis'!$F$82*(C2089-sezione!$AP$35)*IF(ABS(O2089)&lt;'Progetto del paramento slu'!$G$58,ABS(O2089)*'Progetto del paramento slu'!$G$54,'Progetto del paramento slu'!$G$53)</f>
        <v>213937467.17634824</v>
      </c>
      <c r="J2089" s="479">
        <f t="shared" si="152"/>
        <v>357813324.60025907</v>
      </c>
      <c r="K2089" s="558">
        <f>'Progetto del paramento slu'!$G$60*(sezione!$AL$35-C2089)/C2089</f>
        <v>3.3971498514622977E-3</v>
      </c>
      <c r="L2089" s="558">
        <f>'Progetto del paramento slu'!$G$60*(sezione!$AM$35-C2089)/C2089</f>
        <v>2.236431194298362E-2</v>
      </c>
      <c r="M2089" s="559">
        <f>'Progetto del paramento slu'!$G$60*(sezione!$AN$35-C2089)/C2089</f>
        <v>4.1331474034504941E-2</v>
      </c>
      <c r="N2089" s="559">
        <f>'Progetto del paramento slu'!$G$60*(sezione!$AO$35-C2089)/C2089</f>
        <v>5.512577373742953E-2</v>
      </c>
      <c r="O2089" s="559">
        <f>'Progetto del paramento slu'!$G$60*(sezione!$AP$35-C2089)/C2089</f>
        <v>4.133285014853777E-2</v>
      </c>
      <c r="P2089" s="553">
        <f>-'Progetto del paramento slu'!$G$47*'Progetto del paramento slu'!$G$41*IF(DATI!$G$218="dx",DATI!$E$61,DATI!$E$64*DATI!$E$63)*1000*C2089*sezione!$AD$5</f>
        <v>-286121.75210048608</v>
      </c>
      <c r="Q2089" s="553">
        <f>'Foglio deposito bis'!$F$78*IF(ABS(K2089)&lt;'Progetto del paramento slu'!$G$58,ABS(K2089)*'Progetto del paramento slu'!$G$54,'Progetto del paramento slu'!$G$53)*IF(K2089&lt;0,-1,1)</f>
        <v>0</v>
      </c>
      <c r="R2089" s="553">
        <f>'Foglio deposito bis'!$F$79*IF(ABS(L2089)&lt;'Progetto del paramento slu'!$G$58,ABS(L2089)*'Progetto del paramento slu'!$G$54,'Progetto del paramento slu'!$G$53)*IF(L2089&lt;0,-1,1)</f>
        <v>153664.85805602249</v>
      </c>
      <c r="S2089" s="553">
        <f>'Foglio deposito bis'!$F$80*IF(ABS(M2089)&lt;'Progetto del paramento slu'!$G$58,ABS(M2089)*'Progetto del paramento slu'!$G$54,'Progetto del paramento slu'!$G$53)*IF(M2089&lt;0,-1,1)</f>
        <v>0</v>
      </c>
      <c r="T2089" s="553">
        <f>'Foglio deposito bis'!$F$81*IF(ABS(N2089)&lt;'Progetto del paramento slu'!$G$58,ABS(N2089)*'Progetto del paramento slu'!$G$54,'Progetto del paramento slu'!$G$53)*IF(N2089&lt;0,-1,1)</f>
        <v>398299.31208121032</v>
      </c>
      <c r="U2089" s="553">
        <f>'Foglio deposito bis'!$F$82*IF(ABS(O2089)&lt;'Progetto del paramento slu'!$G$58,ABS(O2089)*'Progetto del paramento slu'!$G$54,'Progetto del paramento slu'!$G$53)*IF(O2089&lt;0,-1,1)</f>
        <v>892485.49558937876</v>
      </c>
      <c r="V2089" s="479">
        <f t="shared" si="154"/>
        <v>1158327.9136261255</v>
      </c>
      <c r="W2089" s="559"/>
      <c r="X2089" s="559"/>
    </row>
    <row r="2090" spans="1:24" x14ac:dyDescent="0.25">
      <c r="A2090" s="553">
        <f t="shared" si="153"/>
        <v>1155466.6961051207</v>
      </c>
      <c r="B2090" s="3">
        <f t="shared" si="155"/>
        <v>5.0499999999999901</v>
      </c>
      <c r="C2090" s="553">
        <f>'Foglio deposito bis'!$E$161/sezione!$B$247*B2090</f>
        <v>20.501221960549561</v>
      </c>
      <c r="D2090" s="611">
        <f>-'Progetto del paramento slu'!$G$47*'Progetto del paramento slu'!$G$41*IF(DATI!$G$218="dx",DATI!$E$61,DATI!$E$64*DATI!$E$63)*1000*C2090^2*sezione!$AD$5*(1-sezione!$AD$6)</f>
        <v>-3459910.3377688993</v>
      </c>
      <c r="E2090" s="553">
        <f>-'Foglio deposito bis'!$F$78*(C2090-sezione!$AL$35)*IF(ABS(K2090)&lt;'Progetto del paramento slu'!$G$58,ABS(K2090)*'Progetto del paramento slu'!$G$54,'Progetto del paramento slu'!$G$53)</f>
        <v>0</v>
      </c>
      <c r="F2090" s="553">
        <f>-'Foglio deposito bis'!$F$79*(C2090-sezione!$AM$35)*IF(ABS(L2090)&lt;'Progetto del paramento slu'!$G$58,ABS(L2090)*'Progetto del paramento slu'!$G$54,'Progetto del paramento slu'!$G$53)</f>
        <v>19899411.345860515</v>
      </c>
      <c r="G2090" s="553">
        <f>-'Foglio deposito bis'!$F$80*(C2090-sezione!$AN$35)*IF(ABS(M2090)&lt;'Progetto del paramento slu'!$G$58,ABS(M2090)*'Progetto del paramento slu'!$G$54,'Progetto del paramento slu'!$G$53)</f>
        <v>0</v>
      </c>
      <c r="H2090" s="553">
        <f>-'Foglio deposito bis'!$F$81*(C2090-sezione!$AO$35)*IF(ABS(N2090)&lt;'Progetto del paramento slu'!$G$58,ABS(N2090)*'Progetto del paramento slu'!$G$54,'Progetto del paramento slu'!$G$53)</f>
        <v>127256143.50390042</v>
      </c>
      <c r="I2090" s="479">
        <f>-'Foglio deposito bis'!$F$82*(C2090-sezione!$AP$35)*IF(ABS(O2090)&lt;'Progetto del paramento slu'!$G$58,ABS(O2090)*'Progetto del paramento slu'!$G$54,'Progetto del paramento slu'!$G$53)</f>
        <v>213756308.3323715</v>
      </c>
      <c r="J2090" s="479">
        <f t="shared" si="152"/>
        <v>357451952.84436357</v>
      </c>
      <c r="K2090" s="558">
        <f>'Progetto del paramento slu'!$G$60*(sezione!$AL$35-C2090)/C2090</f>
        <v>3.3288612390715822E-3</v>
      </c>
      <c r="L2090" s="558">
        <f>'Progetto del paramento slu'!$G$60*(sezione!$AM$35-C2090)/C2090</f>
        <v>2.2108229646518429E-2</v>
      </c>
      <c r="M2090" s="559">
        <f>'Progetto del paramento slu'!$G$60*(sezione!$AN$35-C2090)/C2090</f>
        <v>4.0887598053965281E-2</v>
      </c>
      <c r="N2090" s="559">
        <f>'Progetto del paramento slu'!$G$60*(sezione!$AO$35-C2090)/C2090</f>
        <v>5.4545320532108442E-2</v>
      </c>
      <c r="O2090" s="559">
        <f>'Progetto del paramento slu'!$G$60*(sezione!$AP$35-C2090)/C2090</f>
        <v>4.08889605431067E-2</v>
      </c>
      <c r="P2090" s="553">
        <f>-'Progetto del paramento slu'!$G$47*'Progetto del paramento slu'!$G$41*IF(DATI!$G$218="dx",DATI!$E$61,DATI!$E$64*DATI!$E$63)*1000*C2090*sezione!$AD$5</f>
        <v>-288982.96962149098</v>
      </c>
      <c r="Q2090" s="553">
        <f>'Foglio deposito bis'!$F$78*IF(ABS(K2090)&lt;'Progetto del paramento slu'!$G$58,ABS(K2090)*'Progetto del paramento slu'!$G$54,'Progetto del paramento slu'!$G$53)*IF(K2090&lt;0,-1,1)</f>
        <v>0</v>
      </c>
      <c r="R2090" s="553">
        <f>'Foglio deposito bis'!$F$79*IF(ABS(L2090)&lt;'Progetto del paramento slu'!$G$58,ABS(L2090)*'Progetto del paramento slu'!$G$54,'Progetto del paramento slu'!$G$53)*IF(L2090&lt;0,-1,1)</f>
        <v>153664.85805602249</v>
      </c>
      <c r="S2090" s="553">
        <f>'Foglio deposito bis'!$F$80*IF(ABS(M2090)&lt;'Progetto del paramento slu'!$G$58,ABS(M2090)*'Progetto del paramento slu'!$G$54,'Progetto del paramento slu'!$G$53)*IF(M2090&lt;0,-1,1)</f>
        <v>0</v>
      </c>
      <c r="T2090" s="553">
        <f>'Foglio deposito bis'!$F$81*IF(ABS(N2090)&lt;'Progetto del paramento slu'!$G$58,ABS(N2090)*'Progetto del paramento slu'!$G$54,'Progetto del paramento slu'!$G$53)*IF(N2090&lt;0,-1,1)</f>
        <v>398299.31208121032</v>
      </c>
      <c r="U2090" s="553">
        <f>'Foglio deposito bis'!$F$82*IF(ABS(O2090)&lt;'Progetto del paramento slu'!$G$58,ABS(O2090)*'Progetto del paramento slu'!$G$54,'Progetto del paramento slu'!$G$53)*IF(O2090&lt;0,-1,1)</f>
        <v>892485.49558937876</v>
      </c>
      <c r="V2090" s="479">
        <f t="shared" si="154"/>
        <v>1155466.6961051207</v>
      </c>
      <c r="W2090" s="559"/>
      <c r="X2090" s="559"/>
    </row>
    <row r="2091" spans="1:24" x14ac:dyDescent="0.25">
      <c r="A2091" s="553">
        <f t="shared" si="153"/>
        <v>1152605.4785841159</v>
      </c>
      <c r="B2091" s="3">
        <f t="shared" si="155"/>
        <v>5.0999999999999899</v>
      </c>
      <c r="C2091" s="553">
        <f>'Foglio deposito bis'!$E$161/sezione!$B$247*B2091</f>
        <v>20.704204356198566</v>
      </c>
      <c r="D2091" s="611">
        <f>-'Progetto del paramento slu'!$G$47*'Progetto del paramento slu'!$G$41*IF(DATI!$G$218="dx",DATI!$E$61,DATI!$E$64*DATI!$E$63)*1000*C2091^2*sezione!$AD$5*(1-sezione!$AD$6)</f>
        <v>-3528762.5874078651</v>
      </c>
      <c r="E2091" s="553">
        <f>-'Foglio deposito bis'!$F$78*(C2091-sezione!$AL$35)*IF(ABS(K2091)&lt;'Progetto del paramento slu'!$G$58,ABS(K2091)*'Progetto del paramento slu'!$G$54,'Progetto del paramento slu'!$G$53)</f>
        <v>0</v>
      </c>
      <c r="F2091" s="553">
        <f>-'Foglio deposito bis'!$F$79*(C2091-sezione!$AM$35)*IF(ABS(L2091)&lt;'Progetto del paramento slu'!$G$58,ABS(L2091)*'Progetto del paramento slu'!$G$54,'Progetto del paramento slu'!$G$53)</f>
        <v>19868220.084845237</v>
      </c>
      <c r="G2091" s="553">
        <f>-'Foglio deposito bis'!$F$80*(C2091-sezione!$AN$35)*IF(ABS(M2091)&lt;'Progetto del paramento slu'!$G$58,ABS(M2091)*'Progetto del paramento slu'!$G$54,'Progetto del paramento slu'!$G$53)</f>
        <v>0</v>
      </c>
      <c r="H2091" s="553">
        <f>-'Foglio deposito bis'!$F$81*(C2091-sezione!$AO$35)*IF(ABS(N2091)&lt;'Progetto del paramento slu'!$G$58,ABS(N2091)*'Progetto del paramento slu'!$G$54,'Progetto del paramento slu'!$G$53)</f>
        <v>127175295.75534882</v>
      </c>
      <c r="I2091" s="479">
        <f>-'Foglio deposito bis'!$F$82*(C2091-sezione!$AP$35)*IF(ABS(O2091)&lt;'Progetto del paramento slu'!$G$58,ABS(O2091)*'Progetto del paramento slu'!$G$54,'Progetto del paramento slu'!$G$53)</f>
        <v>213575149.48839477</v>
      </c>
      <c r="J2091" s="479">
        <f t="shared" si="152"/>
        <v>357089902.74118096</v>
      </c>
      <c r="K2091" s="558">
        <f>'Progetto del paramento slu'!$G$60*(sezione!$AL$35-C2091)/C2091</f>
        <v>3.261911619080684E-3</v>
      </c>
      <c r="L2091" s="558">
        <f>'Progetto del paramento slu'!$G$60*(sezione!$AM$35-C2091)/C2091</f>
        <v>2.1857168571552565E-2</v>
      </c>
      <c r="M2091" s="559">
        <f>'Progetto del paramento slu'!$G$60*(sezione!$AN$35-C2091)/C2091</f>
        <v>4.0452425524024442E-2</v>
      </c>
      <c r="N2091" s="559">
        <f>'Progetto del paramento slu'!$G$60*(sezione!$AO$35-C2091)/C2091</f>
        <v>5.3976248762185819E-2</v>
      </c>
      <c r="O2091" s="559">
        <f>'Progetto del paramento slu'!$G$60*(sezione!$AP$35-C2091)/C2091</f>
        <v>4.0453774655429181E-2</v>
      </c>
      <c r="P2091" s="553">
        <f>-'Progetto del paramento slu'!$G$47*'Progetto del paramento slu'!$G$41*IF(DATI!$G$218="dx",DATI!$E$61,DATI!$E$64*DATI!$E$63)*1000*C2091*sezione!$AD$5</f>
        <v>-291844.18714249582</v>
      </c>
      <c r="Q2091" s="553">
        <f>'Foglio deposito bis'!$F$78*IF(ABS(K2091)&lt;'Progetto del paramento slu'!$G$58,ABS(K2091)*'Progetto del paramento slu'!$G$54,'Progetto del paramento slu'!$G$53)*IF(K2091&lt;0,-1,1)</f>
        <v>0</v>
      </c>
      <c r="R2091" s="553">
        <f>'Foglio deposito bis'!$F$79*IF(ABS(L2091)&lt;'Progetto del paramento slu'!$G$58,ABS(L2091)*'Progetto del paramento slu'!$G$54,'Progetto del paramento slu'!$G$53)*IF(L2091&lt;0,-1,1)</f>
        <v>153664.85805602249</v>
      </c>
      <c r="S2091" s="553">
        <f>'Foglio deposito bis'!$F$80*IF(ABS(M2091)&lt;'Progetto del paramento slu'!$G$58,ABS(M2091)*'Progetto del paramento slu'!$G$54,'Progetto del paramento slu'!$G$53)*IF(M2091&lt;0,-1,1)</f>
        <v>0</v>
      </c>
      <c r="T2091" s="553">
        <f>'Foglio deposito bis'!$F$81*IF(ABS(N2091)&lt;'Progetto del paramento slu'!$G$58,ABS(N2091)*'Progetto del paramento slu'!$G$54,'Progetto del paramento slu'!$G$53)*IF(N2091&lt;0,-1,1)</f>
        <v>398299.31208121032</v>
      </c>
      <c r="U2091" s="553">
        <f>'Foglio deposito bis'!$F$82*IF(ABS(O2091)&lt;'Progetto del paramento slu'!$G$58,ABS(O2091)*'Progetto del paramento slu'!$G$54,'Progetto del paramento slu'!$G$53)*IF(O2091&lt;0,-1,1)</f>
        <v>892485.49558937876</v>
      </c>
      <c r="V2091" s="479">
        <f t="shared" si="154"/>
        <v>1152605.4785841159</v>
      </c>
      <c r="W2091" s="559"/>
      <c r="X2091" s="559"/>
    </row>
    <row r="2092" spans="1:24" x14ac:dyDescent="0.25">
      <c r="A2092" s="553">
        <f t="shared" si="153"/>
        <v>1141160.6085000962</v>
      </c>
      <c r="B2092" s="3">
        <f>B2091+0.2</f>
        <v>5.2999999999999901</v>
      </c>
      <c r="C2092" s="553">
        <f>'Foglio deposito bis'!$E$161/sezione!$B$247*B2092</f>
        <v>21.516133938794592</v>
      </c>
      <c r="D2092" s="611">
        <f>-'Progetto del paramento slu'!$G$47*'Progetto del paramento slu'!$G$41*IF(DATI!$G$218="dx",DATI!$E$61,DATI!$E$64*DATI!$E$63)*1000*C2092^2*sezione!$AD$5*(1-sezione!$AD$6)</f>
        <v>-3810955.0588345625</v>
      </c>
      <c r="E2092" s="553">
        <f>-'Foglio deposito bis'!$F$78*(C2092-sezione!$AL$35)*IF(ABS(K2092)&lt;'Progetto del paramento slu'!$G$58,ABS(K2092)*'Progetto del paramento slu'!$G$54,'Progetto del paramento slu'!$G$53)</f>
        <v>0</v>
      </c>
      <c r="F2092" s="553">
        <f>-'Foglio deposito bis'!$F$79*(C2092-sezione!$AM$35)*IF(ABS(L2092)&lt;'Progetto del paramento slu'!$G$58,ABS(L2092)*'Progetto del paramento slu'!$G$54,'Progetto del paramento slu'!$G$53)</f>
        <v>19743455.040784135</v>
      </c>
      <c r="G2092" s="553">
        <f>-'Foglio deposito bis'!$F$80*(C2092-sezione!$AN$35)*IF(ABS(M2092)&lt;'Progetto del paramento slu'!$G$58,ABS(M2092)*'Progetto del paramento slu'!$G$54,'Progetto del paramento slu'!$G$53)</f>
        <v>0</v>
      </c>
      <c r="H2092" s="553">
        <f>-'Foglio deposito bis'!$F$81*(C2092-sezione!$AO$35)*IF(ABS(N2092)&lt;'Progetto del paramento slu'!$G$58,ABS(N2092)*'Progetto del paramento slu'!$G$54,'Progetto del paramento slu'!$G$53)</f>
        <v>126851904.76114243</v>
      </c>
      <c r="I2092" s="479">
        <f>-'Foglio deposito bis'!$F$82*(C2092-sezione!$AP$35)*IF(ABS(O2092)&lt;'Progetto del paramento slu'!$G$58,ABS(O2092)*'Progetto del paramento slu'!$G$54,'Progetto del paramento slu'!$G$53)</f>
        <v>212850514.11248788</v>
      </c>
      <c r="J2092" s="479">
        <f t="shared" si="152"/>
        <v>355634918.85557985</v>
      </c>
      <c r="K2092" s="558">
        <f>'Progetto del paramento slu'!$G$60*(sezione!$AL$35-C2092)/C2092</f>
        <v>3.0067451428889592E-3</v>
      </c>
      <c r="L2092" s="558">
        <f>'Progetto del paramento slu'!$G$60*(sezione!$AM$35-C2092)/C2092</f>
        <v>2.0900294285833596E-2</v>
      </c>
      <c r="M2092" s="559">
        <f>'Progetto del paramento slu'!$G$60*(sezione!$AN$35-C2092)/C2092</f>
        <v>3.8793843428778237E-2</v>
      </c>
      <c r="N2092" s="559">
        <f>'Progetto del paramento slu'!$G$60*(sezione!$AO$35-C2092)/C2092</f>
        <v>5.1807333714556154E-2</v>
      </c>
      <c r="O2092" s="559">
        <f>'Progetto del paramento slu'!$G$60*(sezione!$AP$35-C2092)/C2092</f>
        <v>3.8795141649563929E-2</v>
      </c>
      <c r="P2092" s="553">
        <f>-'Progetto del paramento slu'!$G$47*'Progetto del paramento slu'!$G$41*IF(DATI!$G$218="dx",DATI!$E$61,DATI!$E$64*DATI!$E$63)*1000*C2092*sezione!$AD$5</f>
        <v>-303289.05722651526</v>
      </c>
      <c r="Q2092" s="553">
        <f>'Foglio deposito bis'!$F$78*IF(ABS(K2092)&lt;'Progetto del paramento slu'!$G$58,ABS(K2092)*'Progetto del paramento slu'!$G$54,'Progetto del paramento slu'!$G$53)*IF(K2092&lt;0,-1,1)</f>
        <v>0</v>
      </c>
      <c r="R2092" s="553">
        <f>'Foglio deposito bis'!$F$79*IF(ABS(L2092)&lt;'Progetto del paramento slu'!$G$58,ABS(L2092)*'Progetto del paramento slu'!$G$54,'Progetto del paramento slu'!$G$53)*IF(L2092&lt;0,-1,1)</f>
        <v>153664.85805602249</v>
      </c>
      <c r="S2092" s="553">
        <f>'Foglio deposito bis'!$F$80*IF(ABS(M2092)&lt;'Progetto del paramento slu'!$G$58,ABS(M2092)*'Progetto del paramento slu'!$G$54,'Progetto del paramento slu'!$G$53)*IF(M2092&lt;0,-1,1)</f>
        <v>0</v>
      </c>
      <c r="T2092" s="553">
        <f>'Foglio deposito bis'!$F$81*IF(ABS(N2092)&lt;'Progetto del paramento slu'!$G$58,ABS(N2092)*'Progetto del paramento slu'!$G$54,'Progetto del paramento slu'!$G$53)*IF(N2092&lt;0,-1,1)</f>
        <v>398299.31208121032</v>
      </c>
      <c r="U2092" s="553">
        <f>'Foglio deposito bis'!$F$82*IF(ABS(O2092)&lt;'Progetto del paramento slu'!$G$58,ABS(O2092)*'Progetto del paramento slu'!$G$54,'Progetto del paramento slu'!$G$53)*IF(O2092&lt;0,-1,1)</f>
        <v>892485.49558937876</v>
      </c>
      <c r="V2092" s="479">
        <f t="shared" si="154"/>
        <v>1141160.6085000962</v>
      </c>
      <c r="W2092" s="559"/>
      <c r="X2092" s="559"/>
    </row>
    <row r="2093" spans="1:24" x14ac:dyDescent="0.25">
      <c r="A2093" s="553">
        <f t="shared" si="153"/>
        <v>1129715.7384160769</v>
      </c>
      <c r="B2093" s="3">
        <f t="shared" ref="B2093:B2156" si="156">B2092+0.2</f>
        <v>5.4999999999999902</v>
      </c>
      <c r="C2093" s="553">
        <f>'Foglio deposito bis'!$E$161/sezione!$B$247*B2093</f>
        <v>22.328063521390614</v>
      </c>
      <c r="D2093" s="611">
        <f>-'Progetto del paramento slu'!$G$47*'Progetto del paramento slu'!$G$41*IF(DATI!$G$218="dx",DATI!$E$61,DATI!$E$64*DATI!$E$63)*1000*C2093^2*sezione!$AD$5*(1-sezione!$AD$6)</f>
        <v>-4104001.0868545924</v>
      </c>
      <c r="E2093" s="553">
        <f>-'Foglio deposito bis'!$F$78*(C2093-sezione!$AL$35)*IF(ABS(K2093)&lt;'Progetto del paramento slu'!$G$58,ABS(K2093)*'Progetto del paramento slu'!$G$54,'Progetto del paramento slu'!$G$53)</f>
        <v>0</v>
      </c>
      <c r="F2093" s="553">
        <f>-'Foglio deposito bis'!$F$79*(C2093-sezione!$AM$35)*IF(ABS(L2093)&lt;'Progetto del paramento slu'!$G$58,ABS(L2093)*'Progetto del paramento slu'!$G$54,'Progetto del paramento slu'!$G$53)</f>
        <v>19618689.996723033</v>
      </c>
      <c r="G2093" s="553">
        <f>-'Foglio deposito bis'!$F$80*(C2093-sezione!$AN$35)*IF(ABS(M2093)&lt;'Progetto del paramento slu'!$G$58,ABS(M2093)*'Progetto del paramento slu'!$G$54,'Progetto del paramento slu'!$G$53)</f>
        <v>0</v>
      </c>
      <c r="H2093" s="553">
        <f>-'Foglio deposito bis'!$F$81*(C2093-sezione!$AO$35)*IF(ABS(N2093)&lt;'Progetto del paramento slu'!$G$58,ABS(N2093)*'Progetto del paramento slu'!$G$54,'Progetto del paramento slu'!$G$53)</f>
        <v>126528513.76693605</v>
      </c>
      <c r="I2093" s="479">
        <f>-'Foglio deposito bis'!$F$82*(C2093-sezione!$AP$35)*IF(ABS(O2093)&lt;'Progetto del paramento slu'!$G$58,ABS(O2093)*'Progetto del paramento slu'!$G$54,'Progetto del paramento slu'!$G$53)</f>
        <v>212125878.736581</v>
      </c>
      <c r="J2093" s="479">
        <f t="shared" si="152"/>
        <v>354169081.41338551</v>
      </c>
      <c r="K2093" s="558">
        <f>'Progetto del paramento slu'!$G$60*(sezione!$AL$35-C2093)/C2093</f>
        <v>2.7701362286020876E-3</v>
      </c>
      <c r="L2093" s="558">
        <f>'Progetto del paramento slu'!$G$60*(sezione!$AM$35-C2093)/C2093</f>
        <v>2.0013010857257828E-2</v>
      </c>
      <c r="M2093" s="559">
        <f>'Progetto del paramento slu'!$G$60*(sezione!$AN$35-C2093)/C2093</f>
        <v>3.7255885485913569E-2</v>
      </c>
      <c r="N2093" s="559">
        <f>'Progetto del paramento slu'!$G$60*(sezione!$AO$35-C2093)/C2093</f>
        <v>4.9796157943117751E-2</v>
      </c>
      <c r="O2093" s="559">
        <f>'Progetto del paramento slu'!$G$60*(sezione!$AP$35-C2093)/C2093</f>
        <v>3.7257136498670691E-2</v>
      </c>
      <c r="P2093" s="553">
        <f>-'Progetto del paramento slu'!$G$47*'Progetto del paramento slu'!$G$41*IF(DATI!$G$218="dx",DATI!$E$61,DATI!$E$64*DATI!$E$63)*1000*C2093*sezione!$AD$5</f>
        <v>-314733.92731053475</v>
      </c>
      <c r="Q2093" s="553">
        <f>'Foglio deposito bis'!$F$78*IF(ABS(K2093)&lt;'Progetto del paramento slu'!$G$58,ABS(K2093)*'Progetto del paramento slu'!$G$54,'Progetto del paramento slu'!$G$53)*IF(K2093&lt;0,-1,1)</f>
        <v>0</v>
      </c>
      <c r="R2093" s="553">
        <f>'Foglio deposito bis'!$F$79*IF(ABS(L2093)&lt;'Progetto del paramento slu'!$G$58,ABS(L2093)*'Progetto del paramento slu'!$G$54,'Progetto del paramento slu'!$G$53)*IF(L2093&lt;0,-1,1)</f>
        <v>153664.85805602249</v>
      </c>
      <c r="S2093" s="553">
        <f>'Foglio deposito bis'!$F$80*IF(ABS(M2093)&lt;'Progetto del paramento slu'!$G$58,ABS(M2093)*'Progetto del paramento slu'!$G$54,'Progetto del paramento slu'!$G$53)*IF(M2093&lt;0,-1,1)</f>
        <v>0</v>
      </c>
      <c r="T2093" s="553">
        <f>'Foglio deposito bis'!$F$81*IF(ABS(N2093)&lt;'Progetto del paramento slu'!$G$58,ABS(N2093)*'Progetto del paramento slu'!$G$54,'Progetto del paramento slu'!$G$53)*IF(N2093&lt;0,-1,1)</f>
        <v>398299.31208121032</v>
      </c>
      <c r="U2093" s="553">
        <f>'Foglio deposito bis'!$F$82*IF(ABS(O2093)&lt;'Progetto del paramento slu'!$G$58,ABS(O2093)*'Progetto del paramento slu'!$G$54,'Progetto del paramento slu'!$G$53)*IF(O2093&lt;0,-1,1)</f>
        <v>892485.49558937876</v>
      </c>
      <c r="V2093" s="479">
        <f t="shared" si="154"/>
        <v>1129715.7384160769</v>
      </c>
      <c r="W2093" s="559"/>
      <c r="X2093" s="559"/>
    </row>
    <row r="2094" spans="1:24" x14ac:dyDescent="0.25">
      <c r="A2094" s="553">
        <f t="shared" si="153"/>
        <v>1118270.8683320573</v>
      </c>
      <c r="B2094" s="3">
        <f t="shared" si="156"/>
        <v>5.6999999999999904</v>
      </c>
      <c r="C2094" s="553">
        <f>'Foglio deposito bis'!$E$161/sezione!$B$247*B2094</f>
        <v>23.13999310398664</v>
      </c>
      <c r="D2094" s="611">
        <f>-'Progetto del paramento slu'!$G$47*'Progetto del paramento slu'!$G$41*IF(DATI!$G$218="dx",DATI!$E$61,DATI!$E$64*DATI!$E$63)*1000*C2094^2*sezione!$AD$5*(1-sezione!$AD$6)</f>
        <v>-4407900.6714679589</v>
      </c>
      <c r="E2094" s="553">
        <f>-'Foglio deposito bis'!$F$78*(C2094-sezione!$AL$35)*IF(ABS(K2094)&lt;'Progetto del paramento slu'!$G$58,ABS(K2094)*'Progetto del paramento slu'!$G$54,'Progetto del paramento slu'!$G$53)</f>
        <v>0</v>
      </c>
      <c r="F2094" s="553">
        <f>-'Foglio deposito bis'!$F$79*(C2094-sezione!$AM$35)*IF(ABS(L2094)&lt;'Progetto del paramento slu'!$G$58,ABS(L2094)*'Progetto del paramento slu'!$G$54,'Progetto del paramento slu'!$G$53)</f>
        <v>19493924.952661928</v>
      </c>
      <c r="G2094" s="553">
        <f>-'Foglio deposito bis'!$F$80*(C2094-sezione!$AN$35)*IF(ABS(M2094)&lt;'Progetto del paramento slu'!$G$58,ABS(M2094)*'Progetto del paramento slu'!$G$54,'Progetto del paramento slu'!$G$53)</f>
        <v>0</v>
      </c>
      <c r="H2094" s="553">
        <f>-'Foglio deposito bis'!$F$81*(C2094-sezione!$AO$35)*IF(ABS(N2094)&lt;'Progetto del paramento slu'!$G$58,ABS(N2094)*'Progetto del paramento slu'!$G$54,'Progetto del paramento slu'!$G$53)</f>
        <v>126205122.77272969</v>
      </c>
      <c r="I2094" s="479">
        <f>-'Foglio deposito bis'!$F$82*(C2094-sezione!$AP$35)*IF(ABS(O2094)&lt;'Progetto del paramento slu'!$G$58,ABS(O2094)*'Progetto del paramento slu'!$G$54,'Progetto del paramento slu'!$G$53)</f>
        <v>211401243.36067411</v>
      </c>
      <c r="J2094" s="479">
        <f t="shared" si="152"/>
        <v>352692390.41459775</v>
      </c>
      <c r="K2094" s="558">
        <f>'Progetto del paramento slu'!$G$60*(sezione!$AL$35-C2094)/C2094</f>
        <v>2.5501314486511364E-3</v>
      </c>
      <c r="L2094" s="558">
        <f>'Progetto del paramento slu'!$G$60*(sezione!$AM$35-C2094)/C2094</f>
        <v>1.9187992932441764E-2</v>
      </c>
      <c r="M2094" s="559">
        <f>'Progetto del paramento slu'!$G$60*(sezione!$AN$35-C2094)/C2094</f>
        <v>3.5825854416232393E-2</v>
      </c>
      <c r="N2094" s="559">
        <f>'Progetto del paramento slu'!$G$60*(sezione!$AO$35-C2094)/C2094</f>
        <v>4.7926117313534661E-2</v>
      </c>
      <c r="O2094" s="559">
        <f>'Progetto del paramento slu'!$G$60*(sezione!$AP$35-C2094)/C2094</f>
        <v>3.5827061533805049E-2</v>
      </c>
      <c r="P2094" s="553">
        <f>-'Progetto del paramento slu'!$G$47*'Progetto del paramento slu'!$G$41*IF(DATI!$G$218="dx",DATI!$E$61,DATI!$E$64*DATI!$E$63)*1000*C2094*sezione!$AD$5</f>
        <v>-326178.79739455425</v>
      </c>
      <c r="Q2094" s="553">
        <f>'Foglio deposito bis'!$F$78*IF(ABS(K2094)&lt;'Progetto del paramento slu'!$G$58,ABS(K2094)*'Progetto del paramento slu'!$G$54,'Progetto del paramento slu'!$G$53)*IF(K2094&lt;0,-1,1)</f>
        <v>0</v>
      </c>
      <c r="R2094" s="553">
        <f>'Foglio deposito bis'!$F$79*IF(ABS(L2094)&lt;'Progetto del paramento slu'!$G$58,ABS(L2094)*'Progetto del paramento slu'!$G$54,'Progetto del paramento slu'!$G$53)*IF(L2094&lt;0,-1,1)</f>
        <v>153664.85805602249</v>
      </c>
      <c r="S2094" s="553">
        <f>'Foglio deposito bis'!$F$80*IF(ABS(M2094)&lt;'Progetto del paramento slu'!$G$58,ABS(M2094)*'Progetto del paramento slu'!$G$54,'Progetto del paramento slu'!$G$53)*IF(M2094&lt;0,-1,1)</f>
        <v>0</v>
      </c>
      <c r="T2094" s="553">
        <f>'Foglio deposito bis'!$F$81*IF(ABS(N2094)&lt;'Progetto del paramento slu'!$G$58,ABS(N2094)*'Progetto del paramento slu'!$G$54,'Progetto del paramento slu'!$G$53)*IF(N2094&lt;0,-1,1)</f>
        <v>398299.31208121032</v>
      </c>
      <c r="U2094" s="553">
        <f>'Foglio deposito bis'!$F$82*IF(ABS(O2094)&lt;'Progetto del paramento slu'!$G$58,ABS(O2094)*'Progetto del paramento slu'!$G$54,'Progetto del paramento slu'!$G$53)*IF(O2094&lt;0,-1,1)</f>
        <v>892485.49558937876</v>
      </c>
      <c r="V2094" s="479">
        <f t="shared" si="154"/>
        <v>1118270.8683320573</v>
      </c>
      <c r="W2094" s="559"/>
      <c r="X2094" s="559"/>
    </row>
    <row r="2095" spans="1:24" x14ac:dyDescent="0.25">
      <c r="A2095" s="553">
        <f t="shared" si="153"/>
        <v>1106825.9982480379</v>
      </c>
      <c r="B2095" s="3">
        <f t="shared" si="156"/>
        <v>5.8999999999999906</v>
      </c>
      <c r="C2095" s="553">
        <f>'Foglio deposito bis'!$E$161/sezione!$B$247*B2095</f>
        <v>23.951922686582666</v>
      </c>
      <c r="D2095" s="611">
        <f>-'Progetto del paramento slu'!$G$47*'Progetto del paramento slu'!$G$41*IF(DATI!$G$218="dx",DATI!$E$61,DATI!$E$64*DATI!$E$63)*1000*C2095^2*sezione!$AD$5*(1-sezione!$AD$6)</f>
        <v>-4722653.8126746593</v>
      </c>
      <c r="E2095" s="553">
        <f>-'Foglio deposito bis'!$F$78*(C2095-sezione!$AL$35)*IF(ABS(K2095)&lt;'Progetto del paramento slu'!$G$58,ABS(K2095)*'Progetto del paramento slu'!$G$54,'Progetto del paramento slu'!$G$53)</f>
        <v>0</v>
      </c>
      <c r="F2095" s="553">
        <f>-'Foglio deposito bis'!$F$79*(C2095-sezione!$AM$35)*IF(ABS(L2095)&lt;'Progetto del paramento slu'!$G$58,ABS(L2095)*'Progetto del paramento slu'!$G$54,'Progetto del paramento slu'!$G$53)</f>
        <v>19369159.908600826</v>
      </c>
      <c r="G2095" s="553">
        <f>-'Foglio deposito bis'!$F$80*(C2095-sezione!$AN$35)*IF(ABS(M2095)&lt;'Progetto del paramento slu'!$G$58,ABS(M2095)*'Progetto del paramento slu'!$G$54,'Progetto del paramento slu'!$G$53)</f>
        <v>0</v>
      </c>
      <c r="H2095" s="553">
        <f>-'Foglio deposito bis'!$F$81*(C2095-sezione!$AO$35)*IF(ABS(N2095)&lt;'Progetto del paramento slu'!$G$58,ABS(N2095)*'Progetto del paramento slu'!$G$54,'Progetto del paramento slu'!$G$53)</f>
        <v>125881731.7785233</v>
      </c>
      <c r="I2095" s="479">
        <f>-'Foglio deposito bis'!$F$82*(C2095-sezione!$AP$35)*IF(ABS(O2095)&lt;'Progetto del paramento slu'!$G$58,ABS(O2095)*'Progetto del paramento slu'!$G$54,'Progetto del paramento slu'!$G$53)</f>
        <v>210676607.98476723</v>
      </c>
      <c r="J2095" s="479">
        <f t="shared" si="152"/>
        <v>351204845.85921669</v>
      </c>
      <c r="K2095" s="558">
        <f>'Progetto del paramento slu'!$G$60*(sezione!$AL$35-C2095)/C2095</f>
        <v>2.3450422470019444E-3</v>
      </c>
      <c r="L2095" s="558">
        <f>'Progetto del paramento slu'!$G$60*(sezione!$AM$35-C2095)/C2095</f>
        <v>1.8418908426257291E-2</v>
      </c>
      <c r="M2095" s="559">
        <f>'Progetto del paramento slu'!$G$60*(sezione!$AN$35-C2095)/C2095</f>
        <v>3.4492774605512644E-2</v>
      </c>
      <c r="N2095" s="559">
        <f>'Progetto del paramento slu'!$G$60*(sezione!$AO$35-C2095)/C2095</f>
        <v>4.6182859099516527E-2</v>
      </c>
      <c r="O2095" s="559">
        <f>'Progetto del paramento slu'!$G$60*(sezione!$AP$35-C2095)/C2095</f>
        <v>3.4493940803845553E-2</v>
      </c>
      <c r="P2095" s="553">
        <f>-'Progetto del paramento slu'!$G$47*'Progetto del paramento slu'!$G$41*IF(DATI!$G$218="dx",DATI!$E$61,DATI!$E$64*DATI!$E$63)*1000*C2095*sezione!$AD$5</f>
        <v>-337623.66747857374</v>
      </c>
      <c r="Q2095" s="553">
        <f>'Foglio deposito bis'!$F$78*IF(ABS(K2095)&lt;'Progetto del paramento slu'!$G$58,ABS(K2095)*'Progetto del paramento slu'!$G$54,'Progetto del paramento slu'!$G$53)*IF(K2095&lt;0,-1,1)</f>
        <v>0</v>
      </c>
      <c r="R2095" s="553">
        <f>'Foglio deposito bis'!$F$79*IF(ABS(L2095)&lt;'Progetto del paramento slu'!$G$58,ABS(L2095)*'Progetto del paramento slu'!$G$54,'Progetto del paramento slu'!$G$53)*IF(L2095&lt;0,-1,1)</f>
        <v>153664.85805602249</v>
      </c>
      <c r="S2095" s="553">
        <f>'Foglio deposito bis'!$F$80*IF(ABS(M2095)&lt;'Progetto del paramento slu'!$G$58,ABS(M2095)*'Progetto del paramento slu'!$G$54,'Progetto del paramento slu'!$G$53)*IF(M2095&lt;0,-1,1)</f>
        <v>0</v>
      </c>
      <c r="T2095" s="553">
        <f>'Foglio deposito bis'!$F$81*IF(ABS(N2095)&lt;'Progetto del paramento slu'!$G$58,ABS(N2095)*'Progetto del paramento slu'!$G$54,'Progetto del paramento slu'!$G$53)*IF(N2095&lt;0,-1,1)</f>
        <v>398299.31208121032</v>
      </c>
      <c r="U2095" s="553">
        <f>'Foglio deposito bis'!$F$82*IF(ABS(O2095)&lt;'Progetto del paramento slu'!$G$58,ABS(O2095)*'Progetto del paramento slu'!$G$54,'Progetto del paramento slu'!$G$53)*IF(O2095&lt;0,-1,1)</f>
        <v>892485.49558937876</v>
      </c>
      <c r="V2095" s="479">
        <f t="shared" si="154"/>
        <v>1106825.9982480379</v>
      </c>
      <c r="W2095" s="559"/>
      <c r="X2095" s="559"/>
    </row>
    <row r="2096" spans="1:24" x14ac:dyDescent="0.25">
      <c r="A2096" s="553">
        <f t="shared" si="153"/>
        <v>1095381.1281640185</v>
      </c>
      <c r="B2096" s="3">
        <f t="shared" si="156"/>
        <v>6.0999999999999908</v>
      </c>
      <c r="C2096" s="553">
        <f>'Foglio deposito bis'!$E$161/sezione!$B$247*B2096</f>
        <v>24.763852269178688</v>
      </c>
      <c r="D2096" s="611">
        <f>-'Progetto del paramento slu'!$G$47*'Progetto del paramento slu'!$G$41*IF(DATI!$G$218="dx",DATI!$E$61,DATI!$E$64*DATI!$E$63)*1000*C2096^2*sezione!$AD$5*(1-sezione!$AD$6)</f>
        <v>-5048260.510474694</v>
      </c>
      <c r="E2096" s="553">
        <f>-'Foglio deposito bis'!$F$78*(C2096-sezione!$AL$35)*IF(ABS(K2096)&lt;'Progetto del paramento slu'!$G$58,ABS(K2096)*'Progetto del paramento slu'!$G$54,'Progetto del paramento slu'!$G$53)</f>
        <v>0</v>
      </c>
      <c r="F2096" s="553">
        <f>-'Foglio deposito bis'!$F$79*(C2096-sezione!$AM$35)*IF(ABS(L2096)&lt;'Progetto del paramento slu'!$G$58,ABS(L2096)*'Progetto del paramento slu'!$G$54,'Progetto del paramento slu'!$G$53)</f>
        <v>19244394.86453972</v>
      </c>
      <c r="G2096" s="553">
        <f>-'Foglio deposito bis'!$F$80*(C2096-sezione!$AN$35)*IF(ABS(M2096)&lt;'Progetto del paramento slu'!$G$58,ABS(M2096)*'Progetto del paramento slu'!$G$54,'Progetto del paramento slu'!$G$53)</f>
        <v>0</v>
      </c>
      <c r="H2096" s="553">
        <f>-'Foglio deposito bis'!$F$81*(C2096-sezione!$AO$35)*IF(ABS(N2096)&lt;'Progetto del paramento slu'!$G$58,ABS(N2096)*'Progetto del paramento slu'!$G$54,'Progetto del paramento slu'!$G$53)</f>
        <v>125558340.78431691</v>
      </c>
      <c r="I2096" s="479">
        <f>-'Foglio deposito bis'!$F$82*(C2096-sezione!$AP$35)*IF(ABS(O2096)&lt;'Progetto del paramento slu'!$G$58,ABS(O2096)*'Progetto del paramento slu'!$G$54,'Progetto del paramento slu'!$G$53)</f>
        <v>209951972.60886031</v>
      </c>
      <c r="J2096" s="479">
        <f t="shared" si="152"/>
        <v>349706447.74724221</v>
      </c>
      <c r="K2096" s="558">
        <f>'Progetto del paramento slu'!$G$60*(sezione!$AL$35-C2096)/C2096</f>
        <v>2.1534015175920448E-3</v>
      </c>
      <c r="L2096" s="558">
        <f>'Progetto del paramento slu'!$G$60*(sezione!$AM$35-C2096)/C2096</f>
        <v>1.7700255690970168E-2</v>
      </c>
      <c r="M2096" s="559">
        <f>'Progetto del paramento slu'!$G$60*(sezione!$AN$35-C2096)/C2096</f>
        <v>3.3247109864348291E-2</v>
      </c>
      <c r="N2096" s="559">
        <f>'Progetto del paramento slu'!$G$60*(sezione!$AO$35-C2096)/C2096</f>
        <v>4.455391289953238E-2</v>
      </c>
      <c r="O2096" s="559">
        <f>'Progetto del paramento slu'!$G$60*(sezione!$AP$35-C2096)/C2096</f>
        <v>3.3248237826670281E-2</v>
      </c>
      <c r="P2096" s="553">
        <f>-'Progetto del paramento slu'!$G$47*'Progetto del paramento slu'!$G$41*IF(DATI!$G$218="dx",DATI!$E$61,DATI!$E$64*DATI!$E$63)*1000*C2096*sezione!$AD$5</f>
        <v>-349068.53756259318</v>
      </c>
      <c r="Q2096" s="553">
        <f>'Foglio deposito bis'!$F$78*IF(ABS(K2096)&lt;'Progetto del paramento slu'!$G$58,ABS(K2096)*'Progetto del paramento slu'!$G$54,'Progetto del paramento slu'!$G$53)*IF(K2096&lt;0,-1,1)</f>
        <v>0</v>
      </c>
      <c r="R2096" s="553">
        <f>'Foglio deposito bis'!$F$79*IF(ABS(L2096)&lt;'Progetto del paramento slu'!$G$58,ABS(L2096)*'Progetto del paramento slu'!$G$54,'Progetto del paramento slu'!$G$53)*IF(L2096&lt;0,-1,1)</f>
        <v>153664.85805602249</v>
      </c>
      <c r="S2096" s="553">
        <f>'Foglio deposito bis'!$F$80*IF(ABS(M2096)&lt;'Progetto del paramento slu'!$G$58,ABS(M2096)*'Progetto del paramento slu'!$G$54,'Progetto del paramento slu'!$G$53)*IF(M2096&lt;0,-1,1)</f>
        <v>0</v>
      </c>
      <c r="T2096" s="553">
        <f>'Foglio deposito bis'!$F$81*IF(ABS(N2096)&lt;'Progetto del paramento slu'!$G$58,ABS(N2096)*'Progetto del paramento slu'!$G$54,'Progetto del paramento slu'!$G$53)*IF(N2096&lt;0,-1,1)</f>
        <v>398299.31208121032</v>
      </c>
      <c r="U2096" s="553">
        <f>'Foglio deposito bis'!$F$82*IF(ABS(O2096)&lt;'Progetto del paramento slu'!$G$58,ABS(O2096)*'Progetto del paramento slu'!$G$54,'Progetto del paramento slu'!$G$53)*IF(O2096&lt;0,-1,1)</f>
        <v>892485.49558937876</v>
      </c>
      <c r="V2096" s="479">
        <f t="shared" si="154"/>
        <v>1095381.1281640185</v>
      </c>
      <c r="W2096" s="559"/>
      <c r="X2096" s="559"/>
    </row>
    <row r="2097" spans="1:24" x14ac:dyDescent="0.25">
      <c r="A2097" s="553">
        <f t="shared" si="153"/>
        <v>1083936.2580799989</v>
      </c>
      <c r="B2097" s="3">
        <f t="shared" si="156"/>
        <v>6.2999999999999909</v>
      </c>
      <c r="C2097" s="553">
        <f>'Foglio deposito bis'!$E$161/sezione!$B$247*B2097</f>
        <v>25.575781851774714</v>
      </c>
      <c r="D2097" s="611">
        <f>-'Progetto del paramento slu'!$G$47*'Progetto del paramento slu'!$G$41*IF(DATI!$G$218="dx",DATI!$E$61,DATI!$E$64*DATI!$E$63)*1000*C2097^2*sezione!$AD$5*(1-sezione!$AD$6)</f>
        <v>-5384720.7648680629</v>
      </c>
      <c r="E2097" s="553">
        <f>-'Foglio deposito bis'!$F$78*(C2097-sezione!$AL$35)*IF(ABS(K2097)&lt;'Progetto del paramento slu'!$G$58,ABS(K2097)*'Progetto del paramento slu'!$G$54,'Progetto del paramento slu'!$G$53)</f>
        <v>0</v>
      </c>
      <c r="F2097" s="553">
        <f>-'Foglio deposito bis'!$F$79*(C2097-sezione!$AM$35)*IF(ABS(L2097)&lt;'Progetto del paramento slu'!$G$58,ABS(L2097)*'Progetto del paramento slu'!$G$54,'Progetto del paramento slu'!$G$53)</f>
        <v>19119629.820478618</v>
      </c>
      <c r="G2097" s="553">
        <f>-'Foglio deposito bis'!$F$80*(C2097-sezione!$AN$35)*IF(ABS(M2097)&lt;'Progetto del paramento slu'!$G$58,ABS(M2097)*'Progetto del paramento slu'!$G$54,'Progetto del paramento slu'!$G$53)</f>
        <v>0</v>
      </c>
      <c r="H2097" s="553">
        <f>-'Foglio deposito bis'!$F$81*(C2097-sezione!$AO$35)*IF(ABS(N2097)&lt;'Progetto del paramento slu'!$G$58,ABS(N2097)*'Progetto del paramento slu'!$G$54,'Progetto del paramento slu'!$G$53)</f>
        <v>125234949.79011054</v>
      </c>
      <c r="I2097" s="479">
        <f>-'Foglio deposito bis'!$F$82*(C2097-sezione!$AP$35)*IF(ABS(O2097)&lt;'Progetto del paramento slu'!$G$58,ABS(O2097)*'Progetto del paramento slu'!$G$54,'Progetto del paramento slu'!$G$53)</f>
        <v>209227337.23295343</v>
      </c>
      <c r="J2097" s="479">
        <f t="shared" si="152"/>
        <v>348197196.07867455</v>
      </c>
      <c r="K2097" s="558">
        <f>'Progetto del paramento slu'!$G$60*(sezione!$AL$35-C2097)/C2097</f>
        <v>1.9739284535415032E-3</v>
      </c>
      <c r="L2097" s="558">
        <f>'Progetto del paramento slu'!$G$60*(sezione!$AM$35-C2097)/C2097</f>
        <v>1.7027231700780635E-2</v>
      </c>
      <c r="M2097" s="559">
        <f>'Progetto del paramento slu'!$G$60*(sezione!$AN$35-C2097)/C2097</f>
        <v>3.2080534948019768E-2</v>
      </c>
      <c r="N2097" s="559">
        <f>'Progetto del paramento slu'!$G$60*(sezione!$AO$35-C2097)/C2097</f>
        <v>4.3028391855102779E-2</v>
      </c>
      <c r="O2097" s="559">
        <f>'Progetto del paramento slu'!$G$60*(sezione!$AP$35-C2097)/C2097</f>
        <v>3.2081627102014079E-2</v>
      </c>
      <c r="P2097" s="553">
        <f>-'Progetto del paramento slu'!$G$47*'Progetto del paramento slu'!$G$41*IF(DATI!$G$218="dx",DATI!$E$61,DATI!$E$64*DATI!$E$63)*1000*C2097*sezione!$AD$5</f>
        <v>-360513.40764661267</v>
      </c>
      <c r="Q2097" s="553">
        <f>'Foglio deposito bis'!$F$78*IF(ABS(K2097)&lt;'Progetto del paramento slu'!$G$58,ABS(K2097)*'Progetto del paramento slu'!$G$54,'Progetto del paramento slu'!$G$53)*IF(K2097&lt;0,-1,1)</f>
        <v>0</v>
      </c>
      <c r="R2097" s="553">
        <f>'Foglio deposito bis'!$F$79*IF(ABS(L2097)&lt;'Progetto del paramento slu'!$G$58,ABS(L2097)*'Progetto del paramento slu'!$G$54,'Progetto del paramento slu'!$G$53)*IF(L2097&lt;0,-1,1)</f>
        <v>153664.85805602249</v>
      </c>
      <c r="S2097" s="553">
        <f>'Foglio deposito bis'!$F$80*IF(ABS(M2097)&lt;'Progetto del paramento slu'!$G$58,ABS(M2097)*'Progetto del paramento slu'!$G$54,'Progetto del paramento slu'!$G$53)*IF(M2097&lt;0,-1,1)</f>
        <v>0</v>
      </c>
      <c r="T2097" s="553">
        <f>'Foglio deposito bis'!$F$81*IF(ABS(N2097)&lt;'Progetto del paramento slu'!$G$58,ABS(N2097)*'Progetto del paramento slu'!$G$54,'Progetto del paramento slu'!$G$53)*IF(N2097&lt;0,-1,1)</f>
        <v>398299.31208121032</v>
      </c>
      <c r="U2097" s="553">
        <f>'Foglio deposito bis'!$F$82*IF(ABS(O2097)&lt;'Progetto del paramento slu'!$G$58,ABS(O2097)*'Progetto del paramento slu'!$G$54,'Progetto del paramento slu'!$G$53)*IF(O2097&lt;0,-1,1)</f>
        <v>892485.49558937876</v>
      </c>
      <c r="V2097" s="479">
        <f t="shared" si="154"/>
        <v>1083936.2580799989</v>
      </c>
      <c r="W2097" s="559"/>
      <c r="X2097" s="559"/>
    </row>
    <row r="2098" spans="1:24" x14ac:dyDescent="0.25">
      <c r="A2098" s="553">
        <f t="shared" si="153"/>
        <v>1072491.3879959795</v>
      </c>
      <c r="B2098" s="3">
        <f t="shared" si="156"/>
        <v>6.4999999999999911</v>
      </c>
      <c r="C2098" s="553">
        <f>'Foglio deposito bis'!$E$161/sezione!$B$247*B2098</f>
        <v>26.387711434370736</v>
      </c>
      <c r="D2098" s="611">
        <f>-'Progetto del paramento slu'!$G$47*'Progetto del paramento slu'!$G$41*IF(DATI!$G$218="dx",DATI!$E$61,DATI!$E$64*DATI!$E$63)*1000*C2098^2*sezione!$AD$5*(1-sezione!$AD$6)</f>
        <v>-5732034.5758547653</v>
      </c>
      <c r="E2098" s="553">
        <f>-'Foglio deposito bis'!$F$78*(C2098-sezione!$AL$35)*IF(ABS(K2098)&lt;'Progetto del paramento slu'!$G$58,ABS(K2098)*'Progetto del paramento slu'!$G$54,'Progetto del paramento slu'!$G$53)</f>
        <v>0</v>
      </c>
      <c r="F2098" s="553">
        <f>-'Foglio deposito bis'!$F$79*(C2098-sezione!$AM$35)*IF(ABS(L2098)&lt;'Progetto del paramento slu'!$G$58,ABS(L2098)*'Progetto del paramento slu'!$G$54,'Progetto del paramento slu'!$G$53)</f>
        <v>18994864.776417512</v>
      </c>
      <c r="G2098" s="553">
        <f>-'Foglio deposito bis'!$F$80*(C2098-sezione!$AN$35)*IF(ABS(M2098)&lt;'Progetto del paramento slu'!$G$58,ABS(M2098)*'Progetto del paramento slu'!$G$54,'Progetto del paramento slu'!$G$53)</f>
        <v>0</v>
      </c>
      <c r="H2098" s="553">
        <f>-'Foglio deposito bis'!$F$81*(C2098-sezione!$AO$35)*IF(ABS(N2098)&lt;'Progetto del paramento slu'!$G$58,ABS(N2098)*'Progetto del paramento slu'!$G$54,'Progetto del paramento slu'!$G$53)</f>
        <v>124911558.79590416</v>
      </c>
      <c r="I2098" s="479">
        <f>-'Foglio deposito bis'!$F$82*(C2098-sezione!$AP$35)*IF(ABS(O2098)&lt;'Progetto del paramento slu'!$G$58,ABS(O2098)*'Progetto del paramento slu'!$G$54,'Progetto del paramento slu'!$G$53)</f>
        <v>208502701.85704654</v>
      </c>
      <c r="J2098" s="479">
        <f t="shared" si="152"/>
        <v>346677090.85351348</v>
      </c>
      <c r="K2098" s="558">
        <f>'Progetto del paramento slu'!$G$60*(sezione!$AL$35-C2098)/C2098</f>
        <v>1.8054998857402261E-3</v>
      </c>
      <c r="L2098" s="558">
        <f>'Progetto del paramento slu'!$G$60*(sezione!$AM$35-C2098)/C2098</f>
        <v>1.6395624571525848E-2</v>
      </c>
      <c r="M2098" s="559">
        <f>'Progetto del paramento slu'!$G$60*(sezione!$AN$35-C2098)/C2098</f>
        <v>3.0985749257311471E-2</v>
      </c>
      <c r="N2098" s="559">
        <f>'Progetto del paramento slu'!$G$60*(sezione!$AO$35-C2098)/C2098</f>
        <v>4.1596749028791929E-2</v>
      </c>
      <c r="O2098" s="559">
        <f>'Progetto del paramento slu'!$G$60*(sezione!$AP$35-C2098)/C2098</f>
        <v>3.0986807806567495E-2</v>
      </c>
      <c r="P2098" s="553">
        <f>-'Progetto del paramento slu'!$G$47*'Progetto del paramento slu'!$G$41*IF(DATI!$G$218="dx",DATI!$E$61,DATI!$E$64*DATI!$E$63)*1000*C2098*sezione!$AD$5</f>
        <v>-371958.27773063211</v>
      </c>
      <c r="Q2098" s="553">
        <f>'Foglio deposito bis'!$F$78*IF(ABS(K2098)&lt;'Progetto del paramento slu'!$G$58,ABS(K2098)*'Progetto del paramento slu'!$G$54,'Progetto del paramento slu'!$G$53)*IF(K2098&lt;0,-1,1)</f>
        <v>0</v>
      </c>
      <c r="R2098" s="553">
        <f>'Foglio deposito bis'!$F$79*IF(ABS(L2098)&lt;'Progetto del paramento slu'!$G$58,ABS(L2098)*'Progetto del paramento slu'!$G$54,'Progetto del paramento slu'!$G$53)*IF(L2098&lt;0,-1,1)</f>
        <v>153664.85805602249</v>
      </c>
      <c r="S2098" s="553">
        <f>'Foglio deposito bis'!$F$80*IF(ABS(M2098)&lt;'Progetto del paramento slu'!$G$58,ABS(M2098)*'Progetto del paramento slu'!$G$54,'Progetto del paramento slu'!$G$53)*IF(M2098&lt;0,-1,1)</f>
        <v>0</v>
      </c>
      <c r="T2098" s="553">
        <f>'Foglio deposito bis'!$F$81*IF(ABS(N2098)&lt;'Progetto del paramento slu'!$G$58,ABS(N2098)*'Progetto del paramento slu'!$G$54,'Progetto del paramento slu'!$G$53)*IF(N2098&lt;0,-1,1)</f>
        <v>398299.31208121032</v>
      </c>
      <c r="U2098" s="553">
        <f>'Foglio deposito bis'!$F$82*IF(ABS(O2098)&lt;'Progetto del paramento slu'!$G$58,ABS(O2098)*'Progetto del paramento slu'!$G$54,'Progetto del paramento slu'!$G$53)*IF(O2098&lt;0,-1,1)</f>
        <v>892485.49558937876</v>
      </c>
      <c r="V2098" s="479">
        <f t="shared" si="154"/>
        <v>1072491.3879959795</v>
      </c>
      <c r="W2098" s="559"/>
      <c r="X2098" s="559"/>
    </row>
    <row r="2099" spans="1:24" x14ac:dyDescent="0.25">
      <c r="A2099" s="553">
        <f t="shared" si="153"/>
        <v>1061046.5179119599</v>
      </c>
      <c r="B2099" s="3">
        <f t="shared" si="156"/>
        <v>6.6999999999999913</v>
      </c>
      <c r="C2099" s="553">
        <f>'Foglio deposito bis'!$E$161/sezione!$B$247*B2099</f>
        <v>27.199641016966762</v>
      </c>
      <c r="D2099" s="611">
        <f>-'Progetto del paramento slu'!$G$47*'Progetto del paramento slu'!$G$41*IF(DATI!$G$218="dx",DATI!$E$61,DATI!$E$64*DATI!$E$63)*1000*C2099^2*sezione!$AD$5*(1-sezione!$AD$6)</f>
        <v>-6090201.9434348037</v>
      </c>
      <c r="E2099" s="553">
        <f>-'Foglio deposito bis'!$F$78*(C2099-sezione!$AL$35)*IF(ABS(K2099)&lt;'Progetto del paramento slu'!$G$58,ABS(K2099)*'Progetto del paramento slu'!$G$54,'Progetto del paramento slu'!$G$53)</f>
        <v>0</v>
      </c>
      <c r="F2099" s="553">
        <f>-'Foglio deposito bis'!$F$79*(C2099-sezione!$AM$35)*IF(ABS(L2099)&lt;'Progetto del paramento slu'!$G$58,ABS(L2099)*'Progetto del paramento slu'!$G$54,'Progetto del paramento slu'!$G$53)</f>
        <v>18870099.73235641</v>
      </c>
      <c r="G2099" s="553">
        <f>-'Foglio deposito bis'!$F$80*(C2099-sezione!$AN$35)*IF(ABS(M2099)&lt;'Progetto del paramento slu'!$G$58,ABS(M2099)*'Progetto del paramento slu'!$G$54,'Progetto del paramento slu'!$G$53)</f>
        <v>0</v>
      </c>
      <c r="H2099" s="553">
        <f>-'Foglio deposito bis'!$F$81*(C2099-sezione!$AO$35)*IF(ABS(N2099)&lt;'Progetto del paramento slu'!$G$58,ABS(N2099)*'Progetto del paramento slu'!$G$54,'Progetto del paramento slu'!$G$53)</f>
        <v>124588167.80169776</v>
      </c>
      <c r="I2099" s="479">
        <f>-'Foglio deposito bis'!$F$82*(C2099-sezione!$AP$35)*IF(ABS(O2099)&lt;'Progetto del paramento slu'!$G$58,ABS(O2099)*'Progetto del paramento slu'!$G$54,'Progetto del paramento slu'!$G$53)</f>
        <v>207778066.48113966</v>
      </c>
      <c r="J2099" s="479">
        <f t="shared" si="152"/>
        <v>345146132.07175899</v>
      </c>
      <c r="K2099" s="558">
        <f>'Progetto del paramento slu'!$G$60*(sezione!$AL$35-C2099)/C2099</f>
        <v>1.6471267548226068E-3</v>
      </c>
      <c r="L2099" s="558">
        <f>'Progetto del paramento slu'!$G$60*(sezione!$AM$35-C2099)/C2099</f>
        <v>1.5801725330584777E-2</v>
      </c>
      <c r="M2099" s="559">
        <f>'Progetto del paramento slu'!$G$60*(sezione!$AN$35-C2099)/C2099</f>
        <v>2.9956323906346949E-2</v>
      </c>
      <c r="N2099" s="559">
        <f>'Progetto del paramento slu'!$G$60*(sezione!$AO$35-C2099)/C2099</f>
        <v>4.0250577415992153E-2</v>
      </c>
      <c r="O2099" s="559">
        <f>'Progetto del paramento slu'!$G$60*(sezione!$AP$35-C2099)/C2099</f>
        <v>2.9957350857117718E-2</v>
      </c>
      <c r="P2099" s="553">
        <f>-'Progetto del paramento slu'!$G$47*'Progetto del paramento slu'!$G$41*IF(DATI!$G$218="dx",DATI!$E$61,DATI!$E$64*DATI!$E$63)*1000*C2099*sezione!$AD$5</f>
        <v>-383403.1478146516</v>
      </c>
      <c r="Q2099" s="553">
        <f>'Foglio deposito bis'!$F$78*IF(ABS(K2099)&lt;'Progetto del paramento slu'!$G$58,ABS(K2099)*'Progetto del paramento slu'!$G$54,'Progetto del paramento slu'!$G$53)*IF(K2099&lt;0,-1,1)</f>
        <v>0</v>
      </c>
      <c r="R2099" s="553">
        <f>'Foglio deposito bis'!$F$79*IF(ABS(L2099)&lt;'Progetto del paramento slu'!$G$58,ABS(L2099)*'Progetto del paramento slu'!$G$54,'Progetto del paramento slu'!$G$53)*IF(L2099&lt;0,-1,1)</f>
        <v>153664.85805602249</v>
      </c>
      <c r="S2099" s="553">
        <f>'Foglio deposito bis'!$F$80*IF(ABS(M2099)&lt;'Progetto del paramento slu'!$G$58,ABS(M2099)*'Progetto del paramento slu'!$G$54,'Progetto del paramento slu'!$G$53)*IF(M2099&lt;0,-1,1)</f>
        <v>0</v>
      </c>
      <c r="T2099" s="553">
        <f>'Foglio deposito bis'!$F$81*IF(ABS(N2099)&lt;'Progetto del paramento slu'!$G$58,ABS(N2099)*'Progetto del paramento slu'!$G$54,'Progetto del paramento slu'!$G$53)*IF(N2099&lt;0,-1,1)</f>
        <v>398299.31208121032</v>
      </c>
      <c r="U2099" s="553">
        <f>'Foglio deposito bis'!$F$82*IF(ABS(O2099)&lt;'Progetto del paramento slu'!$G$58,ABS(O2099)*'Progetto del paramento slu'!$G$54,'Progetto del paramento slu'!$G$53)*IF(O2099&lt;0,-1,1)</f>
        <v>892485.49558937876</v>
      </c>
      <c r="V2099" s="479">
        <f t="shared" si="154"/>
        <v>1061046.5179119599</v>
      </c>
      <c r="W2099" s="559"/>
      <c r="X2099" s="559"/>
    </row>
    <row r="2100" spans="1:24" x14ac:dyDescent="0.25">
      <c r="A2100" s="553">
        <f t="shared" si="153"/>
        <v>1049601.6478279405</v>
      </c>
      <c r="B2100" s="3">
        <f t="shared" si="156"/>
        <v>6.8999999999999915</v>
      </c>
      <c r="C2100" s="553">
        <f>'Foglio deposito bis'!$E$161/sezione!$B$247*B2100</f>
        <v>28.011570599562788</v>
      </c>
      <c r="D2100" s="611">
        <f>-'Progetto del paramento slu'!$G$47*'Progetto del paramento slu'!$G$41*IF(DATI!$G$218="dx",DATI!$E$61,DATI!$E$64*DATI!$E$63)*1000*C2100^2*sezione!$AD$5*(1-sezione!$AD$6)</f>
        <v>-6459222.8676081784</v>
      </c>
      <c r="E2100" s="553">
        <f>-'Foglio deposito bis'!$F$78*(C2100-sezione!$AL$35)*IF(ABS(K2100)&lt;'Progetto del paramento slu'!$G$58,ABS(K2100)*'Progetto del paramento slu'!$G$54,'Progetto del paramento slu'!$G$53)</f>
        <v>0</v>
      </c>
      <c r="F2100" s="553">
        <f>-'Foglio deposito bis'!$F$79*(C2100-sezione!$AM$35)*IF(ABS(L2100)&lt;'Progetto del paramento slu'!$G$58,ABS(L2100)*'Progetto del paramento slu'!$G$54,'Progetto del paramento slu'!$G$53)</f>
        <v>18745334.688295305</v>
      </c>
      <c r="G2100" s="553">
        <f>-'Foglio deposito bis'!$F$80*(C2100-sezione!$AN$35)*IF(ABS(M2100)&lt;'Progetto del paramento slu'!$G$58,ABS(M2100)*'Progetto del paramento slu'!$G$54,'Progetto del paramento slu'!$G$53)</f>
        <v>0</v>
      </c>
      <c r="H2100" s="553">
        <f>-'Foglio deposito bis'!$F$81*(C2100-sezione!$AO$35)*IF(ABS(N2100)&lt;'Progetto del paramento slu'!$G$58,ABS(N2100)*'Progetto del paramento slu'!$G$54,'Progetto del paramento slu'!$G$53)</f>
        <v>124264776.80749141</v>
      </c>
      <c r="I2100" s="479">
        <f>-'Foglio deposito bis'!$F$82*(C2100-sezione!$AP$35)*IF(ABS(O2100)&lt;'Progetto del paramento slu'!$G$58,ABS(O2100)*'Progetto del paramento slu'!$G$54,'Progetto del paramento slu'!$G$53)</f>
        <v>207053431.10523278</v>
      </c>
      <c r="J2100" s="479">
        <f t="shared" si="152"/>
        <v>343604319.73341131</v>
      </c>
      <c r="K2100" s="558">
        <f>'Progetto del paramento slu'!$G$60*(sezione!$AL$35-C2100)/C2100</f>
        <v>1.4979346749726757E-3</v>
      </c>
      <c r="L2100" s="558">
        <f>'Progetto del paramento slu'!$G$60*(sezione!$AM$35-C2100)/C2100</f>
        <v>1.5242255031147534E-2</v>
      </c>
      <c r="M2100" s="559">
        <f>'Progetto del paramento slu'!$G$60*(sezione!$AN$35-C2100)/C2100</f>
        <v>2.8986575387322393E-2</v>
      </c>
      <c r="N2100" s="559">
        <f>'Progetto del paramento slu'!$G$60*(sezione!$AO$35-C2100)/C2100</f>
        <v>3.8982444737267745E-2</v>
      </c>
      <c r="O2100" s="559">
        <f>'Progetto del paramento slu'!$G$60*(sezione!$AP$35-C2100)/C2100</f>
        <v>2.8987572571404156E-2</v>
      </c>
      <c r="P2100" s="553">
        <f>-'Progetto del paramento slu'!$G$47*'Progetto del paramento slu'!$G$41*IF(DATI!$G$218="dx",DATI!$E$61,DATI!$E$64*DATI!$E$63)*1000*C2100*sezione!$AD$5</f>
        <v>-394848.0178986711</v>
      </c>
      <c r="Q2100" s="553">
        <f>'Foglio deposito bis'!$F$78*IF(ABS(K2100)&lt;'Progetto del paramento slu'!$G$58,ABS(K2100)*'Progetto del paramento slu'!$G$54,'Progetto del paramento slu'!$G$53)*IF(K2100&lt;0,-1,1)</f>
        <v>0</v>
      </c>
      <c r="R2100" s="553">
        <f>'Foglio deposito bis'!$F$79*IF(ABS(L2100)&lt;'Progetto del paramento slu'!$G$58,ABS(L2100)*'Progetto del paramento slu'!$G$54,'Progetto del paramento slu'!$G$53)*IF(L2100&lt;0,-1,1)</f>
        <v>153664.85805602249</v>
      </c>
      <c r="S2100" s="553">
        <f>'Foglio deposito bis'!$F$80*IF(ABS(M2100)&lt;'Progetto del paramento slu'!$G$58,ABS(M2100)*'Progetto del paramento slu'!$G$54,'Progetto del paramento slu'!$G$53)*IF(M2100&lt;0,-1,1)</f>
        <v>0</v>
      </c>
      <c r="T2100" s="553">
        <f>'Foglio deposito bis'!$F$81*IF(ABS(N2100)&lt;'Progetto del paramento slu'!$G$58,ABS(N2100)*'Progetto del paramento slu'!$G$54,'Progetto del paramento slu'!$G$53)*IF(N2100&lt;0,-1,1)</f>
        <v>398299.31208121032</v>
      </c>
      <c r="U2100" s="553">
        <f>'Foglio deposito bis'!$F$82*IF(ABS(O2100)&lt;'Progetto del paramento slu'!$G$58,ABS(O2100)*'Progetto del paramento slu'!$G$54,'Progetto del paramento slu'!$G$53)*IF(O2100&lt;0,-1,1)</f>
        <v>892485.49558937876</v>
      </c>
      <c r="V2100" s="479">
        <f t="shared" si="154"/>
        <v>1049601.6478279405</v>
      </c>
      <c r="W2100" s="559"/>
      <c r="X2100" s="559"/>
    </row>
    <row r="2101" spans="1:24" x14ac:dyDescent="0.25">
      <c r="A2101" s="553">
        <f t="shared" si="153"/>
        <v>1038156.777743921</v>
      </c>
      <c r="B2101" s="3">
        <f t="shared" si="156"/>
        <v>7.0999999999999917</v>
      </c>
      <c r="C2101" s="553">
        <f>'Foglio deposito bis'!$E$161/sezione!$B$247*B2101</f>
        <v>28.82350018215881</v>
      </c>
      <c r="D2101" s="611">
        <f>-'Progetto del paramento slu'!$G$47*'Progetto del paramento slu'!$G$41*IF(DATI!$G$218="dx",DATI!$E$61,DATI!$E$64*DATI!$E$63)*1000*C2101^2*sezione!$AD$5*(1-sezione!$AD$6)</f>
        <v>-6839097.3483748846</v>
      </c>
      <c r="E2101" s="553">
        <f>-'Foglio deposito bis'!$F$78*(C2101-sezione!$AL$35)*IF(ABS(K2101)&lt;'Progetto del paramento slu'!$G$58,ABS(K2101)*'Progetto del paramento slu'!$G$54,'Progetto del paramento slu'!$G$53)</f>
        <v>0</v>
      </c>
      <c r="F2101" s="553">
        <f>-'Foglio deposito bis'!$F$79*(C2101-sezione!$AM$35)*IF(ABS(L2101)&lt;'Progetto del paramento slu'!$G$58,ABS(L2101)*'Progetto del paramento slu'!$G$54,'Progetto del paramento slu'!$G$53)</f>
        <v>18620569.644234203</v>
      </c>
      <c r="G2101" s="553">
        <f>-'Foglio deposito bis'!$F$80*(C2101-sezione!$AN$35)*IF(ABS(M2101)&lt;'Progetto del paramento slu'!$G$58,ABS(M2101)*'Progetto del paramento slu'!$G$54,'Progetto del paramento slu'!$G$53)</f>
        <v>0</v>
      </c>
      <c r="H2101" s="553">
        <f>-'Foglio deposito bis'!$F$81*(C2101-sezione!$AO$35)*IF(ABS(N2101)&lt;'Progetto del paramento slu'!$G$58,ABS(N2101)*'Progetto del paramento slu'!$G$54,'Progetto del paramento slu'!$G$53)</f>
        <v>123941385.81328502</v>
      </c>
      <c r="I2101" s="479">
        <f>-'Foglio deposito bis'!$F$82*(C2101-sezione!$AP$35)*IF(ABS(O2101)&lt;'Progetto del paramento slu'!$G$58,ABS(O2101)*'Progetto del paramento slu'!$G$54,'Progetto del paramento slu'!$G$53)</f>
        <v>206328795.72932586</v>
      </c>
      <c r="J2101" s="479">
        <f t="shared" si="152"/>
        <v>342051653.83847022</v>
      </c>
      <c r="K2101" s="558">
        <f>'Progetto del paramento slu'!$G$60*(sezione!$AL$35-C2101)/C2101</f>
        <v>1.3571477827199244E-3</v>
      </c>
      <c r="L2101" s="558">
        <f>'Progetto del paramento slu'!$G$60*(sezione!$AM$35-C2101)/C2101</f>
        <v>1.4714304185199716E-2</v>
      </c>
      <c r="M2101" s="559">
        <f>'Progetto del paramento slu'!$G$60*(sezione!$AN$35-C2101)/C2101</f>
        <v>2.8071460587679509E-2</v>
      </c>
      <c r="N2101" s="559">
        <f>'Progetto del paramento slu'!$G$60*(sezione!$AO$35-C2101)/C2101</f>
        <v>3.7785756153119361E-2</v>
      </c>
      <c r="O2101" s="559">
        <f>'Progetto del paramento slu'!$G$60*(sezione!$AP$35-C2101)/C2101</f>
        <v>2.8072429682068828E-2</v>
      </c>
      <c r="P2101" s="553">
        <f>-'Progetto del paramento slu'!$G$47*'Progetto del paramento slu'!$G$41*IF(DATI!$G$218="dx",DATI!$E$61,DATI!$E$64*DATI!$E$63)*1000*C2101*sezione!$AD$5</f>
        <v>-406292.88798269053</v>
      </c>
      <c r="Q2101" s="553">
        <f>'Foglio deposito bis'!$F$78*IF(ABS(K2101)&lt;'Progetto del paramento slu'!$G$58,ABS(K2101)*'Progetto del paramento slu'!$G$54,'Progetto del paramento slu'!$G$53)*IF(K2101&lt;0,-1,1)</f>
        <v>0</v>
      </c>
      <c r="R2101" s="553">
        <f>'Foglio deposito bis'!$F$79*IF(ABS(L2101)&lt;'Progetto del paramento slu'!$G$58,ABS(L2101)*'Progetto del paramento slu'!$G$54,'Progetto del paramento slu'!$G$53)*IF(L2101&lt;0,-1,1)</f>
        <v>153664.85805602249</v>
      </c>
      <c r="S2101" s="553">
        <f>'Foglio deposito bis'!$F$80*IF(ABS(M2101)&lt;'Progetto del paramento slu'!$G$58,ABS(M2101)*'Progetto del paramento slu'!$G$54,'Progetto del paramento slu'!$G$53)*IF(M2101&lt;0,-1,1)</f>
        <v>0</v>
      </c>
      <c r="T2101" s="553">
        <f>'Foglio deposito bis'!$F$81*IF(ABS(N2101)&lt;'Progetto del paramento slu'!$G$58,ABS(N2101)*'Progetto del paramento slu'!$G$54,'Progetto del paramento slu'!$G$53)*IF(N2101&lt;0,-1,1)</f>
        <v>398299.31208121032</v>
      </c>
      <c r="U2101" s="553">
        <f>'Foglio deposito bis'!$F$82*IF(ABS(O2101)&lt;'Progetto del paramento slu'!$G$58,ABS(O2101)*'Progetto del paramento slu'!$G$54,'Progetto del paramento slu'!$G$53)*IF(O2101&lt;0,-1,1)</f>
        <v>892485.49558937876</v>
      </c>
      <c r="V2101" s="479">
        <f t="shared" si="154"/>
        <v>1038156.777743921</v>
      </c>
      <c r="W2101" s="559"/>
      <c r="X2101" s="559"/>
    </row>
    <row r="2102" spans="1:24" x14ac:dyDescent="0.25">
      <c r="A2102" s="553">
        <f t="shared" si="153"/>
        <v>1026711.9076599015</v>
      </c>
      <c r="B2102" s="3">
        <f t="shared" si="156"/>
        <v>7.2999999999999918</v>
      </c>
      <c r="C2102" s="553">
        <f>'Foglio deposito bis'!$E$161/sezione!$B$247*B2102</f>
        <v>29.635429764754836</v>
      </c>
      <c r="D2102" s="611">
        <f>-'Progetto del paramento slu'!$G$47*'Progetto del paramento slu'!$G$41*IF(DATI!$G$218="dx",DATI!$E$61,DATI!$E$64*DATI!$E$63)*1000*C2102^2*sezione!$AD$5*(1-sezione!$AD$6)</f>
        <v>-7229825.385734926</v>
      </c>
      <c r="E2102" s="553">
        <f>-'Foglio deposito bis'!$F$78*(C2102-sezione!$AL$35)*IF(ABS(K2102)&lt;'Progetto del paramento slu'!$G$58,ABS(K2102)*'Progetto del paramento slu'!$G$54,'Progetto del paramento slu'!$G$53)</f>
        <v>0</v>
      </c>
      <c r="F2102" s="553">
        <f>-'Foglio deposito bis'!$F$79*(C2102-sezione!$AM$35)*IF(ABS(L2102)&lt;'Progetto del paramento slu'!$G$58,ABS(L2102)*'Progetto del paramento slu'!$G$54,'Progetto del paramento slu'!$G$53)</f>
        <v>18495804.600173097</v>
      </c>
      <c r="G2102" s="553">
        <f>-'Foglio deposito bis'!$F$80*(C2102-sezione!$AN$35)*IF(ABS(M2102)&lt;'Progetto del paramento slu'!$G$58,ABS(M2102)*'Progetto del paramento slu'!$G$54,'Progetto del paramento slu'!$G$53)</f>
        <v>0</v>
      </c>
      <c r="H2102" s="553">
        <f>-'Foglio deposito bis'!$F$81*(C2102-sezione!$AO$35)*IF(ABS(N2102)&lt;'Progetto del paramento slu'!$G$58,ABS(N2102)*'Progetto del paramento slu'!$G$54,'Progetto del paramento slu'!$G$53)</f>
        <v>123617994.81907861</v>
      </c>
      <c r="I2102" s="479">
        <f>-'Foglio deposito bis'!$F$82*(C2102-sezione!$AP$35)*IF(ABS(O2102)&lt;'Progetto del paramento slu'!$G$58,ABS(O2102)*'Progetto del paramento slu'!$G$54,'Progetto del paramento slu'!$G$53)</f>
        <v>205604160.35341898</v>
      </c>
      <c r="J2102" s="479">
        <f t="shared" si="152"/>
        <v>340488134.38693571</v>
      </c>
      <c r="K2102" s="558">
        <f>'Progetto del paramento slu'!$G$60*(sezione!$AL$35-C2102)/C2102</f>
        <v>1.2240752407275972E-3</v>
      </c>
      <c r="L2102" s="558">
        <f>'Progetto del paramento slu'!$G$60*(sezione!$AM$35-C2102)/C2102</f>
        <v>1.4215282152728491E-2</v>
      </c>
      <c r="M2102" s="559">
        <f>'Progetto del paramento slu'!$G$60*(sezione!$AN$35-C2102)/C2102</f>
        <v>2.7206489064729382E-2</v>
      </c>
      <c r="N2102" s="559">
        <f>'Progetto del paramento slu'!$G$60*(sezione!$AO$35-C2102)/C2102</f>
        <v>3.6654639546184579E-2</v>
      </c>
      <c r="O2102" s="559">
        <f>'Progetto del paramento slu'!$G$60*(sezione!$AP$35-C2102)/C2102</f>
        <v>2.7207431608587487E-2</v>
      </c>
      <c r="P2102" s="553">
        <f>-'Progetto del paramento slu'!$G$47*'Progetto del paramento slu'!$G$41*IF(DATI!$G$218="dx",DATI!$E$61,DATI!$E$64*DATI!$E$63)*1000*C2102*sezione!$AD$5</f>
        <v>-417737.75806671003</v>
      </c>
      <c r="Q2102" s="553">
        <f>'Foglio deposito bis'!$F$78*IF(ABS(K2102)&lt;'Progetto del paramento slu'!$G$58,ABS(K2102)*'Progetto del paramento slu'!$G$54,'Progetto del paramento slu'!$G$53)*IF(K2102&lt;0,-1,1)</f>
        <v>0</v>
      </c>
      <c r="R2102" s="553">
        <f>'Foglio deposito bis'!$F$79*IF(ABS(L2102)&lt;'Progetto del paramento slu'!$G$58,ABS(L2102)*'Progetto del paramento slu'!$G$54,'Progetto del paramento slu'!$G$53)*IF(L2102&lt;0,-1,1)</f>
        <v>153664.85805602249</v>
      </c>
      <c r="S2102" s="553">
        <f>'Foglio deposito bis'!$F$80*IF(ABS(M2102)&lt;'Progetto del paramento slu'!$G$58,ABS(M2102)*'Progetto del paramento slu'!$G$54,'Progetto del paramento slu'!$G$53)*IF(M2102&lt;0,-1,1)</f>
        <v>0</v>
      </c>
      <c r="T2102" s="553">
        <f>'Foglio deposito bis'!$F$81*IF(ABS(N2102)&lt;'Progetto del paramento slu'!$G$58,ABS(N2102)*'Progetto del paramento slu'!$G$54,'Progetto del paramento slu'!$G$53)*IF(N2102&lt;0,-1,1)</f>
        <v>398299.31208121032</v>
      </c>
      <c r="U2102" s="553">
        <f>'Foglio deposito bis'!$F$82*IF(ABS(O2102)&lt;'Progetto del paramento slu'!$G$58,ABS(O2102)*'Progetto del paramento slu'!$G$54,'Progetto del paramento slu'!$G$53)*IF(O2102&lt;0,-1,1)</f>
        <v>892485.49558937876</v>
      </c>
      <c r="V2102" s="479">
        <f t="shared" si="154"/>
        <v>1026711.9076599015</v>
      </c>
      <c r="W2102" s="559"/>
      <c r="X2102" s="559"/>
    </row>
    <row r="2103" spans="1:24" x14ac:dyDescent="0.25">
      <c r="A2103" s="553">
        <f t="shared" si="153"/>
        <v>1015267.0375758819</v>
      </c>
      <c r="B2103" s="3">
        <f t="shared" si="156"/>
        <v>7.499999999999992</v>
      </c>
      <c r="C2103" s="553">
        <f>'Foglio deposito bis'!$E$161/sezione!$B$247*B2103</f>
        <v>30.447359347350861</v>
      </c>
      <c r="D2103" s="611">
        <f>-'Progetto del paramento slu'!$G$47*'Progetto del paramento slu'!$G$41*IF(DATI!$G$218="dx",DATI!$E$61,DATI!$E$64*DATI!$E$63)*1000*C2103^2*sezione!$AD$5*(1-sezione!$AD$6)</f>
        <v>-7631406.9796883045</v>
      </c>
      <c r="E2103" s="553">
        <f>-'Foglio deposito bis'!$F$78*(C2103-sezione!$AL$35)*IF(ABS(K2103)&lt;'Progetto del paramento slu'!$G$58,ABS(K2103)*'Progetto del paramento slu'!$G$54,'Progetto del paramento slu'!$G$53)</f>
        <v>0</v>
      </c>
      <c r="F2103" s="553">
        <f>-'Foglio deposito bis'!$F$79*(C2103-sezione!$AM$35)*IF(ABS(L2103)&lt;'Progetto del paramento slu'!$G$58,ABS(L2103)*'Progetto del paramento slu'!$G$54,'Progetto del paramento slu'!$G$53)</f>
        <v>18371039.556111995</v>
      </c>
      <c r="G2103" s="553">
        <f>-'Foglio deposito bis'!$F$80*(C2103-sezione!$AN$35)*IF(ABS(M2103)&lt;'Progetto del paramento slu'!$G$58,ABS(M2103)*'Progetto del paramento slu'!$G$54,'Progetto del paramento slu'!$G$53)</f>
        <v>0</v>
      </c>
      <c r="H2103" s="553">
        <f>-'Foglio deposito bis'!$F$81*(C2103-sezione!$AO$35)*IF(ABS(N2103)&lt;'Progetto del paramento slu'!$G$58,ABS(N2103)*'Progetto del paramento slu'!$G$54,'Progetto del paramento slu'!$G$53)</f>
        <v>123294603.82487226</v>
      </c>
      <c r="I2103" s="479">
        <f>-'Foglio deposito bis'!$F$82*(C2103-sezione!$AP$35)*IF(ABS(O2103)&lt;'Progetto del paramento slu'!$G$58,ABS(O2103)*'Progetto del paramento slu'!$G$54,'Progetto del paramento slu'!$G$53)</f>
        <v>204879524.97751209</v>
      </c>
      <c r="J2103" s="479">
        <f t="shared" si="152"/>
        <v>338913761.37880802</v>
      </c>
      <c r="K2103" s="558">
        <f>'Progetto del paramento slu'!$G$60*(sezione!$AL$35-C2103)/C2103</f>
        <v>1.0980999009748609E-3</v>
      </c>
      <c r="L2103" s="558">
        <f>'Progetto del paramento slu'!$G$60*(sezione!$AM$35-C2103)/C2103</f>
        <v>1.3742874628655727E-2</v>
      </c>
      <c r="M2103" s="559">
        <f>'Progetto del paramento slu'!$G$60*(sezione!$AN$35-C2103)/C2103</f>
        <v>2.6387649356336595E-2</v>
      </c>
      <c r="N2103" s="559">
        <f>'Progetto del paramento slu'!$G$60*(sezione!$AO$35-C2103)/C2103</f>
        <v>3.5583849158286315E-2</v>
      </c>
      <c r="O2103" s="559">
        <f>'Progetto del paramento slu'!$G$60*(sezione!$AP$35-C2103)/C2103</f>
        <v>2.6388566765691818E-2</v>
      </c>
      <c r="P2103" s="553">
        <f>-'Progetto del paramento slu'!$G$47*'Progetto del paramento slu'!$G$41*IF(DATI!$G$218="dx",DATI!$E$61,DATI!$E$64*DATI!$E$63)*1000*C2103*sezione!$AD$5</f>
        <v>-429182.62815072958</v>
      </c>
      <c r="Q2103" s="553">
        <f>'Foglio deposito bis'!$F$78*IF(ABS(K2103)&lt;'Progetto del paramento slu'!$G$58,ABS(K2103)*'Progetto del paramento slu'!$G$54,'Progetto del paramento slu'!$G$53)*IF(K2103&lt;0,-1,1)</f>
        <v>0</v>
      </c>
      <c r="R2103" s="553">
        <f>'Foglio deposito bis'!$F$79*IF(ABS(L2103)&lt;'Progetto del paramento slu'!$G$58,ABS(L2103)*'Progetto del paramento slu'!$G$54,'Progetto del paramento slu'!$G$53)*IF(L2103&lt;0,-1,1)</f>
        <v>153664.85805602249</v>
      </c>
      <c r="S2103" s="553">
        <f>'Foglio deposito bis'!$F$80*IF(ABS(M2103)&lt;'Progetto del paramento slu'!$G$58,ABS(M2103)*'Progetto del paramento slu'!$G$54,'Progetto del paramento slu'!$G$53)*IF(M2103&lt;0,-1,1)</f>
        <v>0</v>
      </c>
      <c r="T2103" s="553">
        <f>'Foglio deposito bis'!$F$81*IF(ABS(N2103)&lt;'Progetto del paramento slu'!$G$58,ABS(N2103)*'Progetto del paramento slu'!$G$54,'Progetto del paramento slu'!$G$53)*IF(N2103&lt;0,-1,1)</f>
        <v>398299.31208121032</v>
      </c>
      <c r="U2103" s="553">
        <f>'Foglio deposito bis'!$F$82*IF(ABS(O2103)&lt;'Progetto del paramento slu'!$G$58,ABS(O2103)*'Progetto del paramento slu'!$G$54,'Progetto del paramento slu'!$G$53)*IF(O2103&lt;0,-1,1)</f>
        <v>892485.49558937876</v>
      </c>
      <c r="V2103" s="479">
        <f t="shared" si="154"/>
        <v>1015267.0375758819</v>
      </c>
      <c r="W2103" s="559"/>
      <c r="X2103" s="559"/>
    </row>
    <row r="2104" spans="1:24" x14ac:dyDescent="0.25">
      <c r="A2104" s="553">
        <f t="shared" si="153"/>
        <v>1003822.1674918626</v>
      </c>
      <c r="B2104" s="3">
        <f t="shared" si="156"/>
        <v>7.6999999999999922</v>
      </c>
      <c r="C2104" s="553">
        <f>'Foglio deposito bis'!$E$161/sezione!$B$247*B2104</f>
        <v>31.259288929946884</v>
      </c>
      <c r="D2104" s="611">
        <f>-'Progetto del paramento slu'!$G$47*'Progetto del paramento slu'!$G$41*IF(DATI!$G$218="dx",DATI!$E$61,DATI!$E$64*DATI!$E$63)*1000*C2104^2*sezione!$AD$5*(1-sezione!$AD$6)</f>
        <v>-8043842.1302350136</v>
      </c>
      <c r="E2104" s="553">
        <f>-'Foglio deposito bis'!$F$78*(C2104-sezione!$AL$35)*IF(ABS(K2104)&lt;'Progetto del paramento slu'!$G$58,ABS(K2104)*'Progetto del paramento slu'!$G$54,'Progetto del paramento slu'!$G$53)</f>
        <v>0</v>
      </c>
      <c r="F2104" s="553">
        <f>-'Foglio deposito bis'!$F$79*(C2104-sezione!$AM$35)*IF(ABS(L2104)&lt;'Progetto del paramento slu'!$G$58,ABS(L2104)*'Progetto del paramento slu'!$G$54,'Progetto del paramento slu'!$G$53)</f>
        <v>18246274.512050893</v>
      </c>
      <c r="G2104" s="553">
        <f>-'Foglio deposito bis'!$F$80*(C2104-sezione!$AN$35)*IF(ABS(M2104)&lt;'Progetto del paramento slu'!$G$58,ABS(M2104)*'Progetto del paramento slu'!$G$54,'Progetto del paramento slu'!$G$53)</f>
        <v>0</v>
      </c>
      <c r="H2104" s="553">
        <f>-'Foglio deposito bis'!$F$81*(C2104-sezione!$AO$35)*IF(ABS(N2104)&lt;'Progetto del paramento slu'!$G$58,ABS(N2104)*'Progetto del paramento slu'!$G$54,'Progetto del paramento slu'!$G$53)</f>
        <v>122971212.83066587</v>
      </c>
      <c r="I2104" s="479">
        <f>-'Foglio deposito bis'!$F$82*(C2104-sezione!$AP$35)*IF(ABS(O2104)&lt;'Progetto del paramento slu'!$G$58,ABS(O2104)*'Progetto del paramento slu'!$G$54,'Progetto del paramento slu'!$G$53)</f>
        <v>204154889.60160521</v>
      </c>
      <c r="J2104" s="479">
        <f t="shared" si="152"/>
        <v>337328534.81408697</v>
      </c>
      <c r="K2104" s="558">
        <f>'Progetto del paramento slu'!$G$60*(sezione!$AL$35-C2104)/C2104</f>
        <v>9.7866873471577371E-4</v>
      </c>
      <c r="L2104" s="558">
        <f>'Progetto del paramento slu'!$G$60*(sezione!$AM$35-C2104)/C2104</f>
        <v>1.3295007755184152E-2</v>
      </c>
      <c r="M2104" s="559">
        <f>'Progetto del paramento slu'!$G$60*(sezione!$AN$35-C2104)/C2104</f>
        <v>2.5611346775652532E-2</v>
      </c>
      <c r="N2104" s="559">
        <f>'Progetto del paramento slu'!$G$60*(sezione!$AO$35-C2104)/C2104</f>
        <v>3.4568684245084073E-2</v>
      </c>
      <c r="O2104" s="559">
        <f>'Progetto del paramento slu'!$G$60*(sezione!$AP$35-C2104)/C2104</f>
        <v>2.561224035619333E-2</v>
      </c>
      <c r="P2104" s="553">
        <f>-'Progetto del paramento slu'!$G$47*'Progetto del paramento slu'!$G$41*IF(DATI!$G$218="dx",DATI!$E$61,DATI!$E$64*DATI!$E$63)*1000*C2104*sezione!$AD$5</f>
        <v>-440627.49823474901</v>
      </c>
      <c r="Q2104" s="553">
        <f>'Foglio deposito bis'!$F$78*IF(ABS(K2104)&lt;'Progetto del paramento slu'!$G$58,ABS(K2104)*'Progetto del paramento slu'!$G$54,'Progetto del paramento slu'!$G$53)*IF(K2104&lt;0,-1,1)</f>
        <v>0</v>
      </c>
      <c r="R2104" s="553">
        <f>'Foglio deposito bis'!$F$79*IF(ABS(L2104)&lt;'Progetto del paramento slu'!$G$58,ABS(L2104)*'Progetto del paramento slu'!$G$54,'Progetto del paramento slu'!$G$53)*IF(L2104&lt;0,-1,1)</f>
        <v>153664.85805602249</v>
      </c>
      <c r="S2104" s="553">
        <f>'Foglio deposito bis'!$F$80*IF(ABS(M2104)&lt;'Progetto del paramento slu'!$G$58,ABS(M2104)*'Progetto del paramento slu'!$G$54,'Progetto del paramento slu'!$G$53)*IF(M2104&lt;0,-1,1)</f>
        <v>0</v>
      </c>
      <c r="T2104" s="553">
        <f>'Foglio deposito bis'!$F$81*IF(ABS(N2104)&lt;'Progetto del paramento slu'!$G$58,ABS(N2104)*'Progetto del paramento slu'!$G$54,'Progetto del paramento slu'!$G$53)*IF(N2104&lt;0,-1,1)</f>
        <v>398299.31208121032</v>
      </c>
      <c r="U2104" s="553">
        <f>'Foglio deposito bis'!$F$82*IF(ABS(O2104)&lt;'Progetto del paramento slu'!$G$58,ABS(O2104)*'Progetto del paramento slu'!$G$54,'Progetto del paramento slu'!$G$53)*IF(O2104&lt;0,-1,1)</f>
        <v>892485.49558937876</v>
      </c>
      <c r="V2104" s="479">
        <f t="shared" si="154"/>
        <v>1003822.1674918626</v>
      </c>
      <c r="W2104" s="559"/>
      <c r="X2104" s="559"/>
    </row>
    <row r="2105" spans="1:24" x14ac:dyDescent="0.25">
      <c r="A2105" s="553">
        <f t="shared" si="153"/>
        <v>992377.29740784306</v>
      </c>
      <c r="B2105" s="3">
        <f t="shared" si="156"/>
        <v>7.8999999999999924</v>
      </c>
      <c r="C2105" s="553">
        <f>'Foglio deposito bis'!$E$161/sezione!$B$247*B2105</f>
        <v>32.071218512542913</v>
      </c>
      <c r="D2105" s="611">
        <f>-'Progetto del paramento slu'!$G$47*'Progetto del paramento slu'!$G$41*IF(DATI!$G$218="dx",DATI!$E$61,DATI!$E$64*DATI!$E$63)*1000*C2105^2*sezione!$AD$5*(1-sezione!$AD$6)</f>
        <v>-8467130.8373750616</v>
      </c>
      <c r="E2105" s="553">
        <f>-'Foglio deposito bis'!$F$78*(C2105-sezione!$AL$35)*IF(ABS(K2105)&lt;'Progetto del paramento slu'!$G$58,ABS(K2105)*'Progetto del paramento slu'!$G$54,'Progetto del paramento slu'!$G$53)</f>
        <v>0</v>
      </c>
      <c r="F2105" s="553">
        <f>-'Foglio deposito bis'!$F$79*(C2105-sezione!$AM$35)*IF(ABS(L2105)&lt;'Progetto del paramento slu'!$G$58,ABS(L2105)*'Progetto del paramento slu'!$G$54,'Progetto del paramento slu'!$G$53)</f>
        <v>18121509.467989787</v>
      </c>
      <c r="G2105" s="553">
        <f>-'Foglio deposito bis'!$F$80*(C2105-sezione!$AN$35)*IF(ABS(M2105)&lt;'Progetto del paramento slu'!$G$58,ABS(M2105)*'Progetto del paramento slu'!$G$54,'Progetto del paramento slu'!$G$53)</f>
        <v>0</v>
      </c>
      <c r="H2105" s="553">
        <f>-'Foglio deposito bis'!$F$81*(C2105-sezione!$AO$35)*IF(ABS(N2105)&lt;'Progetto del paramento slu'!$G$58,ABS(N2105)*'Progetto del paramento slu'!$G$54,'Progetto del paramento slu'!$G$53)</f>
        <v>122647821.83645947</v>
      </c>
      <c r="I2105" s="479">
        <f>-'Foglio deposito bis'!$F$82*(C2105-sezione!$AP$35)*IF(ABS(O2105)&lt;'Progetto del paramento slu'!$G$58,ABS(O2105)*'Progetto del paramento slu'!$G$54,'Progetto del paramento slu'!$G$53)</f>
        <v>203430254.22569832</v>
      </c>
      <c r="J2105" s="479">
        <f t="shared" si="152"/>
        <v>335732454.69277251</v>
      </c>
      <c r="K2105" s="558">
        <f>'Progetto del paramento slu'!$G$60*(sezione!$AL$35-C2105)/C2105</f>
        <v>8.6528471611537351E-4</v>
      </c>
      <c r="L2105" s="558">
        <f>'Progetto del paramento slu'!$G$60*(sezione!$AM$35-C2105)/C2105</f>
        <v>1.2869817685432652E-2</v>
      </c>
      <c r="M2105" s="559">
        <f>'Progetto del paramento slu'!$G$60*(sezione!$AN$35-C2105)/C2105</f>
        <v>2.4874350654749928E-2</v>
      </c>
      <c r="N2105" s="559">
        <f>'Progetto del paramento slu'!$G$60*(sezione!$AO$35-C2105)/C2105</f>
        <v>3.3604920086980676E-2</v>
      </c>
      <c r="O2105" s="559">
        <f>'Progetto del paramento slu'!$G$60*(sezione!$AP$35-C2105)/C2105</f>
        <v>2.4875221612998558E-2</v>
      </c>
      <c r="P2105" s="553">
        <f>-'Progetto del paramento slu'!$G$47*'Progetto del paramento slu'!$G$41*IF(DATI!$G$218="dx",DATI!$E$61,DATI!$E$64*DATI!$E$63)*1000*C2105*sezione!$AD$5</f>
        <v>-452072.36831876851</v>
      </c>
      <c r="Q2105" s="553">
        <f>'Foglio deposito bis'!$F$78*IF(ABS(K2105)&lt;'Progetto del paramento slu'!$G$58,ABS(K2105)*'Progetto del paramento slu'!$G$54,'Progetto del paramento slu'!$G$53)*IF(K2105&lt;0,-1,1)</f>
        <v>0</v>
      </c>
      <c r="R2105" s="553">
        <f>'Foglio deposito bis'!$F$79*IF(ABS(L2105)&lt;'Progetto del paramento slu'!$G$58,ABS(L2105)*'Progetto del paramento slu'!$G$54,'Progetto del paramento slu'!$G$53)*IF(L2105&lt;0,-1,1)</f>
        <v>153664.85805602249</v>
      </c>
      <c r="S2105" s="553">
        <f>'Foglio deposito bis'!$F$80*IF(ABS(M2105)&lt;'Progetto del paramento slu'!$G$58,ABS(M2105)*'Progetto del paramento slu'!$G$54,'Progetto del paramento slu'!$G$53)*IF(M2105&lt;0,-1,1)</f>
        <v>0</v>
      </c>
      <c r="T2105" s="553">
        <f>'Foglio deposito bis'!$F$81*IF(ABS(N2105)&lt;'Progetto del paramento slu'!$G$58,ABS(N2105)*'Progetto del paramento slu'!$G$54,'Progetto del paramento slu'!$G$53)*IF(N2105&lt;0,-1,1)</f>
        <v>398299.31208121032</v>
      </c>
      <c r="U2105" s="553">
        <f>'Foglio deposito bis'!$F$82*IF(ABS(O2105)&lt;'Progetto del paramento slu'!$G$58,ABS(O2105)*'Progetto del paramento slu'!$G$54,'Progetto del paramento slu'!$G$53)*IF(O2105&lt;0,-1,1)</f>
        <v>892485.49558937876</v>
      </c>
      <c r="V2105" s="479">
        <f t="shared" si="154"/>
        <v>992377.29740784306</v>
      </c>
      <c r="W2105" s="559"/>
      <c r="X2105" s="559"/>
    </row>
    <row r="2106" spans="1:24" x14ac:dyDescent="0.25">
      <c r="A2106" s="553">
        <f t="shared" si="153"/>
        <v>980932.42732382356</v>
      </c>
      <c r="B2106" s="3">
        <f t="shared" si="156"/>
        <v>8.0999999999999925</v>
      </c>
      <c r="C2106" s="553">
        <f>'Foglio deposito bis'!$E$161/sezione!$B$247*B2106</f>
        <v>32.883148095138935</v>
      </c>
      <c r="D2106" s="611">
        <f>-'Progetto del paramento slu'!$G$47*'Progetto del paramento slu'!$G$41*IF(DATI!$G$218="dx",DATI!$E$61,DATI!$E$64*DATI!$E$63)*1000*C2106^2*sezione!$AD$5*(1-sezione!$AD$6)</f>
        <v>-8901273.1011084393</v>
      </c>
      <c r="E2106" s="553">
        <f>-'Foglio deposito bis'!$F$78*(C2106-sezione!$AL$35)*IF(ABS(K2106)&lt;'Progetto del paramento slu'!$G$58,ABS(K2106)*'Progetto del paramento slu'!$G$54,'Progetto del paramento slu'!$G$53)</f>
        <v>0</v>
      </c>
      <c r="F2106" s="553">
        <f>-'Foglio deposito bis'!$F$79*(C2106-sezione!$AM$35)*IF(ABS(L2106)&lt;'Progetto del paramento slu'!$G$58,ABS(L2106)*'Progetto del paramento slu'!$G$54,'Progetto del paramento slu'!$G$53)</f>
        <v>17996744.423928682</v>
      </c>
      <c r="G2106" s="553">
        <f>-'Foglio deposito bis'!$F$80*(C2106-sezione!$AN$35)*IF(ABS(M2106)&lt;'Progetto del paramento slu'!$G$58,ABS(M2106)*'Progetto del paramento slu'!$G$54,'Progetto del paramento slu'!$G$53)</f>
        <v>0</v>
      </c>
      <c r="H2106" s="553">
        <f>-'Foglio deposito bis'!$F$81*(C2106-sezione!$AO$35)*IF(ABS(N2106)&lt;'Progetto del paramento slu'!$G$58,ABS(N2106)*'Progetto del paramento slu'!$G$54,'Progetto del paramento slu'!$G$53)</f>
        <v>122324430.8422531</v>
      </c>
      <c r="I2106" s="479">
        <f>-'Foglio deposito bis'!$F$82*(C2106-sezione!$AP$35)*IF(ABS(O2106)&lt;'Progetto del paramento slu'!$G$58,ABS(O2106)*'Progetto del paramento slu'!$G$54,'Progetto del paramento slu'!$G$53)</f>
        <v>202705618.84979141</v>
      </c>
      <c r="J2106" s="479">
        <f t="shared" si="152"/>
        <v>334125521.01486474</v>
      </c>
      <c r="K2106" s="558">
        <f>'Progetto del paramento slu'!$G$60*(sezione!$AL$35-C2106)/C2106</f>
        <v>7.5749990831005566E-4</v>
      </c>
      <c r="L2106" s="558">
        <f>'Progetto del paramento slu'!$G$60*(sezione!$AM$35-C2106)/C2106</f>
        <v>1.2465624656162709E-2</v>
      </c>
      <c r="M2106" s="559">
        <f>'Progetto del paramento slu'!$G$60*(sezione!$AN$35-C2106)/C2106</f>
        <v>2.4173749404015364E-2</v>
      </c>
      <c r="N2106" s="559">
        <f>'Progetto del paramento slu'!$G$60*(sezione!$AO$35-C2106)/C2106</f>
        <v>3.2688749220635471E-2</v>
      </c>
      <c r="O2106" s="559">
        <f>'Progetto del paramento slu'!$G$60*(sezione!$AP$35-C2106)/C2106</f>
        <v>2.4174598857122049E-2</v>
      </c>
      <c r="P2106" s="553">
        <f>-'Progetto del paramento slu'!$G$47*'Progetto del paramento slu'!$G$41*IF(DATI!$G$218="dx",DATI!$E$61,DATI!$E$64*DATI!$E$63)*1000*C2106*sezione!$AD$5</f>
        <v>-463517.23840278795</v>
      </c>
      <c r="Q2106" s="553">
        <f>'Foglio deposito bis'!$F$78*IF(ABS(K2106)&lt;'Progetto del paramento slu'!$G$58,ABS(K2106)*'Progetto del paramento slu'!$G$54,'Progetto del paramento slu'!$G$53)*IF(K2106&lt;0,-1,1)</f>
        <v>0</v>
      </c>
      <c r="R2106" s="553">
        <f>'Foglio deposito bis'!$F$79*IF(ABS(L2106)&lt;'Progetto del paramento slu'!$G$58,ABS(L2106)*'Progetto del paramento slu'!$G$54,'Progetto del paramento slu'!$G$53)*IF(L2106&lt;0,-1,1)</f>
        <v>153664.85805602249</v>
      </c>
      <c r="S2106" s="553">
        <f>'Foglio deposito bis'!$F$80*IF(ABS(M2106)&lt;'Progetto del paramento slu'!$G$58,ABS(M2106)*'Progetto del paramento slu'!$G$54,'Progetto del paramento slu'!$G$53)*IF(M2106&lt;0,-1,1)</f>
        <v>0</v>
      </c>
      <c r="T2106" s="553">
        <f>'Foglio deposito bis'!$F$81*IF(ABS(N2106)&lt;'Progetto del paramento slu'!$G$58,ABS(N2106)*'Progetto del paramento slu'!$G$54,'Progetto del paramento slu'!$G$53)*IF(N2106&lt;0,-1,1)</f>
        <v>398299.31208121032</v>
      </c>
      <c r="U2106" s="553">
        <f>'Foglio deposito bis'!$F$82*IF(ABS(O2106)&lt;'Progetto del paramento slu'!$G$58,ABS(O2106)*'Progetto del paramento slu'!$G$54,'Progetto del paramento slu'!$G$53)*IF(O2106&lt;0,-1,1)</f>
        <v>892485.49558937876</v>
      </c>
      <c r="V2106" s="479">
        <f t="shared" si="154"/>
        <v>980932.42732382356</v>
      </c>
      <c r="W2106" s="559"/>
      <c r="X2106" s="559"/>
    </row>
    <row r="2107" spans="1:24" x14ac:dyDescent="0.25">
      <c r="A2107" s="553">
        <f t="shared" si="153"/>
        <v>969487.55723980418</v>
      </c>
      <c r="B2107" s="3">
        <f t="shared" si="156"/>
        <v>8.2999999999999918</v>
      </c>
      <c r="C2107" s="553">
        <f>'Foglio deposito bis'!$E$161/sezione!$B$247*B2107</f>
        <v>33.695077677734957</v>
      </c>
      <c r="D2107" s="611">
        <f>-'Progetto del paramento slu'!$G$47*'Progetto del paramento slu'!$G$41*IF(DATI!$G$218="dx",DATI!$E$61,DATI!$E$64*DATI!$E$63)*1000*C2107^2*sezione!$AD$5*(1-sezione!$AD$6)</f>
        <v>-9346268.9214351531</v>
      </c>
      <c r="E2107" s="553">
        <f>-'Foglio deposito bis'!$F$78*(C2107-sezione!$AL$35)*IF(ABS(K2107)&lt;'Progetto del paramento slu'!$G$58,ABS(K2107)*'Progetto del paramento slu'!$G$54,'Progetto del paramento slu'!$G$53)</f>
        <v>0</v>
      </c>
      <c r="F2107" s="553">
        <f>-'Foglio deposito bis'!$F$79*(C2107-sezione!$AM$35)*IF(ABS(L2107)&lt;'Progetto del paramento slu'!$G$58,ABS(L2107)*'Progetto del paramento slu'!$G$54,'Progetto del paramento slu'!$G$53)</f>
        <v>17871979.37986758</v>
      </c>
      <c r="G2107" s="553">
        <f>-'Foglio deposito bis'!$F$80*(C2107-sezione!$AN$35)*IF(ABS(M2107)&lt;'Progetto del paramento slu'!$G$58,ABS(M2107)*'Progetto del paramento slu'!$G$54,'Progetto del paramento slu'!$G$53)</f>
        <v>0</v>
      </c>
      <c r="H2107" s="553">
        <f>-'Foglio deposito bis'!$F$81*(C2107-sezione!$AO$35)*IF(ABS(N2107)&lt;'Progetto del paramento slu'!$G$58,ABS(N2107)*'Progetto del paramento slu'!$G$54,'Progetto del paramento slu'!$G$53)</f>
        <v>122001039.84804672</v>
      </c>
      <c r="I2107" s="479">
        <f>-'Foglio deposito bis'!$F$82*(C2107-sezione!$AP$35)*IF(ABS(O2107)&lt;'Progetto del paramento slu'!$G$58,ABS(O2107)*'Progetto del paramento slu'!$G$54,'Progetto del paramento slu'!$G$53)</f>
        <v>201980983.47388452</v>
      </c>
      <c r="J2107" s="479">
        <f t="shared" si="152"/>
        <v>332507733.78036368</v>
      </c>
      <c r="K2107" s="558">
        <f>'Progetto del paramento slu'!$G$60*(sezione!$AL$35-C2107)/C2107</f>
        <v>6.5490954907366898E-4</v>
      </c>
      <c r="L2107" s="558">
        <f>'Progetto del paramento slu'!$G$60*(sezione!$AM$35-C2107)/C2107</f>
        <v>1.2080910809026259E-2</v>
      </c>
      <c r="M2107" s="559">
        <f>'Progetto del paramento slu'!$G$60*(sezione!$AN$35-C2107)/C2107</f>
        <v>2.3506912068978848E-2</v>
      </c>
      <c r="N2107" s="559">
        <f>'Progetto del paramento slu'!$G$60*(sezione!$AO$35-C2107)/C2107</f>
        <v>3.1816731167126189E-2</v>
      </c>
      <c r="O2107" s="559">
        <f>'Progetto del paramento slu'!$G$60*(sezione!$AP$35-C2107)/C2107</f>
        <v>2.3507741053335977E-2</v>
      </c>
      <c r="P2107" s="553">
        <f>-'Progetto del paramento slu'!$G$47*'Progetto del paramento slu'!$G$41*IF(DATI!$G$218="dx",DATI!$E$61,DATI!$E$64*DATI!$E$63)*1000*C2107*sezione!$AD$5</f>
        <v>-474962.10848680738</v>
      </c>
      <c r="Q2107" s="553">
        <f>'Foglio deposito bis'!$F$78*IF(ABS(K2107)&lt;'Progetto del paramento slu'!$G$58,ABS(K2107)*'Progetto del paramento slu'!$G$54,'Progetto del paramento slu'!$G$53)*IF(K2107&lt;0,-1,1)</f>
        <v>0</v>
      </c>
      <c r="R2107" s="553">
        <f>'Foglio deposito bis'!$F$79*IF(ABS(L2107)&lt;'Progetto del paramento slu'!$G$58,ABS(L2107)*'Progetto del paramento slu'!$G$54,'Progetto del paramento slu'!$G$53)*IF(L2107&lt;0,-1,1)</f>
        <v>153664.85805602249</v>
      </c>
      <c r="S2107" s="553">
        <f>'Foglio deposito bis'!$F$80*IF(ABS(M2107)&lt;'Progetto del paramento slu'!$G$58,ABS(M2107)*'Progetto del paramento slu'!$G$54,'Progetto del paramento slu'!$G$53)*IF(M2107&lt;0,-1,1)</f>
        <v>0</v>
      </c>
      <c r="T2107" s="553">
        <f>'Foglio deposito bis'!$F$81*IF(ABS(N2107)&lt;'Progetto del paramento slu'!$G$58,ABS(N2107)*'Progetto del paramento slu'!$G$54,'Progetto del paramento slu'!$G$53)*IF(N2107&lt;0,-1,1)</f>
        <v>398299.31208121032</v>
      </c>
      <c r="U2107" s="553">
        <f>'Foglio deposito bis'!$F$82*IF(ABS(O2107)&lt;'Progetto del paramento slu'!$G$58,ABS(O2107)*'Progetto del paramento slu'!$G$54,'Progetto del paramento slu'!$G$53)*IF(O2107&lt;0,-1,1)</f>
        <v>892485.49558937876</v>
      </c>
      <c r="V2107" s="479">
        <f t="shared" si="154"/>
        <v>969487.55723980418</v>
      </c>
      <c r="W2107" s="559"/>
      <c r="X2107" s="559"/>
    </row>
    <row r="2108" spans="1:24" x14ac:dyDescent="0.25">
      <c r="A2108" s="553">
        <f t="shared" si="153"/>
        <v>958042.68715578481</v>
      </c>
      <c r="B2108" s="3">
        <f t="shared" si="156"/>
        <v>8.4999999999999911</v>
      </c>
      <c r="C2108" s="553">
        <f>'Foglio deposito bis'!$E$161/sezione!$B$247*B2108</f>
        <v>34.507007260330973</v>
      </c>
      <c r="D2108" s="611">
        <f>-'Progetto del paramento slu'!$G$47*'Progetto del paramento slu'!$G$41*IF(DATI!$G$218="dx",DATI!$E$61,DATI!$E$64*DATI!$E$63)*1000*C2108^2*sezione!$AD$5*(1-sezione!$AD$6)</f>
        <v>-9802118.2983551957</v>
      </c>
      <c r="E2108" s="553">
        <f>-'Foglio deposito bis'!$F$78*(C2108-sezione!$AL$35)*IF(ABS(K2108)&lt;'Progetto del paramento slu'!$G$58,ABS(K2108)*'Progetto del paramento slu'!$G$54,'Progetto del paramento slu'!$G$53)</f>
        <v>0</v>
      </c>
      <c r="F2108" s="553">
        <f>-'Foglio deposito bis'!$F$79*(C2108-sezione!$AM$35)*IF(ABS(L2108)&lt;'Progetto del paramento slu'!$G$58,ABS(L2108)*'Progetto del paramento slu'!$G$54,'Progetto del paramento slu'!$G$53)</f>
        <v>17747214.335806482</v>
      </c>
      <c r="G2108" s="553">
        <f>-'Foglio deposito bis'!$F$80*(C2108-sezione!$AN$35)*IF(ABS(M2108)&lt;'Progetto del paramento slu'!$G$58,ABS(M2108)*'Progetto del paramento slu'!$G$54,'Progetto del paramento slu'!$G$53)</f>
        <v>0</v>
      </c>
      <c r="H2108" s="553">
        <f>-'Foglio deposito bis'!$F$81*(C2108-sezione!$AO$35)*IF(ABS(N2108)&lt;'Progetto del paramento slu'!$G$58,ABS(N2108)*'Progetto del paramento slu'!$G$54,'Progetto del paramento slu'!$G$53)</f>
        <v>121677648.85384035</v>
      </c>
      <c r="I2108" s="479">
        <f>-'Foglio deposito bis'!$F$82*(C2108-sezione!$AP$35)*IF(ABS(O2108)&lt;'Progetto del paramento slu'!$G$58,ABS(O2108)*'Progetto del paramento slu'!$G$54,'Progetto del paramento slu'!$G$53)</f>
        <v>201256348.09797767</v>
      </c>
      <c r="J2108" s="479">
        <f t="shared" si="152"/>
        <v>330879092.98926932</v>
      </c>
      <c r="K2108" s="558">
        <f>'Progetto del paramento slu'!$G$60*(sezione!$AL$35-C2108)/C2108</f>
        <v>5.5714697144840708E-4</v>
      </c>
      <c r="L2108" s="558">
        <f>'Progetto del paramento slu'!$G$60*(sezione!$AM$35-C2108)/C2108</f>
        <v>1.1714301142931528E-2</v>
      </c>
      <c r="M2108" s="559">
        <f>'Progetto del paramento slu'!$G$60*(sezione!$AN$35-C2108)/C2108</f>
        <v>2.2871455314414646E-2</v>
      </c>
      <c r="N2108" s="559">
        <f>'Progetto del paramento slu'!$G$60*(sezione!$AO$35-C2108)/C2108</f>
        <v>3.098574925731146E-2</v>
      </c>
      <c r="O2108" s="559">
        <f>'Progetto del paramento slu'!$G$60*(sezione!$AP$35-C2108)/C2108</f>
        <v>2.2872264793257491E-2</v>
      </c>
      <c r="P2108" s="553">
        <f>-'Progetto del paramento slu'!$G$47*'Progetto del paramento slu'!$G$41*IF(DATI!$G$218="dx",DATI!$E$61,DATI!$E$64*DATI!$E$63)*1000*C2108*sezione!$AD$5</f>
        <v>-486406.97857082682</v>
      </c>
      <c r="Q2108" s="553">
        <f>'Foglio deposito bis'!$F$78*IF(ABS(K2108)&lt;'Progetto del paramento slu'!$G$58,ABS(K2108)*'Progetto del paramento slu'!$G$54,'Progetto del paramento slu'!$G$53)*IF(K2108&lt;0,-1,1)</f>
        <v>0</v>
      </c>
      <c r="R2108" s="553">
        <f>'Foglio deposito bis'!$F$79*IF(ABS(L2108)&lt;'Progetto del paramento slu'!$G$58,ABS(L2108)*'Progetto del paramento slu'!$G$54,'Progetto del paramento slu'!$G$53)*IF(L2108&lt;0,-1,1)</f>
        <v>153664.85805602249</v>
      </c>
      <c r="S2108" s="553">
        <f>'Foglio deposito bis'!$F$80*IF(ABS(M2108)&lt;'Progetto del paramento slu'!$G$58,ABS(M2108)*'Progetto del paramento slu'!$G$54,'Progetto del paramento slu'!$G$53)*IF(M2108&lt;0,-1,1)</f>
        <v>0</v>
      </c>
      <c r="T2108" s="553">
        <f>'Foglio deposito bis'!$F$81*IF(ABS(N2108)&lt;'Progetto del paramento slu'!$G$58,ABS(N2108)*'Progetto del paramento slu'!$G$54,'Progetto del paramento slu'!$G$53)*IF(N2108&lt;0,-1,1)</f>
        <v>398299.31208121032</v>
      </c>
      <c r="U2108" s="553">
        <f>'Foglio deposito bis'!$F$82*IF(ABS(O2108)&lt;'Progetto del paramento slu'!$G$58,ABS(O2108)*'Progetto del paramento slu'!$G$54,'Progetto del paramento slu'!$G$53)*IF(O2108&lt;0,-1,1)</f>
        <v>892485.49558937876</v>
      </c>
      <c r="V2108" s="479">
        <f t="shared" si="154"/>
        <v>958042.68715578481</v>
      </c>
      <c r="W2108" s="559"/>
      <c r="X2108" s="559"/>
    </row>
    <row r="2109" spans="1:24" x14ac:dyDescent="0.25">
      <c r="A2109" s="553">
        <f t="shared" si="153"/>
        <v>946597.81707176543</v>
      </c>
      <c r="B2109" s="3">
        <f t="shared" si="156"/>
        <v>8.6999999999999904</v>
      </c>
      <c r="C2109" s="553">
        <f>'Foglio deposito bis'!$E$161/sezione!$B$247*B2109</f>
        <v>35.318936842926995</v>
      </c>
      <c r="D2109" s="611">
        <f>-'Progetto del paramento slu'!$G$47*'Progetto del paramento slu'!$G$41*IF(DATI!$G$218="dx",DATI!$E$61,DATI!$E$64*DATI!$E$63)*1000*C2109^2*sezione!$AD$5*(1-sezione!$AD$6)</f>
        <v>-10268821.23186858</v>
      </c>
      <c r="E2109" s="553">
        <f>-'Foglio deposito bis'!$F$78*(C2109-sezione!$AL$35)*IF(ABS(K2109)&lt;'Progetto del paramento slu'!$G$58,ABS(K2109)*'Progetto del paramento slu'!$G$54,'Progetto del paramento slu'!$G$53)</f>
        <v>0</v>
      </c>
      <c r="F2109" s="553">
        <f>-'Foglio deposito bis'!$F$79*(C2109-sezione!$AM$35)*IF(ABS(L2109)&lt;'Progetto del paramento slu'!$G$58,ABS(L2109)*'Progetto del paramento slu'!$G$54,'Progetto del paramento slu'!$G$53)</f>
        <v>17622449.291745372</v>
      </c>
      <c r="G2109" s="553">
        <f>-'Foglio deposito bis'!$F$80*(C2109-sezione!$AN$35)*IF(ABS(M2109)&lt;'Progetto del paramento slu'!$G$58,ABS(M2109)*'Progetto del paramento slu'!$G$54,'Progetto del paramento slu'!$G$53)</f>
        <v>0</v>
      </c>
      <c r="H2109" s="553">
        <f>-'Foglio deposito bis'!$F$81*(C2109-sezione!$AO$35)*IF(ABS(N2109)&lt;'Progetto del paramento slu'!$G$58,ABS(N2109)*'Progetto del paramento slu'!$G$54,'Progetto del paramento slu'!$G$53)</f>
        <v>121354257.85963398</v>
      </c>
      <c r="I2109" s="479">
        <f>-'Foglio deposito bis'!$F$82*(C2109-sezione!$AP$35)*IF(ABS(O2109)&lt;'Progetto del paramento slu'!$G$58,ABS(O2109)*'Progetto del paramento slu'!$G$54,'Progetto del paramento slu'!$G$53)</f>
        <v>200531712.72207075</v>
      </c>
      <c r="J2109" s="479">
        <f t="shared" si="152"/>
        <v>329239598.64158154</v>
      </c>
      <c r="K2109" s="558">
        <f>'Progetto del paramento slu'!$G$60*(sezione!$AL$35-C2109)/C2109</f>
        <v>4.6387922497832888E-4</v>
      </c>
      <c r="L2109" s="558">
        <f>'Progetto del paramento slu'!$G$60*(sezione!$AM$35-C2109)/C2109</f>
        <v>1.1364547093668733E-2</v>
      </c>
      <c r="M2109" s="559">
        <f>'Progetto del paramento slu'!$G$60*(sezione!$AN$35-C2109)/C2109</f>
        <v>2.2265214962359139E-2</v>
      </c>
      <c r="N2109" s="559">
        <f>'Progetto del paramento slu'!$G$60*(sezione!$AO$35-C2109)/C2109</f>
        <v>3.0192973412315794E-2</v>
      </c>
      <c r="O2109" s="559">
        <f>'Progetto del paramento slu'!$G$60*(sezione!$AP$35-C2109)/C2109</f>
        <v>2.2266005832492948E-2</v>
      </c>
      <c r="P2109" s="553">
        <f>-'Progetto del paramento slu'!$G$47*'Progetto del paramento slu'!$G$41*IF(DATI!$G$218="dx",DATI!$E$61,DATI!$E$64*DATI!$E$63)*1000*C2109*sezione!$AD$5</f>
        <v>-497851.8486548462</v>
      </c>
      <c r="Q2109" s="553">
        <f>'Foglio deposito bis'!$F$78*IF(ABS(K2109)&lt;'Progetto del paramento slu'!$G$58,ABS(K2109)*'Progetto del paramento slu'!$G$54,'Progetto del paramento slu'!$G$53)*IF(K2109&lt;0,-1,1)</f>
        <v>0</v>
      </c>
      <c r="R2109" s="553">
        <f>'Foglio deposito bis'!$F$79*IF(ABS(L2109)&lt;'Progetto del paramento slu'!$G$58,ABS(L2109)*'Progetto del paramento slu'!$G$54,'Progetto del paramento slu'!$G$53)*IF(L2109&lt;0,-1,1)</f>
        <v>153664.85805602249</v>
      </c>
      <c r="S2109" s="553">
        <f>'Foglio deposito bis'!$F$80*IF(ABS(M2109)&lt;'Progetto del paramento slu'!$G$58,ABS(M2109)*'Progetto del paramento slu'!$G$54,'Progetto del paramento slu'!$G$53)*IF(M2109&lt;0,-1,1)</f>
        <v>0</v>
      </c>
      <c r="T2109" s="553">
        <f>'Foglio deposito bis'!$F$81*IF(ABS(N2109)&lt;'Progetto del paramento slu'!$G$58,ABS(N2109)*'Progetto del paramento slu'!$G$54,'Progetto del paramento slu'!$G$53)*IF(N2109&lt;0,-1,1)</f>
        <v>398299.31208121032</v>
      </c>
      <c r="U2109" s="553">
        <f>'Foglio deposito bis'!$F$82*IF(ABS(O2109)&lt;'Progetto del paramento slu'!$G$58,ABS(O2109)*'Progetto del paramento slu'!$G$54,'Progetto del paramento slu'!$G$53)*IF(O2109&lt;0,-1,1)</f>
        <v>892485.49558937876</v>
      </c>
      <c r="V2109" s="479">
        <f t="shared" si="154"/>
        <v>946597.81707176543</v>
      </c>
      <c r="W2109" s="559"/>
      <c r="X2109" s="559"/>
    </row>
    <row r="2110" spans="1:24" x14ac:dyDescent="0.25">
      <c r="A2110" s="553">
        <f t="shared" si="153"/>
        <v>935152.94698774593</v>
      </c>
      <c r="B2110" s="3">
        <f t="shared" si="156"/>
        <v>8.8999999999999897</v>
      </c>
      <c r="C2110" s="553">
        <f>'Foglio deposito bis'!$E$161/sezione!$B$247*B2110</f>
        <v>36.130866425523017</v>
      </c>
      <c r="D2110" s="611">
        <f>-'Progetto del paramento slu'!$G$47*'Progetto del paramento slu'!$G$41*IF(DATI!$G$218="dx",DATI!$E$61,DATI!$E$64*DATI!$E$63)*1000*C2110^2*sezione!$AD$5*(1-sezione!$AD$6)</f>
        <v>-10746377.721975295</v>
      </c>
      <c r="E2110" s="553">
        <f>-'Foglio deposito bis'!$F$78*(C2110-sezione!$AL$35)*IF(ABS(K2110)&lt;'Progetto del paramento slu'!$G$58,ABS(K2110)*'Progetto del paramento slu'!$G$54,'Progetto del paramento slu'!$G$53)</f>
        <v>0</v>
      </c>
      <c r="F2110" s="553">
        <f>-'Foglio deposito bis'!$F$79*(C2110-sezione!$AM$35)*IF(ABS(L2110)&lt;'Progetto del paramento slu'!$G$58,ABS(L2110)*'Progetto del paramento slu'!$G$54,'Progetto del paramento slu'!$G$53)</f>
        <v>17497684.24768427</v>
      </c>
      <c r="G2110" s="553">
        <f>-'Foglio deposito bis'!$F$80*(C2110-sezione!$AN$35)*IF(ABS(M2110)&lt;'Progetto del paramento slu'!$G$58,ABS(M2110)*'Progetto del paramento slu'!$G$54,'Progetto del paramento slu'!$G$53)</f>
        <v>0</v>
      </c>
      <c r="H2110" s="553">
        <f>-'Foglio deposito bis'!$F$81*(C2110-sezione!$AO$35)*IF(ABS(N2110)&lt;'Progetto del paramento slu'!$G$58,ABS(N2110)*'Progetto del paramento slu'!$G$54,'Progetto del paramento slu'!$G$53)</f>
        <v>121030866.86542758</v>
      </c>
      <c r="I2110" s="479">
        <f>-'Foglio deposito bis'!$F$82*(C2110-sezione!$AP$35)*IF(ABS(O2110)&lt;'Progetto del paramento slu'!$G$58,ABS(O2110)*'Progetto del paramento slu'!$G$54,'Progetto del paramento slu'!$G$53)</f>
        <v>199807077.34616387</v>
      </c>
      <c r="J2110" s="479">
        <f t="shared" si="152"/>
        <v>327589250.7373004</v>
      </c>
      <c r="K2110" s="558">
        <f>'Progetto del paramento slu'!$G$60*(sezione!$AL$35-C2110)/C2110</f>
        <v>3.7480328733836648E-4</v>
      </c>
      <c r="L2110" s="558">
        <f>'Progetto del paramento slu'!$G$60*(sezione!$AM$35-C2110)/C2110</f>
        <v>1.1030512327518874E-2</v>
      </c>
      <c r="M2110" s="559">
        <f>'Progetto del paramento slu'!$G$60*(sezione!$AN$35-C2110)/C2110</f>
        <v>2.1686221367699383E-2</v>
      </c>
      <c r="N2110" s="559">
        <f>'Progetto del paramento slu'!$G$60*(sezione!$AO$35-C2110)/C2110</f>
        <v>2.9435827942376116E-2</v>
      </c>
      <c r="O2110" s="559">
        <f>'Progetto del paramento slu'!$G$60*(sezione!$AP$35-C2110)/C2110</f>
        <v>2.1686994465470639E-2</v>
      </c>
      <c r="P2110" s="553">
        <f>-'Progetto del paramento slu'!$G$47*'Progetto del paramento slu'!$G$41*IF(DATI!$G$218="dx",DATI!$E$61,DATI!$E$64*DATI!$E$63)*1000*C2110*sezione!$AD$5</f>
        <v>-509296.71873886563</v>
      </c>
      <c r="Q2110" s="553">
        <f>'Foglio deposito bis'!$F$78*IF(ABS(K2110)&lt;'Progetto del paramento slu'!$G$58,ABS(K2110)*'Progetto del paramento slu'!$G$54,'Progetto del paramento slu'!$G$53)*IF(K2110&lt;0,-1,1)</f>
        <v>0</v>
      </c>
      <c r="R2110" s="553">
        <f>'Foglio deposito bis'!$F$79*IF(ABS(L2110)&lt;'Progetto del paramento slu'!$G$58,ABS(L2110)*'Progetto del paramento slu'!$G$54,'Progetto del paramento slu'!$G$53)*IF(L2110&lt;0,-1,1)</f>
        <v>153664.85805602249</v>
      </c>
      <c r="S2110" s="553">
        <f>'Foglio deposito bis'!$F$80*IF(ABS(M2110)&lt;'Progetto del paramento slu'!$G$58,ABS(M2110)*'Progetto del paramento slu'!$G$54,'Progetto del paramento slu'!$G$53)*IF(M2110&lt;0,-1,1)</f>
        <v>0</v>
      </c>
      <c r="T2110" s="553">
        <f>'Foglio deposito bis'!$F$81*IF(ABS(N2110)&lt;'Progetto del paramento slu'!$G$58,ABS(N2110)*'Progetto del paramento slu'!$G$54,'Progetto del paramento slu'!$G$53)*IF(N2110&lt;0,-1,1)</f>
        <v>398299.31208121032</v>
      </c>
      <c r="U2110" s="553">
        <f>'Foglio deposito bis'!$F$82*IF(ABS(O2110)&lt;'Progetto del paramento slu'!$G$58,ABS(O2110)*'Progetto del paramento slu'!$G$54,'Progetto del paramento slu'!$G$53)*IF(O2110&lt;0,-1,1)</f>
        <v>892485.49558937876</v>
      </c>
      <c r="V2110" s="479">
        <f t="shared" si="154"/>
        <v>935152.94698774593</v>
      </c>
      <c r="W2110" s="559"/>
      <c r="X2110" s="559"/>
    </row>
    <row r="2111" spans="1:24" x14ac:dyDescent="0.25">
      <c r="A2111" s="553">
        <f t="shared" si="153"/>
        <v>923708.07690372644</v>
      </c>
      <c r="B2111" s="3">
        <f t="shared" si="156"/>
        <v>9.099999999999989</v>
      </c>
      <c r="C2111" s="553">
        <f>'Foglio deposito bis'!$E$161/sezione!$B$247*B2111</f>
        <v>36.942796008119039</v>
      </c>
      <c r="D2111" s="611">
        <f>-'Progetto del paramento slu'!$G$47*'Progetto del paramento slu'!$G$41*IF(DATI!$G$218="dx",DATI!$E$61,DATI!$E$64*DATI!$E$63)*1000*C2111^2*sezione!$AD$5*(1-sezione!$AD$6)</f>
        <v>-11234787.768675348</v>
      </c>
      <c r="E2111" s="553">
        <f>-'Foglio deposito bis'!$F$78*(C2111-sezione!$AL$35)*IF(ABS(K2111)&lt;'Progetto del paramento slu'!$G$58,ABS(K2111)*'Progetto del paramento slu'!$G$54,'Progetto del paramento slu'!$G$53)</f>
        <v>0</v>
      </c>
      <c r="F2111" s="553">
        <f>-'Foglio deposito bis'!$F$79*(C2111-sezione!$AM$35)*IF(ABS(L2111)&lt;'Progetto del paramento slu'!$G$58,ABS(L2111)*'Progetto del paramento slu'!$G$54,'Progetto del paramento slu'!$G$53)</f>
        <v>17372919.203623164</v>
      </c>
      <c r="G2111" s="553">
        <f>-'Foglio deposito bis'!$F$80*(C2111-sezione!$AN$35)*IF(ABS(M2111)&lt;'Progetto del paramento slu'!$G$58,ABS(M2111)*'Progetto del paramento slu'!$G$54,'Progetto del paramento slu'!$G$53)</f>
        <v>0</v>
      </c>
      <c r="H2111" s="553">
        <f>-'Foglio deposito bis'!$F$81*(C2111-sezione!$AO$35)*IF(ABS(N2111)&lt;'Progetto del paramento slu'!$G$58,ABS(N2111)*'Progetto del paramento slu'!$G$54,'Progetto del paramento slu'!$G$53)</f>
        <v>120707475.87122121</v>
      </c>
      <c r="I2111" s="479">
        <f>-'Foglio deposito bis'!$F$82*(C2111-sezione!$AP$35)*IF(ABS(O2111)&lt;'Progetto del paramento slu'!$G$58,ABS(O2111)*'Progetto del paramento slu'!$G$54,'Progetto del paramento slu'!$G$53)</f>
        <v>199082441.97025695</v>
      </c>
      <c r="J2111" s="479">
        <f t="shared" si="152"/>
        <v>325928049.27642596</v>
      </c>
      <c r="K2111" s="558">
        <f>'Progetto del paramento slu'!$G$60*(sezione!$AL$35-C2111)/C2111</f>
        <v>2.8964277552873206E-4</v>
      </c>
      <c r="L2111" s="558">
        <f>'Progetto del paramento slu'!$G$60*(sezione!$AM$35-C2111)/C2111</f>
        <v>1.0711160408232745E-2</v>
      </c>
      <c r="M2111" s="559">
        <f>'Progetto del paramento slu'!$G$60*(sezione!$AN$35-C2111)/C2111</f>
        <v>2.1132678040936759E-2</v>
      </c>
      <c r="N2111" s="559">
        <f>'Progetto del paramento slu'!$G$60*(sezione!$AO$35-C2111)/C2111</f>
        <v>2.8711963591994221E-2</v>
      </c>
      <c r="O2111" s="559">
        <f>'Progetto del paramento slu'!$G$60*(sezione!$AP$35-C2111)/C2111</f>
        <v>2.1133434147548206E-2</v>
      </c>
      <c r="P2111" s="553">
        <f>-'Progetto del paramento slu'!$G$47*'Progetto del paramento slu'!$G$41*IF(DATI!$G$218="dx",DATI!$E$61,DATI!$E$64*DATI!$E$63)*1000*C2111*sezione!$AD$5</f>
        <v>-520741.58882288507</v>
      </c>
      <c r="Q2111" s="553">
        <f>'Foglio deposito bis'!$F$78*IF(ABS(K2111)&lt;'Progetto del paramento slu'!$G$58,ABS(K2111)*'Progetto del paramento slu'!$G$54,'Progetto del paramento slu'!$G$53)*IF(K2111&lt;0,-1,1)</f>
        <v>0</v>
      </c>
      <c r="R2111" s="553">
        <f>'Foglio deposito bis'!$F$79*IF(ABS(L2111)&lt;'Progetto del paramento slu'!$G$58,ABS(L2111)*'Progetto del paramento slu'!$G$54,'Progetto del paramento slu'!$G$53)*IF(L2111&lt;0,-1,1)</f>
        <v>153664.85805602249</v>
      </c>
      <c r="S2111" s="553">
        <f>'Foglio deposito bis'!$F$80*IF(ABS(M2111)&lt;'Progetto del paramento slu'!$G$58,ABS(M2111)*'Progetto del paramento slu'!$G$54,'Progetto del paramento slu'!$G$53)*IF(M2111&lt;0,-1,1)</f>
        <v>0</v>
      </c>
      <c r="T2111" s="553">
        <f>'Foglio deposito bis'!$F$81*IF(ABS(N2111)&lt;'Progetto del paramento slu'!$G$58,ABS(N2111)*'Progetto del paramento slu'!$G$54,'Progetto del paramento slu'!$G$53)*IF(N2111&lt;0,-1,1)</f>
        <v>398299.31208121032</v>
      </c>
      <c r="U2111" s="553">
        <f>'Foglio deposito bis'!$F$82*IF(ABS(O2111)&lt;'Progetto del paramento slu'!$G$58,ABS(O2111)*'Progetto del paramento slu'!$G$54,'Progetto del paramento slu'!$G$53)*IF(O2111&lt;0,-1,1)</f>
        <v>892485.49558937876</v>
      </c>
      <c r="V2111" s="479">
        <f t="shared" si="154"/>
        <v>923708.07690372644</v>
      </c>
      <c r="W2111" s="559"/>
      <c r="X2111" s="559"/>
    </row>
    <row r="2112" spans="1:24" x14ac:dyDescent="0.25">
      <c r="A2112" s="553">
        <f t="shared" si="153"/>
        <v>912263.20681970706</v>
      </c>
      <c r="B2112" s="3">
        <f t="shared" si="156"/>
        <v>9.2999999999999883</v>
      </c>
      <c r="C2112" s="553">
        <f>'Foglio deposito bis'!$E$161/sezione!$B$247*B2112</f>
        <v>37.754725590715061</v>
      </c>
      <c r="D2112" s="611">
        <f>-'Progetto del paramento slu'!$G$47*'Progetto del paramento slu'!$G$41*IF(DATI!$G$218="dx",DATI!$E$61,DATI!$E$64*DATI!$E$63)*1000*C2112^2*sezione!$AD$5*(1-sezione!$AD$6)</f>
        <v>-11734051.371968731</v>
      </c>
      <c r="E2112" s="553">
        <f>-'Foglio deposito bis'!$F$78*(C2112-sezione!$AL$35)*IF(ABS(K2112)&lt;'Progetto del paramento slu'!$G$58,ABS(K2112)*'Progetto del paramento slu'!$G$54,'Progetto del paramento slu'!$G$53)</f>
        <v>0</v>
      </c>
      <c r="F2112" s="553">
        <f>-'Foglio deposito bis'!$F$79*(C2112-sezione!$AM$35)*IF(ABS(L2112)&lt;'Progetto del paramento slu'!$G$58,ABS(L2112)*'Progetto del paramento slu'!$G$54,'Progetto del paramento slu'!$G$53)</f>
        <v>17248154.159562062</v>
      </c>
      <c r="G2112" s="553">
        <f>-'Foglio deposito bis'!$F$80*(C2112-sezione!$AN$35)*IF(ABS(M2112)&lt;'Progetto del paramento slu'!$G$58,ABS(M2112)*'Progetto del paramento slu'!$G$54,'Progetto del paramento slu'!$G$53)</f>
        <v>0</v>
      </c>
      <c r="H2112" s="553">
        <f>-'Foglio deposito bis'!$F$81*(C2112-sezione!$AO$35)*IF(ABS(N2112)&lt;'Progetto del paramento slu'!$G$58,ABS(N2112)*'Progetto del paramento slu'!$G$54,'Progetto del paramento slu'!$G$53)</f>
        <v>120384084.87701483</v>
      </c>
      <c r="I2112" s="479">
        <f>-'Foglio deposito bis'!$F$82*(C2112-sezione!$AP$35)*IF(ABS(O2112)&lt;'Progetto del paramento slu'!$G$58,ABS(O2112)*'Progetto del paramento slu'!$G$54,'Progetto del paramento slu'!$G$53)</f>
        <v>198357806.5943501</v>
      </c>
      <c r="J2112" s="479">
        <f t="shared" si="152"/>
        <v>324255994.25895828</v>
      </c>
      <c r="K2112" s="558">
        <f>'Progetto del paramento slu'!$G$60*(sezione!$AL$35-C2112)/C2112</f>
        <v>2.0814508143134007E-4</v>
      </c>
      <c r="L2112" s="558">
        <f>'Progetto del paramento slu'!$G$60*(sezione!$AM$35-C2112)/C2112</f>
        <v>1.0405544055367526E-2</v>
      </c>
      <c r="M2112" s="559">
        <f>'Progetto del paramento slu'!$G$60*(sezione!$AN$35-C2112)/C2112</f>
        <v>2.0602943029303711E-2</v>
      </c>
      <c r="N2112" s="559">
        <f>'Progetto del paramento slu'!$G$60*(sezione!$AO$35-C2112)/C2112</f>
        <v>2.8019233192166395E-2</v>
      </c>
      <c r="O2112" s="559">
        <f>'Progetto del paramento slu'!$G$60*(sezione!$AP$35-C2112)/C2112</f>
        <v>2.0603682875557923E-2</v>
      </c>
      <c r="P2112" s="553">
        <f>-'Progetto del paramento slu'!$G$47*'Progetto del paramento slu'!$G$41*IF(DATI!$G$218="dx",DATI!$E$61,DATI!$E$64*DATI!$E$63)*1000*C2112*sezione!$AD$5</f>
        <v>-532186.45890690445</v>
      </c>
      <c r="Q2112" s="553">
        <f>'Foglio deposito bis'!$F$78*IF(ABS(K2112)&lt;'Progetto del paramento slu'!$G$58,ABS(K2112)*'Progetto del paramento slu'!$G$54,'Progetto del paramento slu'!$G$53)*IF(K2112&lt;0,-1,1)</f>
        <v>0</v>
      </c>
      <c r="R2112" s="553">
        <f>'Foglio deposito bis'!$F$79*IF(ABS(L2112)&lt;'Progetto del paramento slu'!$G$58,ABS(L2112)*'Progetto del paramento slu'!$G$54,'Progetto del paramento slu'!$G$53)*IF(L2112&lt;0,-1,1)</f>
        <v>153664.85805602249</v>
      </c>
      <c r="S2112" s="553">
        <f>'Foglio deposito bis'!$F$80*IF(ABS(M2112)&lt;'Progetto del paramento slu'!$G$58,ABS(M2112)*'Progetto del paramento slu'!$G$54,'Progetto del paramento slu'!$G$53)*IF(M2112&lt;0,-1,1)</f>
        <v>0</v>
      </c>
      <c r="T2112" s="553">
        <f>'Foglio deposito bis'!$F$81*IF(ABS(N2112)&lt;'Progetto del paramento slu'!$G$58,ABS(N2112)*'Progetto del paramento slu'!$G$54,'Progetto del paramento slu'!$G$53)*IF(N2112&lt;0,-1,1)</f>
        <v>398299.31208121032</v>
      </c>
      <c r="U2112" s="553">
        <f>'Foglio deposito bis'!$F$82*IF(ABS(O2112)&lt;'Progetto del paramento slu'!$G$58,ABS(O2112)*'Progetto del paramento slu'!$G$54,'Progetto del paramento slu'!$G$53)*IF(O2112&lt;0,-1,1)</f>
        <v>892485.49558937876</v>
      </c>
      <c r="V2112" s="479">
        <f t="shared" si="154"/>
        <v>912263.20681970706</v>
      </c>
      <c r="W2112" s="559"/>
      <c r="X2112" s="559"/>
    </row>
    <row r="2113" spans="1:24" x14ac:dyDescent="0.25">
      <c r="A2113" s="553">
        <f t="shared" si="153"/>
        <v>900818.33673568745</v>
      </c>
      <c r="B2113" s="3">
        <f t="shared" si="156"/>
        <v>9.4999999999999876</v>
      </c>
      <c r="C2113" s="553">
        <f>'Foglio deposito bis'!$E$161/sezione!$B$247*B2113</f>
        <v>38.566655173311084</v>
      </c>
      <c r="D2113" s="611">
        <f>-'Progetto del paramento slu'!$G$47*'Progetto del paramento slu'!$G$41*IF(DATI!$G$218="dx",DATI!$E$61,DATI!$E$64*DATI!$E$63)*1000*C2113^2*sezione!$AD$5*(1-sezione!$AD$6)</f>
        <v>-12244168.531855453</v>
      </c>
      <c r="E2113" s="553">
        <f>-'Foglio deposito bis'!$F$78*(C2113-sezione!$AL$35)*IF(ABS(K2113)&lt;'Progetto del paramento slu'!$G$58,ABS(K2113)*'Progetto del paramento slu'!$G$54,'Progetto del paramento slu'!$G$53)</f>
        <v>0</v>
      </c>
      <c r="F2113" s="553">
        <f>-'Foglio deposito bis'!$F$79*(C2113-sezione!$AM$35)*IF(ABS(L2113)&lt;'Progetto del paramento slu'!$G$58,ABS(L2113)*'Progetto del paramento slu'!$G$54,'Progetto del paramento slu'!$G$53)</f>
        <v>17123389.11550096</v>
      </c>
      <c r="G2113" s="553">
        <f>-'Foglio deposito bis'!$F$80*(C2113-sezione!$AN$35)*IF(ABS(M2113)&lt;'Progetto del paramento slu'!$G$58,ABS(M2113)*'Progetto del paramento slu'!$G$54,'Progetto del paramento slu'!$G$53)</f>
        <v>0</v>
      </c>
      <c r="H2113" s="553">
        <f>-'Foglio deposito bis'!$F$81*(C2113-sezione!$AO$35)*IF(ABS(N2113)&lt;'Progetto del paramento slu'!$G$58,ABS(N2113)*'Progetto del paramento slu'!$G$54,'Progetto del paramento slu'!$G$53)</f>
        <v>120060693.88280846</v>
      </c>
      <c r="I2113" s="479">
        <f>-'Foglio deposito bis'!$F$82*(C2113-sezione!$AP$35)*IF(ABS(O2113)&lt;'Progetto del paramento slu'!$G$58,ABS(O2113)*'Progetto del paramento slu'!$G$54,'Progetto del paramento slu'!$G$53)</f>
        <v>197633171.21844321</v>
      </c>
      <c r="J2113" s="479">
        <f t="shared" si="152"/>
        <v>322573085.68489718</v>
      </c>
      <c r="K2113" s="558">
        <f>'Progetto del paramento slu'!$G$60*(sezione!$AL$35-C2113)/C2113</f>
        <v>1.3007886919068034E-4</v>
      </c>
      <c r="L2113" s="558">
        <f>'Progetto del paramento slu'!$G$60*(sezione!$AM$35-C2113)/C2113</f>
        <v>1.0112795759465051E-2</v>
      </c>
      <c r="M2113" s="559">
        <f>'Progetto del paramento slu'!$G$60*(sezione!$AN$35-C2113)/C2113</f>
        <v>2.0095512649739421E-2</v>
      </c>
      <c r="N2113" s="559">
        <f>'Progetto del paramento slu'!$G$60*(sezione!$AO$35-C2113)/C2113</f>
        <v>2.7355670388120784E-2</v>
      </c>
      <c r="O2113" s="559">
        <f>'Progetto del paramento slu'!$G$60*(sezione!$AP$35-C2113)/C2113</f>
        <v>2.0096236920283016E-2</v>
      </c>
      <c r="P2113" s="553">
        <f>-'Progetto del paramento slu'!$G$47*'Progetto del paramento slu'!$G$41*IF(DATI!$G$218="dx",DATI!$E$61,DATI!$E$64*DATI!$E$63)*1000*C2113*sezione!$AD$5</f>
        <v>-543631.32899092406</v>
      </c>
      <c r="Q2113" s="553">
        <f>'Foglio deposito bis'!$F$78*IF(ABS(K2113)&lt;'Progetto del paramento slu'!$G$58,ABS(K2113)*'Progetto del paramento slu'!$G$54,'Progetto del paramento slu'!$G$53)*IF(K2113&lt;0,-1,1)</f>
        <v>0</v>
      </c>
      <c r="R2113" s="553">
        <f>'Foglio deposito bis'!$F$79*IF(ABS(L2113)&lt;'Progetto del paramento slu'!$G$58,ABS(L2113)*'Progetto del paramento slu'!$G$54,'Progetto del paramento slu'!$G$53)*IF(L2113&lt;0,-1,1)</f>
        <v>153664.85805602249</v>
      </c>
      <c r="S2113" s="553">
        <f>'Foglio deposito bis'!$F$80*IF(ABS(M2113)&lt;'Progetto del paramento slu'!$G$58,ABS(M2113)*'Progetto del paramento slu'!$G$54,'Progetto del paramento slu'!$G$53)*IF(M2113&lt;0,-1,1)</f>
        <v>0</v>
      </c>
      <c r="T2113" s="553">
        <f>'Foglio deposito bis'!$F$81*IF(ABS(N2113)&lt;'Progetto del paramento slu'!$G$58,ABS(N2113)*'Progetto del paramento slu'!$G$54,'Progetto del paramento slu'!$G$53)*IF(N2113&lt;0,-1,1)</f>
        <v>398299.31208121032</v>
      </c>
      <c r="U2113" s="553">
        <f>'Foglio deposito bis'!$F$82*IF(ABS(O2113)&lt;'Progetto del paramento slu'!$G$58,ABS(O2113)*'Progetto del paramento slu'!$G$54,'Progetto del paramento slu'!$G$53)*IF(O2113&lt;0,-1,1)</f>
        <v>892485.49558937876</v>
      </c>
      <c r="V2113" s="479">
        <f t="shared" si="154"/>
        <v>900818.33673568745</v>
      </c>
      <c r="W2113" s="559"/>
      <c r="X2113" s="559"/>
    </row>
    <row r="2114" spans="1:24" x14ac:dyDescent="0.25">
      <c r="A2114" s="553">
        <f t="shared" si="153"/>
        <v>889373.46665166831</v>
      </c>
      <c r="B2114" s="3">
        <f t="shared" si="156"/>
        <v>9.6999999999999869</v>
      </c>
      <c r="C2114" s="553">
        <f>'Foglio deposito bis'!$E$161/sezione!$B$247*B2114</f>
        <v>39.378584755907099</v>
      </c>
      <c r="D2114" s="611">
        <f>-'Progetto del paramento slu'!$G$47*'Progetto del paramento slu'!$G$41*IF(DATI!$G$218="dx",DATI!$E$61,DATI!$E$64*DATI!$E$63)*1000*C2114^2*sezione!$AD$5*(1-sezione!$AD$6)</f>
        <v>-12765139.248335499</v>
      </c>
      <c r="E2114" s="553">
        <f>-'Foglio deposito bis'!$F$78*(C2114-sezione!$AL$35)*IF(ABS(K2114)&lt;'Progetto del paramento slu'!$G$58,ABS(K2114)*'Progetto del paramento slu'!$G$54,'Progetto del paramento slu'!$G$53)</f>
        <v>0</v>
      </c>
      <c r="F2114" s="553">
        <f>-'Foglio deposito bis'!$F$79*(C2114-sezione!$AM$35)*IF(ABS(L2114)&lt;'Progetto del paramento slu'!$G$58,ABS(L2114)*'Progetto del paramento slu'!$G$54,'Progetto del paramento slu'!$G$53)</f>
        <v>16998624.071439859</v>
      </c>
      <c r="G2114" s="553">
        <f>-'Foglio deposito bis'!$F$80*(C2114-sezione!$AN$35)*IF(ABS(M2114)&lt;'Progetto del paramento slu'!$G$58,ABS(M2114)*'Progetto del paramento slu'!$G$54,'Progetto del paramento slu'!$G$53)</f>
        <v>0</v>
      </c>
      <c r="H2114" s="553">
        <f>-'Foglio deposito bis'!$F$81*(C2114-sezione!$AO$35)*IF(ABS(N2114)&lt;'Progetto del paramento slu'!$G$58,ABS(N2114)*'Progetto del paramento slu'!$G$54,'Progetto del paramento slu'!$G$53)</f>
        <v>119737302.88860208</v>
      </c>
      <c r="I2114" s="479">
        <f>-'Foglio deposito bis'!$F$82*(C2114-sezione!$AP$35)*IF(ABS(O2114)&lt;'Progetto del paramento slu'!$G$58,ABS(O2114)*'Progetto del paramento slu'!$G$54,'Progetto del paramento slu'!$G$53)</f>
        <v>196908535.84253633</v>
      </c>
      <c r="J2114" s="479">
        <f t="shared" si="152"/>
        <v>320879323.55424273</v>
      </c>
      <c r="K2114" s="558">
        <f>'Progetto del paramento slu'!$G$60*(sezione!$AL$35-C2114)/C2114</f>
        <v>5.5231882197058759E-5</v>
      </c>
      <c r="L2114" s="558">
        <f>'Progetto del paramento slu'!$G$60*(sezione!$AM$35-C2114)/C2114</f>
        <v>9.8321195582389709E-3</v>
      </c>
      <c r="M2114" s="559">
        <f>'Progetto del paramento slu'!$G$60*(sezione!$AN$35-C2114)/C2114</f>
        <v>1.9609007234280884E-2</v>
      </c>
      <c r="N2114" s="559">
        <f>'Progetto del paramento slu'!$G$60*(sezione!$AO$35-C2114)/C2114</f>
        <v>2.6719470998674996E-2</v>
      </c>
      <c r="O2114" s="559">
        <f>'Progetto del paramento slu'!$G$60*(sezione!$AP$35-C2114)/C2114</f>
        <v>1.9609716571411209E-2</v>
      </c>
      <c r="P2114" s="553">
        <f>-'Progetto del paramento slu'!$G$47*'Progetto del paramento slu'!$G$41*IF(DATI!$G$218="dx",DATI!$E$61,DATI!$E$64*DATI!$E$63)*1000*C2114*sezione!$AD$5</f>
        <v>-555076.19907494332</v>
      </c>
      <c r="Q2114" s="553">
        <f>'Foglio deposito bis'!$F$78*IF(ABS(K2114)&lt;'Progetto del paramento slu'!$G$58,ABS(K2114)*'Progetto del paramento slu'!$G$54,'Progetto del paramento slu'!$G$53)*IF(K2114&lt;0,-1,1)</f>
        <v>0</v>
      </c>
      <c r="R2114" s="553">
        <f>'Foglio deposito bis'!$F$79*IF(ABS(L2114)&lt;'Progetto del paramento slu'!$G$58,ABS(L2114)*'Progetto del paramento slu'!$G$54,'Progetto del paramento slu'!$G$53)*IF(L2114&lt;0,-1,1)</f>
        <v>153664.85805602249</v>
      </c>
      <c r="S2114" s="553">
        <f>'Foglio deposito bis'!$F$80*IF(ABS(M2114)&lt;'Progetto del paramento slu'!$G$58,ABS(M2114)*'Progetto del paramento slu'!$G$54,'Progetto del paramento slu'!$G$53)*IF(M2114&lt;0,-1,1)</f>
        <v>0</v>
      </c>
      <c r="T2114" s="553">
        <f>'Foglio deposito bis'!$F$81*IF(ABS(N2114)&lt;'Progetto del paramento slu'!$G$58,ABS(N2114)*'Progetto del paramento slu'!$G$54,'Progetto del paramento slu'!$G$53)*IF(N2114&lt;0,-1,1)</f>
        <v>398299.31208121032</v>
      </c>
      <c r="U2114" s="553">
        <f>'Foglio deposito bis'!$F$82*IF(ABS(O2114)&lt;'Progetto del paramento slu'!$G$58,ABS(O2114)*'Progetto del paramento slu'!$G$54,'Progetto del paramento slu'!$G$53)*IF(O2114&lt;0,-1,1)</f>
        <v>892485.49558937876</v>
      </c>
      <c r="V2114" s="479">
        <f t="shared" si="154"/>
        <v>889373.46665166831</v>
      </c>
      <c r="W2114" s="559"/>
      <c r="X2114" s="559"/>
    </row>
    <row r="2115" spans="1:24" x14ac:dyDescent="0.25">
      <c r="A2115" s="553">
        <f t="shared" si="153"/>
        <v>877928.5965676487</v>
      </c>
      <c r="B2115" s="3">
        <f t="shared" si="156"/>
        <v>9.8999999999999861</v>
      </c>
      <c r="C2115" s="553">
        <f>'Foglio deposito bis'!$E$161/sezione!$B$247*B2115</f>
        <v>40.190514338503121</v>
      </c>
      <c r="D2115" s="611">
        <f>-'Progetto del paramento slu'!$G$47*'Progetto del paramento slu'!$G$41*IF(DATI!$G$218="dx",DATI!$E$61,DATI!$E$64*DATI!$E$63)*1000*C2115^2*sezione!$AD$5*(1-sezione!$AD$6)</f>
        <v>-13296963.521408891</v>
      </c>
      <c r="E2115" s="553">
        <f>-'Foglio deposito bis'!$F$78*(C2115-sezione!$AL$35)*IF(ABS(K2115)&lt;'Progetto del paramento slu'!$G$58,ABS(K2115)*'Progetto del paramento slu'!$G$54,'Progetto del paramento slu'!$G$53)</f>
        <v>0</v>
      </c>
      <c r="F2115" s="553">
        <f>-'Foglio deposito bis'!$F$79*(C2115-sezione!$AM$35)*IF(ABS(L2115)&lt;'Progetto del paramento slu'!$G$58,ABS(L2115)*'Progetto del paramento slu'!$G$54,'Progetto del paramento slu'!$G$53)</f>
        <v>16873859.027378757</v>
      </c>
      <c r="G2115" s="553">
        <f>-'Foglio deposito bis'!$F$80*(C2115-sezione!$AN$35)*IF(ABS(M2115)&lt;'Progetto del paramento slu'!$G$58,ABS(M2115)*'Progetto del paramento slu'!$G$54,'Progetto del paramento slu'!$G$53)</f>
        <v>0</v>
      </c>
      <c r="H2115" s="553">
        <f>-'Foglio deposito bis'!$F$81*(C2115-sezione!$AO$35)*IF(ABS(N2115)&lt;'Progetto del paramento slu'!$G$58,ABS(N2115)*'Progetto del paramento slu'!$G$54,'Progetto del paramento slu'!$G$53)</f>
        <v>119413911.89439569</v>
      </c>
      <c r="I2115" s="479">
        <f>-'Foglio deposito bis'!$F$82*(C2115-sezione!$AP$35)*IF(ABS(O2115)&lt;'Progetto del paramento slu'!$G$58,ABS(O2115)*'Progetto del paramento slu'!$G$54,'Progetto del paramento slu'!$G$53)</f>
        <v>196183900.46662942</v>
      </c>
      <c r="J2115" s="479">
        <f t="shared" si="152"/>
        <v>319174707.86699498</v>
      </c>
      <c r="K2115" s="558">
        <f>'Progetto del paramento slu'!$G$60*(sezione!$AL$35-C2115)/C2115</f>
        <v>-1.6590984109952497E-5</v>
      </c>
      <c r="L2115" s="558">
        <f>'Progetto del paramento slu'!$G$60*(sezione!$AM$35-C2115)/C2115</f>
        <v>9.5627838095876782E-3</v>
      </c>
      <c r="M2115" s="559">
        <f>'Progetto del paramento slu'!$G$60*(sezione!$AN$35-C2115)/C2115</f>
        <v>1.914215860328531E-2</v>
      </c>
      <c r="N2115" s="559">
        <f>'Progetto del paramento slu'!$G$60*(sezione!$AO$35-C2115)/C2115</f>
        <v>2.6108976635065406E-2</v>
      </c>
      <c r="O2115" s="559">
        <f>'Progetto del paramento slu'!$G$60*(sezione!$AP$35-C2115)/C2115</f>
        <v>1.9142853610372598E-2</v>
      </c>
      <c r="P2115" s="553">
        <f>-'Progetto del paramento slu'!$G$47*'Progetto del paramento slu'!$G$41*IF(DATI!$G$218="dx",DATI!$E$61,DATI!$E$64*DATI!$E$63)*1000*C2115*sezione!$AD$5</f>
        <v>-566521.06915896281</v>
      </c>
      <c r="Q2115" s="553">
        <f>'Foglio deposito bis'!$F$78*IF(ABS(K2115)&lt;'Progetto del paramento slu'!$G$58,ABS(K2115)*'Progetto del paramento slu'!$G$54,'Progetto del paramento slu'!$G$53)*IF(K2115&lt;0,-1,1)</f>
        <v>0</v>
      </c>
      <c r="R2115" s="553">
        <f>'Foglio deposito bis'!$F$79*IF(ABS(L2115)&lt;'Progetto del paramento slu'!$G$58,ABS(L2115)*'Progetto del paramento slu'!$G$54,'Progetto del paramento slu'!$G$53)*IF(L2115&lt;0,-1,1)</f>
        <v>153664.85805602249</v>
      </c>
      <c r="S2115" s="553">
        <f>'Foglio deposito bis'!$F$80*IF(ABS(M2115)&lt;'Progetto del paramento slu'!$G$58,ABS(M2115)*'Progetto del paramento slu'!$G$54,'Progetto del paramento slu'!$G$53)*IF(M2115&lt;0,-1,1)</f>
        <v>0</v>
      </c>
      <c r="T2115" s="553">
        <f>'Foglio deposito bis'!$F$81*IF(ABS(N2115)&lt;'Progetto del paramento slu'!$G$58,ABS(N2115)*'Progetto del paramento slu'!$G$54,'Progetto del paramento slu'!$G$53)*IF(N2115&lt;0,-1,1)</f>
        <v>398299.31208121032</v>
      </c>
      <c r="U2115" s="553">
        <f>'Foglio deposito bis'!$F$82*IF(ABS(O2115)&lt;'Progetto del paramento slu'!$G$58,ABS(O2115)*'Progetto del paramento slu'!$G$54,'Progetto del paramento slu'!$G$53)*IF(O2115&lt;0,-1,1)</f>
        <v>892485.49558937876</v>
      </c>
      <c r="V2115" s="479">
        <f t="shared" si="154"/>
        <v>877928.5965676487</v>
      </c>
      <c r="W2115" s="559"/>
      <c r="X2115" s="559"/>
    </row>
    <row r="2116" spans="1:24" x14ac:dyDescent="0.25">
      <c r="A2116" s="553">
        <f t="shared" si="153"/>
        <v>866483.72648362932</v>
      </c>
      <c r="B2116" s="3">
        <f t="shared" si="156"/>
        <v>10.099999999999985</v>
      </c>
      <c r="C2116" s="553">
        <f>'Foglio deposito bis'!$E$161/sezione!$B$247*B2116</f>
        <v>41.002443921099143</v>
      </c>
      <c r="D2116" s="611">
        <f>-'Progetto del paramento slu'!$G$47*'Progetto del paramento slu'!$G$41*IF(DATI!$G$218="dx",DATI!$E$61,DATI!$E$64*DATI!$E$63)*1000*C2116^2*sezione!$AD$5*(1-sezione!$AD$6)</f>
        <v>-13839641.351075614</v>
      </c>
      <c r="E2116" s="553">
        <f>-'Foglio deposito bis'!$F$78*(C2116-sezione!$AL$35)*IF(ABS(K2116)&lt;'Progetto del paramento slu'!$G$58,ABS(K2116)*'Progetto del paramento slu'!$G$54,'Progetto del paramento slu'!$G$53)</f>
        <v>0</v>
      </c>
      <c r="F2116" s="553">
        <f>-'Foglio deposito bis'!$F$79*(C2116-sezione!$AM$35)*IF(ABS(L2116)&lt;'Progetto del paramento slu'!$G$58,ABS(L2116)*'Progetto del paramento slu'!$G$54,'Progetto del paramento slu'!$G$53)</f>
        <v>16749093.983317651</v>
      </c>
      <c r="G2116" s="553">
        <f>-'Foglio deposito bis'!$F$80*(C2116-sezione!$AN$35)*IF(ABS(M2116)&lt;'Progetto del paramento slu'!$G$58,ABS(M2116)*'Progetto del paramento slu'!$G$54,'Progetto del paramento slu'!$G$53)</f>
        <v>0</v>
      </c>
      <c r="H2116" s="553">
        <f>-'Foglio deposito bis'!$F$81*(C2116-sezione!$AO$35)*IF(ABS(N2116)&lt;'Progetto del paramento slu'!$G$58,ABS(N2116)*'Progetto del paramento slu'!$G$54,'Progetto del paramento slu'!$G$53)</f>
        <v>119090520.90018931</v>
      </c>
      <c r="I2116" s="479">
        <f>-'Foglio deposito bis'!$F$82*(C2116-sezione!$AP$35)*IF(ABS(O2116)&lt;'Progetto del paramento slu'!$G$58,ABS(O2116)*'Progetto del paramento slu'!$G$54,'Progetto del paramento slu'!$G$53)</f>
        <v>195459265.09072256</v>
      </c>
      <c r="J2116" s="479">
        <f t="shared" si="152"/>
        <v>317459238.62315392</v>
      </c>
      <c r="K2116" s="558">
        <f>'Progetto del paramento slu'!$G$60*(sezione!$AL$35-C2116)/C2116</f>
        <v>-8.556938046421083E-5</v>
      </c>
      <c r="L2116" s="558">
        <f>'Progetto del paramento slu'!$G$60*(sezione!$AM$35-C2116)/C2116</f>
        <v>9.3041148232592095E-3</v>
      </c>
      <c r="M2116" s="559">
        <f>'Progetto del paramento slu'!$G$60*(sezione!$AN$35-C2116)/C2116</f>
        <v>1.8693799026982632E-2</v>
      </c>
      <c r="N2116" s="559">
        <f>'Progetto del paramento slu'!$G$60*(sezione!$AO$35-C2116)/C2116</f>
        <v>2.5522660266054209E-2</v>
      </c>
      <c r="O2116" s="559">
        <f>'Progetto del paramento slu'!$G$60*(sezione!$AP$35-C2116)/C2116</f>
        <v>1.8694480271553338E-2</v>
      </c>
      <c r="P2116" s="553">
        <f>-'Progetto del paramento slu'!$G$47*'Progetto del paramento slu'!$G$41*IF(DATI!$G$218="dx",DATI!$E$61,DATI!$E$64*DATI!$E$63)*1000*C2116*sezione!$AD$5</f>
        <v>-577965.93924298219</v>
      </c>
      <c r="Q2116" s="553">
        <f>'Foglio deposito bis'!$F$78*IF(ABS(K2116)&lt;'Progetto del paramento slu'!$G$58,ABS(K2116)*'Progetto del paramento slu'!$G$54,'Progetto del paramento slu'!$G$53)*IF(K2116&lt;0,-1,1)</f>
        <v>0</v>
      </c>
      <c r="R2116" s="553">
        <f>'Foglio deposito bis'!$F$79*IF(ABS(L2116)&lt;'Progetto del paramento slu'!$G$58,ABS(L2116)*'Progetto del paramento slu'!$G$54,'Progetto del paramento slu'!$G$53)*IF(L2116&lt;0,-1,1)</f>
        <v>153664.85805602249</v>
      </c>
      <c r="S2116" s="553">
        <f>'Foglio deposito bis'!$F$80*IF(ABS(M2116)&lt;'Progetto del paramento slu'!$G$58,ABS(M2116)*'Progetto del paramento slu'!$G$54,'Progetto del paramento slu'!$G$53)*IF(M2116&lt;0,-1,1)</f>
        <v>0</v>
      </c>
      <c r="T2116" s="553">
        <f>'Foglio deposito bis'!$F$81*IF(ABS(N2116)&lt;'Progetto del paramento slu'!$G$58,ABS(N2116)*'Progetto del paramento slu'!$G$54,'Progetto del paramento slu'!$G$53)*IF(N2116&lt;0,-1,1)</f>
        <v>398299.31208121032</v>
      </c>
      <c r="U2116" s="553">
        <f>'Foglio deposito bis'!$F$82*IF(ABS(O2116)&lt;'Progetto del paramento slu'!$G$58,ABS(O2116)*'Progetto del paramento slu'!$G$54,'Progetto del paramento slu'!$G$53)*IF(O2116&lt;0,-1,1)</f>
        <v>892485.49558937876</v>
      </c>
      <c r="V2116" s="479">
        <f t="shared" si="154"/>
        <v>866483.72648362932</v>
      </c>
      <c r="W2116" s="559"/>
      <c r="X2116" s="559"/>
    </row>
    <row r="2117" spans="1:24" x14ac:dyDescent="0.25">
      <c r="A2117" s="553">
        <f t="shared" si="153"/>
        <v>855038.85639960994</v>
      </c>
      <c r="B2117" s="3">
        <f t="shared" si="156"/>
        <v>10.299999999999985</v>
      </c>
      <c r="C2117" s="553">
        <f>'Foglio deposito bis'!$E$161/sezione!$B$247*B2117</f>
        <v>41.814373503695165</v>
      </c>
      <c r="D2117" s="611">
        <f>-'Progetto del paramento slu'!$G$47*'Progetto del paramento slu'!$G$41*IF(DATI!$G$218="dx",DATI!$E$61,DATI!$E$64*DATI!$E$63)*1000*C2117^2*sezione!$AD$5*(1-sezione!$AD$6)</f>
        <v>-14393172.737335671</v>
      </c>
      <c r="E2117" s="553">
        <f>-'Foglio deposito bis'!$F$78*(C2117-sezione!$AL$35)*IF(ABS(K2117)&lt;'Progetto del paramento slu'!$G$58,ABS(K2117)*'Progetto del paramento slu'!$G$54,'Progetto del paramento slu'!$G$53)</f>
        <v>0</v>
      </c>
      <c r="F2117" s="553">
        <f>-'Foglio deposito bis'!$F$79*(C2117-sezione!$AM$35)*IF(ABS(L2117)&lt;'Progetto del paramento slu'!$G$58,ABS(L2117)*'Progetto del paramento slu'!$G$54,'Progetto del paramento slu'!$G$53)</f>
        <v>16624328.939256547</v>
      </c>
      <c r="G2117" s="553">
        <f>-'Foglio deposito bis'!$F$80*(C2117-sezione!$AN$35)*IF(ABS(M2117)&lt;'Progetto del paramento slu'!$G$58,ABS(M2117)*'Progetto del paramento slu'!$G$54,'Progetto del paramento slu'!$G$53)</f>
        <v>0</v>
      </c>
      <c r="H2117" s="553">
        <f>-'Foglio deposito bis'!$F$81*(C2117-sezione!$AO$35)*IF(ABS(N2117)&lt;'Progetto del paramento slu'!$G$58,ABS(N2117)*'Progetto del paramento slu'!$G$54,'Progetto del paramento slu'!$G$53)</f>
        <v>118767129.90598296</v>
      </c>
      <c r="I2117" s="479">
        <f>-'Foglio deposito bis'!$F$82*(C2117-sezione!$AP$35)*IF(ABS(O2117)&lt;'Progetto del paramento slu'!$G$58,ABS(O2117)*'Progetto del paramento slu'!$G$54,'Progetto del paramento slu'!$G$53)</f>
        <v>194734629.71481568</v>
      </c>
      <c r="J2117" s="479">
        <f t="shared" ref="J2117:J2180" si="157">D2117+E2117+F2117+G2117+H2117+I2117</f>
        <v>315732915.82271951</v>
      </c>
      <c r="K2117" s="558">
        <f>'Progetto del paramento slu'!$G$60*(sezione!$AL$35-C2117)/C2117</f>
        <v>-1.5186900414451739E-4</v>
      </c>
      <c r="L2117" s="558">
        <f>'Progetto del paramento slu'!$G$60*(sezione!$AM$35-C2117)/C2117</f>
        <v>9.0554912344580612E-3</v>
      </c>
      <c r="M2117" s="559">
        <f>'Progetto del paramento slu'!$G$60*(sezione!$AN$35-C2117)/C2117</f>
        <v>1.8262851473060639E-2</v>
      </c>
      <c r="N2117" s="559">
        <f>'Progetto del paramento slu'!$G$60*(sezione!$AO$35-C2117)/C2117</f>
        <v>2.4959113464771605E-2</v>
      </c>
      <c r="O2117" s="559">
        <f>'Progetto del paramento slu'!$G$60*(sezione!$AP$35-C2117)/C2117</f>
        <v>1.826351948958143E-2</v>
      </c>
      <c r="P2117" s="553">
        <f>-'Progetto del paramento slu'!$G$47*'Progetto del paramento slu'!$G$41*IF(DATI!$G$218="dx",DATI!$E$61,DATI!$E$64*DATI!$E$63)*1000*C2117*sezione!$AD$5</f>
        <v>-589410.80932700157</v>
      </c>
      <c r="Q2117" s="553">
        <f>'Foglio deposito bis'!$F$78*IF(ABS(K2117)&lt;'Progetto del paramento slu'!$G$58,ABS(K2117)*'Progetto del paramento slu'!$G$54,'Progetto del paramento slu'!$G$53)*IF(K2117&lt;0,-1,1)</f>
        <v>0</v>
      </c>
      <c r="R2117" s="553">
        <f>'Foglio deposito bis'!$F$79*IF(ABS(L2117)&lt;'Progetto del paramento slu'!$G$58,ABS(L2117)*'Progetto del paramento slu'!$G$54,'Progetto del paramento slu'!$G$53)*IF(L2117&lt;0,-1,1)</f>
        <v>153664.85805602249</v>
      </c>
      <c r="S2117" s="553">
        <f>'Foglio deposito bis'!$F$80*IF(ABS(M2117)&lt;'Progetto del paramento slu'!$G$58,ABS(M2117)*'Progetto del paramento slu'!$G$54,'Progetto del paramento slu'!$G$53)*IF(M2117&lt;0,-1,1)</f>
        <v>0</v>
      </c>
      <c r="T2117" s="553">
        <f>'Foglio deposito bis'!$F$81*IF(ABS(N2117)&lt;'Progetto del paramento slu'!$G$58,ABS(N2117)*'Progetto del paramento slu'!$G$54,'Progetto del paramento slu'!$G$53)*IF(N2117&lt;0,-1,1)</f>
        <v>398299.31208121032</v>
      </c>
      <c r="U2117" s="553">
        <f>'Foglio deposito bis'!$F$82*IF(ABS(O2117)&lt;'Progetto del paramento slu'!$G$58,ABS(O2117)*'Progetto del paramento slu'!$G$54,'Progetto del paramento slu'!$G$53)*IF(O2117&lt;0,-1,1)</f>
        <v>892485.49558937876</v>
      </c>
      <c r="V2117" s="479">
        <f t="shared" si="154"/>
        <v>855038.85639960994</v>
      </c>
      <c r="W2117" s="559"/>
      <c r="X2117" s="559"/>
    </row>
    <row r="2118" spans="1:24" x14ac:dyDescent="0.25">
      <c r="A2118" s="553">
        <f t="shared" ref="A2118:A2181" si="158">ABS(V2118)</f>
        <v>843593.98631559056</v>
      </c>
      <c r="B2118" s="3">
        <f t="shared" si="156"/>
        <v>10.499999999999984</v>
      </c>
      <c r="C2118" s="553">
        <f>'Foglio deposito bis'!$E$161/sezione!$B$247*B2118</f>
        <v>42.626303086291188</v>
      </c>
      <c r="D2118" s="611">
        <f>-'Progetto del paramento slu'!$G$47*'Progetto del paramento slu'!$G$41*IF(DATI!$G$218="dx",DATI!$E$61,DATI!$E$64*DATI!$E$63)*1000*C2118^2*sezione!$AD$5*(1-sezione!$AD$6)</f>
        <v>-14957557.680189062</v>
      </c>
      <c r="E2118" s="553">
        <f>-'Foglio deposito bis'!$F$78*(C2118-sezione!$AL$35)*IF(ABS(K2118)&lt;'Progetto del paramento slu'!$G$58,ABS(K2118)*'Progetto del paramento slu'!$G$54,'Progetto del paramento slu'!$G$53)</f>
        <v>0</v>
      </c>
      <c r="F2118" s="553">
        <f>-'Foglio deposito bis'!$F$79*(C2118-sezione!$AM$35)*IF(ABS(L2118)&lt;'Progetto del paramento slu'!$G$58,ABS(L2118)*'Progetto del paramento slu'!$G$54,'Progetto del paramento slu'!$G$53)</f>
        <v>16499563.895195447</v>
      </c>
      <c r="G2118" s="553">
        <f>-'Foglio deposito bis'!$F$80*(C2118-sezione!$AN$35)*IF(ABS(M2118)&lt;'Progetto del paramento slu'!$G$58,ABS(M2118)*'Progetto del paramento slu'!$G$54,'Progetto del paramento slu'!$G$53)</f>
        <v>0</v>
      </c>
      <c r="H2118" s="553">
        <f>-'Foglio deposito bis'!$F$81*(C2118-sezione!$AO$35)*IF(ABS(N2118)&lt;'Progetto del paramento slu'!$G$58,ABS(N2118)*'Progetto del paramento slu'!$G$54,'Progetto del paramento slu'!$G$53)</f>
        <v>118443738.91177657</v>
      </c>
      <c r="I2118" s="479">
        <f>-'Foglio deposito bis'!$F$82*(C2118-sezione!$AP$35)*IF(ABS(O2118)&lt;'Progetto del paramento slu'!$G$58,ABS(O2118)*'Progetto del paramento slu'!$G$54,'Progetto del paramento slu'!$G$53)</f>
        <v>194009994.33890879</v>
      </c>
      <c r="J2118" s="479">
        <f t="shared" si="157"/>
        <v>313995739.46569175</v>
      </c>
      <c r="K2118" s="558">
        <f>'Progetto del paramento slu'!$G$60*(sezione!$AL$35-C2118)/C2118</f>
        <v>-2.1564292787509796E-4</v>
      </c>
      <c r="L2118" s="558">
        <f>'Progetto del paramento slu'!$G$60*(sezione!$AM$35-C2118)/C2118</f>
        <v>8.8163390204683816E-3</v>
      </c>
      <c r="M2118" s="559">
        <f>'Progetto del paramento slu'!$G$60*(sezione!$AN$35-C2118)/C2118</f>
        <v>1.7848320968811861E-2</v>
      </c>
      <c r="N2118" s="559">
        <f>'Progetto del paramento slu'!$G$60*(sezione!$AO$35-C2118)/C2118</f>
        <v>2.4417035113061671E-2</v>
      </c>
      <c r="O2118" s="559">
        <f>'Progetto del paramento slu'!$G$60*(sezione!$AP$35-C2118)/C2118</f>
        <v>1.784897626120845E-2</v>
      </c>
      <c r="P2118" s="553">
        <f>-'Progetto del paramento slu'!$G$47*'Progetto del paramento slu'!$G$41*IF(DATI!$G$218="dx",DATI!$E$61,DATI!$E$64*DATI!$E$63)*1000*C2118*sezione!$AD$5</f>
        <v>-600855.67941102106</v>
      </c>
      <c r="Q2118" s="553">
        <f>'Foglio deposito bis'!$F$78*IF(ABS(K2118)&lt;'Progetto del paramento slu'!$G$58,ABS(K2118)*'Progetto del paramento slu'!$G$54,'Progetto del paramento slu'!$G$53)*IF(K2118&lt;0,-1,1)</f>
        <v>0</v>
      </c>
      <c r="R2118" s="553">
        <f>'Foglio deposito bis'!$F$79*IF(ABS(L2118)&lt;'Progetto del paramento slu'!$G$58,ABS(L2118)*'Progetto del paramento slu'!$G$54,'Progetto del paramento slu'!$G$53)*IF(L2118&lt;0,-1,1)</f>
        <v>153664.85805602249</v>
      </c>
      <c r="S2118" s="553">
        <f>'Foglio deposito bis'!$F$80*IF(ABS(M2118)&lt;'Progetto del paramento slu'!$G$58,ABS(M2118)*'Progetto del paramento slu'!$G$54,'Progetto del paramento slu'!$G$53)*IF(M2118&lt;0,-1,1)</f>
        <v>0</v>
      </c>
      <c r="T2118" s="553">
        <f>'Foglio deposito bis'!$F$81*IF(ABS(N2118)&lt;'Progetto del paramento slu'!$G$58,ABS(N2118)*'Progetto del paramento slu'!$G$54,'Progetto del paramento slu'!$G$53)*IF(N2118&lt;0,-1,1)</f>
        <v>398299.31208121032</v>
      </c>
      <c r="U2118" s="553">
        <f>'Foglio deposito bis'!$F$82*IF(ABS(O2118)&lt;'Progetto del paramento slu'!$G$58,ABS(O2118)*'Progetto del paramento slu'!$G$54,'Progetto del paramento slu'!$G$53)*IF(O2118&lt;0,-1,1)</f>
        <v>892485.49558937876</v>
      </c>
      <c r="V2118" s="479">
        <f t="shared" ref="V2118:V2181" si="159">P2118+Q2118+R2118+S2118+T2118+U2118</f>
        <v>843593.98631559056</v>
      </c>
      <c r="W2118" s="559"/>
      <c r="X2118" s="559"/>
    </row>
    <row r="2119" spans="1:24" x14ac:dyDescent="0.25">
      <c r="A2119" s="553">
        <f t="shared" si="158"/>
        <v>832149.11623157118</v>
      </c>
      <c r="B2119" s="3">
        <f t="shared" si="156"/>
        <v>10.699999999999983</v>
      </c>
      <c r="C2119" s="553">
        <f>'Foglio deposito bis'!$E$161/sezione!$B$247*B2119</f>
        <v>43.438232668887203</v>
      </c>
      <c r="D2119" s="611">
        <f>-'Progetto del paramento slu'!$G$47*'Progetto del paramento slu'!$G$41*IF(DATI!$G$218="dx",DATI!$E$61,DATI!$E$64*DATI!$E$63)*1000*C2119^2*sezione!$AD$5*(1-sezione!$AD$6)</f>
        <v>-15532796.179635784</v>
      </c>
      <c r="E2119" s="553">
        <f>-'Foglio deposito bis'!$F$78*(C2119-sezione!$AL$35)*IF(ABS(K2119)&lt;'Progetto del paramento slu'!$G$58,ABS(K2119)*'Progetto del paramento slu'!$G$54,'Progetto del paramento slu'!$G$53)</f>
        <v>0</v>
      </c>
      <c r="F2119" s="553">
        <f>-'Foglio deposito bis'!$F$79*(C2119-sezione!$AM$35)*IF(ABS(L2119)&lt;'Progetto del paramento slu'!$G$58,ABS(L2119)*'Progetto del paramento slu'!$G$54,'Progetto del paramento slu'!$G$53)</f>
        <v>16374798.851134345</v>
      </c>
      <c r="G2119" s="553">
        <f>-'Foglio deposito bis'!$F$80*(C2119-sezione!$AN$35)*IF(ABS(M2119)&lt;'Progetto del paramento slu'!$G$58,ABS(M2119)*'Progetto del paramento slu'!$G$54,'Progetto del paramento slu'!$G$53)</f>
        <v>0</v>
      </c>
      <c r="H2119" s="553">
        <f>-'Foglio deposito bis'!$F$81*(C2119-sezione!$AO$35)*IF(ABS(N2119)&lt;'Progetto del paramento slu'!$G$58,ABS(N2119)*'Progetto del paramento slu'!$G$54,'Progetto del paramento slu'!$G$53)</f>
        <v>118120347.91757016</v>
      </c>
      <c r="I2119" s="479">
        <f>-'Foglio deposito bis'!$F$82*(C2119-sezione!$AP$35)*IF(ABS(O2119)&lt;'Progetto del paramento slu'!$G$58,ABS(O2119)*'Progetto del paramento slu'!$G$54,'Progetto del paramento slu'!$G$53)</f>
        <v>193285358.96300188</v>
      </c>
      <c r="J2119" s="479">
        <f t="shared" si="157"/>
        <v>312247709.55207062</v>
      </c>
      <c r="K2119" s="558">
        <f>'Progetto del paramento slu'!$G$60*(sezione!$AL$35-C2119)/C2119</f>
        <v>-2.7703277969051617E-4</v>
      </c>
      <c r="L2119" s="558">
        <f>'Progetto del paramento slu'!$G$60*(sezione!$AM$35-C2119)/C2119</f>
        <v>8.5861270761605647E-3</v>
      </c>
      <c r="M2119" s="559">
        <f>'Progetto del paramento slu'!$G$60*(sezione!$AN$35-C2119)/C2119</f>
        <v>1.7449286932011646E-2</v>
      </c>
      <c r="N2119" s="559">
        <f>'Progetto del paramento slu'!$G$60*(sezione!$AO$35-C2119)/C2119</f>
        <v>2.3895221372630608E-2</v>
      </c>
      <c r="O2119" s="559">
        <f>'Progetto del paramento slu'!$G$60*(sezione!$AP$35-C2119)/C2119</f>
        <v>1.7449929975952221E-2</v>
      </c>
      <c r="P2119" s="553">
        <f>-'Progetto del paramento slu'!$G$47*'Progetto del paramento slu'!$G$41*IF(DATI!$G$218="dx",DATI!$E$61,DATI!$E$64*DATI!$E$63)*1000*C2119*sezione!$AD$5</f>
        <v>-612300.54949504044</v>
      </c>
      <c r="Q2119" s="553">
        <f>'Foglio deposito bis'!$F$78*IF(ABS(K2119)&lt;'Progetto del paramento slu'!$G$58,ABS(K2119)*'Progetto del paramento slu'!$G$54,'Progetto del paramento slu'!$G$53)*IF(K2119&lt;0,-1,1)</f>
        <v>0</v>
      </c>
      <c r="R2119" s="553">
        <f>'Foglio deposito bis'!$F$79*IF(ABS(L2119)&lt;'Progetto del paramento slu'!$G$58,ABS(L2119)*'Progetto del paramento slu'!$G$54,'Progetto del paramento slu'!$G$53)*IF(L2119&lt;0,-1,1)</f>
        <v>153664.85805602249</v>
      </c>
      <c r="S2119" s="553">
        <f>'Foglio deposito bis'!$F$80*IF(ABS(M2119)&lt;'Progetto del paramento slu'!$G$58,ABS(M2119)*'Progetto del paramento slu'!$G$54,'Progetto del paramento slu'!$G$53)*IF(M2119&lt;0,-1,1)</f>
        <v>0</v>
      </c>
      <c r="T2119" s="553">
        <f>'Foglio deposito bis'!$F$81*IF(ABS(N2119)&lt;'Progetto del paramento slu'!$G$58,ABS(N2119)*'Progetto del paramento slu'!$G$54,'Progetto del paramento slu'!$G$53)*IF(N2119&lt;0,-1,1)</f>
        <v>398299.31208121032</v>
      </c>
      <c r="U2119" s="553">
        <f>'Foglio deposito bis'!$F$82*IF(ABS(O2119)&lt;'Progetto del paramento slu'!$G$58,ABS(O2119)*'Progetto del paramento slu'!$G$54,'Progetto del paramento slu'!$G$53)*IF(O2119&lt;0,-1,1)</f>
        <v>892485.49558937876</v>
      </c>
      <c r="V2119" s="479">
        <f t="shared" si="159"/>
        <v>832149.11623157118</v>
      </c>
      <c r="W2119" s="559"/>
      <c r="X2119" s="559"/>
    </row>
    <row r="2120" spans="1:24" x14ac:dyDescent="0.25">
      <c r="A2120" s="553">
        <f t="shared" si="158"/>
        <v>820704.24614755157</v>
      </c>
      <c r="B2120" s="3">
        <f t="shared" si="156"/>
        <v>10.899999999999983</v>
      </c>
      <c r="C2120" s="553">
        <f>'Foglio deposito bis'!$E$161/sezione!$B$247*B2120</f>
        <v>44.250162251483225</v>
      </c>
      <c r="D2120" s="611">
        <f>-'Progetto del paramento slu'!$G$47*'Progetto del paramento slu'!$G$41*IF(DATI!$G$218="dx",DATI!$E$61,DATI!$E$64*DATI!$E$63)*1000*C2120^2*sezione!$AD$5*(1-sezione!$AD$6)</f>
        <v>-16118888.235675843</v>
      </c>
      <c r="E2120" s="553">
        <f>-'Foglio deposito bis'!$F$78*(C2120-sezione!$AL$35)*IF(ABS(K2120)&lt;'Progetto del paramento slu'!$G$58,ABS(K2120)*'Progetto del paramento slu'!$G$54,'Progetto del paramento slu'!$G$53)</f>
        <v>0</v>
      </c>
      <c r="F2120" s="553">
        <f>-'Foglio deposito bis'!$F$79*(C2120-sezione!$AM$35)*IF(ABS(L2120)&lt;'Progetto del paramento slu'!$G$58,ABS(L2120)*'Progetto del paramento slu'!$G$54,'Progetto del paramento slu'!$G$53)</f>
        <v>16250033.807073239</v>
      </c>
      <c r="G2120" s="553">
        <f>-'Foglio deposito bis'!$F$80*(C2120-sezione!$AN$35)*IF(ABS(M2120)&lt;'Progetto del paramento slu'!$G$58,ABS(M2120)*'Progetto del paramento slu'!$G$54,'Progetto del paramento slu'!$G$53)</f>
        <v>0</v>
      </c>
      <c r="H2120" s="553">
        <f>-'Foglio deposito bis'!$F$81*(C2120-sezione!$AO$35)*IF(ABS(N2120)&lt;'Progetto del paramento slu'!$G$58,ABS(N2120)*'Progetto del paramento slu'!$G$54,'Progetto del paramento slu'!$G$53)</f>
        <v>117796956.9233638</v>
      </c>
      <c r="I2120" s="479">
        <f>-'Foglio deposito bis'!$F$82*(C2120-sezione!$AP$35)*IF(ABS(O2120)&lt;'Progetto del paramento slu'!$G$58,ABS(O2120)*'Progetto del paramento slu'!$G$54,'Progetto del paramento slu'!$G$53)</f>
        <v>192560723.58709499</v>
      </c>
      <c r="J2120" s="479">
        <f t="shared" si="157"/>
        <v>310488826.08185619</v>
      </c>
      <c r="K2120" s="558">
        <f>'Progetto del paramento slu'!$G$60*(sezione!$AL$35-C2120)/C2120</f>
        <v>-3.3616979290720391E-4</v>
      </c>
      <c r="L2120" s="558">
        <f>'Progetto del paramento slu'!$G$60*(sezione!$AM$35-C2120)/C2120</f>
        <v>8.3643632765979855E-3</v>
      </c>
      <c r="M2120" s="559">
        <f>'Progetto del paramento slu'!$G$60*(sezione!$AN$35-C2120)/C2120</f>
        <v>1.7064896346103173E-2</v>
      </c>
      <c r="N2120" s="559">
        <f>'Progetto del paramento slu'!$G$60*(sezione!$AO$35-C2120)/C2120</f>
        <v>2.3392556760288768E-2</v>
      </c>
      <c r="O2120" s="559">
        <f>'Progetto del paramento slu'!$G$60*(sezione!$AP$35-C2120)/C2120</f>
        <v>1.7065527591072365E-2</v>
      </c>
      <c r="P2120" s="553">
        <f>-'Progetto del paramento slu'!$G$47*'Progetto del paramento slu'!$G$41*IF(DATI!$G$218="dx",DATI!$E$61,DATI!$E$64*DATI!$E$63)*1000*C2120*sezione!$AD$5</f>
        <v>-623745.41957905993</v>
      </c>
      <c r="Q2120" s="553">
        <f>'Foglio deposito bis'!$F$78*IF(ABS(K2120)&lt;'Progetto del paramento slu'!$G$58,ABS(K2120)*'Progetto del paramento slu'!$G$54,'Progetto del paramento slu'!$G$53)*IF(K2120&lt;0,-1,1)</f>
        <v>0</v>
      </c>
      <c r="R2120" s="553">
        <f>'Foglio deposito bis'!$F$79*IF(ABS(L2120)&lt;'Progetto del paramento slu'!$G$58,ABS(L2120)*'Progetto del paramento slu'!$G$54,'Progetto del paramento slu'!$G$53)*IF(L2120&lt;0,-1,1)</f>
        <v>153664.85805602249</v>
      </c>
      <c r="S2120" s="553">
        <f>'Foglio deposito bis'!$F$80*IF(ABS(M2120)&lt;'Progetto del paramento slu'!$G$58,ABS(M2120)*'Progetto del paramento slu'!$G$54,'Progetto del paramento slu'!$G$53)*IF(M2120&lt;0,-1,1)</f>
        <v>0</v>
      </c>
      <c r="T2120" s="553">
        <f>'Foglio deposito bis'!$F$81*IF(ABS(N2120)&lt;'Progetto del paramento slu'!$G$58,ABS(N2120)*'Progetto del paramento slu'!$G$54,'Progetto del paramento slu'!$G$53)*IF(N2120&lt;0,-1,1)</f>
        <v>398299.31208121032</v>
      </c>
      <c r="U2120" s="553">
        <f>'Foglio deposito bis'!$F$82*IF(ABS(O2120)&lt;'Progetto del paramento slu'!$G$58,ABS(O2120)*'Progetto del paramento slu'!$G$54,'Progetto del paramento slu'!$G$53)*IF(O2120&lt;0,-1,1)</f>
        <v>892485.49558937876</v>
      </c>
      <c r="V2120" s="479">
        <f t="shared" si="159"/>
        <v>820704.24614755157</v>
      </c>
      <c r="W2120" s="559"/>
      <c r="X2120" s="559"/>
    </row>
    <row r="2121" spans="1:24" x14ac:dyDescent="0.25">
      <c r="A2121" s="553">
        <f t="shared" si="158"/>
        <v>809259.3760635322</v>
      </c>
      <c r="B2121" s="3">
        <f t="shared" si="156"/>
        <v>11.099999999999982</v>
      </c>
      <c r="C2121" s="553">
        <f>'Foglio deposito bis'!$E$161/sezione!$B$247*B2121</f>
        <v>45.062091834079247</v>
      </c>
      <c r="D2121" s="611">
        <f>-'Progetto del paramento slu'!$G$47*'Progetto del paramento slu'!$G$41*IF(DATI!$G$218="dx",DATI!$E$61,DATI!$E$64*DATI!$E$63)*1000*C2121^2*sezione!$AD$5*(1-sezione!$AD$6)</f>
        <v>-16715833.848309239</v>
      </c>
      <c r="E2121" s="553">
        <f>-'Foglio deposito bis'!$F$78*(C2121-sezione!$AL$35)*IF(ABS(K2121)&lt;'Progetto del paramento slu'!$G$58,ABS(K2121)*'Progetto del paramento slu'!$G$54,'Progetto del paramento slu'!$G$53)</f>
        <v>0</v>
      </c>
      <c r="F2121" s="553">
        <f>-'Foglio deposito bis'!$F$79*(C2121-sezione!$AM$35)*IF(ABS(L2121)&lt;'Progetto del paramento slu'!$G$58,ABS(L2121)*'Progetto del paramento slu'!$G$54,'Progetto del paramento slu'!$G$53)</f>
        <v>16125268.763012137</v>
      </c>
      <c r="G2121" s="553">
        <f>-'Foglio deposito bis'!$F$80*(C2121-sezione!$AN$35)*IF(ABS(M2121)&lt;'Progetto del paramento slu'!$G$58,ABS(M2121)*'Progetto del paramento slu'!$G$54,'Progetto del paramento slu'!$G$53)</f>
        <v>0</v>
      </c>
      <c r="H2121" s="553">
        <f>-'Foglio deposito bis'!$F$81*(C2121-sezione!$AO$35)*IF(ABS(N2121)&lt;'Progetto del paramento slu'!$G$58,ABS(N2121)*'Progetto del paramento slu'!$G$54,'Progetto del paramento slu'!$G$53)</f>
        <v>117473565.92915742</v>
      </c>
      <c r="I2121" s="479">
        <f>-'Foglio deposito bis'!$F$82*(C2121-sezione!$AP$35)*IF(ABS(O2121)&lt;'Progetto del paramento slu'!$G$58,ABS(O2121)*'Progetto del paramento slu'!$G$54,'Progetto del paramento slu'!$G$53)</f>
        <v>191836088.21118814</v>
      </c>
      <c r="J2121" s="479">
        <f t="shared" si="157"/>
        <v>308719089.05504847</v>
      </c>
      <c r="K2121" s="558">
        <f>'Progetto del paramento slu'!$G$60*(sezione!$AL$35-C2121)/C2121</f>
        <v>-3.9317574258455152E-4</v>
      </c>
      <c r="L2121" s="558">
        <f>'Progetto del paramento slu'!$G$60*(sezione!$AM$35-C2121)/C2121</f>
        <v>8.1505909653079318E-3</v>
      </c>
      <c r="M2121" s="559">
        <f>'Progetto del paramento slu'!$G$60*(sezione!$AN$35-C2121)/C2121</f>
        <v>1.6694357673200415E-2</v>
      </c>
      <c r="N2121" s="559">
        <f>'Progetto del paramento slu'!$G$60*(sezione!$AO$35-C2121)/C2121</f>
        <v>2.2908006188031311E-2</v>
      </c>
      <c r="O2121" s="559">
        <f>'Progetto del paramento slu'!$G$60*(sezione!$AP$35-C2121)/C2121</f>
        <v>1.6694977544386376E-2</v>
      </c>
      <c r="P2121" s="553">
        <f>-'Progetto del paramento slu'!$G$47*'Progetto del paramento slu'!$G$41*IF(DATI!$G$218="dx",DATI!$E$61,DATI!$E$64*DATI!$E$63)*1000*C2121*sezione!$AD$5</f>
        <v>-635190.28966307931</v>
      </c>
      <c r="Q2121" s="553">
        <f>'Foglio deposito bis'!$F$78*IF(ABS(K2121)&lt;'Progetto del paramento slu'!$G$58,ABS(K2121)*'Progetto del paramento slu'!$G$54,'Progetto del paramento slu'!$G$53)*IF(K2121&lt;0,-1,1)</f>
        <v>0</v>
      </c>
      <c r="R2121" s="553">
        <f>'Foglio deposito bis'!$F$79*IF(ABS(L2121)&lt;'Progetto del paramento slu'!$G$58,ABS(L2121)*'Progetto del paramento slu'!$G$54,'Progetto del paramento slu'!$G$53)*IF(L2121&lt;0,-1,1)</f>
        <v>153664.85805602249</v>
      </c>
      <c r="S2121" s="553">
        <f>'Foglio deposito bis'!$F$80*IF(ABS(M2121)&lt;'Progetto del paramento slu'!$G$58,ABS(M2121)*'Progetto del paramento slu'!$G$54,'Progetto del paramento slu'!$G$53)*IF(M2121&lt;0,-1,1)</f>
        <v>0</v>
      </c>
      <c r="T2121" s="553">
        <f>'Foglio deposito bis'!$F$81*IF(ABS(N2121)&lt;'Progetto del paramento slu'!$G$58,ABS(N2121)*'Progetto del paramento slu'!$G$54,'Progetto del paramento slu'!$G$53)*IF(N2121&lt;0,-1,1)</f>
        <v>398299.31208121032</v>
      </c>
      <c r="U2121" s="553">
        <f>'Foglio deposito bis'!$F$82*IF(ABS(O2121)&lt;'Progetto del paramento slu'!$G$58,ABS(O2121)*'Progetto del paramento slu'!$G$54,'Progetto del paramento slu'!$G$53)*IF(O2121&lt;0,-1,1)</f>
        <v>892485.49558937876</v>
      </c>
      <c r="V2121" s="479">
        <f t="shared" si="159"/>
        <v>809259.3760635322</v>
      </c>
      <c r="W2121" s="559"/>
      <c r="X2121" s="559"/>
    </row>
    <row r="2122" spans="1:24" x14ac:dyDescent="0.25">
      <c r="A2122" s="553">
        <f t="shared" si="158"/>
        <v>797814.50597951282</v>
      </c>
      <c r="B2122" s="3">
        <f t="shared" si="156"/>
        <v>11.299999999999981</v>
      </c>
      <c r="C2122" s="553">
        <f>'Foglio deposito bis'!$E$161/sezione!$B$247*B2122</f>
        <v>45.874021416675269</v>
      </c>
      <c r="D2122" s="611">
        <f>-'Progetto del paramento slu'!$G$47*'Progetto del paramento slu'!$G$41*IF(DATI!$G$218="dx",DATI!$E$61,DATI!$E$64*DATI!$E$63)*1000*C2122^2*sezione!$AD$5*(1-sezione!$AD$6)</f>
        <v>-17323633.017535966</v>
      </c>
      <c r="E2122" s="553">
        <f>-'Foglio deposito bis'!$F$78*(C2122-sezione!$AL$35)*IF(ABS(K2122)&lt;'Progetto del paramento slu'!$G$58,ABS(K2122)*'Progetto del paramento slu'!$G$54,'Progetto del paramento slu'!$G$53)</f>
        <v>0</v>
      </c>
      <c r="F2122" s="553">
        <f>-'Foglio deposito bis'!$F$79*(C2122-sezione!$AM$35)*IF(ABS(L2122)&lt;'Progetto del paramento slu'!$G$58,ABS(L2122)*'Progetto del paramento slu'!$G$54,'Progetto del paramento slu'!$G$53)</f>
        <v>16000503.718951032</v>
      </c>
      <c r="G2122" s="553">
        <f>-'Foglio deposito bis'!$F$80*(C2122-sezione!$AN$35)*IF(ABS(M2122)&lt;'Progetto del paramento slu'!$G$58,ABS(M2122)*'Progetto del paramento slu'!$G$54,'Progetto del paramento slu'!$G$53)</f>
        <v>0</v>
      </c>
      <c r="H2122" s="553">
        <f>-'Foglio deposito bis'!$F$81*(C2122-sezione!$AO$35)*IF(ABS(N2122)&lt;'Progetto del paramento slu'!$G$58,ABS(N2122)*'Progetto del paramento slu'!$G$54,'Progetto del paramento slu'!$G$53)</f>
        <v>117150174.93495104</v>
      </c>
      <c r="I2122" s="479">
        <f>-'Foglio deposito bis'!$F$82*(C2122-sezione!$AP$35)*IF(ABS(O2122)&lt;'Progetto del paramento slu'!$G$58,ABS(O2122)*'Progetto del paramento slu'!$G$54,'Progetto del paramento slu'!$G$53)</f>
        <v>191111452.83528122</v>
      </c>
      <c r="J2122" s="479">
        <f t="shared" si="157"/>
        <v>306938498.47164732</v>
      </c>
      <c r="K2122" s="558">
        <f>'Progetto del paramento slu'!$G$60*(sezione!$AL$35-C2122)/C2122</f>
        <v>-4.4816378253880731E-4</v>
      </c>
      <c r="L2122" s="558">
        <f>'Progetto del paramento slu'!$G$60*(sezione!$AM$35-C2122)/C2122</f>
        <v>7.9443858154794721E-3</v>
      </c>
      <c r="M2122" s="559">
        <f>'Progetto del paramento slu'!$G$60*(sezione!$AN$35-C2122)/C2122</f>
        <v>1.633693541349775E-2</v>
      </c>
      <c r="N2122" s="559">
        <f>'Progetto del paramento slu'!$G$60*(sezione!$AO$35-C2122)/C2122</f>
        <v>2.2440607848420141E-2</v>
      </c>
      <c r="O2122" s="559">
        <f>'Progetto del paramento slu'!$G$60*(sezione!$AP$35-C2122)/C2122</f>
        <v>1.6337544313512278E-2</v>
      </c>
      <c r="P2122" s="553">
        <f>-'Progetto del paramento slu'!$G$47*'Progetto del paramento slu'!$G$41*IF(DATI!$G$218="dx",DATI!$E$61,DATI!$E$64*DATI!$E$63)*1000*C2122*sezione!$AD$5</f>
        <v>-646635.15974709869</v>
      </c>
      <c r="Q2122" s="553">
        <f>'Foglio deposito bis'!$F$78*IF(ABS(K2122)&lt;'Progetto del paramento slu'!$G$58,ABS(K2122)*'Progetto del paramento slu'!$G$54,'Progetto del paramento slu'!$G$53)*IF(K2122&lt;0,-1,1)</f>
        <v>0</v>
      </c>
      <c r="R2122" s="553">
        <f>'Foglio deposito bis'!$F$79*IF(ABS(L2122)&lt;'Progetto del paramento slu'!$G$58,ABS(L2122)*'Progetto del paramento slu'!$G$54,'Progetto del paramento slu'!$G$53)*IF(L2122&lt;0,-1,1)</f>
        <v>153664.85805602249</v>
      </c>
      <c r="S2122" s="553">
        <f>'Foglio deposito bis'!$F$80*IF(ABS(M2122)&lt;'Progetto del paramento slu'!$G$58,ABS(M2122)*'Progetto del paramento slu'!$G$54,'Progetto del paramento slu'!$G$53)*IF(M2122&lt;0,-1,1)</f>
        <v>0</v>
      </c>
      <c r="T2122" s="553">
        <f>'Foglio deposito bis'!$F$81*IF(ABS(N2122)&lt;'Progetto del paramento slu'!$G$58,ABS(N2122)*'Progetto del paramento slu'!$G$54,'Progetto del paramento slu'!$G$53)*IF(N2122&lt;0,-1,1)</f>
        <v>398299.31208121032</v>
      </c>
      <c r="U2122" s="553">
        <f>'Foglio deposito bis'!$F$82*IF(ABS(O2122)&lt;'Progetto del paramento slu'!$G$58,ABS(O2122)*'Progetto del paramento slu'!$G$54,'Progetto del paramento slu'!$G$53)*IF(O2122&lt;0,-1,1)</f>
        <v>892485.49558937876</v>
      </c>
      <c r="V2122" s="479">
        <f t="shared" si="159"/>
        <v>797814.50597951282</v>
      </c>
      <c r="W2122" s="559"/>
      <c r="X2122" s="559"/>
    </row>
    <row r="2123" spans="1:24" x14ac:dyDescent="0.25">
      <c r="A2123" s="553">
        <f t="shared" si="158"/>
        <v>786369.63589549344</v>
      </c>
      <c r="B2123" s="3">
        <f t="shared" si="156"/>
        <v>11.49999999999998</v>
      </c>
      <c r="C2123" s="553">
        <f>'Foglio deposito bis'!$E$161/sezione!$B$247*B2123</f>
        <v>46.685950999271292</v>
      </c>
      <c r="D2123" s="611">
        <f>-'Progetto del paramento slu'!$G$47*'Progetto del paramento slu'!$G$41*IF(DATI!$G$218="dx",DATI!$E$61,DATI!$E$64*DATI!$E$63)*1000*C2123^2*sezione!$AD$5*(1-sezione!$AD$6)</f>
        <v>-17942285.743356034</v>
      </c>
      <c r="E2123" s="553">
        <f>-'Foglio deposito bis'!$F$78*(C2123-sezione!$AL$35)*IF(ABS(K2123)&lt;'Progetto del paramento slu'!$G$58,ABS(K2123)*'Progetto del paramento slu'!$G$54,'Progetto del paramento slu'!$G$53)</f>
        <v>0</v>
      </c>
      <c r="F2123" s="553">
        <f>-'Foglio deposito bis'!$F$79*(C2123-sezione!$AM$35)*IF(ABS(L2123)&lt;'Progetto del paramento slu'!$G$58,ABS(L2123)*'Progetto del paramento slu'!$G$54,'Progetto del paramento slu'!$G$53)</f>
        <v>15875738.67488993</v>
      </c>
      <c r="G2123" s="553">
        <f>-'Foglio deposito bis'!$F$80*(C2123-sezione!$AN$35)*IF(ABS(M2123)&lt;'Progetto del paramento slu'!$G$58,ABS(M2123)*'Progetto del paramento slu'!$G$54,'Progetto del paramento slu'!$G$53)</f>
        <v>0</v>
      </c>
      <c r="H2123" s="553">
        <f>-'Foglio deposito bis'!$F$81*(C2123-sezione!$AO$35)*IF(ABS(N2123)&lt;'Progetto del paramento slu'!$G$58,ABS(N2123)*'Progetto del paramento slu'!$G$54,'Progetto del paramento slu'!$G$53)</f>
        <v>116826783.94074465</v>
      </c>
      <c r="I2123" s="479">
        <f>-'Foglio deposito bis'!$F$82*(C2123-sezione!$AP$35)*IF(ABS(O2123)&lt;'Progetto del paramento slu'!$G$58,ABS(O2123)*'Progetto del paramento slu'!$G$54,'Progetto del paramento slu'!$G$53)</f>
        <v>190386817.45937434</v>
      </c>
      <c r="J2123" s="479">
        <f t="shared" si="157"/>
        <v>305147054.33165288</v>
      </c>
      <c r="K2123" s="558">
        <f>'Progetto del paramento slu'!$G$60*(sezione!$AL$35-C2123)/C2123</f>
        <v>-5.0123919501639323E-4</v>
      </c>
      <c r="L2123" s="558">
        <f>'Progetto del paramento slu'!$G$60*(sezione!$AM$35-C2123)/C2123</f>
        <v>7.7453530186885255E-3</v>
      </c>
      <c r="M2123" s="559">
        <f>'Progetto del paramento slu'!$G$60*(sezione!$AN$35-C2123)/C2123</f>
        <v>1.5991945232393445E-2</v>
      </c>
      <c r="N2123" s="559">
        <f>'Progetto del paramento slu'!$G$60*(sezione!$AO$35-C2123)/C2123</f>
        <v>2.1989466842360656E-2</v>
      </c>
      <c r="O2123" s="559">
        <f>'Progetto del paramento slu'!$G$60*(sezione!$AP$35-C2123)/C2123</f>
        <v>1.5992543542842502E-2</v>
      </c>
      <c r="P2123" s="553">
        <f>-'Progetto del paramento slu'!$G$47*'Progetto del paramento slu'!$G$41*IF(DATI!$G$218="dx",DATI!$E$61,DATI!$E$64*DATI!$E$63)*1000*C2123*sezione!$AD$5</f>
        <v>-658080.02983111818</v>
      </c>
      <c r="Q2123" s="553">
        <f>'Foglio deposito bis'!$F$78*IF(ABS(K2123)&lt;'Progetto del paramento slu'!$G$58,ABS(K2123)*'Progetto del paramento slu'!$G$54,'Progetto del paramento slu'!$G$53)*IF(K2123&lt;0,-1,1)</f>
        <v>0</v>
      </c>
      <c r="R2123" s="553">
        <f>'Foglio deposito bis'!$F$79*IF(ABS(L2123)&lt;'Progetto del paramento slu'!$G$58,ABS(L2123)*'Progetto del paramento slu'!$G$54,'Progetto del paramento slu'!$G$53)*IF(L2123&lt;0,-1,1)</f>
        <v>153664.85805602249</v>
      </c>
      <c r="S2123" s="553">
        <f>'Foglio deposito bis'!$F$80*IF(ABS(M2123)&lt;'Progetto del paramento slu'!$G$58,ABS(M2123)*'Progetto del paramento slu'!$G$54,'Progetto del paramento slu'!$G$53)*IF(M2123&lt;0,-1,1)</f>
        <v>0</v>
      </c>
      <c r="T2123" s="553">
        <f>'Foglio deposito bis'!$F$81*IF(ABS(N2123)&lt;'Progetto del paramento slu'!$G$58,ABS(N2123)*'Progetto del paramento slu'!$G$54,'Progetto del paramento slu'!$G$53)*IF(N2123&lt;0,-1,1)</f>
        <v>398299.31208121032</v>
      </c>
      <c r="U2123" s="553">
        <f>'Foglio deposito bis'!$F$82*IF(ABS(O2123)&lt;'Progetto del paramento slu'!$G$58,ABS(O2123)*'Progetto del paramento slu'!$G$54,'Progetto del paramento slu'!$G$53)*IF(O2123&lt;0,-1,1)</f>
        <v>892485.49558937876</v>
      </c>
      <c r="V2123" s="479">
        <f t="shared" si="159"/>
        <v>786369.63589549344</v>
      </c>
      <c r="W2123" s="559"/>
      <c r="X2123" s="559"/>
    </row>
    <row r="2124" spans="1:24" x14ac:dyDescent="0.25">
      <c r="A2124" s="553">
        <f t="shared" si="158"/>
        <v>774924.76581147383</v>
      </c>
      <c r="B2124" s="3">
        <f t="shared" si="156"/>
        <v>11.69999999999998</v>
      </c>
      <c r="C2124" s="553">
        <f>'Foglio deposito bis'!$E$161/sezione!$B$247*B2124</f>
        <v>47.497880581867314</v>
      </c>
      <c r="D2124" s="611">
        <f>-'Progetto del paramento slu'!$G$47*'Progetto del paramento slu'!$G$41*IF(DATI!$G$218="dx",DATI!$E$61,DATI!$E$64*DATI!$E$63)*1000*C2124^2*sezione!$AD$5*(1-sezione!$AD$6)</f>
        <v>-18571792.025769431</v>
      </c>
      <c r="E2124" s="553">
        <f>-'Foglio deposito bis'!$F$78*(C2124-sezione!$AL$35)*IF(ABS(K2124)&lt;'Progetto del paramento slu'!$G$58,ABS(K2124)*'Progetto del paramento slu'!$G$54,'Progetto del paramento slu'!$G$53)</f>
        <v>0</v>
      </c>
      <c r="F2124" s="553">
        <f>-'Foglio deposito bis'!$F$79*(C2124-sezione!$AM$35)*IF(ABS(L2124)&lt;'Progetto del paramento slu'!$G$58,ABS(L2124)*'Progetto del paramento slu'!$G$54,'Progetto del paramento slu'!$G$53)</f>
        <v>15750973.630828826</v>
      </c>
      <c r="G2124" s="553">
        <f>-'Foglio deposito bis'!$F$80*(C2124-sezione!$AN$35)*IF(ABS(M2124)&lt;'Progetto del paramento slu'!$G$58,ABS(M2124)*'Progetto del paramento slu'!$G$54,'Progetto del paramento slu'!$G$53)</f>
        <v>0</v>
      </c>
      <c r="H2124" s="553">
        <f>-'Foglio deposito bis'!$F$81*(C2124-sezione!$AO$35)*IF(ABS(N2124)&lt;'Progetto del paramento slu'!$G$58,ABS(N2124)*'Progetto del paramento slu'!$G$54,'Progetto del paramento slu'!$G$53)</f>
        <v>116503392.94653827</v>
      </c>
      <c r="I2124" s="479">
        <f>-'Foglio deposito bis'!$F$82*(C2124-sezione!$AP$35)*IF(ABS(O2124)&lt;'Progetto del paramento slu'!$G$58,ABS(O2124)*'Progetto del paramento slu'!$G$54,'Progetto del paramento slu'!$G$53)</f>
        <v>189662182.08346742</v>
      </c>
      <c r="J2124" s="479">
        <f t="shared" si="157"/>
        <v>303344756.63506508</v>
      </c>
      <c r="K2124" s="558">
        <f>'Progetto del paramento slu'!$G$60*(sezione!$AL$35-C2124)/C2124</f>
        <v>-5.5250006347765145E-4</v>
      </c>
      <c r="L2124" s="558">
        <f>'Progetto del paramento slu'!$G$60*(sezione!$AM$35-C2124)/C2124</f>
        <v>7.5531247619588064E-3</v>
      </c>
      <c r="M2124" s="559">
        <f>'Progetto del paramento slu'!$G$60*(sezione!$AN$35-C2124)/C2124</f>
        <v>1.5658749587395264E-2</v>
      </c>
      <c r="N2124" s="559">
        <f>'Progetto del paramento slu'!$G$60*(sezione!$AO$35-C2124)/C2124</f>
        <v>2.1553749460439961E-2</v>
      </c>
      <c r="O2124" s="559">
        <f>'Progetto del paramento slu'!$G$60*(sezione!$AP$35-C2124)/C2124</f>
        <v>1.5659337670315278E-2</v>
      </c>
      <c r="P2124" s="553">
        <f>-'Progetto del paramento slu'!$G$47*'Progetto del paramento slu'!$G$41*IF(DATI!$G$218="dx",DATI!$E$61,DATI!$E$64*DATI!$E$63)*1000*C2124*sezione!$AD$5</f>
        <v>-669524.89991513768</v>
      </c>
      <c r="Q2124" s="553">
        <f>'Foglio deposito bis'!$F$78*IF(ABS(K2124)&lt;'Progetto del paramento slu'!$G$58,ABS(K2124)*'Progetto del paramento slu'!$G$54,'Progetto del paramento slu'!$G$53)*IF(K2124&lt;0,-1,1)</f>
        <v>0</v>
      </c>
      <c r="R2124" s="553">
        <f>'Foglio deposito bis'!$F$79*IF(ABS(L2124)&lt;'Progetto del paramento slu'!$G$58,ABS(L2124)*'Progetto del paramento slu'!$G$54,'Progetto del paramento slu'!$G$53)*IF(L2124&lt;0,-1,1)</f>
        <v>153664.85805602249</v>
      </c>
      <c r="S2124" s="553">
        <f>'Foglio deposito bis'!$F$80*IF(ABS(M2124)&lt;'Progetto del paramento slu'!$G$58,ABS(M2124)*'Progetto del paramento slu'!$G$54,'Progetto del paramento slu'!$G$53)*IF(M2124&lt;0,-1,1)</f>
        <v>0</v>
      </c>
      <c r="T2124" s="553">
        <f>'Foglio deposito bis'!$F$81*IF(ABS(N2124)&lt;'Progetto del paramento slu'!$G$58,ABS(N2124)*'Progetto del paramento slu'!$G$54,'Progetto del paramento slu'!$G$53)*IF(N2124&lt;0,-1,1)</f>
        <v>398299.31208121032</v>
      </c>
      <c r="U2124" s="553">
        <f>'Foglio deposito bis'!$F$82*IF(ABS(O2124)&lt;'Progetto del paramento slu'!$G$58,ABS(O2124)*'Progetto del paramento slu'!$G$54,'Progetto del paramento slu'!$G$53)*IF(O2124&lt;0,-1,1)</f>
        <v>892485.49558937876</v>
      </c>
      <c r="V2124" s="479">
        <f t="shared" si="159"/>
        <v>774924.76581147383</v>
      </c>
      <c r="W2124" s="559"/>
      <c r="X2124" s="559"/>
    </row>
    <row r="2125" spans="1:24" x14ac:dyDescent="0.25">
      <c r="A2125" s="553">
        <f t="shared" si="158"/>
        <v>763479.89572745445</v>
      </c>
      <c r="B2125" s="3">
        <f t="shared" si="156"/>
        <v>11.899999999999979</v>
      </c>
      <c r="C2125" s="553">
        <f>'Foglio deposito bis'!$E$161/sezione!$B$247*B2125</f>
        <v>48.309810164463329</v>
      </c>
      <c r="D2125" s="611">
        <f>-'Progetto del paramento slu'!$G$47*'Progetto del paramento slu'!$G$41*IF(DATI!$G$218="dx",DATI!$E$61,DATI!$E$64*DATI!$E$63)*1000*C2125^2*sezione!$AD$5*(1-sezione!$AD$6)</f>
        <v>-19212151.864776161</v>
      </c>
      <c r="E2125" s="553">
        <f>-'Foglio deposito bis'!$F$78*(C2125-sezione!$AL$35)*IF(ABS(K2125)&lt;'Progetto del paramento slu'!$G$58,ABS(K2125)*'Progetto del paramento slu'!$G$54,'Progetto del paramento slu'!$G$53)</f>
        <v>0</v>
      </c>
      <c r="F2125" s="553">
        <f>-'Foglio deposito bis'!$F$79*(C2125-sezione!$AM$35)*IF(ABS(L2125)&lt;'Progetto del paramento slu'!$G$58,ABS(L2125)*'Progetto del paramento slu'!$G$54,'Progetto del paramento slu'!$G$53)</f>
        <v>15626208.586767726</v>
      </c>
      <c r="G2125" s="553">
        <f>-'Foglio deposito bis'!$F$80*(C2125-sezione!$AN$35)*IF(ABS(M2125)&lt;'Progetto del paramento slu'!$G$58,ABS(M2125)*'Progetto del paramento slu'!$G$54,'Progetto del paramento slu'!$G$53)</f>
        <v>0</v>
      </c>
      <c r="H2125" s="553">
        <f>-'Foglio deposito bis'!$F$81*(C2125-sezione!$AO$35)*IF(ABS(N2125)&lt;'Progetto del paramento slu'!$G$58,ABS(N2125)*'Progetto del paramento slu'!$G$54,'Progetto del paramento slu'!$G$53)</f>
        <v>116180001.95233189</v>
      </c>
      <c r="I2125" s="479">
        <f>-'Foglio deposito bis'!$F$82*(C2125-sezione!$AP$35)*IF(ABS(O2125)&lt;'Progetto del paramento slu'!$G$58,ABS(O2125)*'Progetto del paramento slu'!$G$54,'Progetto del paramento slu'!$G$53)</f>
        <v>188937546.70756057</v>
      </c>
      <c r="J2125" s="479">
        <f t="shared" si="157"/>
        <v>301531605.38188404</v>
      </c>
      <c r="K2125" s="558">
        <f>'Progetto del paramento slu'!$G$60*(sezione!$AL$35-C2125)/C2125</f>
        <v>-6.0203787753685008E-4</v>
      </c>
      <c r="L2125" s="558">
        <f>'Progetto del paramento slu'!$G$60*(sezione!$AM$35-C2125)/C2125</f>
        <v>7.3673579592368112E-3</v>
      </c>
      <c r="M2125" s="559">
        <f>'Progetto del paramento slu'!$G$60*(sezione!$AN$35-C2125)/C2125</f>
        <v>1.5336753796010474E-2</v>
      </c>
      <c r="N2125" s="559">
        <f>'Progetto del paramento slu'!$G$60*(sezione!$AO$35-C2125)/C2125</f>
        <v>2.1132678040936777E-2</v>
      </c>
      <c r="O2125" s="559">
        <f>'Progetto del paramento slu'!$G$60*(sezione!$AP$35-C2125)/C2125</f>
        <v>1.5337331995183934E-2</v>
      </c>
      <c r="P2125" s="553">
        <f>-'Progetto del paramento slu'!$G$47*'Progetto del paramento slu'!$G$41*IF(DATI!$G$218="dx",DATI!$E$61,DATI!$E$64*DATI!$E$63)*1000*C2125*sezione!$AD$5</f>
        <v>-680969.76999915706</v>
      </c>
      <c r="Q2125" s="553">
        <f>'Foglio deposito bis'!$F$78*IF(ABS(K2125)&lt;'Progetto del paramento slu'!$G$58,ABS(K2125)*'Progetto del paramento slu'!$G$54,'Progetto del paramento slu'!$G$53)*IF(K2125&lt;0,-1,1)</f>
        <v>0</v>
      </c>
      <c r="R2125" s="553">
        <f>'Foglio deposito bis'!$F$79*IF(ABS(L2125)&lt;'Progetto del paramento slu'!$G$58,ABS(L2125)*'Progetto del paramento slu'!$G$54,'Progetto del paramento slu'!$G$53)*IF(L2125&lt;0,-1,1)</f>
        <v>153664.85805602249</v>
      </c>
      <c r="S2125" s="553">
        <f>'Foglio deposito bis'!$F$80*IF(ABS(M2125)&lt;'Progetto del paramento slu'!$G$58,ABS(M2125)*'Progetto del paramento slu'!$G$54,'Progetto del paramento slu'!$G$53)*IF(M2125&lt;0,-1,1)</f>
        <v>0</v>
      </c>
      <c r="T2125" s="553">
        <f>'Foglio deposito bis'!$F$81*IF(ABS(N2125)&lt;'Progetto del paramento slu'!$G$58,ABS(N2125)*'Progetto del paramento slu'!$G$54,'Progetto del paramento slu'!$G$53)*IF(N2125&lt;0,-1,1)</f>
        <v>398299.31208121032</v>
      </c>
      <c r="U2125" s="553">
        <f>'Foglio deposito bis'!$F$82*IF(ABS(O2125)&lt;'Progetto del paramento slu'!$G$58,ABS(O2125)*'Progetto del paramento slu'!$G$54,'Progetto del paramento slu'!$G$53)*IF(O2125&lt;0,-1,1)</f>
        <v>892485.49558937876</v>
      </c>
      <c r="V2125" s="479">
        <f t="shared" si="159"/>
        <v>763479.89572745445</v>
      </c>
      <c r="W2125" s="559"/>
      <c r="X2125" s="559"/>
    </row>
    <row r="2126" spans="1:24" x14ac:dyDescent="0.25">
      <c r="A2126" s="553">
        <f t="shared" si="158"/>
        <v>752035.02564343507</v>
      </c>
      <c r="B2126" s="3">
        <f t="shared" si="156"/>
        <v>12.099999999999978</v>
      </c>
      <c r="C2126" s="553">
        <f>'Foglio deposito bis'!$E$161/sezione!$B$247*B2126</f>
        <v>49.121739747059351</v>
      </c>
      <c r="D2126" s="611">
        <f>-'Progetto del paramento slu'!$G$47*'Progetto del paramento slu'!$G$41*IF(DATI!$G$218="dx",DATI!$E$61,DATI!$E$64*DATI!$E$63)*1000*C2126^2*sezione!$AD$5*(1-sezione!$AD$6)</f>
        <v>-19863365.260376222</v>
      </c>
      <c r="E2126" s="553">
        <f>-'Foglio deposito bis'!$F$78*(C2126-sezione!$AL$35)*IF(ABS(K2126)&lt;'Progetto del paramento slu'!$G$58,ABS(K2126)*'Progetto del paramento slu'!$G$54,'Progetto del paramento slu'!$G$53)</f>
        <v>0</v>
      </c>
      <c r="F2126" s="553">
        <f>-'Foglio deposito bis'!$F$79*(C2126-sezione!$AM$35)*IF(ABS(L2126)&lt;'Progetto del paramento slu'!$G$58,ABS(L2126)*'Progetto del paramento slu'!$G$54,'Progetto del paramento slu'!$G$53)</f>
        <v>15501443.542706622</v>
      </c>
      <c r="G2126" s="553">
        <f>-'Foglio deposito bis'!$F$80*(C2126-sezione!$AN$35)*IF(ABS(M2126)&lt;'Progetto del paramento slu'!$G$58,ABS(M2126)*'Progetto del paramento slu'!$G$54,'Progetto del paramento slu'!$G$53)</f>
        <v>0</v>
      </c>
      <c r="H2126" s="553">
        <f>-'Foglio deposito bis'!$F$81*(C2126-sezione!$AO$35)*IF(ABS(N2126)&lt;'Progetto del paramento slu'!$G$58,ABS(N2126)*'Progetto del paramento slu'!$G$54,'Progetto del paramento slu'!$G$53)</f>
        <v>115856610.95812553</v>
      </c>
      <c r="I2126" s="479">
        <f>-'Foglio deposito bis'!$F$82*(C2126-sezione!$AP$35)*IF(ABS(O2126)&lt;'Progetto del paramento slu'!$G$58,ABS(O2126)*'Progetto del paramento slu'!$G$54,'Progetto del paramento slu'!$G$53)</f>
        <v>188212911.33165371</v>
      </c>
      <c r="J2126" s="479">
        <f t="shared" si="157"/>
        <v>299707600.57210964</v>
      </c>
      <c r="K2126" s="558">
        <f>'Progetto del paramento slu'!$G$60*(sezione!$AL$35-C2126)/C2126</f>
        <v>-6.4993807790814182E-4</v>
      </c>
      <c r="L2126" s="558">
        <f>'Progetto del paramento slu'!$G$60*(sezione!$AM$35-C2126)/C2126</f>
        <v>7.1877322078444678E-3</v>
      </c>
      <c r="M2126" s="559">
        <f>'Progetto del paramento slu'!$G$60*(sezione!$AN$35-C2126)/C2126</f>
        <v>1.5025402493597078E-2</v>
      </c>
      <c r="N2126" s="559">
        <f>'Progetto del paramento slu'!$G$60*(sezione!$AO$35-C2126)/C2126</f>
        <v>2.0725526337780794E-2</v>
      </c>
      <c r="O2126" s="559">
        <f>'Progetto del paramento slu'!$G$60*(sezione!$AP$35-C2126)/C2126</f>
        <v>1.5025971135759406E-2</v>
      </c>
      <c r="P2126" s="553">
        <f>-'Progetto del paramento slu'!$G$47*'Progetto del paramento slu'!$G$41*IF(DATI!$G$218="dx",DATI!$E$61,DATI!$E$64*DATI!$E$63)*1000*C2126*sezione!$AD$5</f>
        <v>-692414.64008317643</v>
      </c>
      <c r="Q2126" s="553">
        <f>'Foglio deposito bis'!$F$78*IF(ABS(K2126)&lt;'Progetto del paramento slu'!$G$58,ABS(K2126)*'Progetto del paramento slu'!$G$54,'Progetto del paramento slu'!$G$53)*IF(K2126&lt;0,-1,1)</f>
        <v>0</v>
      </c>
      <c r="R2126" s="553">
        <f>'Foglio deposito bis'!$F$79*IF(ABS(L2126)&lt;'Progetto del paramento slu'!$G$58,ABS(L2126)*'Progetto del paramento slu'!$G$54,'Progetto del paramento slu'!$G$53)*IF(L2126&lt;0,-1,1)</f>
        <v>153664.85805602249</v>
      </c>
      <c r="S2126" s="553">
        <f>'Foglio deposito bis'!$F$80*IF(ABS(M2126)&lt;'Progetto del paramento slu'!$G$58,ABS(M2126)*'Progetto del paramento slu'!$G$54,'Progetto del paramento slu'!$G$53)*IF(M2126&lt;0,-1,1)</f>
        <v>0</v>
      </c>
      <c r="T2126" s="553">
        <f>'Foglio deposito bis'!$F$81*IF(ABS(N2126)&lt;'Progetto del paramento slu'!$G$58,ABS(N2126)*'Progetto del paramento slu'!$G$54,'Progetto del paramento slu'!$G$53)*IF(N2126&lt;0,-1,1)</f>
        <v>398299.31208121032</v>
      </c>
      <c r="U2126" s="553">
        <f>'Foglio deposito bis'!$F$82*IF(ABS(O2126)&lt;'Progetto del paramento slu'!$G$58,ABS(O2126)*'Progetto del paramento slu'!$G$54,'Progetto del paramento slu'!$G$53)*IF(O2126&lt;0,-1,1)</f>
        <v>892485.49558937876</v>
      </c>
      <c r="V2126" s="479">
        <f t="shared" si="159"/>
        <v>752035.02564343507</v>
      </c>
      <c r="W2126" s="559"/>
      <c r="X2126" s="559"/>
    </row>
    <row r="2127" spans="1:24" x14ac:dyDescent="0.25">
      <c r="A2127" s="553">
        <f t="shared" si="158"/>
        <v>740590.1555594157</v>
      </c>
      <c r="B2127" s="3">
        <f t="shared" si="156"/>
        <v>12.299999999999978</v>
      </c>
      <c r="C2127" s="553">
        <f>'Foglio deposito bis'!$E$161/sezione!$B$247*B2127</f>
        <v>49.933669329655373</v>
      </c>
      <c r="D2127" s="611">
        <f>-'Progetto del paramento slu'!$G$47*'Progetto del paramento slu'!$G$41*IF(DATI!$G$218="dx",DATI!$E$61,DATI!$E$64*DATI!$E$63)*1000*C2127^2*sezione!$AD$5*(1-sezione!$AD$6)</f>
        <v>-20525432.212569628</v>
      </c>
      <c r="E2127" s="553">
        <f>-'Foglio deposito bis'!$F$78*(C2127-sezione!$AL$35)*IF(ABS(K2127)&lt;'Progetto del paramento slu'!$G$58,ABS(K2127)*'Progetto del paramento slu'!$G$54,'Progetto del paramento slu'!$G$53)</f>
        <v>0</v>
      </c>
      <c r="F2127" s="553">
        <f>-'Foglio deposito bis'!$F$79*(C2127-sezione!$AM$35)*IF(ABS(L2127)&lt;'Progetto del paramento slu'!$G$58,ABS(L2127)*'Progetto del paramento slu'!$G$54,'Progetto del paramento slu'!$G$53)</f>
        <v>15376678.498645518</v>
      </c>
      <c r="G2127" s="553">
        <f>-'Foglio deposito bis'!$F$80*(C2127-sezione!$AN$35)*IF(ABS(M2127)&lt;'Progetto del paramento slu'!$G$58,ABS(M2127)*'Progetto del paramento slu'!$G$54,'Progetto del paramento slu'!$G$53)</f>
        <v>0</v>
      </c>
      <c r="H2127" s="553">
        <f>-'Foglio deposito bis'!$F$81*(C2127-sezione!$AO$35)*IF(ABS(N2127)&lt;'Progetto del paramento slu'!$G$58,ABS(N2127)*'Progetto del paramento slu'!$G$54,'Progetto del paramento slu'!$G$53)</f>
        <v>115533219.96391915</v>
      </c>
      <c r="I2127" s="479">
        <f>-'Foglio deposito bis'!$F$82*(C2127-sezione!$AP$35)*IF(ABS(O2127)&lt;'Progetto del paramento slu'!$G$58,ABS(O2127)*'Progetto del paramento slu'!$G$54,'Progetto del paramento slu'!$G$53)</f>
        <v>187488275.9557468</v>
      </c>
      <c r="J2127" s="479">
        <f t="shared" si="157"/>
        <v>297872742.20574182</v>
      </c>
      <c r="K2127" s="558">
        <f>'Progetto del paramento slu'!$G$60*(sezione!$AL$35-C2127)/C2127</f>
        <v>-6.9628054818605815E-4</v>
      </c>
      <c r="L2127" s="558">
        <f>'Progetto del paramento slu'!$G$60*(sezione!$AM$35-C2127)/C2127</f>
        <v>7.0139479443022817E-3</v>
      </c>
      <c r="M2127" s="559">
        <f>'Progetto del paramento slu'!$G$60*(sezione!$AN$35-C2127)/C2127</f>
        <v>1.4724176436790621E-2</v>
      </c>
      <c r="N2127" s="559">
        <f>'Progetto del paramento slu'!$G$60*(sezione!$AO$35-C2127)/C2127</f>
        <v>2.033161534041851E-2</v>
      </c>
      <c r="O2127" s="559">
        <f>'Progetto del paramento slu'!$G$60*(sezione!$AP$35-C2127)/C2127</f>
        <v>1.4724735832738927E-2</v>
      </c>
      <c r="P2127" s="553">
        <f>-'Progetto del paramento slu'!$G$47*'Progetto del paramento slu'!$G$41*IF(DATI!$G$218="dx",DATI!$E$61,DATI!$E$64*DATI!$E$63)*1000*C2127*sezione!$AD$5</f>
        <v>-703859.51016719593</v>
      </c>
      <c r="Q2127" s="553">
        <f>'Foglio deposito bis'!$F$78*IF(ABS(K2127)&lt;'Progetto del paramento slu'!$G$58,ABS(K2127)*'Progetto del paramento slu'!$G$54,'Progetto del paramento slu'!$G$53)*IF(K2127&lt;0,-1,1)</f>
        <v>0</v>
      </c>
      <c r="R2127" s="553">
        <f>'Foglio deposito bis'!$F$79*IF(ABS(L2127)&lt;'Progetto del paramento slu'!$G$58,ABS(L2127)*'Progetto del paramento slu'!$G$54,'Progetto del paramento slu'!$G$53)*IF(L2127&lt;0,-1,1)</f>
        <v>153664.85805602249</v>
      </c>
      <c r="S2127" s="553">
        <f>'Foglio deposito bis'!$F$80*IF(ABS(M2127)&lt;'Progetto del paramento slu'!$G$58,ABS(M2127)*'Progetto del paramento slu'!$G$54,'Progetto del paramento slu'!$G$53)*IF(M2127&lt;0,-1,1)</f>
        <v>0</v>
      </c>
      <c r="T2127" s="553">
        <f>'Foglio deposito bis'!$F$81*IF(ABS(N2127)&lt;'Progetto del paramento slu'!$G$58,ABS(N2127)*'Progetto del paramento slu'!$G$54,'Progetto del paramento slu'!$G$53)*IF(N2127&lt;0,-1,1)</f>
        <v>398299.31208121032</v>
      </c>
      <c r="U2127" s="553">
        <f>'Foglio deposito bis'!$F$82*IF(ABS(O2127)&lt;'Progetto del paramento slu'!$G$58,ABS(O2127)*'Progetto del paramento slu'!$G$54,'Progetto del paramento slu'!$G$53)*IF(O2127&lt;0,-1,1)</f>
        <v>892485.49558937876</v>
      </c>
      <c r="V2127" s="479">
        <f t="shared" si="159"/>
        <v>740590.1555594157</v>
      </c>
      <c r="W2127" s="559"/>
      <c r="X2127" s="559"/>
    </row>
    <row r="2128" spans="1:24" x14ac:dyDescent="0.25">
      <c r="A2128" s="553">
        <f t="shared" si="158"/>
        <v>729145.28547539632</v>
      </c>
      <c r="B2128" s="3">
        <f t="shared" si="156"/>
        <v>12.499999999999977</v>
      </c>
      <c r="C2128" s="553">
        <f>'Foglio deposito bis'!$E$161/sezione!$B$247*B2128</f>
        <v>50.745598912251396</v>
      </c>
      <c r="D2128" s="611">
        <f>-'Progetto del paramento slu'!$G$47*'Progetto del paramento slu'!$G$41*IF(DATI!$G$218="dx",DATI!$E$61,DATI!$E$64*DATI!$E$63)*1000*C2128^2*sezione!$AD$5*(1-sezione!$AD$6)</f>
        <v>-21198352.721356366</v>
      </c>
      <c r="E2128" s="553">
        <f>-'Foglio deposito bis'!$F$78*(C2128-sezione!$AL$35)*IF(ABS(K2128)&lt;'Progetto del paramento slu'!$G$58,ABS(K2128)*'Progetto del paramento slu'!$G$54,'Progetto del paramento slu'!$G$53)</f>
        <v>0</v>
      </c>
      <c r="F2128" s="553">
        <f>-'Foglio deposito bis'!$F$79*(C2128-sezione!$AM$35)*IF(ABS(L2128)&lt;'Progetto del paramento slu'!$G$58,ABS(L2128)*'Progetto del paramento slu'!$G$54,'Progetto del paramento slu'!$G$53)</f>
        <v>15251913.454584412</v>
      </c>
      <c r="G2128" s="553">
        <f>-'Foglio deposito bis'!$F$80*(C2128-sezione!$AN$35)*IF(ABS(M2128)&lt;'Progetto del paramento slu'!$G$58,ABS(M2128)*'Progetto del paramento slu'!$G$54,'Progetto del paramento slu'!$G$53)</f>
        <v>0</v>
      </c>
      <c r="H2128" s="553">
        <f>-'Foglio deposito bis'!$F$81*(C2128-sezione!$AO$35)*IF(ABS(N2128)&lt;'Progetto del paramento slu'!$G$58,ABS(N2128)*'Progetto del paramento slu'!$G$54,'Progetto del paramento slu'!$G$53)</f>
        <v>115209828.96971275</v>
      </c>
      <c r="I2128" s="479">
        <f>-'Foglio deposito bis'!$F$82*(C2128-sezione!$AP$35)*IF(ABS(O2128)&lt;'Progetto del paramento slu'!$G$58,ABS(O2128)*'Progetto del paramento slu'!$G$54,'Progetto del paramento slu'!$G$53)</f>
        <v>186763640.57983989</v>
      </c>
      <c r="J2128" s="479">
        <f t="shared" si="157"/>
        <v>296027030.28278065</v>
      </c>
      <c r="K2128" s="558">
        <f>'Progetto del paramento slu'!$G$60*(sezione!$AL$35-C2128)/C2128</f>
        <v>-7.4114005941508141E-4</v>
      </c>
      <c r="L2128" s="558">
        <f>'Progetto del paramento slu'!$G$60*(sezione!$AM$35-C2128)/C2128</f>
        <v>6.8457247771934451E-3</v>
      </c>
      <c r="M2128" s="559">
        <f>'Progetto del paramento slu'!$G$60*(sezione!$AN$35-C2128)/C2128</f>
        <v>1.443258961380197E-2</v>
      </c>
      <c r="N2128" s="559">
        <f>'Progetto del paramento slu'!$G$60*(sezione!$AO$35-C2128)/C2128</f>
        <v>1.9950309494971809E-2</v>
      </c>
      <c r="O2128" s="559">
        <f>'Progetto del paramento slu'!$G$60*(sezione!$AP$35-C2128)/C2128</f>
        <v>1.4433140059415104E-2</v>
      </c>
      <c r="P2128" s="553">
        <f>-'Progetto del paramento slu'!$G$47*'Progetto del paramento slu'!$G$41*IF(DATI!$G$218="dx",DATI!$E$61,DATI!$E$64*DATI!$E$63)*1000*C2128*sezione!$AD$5</f>
        <v>-715304.38025121531</v>
      </c>
      <c r="Q2128" s="553">
        <f>'Foglio deposito bis'!$F$78*IF(ABS(K2128)&lt;'Progetto del paramento slu'!$G$58,ABS(K2128)*'Progetto del paramento slu'!$G$54,'Progetto del paramento slu'!$G$53)*IF(K2128&lt;0,-1,1)</f>
        <v>0</v>
      </c>
      <c r="R2128" s="553">
        <f>'Foglio deposito bis'!$F$79*IF(ABS(L2128)&lt;'Progetto del paramento slu'!$G$58,ABS(L2128)*'Progetto del paramento slu'!$G$54,'Progetto del paramento slu'!$G$53)*IF(L2128&lt;0,-1,1)</f>
        <v>153664.85805602249</v>
      </c>
      <c r="S2128" s="553">
        <f>'Foglio deposito bis'!$F$80*IF(ABS(M2128)&lt;'Progetto del paramento slu'!$G$58,ABS(M2128)*'Progetto del paramento slu'!$G$54,'Progetto del paramento slu'!$G$53)*IF(M2128&lt;0,-1,1)</f>
        <v>0</v>
      </c>
      <c r="T2128" s="553">
        <f>'Foglio deposito bis'!$F$81*IF(ABS(N2128)&lt;'Progetto del paramento slu'!$G$58,ABS(N2128)*'Progetto del paramento slu'!$G$54,'Progetto del paramento slu'!$G$53)*IF(N2128&lt;0,-1,1)</f>
        <v>398299.31208121032</v>
      </c>
      <c r="U2128" s="553">
        <f>'Foglio deposito bis'!$F$82*IF(ABS(O2128)&lt;'Progetto del paramento slu'!$G$58,ABS(O2128)*'Progetto del paramento slu'!$G$54,'Progetto del paramento slu'!$G$53)*IF(O2128&lt;0,-1,1)</f>
        <v>892485.49558937876</v>
      </c>
      <c r="V2128" s="479">
        <f t="shared" si="159"/>
        <v>729145.28547539632</v>
      </c>
      <c r="W2128" s="559"/>
      <c r="X2128" s="559"/>
    </row>
    <row r="2129" spans="1:24" x14ac:dyDescent="0.25">
      <c r="A2129" s="553">
        <f t="shared" si="158"/>
        <v>717700.41539137694</v>
      </c>
      <c r="B2129" s="3">
        <f t="shared" si="156"/>
        <v>12.699999999999976</v>
      </c>
      <c r="C2129" s="553">
        <f>'Foglio deposito bis'!$E$161/sezione!$B$247*B2129</f>
        <v>51.557528494847418</v>
      </c>
      <c r="D2129" s="611">
        <f>-'Progetto del paramento slu'!$G$47*'Progetto del paramento slu'!$G$41*IF(DATI!$G$218="dx",DATI!$E$61,DATI!$E$64*DATI!$E$63)*1000*C2129^2*sezione!$AD$5*(1-sezione!$AD$6)</f>
        <v>-21882126.786736432</v>
      </c>
      <c r="E2129" s="553">
        <f>-'Foglio deposito bis'!$F$78*(C2129-sezione!$AL$35)*IF(ABS(K2129)&lt;'Progetto del paramento slu'!$G$58,ABS(K2129)*'Progetto del paramento slu'!$G$54,'Progetto del paramento slu'!$G$53)</f>
        <v>0</v>
      </c>
      <c r="F2129" s="553">
        <f>-'Foglio deposito bis'!$F$79*(C2129-sezione!$AM$35)*IF(ABS(L2129)&lt;'Progetto del paramento slu'!$G$58,ABS(L2129)*'Progetto del paramento slu'!$G$54,'Progetto del paramento slu'!$G$53)</f>
        <v>15127148.410523308</v>
      </c>
      <c r="G2129" s="553">
        <f>-'Foglio deposito bis'!$F$80*(C2129-sezione!$AN$35)*IF(ABS(M2129)&lt;'Progetto del paramento slu'!$G$58,ABS(M2129)*'Progetto del paramento slu'!$G$54,'Progetto del paramento slu'!$G$53)</f>
        <v>0</v>
      </c>
      <c r="H2129" s="553">
        <f>-'Foglio deposito bis'!$F$81*(C2129-sezione!$AO$35)*IF(ABS(N2129)&lt;'Progetto del paramento slu'!$G$58,ABS(N2129)*'Progetto del paramento slu'!$G$54,'Progetto del paramento slu'!$G$53)</f>
        <v>114886437.97550638</v>
      </c>
      <c r="I2129" s="479">
        <f>-'Foglio deposito bis'!$F$82*(C2129-sezione!$AP$35)*IF(ABS(O2129)&lt;'Progetto del paramento slu'!$G$58,ABS(O2129)*'Progetto del paramento slu'!$G$54,'Progetto del paramento slu'!$G$53)</f>
        <v>186039005.203933</v>
      </c>
      <c r="J2129" s="479">
        <f t="shared" si="157"/>
        <v>294170464.80322623</v>
      </c>
      <c r="K2129" s="558">
        <f>'Progetto del paramento slu'!$G$60*(sezione!$AL$35-C2129)/C2129</f>
        <v>-7.8458667265263909E-4</v>
      </c>
      <c r="L2129" s="558">
        <f>'Progetto del paramento slu'!$G$60*(sezione!$AM$35-C2129)/C2129</f>
        <v>6.6827999775526037E-3</v>
      </c>
      <c r="M2129" s="559">
        <f>'Progetto del paramento slu'!$G$60*(sezione!$AN$35-C2129)/C2129</f>
        <v>1.4150186627757846E-2</v>
      </c>
      <c r="N2129" s="559">
        <f>'Progetto del paramento slu'!$G$60*(sezione!$AO$35-C2129)/C2129</f>
        <v>1.9581013282452566E-2</v>
      </c>
      <c r="O2129" s="559">
        <f>'Progetto del paramento slu'!$G$60*(sezione!$AP$35-C2129)/C2129</f>
        <v>1.4150728404936128E-2</v>
      </c>
      <c r="P2129" s="553">
        <f>-'Progetto del paramento slu'!$G$47*'Progetto del paramento slu'!$G$41*IF(DATI!$G$218="dx",DATI!$E$61,DATI!$E$64*DATI!$E$63)*1000*C2129*sezione!$AD$5</f>
        <v>-726749.25033523468</v>
      </c>
      <c r="Q2129" s="553">
        <f>'Foglio deposito bis'!$F$78*IF(ABS(K2129)&lt;'Progetto del paramento slu'!$G$58,ABS(K2129)*'Progetto del paramento slu'!$G$54,'Progetto del paramento slu'!$G$53)*IF(K2129&lt;0,-1,1)</f>
        <v>0</v>
      </c>
      <c r="R2129" s="553">
        <f>'Foglio deposito bis'!$F$79*IF(ABS(L2129)&lt;'Progetto del paramento slu'!$G$58,ABS(L2129)*'Progetto del paramento slu'!$G$54,'Progetto del paramento slu'!$G$53)*IF(L2129&lt;0,-1,1)</f>
        <v>153664.85805602249</v>
      </c>
      <c r="S2129" s="553">
        <f>'Foglio deposito bis'!$F$80*IF(ABS(M2129)&lt;'Progetto del paramento slu'!$G$58,ABS(M2129)*'Progetto del paramento slu'!$G$54,'Progetto del paramento slu'!$G$53)*IF(M2129&lt;0,-1,1)</f>
        <v>0</v>
      </c>
      <c r="T2129" s="553">
        <f>'Foglio deposito bis'!$F$81*IF(ABS(N2129)&lt;'Progetto del paramento slu'!$G$58,ABS(N2129)*'Progetto del paramento slu'!$G$54,'Progetto del paramento slu'!$G$53)*IF(N2129&lt;0,-1,1)</f>
        <v>398299.31208121032</v>
      </c>
      <c r="U2129" s="553">
        <f>'Foglio deposito bis'!$F$82*IF(ABS(O2129)&lt;'Progetto del paramento slu'!$G$58,ABS(O2129)*'Progetto del paramento slu'!$G$54,'Progetto del paramento slu'!$G$53)*IF(O2129&lt;0,-1,1)</f>
        <v>892485.49558937876</v>
      </c>
      <c r="V2129" s="479">
        <f t="shared" si="159"/>
        <v>717700.41539137694</v>
      </c>
      <c r="W2129" s="559"/>
      <c r="X2129" s="559"/>
    </row>
    <row r="2130" spans="1:24" x14ac:dyDescent="0.25">
      <c r="A2130" s="553">
        <f t="shared" si="158"/>
        <v>706255.54530735733</v>
      </c>
      <c r="B2130" s="3">
        <f t="shared" si="156"/>
        <v>12.899999999999975</v>
      </c>
      <c r="C2130" s="553">
        <f>'Foglio deposito bis'!$E$161/sezione!$B$247*B2130</f>
        <v>52.36945807744344</v>
      </c>
      <c r="D2130" s="611">
        <f>-'Progetto del paramento slu'!$G$47*'Progetto del paramento slu'!$G$41*IF(DATI!$G$218="dx",DATI!$E$61,DATI!$E$64*DATI!$E$63)*1000*C2130^2*sezione!$AD$5*(1-sezione!$AD$6)</f>
        <v>-22576754.408709839</v>
      </c>
      <c r="E2130" s="553">
        <f>-'Foglio deposito bis'!$F$78*(C2130-sezione!$AL$35)*IF(ABS(K2130)&lt;'Progetto del paramento slu'!$G$58,ABS(K2130)*'Progetto del paramento slu'!$G$54,'Progetto del paramento slu'!$G$53)</f>
        <v>0</v>
      </c>
      <c r="F2130" s="553">
        <f>-'Foglio deposito bis'!$F$79*(C2130-sezione!$AM$35)*IF(ABS(L2130)&lt;'Progetto del paramento slu'!$G$58,ABS(L2130)*'Progetto del paramento slu'!$G$54,'Progetto del paramento slu'!$G$53)</f>
        <v>15002383.366462208</v>
      </c>
      <c r="G2130" s="553">
        <f>-'Foglio deposito bis'!$F$80*(C2130-sezione!$AN$35)*IF(ABS(M2130)&lt;'Progetto del paramento slu'!$G$58,ABS(M2130)*'Progetto del paramento slu'!$G$54,'Progetto del paramento slu'!$G$53)</f>
        <v>0</v>
      </c>
      <c r="H2130" s="553">
        <f>-'Foglio deposito bis'!$F$81*(C2130-sezione!$AO$35)*IF(ABS(N2130)&lt;'Progetto del paramento slu'!$G$58,ABS(N2130)*'Progetto del paramento slu'!$G$54,'Progetto del paramento slu'!$G$53)</f>
        <v>114563046.9813</v>
      </c>
      <c r="I2130" s="479">
        <f>-'Foglio deposito bis'!$F$82*(C2130-sezione!$AP$35)*IF(ABS(O2130)&lt;'Progetto del paramento slu'!$G$58,ABS(O2130)*'Progetto del paramento slu'!$G$54,'Progetto del paramento slu'!$G$53)</f>
        <v>185314369.82802615</v>
      </c>
      <c r="J2130" s="479">
        <f t="shared" si="157"/>
        <v>292303045.76707852</v>
      </c>
      <c r="K2130" s="558">
        <f>'Progetto del paramento slu'!$G$60*(sezione!$AL$35-C2130)/C2130</f>
        <v>-8.2668610408438118E-4</v>
      </c>
      <c r="L2130" s="558">
        <f>'Progetto del paramento slu'!$G$60*(sezione!$AM$35-C2130)/C2130</f>
        <v>6.5249271096835702E-3</v>
      </c>
      <c r="M2130" s="559">
        <f>'Progetto del paramento slu'!$G$60*(sezione!$AN$35-C2130)/C2130</f>
        <v>1.3876540323451524E-2</v>
      </c>
      <c r="N2130" s="559">
        <f>'Progetto del paramento slu'!$G$60*(sezione!$AO$35-C2130)/C2130</f>
        <v>1.9223168115282765E-2</v>
      </c>
      <c r="O2130" s="559">
        <f>'Progetto del paramento slu'!$G$60*(sezione!$AP$35-C2130)/C2130</f>
        <v>1.3877073700983631E-2</v>
      </c>
      <c r="P2130" s="553">
        <f>-'Progetto del paramento slu'!$G$47*'Progetto del paramento slu'!$G$41*IF(DATI!$G$218="dx",DATI!$E$61,DATI!$E$64*DATI!$E$63)*1000*C2130*sezione!$AD$5</f>
        <v>-738194.12041925429</v>
      </c>
      <c r="Q2130" s="553">
        <f>'Foglio deposito bis'!$F$78*IF(ABS(K2130)&lt;'Progetto del paramento slu'!$G$58,ABS(K2130)*'Progetto del paramento slu'!$G$54,'Progetto del paramento slu'!$G$53)*IF(K2130&lt;0,-1,1)</f>
        <v>0</v>
      </c>
      <c r="R2130" s="553">
        <f>'Foglio deposito bis'!$F$79*IF(ABS(L2130)&lt;'Progetto del paramento slu'!$G$58,ABS(L2130)*'Progetto del paramento slu'!$G$54,'Progetto del paramento slu'!$G$53)*IF(L2130&lt;0,-1,1)</f>
        <v>153664.85805602249</v>
      </c>
      <c r="S2130" s="553">
        <f>'Foglio deposito bis'!$F$80*IF(ABS(M2130)&lt;'Progetto del paramento slu'!$G$58,ABS(M2130)*'Progetto del paramento slu'!$G$54,'Progetto del paramento slu'!$G$53)*IF(M2130&lt;0,-1,1)</f>
        <v>0</v>
      </c>
      <c r="T2130" s="553">
        <f>'Foglio deposito bis'!$F$81*IF(ABS(N2130)&lt;'Progetto del paramento slu'!$G$58,ABS(N2130)*'Progetto del paramento slu'!$G$54,'Progetto del paramento slu'!$G$53)*IF(N2130&lt;0,-1,1)</f>
        <v>398299.31208121032</v>
      </c>
      <c r="U2130" s="553">
        <f>'Foglio deposito bis'!$F$82*IF(ABS(O2130)&lt;'Progetto del paramento slu'!$G$58,ABS(O2130)*'Progetto del paramento slu'!$G$54,'Progetto del paramento slu'!$G$53)*IF(O2130&lt;0,-1,1)</f>
        <v>892485.49558937876</v>
      </c>
      <c r="V2130" s="479">
        <f t="shared" si="159"/>
        <v>706255.54530735733</v>
      </c>
      <c r="W2130" s="559"/>
      <c r="X2130" s="559"/>
    </row>
    <row r="2131" spans="1:24" x14ac:dyDescent="0.25">
      <c r="A2131" s="553">
        <f t="shared" si="158"/>
        <v>694810.67522333795</v>
      </c>
      <c r="B2131" s="3">
        <f t="shared" si="156"/>
        <v>13.099999999999975</v>
      </c>
      <c r="C2131" s="553">
        <f>'Foglio deposito bis'!$E$161/sezione!$B$247*B2131</f>
        <v>53.181387660039455</v>
      </c>
      <c r="D2131" s="611">
        <f>-'Progetto del paramento slu'!$G$47*'Progetto del paramento slu'!$G$41*IF(DATI!$G$218="dx",DATI!$E$61,DATI!$E$64*DATI!$E$63)*1000*C2131^2*sezione!$AD$5*(1-sezione!$AD$6)</f>
        <v>-23282235.587276578</v>
      </c>
      <c r="E2131" s="553">
        <f>-'Foglio deposito bis'!$F$78*(C2131-sezione!$AL$35)*IF(ABS(K2131)&lt;'Progetto del paramento slu'!$G$58,ABS(K2131)*'Progetto del paramento slu'!$G$54,'Progetto del paramento slu'!$G$53)</f>
        <v>0</v>
      </c>
      <c r="F2131" s="553">
        <f>-'Foglio deposito bis'!$F$79*(C2131-sezione!$AM$35)*IF(ABS(L2131)&lt;'Progetto del paramento slu'!$G$58,ABS(L2131)*'Progetto del paramento slu'!$G$54,'Progetto del paramento slu'!$G$53)</f>
        <v>14877618.322401104</v>
      </c>
      <c r="G2131" s="553">
        <f>-'Foglio deposito bis'!$F$80*(C2131-sezione!$AN$35)*IF(ABS(M2131)&lt;'Progetto del paramento slu'!$G$58,ABS(M2131)*'Progetto del paramento slu'!$G$54,'Progetto del paramento slu'!$G$53)</f>
        <v>0</v>
      </c>
      <c r="H2131" s="553">
        <f>-'Foglio deposito bis'!$F$81*(C2131-sezione!$AO$35)*IF(ABS(N2131)&lt;'Progetto del paramento slu'!$G$58,ABS(N2131)*'Progetto del paramento slu'!$G$54,'Progetto del paramento slu'!$G$53)</f>
        <v>114239655.98709364</v>
      </c>
      <c r="I2131" s="479">
        <f>-'Foglio deposito bis'!$F$82*(C2131-sezione!$AP$35)*IF(ABS(O2131)&lt;'Progetto del paramento slu'!$G$58,ABS(O2131)*'Progetto del paramento slu'!$G$54,'Progetto del paramento slu'!$G$53)</f>
        <v>184589734.45211926</v>
      </c>
      <c r="J2131" s="479">
        <f t="shared" si="157"/>
        <v>290424773.17433745</v>
      </c>
      <c r="K2131" s="558">
        <f>'Progetto del paramento slu'!$G$60*(sezione!$AL$35-C2131)/C2131</f>
        <v>-8.6750005669377944E-4</v>
      </c>
      <c r="L2131" s="558">
        <f>'Progetto del paramento slu'!$G$60*(sezione!$AM$35-C2131)/C2131</f>
        <v>6.3718747873983267E-3</v>
      </c>
      <c r="M2131" s="559">
        <f>'Progetto del paramento slu'!$G$60*(sezione!$AN$35-C2131)/C2131</f>
        <v>1.3611249631490433E-2</v>
      </c>
      <c r="N2131" s="559">
        <f>'Progetto del paramento slu'!$G$60*(sezione!$AO$35-C2131)/C2131</f>
        <v>1.8876249518102874E-2</v>
      </c>
      <c r="O2131" s="559">
        <f>'Progetto del paramento slu'!$G$60*(sezione!$AP$35-C2131)/C2131</f>
        <v>1.3611774865854109E-2</v>
      </c>
      <c r="P2131" s="553">
        <f>-'Progetto del paramento slu'!$G$47*'Progetto del paramento slu'!$G$41*IF(DATI!$G$218="dx",DATI!$E$61,DATI!$E$64*DATI!$E$63)*1000*C2131*sezione!$AD$5</f>
        <v>-749638.99050327356</v>
      </c>
      <c r="Q2131" s="553">
        <f>'Foglio deposito bis'!$F$78*IF(ABS(K2131)&lt;'Progetto del paramento slu'!$G$58,ABS(K2131)*'Progetto del paramento slu'!$G$54,'Progetto del paramento slu'!$G$53)*IF(K2131&lt;0,-1,1)</f>
        <v>0</v>
      </c>
      <c r="R2131" s="553">
        <f>'Foglio deposito bis'!$F$79*IF(ABS(L2131)&lt;'Progetto del paramento slu'!$G$58,ABS(L2131)*'Progetto del paramento slu'!$G$54,'Progetto del paramento slu'!$G$53)*IF(L2131&lt;0,-1,1)</f>
        <v>153664.85805602249</v>
      </c>
      <c r="S2131" s="553">
        <f>'Foglio deposito bis'!$F$80*IF(ABS(M2131)&lt;'Progetto del paramento slu'!$G$58,ABS(M2131)*'Progetto del paramento slu'!$G$54,'Progetto del paramento slu'!$G$53)*IF(M2131&lt;0,-1,1)</f>
        <v>0</v>
      </c>
      <c r="T2131" s="553">
        <f>'Foglio deposito bis'!$F$81*IF(ABS(N2131)&lt;'Progetto del paramento slu'!$G$58,ABS(N2131)*'Progetto del paramento slu'!$G$54,'Progetto del paramento slu'!$G$53)*IF(N2131&lt;0,-1,1)</f>
        <v>398299.31208121032</v>
      </c>
      <c r="U2131" s="553">
        <f>'Foglio deposito bis'!$F$82*IF(ABS(O2131)&lt;'Progetto del paramento slu'!$G$58,ABS(O2131)*'Progetto del paramento slu'!$G$54,'Progetto del paramento slu'!$G$53)*IF(O2131&lt;0,-1,1)</f>
        <v>892485.49558937876</v>
      </c>
      <c r="V2131" s="479">
        <f t="shared" si="159"/>
        <v>694810.67522333795</v>
      </c>
      <c r="W2131" s="559"/>
      <c r="X2131" s="559"/>
    </row>
    <row r="2132" spans="1:24" x14ac:dyDescent="0.25">
      <c r="A2132" s="553">
        <f t="shared" si="158"/>
        <v>683365.80513931857</v>
      </c>
      <c r="B2132" s="3">
        <f t="shared" si="156"/>
        <v>13.299999999999974</v>
      </c>
      <c r="C2132" s="553">
        <f>'Foglio deposito bis'!$E$161/sezione!$B$247*B2132</f>
        <v>53.993317242635477</v>
      </c>
      <c r="D2132" s="611">
        <f>-'Progetto del paramento slu'!$G$47*'Progetto del paramento slu'!$G$41*IF(DATI!$G$218="dx",DATI!$E$61,DATI!$E$64*DATI!$E$63)*1000*C2132^2*sezione!$AD$5*(1-sezione!$AD$6)</f>
        <v>-23998570.322436649</v>
      </c>
      <c r="E2132" s="553">
        <f>-'Foglio deposito bis'!$F$78*(C2132-sezione!$AL$35)*IF(ABS(K2132)&lt;'Progetto del paramento slu'!$G$58,ABS(K2132)*'Progetto del paramento slu'!$G$54,'Progetto del paramento slu'!$G$53)</f>
        <v>0</v>
      </c>
      <c r="F2132" s="553">
        <f>-'Foglio deposito bis'!$F$79*(C2132-sezione!$AM$35)*IF(ABS(L2132)&lt;'Progetto del paramento slu'!$G$58,ABS(L2132)*'Progetto del paramento slu'!$G$54,'Progetto del paramento slu'!$G$53)</f>
        <v>14752853.278340003</v>
      </c>
      <c r="G2132" s="553">
        <f>-'Foglio deposito bis'!$F$80*(C2132-sezione!$AN$35)*IF(ABS(M2132)&lt;'Progetto del paramento slu'!$G$58,ABS(M2132)*'Progetto del paramento slu'!$G$54,'Progetto del paramento slu'!$G$53)</f>
        <v>0</v>
      </c>
      <c r="H2132" s="553">
        <f>-'Foglio deposito bis'!$F$81*(C2132-sezione!$AO$35)*IF(ABS(N2132)&lt;'Progetto del paramento slu'!$G$58,ABS(N2132)*'Progetto del paramento slu'!$G$54,'Progetto del paramento slu'!$G$53)</f>
        <v>113916264.99288724</v>
      </c>
      <c r="I2132" s="479">
        <f>-'Foglio deposito bis'!$F$82*(C2132-sezione!$AP$35)*IF(ABS(O2132)&lt;'Progetto del paramento slu'!$G$58,ABS(O2132)*'Progetto del paramento slu'!$G$54,'Progetto del paramento slu'!$G$53)</f>
        <v>183865099.07621235</v>
      </c>
      <c r="J2132" s="479">
        <f t="shared" si="157"/>
        <v>288535647.02500296</v>
      </c>
      <c r="K2132" s="558">
        <f>'Progetto del paramento slu'!$G$60*(sezione!$AL$35-C2132)/C2132</f>
        <v>-9.0708652200665511E-4</v>
      </c>
      <c r="L2132" s="558">
        <f>'Progetto del paramento slu'!$G$60*(sezione!$AM$35-C2132)/C2132</f>
        <v>6.2234255424750444E-3</v>
      </c>
      <c r="M2132" s="559">
        <f>'Progetto del paramento slu'!$G$60*(sezione!$AN$35-C2132)/C2132</f>
        <v>1.3353937606956743E-2</v>
      </c>
      <c r="N2132" s="559">
        <f>'Progetto del paramento slu'!$G$60*(sezione!$AO$35-C2132)/C2132</f>
        <v>1.8539764562943432E-2</v>
      </c>
      <c r="O2132" s="559">
        <f>'Progetto del paramento slu'!$G$60*(sezione!$AP$35-C2132)/C2132</f>
        <v>1.3354454943059311E-2</v>
      </c>
      <c r="P2132" s="553">
        <f>-'Progetto del paramento slu'!$G$47*'Progetto del paramento slu'!$G$41*IF(DATI!$G$218="dx",DATI!$E$61,DATI!$E$64*DATI!$E$63)*1000*C2132*sezione!$AD$5</f>
        <v>-761083.86058729305</v>
      </c>
      <c r="Q2132" s="553">
        <f>'Foglio deposito bis'!$F$78*IF(ABS(K2132)&lt;'Progetto del paramento slu'!$G$58,ABS(K2132)*'Progetto del paramento slu'!$G$54,'Progetto del paramento slu'!$G$53)*IF(K2132&lt;0,-1,1)</f>
        <v>0</v>
      </c>
      <c r="R2132" s="553">
        <f>'Foglio deposito bis'!$F$79*IF(ABS(L2132)&lt;'Progetto del paramento slu'!$G$58,ABS(L2132)*'Progetto del paramento slu'!$G$54,'Progetto del paramento slu'!$G$53)*IF(L2132&lt;0,-1,1)</f>
        <v>153664.85805602249</v>
      </c>
      <c r="S2132" s="553">
        <f>'Foglio deposito bis'!$F$80*IF(ABS(M2132)&lt;'Progetto del paramento slu'!$G$58,ABS(M2132)*'Progetto del paramento slu'!$G$54,'Progetto del paramento slu'!$G$53)*IF(M2132&lt;0,-1,1)</f>
        <v>0</v>
      </c>
      <c r="T2132" s="553">
        <f>'Foglio deposito bis'!$F$81*IF(ABS(N2132)&lt;'Progetto del paramento slu'!$G$58,ABS(N2132)*'Progetto del paramento slu'!$G$54,'Progetto del paramento slu'!$G$53)*IF(N2132&lt;0,-1,1)</f>
        <v>398299.31208121032</v>
      </c>
      <c r="U2132" s="553">
        <f>'Foglio deposito bis'!$F$82*IF(ABS(O2132)&lt;'Progetto del paramento slu'!$G$58,ABS(O2132)*'Progetto del paramento slu'!$G$54,'Progetto del paramento slu'!$G$53)*IF(O2132&lt;0,-1,1)</f>
        <v>892485.49558937876</v>
      </c>
      <c r="V2132" s="479">
        <f t="shared" si="159"/>
        <v>683365.80513931857</v>
      </c>
      <c r="W2132" s="559"/>
      <c r="X2132" s="559"/>
    </row>
    <row r="2133" spans="1:24" x14ac:dyDescent="0.25">
      <c r="A2133" s="553">
        <f t="shared" si="158"/>
        <v>671920.9350552992</v>
      </c>
      <c r="B2133" s="3">
        <f t="shared" si="156"/>
        <v>13.499999999999973</v>
      </c>
      <c r="C2133" s="553">
        <f>'Foglio deposito bis'!$E$161/sezione!$B$247*B2133</f>
        <v>54.805246825231499</v>
      </c>
      <c r="D2133" s="611">
        <f>-'Progetto del paramento slu'!$G$47*'Progetto del paramento slu'!$G$41*IF(DATI!$G$218="dx",DATI!$E$61,DATI!$E$64*DATI!$E$63)*1000*C2133^2*sezione!$AD$5*(1-sezione!$AD$6)</f>
        <v>-24725758.614190057</v>
      </c>
      <c r="E2133" s="553">
        <f>-'Foglio deposito bis'!$F$78*(C2133-sezione!$AL$35)*IF(ABS(K2133)&lt;'Progetto del paramento slu'!$G$58,ABS(K2133)*'Progetto del paramento slu'!$G$54,'Progetto del paramento slu'!$G$53)</f>
        <v>0</v>
      </c>
      <c r="F2133" s="553">
        <f>-'Foglio deposito bis'!$F$79*(C2133-sezione!$AM$35)*IF(ABS(L2133)&lt;'Progetto del paramento slu'!$G$58,ABS(L2133)*'Progetto del paramento slu'!$G$54,'Progetto del paramento slu'!$G$53)</f>
        <v>14628088.234278897</v>
      </c>
      <c r="G2133" s="553">
        <f>-'Foglio deposito bis'!$F$80*(C2133-sezione!$AN$35)*IF(ABS(M2133)&lt;'Progetto del paramento slu'!$G$58,ABS(M2133)*'Progetto del paramento slu'!$G$54,'Progetto del paramento slu'!$G$53)</f>
        <v>0</v>
      </c>
      <c r="H2133" s="553">
        <f>-'Foglio deposito bis'!$F$81*(C2133-sezione!$AO$35)*IF(ABS(N2133)&lt;'Progetto del paramento slu'!$G$58,ABS(N2133)*'Progetto del paramento slu'!$G$54,'Progetto del paramento slu'!$G$53)</f>
        <v>113592873.99868086</v>
      </c>
      <c r="I2133" s="479">
        <f>-'Foglio deposito bis'!$F$82*(C2133-sezione!$AP$35)*IF(ABS(O2133)&lt;'Progetto del paramento slu'!$G$58,ABS(O2133)*'Progetto del paramento slu'!$G$54,'Progetto del paramento slu'!$G$53)</f>
        <v>183140463.70030546</v>
      </c>
      <c r="J2133" s="479">
        <f t="shared" si="157"/>
        <v>286635667.31907517</v>
      </c>
      <c r="K2133" s="558">
        <f>'Progetto del paramento slu'!$G$60*(sezione!$AL$35-C2133)/C2133</f>
        <v>-9.4550005501396381E-4</v>
      </c>
      <c r="L2133" s="558">
        <f>'Progetto del paramento slu'!$G$60*(sezione!$AM$35-C2133)/C2133</f>
        <v>6.0793747936976348E-3</v>
      </c>
      <c r="M2133" s="559">
        <f>'Progetto del paramento slu'!$G$60*(sezione!$AN$35-C2133)/C2133</f>
        <v>1.3104249642409235E-2</v>
      </c>
      <c r="N2133" s="559">
        <f>'Progetto del paramento slu'!$G$60*(sezione!$AO$35-C2133)/C2133</f>
        <v>1.8213249532381307E-2</v>
      </c>
      <c r="O2133" s="559">
        <f>'Progetto del paramento slu'!$G$60*(sezione!$AP$35-C2133)/C2133</f>
        <v>1.3104759314273247E-2</v>
      </c>
      <c r="P2133" s="553">
        <f>-'Progetto del paramento slu'!$G$47*'Progetto del paramento slu'!$G$41*IF(DATI!$G$218="dx",DATI!$E$61,DATI!$E$64*DATI!$E$63)*1000*C2133*sezione!$AD$5</f>
        <v>-772528.73067131243</v>
      </c>
      <c r="Q2133" s="553">
        <f>'Foglio deposito bis'!$F$78*IF(ABS(K2133)&lt;'Progetto del paramento slu'!$G$58,ABS(K2133)*'Progetto del paramento slu'!$G$54,'Progetto del paramento slu'!$G$53)*IF(K2133&lt;0,-1,1)</f>
        <v>0</v>
      </c>
      <c r="R2133" s="553">
        <f>'Foglio deposito bis'!$F$79*IF(ABS(L2133)&lt;'Progetto del paramento slu'!$G$58,ABS(L2133)*'Progetto del paramento slu'!$G$54,'Progetto del paramento slu'!$G$53)*IF(L2133&lt;0,-1,1)</f>
        <v>153664.85805602249</v>
      </c>
      <c r="S2133" s="553">
        <f>'Foglio deposito bis'!$F$80*IF(ABS(M2133)&lt;'Progetto del paramento slu'!$G$58,ABS(M2133)*'Progetto del paramento slu'!$G$54,'Progetto del paramento slu'!$G$53)*IF(M2133&lt;0,-1,1)</f>
        <v>0</v>
      </c>
      <c r="T2133" s="553">
        <f>'Foglio deposito bis'!$F$81*IF(ABS(N2133)&lt;'Progetto del paramento slu'!$G$58,ABS(N2133)*'Progetto del paramento slu'!$G$54,'Progetto del paramento slu'!$G$53)*IF(N2133&lt;0,-1,1)</f>
        <v>398299.31208121032</v>
      </c>
      <c r="U2133" s="553">
        <f>'Foglio deposito bis'!$F$82*IF(ABS(O2133)&lt;'Progetto del paramento slu'!$G$58,ABS(O2133)*'Progetto del paramento slu'!$G$54,'Progetto del paramento slu'!$G$53)*IF(O2133&lt;0,-1,1)</f>
        <v>892485.49558937876</v>
      </c>
      <c r="V2133" s="479">
        <f t="shared" si="159"/>
        <v>671920.9350552992</v>
      </c>
      <c r="W2133" s="559"/>
      <c r="X2133" s="559"/>
    </row>
    <row r="2134" spans="1:24" x14ac:dyDescent="0.25">
      <c r="A2134" s="553">
        <f t="shared" si="158"/>
        <v>660476.06497127982</v>
      </c>
      <c r="B2134" s="3">
        <f t="shared" si="156"/>
        <v>13.699999999999973</v>
      </c>
      <c r="C2134" s="553">
        <f>'Foglio deposito bis'!$E$161/sezione!$B$247*B2134</f>
        <v>55.617176407827522</v>
      </c>
      <c r="D2134" s="611">
        <f>-'Progetto del paramento slu'!$G$47*'Progetto del paramento slu'!$G$41*IF(DATI!$G$218="dx",DATI!$E$61,DATI!$E$64*DATI!$E$63)*1000*C2134^2*sezione!$AD$5*(1-sezione!$AD$6)</f>
        <v>-25463800.462536801</v>
      </c>
      <c r="E2134" s="553">
        <f>-'Foglio deposito bis'!$F$78*(C2134-sezione!$AL$35)*IF(ABS(K2134)&lt;'Progetto del paramento slu'!$G$58,ABS(K2134)*'Progetto del paramento slu'!$G$54,'Progetto del paramento slu'!$G$53)</f>
        <v>0</v>
      </c>
      <c r="F2134" s="553">
        <f>-'Foglio deposito bis'!$F$79*(C2134-sezione!$AM$35)*IF(ABS(L2134)&lt;'Progetto del paramento slu'!$G$58,ABS(L2134)*'Progetto del paramento slu'!$G$54,'Progetto del paramento slu'!$G$53)</f>
        <v>14503323.190217795</v>
      </c>
      <c r="G2134" s="553">
        <f>-'Foglio deposito bis'!$F$80*(C2134-sezione!$AN$35)*IF(ABS(M2134)&lt;'Progetto del paramento slu'!$G$58,ABS(M2134)*'Progetto del paramento slu'!$G$54,'Progetto del paramento slu'!$G$53)</f>
        <v>0</v>
      </c>
      <c r="H2134" s="553">
        <f>-'Foglio deposito bis'!$F$81*(C2134-sezione!$AO$35)*IF(ABS(N2134)&lt;'Progetto del paramento slu'!$G$58,ABS(N2134)*'Progetto del paramento slu'!$G$54,'Progetto del paramento slu'!$G$53)</f>
        <v>113269483.00447449</v>
      </c>
      <c r="I2134" s="479">
        <f>-'Foglio deposito bis'!$F$82*(C2134-sezione!$AP$35)*IF(ABS(O2134)&lt;'Progetto del paramento slu'!$G$58,ABS(O2134)*'Progetto del paramento slu'!$G$54,'Progetto del paramento slu'!$G$53)</f>
        <v>182415828.32439858</v>
      </c>
      <c r="J2134" s="479">
        <f t="shared" si="157"/>
        <v>284724834.05655408</v>
      </c>
      <c r="K2134" s="558">
        <f>'Progetto del paramento slu'!$G$60*(sezione!$AL$35-C2134)/C2134</f>
        <v>-9.8279202501376007E-4</v>
      </c>
      <c r="L2134" s="558">
        <f>'Progetto del paramento slu'!$G$60*(sezione!$AM$35-C2134)/C2134</f>
        <v>5.9395299061984009E-3</v>
      </c>
      <c r="M2134" s="559">
        <f>'Progetto del paramento slu'!$G$60*(sezione!$AN$35-C2134)/C2134</f>
        <v>1.2861851837410562E-2</v>
      </c>
      <c r="N2134" s="559">
        <f>'Progetto del paramento slu'!$G$60*(sezione!$AO$35-C2134)/C2134</f>
        <v>1.7896267787383041E-2</v>
      </c>
      <c r="O2134" s="559">
        <f>'Progetto del paramento slu'!$G$60*(sezione!$AP$35-C2134)/C2134</f>
        <v>1.2862354068809406E-2</v>
      </c>
      <c r="P2134" s="553">
        <f>-'Progetto del paramento slu'!$G$47*'Progetto del paramento slu'!$G$41*IF(DATI!$G$218="dx",DATI!$E$61,DATI!$E$64*DATI!$E$63)*1000*C2134*sezione!$AD$5</f>
        <v>-783973.6007553318</v>
      </c>
      <c r="Q2134" s="553">
        <f>'Foglio deposito bis'!$F$78*IF(ABS(K2134)&lt;'Progetto del paramento slu'!$G$58,ABS(K2134)*'Progetto del paramento slu'!$G$54,'Progetto del paramento slu'!$G$53)*IF(K2134&lt;0,-1,1)</f>
        <v>0</v>
      </c>
      <c r="R2134" s="553">
        <f>'Foglio deposito bis'!$F$79*IF(ABS(L2134)&lt;'Progetto del paramento slu'!$G$58,ABS(L2134)*'Progetto del paramento slu'!$G$54,'Progetto del paramento slu'!$G$53)*IF(L2134&lt;0,-1,1)</f>
        <v>153664.85805602249</v>
      </c>
      <c r="S2134" s="553">
        <f>'Foglio deposito bis'!$F$80*IF(ABS(M2134)&lt;'Progetto del paramento slu'!$G$58,ABS(M2134)*'Progetto del paramento slu'!$G$54,'Progetto del paramento slu'!$G$53)*IF(M2134&lt;0,-1,1)</f>
        <v>0</v>
      </c>
      <c r="T2134" s="553">
        <f>'Foglio deposito bis'!$F$81*IF(ABS(N2134)&lt;'Progetto del paramento slu'!$G$58,ABS(N2134)*'Progetto del paramento slu'!$G$54,'Progetto del paramento slu'!$G$53)*IF(N2134&lt;0,-1,1)</f>
        <v>398299.31208121032</v>
      </c>
      <c r="U2134" s="553">
        <f>'Foglio deposito bis'!$F$82*IF(ABS(O2134)&lt;'Progetto del paramento slu'!$G$58,ABS(O2134)*'Progetto del paramento slu'!$G$54,'Progetto del paramento slu'!$G$53)*IF(O2134&lt;0,-1,1)</f>
        <v>892485.49558937876</v>
      </c>
      <c r="V2134" s="479">
        <f t="shared" si="159"/>
        <v>660476.06497127982</v>
      </c>
      <c r="W2134" s="559"/>
      <c r="X2134" s="559"/>
    </row>
    <row r="2135" spans="1:24" x14ac:dyDescent="0.25">
      <c r="A2135" s="553">
        <f t="shared" si="158"/>
        <v>649031.19488726021</v>
      </c>
      <c r="B2135" s="3">
        <f t="shared" si="156"/>
        <v>13.899999999999972</v>
      </c>
      <c r="C2135" s="553">
        <f>'Foglio deposito bis'!$E$161/sezione!$B$247*B2135</f>
        <v>56.429105990423544</v>
      </c>
      <c r="D2135" s="611">
        <f>-'Progetto del paramento slu'!$G$47*'Progetto del paramento slu'!$G$41*IF(DATI!$G$218="dx",DATI!$E$61,DATI!$E$64*DATI!$E$63)*1000*C2135^2*sezione!$AD$5*(1-sezione!$AD$6)</f>
        <v>-26212695.867476881</v>
      </c>
      <c r="E2135" s="553">
        <f>-'Foglio deposito bis'!$F$78*(C2135-sezione!$AL$35)*IF(ABS(K2135)&lt;'Progetto del paramento slu'!$G$58,ABS(K2135)*'Progetto del paramento slu'!$G$54,'Progetto del paramento slu'!$G$53)</f>
        <v>0</v>
      </c>
      <c r="F2135" s="553">
        <f>-'Foglio deposito bis'!$F$79*(C2135-sezione!$AM$35)*IF(ABS(L2135)&lt;'Progetto del paramento slu'!$G$58,ABS(L2135)*'Progetto del paramento slu'!$G$54,'Progetto del paramento slu'!$G$53)</f>
        <v>14378558.146156691</v>
      </c>
      <c r="G2135" s="553">
        <f>-'Foglio deposito bis'!$F$80*(C2135-sezione!$AN$35)*IF(ABS(M2135)&lt;'Progetto del paramento slu'!$G$58,ABS(M2135)*'Progetto del paramento slu'!$G$54,'Progetto del paramento slu'!$G$53)</f>
        <v>0</v>
      </c>
      <c r="H2135" s="553">
        <f>-'Foglio deposito bis'!$F$81*(C2135-sezione!$AO$35)*IF(ABS(N2135)&lt;'Progetto del paramento slu'!$G$58,ABS(N2135)*'Progetto del paramento slu'!$G$54,'Progetto del paramento slu'!$G$53)</f>
        <v>112946092.01026812</v>
      </c>
      <c r="I2135" s="479">
        <f>-'Foglio deposito bis'!$F$82*(C2135-sezione!$AP$35)*IF(ABS(O2135)&lt;'Progetto del paramento slu'!$G$58,ABS(O2135)*'Progetto del paramento slu'!$G$54,'Progetto del paramento slu'!$G$53)</f>
        <v>181691192.94849169</v>
      </c>
      <c r="J2135" s="479">
        <f t="shared" si="157"/>
        <v>282803147.23743963</v>
      </c>
      <c r="K2135" s="558">
        <f>'Progetto del paramento slu'!$G$60*(sezione!$AL$35-C2135)/C2135</f>
        <v>-1.0190108447977347E-3</v>
      </c>
      <c r="L2135" s="558">
        <f>'Progetto del paramento slu'!$G$60*(sezione!$AM$35-C2135)/C2135</f>
        <v>5.8037093320084951E-3</v>
      </c>
      <c r="M2135" s="559">
        <f>'Progetto del paramento slu'!$G$60*(sezione!$AN$35-C2135)/C2135</f>
        <v>1.2626429508814725E-2</v>
      </c>
      <c r="N2135" s="559">
        <f>'Progetto del paramento slu'!$G$60*(sezione!$AO$35-C2135)/C2135</f>
        <v>1.7588407819219255E-2</v>
      </c>
      <c r="O2135" s="559">
        <f>'Progetto del paramento slu'!$G$60*(sezione!$AP$35-C2135)/C2135</f>
        <v>1.2626924513862506E-2</v>
      </c>
      <c r="P2135" s="553">
        <f>-'Progetto del paramento slu'!$G$47*'Progetto del paramento slu'!$G$41*IF(DATI!$G$218="dx",DATI!$E$61,DATI!$E$64*DATI!$E$63)*1000*C2135*sezione!$AD$5</f>
        <v>-795418.47083935142</v>
      </c>
      <c r="Q2135" s="553">
        <f>'Foglio deposito bis'!$F$78*IF(ABS(K2135)&lt;'Progetto del paramento slu'!$G$58,ABS(K2135)*'Progetto del paramento slu'!$G$54,'Progetto del paramento slu'!$G$53)*IF(K2135&lt;0,-1,1)</f>
        <v>0</v>
      </c>
      <c r="R2135" s="553">
        <f>'Foglio deposito bis'!$F$79*IF(ABS(L2135)&lt;'Progetto del paramento slu'!$G$58,ABS(L2135)*'Progetto del paramento slu'!$G$54,'Progetto del paramento slu'!$G$53)*IF(L2135&lt;0,-1,1)</f>
        <v>153664.85805602249</v>
      </c>
      <c r="S2135" s="553">
        <f>'Foglio deposito bis'!$F$80*IF(ABS(M2135)&lt;'Progetto del paramento slu'!$G$58,ABS(M2135)*'Progetto del paramento slu'!$G$54,'Progetto del paramento slu'!$G$53)*IF(M2135&lt;0,-1,1)</f>
        <v>0</v>
      </c>
      <c r="T2135" s="553">
        <f>'Foglio deposito bis'!$F$81*IF(ABS(N2135)&lt;'Progetto del paramento slu'!$G$58,ABS(N2135)*'Progetto del paramento slu'!$G$54,'Progetto del paramento slu'!$G$53)*IF(N2135&lt;0,-1,1)</f>
        <v>398299.31208121032</v>
      </c>
      <c r="U2135" s="553">
        <f>'Foglio deposito bis'!$F$82*IF(ABS(O2135)&lt;'Progetto del paramento slu'!$G$58,ABS(O2135)*'Progetto del paramento slu'!$G$54,'Progetto del paramento slu'!$G$53)*IF(O2135&lt;0,-1,1)</f>
        <v>892485.49558937876</v>
      </c>
      <c r="V2135" s="479">
        <f t="shared" si="159"/>
        <v>649031.19488726021</v>
      </c>
      <c r="W2135" s="559"/>
      <c r="X2135" s="559"/>
    </row>
    <row r="2136" spans="1:24" x14ac:dyDescent="0.25">
      <c r="A2136" s="553">
        <f t="shared" si="158"/>
        <v>637586.32480324083</v>
      </c>
      <c r="B2136" s="3">
        <f t="shared" si="156"/>
        <v>14.099999999999971</v>
      </c>
      <c r="C2136" s="553">
        <f>'Foglio deposito bis'!$E$161/sezione!$B$247*B2136</f>
        <v>57.241035573019559</v>
      </c>
      <c r="D2136" s="611">
        <f>-'Progetto del paramento slu'!$G$47*'Progetto del paramento slu'!$G$41*IF(DATI!$G$218="dx",DATI!$E$61,DATI!$E$64*DATI!$E$63)*1000*C2136^2*sezione!$AD$5*(1-sezione!$AD$6)</f>
        <v>-26972444.829010282</v>
      </c>
      <c r="E2136" s="553">
        <f>-'Foglio deposito bis'!$F$78*(C2136-sezione!$AL$35)*IF(ABS(K2136)&lt;'Progetto del paramento slu'!$G$58,ABS(K2136)*'Progetto del paramento slu'!$G$54,'Progetto del paramento slu'!$G$53)</f>
        <v>0</v>
      </c>
      <c r="F2136" s="553">
        <f>-'Foglio deposito bis'!$F$79*(C2136-sezione!$AM$35)*IF(ABS(L2136)&lt;'Progetto del paramento slu'!$G$58,ABS(L2136)*'Progetto del paramento slu'!$G$54,'Progetto del paramento slu'!$G$53)</f>
        <v>14253793.102095591</v>
      </c>
      <c r="G2136" s="553">
        <f>-'Foglio deposito bis'!$F$80*(C2136-sezione!$AN$35)*IF(ABS(M2136)&lt;'Progetto del paramento slu'!$G$58,ABS(M2136)*'Progetto del paramento slu'!$G$54,'Progetto del paramento slu'!$G$53)</f>
        <v>0</v>
      </c>
      <c r="H2136" s="553">
        <f>-'Foglio deposito bis'!$F$81*(C2136-sezione!$AO$35)*IF(ABS(N2136)&lt;'Progetto del paramento slu'!$G$58,ABS(N2136)*'Progetto del paramento slu'!$G$54,'Progetto del paramento slu'!$G$53)</f>
        <v>112622701.01606174</v>
      </c>
      <c r="I2136" s="479">
        <f>-'Foglio deposito bis'!$F$82*(C2136-sezione!$AP$35)*IF(ABS(O2136)&lt;'Progetto del paramento slu'!$G$58,ABS(O2136)*'Progetto del paramento slu'!$G$54,'Progetto del paramento slu'!$G$53)</f>
        <v>180966557.57258481</v>
      </c>
      <c r="J2136" s="479">
        <f t="shared" si="157"/>
        <v>280870606.86173189</v>
      </c>
      <c r="K2136" s="558">
        <f>'Progetto del paramento slu'!$G$60*(sezione!$AL$35-C2136)/C2136</f>
        <v>-1.0542021803325184E-3</v>
      </c>
      <c r="L2136" s="558">
        <f>'Progetto del paramento slu'!$G$60*(sezione!$AM$35-C2136)/C2136</f>
        <v>5.6717418237530563E-3</v>
      </c>
      <c r="M2136" s="559">
        <f>'Progetto del paramento slu'!$G$60*(sezione!$AN$35-C2136)/C2136</f>
        <v>1.2397685827838633E-2</v>
      </c>
      <c r="N2136" s="559">
        <f>'Progetto del paramento slu'!$G$60*(sezione!$AO$35-C2136)/C2136</f>
        <v>1.7289281467173595E-2</v>
      </c>
      <c r="O2136" s="559">
        <f>'Progetto del paramento slu'!$G$60*(sezione!$AP$35-C2136)/C2136</f>
        <v>1.2398173811538217E-2</v>
      </c>
      <c r="P2136" s="553">
        <f>-'Progetto del paramento slu'!$G$47*'Progetto del paramento slu'!$G$41*IF(DATI!$G$218="dx",DATI!$E$61,DATI!$E$64*DATI!$E$63)*1000*C2136*sezione!$AD$5</f>
        <v>-806863.34092337068</v>
      </c>
      <c r="Q2136" s="553">
        <f>'Foglio deposito bis'!$F$78*IF(ABS(K2136)&lt;'Progetto del paramento slu'!$G$58,ABS(K2136)*'Progetto del paramento slu'!$G$54,'Progetto del paramento slu'!$G$53)*IF(K2136&lt;0,-1,1)</f>
        <v>0</v>
      </c>
      <c r="R2136" s="553">
        <f>'Foglio deposito bis'!$F$79*IF(ABS(L2136)&lt;'Progetto del paramento slu'!$G$58,ABS(L2136)*'Progetto del paramento slu'!$G$54,'Progetto del paramento slu'!$G$53)*IF(L2136&lt;0,-1,1)</f>
        <v>153664.85805602249</v>
      </c>
      <c r="S2136" s="553">
        <f>'Foglio deposito bis'!$F$80*IF(ABS(M2136)&lt;'Progetto del paramento slu'!$G$58,ABS(M2136)*'Progetto del paramento slu'!$G$54,'Progetto del paramento slu'!$G$53)*IF(M2136&lt;0,-1,1)</f>
        <v>0</v>
      </c>
      <c r="T2136" s="553">
        <f>'Foglio deposito bis'!$F$81*IF(ABS(N2136)&lt;'Progetto del paramento slu'!$G$58,ABS(N2136)*'Progetto del paramento slu'!$G$54,'Progetto del paramento slu'!$G$53)*IF(N2136&lt;0,-1,1)</f>
        <v>398299.31208121032</v>
      </c>
      <c r="U2136" s="553">
        <f>'Foglio deposito bis'!$F$82*IF(ABS(O2136)&lt;'Progetto del paramento slu'!$G$58,ABS(O2136)*'Progetto del paramento slu'!$G$54,'Progetto del paramento slu'!$G$53)*IF(O2136&lt;0,-1,1)</f>
        <v>892485.49558937876</v>
      </c>
      <c r="V2136" s="479">
        <f t="shared" si="159"/>
        <v>637586.32480324083</v>
      </c>
      <c r="W2136" s="559"/>
      <c r="X2136" s="559"/>
    </row>
    <row r="2137" spans="1:24" x14ac:dyDescent="0.25">
      <c r="A2137" s="553">
        <f t="shared" si="158"/>
        <v>626141.45471922145</v>
      </c>
      <c r="B2137" s="3">
        <f t="shared" si="156"/>
        <v>14.299999999999971</v>
      </c>
      <c r="C2137" s="553">
        <f>'Foglio deposito bis'!$E$161/sezione!$B$247*B2137</f>
        <v>58.052965155615581</v>
      </c>
      <c r="D2137" s="611">
        <f>-'Progetto del paramento slu'!$G$47*'Progetto del paramento slu'!$G$41*IF(DATI!$G$218="dx",DATI!$E$61,DATI!$E$64*DATI!$E$63)*1000*C2137^2*sezione!$AD$5*(1-sezione!$AD$6)</f>
        <v>-27743047.34713703</v>
      </c>
      <c r="E2137" s="553">
        <f>-'Foglio deposito bis'!$F$78*(C2137-sezione!$AL$35)*IF(ABS(K2137)&lt;'Progetto del paramento slu'!$G$58,ABS(K2137)*'Progetto del paramento slu'!$G$54,'Progetto del paramento slu'!$G$53)</f>
        <v>0</v>
      </c>
      <c r="F2137" s="553">
        <f>-'Foglio deposito bis'!$F$79*(C2137-sezione!$AM$35)*IF(ABS(L2137)&lt;'Progetto del paramento slu'!$G$58,ABS(L2137)*'Progetto del paramento slu'!$G$54,'Progetto del paramento slu'!$G$53)</f>
        <v>14129028.058034487</v>
      </c>
      <c r="G2137" s="553">
        <f>-'Foglio deposito bis'!$F$80*(C2137-sezione!$AN$35)*IF(ABS(M2137)&lt;'Progetto del paramento slu'!$G$58,ABS(M2137)*'Progetto del paramento slu'!$G$54,'Progetto del paramento slu'!$G$53)</f>
        <v>0</v>
      </c>
      <c r="H2137" s="553">
        <f>-'Foglio deposito bis'!$F$81*(C2137-sezione!$AO$35)*IF(ABS(N2137)&lt;'Progetto del paramento slu'!$G$58,ABS(N2137)*'Progetto del paramento slu'!$G$54,'Progetto del paramento slu'!$G$53)</f>
        <v>112299310.02185535</v>
      </c>
      <c r="I2137" s="479">
        <f>-'Foglio deposito bis'!$F$82*(C2137-sezione!$AP$35)*IF(ABS(O2137)&lt;'Progetto del paramento slu'!$G$58,ABS(O2137)*'Progetto del paramento slu'!$G$54,'Progetto del paramento slu'!$G$53)</f>
        <v>180241922.19667789</v>
      </c>
      <c r="J2137" s="479">
        <f t="shared" si="157"/>
        <v>278927212.92943072</v>
      </c>
      <c r="K2137" s="558">
        <f>'Progetto del paramento slu'!$G$60*(sezione!$AL$35-C2137)/C2137</f>
        <v>-1.0884091428453502E-3</v>
      </c>
      <c r="L2137" s="558">
        <f>'Progetto del paramento slu'!$G$60*(sezione!$AM$35-C2137)/C2137</f>
        <v>5.5434657143299372E-3</v>
      </c>
      <c r="M2137" s="559">
        <f>'Progetto del paramento slu'!$G$60*(sezione!$AN$35-C2137)/C2137</f>
        <v>1.2175340571505223E-2</v>
      </c>
      <c r="N2137" s="559">
        <f>'Progetto del paramento slu'!$G$60*(sezione!$AO$35-C2137)/C2137</f>
        <v>1.6998522285814523E-2</v>
      </c>
      <c r="O2137" s="559">
        <f>'Progetto del paramento slu'!$G$60*(sezione!$AP$35-C2137)/C2137</f>
        <v>1.2175821730257962E-2</v>
      </c>
      <c r="P2137" s="553">
        <f>-'Progetto del paramento slu'!$G$47*'Progetto del paramento slu'!$G$41*IF(DATI!$G$218="dx",DATI!$E$61,DATI!$E$64*DATI!$E$63)*1000*C2137*sezione!$AD$5</f>
        <v>-818308.21100739017</v>
      </c>
      <c r="Q2137" s="553">
        <f>'Foglio deposito bis'!$F$78*IF(ABS(K2137)&lt;'Progetto del paramento slu'!$G$58,ABS(K2137)*'Progetto del paramento slu'!$G$54,'Progetto del paramento slu'!$G$53)*IF(K2137&lt;0,-1,1)</f>
        <v>0</v>
      </c>
      <c r="R2137" s="553">
        <f>'Foglio deposito bis'!$F$79*IF(ABS(L2137)&lt;'Progetto del paramento slu'!$G$58,ABS(L2137)*'Progetto del paramento slu'!$G$54,'Progetto del paramento slu'!$G$53)*IF(L2137&lt;0,-1,1)</f>
        <v>153664.85805602249</v>
      </c>
      <c r="S2137" s="553">
        <f>'Foglio deposito bis'!$F$80*IF(ABS(M2137)&lt;'Progetto del paramento slu'!$G$58,ABS(M2137)*'Progetto del paramento slu'!$G$54,'Progetto del paramento slu'!$G$53)*IF(M2137&lt;0,-1,1)</f>
        <v>0</v>
      </c>
      <c r="T2137" s="553">
        <f>'Foglio deposito bis'!$F$81*IF(ABS(N2137)&lt;'Progetto del paramento slu'!$G$58,ABS(N2137)*'Progetto del paramento slu'!$G$54,'Progetto del paramento slu'!$G$53)*IF(N2137&lt;0,-1,1)</f>
        <v>398299.31208121032</v>
      </c>
      <c r="U2137" s="553">
        <f>'Foglio deposito bis'!$F$82*IF(ABS(O2137)&lt;'Progetto del paramento slu'!$G$58,ABS(O2137)*'Progetto del paramento slu'!$G$54,'Progetto del paramento slu'!$G$53)*IF(O2137&lt;0,-1,1)</f>
        <v>892485.49558937876</v>
      </c>
      <c r="V2137" s="479">
        <f t="shared" si="159"/>
        <v>626141.45471922145</v>
      </c>
      <c r="W2137" s="559"/>
      <c r="X2137" s="559"/>
    </row>
    <row r="2138" spans="1:24" x14ac:dyDescent="0.25">
      <c r="A2138" s="553">
        <f t="shared" si="158"/>
        <v>614696.58463520207</v>
      </c>
      <c r="B2138" s="3">
        <f t="shared" si="156"/>
        <v>14.49999999999997</v>
      </c>
      <c r="C2138" s="553">
        <f>'Foglio deposito bis'!$E$161/sezione!$B$247*B2138</f>
        <v>58.864894738211603</v>
      </c>
      <c r="D2138" s="611">
        <f>-'Progetto del paramento slu'!$G$47*'Progetto del paramento slu'!$G$41*IF(DATI!$G$218="dx",DATI!$E$61,DATI!$E$64*DATI!$E$63)*1000*C2138^2*sezione!$AD$5*(1-sezione!$AD$6)</f>
        <v>-28524503.421857111</v>
      </c>
      <c r="E2138" s="553">
        <f>-'Foglio deposito bis'!$F$78*(C2138-sezione!$AL$35)*IF(ABS(K2138)&lt;'Progetto del paramento slu'!$G$58,ABS(K2138)*'Progetto del paramento slu'!$G$54,'Progetto del paramento slu'!$G$53)</f>
        <v>0</v>
      </c>
      <c r="F2138" s="553">
        <f>-'Foglio deposito bis'!$F$79*(C2138-sezione!$AM$35)*IF(ABS(L2138)&lt;'Progetto del paramento slu'!$G$58,ABS(L2138)*'Progetto del paramento slu'!$G$54,'Progetto del paramento slu'!$G$53)</f>
        <v>14004263.013973383</v>
      </c>
      <c r="G2138" s="553">
        <f>-'Foglio deposito bis'!$F$80*(C2138-sezione!$AN$35)*IF(ABS(M2138)&lt;'Progetto del paramento slu'!$G$58,ABS(M2138)*'Progetto del paramento slu'!$G$54,'Progetto del paramento slu'!$G$53)</f>
        <v>0</v>
      </c>
      <c r="H2138" s="553">
        <f>-'Foglio deposito bis'!$F$81*(C2138-sezione!$AO$35)*IF(ABS(N2138)&lt;'Progetto del paramento slu'!$G$58,ABS(N2138)*'Progetto del paramento slu'!$G$54,'Progetto del paramento slu'!$G$53)</f>
        <v>111975919.02764897</v>
      </c>
      <c r="I2138" s="479">
        <f>-'Foglio deposito bis'!$F$82*(C2138-sezione!$AP$35)*IF(ABS(O2138)&lt;'Progetto del paramento slu'!$G$58,ABS(O2138)*'Progetto del paramento slu'!$G$54,'Progetto del paramento slu'!$G$53)</f>
        <v>179517286.82077104</v>
      </c>
      <c r="J2138" s="479">
        <f t="shared" si="157"/>
        <v>276972965.44053626</v>
      </c>
      <c r="K2138" s="558">
        <f>'Progetto del paramento slu'!$G$60*(sezione!$AL$35-C2138)/C2138</f>
        <v>-1.1216724650130005E-3</v>
      </c>
      <c r="L2138" s="558">
        <f>'Progetto del paramento slu'!$G$60*(sezione!$AM$35-C2138)/C2138</f>
        <v>5.418728256201248E-3</v>
      </c>
      <c r="M2138" s="559">
        <f>'Progetto del paramento slu'!$G$60*(sezione!$AN$35-C2138)/C2138</f>
        <v>1.1959128977415497E-2</v>
      </c>
      <c r="N2138" s="559">
        <f>'Progetto del paramento slu'!$G$60*(sezione!$AO$35-C2138)/C2138</f>
        <v>1.6715784047389496E-2</v>
      </c>
      <c r="O2138" s="559">
        <f>'Progetto del paramento slu'!$G$60*(sezione!$AP$35-C2138)/C2138</f>
        <v>1.1959603499495784E-2</v>
      </c>
      <c r="P2138" s="553">
        <f>-'Progetto del paramento slu'!$G$47*'Progetto del paramento slu'!$G$41*IF(DATI!$G$218="dx",DATI!$E$61,DATI!$E$64*DATI!$E$63)*1000*C2138*sezione!$AD$5</f>
        <v>-829753.08109140955</v>
      </c>
      <c r="Q2138" s="553">
        <f>'Foglio deposito bis'!$F$78*IF(ABS(K2138)&lt;'Progetto del paramento slu'!$G$58,ABS(K2138)*'Progetto del paramento slu'!$G$54,'Progetto del paramento slu'!$G$53)*IF(K2138&lt;0,-1,1)</f>
        <v>0</v>
      </c>
      <c r="R2138" s="553">
        <f>'Foglio deposito bis'!$F$79*IF(ABS(L2138)&lt;'Progetto del paramento slu'!$G$58,ABS(L2138)*'Progetto del paramento slu'!$G$54,'Progetto del paramento slu'!$G$53)*IF(L2138&lt;0,-1,1)</f>
        <v>153664.85805602249</v>
      </c>
      <c r="S2138" s="553">
        <f>'Foglio deposito bis'!$F$80*IF(ABS(M2138)&lt;'Progetto del paramento slu'!$G$58,ABS(M2138)*'Progetto del paramento slu'!$G$54,'Progetto del paramento slu'!$G$53)*IF(M2138&lt;0,-1,1)</f>
        <v>0</v>
      </c>
      <c r="T2138" s="553">
        <f>'Foglio deposito bis'!$F$81*IF(ABS(N2138)&lt;'Progetto del paramento slu'!$G$58,ABS(N2138)*'Progetto del paramento slu'!$G$54,'Progetto del paramento slu'!$G$53)*IF(N2138&lt;0,-1,1)</f>
        <v>398299.31208121032</v>
      </c>
      <c r="U2138" s="553">
        <f>'Foglio deposito bis'!$F$82*IF(ABS(O2138)&lt;'Progetto del paramento slu'!$G$58,ABS(O2138)*'Progetto del paramento slu'!$G$54,'Progetto del paramento slu'!$G$53)*IF(O2138&lt;0,-1,1)</f>
        <v>892485.49558937876</v>
      </c>
      <c r="V2138" s="479">
        <f t="shared" si="159"/>
        <v>614696.58463520207</v>
      </c>
      <c r="W2138" s="559"/>
      <c r="X2138" s="559"/>
    </row>
    <row r="2139" spans="1:24" x14ac:dyDescent="0.25">
      <c r="A2139" s="553">
        <f t="shared" si="158"/>
        <v>603251.7145511827</v>
      </c>
      <c r="B2139" s="3">
        <f t="shared" si="156"/>
        <v>14.699999999999969</v>
      </c>
      <c r="C2139" s="553">
        <f>'Foglio deposito bis'!$E$161/sezione!$B$247*B2139</f>
        <v>59.676824320807626</v>
      </c>
      <c r="D2139" s="611">
        <f>-'Progetto del paramento slu'!$G$47*'Progetto del paramento slu'!$G$41*IF(DATI!$G$218="dx",DATI!$E$61,DATI!$E$64*DATI!$E$63)*1000*C2139^2*sezione!$AD$5*(1-sezione!$AD$6)</f>
        <v>-29316813.053170525</v>
      </c>
      <c r="E2139" s="553">
        <f>-'Foglio deposito bis'!$F$78*(C2139-sezione!$AL$35)*IF(ABS(K2139)&lt;'Progetto del paramento slu'!$G$58,ABS(K2139)*'Progetto del paramento slu'!$G$54,'Progetto del paramento slu'!$G$53)</f>
        <v>0</v>
      </c>
      <c r="F2139" s="553">
        <f>-'Foglio deposito bis'!$F$79*(C2139-sezione!$AM$35)*IF(ABS(L2139)&lt;'Progetto del paramento slu'!$G$58,ABS(L2139)*'Progetto del paramento slu'!$G$54,'Progetto del paramento slu'!$G$53)</f>
        <v>13879497.969912279</v>
      </c>
      <c r="G2139" s="553">
        <f>-'Foglio deposito bis'!$F$80*(C2139-sezione!$AN$35)*IF(ABS(M2139)&lt;'Progetto del paramento slu'!$G$58,ABS(M2139)*'Progetto del paramento slu'!$G$54,'Progetto del paramento slu'!$G$53)</f>
        <v>0</v>
      </c>
      <c r="H2139" s="553">
        <f>-'Foglio deposito bis'!$F$81*(C2139-sezione!$AO$35)*IF(ABS(N2139)&lt;'Progetto del paramento slu'!$G$58,ABS(N2139)*'Progetto del paramento slu'!$G$54,'Progetto del paramento slu'!$G$53)</f>
        <v>111652528.03344259</v>
      </c>
      <c r="I2139" s="479">
        <f>-'Foglio deposito bis'!$F$82*(C2139-sezione!$AP$35)*IF(ABS(O2139)&lt;'Progetto del paramento slu'!$G$58,ABS(O2139)*'Progetto del paramento slu'!$G$54,'Progetto del paramento slu'!$G$53)</f>
        <v>178792651.44486415</v>
      </c>
      <c r="J2139" s="479">
        <f t="shared" si="157"/>
        <v>275007864.3950485</v>
      </c>
      <c r="K2139" s="558">
        <f>'Progetto del paramento slu'!$G$60*(sezione!$AL$35-C2139)/C2139</f>
        <v>-1.1540306627679257E-3</v>
      </c>
      <c r="L2139" s="558">
        <f>'Progetto del paramento slu'!$G$60*(sezione!$AM$35-C2139)/C2139</f>
        <v>5.2973850146202789E-3</v>
      </c>
      <c r="M2139" s="559">
        <f>'Progetto del paramento slu'!$G$60*(sezione!$AN$35-C2139)/C2139</f>
        <v>1.1748800692008484E-2</v>
      </c>
      <c r="N2139" s="559">
        <f>'Progetto del paramento slu'!$G$60*(sezione!$AO$35-C2139)/C2139</f>
        <v>1.6440739366472633E-2</v>
      </c>
      <c r="O2139" s="559">
        <f>'Progetto del paramento slu'!$G$60*(sezione!$AP$35-C2139)/C2139</f>
        <v>1.1749268758006047E-2</v>
      </c>
      <c r="P2139" s="553">
        <f>-'Progetto del paramento slu'!$G$47*'Progetto del paramento slu'!$G$41*IF(DATI!$G$218="dx",DATI!$E$61,DATI!$E$64*DATI!$E$63)*1000*C2139*sezione!$AD$5</f>
        <v>-841197.95117542893</v>
      </c>
      <c r="Q2139" s="553">
        <f>'Foglio deposito bis'!$F$78*IF(ABS(K2139)&lt;'Progetto del paramento slu'!$G$58,ABS(K2139)*'Progetto del paramento slu'!$G$54,'Progetto del paramento slu'!$G$53)*IF(K2139&lt;0,-1,1)</f>
        <v>0</v>
      </c>
      <c r="R2139" s="553">
        <f>'Foglio deposito bis'!$F$79*IF(ABS(L2139)&lt;'Progetto del paramento slu'!$G$58,ABS(L2139)*'Progetto del paramento slu'!$G$54,'Progetto del paramento slu'!$G$53)*IF(L2139&lt;0,-1,1)</f>
        <v>153664.85805602249</v>
      </c>
      <c r="S2139" s="553">
        <f>'Foglio deposito bis'!$F$80*IF(ABS(M2139)&lt;'Progetto del paramento slu'!$G$58,ABS(M2139)*'Progetto del paramento slu'!$G$54,'Progetto del paramento slu'!$G$53)*IF(M2139&lt;0,-1,1)</f>
        <v>0</v>
      </c>
      <c r="T2139" s="553">
        <f>'Foglio deposito bis'!$F$81*IF(ABS(N2139)&lt;'Progetto del paramento slu'!$G$58,ABS(N2139)*'Progetto del paramento slu'!$G$54,'Progetto del paramento slu'!$G$53)*IF(N2139&lt;0,-1,1)</f>
        <v>398299.31208121032</v>
      </c>
      <c r="U2139" s="553">
        <f>'Foglio deposito bis'!$F$82*IF(ABS(O2139)&lt;'Progetto del paramento slu'!$G$58,ABS(O2139)*'Progetto del paramento slu'!$G$54,'Progetto del paramento slu'!$G$53)*IF(O2139&lt;0,-1,1)</f>
        <v>892485.49558937876</v>
      </c>
      <c r="V2139" s="479">
        <f t="shared" si="159"/>
        <v>603251.7145511827</v>
      </c>
      <c r="W2139" s="559"/>
      <c r="X2139" s="559"/>
    </row>
    <row r="2140" spans="1:24" x14ac:dyDescent="0.25">
      <c r="A2140" s="553">
        <f t="shared" si="158"/>
        <v>591806.84446716309</v>
      </c>
      <c r="B2140" s="3">
        <f t="shared" si="156"/>
        <v>14.899999999999968</v>
      </c>
      <c r="C2140" s="553">
        <f>'Foglio deposito bis'!$E$161/sezione!$B$247*B2140</f>
        <v>60.488753903403648</v>
      </c>
      <c r="D2140" s="611">
        <f>-'Progetto del paramento slu'!$G$47*'Progetto del paramento slu'!$G$41*IF(DATI!$G$218="dx",DATI!$E$61,DATI!$E$64*DATI!$E$63)*1000*C2140^2*sezione!$AD$5*(1-sezione!$AD$6)</f>
        <v>-30119976.241077278</v>
      </c>
      <c r="E2140" s="553">
        <f>-'Foglio deposito bis'!$F$78*(C2140-sezione!$AL$35)*IF(ABS(K2140)&lt;'Progetto del paramento slu'!$G$58,ABS(K2140)*'Progetto del paramento slu'!$G$54,'Progetto del paramento slu'!$G$53)</f>
        <v>0</v>
      </c>
      <c r="F2140" s="553">
        <f>-'Foglio deposito bis'!$F$79*(C2140-sezione!$AM$35)*IF(ABS(L2140)&lt;'Progetto del paramento slu'!$G$58,ABS(L2140)*'Progetto del paramento slu'!$G$54,'Progetto del paramento slu'!$G$53)</f>
        <v>13754732.925851176</v>
      </c>
      <c r="G2140" s="553">
        <f>-'Foglio deposito bis'!$F$80*(C2140-sezione!$AN$35)*IF(ABS(M2140)&lt;'Progetto del paramento slu'!$G$58,ABS(M2140)*'Progetto del paramento slu'!$G$54,'Progetto del paramento slu'!$G$53)</f>
        <v>0</v>
      </c>
      <c r="H2140" s="553">
        <f>-'Foglio deposito bis'!$F$81*(C2140-sezione!$AO$35)*IF(ABS(N2140)&lt;'Progetto del paramento slu'!$G$58,ABS(N2140)*'Progetto del paramento slu'!$G$54,'Progetto del paramento slu'!$G$53)</f>
        <v>111329137.0392362</v>
      </c>
      <c r="I2140" s="479">
        <f>-'Foglio deposito bis'!$F$82*(C2140-sezione!$AP$35)*IF(ABS(O2140)&lt;'Progetto del paramento slu'!$G$58,ABS(O2140)*'Progetto del paramento slu'!$G$54,'Progetto del paramento slu'!$G$53)</f>
        <v>178068016.06895727</v>
      </c>
      <c r="J2140" s="479">
        <f t="shared" si="157"/>
        <v>273031909.79296738</v>
      </c>
      <c r="K2140" s="558">
        <f>'Progetto del paramento slu'!$G$60*(sezione!$AL$35-C2140)/C2140</f>
        <v>-1.1855201840730541E-3</v>
      </c>
      <c r="L2140" s="558">
        <f>'Progetto del paramento slu'!$G$60*(sezione!$AM$35-C2140)/C2140</f>
        <v>5.1792993097260461E-3</v>
      </c>
      <c r="M2140" s="559">
        <f>'Progetto del paramento slu'!$G$60*(sezione!$AN$35-C2140)/C2140</f>
        <v>1.1544118803525148E-2</v>
      </c>
      <c r="N2140" s="559">
        <f>'Progetto del paramento slu'!$G$60*(sezione!$AO$35-C2140)/C2140</f>
        <v>1.6173078435379039E-2</v>
      </c>
      <c r="O2140" s="559">
        <f>'Progetto del paramento slu'!$G$60*(sezione!$AP$35-C2140)/C2140</f>
        <v>1.1544580586757643E-2</v>
      </c>
      <c r="P2140" s="553">
        <f>-'Progetto del paramento slu'!$G$47*'Progetto del paramento slu'!$G$41*IF(DATI!$G$218="dx",DATI!$E$61,DATI!$E$64*DATI!$E$63)*1000*C2140*sezione!$AD$5</f>
        <v>-852642.82125944854</v>
      </c>
      <c r="Q2140" s="553">
        <f>'Foglio deposito bis'!$F$78*IF(ABS(K2140)&lt;'Progetto del paramento slu'!$G$58,ABS(K2140)*'Progetto del paramento slu'!$G$54,'Progetto del paramento slu'!$G$53)*IF(K2140&lt;0,-1,1)</f>
        <v>0</v>
      </c>
      <c r="R2140" s="553">
        <f>'Foglio deposito bis'!$F$79*IF(ABS(L2140)&lt;'Progetto del paramento slu'!$G$58,ABS(L2140)*'Progetto del paramento slu'!$G$54,'Progetto del paramento slu'!$G$53)*IF(L2140&lt;0,-1,1)</f>
        <v>153664.85805602249</v>
      </c>
      <c r="S2140" s="553">
        <f>'Foglio deposito bis'!$F$80*IF(ABS(M2140)&lt;'Progetto del paramento slu'!$G$58,ABS(M2140)*'Progetto del paramento slu'!$G$54,'Progetto del paramento slu'!$G$53)*IF(M2140&lt;0,-1,1)</f>
        <v>0</v>
      </c>
      <c r="T2140" s="553">
        <f>'Foglio deposito bis'!$F$81*IF(ABS(N2140)&lt;'Progetto del paramento slu'!$G$58,ABS(N2140)*'Progetto del paramento slu'!$G$54,'Progetto del paramento slu'!$G$53)*IF(N2140&lt;0,-1,1)</f>
        <v>398299.31208121032</v>
      </c>
      <c r="U2140" s="553">
        <f>'Foglio deposito bis'!$F$82*IF(ABS(O2140)&lt;'Progetto del paramento slu'!$G$58,ABS(O2140)*'Progetto del paramento slu'!$G$54,'Progetto del paramento slu'!$G$53)*IF(O2140&lt;0,-1,1)</f>
        <v>892485.49558937876</v>
      </c>
      <c r="V2140" s="479">
        <f t="shared" si="159"/>
        <v>591806.84446716309</v>
      </c>
      <c r="W2140" s="559"/>
      <c r="X2140" s="559"/>
    </row>
    <row r="2141" spans="1:24" x14ac:dyDescent="0.25">
      <c r="A2141" s="553">
        <f t="shared" si="158"/>
        <v>580361.97438314371</v>
      </c>
      <c r="B2141" s="3">
        <f t="shared" si="156"/>
        <v>15.099999999999968</v>
      </c>
      <c r="C2141" s="553">
        <f>'Foglio deposito bis'!$E$161/sezione!$B$247*B2141</f>
        <v>61.30068348599967</v>
      </c>
      <c r="D2141" s="611">
        <f>-'Progetto del paramento slu'!$G$47*'Progetto del paramento slu'!$G$41*IF(DATI!$G$218="dx",DATI!$E$61,DATI!$E$64*DATI!$E$63)*1000*C2141^2*sezione!$AD$5*(1-sezione!$AD$6)</f>
        <v>-30933992.98557736</v>
      </c>
      <c r="E2141" s="553">
        <f>-'Foglio deposito bis'!$F$78*(C2141-sezione!$AL$35)*IF(ABS(K2141)&lt;'Progetto del paramento slu'!$G$58,ABS(K2141)*'Progetto del paramento slu'!$G$54,'Progetto del paramento slu'!$G$53)</f>
        <v>0</v>
      </c>
      <c r="F2141" s="553">
        <f>-'Foglio deposito bis'!$F$79*(C2141-sezione!$AM$35)*IF(ABS(L2141)&lt;'Progetto del paramento slu'!$G$58,ABS(L2141)*'Progetto del paramento slu'!$G$54,'Progetto del paramento slu'!$G$53)</f>
        <v>13629967.881790074</v>
      </c>
      <c r="G2141" s="553">
        <f>-'Foglio deposito bis'!$F$80*(C2141-sezione!$AN$35)*IF(ABS(M2141)&lt;'Progetto del paramento slu'!$G$58,ABS(M2141)*'Progetto del paramento slu'!$G$54,'Progetto del paramento slu'!$G$53)</f>
        <v>0</v>
      </c>
      <c r="H2141" s="553">
        <f>-'Foglio deposito bis'!$F$81*(C2141-sezione!$AO$35)*IF(ABS(N2141)&lt;'Progetto del paramento slu'!$G$58,ABS(N2141)*'Progetto del paramento slu'!$G$54,'Progetto del paramento slu'!$G$53)</f>
        <v>111005746.04502982</v>
      </c>
      <c r="I2141" s="479">
        <f>-'Foglio deposito bis'!$F$82*(C2141-sezione!$AP$35)*IF(ABS(O2141)&lt;'Progetto del paramento slu'!$G$58,ABS(O2141)*'Progetto del paramento slu'!$G$54,'Progetto del paramento slu'!$G$53)</f>
        <v>177343380.69305035</v>
      </c>
      <c r="J2141" s="479">
        <f t="shared" si="157"/>
        <v>271045101.6342929</v>
      </c>
      <c r="K2141" s="558">
        <f>'Progetto del paramento slu'!$G$60*(sezione!$AL$35-C2141)/C2141</f>
        <v>-1.2161755458734113E-3</v>
      </c>
      <c r="L2141" s="558">
        <f>'Progetto del paramento slu'!$G$60*(sezione!$AM$35-C2141)/C2141</f>
        <v>5.0643417029747088E-3</v>
      </c>
      <c r="M2141" s="559">
        <f>'Progetto del paramento slu'!$G$60*(sezione!$AN$35-C2141)/C2141</f>
        <v>1.1344858951822828E-2</v>
      </c>
      <c r="N2141" s="559">
        <f>'Progetto del paramento slu'!$G$60*(sezione!$AO$35-C2141)/C2141</f>
        <v>1.5912507860076006E-2</v>
      </c>
      <c r="O2141" s="559">
        <f>'Progetto del paramento slu'!$G$60*(sezione!$AP$35-C2141)/C2141</f>
        <v>1.1345314618721116E-2</v>
      </c>
      <c r="P2141" s="553">
        <f>-'Progetto del paramento slu'!$G$47*'Progetto del paramento slu'!$G$41*IF(DATI!$G$218="dx",DATI!$E$61,DATI!$E$64*DATI!$E$63)*1000*C2141*sezione!$AD$5</f>
        <v>-864087.69134346792</v>
      </c>
      <c r="Q2141" s="553">
        <f>'Foglio deposito bis'!$F$78*IF(ABS(K2141)&lt;'Progetto del paramento slu'!$G$58,ABS(K2141)*'Progetto del paramento slu'!$G$54,'Progetto del paramento slu'!$G$53)*IF(K2141&lt;0,-1,1)</f>
        <v>0</v>
      </c>
      <c r="R2141" s="553">
        <f>'Foglio deposito bis'!$F$79*IF(ABS(L2141)&lt;'Progetto del paramento slu'!$G$58,ABS(L2141)*'Progetto del paramento slu'!$G$54,'Progetto del paramento slu'!$G$53)*IF(L2141&lt;0,-1,1)</f>
        <v>153664.85805602249</v>
      </c>
      <c r="S2141" s="553">
        <f>'Foglio deposito bis'!$F$80*IF(ABS(M2141)&lt;'Progetto del paramento slu'!$G$58,ABS(M2141)*'Progetto del paramento slu'!$G$54,'Progetto del paramento slu'!$G$53)*IF(M2141&lt;0,-1,1)</f>
        <v>0</v>
      </c>
      <c r="T2141" s="553">
        <f>'Foglio deposito bis'!$F$81*IF(ABS(N2141)&lt;'Progetto del paramento slu'!$G$58,ABS(N2141)*'Progetto del paramento slu'!$G$54,'Progetto del paramento slu'!$G$53)*IF(N2141&lt;0,-1,1)</f>
        <v>398299.31208121032</v>
      </c>
      <c r="U2141" s="553">
        <f>'Foglio deposito bis'!$F$82*IF(ABS(O2141)&lt;'Progetto del paramento slu'!$G$58,ABS(O2141)*'Progetto del paramento slu'!$G$54,'Progetto del paramento slu'!$G$53)*IF(O2141&lt;0,-1,1)</f>
        <v>892485.49558937876</v>
      </c>
      <c r="V2141" s="479">
        <f t="shared" si="159"/>
        <v>580361.97438314371</v>
      </c>
      <c r="W2141" s="559"/>
      <c r="X2141" s="559"/>
    </row>
    <row r="2142" spans="1:24" x14ac:dyDescent="0.25">
      <c r="A2142" s="553">
        <f t="shared" si="158"/>
        <v>568917.10429912433</v>
      </c>
      <c r="B2142" s="3">
        <f t="shared" si="156"/>
        <v>15.299999999999967</v>
      </c>
      <c r="C2142" s="553">
        <f>'Foglio deposito bis'!$E$161/sezione!$B$247*B2142</f>
        <v>62.112613068595685</v>
      </c>
      <c r="D2142" s="611">
        <f>-'Progetto del paramento slu'!$G$47*'Progetto del paramento slu'!$G$41*IF(DATI!$G$218="dx",DATI!$E$61,DATI!$E$64*DATI!$E$63)*1000*C2142^2*sezione!$AD$5*(1-sezione!$AD$6)</f>
        <v>-31758863.286670774</v>
      </c>
      <c r="E2142" s="553">
        <f>-'Foglio deposito bis'!$F$78*(C2142-sezione!$AL$35)*IF(ABS(K2142)&lt;'Progetto del paramento slu'!$G$58,ABS(K2142)*'Progetto del paramento slu'!$G$54,'Progetto del paramento slu'!$G$53)</f>
        <v>0</v>
      </c>
      <c r="F2142" s="553">
        <f>-'Foglio deposito bis'!$F$79*(C2142-sezione!$AM$35)*IF(ABS(L2142)&lt;'Progetto del paramento slu'!$G$58,ABS(L2142)*'Progetto del paramento slu'!$G$54,'Progetto del paramento slu'!$G$53)</f>
        <v>13505202.83772897</v>
      </c>
      <c r="G2142" s="553">
        <f>-'Foglio deposito bis'!$F$80*(C2142-sezione!$AN$35)*IF(ABS(M2142)&lt;'Progetto del paramento slu'!$G$58,ABS(M2142)*'Progetto del paramento slu'!$G$54,'Progetto del paramento slu'!$G$53)</f>
        <v>0</v>
      </c>
      <c r="H2142" s="553">
        <f>-'Foglio deposito bis'!$F$81*(C2142-sezione!$AO$35)*IF(ABS(N2142)&lt;'Progetto del paramento slu'!$G$58,ABS(N2142)*'Progetto del paramento slu'!$G$54,'Progetto del paramento slu'!$G$53)</f>
        <v>110682355.05082344</v>
      </c>
      <c r="I2142" s="479">
        <f>-'Foglio deposito bis'!$F$82*(C2142-sezione!$AP$35)*IF(ABS(O2142)&lt;'Progetto del paramento slu'!$G$58,ABS(O2142)*'Progetto del paramento slu'!$G$54,'Progetto del paramento slu'!$G$53)</f>
        <v>176618745.31714347</v>
      </c>
      <c r="J2142" s="479">
        <f t="shared" si="157"/>
        <v>269047439.91902506</v>
      </c>
      <c r="K2142" s="558">
        <f>'Progetto del paramento slu'!$G$60*(sezione!$AL$35-C2142)/C2142</f>
        <v>-1.246029460306438E-3</v>
      </c>
      <c r="L2142" s="558">
        <f>'Progetto del paramento slu'!$G$60*(sezione!$AM$35-C2142)/C2142</f>
        <v>4.9523895238508565E-3</v>
      </c>
      <c r="M2142" s="559">
        <f>'Progetto del paramento slu'!$G$60*(sezione!$AN$35-C2142)/C2142</f>
        <v>1.1150808508008151E-2</v>
      </c>
      <c r="N2142" s="559">
        <f>'Progetto del paramento slu'!$G$60*(sezione!$AO$35-C2142)/C2142</f>
        <v>1.5658749587395274E-2</v>
      </c>
      <c r="O2142" s="559">
        <f>'Progetto del paramento slu'!$G$60*(sezione!$AP$35-C2142)/C2142</f>
        <v>1.1151258218476397E-2</v>
      </c>
      <c r="P2142" s="553">
        <f>-'Progetto del paramento slu'!$G$47*'Progetto del paramento slu'!$G$41*IF(DATI!$G$218="dx",DATI!$E$61,DATI!$E$64*DATI!$E$63)*1000*C2142*sezione!$AD$5</f>
        <v>-875532.56142748718</v>
      </c>
      <c r="Q2142" s="553">
        <f>'Foglio deposito bis'!$F$78*IF(ABS(K2142)&lt;'Progetto del paramento slu'!$G$58,ABS(K2142)*'Progetto del paramento slu'!$G$54,'Progetto del paramento slu'!$G$53)*IF(K2142&lt;0,-1,1)</f>
        <v>0</v>
      </c>
      <c r="R2142" s="553">
        <f>'Foglio deposito bis'!$F$79*IF(ABS(L2142)&lt;'Progetto del paramento slu'!$G$58,ABS(L2142)*'Progetto del paramento slu'!$G$54,'Progetto del paramento slu'!$G$53)*IF(L2142&lt;0,-1,1)</f>
        <v>153664.85805602249</v>
      </c>
      <c r="S2142" s="553">
        <f>'Foglio deposito bis'!$F$80*IF(ABS(M2142)&lt;'Progetto del paramento slu'!$G$58,ABS(M2142)*'Progetto del paramento slu'!$G$54,'Progetto del paramento slu'!$G$53)*IF(M2142&lt;0,-1,1)</f>
        <v>0</v>
      </c>
      <c r="T2142" s="553">
        <f>'Foglio deposito bis'!$F$81*IF(ABS(N2142)&lt;'Progetto del paramento slu'!$G$58,ABS(N2142)*'Progetto del paramento slu'!$G$54,'Progetto del paramento slu'!$G$53)*IF(N2142&lt;0,-1,1)</f>
        <v>398299.31208121032</v>
      </c>
      <c r="U2142" s="553">
        <f>'Foglio deposito bis'!$F$82*IF(ABS(O2142)&lt;'Progetto del paramento slu'!$G$58,ABS(O2142)*'Progetto del paramento slu'!$G$54,'Progetto del paramento slu'!$G$53)*IF(O2142&lt;0,-1,1)</f>
        <v>892485.49558937876</v>
      </c>
      <c r="V2142" s="479">
        <f t="shared" si="159"/>
        <v>568917.10429912433</v>
      </c>
      <c r="W2142" s="559"/>
      <c r="X2142" s="559"/>
    </row>
    <row r="2143" spans="1:24" x14ac:dyDescent="0.25">
      <c r="A2143" s="553">
        <f t="shared" si="158"/>
        <v>557472.23421510495</v>
      </c>
      <c r="B2143" s="3">
        <f t="shared" si="156"/>
        <v>15.499999999999966</v>
      </c>
      <c r="C2143" s="553">
        <f>'Foglio deposito bis'!$E$161/sezione!$B$247*B2143</f>
        <v>62.924542651191707</v>
      </c>
      <c r="D2143" s="611">
        <f>-'Progetto del paramento slu'!$G$47*'Progetto del paramento slu'!$G$41*IF(DATI!$G$218="dx",DATI!$E$61,DATI!$E$64*DATI!$E$63)*1000*C2143^2*sezione!$AD$5*(1-sezione!$AD$6)</f>
        <v>-32594587.144357525</v>
      </c>
      <c r="E2143" s="553">
        <f>-'Foglio deposito bis'!$F$78*(C2143-sezione!$AL$35)*IF(ABS(K2143)&lt;'Progetto del paramento slu'!$G$58,ABS(K2143)*'Progetto del paramento slu'!$G$54,'Progetto del paramento slu'!$G$53)</f>
        <v>0</v>
      </c>
      <c r="F2143" s="553">
        <f>-'Foglio deposito bis'!$F$79*(C2143-sezione!$AM$35)*IF(ABS(L2143)&lt;'Progetto del paramento slu'!$G$58,ABS(L2143)*'Progetto del paramento slu'!$G$54,'Progetto del paramento slu'!$G$53)</f>
        <v>13380437.79366787</v>
      </c>
      <c r="G2143" s="553">
        <f>-'Foglio deposito bis'!$F$80*(C2143-sezione!$AN$35)*IF(ABS(M2143)&lt;'Progetto del paramento slu'!$G$58,ABS(M2143)*'Progetto del paramento slu'!$G$54,'Progetto del paramento slu'!$G$53)</f>
        <v>0</v>
      </c>
      <c r="H2143" s="553">
        <f>-'Foglio deposito bis'!$F$81*(C2143-sezione!$AO$35)*IF(ABS(N2143)&lt;'Progetto del paramento slu'!$G$58,ABS(N2143)*'Progetto del paramento slu'!$G$54,'Progetto del paramento slu'!$G$53)</f>
        <v>110358964.05661708</v>
      </c>
      <c r="I2143" s="479">
        <f>-'Foglio deposito bis'!$F$82*(C2143-sezione!$AP$35)*IF(ABS(O2143)&lt;'Progetto del paramento slu'!$G$58,ABS(O2143)*'Progetto del paramento slu'!$G$54,'Progetto del paramento slu'!$G$53)</f>
        <v>175894109.94123662</v>
      </c>
      <c r="J2143" s="479">
        <f t="shared" si="157"/>
        <v>267038924.64716405</v>
      </c>
      <c r="K2143" s="558">
        <f>'Progetto del paramento slu'!$G$60*(sezione!$AL$35-C2143)/C2143</f>
        <v>-1.2751129511411937E-3</v>
      </c>
      <c r="L2143" s="558">
        <f>'Progetto del paramento slu'!$G$60*(sezione!$AM$35-C2143)/C2143</f>
        <v>4.8433264332205239E-3</v>
      </c>
      <c r="M2143" s="559">
        <f>'Progetto del paramento slu'!$G$60*(sezione!$AN$35-C2143)/C2143</f>
        <v>1.0961765817582242E-2</v>
      </c>
      <c r="N2143" s="559">
        <f>'Progetto del paramento slu'!$G$60*(sezione!$AO$35-C2143)/C2143</f>
        <v>1.5411539915299853E-2</v>
      </c>
      <c r="O2143" s="559">
        <f>'Progetto del paramento slu'!$G$60*(sezione!$AP$35-C2143)/C2143</f>
        <v>1.0962209725334767E-2</v>
      </c>
      <c r="P2143" s="553">
        <f>-'Progetto del paramento slu'!$G$47*'Progetto del paramento slu'!$G$41*IF(DATI!$G$218="dx",DATI!$E$61,DATI!$E$64*DATI!$E$63)*1000*C2143*sezione!$AD$5</f>
        <v>-886977.43151150655</v>
      </c>
      <c r="Q2143" s="553">
        <f>'Foglio deposito bis'!$F$78*IF(ABS(K2143)&lt;'Progetto del paramento slu'!$G$58,ABS(K2143)*'Progetto del paramento slu'!$G$54,'Progetto del paramento slu'!$G$53)*IF(K2143&lt;0,-1,1)</f>
        <v>0</v>
      </c>
      <c r="R2143" s="553">
        <f>'Foglio deposito bis'!$F$79*IF(ABS(L2143)&lt;'Progetto del paramento slu'!$G$58,ABS(L2143)*'Progetto del paramento slu'!$G$54,'Progetto del paramento slu'!$G$53)*IF(L2143&lt;0,-1,1)</f>
        <v>153664.85805602249</v>
      </c>
      <c r="S2143" s="553">
        <f>'Foglio deposito bis'!$F$80*IF(ABS(M2143)&lt;'Progetto del paramento slu'!$G$58,ABS(M2143)*'Progetto del paramento slu'!$G$54,'Progetto del paramento slu'!$G$53)*IF(M2143&lt;0,-1,1)</f>
        <v>0</v>
      </c>
      <c r="T2143" s="553">
        <f>'Foglio deposito bis'!$F$81*IF(ABS(N2143)&lt;'Progetto del paramento slu'!$G$58,ABS(N2143)*'Progetto del paramento slu'!$G$54,'Progetto del paramento slu'!$G$53)*IF(N2143&lt;0,-1,1)</f>
        <v>398299.31208121032</v>
      </c>
      <c r="U2143" s="553">
        <f>'Foglio deposito bis'!$F$82*IF(ABS(O2143)&lt;'Progetto del paramento slu'!$G$58,ABS(O2143)*'Progetto del paramento slu'!$G$54,'Progetto del paramento slu'!$G$53)*IF(O2143&lt;0,-1,1)</f>
        <v>892485.49558937876</v>
      </c>
      <c r="V2143" s="479">
        <f t="shared" si="159"/>
        <v>557472.23421510495</v>
      </c>
      <c r="W2143" s="559"/>
      <c r="X2143" s="559"/>
    </row>
    <row r="2144" spans="1:24" x14ac:dyDescent="0.25">
      <c r="A2144" s="553">
        <f t="shared" si="158"/>
        <v>546027.36413108534</v>
      </c>
      <c r="B2144" s="3">
        <f t="shared" si="156"/>
        <v>15.699999999999966</v>
      </c>
      <c r="C2144" s="553">
        <f>'Foglio deposito bis'!$E$161/sezione!$B$247*B2144</f>
        <v>63.73647223378773</v>
      </c>
      <c r="D2144" s="611">
        <f>-'Progetto del paramento slu'!$G$47*'Progetto del paramento slu'!$G$41*IF(DATI!$G$218="dx",DATI!$E$61,DATI!$E$64*DATI!$E$63)*1000*C2144^2*sezione!$AD$5*(1-sezione!$AD$6)</f>
        <v>-33441164.558637615</v>
      </c>
      <c r="E2144" s="553">
        <f>-'Foglio deposito bis'!$F$78*(C2144-sezione!$AL$35)*IF(ABS(K2144)&lt;'Progetto del paramento slu'!$G$58,ABS(K2144)*'Progetto del paramento slu'!$G$54,'Progetto del paramento slu'!$G$53)</f>
        <v>0</v>
      </c>
      <c r="F2144" s="553">
        <f>-'Foglio deposito bis'!$F$79*(C2144-sezione!$AM$35)*IF(ABS(L2144)&lt;'Progetto del paramento slu'!$G$58,ABS(L2144)*'Progetto del paramento slu'!$G$54,'Progetto del paramento slu'!$G$53)</f>
        <v>13255672.749606762</v>
      </c>
      <c r="G2144" s="553">
        <f>-'Foglio deposito bis'!$F$80*(C2144-sezione!$AN$35)*IF(ABS(M2144)&lt;'Progetto del paramento slu'!$G$58,ABS(M2144)*'Progetto del paramento slu'!$G$54,'Progetto del paramento slu'!$G$53)</f>
        <v>0</v>
      </c>
      <c r="H2144" s="553">
        <f>-'Foglio deposito bis'!$F$81*(C2144-sezione!$AO$35)*IF(ABS(N2144)&lt;'Progetto del paramento slu'!$G$58,ABS(N2144)*'Progetto del paramento slu'!$G$54,'Progetto del paramento slu'!$G$53)</f>
        <v>110035573.0624107</v>
      </c>
      <c r="I2144" s="479">
        <f>-'Foglio deposito bis'!$F$82*(C2144-sezione!$AP$35)*IF(ABS(O2144)&lt;'Progetto del paramento slu'!$G$58,ABS(O2144)*'Progetto del paramento slu'!$G$54,'Progetto del paramento slu'!$G$53)</f>
        <v>175169474.5653297</v>
      </c>
      <c r="J2144" s="479">
        <f t="shared" si="157"/>
        <v>265019555.81870955</v>
      </c>
      <c r="K2144" s="558">
        <f>'Progetto del paramento slu'!$G$60*(sezione!$AL$35-C2144)/C2144</f>
        <v>-1.3034554613177392E-3</v>
      </c>
      <c r="L2144" s="558">
        <f>'Progetto del paramento slu'!$G$60*(sezione!$AM$35-C2144)/C2144</f>
        <v>4.7370420200584778E-3</v>
      </c>
      <c r="M2144" s="559">
        <f>'Progetto del paramento slu'!$G$60*(sezione!$AN$35-C2144)/C2144</f>
        <v>1.0777539501434695E-2</v>
      </c>
      <c r="N2144" s="559">
        <f>'Progetto del paramento slu'!$G$60*(sezione!$AO$35-C2144)/C2144</f>
        <v>1.5170628578799221E-2</v>
      </c>
      <c r="O2144" s="559">
        <f>'Progetto del paramento slu'!$G$60*(sezione!$AP$35-C2144)/C2144</f>
        <v>1.0777977754311394E-2</v>
      </c>
      <c r="P2144" s="553">
        <f>-'Progetto del paramento slu'!$G$47*'Progetto del paramento slu'!$G$41*IF(DATI!$G$218="dx",DATI!$E$61,DATI!$E$64*DATI!$E$63)*1000*C2144*sezione!$AD$5</f>
        <v>-898422.30159552617</v>
      </c>
      <c r="Q2144" s="553">
        <f>'Foglio deposito bis'!$F$78*IF(ABS(K2144)&lt;'Progetto del paramento slu'!$G$58,ABS(K2144)*'Progetto del paramento slu'!$G$54,'Progetto del paramento slu'!$G$53)*IF(K2144&lt;0,-1,1)</f>
        <v>0</v>
      </c>
      <c r="R2144" s="553">
        <f>'Foglio deposito bis'!$F$79*IF(ABS(L2144)&lt;'Progetto del paramento slu'!$G$58,ABS(L2144)*'Progetto del paramento slu'!$G$54,'Progetto del paramento slu'!$G$53)*IF(L2144&lt;0,-1,1)</f>
        <v>153664.85805602249</v>
      </c>
      <c r="S2144" s="553">
        <f>'Foglio deposito bis'!$F$80*IF(ABS(M2144)&lt;'Progetto del paramento slu'!$G$58,ABS(M2144)*'Progetto del paramento slu'!$G$54,'Progetto del paramento slu'!$G$53)*IF(M2144&lt;0,-1,1)</f>
        <v>0</v>
      </c>
      <c r="T2144" s="553">
        <f>'Foglio deposito bis'!$F$81*IF(ABS(N2144)&lt;'Progetto del paramento slu'!$G$58,ABS(N2144)*'Progetto del paramento slu'!$G$54,'Progetto del paramento slu'!$G$53)*IF(N2144&lt;0,-1,1)</f>
        <v>398299.31208121032</v>
      </c>
      <c r="U2144" s="553">
        <f>'Foglio deposito bis'!$F$82*IF(ABS(O2144)&lt;'Progetto del paramento slu'!$G$58,ABS(O2144)*'Progetto del paramento slu'!$G$54,'Progetto del paramento slu'!$G$53)*IF(O2144&lt;0,-1,1)</f>
        <v>892485.49558937876</v>
      </c>
      <c r="V2144" s="479">
        <f t="shared" si="159"/>
        <v>546027.36413108534</v>
      </c>
      <c r="W2144" s="559"/>
      <c r="X2144" s="559"/>
    </row>
    <row r="2145" spans="1:24" x14ac:dyDescent="0.25">
      <c r="A2145" s="553">
        <f t="shared" si="158"/>
        <v>534582.4940470662</v>
      </c>
      <c r="B2145" s="3">
        <f t="shared" si="156"/>
        <v>15.899999999999965</v>
      </c>
      <c r="C2145" s="553">
        <f>'Foglio deposito bis'!$E$161/sezione!$B$247*B2145</f>
        <v>64.548401816383745</v>
      </c>
      <c r="D2145" s="611">
        <f>-'Progetto del paramento slu'!$G$47*'Progetto del paramento slu'!$G$41*IF(DATI!$G$218="dx",DATI!$E$61,DATI!$E$64*DATI!$E$63)*1000*C2145^2*sezione!$AD$5*(1-sezione!$AD$6)</f>
        <v>-34298595.529511027</v>
      </c>
      <c r="E2145" s="553">
        <f>-'Foglio deposito bis'!$F$78*(C2145-sezione!$AL$35)*IF(ABS(K2145)&lt;'Progetto del paramento slu'!$G$58,ABS(K2145)*'Progetto del paramento slu'!$G$54,'Progetto del paramento slu'!$G$53)</f>
        <v>0</v>
      </c>
      <c r="F2145" s="553">
        <f>-'Foglio deposito bis'!$F$79*(C2145-sezione!$AM$35)*IF(ABS(L2145)&lt;'Progetto del paramento slu'!$G$58,ABS(L2145)*'Progetto del paramento slu'!$G$54,'Progetto del paramento slu'!$G$53)</f>
        <v>13130907.705545662</v>
      </c>
      <c r="G2145" s="553">
        <f>-'Foglio deposito bis'!$F$80*(C2145-sezione!$AN$35)*IF(ABS(M2145)&lt;'Progetto del paramento slu'!$G$58,ABS(M2145)*'Progetto del paramento slu'!$G$54,'Progetto del paramento slu'!$G$53)</f>
        <v>0</v>
      </c>
      <c r="H2145" s="553">
        <f>-'Foglio deposito bis'!$F$81*(C2145-sezione!$AO$35)*IF(ABS(N2145)&lt;'Progetto del paramento slu'!$G$58,ABS(N2145)*'Progetto del paramento slu'!$G$54,'Progetto del paramento slu'!$G$53)</f>
        <v>109712182.06820431</v>
      </c>
      <c r="I2145" s="479">
        <f>-'Foglio deposito bis'!$F$82*(C2145-sezione!$AP$35)*IF(ABS(O2145)&lt;'Progetto del paramento slu'!$G$58,ABS(O2145)*'Progetto del paramento slu'!$G$54,'Progetto del paramento slu'!$G$53)</f>
        <v>174444839.18942282</v>
      </c>
      <c r="J2145" s="479">
        <f t="shared" si="157"/>
        <v>262989333.43366176</v>
      </c>
      <c r="K2145" s="558">
        <f>'Progetto del paramento slu'!$G$60*(sezione!$AL$35-C2145)/C2145</f>
        <v>-1.331084952370346E-3</v>
      </c>
      <c r="L2145" s="558">
        <f>'Progetto del paramento slu'!$G$60*(sezione!$AM$35-C2145)/C2145</f>
        <v>4.6334314286112024E-3</v>
      </c>
      <c r="M2145" s="559">
        <f>'Progetto del paramento slu'!$G$60*(sezione!$AN$35-C2145)/C2145</f>
        <v>1.0597947809592752E-2</v>
      </c>
      <c r="N2145" s="559">
        <f>'Progetto del paramento slu'!$G$60*(sezione!$AO$35-C2145)/C2145</f>
        <v>1.493577790485206E-2</v>
      </c>
      <c r="O2145" s="559">
        <f>'Progetto del paramento slu'!$G$60*(sezione!$AP$35-C2145)/C2145</f>
        <v>1.0598380549854649E-2</v>
      </c>
      <c r="P2145" s="553">
        <f>-'Progetto del paramento slu'!$G$47*'Progetto del paramento slu'!$G$41*IF(DATI!$G$218="dx",DATI!$E$61,DATI!$E$64*DATI!$E$63)*1000*C2145*sezione!$AD$5</f>
        <v>-909867.17167954543</v>
      </c>
      <c r="Q2145" s="553">
        <f>'Foglio deposito bis'!$F$78*IF(ABS(K2145)&lt;'Progetto del paramento slu'!$G$58,ABS(K2145)*'Progetto del paramento slu'!$G$54,'Progetto del paramento slu'!$G$53)*IF(K2145&lt;0,-1,1)</f>
        <v>0</v>
      </c>
      <c r="R2145" s="553">
        <f>'Foglio deposito bis'!$F$79*IF(ABS(L2145)&lt;'Progetto del paramento slu'!$G$58,ABS(L2145)*'Progetto del paramento slu'!$G$54,'Progetto del paramento slu'!$G$53)*IF(L2145&lt;0,-1,1)</f>
        <v>153664.85805602249</v>
      </c>
      <c r="S2145" s="553">
        <f>'Foglio deposito bis'!$F$80*IF(ABS(M2145)&lt;'Progetto del paramento slu'!$G$58,ABS(M2145)*'Progetto del paramento slu'!$G$54,'Progetto del paramento slu'!$G$53)*IF(M2145&lt;0,-1,1)</f>
        <v>0</v>
      </c>
      <c r="T2145" s="553">
        <f>'Foglio deposito bis'!$F$81*IF(ABS(N2145)&lt;'Progetto del paramento slu'!$G$58,ABS(N2145)*'Progetto del paramento slu'!$G$54,'Progetto del paramento slu'!$G$53)*IF(N2145&lt;0,-1,1)</f>
        <v>398299.31208121032</v>
      </c>
      <c r="U2145" s="553">
        <f>'Foglio deposito bis'!$F$82*IF(ABS(O2145)&lt;'Progetto del paramento slu'!$G$58,ABS(O2145)*'Progetto del paramento slu'!$G$54,'Progetto del paramento slu'!$G$53)*IF(O2145&lt;0,-1,1)</f>
        <v>892485.49558937876</v>
      </c>
      <c r="V2145" s="479">
        <f t="shared" si="159"/>
        <v>534582.4940470662</v>
      </c>
      <c r="W2145" s="559"/>
      <c r="X2145" s="559"/>
    </row>
    <row r="2146" spans="1:24" x14ac:dyDescent="0.25">
      <c r="A2146" s="553">
        <f t="shared" si="158"/>
        <v>523137.62396304659</v>
      </c>
      <c r="B2146" s="3">
        <f t="shared" si="156"/>
        <v>16.099999999999966</v>
      </c>
      <c r="C2146" s="553">
        <f>'Foglio deposito bis'!$E$161/sezione!$B$247*B2146</f>
        <v>65.360331398979781</v>
      </c>
      <c r="D2146" s="611">
        <f>-'Progetto del paramento slu'!$G$47*'Progetto del paramento slu'!$G$41*IF(DATI!$G$218="dx",DATI!$E$61,DATI!$E$64*DATI!$E$63)*1000*C2146^2*sezione!$AD$5*(1-sezione!$AD$6)</f>
        <v>-35166880.056977794</v>
      </c>
      <c r="E2146" s="553">
        <f>-'Foglio deposito bis'!$F$78*(C2146-sezione!$AL$35)*IF(ABS(K2146)&lt;'Progetto del paramento slu'!$G$58,ABS(K2146)*'Progetto del paramento slu'!$G$54,'Progetto del paramento slu'!$G$53)</f>
        <v>0</v>
      </c>
      <c r="F2146" s="553">
        <f>-'Foglio deposito bis'!$F$79*(C2146-sezione!$AM$35)*IF(ABS(L2146)&lt;'Progetto del paramento slu'!$G$58,ABS(L2146)*'Progetto del paramento slu'!$G$54,'Progetto del paramento slu'!$G$53)</f>
        <v>13006142.661484558</v>
      </c>
      <c r="G2146" s="553">
        <f>-'Foglio deposito bis'!$F$80*(C2146-sezione!$AN$35)*IF(ABS(M2146)&lt;'Progetto del paramento slu'!$G$58,ABS(M2146)*'Progetto del paramento slu'!$G$54,'Progetto del paramento slu'!$G$53)</f>
        <v>0</v>
      </c>
      <c r="H2146" s="553">
        <f>-'Foglio deposito bis'!$F$81*(C2146-sezione!$AO$35)*IF(ABS(N2146)&lt;'Progetto del paramento slu'!$G$58,ABS(N2146)*'Progetto del paramento slu'!$G$54,'Progetto del paramento slu'!$G$53)</f>
        <v>109388791.07399793</v>
      </c>
      <c r="I2146" s="479">
        <f>-'Foglio deposito bis'!$F$82*(C2146-sezione!$AP$35)*IF(ABS(O2146)&lt;'Progetto del paramento slu'!$G$58,ABS(O2146)*'Progetto del paramento slu'!$G$54,'Progetto del paramento slu'!$G$53)</f>
        <v>173720203.81351593</v>
      </c>
      <c r="J2146" s="479">
        <f t="shared" si="157"/>
        <v>260948257.49202061</v>
      </c>
      <c r="K2146" s="558">
        <f>'Progetto del paramento slu'!$G$60*(sezione!$AL$35-C2146)/C2146</f>
        <v>-1.35802799644028E-3</v>
      </c>
      <c r="L2146" s="558">
        <f>'Progetto del paramento slu'!$G$60*(sezione!$AM$35-C2146)/C2146</f>
        <v>4.5323950133489502E-3</v>
      </c>
      <c r="M2146" s="559">
        <f>'Progetto del paramento slu'!$G$60*(sezione!$AN$35-C2146)/C2146</f>
        <v>1.0422818023138181E-2</v>
      </c>
      <c r="N2146" s="559">
        <f>'Progetto del paramento slu'!$G$60*(sezione!$AO$35-C2146)/C2146</f>
        <v>1.4706762030257619E-2</v>
      </c>
      <c r="O2146" s="559">
        <f>'Progetto del paramento slu'!$G$60*(sezione!$AP$35-C2146)/C2146</f>
        <v>1.0423245387744648E-2</v>
      </c>
      <c r="P2146" s="553">
        <f>-'Progetto del paramento slu'!$G$47*'Progetto del paramento slu'!$G$41*IF(DATI!$G$218="dx",DATI!$E$61,DATI!$E$64*DATI!$E$63)*1000*C2146*sezione!$AD$5</f>
        <v>-921312.04176356504</v>
      </c>
      <c r="Q2146" s="553">
        <f>'Foglio deposito bis'!$F$78*IF(ABS(K2146)&lt;'Progetto del paramento slu'!$G$58,ABS(K2146)*'Progetto del paramento slu'!$G$54,'Progetto del paramento slu'!$G$53)*IF(K2146&lt;0,-1,1)</f>
        <v>0</v>
      </c>
      <c r="R2146" s="553">
        <f>'Foglio deposito bis'!$F$79*IF(ABS(L2146)&lt;'Progetto del paramento slu'!$G$58,ABS(L2146)*'Progetto del paramento slu'!$G$54,'Progetto del paramento slu'!$G$53)*IF(L2146&lt;0,-1,1)</f>
        <v>153664.85805602249</v>
      </c>
      <c r="S2146" s="553">
        <f>'Foglio deposito bis'!$F$80*IF(ABS(M2146)&lt;'Progetto del paramento slu'!$G$58,ABS(M2146)*'Progetto del paramento slu'!$G$54,'Progetto del paramento slu'!$G$53)*IF(M2146&lt;0,-1,1)</f>
        <v>0</v>
      </c>
      <c r="T2146" s="553">
        <f>'Foglio deposito bis'!$F$81*IF(ABS(N2146)&lt;'Progetto del paramento slu'!$G$58,ABS(N2146)*'Progetto del paramento slu'!$G$54,'Progetto del paramento slu'!$G$53)*IF(N2146&lt;0,-1,1)</f>
        <v>398299.31208121032</v>
      </c>
      <c r="U2146" s="553">
        <f>'Foglio deposito bis'!$F$82*IF(ABS(O2146)&lt;'Progetto del paramento slu'!$G$58,ABS(O2146)*'Progetto del paramento slu'!$G$54,'Progetto del paramento slu'!$G$53)*IF(O2146&lt;0,-1,1)</f>
        <v>892485.49558937876</v>
      </c>
      <c r="V2146" s="479">
        <f t="shared" si="159"/>
        <v>523137.62396304659</v>
      </c>
      <c r="W2146" s="559"/>
      <c r="X2146" s="559"/>
    </row>
    <row r="2147" spans="1:24" x14ac:dyDescent="0.25">
      <c r="A2147" s="553">
        <f t="shared" si="158"/>
        <v>511692.75387902721</v>
      </c>
      <c r="B2147" s="3">
        <f t="shared" si="156"/>
        <v>16.299999999999965</v>
      </c>
      <c r="C2147" s="553">
        <f>'Foglio deposito bis'!$E$161/sezione!$B$247*B2147</f>
        <v>66.172260981575803</v>
      </c>
      <c r="D2147" s="611">
        <f>-'Progetto del paramento slu'!$G$47*'Progetto del paramento slu'!$G$41*IF(DATI!$G$218="dx",DATI!$E$61,DATI!$E$64*DATI!$E$63)*1000*C2147^2*sezione!$AD$5*(1-sezione!$AD$6)</f>
        <v>-36046018.141037889</v>
      </c>
      <c r="E2147" s="553">
        <f>-'Foglio deposito bis'!$F$78*(C2147-sezione!$AL$35)*IF(ABS(K2147)&lt;'Progetto del paramento slu'!$G$58,ABS(K2147)*'Progetto del paramento slu'!$G$54,'Progetto del paramento slu'!$G$53)</f>
        <v>0</v>
      </c>
      <c r="F2147" s="553">
        <f>-'Foglio deposito bis'!$F$79*(C2147-sezione!$AM$35)*IF(ABS(L2147)&lt;'Progetto del paramento slu'!$G$58,ABS(L2147)*'Progetto del paramento slu'!$G$54,'Progetto del paramento slu'!$G$53)</f>
        <v>12881377.617423452</v>
      </c>
      <c r="G2147" s="553">
        <f>-'Foglio deposito bis'!$F$80*(C2147-sezione!$AN$35)*IF(ABS(M2147)&lt;'Progetto del paramento slu'!$G$58,ABS(M2147)*'Progetto del paramento slu'!$G$54,'Progetto del paramento slu'!$G$53)</f>
        <v>0</v>
      </c>
      <c r="H2147" s="553">
        <f>-'Foglio deposito bis'!$F$81*(C2147-sezione!$AO$35)*IF(ABS(N2147)&lt;'Progetto del paramento slu'!$G$58,ABS(N2147)*'Progetto del paramento slu'!$G$54,'Progetto del paramento slu'!$G$53)</f>
        <v>109065400.07979155</v>
      </c>
      <c r="I2147" s="479">
        <f>-'Foglio deposito bis'!$F$82*(C2147-sezione!$AP$35)*IF(ABS(O2147)&lt;'Progetto del paramento slu'!$G$58,ABS(O2147)*'Progetto del paramento slu'!$G$54,'Progetto del paramento slu'!$G$53)</f>
        <v>172995568.43760905</v>
      </c>
      <c r="J2147" s="479">
        <f t="shared" si="157"/>
        <v>258896327.99378616</v>
      </c>
      <c r="K2147" s="558">
        <f>'Progetto del paramento slu'!$G$60*(sezione!$AL$35-C2147)/C2147</f>
        <v>-1.3843098615146324E-3</v>
      </c>
      <c r="L2147" s="558">
        <f>'Progetto del paramento slu'!$G$60*(sezione!$AM$35-C2147)/C2147</f>
        <v>4.4338380193201287E-3</v>
      </c>
      <c r="M2147" s="559">
        <f>'Progetto del paramento slu'!$G$60*(sezione!$AN$35-C2147)/C2147</f>
        <v>1.025198590015489E-2</v>
      </c>
      <c r="N2147" s="559">
        <f>'Progetto del paramento slu'!$G$60*(sezione!$AO$35-C2147)/C2147</f>
        <v>1.4483366177125626E-2</v>
      </c>
      <c r="O2147" s="559">
        <f>'Progetto del paramento slu'!$G$60*(sezione!$AP$35-C2147)/C2147</f>
        <v>1.0252408021023857E-2</v>
      </c>
      <c r="P2147" s="553">
        <f>-'Progetto del paramento slu'!$G$47*'Progetto del paramento slu'!$G$41*IF(DATI!$G$218="dx",DATI!$E$61,DATI!$E$64*DATI!$E$63)*1000*C2147*sezione!$AD$5</f>
        <v>-932756.91184758442</v>
      </c>
      <c r="Q2147" s="553">
        <f>'Foglio deposito bis'!$F$78*IF(ABS(K2147)&lt;'Progetto del paramento slu'!$G$58,ABS(K2147)*'Progetto del paramento slu'!$G$54,'Progetto del paramento slu'!$G$53)*IF(K2147&lt;0,-1,1)</f>
        <v>0</v>
      </c>
      <c r="R2147" s="553">
        <f>'Foglio deposito bis'!$F$79*IF(ABS(L2147)&lt;'Progetto del paramento slu'!$G$58,ABS(L2147)*'Progetto del paramento slu'!$G$54,'Progetto del paramento slu'!$G$53)*IF(L2147&lt;0,-1,1)</f>
        <v>153664.85805602249</v>
      </c>
      <c r="S2147" s="553">
        <f>'Foglio deposito bis'!$F$80*IF(ABS(M2147)&lt;'Progetto del paramento slu'!$G$58,ABS(M2147)*'Progetto del paramento slu'!$G$54,'Progetto del paramento slu'!$G$53)*IF(M2147&lt;0,-1,1)</f>
        <v>0</v>
      </c>
      <c r="T2147" s="553">
        <f>'Foglio deposito bis'!$F$81*IF(ABS(N2147)&lt;'Progetto del paramento slu'!$G$58,ABS(N2147)*'Progetto del paramento slu'!$G$54,'Progetto del paramento slu'!$G$53)*IF(N2147&lt;0,-1,1)</f>
        <v>398299.31208121032</v>
      </c>
      <c r="U2147" s="553">
        <f>'Foglio deposito bis'!$F$82*IF(ABS(O2147)&lt;'Progetto del paramento slu'!$G$58,ABS(O2147)*'Progetto del paramento slu'!$G$54,'Progetto del paramento slu'!$G$53)*IF(O2147&lt;0,-1,1)</f>
        <v>892485.49558937876</v>
      </c>
      <c r="V2147" s="479">
        <f t="shared" si="159"/>
        <v>511692.75387902721</v>
      </c>
      <c r="W2147" s="559"/>
      <c r="X2147" s="559"/>
    </row>
    <row r="2148" spans="1:24" x14ac:dyDescent="0.25">
      <c r="A2148" s="553">
        <f t="shared" si="158"/>
        <v>500247.8837950076</v>
      </c>
      <c r="B2148" s="3">
        <f t="shared" si="156"/>
        <v>16.499999999999964</v>
      </c>
      <c r="C2148" s="553">
        <f>'Foglio deposito bis'!$E$161/sezione!$B$247*B2148</f>
        <v>66.984190564171826</v>
      </c>
      <c r="D2148" s="611">
        <f>-'Progetto del paramento slu'!$G$47*'Progetto del paramento slu'!$G$41*IF(DATI!$G$218="dx",DATI!$E$61,DATI!$E$64*DATI!$E$63)*1000*C2148^2*sezione!$AD$5*(1-sezione!$AD$6)</f>
        <v>-36936009.781691313</v>
      </c>
      <c r="E2148" s="553">
        <f>-'Foglio deposito bis'!$F$78*(C2148-sezione!$AL$35)*IF(ABS(K2148)&lt;'Progetto del paramento slu'!$G$58,ABS(K2148)*'Progetto del paramento slu'!$G$54,'Progetto del paramento slu'!$G$53)</f>
        <v>0</v>
      </c>
      <c r="F2148" s="553">
        <f>-'Foglio deposito bis'!$F$79*(C2148-sezione!$AM$35)*IF(ABS(L2148)&lt;'Progetto del paramento slu'!$G$58,ABS(L2148)*'Progetto del paramento slu'!$G$54,'Progetto del paramento slu'!$G$53)</f>
        <v>12756612.573362349</v>
      </c>
      <c r="G2148" s="553">
        <f>-'Foglio deposito bis'!$F$80*(C2148-sezione!$AN$35)*IF(ABS(M2148)&lt;'Progetto del paramento slu'!$G$58,ABS(M2148)*'Progetto del paramento slu'!$G$54,'Progetto del paramento slu'!$G$53)</f>
        <v>0</v>
      </c>
      <c r="H2148" s="553">
        <f>-'Foglio deposito bis'!$F$81*(C2148-sezione!$AO$35)*IF(ABS(N2148)&lt;'Progetto del paramento slu'!$G$58,ABS(N2148)*'Progetto del paramento slu'!$G$54,'Progetto del paramento slu'!$G$53)</f>
        <v>108742009.08558516</v>
      </c>
      <c r="I2148" s="479">
        <f>-'Foglio deposito bis'!$F$82*(C2148-sezione!$AP$35)*IF(ABS(O2148)&lt;'Progetto del paramento slu'!$G$58,ABS(O2148)*'Progetto del paramento slu'!$G$54,'Progetto del paramento slu'!$G$53)</f>
        <v>172270933.06170216</v>
      </c>
      <c r="J2148" s="479">
        <f t="shared" si="157"/>
        <v>256833544.93895835</v>
      </c>
      <c r="K2148" s="558">
        <f>'Progetto del paramento slu'!$G$60*(sezione!$AL$35-C2148)/C2148</f>
        <v>-1.4099545904659703E-3</v>
      </c>
      <c r="L2148" s="558">
        <f>'Progetto del paramento slu'!$G$60*(sezione!$AM$35-C2148)/C2148</f>
        <v>4.3376702857526117E-3</v>
      </c>
      <c r="M2148" s="559">
        <f>'Progetto del paramento slu'!$G$60*(sezione!$AN$35-C2148)/C2148</f>
        <v>1.0085295161971194E-2</v>
      </c>
      <c r="N2148" s="559">
        <f>'Progetto del paramento slu'!$G$60*(sezione!$AO$35-C2148)/C2148</f>
        <v>1.4265385981039252E-2</v>
      </c>
      <c r="O2148" s="559">
        <f>'Progetto del paramento slu'!$G$60*(sezione!$AP$35-C2148)/C2148</f>
        <v>1.0085712166223568E-2</v>
      </c>
      <c r="P2148" s="553">
        <f>-'Progetto del paramento slu'!$G$47*'Progetto del paramento slu'!$G$41*IF(DATI!$G$218="dx",DATI!$E$61,DATI!$E$64*DATI!$E$63)*1000*C2148*sezione!$AD$5</f>
        <v>-944201.78193160403</v>
      </c>
      <c r="Q2148" s="553">
        <f>'Foglio deposito bis'!$F$78*IF(ABS(K2148)&lt;'Progetto del paramento slu'!$G$58,ABS(K2148)*'Progetto del paramento slu'!$G$54,'Progetto del paramento slu'!$G$53)*IF(K2148&lt;0,-1,1)</f>
        <v>0</v>
      </c>
      <c r="R2148" s="553">
        <f>'Foglio deposito bis'!$F$79*IF(ABS(L2148)&lt;'Progetto del paramento slu'!$G$58,ABS(L2148)*'Progetto del paramento slu'!$G$54,'Progetto del paramento slu'!$G$53)*IF(L2148&lt;0,-1,1)</f>
        <v>153664.85805602249</v>
      </c>
      <c r="S2148" s="553">
        <f>'Foglio deposito bis'!$F$80*IF(ABS(M2148)&lt;'Progetto del paramento slu'!$G$58,ABS(M2148)*'Progetto del paramento slu'!$G$54,'Progetto del paramento slu'!$G$53)*IF(M2148&lt;0,-1,1)</f>
        <v>0</v>
      </c>
      <c r="T2148" s="553">
        <f>'Foglio deposito bis'!$F$81*IF(ABS(N2148)&lt;'Progetto del paramento slu'!$G$58,ABS(N2148)*'Progetto del paramento slu'!$G$54,'Progetto del paramento slu'!$G$53)*IF(N2148&lt;0,-1,1)</f>
        <v>398299.31208121032</v>
      </c>
      <c r="U2148" s="553">
        <f>'Foglio deposito bis'!$F$82*IF(ABS(O2148)&lt;'Progetto del paramento slu'!$G$58,ABS(O2148)*'Progetto del paramento slu'!$G$54,'Progetto del paramento slu'!$G$53)*IF(O2148&lt;0,-1,1)</f>
        <v>892485.49558937876</v>
      </c>
      <c r="V2148" s="479">
        <f t="shared" si="159"/>
        <v>500247.8837950076</v>
      </c>
      <c r="W2148" s="559"/>
      <c r="X2148" s="559"/>
    </row>
    <row r="2149" spans="1:24" x14ac:dyDescent="0.25">
      <c r="A2149" s="553">
        <f t="shared" si="158"/>
        <v>488803.01371098799</v>
      </c>
      <c r="B2149" s="3">
        <f t="shared" si="156"/>
        <v>16.699999999999964</v>
      </c>
      <c r="C2149" s="553">
        <f>'Foglio deposito bis'!$E$161/sezione!$B$247*B2149</f>
        <v>67.796120146767848</v>
      </c>
      <c r="D2149" s="611">
        <f>-'Progetto del paramento slu'!$G$47*'Progetto del paramento slu'!$G$41*IF(DATI!$G$218="dx",DATI!$E$61,DATI!$E$64*DATI!$E$63)*1000*C2149^2*sezione!$AD$5*(1-sezione!$AD$6)</f>
        <v>-37836854.97893808</v>
      </c>
      <c r="E2149" s="553">
        <f>-'Foglio deposito bis'!$F$78*(C2149-sezione!$AL$35)*IF(ABS(K2149)&lt;'Progetto del paramento slu'!$G$58,ABS(K2149)*'Progetto del paramento slu'!$G$54,'Progetto del paramento slu'!$G$53)</f>
        <v>0</v>
      </c>
      <c r="F2149" s="553">
        <f>-'Foglio deposito bis'!$F$79*(C2149-sezione!$AM$35)*IF(ABS(L2149)&lt;'Progetto del paramento slu'!$G$58,ABS(L2149)*'Progetto del paramento slu'!$G$54,'Progetto del paramento slu'!$G$53)</f>
        <v>12631847.529301245</v>
      </c>
      <c r="G2149" s="553">
        <f>-'Foglio deposito bis'!$F$80*(C2149-sezione!$AN$35)*IF(ABS(M2149)&lt;'Progetto del paramento slu'!$G$58,ABS(M2149)*'Progetto del paramento slu'!$G$54,'Progetto del paramento slu'!$G$53)</f>
        <v>0</v>
      </c>
      <c r="H2149" s="553">
        <f>-'Foglio deposito bis'!$F$81*(C2149-sezione!$AO$35)*IF(ABS(N2149)&lt;'Progetto del paramento slu'!$G$58,ABS(N2149)*'Progetto del paramento slu'!$G$54,'Progetto del paramento slu'!$G$53)</f>
        <v>108418618.09137879</v>
      </c>
      <c r="I2149" s="479">
        <f>-'Foglio deposito bis'!$F$82*(C2149-sezione!$AP$35)*IF(ABS(O2149)&lt;'Progetto del paramento slu'!$G$58,ABS(O2149)*'Progetto del paramento slu'!$G$54,'Progetto del paramento slu'!$G$53)</f>
        <v>171546297.68579525</v>
      </c>
      <c r="J2149" s="479">
        <f t="shared" si="157"/>
        <v>254759908.32753721</v>
      </c>
      <c r="K2149" s="558">
        <f>'Progetto del paramento slu'!$G$60*(sezione!$AL$35-C2149)/C2149</f>
        <v>-1.4349850744124855E-3</v>
      </c>
      <c r="L2149" s="558">
        <f>'Progetto del paramento slu'!$G$60*(sezione!$AM$35-C2149)/C2149</f>
        <v>4.2438059709531796E-3</v>
      </c>
      <c r="M2149" s="559">
        <f>'Progetto del paramento slu'!$G$60*(sezione!$AN$35-C2149)/C2149</f>
        <v>9.9225970163188439E-3</v>
      </c>
      <c r="N2149" s="559">
        <f>'Progetto del paramento slu'!$G$60*(sezione!$AO$35-C2149)/C2149</f>
        <v>1.4052626867493874E-2</v>
      </c>
      <c r="O2149" s="559">
        <f>'Progetto del paramento slu'!$G$60*(sezione!$AP$35-C2149)/C2149</f>
        <v>9.9230090265083146E-3</v>
      </c>
      <c r="P2149" s="553">
        <f>-'Progetto del paramento slu'!$G$47*'Progetto del paramento slu'!$G$41*IF(DATI!$G$218="dx",DATI!$E$61,DATI!$E$64*DATI!$E$63)*1000*C2149*sezione!$AD$5</f>
        <v>-955646.65201562352</v>
      </c>
      <c r="Q2149" s="553">
        <f>'Foglio deposito bis'!$F$78*IF(ABS(K2149)&lt;'Progetto del paramento slu'!$G$58,ABS(K2149)*'Progetto del paramento slu'!$G$54,'Progetto del paramento slu'!$G$53)*IF(K2149&lt;0,-1,1)</f>
        <v>0</v>
      </c>
      <c r="R2149" s="553">
        <f>'Foglio deposito bis'!$F$79*IF(ABS(L2149)&lt;'Progetto del paramento slu'!$G$58,ABS(L2149)*'Progetto del paramento slu'!$G$54,'Progetto del paramento slu'!$G$53)*IF(L2149&lt;0,-1,1)</f>
        <v>153664.85805602249</v>
      </c>
      <c r="S2149" s="553">
        <f>'Foglio deposito bis'!$F$80*IF(ABS(M2149)&lt;'Progetto del paramento slu'!$G$58,ABS(M2149)*'Progetto del paramento slu'!$G$54,'Progetto del paramento slu'!$G$53)*IF(M2149&lt;0,-1,1)</f>
        <v>0</v>
      </c>
      <c r="T2149" s="553">
        <f>'Foglio deposito bis'!$F$81*IF(ABS(N2149)&lt;'Progetto del paramento slu'!$G$58,ABS(N2149)*'Progetto del paramento slu'!$G$54,'Progetto del paramento slu'!$G$53)*IF(N2149&lt;0,-1,1)</f>
        <v>398299.31208121032</v>
      </c>
      <c r="U2149" s="553">
        <f>'Foglio deposito bis'!$F$82*IF(ABS(O2149)&lt;'Progetto del paramento slu'!$G$58,ABS(O2149)*'Progetto del paramento slu'!$G$54,'Progetto del paramento slu'!$G$53)*IF(O2149&lt;0,-1,1)</f>
        <v>892485.49558937876</v>
      </c>
      <c r="V2149" s="479">
        <f t="shared" si="159"/>
        <v>488803.01371098799</v>
      </c>
      <c r="W2149" s="559"/>
      <c r="X2149" s="559"/>
    </row>
    <row r="2150" spans="1:24" x14ac:dyDescent="0.25">
      <c r="A2150" s="553">
        <f t="shared" si="158"/>
        <v>477358.14362696884</v>
      </c>
      <c r="B2150" s="3">
        <f t="shared" si="156"/>
        <v>16.899999999999963</v>
      </c>
      <c r="C2150" s="553">
        <f>'Foglio deposito bis'!$E$161/sezione!$B$247*B2150</f>
        <v>68.608049729363856</v>
      </c>
      <c r="D2150" s="611">
        <f>-'Progetto del paramento slu'!$G$47*'Progetto del paramento slu'!$G$41*IF(DATI!$G$218="dx",DATI!$E$61,DATI!$E$64*DATI!$E$63)*1000*C2150^2*sezione!$AD$5*(1-sezione!$AD$6)</f>
        <v>-38748553.732778154</v>
      </c>
      <c r="E2150" s="553">
        <f>-'Foglio deposito bis'!$F$78*(C2150-sezione!$AL$35)*IF(ABS(K2150)&lt;'Progetto del paramento slu'!$G$58,ABS(K2150)*'Progetto del paramento slu'!$G$54,'Progetto del paramento slu'!$G$53)</f>
        <v>0</v>
      </c>
      <c r="F2150" s="553">
        <f>-'Foglio deposito bis'!$F$79*(C2150-sezione!$AM$35)*IF(ABS(L2150)&lt;'Progetto del paramento slu'!$G$58,ABS(L2150)*'Progetto del paramento slu'!$G$54,'Progetto del paramento slu'!$G$53)</f>
        <v>12507082.485240145</v>
      </c>
      <c r="G2150" s="553">
        <f>-'Foglio deposito bis'!$F$80*(C2150-sezione!$AN$35)*IF(ABS(M2150)&lt;'Progetto del paramento slu'!$G$58,ABS(M2150)*'Progetto del paramento slu'!$G$54,'Progetto del paramento slu'!$G$53)</f>
        <v>0</v>
      </c>
      <c r="H2150" s="553">
        <f>-'Foglio deposito bis'!$F$81*(C2150-sezione!$AO$35)*IF(ABS(N2150)&lt;'Progetto del paramento slu'!$G$58,ABS(N2150)*'Progetto del paramento slu'!$G$54,'Progetto del paramento slu'!$G$53)</f>
        <v>108095227.09717241</v>
      </c>
      <c r="I2150" s="479">
        <f>-'Foglio deposito bis'!$F$82*(C2150-sezione!$AP$35)*IF(ABS(O2150)&lt;'Progetto del paramento slu'!$G$58,ABS(O2150)*'Progetto del paramento slu'!$G$54,'Progetto del paramento slu'!$G$53)</f>
        <v>170821662.30988836</v>
      </c>
      <c r="J2150" s="479">
        <f t="shared" si="157"/>
        <v>252675418.15952277</v>
      </c>
      <c r="K2150" s="558">
        <f>'Progetto del paramento slu'!$G$60*(sezione!$AL$35-C2150)/C2150</f>
        <v>-1.459423120869142E-3</v>
      </c>
      <c r="L2150" s="558">
        <f>'Progetto del paramento slu'!$G$60*(sezione!$AM$35-C2150)/C2150</f>
        <v>4.1521632967407174E-3</v>
      </c>
      <c r="M2150" s="559">
        <f>'Progetto del paramento slu'!$G$60*(sezione!$AN$35-C2150)/C2150</f>
        <v>9.7637497143505773E-3</v>
      </c>
      <c r="N2150" s="559">
        <f>'Progetto del paramento slu'!$G$60*(sezione!$AO$35-C2150)/C2150</f>
        <v>1.3844903472612293E-2</v>
      </c>
      <c r="O2150" s="559">
        <f>'Progetto del paramento slu'!$G$60*(sezione!$AP$35-C2150)/C2150</f>
        <v>9.7641568486798169E-3</v>
      </c>
      <c r="P2150" s="553">
        <f>-'Progetto del paramento slu'!$G$47*'Progetto del paramento slu'!$G$41*IF(DATI!$G$218="dx",DATI!$E$61,DATI!$E$64*DATI!$E$63)*1000*C2150*sezione!$AD$5</f>
        <v>-967091.52209964278</v>
      </c>
      <c r="Q2150" s="553">
        <f>'Foglio deposito bis'!$F$78*IF(ABS(K2150)&lt;'Progetto del paramento slu'!$G$58,ABS(K2150)*'Progetto del paramento slu'!$G$54,'Progetto del paramento slu'!$G$53)*IF(K2150&lt;0,-1,1)</f>
        <v>0</v>
      </c>
      <c r="R2150" s="553">
        <f>'Foglio deposito bis'!$F$79*IF(ABS(L2150)&lt;'Progetto del paramento slu'!$G$58,ABS(L2150)*'Progetto del paramento slu'!$G$54,'Progetto del paramento slu'!$G$53)*IF(L2150&lt;0,-1,1)</f>
        <v>153664.85805602249</v>
      </c>
      <c r="S2150" s="553">
        <f>'Foglio deposito bis'!$F$80*IF(ABS(M2150)&lt;'Progetto del paramento slu'!$G$58,ABS(M2150)*'Progetto del paramento slu'!$G$54,'Progetto del paramento slu'!$G$53)*IF(M2150&lt;0,-1,1)</f>
        <v>0</v>
      </c>
      <c r="T2150" s="553">
        <f>'Foglio deposito bis'!$F$81*IF(ABS(N2150)&lt;'Progetto del paramento slu'!$G$58,ABS(N2150)*'Progetto del paramento slu'!$G$54,'Progetto del paramento slu'!$G$53)*IF(N2150&lt;0,-1,1)</f>
        <v>398299.31208121032</v>
      </c>
      <c r="U2150" s="553">
        <f>'Foglio deposito bis'!$F$82*IF(ABS(O2150)&lt;'Progetto del paramento slu'!$G$58,ABS(O2150)*'Progetto del paramento slu'!$G$54,'Progetto del paramento slu'!$G$53)*IF(O2150&lt;0,-1,1)</f>
        <v>892485.49558937876</v>
      </c>
      <c r="V2150" s="479">
        <f t="shared" si="159"/>
        <v>477358.14362696884</v>
      </c>
      <c r="W2150" s="559"/>
      <c r="X2150" s="559"/>
    </row>
    <row r="2151" spans="1:24" x14ac:dyDescent="0.25">
      <c r="A2151" s="553">
        <f t="shared" si="158"/>
        <v>465913.27354294946</v>
      </c>
      <c r="B2151" s="3">
        <f t="shared" si="156"/>
        <v>17.099999999999962</v>
      </c>
      <c r="C2151" s="553">
        <f>'Foglio deposito bis'!$E$161/sezione!$B$247*B2151</f>
        <v>69.419979311959878</v>
      </c>
      <c r="D2151" s="611">
        <f>-'Progetto del paramento slu'!$G$47*'Progetto del paramento slu'!$G$41*IF(DATI!$G$218="dx",DATI!$E$61,DATI!$E$64*DATI!$E$63)*1000*C2151^2*sezione!$AD$5*(1-sezione!$AD$6)</f>
        <v>-39671106.043211587</v>
      </c>
      <c r="E2151" s="553">
        <f>-'Foglio deposito bis'!$F$78*(C2151-sezione!$AL$35)*IF(ABS(K2151)&lt;'Progetto del paramento slu'!$G$58,ABS(K2151)*'Progetto del paramento slu'!$G$54,'Progetto del paramento slu'!$G$53)</f>
        <v>0</v>
      </c>
      <c r="F2151" s="553">
        <f>-'Foglio deposito bis'!$F$79*(C2151-sezione!$AM$35)*IF(ABS(L2151)&lt;'Progetto del paramento slu'!$G$58,ABS(L2151)*'Progetto del paramento slu'!$G$54,'Progetto del paramento slu'!$G$53)</f>
        <v>12382317.441179043</v>
      </c>
      <c r="G2151" s="553">
        <f>-'Foglio deposito bis'!$F$80*(C2151-sezione!$AN$35)*IF(ABS(M2151)&lt;'Progetto del paramento slu'!$G$58,ABS(M2151)*'Progetto del paramento slu'!$G$54,'Progetto del paramento slu'!$G$53)</f>
        <v>0</v>
      </c>
      <c r="H2151" s="553">
        <f>-'Foglio deposito bis'!$F$81*(C2151-sezione!$AO$35)*IF(ABS(N2151)&lt;'Progetto del paramento slu'!$G$58,ABS(N2151)*'Progetto del paramento slu'!$G$54,'Progetto del paramento slu'!$G$53)</f>
        <v>107771836.10296604</v>
      </c>
      <c r="I2151" s="479">
        <f>-'Foglio deposito bis'!$F$82*(C2151-sezione!$AP$35)*IF(ABS(O2151)&lt;'Progetto del paramento slu'!$G$58,ABS(O2151)*'Progetto del paramento slu'!$G$54,'Progetto del paramento slu'!$G$53)</f>
        <v>170097026.93398151</v>
      </c>
      <c r="J2151" s="479">
        <f t="shared" si="157"/>
        <v>250580074.43491501</v>
      </c>
      <c r="K2151" s="558">
        <f>'Progetto del paramento slu'!$G$60*(sezione!$AL$35-C2151)/C2151</f>
        <v>-1.4832895171162867E-3</v>
      </c>
      <c r="L2151" s="558">
        <f>'Progetto del paramento slu'!$G$60*(sezione!$AM$35-C2151)/C2151</f>
        <v>4.0626643108139255E-3</v>
      </c>
      <c r="M2151" s="559">
        <f>'Progetto del paramento slu'!$G$60*(sezione!$AN$35-C2151)/C2151</f>
        <v>9.6086181387441388E-3</v>
      </c>
      <c r="N2151" s="559">
        <f>'Progetto del paramento slu'!$G$60*(sezione!$AO$35-C2151)/C2151</f>
        <v>1.3642039104511564E-2</v>
      </c>
      <c r="O2151" s="559">
        <f>'Progetto del paramento slu'!$G$60*(sezione!$AP$35-C2151)/C2151</f>
        <v>9.6090205112683569E-3</v>
      </c>
      <c r="P2151" s="553">
        <f>-'Progetto del paramento slu'!$G$47*'Progetto del paramento slu'!$G$41*IF(DATI!$G$218="dx",DATI!$E$61,DATI!$E$64*DATI!$E$63)*1000*C2151*sezione!$AD$5</f>
        <v>-978536.39218366216</v>
      </c>
      <c r="Q2151" s="553">
        <f>'Foglio deposito bis'!$F$78*IF(ABS(K2151)&lt;'Progetto del paramento slu'!$G$58,ABS(K2151)*'Progetto del paramento slu'!$G$54,'Progetto del paramento slu'!$G$53)*IF(K2151&lt;0,-1,1)</f>
        <v>0</v>
      </c>
      <c r="R2151" s="553">
        <f>'Foglio deposito bis'!$F$79*IF(ABS(L2151)&lt;'Progetto del paramento slu'!$G$58,ABS(L2151)*'Progetto del paramento slu'!$G$54,'Progetto del paramento slu'!$G$53)*IF(L2151&lt;0,-1,1)</f>
        <v>153664.85805602249</v>
      </c>
      <c r="S2151" s="553">
        <f>'Foglio deposito bis'!$F$80*IF(ABS(M2151)&lt;'Progetto del paramento slu'!$G$58,ABS(M2151)*'Progetto del paramento slu'!$G$54,'Progetto del paramento slu'!$G$53)*IF(M2151&lt;0,-1,1)</f>
        <v>0</v>
      </c>
      <c r="T2151" s="553">
        <f>'Foglio deposito bis'!$F$81*IF(ABS(N2151)&lt;'Progetto del paramento slu'!$G$58,ABS(N2151)*'Progetto del paramento slu'!$G$54,'Progetto del paramento slu'!$G$53)*IF(N2151&lt;0,-1,1)</f>
        <v>398299.31208121032</v>
      </c>
      <c r="U2151" s="553">
        <f>'Foglio deposito bis'!$F$82*IF(ABS(O2151)&lt;'Progetto del paramento slu'!$G$58,ABS(O2151)*'Progetto del paramento slu'!$G$54,'Progetto del paramento slu'!$G$53)*IF(O2151&lt;0,-1,1)</f>
        <v>892485.49558937876</v>
      </c>
      <c r="V2151" s="479">
        <f t="shared" si="159"/>
        <v>465913.27354294946</v>
      </c>
      <c r="W2151" s="559"/>
      <c r="X2151" s="559"/>
    </row>
    <row r="2152" spans="1:24" x14ac:dyDescent="0.25">
      <c r="A2152" s="553">
        <f t="shared" si="158"/>
        <v>454468.40345893009</v>
      </c>
      <c r="B2152" s="3">
        <f t="shared" si="156"/>
        <v>17.299999999999962</v>
      </c>
      <c r="C2152" s="553">
        <f>'Foglio deposito bis'!$E$161/sezione!$B$247*B2152</f>
        <v>70.2319088945559</v>
      </c>
      <c r="D2152" s="611">
        <f>-'Progetto del paramento slu'!$G$47*'Progetto del paramento slu'!$G$41*IF(DATI!$G$218="dx",DATI!$E$61,DATI!$E$64*DATI!$E$63)*1000*C2152^2*sezione!$AD$5*(1-sezione!$AD$6)</f>
        <v>-40604511.910238348</v>
      </c>
      <c r="E2152" s="553">
        <f>-'Foglio deposito bis'!$F$78*(C2152-sezione!$AL$35)*IF(ABS(K2152)&lt;'Progetto del paramento slu'!$G$58,ABS(K2152)*'Progetto del paramento slu'!$G$54,'Progetto del paramento slu'!$G$53)</f>
        <v>0</v>
      </c>
      <c r="F2152" s="553">
        <f>-'Foglio deposito bis'!$F$79*(C2152-sezione!$AM$35)*IF(ABS(L2152)&lt;'Progetto del paramento slu'!$G$58,ABS(L2152)*'Progetto del paramento slu'!$G$54,'Progetto del paramento slu'!$G$53)</f>
        <v>12257552.397117939</v>
      </c>
      <c r="G2152" s="553">
        <f>-'Foglio deposito bis'!$F$80*(C2152-sezione!$AN$35)*IF(ABS(M2152)&lt;'Progetto del paramento slu'!$G$58,ABS(M2152)*'Progetto del paramento slu'!$G$54,'Progetto del paramento slu'!$G$53)</f>
        <v>0</v>
      </c>
      <c r="H2152" s="553">
        <f>-'Foglio deposito bis'!$F$81*(C2152-sezione!$AO$35)*IF(ABS(N2152)&lt;'Progetto del paramento slu'!$G$58,ABS(N2152)*'Progetto del paramento slu'!$G$54,'Progetto del paramento slu'!$G$53)</f>
        <v>107448445.10875966</v>
      </c>
      <c r="I2152" s="479">
        <f>-'Foglio deposito bis'!$F$82*(C2152-sezione!$AP$35)*IF(ABS(O2152)&lt;'Progetto del paramento slu'!$G$58,ABS(O2152)*'Progetto del paramento slu'!$G$54,'Progetto del paramento slu'!$G$53)</f>
        <v>169372391.55807462</v>
      </c>
      <c r="J2152" s="479">
        <f t="shared" si="157"/>
        <v>248473877.15371388</v>
      </c>
      <c r="K2152" s="558">
        <f>'Progetto del paramento slu'!$G$60*(sezione!$AL$35-C2152)/C2152</f>
        <v>-1.5066040891727457E-3</v>
      </c>
      <c r="L2152" s="558">
        <f>'Progetto del paramento slu'!$G$60*(sezione!$AM$35-C2152)/C2152</f>
        <v>3.9752346656022038E-3</v>
      </c>
      <c r="M2152" s="559">
        <f>'Progetto del paramento slu'!$G$60*(sezione!$AN$35-C2152)/C2152</f>
        <v>9.4570734203771531E-3</v>
      </c>
      <c r="N2152" s="559">
        <f>'Progetto del paramento slu'!$G$60*(sezione!$AO$35-C2152)/C2152</f>
        <v>1.3443865242031663E-2</v>
      </c>
      <c r="O2152" s="559">
        <f>'Progetto del paramento slu'!$G$60*(sezione!$AP$35-C2152)/C2152</f>
        <v>9.4574711411958903E-3</v>
      </c>
      <c r="P2152" s="553">
        <f>-'Progetto del paramento slu'!$G$47*'Progetto del paramento slu'!$G$41*IF(DATI!$G$218="dx",DATI!$E$61,DATI!$E$64*DATI!$E$63)*1000*C2152*sezione!$AD$5</f>
        <v>-989981.26226768154</v>
      </c>
      <c r="Q2152" s="553">
        <f>'Foglio deposito bis'!$F$78*IF(ABS(K2152)&lt;'Progetto del paramento slu'!$G$58,ABS(K2152)*'Progetto del paramento slu'!$G$54,'Progetto del paramento slu'!$G$53)*IF(K2152&lt;0,-1,1)</f>
        <v>0</v>
      </c>
      <c r="R2152" s="553">
        <f>'Foglio deposito bis'!$F$79*IF(ABS(L2152)&lt;'Progetto del paramento slu'!$G$58,ABS(L2152)*'Progetto del paramento slu'!$G$54,'Progetto del paramento slu'!$G$53)*IF(L2152&lt;0,-1,1)</f>
        <v>153664.85805602249</v>
      </c>
      <c r="S2152" s="553">
        <f>'Foglio deposito bis'!$F$80*IF(ABS(M2152)&lt;'Progetto del paramento slu'!$G$58,ABS(M2152)*'Progetto del paramento slu'!$G$54,'Progetto del paramento slu'!$G$53)*IF(M2152&lt;0,-1,1)</f>
        <v>0</v>
      </c>
      <c r="T2152" s="553">
        <f>'Foglio deposito bis'!$F$81*IF(ABS(N2152)&lt;'Progetto del paramento slu'!$G$58,ABS(N2152)*'Progetto del paramento slu'!$G$54,'Progetto del paramento slu'!$G$53)*IF(N2152&lt;0,-1,1)</f>
        <v>398299.31208121032</v>
      </c>
      <c r="U2152" s="553">
        <f>'Foglio deposito bis'!$F$82*IF(ABS(O2152)&lt;'Progetto del paramento slu'!$G$58,ABS(O2152)*'Progetto del paramento slu'!$G$54,'Progetto del paramento slu'!$G$53)*IF(O2152&lt;0,-1,1)</f>
        <v>892485.49558937876</v>
      </c>
      <c r="V2152" s="479">
        <f t="shared" si="159"/>
        <v>454468.40345893009</v>
      </c>
      <c r="W2152" s="559"/>
      <c r="X2152" s="559"/>
    </row>
    <row r="2153" spans="1:24" x14ac:dyDescent="0.25">
      <c r="A2153" s="553">
        <f t="shared" si="158"/>
        <v>443023.53337491048</v>
      </c>
      <c r="B2153" s="3">
        <f t="shared" si="156"/>
        <v>17.499999999999961</v>
      </c>
      <c r="C2153" s="553">
        <f>'Foglio deposito bis'!$E$161/sezione!$B$247*B2153</f>
        <v>71.043838477151922</v>
      </c>
      <c r="D2153" s="611">
        <f>-'Progetto del paramento slu'!$G$47*'Progetto del paramento slu'!$G$41*IF(DATI!$G$218="dx",DATI!$E$61,DATI!$E$64*DATI!$E$63)*1000*C2153^2*sezione!$AD$5*(1-sezione!$AD$6)</f>
        <v>-41548771.333858438</v>
      </c>
      <c r="E2153" s="553">
        <f>-'Foglio deposito bis'!$F$78*(C2153-sezione!$AL$35)*IF(ABS(K2153)&lt;'Progetto del paramento slu'!$G$58,ABS(K2153)*'Progetto del paramento slu'!$G$54,'Progetto del paramento slu'!$G$53)</f>
        <v>0</v>
      </c>
      <c r="F2153" s="553">
        <f>-'Foglio deposito bis'!$F$79*(C2153-sezione!$AM$35)*IF(ABS(L2153)&lt;'Progetto del paramento slu'!$G$58,ABS(L2153)*'Progetto del paramento slu'!$G$54,'Progetto del paramento slu'!$G$53)</f>
        <v>12132787.353056835</v>
      </c>
      <c r="G2153" s="553">
        <f>-'Foglio deposito bis'!$F$80*(C2153-sezione!$AN$35)*IF(ABS(M2153)&lt;'Progetto del paramento slu'!$G$58,ABS(M2153)*'Progetto del paramento slu'!$G$54,'Progetto del paramento slu'!$G$53)</f>
        <v>0</v>
      </c>
      <c r="H2153" s="553">
        <f>-'Foglio deposito bis'!$F$81*(C2153-sezione!$AO$35)*IF(ABS(N2153)&lt;'Progetto del paramento slu'!$G$58,ABS(N2153)*'Progetto del paramento slu'!$G$54,'Progetto del paramento slu'!$G$53)</f>
        <v>107125054.11455329</v>
      </c>
      <c r="I2153" s="479">
        <f>-'Foglio deposito bis'!$F$82*(C2153-sezione!$AP$35)*IF(ABS(O2153)&lt;'Progetto del paramento slu'!$G$58,ABS(O2153)*'Progetto del paramento slu'!$G$54,'Progetto del paramento slu'!$G$53)</f>
        <v>168647756.18216774</v>
      </c>
      <c r="J2153" s="479">
        <f t="shared" si="157"/>
        <v>246356826.31591943</v>
      </c>
      <c r="K2153" s="558">
        <f>'Progetto del paramento slu'!$G$60*(sezione!$AL$35-C2153)/C2153</f>
        <v>-1.5293857567250573E-3</v>
      </c>
      <c r="L2153" s="558">
        <f>'Progetto del paramento slu'!$G$60*(sezione!$AM$35-C2153)/C2153</f>
        <v>3.8898034122810355E-3</v>
      </c>
      <c r="M2153" s="559">
        <f>'Progetto del paramento slu'!$G$60*(sezione!$AN$35-C2153)/C2153</f>
        <v>9.3089925812871281E-3</v>
      </c>
      <c r="N2153" s="559">
        <f>'Progetto del paramento slu'!$G$60*(sezione!$AO$35-C2153)/C2153</f>
        <v>1.3250221067837015E-2</v>
      </c>
      <c r="O2153" s="559">
        <f>'Progetto del paramento slu'!$G$60*(sezione!$AP$35-C2153)/C2153</f>
        <v>9.30938575672508E-3</v>
      </c>
      <c r="P2153" s="553">
        <f>-'Progetto del paramento slu'!$G$47*'Progetto del paramento slu'!$G$41*IF(DATI!$G$218="dx",DATI!$E$61,DATI!$E$64*DATI!$E$63)*1000*C2153*sezione!$AD$5</f>
        <v>-1001426.132351701</v>
      </c>
      <c r="Q2153" s="553">
        <f>'Foglio deposito bis'!$F$78*IF(ABS(K2153)&lt;'Progetto del paramento slu'!$G$58,ABS(K2153)*'Progetto del paramento slu'!$G$54,'Progetto del paramento slu'!$G$53)*IF(K2153&lt;0,-1,1)</f>
        <v>0</v>
      </c>
      <c r="R2153" s="553">
        <f>'Foglio deposito bis'!$F$79*IF(ABS(L2153)&lt;'Progetto del paramento slu'!$G$58,ABS(L2153)*'Progetto del paramento slu'!$G$54,'Progetto del paramento slu'!$G$53)*IF(L2153&lt;0,-1,1)</f>
        <v>153664.85805602249</v>
      </c>
      <c r="S2153" s="553">
        <f>'Foglio deposito bis'!$F$80*IF(ABS(M2153)&lt;'Progetto del paramento slu'!$G$58,ABS(M2153)*'Progetto del paramento slu'!$G$54,'Progetto del paramento slu'!$G$53)*IF(M2153&lt;0,-1,1)</f>
        <v>0</v>
      </c>
      <c r="T2153" s="553">
        <f>'Foglio deposito bis'!$F$81*IF(ABS(N2153)&lt;'Progetto del paramento slu'!$G$58,ABS(N2153)*'Progetto del paramento slu'!$G$54,'Progetto del paramento slu'!$G$53)*IF(N2153&lt;0,-1,1)</f>
        <v>398299.31208121032</v>
      </c>
      <c r="U2153" s="553">
        <f>'Foglio deposito bis'!$F$82*IF(ABS(O2153)&lt;'Progetto del paramento slu'!$G$58,ABS(O2153)*'Progetto del paramento slu'!$G$54,'Progetto del paramento slu'!$G$53)*IF(O2153&lt;0,-1,1)</f>
        <v>892485.49558937876</v>
      </c>
      <c r="V2153" s="479">
        <f t="shared" si="159"/>
        <v>443023.53337491048</v>
      </c>
      <c r="W2153" s="559"/>
      <c r="X2153" s="559"/>
    </row>
    <row r="2154" spans="1:24" x14ac:dyDescent="0.25">
      <c r="A2154" s="553">
        <f t="shared" si="158"/>
        <v>431578.6632908911</v>
      </c>
      <c r="B2154" s="3">
        <f t="shared" si="156"/>
        <v>17.69999999999996</v>
      </c>
      <c r="C2154" s="553">
        <f>'Foglio deposito bis'!$E$161/sezione!$B$247*B2154</f>
        <v>71.855768059747945</v>
      </c>
      <c r="D2154" s="611">
        <f>-'Progetto del paramento slu'!$G$47*'Progetto del paramento slu'!$G$41*IF(DATI!$G$218="dx",DATI!$E$61,DATI!$E$64*DATI!$E$63)*1000*C2154^2*sezione!$AD$5*(1-sezione!$AD$6)</f>
        <v>-42503884.314071871</v>
      </c>
      <c r="E2154" s="553">
        <f>-'Foglio deposito bis'!$F$78*(C2154-sezione!$AL$35)*IF(ABS(K2154)&lt;'Progetto del paramento slu'!$G$58,ABS(K2154)*'Progetto del paramento slu'!$G$54,'Progetto del paramento slu'!$G$53)</f>
        <v>0</v>
      </c>
      <c r="F2154" s="553">
        <f>-'Foglio deposito bis'!$F$79*(C2154-sezione!$AM$35)*IF(ABS(L2154)&lt;'Progetto del paramento slu'!$G$58,ABS(L2154)*'Progetto del paramento slu'!$G$54,'Progetto del paramento slu'!$G$53)</f>
        <v>12008022.308995731</v>
      </c>
      <c r="G2154" s="553">
        <f>-'Foglio deposito bis'!$F$80*(C2154-sezione!$AN$35)*IF(ABS(M2154)&lt;'Progetto del paramento slu'!$G$58,ABS(M2154)*'Progetto del paramento slu'!$G$54,'Progetto del paramento slu'!$G$53)</f>
        <v>0</v>
      </c>
      <c r="H2154" s="553">
        <f>-'Foglio deposito bis'!$F$81*(C2154-sezione!$AO$35)*IF(ABS(N2154)&lt;'Progetto del paramento slu'!$G$58,ABS(N2154)*'Progetto del paramento slu'!$G$54,'Progetto del paramento slu'!$G$53)</f>
        <v>106801663.1203469</v>
      </c>
      <c r="I2154" s="479">
        <f>-'Foglio deposito bis'!$F$82*(C2154-sezione!$AP$35)*IF(ABS(O2154)&lt;'Progetto del paramento slu'!$G$58,ABS(O2154)*'Progetto del paramento slu'!$G$54,'Progetto del paramento slu'!$G$53)</f>
        <v>167923120.80626082</v>
      </c>
      <c r="J2154" s="479">
        <f t="shared" si="157"/>
        <v>244228921.92153159</v>
      </c>
      <c r="K2154" s="558">
        <f>'Progetto del paramento slu'!$G$60*(sezione!$AL$35-C2154)/C2154</f>
        <v>-1.5516525843326837E-3</v>
      </c>
      <c r="L2154" s="558">
        <f>'Progetto del paramento slu'!$G$60*(sezione!$AM$35-C2154)/C2154</f>
        <v>3.8063028087524362E-3</v>
      </c>
      <c r="M2154" s="559">
        <f>'Progetto del paramento slu'!$G$60*(sezione!$AN$35-C2154)/C2154</f>
        <v>9.1642582018375551E-3</v>
      </c>
      <c r="N2154" s="559">
        <f>'Progetto del paramento slu'!$G$60*(sezione!$AO$35-C2154)/C2154</f>
        <v>1.3060953033172189E-2</v>
      </c>
      <c r="O2154" s="559">
        <f>'Progetto del paramento slu'!$G$60*(sezione!$AP$35-C2154)/C2154</f>
        <v>9.164646934615191E-3</v>
      </c>
      <c r="P2154" s="553">
        <f>-'Progetto del paramento slu'!$G$47*'Progetto del paramento slu'!$G$41*IF(DATI!$G$218="dx",DATI!$E$61,DATI!$E$64*DATI!$E$63)*1000*C2154*sezione!$AD$5</f>
        <v>-1012871.0024357204</v>
      </c>
      <c r="Q2154" s="553">
        <f>'Foglio deposito bis'!$F$78*IF(ABS(K2154)&lt;'Progetto del paramento slu'!$G$58,ABS(K2154)*'Progetto del paramento slu'!$G$54,'Progetto del paramento slu'!$G$53)*IF(K2154&lt;0,-1,1)</f>
        <v>0</v>
      </c>
      <c r="R2154" s="553">
        <f>'Foglio deposito bis'!$F$79*IF(ABS(L2154)&lt;'Progetto del paramento slu'!$G$58,ABS(L2154)*'Progetto del paramento slu'!$G$54,'Progetto del paramento slu'!$G$53)*IF(L2154&lt;0,-1,1)</f>
        <v>153664.85805602249</v>
      </c>
      <c r="S2154" s="553">
        <f>'Foglio deposito bis'!$F$80*IF(ABS(M2154)&lt;'Progetto del paramento slu'!$G$58,ABS(M2154)*'Progetto del paramento slu'!$G$54,'Progetto del paramento slu'!$G$53)*IF(M2154&lt;0,-1,1)</f>
        <v>0</v>
      </c>
      <c r="T2154" s="553">
        <f>'Foglio deposito bis'!$F$81*IF(ABS(N2154)&lt;'Progetto del paramento slu'!$G$58,ABS(N2154)*'Progetto del paramento slu'!$G$54,'Progetto del paramento slu'!$G$53)*IF(N2154&lt;0,-1,1)</f>
        <v>398299.31208121032</v>
      </c>
      <c r="U2154" s="553">
        <f>'Foglio deposito bis'!$F$82*IF(ABS(O2154)&lt;'Progetto del paramento slu'!$G$58,ABS(O2154)*'Progetto del paramento slu'!$G$54,'Progetto del paramento slu'!$G$53)*IF(O2154&lt;0,-1,1)</f>
        <v>892485.49558937876</v>
      </c>
      <c r="V2154" s="479">
        <f t="shared" si="159"/>
        <v>431578.6632908911</v>
      </c>
      <c r="W2154" s="559"/>
      <c r="X2154" s="559"/>
    </row>
    <row r="2155" spans="1:24" x14ac:dyDescent="0.25">
      <c r="A2155" s="553">
        <f t="shared" si="158"/>
        <v>420133.79320687172</v>
      </c>
      <c r="B2155" s="3">
        <f t="shared" si="156"/>
        <v>17.899999999999959</v>
      </c>
      <c r="C2155" s="553">
        <f>'Foglio deposito bis'!$E$161/sezione!$B$247*B2155</f>
        <v>72.667697642343967</v>
      </c>
      <c r="D2155" s="611">
        <f>-'Progetto del paramento slu'!$G$47*'Progetto del paramento slu'!$G$41*IF(DATI!$G$218="dx",DATI!$E$61,DATI!$E$64*DATI!$E$63)*1000*C2155^2*sezione!$AD$5*(1-sezione!$AD$6)</f>
        <v>-43469850.850878641</v>
      </c>
      <c r="E2155" s="553">
        <f>-'Foglio deposito bis'!$F$78*(C2155-sezione!$AL$35)*IF(ABS(K2155)&lt;'Progetto del paramento slu'!$G$58,ABS(K2155)*'Progetto del paramento slu'!$G$54,'Progetto del paramento slu'!$G$53)</f>
        <v>0</v>
      </c>
      <c r="F2155" s="553">
        <f>-'Foglio deposito bis'!$F$79*(C2155-sezione!$AM$35)*IF(ABS(L2155)&lt;'Progetto del paramento slu'!$G$58,ABS(L2155)*'Progetto del paramento slu'!$G$54,'Progetto del paramento slu'!$G$53)</f>
        <v>11883257.264934627</v>
      </c>
      <c r="G2155" s="553">
        <f>-'Foglio deposito bis'!$F$80*(C2155-sezione!$AN$35)*IF(ABS(M2155)&lt;'Progetto del paramento slu'!$G$58,ABS(M2155)*'Progetto del paramento slu'!$G$54,'Progetto del paramento slu'!$G$53)</f>
        <v>0</v>
      </c>
      <c r="H2155" s="553">
        <f>-'Foglio deposito bis'!$F$81*(C2155-sezione!$AO$35)*IF(ABS(N2155)&lt;'Progetto del paramento slu'!$G$58,ABS(N2155)*'Progetto del paramento slu'!$G$54,'Progetto del paramento slu'!$G$53)</f>
        <v>106478272.12614052</v>
      </c>
      <c r="I2155" s="479">
        <f>-'Foglio deposito bis'!$F$82*(C2155-sezione!$AP$35)*IF(ABS(O2155)&lt;'Progetto del paramento slu'!$G$58,ABS(O2155)*'Progetto del paramento slu'!$G$54,'Progetto del paramento slu'!$G$53)</f>
        <v>167198485.43035394</v>
      </c>
      <c r="J2155" s="479">
        <f t="shared" si="157"/>
        <v>242090163.97055045</v>
      </c>
      <c r="K2155" s="558">
        <f>'Progetto del paramento slu'!$G$60*(sezione!$AL$35-C2155)/C2155</f>
        <v>-1.573421829200475E-3</v>
      </c>
      <c r="L2155" s="558">
        <f>'Progetto del paramento slu'!$G$60*(sezione!$AM$35-C2155)/C2155</f>
        <v>3.7246681404982185E-3</v>
      </c>
      <c r="M2155" s="559">
        <f>'Progetto del paramento slu'!$G$60*(sezione!$AN$35-C2155)/C2155</f>
        <v>9.0227581101969129E-3</v>
      </c>
      <c r="N2155" s="559">
        <f>'Progetto del paramento slu'!$G$60*(sezione!$AO$35-C2155)/C2155</f>
        <v>1.2875914451795964E-2</v>
      </c>
      <c r="O2155" s="559">
        <f>'Progetto del paramento slu'!$G$60*(sezione!$AP$35-C2155)/C2155</f>
        <v>9.0231424995915587E-3</v>
      </c>
      <c r="P2155" s="553">
        <f>-'Progetto del paramento slu'!$G$47*'Progetto del paramento slu'!$G$41*IF(DATI!$G$218="dx",DATI!$E$61,DATI!$E$64*DATI!$E$63)*1000*C2155*sezione!$AD$5</f>
        <v>-1024315.8725197399</v>
      </c>
      <c r="Q2155" s="553">
        <f>'Foglio deposito bis'!$F$78*IF(ABS(K2155)&lt;'Progetto del paramento slu'!$G$58,ABS(K2155)*'Progetto del paramento slu'!$G$54,'Progetto del paramento slu'!$G$53)*IF(K2155&lt;0,-1,1)</f>
        <v>0</v>
      </c>
      <c r="R2155" s="553">
        <f>'Foglio deposito bis'!$F$79*IF(ABS(L2155)&lt;'Progetto del paramento slu'!$G$58,ABS(L2155)*'Progetto del paramento slu'!$G$54,'Progetto del paramento slu'!$G$53)*IF(L2155&lt;0,-1,1)</f>
        <v>153664.85805602249</v>
      </c>
      <c r="S2155" s="553">
        <f>'Foglio deposito bis'!$F$80*IF(ABS(M2155)&lt;'Progetto del paramento slu'!$G$58,ABS(M2155)*'Progetto del paramento slu'!$G$54,'Progetto del paramento slu'!$G$53)*IF(M2155&lt;0,-1,1)</f>
        <v>0</v>
      </c>
      <c r="T2155" s="553">
        <f>'Foglio deposito bis'!$F$81*IF(ABS(N2155)&lt;'Progetto del paramento slu'!$G$58,ABS(N2155)*'Progetto del paramento slu'!$G$54,'Progetto del paramento slu'!$G$53)*IF(N2155&lt;0,-1,1)</f>
        <v>398299.31208121032</v>
      </c>
      <c r="U2155" s="553">
        <f>'Foglio deposito bis'!$F$82*IF(ABS(O2155)&lt;'Progetto del paramento slu'!$G$58,ABS(O2155)*'Progetto del paramento slu'!$G$54,'Progetto del paramento slu'!$G$53)*IF(O2155&lt;0,-1,1)</f>
        <v>892485.49558937876</v>
      </c>
      <c r="V2155" s="479">
        <f t="shared" si="159"/>
        <v>420133.79320687172</v>
      </c>
      <c r="W2155" s="559"/>
      <c r="X2155" s="559"/>
    </row>
    <row r="2156" spans="1:24" x14ac:dyDescent="0.25">
      <c r="A2156" s="553">
        <f t="shared" si="158"/>
        <v>408688.92312285234</v>
      </c>
      <c r="B2156" s="3">
        <f t="shared" si="156"/>
        <v>18.099999999999959</v>
      </c>
      <c r="C2156" s="553">
        <f>'Foglio deposito bis'!$E$161/sezione!$B$247*B2156</f>
        <v>73.479627224939989</v>
      </c>
      <c r="D2156" s="611">
        <f>-'Progetto del paramento slu'!$G$47*'Progetto del paramento slu'!$G$41*IF(DATI!$G$218="dx",DATI!$E$61,DATI!$E$64*DATI!$E$63)*1000*C2156^2*sezione!$AD$5*(1-sezione!$AD$6)</f>
        <v>-44446670.944278739</v>
      </c>
      <c r="E2156" s="553">
        <f>-'Foglio deposito bis'!$F$78*(C2156-sezione!$AL$35)*IF(ABS(K2156)&lt;'Progetto del paramento slu'!$G$58,ABS(K2156)*'Progetto del paramento slu'!$G$54,'Progetto del paramento slu'!$G$53)</f>
        <v>0</v>
      </c>
      <c r="F2156" s="553">
        <f>-'Foglio deposito bis'!$F$79*(C2156-sezione!$AM$35)*IF(ABS(L2156)&lt;'Progetto del paramento slu'!$G$58,ABS(L2156)*'Progetto del paramento slu'!$G$54,'Progetto del paramento slu'!$G$53)</f>
        <v>11758492.220873525</v>
      </c>
      <c r="G2156" s="553">
        <f>-'Foglio deposito bis'!$F$80*(C2156-sezione!$AN$35)*IF(ABS(M2156)&lt;'Progetto del paramento slu'!$G$58,ABS(M2156)*'Progetto del paramento slu'!$G$54,'Progetto del paramento slu'!$G$53)</f>
        <v>0</v>
      </c>
      <c r="H2156" s="553">
        <f>-'Foglio deposito bis'!$F$81*(C2156-sezione!$AO$35)*IF(ABS(N2156)&lt;'Progetto del paramento slu'!$G$58,ABS(N2156)*'Progetto del paramento slu'!$G$54,'Progetto del paramento slu'!$G$53)</f>
        <v>106154881.13193414</v>
      </c>
      <c r="I2156" s="479">
        <f>-'Foglio deposito bis'!$F$82*(C2156-sezione!$AP$35)*IF(ABS(O2156)&lt;'Progetto del paramento slu'!$G$58,ABS(O2156)*'Progetto del paramento slu'!$G$54,'Progetto del paramento slu'!$G$53)</f>
        <v>166473850.05444708</v>
      </c>
      <c r="J2156" s="479">
        <f t="shared" si="157"/>
        <v>239940552.46297601</v>
      </c>
      <c r="K2156" s="558">
        <f>'Progetto del paramento slu'!$G$60*(sezione!$AL$35-C2156)/C2156</f>
        <v>-1.5947099857838952E-3</v>
      </c>
      <c r="L2156" s="558">
        <f>'Progetto del paramento slu'!$G$60*(sezione!$AM$35-C2156)/C2156</f>
        <v>3.6448375533103933E-3</v>
      </c>
      <c r="M2156" s="559">
        <f>'Progetto del paramento slu'!$G$60*(sezione!$AN$35-C2156)/C2156</f>
        <v>8.8843850924046827E-3</v>
      </c>
      <c r="N2156" s="559">
        <f>'Progetto del paramento slu'!$G$60*(sezione!$AO$35-C2156)/C2156</f>
        <v>1.2694965120836892E-2</v>
      </c>
      <c r="O2156" s="559">
        <f>'Progetto del paramento slu'!$G$60*(sezione!$AP$35-C2156)/C2156</f>
        <v>8.8847652344027014E-3</v>
      </c>
      <c r="P2156" s="553">
        <f>-'Progetto del paramento slu'!$G$47*'Progetto del paramento slu'!$G$41*IF(DATI!$G$218="dx",DATI!$E$61,DATI!$E$64*DATI!$E$63)*1000*C2156*sezione!$AD$5</f>
        <v>-1035760.7426037593</v>
      </c>
      <c r="Q2156" s="553">
        <f>'Foglio deposito bis'!$F$78*IF(ABS(K2156)&lt;'Progetto del paramento slu'!$G$58,ABS(K2156)*'Progetto del paramento slu'!$G$54,'Progetto del paramento slu'!$G$53)*IF(K2156&lt;0,-1,1)</f>
        <v>0</v>
      </c>
      <c r="R2156" s="553">
        <f>'Foglio deposito bis'!$F$79*IF(ABS(L2156)&lt;'Progetto del paramento slu'!$G$58,ABS(L2156)*'Progetto del paramento slu'!$G$54,'Progetto del paramento slu'!$G$53)*IF(L2156&lt;0,-1,1)</f>
        <v>153664.85805602249</v>
      </c>
      <c r="S2156" s="553">
        <f>'Foglio deposito bis'!$F$80*IF(ABS(M2156)&lt;'Progetto del paramento slu'!$G$58,ABS(M2156)*'Progetto del paramento slu'!$G$54,'Progetto del paramento slu'!$G$53)*IF(M2156&lt;0,-1,1)</f>
        <v>0</v>
      </c>
      <c r="T2156" s="553">
        <f>'Foglio deposito bis'!$F$81*IF(ABS(N2156)&lt;'Progetto del paramento slu'!$G$58,ABS(N2156)*'Progetto del paramento slu'!$G$54,'Progetto del paramento slu'!$G$53)*IF(N2156&lt;0,-1,1)</f>
        <v>398299.31208121032</v>
      </c>
      <c r="U2156" s="553">
        <f>'Foglio deposito bis'!$F$82*IF(ABS(O2156)&lt;'Progetto del paramento slu'!$G$58,ABS(O2156)*'Progetto del paramento slu'!$G$54,'Progetto del paramento slu'!$G$53)*IF(O2156&lt;0,-1,1)</f>
        <v>892485.49558937876</v>
      </c>
      <c r="V2156" s="479">
        <f t="shared" si="159"/>
        <v>408688.92312285234</v>
      </c>
      <c r="W2156" s="559"/>
      <c r="X2156" s="559"/>
    </row>
    <row r="2157" spans="1:24" x14ac:dyDescent="0.25">
      <c r="A2157" s="553">
        <f t="shared" si="158"/>
        <v>397244.05303883273</v>
      </c>
      <c r="B2157" s="3">
        <f t="shared" ref="B2157:B2180" si="160">B2156+0.2</f>
        <v>18.299999999999958</v>
      </c>
      <c r="C2157" s="553">
        <f>'Foglio deposito bis'!$E$161/sezione!$B$247*B2157</f>
        <v>74.291556807536011</v>
      </c>
      <c r="D2157" s="611">
        <f>-'Progetto del paramento slu'!$G$47*'Progetto del paramento slu'!$G$41*IF(DATI!$G$218="dx",DATI!$E$61,DATI!$E$64*DATI!$E$63)*1000*C2157^2*sezione!$AD$5*(1-sezione!$AD$6)</f>
        <v>-45434344.594272174</v>
      </c>
      <c r="E2157" s="553">
        <f>-'Foglio deposito bis'!$F$78*(C2157-sezione!$AL$35)*IF(ABS(K2157)&lt;'Progetto del paramento slu'!$G$58,ABS(K2157)*'Progetto del paramento slu'!$G$54,'Progetto del paramento slu'!$G$53)</f>
        <v>0</v>
      </c>
      <c r="F2157" s="553">
        <f>-'Foglio deposito bis'!$F$79*(C2157-sezione!$AM$35)*IF(ABS(L2157)&lt;'Progetto del paramento slu'!$G$58,ABS(L2157)*'Progetto del paramento slu'!$G$54,'Progetto del paramento slu'!$G$53)</f>
        <v>11633727.176812422</v>
      </c>
      <c r="G2157" s="553">
        <f>-'Foglio deposito bis'!$F$80*(C2157-sezione!$AN$35)*IF(ABS(M2157)&lt;'Progetto del paramento slu'!$G$58,ABS(M2157)*'Progetto del paramento slu'!$G$54,'Progetto del paramento slu'!$G$53)</f>
        <v>0</v>
      </c>
      <c r="H2157" s="553">
        <f>-'Foglio deposito bis'!$F$81*(C2157-sezione!$AO$35)*IF(ABS(N2157)&lt;'Progetto del paramento slu'!$G$58,ABS(N2157)*'Progetto del paramento slu'!$G$54,'Progetto del paramento slu'!$G$53)</f>
        <v>105831490.13772775</v>
      </c>
      <c r="I2157" s="479">
        <f>-'Foglio deposito bis'!$F$82*(C2157-sezione!$AP$35)*IF(ABS(O2157)&lt;'Progetto del paramento slu'!$G$58,ABS(O2157)*'Progetto del paramento slu'!$G$54,'Progetto del paramento slu'!$G$53)</f>
        <v>165749214.67854017</v>
      </c>
      <c r="J2157" s="479">
        <f t="shared" si="157"/>
        <v>237780087.39880818</v>
      </c>
      <c r="K2157" s="558">
        <f>'Progetto del paramento slu'!$G$60*(sezione!$AL$35-C2157)/C2157</f>
        <v>-1.6155328274693171E-3</v>
      </c>
      <c r="L2157" s="558">
        <f>'Progetto del paramento slu'!$G$60*(sezione!$AM$35-C2157)/C2157</f>
        <v>3.5667518969900616E-3</v>
      </c>
      <c r="M2157" s="559">
        <f>'Progetto del paramento slu'!$G$60*(sezione!$AN$35-C2157)/C2157</f>
        <v>8.7490366214494387E-3</v>
      </c>
      <c r="N2157" s="559">
        <f>'Progetto del paramento slu'!$G$60*(sezione!$AO$35-C2157)/C2157</f>
        <v>1.2517970966510803E-2</v>
      </c>
      <c r="O2157" s="559">
        <f>'Progetto del paramento slu'!$G$60*(sezione!$AP$35-C2157)/C2157</f>
        <v>8.7494126088901031E-3</v>
      </c>
      <c r="P2157" s="553">
        <f>-'Progetto del paramento slu'!$G$47*'Progetto del paramento slu'!$G$41*IF(DATI!$G$218="dx",DATI!$E$61,DATI!$E$64*DATI!$E$63)*1000*C2157*sezione!$AD$5</f>
        <v>-1047205.6126877788</v>
      </c>
      <c r="Q2157" s="553">
        <f>'Foglio deposito bis'!$F$78*IF(ABS(K2157)&lt;'Progetto del paramento slu'!$G$58,ABS(K2157)*'Progetto del paramento slu'!$G$54,'Progetto del paramento slu'!$G$53)*IF(K2157&lt;0,-1,1)</f>
        <v>0</v>
      </c>
      <c r="R2157" s="553">
        <f>'Foglio deposito bis'!$F$79*IF(ABS(L2157)&lt;'Progetto del paramento slu'!$G$58,ABS(L2157)*'Progetto del paramento slu'!$G$54,'Progetto del paramento slu'!$G$53)*IF(L2157&lt;0,-1,1)</f>
        <v>153664.85805602249</v>
      </c>
      <c r="S2157" s="553">
        <f>'Foglio deposito bis'!$F$80*IF(ABS(M2157)&lt;'Progetto del paramento slu'!$G$58,ABS(M2157)*'Progetto del paramento slu'!$G$54,'Progetto del paramento slu'!$G$53)*IF(M2157&lt;0,-1,1)</f>
        <v>0</v>
      </c>
      <c r="T2157" s="553">
        <f>'Foglio deposito bis'!$F$81*IF(ABS(N2157)&lt;'Progetto del paramento slu'!$G$58,ABS(N2157)*'Progetto del paramento slu'!$G$54,'Progetto del paramento slu'!$G$53)*IF(N2157&lt;0,-1,1)</f>
        <v>398299.31208121032</v>
      </c>
      <c r="U2157" s="553">
        <f>'Foglio deposito bis'!$F$82*IF(ABS(O2157)&lt;'Progetto del paramento slu'!$G$58,ABS(O2157)*'Progetto del paramento slu'!$G$54,'Progetto del paramento slu'!$G$53)*IF(O2157&lt;0,-1,1)</f>
        <v>892485.49558937876</v>
      </c>
      <c r="V2157" s="479">
        <f t="shared" si="159"/>
        <v>397244.05303883273</v>
      </c>
      <c r="W2157" s="559"/>
      <c r="X2157" s="559"/>
    </row>
    <row r="2158" spans="1:24" x14ac:dyDescent="0.25">
      <c r="A2158" s="553">
        <f t="shared" si="158"/>
        <v>385799.18295481359</v>
      </c>
      <c r="B2158" s="3">
        <f t="shared" si="160"/>
        <v>18.499999999999957</v>
      </c>
      <c r="C2158" s="553">
        <f>'Foglio deposito bis'!$E$161/sezione!$B$247*B2158</f>
        <v>75.103486390132034</v>
      </c>
      <c r="D2158" s="611">
        <f>-'Progetto del paramento slu'!$G$47*'Progetto del paramento slu'!$G$41*IF(DATI!$G$218="dx",DATI!$E$61,DATI!$E$64*DATI!$E$63)*1000*C2158^2*sezione!$AD$5*(1-sezione!$AD$6)</f>
        <v>-46432871.800858945</v>
      </c>
      <c r="E2158" s="553">
        <f>-'Foglio deposito bis'!$F$78*(C2158-sezione!$AL$35)*IF(ABS(K2158)&lt;'Progetto del paramento slu'!$G$58,ABS(K2158)*'Progetto del paramento slu'!$G$54,'Progetto del paramento slu'!$G$53)</f>
        <v>0</v>
      </c>
      <c r="F2158" s="553">
        <f>-'Foglio deposito bis'!$F$79*(C2158-sezione!$AM$35)*IF(ABS(L2158)&lt;'Progetto del paramento slu'!$G$58,ABS(L2158)*'Progetto del paramento slu'!$G$54,'Progetto del paramento slu'!$G$53)</f>
        <v>11508962.132751318</v>
      </c>
      <c r="G2158" s="553">
        <f>-'Foglio deposito bis'!$F$80*(C2158-sezione!$AN$35)*IF(ABS(M2158)&lt;'Progetto del paramento slu'!$G$58,ABS(M2158)*'Progetto del paramento slu'!$G$54,'Progetto del paramento slu'!$G$53)</f>
        <v>0</v>
      </c>
      <c r="H2158" s="553">
        <f>-'Foglio deposito bis'!$F$81*(C2158-sezione!$AO$35)*IF(ABS(N2158)&lt;'Progetto del paramento slu'!$G$58,ABS(N2158)*'Progetto del paramento slu'!$G$54,'Progetto del paramento slu'!$G$53)</f>
        <v>105508099.14352137</v>
      </c>
      <c r="I2158" s="479">
        <f>-'Foglio deposito bis'!$F$82*(C2158-sezione!$AP$35)*IF(ABS(O2158)&lt;'Progetto del paramento slu'!$G$58,ABS(O2158)*'Progetto del paramento slu'!$G$54,'Progetto del paramento slu'!$G$53)</f>
        <v>165024579.30263329</v>
      </c>
      <c r="J2158" s="479">
        <f t="shared" si="157"/>
        <v>235608768.77804703</v>
      </c>
      <c r="K2158" s="558">
        <f>'Progetto del paramento slu'!$G$60*(sezione!$AL$35-C2158)/C2158</f>
        <v>-1.63590544555073E-3</v>
      </c>
      <c r="L2158" s="558">
        <f>'Progetto del paramento slu'!$G$60*(sezione!$AM$35-C2158)/C2158</f>
        <v>3.4903545791847628E-3</v>
      </c>
      <c r="M2158" s="559">
        <f>'Progetto del paramento slu'!$G$60*(sezione!$AN$35-C2158)/C2158</f>
        <v>8.6166146039202557E-3</v>
      </c>
      <c r="N2158" s="559">
        <f>'Progetto del paramento slu'!$G$60*(sezione!$AO$35-C2158)/C2158</f>
        <v>1.2344803712818797E-2</v>
      </c>
      <c r="O2158" s="559">
        <f>'Progetto del paramento slu'!$G$60*(sezione!$AP$35-C2158)/C2158</f>
        <v>8.616986526631832E-3</v>
      </c>
      <c r="P2158" s="553">
        <f>-'Progetto del paramento slu'!$G$47*'Progetto del paramento slu'!$G$41*IF(DATI!$G$218="dx",DATI!$E$61,DATI!$E$64*DATI!$E$63)*1000*C2158*sezione!$AD$5</f>
        <v>-1058650.482771798</v>
      </c>
      <c r="Q2158" s="553">
        <f>'Foglio deposito bis'!$F$78*IF(ABS(K2158)&lt;'Progetto del paramento slu'!$G$58,ABS(K2158)*'Progetto del paramento slu'!$G$54,'Progetto del paramento slu'!$G$53)*IF(K2158&lt;0,-1,1)</f>
        <v>0</v>
      </c>
      <c r="R2158" s="553">
        <f>'Foglio deposito bis'!$F$79*IF(ABS(L2158)&lt;'Progetto del paramento slu'!$G$58,ABS(L2158)*'Progetto del paramento slu'!$G$54,'Progetto del paramento slu'!$G$53)*IF(L2158&lt;0,-1,1)</f>
        <v>153664.85805602249</v>
      </c>
      <c r="S2158" s="553">
        <f>'Foglio deposito bis'!$F$80*IF(ABS(M2158)&lt;'Progetto del paramento slu'!$G$58,ABS(M2158)*'Progetto del paramento slu'!$G$54,'Progetto del paramento slu'!$G$53)*IF(M2158&lt;0,-1,1)</f>
        <v>0</v>
      </c>
      <c r="T2158" s="553">
        <f>'Foglio deposito bis'!$F$81*IF(ABS(N2158)&lt;'Progetto del paramento slu'!$G$58,ABS(N2158)*'Progetto del paramento slu'!$G$54,'Progetto del paramento slu'!$G$53)*IF(N2158&lt;0,-1,1)</f>
        <v>398299.31208121032</v>
      </c>
      <c r="U2158" s="553">
        <f>'Foglio deposito bis'!$F$82*IF(ABS(O2158)&lt;'Progetto del paramento slu'!$G$58,ABS(O2158)*'Progetto del paramento slu'!$G$54,'Progetto del paramento slu'!$G$53)*IF(O2158&lt;0,-1,1)</f>
        <v>892485.49558937876</v>
      </c>
      <c r="V2158" s="479">
        <f t="shared" si="159"/>
        <v>385799.18295481359</v>
      </c>
      <c r="W2158" s="559"/>
      <c r="X2158" s="559"/>
    </row>
    <row r="2159" spans="1:24" x14ac:dyDescent="0.25">
      <c r="A2159" s="553">
        <f t="shared" si="158"/>
        <v>374354.31287079398</v>
      </c>
      <c r="B2159" s="3">
        <f t="shared" si="160"/>
        <v>18.699999999999957</v>
      </c>
      <c r="C2159" s="553">
        <f>'Foglio deposito bis'!$E$161/sezione!$B$247*B2159</f>
        <v>75.915415972728056</v>
      </c>
      <c r="D2159" s="611">
        <f>-'Progetto del paramento slu'!$G$47*'Progetto del paramento slu'!$G$41*IF(DATI!$G$218="dx",DATI!$E$61,DATI!$E$64*DATI!$E$63)*1000*C2159^2*sezione!$AD$5*(1-sezione!$AD$6)</f>
        <v>-47442252.564039044</v>
      </c>
      <c r="E2159" s="553">
        <f>-'Foglio deposito bis'!$F$78*(C2159-sezione!$AL$35)*IF(ABS(K2159)&lt;'Progetto del paramento slu'!$G$58,ABS(K2159)*'Progetto del paramento slu'!$G$54,'Progetto del paramento slu'!$G$53)</f>
        <v>0</v>
      </c>
      <c r="F2159" s="553">
        <f>-'Foglio deposito bis'!$F$79*(C2159-sezione!$AM$35)*IF(ABS(L2159)&lt;'Progetto del paramento slu'!$G$58,ABS(L2159)*'Progetto del paramento slu'!$G$54,'Progetto del paramento slu'!$G$53)</f>
        <v>11384197.088690216</v>
      </c>
      <c r="G2159" s="553">
        <f>-'Foglio deposito bis'!$F$80*(C2159-sezione!$AN$35)*IF(ABS(M2159)&lt;'Progetto del paramento slu'!$G$58,ABS(M2159)*'Progetto del paramento slu'!$G$54,'Progetto del paramento slu'!$G$53)</f>
        <v>0</v>
      </c>
      <c r="H2159" s="553">
        <f>-'Foglio deposito bis'!$F$81*(C2159-sezione!$AO$35)*IF(ABS(N2159)&lt;'Progetto del paramento slu'!$G$58,ABS(N2159)*'Progetto del paramento slu'!$G$54,'Progetto del paramento slu'!$G$53)</f>
        <v>105184708.14931498</v>
      </c>
      <c r="I2159" s="479">
        <f>-'Foglio deposito bis'!$F$82*(C2159-sezione!$AP$35)*IF(ABS(O2159)&lt;'Progetto del paramento slu'!$G$58,ABS(O2159)*'Progetto del paramento slu'!$G$54,'Progetto del paramento slu'!$G$53)</f>
        <v>164299943.92672637</v>
      </c>
      <c r="J2159" s="479">
        <f t="shared" si="157"/>
        <v>233426596.60069251</v>
      </c>
      <c r="K2159" s="558">
        <f>'Progetto del paramento slu'!$G$60*(sezione!$AL$35-C2159)/C2159</f>
        <v>-1.6558422857052674E-3</v>
      </c>
      <c r="L2159" s="558">
        <f>'Progetto del paramento slu'!$G$60*(sezione!$AM$35-C2159)/C2159</f>
        <v>3.4155914286052472E-3</v>
      </c>
      <c r="M2159" s="559">
        <f>'Progetto del paramento slu'!$G$60*(sezione!$AN$35-C2159)/C2159</f>
        <v>8.4870251429157613E-3</v>
      </c>
      <c r="N2159" s="559">
        <f>'Progetto del paramento slu'!$G$60*(sezione!$AO$35-C2159)/C2159</f>
        <v>1.2175340571505227E-2</v>
      </c>
      <c r="O2159" s="559">
        <f>'Progetto del paramento slu'!$G$60*(sezione!$AP$35-C2159)/C2159</f>
        <v>8.4873930878443266E-3</v>
      </c>
      <c r="P2159" s="553">
        <f>-'Progetto del paramento slu'!$G$47*'Progetto del paramento slu'!$G$41*IF(DATI!$G$218="dx",DATI!$E$61,DATI!$E$64*DATI!$E$63)*1000*C2159*sezione!$AD$5</f>
        <v>-1070095.3528558176</v>
      </c>
      <c r="Q2159" s="553">
        <f>'Foglio deposito bis'!$F$78*IF(ABS(K2159)&lt;'Progetto del paramento slu'!$G$58,ABS(K2159)*'Progetto del paramento slu'!$G$54,'Progetto del paramento slu'!$G$53)*IF(K2159&lt;0,-1,1)</f>
        <v>0</v>
      </c>
      <c r="R2159" s="553">
        <f>'Foglio deposito bis'!$F$79*IF(ABS(L2159)&lt;'Progetto del paramento slu'!$G$58,ABS(L2159)*'Progetto del paramento slu'!$G$54,'Progetto del paramento slu'!$G$53)*IF(L2159&lt;0,-1,1)</f>
        <v>153664.85805602249</v>
      </c>
      <c r="S2159" s="553">
        <f>'Foglio deposito bis'!$F$80*IF(ABS(M2159)&lt;'Progetto del paramento slu'!$G$58,ABS(M2159)*'Progetto del paramento slu'!$G$54,'Progetto del paramento slu'!$G$53)*IF(M2159&lt;0,-1,1)</f>
        <v>0</v>
      </c>
      <c r="T2159" s="553">
        <f>'Foglio deposito bis'!$F$81*IF(ABS(N2159)&lt;'Progetto del paramento slu'!$G$58,ABS(N2159)*'Progetto del paramento slu'!$G$54,'Progetto del paramento slu'!$G$53)*IF(N2159&lt;0,-1,1)</f>
        <v>398299.31208121032</v>
      </c>
      <c r="U2159" s="553">
        <f>'Foglio deposito bis'!$F$82*IF(ABS(O2159)&lt;'Progetto del paramento slu'!$G$58,ABS(O2159)*'Progetto del paramento slu'!$G$54,'Progetto del paramento slu'!$G$53)*IF(O2159&lt;0,-1,1)</f>
        <v>892485.49558937876</v>
      </c>
      <c r="V2159" s="479">
        <f t="shared" si="159"/>
        <v>374354.31287079398</v>
      </c>
      <c r="W2159" s="559"/>
      <c r="X2159" s="559"/>
    </row>
    <row r="2160" spans="1:24" x14ac:dyDescent="0.25">
      <c r="A2160" s="553">
        <f t="shared" si="158"/>
        <v>362909.44278677437</v>
      </c>
      <c r="B2160" s="3">
        <f t="shared" si="160"/>
        <v>18.899999999999956</v>
      </c>
      <c r="C2160" s="553">
        <f>'Foglio deposito bis'!$E$161/sezione!$B$247*B2160</f>
        <v>76.727345555324078</v>
      </c>
      <c r="D2160" s="611">
        <f>-'Progetto del paramento slu'!$G$47*'Progetto del paramento slu'!$G$41*IF(DATI!$G$218="dx",DATI!$E$61,DATI!$E$64*DATI!$E$63)*1000*C2160^2*sezione!$AD$5*(1-sezione!$AD$6)</f>
        <v>-48462486.883812487</v>
      </c>
      <c r="E2160" s="553">
        <f>-'Foglio deposito bis'!$F$78*(C2160-sezione!$AL$35)*IF(ABS(K2160)&lt;'Progetto del paramento slu'!$G$58,ABS(K2160)*'Progetto del paramento slu'!$G$54,'Progetto del paramento slu'!$G$53)</f>
        <v>0</v>
      </c>
      <c r="F2160" s="553">
        <f>-'Foglio deposito bis'!$F$79*(C2160-sezione!$AM$35)*IF(ABS(L2160)&lt;'Progetto del paramento slu'!$G$58,ABS(L2160)*'Progetto del paramento slu'!$G$54,'Progetto del paramento slu'!$G$53)</f>
        <v>11259432.044629112</v>
      </c>
      <c r="G2160" s="553">
        <f>-'Foglio deposito bis'!$F$80*(C2160-sezione!$AN$35)*IF(ABS(M2160)&lt;'Progetto del paramento slu'!$G$58,ABS(M2160)*'Progetto del paramento slu'!$G$54,'Progetto del paramento slu'!$G$53)</f>
        <v>0</v>
      </c>
      <c r="H2160" s="553">
        <f>-'Foglio deposito bis'!$F$81*(C2160-sezione!$AO$35)*IF(ABS(N2160)&lt;'Progetto del paramento slu'!$G$58,ABS(N2160)*'Progetto del paramento slu'!$G$54,'Progetto del paramento slu'!$G$53)</f>
        <v>104861317.15510863</v>
      </c>
      <c r="I2160" s="479">
        <f>-'Foglio deposito bis'!$F$82*(C2160-sezione!$AP$35)*IF(ABS(O2160)&lt;'Progetto del paramento slu'!$G$58,ABS(O2160)*'Progetto del paramento slu'!$G$54,'Progetto del paramento slu'!$G$53)</f>
        <v>163575308.55081952</v>
      </c>
      <c r="J2160" s="479">
        <f t="shared" si="157"/>
        <v>231233570.86674476</v>
      </c>
      <c r="K2160" s="558">
        <f>'Progetto del paramento slu'!$G$60*(sezione!$AL$35-C2160)/C2160</f>
        <v>-1.6753571821528307E-3</v>
      </c>
      <c r="L2160" s="558">
        <f>'Progetto del paramento slu'!$G$60*(sezione!$AM$35-C2160)/C2160</f>
        <v>3.3424105669268844E-3</v>
      </c>
      <c r="M2160" s="559">
        <f>'Progetto del paramento slu'!$G$60*(sezione!$AN$35-C2160)/C2160</f>
        <v>8.3601783160066005E-3</v>
      </c>
      <c r="N2160" s="559">
        <f>'Progetto del paramento slu'!$G$60*(sezione!$AO$35-C2160)/C2160</f>
        <v>1.200946395170094E-2</v>
      </c>
      <c r="O2160" s="559">
        <f>'Progetto del paramento slu'!$G$60*(sezione!$AP$35-C2160)/C2160</f>
        <v>8.3605423673380388E-3</v>
      </c>
      <c r="P2160" s="553">
        <f>-'Progetto del paramento slu'!$G$47*'Progetto del paramento slu'!$G$41*IF(DATI!$G$218="dx",DATI!$E$61,DATI!$E$64*DATI!$E$63)*1000*C2160*sezione!$AD$5</f>
        <v>-1081540.2229398373</v>
      </c>
      <c r="Q2160" s="553">
        <f>'Foglio deposito bis'!$F$78*IF(ABS(K2160)&lt;'Progetto del paramento slu'!$G$58,ABS(K2160)*'Progetto del paramento slu'!$G$54,'Progetto del paramento slu'!$G$53)*IF(K2160&lt;0,-1,1)</f>
        <v>0</v>
      </c>
      <c r="R2160" s="553">
        <f>'Foglio deposito bis'!$F$79*IF(ABS(L2160)&lt;'Progetto del paramento slu'!$G$58,ABS(L2160)*'Progetto del paramento slu'!$G$54,'Progetto del paramento slu'!$G$53)*IF(L2160&lt;0,-1,1)</f>
        <v>153664.85805602249</v>
      </c>
      <c r="S2160" s="553">
        <f>'Foglio deposito bis'!$F$80*IF(ABS(M2160)&lt;'Progetto del paramento slu'!$G$58,ABS(M2160)*'Progetto del paramento slu'!$G$54,'Progetto del paramento slu'!$G$53)*IF(M2160&lt;0,-1,1)</f>
        <v>0</v>
      </c>
      <c r="T2160" s="553">
        <f>'Foglio deposito bis'!$F$81*IF(ABS(N2160)&lt;'Progetto del paramento slu'!$G$58,ABS(N2160)*'Progetto del paramento slu'!$G$54,'Progetto del paramento slu'!$G$53)*IF(N2160&lt;0,-1,1)</f>
        <v>398299.31208121032</v>
      </c>
      <c r="U2160" s="553">
        <f>'Foglio deposito bis'!$F$82*IF(ABS(O2160)&lt;'Progetto del paramento slu'!$G$58,ABS(O2160)*'Progetto del paramento slu'!$G$54,'Progetto del paramento slu'!$G$53)*IF(O2160&lt;0,-1,1)</f>
        <v>892485.49558937876</v>
      </c>
      <c r="V2160" s="479">
        <f t="shared" si="159"/>
        <v>362909.44278677437</v>
      </c>
      <c r="W2160" s="559"/>
      <c r="X2160" s="559"/>
    </row>
    <row r="2161" spans="1:24" x14ac:dyDescent="0.25">
      <c r="A2161" s="553">
        <f t="shared" si="158"/>
        <v>351464.57270275522</v>
      </c>
      <c r="B2161" s="3">
        <f t="shared" si="160"/>
        <v>19.099999999999955</v>
      </c>
      <c r="C2161" s="553">
        <f>'Foglio deposito bis'!$E$161/sezione!$B$247*B2161</f>
        <v>77.539275137920086</v>
      </c>
      <c r="D2161" s="611">
        <f>-'Progetto del paramento slu'!$G$47*'Progetto del paramento slu'!$G$41*IF(DATI!$G$218="dx",DATI!$E$61,DATI!$E$64*DATI!$E$63)*1000*C2161^2*sezione!$AD$5*(1-sezione!$AD$6)</f>
        <v>-49493574.760179244</v>
      </c>
      <c r="E2161" s="553">
        <f>-'Foglio deposito bis'!$F$78*(C2161-sezione!$AL$35)*IF(ABS(K2161)&lt;'Progetto del paramento slu'!$G$58,ABS(K2161)*'Progetto del paramento slu'!$G$54,'Progetto del paramento slu'!$G$53)</f>
        <v>0</v>
      </c>
      <c r="F2161" s="553">
        <f>-'Foglio deposito bis'!$F$79*(C2161-sezione!$AM$35)*IF(ABS(L2161)&lt;'Progetto del paramento slu'!$G$58,ABS(L2161)*'Progetto del paramento slu'!$G$54,'Progetto del paramento slu'!$G$53)</f>
        <v>11134667.00056801</v>
      </c>
      <c r="G2161" s="553">
        <f>-'Foglio deposito bis'!$F$80*(C2161-sezione!$AN$35)*IF(ABS(M2161)&lt;'Progetto del paramento slu'!$G$58,ABS(M2161)*'Progetto del paramento slu'!$G$54,'Progetto del paramento slu'!$G$53)</f>
        <v>0</v>
      </c>
      <c r="H2161" s="553">
        <f>-'Foglio deposito bis'!$F$81*(C2161-sezione!$AO$35)*IF(ABS(N2161)&lt;'Progetto del paramento slu'!$G$58,ABS(N2161)*'Progetto del paramento slu'!$G$54,'Progetto del paramento slu'!$G$53)</f>
        <v>104537926.16090225</v>
      </c>
      <c r="I2161" s="479">
        <f>-'Foglio deposito bis'!$F$82*(C2161-sezione!$AP$35)*IF(ABS(O2161)&lt;'Progetto del paramento slu'!$G$58,ABS(O2161)*'Progetto del paramento slu'!$G$54,'Progetto del paramento slu'!$G$53)</f>
        <v>162850673.17491263</v>
      </c>
      <c r="J2161" s="479">
        <f t="shared" si="157"/>
        <v>229029691.57620364</v>
      </c>
      <c r="K2161" s="558">
        <f>'Progetto del paramento slu'!$G$60*(sezione!$AL$35-C2161)/C2161</f>
        <v>-1.6944633896695549E-3</v>
      </c>
      <c r="L2161" s="558">
        <f>'Progetto del paramento slu'!$G$60*(sezione!$AM$35-C2161)/C2161</f>
        <v>3.2707622887391697E-3</v>
      </c>
      <c r="M2161" s="559">
        <f>'Progetto del paramento slu'!$G$60*(sezione!$AN$35-C2161)/C2161</f>
        <v>8.2359879671478949E-3</v>
      </c>
      <c r="N2161" s="559">
        <f>'Progetto del paramento slu'!$G$60*(sezione!$AO$35-C2161)/C2161</f>
        <v>1.1847061187808785E-2</v>
      </c>
      <c r="O2161" s="559">
        <f>'Progetto del paramento slu'!$G$60*(sezione!$AP$35-C2161)/C2161</f>
        <v>8.2363482064235043E-3</v>
      </c>
      <c r="P2161" s="553">
        <f>-'Progetto del paramento slu'!$G$47*'Progetto del paramento slu'!$G$41*IF(DATI!$G$218="dx",DATI!$E$61,DATI!$E$64*DATI!$E$63)*1000*C2161*sezione!$AD$5</f>
        <v>-1092985.0930238564</v>
      </c>
      <c r="Q2161" s="553">
        <f>'Foglio deposito bis'!$F$78*IF(ABS(K2161)&lt;'Progetto del paramento slu'!$G$58,ABS(K2161)*'Progetto del paramento slu'!$G$54,'Progetto del paramento slu'!$G$53)*IF(K2161&lt;0,-1,1)</f>
        <v>0</v>
      </c>
      <c r="R2161" s="553">
        <f>'Foglio deposito bis'!$F$79*IF(ABS(L2161)&lt;'Progetto del paramento slu'!$G$58,ABS(L2161)*'Progetto del paramento slu'!$G$54,'Progetto del paramento slu'!$G$53)*IF(L2161&lt;0,-1,1)</f>
        <v>153664.85805602249</v>
      </c>
      <c r="S2161" s="553">
        <f>'Foglio deposito bis'!$F$80*IF(ABS(M2161)&lt;'Progetto del paramento slu'!$G$58,ABS(M2161)*'Progetto del paramento slu'!$G$54,'Progetto del paramento slu'!$G$53)*IF(M2161&lt;0,-1,1)</f>
        <v>0</v>
      </c>
      <c r="T2161" s="553">
        <f>'Foglio deposito bis'!$F$81*IF(ABS(N2161)&lt;'Progetto del paramento slu'!$G$58,ABS(N2161)*'Progetto del paramento slu'!$G$54,'Progetto del paramento slu'!$G$53)*IF(N2161&lt;0,-1,1)</f>
        <v>398299.31208121032</v>
      </c>
      <c r="U2161" s="553">
        <f>'Foglio deposito bis'!$F$82*IF(ABS(O2161)&lt;'Progetto del paramento slu'!$G$58,ABS(O2161)*'Progetto del paramento slu'!$G$54,'Progetto del paramento slu'!$G$53)*IF(O2161&lt;0,-1,1)</f>
        <v>892485.49558937876</v>
      </c>
      <c r="V2161" s="479">
        <f t="shared" si="159"/>
        <v>351464.57270275522</v>
      </c>
      <c r="W2161" s="559"/>
      <c r="X2161" s="559"/>
    </row>
    <row r="2162" spans="1:24" x14ac:dyDescent="0.25">
      <c r="A2162" s="553">
        <f t="shared" si="158"/>
        <v>340019.70261873584</v>
      </c>
      <c r="B2162" s="3">
        <f t="shared" si="160"/>
        <v>19.299999999999955</v>
      </c>
      <c r="C2162" s="553">
        <f>'Foglio deposito bis'!$E$161/sezione!$B$247*B2162</f>
        <v>78.351204720516108</v>
      </c>
      <c r="D2162" s="611">
        <f>-'Progetto del paramento slu'!$G$47*'Progetto del paramento slu'!$G$41*IF(DATI!$G$218="dx",DATI!$E$61,DATI!$E$64*DATI!$E$63)*1000*C2162^2*sezione!$AD$5*(1-sezione!$AD$6)</f>
        <v>-50535516.193139344</v>
      </c>
      <c r="E2162" s="553">
        <f>-'Foglio deposito bis'!$F$78*(C2162-sezione!$AL$35)*IF(ABS(K2162)&lt;'Progetto del paramento slu'!$G$58,ABS(K2162)*'Progetto del paramento slu'!$G$54,'Progetto del paramento slu'!$G$53)</f>
        <v>0</v>
      </c>
      <c r="F2162" s="553">
        <f>-'Foglio deposito bis'!$F$79*(C2162-sezione!$AM$35)*IF(ABS(L2162)&lt;'Progetto del paramento slu'!$G$58,ABS(L2162)*'Progetto del paramento slu'!$G$54,'Progetto del paramento slu'!$G$53)</f>
        <v>11009901.956506906</v>
      </c>
      <c r="G2162" s="553">
        <f>-'Foglio deposito bis'!$F$80*(C2162-sezione!$AN$35)*IF(ABS(M2162)&lt;'Progetto del paramento slu'!$G$58,ABS(M2162)*'Progetto del paramento slu'!$G$54,'Progetto del paramento slu'!$G$53)</f>
        <v>0</v>
      </c>
      <c r="H2162" s="553">
        <f>-'Foglio deposito bis'!$F$81*(C2162-sezione!$AO$35)*IF(ABS(N2162)&lt;'Progetto del paramento slu'!$G$58,ABS(N2162)*'Progetto del paramento slu'!$G$54,'Progetto del paramento slu'!$G$53)</f>
        <v>104214535.16669586</v>
      </c>
      <c r="I2162" s="479">
        <f>-'Foglio deposito bis'!$F$82*(C2162-sezione!$AP$35)*IF(ABS(O2162)&lt;'Progetto del paramento slu'!$G$58,ABS(O2162)*'Progetto del paramento slu'!$G$54,'Progetto del paramento slu'!$G$53)</f>
        <v>162126037.79900572</v>
      </c>
      <c r="J2162" s="479">
        <f t="shared" si="157"/>
        <v>226814958.72906914</v>
      </c>
      <c r="K2162" s="558">
        <f>'Progetto del paramento slu'!$G$60*(sezione!$AL$35-C2162)/C2162</f>
        <v>-1.7131736136108029E-3</v>
      </c>
      <c r="L2162" s="558">
        <f>'Progetto del paramento slu'!$G$60*(sezione!$AM$35-C2162)/C2162</f>
        <v>3.2005989489594894E-3</v>
      </c>
      <c r="M2162" s="559">
        <f>'Progetto del paramento slu'!$G$60*(sezione!$AN$35-C2162)/C2162</f>
        <v>8.1143715115297808E-3</v>
      </c>
      <c r="N2162" s="559">
        <f>'Progetto del paramento slu'!$G$60*(sezione!$AO$35-C2162)/C2162</f>
        <v>1.1688024284308178E-2</v>
      </c>
      <c r="O2162" s="559">
        <f>'Progetto del paramento slu'!$G$60*(sezione!$AP$35-C2162)/C2162</f>
        <v>8.1147280177559025E-3</v>
      </c>
      <c r="P2162" s="553">
        <f>-'Progetto del paramento slu'!$G$47*'Progetto del paramento slu'!$G$41*IF(DATI!$G$218="dx",DATI!$E$61,DATI!$E$64*DATI!$E$63)*1000*C2162*sezione!$AD$5</f>
        <v>-1104429.9631078758</v>
      </c>
      <c r="Q2162" s="553">
        <f>'Foglio deposito bis'!$F$78*IF(ABS(K2162)&lt;'Progetto del paramento slu'!$G$58,ABS(K2162)*'Progetto del paramento slu'!$G$54,'Progetto del paramento slu'!$G$53)*IF(K2162&lt;0,-1,1)</f>
        <v>0</v>
      </c>
      <c r="R2162" s="553">
        <f>'Foglio deposito bis'!$F$79*IF(ABS(L2162)&lt;'Progetto del paramento slu'!$G$58,ABS(L2162)*'Progetto del paramento slu'!$G$54,'Progetto del paramento slu'!$G$53)*IF(L2162&lt;0,-1,1)</f>
        <v>153664.85805602249</v>
      </c>
      <c r="S2162" s="553">
        <f>'Foglio deposito bis'!$F$80*IF(ABS(M2162)&lt;'Progetto del paramento slu'!$G$58,ABS(M2162)*'Progetto del paramento slu'!$G$54,'Progetto del paramento slu'!$G$53)*IF(M2162&lt;0,-1,1)</f>
        <v>0</v>
      </c>
      <c r="T2162" s="553">
        <f>'Foglio deposito bis'!$F$81*IF(ABS(N2162)&lt;'Progetto del paramento slu'!$G$58,ABS(N2162)*'Progetto del paramento slu'!$G$54,'Progetto del paramento slu'!$G$53)*IF(N2162&lt;0,-1,1)</f>
        <v>398299.31208121032</v>
      </c>
      <c r="U2162" s="553">
        <f>'Foglio deposito bis'!$F$82*IF(ABS(O2162)&lt;'Progetto del paramento slu'!$G$58,ABS(O2162)*'Progetto del paramento slu'!$G$54,'Progetto del paramento slu'!$G$53)*IF(O2162&lt;0,-1,1)</f>
        <v>892485.49558937876</v>
      </c>
      <c r="V2162" s="479">
        <f t="shared" si="159"/>
        <v>340019.70261873584</v>
      </c>
      <c r="W2162" s="559"/>
      <c r="X2162" s="559"/>
    </row>
    <row r="2163" spans="1:24" x14ac:dyDescent="0.25">
      <c r="A2163" s="553">
        <f t="shared" si="158"/>
        <v>328574.83253471646</v>
      </c>
      <c r="B2163" s="3">
        <f t="shared" si="160"/>
        <v>19.499999999999954</v>
      </c>
      <c r="C2163" s="553">
        <f>'Foglio deposito bis'!$E$161/sezione!$B$247*B2163</f>
        <v>79.16313430311213</v>
      </c>
      <c r="D2163" s="611">
        <f>-'Progetto del paramento slu'!$G$47*'Progetto del paramento slu'!$G$41*IF(DATI!$G$218="dx",DATI!$E$61,DATI!$E$64*DATI!$E$63)*1000*C2163^2*sezione!$AD$5*(1-sezione!$AD$6)</f>
        <v>-51588311.182692789</v>
      </c>
      <c r="E2163" s="553">
        <f>-'Foglio deposito bis'!$F$78*(C2163-sezione!$AL$35)*IF(ABS(K2163)&lt;'Progetto del paramento slu'!$G$58,ABS(K2163)*'Progetto del paramento slu'!$G$54,'Progetto del paramento slu'!$G$53)</f>
        <v>0</v>
      </c>
      <c r="F2163" s="553">
        <f>-'Foglio deposito bis'!$F$79*(C2163-sezione!$AM$35)*IF(ABS(L2163)&lt;'Progetto del paramento slu'!$G$58,ABS(L2163)*'Progetto del paramento slu'!$G$54,'Progetto del paramento slu'!$G$53)</f>
        <v>10885136.912445804</v>
      </c>
      <c r="G2163" s="553">
        <f>-'Foglio deposito bis'!$F$80*(C2163-sezione!$AN$35)*IF(ABS(M2163)&lt;'Progetto del paramento slu'!$G$58,ABS(M2163)*'Progetto del paramento slu'!$G$54,'Progetto del paramento slu'!$G$53)</f>
        <v>0</v>
      </c>
      <c r="H2163" s="553">
        <f>-'Foglio deposito bis'!$F$81*(C2163-sezione!$AO$35)*IF(ABS(N2163)&lt;'Progetto del paramento slu'!$G$58,ABS(N2163)*'Progetto del paramento slu'!$G$54,'Progetto del paramento slu'!$G$53)</f>
        <v>103891144.17248948</v>
      </c>
      <c r="I2163" s="479">
        <f>-'Foglio deposito bis'!$F$82*(C2163-sezione!$AP$35)*IF(ABS(O2163)&lt;'Progetto del paramento slu'!$G$58,ABS(O2163)*'Progetto del paramento slu'!$G$54,'Progetto del paramento slu'!$G$53)</f>
        <v>161401402.42309883</v>
      </c>
      <c r="J2163" s="479">
        <f t="shared" si="157"/>
        <v>224589372.32534134</v>
      </c>
      <c r="K2163" s="558">
        <f>'Progetto del paramento slu'!$G$60*(sezione!$AL$35-C2163)/C2163</f>
        <v>-1.7315000380865898E-3</v>
      </c>
      <c r="L2163" s="558">
        <f>'Progetto del paramento slu'!$G$60*(sezione!$AM$35-C2163)/C2163</f>
        <v>3.1318748571752893E-3</v>
      </c>
      <c r="M2163" s="559">
        <f>'Progetto del paramento slu'!$G$60*(sezione!$AN$35-C2163)/C2163</f>
        <v>7.9952497524371675E-3</v>
      </c>
      <c r="N2163" s="559">
        <f>'Progetto del paramento slu'!$G$60*(sezione!$AO$35-C2163)/C2163</f>
        <v>1.1532249676263989E-2</v>
      </c>
      <c r="O2163" s="559">
        <f>'Progetto del paramento slu'!$G$60*(sezione!$AP$35-C2163)/C2163</f>
        <v>7.9956026021891762E-3</v>
      </c>
      <c r="P2163" s="553">
        <f>-'Progetto del paramento slu'!$G$47*'Progetto del paramento slu'!$G$41*IF(DATI!$G$218="dx",DATI!$E$61,DATI!$E$64*DATI!$E$63)*1000*C2163*sezione!$AD$5</f>
        <v>-1115874.8331918952</v>
      </c>
      <c r="Q2163" s="553">
        <f>'Foglio deposito bis'!$F$78*IF(ABS(K2163)&lt;'Progetto del paramento slu'!$G$58,ABS(K2163)*'Progetto del paramento slu'!$G$54,'Progetto del paramento slu'!$G$53)*IF(K2163&lt;0,-1,1)</f>
        <v>0</v>
      </c>
      <c r="R2163" s="553">
        <f>'Foglio deposito bis'!$F$79*IF(ABS(L2163)&lt;'Progetto del paramento slu'!$G$58,ABS(L2163)*'Progetto del paramento slu'!$G$54,'Progetto del paramento slu'!$G$53)*IF(L2163&lt;0,-1,1)</f>
        <v>153664.85805602249</v>
      </c>
      <c r="S2163" s="553">
        <f>'Foglio deposito bis'!$F$80*IF(ABS(M2163)&lt;'Progetto del paramento slu'!$G$58,ABS(M2163)*'Progetto del paramento slu'!$G$54,'Progetto del paramento slu'!$G$53)*IF(M2163&lt;0,-1,1)</f>
        <v>0</v>
      </c>
      <c r="T2163" s="553">
        <f>'Foglio deposito bis'!$F$81*IF(ABS(N2163)&lt;'Progetto del paramento slu'!$G$58,ABS(N2163)*'Progetto del paramento slu'!$G$54,'Progetto del paramento slu'!$G$53)*IF(N2163&lt;0,-1,1)</f>
        <v>398299.31208121032</v>
      </c>
      <c r="U2163" s="553">
        <f>'Foglio deposito bis'!$F$82*IF(ABS(O2163)&lt;'Progetto del paramento slu'!$G$58,ABS(O2163)*'Progetto del paramento slu'!$G$54,'Progetto del paramento slu'!$G$53)*IF(O2163&lt;0,-1,1)</f>
        <v>892485.49558937876</v>
      </c>
      <c r="V2163" s="479">
        <f t="shared" si="159"/>
        <v>328574.83253471646</v>
      </c>
      <c r="W2163" s="559"/>
      <c r="X2163" s="559"/>
    </row>
    <row r="2164" spans="1:24" x14ac:dyDescent="0.25">
      <c r="A2164" s="553">
        <f t="shared" si="158"/>
        <v>317129.96245069685</v>
      </c>
      <c r="B2164" s="3">
        <f t="shared" si="160"/>
        <v>19.699999999999953</v>
      </c>
      <c r="C2164" s="553">
        <f>'Foglio deposito bis'!$E$161/sezione!$B$247*B2164</f>
        <v>79.975063885708153</v>
      </c>
      <c r="D2164" s="611">
        <f>-'Progetto del paramento slu'!$G$47*'Progetto del paramento slu'!$G$41*IF(DATI!$G$218="dx",DATI!$E$61,DATI!$E$64*DATI!$E$63)*1000*C2164^2*sezione!$AD$5*(1-sezione!$AD$6)</f>
        <v>-52651959.728839561</v>
      </c>
      <c r="E2164" s="553">
        <f>-'Foglio deposito bis'!$F$78*(C2164-sezione!$AL$35)*IF(ABS(K2164)&lt;'Progetto del paramento slu'!$G$58,ABS(K2164)*'Progetto del paramento slu'!$G$54,'Progetto del paramento slu'!$G$53)</f>
        <v>0</v>
      </c>
      <c r="F2164" s="553">
        <f>-'Foglio deposito bis'!$F$79*(C2164-sezione!$AM$35)*IF(ABS(L2164)&lt;'Progetto del paramento slu'!$G$58,ABS(L2164)*'Progetto del paramento slu'!$G$54,'Progetto del paramento slu'!$G$53)</f>
        <v>10760371.8683847</v>
      </c>
      <c r="G2164" s="553">
        <f>-'Foglio deposito bis'!$F$80*(C2164-sezione!$AN$35)*IF(ABS(M2164)&lt;'Progetto del paramento slu'!$G$58,ABS(M2164)*'Progetto del paramento slu'!$G$54,'Progetto del paramento slu'!$G$53)</f>
        <v>0</v>
      </c>
      <c r="H2164" s="553">
        <f>-'Foglio deposito bis'!$F$81*(C2164-sezione!$AO$35)*IF(ABS(N2164)&lt;'Progetto del paramento slu'!$G$58,ABS(N2164)*'Progetto del paramento slu'!$G$54,'Progetto del paramento slu'!$G$53)</f>
        <v>103567753.1782831</v>
      </c>
      <c r="I2164" s="479">
        <f>-'Foglio deposito bis'!$F$82*(C2164-sezione!$AP$35)*IF(ABS(O2164)&lt;'Progetto del paramento slu'!$G$58,ABS(O2164)*'Progetto del paramento slu'!$G$54,'Progetto del paramento slu'!$G$53)</f>
        <v>160676767.04719195</v>
      </c>
      <c r="J2164" s="479">
        <f t="shared" si="157"/>
        <v>222352932.36502019</v>
      </c>
      <c r="K2164" s="558">
        <f>'Progetto del paramento slu'!$G$60*(sezione!$AL$35-C2164)/C2164</f>
        <v>-1.7494543524207357E-3</v>
      </c>
      <c r="L2164" s="558">
        <f>'Progetto del paramento slu'!$G$60*(sezione!$AM$35-C2164)/C2164</f>
        <v>3.064546178422241E-3</v>
      </c>
      <c r="M2164" s="559">
        <f>'Progetto del paramento slu'!$G$60*(sezione!$AN$35-C2164)/C2164</f>
        <v>7.8785467092652179E-3</v>
      </c>
      <c r="N2164" s="559">
        <f>'Progetto del paramento slu'!$G$60*(sezione!$AO$35-C2164)/C2164</f>
        <v>1.1379638004423745E-2</v>
      </c>
      <c r="O2164" s="559">
        <f>'Progetto del paramento slu'!$G$60*(sezione!$AP$35-C2164)/C2164</f>
        <v>7.8788959767862408E-3</v>
      </c>
      <c r="P2164" s="553">
        <f>-'Progetto del paramento slu'!$G$47*'Progetto del paramento slu'!$G$41*IF(DATI!$G$218="dx",DATI!$E$61,DATI!$E$64*DATI!$E$63)*1000*C2164*sezione!$AD$5</f>
        <v>-1127319.7032759148</v>
      </c>
      <c r="Q2164" s="553">
        <f>'Foglio deposito bis'!$F$78*IF(ABS(K2164)&lt;'Progetto del paramento slu'!$G$58,ABS(K2164)*'Progetto del paramento slu'!$G$54,'Progetto del paramento slu'!$G$53)*IF(K2164&lt;0,-1,1)</f>
        <v>0</v>
      </c>
      <c r="R2164" s="553">
        <f>'Foglio deposito bis'!$F$79*IF(ABS(L2164)&lt;'Progetto del paramento slu'!$G$58,ABS(L2164)*'Progetto del paramento slu'!$G$54,'Progetto del paramento slu'!$G$53)*IF(L2164&lt;0,-1,1)</f>
        <v>153664.85805602249</v>
      </c>
      <c r="S2164" s="553">
        <f>'Foglio deposito bis'!$F$80*IF(ABS(M2164)&lt;'Progetto del paramento slu'!$G$58,ABS(M2164)*'Progetto del paramento slu'!$G$54,'Progetto del paramento slu'!$G$53)*IF(M2164&lt;0,-1,1)</f>
        <v>0</v>
      </c>
      <c r="T2164" s="553">
        <f>'Foglio deposito bis'!$F$81*IF(ABS(N2164)&lt;'Progetto del paramento slu'!$G$58,ABS(N2164)*'Progetto del paramento slu'!$G$54,'Progetto del paramento slu'!$G$53)*IF(N2164&lt;0,-1,1)</f>
        <v>398299.31208121032</v>
      </c>
      <c r="U2164" s="553">
        <f>'Foglio deposito bis'!$F$82*IF(ABS(O2164)&lt;'Progetto del paramento slu'!$G$58,ABS(O2164)*'Progetto del paramento slu'!$G$54,'Progetto del paramento slu'!$G$53)*IF(O2164&lt;0,-1,1)</f>
        <v>892485.49558937876</v>
      </c>
      <c r="V2164" s="479">
        <f t="shared" si="159"/>
        <v>317129.96245069685</v>
      </c>
      <c r="W2164" s="559"/>
      <c r="X2164" s="559"/>
    </row>
    <row r="2165" spans="1:24" x14ac:dyDescent="0.25">
      <c r="A2165" s="553">
        <f t="shared" si="158"/>
        <v>305685.09236667748</v>
      </c>
      <c r="B2165" s="3">
        <f t="shared" si="160"/>
        <v>19.899999999999952</v>
      </c>
      <c r="C2165" s="553">
        <f>'Foglio deposito bis'!$E$161/sezione!$B$247*B2165</f>
        <v>80.786993468304175</v>
      </c>
      <c r="D2165" s="611">
        <f>-'Progetto del paramento slu'!$G$47*'Progetto del paramento slu'!$G$41*IF(DATI!$G$218="dx",DATI!$E$61,DATI!$E$64*DATI!$E$63)*1000*C2165^2*sezione!$AD$5*(1-sezione!$AD$6)</f>
        <v>-53726461.83157967</v>
      </c>
      <c r="E2165" s="553">
        <f>-'Foglio deposito bis'!$F$78*(C2165-sezione!$AL$35)*IF(ABS(K2165)&lt;'Progetto del paramento slu'!$G$58,ABS(K2165)*'Progetto del paramento slu'!$G$54,'Progetto del paramento slu'!$G$53)</f>
        <v>0</v>
      </c>
      <c r="F2165" s="553">
        <f>-'Foglio deposito bis'!$F$79*(C2165-sezione!$AM$35)*IF(ABS(L2165)&lt;'Progetto del paramento slu'!$G$58,ABS(L2165)*'Progetto del paramento slu'!$G$54,'Progetto del paramento slu'!$G$53)</f>
        <v>10635606.824323598</v>
      </c>
      <c r="G2165" s="553">
        <f>-'Foglio deposito bis'!$F$80*(C2165-sezione!$AN$35)*IF(ABS(M2165)&lt;'Progetto del paramento slu'!$G$58,ABS(M2165)*'Progetto del paramento slu'!$G$54,'Progetto del paramento slu'!$G$53)</f>
        <v>0</v>
      </c>
      <c r="H2165" s="553">
        <f>-'Foglio deposito bis'!$F$81*(C2165-sezione!$AO$35)*IF(ABS(N2165)&lt;'Progetto del paramento slu'!$G$58,ABS(N2165)*'Progetto del paramento slu'!$G$54,'Progetto del paramento slu'!$G$53)</f>
        <v>103244362.18407674</v>
      </c>
      <c r="I2165" s="479">
        <f>-'Foglio deposito bis'!$F$82*(C2165-sezione!$AP$35)*IF(ABS(O2165)&lt;'Progetto del paramento slu'!$G$58,ABS(O2165)*'Progetto del paramento slu'!$G$54,'Progetto del paramento slu'!$G$53)</f>
        <v>159952131.67128509</v>
      </c>
      <c r="J2165" s="479">
        <f t="shared" si="157"/>
        <v>220105638.84810576</v>
      </c>
      <c r="K2165" s="558">
        <f>'Progetto del paramento slu'!$G$60*(sezione!$AL$35-C2165)/C2165</f>
        <v>-1.7670477760144973E-3</v>
      </c>
      <c r="L2165" s="558">
        <f>'Progetto del paramento slu'!$G$60*(sezione!$AM$35-C2165)/C2165</f>
        <v>2.9985708399456351E-3</v>
      </c>
      <c r="M2165" s="559">
        <f>'Progetto del paramento slu'!$G$60*(sezione!$AN$35-C2165)/C2165</f>
        <v>7.7641894559057692E-3</v>
      </c>
      <c r="N2165" s="559">
        <f>'Progetto del paramento slu'!$G$60*(sezione!$AO$35-C2165)/C2165</f>
        <v>1.1230093903876774E-2</v>
      </c>
      <c r="O2165" s="559">
        <f>'Progetto del paramento slu'!$G$60*(sezione!$AP$35-C2165)/C2165</f>
        <v>7.7645352132004507E-3</v>
      </c>
      <c r="P2165" s="553">
        <f>-'Progetto del paramento slu'!$G$47*'Progetto del paramento slu'!$G$41*IF(DATI!$G$218="dx",DATI!$E$61,DATI!$E$64*DATI!$E$63)*1000*C2165*sezione!$AD$5</f>
        <v>-1138764.5733599341</v>
      </c>
      <c r="Q2165" s="553">
        <f>'Foglio deposito bis'!$F$78*IF(ABS(K2165)&lt;'Progetto del paramento slu'!$G$58,ABS(K2165)*'Progetto del paramento slu'!$G$54,'Progetto del paramento slu'!$G$53)*IF(K2165&lt;0,-1,1)</f>
        <v>0</v>
      </c>
      <c r="R2165" s="553">
        <f>'Foglio deposito bis'!$F$79*IF(ABS(L2165)&lt;'Progetto del paramento slu'!$G$58,ABS(L2165)*'Progetto del paramento slu'!$G$54,'Progetto del paramento slu'!$G$53)*IF(L2165&lt;0,-1,1)</f>
        <v>153664.85805602249</v>
      </c>
      <c r="S2165" s="553">
        <f>'Foglio deposito bis'!$F$80*IF(ABS(M2165)&lt;'Progetto del paramento slu'!$G$58,ABS(M2165)*'Progetto del paramento slu'!$G$54,'Progetto del paramento slu'!$G$53)*IF(M2165&lt;0,-1,1)</f>
        <v>0</v>
      </c>
      <c r="T2165" s="553">
        <f>'Foglio deposito bis'!$F$81*IF(ABS(N2165)&lt;'Progetto del paramento slu'!$G$58,ABS(N2165)*'Progetto del paramento slu'!$G$54,'Progetto del paramento slu'!$G$53)*IF(N2165&lt;0,-1,1)</f>
        <v>398299.31208121032</v>
      </c>
      <c r="U2165" s="553">
        <f>'Foglio deposito bis'!$F$82*IF(ABS(O2165)&lt;'Progetto del paramento slu'!$G$58,ABS(O2165)*'Progetto del paramento slu'!$G$54,'Progetto del paramento slu'!$G$53)*IF(O2165&lt;0,-1,1)</f>
        <v>892485.49558937876</v>
      </c>
      <c r="V2165" s="479">
        <f t="shared" si="159"/>
        <v>305685.09236667748</v>
      </c>
      <c r="W2165" s="559"/>
      <c r="X2165" s="559"/>
    </row>
    <row r="2166" spans="1:24" x14ac:dyDescent="0.25">
      <c r="A2166" s="553">
        <f t="shared" si="158"/>
        <v>294240.2222826581</v>
      </c>
      <c r="B2166" s="3">
        <f t="shared" si="160"/>
        <v>20.099999999999952</v>
      </c>
      <c r="C2166" s="553">
        <f>'Foglio deposito bis'!$E$161/sezione!$B$247*B2166</f>
        <v>81.598923050900197</v>
      </c>
      <c r="D2166" s="611">
        <f>-'Progetto del paramento slu'!$G$47*'Progetto del paramento slu'!$G$41*IF(DATI!$G$218="dx",DATI!$E$61,DATI!$E$64*DATI!$E$63)*1000*C2166^2*sezione!$AD$5*(1-sezione!$AD$6)</f>
        <v>-54811817.49091313</v>
      </c>
      <c r="E2166" s="553">
        <f>-'Foglio deposito bis'!$F$78*(C2166-sezione!$AL$35)*IF(ABS(K2166)&lt;'Progetto del paramento slu'!$G$58,ABS(K2166)*'Progetto del paramento slu'!$G$54,'Progetto del paramento slu'!$G$53)</f>
        <v>0</v>
      </c>
      <c r="F2166" s="553">
        <f>-'Foglio deposito bis'!$F$79*(C2166-sezione!$AM$35)*IF(ABS(L2166)&lt;'Progetto del paramento slu'!$G$58,ABS(L2166)*'Progetto del paramento slu'!$G$54,'Progetto del paramento slu'!$G$53)</f>
        <v>10510841.780262493</v>
      </c>
      <c r="G2166" s="553">
        <f>-'Foglio deposito bis'!$F$80*(C2166-sezione!$AN$35)*IF(ABS(M2166)&lt;'Progetto del paramento slu'!$G$58,ABS(M2166)*'Progetto del paramento slu'!$G$54,'Progetto del paramento slu'!$G$53)</f>
        <v>0</v>
      </c>
      <c r="H2166" s="553">
        <f>-'Foglio deposito bis'!$F$81*(C2166-sezione!$AO$35)*IF(ABS(N2166)&lt;'Progetto del paramento slu'!$G$58,ABS(N2166)*'Progetto del paramento slu'!$G$54,'Progetto del paramento slu'!$G$53)</f>
        <v>102920971.18987033</v>
      </c>
      <c r="I2166" s="479">
        <f>-'Foglio deposito bis'!$F$82*(C2166-sezione!$AP$35)*IF(ABS(O2166)&lt;'Progetto del paramento slu'!$G$58,ABS(O2166)*'Progetto del paramento slu'!$G$54,'Progetto del paramento slu'!$G$53)</f>
        <v>159227496.29537818</v>
      </c>
      <c r="J2166" s="479">
        <f t="shared" si="157"/>
        <v>217847491.77459788</v>
      </c>
      <c r="K2166" s="558">
        <f>'Progetto del paramento slu'!$G$60*(sezione!$AL$35-C2166)/C2166</f>
        <v>-1.784291081725796E-3</v>
      </c>
      <c r="L2166" s="558">
        <f>'Progetto del paramento slu'!$G$60*(sezione!$AM$35-C2166)/C2166</f>
        <v>2.9339084435282656E-3</v>
      </c>
      <c r="M2166" s="559">
        <f>'Progetto del paramento slu'!$G$60*(sezione!$AN$35-C2166)/C2166</f>
        <v>7.6521079687823278E-3</v>
      </c>
      <c r="N2166" s="559">
        <f>'Progetto del paramento slu'!$G$60*(sezione!$AO$35-C2166)/C2166</f>
        <v>1.1083525805330733E-2</v>
      </c>
      <c r="O2166" s="559">
        <f>'Progetto del paramento slu'!$G$60*(sezione!$AP$35-C2166)/C2166</f>
        <v>7.6524502857059163E-3</v>
      </c>
      <c r="P2166" s="553">
        <f>-'Progetto del paramento slu'!$G$47*'Progetto del paramento slu'!$G$41*IF(DATI!$G$218="dx",DATI!$E$61,DATI!$E$64*DATI!$E$63)*1000*C2166*sezione!$AD$5</f>
        <v>-1150209.4434439535</v>
      </c>
      <c r="Q2166" s="553">
        <f>'Foglio deposito bis'!$F$78*IF(ABS(K2166)&lt;'Progetto del paramento slu'!$G$58,ABS(K2166)*'Progetto del paramento slu'!$G$54,'Progetto del paramento slu'!$G$53)*IF(K2166&lt;0,-1,1)</f>
        <v>0</v>
      </c>
      <c r="R2166" s="553">
        <f>'Foglio deposito bis'!$F$79*IF(ABS(L2166)&lt;'Progetto del paramento slu'!$G$58,ABS(L2166)*'Progetto del paramento slu'!$G$54,'Progetto del paramento slu'!$G$53)*IF(L2166&lt;0,-1,1)</f>
        <v>153664.85805602249</v>
      </c>
      <c r="S2166" s="553">
        <f>'Foglio deposito bis'!$F$80*IF(ABS(M2166)&lt;'Progetto del paramento slu'!$G$58,ABS(M2166)*'Progetto del paramento slu'!$G$54,'Progetto del paramento slu'!$G$53)*IF(M2166&lt;0,-1,1)</f>
        <v>0</v>
      </c>
      <c r="T2166" s="553">
        <f>'Foglio deposito bis'!$F$81*IF(ABS(N2166)&lt;'Progetto del paramento slu'!$G$58,ABS(N2166)*'Progetto del paramento slu'!$G$54,'Progetto del paramento slu'!$G$53)*IF(N2166&lt;0,-1,1)</f>
        <v>398299.31208121032</v>
      </c>
      <c r="U2166" s="553">
        <f>'Foglio deposito bis'!$F$82*IF(ABS(O2166)&lt;'Progetto del paramento slu'!$G$58,ABS(O2166)*'Progetto del paramento slu'!$G$54,'Progetto del paramento slu'!$G$53)*IF(O2166&lt;0,-1,1)</f>
        <v>892485.49558937876</v>
      </c>
      <c r="V2166" s="479">
        <f t="shared" si="159"/>
        <v>294240.2222826581</v>
      </c>
      <c r="W2166" s="559"/>
      <c r="X2166" s="559"/>
    </row>
    <row r="2167" spans="1:24" x14ac:dyDescent="0.25">
      <c r="A2167" s="553">
        <f t="shared" si="158"/>
        <v>282795.35219863872</v>
      </c>
      <c r="B2167" s="3">
        <f t="shared" si="160"/>
        <v>20.299999999999951</v>
      </c>
      <c r="C2167" s="553">
        <f>'Foglio deposito bis'!$E$161/sezione!$B$247*B2167</f>
        <v>82.410852633496219</v>
      </c>
      <c r="D2167" s="611">
        <f>-'Progetto del paramento slu'!$G$47*'Progetto del paramento slu'!$G$41*IF(DATI!$G$218="dx",DATI!$E$61,DATI!$E$64*DATI!$E$63)*1000*C2167^2*sezione!$AD$5*(1-sezione!$AD$6)</f>
        <v>-55908026.706839897</v>
      </c>
      <c r="E2167" s="553">
        <f>-'Foglio deposito bis'!$F$78*(C2167-sezione!$AL$35)*IF(ABS(K2167)&lt;'Progetto del paramento slu'!$G$58,ABS(K2167)*'Progetto del paramento slu'!$G$54,'Progetto del paramento slu'!$G$53)</f>
        <v>0</v>
      </c>
      <c r="F2167" s="553">
        <f>-'Foglio deposito bis'!$F$79*(C2167-sezione!$AM$35)*IF(ABS(L2167)&lt;'Progetto del paramento slu'!$G$58,ABS(L2167)*'Progetto del paramento slu'!$G$54,'Progetto del paramento slu'!$G$53)</f>
        <v>10386076.736201389</v>
      </c>
      <c r="G2167" s="553">
        <f>-'Foglio deposito bis'!$F$80*(C2167-sezione!$AN$35)*IF(ABS(M2167)&lt;'Progetto del paramento slu'!$G$58,ABS(M2167)*'Progetto del paramento slu'!$G$54,'Progetto del paramento slu'!$G$53)</f>
        <v>0</v>
      </c>
      <c r="H2167" s="553">
        <f>-'Foglio deposito bis'!$F$81*(C2167-sezione!$AO$35)*IF(ABS(N2167)&lt;'Progetto del paramento slu'!$G$58,ABS(N2167)*'Progetto del paramento slu'!$G$54,'Progetto del paramento slu'!$G$53)</f>
        <v>102597580.19566396</v>
      </c>
      <c r="I2167" s="479">
        <f>-'Foglio deposito bis'!$F$82*(C2167-sezione!$AP$35)*IF(ABS(O2167)&lt;'Progetto del paramento slu'!$G$58,ABS(O2167)*'Progetto del paramento slu'!$G$54,'Progetto del paramento slu'!$G$53)</f>
        <v>158502860.91947129</v>
      </c>
      <c r="J2167" s="479">
        <f t="shared" si="157"/>
        <v>215578491.14449674</v>
      </c>
      <c r="K2167" s="558">
        <f>'Progetto del paramento slu'!$G$60*(sezione!$AL$35-C2167)/C2167</f>
        <v>-1.8011946178664285E-3</v>
      </c>
      <c r="L2167" s="558">
        <f>'Progetto del paramento slu'!$G$60*(sezione!$AM$35-C2167)/C2167</f>
        <v>2.8705201830008936E-3</v>
      </c>
      <c r="M2167" s="559">
        <f>'Progetto del paramento slu'!$G$60*(sezione!$AN$35-C2167)/C2167</f>
        <v>7.5422349838682144E-3</v>
      </c>
      <c r="N2167" s="559">
        <f>'Progetto del paramento slu'!$G$60*(sezione!$AO$35-C2167)/C2167</f>
        <v>1.0939845748135358E-2</v>
      </c>
      <c r="O2167" s="559">
        <f>'Progetto del paramento slu'!$G$60*(sezione!$AP$35-C2167)/C2167</f>
        <v>7.5425739282112764E-3</v>
      </c>
      <c r="P2167" s="553">
        <f>-'Progetto del paramento slu'!$G$47*'Progetto del paramento slu'!$G$41*IF(DATI!$G$218="dx",DATI!$E$61,DATI!$E$64*DATI!$E$63)*1000*C2167*sezione!$AD$5</f>
        <v>-1161654.3135279729</v>
      </c>
      <c r="Q2167" s="553">
        <f>'Foglio deposito bis'!$F$78*IF(ABS(K2167)&lt;'Progetto del paramento slu'!$G$58,ABS(K2167)*'Progetto del paramento slu'!$G$54,'Progetto del paramento slu'!$G$53)*IF(K2167&lt;0,-1,1)</f>
        <v>0</v>
      </c>
      <c r="R2167" s="553">
        <f>'Foglio deposito bis'!$F$79*IF(ABS(L2167)&lt;'Progetto del paramento slu'!$G$58,ABS(L2167)*'Progetto del paramento slu'!$G$54,'Progetto del paramento slu'!$G$53)*IF(L2167&lt;0,-1,1)</f>
        <v>153664.85805602249</v>
      </c>
      <c r="S2167" s="553">
        <f>'Foglio deposito bis'!$F$80*IF(ABS(M2167)&lt;'Progetto del paramento slu'!$G$58,ABS(M2167)*'Progetto del paramento slu'!$G$54,'Progetto del paramento slu'!$G$53)*IF(M2167&lt;0,-1,1)</f>
        <v>0</v>
      </c>
      <c r="T2167" s="553">
        <f>'Foglio deposito bis'!$F$81*IF(ABS(N2167)&lt;'Progetto del paramento slu'!$G$58,ABS(N2167)*'Progetto del paramento slu'!$G$54,'Progetto del paramento slu'!$G$53)*IF(N2167&lt;0,-1,1)</f>
        <v>398299.31208121032</v>
      </c>
      <c r="U2167" s="553">
        <f>'Foglio deposito bis'!$F$82*IF(ABS(O2167)&lt;'Progetto del paramento slu'!$G$58,ABS(O2167)*'Progetto del paramento slu'!$G$54,'Progetto del paramento slu'!$G$53)*IF(O2167&lt;0,-1,1)</f>
        <v>892485.49558937876</v>
      </c>
      <c r="V2167" s="479">
        <f t="shared" si="159"/>
        <v>282795.35219863872</v>
      </c>
      <c r="W2167" s="559"/>
      <c r="X2167" s="559"/>
    </row>
    <row r="2168" spans="1:24" x14ac:dyDescent="0.25">
      <c r="A2168" s="553">
        <f t="shared" si="158"/>
        <v>271350.48211461911</v>
      </c>
      <c r="B2168" s="3">
        <f t="shared" si="160"/>
        <v>20.49999999999995</v>
      </c>
      <c r="C2168" s="553">
        <f>'Foglio deposito bis'!$E$161/sezione!$B$247*B2168</f>
        <v>83.222782216092241</v>
      </c>
      <c r="D2168" s="611">
        <f>-'Progetto del paramento slu'!$G$47*'Progetto del paramento slu'!$G$41*IF(DATI!$G$218="dx",DATI!$E$61,DATI!$E$64*DATI!$E$63)*1000*C2168^2*sezione!$AD$5*(1-sezione!$AD$6)</f>
        <v>-57015089.479360014</v>
      </c>
      <c r="E2168" s="553">
        <f>-'Foglio deposito bis'!$F$78*(C2168-sezione!$AL$35)*IF(ABS(K2168)&lt;'Progetto del paramento slu'!$G$58,ABS(K2168)*'Progetto del paramento slu'!$G$54,'Progetto del paramento slu'!$G$53)</f>
        <v>0</v>
      </c>
      <c r="F2168" s="553">
        <f>-'Foglio deposito bis'!$F$79*(C2168-sezione!$AM$35)*IF(ABS(L2168)&lt;'Progetto del paramento slu'!$G$58,ABS(L2168)*'Progetto del paramento slu'!$G$54,'Progetto del paramento slu'!$G$53)</f>
        <v>10261311.692140287</v>
      </c>
      <c r="G2168" s="553">
        <f>-'Foglio deposito bis'!$F$80*(C2168-sezione!$AN$35)*IF(ABS(M2168)&lt;'Progetto del paramento slu'!$G$58,ABS(M2168)*'Progetto del paramento slu'!$G$54,'Progetto del paramento slu'!$G$53)</f>
        <v>0</v>
      </c>
      <c r="H2168" s="553">
        <f>-'Foglio deposito bis'!$F$81*(C2168-sezione!$AO$35)*IF(ABS(N2168)&lt;'Progetto del paramento slu'!$G$58,ABS(N2168)*'Progetto del paramento slu'!$G$54,'Progetto del paramento slu'!$G$53)</f>
        <v>102274189.20145757</v>
      </c>
      <c r="I2168" s="479">
        <f>-'Foglio deposito bis'!$F$82*(C2168-sezione!$AP$35)*IF(ABS(O2168)&lt;'Progetto del paramento slu'!$G$58,ABS(O2168)*'Progetto del paramento slu'!$G$54,'Progetto del paramento slu'!$G$53)</f>
        <v>157778225.54356441</v>
      </c>
      <c r="J2168" s="479">
        <f t="shared" si="157"/>
        <v>213298636.95780227</v>
      </c>
      <c r="K2168" s="558">
        <f>'Progetto del paramento slu'!$G$60*(sezione!$AL$35-C2168)/C2168</f>
        <v>-1.8177683289116338E-3</v>
      </c>
      <c r="L2168" s="558">
        <f>'Progetto del paramento slu'!$G$60*(sezione!$AM$35-C2168)/C2168</f>
        <v>2.8083687665813725E-3</v>
      </c>
      <c r="M2168" s="559">
        <f>'Progetto del paramento slu'!$G$60*(sezione!$AN$35-C2168)/C2168</f>
        <v>7.434505862074379E-3</v>
      </c>
      <c r="N2168" s="559">
        <f>'Progetto del paramento slu'!$G$60*(sezione!$AO$35-C2168)/C2168</f>
        <v>1.0798969204251111E-2</v>
      </c>
      <c r="O2168" s="559">
        <f>'Progetto del paramento slu'!$G$60*(sezione!$AP$35-C2168)/C2168</f>
        <v>7.4348414996433625E-3</v>
      </c>
      <c r="P2168" s="553">
        <f>-'Progetto del paramento slu'!$G$47*'Progetto del paramento slu'!$G$41*IF(DATI!$G$218="dx",DATI!$E$61,DATI!$E$64*DATI!$E$63)*1000*C2168*sezione!$AD$5</f>
        <v>-1173099.1836119925</v>
      </c>
      <c r="Q2168" s="553">
        <f>'Foglio deposito bis'!$F$78*IF(ABS(K2168)&lt;'Progetto del paramento slu'!$G$58,ABS(K2168)*'Progetto del paramento slu'!$G$54,'Progetto del paramento slu'!$G$53)*IF(K2168&lt;0,-1,1)</f>
        <v>0</v>
      </c>
      <c r="R2168" s="553">
        <f>'Foglio deposito bis'!$F$79*IF(ABS(L2168)&lt;'Progetto del paramento slu'!$G$58,ABS(L2168)*'Progetto del paramento slu'!$G$54,'Progetto del paramento slu'!$G$53)*IF(L2168&lt;0,-1,1)</f>
        <v>153664.85805602249</v>
      </c>
      <c r="S2168" s="553">
        <f>'Foglio deposito bis'!$F$80*IF(ABS(M2168)&lt;'Progetto del paramento slu'!$G$58,ABS(M2168)*'Progetto del paramento slu'!$G$54,'Progetto del paramento slu'!$G$53)*IF(M2168&lt;0,-1,1)</f>
        <v>0</v>
      </c>
      <c r="T2168" s="553">
        <f>'Foglio deposito bis'!$F$81*IF(ABS(N2168)&lt;'Progetto del paramento slu'!$G$58,ABS(N2168)*'Progetto del paramento slu'!$G$54,'Progetto del paramento slu'!$G$53)*IF(N2168&lt;0,-1,1)</f>
        <v>398299.31208121032</v>
      </c>
      <c r="U2168" s="553">
        <f>'Foglio deposito bis'!$F$82*IF(ABS(O2168)&lt;'Progetto del paramento slu'!$G$58,ABS(O2168)*'Progetto del paramento slu'!$G$54,'Progetto del paramento slu'!$G$53)*IF(O2168&lt;0,-1,1)</f>
        <v>892485.49558937876</v>
      </c>
      <c r="V2168" s="479">
        <f t="shared" si="159"/>
        <v>271350.48211461911</v>
      </c>
      <c r="W2168" s="559"/>
      <c r="X2168" s="559"/>
    </row>
    <row r="2169" spans="1:24" x14ac:dyDescent="0.25">
      <c r="A2169" s="553">
        <f t="shared" si="158"/>
        <v>259905.61203059973</v>
      </c>
      <c r="B2169" s="3">
        <f t="shared" si="160"/>
        <v>20.69999999999995</v>
      </c>
      <c r="C2169" s="553">
        <f>'Foglio deposito bis'!$E$161/sezione!$B$247*B2169</f>
        <v>84.034711798688264</v>
      </c>
      <c r="D2169" s="611">
        <f>-'Progetto del paramento slu'!$G$47*'Progetto del paramento slu'!$G$41*IF(DATI!$G$218="dx",DATI!$E$61,DATI!$E$64*DATI!$E$63)*1000*C2169^2*sezione!$AD$5*(1-sezione!$AD$6)</f>
        <v>-58133005.808473475</v>
      </c>
      <c r="E2169" s="553">
        <f>-'Foglio deposito bis'!$F$78*(C2169-sezione!$AL$35)*IF(ABS(K2169)&lt;'Progetto del paramento slu'!$G$58,ABS(K2169)*'Progetto del paramento slu'!$G$54,'Progetto del paramento slu'!$G$53)</f>
        <v>0</v>
      </c>
      <c r="F2169" s="553">
        <f>-'Foglio deposito bis'!$F$79*(C2169-sezione!$AM$35)*IF(ABS(L2169)&lt;'Progetto del paramento slu'!$G$58,ABS(L2169)*'Progetto del paramento slu'!$G$54,'Progetto del paramento slu'!$G$53)</f>
        <v>10136546.648079183</v>
      </c>
      <c r="G2169" s="553">
        <f>-'Foglio deposito bis'!$F$80*(C2169-sezione!$AN$35)*IF(ABS(M2169)&lt;'Progetto del paramento slu'!$G$58,ABS(M2169)*'Progetto del paramento slu'!$G$54,'Progetto del paramento slu'!$G$53)</f>
        <v>0</v>
      </c>
      <c r="H2169" s="553">
        <f>-'Foglio deposito bis'!$F$81*(C2169-sezione!$AO$35)*IF(ABS(N2169)&lt;'Progetto del paramento slu'!$G$58,ABS(N2169)*'Progetto del paramento slu'!$G$54,'Progetto del paramento slu'!$G$53)</f>
        <v>101950798.20725121</v>
      </c>
      <c r="I2169" s="479">
        <f>-'Foglio deposito bis'!$F$82*(C2169-sezione!$AP$35)*IF(ABS(O2169)&lt;'Progetto del paramento slu'!$G$58,ABS(O2169)*'Progetto del paramento slu'!$G$54,'Progetto del paramento slu'!$G$53)</f>
        <v>157053590.16765752</v>
      </c>
      <c r="J2169" s="479">
        <f t="shared" si="157"/>
        <v>211007929.21451443</v>
      </c>
      <c r="K2169" s="558">
        <f>'Progetto del paramento slu'!$G$60*(sezione!$AL$35-C2169)/C2169</f>
        <v>-1.8340217750091061E-3</v>
      </c>
      <c r="L2169" s="558">
        <f>'Progetto del paramento slu'!$G$60*(sezione!$AM$35-C2169)/C2169</f>
        <v>2.747418343715852E-3</v>
      </c>
      <c r="M2169" s="559">
        <f>'Progetto del paramento slu'!$G$60*(sezione!$AN$35-C2169)/C2169</f>
        <v>7.3288584624408111E-3</v>
      </c>
      <c r="N2169" s="559">
        <f>'Progetto del paramento slu'!$G$60*(sezione!$AO$35-C2169)/C2169</f>
        <v>1.0660814912422599E-2</v>
      </c>
      <c r="O2169" s="559">
        <f>'Progetto del paramento slu'!$G$60*(sezione!$AP$35-C2169)/C2169</f>
        <v>7.3291908571347323E-3</v>
      </c>
      <c r="P2169" s="553">
        <f>-'Progetto del paramento slu'!$G$47*'Progetto del paramento slu'!$G$41*IF(DATI!$G$218="dx",DATI!$E$61,DATI!$E$64*DATI!$E$63)*1000*C2169*sezione!$AD$5</f>
        <v>-1184544.0536960119</v>
      </c>
      <c r="Q2169" s="553">
        <f>'Foglio deposito bis'!$F$78*IF(ABS(K2169)&lt;'Progetto del paramento slu'!$G$58,ABS(K2169)*'Progetto del paramento slu'!$G$54,'Progetto del paramento slu'!$G$53)*IF(K2169&lt;0,-1,1)</f>
        <v>0</v>
      </c>
      <c r="R2169" s="553">
        <f>'Foglio deposito bis'!$F$79*IF(ABS(L2169)&lt;'Progetto del paramento slu'!$G$58,ABS(L2169)*'Progetto del paramento slu'!$G$54,'Progetto del paramento slu'!$G$53)*IF(L2169&lt;0,-1,1)</f>
        <v>153664.85805602249</v>
      </c>
      <c r="S2169" s="553">
        <f>'Foglio deposito bis'!$F$80*IF(ABS(M2169)&lt;'Progetto del paramento slu'!$G$58,ABS(M2169)*'Progetto del paramento slu'!$G$54,'Progetto del paramento slu'!$G$53)*IF(M2169&lt;0,-1,1)</f>
        <v>0</v>
      </c>
      <c r="T2169" s="553">
        <f>'Foglio deposito bis'!$F$81*IF(ABS(N2169)&lt;'Progetto del paramento slu'!$G$58,ABS(N2169)*'Progetto del paramento slu'!$G$54,'Progetto del paramento slu'!$G$53)*IF(N2169&lt;0,-1,1)</f>
        <v>398299.31208121032</v>
      </c>
      <c r="U2169" s="553">
        <f>'Foglio deposito bis'!$F$82*IF(ABS(O2169)&lt;'Progetto del paramento slu'!$G$58,ABS(O2169)*'Progetto del paramento slu'!$G$54,'Progetto del paramento slu'!$G$53)*IF(O2169&lt;0,-1,1)</f>
        <v>892485.49558937876</v>
      </c>
      <c r="V2169" s="479">
        <f t="shared" si="159"/>
        <v>259905.61203059973</v>
      </c>
      <c r="W2169" s="559"/>
      <c r="X2169" s="559"/>
    </row>
    <row r="2170" spans="1:24" x14ac:dyDescent="0.25">
      <c r="A2170" s="553">
        <f t="shared" si="158"/>
        <v>248460.74194658012</v>
      </c>
      <c r="B2170" s="3">
        <f t="shared" si="160"/>
        <v>20.899999999999949</v>
      </c>
      <c r="C2170" s="553">
        <f>'Foglio deposito bis'!$E$161/sezione!$B$247*B2170</f>
        <v>84.846641381284286</v>
      </c>
      <c r="D2170" s="611">
        <f>-'Progetto del paramento slu'!$G$47*'Progetto del paramento slu'!$G$41*IF(DATI!$G$218="dx",DATI!$E$61,DATI!$E$64*DATI!$E$63)*1000*C2170^2*sezione!$AD$5*(1-sezione!$AD$6)</f>
        <v>-59261775.69418025</v>
      </c>
      <c r="E2170" s="553">
        <f>-'Foglio deposito bis'!$F$78*(C2170-sezione!$AL$35)*IF(ABS(K2170)&lt;'Progetto del paramento slu'!$G$58,ABS(K2170)*'Progetto del paramento slu'!$G$54,'Progetto del paramento slu'!$G$53)</f>
        <v>0</v>
      </c>
      <c r="F2170" s="553">
        <f>-'Foglio deposito bis'!$F$79*(C2170-sezione!$AM$35)*IF(ABS(L2170)&lt;'Progetto del paramento slu'!$G$58,ABS(L2170)*'Progetto del paramento slu'!$G$54,'Progetto del paramento slu'!$G$53)</f>
        <v>10011781.604018081</v>
      </c>
      <c r="G2170" s="553">
        <f>-'Foglio deposito bis'!$F$80*(C2170-sezione!$AN$35)*IF(ABS(M2170)&lt;'Progetto del paramento slu'!$G$58,ABS(M2170)*'Progetto del paramento slu'!$G$54,'Progetto del paramento slu'!$G$53)</f>
        <v>0</v>
      </c>
      <c r="H2170" s="553">
        <f>-'Foglio deposito bis'!$F$81*(C2170-sezione!$AO$35)*IF(ABS(N2170)&lt;'Progetto del paramento slu'!$G$58,ABS(N2170)*'Progetto del paramento slu'!$G$54,'Progetto del paramento slu'!$G$53)</f>
        <v>101627407.21304482</v>
      </c>
      <c r="I2170" s="479">
        <f>-'Foglio deposito bis'!$F$82*(C2170-sezione!$AP$35)*IF(ABS(O2170)&lt;'Progetto del paramento slu'!$G$58,ABS(O2170)*'Progetto del paramento slu'!$G$54,'Progetto del paramento slu'!$G$53)</f>
        <v>156328954.79175064</v>
      </c>
      <c r="J2170" s="479">
        <f t="shared" si="157"/>
        <v>208706367.91463327</v>
      </c>
      <c r="K2170" s="558">
        <f>'Progetto del paramento slu'!$G$60*(sezione!$AL$35-C2170)/C2170</f>
        <v>-1.8499641503678707E-3</v>
      </c>
      <c r="L2170" s="558">
        <f>'Progetto del paramento slu'!$G$60*(sezione!$AM$35-C2170)/C2170</f>
        <v>2.6876344361204852E-3</v>
      </c>
      <c r="M2170" s="559">
        <f>'Progetto del paramento slu'!$G$60*(sezione!$AN$35-C2170)/C2170</f>
        <v>7.2252330226088412E-3</v>
      </c>
      <c r="N2170" s="559">
        <f>'Progetto del paramento slu'!$G$60*(sezione!$AO$35-C2170)/C2170</f>
        <v>1.05253047218731E-2</v>
      </c>
      <c r="O2170" s="559">
        <f>'Progetto del paramento slu'!$G$60*(sezione!$AP$35-C2170)/C2170</f>
        <v>7.2255622364922941E-3</v>
      </c>
      <c r="P2170" s="553">
        <f>-'Progetto del paramento slu'!$G$47*'Progetto del paramento slu'!$G$41*IF(DATI!$G$218="dx",DATI!$E$61,DATI!$E$64*DATI!$E$63)*1000*C2170*sezione!$AD$5</f>
        <v>-1195988.9237800315</v>
      </c>
      <c r="Q2170" s="553">
        <f>'Foglio deposito bis'!$F$78*IF(ABS(K2170)&lt;'Progetto del paramento slu'!$G$58,ABS(K2170)*'Progetto del paramento slu'!$G$54,'Progetto del paramento slu'!$G$53)*IF(K2170&lt;0,-1,1)</f>
        <v>0</v>
      </c>
      <c r="R2170" s="553">
        <f>'Foglio deposito bis'!$F$79*IF(ABS(L2170)&lt;'Progetto del paramento slu'!$G$58,ABS(L2170)*'Progetto del paramento slu'!$G$54,'Progetto del paramento slu'!$G$53)*IF(L2170&lt;0,-1,1)</f>
        <v>153664.85805602249</v>
      </c>
      <c r="S2170" s="553">
        <f>'Foglio deposito bis'!$F$80*IF(ABS(M2170)&lt;'Progetto del paramento slu'!$G$58,ABS(M2170)*'Progetto del paramento slu'!$G$54,'Progetto del paramento slu'!$G$53)*IF(M2170&lt;0,-1,1)</f>
        <v>0</v>
      </c>
      <c r="T2170" s="553">
        <f>'Foglio deposito bis'!$F$81*IF(ABS(N2170)&lt;'Progetto del paramento slu'!$G$58,ABS(N2170)*'Progetto del paramento slu'!$G$54,'Progetto del paramento slu'!$G$53)*IF(N2170&lt;0,-1,1)</f>
        <v>398299.31208121032</v>
      </c>
      <c r="U2170" s="553">
        <f>'Foglio deposito bis'!$F$82*IF(ABS(O2170)&lt;'Progetto del paramento slu'!$G$58,ABS(O2170)*'Progetto del paramento slu'!$G$54,'Progetto del paramento slu'!$G$53)*IF(O2170&lt;0,-1,1)</f>
        <v>892485.49558937876</v>
      </c>
      <c r="V2170" s="479">
        <f t="shared" si="159"/>
        <v>248460.74194658012</v>
      </c>
      <c r="W2170" s="559"/>
      <c r="X2170" s="559"/>
    </row>
    <row r="2171" spans="1:24" x14ac:dyDescent="0.25">
      <c r="A2171" s="553">
        <f t="shared" si="158"/>
        <v>237015.87186256074</v>
      </c>
      <c r="B2171" s="3">
        <f t="shared" si="160"/>
        <v>21.099999999999948</v>
      </c>
      <c r="C2171" s="553">
        <f>'Foglio deposito bis'!$E$161/sezione!$B$247*B2171</f>
        <v>85.658570963880308</v>
      </c>
      <c r="D2171" s="611">
        <f>-'Progetto del paramento slu'!$G$47*'Progetto del paramento slu'!$G$41*IF(DATI!$G$218="dx",DATI!$E$61,DATI!$E$64*DATI!$E$63)*1000*C2171^2*sezione!$AD$5*(1-sezione!$AD$6)</f>
        <v>-60401399.136480369</v>
      </c>
      <c r="E2171" s="553">
        <f>-'Foglio deposito bis'!$F$78*(C2171-sezione!$AL$35)*IF(ABS(K2171)&lt;'Progetto del paramento slu'!$G$58,ABS(K2171)*'Progetto del paramento slu'!$G$54,'Progetto del paramento slu'!$G$53)</f>
        <v>0</v>
      </c>
      <c r="F2171" s="553">
        <f>-'Foglio deposito bis'!$F$79*(C2171-sezione!$AM$35)*IF(ABS(L2171)&lt;'Progetto del paramento slu'!$G$58,ABS(L2171)*'Progetto del paramento slu'!$G$54,'Progetto del paramento slu'!$G$53)</f>
        <v>9887016.5599569771</v>
      </c>
      <c r="G2171" s="553">
        <f>-'Foglio deposito bis'!$F$80*(C2171-sezione!$AN$35)*IF(ABS(M2171)&lt;'Progetto del paramento slu'!$G$58,ABS(M2171)*'Progetto del paramento slu'!$G$54,'Progetto del paramento slu'!$G$53)</f>
        <v>0</v>
      </c>
      <c r="H2171" s="553">
        <f>-'Foglio deposito bis'!$F$81*(C2171-sezione!$AO$35)*IF(ABS(N2171)&lt;'Progetto del paramento slu'!$G$58,ABS(N2171)*'Progetto del paramento slu'!$G$54,'Progetto del paramento slu'!$G$53)</f>
        <v>101304016.21883844</v>
      </c>
      <c r="I2171" s="479">
        <f>-'Foglio deposito bis'!$F$82*(C2171-sezione!$AP$35)*IF(ABS(O2171)&lt;'Progetto del paramento slu'!$G$58,ABS(O2171)*'Progetto del paramento slu'!$G$54,'Progetto del paramento slu'!$G$53)</f>
        <v>155604319.41584373</v>
      </c>
      <c r="J2171" s="479">
        <f t="shared" si="157"/>
        <v>206393953.05815876</v>
      </c>
      <c r="K2171" s="558">
        <f>'Progetto del paramento slu'!$G$60*(sezione!$AL$35-C2171)/C2171</f>
        <v>-1.8656043006013508E-3</v>
      </c>
      <c r="L2171" s="558">
        <f>'Progetto del paramento slu'!$G$60*(sezione!$AM$35-C2171)/C2171</f>
        <v>2.6289838727449354E-3</v>
      </c>
      <c r="M2171" s="559">
        <f>'Progetto del paramento slu'!$G$60*(sezione!$AN$35-C2171)/C2171</f>
        <v>7.123572046091221E-3</v>
      </c>
      <c r="N2171" s="559">
        <f>'Progetto del paramento slu'!$G$60*(sezione!$AO$35-C2171)/C2171</f>
        <v>1.039236344488852E-2</v>
      </c>
      <c r="O2171" s="559">
        <f>'Progetto del paramento slu'!$G$60*(sezione!$AP$35-C2171)/C2171</f>
        <v>7.1238981394639309E-3</v>
      </c>
      <c r="P2171" s="553">
        <f>-'Progetto del paramento slu'!$G$47*'Progetto del paramento slu'!$G$41*IF(DATI!$G$218="dx",DATI!$E$61,DATI!$E$64*DATI!$E$63)*1000*C2171*sezione!$AD$5</f>
        <v>-1207433.7938640509</v>
      </c>
      <c r="Q2171" s="553">
        <f>'Foglio deposito bis'!$F$78*IF(ABS(K2171)&lt;'Progetto del paramento slu'!$G$58,ABS(K2171)*'Progetto del paramento slu'!$G$54,'Progetto del paramento slu'!$G$53)*IF(K2171&lt;0,-1,1)</f>
        <v>0</v>
      </c>
      <c r="R2171" s="553">
        <f>'Foglio deposito bis'!$F$79*IF(ABS(L2171)&lt;'Progetto del paramento slu'!$G$58,ABS(L2171)*'Progetto del paramento slu'!$G$54,'Progetto del paramento slu'!$G$53)*IF(L2171&lt;0,-1,1)</f>
        <v>153664.85805602249</v>
      </c>
      <c r="S2171" s="553">
        <f>'Foglio deposito bis'!$F$80*IF(ABS(M2171)&lt;'Progetto del paramento slu'!$G$58,ABS(M2171)*'Progetto del paramento slu'!$G$54,'Progetto del paramento slu'!$G$53)*IF(M2171&lt;0,-1,1)</f>
        <v>0</v>
      </c>
      <c r="T2171" s="553">
        <f>'Foglio deposito bis'!$F$81*IF(ABS(N2171)&lt;'Progetto del paramento slu'!$G$58,ABS(N2171)*'Progetto del paramento slu'!$G$54,'Progetto del paramento slu'!$G$53)*IF(N2171&lt;0,-1,1)</f>
        <v>398299.31208121032</v>
      </c>
      <c r="U2171" s="553">
        <f>'Foglio deposito bis'!$F$82*IF(ABS(O2171)&lt;'Progetto del paramento slu'!$G$58,ABS(O2171)*'Progetto del paramento slu'!$G$54,'Progetto del paramento slu'!$G$53)*IF(O2171&lt;0,-1,1)</f>
        <v>892485.49558937876</v>
      </c>
      <c r="V2171" s="479">
        <f t="shared" si="159"/>
        <v>237015.87186256074</v>
      </c>
      <c r="W2171" s="559"/>
      <c r="X2171" s="559"/>
    </row>
    <row r="2172" spans="1:24" x14ac:dyDescent="0.25">
      <c r="A2172" s="553">
        <f t="shared" si="158"/>
        <v>225571.0017785416</v>
      </c>
      <c r="B2172" s="3">
        <f t="shared" si="160"/>
        <v>21.299999999999947</v>
      </c>
      <c r="C2172" s="553">
        <f>'Foglio deposito bis'!$E$161/sezione!$B$247*B2172</f>
        <v>86.470500546476316</v>
      </c>
      <c r="D2172" s="611">
        <f>-'Progetto del paramento slu'!$G$47*'Progetto del paramento slu'!$G$41*IF(DATI!$G$218="dx",DATI!$E$61,DATI!$E$64*DATI!$E$63)*1000*C2172^2*sezione!$AD$5*(1-sezione!$AD$6)</f>
        <v>-61551876.135373794</v>
      </c>
      <c r="E2172" s="553">
        <f>-'Foglio deposito bis'!$F$78*(C2172-sezione!$AL$35)*IF(ABS(K2172)&lt;'Progetto del paramento slu'!$G$58,ABS(K2172)*'Progetto del paramento slu'!$G$54,'Progetto del paramento slu'!$G$53)</f>
        <v>0</v>
      </c>
      <c r="F2172" s="553">
        <f>-'Foglio deposito bis'!$F$79*(C2172-sezione!$AM$35)*IF(ABS(L2172)&lt;'Progetto del paramento slu'!$G$58,ABS(L2172)*'Progetto del paramento slu'!$G$54,'Progetto del paramento slu'!$G$53)</f>
        <v>9762251.5158958752</v>
      </c>
      <c r="G2172" s="553">
        <f>-'Foglio deposito bis'!$F$80*(C2172-sezione!$AN$35)*IF(ABS(M2172)&lt;'Progetto del paramento slu'!$G$58,ABS(M2172)*'Progetto del paramento slu'!$G$54,'Progetto del paramento slu'!$G$53)</f>
        <v>0</v>
      </c>
      <c r="H2172" s="553">
        <f>-'Foglio deposito bis'!$F$81*(C2172-sezione!$AO$35)*IF(ABS(N2172)&lt;'Progetto del paramento slu'!$G$58,ABS(N2172)*'Progetto del paramento slu'!$G$54,'Progetto del paramento slu'!$G$53)</f>
        <v>100980625.22463207</v>
      </c>
      <c r="I2172" s="479">
        <f>-'Foglio deposito bis'!$F$82*(C2172-sezione!$AP$35)*IF(ABS(O2172)&lt;'Progetto del paramento slu'!$G$58,ABS(O2172)*'Progetto del paramento slu'!$G$54,'Progetto del paramento slu'!$G$53)</f>
        <v>154879684.03993684</v>
      </c>
      <c r="J2172" s="479">
        <f t="shared" si="157"/>
        <v>204070684.645091</v>
      </c>
      <c r="K2172" s="558">
        <f>'Progetto del paramento slu'!$G$60*(sezione!$AL$35-C2172)/C2172</f>
        <v>-1.8809507390933566E-3</v>
      </c>
      <c r="L2172" s="558">
        <f>'Progetto del paramento slu'!$G$60*(sezione!$AM$35-C2172)/C2172</f>
        <v>2.5714347283999133E-3</v>
      </c>
      <c r="M2172" s="559">
        <f>'Progetto del paramento slu'!$G$60*(sezione!$AN$35-C2172)/C2172</f>
        <v>7.0238201958931828E-3</v>
      </c>
      <c r="N2172" s="559">
        <f>'Progetto del paramento slu'!$G$60*(sezione!$AO$35-C2172)/C2172</f>
        <v>1.0261918717706471E-2</v>
      </c>
      <c r="O2172" s="559">
        <f>'Progetto del paramento slu'!$G$60*(sezione!$AP$35-C2172)/C2172</f>
        <v>7.0241432273562884E-3</v>
      </c>
      <c r="P2172" s="553">
        <f>-'Progetto del paramento slu'!$G$47*'Progetto del paramento slu'!$G$41*IF(DATI!$G$218="dx",DATI!$E$61,DATI!$E$64*DATI!$E$63)*1000*C2172*sezione!$AD$5</f>
        <v>-1218878.66394807</v>
      </c>
      <c r="Q2172" s="553">
        <f>'Foglio deposito bis'!$F$78*IF(ABS(K2172)&lt;'Progetto del paramento slu'!$G$58,ABS(K2172)*'Progetto del paramento slu'!$G$54,'Progetto del paramento slu'!$G$53)*IF(K2172&lt;0,-1,1)</f>
        <v>0</v>
      </c>
      <c r="R2172" s="553">
        <f>'Foglio deposito bis'!$F$79*IF(ABS(L2172)&lt;'Progetto del paramento slu'!$G$58,ABS(L2172)*'Progetto del paramento slu'!$G$54,'Progetto del paramento slu'!$G$53)*IF(L2172&lt;0,-1,1)</f>
        <v>153664.85805602249</v>
      </c>
      <c r="S2172" s="553">
        <f>'Foglio deposito bis'!$F$80*IF(ABS(M2172)&lt;'Progetto del paramento slu'!$G$58,ABS(M2172)*'Progetto del paramento slu'!$G$54,'Progetto del paramento slu'!$G$53)*IF(M2172&lt;0,-1,1)</f>
        <v>0</v>
      </c>
      <c r="T2172" s="553">
        <f>'Foglio deposito bis'!$F$81*IF(ABS(N2172)&lt;'Progetto del paramento slu'!$G$58,ABS(N2172)*'Progetto del paramento slu'!$G$54,'Progetto del paramento slu'!$G$53)*IF(N2172&lt;0,-1,1)</f>
        <v>398299.31208121032</v>
      </c>
      <c r="U2172" s="553">
        <f>'Foglio deposito bis'!$F$82*IF(ABS(O2172)&lt;'Progetto del paramento slu'!$G$58,ABS(O2172)*'Progetto del paramento slu'!$G$54,'Progetto del paramento slu'!$G$53)*IF(O2172&lt;0,-1,1)</f>
        <v>892485.49558937876</v>
      </c>
      <c r="V2172" s="479">
        <f t="shared" si="159"/>
        <v>225571.0017785416</v>
      </c>
      <c r="W2172" s="559"/>
      <c r="X2172" s="559"/>
    </row>
    <row r="2173" spans="1:24" x14ac:dyDescent="0.25">
      <c r="A2173" s="553">
        <f t="shared" si="158"/>
        <v>214126.13169452199</v>
      </c>
      <c r="B2173" s="3">
        <f t="shared" si="160"/>
        <v>21.499999999999947</v>
      </c>
      <c r="C2173" s="553">
        <f>'Foglio deposito bis'!$E$161/sezione!$B$247*B2173</f>
        <v>87.282430129072338</v>
      </c>
      <c r="D2173" s="611">
        <f>-'Progetto del paramento slu'!$G$47*'Progetto del paramento slu'!$G$41*IF(DATI!$G$218="dx",DATI!$E$61,DATI!$E$64*DATI!$E$63)*1000*C2173^2*sezione!$AD$5*(1-sezione!$AD$6)</f>
        <v>-62713206.690860577</v>
      </c>
      <c r="E2173" s="553">
        <f>-'Foglio deposito bis'!$F$78*(C2173-sezione!$AL$35)*IF(ABS(K2173)&lt;'Progetto del paramento slu'!$G$58,ABS(K2173)*'Progetto del paramento slu'!$G$54,'Progetto del paramento slu'!$G$53)</f>
        <v>0</v>
      </c>
      <c r="F2173" s="553">
        <f>-'Foglio deposito bis'!$F$79*(C2173-sezione!$AM$35)*IF(ABS(L2173)&lt;'Progetto del paramento slu'!$G$58,ABS(L2173)*'Progetto del paramento slu'!$G$54,'Progetto del paramento slu'!$G$53)</f>
        <v>9637486.4718347713</v>
      </c>
      <c r="G2173" s="553">
        <f>-'Foglio deposito bis'!$F$80*(C2173-sezione!$AN$35)*IF(ABS(M2173)&lt;'Progetto del paramento slu'!$G$58,ABS(M2173)*'Progetto del paramento slu'!$G$54,'Progetto del paramento slu'!$G$53)</f>
        <v>0</v>
      </c>
      <c r="H2173" s="553">
        <f>-'Foglio deposito bis'!$F$81*(C2173-sezione!$AO$35)*IF(ABS(N2173)&lt;'Progetto del paramento slu'!$G$58,ABS(N2173)*'Progetto del paramento slu'!$G$54,'Progetto del paramento slu'!$G$53)</f>
        <v>100657234.2304257</v>
      </c>
      <c r="I2173" s="479">
        <f>-'Foglio deposito bis'!$F$82*(C2173-sezione!$AP$35)*IF(ABS(O2173)&lt;'Progetto del paramento slu'!$G$58,ABS(O2173)*'Progetto del paramento slu'!$G$54,'Progetto del paramento slu'!$G$53)</f>
        <v>154155048.66402999</v>
      </c>
      <c r="J2173" s="479">
        <f t="shared" si="157"/>
        <v>201736562.67542988</v>
      </c>
      <c r="K2173" s="558">
        <f>'Progetto del paramento slu'!$G$60*(sezione!$AL$35-C2173)/C2173</f>
        <v>-1.8960116624506277E-3</v>
      </c>
      <c r="L2173" s="558">
        <f>'Progetto del paramento slu'!$G$60*(sezione!$AM$35-C2173)/C2173</f>
        <v>2.5149562658101465E-3</v>
      </c>
      <c r="M2173" s="559">
        <f>'Progetto del paramento slu'!$G$60*(sezione!$AN$35-C2173)/C2173</f>
        <v>6.9259241940709208E-3</v>
      </c>
      <c r="N2173" s="559">
        <f>'Progetto del paramento slu'!$G$60*(sezione!$AO$35-C2173)/C2173</f>
        <v>1.0133900869169666E-2</v>
      </c>
      <c r="O2173" s="559">
        <f>'Progetto del paramento slu'!$G$60*(sezione!$AP$35-C2173)/C2173</f>
        <v>6.9262442205901848E-3</v>
      </c>
      <c r="P2173" s="553">
        <f>-'Progetto del paramento slu'!$G$47*'Progetto del paramento slu'!$G$41*IF(DATI!$G$218="dx",DATI!$E$61,DATI!$E$64*DATI!$E$63)*1000*C2173*sezione!$AD$5</f>
        <v>-1230323.5340320896</v>
      </c>
      <c r="Q2173" s="553">
        <f>'Foglio deposito bis'!$F$78*IF(ABS(K2173)&lt;'Progetto del paramento slu'!$G$58,ABS(K2173)*'Progetto del paramento slu'!$G$54,'Progetto del paramento slu'!$G$53)*IF(K2173&lt;0,-1,1)</f>
        <v>0</v>
      </c>
      <c r="R2173" s="553">
        <f>'Foglio deposito bis'!$F$79*IF(ABS(L2173)&lt;'Progetto del paramento slu'!$G$58,ABS(L2173)*'Progetto del paramento slu'!$G$54,'Progetto del paramento slu'!$G$53)*IF(L2173&lt;0,-1,1)</f>
        <v>153664.85805602249</v>
      </c>
      <c r="S2173" s="553">
        <f>'Foglio deposito bis'!$F$80*IF(ABS(M2173)&lt;'Progetto del paramento slu'!$G$58,ABS(M2173)*'Progetto del paramento slu'!$G$54,'Progetto del paramento slu'!$G$53)*IF(M2173&lt;0,-1,1)</f>
        <v>0</v>
      </c>
      <c r="T2173" s="553">
        <f>'Foglio deposito bis'!$F$81*IF(ABS(N2173)&lt;'Progetto del paramento slu'!$G$58,ABS(N2173)*'Progetto del paramento slu'!$G$54,'Progetto del paramento slu'!$G$53)*IF(N2173&lt;0,-1,1)</f>
        <v>398299.31208121032</v>
      </c>
      <c r="U2173" s="553">
        <f>'Foglio deposito bis'!$F$82*IF(ABS(O2173)&lt;'Progetto del paramento slu'!$G$58,ABS(O2173)*'Progetto del paramento slu'!$G$54,'Progetto del paramento slu'!$G$53)*IF(O2173&lt;0,-1,1)</f>
        <v>892485.49558937876</v>
      </c>
      <c r="V2173" s="479">
        <f t="shared" si="159"/>
        <v>214126.13169452199</v>
      </c>
      <c r="W2173" s="559"/>
      <c r="X2173" s="559"/>
    </row>
    <row r="2174" spans="1:24" x14ac:dyDescent="0.25">
      <c r="A2174" s="553">
        <f t="shared" si="158"/>
        <v>202681.26161050261</v>
      </c>
      <c r="B2174" s="3">
        <f t="shared" si="160"/>
        <v>21.699999999999946</v>
      </c>
      <c r="C2174" s="553">
        <f>'Foglio deposito bis'!$E$161/sezione!$B$247*B2174</f>
        <v>88.094359711668361</v>
      </c>
      <c r="D2174" s="611">
        <f>-'Progetto del paramento slu'!$G$47*'Progetto del paramento slu'!$G$41*IF(DATI!$G$218="dx",DATI!$E$61,DATI!$E$64*DATI!$E$63)*1000*C2174^2*sezione!$AD$5*(1-sezione!$AD$6)</f>
        <v>-63885390.802940704</v>
      </c>
      <c r="E2174" s="553">
        <f>-'Foglio deposito bis'!$F$78*(C2174-sezione!$AL$35)*IF(ABS(K2174)&lt;'Progetto del paramento slu'!$G$58,ABS(K2174)*'Progetto del paramento slu'!$G$54,'Progetto del paramento slu'!$G$53)</f>
        <v>0</v>
      </c>
      <c r="F2174" s="553">
        <f>-'Foglio deposito bis'!$F$79*(C2174-sezione!$AM$35)*IF(ABS(L2174)&lt;'Progetto del paramento slu'!$G$58,ABS(L2174)*'Progetto del paramento slu'!$G$54,'Progetto del paramento slu'!$G$53)</f>
        <v>9512721.4277736694</v>
      </c>
      <c r="G2174" s="553">
        <f>-'Foglio deposito bis'!$F$80*(C2174-sezione!$AN$35)*IF(ABS(M2174)&lt;'Progetto del paramento slu'!$G$58,ABS(M2174)*'Progetto del paramento slu'!$G$54,'Progetto del paramento slu'!$G$53)</f>
        <v>0</v>
      </c>
      <c r="H2174" s="553">
        <f>-'Foglio deposito bis'!$F$81*(C2174-sezione!$AO$35)*IF(ABS(N2174)&lt;'Progetto del paramento slu'!$G$58,ABS(N2174)*'Progetto del paramento slu'!$G$54,'Progetto del paramento slu'!$G$53)</f>
        <v>100333843.23621932</v>
      </c>
      <c r="I2174" s="479">
        <f>-'Foglio deposito bis'!$F$82*(C2174-sezione!$AP$35)*IF(ABS(O2174)&lt;'Progetto del paramento slu'!$G$58,ABS(O2174)*'Progetto del paramento slu'!$G$54,'Progetto del paramento slu'!$G$53)</f>
        <v>153430413.2881231</v>
      </c>
      <c r="J2174" s="479">
        <f t="shared" si="157"/>
        <v>199391587.14917538</v>
      </c>
      <c r="K2174" s="558">
        <f>'Progetto del paramento slu'!$G$60*(sezione!$AL$35-C2174)/C2174</f>
        <v>-1.910794965100852E-3</v>
      </c>
      <c r="L2174" s="558">
        <f>'Progetto del paramento slu'!$G$60*(sezione!$AM$35-C2174)/C2174</f>
        <v>2.4595188808718047E-3</v>
      </c>
      <c r="M2174" s="559">
        <f>'Progetto del paramento slu'!$G$60*(sezione!$AN$35-C2174)/C2174</f>
        <v>6.8298327268444614E-3</v>
      </c>
      <c r="N2174" s="559">
        <f>'Progetto del paramento slu'!$G$60*(sezione!$AO$35-C2174)/C2174</f>
        <v>1.0008242796642757E-2</v>
      </c>
      <c r="O2174" s="559">
        <f>'Progetto del paramento slu'!$G$60*(sezione!$AP$35-C2174)/C2174</f>
        <v>6.8301498038105526E-3</v>
      </c>
      <c r="P2174" s="553">
        <f>-'Progetto del paramento slu'!$G$47*'Progetto del paramento slu'!$G$41*IF(DATI!$G$218="dx",DATI!$E$61,DATI!$E$64*DATI!$E$63)*1000*C2174*sezione!$AD$5</f>
        <v>-1241768.404116109</v>
      </c>
      <c r="Q2174" s="553">
        <f>'Foglio deposito bis'!$F$78*IF(ABS(K2174)&lt;'Progetto del paramento slu'!$G$58,ABS(K2174)*'Progetto del paramento slu'!$G$54,'Progetto del paramento slu'!$G$53)*IF(K2174&lt;0,-1,1)</f>
        <v>0</v>
      </c>
      <c r="R2174" s="553">
        <f>'Foglio deposito bis'!$F$79*IF(ABS(L2174)&lt;'Progetto del paramento slu'!$G$58,ABS(L2174)*'Progetto del paramento slu'!$G$54,'Progetto del paramento slu'!$G$53)*IF(L2174&lt;0,-1,1)</f>
        <v>153664.85805602249</v>
      </c>
      <c r="S2174" s="553">
        <f>'Foglio deposito bis'!$F$80*IF(ABS(M2174)&lt;'Progetto del paramento slu'!$G$58,ABS(M2174)*'Progetto del paramento slu'!$G$54,'Progetto del paramento slu'!$G$53)*IF(M2174&lt;0,-1,1)</f>
        <v>0</v>
      </c>
      <c r="T2174" s="553">
        <f>'Foglio deposito bis'!$F$81*IF(ABS(N2174)&lt;'Progetto del paramento slu'!$G$58,ABS(N2174)*'Progetto del paramento slu'!$G$54,'Progetto del paramento slu'!$G$53)*IF(N2174&lt;0,-1,1)</f>
        <v>398299.31208121032</v>
      </c>
      <c r="U2174" s="553">
        <f>'Foglio deposito bis'!$F$82*IF(ABS(O2174)&lt;'Progetto del paramento slu'!$G$58,ABS(O2174)*'Progetto del paramento slu'!$G$54,'Progetto del paramento slu'!$G$53)*IF(O2174&lt;0,-1,1)</f>
        <v>892485.49558937876</v>
      </c>
      <c r="V2174" s="479">
        <f t="shared" si="159"/>
        <v>202681.26161050261</v>
      </c>
      <c r="W2174" s="559"/>
      <c r="X2174" s="559"/>
    </row>
    <row r="2175" spans="1:24" x14ac:dyDescent="0.25">
      <c r="A2175" s="553">
        <f t="shared" si="158"/>
        <v>191236.39152648323</v>
      </c>
      <c r="B2175" s="3">
        <f t="shared" si="160"/>
        <v>21.899999999999945</v>
      </c>
      <c r="C2175" s="553">
        <f>'Foglio deposito bis'!$E$161/sezione!$B$247*B2175</f>
        <v>88.906289294264383</v>
      </c>
      <c r="D2175" s="611">
        <f>-'Progetto del paramento slu'!$G$47*'Progetto del paramento slu'!$G$41*IF(DATI!$G$218="dx",DATI!$E$61,DATI!$E$64*DATI!$E$63)*1000*C2175^2*sezione!$AD$5*(1-sezione!$AD$6)</f>
        <v>-65068428.471614175</v>
      </c>
      <c r="E2175" s="553">
        <f>-'Foglio deposito bis'!$F$78*(C2175-sezione!$AL$35)*IF(ABS(K2175)&lt;'Progetto del paramento slu'!$G$58,ABS(K2175)*'Progetto del paramento slu'!$G$54,'Progetto del paramento slu'!$G$53)</f>
        <v>0</v>
      </c>
      <c r="F2175" s="553">
        <f>-'Foglio deposito bis'!$F$79*(C2175-sezione!$AM$35)*IF(ABS(L2175)&lt;'Progetto del paramento slu'!$G$58,ABS(L2175)*'Progetto del paramento slu'!$G$54,'Progetto del paramento slu'!$G$53)</f>
        <v>9387956.3837125655</v>
      </c>
      <c r="G2175" s="553">
        <f>-'Foglio deposito bis'!$F$80*(C2175-sezione!$AN$35)*IF(ABS(M2175)&lt;'Progetto del paramento slu'!$G$58,ABS(M2175)*'Progetto del paramento slu'!$G$54,'Progetto del paramento slu'!$G$53)</f>
        <v>0</v>
      </c>
      <c r="H2175" s="553">
        <f>-'Foglio deposito bis'!$F$81*(C2175-sezione!$AO$35)*IF(ABS(N2175)&lt;'Progetto del paramento slu'!$G$58,ABS(N2175)*'Progetto del paramento slu'!$G$54,'Progetto del paramento slu'!$G$53)</f>
        <v>100010452.24201293</v>
      </c>
      <c r="I2175" s="479">
        <f>-'Foglio deposito bis'!$F$82*(C2175-sezione!$AP$35)*IF(ABS(O2175)&lt;'Progetto del paramento slu'!$G$58,ABS(O2175)*'Progetto del paramento slu'!$G$54,'Progetto del paramento slu'!$G$53)</f>
        <v>152705777.91221619</v>
      </c>
      <c r="J2175" s="479">
        <f t="shared" si="157"/>
        <v>197035758.06632751</v>
      </c>
      <c r="K2175" s="558">
        <f>'Progetto del paramento slu'!$G$60*(sezione!$AL$35-C2175)/C2175</f>
        <v>-1.9253082530907987E-3</v>
      </c>
      <c r="L2175" s="558">
        <f>'Progetto del paramento slu'!$G$60*(sezione!$AM$35-C2175)/C2175</f>
        <v>2.4050940509095049E-3</v>
      </c>
      <c r="M2175" s="559">
        <f>'Progetto del paramento slu'!$G$60*(sezione!$AN$35-C2175)/C2175</f>
        <v>6.7354963549098087E-3</v>
      </c>
      <c r="N2175" s="559">
        <f>'Progetto del paramento slu'!$G$60*(sezione!$AO$35-C2175)/C2175</f>
        <v>9.8848798487282119E-3</v>
      </c>
      <c r="O2175" s="559">
        <f>'Progetto del paramento slu'!$G$60*(sezione!$AP$35-C2175)/C2175</f>
        <v>6.7358105361958439E-3</v>
      </c>
      <c r="P2175" s="553">
        <f>-'Progetto del paramento slu'!$G$47*'Progetto del paramento slu'!$G$41*IF(DATI!$G$218="dx",DATI!$E$61,DATI!$E$64*DATI!$E$63)*1000*C2175*sezione!$AD$5</f>
        <v>-1253213.2742001284</v>
      </c>
      <c r="Q2175" s="553">
        <f>'Foglio deposito bis'!$F$78*IF(ABS(K2175)&lt;'Progetto del paramento slu'!$G$58,ABS(K2175)*'Progetto del paramento slu'!$G$54,'Progetto del paramento slu'!$G$53)*IF(K2175&lt;0,-1,1)</f>
        <v>0</v>
      </c>
      <c r="R2175" s="553">
        <f>'Foglio deposito bis'!$F$79*IF(ABS(L2175)&lt;'Progetto del paramento slu'!$G$58,ABS(L2175)*'Progetto del paramento slu'!$G$54,'Progetto del paramento slu'!$G$53)*IF(L2175&lt;0,-1,1)</f>
        <v>153664.85805602249</v>
      </c>
      <c r="S2175" s="553">
        <f>'Foglio deposito bis'!$F$80*IF(ABS(M2175)&lt;'Progetto del paramento slu'!$G$58,ABS(M2175)*'Progetto del paramento slu'!$G$54,'Progetto del paramento slu'!$G$53)*IF(M2175&lt;0,-1,1)</f>
        <v>0</v>
      </c>
      <c r="T2175" s="553">
        <f>'Foglio deposito bis'!$F$81*IF(ABS(N2175)&lt;'Progetto del paramento slu'!$G$58,ABS(N2175)*'Progetto del paramento slu'!$G$54,'Progetto del paramento slu'!$G$53)*IF(N2175&lt;0,-1,1)</f>
        <v>398299.31208121032</v>
      </c>
      <c r="U2175" s="553">
        <f>'Foglio deposito bis'!$F$82*IF(ABS(O2175)&lt;'Progetto del paramento slu'!$G$58,ABS(O2175)*'Progetto del paramento slu'!$G$54,'Progetto del paramento slu'!$G$53)*IF(O2175&lt;0,-1,1)</f>
        <v>892485.49558937876</v>
      </c>
      <c r="V2175" s="479">
        <f t="shared" si="159"/>
        <v>191236.39152648323</v>
      </c>
      <c r="W2175" s="559"/>
      <c r="X2175" s="559"/>
    </row>
    <row r="2176" spans="1:24" x14ac:dyDescent="0.25">
      <c r="A2176" s="553">
        <f t="shared" si="158"/>
        <v>179791.52144246385</v>
      </c>
      <c r="B2176" s="3">
        <f t="shared" si="160"/>
        <v>22.099999999999945</v>
      </c>
      <c r="C2176" s="553">
        <f>'Foglio deposito bis'!$E$161/sezione!$B$247*B2176</f>
        <v>89.718218876860405</v>
      </c>
      <c r="D2176" s="611">
        <f>-'Progetto del paramento slu'!$G$47*'Progetto del paramento slu'!$G$41*IF(DATI!$G$218="dx",DATI!$E$61,DATI!$E$64*DATI!$E$63)*1000*C2176^2*sezione!$AD$5*(1-sezione!$AD$6)</f>
        <v>-66262319.696880959</v>
      </c>
      <c r="E2176" s="553">
        <f>-'Foglio deposito bis'!$F$78*(C2176-sezione!$AL$35)*IF(ABS(K2176)&lt;'Progetto del paramento slu'!$G$58,ABS(K2176)*'Progetto del paramento slu'!$G$54,'Progetto del paramento slu'!$G$53)</f>
        <v>0</v>
      </c>
      <c r="F2176" s="553">
        <f>-'Foglio deposito bis'!$F$79*(C2176-sezione!$AM$35)*IF(ABS(L2176)&lt;'Progetto del paramento slu'!$G$58,ABS(L2176)*'Progetto del paramento slu'!$G$54,'Progetto del paramento slu'!$G$53)</f>
        <v>9263191.3396514617</v>
      </c>
      <c r="G2176" s="553">
        <f>-'Foglio deposito bis'!$F$80*(C2176-sezione!$AN$35)*IF(ABS(M2176)&lt;'Progetto del paramento slu'!$G$58,ABS(M2176)*'Progetto del paramento slu'!$G$54,'Progetto del paramento slu'!$G$53)</f>
        <v>0</v>
      </c>
      <c r="H2176" s="553">
        <f>-'Foglio deposito bis'!$F$81*(C2176-sezione!$AO$35)*IF(ABS(N2176)&lt;'Progetto del paramento slu'!$G$58,ABS(N2176)*'Progetto del paramento slu'!$G$54,'Progetto del paramento slu'!$G$53)</f>
        <v>99687061.247806549</v>
      </c>
      <c r="I2176" s="479">
        <f>-'Foglio deposito bis'!$F$82*(C2176-sezione!$AP$35)*IF(ABS(O2176)&lt;'Progetto del paramento slu'!$G$58,ABS(O2176)*'Progetto del paramento slu'!$G$54,'Progetto del paramento slu'!$G$53)</f>
        <v>151981142.5363093</v>
      </c>
      <c r="J2176" s="479">
        <f t="shared" si="157"/>
        <v>194669075.42688635</v>
      </c>
      <c r="K2176" s="558">
        <f>'Progetto del paramento slu'!$G$60*(sezione!$AL$35-C2176)/C2176</f>
        <v>-1.9395588571352259E-3</v>
      </c>
      <c r="L2176" s="558">
        <f>'Progetto del paramento slu'!$G$60*(sezione!$AM$35-C2176)/C2176</f>
        <v>2.3516542857429028E-3</v>
      </c>
      <c r="M2176" s="559">
        <f>'Progetto del paramento slu'!$G$60*(sezione!$AN$35-C2176)/C2176</f>
        <v>6.6428674286210321E-3</v>
      </c>
      <c r="N2176" s="559">
        <f>'Progetto del paramento slu'!$G$60*(sezione!$AO$35-C2176)/C2176</f>
        <v>9.7637497143505791E-3</v>
      </c>
      <c r="O2176" s="559">
        <f>'Progetto del paramento slu'!$G$60*(sezione!$AP$35-C2176)/C2176</f>
        <v>6.6431787666375083E-3</v>
      </c>
      <c r="P2176" s="553">
        <f>-'Progetto del paramento slu'!$G$47*'Progetto del paramento slu'!$G$41*IF(DATI!$G$218="dx",DATI!$E$61,DATI!$E$64*DATI!$E$63)*1000*C2176*sezione!$AD$5</f>
        <v>-1264658.1442841478</v>
      </c>
      <c r="Q2176" s="553">
        <f>'Foglio deposito bis'!$F$78*IF(ABS(K2176)&lt;'Progetto del paramento slu'!$G$58,ABS(K2176)*'Progetto del paramento slu'!$G$54,'Progetto del paramento slu'!$G$53)*IF(K2176&lt;0,-1,1)</f>
        <v>0</v>
      </c>
      <c r="R2176" s="553">
        <f>'Foglio deposito bis'!$F$79*IF(ABS(L2176)&lt;'Progetto del paramento slu'!$G$58,ABS(L2176)*'Progetto del paramento slu'!$G$54,'Progetto del paramento slu'!$G$53)*IF(L2176&lt;0,-1,1)</f>
        <v>153664.85805602249</v>
      </c>
      <c r="S2176" s="553">
        <f>'Foglio deposito bis'!$F$80*IF(ABS(M2176)&lt;'Progetto del paramento slu'!$G$58,ABS(M2176)*'Progetto del paramento slu'!$G$54,'Progetto del paramento slu'!$G$53)*IF(M2176&lt;0,-1,1)</f>
        <v>0</v>
      </c>
      <c r="T2176" s="553">
        <f>'Foglio deposito bis'!$F$81*IF(ABS(N2176)&lt;'Progetto del paramento slu'!$G$58,ABS(N2176)*'Progetto del paramento slu'!$G$54,'Progetto del paramento slu'!$G$53)*IF(N2176&lt;0,-1,1)</f>
        <v>398299.31208121032</v>
      </c>
      <c r="U2176" s="553">
        <f>'Foglio deposito bis'!$F$82*IF(ABS(O2176)&lt;'Progetto del paramento slu'!$G$58,ABS(O2176)*'Progetto del paramento slu'!$G$54,'Progetto del paramento slu'!$G$53)*IF(O2176&lt;0,-1,1)</f>
        <v>892485.49558937876</v>
      </c>
      <c r="V2176" s="479">
        <f t="shared" si="159"/>
        <v>179791.52144246385</v>
      </c>
      <c r="W2176" s="559"/>
      <c r="X2176" s="559"/>
    </row>
    <row r="2177" spans="1:24" x14ac:dyDescent="0.25">
      <c r="A2177" s="553">
        <f t="shared" si="158"/>
        <v>168346.65135844448</v>
      </c>
      <c r="B2177" s="3">
        <f t="shared" si="160"/>
        <v>22.299999999999944</v>
      </c>
      <c r="C2177" s="553">
        <f>'Foglio deposito bis'!$E$161/sezione!$B$247*B2177</f>
        <v>90.530148459456427</v>
      </c>
      <c r="D2177" s="611">
        <f>-'Progetto del paramento slu'!$G$47*'Progetto del paramento slu'!$G$41*IF(DATI!$G$218="dx",DATI!$E$61,DATI!$E$64*DATI!$E$63)*1000*C2177^2*sezione!$AD$5*(1-sezione!$AD$6)</f>
        <v>-67467064.478741065</v>
      </c>
      <c r="E2177" s="553">
        <f>-'Foglio deposito bis'!$F$78*(C2177-sezione!$AL$35)*IF(ABS(K2177)&lt;'Progetto del paramento slu'!$G$58,ABS(K2177)*'Progetto del paramento slu'!$G$54,'Progetto del paramento slu'!$G$53)</f>
        <v>0</v>
      </c>
      <c r="F2177" s="553">
        <f>-'Foglio deposito bis'!$F$79*(C2177-sezione!$AM$35)*IF(ABS(L2177)&lt;'Progetto del paramento slu'!$G$58,ABS(L2177)*'Progetto del paramento slu'!$G$54,'Progetto del paramento slu'!$G$53)</f>
        <v>9138426.2955903597</v>
      </c>
      <c r="G2177" s="553">
        <f>-'Foglio deposito bis'!$F$80*(C2177-sezione!$AN$35)*IF(ABS(M2177)&lt;'Progetto del paramento slu'!$G$58,ABS(M2177)*'Progetto del paramento slu'!$G$54,'Progetto del paramento slu'!$G$53)</f>
        <v>0</v>
      </c>
      <c r="H2177" s="553">
        <f>-'Foglio deposito bis'!$F$81*(C2177-sezione!$AO$35)*IF(ABS(N2177)&lt;'Progetto del paramento slu'!$G$58,ABS(N2177)*'Progetto del paramento slu'!$G$54,'Progetto del paramento slu'!$G$53)</f>
        <v>99363670.25360018</v>
      </c>
      <c r="I2177" s="479">
        <f>-'Foglio deposito bis'!$F$82*(C2177-sezione!$AP$35)*IF(ABS(O2177)&lt;'Progetto del paramento slu'!$G$58,ABS(O2177)*'Progetto del paramento slu'!$G$54,'Progetto del paramento slu'!$G$53)</f>
        <v>151256507.16040242</v>
      </c>
      <c r="J2177" s="479">
        <f t="shared" si="157"/>
        <v>192291539.23085189</v>
      </c>
      <c r="K2177" s="558">
        <f>'Progetto del paramento slu'!$G$60*(sezione!$AL$35-C2177)/C2177</f>
        <v>-1.9535538449636097E-3</v>
      </c>
      <c r="L2177" s="558">
        <f>'Progetto del paramento slu'!$G$60*(sezione!$AM$35-C2177)/C2177</f>
        <v>2.2991730813864642E-3</v>
      </c>
      <c r="M2177" s="559">
        <f>'Progetto del paramento slu'!$G$60*(sezione!$AN$35-C2177)/C2177</f>
        <v>6.5519000077365382E-3</v>
      </c>
      <c r="N2177" s="559">
        <f>'Progetto del paramento slu'!$G$60*(sezione!$AO$35-C2177)/C2177</f>
        <v>9.6447923178093198E-3</v>
      </c>
      <c r="O2177" s="559">
        <f>'Progetto del paramento slu'!$G$60*(sezione!$AP$35-C2177)/C2177</f>
        <v>6.5522085534838095E-3</v>
      </c>
      <c r="P2177" s="553">
        <f>-'Progetto del paramento slu'!$G$47*'Progetto del paramento slu'!$G$41*IF(DATI!$G$218="dx",DATI!$E$61,DATI!$E$64*DATI!$E$63)*1000*C2177*sezione!$AD$5</f>
        <v>-1276103.0143681671</v>
      </c>
      <c r="Q2177" s="553">
        <f>'Foglio deposito bis'!$F$78*IF(ABS(K2177)&lt;'Progetto del paramento slu'!$G$58,ABS(K2177)*'Progetto del paramento slu'!$G$54,'Progetto del paramento slu'!$G$53)*IF(K2177&lt;0,-1,1)</f>
        <v>0</v>
      </c>
      <c r="R2177" s="553">
        <f>'Foglio deposito bis'!$F$79*IF(ABS(L2177)&lt;'Progetto del paramento slu'!$G$58,ABS(L2177)*'Progetto del paramento slu'!$G$54,'Progetto del paramento slu'!$G$53)*IF(L2177&lt;0,-1,1)</f>
        <v>153664.85805602249</v>
      </c>
      <c r="S2177" s="553">
        <f>'Foglio deposito bis'!$F$80*IF(ABS(M2177)&lt;'Progetto del paramento slu'!$G$58,ABS(M2177)*'Progetto del paramento slu'!$G$54,'Progetto del paramento slu'!$G$53)*IF(M2177&lt;0,-1,1)</f>
        <v>0</v>
      </c>
      <c r="T2177" s="553">
        <f>'Foglio deposito bis'!$F$81*IF(ABS(N2177)&lt;'Progetto del paramento slu'!$G$58,ABS(N2177)*'Progetto del paramento slu'!$G$54,'Progetto del paramento slu'!$G$53)*IF(N2177&lt;0,-1,1)</f>
        <v>398299.31208121032</v>
      </c>
      <c r="U2177" s="553">
        <f>'Foglio deposito bis'!$F$82*IF(ABS(O2177)&lt;'Progetto del paramento slu'!$G$58,ABS(O2177)*'Progetto del paramento slu'!$G$54,'Progetto del paramento slu'!$G$53)*IF(O2177&lt;0,-1,1)</f>
        <v>892485.49558937876</v>
      </c>
      <c r="V2177" s="479">
        <f t="shared" si="159"/>
        <v>168346.65135844448</v>
      </c>
      <c r="W2177" s="559"/>
      <c r="X2177" s="559"/>
    </row>
    <row r="2178" spans="1:24" x14ac:dyDescent="0.25">
      <c r="A2178" s="553">
        <f t="shared" si="158"/>
        <v>156901.78127442487</v>
      </c>
      <c r="B2178" s="3">
        <f t="shared" si="160"/>
        <v>22.499999999999943</v>
      </c>
      <c r="C2178" s="553">
        <f>'Foglio deposito bis'!$E$161/sezione!$B$247*B2178</f>
        <v>91.342078042052449</v>
      </c>
      <c r="D2178" s="611">
        <f>-'Progetto del paramento slu'!$G$47*'Progetto del paramento slu'!$G$41*IF(DATI!$G$218="dx",DATI!$E$61,DATI!$E$64*DATI!$E$63)*1000*C2178^2*sezione!$AD$5*(1-sezione!$AD$6)</f>
        <v>-68682662.817194536</v>
      </c>
      <c r="E2178" s="553">
        <f>-'Foglio deposito bis'!$F$78*(C2178-sezione!$AL$35)*IF(ABS(K2178)&lt;'Progetto del paramento slu'!$G$58,ABS(K2178)*'Progetto del paramento slu'!$G$54,'Progetto del paramento slu'!$G$53)</f>
        <v>0</v>
      </c>
      <c r="F2178" s="553">
        <f>-'Foglio deposito bis'!$F$79*(C2178-sezione!$AM$35)*IF(ABS(L2178)&lt;'Progetto del paramento slu'!$G$58,ABS(L2178)*'Progetto del paramento slu'!$G$54,'Progetto del paramento slu'!$G$53)</f>
        <v>9013661.2515292559</v>
      </c>
      <c r="G2178" s="553">
        <f>-'Foglio deposito bis'!$F$80*(C2178-sezione!$AN$35)*IF(ABS(M2178)&lt;'Progetto del paramento slu'!$G$58,ABS(M2178)*'Progetto del paramento slu'!$G$54,'Progetto del paramento slu'!$G$53)</f>
        <v>0</v>
      </c>
      <c r="H2178" s="553">
        <f>-'Foglio deposito bis'!$F$81*(C2178-sezione!$AO$35)*IF(ABS(N2178)&lt;'Progetto del paramento slu'!$G$58,ABS(N2178)*'Progetto del paramento slu'!$G$54,'Progetto del paramento slu'!$G$53)</f>
        <v>99040279.259393796</v>
      </c>
      <c r="I2178" s="479">
        <f>-'Foglio deposito bis'!$F$82*(C2178-sezione!$AP$35)*IF(ABS(O2178)&lt;'Progetto del paramento slu'!$G$58,ABS(O2178)*'Progetto del paramento slu'!$G$54,'Progetto del paramento slu'!$G$53)</f>
        <v>150531871.78449556</v>
      </c>
      <c r="J2178" s="479">
        <f t="shared" si="157"/>
        <v>189903149.47822407</v>
      </c>
      <c r="K2178" s="558">
        <f>'Progetto del paramento slu'!$G$60*(sezione!$AL$35-C2178)/C2178</f>
        <v>-1.9673000330083777E-3</v>
      </c>
      <c r="L2178" s="558">
        <f>'Progetto del paramento slu'!$G$60*(sezione!$AM$35-C2178)/C2178</f>
        <v>2.2476248762185844E-3</v>
      </c>
      <c r="M2178" s="559">
        <f>'Progetto del paramento slu'!$G$60*(sezione!$AN$35-C2178)/C2178</f>
        <v>6.4625497854455469E-3</v>
      </c>
      <c r="N2178" s="559">
        <f>'Progetto del paramento slu'!$G$60*(sezione!$AO$35-C2178)/C2178</f>
        <v>9.5279497194287934E-3</v>
      </c>
      <c r="O2178" s="559">
        <f>'Progetto del paramento slu'!$G$60*(sezione!$AP$35-C2178)/C2178</f>
        <v>6.4628555885639545E-3</v>
      </c>
      <c r="P2178" s="553">
        <f>-'Progetto del paramento slu'!$G$47*'Progetto del paramento slu'!$G$41*IF(DATI!$G$218="dx",DATI!$E$61,DATI!$E$64*DATI!$E$63)*1000*C2178*sezione!$AD$5</f>
        <v>-1287547.8844521868</v>
      </c>
      <c r="Q2178" s="553">
        <f>'Foglio deposito bis'!$F$78*IF(ABS(K2178)&lt;'Progetto del paramento slu'!$G$58,ABS(K2178)*'Progetto del paramento slu'!$G$54,'Progetto del paramento slu'!$G$53)*IF(K2178&lt;0,-1,1)</f>
        <v>0</v>
      </c>
      <c r="R2178" s="553">
        <f>'Foglio deposito bis'!$F$79*IF(ABS(L2178)&lt;'Progetto del paramento slu'!$G$58,ABS(L2178)*'Progetto del paramento slu'!$G$54,'Progetto del paramento slu'!$G$53)*IF(L2178&lt;0,-1,1)</f>
        <v>153664.85805602249</v>
      </c>
      <c r="S2178" s="553">
        <f>'Foglio deposito bis'!$F$80*IF(ABS(M2178)&lt;'Progetto del paramento slu'!$G$58,ABS(M2178)*'Progetto del paramento slu'!$G$54,'Progetto del paramento slu'!$G$53)*IF(M2178&lt;0,-1,1)</f>
        <v>0</v>
      </c>
      <c r="T2178" s="553">
        <f>'Foglio deposito bis'!$F$81*IF(ABS(N2178)&lt;'Progetto del paramento slu'!$G$58,ABS(N2178)*'Progetto del paramento slu'!$G$54,'Progetto del paramento slu'!$G$53)*IF(N2178&lt;0,-1,1)</f>
        <v>398299.31208121032</v>
      </c>
      <c r="U2178" s="553">
        <f>'Foglio deposito bis'!$F$82*IF(ABS(O2178)&lt;'Progetto del paramento slu'!$G$58,ABS(O2178)*'Progetto del paramento slu'!$G$54,'Progetto del paramento slu'!$G$53)*IF(O2178&lt;0,-1,1)</f>
        <v>892485.49558937876</v>
      </c>
      <c r="V2178" s="479">
        <f t="shared" si="159"/>
        <v>156901.78127442487</v>
      </c>
      <c r="W2178" s="559"/>
      <c r="X2178" s="559"/>
    </row>
    <row r="2179" spans="1:24" x14ac:dyDescent="0.25">
      <c r="A2179" s="553">
        <f t="shared" si="158"/>
        <v>145456.91119040549</v>
      </c>
      <c r="B2179" s="3">
        <f t="shared" si="160"/>
        <v>22.699999999999942</v>
      </c>
      <c r="C2179" s="553">
        <f>'Foglio deposito bis'!$E$161/sezione!$B$247*B2179</f>
        <v>92.154007624648472</v>
      </c>
      <c r="D2179" s="611">
        <f>-'Progetto del paramento slu'!$G$47*'Progetto del paramento slu'!$G$41*IF(DATI!$G$218="dx",DATI!$E$61,DATI!$E$64*DATI!$E$63)*1000*C2179^2*sezione!$AD$5*(1-sezione!$AD$6)</f>
        <v>-69909114.712241322</v>
      </c>
      <c r="E2179" s="553">
        <f>-'Foglio deposito bis'!$F$78*(C2179-sezione!$AL$35)*IF(ABS(K2179)&lt;'Progetto del paramento slu'!$G$58,ABS(K2179)*'Progetto del paramento slu'!$G$54,'Progetto del paramento slu'!$G$53)</f>
        <v>0</v>
      </c>
      <c r="F2179" s="553">
        <f>-'Foglio deposito bis'!$F$79*(C2179-sezione!$AM$35)*IF(ABS(L2179)&lt;'Progetto del paramento slu'!$G$58,ABS(L2179)*'Progetto del paramento slu'!$G$54,'Progetto del paramento slu'!$G$53)</f>
        <v>8888896.207468152</v>
      </c>
      <c r="G2179" s="553">
        <f>-'Foglio deposito bis'!$F$80*(C2179-sezione!$AN$35)*IF(ABS(M2179)&lt;'Progetto del paramento slu'!$G$58,ABS(M2179)*'Progetto del paramento slu'!$G$54,'Progetto del paramento slu'!$G$53)</f>
        <v>0</v>
      </c>
      <c r="H2179" s="553">
        <f>-'Foglio deposito bis'!$F$81*(C2179-sezione!$AO$35)*IF(ABS(N2179)&lt;'Progetto del paramento slu'!$G$58,ABS(N2179)*'Progetto del paramento slu'!$G$54,'Progetto del paramento slu'!$G$53)</f>
        <v>98716888.265187413</v>
      </c>
      <c r="I2179" s="479">
        <f>-'Foglio deposito bis'!$F$82*(C2179-sezione!$AP$35)*IF(ABS(O2179)&lt;'Progetto del paramento slu'!$G$58,ABS(O2179)*'Progetto del paramento slu'!$G$54,'Progetto del paramento slu'!$G$53)</f>
        <v>149807236.40858865</v>
      </c>
      <c r="J2179" s="479">
        <f t="shared" si="157"/>
        <v>187503906.16900289</v>
      </c>
      <c r="K2179" s="558">
        <f>'Progetto del paramento slu'!$G$60*(sezione!$AL$35-C2179)/C2179</f>
        <v>-1.980803997475264E-3</v>
      </c>
      <c r="L2179" s="558">
        <f>'Progetto del paramento slu'!$G$60*(sezione!$AM$35-C2179)/C2179</f>
        <v>2.1969850094677602E-3</v>
      </c>
      <c r="M2179" s="559">
        <f>'Progetto del paramento slu'!$G$60*(sezione!$AN$35-C2179)/C2179</f>
        <v>6.3747740164107839E-3</v>
      </c>
      <c r="N2179" s="559">
        <f>'Progetto del paramento slu'!$G$60*(sezione!$AO$35-C2179)/C2179</f>
        <v>9.413166021460256E-3</v>
      </c>
      <c r="O2179" s="559">
        <f>'Progetto del paramento slu'!$G$60*(sezione!$AP$35-C2179)/C2179</f>
        <v>6.3750771252285886E-3</v>
      </c>
      <c r="P2179" s="553">
        <f>-'Progetto del paramento slu'!$G$47*'Progetto del paramento slu'!$G$41*IF(DATI!$G$218="dx",DATI!$E$61,DATI!$E$64*DATI!$E$63)*1000*C2179*sezione!$AD$5</f>
        <v>-1298992.7545362061</v>
      </c>
      <c r="Q2179" s="553">
        <f>'Foglio deposito bis'!$F$78*IF(ABS(K2179)&lt;'Progetto del paramento slu'!$G$58,ABS(K2179)*'Progetto del paramento slu'!$G$54,'Progetto del paramento slu'!$G$53)*IF(K2179&lt;0,-1,1)</f>
        <v>0</v>
      </c>
      <c r="R2179" s="553">
        <f>'Foglio deposito bis'!$F$79*IF(ABS(L2179)&lt;'Progetto del paramento slu'!$G$58,ABS(L2179)*'Progetto del paramento slu'!$G$54,'Progetto del paramento slu'!$G$53)*IF(L2179&lt;0,-1,1)</f>
        <v>153664.85805602249</v>
      </c>
      <c r="S2179" s="553">
        <f>'Foglio deposito bis'!$F$80*IF(ABS(M2179)&lt;'Progetto del paramento slu'!$G$58,ABS(M2179)*'Progetto del paramento slu'!$G$54,'Progetto del paramento slu'!$G$53)*IF(M2179&lt;0,-1,1)</f>
        <v>0</v>
      </c>
      <c r="T2179" s="553">
        <f>'Foglio deposito bis'!$F$81*IF(ABS(N2179)&lt;'Progetto del paramento slu'!$G$58,ABS(N2179)*'Progetto del paramento slu'!$G$54,'Progetto del paramento slu'!$G$53)*IF(N2179&lt;0,-1,1)</f>
        <v>398299.31208121032</v>
      </c>
      <c r="U2179" s="553">
        <f>'Foglio deposito bis'!$F$82*IF(ABS(O2179)&lt;'Progetto del paramento slu'!$G$58,ABS(O2179)*'Progetto del paramento slu'!$G$54,'Progetto del paramento slu'!$G$53)*IF(O2179&lt;0,-1,1)</f>
        <v>892485.49558937876</v>
      </c>
      <c r="V2179" s="479">
        <f t="shared" si="159"/>
        <v>145456.91119040549</v>
      </c>
      <c r="W2179" s="559"/>
      <c r="X2179" s="559"/>
    </row>
    <row r="2180" spans="1:24" x14ac:dyDescent="0.25">
      <c r="A2180" s="553">
        <f t="shared" si="158"/>
        <v>134012.04110638611</v>
      </c>
      <c r="B2180" s="3">
        <f t="shared" si="160"/>
        <v>22.899999999999942</v>
      </c>
      <c r="C2180" s="553">
        <f>'Foglio deposito bis'!$E$161/sezione!$B$247*B2180</f>
        <v>92.965937207244494</v>
      </c>
      <c r="D2180" s="611">
        <f>-'Progetto del paramento slu'!$G$47*'Progetto del paramento slu'!$G$41*IF(DATI!$G$218="dx",DATI!$E$61,DATI!$E$64*DATI!$E$63)*1000*C2180^2*sezione!$AD$5*(1-sezione!$AD$6)</f>
        <v>-71146420.163881451</v>
      </c>
      <c r="E2180" s="553">
        <f>-'Foglio deposito bis'!$F$78*(C2180-sezione!$AL$35)*IF(ABS(K2180)&lt;'Progetto del paramento slu'!$G$58,ABS(K2180)*'Progetto del paramento slu'!$G$54,'Progetto del paramento slu'!$G$53)</f>
        <v>0</v>
      </c>
      <c r="F2180" s="553">
        <f>-'Foglio deposito bis'!$F$79*(C2180-sezione!$AM$35)*IF(ABS(L2180)&lt;'Progetto del paramento slu'!$G$58,ABS(L2180)*'Progetto del paramento slu'!$G$54,'Progetto del paramento slu'!$G$53)</f>
        <v>8764131.1634070482</v>
      </c>
      <c r="G2180" s="553">
        <f>-'Foglio deposito bis'!$F$80*(C2180-sezione!$AN$35)*IF(ABS(M2180)&lt;'Progetto del paramento slu'!$G$58,ABS(M2180)*'Progetto del paramento slu'!$G$54,'Progetto del paramento slu'!$G$53)</f>
        <v>0</v>
      </c>
      <c r="H2180" s="553">
        <f>-'Foglio deposito bis'!$F$81*(C2180-sezione!$AO$35)*IF(ABS(N2180)&lt;'Progetto del paramento slu'!$G$58,ABS(N2180)*'Progetto del paramento slu'!$G$54,'Progetto del paramento slu'!$G$53)</f>
        <v>98393497.270981029</v>
      </c>
      <c r="I2180" s="479">
        <f>-'Foglio deposito bis'!$F$82*(C2180-sezione!$AP$35)*IF(ABS(O2180)&lt;'Progetto del paramento slu'!$G$58,ABS(O2180)*'Progetto del paramento slu'!$G$54,'Progetto del paramento slu'!$G$53)</f>
        <v>149082601.03268173</v>
      </c>
      <c r="J2180" s="479">
        <f t="shared" si="157"/>
        <v>185093809.30318835</v>
      </c>
      <c r="K2180" s="558">
        <f>'Progetto del paramento slu'!$G$60*(sezione!$AL$35-C2180)/C2180</f>
        <v>-1.9940720848335585E-3</v>
      </c>
      <c r="L2180" s="558">
        <f>'Progetto del paramento slu'!$G$60*(sezione!$AM$35-C2180)/C2180</f>
        <v>2.1472296818741553E-3</v>
      </c>
      <c r="M2180" s="559">
        <f>'Progetto del paramento slu'!$G$60*(sezione!$AN$35-C2180)/C2180</f>
        <v>6.2885314485818687E-3</v>
      </c>
      <c r="N2180" s="559">
        <f>'Progetto del paramento slu'!$G$60*(sezione!$AO$35-C2180)/C2180</f>
        <v>9.3003872789147509E-3</v>
      </c>
      <c r="O2180" s="559">
        <f>'Progetto del paramento slu'!$G$60*(sezione!$AP$35-C2180)/C2180</f>
        <v>6.2888319101610897E-3</v>
      </c>
      <c r="P2180" s="553">
        <f>-'Progetto del paramento slu'!$G$47*'Progetto del paramento slu'!$G$41*IF(DATI!$G$218="dx",DATI!$E$61,DATI!$E$64*DATI!$E$63)*1000*C2180*sezione!$AD$5</f>
        <v>-1310437.6246202255</v>
      </c>
      <c r="Q2180" s="553">
        <f>'Foglio deposito bis'!$F$78*IF(ABS(K2180)&lt;'Progetto del paramento slu'!$G$58,ABS(K2180)*'Progetto del paramento slu'!$G$54,'Progetto del paramento slu'!$G$53)*IF(K2180&lt;0,-1,1)</f>
        <v>0</v>
      </c>
      <c r="R2180" s="553">
        <f>'Foglio deposito bis'!$F$79*IF(ABS(L2180)&lt;'Progetto del paramento slu'!$G$58,ABS(L2180)*'Progetto del paramento slu'!$G$54,'Progetto del paramento slu'!$G$53)*IF(L2180&lt;0,-1,1)</f>
        <v>153664.85805602249</v>
      </c>
      <c r="S2180" s="553">
        <f>'Foglio deposito bis'!$F$80*IF(ABS(M2180)&lt;'Progetto del paramento slu'!$G$58,ABS(M2180)*'Progetto del paramento slu'!$G$54,'Progetto del paramento slu'!$G$53)*IF(M2180&lt;0,-1,1)</f>
        <v>0</v>
      </c>
      <c r="T2180" s="553">
        <f>'Foglio deposito bis'!$F$81*IF(ABS(N2180)&lt;'Progetto del paramento slu'!$G$58,ABS(N2180)*'Progetto del paramento slu'!$G$54,'Progetto del paramento slu'!$G$53)*IF(N2180&lt;0,-1,1)</f>
        <v>398299.31208121032</v>
      </c>
      <c r="U2180" s="553">
        <f>'Foglio deposito bis'!$F$82*IF(ABS(O2180)&lt;'Progetto del paramento slu'!$G$58,ABS(O2180)*'Progetto del paramento slu'!$G$54,'Progetto del paramento slu'!$G$53)*IF(O2180&lt;0,-1,1)</f>
        <v>892485.49558937876</v>
      </c>
      <c r="V2180" s="479">
        <f t="shared" si="159"/>
        <v>134012.04110638611</v>
      </c>
      <c r="W2180" s="559"/>
      <c r="X2180" s="559"/>
    </row>
    <row r="2181" spans="1:24" x14ac:dyDescent="0.25">
      <c r="A2181" s="553">
        <f t="shared" si="158"/>
        <v>76787.690686288755</v>
      </c>
      <c r="B2181" s="3">
        <f t="shared" ref="B2181:B2231" si="161">B2180+1</f>
        <v>23.899999999999942</v>
      </c>
      <c r="C2181" s="553">
        <f>'Foglio deposito bis'!$E$161/sezione!$B$247*B2181</f>
        <v>97.025585120224605</v>
      </c>
      <c r="D2181" s="611">
        <f>-'Progetto del paramento slu'!$G$47*'Progetto del paramento slu'!$G$41*IF(DATI!$G$218="dx",DATI!$E$61,DATI!$E$64*DATI!$E$63)*1000*C2181^2*sezione!$AD$5*(1-sezione!$AD$6)</f>
        <v>-77495750.770982102</v>
      </c>
      <c r="E2181" s="553">
        <f>-'Foglio deposito bis'!$F$78*(C2181-sezione!$AL$35)*IF(ABS(K2181)&lt;'Progetto del paramento slu'!$G$58,ABS(K2181)*'Progetto del paramento slu'!$G$54,'Progetto del paramento slu'!$G$53)</f>
        <v>0</v>
      </c>
      <c r="F2181" s="553">
        <f>-'Foglio deposito bis'!$F$79*(C2181-sezione!$AM$35)*IF(ABS(L2181)&lt;'Progetto del paramento slu'!$G$58,ABS(L2181)*'Progetto del paramento slu'!$G$54,'Progetto del paramento slu'!$G$53)</f>
        <v>8140305.9431015318</v>
      </c>
      <c r="G2181" s="553">
        <f>-'Foglio deposito bis'!$F$80*(C2181-sezione!$AN$35)*IF(ABS(M2181)&lt;'Progetto del paramento slu'!$G$58,ABS(M2181)*'Progetto del paramento slu'!$G$54,'Progetto del paramento slu'!$G$53)</f>
        <v>0</v>
      </c>
      <c r="H2181" s="553">
        <f>-'Foglio deposito bis'!$F$81*(C2181-sezione!$AO$35)*IF(ABS(N2181)&lt;'Progetto del paramento slu'!$G$58,ABS(N2181)*'Progetto del paramento slu'!$G$54,'Progetto del paramento slu'!$G$53)</f>
        <v>96776542.299949124</v>
      </c>
      <c r="I2181" s="479">
        <f>-'Foglio deposito bis'!$F$82*(C2181-sezione!$AP$35)*IF(ABS(O2181)&lt;'Progetto del paramento slu'!$G$58,ABS(O2181)*'Progetto del paramento slu'!$G$54,'Progetto del paramento slu'!$G$53)</f>
        <v>145459424.15314731</v>
      </c>
      <c r="J2181" s="479">
        <f t="shared" ref="J2181:J2231" si="162">D2181+E2181+F2181+G2181+H2181+I2181</f>
        <v>172880521.62521586</v>
      </c>
      <c r="K2181" s="558">
        <f>'Progetto del paramento slu'!$G$60*(sezione!$AL$35-C2181)/C2181</f>
        <v>-2.0570816210329912E-3</v>
      </c>
      <c r="L2181" s="558">
        <f>'Progetto del paramento slu'!$G$60*(sezione!$AM$35-C2181)/C2181</f>
        <v>1.9109439211262825E-3</v>
      </c>
      <c r="M2181" s="559">
        <f>'Progetto del paramento slu'!$G$60*(sezione!$AN$35-C2181)/C2181</f>
        <v>5.8789694632855561E-3</v>
      </c>
      <c r="N2181" s="559">
        <f>'Progetto del paramento slu'!$G$60*(sezione!$AO$35-C2181)/C2181</f>
        <v>8.7648062212195739E-3</v>
      </c>
      <c r="O2181" s="559">
        <f>'Progetto del paramento slu'!$G$60*(sezione!$AP$35-C2181)/C2181</f>
        <v>5.8792573532505839E-3</v>
      </c>
      <c r="P2181" s="553">
        <f>-'Progetto del paramento slu'!$G$47*'Progetto del paramento slu'!$G$41*IF(DATI!$G$218="dx",DATI!$E$61,DATI!$E$64*DATI!$E$63)*1000*C2181*sezione!$AD$5</f>
        <v>-1367661.9750403229</v>
      </c>
      <c r="Q2181" s="553">
        <f>'Foglio deposito bis'!$F$78*IF(ABS(K2181)&lt;'Progetto del paramento slu'!$G$58,ABS(K2181)*'Progetto del paramento slu'!$G$54,'Progetto del paramento slu'!$G$53)*IF(K2181&lt;0,-1,1)</f>
        <v>0</v>
      </c>
      <c r="R2181" s="553">
        <f>'Foglio deposito bis'!$F$79*IF(ABS(L2181)&lt;'Progetto del paramento slu'!$G$58,ABS(L2181)*'Progetto del paramento slu'!$G$54,'Progetto del paramento slu'!$G$53)*IF(L2181&lt;0,-1,1)</f>
        <v>153664.85805602249</v>
      </c>
      <c r="S2181" s="553">
        <f>'Foglio deposito bis'!$F$80*IF(ABS(M2181)&lt;'Progetto del paramento slu'!$G$58,ABS(M2181)*'Progetto del paramento slu'!$G$54,'Progetto del paramento slu'!$G$53)*IF(M2181&lt;0,-1,1)</f>
        <v>0</v>
      </c>
      <c r="T2181" s="553">
        <f>'Foglio deposito bis'!$F$81*IF(ABS(N2181)&lt;'Progetto del paramento slu'!$G$58,ABS(N2181)*'Progetto del paramento slu'!$G$54,'Progetto del paramento slu'!$G$53)*IF(N2181&lt;0,-1,1)</f>
        <v>398299.31208121032</v>
      </c>
      <c r="U2181" s="553">
        <f>'Foglio deposito bis'!$F$82*IF(ABS(O2181)&lt;'Progetto del paramento slu'!$G$58,ABS(O2181)*'Progetto del paramento slu'!$G$54,'Progetto del paramento slu'!$G$53)*IF(O2181&lt;0,-1,1)</f>
        <v>892485.49558937876</v>
      </c>
      <c r="V2181" s="479">
        <f t="shared" si="159"/>
        <v>76787.690686288755</v>
      </c>
      <c r="W2181" s="559"/>
      <c r="X2181" s="559"/>
    </row>
    <row r="2182" spans="1:24" x14ac:dyDescent="0.25">
      <c r="A2182" s="553">
        <f t="shared" ref="A2182:A2231" si="163">ABS(V2182)</f>
        <v>2906.9541544804815</v>
      </c>
      <c r="B2182" s="3">
        <f t="shared" si="161"/>
        <v>24.899999999999942</v>
      </c>
      <c r="C2182" s="553">
        <f>'Foglio deposito bis'!$E$161/sezione!$B$247*B2182</f>
        <v>101.08523303320473</v>
      </c>
      <c r="D2182" s="611">
        <f>-'Progetto del paramento slu'!$G$47*'Progetto del paramento slu'!$G$41*IF(DATI!$G$218="dx",DATI!$E$61,DATI!$E$64*DATI!$E$63)*1000*C2182^2*sezione!$AD$5*(1-sezione!$AD$6)</f>
        <v>-84116420.292916149</v>
      </c>
      <c r="E2182" s="553">
        <f>-'Foglio deposito bis'!$F$78*(C2182-sezione!$AL$35)*IF(ABS(K2182)&lt;'Progetto del paramento slu'!$G$58,ABS(K2182)*'Progetto del paramento slu'!$G$54,'Progetto del paramento slu'!$G$53)</f>
        <v>0</v>
      </c>
      <c r="F2182" s="553">
        <f>-'Foglio deposito bis'!$F$79*(C2182-sezione!$AM$35)*IF(ABS(L2182)&lt;'Progetto del paramento slu'!$G$58,ABS(L2182)*'Progetto del paramento slu'!$G$54,'Progetto del paramento slu'!$G$53)</f>
        <v>6701737.4776327088</v>
      </c>
      <c r="G2182" s="553">
        <f>-'Foglio deposito bis'!$F$80*(C2182-sezione!$AN$35)*IF(ABS(M2182)&lt;'Progetto del paramento slu'!$G$58,ABS(M2182)*'Progetto del paramento slu'!$G$54,'Progetto del paramento slu'!$G$53)</f>
        <v>0</v>
      </c>
      <c r="H2182" s="553">
        <f>-'Foglio deposito bis'!$F$81*(C2182-sezione!$AO$35)*IF(ABS(N2182)&lt;'Progetto del paramento slu'!$G$58,ABS(N2182)*'Progetto del paramento slu'!$G$54,'Progetto del paramento slu'!$G$53)</f>
        <v>95159587.328917235</v>
      </c>
      <c r="I2182" s="479">
        <f>-'Foglio deposito bis'!$F$82*(C2182-sezione!$AP$35)*IF(ABS(O2182)&lt;'Progetto del paramento slu'!$G$58,ABS(O2182)*'Progetto del paramento slu'!$G$54,'Progetto del paramento slu'!$G$53)</f>
        <v>141836247.27361286</v>
      </c>
      <c r="J2182" s="479">
        <f t="shared" si="162"/>
        <v>159581151.78724664</v>
      </c>
      <c r="K2182" s="558">
        <f>'Progetto del paramento slu'!$G$60*(sezione!$AL$35-C2182)/C2182</f>
        <v>-2.1150301503087754E-3</v>
      </c>
      <c r="L2182" s="558">
        <f>'Progetto del paramento slu'!$G$60*(sezione!$AM$35-C2182)/C2182</f>
        <v>1.6936369363420934E-3</v>
      </c>
      <c r="M2182" s="559">
        <f>'Progetto del paramento slu'!$G$60*(sezione!$AN$35-C2182)/C2182</f>
        <v>5.5023040229929621E-3</v>
      </c>
      <c r="N2182" s="559">
        <f>'Progetto del paramento slu'!$G$60*(sezione!$AO$35-C2182)/C2182</f>
        <v>8.2722437223754133E-3</v>
      </c>
      <c r="O2182" s="559">
        <f>'Progetto del paramento slu'!$G$60*(sezione!$AP$35-C2182)/C2182</f>
        <v>5.5025803511120049E-3</v>
      </c>
      <c r="P2182" s="553">
        <f>-'Progetto del paramento slu'!$G$47*'Progetto del paramento slu'!$G$41*IF(DATI!$G$218="dx",DATI!$E$61,DATI!$E$64*DATI!$E$63)*1000*C2182*sezione!$AD$5</f>
        <v>-1424886.3254604202</v>
      </c>
      <c r="Q2182" s="553">
        <f>'Foglio deposito bis'!$F$78*IF(ABS(K2182)&lt;'Progetto del paramento slu'!$G$58,ABS(K2182)*'Progetto del paramento slu'!$G$54,'Progetto del paramento slu'!$G$53)*IF(K2182&lt;0,-1,1)</f>
        <v>0</v>
      </c>
      <c r="R2182" s="553">
        <f>'Foglio deposito bis'!$F$79*IF(ABS(L2182)&lt;'Progetto del paramento slu'!$G$58,ABS(L2182)*'Progetto del paramento slu'!$G$54,'Progetto del paramento slu'!$G$53)*IF(L2182&lt;0,-1,1)</f>
        <v>137008.4719443116</v>
      </c>
      <c r="S2182" s="553">
        <f>'Foglio deposito bis'!$F$80*IF(ABS(M2182)&lt;'Progetto del paramento slu'!$G$58,ABS(M2182)*'Progetto del paramento slu'!$G$54,'Progetto del paramento slu'!$G$53)*IF(M2182&lt;0,-1,1)</f>
        <v>0</v>
      </c>
      <c r="T2182" s="553">
        <f>'Foglio deposito bis'!$F$81*IF(ABS(N2182)&lt;'Progetto del paramento slu'!$G$58,ABS(N2182)*'Progetto del paramento slu'!$G$54,'Progetto del paramento slu'!$G$53)*IF(N2182&lt;0,-1,1)</f>
        <v>398299.31208121032</v>
      </c>
      <c r="U2182" s="553">
        <f>'Foglio deposito bis'!$F$82*IF(ABS(O2182)&lt;'Progetto del paramento slu'!$G$58,ABS(O2182)*'Progetto del paramento slu'!$G$54,'Progetto del paramento slu'!$G$53)*IF(O2182&lt;0,-1,1)</f>
        <v>892485.49558937876</v>
      </c>
      <c r="V2182" s="479">
        <f t="shared" ref="V2182:V2231" si="164">P2182+Q2182+R2182+S2182+T2182+U2182</f>
        <v>2906.9541544804815</v>
      </c>
      <c r="W2182" s="559"/>
      <c r="X2182" s="559"/>
    </row>
    <row r="2183" spans="1:24" x14ac:dyDescent="0.25">
      <c r="A2183" s="553">
        <f t="shared" si="163"/>
        <v>70539.192012685817</v>
      </c>
      <c r="B2183" s="3">
        <f t="shared" si="161"/>
        <v>25.899999999999942</v>
      </c>
      <c r="C2183" s="553">
        <f>'Foglio deposito bis'!$E$161/sezione!$B$247*B2183</f>
        <v>105.14488094618484</v>
      </c>
      <c r="D2183" s="611">
        <f>-'Progetto del paramento slu'!$G$47*'Progetto del paramento slu'!$G$41*IF(DATI!$G$218="dx",DATI!$E$61,DATI!$E$64*DATI!$E$63)*1000*C2183^2*sezione!$AD$5*(1-sezione!$AD$6)</f>
        <v>-91008428.729683533</v>
      </c>
      <c r="E2183" s="553">
        <f>-'Foglio deposito bis'!$F$78*(C2183-sezione!$AL$35)*IF(ABS(K2183)&lt;'Progetto del paramento slu'!$G$58,ABS(K2183)*'Progetto del paramento slu'!$G$54,'Progetto del paramento slu'!$G$53)</f>
        <v>0</v>
      </c>
      <c r="F2183" s="553">
        <f>-'Foglio deposito bis'!$F$79*(C2183-sezione!$AM$35)*IF(ABS(L2183)&lt;'Progetto del paramento slu'!$G$58,ABS(L2183)*'Progetto del paramento slu'!$G$54,'Progetto del paramento slu'!$G$53)</f>
        <v>5417900.7409419296</v>
      </c>
      <c r="G2183" s="553">
        <f>-'Foglio deposito bis'!$F$80*(C2183-sezione!$AN$35)*IF(ABS(M2183)&lt;'Progetto del paramento slu'!$G$58,ABS(M2183)*'Progetto del paramento slu'!$G$54,'Progetto del paramento slu'!$G$53)</f>
        <v>0</v>
      </c>
      <c r="H2183" s="553">
        <f>-'Foglio deposito bis'!$F$81*(C2183-sezione!$AO$35)*IF(ABS(N2183)&lt;'Progetto del paramento slu'!$G$58,ABS(N2183)*'Progetto del paramento slu'!$G$54,'Progetto del paramento slu'!$G$53)</f>
        <v>93542632.357885316</v>
      </c>
      <c r="I2183" s="479">
        <f>-'Foglio deposito bis'!$F$82*(C2183-sezione!$AP$35)*IF(ABS(O2183)&lt;'Progetto del paramento slu'!$G$58,ABS(O2183)*'Progetto del paramento slu'!$G$54,'Progetto del paramento slu'!$G$53)</f>
        <v>138213070.3940784</v>
      </c>
      <c r="J2183" s="479">
        <f t="shared" si="162"/>
        <v>146165174.7632221</v>
      </c>
      <c r="K2183" s="558">
        <f>'Progetto del paramento slu'!$G$60*(sezione!$AL$35-C2183)/C2183</f>
        <v>-2.168503889679093E-3</v>
      </c>
      <c r="L2183" s="558">
        <f>'Progetto del paramento slu'!$G$60*(sezione!$AM$35-C2183)/C2183</f>
        <v>1.4931104137034024E-3</v>
      </c>
      <c r="M2183" s="559">
        <f>'Progetto del paramento slu'!$G$60*(sezione!$AN$35-C2183)/C2183</f>
        <v>5.1547247170858979E-3</v>
      </c>
      <c r="N2183" s="559">
        <f>'Progetto del paramento slu'!$G$60*(sezione!$AO$35-C2183)/C2183</f>
        <v>7.817716937727712E-3</v>
      </c>
      <c r="O2183" s="559">
        <f>'Progetto del paramento slu'!$G$60*(sezione!$AP$35-C2183)/C2183</f>
        <v>5.1549903761655951E-3</v>
      </c>
      <c r="P2183" s="553">
        <f>-'Progetto del paramento slu'!$G$47*'Progetto del paramento slu'!$G$41*IF(DATI!$G$218="dx",DATI!$E$61,DATI!$E$64*DATI!$E$63)*1000*C2183*sezione!$AD$5</f>
        <v>-1482110.6758805173</v>
      </c>
      <c r="Q2183" s="553">
        <f>'Foglio deposito bis'!$F$78*IF(ABS(K2183)&lt;'Progetto del paramento slu'!$G$58,ABS(K2183)*'Progetto del paramento slu'!$G$54,'Progetto del paramento slu'!$G$53)*IF(K2183&lt;0,-1,1)</f>
        <v>0</v>
      </c>
      <c r="R2183" s="553">
        <f>'Foglio deposito bis'!$F$79*IF(ABS(L2183)&lt;'Progetto del paramento slu'!$G$58,ABS(L2183)*'Progetto del paramento slu'!$G$54,'Progetto del paramento slu'!$G$53)*IF(L2183&lt;0,-1,1)</f>
        <v>120786.67619724241</v>
      </c>
      <c r="S2183" s="553">
        <f>'Foglio deposito bis'!$F$80*IF(ABS(M2183)&lt;'Progetto del paramento slu'!$G$58,ABS(M2183)*'Progetto del paramento slu'!$G$54,'Progetto del paramento slu'!$G$53)*IF(M2183&lt;0,-1,1)</f>
        <v>0</v>
      </c>
      <c r="T2183" s="553">
        <f>'Foglio deposito bis'!$F$81*IF(ABS(N2183)&lt;'Progetto del paramento slu'!$G$58,ABS(N2183)*'Progetto del paramento slu'!$G$54,'Progetto del paramento slu'!$G$53)*IF(N2183&lt;0,-1,1)</f>
        <v>398299.31208121032</v>
      </c>
      <c r="U2183" s="553">
        <f>'Foglio deposito bis'!$F$82*IF(ABS(O2183)&lt;'Progetto del paramento slu'!$G$58,ABS(O2183)*'Progetto del paramento slu'!$G$54,'Progetto del paramento slu'!$G$53)*IF(O2183&lt;0,-1,1)</f>
        <v>892485.49558937876</v>
      </c>
      <c r="V2183" s="479">
        <f t="shared" si="164"/>
        <v>-70539.192012685817</v>
      </c>
      <c r="W2183" s="559"/>
      <c r="X2183" s="559"/>
    </row>
    <row r="2184" spans="1:24" x14ac:dyDescent="0.25">
      <c r="A2184" s="553">
        <f t="shared" si="163"/>
        <v>142779.25671166903</v>
      </c>
      <c r="B2184" s="3">
        <f t="shared" si="161"/>
        <v>26.899999999999942</v>
      </c>
      <c r="C2184" s="553">
        <f>'Foglio deposito bis'!$E$161/sezione!$B$247*B2184</f>
        <v>109.20452885916497</v>
      </c>
      <c r="D2184" s="611">
        <f>-'Progetto del paramento slu'!$G$47*'Progetto del paramento slu'!$G$41*IF(DATI!$G$218="dx",DATI!$E$61,DATI!$E$64*DATI!$E$63)*1000*C2184^2*sezione!$AD$5*(1-sezione!$AD$6)</f>
        <v>-98171776.08128427</v>
      </c>
      <c r="E2184" s="553">
        <f>-'Foglio deposito bis'!$F$78*(C2184-sezione!$AL$35)*IF(ABS(K2184)&lt;'Progetto del paramento slu'!$G$58,ABS(K2184)*'Progetto del paramento slu'!$G$54,'Progetto del paramento slu'!$G$53)</f>
        <v>0</v>
      </c>
      <c r="F2184" s="553">
        <f>-'Foglio deposito bis'!$F$79*(C2184-sezione!$AM$35)*IF(ABS(L2184)&lt;'Progetto del paramento slu'!$G$58,ABS(L2184)*'Progetto del paramento slu'!$G$54,'Progetto del paramento slu'!$G$53)</f>
        <v>4314976.2244786853</v>
      </c>
      <c r="G2184" s="553">
        <f>-'Foglio deposito bis'!$F$80*(C2184-sezione!$AN$35)*IF(ABS(M2184)&lt;'Progetto del paramento slu'!$G$58,ABS(M2184)*'Progetto del paramento slu'!$G$54,'Progetto del paramento slu'!$G$53)</f>
        <v>0</v>
      </c>
      <c r="H2184" s="553">
        <f>-'Foglio deposito bis'!$F$81*(C2184-sezione!$AO$35)*IF(ABS(N2184)&lt;'Progetto del paramento slu'!$G$58,ABS(N2184)*'Progetto del paramento slu'!$G$54,'Progetto del paramento slu'!$G$53)</f>
        <v>91925677.386853427</v>
      </c>
      <c r="I2184" s="479">
        <f>-'Foglio deposito bis'!$F$82*(C2184-sezione!$AP$35)*IF(ABS(O2184)&lt;'Progetto del paramento slu'!$G$58,ABS(O2184)*'Progetto del paramento slu'!$G$54,'Progetto del paramento slu'!$G$53)</f>
        <v>134589893.51454398</v>
      </c>
      <c r="J2184" s="479">
        <f t="shared" si="162"/>
        <v>132658771.04459183</v>
      </c>
      <c r="K2184" s="558">
        <f>'Progetto del paramento slu'!$G$60*(sezione!$AL$35-C2184)/C2184</f>
        <v>-2.2180018863452973E-3</v>
      </c>
      <c r="L2184" s="558">
        <f>'Progetto del paramento slu'!$G$60*(sezione!$AM$35-C2184)/C2184</f>
        <v>1.3074929262051342E-3</v>
      </c>
      <c r="M2184" s="559">
        <f>'Progetto del paramento slu'!$G$60*(sezione!$AN$35-C2184)/C2184</f>
        <v>4.8329877387555667E-3</v>
      </c>
      <c r="N2184" s="559">
        <f>'Progetto del paramento slu'!$G$60*(sezione!$AO$35-C2184)/C2184</f>
        <v>7.3969839660649713E-3</v>
      </c>
      <c r="O2184" s="559">
        <f>'Progetto del paramento slu'!$G$60*(sezione!$AP$35-C2184)/C2184</f>
        <v>4.8332435220330445E-3</v>
      </c>
      <c r="P2184" s="553">
        <f>-'Progetto del paramento slu'!$G$47*'Progetto del paramento slu'!$G$41*IF(DATI!$G$218="dx",DATI!$E$61,DATI!$E$64*DATI!$E$63)*1000*C2184*sezione!$AD$5</f>
        <v>-1539335.0263006149</v>
      </c>
      <c r="Q2184" s="553">
        <f>'Foglio deposito bis'!$F$78*IF(ABS(K2184)&lt;'Progetto del paramento slu'!$G$58,ABS(K2184)*'Progetto del paramento slu'!$G$54,'Progetto del paramento slu'!$G$53)*IF(K2184&lt;0,-1,1)</f>
        <v>0</v>
      </c>
      <c r="R2184" s="553">
        <f>'Foglio deposito bis'!$F$79*IF(ABS(L2184)&lt;'Progetto del paramento slu'!$G$58,ABS(L2184)*'Progetto del paramento slu'!$G$54,'Progetto del paramento slu'!$G$53)*IF(L2184&lt;0,-1,1)</f>
        <v>105770.96191835678</v>
      </c>
      <c r="S2184" s="553">
        <f>'Foglio deposito bis'!$F$80*IF(ABS(M2184)&lt;'Progetto del paramento slu'!$G$58,ABS(M2184)*'Progetto del paramento slu'!$G$54,'Progetto del paramento slu'!$G$53)*IF(M2184&lt;0,-1,1)</f>
        <v>0</v>
      </c>
      <c r="T2184" s="553">
        <f>'Foglio deposito bis'!$F$81*IF(ABS(N2184)&lt;'Progetto del paramento slu'!$G$58,ABS(N2184)*'Progetto del paramento slu'!$G$54,'Progetto del paramento slu'!$G$53)*IF(N2184&lt;0,-1,1)</f>
        <v>398299.31208121032</v>
      </c>
      <c r="U2184" s="553">
        <f>'Foglio deposito bis'!$F$82*IF(ABS(O2184)&lt;'Progetto del paramento slu'!$G$58,ABS(O2184)*'Progetto del paramento slu'!$G$54,'Progetto del paramento slu'!$G$53)*IF(O2184&lt;0,-1,1)</f>
        <v>892485.49558937876</v>
      </c>
      <c r="V2184" s="479">
        <f t="shared" si="164"/>
        <v>-142779.25671166903</v>
      </c>
      <c r="W2184" s="559"/>
      <c r="X2184" s="559"/>
    </row>
    <row r="2185" spans="1:24" x14ac:dyDescent="0.25">
      <c r="A2185" s="553">
        <f t="shared" si="163"/>
        <v>213942.92612184305</v>
      </c>
      <c r="B2185" s="3">
        <f t="shared" si="161"/>
        <v>27.899999999999942</v>
      </c>
      <c r="C2185" s="553">
        <f>'Foglio deposito bis'!$E$161/sezione!$B$247*B2185</f>
        <v>113.26417677214509</v>
      </c>
      <c r="D2185" s="611">
        <f>-'Progetto del paramento slu'!$G$47*'Progetto del paramento slu'!$G$41*IF(DATI!$G$218="dx",DATI!$E$61,DATI!$E$64*DATI!$E$63)*1000*C2185^2*sezione!$AD$5*(1-sezione!$AD$6)</f>
        <v>-105606462.34771842</v>
      </c>
      <c r="E2185" s="553">
        <f>-'Foglio deposito bis'!$F$78*(C2185-sezione!$AL$35)*IF(ABS(K2185)&lt;'Progetto del paramento slu'!$G$58,ABS(K2185)*'Progetto del paramento slu'!$G$54,'Progetto del paramento slu'!$G$53)</f>
        <v>0</v>
      </c>
      <c r="F2185" s="553">
        <f>-'Foglio deposito bis'!$F$79*(C2185-sezione!$AM$35)*IF(ABS(L2185)&lt;'Progetto del paramento slu'!$G$58,ABS(L2185)*'Progetto del paramento slu'!$G$54,'Progetto del paramento slu'!$G$53)</f>
        <v>3373511.0013367916</v>
      </c>
      <c r="G2185" s="553">
        <f>-'Foglio deposito bis'!$F$80*(C2185-sezione!$AN$35)*IF(ABS(M2185)&lt;'Progetto del paramento slu'!$G$58,ABS(M2185)*'Progetto del paramento slu'!$G$54,'Progetto del paramento slu'!$G$53)</f>
        <v>0</v>
      </c>
      <c r="H2185" s="553">
        <f>-'Foglio deposito bis'!$F$81*(C2185-sezione!$AO$35)*IF(ABS(N2185)&lt;'Progetto del paramento slu'!$G$58,ABS(N2185)*'Progetto del paramento slu'!$G$54,'Progetto del paramento slu'!$G$53)</f>
        <v>90308722.415821508</v>
      </c>
      <c r="I2185" s="479">
        <f>-'Foglio deposito bis'!$F$82*(C2185-sezione!$AP$35)*IF(ABS(O2185)&lt;'Progetto del paramento slu'!$G$58,ABS(O2185)*'Progetto del paramento slu'!$G$54,'Progetto del paramento slu'!$G$53)</f>
        <v>130966716.63500951</v>
      </c>
      <c r="J2185" s="479">
        <f t="shared" si="162"/>
        <v>119042487.7044494</v>
      </c>
      <c r="K2185" s="558">
        <f>'Progetto del paramento slu'!$G$60*(sezione!$AL$35-C2185)/C2185</f>
        <v>-2.2639516395228858E-3</v>
      </c>
      <c r="L2185" s="558">
        <f>'Progetto del paramento slu'!$G$60*(sezione!$AM$35-C2185)/C2185</f>
        <v>1.135181351789179E-3</v>
      </c>
      <c r="M2185" s="559">
        <f>'Progetto del paramento slu'!$G$60*(sezione!$AN$35-C2185)/C2185</f>
        <v>4.534314343101243E-3</v>
      </c>
      <c r="N2185" s="559">
        <f>'Progetto del paramento slu'!$G$60*(sezione!$AO$35-C2185)/C2185</f>
        <v>7.0064110640554716E-3</v>
      </c>
      <c r="O2185" s="559">
        <f>'Progetto del paramento slu'!$G$60*(sezione!$AP$35-C2185)/C2185</f>
        <v>4.5345609585193134E-3</v>
      </c>
      <c r="P2185" s="553">
        <f>-'Progetto del paramento slu'!$G$47*'Progetto del paramento slu'!$G$41*IF(DATI!$G$218="dx",DATI!$E$61,DATI!$E$64*DATI!$E$63)*1000*C2185*sezione!$AD$5</f>
        <v>-1596559.3767207123</v>
      </c>
      <c r="Q2185" s="553">
        <f>'Foglio deposito bis'!$F$78*IF(ABS(K2185)&lt;'Progetto del paramento slu'!$G$58,ABS(K2185)*'Progetto del paramento slu'!$G$54,'Progetto del paramento slu'!$G$53)*IF(K2185&lt;0,-1,1)</f>
        <v>0</v>
      </c>
      <c r="R2185" s="553">
        <f>'Foglio deposito bis'!$F$79*IF(ABS(L2185)&lt;'Progetto del paramento slu'!$G$58,ABS(L2185)*'Progetto del paramento slu'!$G$54,'Progetto del paramento slu'!$G$53)*IF(L2185&lt;0,-1,1)</f>
        <v>91831.64292828014</v>
      </c>
      <c r="S2185" s="553">
        <f>'Foglio deposito bis'!$F$80*IF(ABS(M2185)&lt;'Progetto del paramento slu'!$G$58,ABS(M2185)*'Progetto del paramento slu'!$G$54,'Progetto del paramento slu'!$G$53)*IF(M2185&lt;0,-1,1)</f>
        <v>0</v>
      </c>
      <c r="T2185" s="553">
        <f>'Foglio deposito bis'!$F$81*IF(ABS(N2185)&lt;'Progetto del paramento slu'!$G$58,ABS(N2185)*'Progetto del paramento slu'!$G$54,'Progetto del paramento slu'!$G$53)*IF(N2185&lt;0,-1,1)</f>
        <v>398299.31208121032</v>
      </c>
      <c r="U2185" s="553">
        <f>'Foglio deposito bis'!$F$82*IF(ABS(O2185)&lt;'Progetto del paramento slu'!$G$58,ABS(O2185)*'Progetto del paramento slu'!$G$54,'Progetto del paramento slu'!$G$53)*IF(O2185&lt;0,-1,1)</f>
        <v>892485.49558937876</v>
      </c>
      <c r="V2185" s="479">
        <f t="shared" si="164"/>
        <v>-213942.92612184305</v>
      </c>
      <c r="W2185" s="559"/>
      <c r="X2185" s="559"/>
    </row>
    <row r="2186" spans="1:24" x14ac:dyDescent="0.25">
      <c r="A2186" s="553">
        <f t="shared" si="163"/>
        <v>284141.93677837844</v>
      </c>
      <c r="B2186" s="3">
        <f t="shared" si="161"/>
        <v>28.899999999999942</v>
      </c>
      <c r="C2186" s="553">
        <f>'Foglio deposito bis'!$E$161/sezione!$B$247*B2186</f>
        <v>117.3238246851252</v>
      </c>
      <c r="D2186" s="611">
        <f>-'Progetto del paramento slu'!$G$47*'Progetto del paramento slu'!$G$41*IF(DATI!$G$218="dx",DATI!$E$61,DATI!$E$64*DATI!$E$63)*1000*C2186^2*sezione!$AD$5*(1-sezione!$AD$6)</f>
        <v>-113312487.52898586</v>
      </c>
      <c r="E2186" s="553">
        <f>-'Foglio deposito bis'!$F$78*(C2186-sezione!$AL$35)*IF(ABS(K2186)&lt;'Progetto del paramento slu'!$G$58,ABS(K2186)*'Progetto del paramento slu'!$G$54,'Progetto del paramento slu'!$G$53)</f>
        <v>0</v>
      </c>
      <c r="F2186" s="553">
        <f>-'Foglio deposito bis'!$F$79*(C2186-sezione!$AM$35)*IF(ABS(L2186)&lt;'Progetto del paramento slu'!$G$58,ABS(L2186)*'Progetto del paramento slu'!$G$54,'Progetto del paramento slu'!$G$53)</f>
        <v>2576744.5912406784</v>
      </c>
      <c r="G2186" s="553">
        <f>-'Foglio deposito bis'!$F$80*(C2186-sezione!$AN$35)*IF(ABS(M2186)&lt;'Progetto del paramento slu'!$G$58,ABS(M2186)*'Progetto del paramento slu'!$G$54,'Progetto del paramento slu'!$G$53)</f>
        <v>0</v>
      </c>
      <c r="H2186" s="553">
        <f>-'Foglio deposito bis'!$F$81*(C2186-sezione!$AO$35)*IF(ABS(N2186)&lt;'Progetto del paramento slu'!$G$58,ABS(N2186)*'Progetto del paramento slu'!$G$54,'Progetto del paramento slu'!$G$53)</f>
        <v>88691767.444789618</v>
      </c>
      <c r="I2186" s="479">
        <f>-'Foglio deposito bis'!$F$82*(C2186-sezione!$AP$35)*IF(ABS(O2186)&lt;'Progetto del paramento slu'!$G$58,ABS(O2186)*'Progetto del paramento slu'!$G$54,'Progetto del paramento slu'!$G$53)</f>
        <v>127343539.75547507</v>
      </c>
      <c r="J2186" s="479">
        <f t="shared" si="162"/>
        <v>105299564.26251951</v>
      </c>
      <c r="K2186" s="558">
        <f>'Progetto del paramento slu'!$G$60*(sezione!$AL$35-C2186)/C2186</f>
        <v>-2.3067214789857615E-3</v>
      </c>
      <c r="L2186" s="558">
        <f>'Progetto del paramento slu'!$G$60*(sezione!$AM$35-C2186)/C2186</f>
        <v>9.7479445380339413E-4</v>
      </c>
      <c r="M2186" s="559">
        <f>'Progetto del paramento slu'!$G$60*(sezione!$AN$35-C2186)/C2186</f>
        <v>4.2563103865925498E-3</v>
      </c>
      <c r="N2186" s="559">
        <f>'Progetto del paramento slu'!$G$60*(sezione!$AO$35-C2186)/C2186</f>
        <v>6.6428674286210269E-3</v>
      </c>
      <c r="O2186" s="559">
        <f>'Progetto del paramento slu'!$G$60*(sezione!$AP$35-C2186)/C2186</f>
        <v>4.256548468605151E-3</v>
      </c>
      <c r="P2186" s="553">
        <f>-'Progetto del paramento slu'!$G$47*'Progetto del paramento slu'!$G$41*IF(DATI!$G$218="dx",DATI!$E$61,DATI!$E$64*DATI!$E$63)*1000*C2186*sezione!$AD$5</f>
        <v>-1653783.7271408096</v>
      </c>
      <c r="Q2186" s="553">
        <f>'Foglio deposito bis'!$F$78*IF(ABS(K2186)&lt;'Progetto del paramento slu'!$G$58,ABS(K2186)*'Progetto del paramento slu'!$G$54,'Progetto del paramento slu'!$G$53)*IF(K2186&lt;0,-1,1)</f>
        <v>0</v>
      </c>
      <c r="R2186" s="553">
        <f>'Foglio deposito bis'!$F$79*IF(ABS(L2186)&lt;'Progetto del paramento slu'!$G$58,ABS(L2186)*'Progetto del paramento slu'!$G$54,'Progetto del paramento slu'!$G$53)*IF(L2186&lt;0,-1,1)</f>
        <v>78856.982691842059</v>
      </c>
      <c r="S2186" s="553">
        <f>'Foglio deposito bis'!$F$80*IF(ABS(M2186)&lt;'Progetto del paramento slu'!$G$58,ABS(M2186)*'Progetto del paramento slu'!$G$54,'Progetto del paramento slu'!$G$53)*IF(M2186&lt;0,-1,1)</f>
        <v>0</v>
      </c>
      <c r="T2186" s="553">
        <f>'Foglio deposito bis'!$F$81*IF(ABS(N2186)&lt;'Progetto del paramento slu'!$G$58,ABS(N2186)*'Progetto del paramento slu'!$G$54,'Progetto del paramento slu'!$G$53)*IF(N2186&lt;0,-1,1)</f>
        <v>398299.31208121032</v>
      </c>
      <c r="U2186" s="553">
        <f>'Foglio deposito bis'!$F$82*IF(ABS(O2186)&lt;'Progetto del paramento slu'!$G$58,ABS(O2186)*'Progetto del paramento slu'!$G$54,'Progetto del paramento slu'!$G$53)*IF(O2186&lt;0,-1,1)</f>
        <v>892485.49558937876</v>
      </c>
      <c r="V2186" s="479">
        <f t="shared" si="164"/>
        <v>-284141.93677837844</v>
      </c>
      <c r="W2186" s="559"/>
      <c r="X2186" s="559"/>
    </row>
    <row r="2187" spans="1:24" x14ac:dyDescent="0.25">
      <c r="A2187" s="553">
        <f t="shared" si="163"/>
        <v>353473.07718498493</v>
      </c>
      <c r="B2187" s="3">
        <f t="shared" si="161"/>
        <v>29.899999999999942</v>
      </c>
      <c r="C2187" s="553">
        <f>'Foglio deposito bis'!$E$161/sezione!$B$247*B2187</f>
        <v>121.38347259810533</v>
      </c>
      <c r="D2187" s="611">
        <f>-'Progetto del paramento slu'!$G$47*'Progetto del paramento slu'!$G$41*IF(DATI!$G$218="dx",DATI!$E$61,DATI!$E$64*DATI!$E$63)*1000*C2187^2*sezione!$AD$5*(1-sezione!$AD$6)</f>
        <v>-121289851.62508674</v>
      </c>
      <c r="E2187" s="553">
        <f>-'Foglio deposito bis'!$F$78*(C2187-sezione!$AL$35)*IF(ABS(K2187)&lt;'Progetto del paramento slu'!$G$58,ABS(K2187)*'Progetto del paramento slu'!$G$54,'Progetto del paramento slu'!$G$53)</f>
        <v>0</v>
      </c>
      <c r="F2187" s="553">
        <f>-'Foglio deposito bis'!$F$79*(C2187-sezione!$AM$35)*IF(ABS(L2187)&lt;'Progetto del paramento slu'!$G$58,ABS(L2187)*'Progetto del paramento slu'!$G$54,'Progetto del paramento slu'!$G$53)</f>
        <v>1910158.7186339092</v>
      </c>
      <c r="G2187" s="553">
        <f>-'Foglio deposito bis'!$F$80*(C2187-sezione!$AN$35)*IF(ABS(M2187)&lt;'Progetto del paramento slu'!$G$58,ABS(M2187)*'Progetto del paramento slu'!$G$54,'Progetto del paramento slu'!$G$53)</f>
        <v>0</v>
      </c>
      <c r="H2187" s="553">
        <f>-'Foglio deposito bis'!$F$81*(C2187-sezione!$AO$35)*IF(ABS(N2187)&lt;'Progetto del paramento slu'!$G$58,ABS(N2187)*'Progetto del paramento slu'!$G$54,'Progetto del paramento slu'!$G$53)</f>
        <v>87074812.473757714</v>
      </c>
      <c r="I2187" s="479">
        <f>-'Foglio deposito bis'!$F$82*(C2187-sezione!$AP$35)*IF(ABS(O2187)&lt;'Progetto del paramento slu'!$G$58,ABS(O2187)*'Progetto del paramento slu'!$G$54,'Progetto del paramento slu'!$G$53)</f>
        <v>123720362.87594062</v>
      </c>
      <c r="J2187" s="479">
        <f t="shared" si="162"/>
        <v>91415482.4432455</v>
      </c>
      <c r="K2187" s="558">
        <f>'Progetto del paramento slu'!$G$60*(sezione!$AL$35-C2187)/C2187</f>
        <v>-2.3466304596216894E-3</v>
      </c>
      <c r="L2187" s="558">
        <f>'Progetto del paramento slu'!$G$60*(sezione!$AM$35-C2187)/C2187</f>
        <v>8.2513577641866467E-4</v>
      </c>
      <c r="M2187" s="559">
        <f>'Progetto del paramento slu'!$G$60*(sezione!$AN$35-C2187)/C2187</f>
        <v>3.9969020124590192E-3</v>
      </c>
      <c r="N2187" s="559">
        <f>'Progetto del paramento slu'!$G$60*(sezione!$AO$35-C2187)/C2187</f>
        <v>6.3036410932156405E-3</v>
      </c>
      <c r="O2187" s="559">
        <f>'Progetto del paramento slu'!$G$60*(sezione!$AP$35-C2187)/C2187</f>
        <v>3.9971321318625023E-3</v>
      </c>
      <c r="P2187" s="553">
        <f>-'Progetto del paramento slu'!$G$47*'Progetto del paramento slu'!$G$41*IF(DATI!$G$218="dx",DATI!$E$61,DATI!$E$64*DATI!$E$63)*1000*C2187*sezione!$AD$5</f>
        <v>-1711008.077560907</v>
      </c>
      <c r="Q2187" s="553">
        <f>'Foglio deposito bis'!$F$78*IF(ABS(K2187)&lt;'Progetto del paramento slu'!$G$58,ABS(K2187)*'Progetto del paramento slu'!$G$54,'Progetto del paramento slu'!$G$53)*IF(K2187&lt;0,-1,1)</f>
        <v>0</v>
      </c>
      <c r="R2187" s="553">
        <f>'Foglio deposito bis'!$F$79*IF(ABS(L2187)&lt;'Progetto del paramento slu'!$G$58,ABS(L2187)*'Progetto del paramento slu'!$G$54,'Progetto del paramento slu'!$G$53)*IF(L2187&lt;0,-1,1)</f>
        <v>66750.192705332913</v>
      </c>
      <c r="S2187" s="553">
        <f>'Foglio deposito bis'!$F$80*IF(ABS(M2187)&lt;'Progetto del paramento slu'!$G$58,ABS(M2187)*'Progetto del paramento slu'!$G$54,'Progetto del paramento slu'!$G$53)*IF(M2187&lt;0,-1,1)</f>
        <v>0</v>
      </c>
      <c r="T2187" s="553">
        <f>'Foglio deposito bis'!$F$81*IF(ABS(N2187)&lt;'Progetto del paramento slu'!$G$58,ABS(N2187)*'Progetto del paramento slu'!$G$54,'Progetto del paramento slu'!$G$53)*IF(N2187&lt;0,-1,1)</f>
        <v>398299.31208121032</v>
      </c>
      <c r="U2187" s="553">
        <f>'Foglio deposito bis'!$F$82*IF(ABS(O2187)&lt;'Progetto del paramento slu'!$G$58,ABS(O2187)*'Progetto del paramento slu'!$G$54,'Progetto del paramento slu'!$G$53)*IF(O2187&lt;0,-1,1)</f>
        <v>892485.49558937876</v>
      </c>
      <c r="V2187" s="479">
        <f t="shared" si="164"/>
        <v>-353473.07718498493</v>
      </c>
      <c r="W2187" s="559"/>
      <c r="X2187" s="559"/>
    </row>
    <row r="2188" spans="1:24" x14ac:dyDescent="0.25">
      <c r="A2188" s="553">
        <f t="shared" si="163"/>
        <v>422020.60658922815</v>
      </c>
      <c r="B2188" s="3">
        <f t="shared" si="161"/>
        <v>30.899999999999942</v>
      </c>
      <c r="C2188" s="553">
        <f>'Foglio deposito bis'!$E$161/sezione!$B$247*B2188</f>
        <v>125.44312051108544</v>
      </c>
      <c r="D2188" s="611">
        <f>-'Progetto del paramento slu'!$G$47*'Progetto del paramento slu'!$G$41*IF(DATI!$G$218="dx",DATI!$E$61,DATI!$E$64*DATI!$E$63)*1000*C2188^2*sezione!$AD$5*(1-sezione!$AD$6)</f>
        <v>-129538554.63602091</v>
      </c>
      <c r="E2188" s="553">
        <f>-'Foglio deposito bis'!$F$78*(C2188-sezione!$AL$35)*IF(ABS(K2188)&lt;'Progetto del paramento slu'!$G$58,ABS(K2188)*'Progetto del paramento slu'!$G$54,'Progetto del paramento slu'!$G$53)</f>
        <v>0</v>
      </c>
      <c r="F2188" s="553">
        <f>-'Foglio deposito bis'!$F$79*(C2188-sezione!$AM$35)*IF(ABS(L2188)&lt;'Progetto del paramento slu'!$G$58,ABS(L2188)*'Progetto del paramento slu'!$G$54,'Progetto del paramento slu'!$G$53)</f>
        <v>1361114.4963815995</v>
      </c>
      <c r="G2188" s="553">
        <f>-'Foglio deposito bis'!$F$80*(C2188-sezione!$AN$35)*IF(ABS(M2188)&lt;'Progetto del paramento slu'!$G$58,ABS(M2188)*'Progetto del paramento slu'!$G$54,'Progetto del paramento slu'!$G$53)</f>
        <v>0</v>
      </c>
      <c r="H2188" s="553">
        <f>-'Foglio deposito bis'!$F$81*(C2188-sezione!$AO$35)*IF(ABS(N2188)&lt;'Progetto del paramento slu'!$G$58,ABS(N2188)*'Progetto del paramento slu'!$G$54,'Progetto del paramento slu'!$G$53)</f>
        <v>85457857.50272581</v>
      </c>
      <c r="I2188" s="479">
        <f>-'Foglio deposito bis'!$F$82*(C2188-sezione!$AP$35)*IF(ABS(O2188)&lt;'Progetto del paramento slu'!$G$58,ABS(O2188)*'Progetto del paramento slu'!$G$54,'Progetto del paramento slu'!$G$53)</f>
        <v>120097185.99640615</v>
      </c>
      <c r="J2188" s="479">
        <f t="shared" si="162"/>
        <v>77377603.359492645</v>
      </c>
      <c r="K2188" s="558">
        <f>'Progetto del paramento slu'!$G$60*(sezione!$AL$35-C2188)/C2188</f>
        <v>-2.3839563347148388E-3</v>
      </c>
      <c r="L2188" s="558">
        <f>'Progetto del paramento slu'!$G$60*(sezione!$AM$35-C2188)/C2188</f>
        <v>6.8516374481935509E-4</v>
      </c>
      <c r="M2188" s="559">
        <f>'Progetto del paramento slu'!$G$60*(sezione!$AN$35-C2188)/C2188</f>
        <v>3.7542838243535487E-3</v>
      </c>
      <c r="N2188" s="559">
        <f>'Progetto del paramento slu'!$G$60*(sezione!$AO$35-C2188)/C2188</f>
        <v>5.9863711549238714E-3</v>
      </c>
      <c r="O2188" s="559">
        <f>'Progetto del paramento slu'!$G$60*(sezione!$AP$35-C2188)/C2188</f>
        <v>3.7545064965271461E-3</v>
      </c>
      <c r="P2188" s="553">
        <f>-'Progetto del paramento slu'!$G$47*'Progetto del paramento slu'!$G$41*IF(DATI!$G$218="dx",DATI!$E$61,DATI!$E$64*DATI!$E$63)*1000*C2188*sezione!$AD$5</f>
        <v>-1768232.4279810041</v>
      </c>
      <c r="Q2188" s="553">
        <f>'Foglio deposito bis'!$F$78*IF(ABS(K2188)&lt;'Progetto del paramento slu'!$G$58,ABS(K2188)*'Progetto del paramento slu'!$G$54,'Progetto del paramento slu'!$G$53)*IF(K2188&lt;0,-1,1)</f>
        <v>0</v>
      </c>
      <c r="R2188" s="553">
        <f>'Foglio deposito bis'!$F$79*IF(ABS(L2188)&lt;'Progetto del paramento slu'!$G$58,ABS(L2188)*'Progetto del paramento slu'!$G$54,'Progetto del paramento slu'!$G$53)*IF(L2188&lt;0,-1,1)</f>
        <v>55427.013721186857</v>
      </c>
      <c r="S2188" s="553">
        <f>'Foglio deposito bis'!$F$80*IF(ABS(M2188)&lt;'Progetto del paramento slu'!$G$58,ABS(M2188)*'Progetto del paramento slu'!$G$54,'Progetto del paramento slu'!$G$53)*IF(M2188&lt;0,-1,1)</f>
        <v>0</v>
      </c>
      <c r="T2188" s="553">
        <f>'Foglio deposito bis'!$F$81*IF(ABS(N2188)&lt;'Progetto del paramento slu'!$G$58,ABS(N2188)*'Progetto del paramento slu'!$G$54,'Progetto del paramento slu'!$G$53)*IF(N2188&lt;0,-1,1)</f>
        <v>398299.31208121032</v>
      </c>
      <c r="U2188" s="553">
        <f>'Foglio deposito bis'!$F$82*IF(ABS(O2188)&lt;'Progetto del paramento slu'!$G$58,ABS(O2188)*'Progetto del paramento slu'!$G$54,'Progetto del paramento slu'!$G$53)*IF(O2188&lt;0,-1,1)</f>
        <v>892485.49558937876</v>
      </c>
      <c r="V2188" s="479">
        <f t="shared" si="164"/>
        <v>-422020.60658922815</v>
      </c>
      <c r="W2188" s="559"/>
      <c r="X2188" s="559"/>
    </row>
    <row r="2189" spans="1:24" x14ac:dyDescent="0.25">
      <c r="A2189" s="553">
        <f t="shared" si="163"/>
        <v>489858.21881578187</v>
      </c>
      <c r="B2189" s="3">
        <f t="shared" si="161"/>
        <v>31.899999999999942</v>
      </c>
      <c r="C2189" s="553">
        <f>'Foglio deposito bis'!$E$161/sezione!$B$247*B2189</f>
        <v>129.50276842406555</v>
      </c>
      <c r="D2189" s="611">
        <f>-'Progetto del paramento slu'!$G$47*'Progetto del paramento slu'!$G$41*IF(DATI!$G$218="dx",DATI!$E$61,DATI!$E$64*DATI!$E$63)*1000*C2189^2*sezione!$AD$5*(1-sezione!$AD$6)</f>
        <v>-138058596.56178847</v>
      </c>
      <c r="E2189" s="553">
        <f>-'Foglio deposito bis'!$F$78*(C2189-sezione!$AL$35)*IF(ABS(K2189)&lt;'Progetto del paramento slu'!$G$58,ABS(K2189)*'Progetto del paramento slu'!$G$54,'Progetto del paramento slu'!$G$53)</f>
        <v>0</v>
      </c>
      <c r="F2189" s="553">
        <f>-'Foglio deposito bis'!$F$79*(C2189-sezione!$AM$35)*IF(ABS(L2189)&lt;'Progetto del paramento slu'!$G$58,ABS(L2189)*'Progetto del paramento slu'!$G$54,'Progetto del paramento slu'!$G$53)</f>
        <v>918557.85078270116</v>
      </c>
      <c r="G2189" s="553">
        <f>-'Foglio deposito bis'!$F$80*(C2189-sezione!$AN$35)*IF(ABS(M2189)&lt;'Progetto del paramento slu'!$G$58,ABS(M2189)*'Progetto del paramento slu'!$G$54,'Progetto del paramento slu'!$G$53)</f>
        <v>0</v>
      </c>
      <c r="H2189" s="553">
        <f>-'Foglio deposito bis'!$F$81*(C2189-sezione!$AO$35)*IF(ABS(N2189)&lt;'Progetto del paramento slu'!$G$58,ABS(N2189)*'Progetto del paramento slu'!$G$54,'Progetto del paramento slu'!$G$53)</f>
        <v>83840902.531693906</v>
      </c>
      <c r="I2189" s="479">
        <f>-'Foglio deposito bis'!$F$82*(C2189-sezione!$AP$35)*IF(ABS(O2189)&lt;'Progetto del paramento slu'!$G$58,ABS(O2189)*'Progetto del paramento slu'!$G$54,'Progetto del paramento slu'!$G$53)</f>
        <v>116474009.11687174</v>
      </c>
      <c r="J2189" s="479">
        <f t="shared" si="162"/>
        <v>63174872.937559873</v>
      </c>
      <c r="K2189" s="558">
        <f>'Progetto del paramento slu'!$G$60*(sezione!$AL$35-C2189)/C2189</f>
        <v>-2.4189420295513643E-3</v>
      </c>
      <c r="L2189" s="558">
        <f>'Progetto del paramento slu'!$G$60*(sezione!$AM$35-C2189)/C2189</f>
        <v>5.5396738918238482E-4</v>
      </c>
      <c r="M2189" s="559">
        <f>'Progetto del paramento slu'!$G$60*(sezione!$AN$35-C2189)/C2189</f>
        <v>3.5268768079161337E-3</v>
      </c>
      <c r="N2189" s="559">
        <f>'Progetto del paramento slu'!$G$60*(sezione!$AO$35-C2189)/C2189</f>
        <v>5.6889927488134057E-3</v>
      </c>
      <c r="O2189" s="559">
        <f>'Progetto del paramento slu'!$G$60*(sezione!$AP$35-C2189)/C2189</f>
        <v>3.5270924997708097E-3</v>
      </c>
      <c r="P2189" s="553">
        <f>-'Progetto del paramento slu'!$G$47*'Progetto del paramento slu'!$G$41*IF(DATI!$G$218="dx",DATI!$E$61,DATI!$E$64*DATI!$E$63)*1000*C2189*sezione!$AD$5</f>
        <v>-1825456.7784011012</v>
      </c>
      <c r="Q2189" s="553">
        <f>'Foglio deposito bis'!$F$78*IF(ABS(K2189)&lt;'Progetto del paramento slu'!$G$58,ABS(K2189)*'Progetto del paramento slu'!$G$54,'Progetto del paramento slu'!$G$53)*IF(K2189&lt;0,-1,1)</f>
        <v>0</v>
      </c>
      <c r="R2189" s="553">
        <f>'Foglio deposito bis'!$F$79*IF(ABS(L2189)&lt;'Progetto del paramento slu'!$G$58,ABS(L2189)*'Progetto del paramento slu'!$G$54,'Progetto del paramento slu'!$G$53)*IF(L2189&lt;0,-1,1)</f>
        <v>44813.751914730223</v>
      </c>
      <c r="S2189" s="553">
        <f>'Foglio deposito bis'!$F$80*IF(ABS(M2189)&lt;'Progetto del paramento slu'!$G$58,ABS(M2189)*'Progetto del paramento slu'!$G$54,'Progetto del paramento slu'!$G$53)*IF(M2189&lt;0,-1,1)</f>
        <v>0</v>
      </c>
      <c r="T2189" s="553">
        <f>'Foglio deposito bis'!$F$81*IF(ABS(N2189)&lt;'Progetto del paramento slu'!$G$58,ABS(N2189)*'Progetto del paramento slu'!$G$54,'Progetto del paramento slu'!$G$53)*IF(N2189&lt;0,-1,1)</f>
        <v>398299.31208121032</v>
      </c>
      <c r="U2189" s="553">
        <f>'Foglio deposito bis'!$F$82*IF(ABS(O2189)&lt;'Progetto del paramento slu'!$G$58,ABS(O2189)*'Progetto del paramento slu'!$G$54,'Progetto del paramento slu'!$G$53)*IF(O2189&lt;0,-1,1)</f>
        <v>892485.49558937876</v>
      </c>
      <c r="V2189" s="479">
        <f t="shared" si="164"/>
        <v>-489858.21881578187</v>
      </c>
      <c r="W2189" s="559"/>
      <c r="X2189" s="559"/>
    </row>
    <row r="2190" spans="1:24" x14ac:dyDescent="0.25">
      <c r="A2190" s="553">
        <f t="shared" si="163"/>
        <v>557050.64795379783</v>
      </c>
      <c r="B2190" s="3">
        <f t="shared" si="161"/>
        <v>32.899999999999942</v>
      </c>
      <c r="C2190" s="553">
        <f>'Foglio deposito bis'!$E$161/sezione!$B$247*B2190</f>
        <v>133.56241633704568</v>
      </c>
      <c r="D2190" s="611">
        <f>-'Progetto del paramento slu'!$G$47*'Progetto del paramento slu'!$G$41*IF(DATI!$G$218="dx",DATI!$E$61,DATI!$E$64*DATI!$E$63)*1000*C2190^2*sezione!$AD$5*(1-sezione!$AD$6)</f>
        <v>-146849977.40238941</v>
      </c>
      <c r="E2190" s="553">
        <f>-'Foglio deposito bis'!$F$78*(C2190-sezione!$AL$35)*IF(ABS(K2190)&lt;'Progetto del paramento slu'!$G$58,ABS(K2190)*'Progetto del paramento slu'!$G$54,'Progetto del paramento slu'!$G$53)</f>
        <v>0</v>
      </c>
      <c r="F2190" s="553">
        <f>-'Foglio deposito bis'!$F$79*(C2190-sezione!$AM$35)*IF(ABS(L2190)&lt;'Progetto del paramento slu'!$G$58,ABS(L2190)*'Progetto del paramento slu'!$G$54,'Progetto del paramento slu'!$G$53)</f>
        <v>572778.66846456134</v>
      </c>
      <c r="G2190" s="553">
        <f>-'Foglio deposito bis'!$F$80*(C2190-sezione!$AN$35)*IF(ABS(M2190)&lt;'Progetto del paramento slu'!$G$58,ABS(M2190)*'Progetto del paramento slu'!$G$54,'Progetto del paramento slu'!$G$53)</f>
        <v>0</v>
      </c>
      <c r="H2190" s="553">
        <f>-'Foglio deposito bis'!$F$81*(C2190-sezione!$AO$35)*IF(ABS(N2190)&lt;'Progetto del paramento slu'!$G$58,ABS(N2190)*'Progetto del paramento slu'!$G$54,'Progetto del paramento slu'!$G$53)</f>
        <v>82223947.560662016</v>
      </c>
      <c r="I2190" s="479">
        <f>-'Foglio deposito bis'!$F$82*(C2190-sezione!$AP$35)*IF(ABS(O2190)&lt;'Progetto del paramento slu'!$G$58,ABS(O2190)*'Progetto del paramento slu'!$G$54,'Progetto del paramento slu'!$G$53)</f>
        <v>112850832.23733726</v>
      </c>
      <c r="J2190" s="479">
        <f t="shared" si="162"/>
        <v>48797581.064074442</v>
      </c>
      <c r="K2190" s="558">
        <f>'Progetto del paramento slu'!$G$60*(sezione!$AL$35-C2190)/C2190</f>
        <v>-2.4518009344282224E-3</v>
      </c>
      <c r="L2190" s="558">
        <f>'Progetto del paramento slu'!$G$60*(sezione!$AM$35-C2190)/C2190</f>
        <v>4.3074649589416598E-4</v>
      </c>
      <c r="M2190" s="559">
        <f>'Progetto del paramento slu'!$G$60*(sezione!$AN$35-C2190)/C2190</f>
        <v>3.3132939262165545E-3</v>
      </c>
      <c r="N2190" s="559">
        <f>'Progetto del paramento slu'!$G$60*(sezione!$AO$35-C2190)/C2190</f>
        <v>5.4096920573601095E-3</v>
      </c>
      <c r="O2190" s="559">
        <f>'Progetto del paramento slu'!$G$60*(sezione!$AP$35-C2190)/C2190</f>
        <v>3.3135030620878056E-3</v>
      </c>
      <c r="P2190" s="553">
        <f>-'Progetto del paramento slu'!$G$47*'Progetto del paramento slu'!$G$41*IF(DATI!$G$218="dx",DATI!$E$61,DATI!$E$64*DATI!$E$63)*1000*C2190*sezione!$AD$5</f>
        <v>-1882681.1288211988</v>
      </c>
      <c r="Q2190" s="553">
        <f>'Foglio deposito bis'!$F$78*IF(ABS(K2190)&lt;'Progetto del paramento slu'!$G$58,ABS(K2190)*'Progetto del paramento slu'!$G$54,'Progetto del paramento slu'!$G$53)*IF(K2190&lt;0,-1,1)</f>
        <v>0</v>
      </c>
      <c r="R2190" s="553">
        <f>'Foglio deposito bis'!$F$79*IF(ABS(L2190)&lt;'Progetto del paramento slu'!$G$58,ABS(L2190)*'Progetto del paramento slu'!$G$54,'Progetto del paramento slu'!$G$53)*IF(L2190&lt;0,-1,1)</f>
        <v>34845.673196811935</v>
      </c>
      <c r="S2190" s="553">
        <f>'Foglio deposito bis'!$F$80*IF(ABS(M2190)&lt;'Progetto del paramento slu'!$G$58,ABS(M2190)*'Progetto del paramento slu'!$G$54,'Progetto del paramento slu'!$G$53)*IF(M2190&lt;0,-1,1)</f>
        <v>0</v>
      </c>
      <c r="T2190" s="553">
        <f>'Foglio deposito bis'!$F$81*IF(ABS(N2190)&lt;'Progetto del paramento slu'!$G$58,ABS(N2190)*'Progetto del paramento slu'!$G$54,'Progetto del paramento slu'!$G$53)*IF(N2190&lt;0,-1,1)</f>
        <v>398299.31208121032</v>
      </c>
      <c r="U2190" s="553">
        <f>'Foglio deposito bis'!$F$82*IF(ABS(O2190)&lt;'Progetto del paramento slu'!$G$58,ABS(O2190)*'Progetto del paramento slu'!$G$54,'Progetto del paramento slu'!$G$53)*IF(O2190&lt;0,-1,1)</f>
        <v>892485.49558937876</v>
      </c>
      <c r="V2190" s="479">
        <f t="shared" si="164"/>
        <v>-557050.64795379783</v>
      </c>
      <c r="W2190" s="559"/>
      <c r="X2190" s="559"/>
    </row>
    <row r="2191" spans="1:24" x14ac:dyDescent="0.25">
      <c r="A2191" s="553">
        <f t="shared" si="163"/>
        <v>623654.98985181842</v>
      </c>
      <c r="B2191" s="3">
        <f t="shared" si="161"/>
        <v>33.899999999999942</v>
      </c>
      <c r="C2191" s="553">
        <f>'Foglio deposito bis'!$E$161/sezione!$B$247*B2191</f>
        <v>137.6220642500258</v>
      </c>
      <c r="D2191" s="611">
        <f>-'Progetto del paramento slu'!$G$47*'Progetto del paramento slu'!$G$41*IF(DATI!$G$218="dx",DATI!$E$61,DATI!$E$64*DATI!$E$63)*1000*C2191^2*sezione!$AD$5*(1-sezione!$AD$6)</f>
        <v>-155912697.15782371</v>
      </c>
      <c r="E2191" s="553">
        <f>-'Foglio deposito bis'!$F$78*(C2191-sezione!$AL$35)*IF(ABS(K2191)&lt;'Progetto del paramento slu'!$G$58,ABS(K2191)*'Progetto del paramento slu'!$G$54,'Progetto del paramento slu'!$G$53)</f>
        <v>0</v>
      </c>
      <c r="F2191" s="553">
        <f>-'Foglio deposito bis'!$F$79*(C2191-sezione!$AM$35)*IF(ABS(L2191)&lt;'Progetto del paramento slu'!$G$58,ABS(L2191)*'Progetto del paramento slu'!$G$54,'Progetto del paramento slu'!$G$53)</f>
        <v>315212.57214569859</v>
      </c>
      <c r="G2191" s="553">
        <f>-'Foglio deposito bis'!$F$80*(C2191-sezione!$AN$35)*IF(ABS(M2191)&lt;'Progetto del paramento slu'!$G$58,ABS(M2191)*'Progetto del paramento slu'!$G$54,'Progetto del paramento slu'!$G$53)</f>
        <v>0</v>
      </c>
      <c r="H2191" s="553">
        <f>-'Foglio deposito bis'!$F$81*(C2191-sezione!$AO$35)*IF(ABS(N2191)&lt;'Progetto del paramento slu'!$G$58,ABS(N2191)*'Progetto del paramento slu'!$G$54,'Progetto del paramento slu'!$G$53)</f>
        <v>80606992.589630097</v>
      </c>
      <c r="I2191" s="479">
        <f>-'Foglio deposito bis'!$F$82*(C2191-sezione!$AP$35)*IF(ABS(O2191)&lt;'Progetto del paramento slu'!$G$58,ABS(O2191)*'Progetto del paramento slu'!$G$54,'Progetto del paramento slu'!$G$53)</f>
        <v>109227655.35780281</v>
      </c>
      <c r="J2191" s="479">
        <f t="shared" si="162"/>
        <v>34237163.361754894</v>
      </c>
      <c r="K2191" s="558">
        <f>'Progetto del paramento slu'!$G$60*(sezione!$AL$35-C2191)/C2191</f>
        <v>-2.4827212608462693E-3</v>
      </c>
      <c r="L2191" s="558">
        <f>'Progetto del paramento slu'!$G$60*(sezione!$AM$35-C2191)/C2191</f>
        <v>3.147952718264911E-4</v>
      </c>
      <c r="M2191" s="559">
        <f>'Progetto del paramento slu'!$G$60*(sezione!$AN$35-C2191)/C2191</f>
        <v>3.1123118044992511E-3</v>
      </c>
      <c r="N2191" s="559">
        <f>'Progetto del paramento slu'!$G$60*(sezione!$AO$35-C2191)/C2191</f>
        <v>5.146869282806713E-3</v>
      </c>
      <c r="O2191" s="559">
        <f>'Progetto del paramento slu'!$G$60*(sezione!$AP$35-C2191)/C2191</f>
        <v>3.1125147711707603E-3</v>
      </c>
      <c r="P2191" s="553">
        <f>-'Progetto del paramento slu'!$G$47*'Progetto del paramento slu'!$G$41*IF(DATI!$G$218="dx",DATI!$E$61,DATI!$E$64*DATI!$E$63)*1000*C2191*sezione!$AD$5</f>
        <v>-1939905.4792412964</v>
      </c>
      <c r="Q2191" s="553">
        <f>'Foglio deposito bis'!$F$78*IF(ABS(K2191)&lt;'Progetto del paramento slu'!$G$58,ABS(K2191)*'Progetto del paramento slu'!$G$54,'Progetto del paramento slu'!$G$53)*IF(K2191&lt;0,-1,1)</f>
        <v>0</v>
      </c>
      <c r="R2191" s="553">
        <f>'Foglio deposito bis'!$F$79*IF(ABS(L2191)&lt;'Progetto del paramento slu'!$G$58,ABS(L2191)*'Progetto del paramento slu'!$G$54,'Progetto del paramento slu'!$G$53)*IF(L2191&lt;0,-1,1)</f>
        <v>25465.681718888842</v>
      </c>
      <c r="S2191" s="553">
        <f>'Foglio deposito bis'!$F$80*IF(ABS(M2191)&lt;'Progetto del paramento slu'!$G$58,ABS(M2191)*'Progetto del paramento slu'!$G$54,'Progetto del paramento slu'!$G$53)*IF(M2191&lt;0,-1,1)</f>
        <v>0</v>
      </c>
      <c r="T2191" s="553">
        <f>'Foglio deposito bis'!$F$81*IF(ABS(N2191)&lt;'Progetto del paramento slu'!$G$58,ABS(N2191)*'Progetto del paramento slu'!$G$54,'Progetto del paramento slu'!$G$53)*IF(N2191&lt;0,-1,1)</f>
        <v>398299.31208121032</v>
      </c>
      <c r="U2191" s="553">
        <f>'Foglio deposito bis'!$F$82*IF(ABS(O2191)&lt;'Progetto del paramento slu'!$G$58,ABS(O2191)*'Progetto del paramento slu'!$G$54,'Progetto del paramento slu'!$G$53)*IF(O2191&lt;0,-1,1)</f>
        <v>892485.49558937876</v>
      </c>
      <c r="V2191" s="479">
        <f t="shared" si="164"/>
        <v>-623654.98985181842</v>
      </c>
      <c r="W2191" s="559"/>
      <c r="X2191" s="559"/>
    </row>
    <row r="2192" spans="1:24" x14ac:dyDescent="0.25">
      <c r="A2192" s="553">
        <f t="shared" si="163"/>
        <v>689721.79642159096</v>
      </c>
      <c r="B2192" s="3">
        <f t="shared" si="161"/>
        <v>34.899999999999942</v>
      </c>
      <c r="C2192" s="553">
        <f>'Foglio deposito bis'!$E$161/sezione!$B$247*B2192</f>
        <v>141.68171216300593</v>
      </c>
      <c r="D2192" s="611">
        <f>-'Progetto del paramento slu'!$G$47*'Progetto del paramento slu'!$G$41*IF(DATI!$G$218="dx",DATI!$E$61,DATI!$E$64*DATI!$E$63)*1000*C2192^2*sezione!$AD$5*(1-sezione!$AD$6)</f>
        <v>-165246755.82809138</v>
      </c>
      <c r="E2192" s="553">
        <f>-'Foglio deposito bis'!$F$78*(C2192-sezione!$AL$35)*IF(ABS(K2192)&lt;'Progetto del paramento slu'!$G$58,ABS(K2192)*'Progetto del paramento slu'!$G$54,'Progetto del paramento slu'!$G$53)</f>
        <v>0</v>
      </c>
      <c r="F2192" s="553">
        <f>-'Foglio deposito bis'!$F$79*(C2192-sezione!$AM$35)*IF(ABS(L2192)&lt;'Progetto del paramento slu'!$G$58,ABS(L2192)*'Progetto del paramento slu'!$G$54,'Progetto del paramento slu'!$G$53)</f>
        <v>138276.77506399743</v>
      </c>
      <c r="G2192" s="553">
        <f>-'Foglio deposito bis'!$F$80*(C2192-sezione!$AN$35)*IF(ABS(M2192)&lt;'Progetto del paramento slu'!$G$58,ABS(M2192)*'Progetto del paramento slu'!$G$54,'Progetto del paramento slu'!$G$53)</f>
        <v>0</v>
      </c>
      <c r="H2192" s="553">
        <f>-'Foglio deposito bis'!$F$81*(C2192-sezione!$AO$35)*IF(ABS(N2192)&lt;'Progetto del paramento slu'!$G$58,ABS(N2192)*'Progetto del paramento slu'!$G$54,'Progetto del paramento slu'!$G$53)</f>
        <v>78990037.618598193</v>
      </c>
      <c r="I2192" s="479">
        <f>-'Foglio deposito bis'!$F$82*(C2192-sezione!$AP$35)*IF(ABS(O2192)&lt;'Progetto del paramento slu'!$G$58,ABS(O2192)*'Progetto del paramento slu'!$G$54,'Progetto del paramento slu'!$G$53)</f>
        <v>105604478.47826836</v>
      </c>
      <c r="J2192" s="479">
        <f t="shared" si="162"/>
        <v>19486037.043839157</v>
      </c>
      <c r="K2192" s="558">
        <f>'Progetto del paramento slu'!$G$60*(sezione!$AL$35-C2192)/C2192</f>
        <v>-2.5118696487876368E-3</v>
      </c>
      <c r="L2192" s="558">
        <f>'Progetto del paramento slu'!$G$60*(sezione!$AM$35-C2192)/C2192</f>
        <v>2.0548881704636208E-4</v>
      </c>
      <c r="M2192" s="559">
        <f>'Progetto del paramento slu'!$G$60*(sezione!$AN$35-C2192)/C2192</f>
        <v>2.9228472828803612E-3</v>
      </c>
      <c r="N2192" s="559">
        <f>'Progetto del paramento slu'!$G$60*(sezione!$AO$35-C2192)/C2192</f>
        <v>4.8991079853050873E-3</v>
      </c>
      <c r="O2192" s="559">
        <f>'Progetto del paramento slu'!$G$60*(sezione!$AP$35-C2192)/C2192</f>
        <v>2.92304443388793E-3</v>
      </c>
      <c r="P2192" s="553">
        <f>-'Progetto del paramento slu'!$G$47*'Progetto del paramento slu'!$G$41*IF(DATI!$G$218="dx",DATI!$E$61,DATI!$E$64*DATI!$E$63)*1000*C2192*sezione!$AD$5</f>
        <v>-1997129.8296613935</v>
      </c>
      <c r="Q2192" s="553">
        <f>'Foglio deposito bis'!$F$78*IF(ABS(K2192)&lt;'Progetto del paramento slu'!$G$58,ABS(K2192)*'Progetto del paramento slu'!$G$54,'Progetto del paramento slu'!$G$53)*IF(K2192&lt;0,-1,1)</f>
        <v>0</v>
      </c>
      <c r="R2192" s="553">
        <f>'Foglio deposito bis'!$F$79*IF(ABS(L2192)&lt;'Progetto del paramento slu'!$G$58,ABS(L2192)*'Progetto del paramento slu'!$G$54,'Progetto del paramento slu'!$G$53)*IF(L2192&lt;0,-1,1)</f>
        <v>16623.225569213486</v>
      </c>
      <c r="S2192" s="553">
        <f>'Foglio deposito bis'!$F$80*IF(ABS(M2192)&lt;'Progetto del paramento slu'!$G$58,ABS(M2192)*'Progetto del paramento slu'!$G$54,'Progetto del paramento slu'!$G$53)*IF(M2192&lt;0,-1,1)</f>
        <v>0</v>
      </c>
      <c r="T2192" s="553">
        <f>'Foglio deposito bis'!$F$81*IF(ABS(N2192)&lt;'Progetto del paramento slu'!$G$58,ABS(N2192)*'Progetto del paramento slu'!$G$54,'Progetto del paramento slu'!$G$53)*IF(N2192&lt;0,-1,1)</f>
        <v>398299.31208121032</v>
      </c>
      <c r="U2192" s="553">
        <f>'Foglio deposito bis'!$F$82*IF(ABS(O2192)&lt;'Progetto del paramento slu'!$G$58,ABS(O2192)*'Progetto del paramento slu'!$G$54,'Progetto del paramento slu'!$G$53)*IF(O2192&lt;0,-1,1)</f>
        <v>892485.49558937876</v>
      </c>
      <c r="V2192" s="479">
        <f t="shared" si="164"/>
        <v>-689721.79642159096</v>
      </c>
      <c r="W2192" s="559"/>
      <c r="X2192" s="559"/>
    </row>
    <row r="2193" spans="1:24" x14ac:dyDescent="0.25">
      <c r="A2193" s="553">
        <f t="shared" si="163"/>
        <v>755295.98704987764</v>
      </c>
      <c r="B2193" s="3">
        <f t="shared" si="161"/>
        <v>35.899999999999942</v>
      </c>
      <c r="C2193" s="553">
        <f>'Foglio deposito bis'!$E$161/sezione!$B$247*B2193</f>
        <v>145.74136007598605</v>
      </c>
      <c r="D2193" s="611">
        <f>-'Progetto del paramento slu'!$G$47*'Progetto del paramento slu'!$G$41*IF(DATI!$G$218="dx",DATI!$E$61,DATI!$E$64*DATI!$E$63)*1000*C2193^2*sezione!$AD$5*(1-sezione!$AD$6)</f>
        <v>-174852153.41319236</v>
      </c>
      <c r="E2193" s="553">
        <f>-'Foglio deposito bis'!$F$78*(C2193-sezione!$AL$35)*IF(ABS(K2193)&lt;'Progetto del paramento slu'!$G$58,ABS(K2193)*'Progetto del paramento slu'!$G$54,'Progetto del paramento slu'!$G$53)</f>
        <v>0</v>
      </c>
      <c r="F2193" s="553">
        <f>-'Foglio deposito bis'!$F$79*(C2193-sezione!$AM$35)*IF(ABS(L2193)&lt;'Progetto del paramento slu'!$G$58,ABS(L2193)*'Progetto del paramento slu'!$G$54,'Progetto del paramento slu'!$G$53)</f>
        <v>35233.369205210314</v>
      </c>
      <c r="G2193" s="553">
        <f>-'Foglio deposito bis'!$F$80*(C2193-sezione!$AN$35)*IF(ABS(M2193)&lt;'Progetto del paramento slu'!$G$58,ABS(M2193)*'Progetto del paramento slu'!$G$54,'Progetto del paramento slu'!$G$53)</f>
        <v>0</v>
      </c>
      <c r="H2193" s="553">
        <f>-'Foglio deposito bis'!$F$81*(C2193-sezione!$AO$35)*IF(ABS(N2193)&lt;'Progetto del paramento slu'!$G$58,ABS(N2193)*'Progetto del paramento slu'!$G$54,'Progetto del paramento slu'!$G$53)</f>
        <v>77373082.647566304</v>
      </c>
      <c r="I2193" s="479">
        <f>-'Foglio deposito bis'!$F$82*(C2193-sezione!$AP$35)*IF(ABS(O2193)&lt;'Progetto del paramento slu'!$G$58,ABS(O2193)*'Progetto del paramento slu'!$G$54,'Progetto del paramento slu'!$G$53)</f>
        <v>101981301.5987339</v>
      </c>
      <c r="J2193" s="479">
        <f t="shared" si="162"/>
        <v>4537464.2023130506</v>
      </c>
      <c r="K2193" s="558">
        <f>'Progetto del paramento slu'!$G$60*(sezione!$AL$35-C2193)/C2193</f>
        <v>-2.5393941711055299E-3</v>
      </c>
      <c r="L2193" s="558">
        <f>'Progetto del paramento slu'!$G$60*(sezione!$AM$35-C2193)/C2193</f>
        <v>1.0227185835426256E-4</v>
      </c>
      <c r="M2193" s="559">
        <f>'Progetto del paramento slu'!$G$60*(sezione!$AN$35-C2193)/C2193</f>
        <v>2.7439378878140555E-3</v>
      </c>
      <c r="N2193" s="559">
        <f>'Progetto del paramento slu'!$G$60*(sezione!$AO$35-C2193)/C2193</f>
        <v>4.6651495456029955E-3</v>
      </c>
      <c r="O2193" s="559">
        <f>'Progetto del paramento slu'!$G$60*(sezione!$AP$35-C2193)/C2193</f>
        <v>2.7441295471501044E-3</v>
      </c>
      <c r="P2193" s="553">
        <f>-'Progetto del paramento slu'!$G$47*'Progetto del paramento slu'!$G$41*IF(DATI!$G$218="dx",DATI!$E$61,DATI!$E$64*DATI!$E$63)*1000*C2193*sezione!$AD$5</f>
        <v>-2054354.1800814909</v>
      </c>
      <c r="Q2193" s="553">
        <f>'Foglio deposito bis'!$F$78*IF(ABS(K2193)&lt;'Progetto del paramento slu'!$G$58,ABS(K2193)*'Progetto del paramento slu'!$G$54,'Progetto del paramento slu'!$G$53)*IF(K2193&lt;0,-1,1)</f>
        <v>0</v>
      </c>
      <c r="R2193" s="553">
        <f>'Foglio deposito bis'!$F$79*IF(ABS(L2193)&lt;'Progetto del paramento slu'!$G$58,ABS(L2193)*'Progetto del paramento slu'!$G$54,'Progetto del paramento slu'!$G$53)*IF(L2193&lt;0,-1,1)</f>
        <v>8273.385361024224</v>
      </c>
      <c r="S2193" s="553">
        <f>'Foglio deposito bis'!$F$80*IF(ABS(M2193)&lt;'Progetto del paramento slu'!$G$58,ABS(M2193)*'Progetto del paramento slu'!$G$54,'Progetto del paramento slu'!$G$53)*IF(M2193&lt;0,-1,1)</f>
        <v>0</v>
      </c>
      <c r="T2193" s="553">
        <f>'Foglio deposito bis'!$F$81*IF(ABS(N2193)&lt;'Progetto del paramento slu'!$G$58,ABS(N2193)*'Progetto del paramento slu'!$G$54,'Progetto del paramento slu'!$G$53)*IF(N2193&lt;0,-1,1)</f>
        <v>398299.31208121032</v>
      </c>
      <c r="U2193" s="553">
        <f>'Foglio deposito bis'!$F$82*IF(ABS(O2193)&lt;'Progetto del paramento slu'!$G$58,ABS(O2193)*'Progetto del paramento slu'!$G$54,'Progetto del paramento slu'!$G$53)*IF(O2193&lt;0,-1,1)</f>
        <v>892485.49558937876</v>
      </c>
      <c r="V2193" s="479">
        <f t="shared" si="164"/>
        <v>-755295.98704987764</v>
      </c>
      <c r="W2193" s="559"/>
      <c r="X2193" s="559"/>
    </row>
    <row r="2194" spans="1:24" x14ac:dyDescent="0.25">
      <c r="A2194" s="553">
        <f t="shared" si="163"/>
        <v>820417.61181322159</v>
      </c>
      <c r="B2194" s="3">
        <f t="shared" si="161"/>
        <v>36.899999999999942</v>
      </c>
      <c r="C2194" s="553">
        <f>'Foglio deposito bis'!$E$161/sezione!$B$247*B2194</f>
        <v>149.80100798896615</v>
      </c>
      <c r="D2194" s="611">
        <f>-'Progetto del paramento slu'!$G$47*'Progetto del paramento slu'!$G$41*IF(DATI!$G$218="dx",DATI!$E$61,DATI!$E$64*DATI!$E$63)*1000*C2194^2*sezione!$AD$5*(1-sezione!$AD$6)</f>
        <v>-184728889.91312671</v>
      </c>
      <c r="E2194" s="553">
        <f>-'Foglio deposito bis'!$F$78*(C2194-sezione!$AL$35)*IF(ABS(K2194)&lt;'Progetto del paramento slu'!$G$58,ABS(K2194)*'Progetto del paramento slu'!$G$54,'Progetto del paramento slu'!$G$53)</f>
        <v>0</v>
      </c>
      <c r="F2194" s="553">
        <f>-'Foglio deposito bis'!$F$79*(C2194-sezione!$AM$35)*IF(ABS(L2194)&lt;'Progetto del paramento slu'!$G$58,ABS(L2194)*'Progetto del paramento slu'!$G$54,'Progetto del paramento slu'!$G$53)</f>
        <v>74.84308779953821</v>
      </c>
      <c r="G2194" s="553">
        <f>-'Foglio deposito bis'!$F$80*(C2194-sezione!$AN$35)*IF(ABS(M2194)&lt;'Progetto del paramento slu'!$G$58,ABS(M2194)*'Progetto del paramento slu'!$G$54,'Progetto del paramento slu'!$G$53)</f>
        <v>0</v>
      </c>
      <c r="H2194" s="553">
        <f>-'Foglio deposito bis'!$F$81*(C2194-sezione!$AO$35)*IF(ABS(N2194)&lt;'Progetto del paramento slu'!$G$58,ABS(N2194)*'Progetto del paramento slu'!$G$54,'Progetto del paramento slu'!$G$53)</f>
        <v>75756127.676534399</v>
      </c>
      <c r="I2194" s="479">
        <f>-'Foglio deposito bis'!$F$82*(C2194-sezione!$AP$35)*IF(ABS(O2194)&lt;'Progetto del paramento slu'!$G$58,ABS(O2194)*'Progetto del paramento slu'!$G$54,'Progetto del paramento slu'!$G$53)</f>
        <v>98358124.719199494</v>
      </c>
      <c r="J2194" s="479">
        <f t="shared" si="162"/>
        <v>-10614562.674305022</v>
      </c>
      <c r="K2194" s="558">
        <f>'Progetto del paramento slu'!$G$60*(sezione!$AL$35-C2194)/C2194</f>
        <v>-2.5654268493953527E-3</v>
      </c>
      <c r="L2194" s="558">
        <f>'Progetto del paramento slu'!$G$60*(sezione!$AM$35-C2194)/C2194</f>
        <v>4.6493147674265366E-6</v>
      </c>
      <c r="M2194" s="559">
        <f>'Progetto del paramento slu'!$G$60*(sezione!$AN$35-C2194)/C2194</f>
        <v>2.5747254789302062E-3</v>
      </c>
      <c r="N2194" s="559">
        <f>'Progetto del paramento slu'!$G$60*(sezione!$AO$35-C2194)/C2194</f>
        <v>4.4438717801395002E-3</v>
      </c>
      <c r="O2194" s="559">
        <f>'Progetto del paramento slu'!$G$60*(sezione!$AP$35-C2194)/C2194</f>
        <v>2.5749119442463084E-3</v>
      </c>
      <c r="P2194" s="553">
        <f>-'Progetto del paramento slu'!$G$47*'Progetto del paramento slu'!$G$41*IF(DATI!$G$218="dx",DATI!$E$61,DATI!$E$64*DATI!$E$63)*1000*C2194*sezione!$AD$5</f>
        <v>-2111578.5305015882</v>
      </c>
      <c r="Q2194" s="553">
        <f>'Foglio deposito bis'!$F$78*IF(ABS(K2194)&lt;'Progetto del paramento slu'!$G$58,ABS(K2194)*'Progetto del paramento slu'!$G$54,'Progetto del paramento slu'!$G$53)*IF(K2194&lt;0,-1,1)</f>
        <v>0</v>
      </c>
      <c r="R2194" s="553">
        <f>'Foglio deposito bis'!$F$79*IF(ABS(L2194)&lt;'Progetto del paramento slu'!$G$58,ABS(L2194)*'Progetto del paramento slu'!$G$54,'Progetto del paramento slu'!$G$53)*IF(L2194&lt;0,-1,1)</f>
        <v>376.1110177775239</v>
      </c>
      <c r="S2194" s="553">
        <f>'Foglio deposito bis'!$F$80*IF(ABS(M2194)&lt;'Progetto del paramento slu'!$G$58,ABS(M2194)*'Progetto del paramento slu'!$G$54,'Progetto del paramento slu'!$G$53)*IF(M2194&lt;0,-1,1)</f>
        <v>0</v>
      </c>
      <c r="T2194" s="553">
        <f>'Foglio deposito bis'!$F$81*IF(ABS(N2194)&lt;'Progetto del paramento slu'!$G$58,ABS(N2194)*'Progetto del paramento slu'!$G$54,'Progetto del paramento slu'!$G$53)*IF(N2194&lt;0,-1,1)</f>
        <v>398299.31208121032</v>
      </c>
      <c r="U2194" s="553">
        <f>'Foglio deposito bis'!$F$82*IF(ABS(O2194)&lt;'Progetto del paramento slu'!$G$58,ABS(O2194)*'Progetto del paramento slu'!$G$54,'Progetto del paramento slu'!$G$53)*IF(O2194&lt;0,-1,1)</f>
        <v>892485.49558937876</v>
      </c>
      <c r="V2194" s="479">
        <f t="shared" si="164"/>
        <v>-820417.61181322159</v>
      </c>
      <c r="W2194" s="559"/>
      <c r="X2194" s="559"/>
    </row>
    <row r="2195" spans="1:24" x14ac:dyDescent="0.25">
      <c r="A2195" s="553">
        <f t="shared" si="163"/>
        <v>885122.49386715982</v>
      </c>
      <c r="B2195" s="3">
        <f t="shared" si="161"/>
        <v>37.899999999999942</v>
      </c>
      <c r="C2195" s="553">
        <f>'Foglio deposito bis'!$E$161/sezione!$B$247*B2195</f>
        <v>153.86065590194627</v>
      </c>
      <c r="D2195" s="611">
        <f>-'Progetto del paramento slu'!$G$47*'Progetto del paramento slu'!$G$41*IF(DATI!$G$218="dx",DATI!$E$61,DATI!$E$64*DATI!$E$63)*1000*C2195^2*sezione!$AD$5*(1-sezione!$AD$6)</f>
        <v>-194876965.32789448</v>
      </c>
      <c r="E2195" s="553">
        <f>-'Foglio deposito bis'!$F$78*(C2195-sezione!$AL$35)*IF(ABS(K2195)&lt;'Progetto del paramento slu'!$G$58,ABS(K2195)*'Progetto del paramento slu'!$G$54,'Progetto del paramento slu'!$G$53)</f>
        <v>0</v>
      </c>
      <c r="F2195" s="553">
        <f>-'Foglio deposito bis'!$F$79*(C2195-sezione!$AM$35)*IF(ABS(L2195)&lt;'Progetto del paramento slu'!$G$58,ABS(L2195)*'Progetto del paramento slu'!$G$54,'Progetto del paramento slu'!$G$53)</f>
        <v>-27427.72338131267</v>
      </c>
      <c r="G2195" s="553">
        <f>-'Foglio deposito bis'!$F$80*(C2195-sezione!$AN$35)*IF(ABS(M2195)&lt;'Progetto del paramento slu'!$G$58,ABS(M2195)*'Progetto del paramento slu'!$G$54,'Progetto del paramento slu'!$G$53)</f>
        <v>0</v>
      </c>
      <c r="H2195" s="553">
        <f>-'Foglio deposito bis'!$F$81*(C2195-sezione!$AO$35)*IF(ABS(N2195)&lt;'Progetto del paramento slu'!$G$58,ABS(N2195)*'Progetto del paramento slu'!$G$54,'Progetto del paramento slu'!$G$53)</f>
        <v>74139172.705502495</v>
      </c>
      <c r="I2195" s="479">
        <f>-'Foglio deposito bis'!$F$82*(C2195-sezione!$AP$35)*IF(ABS(O2195)&lt;'Progetto del paramento slu'!$G$58,ABS(O2195)*'Progetto del paramento slu'!$G$54,'Progetto del paramento slu'!$G$53)</f>
        <v>94734947.839665025</v>
      </c>
      <c r="J2195" s="479">
        <f t="shared" si="162"/>
        <v>-26030272.506108269</v>
      </c>
      <c r="K2195" s="558">
        <f>'Progetto del paramento slu'!$G$60*(sezione!$AL$35-C2195)/C2195</f>
        <v>-2.5900857715748949E-3</v>
      </c>
      <c r="L2195" s="558">
        <f>'Progetto del paramento slu'!$G$60*(sezione!$AM$35-C2195)/C2195</f>
        <v>-8.7821643405856776E-5</v>
      </c>
      <c r="M2195" s="559">
        <f>'Progetto del paramento slu'!$G$60*(sezione!$AN$35-C2195)/C2195</f>
        <v>2.4144424847631816E-3</v>
      </c>
      <c r="N2195" s="559">
        <f>'Progetto del paramento slu'!$G$60*(sezione!$AO$35-C2195)/C2195</f>
        <v>4.2342709416133915E-3</v>
      </c>
      <c r="O2195" s="559">
        <f>'Progetto del paramento slu'!$G$60*(sezione!$AP$35-C2195)/C2195</f>
        <v>2.4146240301500988E-3</v>
      </c>
      <c r="P2195" s="553">
        <f>-'Progetto del paramento slu'!$G$47*'Progetto del paramento slu'!$G$41*IF(DATI!$G$218="dx",DATI!$E$61,DATI!$E$64*DATI!$E$63)*1000*C2195*sezione!$AD$5</f>
        <v>-2168802.8809216856</v>
      </c>
      <c r="Q2195" s="553">
        <f>'Foglio deposito bis'!$F$78*IF(ABS(K2195)&lt;'Progetto del paramento slu'!$G$58,ABS(K2195)*'Progetto del paramento slu'!$G$54,'Progetto del paramento slu'!$G$53)*IF(K2195&lt;0,-1,1)</f>
        <v>0</v>
      </c>
      <c r="R2195" s="553">
        <f>'Foglio deposito bis'!$F$79*IF(ABS(L2195)&lt;'Progetto del paramento slu'!$G$58,ABS(L2195)*'Progetto del paramento slu'!$G$54,'Progetto del paramento slu'!$G$53)*IF(L2195&lt;0,-1,1)</f>
        <v>-7104.4206160630702</v>
      </c>
      <c r="S2195" s="553">
        <f>'Foglio deposito bis'!$F$80*IF(ABS(M2195)&lt;'Progetto del paramento slu'!$G$58,ABS(M2195)*'Progetto del paramento slu'!$G$54,'Progetto del paramento slu'!$G$53)*IF(M2195&lt;0,-1,1)</f>
        <v>0</v>
      </c>
      <c r="T2195" s="553">
        <f>'Foglio deposito bis'!$F$81*IF(ABS(N2195)&lt;'Progetto del paramento slu'!$G$58,ABS(N2195)*'Progetto del paramento slu'!$G$54,'Progetto del paramento slu'!$G$53)*IF(N2195&lt;0,-1,1)</f>
        <v>398299.31208121032</v>
      </c>
      <c r="U2195" s="553">
        <f>'Foglio deposito bis'!$F$82*IF(ABS(O2195)&lt;'Progetto del paramento slu'!$G$58,ABS(O2195)*'Progetto del paramento slu'!$G$54,'Progetto del paramento slu'!$G$53)*IF(O2195&lt;0,-1,1)</f>
        <v>892485.49558937876</v>
      </c>
      <c r="V2195" s="479">
        <f t="shared" si="164"/>
        <v>-885122.49386715982</v>
      </c>
      <c r="W2195" s="559"/>
      <c r="X2195" s="559"/>
    </row>
    <row r="2196" spans="1:24" x14ac:dyDescent="0.25">
      <c r="A2196" s="553">
        <f t="shared" si="163"/>
        <v>949442.77275226219</v>
      </c>
      <c r="B2196" s="3">
        <f t="shared" si="161"/>
        <v>38.899999999999942</v>
      </c>
      <c r="C2196" s="553">
        <f>'Foglio deposito bis'!$E$161/sezione!$B$247*B2196</f>
        <v>157.9203038149264</v>
      </c>
      <c r="D2196" s="611">
        <f>-'Progetto del paramento slu'!$G$47*'Progetto del paramento slu'!$G$41*IF(DATI!$G$218="dx",DATI!$E$61,DATI!$E$64*DATI!$E$63)*1000*C2196^2*sezione!$AD$5*(1-sezione!$AD$6)</f>
        <v>-205296379.65749559</v>
      </c>
      <c r="E2196" s="553">
        <f>-'Foglio deposito bis'!$F$78*(C2196-sezione!$AL$35)*IF(ABS(K2196)&lt;'Progetto del paramento slu'!$G$58,ABS(K2196)*'Progetto del paramento slu'!$G$54,'Progetto del paramento slu'!$G$53)</f>
        <v>0</v>
      </c>
      <c r="F2196" s="553">
        <f>-'Foglio deposito bis'!$F$79*(C2196-sezione!$AM$35)*IF(ABS(L2196)&lt;'Progetto del paramento slu'!$G$58,ABS(L2196)*'Progetto del paramento slu'!$G$54,'Progetto del paramento slu'!$G$53)</f>
        <v>-112471.07900007475</v>
      </c>
      <c r="G2196" s="553">
        <f>-'Foglio deposito bis'!$F$80*(C2196-sezione!$AN$35)*IF(ABS(M2196)&lt;'Progetto del paramento slu'!$G$58,ABS(M2196)*'Progetto del paramento slu'!$G$54,'Progetto del paramento slu'!$G$53)</f>
        <v>0</v>
      </c>
      <c r="H2196" s="553">
        <f>-'Foglio deposito bis'!$F$81*(C2196-sezione!$AO$35)*IF(ABS(N2196)&lt;'Progetto del paramento slu'!$G$58,ABS(N2196)*'Progetto del paramento slu'!$G$54,'Progetto del paramento slu'!$G$53)</f>
        <v>72522217.734470591</v>
      </c>
      <c r="I2196" s="479">
        <f>-'Foglio deposito bis'!$F$82*(C2196-sezione!$AP$35)*IF(ABS(O2196)&lt;'Progetto del paramento slu'!$G$58,ABS(O2196)*'Progetto del paramento slu'!$G$54,'Progetto del paramento slu'!$G$53)</f>
        <v>91111770.960130572</v>
      </c>
      <c r="J2196" s="479">
        <f t="shared" si="162"/>
        <v>-41774862.04189451</v>
      </c>
      <c r="K2196" s="558">
        <f>'Progetto del paramento slu'!$G$60*(sezione!$AL$35-C2196)/C2196</f>
        <v>-2.6134768828454634E-3</v>
      </c>
      <c r="L2196" s="558">
        <f>'Progetto del paramento slu'!$G$60*(sezione!$AM$35-C2196)/C2196</f>
        <v>-1.7553831067048796E-4</v>
      </c>
      <c r="M2196" s="559">
        <f>'Progetto del paramento slu'!$G$60*(sezione!$AN$35-C2196)/C2196</f>
        <v>2.2624002615044877E-3</v>
      </c>
      <c r="N2196" s="559">
        <f>'Progetto del paramento slu'!$G$60*(sezione!$AO$35-C2196)/C2196</f>
        <v>4.0354464958135602E-3</v>
      </c>
      <c r="O2196" s="559">
        <f>'Progetto del paramento slu'!$G$60*(sezione!$AP$35-C2196)/C2196</f>
        <v>2.2625771399148774E-3</v>
      </c>
      <c r="P2196" s="553">
        <f>-'Progetto del paramento slu'!$G$47*'Progetto del paramento slu'!$G$41*IF(DATI!$G$218="dx",DATI!$E$61,DATI!$E$64*DATI!$E$63)*1000*C2196*sezione!$AD$5</f>
        <v>-2226027.2313417825</v>
      </c>
      <c r="Q2196" s="553">
        <f>'Foglio deposito bis'!$F$78*IF(ABS(K2196)&lt;'Progetto del paramento slu'!$G$58,ABS(K2196)*'Progetto del paramento slu'!$G$54,'Progetto del paramento slu'!$G$53)*IF(K2196&lt;0,-1,1)</f>
        <v>0</v>
      </c>
      <c r="R2196" s="553">
        <f>'Foglio deposito bis'!$F$79*IF(ABS(L2196)&lt;'Progetto del paramento slu'!$G$58,ABS(L2196)*'Progetto del paramento slu'!$G$54,'Progetto del paramento slu'!$G$53)*IF(L2196&lt;0,-1,1)</f>
        <v>-14200.349081068669</v>
      </c>
      <c r="S2196" s="553">
        <f>'Foglio deposito bis'!$F$80*IF(ABS(M2196)&lt;'Progetto del paramento slu'!$G$58,ABS(M2196)*'Progetto del paramento slu'!$G$54,'Progetto del paramento slu'!$G$53)*IF(M2196&lt;0,-1,1)</f>
        <v>0</v>
      </c>
      <c r="T2196" s="553">
        <f>'Foglio deposito bis'!$F$81*IF(ABS(N2196)&lt;'Progetto del paramento slu'!$G$58,ABS(N2196)*'Progetto del paramento slu'!$G$54,'Progetto del paramento slu'!$G$53)*IF(N2196&lt;0,-1,1)</f>
        <v>398299.31208121032</v>
      </c>
      <c r="U2196" s="553">
        <f>'Foglio deposito bis'!$F$82*IF(ABS(O2196)&lt;'Progetto del paramento slu'!$G$58,ABS(O2196)*'Progetto del paramento slu'!$G$54,'Progetto del paramento slu'!$G$53)*IF(O2196&lt;0,-1,1)</f>
        <v>892485.49558937876</v>
      </c>
      <c r="V2196" s="479">
        <f t="shared" si="164"/>
        <v>-949442.77275226219</v>
      </c>
      <c r="W2196" s="559"/>
      <c r="X2196" s="559"/>
    </row>
    <row r="2197" spans="1:24" x14ac:dyDescent="0.25">
      <c r="A2197" s="553">
        <f t="shared" si="163"/>
        <v>1013407.3660000218</v>
      </c>
      <c r="B2197" s="3">
        <f t="shared" si="161"/>
        <v>39.899999999999942</v>
      </c>
      <c r="C2197" s="553">
        <f>'Foglio deposito bis'!$E$161/sezione!$B$247*B2197</f>
        <v>161.97995172790652</v>
      </c>
      <c r="D2197" s="611">
        <f>-'Progetto del paramento slu'!$G$47*'Progetto del paramento slu'!$G$41*IF(DATI!$G$218="dx",DATI!$E$61,DATI!$E$64*DATI!$E$63)*1000*C2197^2*sezione!$AD$5*(1-sezione!$AD$6)</f>
        <v>-215987132.90193006</v>
      </c>
      <c r="E2197" s="553">
        <f>-'Foglio deposito bis'!$F$78*(C2197-sezione!$AL$35)*IF(ABS(K2197)&lt;'Progetto del paramento slu'!$G$58,ABS(K2197)*'Progetto del paramento slu'!$G$54,'Progetto del paramento slu'!$G$53)</f>
        <v>0</v>
      </c>
      <c r="F2197" s="553">
        <f>-'Foglio deposito bis'!$F$79*(C2197-sezione!$AM$35)*IF(ABS(L2197)&lt;'Progetto del paramento slu'!$G$58,ABS(L2197)*'Progetto del paramento slu'!$G$54,'Progetto del paramento slu'!$G$53)</f>
        <v>-250867.28022038293</v>
      </c>
      <c r="G2197" s="553">
        <f>-'Foglio deposito bis'!$F$80*(C2197-sezione!$AN$35)*IF(ABS(M2197)&lt;'Progetto del paramento slu'!$G$58,ABS(M2197)*'Progetto del paramento slu'!$G$54,'Progetto del paramento slu'!$G$53)</f>
        <v>0</v>
      </c>
      <c r="H2197" s="553">
        <f>-'Foglio deposito bis'!$F$81*(C2197-sezione!$AO$35)*IF(ABS(N2197)&lt;'Progetto del paramento slu'!$G$58,ABS(N2197)*'Progetto del paramento slu'!$G$54,'Progetto del paramento slu'!$G$53)</f>
        <v>70905262.763438687</v>
      </c>
      <c r="I2197" s="479">
        <f>-'Foglio deposito bis'!$F$82*(C2197-sezione!$AP$35)*IF(ABS(O2197)&lt;'Progetto del paramento slu'!$G$58,ABS(O2197)*'Progetto del paramento slu'!$G$54,'Progetto del paramento slu'!$G$53)</f>
        <v>87488594.080596119</v>
      </c>
      <c r="J2197" s="479">
        <f t="shared" si="162"/>
        <v>-57844143.338115662</v>
      </c>
      <c r="K2197" s="558">
        <f>'Progetto del paramento slu'!$G$60*(sezione!$AL$35-C2197)/C2197</f>
        <v>-2.6356955073355524E-3</v>
      </c>
      <c r="L2197" s="558">
        <f>'Progetto del paramento slu'!$G$60*(sezione!$AM$35-C2197)/C2197</f>
        <v>-2.5885815250832064E-4</v>
      </c>
      <c r="M2197" s="559">
        <f>'Progetto del paramento slu'!$G$60*(sezione!$AN$35-C2197)/C2197</f>
        <v>2.1179792023189111E-3</v>
      </c>
      <c r="N2197" s="559">
        <f>'Progetto del paramento slu'!$G$60*(sezione!$AO$35-C2197)/C2197</f>
        <v>3.8465881876478063E-3</v>
      </c>
      <c r="O2197" s="559">
        <f>'Progetto del paramento slu'!$G$60*(sezione!$AP$35-C2197)/C2197</f>
        <v>2.118151647686434E-3</v>
      </c>
      <c r="P2197" s="553">
        <f>-'Progetto del paramento slu'!$G$47*'Progetto del paramento slu'!$G$41*IF(DATI!$G$218="dx",DATI!$E$61,DATI!$E$64*DATI!$E$63)*1000*C2197*sezione!$AD$5</f>
        <v>-2283251.5817618803</v>
      </c>
      <c r="Q2197" s="553">
        <f>'Foglio deposito bis'!$F$78*IF(ABS(K2197)&lt;'Progetto del paramento slu'!$G$58,ABS(K2197)*'Progetto del paramento slu'!$G$54,'Progetto del paramento slu'!$G$53)*IF(K2197&lt;0,-1,1)</f>
        <v>0</v>
      </c>
      <c r="R2197" s="553">
        <f>'Foglio deposito bis'!$F$79*IF(ABS(L2197)&lt;'Progetto del paramento slu'!$G$58,ABS(L2197)*'Progetto del paramento slu'!$G$54,'Progetto del paramento slu'!$G$53)*IF(L2197&lt;0,-1,1)</f>
        <v>-20940.591908730632</v>
      </c>
      <c r="S2197" s="553">
        <f>'Foglio deposito bis'!$F$80*IF(ABS(M2197)&lt;'Progetto del paramento slu'!$G$58,ABS(M2197)*'Progetto del paramento slu'!$G$54,'Progetto del paramento slu'!$G$53)*IF(M2197&lt;0,-1,1)</f>
        <v>0</v>
      </c>
      <c r="T2197" s="553">
        <f>'Foglio deposito bis'!$F$81*IF(ABS(N2197)&lt;'Progetto del paramento slu'!$G$58,ABS(N2197)*'Progetto del paramento slu'!$G$54,'Progetto del paramento slu'!$G$53)*IF(N2197&lt;0,-1,1)</f>
        <v>398299.31208121032</v>
      </c>
      <c r="U2197" s="553">
        <f>'Foglio deposito bis'!$F$82*IF(ABS(O2197)&lt;'Progetto del paramento slu'!$G$58,ABS(O2197)*'Progetto del paramento slu'!$G$54,'Progetto del paramento slu'!$G$53)*IF(O2197&lt;0,-1,1)</f>
        <v>892485.49558937876</v>
      </c>
      <c r="V2197" s="479">
        <f t="shared" si="164"/>
        <v>-1013407.3660000218</v>
      </c>
      <c r="W2197" s="559"/>
      <c r="X2197" s="559"/>
    </row>
    <row r="2198" spans="1:24" x14ac:dyDescent="0.25">
      <c r="A2198" s="553">
        <f t="shared" si="163"/>
        <v>1077042.3630214892</v>
      </c>
      <c r="B2198" s="3">
        <f t="shared" si="161"/>
        <v>40.899999999999942</v>
      </c>
      <c r="C2198" s="553">
        <f>'Foglio deposito bis'!$E$161/sezione!$B$247*B2198</f>
        <v>166.03959964088662</v>
      </c>
      <c r="D2198" s="611">
        <f>-'Progetto del paramento slu'!$G$47*'Progetto del paramento slu'!$G$41*IF(DATI!$G$218="dx",DATI!$E$61,DATI!$E$64*DATI!$E$63)*1000*C2198^2*sezione!$AD$5*(1-sezione!$AD$6)</f>
        <v>-226949225.06119785</v>
      </c>
      <c r="E2198" s="553">
        <f>-'Foglio deposito bis'!$F$78*(C2198-sezione!$AL$35)*IF(ABS(K2198)&lt;'Progetto del paramento slu'!$G$58,ABS(K2198)*'Progetto del paramento slu'!$G$54,'Progetto del paramento slu'!$G$53)</f>
        <v>0</v>
      </c>
      <c r="F2198" s="553">
        <f>-'Foglio deposito bis'!$F$79*(C2198-sezione!$AM$35)*IF(ABS(L2198)&lt;'Progetto del paramento slu'!$G$58,ABS(L2198)*'Progetto del paramento slu'!$G$54,'Progetto del paramento slu'!$G$53)</f>
        <v>-438702.91538442043</v>
      </c>
      <c r="G2198" s="553">
        <f>-'Foglio deposito bis'!$F$80*(C2198-sezione!$AN$35)*IF(ABS(M2198)&lt;'Progetto del paramento slu'!$G$58,ABS(M2198)*'Progetto del paramento slu'!$G$54,'Progetto del paramento slu'!$G$53)</f>
        <v>0</v>
      </c>
      <c r="H2198" s="553">
        <f>-'Foglio deposito bis'!$F$81*(C2198-sezione!$AO$35)*IF(ABS(N2198)&lt;'Progetto del paramento slu'!$G$58,ABS(N2198)*'Progetto del paramento slu'!$G$54,'Progetto del paramento slu'!$G$53)</f>
        <v>69288307.792406783</v>
      </c>
      <c r="I2198" s="479">
        <f>-'Foglio deposito bis'!$F$82*(C2198-sezione!$AP$35)*IF(ABS(O2198)&lt;'Progetto del paramento slu'!$G$58,ABS(O2198)*'Progetto del paramento slu'!$G$54,'Progetto del paramento slu'!$G$53)</f>
        <v>83865417.201061696</v>
      </c>
      <c r="J2198" s="479">
        <f t="shared" si="162"/>
        <v>-74234202.983113796</v>
      </c>
      <c r="K2198" s="558">
        <f>'Progetto del paramento slu'!$G$60*(sezione!$AL$35-C2198)/C2198</f>
        <v>-2.6568276465205021E-3</v>
      </c>
      <c r="L2198" s="558">
        <f>'Progetto del paramento slu'!$G$60*(sezione!$AM$35-C2198)/C2198</f>
        <v>-3.3810367445188212E-4</v>
      </c>
      <c r="M2198" s="559">
        <f>'Progetto del paramento slu'!$G$60*(sezione!$AN$35-C2198)/C2198</f>
        <v>1.9806202976167379E-3</v>
      </c>
      <c r="N2198" s="559">
        <f>'Progetto del paramento slu'!$G$60*(sezione!$AO$35-C2198)/C2198</f>
        <v>3.6669650045757338E-3</v>
      </c>
      <c r="O2198" s="559">
        <f>'Progetto del paramento slu'!$G$60*(sezione!$AP$35-C2198)/C2198</f>
        <v>1.9807885267161059E-3</v>
      </c>
      <c r="P2198" s="553">
        <f>-'Progetto del paramento slu'!$G$47*'Progetto del paramento slu'!$G$41*IF(DATI!$G$218="dx",DATI!$E$61,DATI!$E$64*DATI!$E$63)*1000*C2198*sezione!$AD$5</f>
        <v>-2340475.9321819772</v>
      </c>
      <c r="Q2198" s="553">
        <f>'Foglio deposito bis'!$F$78*IF(ABS(K2198)&lt;'Progetto del paramento slu'!$G$58,ABS(K2198)*'Progetto del paramento slu'!$G$54,'Progetto del paramento slu'!$G$53)*IF(K2198&lt;0,-1,1)</f>
        <v>0</v>
      </c>
      <c r="R2198" s="553">
        <f>'Foglio deposito bis'!$F$79*IF(ABS(L2198)&lt;'Progetto del paramento slu'!$G$58,ABS(L2198)*'Progetto del paramento slu'!$G$54,'Progetto del paramento slu'!$G$53)*IF(L2198&lt;0,-1,1)</f>
        <v>-27351.238510101008</v>
      </c>
      <c r="S2198" s="553">
        <f>'Foglio deposito bis'!$F$80*IF(ABS(M2198)&lt;'Progetto del paramento slu'!$G$58,ABS(M2198)*'Progetto del paramento slu'!$G$54,'Progetto del paramento slu'!$G$53)*IF(M2198&lt;0,-1,1)</f>
        <v>0</v>
      </c>
      <c r="T2198" s="553">
        <f>'Foglio deposito bis'!$F$81*IF(ABS(N2198)&lt;'Progetto del paramento slu'!$G$58,ABS(N2198)*'Progetto del paramento slu'!$G$54,'Progetto del paramento slu'!$G$53)*IF(N2198&lt;0,-1,1)</f>
        <v>398299.31208121032</v>
      </c>
      <c r="U2198" s="553">
        <f>'Foglio deposito bis'!$F$82*IF(ABS(O2198)&lt;'Progetto del paramento slu'!$G$58,ABS(O2198)*'Progetto del paramento slu'!$G$54,'Progetto del paramento slu'!$G$53)*IF(O2198&lt;0,-1,1)</f>
        <v>892485.49558937876</v>
      </c>
      <c r="V2198" s="479">
        <f t="shared" si="164"/>
        <v>-1077042.3630214892</v>
      </c>
      <c r="W2198" s="559"/>
      <c r="X2198" s="559"/>
    </row>
    <row r="2199" spans="1:24" x14ac:dyDescent="0.25">
      <c r="A2199" s="553">
        <f t="shared" si="163"/>
        <v>1163653.8027835949</v>
      </c>
      <c r="B2199" s="3">
        <f t="shared" si="161"/>
        <v>41.899999999999942</v>
      </c>
      <c r="C2199" s="553">
        <f>'Foglio deposito bis'!$E$161/sezione!$B$247*B2199</f>
        <v>170.09924755386675</v>
      </c>
      <c r="D2199" s="611">
        <f>-'Progetto del paramento slu'!$G$47*'Progetto del paramento slu'!$G$41*IF(DATI!$G$218="dx",DATI!$E$61,DATI!$E$64*DATI!$E$63)*1000*C2199^2*sezione!$AD$5*(1-sezione!$AD$6)</f>
        <v>-238182656.13529906</v>
      </c>
      <c r="E2199" s="553">
        <f>-'Foglio deposito bis'!$F$78*(C2199-sezione!$AL$35)*IF(ABS(K2199)&lt;'Progetto del paramento slu'!$G$58,ABS(K2199)*'Progetto del paramento slu'!$G$54,'Progetto del paramento slu'!$G$53)</f>
        <v>0</v>
      </c>
      <c r="F2199" s="553">
        <f>-'Foglio deposito bis'!$F$79*(C2199-sezione!$AM$35)*IF(ABS(L2199)&lt;'Progetto del paramento slu'!$G$58,ABS(L2199)*'Progetto del paramento slu'!$G$54,'Progetto del paramento slu'!$G$53)</f>
        <v>-672438.16821936914</v>
      </c>
      <c r="G2199" s="553">
        <f>-'Foglio deposito bis'!$F$80*(C2199-sezione!$AN$35)*IF(ABS(M2199)&lt;'Progetto del paramento slu'!$G$58,ABS(M2199)*'Progetto del paramento slu'!$G$54,'Progetto del paramento slu'!$G$53)</f>
        <v>0</v>
      </c>
      <c r="H2199" s="553">
        <f>-'Foglio deposito bis'!$F$81*(C2199-sezione!$AO$35)*IF(ABS(N2199)&lt;'Progetto del paramento slu'!$G$58,ABS(N2199)*'Progetto del paramento slu'!$G$54,'Progetto del paramento slu'!$G$53)</f>
        <v>67671352.821374893</v>
      </c>
      <c r="I2199" s="479">
        <f>-'Foglio deposito bis'!$F$82*(C2199-sezione!$AP$35)*IF(ABS(O2199)&lt;'Progetto del paramento slu'!$G$58,ABS(O2199)*'Progetto del paramento slu'!$G$54,'Progetto del paramento slu'!$G$53)</f>
        <v>78148945.617722094</v>
      </c>
      <c r="J2199" s="479">
        <f t="shared" si="162"/>
        <v>-93034795.864421427</v>
      </c>
      <c r="K2199" s="558">
        <f>'Progetto del paramento slu'!$G$60*(sezione!$AL$35-C2199)/C2199</f>
        <v>-2.6769510917109434E-3</v>
      </c>
      <c r="L2199" s="558">
        <f>'Progetto del paramento slu'!$G$60*(sezione!$AM$35-C2199)/C2199</f>
        <v>-4.1356659391603785E-4</v>
      </c>
      <c r="M2199" s="559">
        <f>'Progetto del paramento slu'!$G$60*(sezione!$AN$35-C2199)/C2199</f>
        <v>1.8498179038788677E-3</v>
      </c>
      <c r="N2199" s="559">
        <f>'Progetto del paramento slu'!$G$60*(sezione!$AO$35-C2199)/C2199</f>
        <v>3.4959157204569806E-3</v>
      </c>
      <c r="O2199" s="559">
        <f>'Progetto del paramento slu'!$G$60*(sezione!$AP$35-C2199)/C2199</f>
        <v>1.8499821179639312E-3</v>
      </c>
      <c r="P2199" s="553">
        <f>-'Progetto del paramento slu'!$G$47*'Progetto del paramento slu'!$G$41*IF(DATI!$G$218="dx",DATI!$E$61,DATI!$E$64*DATI!$E$63)*1000*C2199*sezione!$AD$5</f>
        <v>-2397700.282602075</v>
      </c>
      <c r="Q2199" s="553">
        <f>'Foglio deposito bis'!$F$78*IF(ABS(K2199)&lt;'Progetto del paramento slu'!$G$58,ABS(K2199)*'Progetto del paramento slu'!$G$54,'Progetto del paramento slu'!$G$53)*IF(K2199&lt;0,-1,1)</f>
        <v>0</v>
      </c>
      <c r="R2199" s="553">
        <f>'Foglio deposito bis'!$F$79*IF(ABS(L2199)&lt;'Progetto del paramento slu'!$G$58,ABS(L2199)*'Progetto del paramento slu'!$G$54,'Progetto del paramento slu'!$G$53)*IF(L2199&lt;0,-1,1)</f>
        <v>-33455.887660332024</v>
      </c>
      <c r="S2199" s="553">
        <f>'Foglio deposito bis'!$F$80*IF(ABS(M2199)&lt;'Progetto del paramento slu'!$G$58,ABS(M2199)*'Progetto del paramento slu'!$G$54,'Progetto del paramento slu'!$G$53)*IF(M2199&lt;0,-1,1)</f>
        <v>0</v>
      </c>
      <c r="T2199" s="553">
        <f>'Foglio deposito bis'!$F$81*IF(ABS(N2199)&lt;'Progetto del paramento slu'!$G$58,ABS(N2199)*'Progetto del paramento slu'!$G$54,'Progetto del paramento slu'!$G$53)*IF(N2199&lt;0,-1,1)</f>
        <v>398299.31208121032</v>
      </c>
      <c r="U2199" s="553">
        <f>'Foglio deposito bis'!$F$82*IF(ABS(O2199)&lt;'Progetto del paramento slu'!$G$58,ABS(O2199)*'Progetto del paramento slu'!$G$54,'Progetto del paramento slu'!$G$53)*IF(O2199&lt;0,-1,1)</f>
        <v>869203.05539760168</v>
      </c>
      <c r="V2199" s="479">
        <f t="shared" si="164"/>
        <v>-1163653.8027835949</v>
      </c>
      <c r="W2199" s="559"/>
      <c r="X2199" s="559"/>
    </row>
    <row r="2200" spans="1:24" x14ac:dyDescent="0.25">
      <c r="A2200" s="553">
        <f t="shared" si="163"/>
        <v>1285291.6104016644</v>
      </c>
      <c r="B2200" s="3">
        <f t="shared" si="161"/>
        <v>42.899999999999942</v>
      </c>
      <c r="C2200" s="553">
        <f>'Foglio deposito bis'!$E$161/sezione!$B$247*B2200</f>
        <v>174.15889546684687</v>
      </c>
      <c r="D2200" s="611">
        <f>-'Progetto del paramento slu'!$G$47*'Progetto del paramento slu'!$G$41*IF(DATI!$G$218="dx",DATI!$E$61,DATI!$E$64*DATI!$E$63)*1000*C2200^2*sezione!$AD$5*(1-sezione!$AD$6)</f>
        <v>-249687426.1242336</v>
      </c>
      <c r="E2200" s="553">
        <f>-'Foglio deposito bis'!$F$78*(C2200-sezione!$AL$35)*IF(ABS(K2200)&lt;'Progetto del paramento slu'!$G$58,ABS(K2200)*'Progetto del paramento slu'!$G$54,'Progetto del paramento slu'!$G$53)</f>
        <v>0</v>
      </c>
      <c r="F2200" s="553">
        <f>-'Foglio deposito bis'!$F$79*(C2200-sezione!$AM$35)*IF(ABS(L2200)&lt;'Progetto del paramento slu'!$G$58,ABS(L2200)*'Progetto del paramento slu'!$G$54,'Progetto del paramento slu'!$G$53)</f>
        <v>-948863.2752517378</v>
      </c>
      <c r="G2200" s="553">
        <f>-'Foglio deposito bis'!$F$80*(C2200-sezione!$AN$35)*IF(ABS(M2200)&lt;'Progetto del paramento slu'!$G$58,ABS(M2200)*'Progetto del paramento slu'!$G$54,'Progetto del paramento slu'!$G$53)</f>
        <v>0</v>
      </c>
      <c r="H2200" s="553">
        <f>-'Foglio deposito bis'!$F$81*(C2200-sezione!$AO$35)*IF(ABS(N2200)&lt;'Progetto del paramento slu'!$G$58,ABS(N2200)*'Progetto del paramento slu'!$G$54,'Progetto del paramento slu'!$G$53)</f>
        <v>66054397.850342982</v>
      </c>
      <c r="I2200" s="479">
        <f>-'Foglio deposito bis'!$F$82*(C2200-sezione!$AP$35)*IF(ABS(O2200)&lt;'Progetto del paramento slu'!$G$58,ABS(O2200)*'Progetto del paramento slu'!$G$54,'Progetto del paramento slu'!$G$53)</f>
        <v>69590096.845720112</v>
      </c>
      <c r="J2200" s="479">
        <f t="shared" si="162"/>
        <v>-114991794.70342225</v>
      </c>
      <c r="K2200" s="558">
        <f>'Progetto del paramento slu'!$G$60*(sezione!$AL$35-C2200)/C2200</f>
        <v>-2.6961363809484508E-3</v>
      </c>
      <c r="L2200" s="558">
        <f>'Progetto del paramento slu'!$G$60*(sezione!$AM$35-C2200)/C2200</f>
        <v>-4.8551142855668991E-4</v>
      </c>
      <c r="M2200" s="559">
        <f>'Progetto del paramento slu'!$G$60*(sezione!$AN$35-C2200)/C2200</f>
        <v>1.7251135238350707E-3</v>
      </c>
      <c r="N2200" s="559">
        <f>'Progetto del paramento slu'!$G$60*(sezione!$AO$35-C2200)/C2200</f>
        <v>3.3328407619381694E-3</v>
      </c>
      <c r="O2200" s="559">
        <f>'Progetto del paramento slu'!$G$60*(sezione!$AP$35-C2200)/C2200</f>
        <v>1.7252739100859836E-3</v>
      </c>
      <c r="P2200" s="553">
        <f>-'Progetto del paramento slu'!$G$47*'Progetto del paramento slu'!$G$41*IF(DATI!$G$218="dx",DATI!$E$61,DATI!$E$64*DATI!$E$63)*1000*C2200*sezione!$AD$5</f>
        <v>-2454924.6330221719</v>
      </c>
      <c r="Q2200" s="553">
        <f>'Foglio deposito bis'!$F$78*IF(ABS(K2200)&lt;'Progetto del paramento slu'!$G$58,ABS(K2200)*'Progetto del paramento slu'!$G$54,'Progetto del paramento slu'!$G$53)*IF(K2200&lt;0,-1,1)</f>
        <v>0</v>
      </c>
      <c r="R2200" s="553">
        <f>'Foglio deposito bis'!$F$79*IF(ABS(L2200)&lt;'Progetto del paramento slu'!$G$58,ABS(L2200)*'Progetto del paramento slu'!$G$54,'Progetto del paramento slu'!$G$53)*IF(L2200&lt;0,-1,1)</f>
        <v>-39275.937782580251</v>
      </c>
      <c r="S2200" s="553">
        <f>'Foglio deposito bis'!$F$80*IF(ABS(M2200)&lt;'Progetto del paramento slu'!$G$58,ABS(M2200)*'Progetto del paramento slu'!$G$54,'Progetto del paramento slu'!$G$53)*IF(M2200&lt;0,-1,1)</f>
        <v>0</v>
      </c>
      <c r="T2200" s="553">
        <f>'Foglio deposito bis'!$F$81*IF(ABS(N2200)&lt;'Progetto del paramento slu'!$G$58,ABS(N2200)*'Progetto del paramento slu'!$G$54,'Progetto del paramento slu'!$G$53)*IF(N2200&lt;0,-1,1)</f>
        <v>398299.31208121032</v>
      </c>
      <c r="U2200" s="553">
        <f>'Foglio deposito bis'!$F$82*IF(ABS(O2200)&lt;'Progetto del paramento slu'!$G$58,ABS(O2200)*'Progetto del paramento slu'!$G$54,'Progetto del paramento slu'!$G$53)*IF(O2200&lt;0,-1,1)</f>
        <v>810609.64832187735</v>
      </c>
      <c r="V2200" s="479">
        <f t="shared" si="164"/>
        <v>-1285291.6104016644</v>
      </c>
      <c r="W2200" s="559"/>
      <c r="X2200" s="559"/>
    </row>
    <row r="2201" spans="1:24" x14ac:dyDescent="0.25">
      <c r="A2201" s="553">
        <f t="shared" si="163"/>
        <v>1403994.8641610565</v>
      </c>
      <c r="B2201" s="3">
        <f t="shared" si="161"/>
        <v>43.899999999999942</v>
      </c>
      <c r="C2201" s="553">
        <f>'Foglio deposito bis'!$E$161/sezione!$B$247*B2201</f>
        <v>178.218543379827</v>
      </c>
      <c r="D2201" s="611">
        <f>-'Progetto del paramento slu'!$G$47*'Progetto del paramento slu'!$G$41*IF(DATI!$G$218="dx",DATI!$E$61,DATI!$E$64*DATI!$E$63)*1000*C2201^2*sezione!$AD$5*(1-sezione!$AD$6)</f>
        <v>-261463535.02800158</v>
      </c>
      <c r="E2201" s="553">
        <f>-'Foglio deposito bis'!$F$78*(C2201-sezione!$AL$35)*IF(ABS(K2201)&lt;'Progetto del paramento slu'!$G$58,ABS(K2201)*'Progetto del paramento slu'!$G$54,'Progetto del paramento slu'!$G$53)</f>
        <v>0</v>
      </c>
      <c r="F2201" s="553">
        <f>-'Foglio deposito bis'!$F$79*(C2201-sezione!$AM$35)*IF(ABS(L2201)&lt;'Progetto del paramento slu'!$G$58,ABS(L2201)*'Progetto del paramento slu'!$G$54,'Progetto del paramento slu'!$G$53)</f>
        <v>-1265060.9343723631</v>
      </c>
      <c r="G2201" s="553">
        <f>-'Foglio deposito bis'!$F$80*(C2201-sezione!$AN$35)*IF(ABS(M2201)&lt;'Progetto del paramento slu'!$G$58,ABS(M2201)*'Progetto del paramento slu'!$G$54,'Progetto del paramento slu'!$G$53)</f>
        <v>0</v>
      </c>
      <c r="H2201" s="553">
        <f>-'Foglio deposito bis'!$F$81*(C2201-sezione!$AO$35)*IF(ABS(N2201)&lt;'Progetto del paramento slu'!$G$58,ABS(N2201)*'Progetto del paramento slu'!$G$54,'Progetto del paramento slu'!$G$53)</f>
        <v>64437442.879311077</v>
      </c>
      <c r="I2201" s="479">
        <f>-'Foglio deposito bis'!$F$82*(C2201-sezione!$AP$35)*IF(ABS(O2201)&lt;'Progetto del paramento slu'!$G$58,ABS(O2201)*'Progetto del paramento slu'!$G$54,'Progetto del paramento slu'!$G$53)</f>
        <v>61725314.29058142</v>
      </c>
      <c r="J2201" s="479">
        <f t="shared" si="162"/>
        <v>-136565838.79248142</v>
      </c>
      <c r="K2201" s="558">
        <f>'Progetto del paramento slu'!$G$60*(sezione!$AL$35-C2201)/C2201</f>
        <v>-2.7144476251181899E-3</v>
      </c>
      <c r="L2201" s="558">
        <f>'Progetto del paramento slu'!$G$60*(sezione!$AM$35-C2201)/C2201</f>
        <v>-5.54178594193212E-4</v>
      </c>
      <c r="M2201" s="559">
        <f>'Progetto del paramento slu'!$G$60*(sezione!$AN$35-C2201)/C2201</f>
        <v>1.6060904367317659E-3</v>
      </c>
      <c r="N2201" s="559">
        <f>'Progetto del paramento slu'!$G$60*(sezione!$AO$35-C2201)/C2201</f>
        <v>3.1771951864953867E-3</v>
      </c>
      <c r="O2201" s="559">
        <f>'Progetto del paramento slu'!$G$60*(sezione!$AP$35-C2201)/C2201</f>
        <v>1.6062471695373276E-3</v>
      </c>
      <c r="P2201" s="553">
        <f>-'Progetto del paramento slu'!$G$47*'Progetto del paramento slu'!$G$41*IF(DATI!$G$218="dx",DATI!$E$61,DATI!$E$64*DATI!$E$63)*1000*C2201*sezione!$AD$5</f>
        <v>-2512148.9834422693</v>
      </c>
      <c r="Q2201" s="553">
        <f>'Foglio deposito bis'!$F$78*IF(ABS(K2201)&lt;'Progetto del paramento slu'!$G$58,ABS(K2201)*'Progetto del paramento slu'!$G$54,'Progetto del paramento slu'!$G$53)*IF(K2201&lt;0,-1,1)</f>
        <v>0</v>
      </c>
      <c r="R2201" s="553">
        <f>'Foglio deposito bis'!$F$79*IF(ABS(L2201)&lt;'Progetto del paramento slu'!$G$58,ABS(L2201)*'Progetto del paramento slu'!$G$54,'Progetto del paramento slu'!$G$53)*IF(L2201&lt;0,-1,1)</f>
        <v>-44830.837557573432</v>
      </c>
      <c r="S2201" s="553">
        <f>'Foglio deposito bis'!$F$80*IF(ABS(M2201)&lt;'Progetto del paramento slu'!$G$58,ABS(M2201)*'Progetto del paramento slu'!$G$54,'Progetto del paramento slu'!$G$53)*IF(M2201&lt;0,-1,1)</f>
        <v>0</v>
      </c>
      <c r="T2201" s="553">
        <f>'Foglio deposito bis'!$F$81*IF(ABS(N2201)&lt;'Progetto del paramento slu'!$G$58,ABS(N2201)*'Progetto del paramento slu'!$G$54,'Progetto del paramento slu'!$G$53)*IF(N2201&lt;0,-1,1)</f>
        <v>398299.31208121032</v>
      </c>
      <c r="U2201" s="553">
        <f>'Foglio deposito bis'!$F$82*IF(ABS(O2201)&lt;'Progetto del paramento slu'!$G$58,ABS(O2201)*'Progetto del paramento slu'!$G$54,'Progetto del paramento slu'!$G$53)*IF(O2201&lt;0,-1,1)</f>
        <v>754685.6447575757</v>
      </c>
      <c r="V2201" s="479">
        <f t="shared" si="164"/>
        <v>-1403994.8641610565</v>
      </c>
      <c r="W2201" s="559"/>
      <c r="X2201" s="559"/>
    </row>
    <row r="2202" spans="1:24" x14ac:dyDescent="0.25">
      <c r="A2202" s="553">
        <f t="shared" si="163"/>
        <v>1519959.6367026637</v>
      </c>
      <c r="B2202" s="3">
        <f t="shared" si="161"/>
        <v>44.899999999999942</v>
      </c>
      <c r="C2202" s="553">
        <f>'Foglio deposito bis'!$E$161/sezione!$B$247*B2202</f>
        <v>182.27819129280712</v>
      </c>
      <c r="D2202" s="611">
        <f>-'Progetto del paramento slu'!$G$47*'Progetto del paramento slu'!$G$41*IF(DATI!$G$218="dx",DATI!$E$61,DATI!$E$64*DATI!$E$63)*1000*C2202^2*sezione!$AD$5*(1-sezione!$AD$6)</f>
        <v>-273510982.84660286</v>
      </c>
      <c r="E2202" s="553">
        <f>-'Foglio deposito bis'!$F$78*(C2202-sezione!$AL$35)*IF(ABS(K2202)&lt;'Progetto del paramento slu'!$G$58,ABS(K2202)*'Progetto del paramento slu'!$G$54,'Progetto del paramento slu'!$G$53)</f>
        <v>0</v>
      </c>
      <c r="F2202" s="553">
        <f>-'Foglio deposito bis'!$F$79*(C2202-sezione!$AM$35)*IF(ABS(L2202)&lt;'Progetto del paramento slu'!$G$58,ABS(L2202)*'Progetto del paramento slu'!$G$54,'Progetto del paramento slu'!$G$53)</f>
        <v>-1618373.7367557494</v>
      </c>
      <c r="G2202" s="553">
        <f>-'Foglio deposito bis'!$F$80*(C2202-sezione!$AN$35)*IF(ABS(M2202)&lt;'Progetto del paramento slu'!$G$58,ABS(M2202)*'Progetto del paramento slu'!$G$54,'Progetto del paramento slu'!$G$53)</f>
        <v>0</v>
      </c>
      <c r="H2202" s="553">
        <f>-'Foglio deposito bis'!$F$81*(C2202-sezione!$AO$35)*IF(ABS(N2202)&lt;'Progetto del paramento slu'!$G$58,ABS(N2202)*'Progetto del paramento slu'!$G$54,'Progetto del paramento slu'!$G$53)</f>
        <v>62820487.908279166</v>
      </c>
      <c r="I2202" s="479">
        <f>-'Foglio deposito bis'!$F$82*(C2202-sezione!$AP$35)*IF(ABS(O2202)&lt;'Progetto del paramento slu'!$G$58,ABS(O2202)*'Progetto del paramento slu'!$G$54,'Progetto del paramento slu'!$G$53)</f>
        <v>54508223.81754896</v>
      </c>
      <c r="J2202" s="479">
        <f t="shared" si="162"/>
        <v>-157800644.85753044</v>
      </c>
      <c r="K2202" s="558">
        <f>'Progetto del paramento slu'!$G$60*(sezione!$AL$35-C2202)/C2202</f>
        <v>-2.731943223667896E-3</v>
      </c>
      <c r="L2202" s="558">
        <f>'Progetto del paramento slu'!$G$60*(sezione!$AM$35-C2202)/C2202</f>
        <v>-6.1978708875461055E-4</v>
      </c>
      <c r="M2202" s="559">
        <f>'Progetto del paramento slu'!$G$60*(sezione!$AN$35-C2202)/C2202</f>
        <v>1.4923690461586753E-3</v>
      </c>
      <c r="N2202" s="559">
        <f>'Progetto del paramento slu'!$G$60*(sezione!$AO$35-C2202)/C2202</f>
        <v>3.0284825988228831E-3</v>
      </c>
      <c r="O2202" s="559">
        <f>'Progetto del paramento slu'!$G$60*(sezione!$AP$35-C2202)/C2202</f>
        <v>1.4925222882558723E-3</v>
      </c>
      <c r="P2202" s="553">
        <f>-'Progetto del paramento slu'!$G$47*'Progetto del paramento slu'!$G$41*IF(DATI!$G$218="dx",DATI!$E$61,DATI!$E$64*DATI!$E$63)*1000*C2202*sezione!$AD$5</f>
        <v>-2569373.3338623671</v>
      </c>
      <c r="Q2202" s="553">
        <f>'Foglio deposito bis'!$F$78*IF(ABS(K2202)&lt;'Progetto del paramento slu'!$G$58,ABS(K2202)*'Progetto del paramento slu'!$G$54,'Progetto del paramento slu'!$G$53)*IF(K2202&lt;0,-1,1)</f>
        <v>0</v>
      </c>
      <c r="R2202" s="553">
        <f>'Foglio deposito bis'!$F$79*IF(ABS(L2202)&lt;'Progetto del paramento slu'!$G$58,ABS(L2202)*'Progetto del paramento slu'!$G$54,'Progetto del paramento slu'!$G$53)*IF(L2202&lt;0,-1,1)</f>
        <v>-50138.303044148204</v>
      </c>
      <c r="S2202" s="553">
        <f>'Foglio deposito bis'!$F$80*IF(ABS(M2202)&lt;'Progetto del paramento slu'!$G$58,ABS(M2202)*'Progetto del paramento slu'!$G$54,'Progetto del paramento slu'!$G$53)*IF(M2202&lt;0,-1,1)</f>
        <v>0</v>
      </c>
      <c r="T2202" s="553">
        <f>'Foglio deposito bis'!$F$81*IF(ABS(N2202)&lt;'Progetto del paramento slu'!$G$58,ABS(N2202)*'Progetto del paramento slu'!$G$54,'Progetto del paramento slu'!$G$53)*IF(N2202&lt;0,-1,1)</f>
        <v>398299.31208121032</v>
      </c>
      <c r="U2202" s="553">
        <f>'Foglio deposito bis'!$F$82*IF(ABS(O2202)&lt;'Progetto del paramento slu'!$G$58,ABS(O2202)*'Progetto del paramento slu'!$G$54,'Progetto del paramento slu'!$G$53)*IF(O2202&lt;0,-1,1)</f>
        <v>701252.68812264141</v>
      </c>
      <c r="V2202" s="479">
        <f t="shared" si="164"/>
        <v>-1519959.6367026637</v>
      </c>
      <c r="W2202" s="559"/>
      <c r="X2202" s="559"/>
    </row>
    <row r="2203" spans="1:24" x14ac:dyDescent="0.25">
      <c r="A2203" s="553">
        <f t="shared" si="163"/>
        <v>1633364.913726992</v>
      </c>
      <c r="B2203" s="3">
        <f t="shared" si="161"/>
        <v>45.899999999999942</v>
      </c>
      <c r="C2203" s="553">
        <f>'Foglio deposito bis'!$E$161/sezione!$B$247*B2203</f>
        <v>186.33783920578722</v>
      </c>
      <c r="D2203" s="611">
        <f>-'Progetto del paramento slu'!$G$47*'Progetto del paramento slu'!$G$41*IF(DATI!$G$218="dx",DATI!$E$61,DATI!$E$64*DATI!$E$63)*1000*C2203^2*sezione!$AD$5*(1-sezione!$AD$6)</f>
        <v>-285829769.58003742</v>
      </c>
      <c r="E2203" s="553">
        <f>-'Foglio deposito bis'!$F$78*(C2203-sezione!$AL$35)*IF(ABS(K2203)&lt;'Progetto del paramento slu'!$G$58,ABS(K2203)*'Progetto del paramento slu'!$G$54,'Progetto del paramento slu'!$G$53)</f>
        <v>0</v>
      </c>
      <c r="F2203" s="553">
        <f>-'Foglio deposito bis'!$F$79*(C2203-sezione!$AM$35)*IF(ABS(L2203)&lt;'Progetto del paramento slu'!$G$58,ABS(L2203)*'Progetto del paramento slu'!$G$54,'Progetto del paramento slu'!$G$53)</f>
        <v>-2006375.8560448505</v>
      </c>
      <c r="G2203" s="553">
        <f>-'Foglio deposito bis'!$F$80*(C2203-sezione!$AN$35)*IF(ABS(M2203)&lt;'Progetto del paramento slu'!$G$58,ABS(M2203)*'Progetto del paramento slu'!$G$54,'Progetto del paramento slu'!$G$53)</f>
        <v>0</v>
      </c>
      <c r="H2203" s="553">
        <f>-'Foglio deposito bis'!$F$81*(C2203-sezione!$AO$35)*IF(ABS(N2203)&lt;'Progetto del paramento slu'!$G$58,ABS(N2203)*'Progetto del paramento slu'!$G$54,'Progetto del paramento slu'!$G$53)</f>
        <v>61203532.937247276</v>
      </c>
      <c r="I2203" s="479">
        <f>-'Foglio deposito bis'!$F$82*(C2203-sezione!$AP$35)*IF(ABS(O2203)&lt;'Progetto del paramento slu'!$G$58,ABS(O2203)*'Progetto del paramento slu'!$G$54,'Progetto del paramento slu'!$G$53)</f>
        <v>47896492.610798873</v>
      </c>
      <c r="J2203" s="479">
        <f t="shared" si="162"/>
        <v>-178736119.8880361</v>
      </c>
      <c r="K2203" s="558">
        <f>'Progetto del paramento slu'!$G$60*(sezione!$AL$35-C2203)/C2203</f>
        <v>-2.7486764867688134E-3</v>
      </c>
      <c r="L2203" s="558">
        <f>'Progetto del paramento slu'!$G$60*(sezione!$AM$35-C2203)/C2203</f>
        <v>-6.8253682538305018E-4</v>
      </c>
      <c r="M2203" s="559">
        <f>'Progetto del paramento slu'!$G$60*(sezione!$AN$35-C2203)/C2203</f>
        <v>1.3836028360027131E-3</v>
      </c>
      <c r="N2203" s="559">
        <f>'Progetto del paramento slu'!$G$60*(sezione!$AO$35-C2203)/C2203</f>
        <v>2.8862498624650868E-3</v>
      </c>
      <c r="O2203" s="559">
        <f>'Progetto del paramento slu'!$G$60*(sezione!$AP$35-C2203)/C2203</f>
        <v>1.3837527394921284E-3</v>
      </c>
      <c r="P2203" s="553">
        <f>-'Progetto del paramento slu'!$G$47*'Progetto del paramento slu'!$G$41*IF(DATI!$G$218="dx",DATI!$E$61,DATI!$E$64*DATI!$E$63)*1000*C2203*sezione!$AD$5</f>
        <v>-2626597.684282464</v>
      </c>
      <c r="Q2203" s="553">
        <f>'Foglio deposito bis'!$F$78*IF(ABS(K2203)&lt;'Progetto del paramento slu'!$G$58,ABS(K2203)*'Progetto del paramento slu'!$G$54,'Progetto del paramento slu'!$G$53)*IF(K2203&lt;0,-1,1)</f>
        <v>0</v>
      </c>
      <c r="R2203" s="553">
        <f>'Foglio deposito bis'!$F$79*IF(ABS(L2203)&lt;'Progetto del paramento slu'!$G$58,ABS(L2203)*'Progetto del paramento slu'!$G$54,'Progetto del paramento slu'!$G$53)*IF(L2203&lt;0,-1,1)</f>
        <v>-55214.506418018165</v>
      </c>
      <c r="S2203" s="553">
        <f>'Foglio deposito bis'!$F$80*IF(ABS(M2203)&lt;'Progetto del paramento slu'!$G$58,ABS(M2203)*'Progetto del paramento slu'!$G$54,'Progetto del paramento slu'!$G$53)*IF(M2203&lt;0,-1,1)</f>
        <v>0</v>
      </c>
      <c r="T2203" s="553">
        <f>'Foglio deposito bis'!$F$81*IF(ABS(N2203)&lt;'Progetto del paramento slu'!$G$58,ABS(N2203)*'Progetto del paramento slu'!$G$54,'Progetto del paramento slu'!$G$53)*IF(N2203&lt;0,-1,1)</f>
        <v>398299.31208121032</v>
      </c>
      <c r="U2203" s="553">
        <f>'Foglio deposito bis'!$F$82*IF(ABS(O2203)&lt;'Progetto del paramento slu'!$G$58,ABS(O2203)*'Progetto del paramento slu'!$G$54,'Progetto del paramento slu'!$G$53)*IF(O2203&lt;0,-1,1)</f>
        <v>650147.96489227994</v>
      </c>
      <c r="V2203" s="479">
        <f t="shared" si="164"/>
        <v>-1633364.913726992</v>
      </c>
      <c r="W2203" s="559"/>
      <c r="X2203" s="559"/>
    </row>
    <row r="2204" spans="1:24" x14ac:dyDescent="0.25">
      <c r="A2204" s="553">
        <f t="shared" si="163"/>
        <v>1744374.4156296058</v>
      </c>
      <c r="B2204" s="3">
        <f t="shared" si="161"/>
        <v>46.899999999999942</v>
      </c>
      <c r="C2204" s="553">
        <f>'Foglio deposito bis'!$E$161/sezione!$B$247*B2204</f>
        <v>190.39748711876734</v>
      </c>
      <c r="D2204" s="611">
        <f>-'Progetto del paramento slu'!$G$47*'Progetto del paramento slu'!$G$41*IF(DATI!$G$218="dx",DATI!$E$61,DATI!$E$64*DATI!$E$63)*1000*C2204^2*sezione!$AD$5*(1-sezione!$AD$6)</f>
        <v>-298419895.22830546</v>
      </c>
      <c r="E2204" s="553">
        <f>-'Foglio deposito bis'!$F$78*(C2204-sezione!$AL$35)*IF(ABS(K2204)&lt;'Progetto del paramento slu'!$G$58,ABS(K2204)*'Progetto del paramento slu'!$G$54,'Progetto del paramento slu'!$G$53)</f>
        <v>0</v>
      </c>
      <c r="F2204" s="553">
        <f>-'Foglio deposito bis'!$F$79*(C2204-sezione!$AM$35)*IF(ABS(L2204)&lt;'Progetto del paramento slu'!$G$58,ABS(L2204)*'Progetto del paramento slu'!$G$54,'Progetto del paramento slu'!$G$53)</f>
        <v>-2426848.3593885591</v>
      </c>
      <c r="G2204" s="553">
        <f>-'Foglio deposito bis'!$F$80*(C2204-sezione!$AN$35)*IF(ABS(M2204)&lt;'Progetto del paramento slu'!$G$58,ABS(M2204)*'Progetto del paramento slu'!$G$54,'Progetto del paramento slu'!$G$53)</f>
        <v>0</v>
      </c>
      <c r="H2204" s="553">
        <f>-'Foglio deposito bis'!$F$81*(C2204-sezione!$AO$35)*IF(ABS(N2204)&lt;'Progetto del paramento slu'!$G$58,ABS(N2204)*'Progetto del paramento slu'!$G$54,'Progetto del paramento slu'!$G$53)</f>
        <v>59586577.966215365</v>
      </c>
      <c r="I2204" s="479">
        <f>-'Foglio deposito bis'!$F$82*(C2204-sezione!$AP$35)*IF(ABS(O2204)&lt;'Progetto del paramento slu'!$G$58,ABS(O2204)*'Progetto del paramento slu'!$G$54,'Progetto del paramento slu'!$G$53)</f>
        <v>41851398.329204246</v>
      </c>
      <c r="J2204" s="479">
        <f t="shared" si="162"/>
        <v>-199408767.29227436</v>
      </c>
      <c r="K2204" s="558">
        <f>'Progetto del paramento slu'!$G$60*(sezione!$AL$35-C2204)/C2204</f>
        <v>-2.7646961778824849E-3</v>
      </c>
      <c r="L2204" s="558">
        <f>'Progetto del paramento slu'!$G$60*(sezione!$AM$35-C2204)/C2204</f>
        <v>-7.4261066705931793E-4</v>
      </c>
      <c r="M2204" s="559">
        <f>'Progetto del paramento slu'!$G$60*(sezione!$AN$35-C2204)/C2204</f>
        <v>1.279474843763849E-3</v>
      </c>
      <c r="N2204" s="559">
        <f>'Progetto del paramento slu'!$G$60*(sezione!$AO$35-C2204)/C2204</f>
        <v>2.7500824879988796E-3</v>
      </c>
      <c r="O2204" s="559">
        <f>'Progetto del paramento slu'!$G$60*(sezione!$AP$35-C2204)/C2204</f>
        <v>1.2796215510168163E-3</v>
      </c>
      <c r="P2204" s="553">
        <f>-'Progetto del paramento slu'!$G$47*'Progetto del paramento slu'!$G$41*IF(DATI!$G$218="dx",DATI!$E$61,DATI!$E$64*DATI!$E$63)*1000*C2204*sezione!$AD$5</f>
        <v>-2683822.0347025613</v>
      </c>
      <c r="Q2204" s="553">
        <f>'Foglio deposito bis'!$F$78*IF(ABS(K2204)&lt;'Progetto del paramento slu'!$G$58,ABS(K2204)*'Progetto del paramento slu'!$G$54,'Progetto del paramento slu'!$G$53)*IF(K2204&lt;0,-1,1)</f>
        <v>0</v>
      </c>
      <c r="R2204" s="553">
        <f>'Foglio deposito bis'!$F$79*IF(ABS(L2204)&lt;'Progetto del paramento slu'!$G$58,ABS(L2204)*'Progetto del paramento slu'!$G$54,'Progetto del paramento slu'!$G$53)*IF(L2204&lt;0,-1,1)</f>
        <v>-60074.240564857442</v>
      </c>
      <c r="S2204" s="553">
        <f>'Foglio deposito bis'!$F$80*IF(ABS(M2204)&lt;'Progetto del paramento slu'!$G$58,ABS(M2204)*'Progetto del paramento slu'!$G$54,'Progetto del paramento slu'!$G$53)*IF(M2204&lt;0,-1,1)</f>
        <v>0</v>
      </c>
      <c r="T2204" s="553">
        <f>'Foglio deposito bis'!$F$81*IF(ABS(N2204)&lt;'Progetto del paramento slu'!$G$58,ABS(N2204)*'Progetto del paramento slu'!$G$54,'Progetto del paramento slu'!$G$53)*IF(N2204&lt;0,-1,1)</f>
        <v>398299.31208121032</v>
      </c>
      <c r="U2204" s="553">
        <f>'Foglio deposito bis'!$F$82*IF(ABS(O2204)&lt;'Progetto del paramento slu'!$G$58,ABS(O2204)*'Progetto del paramento slu'!$G$54,'Progetto del paramento slu'!$G$53)*IF(O2204&lt;0,-1,1)</f>
        <v>601222.54755660298</v>
      </c>
      <c r="V2204" s="479">
        <f t="shared" si="164"/>
        <v>-1744374.4156296058</v>
      </c>
      <c r="W2204" s="559"/>
      <c r="X2204" s="559"/>
    </row>
    <row r="2205" spans="1:24" x14ac:dyDescent="0.25">
      <c r="A2205" s="553">
        <f t="shared" si="163"/>
        <v>1853138.1909567486</v>
      </c>
      <c r="B2205" s="3">
        <f t="shared" si="161"/>
        <v>47.899999999999942</v>
      </c>
      <c r="C2205" s="553">
        <f>'Foglio deposito bis'!$E$161/sezione!$B$247*B2205</f>
        <v>194.45713503174747</v>
      </c>
      <c r="D2205" s="611">
        <f>-'Progetto del paramento slu'!$G$47*'Progetto del paramento slu'!$G$41*IF(DATI!$G$218="dx",DATI!$E$61,DATI!$E$64*DATI!$E$63)*1000*C2205^2*sezione!$AD$5*(1-sezione!$AD$6)</f>
        <v>-311281359.79140687</v>
      </c>
      <c r="E2205" s="553">
        <f>-'Foglio deposito bis'!$F$78*(C2205-sezione!$AL$35)*IF(ABS(K2205)&lt;'Progetto del paramento slu'!$G$58,ABS(K2205)*'Progetto del paramento slu'!$G$54,'Progetto del paramento slu'!$G$53)</f>
        <v>0</v>
      </c>
      <c r="F2205" s="553">
        <f>-'Foglio deposito bis'!$F$79*(C2205-sezione!$AM$35)*IF(ABS(L2205)&lt;'Progetto del paramento slu'!$G$58,ABS(L2205)*'Progetto del paramento slu'!$G$54,'Progetto del paramento slu'!$G$53)</f>
        <v>-2877757.6110423272</v>
      </c>
      <c r="G2205" s="553">
        <f>-'Foglio deposito bis'!$F$80*(C2205-sezione!$AN$35)*IF(ABS(M2205)&lt;'Progetto del paramento slu'!$G$58,ABS(M2205)*'Progetto del paramento slu'!$G$54,'Progetto del paramento slu'!$G$53)</f>
        <v>0</v>
      </c>
      <c r="H2205" s="553">
        <f>-'Foglio deposito bis'!$F$81*(C2205-sezione!$AO$35)*IF(ABS(N2205)&lt;'Progetto del paramento slu'!$G$58,ABS(N2205)*'Progetto del paramento slu'!$G$54,'Progetto del paramento slu'!$G$53)</f>
        <v>57969622.995183468</v>
      </c>
      <c r="I2205" s="479">
        <f>-'Foglio deposito bis'!$F$82*(C2205-sezione!$AP$35)*IF(ABS(O2205)&lt;'Progetto del paramento slu'!$G$58,ABS(O2205)*'Progetto del paramento slu'!$G$54,'Progetto del paramento slu'!$G$53)</f>
        <v>36337452.230062284</v>
      </c>
      <c r="J2205" s="479">
        <f t="shared" si="162"/>
        <v>-219852042.17720345</v>
      </c>
      <c r="K2205" s="558">
        <f>'Progetto del paramento slu'!$G$60*(sezione!$AL$35-C2205)/C2205</f>
        <v>-2.780046988365105E-3</v>
      </c>
      <c r="L2205" s="558">
        <f>'Progetto del paramento slu'!$G$60*(sezione!$AM$35-C2205)/C2205</f>
        <v>-8.0017620636914453E-4</v>
      </c>
      <c r="M2205" s="559">
        <f>'Progetto del paramento slu'!$G$60*(sezione!$AN$35-C2205)/C2205</f>
        <v>1.1796945756268164E-3</v>
      </c>
      <c r="N2205" s="559">
        <f>'Progetto del paramento slu'!$G$60*(sezione!$AO$35-C2205)/C2205</f>
        <v>2.6196005988966061E-3</v>
      </c>
      <c r="O2205" s="559">
        <f>'Progetto del paramento slu'!$G$60*(sezione!$AP$35-C2205)/C2205</f>
        <v>1.1798382200978845E-3</v>
      </c>
      <c r="P2205" s="553">
        <f>-'Progetto del paramento slu'!$G$47*'Progetto del paramento slu'!$G$41*IF(DATI!$G$218="dx",DATI!$E$61,DATI!$E$64*DATI!$E$63)*1000*C2205*sezione!$AD$5</f>
        <v>-2741046.3851226587</v>
      </c>
      <c r="Q2205" s="553">
        <f>'Foglio deposito bis'!$F$78*IF(ABS(K2205)&lt;'Progetto del paramento slu'!$G$58,ABS(K2205)*'Progetto del paramento slu'!$G$54,'Progetto del paramento slu'!$G$53)*IF(K2205&lt;0,-1,1)</f>
        <v>0</v>
      </c>
      <c r="R2205" s="553">
        <f>'Foglio deposito bis'!$F$79*IF(ABS(L2205)&lt;'Progetto del paramento slu'!$G$58,ABS(L2205)*'Progetto del paramento slu'!$G$54,'Progetto del paramento slu'!$G$53)*IF(L2205&lt;0,-1,1)</f>
        <v>-64731.063056296356</v>
      </c>
      <c r="S2205" s="553">
        <f>'Foglio deposito bis'!$F$80*IF(ABS(M2205)&lt;'Progetto del paramento slu'!$G$58,ABS(M2205)*'Progetto del paramento slu'!$G$54,'Progetto del paramento slu'!$G$53)*IF(M2205&lt;0,-1,1)</f>
        <v>0</v>
      </c>
      <c r="T2205" s="553">
        <f>'Foglio deposito bis'!$F$81*IF(ABS(N2205)&lt;'Progetto del paramento slu'!$G$58,ABS(N2205)*'Progetto del paramento slu'!$G$54,'Progetto del paramento slu'!$G$53)*IF(N2205&lt;0,-1,1)</f>
        <v>398299.31208121032</v>
      </c>
      <c r="U2205" s="553">
        <f>'Foglio deposito bis'!$F$82*IF(ABS(O2205)&lt;'Progetto del paramento slu'!$G$58,ABS(O2205)*'Progetto del paramento slu'!$G$54,'Progetto del paramento slu'!$G$53)*IF(O2205&lt;0,-1,1)</f>
        <v>554339.94514099602</v>
      </c>
      <c r="V2205" s="479">
        <f t="shared" si="164"/>
        <v>-1853138.1909567486</v>
      </c>
      <c r="W2205" s="559"/>
      <c r="X2205" s="559"/>
    </row>
    <row r="2206" spans="1:24" x14ac:dyDescent="0.25">
      <c r="A2206" s="553">
        <f t="shared" si="163"/>
        <v>1959794.0143449535</v>
      </c>
      <c r="B2206" s="3">
        <f t="shared" si="161"/>
        <v>48.899999999999942</v>
      </c>
      <c r="C2206" s="553">
        <f>'Foglio deposito bis'!$E$161/sezione!$B$247*B2206</f>
        <v>198.51678294472759</v>
      </c>
      <c r="D2206" s="611">
        <f>-'Progetto del paramento slu'!$G$47*'Progetto del paramento slu'!$G$41*IF(DATI!$G$218="dx",DATI!$E$61,DATI!$E$64*DATI!$E$63)*1000*C2206^2*sezione!$AD$5*(1-sezione!$AD$6)</f>
        <v>-324414163.26934165</v>
      </c>
      <c r="E2206" s="553">
        <f>-'Foglio deposito bis'!$F$78*(C2206-sezione!$AL$35)*IF(ABS(K2206)&lt;'Progetto del paramento slu'!$G$58,ABS(K2206)*'Progetto del paramento slu'!$G$54,'Progetto del paramento slu'!$G$53)</f>
        <v>0</v>
      </c>
      <c r="F2206" s="553">
        <f>-'Foglio deposito bis'!$F$79*(C2206-sezione!$AM$35)*IF(ABS(L2206)&lt;'Progetto del paramento slu'!$G$58,ABS(L2206)*'Progetto del paramento slu'!$G$54,'Progetto del paramento slu'!$G$53)</f>
        <v>-3357236.3258337565</v>
      </c>
      <c r="G2206" s="553">
        <f>-'Foglio deposito bis'!$F$80*(C2206-sezione!$AN$35)*IF(ABS(M2206)&lt;'Progetto del paramento slu'!$G$58,ABS(M2206)*'Progetto del paramento slu'!$G$54,'Progetto del paramento slu'!$G$53)</f>
        <v>0</v>
      </c>
      <c r="H2206" s="553">
        <f>-'Foglio deposito bis'!$F$81*(C2206-sezione!$AO$35)*IF(ABS(N2206)&lt;'Progetto del paramento slu'!$G$58,ABS(N2206)*'Progetto del paramento slu'!$G$54,'Progetto del paramento slu'!$G$53)</f>
        <v>56352668.024151556</v>
      </c>
      <c r="I2206" s="479">
        <f>-'Foglio deposito bis'!$F$82*(C2206-sezione!$AP$35)*IF(ABS(O2206)&lt;'Progetto del paramento slu'!$G$58,ABS(O2206)*'Progetto del paramento slu'!$G$54,'Progetto del paramento slu'!$G$53)</f>
        <v>31322068.535308406</v>
      </c>
      <c r="J2206" s="479">
        <f t="shared" si="162"/>
        <v>-240096663.0357154</v>
      </c>
      <c r="K2206" s="558">
        <f>'Progetto del paramento slu'!$G$60*(sezione!$AL$35-C2206)/C2206</f>
        <v>-2.7947699538382114E-3</v>
      </c>
      <c r="L2206" s="558">
        <f>'Progetto del paramento slu'!$G$60*(sezione!$AM$35-C2206)/C2206</f>
        <v>-8.5538732689329291E-4</v>
      </c>
      <c r="M2206" s="559">
        <f>'Progetto del paramento slu'!$G$60*(sezione!$AN$35-C2206)/C2206</f>
        <v>1.0839953000516256E-3</v>
      </c>
      <c r="N2206" s="559">
        <f>'Progetto del paramento slu'!$G$60*(sezione!$AO$35-C2206)/C2206</f>
        <v>2.4944553923752027E-3</v>
      </c>
      <c r="O2206" s="559">
        <f>'Progetto del paramento slu'!$G$60*(sezione!$AP$35-C2206)/C2206</f>
        <v>1.0841360070079479E-3</v>
      </c>
      <c r="P2206" s="553">
        <f>-'Progetto del paramento slu'!$G$47*'Progetto del paramento slu'!$G$41*IF(DATI!$G$218="dx",DATI!$E$61,DATI!$E$64*DATI!$E$63)*1000*C2206*sezione!$AD$5</f>
        <v>-2798270.735542756</v>
      </c>
      <c r="Q2206" s="553">
        <f>'Foglio deposito bis'!$F$78*IF(ABS(K2206)&lt;'Progetto del paramento slu'!$G$58,ABS(K2206)*'Progetto del paramento slu'!$G$54,'Progetto del paramento slu'!$G$53)*IF(K2206&lt;0,-1,1)</f>
        <v>0</v>
      </c>
      <c r="R2206" s="553">
        <f>'Foglio deposito bis'!$F$79*IF(ABS(L2206)&lt;'Progetto del paramento slu'!$G$58,ABS(L2206)*'Progetto del paramento slu'!$G$54,'Progetto del paramento slu'!$G$53)*IF(L2206&lt;0,-1,1)</f>
        <v>-69197.422460150832</v>
      </c>
      <c r="S2206" s="553">
        <f>'Foglio deposito bis'!$F$80*IF(ABS(M2206)&lt;'Progetto del paramento slu'!$G$58,ABS(M2206)*'Progetto del paramento slu'!$G$54,'Progetto del paramento slu'!$G$53)*IF(M2206&lt;0,-1,1)</f>
        <v>0</v>
      </c>
      <c r="T2206" s="553">
        <f>'Foglio deposito bis'!$F$81*IF(ABS(N2206)&lt;'Progetto del paramento slu'!$G$58,ABS(N2206)*'Progetto del paramento slu'!$G$54,'Progetto del paramento slu'!$G$53)*IF(N2206&lt;0,-1,1)</f>
        <v>398299.31208121032</v>
      </c>
      <c r="U2206" s="553">
        <f>'Foglio deposito bis'!$F$82*IF(ABS(O2206)&lt;'Progetto del paramento slu'!$G$58,ABS(O2206)*'Progetto del paramento slu'!$G$54,'Progetto del paramento slu'!$G$53)*IF(O2206&lt;0,-1,1)</f>
        <v>509374.83157674316</v>
      </c>
      <c r="V2206" s="479">
        <f t="shared" si="164"/>
        <v>-1959794.0143449535</v>
      </c>
      <c r="W2206" s="559"/>
      <c r="X2206" s="559"/>
    </row>
    <row r="2207" spans="1:24" x14ac:dyDescent="0.25">
      <c r="A2207" s="553">
        <f t="shared" si="163"/>
        <v>2064468.6163717106</v>
      </c>
      <c r="B2207" s="3">
        <f t="shared" si="161"/>
        <v>49.899999999999942</v>
      </c>
      <c r="C2207" s="553">
        <f>'Foglio deposito bis'!$E$161/sezione!$B$247*B2207</f>
        <v>202.57643085770769</v>
      </c>
      <c r="D2207" s="611">
        <f>-'Progetto del paramento slu'!$G$47*'Progetto del paramento slu'!$G$41*IF(DATI!$G$218="dx",DATI!$E$61,DATI!$E$64*DATI!$E$63)*1000*C2207^2*sezione!$AD$5*(1-sezione!$AD$6)</f>
        <v>-337818305.66210961</v>
      </c>
      <c r="E2207" s="553">
        <f>-'Foglio deposito bis'!$F$78*(C2207-sezione!$AL$35)*IF(ABS(K2207)&lt;'Progetto del paramento slu'!$G$58,ABS(K2207)*'Progetto del paramento slu'!$G$54,'Progetto del paramento slu'!$G$53)</f>
        <v>0</v>
      </c>
      <c r="F2207" s="553">
        <f>-'Foglio deposito bis'!$F$79*(C2207-sezione!$AM$35)*IF(ABS(L2207)&lt;'Progetto del paramento slu'!$G$58,ABS(L2207)*'Progetto del paramento slu'!$G$54,'Progetto del paramento slu'!$G$53)</f>
        <v>-3863566.9007685953</v>
      </c>
      <c r="G2207" s="553">
        <f>-'Foglio deposito bis'!$F$80*(C2207-sezione!$AN$35)*IF(ABS(M2207)&lt;'Progetto del paramento slu'!$G$58,ABS(M2207)*'Progetto del paramento slu'!$G$54,'Progetto del paramento slu'!$G$53)</f>
        <v>0</v>
      </c>
      <c r="H2207" s="553">
        <f>-'Foglio deposito bis'!$F$81*(C2207-sezione!$AO$35)*IF(ABS(N2207)&lt;'Progetto del paramento slu'!$G$58,ABS(N2207)*'Progetto del paramento slu'!$G$54,'Progetto del paramento slu'!$G$53)</f>
        <v>54735713.053119667</v>
      </c>
      <c r="I2207" s="479">
        <f>-'Foglio deposito bis'!$F$82*(C2207-sezione!$AP$35)*IF(ABS(O2207)&lt;'Progetto del paramento slu'!$G$58,ABS(O2207)*'Progetto del paramento slu'!$G$54,'Progetto del paramento slu'!$G$53)</f>
        <v>26775273.553296063</v>
      </c>
      <c r="J2207" s="479">
        <f t="shared" si="162"/>
        <v>-260170885.95646247</v>
      </c>
      <c r="K2207" s="558">
        <f>'Progetto del paramento slu'!$G$60*(sezione!$AL$35-C2207)/C2207</f>
        <v>-2.8089028204947601E-3</v>
      </c>
      <c r="L2207" s="558">
        <f>'Progetto del paramento slu'!$G$60*(sezione!$AM$35-C2207)/C2207</f>
        <v>-9.0838557685535097E-4</v>
      </c>
      <c r="M2207" s="559">
        <f>'Progetto del paramento slu'!$G$60*(sezione!$AN$35-C2207)/C2207</f>
        <v>9.9213166678405835E-4</v>
      </c>
      <c r="N2207" s="559">
        <f>'Progetto del paramento slu'!$G$60*(sezione!$AO$35-C2207)/C2207</f>
        <v>2.3743260257945379E-3</v>
      </c>
      <c r="O2207" s="559">
        <f>'Progetto del paramento slu'!$G$60*(sezione!$AP$35-C2207)/C2207</f>
        <v>9.9226955396169688E-4</v>
      </c>
      <c r="P2207" s="553">
        <f>-'Progetto del paramento slu'!$G$47*'Progetto del paramento slu'!$G$41*IF(DATI!$G$218="dx",DATI!$E$61,DATI!$E$64*DATI!$E$63)*1000*C2207*sezione!$AD$5</f>
        <v>-2855495.0859628534</v>
      </c>
      <c r="Q2207" s="553">
        <f>'Foglio deposito bis'!$F$78*IF(ABS(K2207)&lt;'Progetto del paramento slu'!$G$58,ABS(K2207)*'Progetto del paramento slu'!$G$54,'Progetto del paramento slu'!$G$53)*IF(K2207&lt;0,-1,1)</f>
        <v>0</v>
      </c>
      <c r="R2207" s="553">
        <f>'Foglio deposito bis'!$F$79*IF(ABS(L2207)&lt;'Progetto del paramento slu'!$G$58,ABS(L2207)*'Progetto del paramento slu'!$G$54,'Progetto del paramento slu'!$G$53)*IF(L2207&lt;0,-1,1)</f>
        <v>-73484.76946304919</v>
      </c>
      <c r="S2207" s="553">
        <f>'Foglio deposito bis'!$F$80*IF(ABS(M2207)&lt;'Progetto del paramento slu'!$G$58,ABS(M2207)*'Progetto del paramento slu'!$G$54,'Progetto del paramento slu'!$G$53)*IF(M2207&lt;0,-1,1)</f>
        <v>0</v>
      </c>
      <c r="T2207" s="553">
        <f>'Foglio deposito bis'!$F$81*IF(ABS(N2207)&lt;'Progetto del paramento slu'!$G$58,ABS(N2207)*'Progetto del paramento slu'!$G$54,'Progetto del paramento slu'!$G$53)*IF(N2207&lt;0,-1,1)</f>
        <v>398299.31208121032</v>
      </c>
      <c r="U2207" s="553">
        <f>'Foglio deposito bis'!$F$82*IF(ABS(O2207)&lt;'Progetto del paramento slu'!$G$58,ABS(O2207)*'Progetto del paramento slu'!$G$54,'Progetto del paramento slu'!$G$53)*IF(O2207&lt;0,-1,1)</f>
        <v>466211.92697298172</v>
      </c>
      <c r="V2207" s="479">
        <f t="shared" si="164"/>
        <v>-2064468.6163717106</v>
      </c>
      <c r="W2207" s="559"/>
      <c r="X2207" s="559"/>
    </row>
    <row r="2208" spans="1:24" x14ac:dyDescent="0.25">
      <c r="A2208" s="553">
        <f t="shared" si="163"/>
        <v>2167278.7684335695</v>
      </c>
      <c r="B2208" s="3">
        <f t="shared" si="161"/>
        <v>50.899999999999942</v>
      </c>
      <c r="C2208" s="553">
        <f>'Foglio deposito bis'!$E$161/sezione!$B$247*B2208</f>
        <v>206.63607877068782</v>
      </c>
      <c r="D2208" s="611">
        <f>-'Progetto del paramento slu'!$G$47*'Progetto del paramento slu'!$G$41*IF(DATI!$G$218="dx",DATI!$E$61,DATI!$E$64*DATI!$E$63)*1000*C2208^2*sezione!$AD$5*(1-sezione!$AD$6)</f>
        <v>-351493786.96971107</v>
      </c>
      <c r="E2208" s="553">
        <f>-'Foglio deposito bis'!$F$78*(C2208-sezione!$AL$35)*IF(ABS(K2208)&lt;'Progetto del paramento slu'!$G$58,ABS(K2208)*'Progetto del paramento slu'!$G$54,'Progetto del paramento slu'!$G$53)</f>
        <v>0</v>
      </c>
      <c r="F2208" s="553">
        <f>-'Foglio deposito bis'!$F$79*(C2208-sezione!$AM$35)*IF(ABS(L2208)&lt;'Progetto del paramento slu'!$G$58,ABS(L2208)*'Progetto del paramento slu'!$G$54,'Progetto del paramento slu'!$G$53)</f>
        <v>-4395166.7114769062</v>
      </c>
      <c r="G2208" s="553">
        <f>-'Foglio deposito bis'!$F$80*(C2208-sezione!$AN$35)*IF(ABS(M2208)&lt;'Progetto del paramento slu'!$G$58,ABS(M2208)*'Progetto del paramento slu'!$G$54,'Progetto del paramento slu'!$G$53)</f>
        <v>0</v>
      </c>
      <c r="H2208" s="553">
        <f>-'Foglio deposito bis'!$F$81*(C2208-sezione!$AO$35)*IF(ABS(N2208)&lt;'Progetto del paramento slu'!$G$58,ABS(N2208)*'Progetto del paramento slu'!$G$54,'Progetto del paramento slu'!$G$53)</f>
        <v>53118758.082087755</v>
      </c>
      <c r="I2208" s="479">
        <f>-'Foglio deposito bis'!$F$82*(C2208-sezione!$AP$35)*IF(ABS(O2208)&lt;'Progetto del paramento slu'!$G$58,ABS(O2208)*'Progetto del paramento slu'!$G$54,'Progetto del paramento slu'!$G$53)</f>
        <v>22669449.088775206</v>
      </c>
      <c r="J2208" s="479">
        <f t="shared" si="162"/>
        <v>-280100746.51032501</v>
      </c>
      <c r="K2208" s="558">
        <f>'Progetto del paramento slu'!$G$60*(sezione!$AL$35-C2208)/C2208</f>
        <v>-2.8224803682257082E-3</v>
      </c>
      <c r="L2208" s="558">
        <f>'Progetto del paramento slu'!$G$60*(sezione!$AM$35-C2208)/C2208</f>
        <v>-9.5930138084640516E-4</v>
      </c>
      <c r="M2208" s="559">
        <f>'Progetto del paramento slu'!$G$60*(sezione!$AN$35-C2208)/C2208</f>
        <v>9.0387760653289789E-4</v>
      </c>
      <c r="N2208" s="559">
        <f>'Progetto del paramento slu'!$G$60*(sezione!$AO$35-C2208)/C2208</f>
        <v>2.2589168700814818E-3</v>
      </c>
      <c r="O2208" s="559">
        <f>'Progetto del paramento slu'!$G$60*(sezione!$AP$35-C2208)/C2208</f>
        <v>9.0401278472865742E-4</v>
      </c>
      <c r="P2208" s="553">
        <f>-'Progetto del paramento slu'!$G$47*'Progetto del paramento slu'!$G$41*IF(DATI!$G$218="dx",DATI!$E$61,DATI!$E$64*DATI!$E$63)*1000*C2208*sezione!$AD$5</f>
        <v>-2912719.4363829507</v>
      </c>
      <c r="Q2208" s="553">
        <f>'Foglio deposito bis'!$F$78*IF(ABS(K2208)&lt;'Progetto del paramento slu'!$G$58,ABS(K2208)*'Progetto del paramento slu'!$G$54,'Progetto del paramento slu'!$G$53)*IF(K2208&lt;0,-1,1)</f>
        <v>0</v>
      </c>
      <c r="R2208" s="553">
        <f>'Foglio deposito bis'!$F$79*IF(ABS(L2208)&lt;'Progetto del paramento slu'!$G$58,ABS(L2208)*'Progetto del paramento slu'!$G$54,'Progetto del paramento slu'!$G$53)*IF(L2208&lt;0,-1,1)</f>
        <v>-77603.654894124469</v>
      </c>
      <c r="S2208" s="553">
        <f>'Foglio deposito bis'!$F$80*IF(ABS(M2208)&lt;'Progetto del paramento slu'!$G$58,ABS(M2208)*'Progetto del paramento slu'!$G$54,'Progetto del paramento slu'!$G$53)*IF(M2208&lt;0,-1,1)</f>
        <v>0</v>
      </c>
      <c r="T2208" s="553">
        <f>'Foglio deposito bis'!$F$81*IF(ABS(N2208)&lt;'Progetto del paramento slu'!$G$58,ABS(N2208)*'Progetto del paramento slu'!$G$54,'Progetto del paramento slu'!$G$53)*IF(N2208&lt;0,-1,1)</f>
        <v>398299.31208121032</v>
      </c>
      <c r="U2208" s="553">
        <f>'Foglio deposito bis'!$F$82*IF(ABS(O2208)&lt;'Progetto del paramento slu'!$G$58,ABS(O2208)*'Progetto del paramento slu'!$G$54,'Progetto del paramento slu'!$G$53)*IF(O2208&lt;0,-1,1)</f>
        <v>424745.0107622951</v>
      </c>
      <c r="V2208" s="479">
        <f t="shared" si="164"/>
        <v>-2167278.7684335695</v>
      </c>
      <c r="W2208" s="559"/>
      <c r="X2208" s="559"/>
    </row>
    <row r="2209" spans="1:24" x14ac:dyDescent="0.25">
      <c r="A2209" s="553">
        <f t="shared" si="163"/>
        <v>2268332.2422048026</v>
      </c>
      <c r="B2209" s="3">
        <f t="shared" si="161"/>
        <v>51.899999999999942</v>
      </c>
      <c r="C2209" s="553">
        <f>'Foglio deposito bis'!$E$161/sezione!$B$247*B2209</f>
        <v>210.69572668366794</v>
      </c>
      <c r="D2209" s="611">
        <f>-'Progetto del paramento slu'!$G$47*'Progetto del paramento slu'!$G$41*IF(DATI!$G$218="dx",DATI!$E$61,DATI!$E$64*DATI!$E$63)*1000*C2209^2*sezione!$AD$5*(1-sezione!$AD$6)</f>
        <v>-365440607.192146</v>
      </c>
      <c r="E2209" s="553">
        <f>-'Foglio deposito bis'!$F$78*(C2209-sezione!$AL$35)*IF(ABS(K2209)&lt;'Progetto del paramento slu'!$G$58,ABS(K2209)*'Progetto del paramento slu'!$G$54,'Progetto del paramento slu'!$G$53)</f>
        <v>0</v>
      </c>
      <c r="F2209" s="553">
        <f>-'Foglio deposito bis'!$F$79*(C2209-sezione!$AM$35)*IF(ABS(L2209)&lt;'Progetto del paramento slu'!$G$58,ABS(L2209)*'Progetto del paramento slu'!$G$54,'Progetto del paramento slu'!$G$53)</f>
        <v>-4950575.1084920112</v>
      </c>
      <c r="G2209" s="553">
        <f>-'Foglio deposito bis'!$F$80*(C2209-sezione!$AN$35)*IF(ABS(M2209)&lt;'Progetto del paramento slu'!$G$58,ABS(M2209)*'Progetto del paramento slu'!$G$54,'Progetto del paramento slu'!$G$53)</f>
        <v>0</v>
      </c>
      <c r="H2209" s="553">
        <f>-'Foglio deposito bis'!$F$81*(C2209-sezione!$AO$35)*IF(ABS(N2209)&lt;'Progetto del paramento slu'!$G$58,ABS(N2209)*'Progetto del paramento slu'!$G$54,'Progetto del paramento slu'!$G$53)</f>
        <v>51501803.111055858</v>
      </c>
      <c r="I2209" s="479">
        <f>-'Foglio deposito bis'!$F$82*(C2209-sezione!$AP$35)*IF(ABS(O2209)&lt;'Progetto del paramento slu'!$G$58,ABS(O2209)*'Progetto del paramento slu'!$G$54,'Progetto del paramento slu'!$G$53)</f>
        <v>18979105.516457334</v>
      </c>
      <c r="J2209" s="479">
        <f t="shared" si="162"/>
        <v>-299910273.67312485</v>
      </c>
      <c r="K2209" s="558">
        <f>'Progetto del paramento slu'!$G$60*(sezione!$AL$35-C2209)/C2209</f>
        <v>-2.8355346963909161E-3</v>
      </c>
      <c r="L2209" s="558">
        <f>'Progetto del paramento slu'!$G$60*(sezione!$AM$35-C2209)/C2209</f>
        <v>-1.008255111465935E-3</v>
      </c>
      <c r="M2209" s="559">
        <f>'Progetto del paramento slu'!$G$60*(sezione!$AN$35-C2209)/C2209</f>
        <v>8.1902447345904596E-4</v>
      </c>
      <c r="N2209" s="559">
        <f>'Progetto del paramento slu'!$G$60*(sezione!$AO$35-C2209)/C2209</f>
        <v>2.147955080677214E-3</v>
      </c>
      <c r="O2209" s="559">
        <f>'Progetto del paramento slu'!$G$60*(sezione!$AP$35-C2209)/C2209</f>
        <v>8.1915704706529192E-4</v>
      </c>
      <c r="P2209" s="553">
        <f>-'Progetto del paramento slu'!$G$47*'Progetto del paramento slu'!$G$41*IF(DATI!$G$218="dx",DATI!$E$61,DATI!$E$64*DATI!$E$63)*1000*C2209*sezione!$AD$5</f>
        <v>-2969943.7868030481</v>
      </c>
      <c r="Q2209" s="553">
        <f>'Foglio deposito bis'!$F$78*IF(ABS(K2209)&lt;'Progetto del paramento slu'!$G$58,ABS(K2209)*'Progetto del paramento slu'!$G$54,'Progetto del paramento slu'!$G$53)*IF(K2209&lt;0,-1,1)</f>
        <v>0</v>
      </c>
      <c r="R2209" s="553">
        <f>'Foglio deposito bis'!$F$79*IF(ABS(L2209)&lt;'Progetto del paramento slu'!$G$58,ABS(L2209)*'Progetto del paramento slu'!$G$54,'Progetto del paramento slu'!$G$53)*IF(L2209&lt;0,-1,1)</f>
        <v>-81563.816416487796</v>
      </c>
      <c r="S2209" s="553">
        <f>'Foglio deposito bis'!$F$80*IF(ABS(M2209)&lt;'Progetto del paramento slu'!$G$58,ABS(M2209)*'Progetto del paramento slu'!$G$54,'Progetto del paramento slu'!$G$53)*IF(M2209&lt;0,-1,1)</f>
        <v>0</v>
      </c>
      <c r="T2209" s="553">
        <f>'Foglio deposito bis'!$F$81*IF(ABS(N2209)&lt;'Progetto del paramento slu'!$G$58,ABS(N2209)*'Progetto del paramento slu'!$G$54,'Progetto del paramento slu'!$G$53)*IF(N2209&lt;0,-1,1)</f>
        <v>398299.31208121032</v>
      </c>
      <c r="U2209" s="553">
        <f>'Foglio deposito bis'!$F$82*IF(ABS(O2209)&lt;'Progetto del paramento slu'!$G$58,ABS(O2209)*'Progetto del paramento slu'!$G$54,'Progetto del paramento slu'!$G$53)*IF(O2209&lt;0,-1,1)</f>
        <v>384876.04893352313</v>
      </c>
      <c r="V2209" s="479">
        <f t="shared" si="164"/>
        <v>-2268332.2422048026</v>
      </c>
      <c r="W2209" s="559"/>
      <c r="X2209" s="559"/>
    </row>
    <row r="2210" spans="1:24" x14ac:dyDescent="0.25">
      <c r="A2210" s="553">
        <f t="shared" si="163"/>
        <v>2367728.6602727785</v>
      </c>
      <c r="B2210" s="3">
        <f t="shared" si="161"/>
        <v>52.899999999999942</v>
      </c>
      <c r="C2210" s="553">
        <f>'Foglio deposito bis'!$E$161/sezione!$B$247*B2210</f>
        <v>214.75537459664807</v>
      </c>
      <c r="D2210" s="611">
        <f>-'Progetto del paramento slu'!$G$47*'Progetto del paramento slu'!$G$41*IF(DATI!$G$218="dx",DATI!$E$61,DATI!$E$64*DATI!$E$63)*1000*C2210^2*sezione!$AD$5*(1-sezione!$AD$6)</f>
        <v>-379658766.32941407</v>
      </c>
      <c r="E2210" s="553">
        <f>-'Foglio deposito bis'!$F$78*(C2210-sezione!$AL$35)*IF(ABS(K2210)&lt;'Progetto del paramento slu'!$G$58,ABS(K2210)*'Progetto del paramento slu'!$G$54,'Progetto del paramento slu'!$G$53)</f>
        <v>0</v>
      </c>
      <c r="F2210" s="553">
        <f>-'Foglio deposito bis'!$F$79*(C2210-sezione!$AM$35)*IF(ABS(L2210)&lt;'Progetto del paramento slu'!$G$58,ABS(L2210)*'Progetto del paramento slu'!$G$54,'Progetto del paramento slu'!$G$53)</f>
        <v>-5528441.888431672</v>
      </c>
      <c r="G2210" s="553">
        <f>-'Foglio deposito bis'!$F$80*(C2210-sezione!$AN$35)*IF(ABS(M2210)&lt;'Progetto del paramento slu'!$G$58,ABS(M2210)*'Progetto del paramento slu'!$G$54,'Progetto del paramento slu'!$G$53)</f>
        <v>0</v>
      </c>
      <c r="H2210" s="553">
        <f>-'Foglio deposito bis'!$F$81*(C2210-sezione!$AO$35)*IF(ABS(N2210)&lt;'Progetto del paramento slu'!$G$58,ABS(N2210)*'Progetto del paramento slu'!$G$54,'Progetto del paramento slu'!$G$53)</f>
        <v>49884848.140023954</v>
      </c>
      <c r="I2210" s="479">
        <f>-'Foglio deposito bis'!$F$82*(C2210-sezione!$AP$35)*IF(ABS(O2210)&lt;'Progetto del paramento slu'!$G$58,ABS(O2210)*'Progetto del paramento slu'!$G$54,'Progetto del paramento slu'!$G$53)</f>
        <v>15680680.592928289</v>
      </c>
      <c r="J2210" s="479">
        <f t="shared" si="162"/>
        <v>-319621679.4848935</v>
      </c>
      <c r="K2210" s="558">
        <f>'Progetto del paramento slu'!$G$60*(sezione!$AL$35-C2210)/C2210</f>
        <v>-2.8480954771774774E-3</v>
      </c>
      <c r="L2210" s="558">
        <f>'Progetto del paramento slu'!$G$60*(sezione!$AM$35-C2210)/C2210</f>
        <v>-1.0553580394155396E-3</v>
      </c>
      <c r="M2210" s="559">
        <f>'Progetto del paramento slu'!$G$60*(sezione!$AN$35-C2210)/C2210</f>
        <v>7.3737939834639832E-4</v>
      </c>
      <c r="N2210" s="559">
        <f>'Progetto del paramento slu'!$G$60*(sezione!$AO$35-C2210)/C2210</f>
        <v>2.0411884439914441E-3</v>
      </c>
      <c r="O2210" s="559">
        <f>'Progetto del paramento slu'!$G$60*(sezione!$AP$35-C2210)/C2210</f>
        <v>7.3750946583532389E-4</v>
      </c>
      <c r="P2210" s="553">
        <f>-'Progetto del paramento slu'!$G$47*'Progetto del paramento slu'!$G$41*IF(DATI!$G$218="dx",DATI!$E$61,DATI!$E$64*DATI!$E$63)*1000*C2210*sezione!$AD$5</f>
        <v>-3027168.1372231455</v>
      </c>
      <c r="Q2210" s="553">
        <f>'Foglio deposito bis'!$F$78*IF(ABS(K2210)&lt;'Progetto del paramento slu'!$G$58,ABS(K2210)*'Progetto del paramento slu'!$G$54,'Progetto del paramento slu'!$G$53)*IF(K2210&lt;0,-1,1)</f>
        <v>0</v>
      </c>
      <c r="R2210" s="553">
        <f>'Foglio deposito bis'!$F$79*IF(ABS(L2210)&lt;'Progetto del paramento slu'!$G$58,ABS(L2210)*'Progetto del paramento slu'!$G$54,'Progetto del paramento slu'!$G$53)*IF(L2210&lt;0,-1,1)</f>
        <v>-85374.255386020741</v>
      </c>
      <c r="S2210" s="553">
        <f>'Foglio deposito bis'!$F$80*IF(ABS(M2210)&lt;'Progetto del paramento slu'!$G$58,ABS(M2210)*'Progetto del paramento slu'!$G$54,'Progetto del paramento slu'!$G$53)*IF(M2210&lt;0,-1,1)</f>
        <v>0</v>
      </c>
      <c r="T2210" s="553">
        <f>'Foglio deposito bis'!$F$81*IF(ABS(N2210)&lt;'Progetto del paramento slu'!$G$58,ABS(N2210)*'Progetto del paramento slu'!$G$54,'Progetto del paramento slu'!$G$53)*IF(N2210&lt;0,-1,1)</f>
        <v>398299.31208121032</v>
      </c>
      <c r="U2210" s="553">
        <f>'Foglio deposito bis'!$F$82*IF(ABS(O2210)&lt;'Progetto del paramento slu'!$G$58,ABS(O2210)*'Progetto del paramento slu'!$G$54,'Progetto del paramento slu'!$G$53)*IF(O2210&lt;0,-1,1)</f>
        <v>346514.42025517731</v>
      </c>
      <c r="V2210" s="479">
        <f t="shared" si="164"/>
        <v>-2367728.6602727785</v>
      </c>
      <c r="W2210" s="559"/>
      <c r="X2210" s="559"/>
    </row>
    <row r="2211" spans="1:24" x14ac:dyDescent="0.25">
      <c r="A2211" s="553">
        <f t="shared" si="163"/>
        <v>2465560.2520829481</v>
      </c>
      <c r="B2211" s="3">
        <f t="shared" si="161"/>
        <v>53.899999999999942</v>
      </c>
      <c r="C2211" s="553">
        <f>'Foglio deposito bis'!$E$161/sezione!$B$247*B2211</f>
        <v>218.81502250962819</v>
      </c>
      <c r="D2211" s="611">
        <f>-'Progetto del paramento slu'!$G$47*'Progetto del paramento slu'!$G$41*IF(DATI!$G$218="dx",DATI!$E$61,DATI!$E$64*DATI!$E$63)*1000*C2211^2*sezione!$AD$5*(1-sezione!$AD$6)</f>
        <v>-394148264.38151568</v>
      </c>
      <c r="E2211" s="553">
        <f>-'Foglio deposito bis'!$F$78*(C2211-sezione!$AL$35)*IF(ABS(K2211)&lt;'Progetto del paramento slu'!$G$58,ABS(K2211)*'Progetto del paramento slu'!$G$54,'Progetto del paramento slu'!$G$53)</f>
        <v>0</v>
      </c>
      <c r="F2211" s="553">
        <f>-'Foglio deposito bis'!$F$79*(C2211-sezione!$AM$35)*IF(ABS(L2211)&lt;'Progetto del paramento slu'!$G$58,ABS(L2211)*'Progetto del paramento slu'!$G$54,'Progetto del paramento slu'!$G$53)</f>
        <v>-6127517.0485357083</v>
      </c>
      <c r="G2211" s="553">
        <f>-'Foglio deposito bis'!$F$80*(C2211-sezione!$AN$35)*IF(ABS(M2211)&lt;'Progetto del paramento slu'!$G$58,ABS(M2211)*'Progetto del paramento slu'!$G$54,'Progetto del paramento slu'!$G$53)</f>
        <v>0</v>
      </c>
      <c r="H2211" s="553">
        <f>-'Foglio deposito bis'!$F$81*(C2211-sezione!$AO$35)*IF(ABS(N2211)&lt;'Progetto del paramento slu'!$G$58,ABS(N2211)*'Progetto del paramento slu'!$G$54,'Progetto del paramento slu'!$G$53)</f>
        <v>48267893.16899205</v>
      </c>
      <c r="I2211" s="479">
        <f>-'Foglio deposito bis'!$F$82*(C2211-sezione!$AP$35)*IF(ABS(O2211)&lt;'Progetto del paramento slu'!$G$58,ABS(O2211)*'Progetto del paramento slu'!$G$54,'Progetto del paramento slu'!$G$53)</f>
        <v>12752360.664266622</v>
      </c>
      <c r="J2211" s="479">
        <f t="shared" si="162"/>
        <v>-339255527.5967927</v>
      </c>
      <c r="K2211" s="558">
        <f>'Progetto del paramento slu'!$G$60*(sezione!$AL$35-C2211)/C2211</f>
        <v>-2.8601901807548897E-3</v>
      </c>
      <c r="L2211" s="558">
        <f>'Progetto del paramento slu'!$G$60*(sezione!$AM$35-C2211)/C2211</f>
        <v>-1.1007131778308357E-3</v>
      </c>
      <c r="M2211" s="559">
        <f>'Progetto del paramento slu'!$G$60*(sezione!$AN$35-C2211)/C2211</f>
        <v>6.5876382509321828E-4</v>
      </c>
      <c r="N2211" s="559">
        <f>'Progetto del paramento slu'!$G$60*(sezione!$AO$35-C2211)/C2211</f>
        <v>1.9383834635834393E-3</v>
      </c>
      <c r="O2211" s="559">
        <f>'Progetto del paramento slu'!$G$60*(sezione!$AP$35-C2211)/C2211</f>
        <v>6.5889147945618969E-4</v>
      </c>
      <c r="P2211" s="553">
        <f>-'Progetto del paramento slu'!$G$47*'Progetto del paramento slu'!$G$41*IF(DATI!$G$218="dx",DATI!$E$61,DATI!$E$64*DATI!$E$63)*1000*C2211*sezione!$AD$5</f>
        <v>-3084392.4876432428</v>
      </c>
      <c r="Q2211" s="553">
        <f>'Foglio deposito bis'!$F$78*IF(ABS(K2211)&lt;'Progetto del paramento slu'!$G$58,ABS(K2211)*'Progetto del paramento slu'!$G$54,'Progetto del paramento slu'!$G$53)*IF(K2211&lt;0,-1,1)</f>
        <v>0</v>
      </c>
      <c r="R2211" s="553">
        <f>'Foglio deposito bis'!$F$79*IF(ABS(L2211)&lt;'Progetto del paramento slu'!$G$58,ABS(L2211)*'Progetto del paramento slu'!$G$54,'Progetto del paramento slu'!$G$53)*IF(L2211&lt;0,-1,1)</f>
        <v>-89043.305154457848</v>
      </c>
      <c r="S2211" s="553">
        <f>'Foglio deposito bis'!$F$80*IF(ABS(M2211)&lt;'Progetto del paramento slu'!$G$58,ABS(M2211)*'Progetto del paramento slu'!$G$54,'Progetto del paramento slu'!$G$53)*IF(M2211&lt;0,-1,1)</f>
        <v>0</v>
      </c>
      <c r="T2211" s="553">
        <f>'Foglio deposito bis'!$F$81*IF(ABS(N2211)&lt;'Progetto del paramento slu'!$G$58,ABS(N2211)*'Progetto del paramento slu'!$G$54,'Progetto del paramento slu'!$G$53)*IF(N2211&lt;0,-1,1)</f>
        <v>398299.31208121032</v>
      </c>
      <c r="U2211" s="553">
        <f>'Foglio deposito bis'!$F$82*IF(ABS(O2211)&lt;'Progetto del paramento slu'!$G$58,ABS(O2211)*'Progetto del paramento slu'!$G$54,'Progetto del paramento slu'!$G$53)*IF(O2211&lt;0,-1,1)</f>
        <v>309576.22863354196</v>
      </c>
      <c r="V2211" s="479">
        <f t="shared" si="164"/>
        <v>-2465560.2520829481</v>
      </c>
      <c r="W2211" s="559"/>
      <c r="X2211" s="559"/>
    </row>
    <row r="2212" spans="1:24" x14ac:dyDescent="0.25">
      <c r="A2212" s="553">
        <f t="shared" si="163"/>
        <v>2574537.930394955</v>
      </c>
      <c r="B2212" s="3">
        <f t="shared" si="161"/>
        <v>54.899999999999942</v>
      </c>
      <c r="C2212" s="553">
        <f>'Foglio deposito bis'!$E$161/sezione!$B$247*B2212</f>
        <v>222.87467042260829</v>
      </c>
      <c r="D2212" s="611">
        <f>-'Progetto del paramento slu'!$G$47*'Progetto del paramento slu'!$G$41*IF(DATI!$G$218="dx",DATI!$E$61,DATI!$E$64*DATI!$E$63)*1000*C2212^2*sezione!$AD$5*(1-sezione!$AD$6)</f>
        <v>-408909101.34845054</v>
      </c>
      <c r="E2212" s="553">
        <f>-'Foglio deposito bis'!$F$78*(C2212-sezione!$AL$35)*IF(ABS(K2212)&lt;'Progetto del paramento slu'!$G$58,ABS(K2212)*'Progetto del paramento slu'!$G$54,'Progetto del paramento slu'!$G$53)</f>
        <v>0</v>
      </c>
      <c r="F2212" s="553">
        <f>-'Foglio deposito bis'!$F$79*(C2212-sezione!$AM$35)*IF(ABS(L2212)&lt;'Progetto del paramento slu'!$G$58,ABS(L2212)*'Progetto del paramento slu'!$G$54,'Progetto del paramento slu'!$G$53)</f>
        <v>-6746641.6609262824</v>
      </c>
      <c r="G2212" s="553">
        <f>-'Foglio deposito bis'!$F$80*(C2212-sezione!$AN$35)*IF(ABS(M2212)&lt;'Progetto del paramento slu'!$G$58,ABS(M2212)*'Progetto del paramento slu'!$G$54,'Progetto del paramento slu'!$G$53)</f>
        <v>0</v>
      </c>
      <c r="H2212" s="553">
        <f>-'Foglio deposito bis'!$F$81*(C2212-sezione!$AO$35)*IF(ABS(N2212)&lt;'Progetto del paramento slu'!$G$58,ABS(N2212)*'Progetto del paramento slu'!$G$54,'Progetto del paramento slu'!$G$53)</f>
        <v>45172183.695537612</v>
      </c>
      <c r="I2212" s="479">
        <f>-'Foglio deposito bis'!$F$82*(C2212-sezione!$AP$35)*IF(ABS(O2212)&lt;'Progetto del paramento slu'!$G$58,ABS(O2212)*'Progetto del paramento slu'!$G$54,'Progetto del paramento slu'!$G$53)</f>
        <v>10173921.413812924</v>
      </c>
      <c r="J2212" s="479">
        <f t="shared" si="162"/>
        <v>-360309637.90002626</v>
      </c>
      <c r="K2212" s="558">
        <f>'Progetto del paramento slu'!$G$60*(sezione!$AL$35-C2212)/C2212</f>
        <v>-2.8718442758231067E-3</v>
      </c>
      <c r="L2212" s="558">
        <f>'Progetto del paramento slu'!$G$60*(sezione!$AM$35-C2212)/C2212</f>
        <v>-1.1444160343366491E-3</v>
      </c>
      <c r="M2212" s="559">
        <f>'Progetto del paramento slu'!$G$60*(sezione!$AN$35-C2212)/C2212</f>
        <v>5.8301220714980853E-4</v>
      </c>
      <c r="N2212" s="559">
        <f>'Progetto del paramento slu'!$G$60*(sezione!$AO$35-C2212)/C2212</f>
        <v>1.8393236555035958E-3</v>
      </c>
      <c r="O2212" s="559">
        <f>'Progetto del paramento slu'!$G$60*(sezione!$AP$35-C2212)/C2212</f>
        <v>5.8313753629669657E-4</v>
      </c>
      <c r="P2212" s="553">
        <f>-'Progetto del paramento slu'!$G$47*'Progetto del paramento slu'!$G$41*IF(DATI!$G$218="dx",DATI!$E$61,DATI!$E$64*DATI!$E$63)*1000*C2212*sezione!$AD$5</f>
        <v>-3141616.8380633402</v>
      </c>
      <c r="Q2212" s="553">
        <f>'Foglio deposito bis'!$F$78*IF(ABS(K2212)&lt;'Progetto del paramento slu'!$G$58,ABS(K2212)*'Progetto del paramento slu'!$G$54,'Progetto del paramento slu'!$G$53)*IF(K2212&lt;0,-1,1)</f>
        <v>0</v>
      </c>
      <c r="R2212" s="553">
        <f>'Foglio deposito bis'!$F$79*IF(ABS(L2212)&lt;'Progetto del paramento slu'!$G$58,ABS(L2212)*'Progetto del paramento slu'!$G$54,'Progetto del paramento slu'!$G$53)*IF(L2212&lt;0,-1,1)</f>
        <v>-92578.691907651315</v>
      </c>
      <c r="S2212" s="553">
        <f>'Foglio deposito bis'!$F$80*IF(ABS(M2212)&lt;'Progetto del paramento slu'!$G$58,ABS(M2212)*'Progetto del paramento slu'!$G$54,'Progetto del paramento slu'!$G$53)*IF(M2212&lt;0,-1,1)</f>
        <v>0</v>
      </c>
      <c r="T2212" s="553">
        <f>'Foglio deposito bis'!$F$81*IF(ABS(N2212)&lt;'Progetto del paramento slu'!$G$58,ABS(N2212)*'Progetto del paramento slu'!$G$54,'Progetto del paramento slu'!$G$53)*IF(N2212&lt;0,-1,1)</f>
        <v>385673.90895314107</v>
      </c>
      <c r="U2212" s="553">
        <f>'Foglio deposito bis'!$F$82*IF(ABS(O2212)&lt;'Progetto del paramento slu'!$G$58,ABS(O2212)*'Progetto del paramento slu'!$G$54,'Progetto del paramento slu'!$G$53)*IF(O2212&lt;0,-1,1)</f>
        <v>273983.69062289543</v>
      </c>
      <c r="V2212" s="479">
        <f t="shared" si="164"/>
        <v>-2574537.930394955</v>
      </c>
      <c r="W2212" s="559"/>
      <c r="X2212" s="559"/>
    </row>
    <row r="2213" spans="1:24" x14ac:dyDescent="0.25">
      <c r="A2213" s="553">
        <f t="shared" si="163"/>
        <v>2689518.231870031</v>
      </c>
      <c r="B2213" s="3">
        <f t="shared" si="161"/>
        <v>55.899999999999942</v>
      </c>
      <c r="C2213" s="553">
        <f>'Foglio deposito bis'!$E$161/sezione!$B$247*B2213</f>
        <v>226.93431833558842</v>
      </c>
      <c r="D2213" s="611">
        <f>-'Progetto del paramento slu'!$G$47*'Progetto del paramento slu'!$G$41*IF(DATI!$G$218="dx",DATI!$E$61,DATI!$E$64*DATI!$E$63)*1000*C2213^2*sezione!$AD$5*(1-sezione!$AD$6)</f>
        <v>-423941277.23021883</v>
      </c>
      <c r="E2213" s="553">
        <f>-'Foglio deposito bis'!$F$78*(C2213-sezione!$AL$35)*IF(ABS(K2213)&lt;'Progetto del paramento slu'!$G$58,ABS(K2213)*'Progetto del paramento slu'!$G$54,'Progetto del paramento slu'!$G$53)</f>
        <v>0</v>
      </c>
      <c r="F2213" s="553">
        <f>-'Foglio deposito bis'!$F$79*(C2213-sezione!$AM$35)*IF(ABS(L2213)&lt;'Progetto del paramento slu'!$G$58,ABS(L2213)*'Progetto del paramento slu'!$G$54,'Progetto del paramento slu'!$G$53)</f>
        <v>-7384739.7263751458</v>
      </c>
      <c r="G2213" s="553">
        <f>-'Foglio deposito bis'!$F$80*(C2213-sezione!$AN$35)*IF(ABS(M2213)&lt;'Progetto del paramento slu'!$G$58,ABS(M2213)*'Progetto del paramento slu'!$G$54,'Progetto del paramento slu'!$G$53)</f>
        <v>0</v>
      </c>
      <c r="H2213" s="553">
        <f>-'Foglio deposito bis'!$F$81*(C2213-sezione!$AO$35)*IF(ABS(N2213)&lt;'Progetto del paramento slu'!$G$58,ABS(N2213)*'Progetto del paramento slu'!$G$54,'Progetto del paramento slu'!$G$53)</f>
        <v>41342009.365883932</v>
      </c>
      <c r="I2213" s="479">
        <f>-'Foglio deposito bis'!$F$82*(C2213-sezione!$AP$35)*IF(ABS(O2213)&lt;'Progetto del paramento slu'!$G$58,ABS(O2213)*'Progetto del paramento slu'!$G$54,'Progetto del paramento slu'!$G$53)</f>
        <v>7926585.7032017978</v>
      </c>
      <c r="J2213" s="479">
        <f t="shared" si="162"/>
        <v>-382057421.88750827</v>
      </c>
      <c r="K2213" s="558">
        <f>'Progetto del paramento slu'!$G$60*(sezione!$AL$35-C2213)/C2213</f>
        <v>-2.8830814086348577E-3</v>
      </c>
      <c r="L2213" s="558">
        <f>'Progetto del paramento slu'!$G$60*(sezione!$AM$35-C2213)/C2213</f>
        <v>-1.1865552823807164E-3</v>
      </c>
      <c r="M2213" s="559">
        <f>'Progetto del paramento slu'!$G$60*(sezione!$AN$35-C2213)/C2213</f>
        <v>5.0997084387342524E-4</v>
      </c>
      <c r="N2213" s="559">
        <f>'Progetto del paramento slu'!$G$60*(sezione!$AO$35-C2213)/C2213</f>
        <v>1.74380802660371E-3</v>
      </c>
      <c r="O2213" s="559">
        <f>'Progetto del paramento slu'!$G$60*(sezione!$AP$35-C2213)/C2213</f>
        <v>5.1009393099621879E-4</v>
      </c>
      <c r="P2213" s="553">
        <f>-'Progetto del paramento slu'!$G$47*'Progetto del paramento slu'!$G$41*IF(DATI!$G$218="dx",DATI!$E$61,DATI!$E$64*DATI!$E$63)*1000*C2213*sezione!$AD$5</f>
        <v>-3198841.1884834371</v>
      </c>
      <c r="Q2213" s="553">
        <f>'Foglio deposito bis'!$F$78*IF(ABS(K2213)&lt;'Progetto del paramento slu'!$G$58,ABS(K2213)*'Progetto del paramento slu'!$G$54,'Progetto del paramento slu'!$G$53)*IF(K2213&lt;0,-1,1)</f>
        <v>0</v>
      </c>
      <c r="R2213" s="553">
        <f>'Foglio deposito bis'!$F$79*IF(ABS(L2213)&lt;'Progetto del paramento slu'!$G$58,ABS(L2213)*'Progetto del paramento slu'!$G$54,'Progetto del paramento slu'!$G$53)*IF(L2213&lt;0,-1,1)</f>
        <v>-95987.588973789592</v>
      </c>
      <c r="S2213" s="553">
        <f>'Foglio deposito bis'!$F$80*IF(ABS(M2213)&lt;'Progetto del paramento slu'!$G$58,ABS(M2213)*'Progetto del paramento slu'!$G$54,'Progetto del paramento slu'!$G$53)*IF(M2213&lt;0,-1,1)</f>
        <v>0</v>
      </c>
      <c r="T2213" s="553">
        <f>'Foglio deposito bis'!$F$81*IF(ABS(N2213)&lt;'Progetto del paramento slu'!$G$58,ABS(N2213)*'Progetto del paramento slu'!$G$54,'Progetto del paramento slu'!$G$53)*IF(N2213&lt;0,-1,1)</f>
        <v>365645.95691016555</v>
      </c>
      <c r="U2213" s="553">
        <f>'Foglio deposito bis'!$F$82*IF(ABS(O2213)&lt;'Progetto del paramento slu'!$G$58,ABS(O2213)*'Progetto del paramento slu'!$G$54,'Progetto del paramento slu'!$G$53)*IF(O2213&lt;0,-1,1)</f>
        <v>239664.58867703023</v>
      </c>
      <c r="V2213" s="479">
        <f t="shared" si="164"/>
        <v>-2689518.231870031</v>
      </c>
      <c r="W2213" s="559"/>
      <c r="X2213" s="559"/>
    </row>
    <row r="2214" spans="1:24" x14ac:dyDescent="0.25">
      <c r="A2214" s="553">
        <f t="shared" si="163"/>
        <v>2802468.4471920333</v>
      </c>
      <c r="B2214" s="3">
        <f t="shared" si="161"/>
        <v>56.899999999999942</v>
      </c>
      <c r="C2214" s="553">
        <f>'Foglio deposito bis'!$E$161/sezione!$B$247*B2214</f>
        <v>230.99396624856854</v>
      </c>
      <c r="D2214" s="611">
        <f>-'Progetto del paramento slu'!$G$47*'Progetto del paramento slu'!$G$41*IF(DATI!$G$218="dx",DATI!$E$61,DATI!$E$64*DATI!$E$63)*1000*C2214^2*sezione!$AD$5*(1-sezione!$AD$6)</f>
        <v>-439244792.02682048</v>
      </c>
      <c r="E2214" s="553">
        <f>-'Foglio deposito bis'!$F$78*(C2214-sezione!$AL$35)*IF(ABS(K2214)&lt;'Progetto del paramento slu'!$G$58,ABS(K2214)*'Progetto del paramento slu'!$G$54,'Progetto del paramento slu'!$G$53)</f>
        <v>0</v>
      </c>
      <c r="F2214" s="553">
        <f>-'Foglio deposito bis'!$F$79*(C2214-sezione!$AM$35)*IF(ABS(L2214)&lt;'Progetto del paramento slu'!$G$58,ABS(L2214)*'Progetto del paramento slu'!$G$54,'Progetto del paramento slu'!$G$53)</f>
        <v>-8040810.8870760519</v>
      </c>
      <c r="G2214" s="553">
        <f>-'Foglio deposito bis'!$F$80*(C2214-sezione!$AN$35)*IF(ABS(M2214)&lt;'Progetto del paramento slu'!$G$58,ABS(M2214)*'Progetto del paramento slu'!$G$54,'Progetto del paramento slu'!$G$53)</f>
        <v>0</v>
      </c>
      <c r="H2214" s="553">
        <f>-'Foglio deposito bis'!$F$81*(C2214-sezione!$AO$35)*IF(ABS(N2214)&lt;'Progetto del paramento slu'!$G$58,ABS(N2214)*'Progetto del paramento slu'!$G$54,'Progetto del paramento slu'!$G$53)</f>
        <v>37751184.902473181</v>
      </c>
      <c r="I2214" s="479">
        <f>-'Foglio deposito bis'!$F$82*(C2214-sezione!$AP$35)*IF(ABS(O2214)&lt;'Progetto del paramento slu'!$G$58,ABS(O2214)*'Progetto del paramento slu'!$G$54,'Progetto del paramento slu'!$G$53)</f>
        <v>5992896.403794812</v>
      </c>
      <c r="J2214" s="479">
        <f t="shared" si="162"/>
        <v>-403541521.60762852</v>
      </c>
      <c r="K2214" s="558">
        <f>'Progetto del paramento slu'!$G$60*(sezione!$AL$35-C2214)/C2214</f>
        <v>-2.8939235631403964E-3</v>
      </c>
      <c r="L2214" s="558">
        <f>'Progetto del paramento slu'!$G$60*(sezione!$AM$35-C2214)/C2214</f>
        <v>-1.2272133617764857E-3</v>
      </c>
      <c r="M2214" s="559">
        <f>'Progetto del paramento slu'!$G$60*(sezione!$AN$35-C2214)/C2214</f>
        <v>4.3949683958742464E-4</v>
      </c>
      <c r="N2214" s="559">
        <f>'Progetto del paramento slu'!$G$60*(sezione!$AO$35-C2214)/C2214</f>
        <v>1.6516497133066321E-3</v>
      </c>
      <c r="O2214" s="559">
        <f>'Progetto del paramento slu'!$G$60*(sezione!$AP$35-C2214)/C2214</f>
        <v>4.3961776349189146E-4</v>
      </c>
      <c r="P2214" s="553">
        <f>-'Progetto del paramento slu'!$G$47*'Progetto del paramento slu'!$G$41*IF(DATI!$G$218="dx",DATI!$E$61,DATI!$E$64*DATI!$E$63)*1000*C2214*sezione!$AD$5</f>
        <v>-3256065.5389035349</v>
      </c>
      <c r="Q2214" s="553">
        <f>'Foglio deposito bis'!$F$78*IF(ABS(K2214)&lt;'Progetto del paramento slu'!$G$58,ABS(K2214)*'Progetto del paramento slu'!$G$54,'Progetto del paramento slu'!$G$53)*IF(K2214&lt;0,-1,1)</f>
        <v>0</v>
      </c>
      <c r="R2214" s="553">
        <f>'Foglio deposito bis'!$F$79*IF(ABS(L2214)&lt;'Progetto del paramento slu'!$G$58,ABS(L2214)*'Progetto del paramento slu'!$G$54,'Progetto del paramento slu'!$G$53)*IF(L2214&lt;0,-1,1)</f>
        <v>-99276.665404914194</v>
      </c>
      <c r="S2214" s="553">
        <f>'Foglio deposito bis'!$F$80*IF(ABS(M2214)&lt;'Progetto del paramento slu'!$G$58,ABS(M2214)*'Progetto del paramento slu'!$G$54,'Progetto del paramento slu'!$G$53)*IF(M2214&lt;0,-1,1)</f>
        <v>0</v>
      </c>
      <c r="T2214" s="553">
        <f>'Foglio deposito bis'!$F$81*IF(ABS(N2214)&lt;'Progetto del paramento slu'!$G$58,ABS(N2214)*'Progetto del paramento slu'!$G$54,'Progetto del paramento slu'!$G$53)*IF(N2214&lt;0,-1,1)</f>
        <v>346321.9750620221</v>
      </c>
      <c r="U2214" s="553">
        <f>'Foglio deposito bis'!$F$82*IF(ABS(O2214)&lt;'Progetto del paramento slu'!$G$58,ABS(O2214)*'Progetto del paramento slu'!$G$54,'Progetto del paramento slu'!$G$53)*IF(O2214&lt;0,-1,1)</f>
        <v>206551.78205439408</v>
      </c>
      <c r="V2214" s="479">
        <f t="shared" si="164"/>
        <v>-2802468.4471920333</v>
      </c>
      <c r="W2214" s="559"/>
      <c r="X2214" s="559"/>
    </row>
    <row r="2215" spans="1:24" x14ac:dyDescent="0.25">
      <c r="A2215" s="553">
        <f t="shared" si="163"/>
        <v>2913493.7621719996</v>
      </c>
      <c r="B2215" s="3">
        <f t="shared" si="161"/>
        <v>57.899999999999942</v>
      </c>
      <c r="C2215" s="553">
        <f>'Foglio deposito bis'!$E$161/sezione!$B$247*B2215</f>
        <v>235.05361416154867</v>
      </c>
      <c r="D2215" s="611">
        <f>-'Progetto del paramento slu'!$G$47*'Progetto del paramento slu'!$G$41*IF(DATI!$G$218="dx",DATI!$E$61,DATI!$E$64*DATI!$E$63)*1000*C2215^2*sezione!$AD$5*(1-sezione!$AD$6)</f>
        <v>-454819645.7382555</v>
      </c>
      <c r="E2215" s="553">
        <f>-'Foglio deposito bis'!$F$78*(C2215-sezione!$AL$35)*IF(ABS(K2215)&lt;'Progetto del paramento slu'!$G$58,ABS(K2215)*'Progetto del paramento slu'!$G$54,'Progetto del paramento slu'!$G$53)</f>
        <v>0</v>
      </c>
      <c r="F2215" s="553">
        <f>-'Foglio deposito bis'!$F$79*(C2215-sezione!$AM$35)*IF(ABS(L2215)&lt;'Progetto del paramento slu'!$G$58,ABS(L2215)*'Progetto del paramento slu'!$G$54,'Progetto del paramento slu'!$G$53)</f>
        <v>-8713923.8945703525</v>
      </c>
      <c r="G2215" s="553">
        <f>-'Foglio deposito bis'!$F$80*(C2215-sezione!$AN$35)*IF(ABS(M2215)&lt;'Progetto del paramento slu'!$G$58,ABS(M2215)*'Progetto del paramento slu'!$G$54,'Progetto del paramento slu'!$G$53)</f>
        <v>0</v>
      </c>
      <c r="H2215" s="553">
        <f>-'Foglio deposito bis'!$F$81*(C2215-sezione!$AO$35)*IF(ABS(N2215)&lt;'Progetto del paramento slu'!$G$58,ABS(N2215)*'Progetto del paramento slu'!$G$54,'Progetto del paramento slu'!$G$53)</f>
        <v>34387308.757831663</v>
      </c>
      <c r="I2215" s="479">
        <f>-'Foglio deposito bis'!$F$82*(C2215-sezione!$AP$35)*IF(ABS(O2215)&lt;'Progetto del paramento slu'!$G$58,ABS(O2215)*'Progetto del paramento slu'!$G$54,'Progetto del paramento slu'!$G$53)</f>
        <v>4356602.4062031507</v>
      </c>
      <c r="J2215" s="479">
        <f t="shared" si="162"/>
        <v>-424789658.46879101</v>
      </c>
      <c r="K2215" s="558">
        <f>'Progetto del paramento slu'!$G$60*(sezione!$AL$35-C2215)/C2215</f>
        <v>-2.9043912045369352E-3</v>
      </c>
      <c r="L2215" s="558">
        <f>'Progetto del paramento slu'!$G$60*(sezione!$AM$35-C2215)/C2215</f>
        <v>-1.2664670170135068E-3</v>
      </c>
      <c r="M2215" s="559">
        <f>'Progetto del paramento slu'!$G$60*(sezione!$AN$35-C2215)/C2215</f>
        <v>3.7145717050992145E-4</v>
      </c>
      <c r="N2215" s="559">
        <f>'Progetto del paramento slu'!$G$60*(sezione!$AO$35-C2215)/C2215</f>
        <v>1.5626747614360512E-3</v>
      </c>
      <c r="O2215" s="559">
        <f>'Progetto del paramento slu'!$G$60*(sezione!$AP$35-C2215)/C2215</f>
        <v>3.7157600591862885E-4</v>
      </c>
      <c r="P2215" s="553">
        <f>-'Progetto del paramento slu'!$G$47*'Progetto del paramento slu'!$G$41*IF(DATI!$G$218="dx",DATI!$E$61,DATI!$E$64*DATI!$E$63)*1000*C2215*sezione!$AD$5</f>
        <v>-3313289.8893236322</v>
      </c>
      <c r="Q2215" s="553">
        <f>'Foglio deposito bis'!$F$78*IF(ABS(K2215)&lt;'Progetto del paramento slu'!$G$58,ABS(K2215)*'Progetto del paramento slu'!$G$54,'Progetto del paramento slu'!$G$53)*IF(K2215&lt;0,-1,1)</f>
        <v>0</v>
      </c>
      <c r="R2215" s="553">
        <f>'Foglio deposito bis'!$F$79*IF(ABS(L2215)&lt;'Progetto del paramento slu'!$G$58,ABS(L2215)*'Progetto del paramento slu'!$G$54,'Progetto del paramento slu'!$G$53)*IF(L2215&lt;0,-1,1)</f>
        <v>-102452.12952408286</v>
      </c>
      <c r="S2215" s="553">
        <f>'Foglio deposito bis'!$F$80*IF(ABS(M2215)&lt;'Progetto del paramento slu'!$G$58,ABS(M2215)*'Progetto del paramento slu'!$G$54,'Progetto del paramento slu'!$G$53)*IF(M2215&lt;0,-1,1)</f>
        <v>0</v>
      </c>
      <c r="T2215" s="553">
        <f>'Foglio deposito bis'!$F$81*IF(ABS(N2215)&lt;'Progetto del paramento slu'!$G$58,ABS(N2215)*'Progetto del paramento slu'!$G$54,'Progetto del paramento slu'!$G$53)*IF(N2215&lt;0,-1,1)</f>
        <v>327665.48826908233</v>
      </c>
      <c r="U2215" s="553">
        <f>'Foglio deposito bis'!$F$82*IF(ABS(O2215)&lt;'Progetto del paramento slu'!$G$58,ABS(O2215)*'Progetto del paramento slu'!$G$54,'Progetto del paramento slu'!$G$53)*IF(O2215&lt;0,-1,1)</f>
        <v>174582.76840663308</v>
      </c>
      <c r="V2215" s="479">
        <f t="shared" si="164"/>
        <v>-2913493.7621719996</v>
      </c>
      <c r="W2215" s="559"/>
      <c r="X2215" s="559"/>
    </row>
    <row r="2216" spans="1:24" x14ac:dyDescent="0.25">
      <c r="A2216" s="553">
        <f t="shared" si="163"/>
        <v>3022692.2192721744</v>
      </c>
      <c r="B2216" s="3">
        <f t="shared" si="161"/>
        <v>58.899999999999942</v>
      </c>
      <c r="C2216" s="553">
        <f>'Foglio deposito bis'!$E$161/sezione!$B$247*B2216</f>
        <v>239.11326207452876</v>
      </c>
      <c r="D2216" s="611">
        <f>-'Progetto del paramento slu'!$G$47*'Progetto del paramento slu'!$G$41*IF(DATI!$G$218="dx",DATI!$E$61,DATI!$E$64*DATI!$E$63)*1000*C2216^2*sezione!$AD$5*(1-sezione!$AD$6)</f>
        <v>-470665838.36452371</v>
      </c>
      <c r="E2216" s="553">
        <f>-'Foglio deposito bis'!$F$78*(C2216-sezione!$AL$35)*IF(ABS(K2216)&lt;'Progetto del paramento slu'!$G$58,ABS(K2216)*'Progetto del paramento slu'!$G$54,'Progetto del paramento slu'!$G$53)</f>
        <v>0</v>
      </c>
      <c r="F2216" s="553">
        <f>-'Foglio deposito bis'!$F$79*(C2216-sezione!$AM$35)*IF(ABS(L2216)&lt;'Progetto del paramento slu'!$G$58,ABS(L2216)*'Progetto del paramento slu'!$G$54,'Progetto del paramento slu'!$G$53)</f>
        <v>-9403210.7430790886</v>
      </c>
      <c r="G2216" s="553">
        <f>-'Foglio deposito bis'!$F$80*(C2216-sezione!$AN$35)*IF(ABS(M2216)&lt;'Progetto del paramento slu'!$G$58,ABS(M2216)*'Progetto del paramento slu'!$G$54,'Progetto del paramento slu'!$G$53)</f>
        <v>0</v>
      </c>
      <c r="H2216" s="553">
        <f>-'Foglio deposito bis'!$F$81*(C2216-sezione!$AO$35)*IF(ABS(N2216)&lt;'Progetto del paramento slu'!$G$58,ABS(N2216)*'Progetto del paramento slu'!$G$54,'Progetto del paramento slu'!$G$53)</f>
        <v>31238821.594840396</v>
      </c>
      <c r="I2216" s="479">
        <f>-'Foglio deposito bis'!$F$82*(C2216-sezione!$AP$35)*IF(ABS(O2216)&lt;'Progetto del paramento slu'!$G$58,ABS(O2216)*'Progetto del paramento slu'!$G$54,'Progetto del paramento slu'!$G$53)</f>
        <v>3002556.2417435292</v>
      </c>
      <c r="J2216" s="479">
        <f t="shared" si="162"/>
        <v>-445827671.27101886</v>
      </c>
      <c r="K2216" s="558">
        <f>'Progetto del paramento slu'!$G$60*(sezione!$AL$35-C2216)/C2216</f>
        <v>-2.9145034081950517E-3</v>
      </c>
      <c r="L2216" s="558">
        <f>'Progetto del paramento slu'!$G$60*(sezione!$AM$35-C2216)/C2216</f>
        <v>-1.3043877807314436E-3</v>
      </c>
      <c r="M2216" s="559">
        <f>'Progetto del paramento slu'!$G$60*(sezione!$AN$35-C2216)/C2216</f>
        <v>3.057278467321642E-4</v>
      </c>
      <c r="N2216" s="559">
        <f>'Progetto del paramento slu'!$G$60*(sezione!$AO$35-C2216)/C2216</f>
        <v>1.4767210303420607E-3</v>
      </c>
      <c r="O2216" s="559">
        <f>'Progetto del paramento slu'!$G$60*(sezione!$AP$35-C2216)/C2216</f>
        <v>3.0584466456177637E-4</v>
      </c>
      <c r="P2216" s="553">
        <f>-'Progetto del paramento slu'!$G$47*'Progetto del paramento slu'!$G$41*IF(DATI!$G$218="dx",DATI!$E$61,DATI!$E$64*DATI!$E$63)*1000*C2216*sezione!$AD$5</f>
        <v>-3370514.2397437296</v>
      </c>
      <c r="Q2216" s="553">
        <f>'Foglio deposito bis'!$F$78*IF(ABS(K2216)&lt;'Progetto del paramento slu'!$G$58,ABS(K2216)*'Progetto del paramento slu'!$G$54,'Progetto del paramento slu'!$G$53)*IF(K2216&lt;0,-1,1)</f>
        <v>0</v>
      </c>
      <c r="R2216" s="553">
        <f>'Foglio deposito bis'!$F$79*IF(ABS(L2216)&lt;'Progetto del paramento slu'!$G$58,ABS(L2216)*'Progetto del paramento slu'!$G$54,'Progetto del paramento slu'!$G$53)*IF(L2216&lt;0,-1,1)</f>
        <v>-105519.76803648857</v>
      </c>
      <c r="S2216" s="553">
        <f>'Foglio deposito bis'!$F$80*IF(ABS(M2216)&lt;'Progetto del paramento slu'!$G$58,ABS(M2216)*'Progetto del paramento slu'!$G$54,'Progetto del paramento slu'!$G$53)*IF(M2216&lt;0,-1,1)</f>
        <v>0</v>
      </c>
      <c r="T2216" s="553">
        <f>'Foglio deposito bis'!$F$81*IF(ABS(N2216)&lt;'Progetto del paramento slu'!$G$58,ABS(N2216)*'Progetto del paramento slu'!$G$54,'Progetto del paramento slu'!$G$53)*IF(N2216&lt;0,-1,1)</f>
        <v>309642.49848099629</v>
      </c>
      <c r="U2216" s="553">
        <f>'Foglio deposito bis'!$F$82*IF(ABS(O2216)&lt;'Progetto del paramento slu'!$G$58,ABS(O2216)*'Progetto del paramento slu'!$G$54,'Progetto del paramento slu'!$G$53)*IF(O2216&lt;0,-1,1)</f>
        <v>143699.29002704754</v>
      </c>
      <c r="V2216" s="479">
        <f t="shared" si="164"/>
        <v>-3022692.2192721744</v>
      </c>
      <c r="W2216" s="559"/>
      <c r="X2216" s="559"/>
    </row>
    <row r="2217" spans="1:24" x14ac:dyDescent="0.25">
      <c r="A2217" s="553">
        <f t="shared" si="163"/>
        <v>3130155.3138788571</v>
      </c>
      <c r="B2217" s="3">
        <f t="shared" si="161"/>
        <v>59.899999999999942</v>
      </c>
      <c r="C2217" s="553">
        <f>'Foglio deposito bis'!$E$161/sezione!$B$247*B2217</f>
        <v>243.17290998750889</v>
      </c>
      <c r="D2217" s="611">
        <f>-'Progetto del paramento slu'!$G$47*'Progetto del paramento slu'!$G$41*IF(DATI!$G$218="dx",DATI!$E$61,DATI!$E$64*DATI!$E$63)*1000*C2217^2*sezione!$AD$5*(1-sezione!$AD$6)</f>
        <v>-486783369.90562546</v>
      </c>
      <c r="E2217" s="553">
        <f>-'Foglio deposito bis'!$F$78*(C2217-sezione!$AL$35)*IF(ABS(K2217)&lt;'Progetto del paramento slu'!$G$58,ABS(K2217)*'Progetto del paramento slu'!$G$54,'Progetto del paramento slu'!$G$53)</f>
        <v>0</v>
      </c>
      <c r="F2217" s="553">
        <f>-'Foglio deposito bis'!$F$79*(C2217-sezione!$AM$35)*IF(ABS(L2217)&lt;'Progetto del paramento slu'!$G$58,ABS(L2217)*'Progetto del paramento slu'!$G$54,'Progetto del paramento slu'!$G$53)</f>
        <v>-10107861.390481351</v>
      </c>
      <c r="G2217" s="553">
        <f>-'Foglio deposito bis'!$F$80*(C2217-sezione!$AN$35)*IF(ABS(M2217)&lt;'Progetto del paramento slu'!$G$58,ABS(M2217)*'Progetto del paramento slu'!$G$54,'Progetto del paramento slu'!$G$53)</f>
        <v>0</v>
      </c>
      <c r="H2217" s="553">
        <f>-'Foglio deposito bis'!$F$81*(C2217-sezione!$AO$35)*IF(ABS(N2217)&lt;'Progetto del paramento slu'!$G$58,ABS(N2217)*'Progetto del paramento slu'!$G$54,'Progetto del paramento slu'!$G$53)</f>
        <v>28294935.985369954</v>
      </c>
      <c r="I2217" s="479">
        <f>-'Foglio deposito bis'!$F$82*(C2217-sezione!$AP$35)*IF(ABS(O2217)&lt;'Progetto del paramento slu'!$G$58,ABS(O2217)*'Progetto del paramento slu'!$G$54,'Progetto del paramento slu'!$G$53)</f>
        <v>1916621.9588400351</v>
      </c>
      <c r="J2217" s="479">
        <f t="shared" si="162"/>
        <v>-466679673.35189682</v>
      </c>
      <c r="K2217" s="558">
        <f>'Progetto del paramento slu'!$G$60*(sezione!$AL$35-C2217)/C2217</f>
        <v>-2.9242779756709276E-3</v>
      </c>
      <c r="L2217" s="558">
        <f>'Progetto del paramento slu'!$G$60*(sezione!$AM$35-C2217)/C2217</f>
        <v>-1.3410424087659774E-3</v>
      </c>
      <c r="M2217" s="559">
        <f>'Progetto del paramento slu'!$G$60*(sezione!$AN$35-C2217)/C2217</f>
        <v>2.4219315813897262E-4</v>
      </c>
      <c r="N2217" s="559">
        <f>'Progetto del paramento slu'!$G$60*(sezione!$AO$35-C2217)/C2217</f>
        <v>1.3936372067971179E-3</v>
      </c>
      <c r="O2217" s="559">
        <f>'Progetto del paramento slu'!$G$60*(sezione!$AP$35-C2217)/C2217</f>
        <v>2.42308025754401E-4</v>
      </c>
      <c r="P2217" s="553">
        <f>-'Progetto del paramento slu'!$G$47*'Progetto del paramento slu'!$G$41*IF(DATI!$G$218="dx",DATI!$E$61,DATI!$E$64*DATI!$E$63)*1000*C2217*sezione!$AD$5</f>
        <v>-3427738.5901638265</v>
      </c>
      <c r="Q2217" s="553">
        <f>'Foglio deposito bis'!$F$78*IF(ABS(K2217)&lt;'Progetto del paramento slu'!$G$58,ABS(K2217)*'Progetto del paramento slu'!$G$54,'Progetto del paramento slu'!$G$53)*IF(K2217&lt;0,-1,1)</f>
        <v>0</v>
      </c>
      <c r="R2217" s="553">
        <f>'Foglio deposito bis'!$F$79*IF(ABS(L2217)&lt;'Progetto del paramento slu'!$G$58,ABS(L2217)*'Progetto del paramento slu'!$G$54,'Progetto del paramento slu'!$G$53)*IF(L2217&lt;0,-1,1)</f>
        <v>-108484.98122293754</v>
      </c>
      <c r="S2217" s="553">
        <f>'Foglio deposito bis'!$F$80*IF(ABS(M2217)&lt;'Progetto del paramento slu'!$G$58,ABS(M2217)*'Progetto del paramento slu'!$G$54,'Progetto del paramento slu'!$G$53)*IF(M2217&lt;0,-1,1)</f>
        <v>0</v>
      </c>
      <c r="T2217" s="553">
        <f>'Foglio deposito bis'!$F$81*IF(ABS(N2217)&lt;'Progetto del paramento slu'!$G$58,ABS(N2217)*'Progetto del paramento slu'!$G$54,'Progetto del paramento slu'!$G$53)*IF(N2217&lt;0,-1,1)</f>
        <v>292221.2779679714</v>
      </c>
      <c r="U2217" s="553">
        <f>'Foglio deposito bis'!$F$82*IF(ABS(O2217)&lt;'Progetto del paramento slu'!$G$58,ABS(O2217)*'Progetto del paramento slu'!$G$54,'Progetto del paramento slu'!$G$53)*IF(O2217&lt;0,-1,1)</f>
        <v>113846.97953993545</v>
      </c>
      <c r="V2217" s="479">
        <f t="shared" si="164"/>
        <v>-3130155.3138788571</v>
      </c>
      <c r="W2217" s="559"/>
      <c r="X2217" s="559"/>
    </row>
    <row r="2218" spans="1:24" x14ac:dyDescent="0.25">
      <c r="A2218" s="553">
        <f t="shared" si="163"/>
        <v>3235968.5318291667</v>
      </c>
      <c r="B2218" s="3">
        <f t="shared" si="161"/>
        <v>60.899999999999942</v>
      </c>
      <c r="C2218" s="553">
        <f>'Foglio deposito bis'!$E$161/sezione!$B$247*B2218</f>
        <v>247.23255790048901</v>
      </c>
      <c r="D2218" s="611">
        <f>-'Progetto del paramento slu'!$G$47*'Progetto del paramento slu'!$G$41*IF(DATI!$G$218="dx",DATI!$E$61,DATI!$E$64*DATI!$E$63)*1000*C2218^2*sezione!$AD$5*(1-sezione!$AD$6)</f>
        <v>-503172240.36156058</v>
      </c>
      <c r="E2218" s="553">
        <f>-'Foglio deposito bis'!$F$78*(C2218-sezione!$AL$35)*IF(ABS(K2218)&lt;'Progetto del paramento slu'!$G$58,ABS(K2218)*'Progetto del paramento slu'!$G$54,'Progetto del paramento slu'!$G$53)</f>
        <v>0</v>
      </c>
      <c r="F2218" s="553">
        <f>-'Foglio deposito bis'!$F$79*(C2218-sezione!$AM$35)*IF(ABS(L2218)&lt;'Progetto del paramento slu'!$G$58,ABS(L2218)*'Progetto del paramento slu'!$G$54,'Progetto del paramento slu'!$G$53)</f>
        <v>-10827118.999393214</v>
      </c>
      <c r="G2218" s="553">
        <f>-'Foglio deposito bis'!$F$80*(C2218-sezione!$AN$35)*IF(ABS(M2218)&lt;'Progetto del paramento slu'!$G$58,ABS(M2218)*'Progetto del paramento slu'!$G$54,'Progetto del paramento slu'!$G$53)</f>
        <v>0</v>
      </c>
      <c r="H2218" s="553">
        <f>-'Foglio deposito bis'!$F$81*(C2218-sezione!$AO$35)*IF(ABS(N2218)&lt;'Progetto del paramento slu'!$G$58,ABS(N2218)*'Progetto del paramento slu'!$G$54,'Progetto del paramento slu'!$G$53)</f>
        <v>25545573.035158247</v>
      </c>
      <c r="I2218" s="479">
        <f>-'Foglio deposito bis'!$F$82*(C2218-sezione!$AP$35)*IF(ABS(O2218)&lt;'Progetto del paramento slu'!$G$58,ABS(O2218)*'Progetto del paramento slu'!$G$54,'Progetto del paramento slu'!$G$53)</f>
        <v>1085592.0756426214</v>
      </c>
      <c r="J2218" s="479">
        <f t="shared" si="162"/>
        <v>-487368194.25015289</v>
      </c>
      <c r="K2218" s="558">
        <f>'Progetto del paramento slu'!$G$60*(sezione!$AL$35-C2218)/C2218</f>
        <v>-2.9337315392888104E-3</v>
      </c>
      <c r="L2218" s="558">
        <f>'Progetto del paramento slu'!$G$60*(sezione!$AM$35-C2218)/C2218</f>
        <v>-1.3764932723330386E-3</v>
      </c>
      <c r="M2218" s="559">
        <f>'Progetto del paramento slu'!$G$60*(sezione!$AN$35-C2218)/C2218</f>
        <v>1.8074499462273318E-4</v>
      </c>
      <c r="N2218" s="559">
        <f>'Progetto del paramento slu'!$G$60*(sezione!$AO$35-C2218)/C2218</f>
        <v>1.3132819160451127E-3</v>
      </c>
      <c r="O2218" s="559">
        <f>'Progetto del paramento slu'!$G$60*(sezione!$AP$35-C2218)/C2218</f>
        <v>1.8085797607042054E-4</v>
      </c>
      <c r="P2218" s="553">
        <f>-'Progetto del paramento slu'!$G$47*'Progetto del paramento slu'!$G$41*IF(DATI!$G$218="dx",DATI!$E$61,DATI!$E$64*DATI!$E$63)*1000*C2218*sezione!$AD$5</f>
        <v>-3484962.9405839243</v>
      </c>
      <c r="Q2218" s="553">
        <f>'Foglio deposito bis'!$F$78*IF(ABS(K2218)&lt;'Progetto del paramento slu'!$G$58,ABS(K2218)*'Progetto del paramento slu'!$G$54,'Progetto del paramento slu'!$G$53)*IF(K2218&lt;0,-1,1)</f>
        <v>0</v>
      </c>
      <c r="R2218" s="553">
        <f>'Foglio deposito bis'!$F$79*IF(ABS(L2218)&lt;'Progetto del paramento slu'!$G$58,ABS(L2218)*'Progetto del paramento slu'!$G$54,'Progetto del paramento slu'!$G$53)*IF(L2218&lt;0,-1,1)</f>
        <v>-111352.81466598915</v>
      </c>
      <c r="S2218" s="553">
        <f>'Foglio deposito bis'!$F$80*IF(ABS(M2218)&lt;'Progetto del paramento slu'!$G$58,ABS(M2218)*'Progetto del paramento slu'!$G$54,'Progetto del paramento slu'!$G$53)*IF(M2218&lt;0,-1,1)</f>
        <v>0</v>
      </c>
      <c r="T2218" s="553">
        <f>'Foglio deposito bis'!$F$81*IF(ABS(N2218)&lt;'Progetto del paramento slu'!$G$58,ABS(N2218)*'Progetto del paramento slu'!$G$54,'Progetto del paramento slu'!$G$53)*IF(N2218&lt;0,-1,1)</f>
        <v>275372.18292335462</v>
      </c>
      <c r="U2218" s="553">
        <f>'Foglio deposito bis'!$F$82*IF(ABS(O2218)&lt;'Progetto del paramento slu'!$G$58,ABS(O2218)*'Progetto del paramento slu'!$G$54,'Progetto del paramento slu'!$G$53)*IF(O2218&lt;0,-1,1)</f>
        <v>84975.040497391892</v>
      </c>
      <c r="V2218" s="479">
        <f t="shared" si="164"/>
        <v>-3235968.5318291667</v>
      </c>
      <c r="W2218" s="559"/>
      <c r="X2218" s="559"/>
    </row>
    <row r="2219" spans="1:24" x14ac:dyDescent="0.25">
      <c r="A2219" s="553">
        <f t="shared" si="163"/>
        <v>3340211.8348350432</v>
      </c>
      <c r="B2219" s="3">
        <f t="shared" si="161"/>
        <v>61.899999999999942</v>
      </c>
      <c r="C2219" s="553">
        <f>'Foglio deposito bis'!$E$161/sezione!$B$247*B2219</f>
        <v>251.29220581346914</v>
      </c>
      <c r="D2219" s="611">
        <f>-'Progetto del paramento slu'!$G$47*'Progetto del paramento slu'!$G$41*IF(DATI!$G$218="dx",DATI!$E$61,DATI!$E$64*DATI!$E$63)*1000*C2219^2*sezione!$AD$5*(1-sezione!$AD$6)</f>
        <v>-519832449.73232907</v>
      </c>
      <c r="E2219" s="553">
        <f>-'Foglio deposito bis'!$F$78*(C2219-sezione!$AL$35)*IF(ABS(K2219)&lt;'Progetto del paramento slu'!$G$58,ABS(K2219)*'Progetto del paramento slu'!$G$54,'Progetto del paramento slu'!$G$53)</f>
        <v>0</v>
      </c>
      <c r="F2219" s="553">
        <f>-'Foglio deposito bis'!$F$79*(C2219-sezione!$AM$35)*IF(ABS(L2219)&lt;'Progetto del paramento slu'!$G$58,ABS(L2219)*'Progetto del paramento slu'!$G$54,'Progetto del paramento slu'!$G$53)</f>
        <v>-11560275.639531493</v>
      </c>
      <c r="G2219" s="553">
        <f>-'Foglio deposito bis'!$F$80*(C2219-sezione!$AN$35)*IF(ABS(M2219)&lt;'Progetto del paramento slu'!$G$58,ABS(M2219)*'Progetto del paramento slu'!$G$54,'Progetto del paramento slu'!$G$53)</f>
        <v>0</v>
      </c>
      <c r="H2219" s="553">
        <f>-'Foglio deposito bis'!$F$81*(C2219-sezione!$AO$35)*IF(ABS(N2219)&lt;'Progetto del paramento slu'!$G$58,ABS(N2219)*'Progetto del paramento slu'!$G$54,'Progetto del paramento slu'!$G$53)</f>
        <v>22981305.151672538</v>
      </c>
      <c r="I2219" s="479">
        <f>-'Foglio deposito bis'!$F$82*(C2219-sezione!$AP$35)*IF(ABS(O2219)&lt;'Progetto del paramento slu'!$G$58,ABS(O2219)*'Progetto del paramento slu'!$G$54,'Progetto del paramento slu'!$G$53)</f>
        <v>497112.58247248031</v>
      </c>
      <c r="J2219" s="479">
        <f t="shared" si="162"/>
        <v>-507914307.63771552</v>
      </c>
      <c r="K2219" s="558">
        <f>'Progetto del paramento slu'!$G$60*(sezione!$AL$35-C2219)/C2219</f>
        <v>-2.9428796565862444E-3</v>
      </c>
      <c r="L2219" s="558">
        <f>'Progetto del paramento slu'!$G$60*(sezione!$AM$35-C2219)/C2219</f>
        <v>-1.4107987121984176E-3</v>
      </c>
      <c r="M2219" s="559">
        <f>'Progetto del paramento slu'!$G$60*(sezione!$AN$35-C2219)/C2219</f>
        <v>1.2128223218940939E-4</v>
      </c>
      <c r="N2219" s="559">
        <f>'Progetto del paramento slu'!$G$60*(sezione!$AO$35-C2219)/C2219</f>
        <v>1.23552291901692E-3</v>
      </c>
      <c r="O2219" s="559">
        <f>'Progetto del paramento slu'!$G$60*(sezione!$AP$35-C2219)/C2219</f>
        <v>1.2139338841177062E-4</v>
      </c>
      <c r="P2219" s="553">
        <f>-'Progetto del paramento slu'!$G$47*'Progetto del paramento slu'!$G$41*IF(DATI!$G$218="dx",DATI!$E$61,DATI!$E$64*DATI!$E$63)*1000*C2219*sezione!$AD$5</f>
        <v>-3542187.2910040217</v>
      </c>
      <c r="Q2219" s="553">
        <f>'Foglio deposito bis'!$F$78*IF(ABS(K2219)&lt;'Progetto del paramento slu'!$G$58,ABS(K2219)*'Progetto del paramento slu'!$G$54,'Progetto del paramento slu'!$G$53)*IF(K2219&lt;0,-1,1)</f>
        <v>0</v>
      </c>
      <c r="R2219" s="553">
        <f>'Foglio deposito bis'!$F$79*IF(ABS(L2219)&lt;'Progetto del paramento slu'!$G$58,ABS(L2219)*'Progetto del paramento slu'!$G$54,'Progetto del paramento slu'!$G$53)*IF(L2219&lt;0,-1,1)</f>
        <v>-114127.98790086461</v>
      </c>
      <c r="S2219" s="553">
        <f>'Foglio deposito bis'!$F$80*IF(ABS(M2219)&lt;'Progetto del paramento slu'!$G$58,ABS(M2219)*'Progetto del paramento slu'!$G$54,'Progetto del paramento slu'!$G$53)*IF(M2219&lt;0,-1,1)</f>
        <v>0</v>
      </c>
      <c r="T2219" s="553">
        <f>'Foglio deposito bis'!$F$81*IF(ABS(N2219)&lt;'Progetto del paramento slu'!$G$58,ABS(N2219)*'Progetto del paramento slu'!$G$54,'Progetto del paramento slu'!$G$53)*IF(N2219&lt;0,-1,1)</f>
        <v>259067.48513381428</v>
      </c>
      <c r="U2219" s="553">
        <f>'Foglio deposito bis'!$F$82*IF(ABS(O2219)&lt;'Progetto del paramento slu'!$G$58,ABS(O2219)*'Progetto del paramento slu'!$G$54,'Progetto del paramento slu'!$G$53)*IF(O2219&lt;0,-1,1)</f>
        <v>57035.958936029056</v>
      </c>
      <c r="V2219" s="479">
        <f t="shared" si="164"/>
        <v>-3340211.8348350432</v>
      </c>
      <c r="W2219" s="559"/>
      <c r="X2219" s="559"/>
    </row>
    <row r="2220" spans="1:24" x14ac:dyDescent="0.25">
      <c r="A2220" s="553">
        <f t="shared" si="163"/>
        <v>3442960.0996028972</v>
      </c>
      <c r="B2220" s="3">
        <f t="shared" si="161"/>
        <v>62.899999999999942</v>
      </c>
      <c r="C2220" s="553">
        <f>'Foglio deposito bis'!$E$161/sezione!$B$247*B2220</f>
        <v>255.35185372644926</v>
      </c>
      <c r="D2220" s="611">
        <f>-'Progetto del paramento slu'!$G$47*'Progetto del paramento slu'!$G$41*IF(DATI!$G$218="dx",DATI!$E$61,DATI!$E$64*DATI!$E$63)*1000*C2220^2*sezione!$AD$5*(1-sezione!$AD$6)</f>
        <v>-536763998.01793087</v>
      </c>
      <c r="E2220" s="553">
        <f>-'Foglio deposito bis'!$F$78*(C2220-sezione!$AL$35)*IF(ABS(K2220)&lt;'Progetto del paramento slu'!$G$58,ABS(K2220)*'Progetto del paramento slu'!$G$54,'Progetto del paramento slu'!$G$53)</f>
        <v>0</v>
      </c>
      <c r="F2220" s="553">
        <f>-'Foglio deposito bis'!$F$79*(C2220-sezione!$AM$35)*IF(ABS(L2220)&lt;'Progetto del paramento slu'!$G$58,ABS(L2220)*'Progetto del paramento slu'!$G$54,'Progetto del paramento slu'!$G$53)</f>
        <v>-12306668.400026893</v>
      </c>
      <c r="G2220" s="553">
        <f>-'Foglio deposito bis'!$F$80*(C2220-sezione!$AN$35)*IF(ABS(M2220)&lt;'Progetto del paramento slu'!$G$58,ABS(M2220)*'Progetto del paramento slu'!$G$54,'Progetto del paramento slu'!$G$53)</f>
        <v>0</v>
      </c>
      <c r="H2220" s="553">
        <f>-'Foglio deposito bis'!$F$81*(C2220-sezione!$AO$35)*IF(ABS(N2220)&lt;'Progetto del paramento slu'!$G$58,ABS(N2220)*'Progetto del paramento slu'!$G$54,'Progetto del paramento slu'!$G$53)</f>
        <v>20593304.271316998</v>
      </c>
      <c r="I2220" s="479">
        <f>-'Foglio deposito bis'!$F$82*(C2220-sezione!$AP$35)*IF(ABS(O2220)&lt;'Progetto del paramento slu'!$G$58,ABS(O2220)*'Progetto del paramento slu'!$G$54,'Progetto del paramento slu'!$G$53)</f>
        <v>139615.09824722976</v>
      </c>
      <c r="J2220" s="479">
        <f t="shared" si="162"/>
        <v>-528337747.04839355</v>
      </c>
      <c r="K2220" s="558">
        <f>'Progetto del paramento slu'!$G$60*(sezione!$AL$35-C2220)/C2220</f>
        <v>-2.9517368957502153E-3</v>
      </c>
      <c r="L2220" s="558">
        <f>'Progetto del paramento slu'!$G$60*(sezione!$AM$35-C2220)/C2220</f>
        <v>-1.4440133590633078E-3</v>
      </c>
      <c r="M2220" s="559">
        <f>'Progetto del paramento slu'!$G$60*(sezione!$AN$35-C2220)/C2220</f>
        <v>6.3710177623599882E-5</v>
      </c>
      <c r="N2220" s="559">
        <f>'Progetto del paramento slu'!$G$60*(sezione!$AO$35-C2220)/C2220</f>
        <v>1.1602363861231691E-3</v>
      </c>
      <c r="O2220" s="559">
        <f>'Progetto del paramento slu'!$G$60*(sezione!$AP$35-C2220)/C2220</f>
        <v>6.3819566656416417E-5</v>
      </c>
      <c r="P2220" s="553">
        <f>-'Progetto del paramento slu'!$G$47*'Progetto del paramento slu'!$G$41*IF(DATI!$G$218="dx",DATI!$E$61,DATI!$E$64*DATI!$E$63)*1000*C2220*sezione!$AD$5</f>
        <v>-3599411.6414241185</v>
      </c>
      <c r="Q2220" s="553">
        <f>'Foglio deposito bis'!$F$78*IF(ABS(K2220)&lt;'Progetto del paramento slu'!$G$58,ABS(K2220)*'Progetto del paramento slu'!$G$54,'Progetto del paramento slu'!$G$53)*IF(K2220&lt;0,-1,1)</f>
        <v>0</v>
      </c>
      <c r="R2220" s="553">
        <f>'Foglio deposito bis'!$F$79*IF(ABS(L2220)&lt;'Progetto del paramento slu'!$G$58,ABS(L2220)*'Progetto del paramento slu'!$G$54,'Progetto del paramento slu'!$G$53)*IF(L2220&lt;0,-1,1)</f>
        <v>-116814.9203333593</v>
      </c>
      <c r="S2220" s="553">
        <f>'Foglio deposito bis'!$F$80*IF(ABS(M2220)&lt;'Progetto del paramento slu'!$G$58,ABS(M2220)*'Progetto del paramento slu'!$G$54,'Progetto del paramento slu'!$G$53)*IF(M2220&lt;0,-1,1)</f>
        <v>0</v>
      </c>
      <c r="T2220" s="553">
        <f>'Foglio deposito bis'!$F$81*IF(ABS(N2220)&lt;'Progetto del paramento slu'!$G$58,ABS(N2220)*'Progetto del paramento slu'!$G$54,'Progetto del paramento slu'!$G$53)*IF(N2220&lt;0,-1,1)</f>
        <v>243281.21970642146</v>
      </c>
      <c r="U2220" s="553">
        <f>'Foglio deposito bis'!$F$82*IF(ABS(O2220)&lt;'Progetto del paramento slu'!$G$58,ABS(O2220)*'Progetto del paramento slu'!$G$54,'Progetto del paramento slu'!$G$53)*IF(O2220&lt;0,-1,1)</f>
        <v>29985.242448159483</v>
      </c>
      <c r="V2220" s="479">
        <f t="shared" si="164"/>
        <v>-3442960.0996028972</v>
      </c>
      <c r="W2220" s="559"/>
      <c r="X2220" s="559"/>
    </row>
    <row r="2221" spans="1:24" x14ac:dyDescent="0.25">
      <c r="A2221" s="553">
        <f t="shared" si="163"/>
        <v>3544283.5157213695</v>
      </c>
      <c r="B2221" s="3">
        <f t="shared" si="161"/>
        <v>63.899999999999942</v>
      </c>
      <c r="C2221" s="553">
        <f>'Foglio deposito bis'!$E$161/sezione!$B$247*B2221</f>
        <v>259.41150163942939</v>
      </c>
      <c r="D2221" s="611">
        <f>-'Progetto del paramento slu'!$G$47*'Progetto del paramento slu'!$G$41*IF(DATI!$G$218="dx",DATI!$E$61,DATI!$E$64*DATI!$E$63)*1000*C2221^2*sezione!$AD$5*(1-sezione!$AD$6)</f>
        <v>-553966885.21836603</v>
      </c>
      <c r="E2221" s="553">
        <f>-'Foglio deposito bis'!$F$78*(C2221-sezione!$AL$35)*IF(ABS(K2221)&lt;'Progetto del paramento slu'!$G$58,ABS(K2221)*'Progetto del paramento slu'!$G$54,'Progetto del paramento slu'!$G$53)</f>
        <v>0</v>
      </c>
      <c r="F2221" s="553">
        <f>-'Foglio deposito bis'!$F$79*(C2221-sezione!$AM$35)*IF(ABS(L2221)&lt;'Progetto del paramento slu'!$G$58,ABS(L2221)*'Progetto del paramento slu'!$G$54,'Progetto del paramento slu'!$G$53)</f>
        <v>-13065675.866778135</v>
      </c>
      <c r="G2221" s="553">
        <f>-'Foglio deposito bis'!$F$80*(C2221-sezione!$AN$35)*IF(ABS(M2221)&lt;'Progetto del paramento slu'!$G$58,ABS(M2221)*'Progetto del paramento slu'!$G$54,'Progetto del paramento slu'!$G$53)</f>
        <v>0</v>
      </c>
      <c r="H2221" s="553">
        <f>-'Foglio deposito bis'!$F$81*(C2221-sezione!$AO$35)*IF(ABS(N2221)&lt;'Progetto del paramento slu'!$G$58,ABS(N2221)*'Progetto del paramento slu'!$G$54,'Progetto del paramento slu'!$G$53)</f>
        <v>18373294.947935279</v>
      </c>
      <c r="I2221" s="479">
        <f>-'Foglio deposito bis'!$F$82*(C2221-sezione!$AP$35)*IF(ABS(O2221)&lt;'Progetto del paramento slu'!$G$58,ABS(O2221)*'Progetto del paramento slu'!$G$54,'Progetto del paramento slu'!$G$53)</f>
        <v>2255.3971948091576</v>
      </c>
      <c r="J2221" s="479">
        <f t="shared" si="162"/>
        <v>-548657010.74001408</v>
      </c>
      <c r="K2221" s="558">
        <f>'Progetto del paramento slu'!$G$60*(sezione!$AL$35-C2221)/C2221</f>
        <v>-2.9603169130311196E-3</v>
      </c>
      <c r="L2221" s="558">
        <f>'Progetto del paramento slu'!$G$60*(sezione!$AM$35-C2221)/C2221</f>
        <v>-1.4761884238666991E-3</v>
      </c>
      <c r="M2221" s="559">
        <f>'Progetto del paramento slu'!$G$60*(sezione!$AN$35-C2221)/C2221</f>
        <v>7.9400652977218146E-6</v>
      </c>
      <c r="N2221" s="559">
        <f>'Progetto del paramento slu'!$G$60*(sezione!$AO$35-C2221)/C2221</f>
        <v>1.0873062392354825E-3</v>
      </c>
      <c r="O2221" s="559">
        <f>'Progetto del paramento slu'!$G$60*(sezione!$AP$35-C2221)/C2221</f>
        <v>8.0477424520905227E-6</v>
      </c>
      <c r="P2221" s="553">
        <f>-'Progetto del paramento slu'!$G$47*'Progetto del paramento slu'!$G$41*IF(DATI!$G$218="dx",DATI!$E$61,DATI!$E$64*DATI!$E$63)*1000*C2221*sezione!$AD$5</f>
        <v>-3656635.9918442164</v>
      </c>
      <c r="Q2221" s="553">
        <f>'Foglio deposito bis'!$F$78*IF(ABS(K2221)&lt;'Progetto del paramento slu'!$G$58,ABS(K2221)*'Progetto del paramento slu'!$G$54,'Progetto del paramento slu'!$G$53)*IF(K2221&lt;0,-1,1)</f>
        <v>0</v>
      </c>
      <c r="R2221" s="553">
        <f>'Foglio deposito bis'!$F$79*IF(ABS(L2221)&lt;'Progetto del paramento slu'!$G$58,ABS(L2221)*'Progetto del paramento slu'!$G$54,'Progetto del paramento slu'!$G$53)*IF(L2221&lt;0,-1,1)</f>
        <v>-119417.75472414837</v>
      </c>
      <c r="S2221" s="553">
        <f>'Foglio deposito bis'!$F$80*IF(ABS(M2221)&lt;'Progetto del paramento slu'!$G$58,ABS(M2221)*'Progetto del paramento slu'!$G$54,'Progetto del paramento slu'!$G$53)*IF(M2221&lt;0,-1,1)</f>
        <v>0</v>
      </c>
      <c r="T2221" s="553">
        <f>'Foglio deposito bis'!$F$81*IF(ABS(N2221)&lt;'Progetto del paramento slu'!$G$58,ABS(N2221)*'Progetto del paramento slu'!$G$54,'Progetto del paramento slu'!$G$53)*IF(N2221&lt;0,-1,1)</f>
        <v>227989.04709365757</v>
      </c>
      <c r="U2221" s="553">
        <f>'Foglio deposito bis'!$F$82*IF(ABS(O2221)&lt;'Progetto del paramento slu'!$G$58,ABS(O2221)*'Progetto del paramento slu'!$G$54,'Progetto del paramento slu'!$G$53)*IF(O2221&lt;0,-1,1)</f>
        <v>3781.183753337476</v>
      </c>
      <c r="V2221" s="479">
        <f t="shared" si="164"/>
        <v>-3544283.5157213695</v>
      </c>
      <c r="W2221" s="559"/>
      <c r="X2221" s="559"/>
    </row>
    <row r="2222" spans="1:24" x14ac:dyDescent="0.25">
      <c r="A2222" s="553">
        <f t="shared" si="163"/>
        <v>3644247.9467643923</v>
      </c>
      <c r="B2222" s="3">
        <f t="shared" si="161"/>
        <v>64.899999999999949</v>
      </c>
      <c r="C2222" s="553">
        <f>'Foglio deposito bis'!$E$161/sezione!$B$247*B2222</f>
        <v>263.47114955240954</v>
      </c>
      <c r="D2222" s="611">
        <f>-'Progetto del paramento slu'!$G$47*'Progetto del paramento slu'!$G$41*IF(DATI!$G$218="dx",DATI!$E$61,DATI!$E$64*DATI!$E$63)*1000*C2222^2*sezione!$AD$5*(1-sezione!$AD$6)</f>
        <v>-571441111.33363473</v>
      </c>
      <c r="E2222" s="553">
        <f>-'Foglio deposito bis'!$F$78*(C2222-sezione!$AL$35)*IF(ABS(K2222)&lt;'Progetto del paramento slu'!$G$58,ABS(K2222)*'Progetto del paramento slu'!$G$54,'Progetto del paramento slu'!$G$53)</f>
        <v>0</v>
      </c>
      <c r="F2222" s="553">
        <f>-'Foglio deposito bis'!$F$79*(C2222-sezione!$AM$35)*IF(ABS(L2222)&lt;'Progetto del paramento slu'!$G$58,ABS(L2222)*'Progetto del paramento slu'!$G$54,'Progetto del paramento slu'!$G$53)</f>
        <v>-13836714.925474474</v>
      </c>
      <c r="G2222" s="553">
        <f>-'Foglio deposito bis'!$F$80*(C2222-sezione!$AN$35)*IF(ABS(M2222)&lt;'Progetto del paramento slu'!$G$58,ABS(M2222)*'Progetto del paramento slu'!$G$54,'Progetto del paramento slu'!$G$53)</f>
        <v>0</v>
      </c>
      <c r="H2222" s="553">
        <f>-'Foglio deposito bis'!$F$81*(C2222-sezione!$AO$35)*IF(ABS(N2222)&lt;'Progetto del paramento slu'!$G$58,ABS(N2222)*'Progetto del paramento slu'!$G$54,'Progetto del paramento slu'!$G$53)</f>
        <v>16313511.778277418</v>
      </c>
      <c r="I2222" s="479">
        <f>-'Foglio deposito bis'!$F$82*(C2222-sezione!$AP$35)*IF(ABS(O2222)&lt;'Progetto del paramento slu'!$G$58,ABS(O2222)*'Progetto del paramento slu'!$G$54,'Progetto del paramento slu'!$G$53)</f>
        <v>-74857.618767939435</v>
      </c>
      <c r="J2222" s="479">
        <f t="shared" si="162"/>
        <v>-569039172.09959984</v>
      </c>
      <c r="K2222" s="558">
        <f>'Progetto del paramento slu'!$G$60*(sezione!$AL$35-C2222)/C2222</f>
        <v>-2.9686325229998237E-3</v>
      </c>
      <c r="L2222" s="558">
        <f>'Progetto del paramento slu'!$G$60*(sezione!$AM$35-C2222)/C2222</f>
        <v>-1.5073719612493386E-3</v>
      </c>
      <c r="M2222" s="559">
        <f>'Progetto del paramento slu'!$G$60*(sezione!$AN$35-C2222)/C2222</f>
        <v>-4.611139949885375E-5</v>
      </c>
      <c r="N2222" s="559">
        <f>'Progetto del paramento slu'!$G$60*(sezione!$AO$35-C2222)/C2222</f>
        <v>1.0166235545014989E-3</v>
      </c>
      <c r="O2222" s="559">
        <f>'Progetto del paramento slu'!$G$60*(sezione!$AP$35-C2222)/C2222</f>
        <v>-4.6005381468589339E-5</v>
      </c>
      <c r="P2222" s="553">
        <f>-'Progetto del paramento slu'!$G$47*'Progetto del paramento slu'!$G$41*IF(DATI!$G$218="dx",DATI!$E$61,DATI!$E$64*DATI!$E$63)*1000*C2222*sezione!$AD$5</f>
        <v>-3713860.3422643142</v>
      </c>
      <c r="Q2222" s="553">
        <f>'Foglio deposito bis'!$F$78*IF(ABS(K2222)&lt;'Progetto del paramento slu'!$G$58,ABS(K2222)*'Progetto del paramento slu'!$G$54,'Progetto del paramento slu'!$G$53)*IF(K2222&lt;0,-1,1)</f>
        <v>0</v>
      </c>
      <c r="R2222" s="553">
        <f>'Foglio deposito bis'!$F$79*IF(ABS(L2222)&lt;'Progetto del paramento slu'!$G$58,ABS(L2222)*'Progetto del paramento slu'!$G$54,'Progetto del paramento slu'!$G$53)*IF(L2222&lt;0,-1,1)</f>
        <v>-121940.37850197012</v>
      </c>
      <c r="S2222" s="553">
        <f>'Foglio deposito bis'!$F$80*IF(ABS(M2222)&lt;'Progetto del paramento slu'!$G$58,ABS(M2222)*'Progetto del paramento slu'!$G$54,'Progetto del paramento slu'!$G$53)*IF(M2222&lt;0,-1,1)</f>
        <v>0</v>
      </c>
      <c r="T2222" s="553">
        <f>'Foglio deposito bis'!$F$81*IF(ABS(N2222)&lt;'Progetto del paramento slu'!$G$58,ABS(N2222)*'Progetto del paramento slu'!$G$54,'Progetto del paramento slu'!$G$53)*IF(N2222&lt;0,-1,1)</f>
        <v>213168.12787419904</v>
      </c>
      <c r="U2222" s="553">
        <f>'Foglio deposito bis'!$F$82*IF(ABS(O2222)&lt;'Progetto del paramento slu'!$G$58,ABS(O2222)*'Progetto del paramento slu'!$G$54,'Progetto del paramento slu'!$G$53)*IF(O2222&lt;0,-1,1)</f>
        <v>-21615.353872306834</v>
      </c>
      <c r="V2222" s="479">
        <f t="shared" si="164"/>
        <v>-3644247.9467643923</v>
      </c>
      <c r="W2222" s="559"/>
      <c r="X2222" s="559"/>
    </row>
    <row r="2223" spans="1:24" x14ac:dyDescent="0.25">
      <c r="A2223" s="553">
        <f t="shared" si="163"/>
        <v>3742915.2585168844</v>
      </c>
      <c r="B2223" s="3">
        <f t="shared" si="161"/>
        <v>65.899999999999949</v>
      </c>
      <c r="C2223" s="553">
        <f>'Foglio deposito bis'!$E$161/sezione!$B$247*B2223</f>
        <v>267.53079746538964</v>
      </c>
      <c r="D2223" s="611">
        <f>-'Progetto del paramento slu'!$G$47*'Progetto del paramento slu'!$G$41*IF(DATI!$G$218="dx",DATI!$E$61,DATI!$E$64*DATI!$E$63)*1000*C2223^2*sezione!$AD$5*(1-sezione!$AD$6)</f>
        <v>-589186676.36373651</v>
      </c>
      <c r="E2223" s="553">
        <f>-'Foglio deposito bis'!$F$78*(C2223-sezione!$AL$35)*IF(ABS(K2223)&lt;'Progetto del paramento slu'!$G$58,ABS(K2223)*'Progetto del paramento slu'!$G$54,'Progetto del paramento slu'!$G$53)</f>
        <v>0</v>
      </c>
      <c r="F2223" s="553">
        <f>-'Foglio deposito bis'!$F$79*(C2223-sezione!$AM$35)*IF(ABS(L2223)&lt;'Progetto del paramento slu'!$G$58,ABS(L2223)*'Progetto del paramento slu'!$G$54,'Progetto del paramento slu'!$G$53)</f>
        <v>-14619237.855693521</v>
      </c>
      <c r="G2223" s="553">
        <f>-'Foglio deposito bis'!$F$80*(C2223-sezione!$AN$35)*IF(ABS(M2223)&lt;'Progetto del paramento slu'!$G$58,ABS(M2223)*'Progetto del paramento slu'!$G$54,'Progetto del paramento slu'!$G$53)</f>
        <v>0</v>
      </c>
      <c r="H2223" s="553">
        <f>-'Foglio deposito bis'!$F$81*(C2223-sezione!$AO$35)*IF(ABS(N2223)&lt;'Progetto del paramento slu'!$G$58,ABS(N2223)*'Progetto del paramento slu'!$G$54,'Progetto del paramento slu'!$G$53)</f>
        <v>14406660.703752087</v>
      </c>
      <c r="I2223" s="479">
        <f>-'Foglio deposito bis'!$F$82*(C2223-sezione!$AP$35)*IF(ABS(O2223)&lt;'Progetto del paramento slu'!$G$58,ABS(O2223)*'Progetto del paramento slu'!$G$54,'Progetto del paramento slu'!$G$53)</f>
        <v>-347863.55708078004</v>
      </c>
      <c r="J2223" s="479">
        <f t="shared" si="162"/>
        <v>-589747117.07275879</v>
      </c>
      <c r="K2223" s="558">
        <f>'Progetto del paramento slu'!$G$60*(sezione!$AL$35-C2223)/C2223</f>
        <v>-2.9766957624080205E-3</v>
      </c>
      <c r="L2223" s="558">
        <f>'Progetto del paramento slu'!$G$60*(sezione!$AM$35-C2223)/C2223</f>
        <v>-1.537609109030077E-3</v>
      </c>
      <c r="M2223" s="559">
        <f>'Progetto del paramento slu'!$G$60*(sezione!$AN$35-C2223)/C2223</f>
        <v>-9.8522455652133418E-5</v>
      </c>
      <c r="N2223" s="559">
        <f>'Progetto del paramento slu'!$G$60*(sezione!$AO$35-C2223)/C2223</f>
        <v>9.4808601953182549E-4</v>
      </c>
      <c r="O2223" s="559">
        <f>'Progetto del paramento slu'!$G$60*(sezione!$AP$35-C2223)/C2223</f>
        <v>-9.8418046393193193E-5</v>
      </c>
      <c r="P2223" s="553">
        <f>-'Progetto del paramento slu'!$G$47*'Progetto del paramento slu'!$G$41*IF(DATI!$G$218="dx",DATI!$E$61,DATI!$E$64*DATI!$E$63)*1000*C2223*sezione!$AD$5</f>
        <v>-3771084.6926844115</v>
      </c>
      <c r="Q2223" s="553">
        <f>'Foglio deposito bis'!$F$78*IF(ABS(K2223)&lt;'Progetto del paramento slu'!$G$58,ABS(K2223)*'Progetto del paramento slu'!$G$54,'Progetto del paramento slu'!$G$53)*IF(K2223&lt;0,-1,1)</f>
        <v>0</v>
      </c>
      <c r="R2223" s="553">
        <f>'Foglio deposito bis'!$F$79*IF(ABS(L2223)&lt;'Progetto del paramento slu'!$G$58,ABS(L2223)*'Progetto del paramento slu'!$G$54,'Progetto del paramento slu'!$G$53)*IF(L2223&lt;0,-1,1)</f>
        <v>-124386.44313630715</v>
      </c>
      <c r="S2223" s="553">
        <f>'Foglio deposito bis'!$F$80*IF(ABS(M2223)&lt;'Progetto del paramento slu'!$G$58,ABS(M2223)*'Progetto del paramento slu'!$G$54,'Progetto del paramento slu'!$G$53)*IF(M2223&lt;0,-1,1)</f>
        <v>0</v>
      </c>
      <c r="T2223" s="553">
        <f>'Foglio deposito bis'!$F$81*IF(ABS(N2223)&lt;'Progetto del paramento slu'!$G$58,ABS(N2223)*'Progetto del paramento slu'!$G$54,'Progetto del paramento slu'!$G$53)*IF(N2223&lt;0,-1,1)</f>
        <v>198797.00893454225</v>
      </c>
      <c r="U2223" s="553">
        <f>'Foglio deposito bis'!$F$82*IF(ABS(O2223)&lt;'Progetto del paramento slu'!$G$58,ABS(O2223)*'Progetto del paramento slu'!$G$54,'Progetto del paramento slu'!$G$53)*IF(O2223&lt;0,-1,1)</f>
        <v>-46241.131630708172</v>
      </c>
      <c r="V2223" s="479">
        <f t="shared" si="164"/>
        <v>-3742915.2585168844</v>
      </c>
      <c r="W2223" s="559"/>
      <c r="X2223" s="559"/>
    </row>
    <row r="2224" spans="1:24" x14ac:dyDescent="0.25">
      <c r="A2224" s="553">
        <f t="shared" si="163"/>
        <v>3840343.6177631761</v>
      </c>
      <c r="B2224" s="3">
        <f t="shared" si="161"/>
        <v>66.899999999999949</v>
      </c>
      <c r="C2224" s="553">
        <f>'Foglio deposito bis'!$E$161/sezione!$B$247*B2224</f>
        <v>271.59044537836974</v>
      </c>
      <c r="D2224" s="611">
        <f>-'Progetto del paramento slu'!$G$47*'Progetto del paramento slu'!$G$41*IF(DATI!$G$218="dx",DATI!$E$61,DATI!$E$64*DATI!$E$63)*1000*C2224^2*sezione!$AD$5*(1-sezione!$AD$6)</f>
        <v>-607203580.30867171</v>
      </c>
      <c r="E2224" s="553">
        <f>-'Foglio deposito bis'!$F$78*(C2224-sezione!$AL$35)*IF(ABS(K2224)&lt;'Progetto del paramento slu'!$G$58,ABS(K2224)*'Progetto del paramento slu'!$G$54,'Progetto del paramento slu'!$G$53)</f>
        <v>0</v>
      </c>
      <c r="F2224" s="553">
        <f>-'Foglio deposito bis'!$F$79*(C2224-sezione!$AM$35)*IF(ABS(L2224)&lt;'Progetto del paramento slu'!$G$58,ABS(L2224)*'Progetto del paramento slu'!$G$54,'Progetto del paramento slu'!$G$53)</f>
        <v>-15412729.685618108</v>
      </c>
      <c r="G2224" s="553">
        <f>-'Foglio deposito bis'!$F$80*(C2224-sezione!$AN$35)*IF(ABS(M2224)&lt;'Progetto del paramento slu'!$G$58,ABS(M2224)*'Progetto del paramento slu'!$G$54,'Progetto del paramento slu'!$G$53)</f>
        <v>0</v>
      </c>
      <c r="H2224" s="553">
        <f>-'Foglio deposito bis'!$F$81*(C2224-sezione!$AO$35)*IF(ABS(N2224)&lt;'Progetto del paramento slu'!$G$58,ABS(N2224)*'Progetto del paramento slu'!$G$54,'Progetto del paramento slu'!$G$53)</f>
        <v>12645883.782873491</v>
      </c>
      <c r="I2224" s="479">
        <f>-'Foglio deposito bis'!$F$82*(C2224-sezione!$AP$35)*IF(ABS(O2224)&lt;'Progetto del paramento slu'!$G$58,ABS(O2224)*'Progetto del paramento slu'!$G$54,'Progetto del paramento slu'!$G$53)</f>
        <v>-812286.49837818672</v>
      </c>
      <c r="J2224" s="479">
        <f t="shared" si="162"/>
        <v>-610782712.70979452</v>
      </c>
      <c r="K2224" s="558">
        <f>'Progetto del paramento slu'!$G$60*(sezione!$AL$35-C2224)/C2224</f>
        <v>-2.984517948321204E-3</v>
      </c>
      <c r="L2224" s="558">
        <f>'Progetto del paramento slu'!$G$60*(sezione!$AM$35-C2224)/C2224</f>
        <v>-1.5669423062045151E-3</v>
      </c>
      <c r="M2224" s="559">
        <f>'Progetto del paramento slu'!$G$60*(sezione!$AN$35-C2224)/C2224</f>
        <v>-1.4936666408782627E-4</v>
      </c>
      <c r="N2224" s="559">
        <f>'Progetto del paramento slu'!$G$60*(sezione!$AO$35-C2224)/C2224</f>
        <v>8.8159743926976566E-4</v>
      </c>
      <c r="O2224" s="559">
        <f>'Progetto del paramento slu'!$G$60*(sezione!$AP$35-C2224)/C2224</f>
        <v>-1.4926381550540234E-4</v>
      </c>
      <c r="P2224" s="553">
        <f>-'Progetto del paramento slu'!$G$47*'Progetto del paramento slu'!$G$41*IF(DATI!$G$218="dx",DATI!$E$61,DATI!$E$64*DATI!$E$63)*1000*C2224*sezione!$AD$5</f>
        <v>-3828309.043104508</v>
      </c>
      <c r="Q2224" s="553">
        <f>'Foglio deposito bis'!$F$78*IF(ABS(K2224)&lt;'Progetto del paramento slu'!$G$58,ABS(K2224)*'Progetto del paramento slu'!$G$54,'Progetto del paramento slu'!$G$53)*IF(K2224&lt;0,-1,1)</f>
        <v>0</v>
      </c>
      <c r="R2224" s="553">
        <f>'Foglio deposito bis'!$F$79*IF(ABS(L2224)&lt;'Progetto del paramento slu'!$G$58,ABS(L2224)*'Progetto del paramento slu'!$G$54,'Progetto del paramento slu'!$G$53)*IF(L2224&lt;0,-1,1)</f>
        <v>-126759.38177260717</v>
      </c>
      <c r="S2224" s="553">
        <f>'Foglio deposito bis'!$F$80*IF(ABS(M2224)&lt;'Progetto del paramento slu'!$G$58,ABS(M2224)*'Progetto del paramento slu'!$G$54,'Progetto del paramento slu'!$G$53)*IF(M2224&lt;0,-1,1)</f>
        <v>0</v>
      </c>
      <c r="T2224" s="553">
        <f>'Foglio deposito bis'!$F$81*IF(ABS(N2224)&lt;'Progetto del paramento slu'!$G$58,ABS(N2224)*'Progetto del paramento slu'!$G$54,'Progetto del paramento slu'!$G$53)*IF(N2224&lt;0,-1,1)</f>
        <v>184855.51985855229</v>
      </c>
      <c r="U2224" s="553">
        <f>'Foglio deposito bis'!$F$82*IF(ABS(O2224)&lt;'Progetto del paramento slu'!$G$58,ABS(O2224)*'Progetto del paramento slu'!$G$54,'Progetto del paramento slu'!$G$53)*IF(O2224&lt;0,-1,1)</f>
        <v>-70130.712744613222</v>
      </c>
      <c r="V2224" s="479">
        <f t="shared" si="164"/>
        <v>-3840343.6177631761</v>
      </c>
      <c r="W2224" s="559"/>
      <c r="X2224" s="559"/>
    </row>
    <row r="2225" spans="1:24" x14ac:dyDescent="0.25">
      <c r="A2225" s="553">
        <f t="shared" si="163"/>
        <v>3936587.7646729099</v>
      </c>
      <c r="B2225" s="3">
        <f t="shared" si="161"/>
        <v>67.899999999999949</v>
      </c>
      <c r="C2225" s="553">
        <f>'Foglio deposito bis'!$E$161/sezione!$B$247*B2225</f>
        <v>275.65009329134989</v>
      </c>
      <c r="D2225" s="611">
        <f>-'Progetto del paramento slu'!$G$47*'Progetto del paramento slu'!$G$41*IF(DATI!$G$218="dx",DATI!$E$61,DATI!$E$64*DATI!$E$63)*1000*C2225^2*sezione!$AD$5*(1-sezione!$AD$6)</f>
        <v>-625491823.16844046</v>
      </c>
      <c r="E2225" s="553">
        <f>-'Foglio deposito bis'!$F$78*(C2225-sezione!$AL$35)*IF(ABS(K2225)&lt;'Progetto del paramento slu'!$G$58,ABS(K2225)*'Progetto del paramento slu'!$G$54,'Progetto del paramento slu'!$G$53)</f>
        <v>0</v>
      </c>
      <c r="F2225" s="553">
        <f>-'Foglio deposito bis'!$F$79*(C2225-sezione!$AM$35)*IF(ABS(L2225)&lt;'Progetto del paramento slu'!$G$58,ABS(L2225)*'Progetto del paramento slu'!$G$54,'Progetto del paramento slu'!$G$53)</f>
        <v>-16216705.780504271</v>
      </c>
      <c r="G2225" s="553">
        <f>-'Foglio deposito bis'!$F$80*(C2225-sezione!$AN$35)*IF(ABS(M2225)&lt;'Progetto del paramento slu'!$G$58,ABS(M2225)*'Progetto del paramento slu'!$G$54,'Progetto del paramento slu'!$G$53)</f>
        <v>0</v>
      </c>
      <c r="H2225" s="553">
        <f>-'Foglio deposito bis'!$F$81*(C2225-sezione!$AO$35)*IF(ABS(N2225)&lt;'Progetto del paramento slu'!$G$58,ABS(N2225)*'Progetto del paramento slu'!$G$54,'Progetto del paramento slu'!$G$53)</f>
        <v>11024727.07659978</v>
      </c>
      <c r="I2225" s="479">
        <f>-'Foglio deposito bis'!$F$82*(C2225-sezione!$AP$35)*IF(ABS(O2225)&lt;'Progetto del paramento slu'!$G$58,ABS(O2225)*'Progetto del paramento slu'!$G$54,'Progetto del paramento slu'!$G$53)</f>
        <v>-1459669.1376682154</v>
      </c>
      <c r="J2225" s="479">
        <f t="shared" si="162"/>
        <v>-632143471.0100131</v>
      </c>
      <c r="K2225" s="558">
        <f>'Progetto del paramento slu'!$G$60*(sezione!$AL$35-C2225)/C2225</f>
        <v>-2.9921097311147063E-3</v>
      </c>
      <c r="L2225" s="558">
        <f>'Progetto del paramento slu'!$G$60*(sezione!$AM$35-C2225)/C2225</f>
        <v>-1.5954114916801486E-3</v>
      </c>
      <c r="M2225" s="559">
        <f>'Progetto del paramento slu'!$G$60*(sezione!$AN$35-C2225)/C2225</f>
        <v>-1.987132522455907E-4</v>
      </c>
      <c r="N2225" s="559">
        <f>'Progetto del paramento slu'!$G$60*(sezione!$AO$35-C2225)/C2225</f>
        <v>8.1706728552499686E-4</v>
      </c>
      <c r="O2225" s="559">
        <f>'Progetto del paramento slu'!$G$60*(sezione!$AP$35-C2225)/C2225</f>
        <v>-1.9861191836982985E-4</v>
      </c>
      <c r="P2225" s="553">
        <f>-'Progetto del paramento slu'!$G$47*'Progetto del paramento slu'!$G$41*IF(DATI!$G$218="dx",DATI!$E$61,DATI!$E$64*DATI!$E$63)*1000*C2225*sezione!$AD$5</f>
        <v>-3885533.3935246058</v>
      </c>
      <c r="Q2225" s="553">
        <f>'Foglio deposito bis'!$F$78*IF(ABS(K2225)&lt;'Progetto del paramento slu'!$G$58,ABS(K2225)*'Progetto del paramento slu'!$G$54,'Progetto del paramento slu'!$G$53)*IF(K2225&lt;0,-1,1)</f>
        <v>0</v>
      </c>
      <c r="R2225" s="553">
        <f>'Foglio deposito bis'!$F$79*IF(ABS(L2225)&lt;'Progetto del paramento slu'!$G$58,ABS(L2225)*'Progetto del paramento slu'!$G$54,'Progetto del paramento slu'!$G$53)*IF(L2225&lt;0,-1,1)</f>
        <v>-129062.4253091635</v>
      </c>
      <c r="S2225" s="553">
        <f>'Foglio deposito bis'!$F$80*IF(ABS(M2225)&lt;'Progetto del paramento slu'!$G$58,ABS(M2225)*'Progetto del paramento slu'!$G$54,'Progetto del paramento slu'!$G$53)*IF(M2225&lt;0,-1,1)</f>
        <v>0</v>
      </c>
      <c r="T2225" s="553">
        <f>'Foglio deposito bis'!$F$81*IF(ABS(N2225)&lt;'Progetto del paramento slu'!$G$58,ABS(N2225)*'Progetto del paramento slu'!$G$54,'Progetto del paramento slu'!$G$53)*IF(N2225&lt;0,-1,1)</f>
        <v>171324.6784725766</v>
      </c>
      <c r="U2225" s="553">
        <f>'Foglio deposito bis'!$F$82*IF(ABS(O2225)&lt;'Progetto del paramento slu'!$G$58,ABS(O2225)*'Progetto del paramento slu'!$G$54,'Progetto del paramento slu'!$G$53)*IF(O2225&lt;0,-1,1)</f>
        <v>-93316.624311717256</v>
      </c>
      <c r="V2225" s="479">
        <f t="shared" si="164"/>
        <v>-3936587.7646729099</v>
      </c>
      <c r="W2225" s="559"/>
      <c r="X2225" s="559"/>
    </row>
    <row r="2226" spans="1:24" x14ac:dyDescent="0.25">
      <c r="A2226" s="553">
        <f t="shared" si="163"/>
        <v>4031699.2614668328</v>
      </c>
      <c r="B2226" s="3">
        <f t="shared" si="161"/>
        <v>68.899999999999949</v>
      </c>
      <c r="C2226" s="553">
        <f>'Foglio deposito bis'!$E$161/sezione!$B$247*B2226</f>
        <v>279.70974120432999</v>
      </c>
      <c r="D2226" s="611">
        <f>-'Progetto del paramento slu'!$G$47*'Progetto del paramento slu'!$G$41*IF(DATI!$G$218="dx",DATI!$E$61,DATI!$E$64*DATI!$E$63)*1000*C2226^2*sezione!$AD$5*(1-sezione!$AD$6)</f>
        <v>-644051404.94304228</v>
      </c>
      <c r="E2226" s="553">
        <f>-'Foglio deposito bis'!$F$78*(C2226-sezione!$AL$35)*IF(ABS(K2226)&lt;'Progetto del paramento slu'!$G$58,ABS(K2226)*'Progetto del paramento slu'!$G$54,'Progetto del paramento slu'!$G$53)</f>
        <v>0</v>
      </c>
      <c r="F2226" s="553">
        <f>-'Foglio deposito bis'!$F$79*(C2226-sezione!$AM$35)*IF(ABS(L2226)&lt;'Progetto del paramento slu'!$G$58,ABS(L2226)*'Progetto del paramento slu'!$G$54,'Progetto del paramento slu'!$G$53)</f>
        <v>-17030709.641151916</v>
      </c>
      <c r="G2226" s="553">
        <f>-'Foglio deposito bis'!$F$80*(C2226-sezione!$AN$35)*IF(ABS(M2226)&lt;'Progetto del paramento slu'!$G$58,ABS(M2226)*'Progetto del paramento slu'!$G$54,'Progetto del paramento slu'!$G$53)</f>
        <v>0</v>
      </c>
      <c r="H2226" s="553">
        <f>-'Foglio deposito bis'!$F$81*(C2226-sezione!$AO$35)*IF(ABS(N2226)&lt;'Progetto del paramento slu'!$G$58,ABS(N2226)*'Progetto del paramento slu'!$G$54,'Progetto del paramento slu'!$G$53)</f>
        <v>9537111.3303037882</v>
      </c>
      <c r="I2226" s="479">
        <f>-'Foglio deposito bis'!$F$82*(C2226-sezione!$AP$35)*IF(ABS(O2226)&lt;'Progetto del paramento slu'!$G$58,ABS(O2226)*'Progetto del paramento slu'!$G$54,'Progetto del paramento slu'!$G$53)</f>
        <v>-2282045.1600890504</v>
      </c>
      <c r="J2226" s="479">
        <f t="shared" si="162"/>
        <v>-653827048.41397941</v>
      </c>
      <c r="K2226" s="558">
        <f>'Progetto del paramento slu'!$G$60*(sezione!$AL$35-C2226)/C2226</f>
        <v>-2.999481142854696E-3</v>
      </c>
      <c r="L2226" s="558">
        <f>'Progetto del paramento slu'!$G$60*(sezione!$AM$35-C2226)/C2226</f>
        <v>-1.6230542857051098E-3</v>
      </c>
      <c r="M2226" s="559">
        <f>'Progetto del paramento slu'!$G$60*(sezione!$AN$35-C2226)/C2226</f>
        <v>-2.4662742855552383E-4</v>
      </c>
      <c r="N2226" s="559">
        <f>'Progetto del paramento slu'!$G$60*(sezione!$AO$35-C2226)/C2226</f>
        <v>7.544102857350842E-4</v>
      </c>
      <c r="O2226" s="559">
        <f>'Progetto del paramento slu'!$G$60*(sezione!$AP$35-C2226)/C2226</f>
        <v>-2.4652756541816299E-4</v>
      </c>
      <c r="P2226" s="553">
        <f>-'Progetto del paramento slu'!$G$47*'Progetto del paramento slu'!$G$41*IF(DATI!$G$218="dx",DATI!$E$61,DATI!$E$64*DATI!$E$63)*1000*C2226*sezione!$AD$5</f>
        <v>-3942757.7439447027</v>
      </c>
      <c r="Q2226" s="553">
        <f>'Foglio deposito bis'!$F$78*IF(ABS(K2226)&lt;'Progetto del paramento slu'!$G$58,ABS(K2226)*'Progetto del paramento slu'!$G$54,'Progetto del paramento slu'!$G$53)*IF(K2226&lt;0,-1,1)</f>
        <v>0</v>
      </c>
      <c r="R2226" s="553">
        <f>'Foglio deposito bis'!$F$79*IF(ABS(L2226)&lt;'Progetto del paramento slu'!$G$58,ABS(L2226)*'Progetto del paramento slu'!$G$54,'Progetto del paramento slu'!$G$53)*IF(L2226&lt;0,-1,1)</f>
        <v>-131298.61707397652</v>
      </c>
      <c r="S2226" s="553">
        <f>'Foglio deposito bis'!$F$80*IF(ABS(M2226)&lt;'Progetto del paramento slu'!$G$58,ABS(M2226)*'Progetto del paramento slu'!$G$54,'Progetto del paramento slu'!$G$53)*IF(M2226&lt;0,-1,1)</f>
        <v>0</v>
      </c>
      <c r="T2226" s="553">
        <f>'Foglio deposito bis'!$F$81*IF(ABS(N2226)&lt;'Progetto del paramento slu'!$G$58,ABS(N2226)*'Progetto del paramento slu'!$G$54,'Progetto del paramento slu'!$G$53)*IF(N2226&lt;0,-1,1)</f>
        <v>158186.60461594723</v>
      </c>
      <c r="U2226" s="553">
        <f>'Foglio deposito bis'!$F$82*IF(ABS(O2226)&lt;'Progetto del paramento slu'!$G$58,ABS(O2226)*'Progetto del paramento slu'!$G$54,'Progetto del paramento slu'!$G$53)*IF(O2226&lt;0,-1,1)</f>
        <v>-115829.50506410099</v>
      </c>
      <c r="V2226" s="479">
        <f t="shared" si="164"/>
        <v>-4031699.2614668328</v>
      </c>
      <c r="W2226" s="559"/>
      <c r="X2226" s="559"/>
    </row>
    <row r="2227" spans="1:24" x14ac:dyDescent="0.25">
      <c r="A2227" s="553">
        <f t="shared" si="163"/>
        <v>4125726.7197379014</v>
      </c>
      <c r="B2227" s="3">
        <f t="shared" si="161"/>
        <v>69.899999999999949</v>
      </c>
      <c r="C2227" s="553">
        <f>'Foglio deposito bis'!$E$161/sezione!$B$247*B2227</f>
        <v>283.76938911731014</v>
      </c>
      <c r="D2227" s="611">
        <f>-'Progetto del paramento slu'!$G$47*'Progetto del paramento slu'!$G$41*IF(DATI!$G$218="dx",DATI!$E$61,DATI!$E$64*DATI!$E$63)*1000*C2227^2*sezione!$AD$5*(1-sezione!$AD$6)</f>
        <v>-662882325.63247788</v>
      </c>
      <c r="E2227" s="553">
        <f>-'Foglio deposito bis'!$F$78*(C2227-sezione!$AL$35)*IF(ABS(K2227)&lt;'Progetto del paramento slu'!$G$58,ABS(K2227)*'Progetto del paramento slu'!$G$54,'Progetto del paramento slu'!$G$53)</f>
        <v>0</v>
      </c>
      <c r="F2227" s="553">
        <f>-'Foglio deposito bis'!$F$79*(C2227-sezione!$AM$35)*IF(ABS(L2227)&lt;'Progetto del paramento slu'!$G$58,ABS(L2227)*'Progetto del paramento slu'!$G$54,'Progetto del paramento slu'!$G$53)</f>
        <v>-17854310.891348127</v>
      </c>
      <c r="G2227" s="553">
        <f>-'Foglio deposito bis'!$F$80*(C2227-sezione!$AN$35)*IF(ABS(M2227)&lt;'Progetto del paramento slu'!$G$58,ABS(M2227)*'Progetto del paramento slu'!$G$54,'Progetto del paramento slu'!$G$53)</f>
        <v>0</v>
      </c>
      <c r="H2227" s="553">
        <f>-'Foglio deposito bis'!$F$81*(C2227-sezione!$AO$35)*IF(ABS(N2227)&lt;'Progetto del paramento slu'!$G$58,ABS(N2227)*'Progetto del paramento slu'!$G$54,'Progetto del paramento slu'!$G$53)</f>
        <v>8177305.1723126117</v>
      </c>
      <c r="I2227" s="479">
        <f>-'Foglio deposito bis'!$F$82*(C2227-sezione!$AP$35)*IF(ABS(O2227)&lt;'Progetto del paramento slu'!$G$58,ABS(O2227)*'Progetto del paramento slu'!$G$54,'Progetto del paramento slu'!$G$53)</f>
        <v>-3271904.1200127834</v>
      </c>
      <c r="J2227" s="479">
        <f t="shared" si="162"/>
        <v>-675831235.47152615</v>
      </c>
      <c r="K2227" s="558">
        <f>'Progetto del paramento slu'!$G$60*(sezione!$AL$35-C2227)/C2227</f>
        <v>-3.0066416415263026E-3</v>
      </c>
      <c r="L2227" s="558">
        <f>'Progetto del paramento slu'!$G$60*(sezione!$AM$35-C2227)/C2227</f>
        <v>-1.6499061557236352E-3</v>
      </c>
      <c r="M2227" s="559">
        <f>'Progetto del paramento slu'!$G$60*(sezione!$AN$35-C2227)/C2227</f>
        <v>-2.9317066992096737E-4</v>
      </c>
      <c r="N2227" s="559">
        <f>'Progetto del paramento slu'!$G$60*(sezione!$AO$35-C2227)/C2227</f>
        <v>6.9354604702642731E-4</v>
      </c>
      <c r="O2227" s="559">
        <f>'Progetto del paramento slu'!$G$60*(sezione!$AP$35-C2227)/C2227</f>
        <v>-2.9307223544079345E-4</v>
      </c>
      <c r="P2227" s="553">
        <f>-'Progetto del paramento slu'!$G$47*'Progetto del paramento slu'!$G$41*IF(DATI!$G$218="dx",DATI!$E$61,DATI!$E$64*DATI!$E$63)*1000*C2227*sezione!$AD$5</f>
        <v>-3999982.094364801</v>
      </c>
      <c r="Q2227" s="553">
        <f>'Foglio deposito bis'!$F$78*IF(ABS(K2227)&lt;'Progetto del paramento slu'!$G$58,ABS(K2227)*'Progetto del paramento slu'!$G$54,'Progetto del paramento slu'!$G$53)*IF(K2227&lt;0,-1,1)</f>
        <v>0</v>
      </c>
      <c r="R2227" s="553">
        <f>'Foglio deposito bis'!$F$79*IF(ABS(L2227)&lt;'Progetto del paramento slu'!$G$58,ABS(L2227)*'Progetto del paramento slu'!$G$54,'Progetto del paramento slu'!$G$53)*IF(L2227&lt;0,-1,1)</f>
        <v>-133470.82624179919</v>
      </c>
      <c r="S2227" s="553">
        <f>'Foglio deposito bis'!$F$80*IF(ABS(M2227)&lt;'Progetto del paramento slu'!$G$58,ABS(M2227)*'Progetto del paramento slu'!$G$54,'Progetto del paramento slu'!$G$53)*IF(M2227&lt;0,-1,1)</f>
        <v>0</v>
      </c>
      <c r="T2227" s="553">
        <f>'Foglio deposito bis'!$F$81*IF(ABS(N2227)&lt;'Progetto del paramento slu'!$G$58,ABS(N2227)*'Progetto del paramento slu'!$G$54,'Progetto del paramento slu'!$G$53)*IF(N2227&lt;0,-1,1)</f>
        <v>145424.44131315546</v>
      </c>
      <c r="U2227" s="553">
        <f>'Foglio deposito bis'!$F$82*IF(ABS(O2227)&lt;'Progetto del paramento slu'!$G$58,ABS(O2227)*'Progetto del paramento slu'!$G$54,'Progetto del paramento slu'!$G$53)*IF(O2227&lt;0,-1,1)</f>
        <v>-137698.24044445687</v>
      </c>
      <c r="V2227" s="479">
        <f t="shared" si="164"/>
        <v>-4125726.7197379014</v>
      </c>
      <c r="W2227" s="559"/>
      <c r="X2227" s="559"/>
    </row>
    <row r="2228" spans="1:24" x14ac:dyDescent="0.25">
      <c r="A2228" s="553">
        <f t="shared" si="163"/>
        <v>4218716.008535034</v>
      </c>
      <c r="B2228" s="3">
        <f t="shared" si="161"/>
        <v>70.899999999999949</v>
      </c>
      <c r="C2228" s="553">
        <f>'Foglio deposito bis'!$E$161/sezione!$B$247*B2228</f>
        <v>287.82903703029024</v>
      </c>
      <c r="D2228" s="611">
        <f>-'Progetto del paramento slu'!$G$47*'Progetto del paramento slu'!$G$41*IF(DATI!$G$218="dx",DATI!$E$61,DATI!$E$64*DATI!$E$63)*1000*C2228^2*sezione!$AD$5*(1-sezione!$AD$6)</f>
        <v>-681984585.23674643</v>
      </c>
      <c r="E2228" s="553">
        <f>-'Foglio deposito bis'!$F$78*(C2228-sezione!$AL$35)*IF(ABS(K2228)&lt;'Progetto del paramento slu'!$G$58,ABS(K2228)*'Progetto del paramento slu'!$G$54,'Progetto del paramento slu'!$G$53)</f>
        <v>0</v>
      </c>
      <c r="F2228" s="553">
        <f>-'Foglio deposito bis'!$F$79*(C2228-sezione!$AM$35)*IF(ABS(L2228)&lt;'Progetto del paramento slu'!$G$58,ABS(L2228)*'Progetto del paramento slu'!$G$54,'Progetto del paramento slu'!$G$53)</f>
        <v>-18687103.435625378</v>
      </c>
      <c r="G2228" s="553">
        <f>-'Foglio deposito bis'!$F$80*(C2228-sezione!$AN$35)*IF(ABS(M2228)&lt;'Progetto del paramento slu'!$G$58,ABS(M2228)*'Progetto del paramento slu'!$G$54,'Progetto del paramento slu'!$G$53)</f>
        <v>0</v>
      </c>
      <c r="H2228" s="553">
        <f>-'Foglio deposito bis'!$F$81*(C2228-sezione!$AO$35)*IF(ABS(N2228)&lt;'Progetto del paramento slu'!$G$58,ABS(N2228)*'Progetto del paramento slu'!$G$54,'Progetto del paramento slu'!$G$53)</f>
        <v>6939900.5805541528</v>
      </c>
      <c r="I2228" s="479">
        <f>-'Foglio deposito bis'!$F$82*(C2228-sezione!$AP$35)*IF(ABS(O2228)&lt;'Progetto del paramento slu'!$G$58,ABS(O2228)*'Progetto del paramento slu'!$G$54,'Progetto del paramento slu'!$G$53)</f>
        <v>-4422159.2922982201</v>
      </c>
      <c r="J2228" s="479">
        <f t="shared" si="162"/>
        <v>-698153947.38411593</v>
      </c>
      <c r="K2228" s="558">
        <f>'Progetto del paramento slu'!$G$60*(sezione!$AL$35-C2228)/C2228</f>
        <v>-3.0136001515188794E-3</v>
      </c>
      <c r="L2228" s="558">
        <f>'Progetto del paramento slu'!$G$60*(sezione!$AM$35-C2228)/C2228</f>
        <v>-1.6760005681957981E-3</v>
      </c>
      <c r="M2228" s="559">
        <f>'Progetto del paramento slu'!$G$60*(sezione!$AN$35-C2228)/C2228</f>
        <v>-3.3840098487271662E-4</v>
      </c>
      <c r="N2228" s="559">
        <f>'Progetto del paramento slu'!$G$60*(sezione!$AO$35-C2228)/C2228</f>
        <v>6.3439871208952438E-4</v>
      </c>
      <c r="O2228" s="559">
        <f>'Progetto del paramento slu'!$G$60*(sezione!$AP$35-C2228)/C2228</f>
        <v>-3.383039387491036E-4</v>
      </c>
      <c r="P2228" s="553">
        <f>-'Progetto del paramento slu'!$G$47*'Progetto del paramento slu'!$G$41*IF(DATI!$G$218="dx",DATI!$E$61,DATI!$E$64*DATI!$E$63)*1000*C2228*sezione!$AD$5</f>
        <v>-4057206.4447848978</v>
      </c>
      <c r="Q2228" s="553">
        <f>'Foglio deposito bis'!$F$78*IF(ABS(K2228)&lt;'Progetto del paramento slu'!$G$58,ABS(K2228)*'Progetto del paramento slu'!$G$54,'Progetto del paramento slu'!$G$53)*IF(K2228&lt;0,-1,1)</f>
        <v>0</v>
      </c>
      <c r="R2228" s="553">
        <f>'Foglio deposito bis'!$F$79*IF(ABS(L2228)&lt;'Progetto del paramento slu'!$G$58,ABS(L2228)*'Progetto del paramento slu'!$G$54,'Progetto del paramento slu'!$G$53)*IF(L2228&lt;0,-1,1)</f>
        <v>-135581.76011574813</v>
      </c>
      <c r="S2228" s="553">
        <f>'Foglio deposito bis'!$F$80*IF(ABS(M2228)&lt;'Progetto del paramento slu'!$G$58,ABS(M2228)*'Progetto del paramento slu'!$G$54,'Progetto del paramento slu'!$G$53)*IF(M2228&lt;0,-1,1)</f>
        <v>0</v>
      </c>
      <c r="T2228" s="553">
        <f>'Foglio deposito bis'!$F$81*IF(ABS(N2228)&lt;'Progetto del paramento slu'!$G$58,ABS(N2228)*'Progetto del paramento slu'!$G$54,'Progetto del paramento slu'!$G$53)*IF(N2228&lt;0,-1,1)</f>
        <v>133022.28261693061</v>
      </c>
      <c r="U2228" s="553">
        <f>'Foglio deposito bis'!$F$82*IF(ABS(O2228)&lt;'Progetto del paramento slu'!$G$58,ABS(O2228)*'Progetto del paramento slu'!$G$54,'Progetto del paramento slu'!$G$53)*IF(O2228&lt;0,-1,1)</f>
        <v>-158950.08625131863</v>
      </c>
      <c r="V2228" s="479">
        <f t="shared" si="164"/>
        <v>-4218716.008535034</v>
      </c>
      <c r="W2228" s="559"/>
      <c r="X2228" s="559"/>
    </row>
    <row r="2229" spans="1:24" x14ac:dyDescent="0.25">
      <c r="A2229" s="553">
        <f t="shared" si="163"/>
        <v>4310710.4450824577</v>
      </c>
      <c r="B2229" s="3">
        <f t="shared" si="161"/>
        <v>71.899999999999949</v>
      </c>
      <c r="C2229" s="553">
        <f>'Foglio deposito bis'!$E$161/sezione!$B$247*B2229</f>
        <v>291.88868494327033</v>
      </c>
      <c r="D2229" s="611">
        <f>-'Progetto del paramento slu'!$G$47*'Progetto del paramento slu'!$G$41*IF(DATI!$G$218="dx",DATI!$E$61,DATI!$E$64*DATI!$E$63)*1000*C2229^2*sezione!$AD$5*(1-sezione!$AD$6)</f>
        <v>-701358183.75584841</v>
      </c>
      <c r="E2229" s="553">
        <f>-'Foglio deposito bis'!$F$78*(C2229-sezione!$AL$35)*IF(ABS(K2229)&lt;'Progetto del paramento slu'!$G$58,ABS(K2229)*'Progetto del paramento slu'!$G$54,'Progetto del paramento slu'!$G$53)</f>
        <v>0</v>
      </c>
      <c r="F2229" s="553">
        <f>-'Foglio deposito bis'!$F$79*(C2229-sezione!$AM$35)*IF(ABS(L2229)&lt;'Progetto del paramento slu'!$G$58,ABS(L2229)*'Progetto del paramento slu'!$G$54,'Progetto del paramento slu'!$G$53)</f>
        <v>-19528703.770753596</v>
      </c>
      <c r="G2229" s="553">
        <f>-'Foglio deposito bis'!$F$80*(C2229-sezione!$AN$35)*IF(ABS(M2229)&lt;'Progetto del paramento slu'!$G$58,ABS(M2229)*'Progetto del paramento slu'!$G$54,'Progetto del paramento slu'!$G$53)</f>
        <v>0</v>
      </c>
      <c r="H2229" s="553">
        <f>-'Foglio deposito bis'!$F$81*(C2229-sezione!$AO$35)*IF(ABS(N2229)&lt;'Progetto del paramento slu'!$G$58,ABS(N2229)*'Progetto del paramento slu'!$G$54,'Progetto del paramento slu'!$G$53)</f>
        <v>5819790.3964929525</v>
      </c>
      <c r="I2229" s="479">
        <f>-'Foglio deposito bis'!$F$82*(C2229-sezione!$AP$35)*IF(ABS(O2229)&lt;'Progetto del paramento slu'!$G$58,ABS(O2229)*'Progetto del paramento slu'!$G$54,'Progetto del paramento slu'!$G$53)</f>
        <v>-5726118.2063322281</v>
      </c>
      <c r="J2229" s="479">
        <f t="shared" si="162"/>
        <v>-720793215.33644128</v>
      </c>
      <c r="K2229" s="558">
        <f>'Progetto del paramento slu'!$G$60*(sezione!$AL$35-C2229)/C2229</f>
        <v>-3.0203651007328033E-3</v>
      </c>
      <c r="L2229" s="558">
        <f>'Progetto del paramento slu'!$G$60*(sezione!$AM$35-C2229)/C2229</f>
        <v>-1.7013691277480121E-3</v>
      </c>
      <c r="M2229" s="559">
        <f>'Progetto del paramento slu'!$G$60*(sezione!$AN$35-C2229)/C2229</f>
        <v>-3.8237315476322104E-4</v>
      </c>
      <c r="N2229" s="559">
        <f>'Progetto del paramento slu'!$G$60*(sezione!$AO$35-C2229)/C2229</f>
        <v>5.7689664377117247E-4</v>
      </c>
      <c r="O2229" s="559">
        <f>'Progetto del paramento slu'!$G$60*(sezione!$AP$35-C2229)/C2229</f>
        <v>-3.8227745837707137E-4</v>
      </c>
      <c r="P2229" s="553">
        <f>-'Progetto del paramento slu'!$G$47*'Progetto del paramento slu'!$G$41*IF(DATI!$G$218="dx",DATI!$E$61,DATI!$E$64*DATI!$E$63)*1000*C2229*sezione!$AD$5</f>
        <v>-4114430.7952049952</v>
      </c>
      <c r="Q2229" s="553">
        <f>'Foglio deposito bis'!$F$78*IF(ABS(K2229)&lt;'Progetto del paramento slu'!$G$58,ABS(K2229)*'Progetto del paramento slu'!$G$54,'Progetto del paramento slu'!$G$53)*IF(K2229&lt;0,-1,1)</f>
        <v>0</v>
      </c>
      <c r="R2229" s="553">
        <f>'Foglio deposito bis'!$F$79*IF(ABS(L2229)&lt;'Progetto del paramento slu'!$G$58,ABS(L2229)*'Progetto del paramento slu'!$G$54,'Progetto del paramento slu'!$G$53)*IF(L2229&lt;0,-1,1)</f>
        <v>-137633.97538402394</v>
      </c>
      <c r="S2229" s="553">
        <f>'Foglio deposito bis'!$F$80*IF(ABS(M2229)&lt;'Progetto del paramento slu'!$G$58,ABS(M2229)*'Progetto del paramento slu'!$G$54,'Progetto del paramento slu'!$G$53)*IF(M2229&lt;0,-1,1)</f>
        <v>0</v>
      </c>
      <c r="T2229" s="553">
        <f>'Foglio deposito bis'!$F$81*IF(ABS(N2229)&lt;'Progetto del paramento slu'!$G$58,ABS(N2229)*'Progetto del paramento slu'!$G$54,'Progetto del paramento slu'!$G$53)*IF(N2229&lt;0,-1,1)</f>
        <v>120965.10747275651</v>
      </c>
      <c r="U2229" s="553">
        <f>'Foglio deposito bis'!$F$82*IF(ABS(O2229)&lt;'Progetto del paramento slu'!$G$58,ABS(O2229)*'Progetto del paramento slu'!$G$54,'Progetto del paramento slu'!$G$53)*IF(O2229&lt;0,-1,1)</f>
        <v>-179610.78196619535</v>
      </c>
      <c r="V2229" s="479">
        <f t="shared" si="164"/>
        <v>-4310710.4450824577</v>
      </c>
      <c r="W2229" s="559"/>
      <c r="X2229" s="559"/>
    </row>
    <row r="2230" spans="1:24" x14ac:dyDescent="0.25">
      <c r="A2230" s="553">
        <f t="shared" si="163"/>
        <v>4401750.9698019726</v>
      </c>
      <c r="B2230" s="3">
        <f t="shared" si="161"/>
        <v>72.899999999999949</v>
      </c>
      <c r="C2230" s="553">
        <f>'Foglio deposito bis'!$E$161/sezione!$B$247*B2230</f>
        <v>295.94833285625049</v>
      </c>
      <c r="D2230" s="611">
        <f>-'Progetto del paramento slu'!$G$47*'Progetto del paramento slu'!$G$41*IF(DATI!$G$218="dx",DATI!$E$61,DATI!$E$64*DATI!$E$63)*1000*C2230^2*sezione!$AD$5*(1-sezione!$AD$6)</f>
        <v>-721003121.18978393</v>
      </c>
      <c r="E2230" s="553">
        <f>-'Foglio deposito bis'!$F$78*(C2230-sezione!$AL$35)*IF(ABS(K2230)&lt;'Progetto del paramento slu'!$G$58,ABS(K2230)*'Progetto del paramento slu'!$G$54,'Progetto del paramento slu'!$G$53)</f>
        <v>0</v>
      </c>
      <c r="F2230" s="553">
        <f>-'Foglio deposito bis'!$F$79*(C2230-sezione!$AM$35)*IF(ABS(L2230)&lt;'Progetto del paramento slu'!$G$58,ABS(L2230)*'Progetto del paramento slu'!$G$54,'Progetto del paramento slu'!$G$53)</f>
        <v>-20378749.436203953</v>
      </c>
      <c r="G2230" s="553">
        <f>-'Foglio deposito bis'!$F$80*(C2230-sezione!$AN$35)*IF(ABS(M2230)&lt;'Progetto del paramento slu'!$G$58,ABS(M2230)*'Progetto del paramento slu'!$G$54,'Progetto del paramento slu'!$G$53)</f>
        <v>0</v>
      </c>
      <c r="H2230" s="553">
        <f>-'Foglio deposito bis'!$F$81*(C2230-sezione!$AO$35)*IF(ABS(N2230)&lt;'Progetto del paramento slu'!$G$58,ABS(N2230)*'Progetto del paramento slu'!$G$54,'Progetto del paramento slu'!$G$53)</f>
        <v>4812147.689771086</v>
      </c>
      <c r="I2230" s="479">
        <f>-'Foglio deposito bis'!$F$82*(C2230-sezione!$AP$35)*IF(ABS(O2230)&lt;'Progetto del paramento slu'!$G$58,ABS(O2230)*'Progetto del paramento slu'!$G$54,'Progetto del paramento slu'!$G$53)</f>
        <v>-7177455.6052527465</v>
      </c>
      <c r="J2230" s="479">
        <f t="shared" si="162"/>
        <v>-743747178.54146957</v>
      </c>
      <c r="K2230" s="558">
        <f>'Progetto del paramento slu'!$G$60*(sezione!$AL$35-C2230)/C2230</f>
        <v>-3.0269444546322162E-3</v>
      </c>
      <c r="L2230" s="558">
        <f>'Progetto del paramento slu'!$G$60*(sezione!$AM$35-C2230)/C2230</f>
        <v>-1.7260417048708106E-3</v>
      </c>
      <c r="M2230" s="559">
        <f>'Progetto del paramento slu'!$G$60*(sezione!$AN$35-C2230)/C2230</f>
        <v>-4.251389551094049E-4</v>
      </c>
      <c r="N2230" s="559">
        <f>'Progetto del paramento slu'!$G$60*(sezione!$AO$35-C2230)/C2230</f>
        <v>5.2097213562616283E-4</v>
      </c>
      <c r="O2230" s="559">
        <f>'Progetto del paramento slu'!$G$60*(sezione!$AP$35-C2230)/C2230</f>
        <v>-4.2504457143088418E-4</v>
      </c>
      <c r="P2230" s="553">
        <f>-'Progetto del paramento slu'!$G$47*'Progetto del paramento slu'!$G$41*IF(DATI!$G$218="dx",DATI!$E$61,DATI!$E$64*DATI!$E$63)*1000*C2230*sezione!$AD$5</f>
        <v>-4171655.145625093</v>
      </c>
      <c r="Q2230" s="553">
        <f>'Foglio deposito bis'!$F$78*IF(ABS(K2230)&lt;'Progetto del paramento slu'!$G$58,ABS(K2230)*'Progetto del paramento slu'!$G$54,'Progetto del paramento slu'!$G$53)*IF(K2230&lt;0,-1,1)</f>
        <v>0</v>
      </c>
      <c r="R2230" s="553">
        <f>'Foglio deposito bis'!$F$79*IF(ABS(L2230)&lt;'Progetto del paramento slu'!$G$58,ABS(L2230)*'Progetto del paramento slu'!$G$54,'Progetto del paramento slu'!$G$53)*IF(L2230&lt;0,-1,1)</f>
        <v>-139629.8884501523</v>
      </c>
      <c r="S2230" s="553">
        <f>'Foglio deposito bis'!$F$80*IF(ABS(M2230)&lt;'Progetto del paramento slu'!$G$58,ABS(M2230)*'Progetto del paramento slu'!$G$54,'Progetto del paramento slu'!$G$53)*IF(M2230&lt;0,-1,1)</f>
        <v>0</v>
      </c>
      <c r="T2230" s="553">
        <f>'Foglio deposito bis'!$F$81*IF(ABS(N2230)&lt;'Progetto del paramento slu'!$G$58,ABS(N2230)*'Progetto del paramento slu'!$G$54,'Progetto del paramento slu'!$G$53)*IF(N2230&lt;0,-1,1)</f>
        <v>109238.71902663918</v>
      </c>
      <c r="U2230" s="553">
        <f>'Foglio deposito bis'!$F$82*IF(ABS(O2230)&lt;'Progetto del paramento slu'!$G$58,ABS(O2230)*'Progetto del paramento slu'!$G$54,'Progetto del paramento slu'!$G$53)*IF(O2230&lt;0,-1,1)</f>
        <v>-199704.65475336657</v>
      </c>
      <c r="V2230" s="479">
        <f t="shared" si="164"/>
        <v>-4401750.9698019726</v>
      </c>
      <c r="W2230" s="559"/>
      <c r="X2230" s="559"/>
    </row>
    <row r="2231" spans="1:24" x14ac:dyDescent="0.25">
      <c r="A2231" s="553">
        <f t="shared" si="163"/>
        <v>4491876.3071250198</v>
      </c>
      <c r="B2231" s="3">
        <f t="shared" si="161"/>
        <v>73.899999999999949</v>
      </c>
      <c r="C2231" s="553">
        <f>'Foglio deposito bis'!$E$161/sezione!$B$247*B2231</f>
        <v>300.00798076923058</v>
      </c>
      <c r="D2231" s="32">
        <f>-'Progetto del paramento slu'!$G$47*'Progetto del paramento slu'!$G$41*IF(DATI!$G$218="dx",DATI!$E$61,DATI!$E$64*DATI!$E$63)*1000*C2231^2*sezione!$AD$5*(1-sezione!$AD$6)</f>
        <v>-740919397.53855264</v>
      </c>
      <c r="E2231" s="553">
        <f>-'Foglio deposito bis'!$F$78*(C2231-sezione!$AL$35)*IF(ABS(K2231)&lt;'Progetto del paramento slu'!$G$58,ABS(K2231)*'Progetto del paramento slu'!$G$54,'Progetto del paramento slu'!$G$53)</f>
        <v>0</v>
      </c>
      <c r="F2231" s="553">
        <f>-'Foglio deposito bis'!$F$79*(C2231-sezione!$AM$35)*IF(ABS(L2231)&lt;'Progetto del paramento slu'!$G$58,ABS(L2231)*'Progetto del paramento slu'!$G$54,'Progetto del paramento slu'!$G$53)</f>
        <v>-21236897.590420719</v>
      </c>
      <c r="G2231" s="553">
        <f>-'Foglio deposito bis'!$F$80*(C2231-sezione!$AN$35)*IF(ABS(M2231)&lt;'Progetto del paramento slu'!$G$58,ABS(M2231)*'Progetto del paramento slu'!$G$54,'Progetto del paramento slu'!$G$53)</f>
        <v>0</v>
      </c>
      <c r="H2231" s="553">
        <f>-'Foglio deposito bis'!$F$81*(C2231-sezione!$AO$35)*IF(ABS(N2231)&lt;'Progetto del paramento slu'!$G$58,ABS(N2231)*'Progetto del paramento slu'!$G$54,'Progetto del paramento slu'!$G$53)</f>
        <v>3912406.7982503111</v>
      </c>
      <c r="I2231" s="479">
        <f>-'Foglio deposito bis'!$F$82*(C2231-sezione!$AP$35)*IF(ABS(O2231)&lt;'Progetto del paramento slu'!$G$58,ABS(O2231)*'Progetto del paramento slu'!$G$54,'Progetto del paramento slu'!$G$53)</f>
        <v>-8770188.6006340347</v>
      </c>
      <c r="J2231" s="479">
        <f t="shared" si="162"/>
        <v>-767014076.93135703</v>
      </c>
      <c r="K2231" s="558">
        <f>'Progetto del paramento slu'!$G$60*(sezione!$AL$35-C2231)/C2231</f>
        <v>-3.033345747532998E-3</v>
      </c>
      <c r="L2231" s="558">
        <f>'Progetto del paramento slu'!$G$60*(sezione!$AM$35-C2231)/C2231</f>
        <v>-1.7500465532487427E-3</v>
      </c>
      <c r="M2231" s="559">
        <f>'Progetto del paramento slu'!$G$60*(sezione!$AN$35-C2231)/C2231</f>
        <v>-4.667473589644872E-4</v>
      </c>
      <c r="N2231" s="559">
        <f>'Progetto del paramento slu'!$G$60*(sezione!$AO$35-C2231)/C2231</f>
        <v>4.6656114596951674E-4</v>
      </c>
      <c r="O2231" s="559">
        <f>'Progetto del paramento slu'!$G$60*(sezione!$AP$35-C2231)/C2231</f>
        <v>-4.66654252467002E-4</v>
      </c>
      <c r="P2231" s="553">
        <f>-'Progetto del paramento slu'!$G$47*'Progetto del paramento slu'!$G$41*IF(DATI!$G$218="dx",DATI!$E$61,DATI!$E$64*DATI!$E$63)*1000*C2231*sezione!$AD$5</f>
        <v>-4228879.4960451899</v>
      </c>
      <c r="Q2231" s="553">
        <f>'Foglio deposito bis'!$F$78*IF(ABS(K2231)&lt;'Progetto del paramento slu'!$G$58,ABS(K2231)*'Progetto del paramento slu'!$G$54,'Progetto del paramento slu'!$G$53)*IF(K2231&lt;0,-1,1)</f>
        <v>0</v>
      </c>
      <c r="R2231" s="553">
        <f>'Foglio deposito bis'!$F$79*IF(ABS(L2231)&lt;'Progetto del paramento slu'!$G$58,ABS(L2231)*'Progetto del paramento slu'!$G$54,'Progetto del paramento slu'!$G$53)*IF(L2231&lt;0,-1,1)</f>
        <v>-141571.78492450449</v>
      </c>
      <c r="S2231" s="553">
        <f>'Foglio deposito bis'!$F$80*IF(ABS(M2231)&lt;'Progetto del paramento slu'!$G$58,ABS(M2231)*'Progetto del paramento slu'!$G$54,'Progetto del paramento slu'!$G$53)*IF(M2231&lt;0,-1,1)</f>
        <v>0</v>
      </c>
      <c r="T2231" s="553">
        <f>'Foglio deposito bis'!$F$81*IF(ABS(N2231)&lt;'Progetto del paramento slu'!$G$58,ABS(N2231)*'Progetto del paramento slu'!$G$54,'Progetto del paramento slu'!$G$53)*IF(N2231&lt;0,-1,1)</f>
        <v>97829.688860525173</v>
      </c>
      <c r="U2231" s="553">
        <f>'Foglio deposito bis'!$F$82*IF(ABS(O2231)&lt;'Progetto del paramento slu'!$G$58,ABS(O2231)*'Progetto del paramento slu'!$G$54,'Progetto del paramento slu'!$G$53)*IF(O2231&lt;0,-1,1)</f>
        <v>-219254.7150158509</v>
      </c>
      <c r="V2231" s="479">
        <f t="shared" si="164"/>
        <v>-4491876.3071250198</v>
      </c>
      <c r="W2231" s="559"/>
      <c r="X2231" s="559"/>
    </row>
    <row r="2232" spans="1:24" x14ac:dyDescent="0.25">
      <c r="P2232" s="553"/>
      <c r="Q2232" s="553"/>
      <c r="R2232" s="553"/>
      <c r="S2232" s="553"/>
      <c r="T2232" s="553"/>
      <c r="U2232" s="553"/>
      <c r="V2232" s="479"/>
    </row>
    <row r="2233" spans="1:24" x14ac:dyDescent="0.25">
      <c r="P2233" s="553"/>
      <c r="Q2233" s="553"/>
      <c r="R2233" s="553"/>
      <c r="S2233" s="553"/>
      <c r="T2233" s="553"/>
      <c r="U2233" s="553"/>
      <c r="V2233" s="479"/>
    </row>
    <row r="2234" spans="1:24" ht="15.75" x14ac:dyDescent="0.25">
      <c r="A2234" s="1035" t="s">
        <v>958</v>
      </c>
      <c r="B2234" s="1036"/>
      <c r="C2234" s="1036"/>
      <c r="D2234" s="1036"/>
      <c r="E2234" s="1036"/>
      <c r="F2234" s="1036"/>
      <c r="G2234" s="1036"/>
      <c r="H2234" s="1036"/>
      <c r="I2234" s="1036"/>
      <c r="J2234" s="1036"/>
      <c r="K2234" s="1036"/>
      <c r="L2234" s="1036"/>
      <c r="M2234" s="1036"/>
      <c r="N2234" s="1036"/>
      <c r="O2234" s="1037"/>
      <c r="P2234" s="553"/>
      <c r="Q2234" s="553"/>
      <c r="R2234" s="553"/>
      <c r="S2234" s="553"/>
      <c r="T2234" s="553"/>
      <c r="U2234" s="553"/>
      <c r="V2234" s="479"/>
      <c r="W2234" s="613"/>
      <c r="X2234" s="613"/>
    </row>
    <row r="2235" spans="1:24" x14ac:dyDescent="0.25">
      <c r="A2235" s="571">
        <v>1</v>
      </c>
      <c r="B2235" s="571">
        <v>2</v>
      </c>
      <c r="C2235" s="571">
        <v>3</v>
      </c>
      <c r="D2235" s="571">
        <v>4</v>
      </c>
      <c r="E2235" s="571">
        <v>5</v>
      </c>
      <c r="F2235" s="571">
        <v>6</v>
      </c>
      <c r="G2235" s="571">
        <v>7</v>
      </c>
      <c r="H2235" s="571">
        <v>8</v>
      </c>
      <c r="I2235" s="571">
        <v>9</v>
      </c>
      <c r="J2235" s="571">
        <v>10</v>
      </c>
      <c r="K2235" s="571">
        <v>11</v>
      </c>
      <c r="L2235" s="571">
        <v>12</v>
      </c>
      <c r="M2235" s="571">
        <v>13</v>
      </c>
      <c r="N2235" s="571">
        <v>14</v>
      </c>
      <c r="O2235" s="571">
        <v>15</v>
      </c>
      <c r="P2235" s="606">
        <v>4</v>
      </c>
      <c r="Q2235" s="606">
        <v>5</v>
      </c>
      <c r="R2235" s="606">
        <v>6</v>
      </c>
      <c r="S2235" s="606">
        <v>7</v>
      </c>
      <c r="T2235" s="606">
        <v>8</v>
      </c>
      <c r="U2235" s="606">
        <v>9</v>
      </c>
      <c r="V2235" s="606">
        <v>10</v>
      </c>
      <c r="W2235" s="47"/>
      <c r="X2235" s="47"/>
    </row>
    <row r="2236" spans="1:24" x14ac:dyDescent="0.25">
      <c r="A2236" s="573" t="s">
        <v>929</v>
      </c>
      <c r="B2236" s="83" t="s">
        <v>917</v>
      </c>
      <c r="C2236" s="571" t="s">
        <v>134</v>
      </c>
      <c r="D2236" s="571" t="s">
        <v>911</v>
      </c>
      <c r="E2236" s="571" t="s">
        <v>912</v>
      </c>
      <c r="F2236" s="571" t="s">
        <v>913</v>
      </c>
      <c r="G2236" s="571" t="s">
        <v>914</v>
      </c>
      <c r="H2236" s="571" t="s">
        <v>915</v>
      </c>
      <c r="I2236" s="571" t="s">
        <v>916</v>
      </c>
      <c r="J2236" s="572" t="s">
        <v>910</v>
      </c>
      <c r="K2236" s="573" t="s">
        <v>923</v>
      </c>
      <c r="L2236" s="573" t="s">
        <v>924</v>
      </c>
      <c r="M2236" s="573" t="s">
        <v>925</v>
      </c>
      <c r="N2236" s="573" t="s">
        <v>926</v>
      </c>
      <c r="O2236" s="573" t="s">
        <v>927</v>
      </c>
      <c r="P2236" s="606" t="s">
        <v>293</v>
      </c>
      <c r="Q2236" s="606" t="s">
        <v>968</v>
      </c>
      <c r="R2236" s="606" t="s">
        <v>969</v>
      </c>
      <c r="S2236" s="606" t="s">
        <v>970</v>
      </c>
      <c r="T2236" s="606" t="s">
        <v>971</v>
      </c>
      <c r="U2236" s="606" t="s">
        <v>972</v>
      </c>
      <c r="V2236" s="607" t="s">
        <v>1021</v>
      </c>
      <c r="W2236" s="58"/>
      <c r="X2236" s="58"/>
    </row>
    <row r="2237" spans="1:24" x14ac:dyDescent="0.25">
      <c r="A2237" s="553">
        <f>ABS(V2237)</f>
        <v>2708048.4994793409</v>
      </c>
      <c r="B2237" s="3">
        <v>0</v>
      </c>
      <c r="C2237" s="42">
        <v>0.01</v>
      </c>
      <c r="D2237" s="32">
        <f>-'Progetto del paramento slu'!$G$47*'Progetto del paramento slu'!$G$41*IF(DATI!$G$218="dx",DATI!$E$61,DATI!$E$64*DATI!$E$63)*1000*C2237^2*sezione!$AD$5*(1-sezione!$AD$6)</f>
        <v>-0.82319997600000006</v>
      </c>
      <c r="E2237" s="553">
        <f>-'Foglio deposito bis'!$F$88*(C2237-sezione!$AL$36)*IF(ABS(K2237)&lt;'Progetto del paramento slu'!$G$58,ABS(K2237)*'Progetto del paramento slu'!$G$54,'Progetto del paramento slu'!$G$53)</f>
        <v>0</v>
      </c>
      <c r="F2237" s="553">
        <f>-'Foglio deposito bis'!$F$89*(C2237-sezione!$AM$36)*IF(ABS(L2237)&lt;'Progetto del paramento slu'!$G$58,ABS(L2237)*'Progetto del paramento slu'!$G$54,'Progetto del paramento slu'!$G$53)</f>
        <v>23048192.059822816</v>
      </c>
      <c r="G2237" s="553">
        <f>-'Foglio deposito bis'!$F$90*(C2237-sezione!$AN$36)*IF(ABS(M2237)&lt;'Progetto del paramento slu'!$G$58,ABS(M2237)*'Progetto del paramento slu'!$G$54,'Progetto del paramento slu'!$G$53)</f>
        <v>0</v>
      </c>
      <c r="H2237" s="553">
        <f>-'Foglio deposito bis'!$F$91*(C2237-sezione!$AO$36)*IF(ABS(N2237)&lt;'Progetto del paramento slu'!$G$58,ABS(N2237)*'Progetto del paramento slu'!$G$54,'Progetto del paramento slu'!$G$53)</f>
        <v>303436143.64543289</v>
      </c>
      <c r="I2237" s="479">
        <f>-'Foglio deposito bis'!$F$92*(C2237-sezione!$AP$36)*IF(ABS(O2237)&lt;'Progetto del paramento slu'!$G$58,ABS(O2237)*'Progetto del paramento slu'!$G$54,'Progetto del paramento slu'!$G$53)</f>
        <v>432128489.21057397</v>
      </c>
      <c r="J2237" s="479">
        <f t="shared" ref="J2237:J2300" si="165">D2237+E2237+F2237+G2237+H2237+I2237</f>
        <v>758612824.09262967</v>
      </c>
      <c r="K2237" s="558">
        <f>'Progetto del paramento slu'!$G$60*(sezione!$AL$36-C2237)/C2237</f>
        <v>13.996500000000001</v>
      </c>
      <c r="L2237" s="558">
        <f>'Progetto del paramento slu'!$G$60*(sezione!$AM$36-C2237)/C2237</f>
        <v>52.496499999999997</v>
      </c>
      <c r="M2237" s="559">
        <f>'Progetto del paramento slu'!$G$60*(sezione!$AN$36-C2237)/C2237</f>
        <v>90.996499999999997</v>
      </c>
      <c r="N2237" s="559">
        <f>'Progetto del paramento slu'!$G$60*(sezione!$AO$36-C2237)/C2237</f>
        <v>118.99650000000001</v>
      </c>
      <c r="O2237" s="559">
        <f>'Progetto del paramento slu'!$G$60*(sezione!$AP$36-C2237)/C2237</f>
        <v>90.999646634615317</v>
      </c>
      <c r="P2237" s="553">
        <f>-'Progetto del paramento slu'!$G$47*'Progetto del paramento slu'!$G$41*IF(DATI!$G$218="dx",DATI!$E$61,DATI!$E$64*DATI!$E$63)*1000*C2237*sezione!$AD$5</f>
        <v>-140.9589</v>
      </c>
      <c r="Q2237" s="553">
        <f>'Foglio deposito bis'!$F$88*IF(ABS(K2237)&lt;'Progetto del paramento slu'!$G$58,ABS(K2237)*'Progetto del paramento slu'!$G$54,'Progetto del paramento slu'!$G$53)*IF(K2237&lt;0,-1,1)</f>
        <v>0</v>
      </c>
      <c r="R2237" s="553">
        <f>'Foglio deposito bis'!$F$89*IF(ABS(L2237)&lt;'Progetto del paramento slu'!$G$58,ABS(L2237)*'Progetto del paramento slu'!$G$54,'Progetto del paramento slu'!$G$53)*IF(L2237&lt;0,-1,1)</f>
        <v>153664.85805602249</v>
      </c>
      <c r="S2237" s="553">
        <f>'Foglio deposito bis'!$F$90*IF(ABS(M2237)&lt;'Progetto del paramento slu'!$G$58,ABS(M2237)*'Progetto del paramento slu'!$G$54,'Progetto del paramento slu'!$G$53)*IF(M2237&lt;0,-1,1)</f>
        <v>0</v>
      </c>
      <c r="T2237" s="553">
        <f>'Foglio deposito bis'!$F$91*IF(ABS(N2237)&lt;'Progetto del paramento slu'!$G$58,ABS(N2237)*'Progetto del paramento slu'!$G$54,'Progetto del paramento slu'!$G$53)*IF(N2237&lt;0,-1,1)</f>
        <v>892485.49558937876</v>
      </c>
      <c r="U2237" s="553">
        <f>'Foglio deposito bis'!$F$92*IF(ABS(O2237)&lt;'Progetto del paramento slu'!$G$58,ABS(O2237)*'Progetto del paramento slu'!$G$54,'Progetto del paramento slu'!$G$53)*IF(O2237&lt;0,-1,1)</f>
        <v>1662039.1047339395</v>
      </c>
      <c r="V2237" s="479">
        <f t="shared" ref="V2237" si="166">P2237+Q2237+R2237+S2237+T2237+U2237</f>
        <v>2708048.4994793409</v>
      </c>
      <c r="W2237" s="559"/>
      <c r="X2237" s="559"/>
    </row>
    <row r="2238" spans="1:24" x14ac:dyDescent="0.25">
      <c r="A2238" s="553">
        <f t="shared" ref="A2238:A2301" si="167">ABS(V2238)</f>
        <v>2705328.2312294943</v>
      </c>
      <c r="B2238" s="3">
        <f>B2237+0.05</f>
        <v>0.05</v>
      </c>
      <c r="C2238" s="553">
        <f>'Foglio deposito bis'!$E$162/sezione!$B$247*B2238</f>
        <v>0.20298307874466537</v>
      </c>
      <c r="D2238" s="611">
        <f>-'Progetto del paramento slu'!$G$47*'Progetto del paramento slu'!$G$41*IF(DATI!$G$218="dx",DATI!$E$61,DATI!$E$64*DATI!$E$63)*1000*C2238^2*sezione!$AD$5*(1-sezione!$AD$6)</f>
        <v>-339.17592638433877</v>
      </c>
      <c r="E2238" s="553">
        <f>-'Foglio deposito bis'!$F$88*(C2238-sezione!$AL$36)*IF(ABS(K2238)&lt;'Progetto del paramento slu'!$G$58,ABS(K2238)*'Progetto del paramento slu'!$G$54,'Progetto del paramento slu'!$G$53)</f>
        <v>0</v>
      </c>
      <c r="F2238" s="553">
        <f>-'Foglio deposito bis'!$F$89*(C2238-sezione!$AM$36)*IF(ABS(L2238)&lt;'Progetto del paramento slu'!$G$58,ABS(L2238)*'Progetto del paramento slu'!$G$54,'Progetto del paramento slu'!$G$53)</f>
        <v>23018537.342420302</v>
      </c>
      <c r="G2238" s="553">
        <f>-'Foglio deposito bis'!$F$90*(C2238-sezione!$AN$36)*IF(ABS(M2238)&lt;'Progetto del paramento slu'!$G$58,ABS(M2238)*'Progetto del paramento slu'!$G$54,'Progetto del paramento slu'!$G$53)</f>
        <v>0</v>
      </c>
      <c r="H2238" s="553">
        <f>-'Foglio deposito bis'!$F$91*(C2238-sezione!$AO$36)*IF(ABS(N2238)&lt;'Progetto del paramento slu'!$G$58,ABS(N2238)*'Progetto del paramento slu'!$G$54,'Progetto del paramento slu'!$G$53)</f>
        <v>303263909.04675913</v>
      </c>
      <c r="I2238" s="479">
        <f>-'Foglio deposito bis'!$F$92*(C2238-sezione!$AP$36)*IF(ABS(O2238)&lt;'Progetto del paramento slu'!$G$58,ABS(O2238)*'Progetto del paramento slu'!$G$54,'Progetto del paramento slu'!$G$53)</f>
        <v>431807743.78714842</v>
      </c>
      <c r="J2238" s="479">
        <f t="shared" si="165"/>
        <v>758089851.0004015</v>
      </c>
      <c r="K2238" s="558">
        <f>'Progetto del paramento slu'!$G$60*(sezione!$AL$36-C2238)/C2238</f>
        <v>0.68621266405958659</v>
      </c>
      <c r="L2238" s="558">
        <f>'Progetto del paramento slu'!$G$60*(sezione!$AM$36-C2238)/C2238</f>
        <v>2.5829224902234498</v>
      </c>
      <c r="M2238" s="559">
        <f>'Progetto del paramento slu'!$G$60*(sezione!$AN$36-C2238)/C2238</f>
        <v>4.4796323163873133</v>
      </c>
      <c r="N2238" s="559">
        <f>'Progetto del paramento slu'!$G$60*(sezione!$AO$36-C2238)/C2238</f>
        <v>5.8590576445064864</v>
      </c>
      <c r="O2238" s="559">
        <f>'Progetto del paramento slu'!$G$60*(sezione!$AP$36-C2238)/C2238</f>
        <v>4.4797873359404097</v>
      </c>
      <c r="P2238" s="553">
        <f>-'Progetto del paramento slu'!$G$47*'Progetto del paramento slu'!$G$41*IF(DATI!$G$218="dx",DATI!$E$61,DATI!$E$64*DATI!$E$63)*1000*C2238*sezione!$AD$5</f>
        <v>-2861.2271498461409</v>
      </c>
      <c r="Q2238" s="553">
        <f>'Foglio deposito bis'!$F$88*IF(ABS(K2238)&lt;'Progetto del paramento slu'!$G$58,ABS(K2238)*'Progetto del paramento slu'!$G$54,'Progetto del paramento slu'!$G$53)*IF(K2238&lt;0,-1,1)</f>
        <v>0</v>
      </c>
      <c r="R2238" s="553">
        <f>'Foglio deposito bis'!$F$89*IF(ABS(L2238)&lt;'Progetto del paramento slu'!$G$58,ABS(L2238)*'Progetto del paramento slu'!$G$54,'Progetto del paramento slu'!$G$53)*IF(L2238&lt;0,-1,1)</f>
        <v>153664.85805602249</v>
      </c>
      <c r="S2238" s="553">
        <f>'Foglio deposito bis'!$F$90*IF(ABS(M2238)&lt;'Progetto del paramento slu'!$G$58,ABS(M2238)*'Progetto del paramento slu'!$G$54,'Progetto del paramento slu'!$G$53)*IF(M2238&lt;0,-1,1)</f>
        <v>0</v>
      </c>
      <c r="T2238" s="553">
        <f>'Foglio deposito bis'!$F$91*IF(ABS(N2238)&lt;'Progetto del paramento slu'!$G$58,ABS(N2238)*'Progetto del paramento slu'!$G$54,'Progetto del paramento slu'!$G$53)*IF(N2238&lt;0,-1,1)</f>
        <v>892485.49558937876</v>
      </c>
      <c r="U2238" s="553">
        <f>'Foglio deposito bis'!$F$92*IF(ABS(O2238)&lt;'Progetto del paramento slu'!$G$58,ABS(O2238)*'Progetto del paramento slu'!$G$54,'Progetto del paramento slu'!$G$53)*IF(O2238&lt;0,-1,1)</f>
        <v>1662039.1047339395</v>
      </c>
      <c r="V2238" s="479">
        <f t="shared" ref="V2238:V2301" si="168">P2238+Q2238+R2238+S2238+T2238+U2238</f>
        <v>2705328.2312294943</v>
      </c>
      <c r="W2238" s="559"/>
      <c r="X2238" s="559"/>
    </row>
    <row r="2239" spans="1:24" x14ac:dyDescent="0.25">
      <c r="A2239" s="553">
        <f t="shared" si="167"/>
        <v>2702467.0040796483</v>
      </c>
      <c r="B2239" s="3">
        <f t="shared" ref="B2239:B2302" si="169">B2238+0.05</f>
        <v>0.1</v>
      </c>
      <c r="C2239" s="553">
        <f>'Foglio deposito bis'!$E$162/sezione!$B$247*B2239</f>
        <v>0.40596615748933074</v>
      </c>
      <c r="D2239" s="611">
        <f>-'Progetto del paramento slu'!$G$47*'Progetto del paramento slu'!$G$41*IF(DATI!$G$218="dx",DATI!$E$61,DATI!$E$64*DATI!$E$63)*1000*C2239^2*sezione!$AD$5*(1-sezione!$AD$6)</f>
        <v>-1356.7037055373551</v>
      </c>
      <c r="E2239" s="553">
        <f>-'Foglio deposito bis'!$F$88*(C2239-sezione!$AL$36)*IF(ABS(K2239)&lt;'Progetto del paramento slu'!$G$58,ABS(K2239)*'Progetto del paramento slu'!$G$54,'Progetto del paramento slu'!$G$53)</f>
        <v>0</v>
      </c>
      <c r="F2239" s="553">
        <f>-'Foglio deposito bis'!$F$89*(C2239-sezione!$AM$36)*IF(ABS(L2239)&lt;'Progetto del paramento slu'!$G$58,ABS(L2239)*'Progetto del paramento slu'!$G$54,'Progetto del paramento slu'!$G$53)</f>
        <v>22987345.97643723</v>
      </c>
      <c r="G2239" s="553">
        <f>-'Foglio deposito bis'!$F$90*(C2239-sezione!$AN$36)*IF(ABS(M2239)&lt;'Progetto del paramento slu'!$G$58,ABS(M2239)*'Progetto del paramento slu'!$G$54,'Progetto del paramento slu'!$G$53)</f>
        <v>0</v>
      </c>
      <c r="H2239" s="553">
        <f>-'Foglio deposito bis'!$F$91*(C2239-sezione!$AO$36)*IF(ABS(N2239)&lt;'Progetto del paramento slu'!$G$58,ABS(N2239)*'Progetto del paramento slu'!$G$54,'Progetto del paramento slu'!$G$53)</f>
        <v>303082749.5931294</v>
      </c>
      <c r="I2239" s="479">
        <f>-'Foglio deposito bis'!$F$92*(C2239-sezione!$AP$36)*IF(ABS(O2239)&lt;'Progetto del paramento slu'!$G$58,ABS(O2239)*'Progetto del paramento slu'!$G$54,'Progetto del paramento slu'!$G$53)</f>
        <v>431470377.97267538</v>
      </c>
      <c r="J2239" s="479">
        <f t="shared" si="165"/>
        <v>757539116.8385365</v>
      </c>
      <c r="K2239" s="558">
        <f>'Progetto del paramento slu'!$G$60*(sezione!$AL$36-C2239)/C2239</f>
        <v>0.34135633202979332</v>
      </c>
      <c r="L2239" s="558">
        <f>'Progetto del paramento slu'!$G$60*(sezione!$AM$36-C2239)/C2239</f>
        <v>1.289711245111725</v>
      </c>
      <c r="M2239" s="559">
        <f>'Progetto del paramento slu'!$G$60*(sezione!$AN$36-C2239)/C2239</f>
        <v>2.2380661581936567</v>
      </c>
      <c r="N2239" s="559">
        <f>'Progetto del paramento slu'!$G$60*(sezione!$AO$36-C2239)/C2239</f>
        <v>2.9277788222532428</v>
      </c>
      <c r="O2239" s="559">
        <f>'Progetto del paramento slu'!$G$60*(sezione!$AP$36-C2239)/C2239</f>
        <v>2.2381436679702049</v>
      </c>
      <c r="P2239" s="553">
        <f>-'Progetto del paramento slu'!$G$47*'Progetto del paramento slu'!$G$41*IF(DATI!$G$218="dx",DATI!$E$61,DATI!$E$64*DATI!$E$63)*1000*C2239*sezione!$AD$5</f>
        <v>-5722.4542996922819</v>
      </c>
      <c r="Q2239" s="553">
        <f>'Foglio deposito bis'!$F$88*IF(ABS(K2239)&lt;'Progetto del paramento slu'!$G$58,ABS(K2239)*'Progetto del paramento slu'!$G$54,'Progetto del paramento slu'!$G$53)*IF(K2239&lt;0,-1,1)</f>
        <v>0</v>
      </c>
      <c r="R2239" s="553">
        <f>'Foglio deposito bis'!$F$89*IF(ABS(L2239)&lt;'Progetto del paramento slu'!$G$58,ABS(L2239)*'Progetto del paramento slu'!$G$54,'Progetto del paramento slu'!$G$53)*IF(L2239&lt;0,-1,1)</f>
        <v>153664.85805602249</v>
      </c>
      <c r="S2239" s="553">
        <f>'Foglio deposito bis'!$F$90*IF(ABS(M2239)&lt;'Progetto del paramento slu'!$G$58,ABS(M2239)*'Progetto del paramento slu'!$G$54,'Progetto del paramento slu'!$G$53)*IF(M2239&lt;0,-1,1)</f>
        <v>0</v>
      </c>
      <c r="T2239" s="553">
        <f>'Foglio deposito bis'!$F$91*IF(ABS(N2239)&lt;'Progetto del paramento slu'!$G$58,ABS(N2239)*'Progetto del paramento slu'!$G$54,'Progetto del paramento slu'!$G$53)*IF(N2239&lt;0,-1,1)</f>
        <v>892485.49558937876</v>
      </c>
      <c r="U2239" s="553">
        <f>'Foglio deposito bis'!$F$92*IF(ABS(O2239)&lt;'Progetto del paramento slu'!$G$58,ABS(O2239)*'Progetto del paramento slu'!$G$54,'Progetto del paramento slu'!$G$53)*IF(O2239&lt;0,-1,1)</f>
        <v>1662039.1047339395</v>
      </c>
      <c r="V2239" s="479">
        <f t="shared" si="168"/>
        <v>2702467.0040796483</v>
      </c>
      <c r="W2239" s="559"/>
      <c r="X2239" s="559"/>
    </row>
    <row r="2240" spans="1:24" x14ac:dyDescent="0.25">
      <c r="A2240" s="553">
        <f t="shared" si="167"/>
        <v>2699605.7769298023</v>
      </c>
      <c r="B2240" s="3">
        <f t="shared" si="169"/>
        <v>0.15000000000000002</v>
      </c>
      <c r="C2240" s="553">
        <f>'Foglio deposito bis'!$E$162/sezione!$B$247*B2240</f>
        <v>0.60894923623399622</v>
      </c>
      <c r="D2240" s="611">
        <f>-'Progetto del paramento slu'!$G$47*'Progetto del paramento slu'!$G$41*IF(DATI!$G$218="dx",DATI!$E$61,DATI!$E$64*DATI!$E$63)*1000*C2240^2*sezione!$AD$5*(1-sezione!$AD$6)</f>
        <v>-3052.5833374590497</v>
      </c>
      <c r="E2240" s="553">
        <f>-'Foglio deposito bis'!$F$88*(C2240-sezione!$AL$36)*IF(ABS(K2240)&lt;'Progetto del paramento slu'!$G$58,ABS(K2240)*'Progetto del paramento slu'!$G$54,'Progetto del paramento slu'!$G$53)</f>
        <v>0</v>
      </c>
      <c r="F2240" s="553">
        <f>-'Foglio deposito bis'!$F$89*(C2240-sezione!$AM$36)*IF(ABS(L2240)&lt;'Progetto del paramento slu'!$G$58,ABS(L2240)*'Progetto del paramento slu'!$G$54,'Progetto del paramento slu'!$G$53)</f>
        <v>22956154.610454153</v>
      </c>
      <c r="G2240" s="553">
        <f>-'Foglio deposito bis'!$F$90*(C2240-sezione!$AN$36)*IF(ABS(M2240)&lt;'Progetto del paramento slu'!$G$58,ABS(M2240)*'Progetto del paramento slu'!$G$54,'Progetto del paramento slu'!$G$53)</f>
        <v>0</v>
      </c>
      <c r="H2240" s="553">
        <f>-'Foglio deposito bis'!$F$91*(C2240-sezione!$AO$36)*IF(ABS(N2240)&lt;'Progetto del paramento slu'!$G$58,ABS(N2240)*'Progetto del paramento slu'!$G$54,'Progetto del paramento slu'!$G$53)</f>
        <v>302901590.13949972</v>
      </c>
      <c r="I2240" s="479">
        <f>-'Foglio deposito bis'!$F$92*(C2240-sezione!$AP$36)*IF(ABS(O2240)&lt;'Progetto del paramento slu'!$G$58,ABS(O2240)*'Progetto del paramento slu'!$G$54,'Progetto del paramento slu'!$G$53)</f>
        <v>431133012.15820259</v>
      </c>
      <c r="J2240" s="479">
        <f t="shared" si="165"/>
        <v>756987704.32481909</v>
      </c>
      <c r="K2240" s="558">
        <f>'Progetto del paramento slu'!$G$60*(sezione!$AL$36-C2240)/C2240</f>
        <v>0.22640422135319549</v>
      </c>
      <c r="L2240" s="558">
        <f>'Progetto del paramento slu'!$G$60*(sezione!$AM$36-C2240)/C2240</f>
        <v>0.85864083007448311</v>
      </c>
      <c r="M2240" s="559">
        <f>'Progetto del paramento slu'!$G$60*(sezione!$AN$36-C2240)/C2240</f>
        <v>1.4908774387957708</v>
      </c>
      <c r="N2240" s="559">
        <f>'Progetto del paramento slu'!$G$60*(sezione!$AO$36-C2240)/C2240</f>
        <v>1.9506858815021617</v>
      </c>
      <c r="O2240" s="559">
        <f>'Progetto del paramento slu'!$G$60*(sezione!$AP$36-C2240)/C2240</f>
        <v>1.4909291119801364</v>
      </c>
      <c r="P2240" s="553">
        <f>-'Progetto del paramento slu'!$G$47*'Progetto del paramento slu'!$G$41*IF(DATI!$G$218="dx",DATI!$E$61,DATI!$E$64*DATI!$E$63)*1000*C2240*sezione!$AD$5</f>
        <v>-8583.6814495384242</v>
      </c>
      <c r="Q2240" s="553">
        <f>'Foglio deposito bis'!$F$88*IF(ABS(K2240)&lt;'Progetto del paramento slu'!$G$58,ABS(K2240)*'Progetto del paramento slu'!$G$54,'Progetto del paramento slu'!$G$53)*IF(K2240&lt;0,-1,1)</f>
        <v>0</v>
      </c>
      <c r="R2240" s="553">
        <f>'Foglio deposito bis'!$F$89*IF(ABS(L2240)&lt;'Progetto del paramento slu'!$G$58,ABS(L2240)*'Progetto del paramento slu'!$G$54,'Progetto del paramento slu'!$G$53)*IF(L2240&lt;0,-1,1)</f>
        <v>153664.85805602249</v>
      </c>
      <c r="S2240" s="553">
        <f>'Foglio deposito bis'!$F$90*IF(ABS(M2240)&lt;'Progetto del paramento slu'!$G$58,ABS(M2240)*'Progetto del paramento slu'!$G$54,'Progetto del paramento slu'!$G$53)*IF(M2240&lt;0,-1,1)</f>
        <v>0</v>
      </c>
      <c r="T2240" s="553">
        <f>'Foglio deposito bis'!$F$91*IF(ABS(N2240)&lt;'Progetto del paramento slu'!$G$58,ABS(N2240)*'Progetto del paramento slu'!$G$54,'Progetto del paramento slu'!$G$53)*IF(N2240&lt;0,-1,1)</f>
        <v>892485.49558937876</v>
      </c>
      <c r="U2240" s="553">
        <f>'Foglio deposito bis'!$F$92*IF(ABS(O2240)&lt;'Progetto del paramento slu'!$G$58,ABS(O2240)*'Progetto del paramento slu'!$G$54,'Progetto del paramento slu'!$G$53)*IF(O2240&lt;0,-1,1)</f>
        <v>1662039.1047339395</v>
      </c>
      <c r="V2240" s="479">
        <f t="shared" si="168"/>
        <v>2699605.7769298023</v>
      </c>
      <c r="W2240" s="559"/>
      <c r="X2240" s="559"/>
    </row>
    <row r="2241" spans="1:24" x14ac:dyDescent="0.25">
      <c r="A2241" s="553">
        <f t="shared" si="167"/>
        <v>2696744.5497799562</v>
      </c>
      <c r="B2241" s="3">
        <f t="shared" si="169"/>
        <v>0.2</v>
      </c>
      <c r="C2241" s="553">
        <f>'Foglio deposito bis'!$E$162/sezione!$B$247*B2241</f>
        <v>0.81193231497866147</v>
      </c>
      <c r="D2241" s="611">
        <f>-'Progetto del paramento slu'!$G$47*'Progetto del paramento slu'!$G$41*IF(DATI!$G$218="dx",DATI!$E$61,DATI!$E$64*DATI!$E$63)*1000*C2241^2*sezione!$AD$5*(1-sezione!$AD$6)</f>
        <v>-5426.8148221494203</v>
      </c>
      <c r="E2241" s="553">
        <f>-'Foglio deposito bis'!$F$88*(C2241-sezione!$AL$36)*IF(ABS(K2241)&lt;'Progetto del paramento slu'!$G$58,ABS(K2241)*'Progetto del paramento slu'!$G$54,'Progetto del paramento slu'!$G$53)</f>
        <v>0</v>
      </c>
      <c r="F2241" s="553">
        <f>-'Foglio deposito bis'!$F$89*(C2241-sezione!$AM$36)*IF(ABS(L2241)&lt;'Progetto del paramento slu'!$G$58,ABS(L2241)*'Progetto del paramento slu'!$G$54,'Progetto del paramento slu'!$G$53)</f>
        <v>22924963.244471081</v>
      </c>
      <c r="G2241" s="553">
        <f>-'Foglio deposito bis'!$F$90*(C2241-sezione!$AN$36)*IF(ABS(M2241)&lt;'Progetto del paramento slu'!$G$58,ABS(M2241)*'Progetto del paramento slu'!$G$54,'Progetto del paramento slu'!$G$53)</f>
        <v>0</v>
      </c>
      <c r="H2241" s="553">
        <f>-'Foglio deposito bis'!$F$91*(C2241-sezione!$AO$36)*IF(ABS(N2241)&lt;'Progetto del paramento slu'!$G$58,ABS(N2241)*'Progetto del paramento slu'!$G$54,'Progetto del paramento slu'!$G$53)</f>
        <v>302720430.68587005</v>
      </c>
      <c r="I2241" s="479">
        <f>-'Foglio deposito bis'!$F$92*(C2241-sezione!$AP$36)*IF(ABS(O2241)&lt;'Progetto del paramento slu'!$G$58,ABS(O2241)*'Progetto del paramento slu'!$G$54,'Progetto del paramento slu'!$G$53)</f>
        <v>430795646.34372956</v>
      </c>
      <c r="J2241" s="479">
        <f t="shared" si="165"/>
        <v>756435613.45924854</v>
      </c>
      <c r="K2241" s="558">
        <f>'Progetto del paramento slu'!$G$60*(sezione!$AL$36-C2241)/C2241</f>
        <v>0.16892816601489666</v>
      </c>
      <c r="L2241" s="558">
        <f>'Progetto del paramento slu'!$G$60*(sezione!$AM$36-C2241)/C2241</f>
        <v>0.64310562255586246</v>
      </c>
      <c r="M2241" s="559">
        <f>'Progetto del paramento slu'!$G$60*(sezione!$AN$36-C2241)/C2241</f>
        <v>1.1172830790968282</v>
      </c>
      <c r="N2241" s="559">
        <f>'Progetto del paramento slu'!$G$60*(sezione!$AO$36-C2241)/C2241</f>
        <v>1.4621394111266215</v>
      </c>
      <c r="O2241" s="559">
        <f>'Progetto del paramento slu'!$G$60*(sezione!$AP$36-C2241)/C2241</f>
        <v>1.1173218339851023</v>
      </c>
      <c r="P2241" s="553">
        <f>-'Progetto del paramento slu'!$G$47*'Progetto del paramento slu'!$G$41*IF(DATI!$G$218="dx",DATI!$E$61,DATI!$E$64*DATI!$E$63)*1000*C2241*sezione!$AD$5</f>
        <v>-11444.908599384564</v>
      </c>
      <c r="Q2241" s="553">
        <f>'Foglio deposito bis'!$F$88*IF(ABS(K2241)&lt;'Progetto del paramento slu'!$G$58,ABS(K2241)*'Progetto del paramento slu'!$G$54,'Progetto del paramento slu'!$G$53)*IF(K2241&lt;0,-1,1)</f>
        <v>0</v>
      </c>
      <c r="R2241" s="553">
        <f>'Foglio deposito bis'!$F$89*IF(ABS(L2241)&lt;'Progetto del paramento slu'!$G$58,ABS(L2241)*'Progetto del paramento slu'!$G$54,'Progetto del paramento slu'!$G$53)*IF(L2241&lt;0,-1,1)</f>
        <v>153664.85805602249</v>
      </c>
      <c r="S2241" s="553">
        <f>'Foglio deposito bis'!$F$90*IF(ABS(M2241)&lt;'Progetto del paramento slu'!$G$58,ABS(M2241)*'Progetto del paramento slu'!$G$54,'Progetto del paramento slu'!$G$53)*IF(M2241&lt;0,-1,1)</f>
        <v>0</v>
      </c>
      <c r="T2241" s="553">
        <f>'Foglio deposito bis'!$F$91*IF(ABS(N2241)&lt;'Progetto del paramento slu'!$G$58,ABS(N2241)*'Progetto del paramento slu'!$G$54,'Progetto del paramento slu'!$G$53)*IF(N2241&lt;0,-1,1)</f>
        <v>892485.49558937876</v>
      </c>
      <c r="U2241" s="553">
        <f>'Foglio deposito bis'!$F$92*IF(ABS(O2241)&lt;'Progetto del paramento slu'!$G$58,ABS(O2241)*'Progetto del paramento slu'!$G$54,'Progetto del paramento slu'!$G$53)*IF(O2241&lt;0,-1,1)</f>
        <v>1662039.1047339395</v>
      </c>
      <c r="V2241" s="479">
        <f t="shared" si="168"/>
        <v>2696744.5497799562</v>
      </c>
      <c r="W2241" s="559"/>
      <c r="X2241" s="559"/>
    </row>
    <row r="2242" spans="1:24" x14ac:dyDescent="0.25">
      <c r="A2242" s="553">
        <f t="shared" si="167"/>
        <v>2693883.3226301102</v>
      </c>
      <c r="B2242" s="3">
        <f t="shared" si="169"/>
        <v>0.25</v>
      </c>
      <c r="C2242" s="553">
        <f>'Foglio deposito bis'!$E$162/sezione!$B$247*B2242</f>
        <v>1.0149153937233268</v>
      </c>
      <c r="D2242" s="611">
        <f>-'Progetto del paramento slu'!$G$47*'Progetto del paramento slu'!$G$41*IF(DATI!$G$218="dx",DATI!$E$61,DATI!$E$64*DATI!$E$63)*1000*C2242^2*sezione!$AD$5*(1-sezione!$AD$6)</f>
        <v>-8479.3981596084686</v>
      </c>
      <c r="E2242" s="553">
        <f>-'Foglio deposito bis'!$F$88*(C2242-sezione!$AL$36)*IF(ABS(K2242)&lt;'Progetto del paramento slu'!$G$58,ABS(K2242)*'Progetto del paramento slu'!$G$54,'Progetto del paramento slu'!$G$53)</f>
        <v>0</v>
      </c>
      <c r="F2242" s="553">
        <f>-'Foglio deposito bis'!$F$89*(C2242-sezione!$AM$36)*IF(ABS(L2242)&lt;'Progetto del paramento slu'!$G$58,ABS(L2242)*'Progetto del paramento slu'!$G$54,'Progetto del paramento slu'!$G$53)</f>
        <v>22893771.878488008</v>
      </c>
      <c r="G2242" s="553">
        <f>-'Foglio deposito bis'!$F$90*(C2242-sezione!$AN$36)*IF(ABS(M2242)&lt;'Progetto del paramento slu'!$G$58,ABS(M2242)*'Progetto del paramento slu'!$G$54,'Progetto del paramento slu'!$G$53)</f>
        <v>0</v>
      </c>
      <c r="H2242" s="553">
        <f>-'Foglio deposito bis'!$F$91*(C2242-sezione!$AO$36)*IF(ABS(N2242)&lt;'Progetto del paramento slu'!$G$58,ABS(N2242)*'Progetto del paramento slu'!$G$54,'Progetto del paramento slu'!$G$53)</f>
        <v>302539271.23224038</v>
      </c>
      <c r="I2242" s="479">
        <f>-'Foglio deposito bis'!$F$92*(C2242-sezione!$AP$36)*IF(ABS(O2242)&lt;'Progetto del paramento slu'!$G$58,ABS(O2242)*'Progetto del paramento slu'!$G$54,'Progetto del paramento slu'!$G$53)</f>
        <v>430458280.52925676</v>
      </c>
      <c r="J2242" s="479">
        <f t="shared" si="165"/>
        <v>755882844.24182558</v>
      </c>
      <c r="K2242" s="558">
        <f>'Progetto del paramento slu'!$G$60*(sezione!$AL$36-C2242)/C2242</f>
        <v>0.13444253281191731</v>
      </c>
      <c r="L2242" s="558">
        <f>'Progetto del paramento slu'!$G$60*(sezione!$AM$36-C2242)/C2242</f>
        <v>0.51378449804468995</v>
      </c>
      <c r="M2242" s="559">
        <f>'Progetto del paramento slu'!$G$60*(sezione!$AN$36-C2242)/C2242</f>
        <v>0.8931264632774627</v>
      </c>
      <c r="N2242" s="559">
        <f>'Progetto del paramento slu'!$G$60*(sezione!$AO$36-C2242)/C2242</f>
        <v>1.1690115289012972</v>
      </c>
      <c r="O2242" s="559">
        <f>'Progetto del paramento slu'!$G$60*(sezione!$AP$36-C2242)/C2242</f>
        <v>0.89315746718808198</v>
      </c>
      <c r="P2242" s="553">
        <f>-'Progetto del paramento slu'!$G$47*'Progetto del paramento slu'!$G$41*IF(DATI!$G$218="dx",DATI!$E$61,DATI!$E$64*DATI!$E$63)*1000*C2242*sezione!$AD$5</f>
        <v>-14306.135749230705</v>
      </c>
      <c r="Q2242" s="553">
        <f>'Foglio deposito bis'!$F$88*IF(ABS(K2242)&lt;'Progetto del paramento slu'!$G$58,ABS(K2242)*'Progetto del paramento slu'!$G$54,'Progetto del paramento slu'!$G$53)*IF(K2242&lt;0,-1,1)</f>
        <v>0</v>
      </c>
      <c r="R2242" s="553">
        <f>'Foglio deposito bis'!$F$89*IF(ABS(L2242)&lt;'Progetto del paramento slu'!$G$58,ABS(L2242)*'Progetto del paramento slu'!$G$54,'Progetto del paramento slu'!$G$53)*IF(L2242&lt;0,-1,1)</f>
        <v>153664.85805602249</v>
      </c>
      <c r="S2242" s="553">
        <f>'Foglio deposito bis'!$F$90*IF(ABS(M2242)&lt;'Progetto del paramento slu'!$G$58,ABS(M2242)*'Progetto del paramento slu'!$G$54,'Progetto del paramento slu'!$G$53)*IF(M2242&lt;0,-1,1)</f>
        <v>0</v>
      </c>
      <c r="T2242" s="553">
        <f>'Foglio deposito bis'!$F$91*IF(ABS(N2242)&lt;'Progetto del paramento slu'!$G$58,ABS(N2242)*'Progetto del paramento slu'!$G$54,'Progetto del paramento slu'!$G$53)*IF(N2242&lt;0,-1,1)</f>
        <v>892485.49558937876</v>
      </c>
      <c r="U2242" s="553">
        <f>'Foglio deposito bis'!$F$92*IF(ABS(O2242)&lt;'Progetto del paramento slu'!$G$58,ABS(O2242)*'Progetto del paramento slu'!$G$54,'Progetto del paramento slu'!$G$53)*IF(O2242&lt;0,-1,1)</f>
        <v>1662039.1047339395</v>
      </c>
      <c r="V2242" s="479">
        <f t="shared" si="168"/>
        <v>2693883.3226301102</v>
      </c>
      <c r="W2242" s="559"/>
      <c r="X2242" s="559"/>
    </row>
    <row r="2243" spans="1:24" x14ac:dyDescent="0.25">
      <c r="A2243" s="553">
        <f t="shared" si="167"/>
        <v>2691022.0954802642</v>
      </c>
      <c r="B2243" s="3">
        <f t="shared" si="169"/>
        <v>0.3</v>
      </c>
      <c r="C2243" s="553">
        <f>'Foglio deposito bis'!$E$162/sezione!$B$247*B2243</f>
        <v>1.2178984724679922</v>
      </c>
      <c r="D2243" s="611">
        <f>-'Progetto del paramento slu'!$G$47*'Progetto del paramento slu'!$G$41*IF(DATI!$G$218="dx",DATI!$E$61,DATI!$E$64*DATI!$E$63)*1000*C2243^2*sezione!$AD$5*(1-sezione!$AD$6)</f>
        <v>-12210.333349836195</v>
      </c>
      <c r="E2243" s="553">
        <f>-'Foglio deposito bis'!$F$88*(C2243-sezione!$AL$36)*IF(ABS(K2243)&lt;'Progetto del paramento slu'!$G$58,ABS(K2243)*'Progetto del paramento slu'!$G$54,'Progetto del paramento slu'!$G$53)</f>
        <v>0</v>
      </c>
      <c r="F2243" s="553">
        <f>-'Foglio deposito bis'!$F$89*(C2243-sezione!$AM$36)*IF(ABS(L2243)&lt;'Progetto del paramento slu'!$G$58,ABS(L2243)*'Progetto del paramento slu'!$G$54,'Progetto del paramento slu'!$G$53)</f>
        <v>22862580.512504935</v>
      </c>
      <c r="G2243" s="553">
        <f>-'Foglio deposito bis'!$F$90*(C2243-sezione!$AN$36)*IF(ABS(M2243)&lt;'Progetto del paramento slu'!$G$58,ABS(M2243)*'Progetto del paramento slu'!$G$54,'Progetto del paramento slu'!$G$53)</f>
        <v>0</v>
      </c>
      <c r="H2243" s="553">
        <f>-'Foglio deposito bis'!$F$91*(C2243-sezione!$AO$36)*IF(ABS(N2243)&lt;'Progetto del paramento slu'!$G$58,ABS(N2243)*'Progetto del paramento slu'!$G$54,'Progetto del paramento slu'!$G$53)</f>
        <v>302358111.77861065</v>
      </c>
      <c r="I2243" s="479">
        <f>-'Foglio deposito bis'!$F$92*(C2243-sezione!$AP$36)*IF(ABS(O2243)&lt;'Progetto del paramento slu'!$G$58,ABS(O2243)*'Progetto del paramento slu'!$G$54,'Progetto del paramento slu'!$G$53)</f>
        <v>430120914.71478373</v>
      </c>
      <c r="J2243" s="479">
        <f t="shared" si="165"/>
        <v>755329396.67254949</v>
      </c>
      <c r="K2243" s="558">
        <f>'Progetto del paramento slu'!$G$60*(sezione!$AL$36-C2243)/C2243</f>
        <v>0.11145211067659777</v>
      </c>
      <c r="L2243" s="558">
        <f>'Progetto del paramento slu'!$G$60*(sezione!$AM$36-C2243)/C2243</f>
        <v>0.42757041503724164</v>
      </c>
      <c r="M2243" s="559">
        <f>'Progetto del paramento slu'!$G$60*(sezione!$AN$36-C2243)/C2243</f>
        <v>0.7436887193978855</v>
      </c>
      <c r="N2243" s="559">
        <f>'Progetto del paramento slu'!$G$60*(sezione!$AO$36-C2243)/C2243</f>
        <v>0.97359294075108116</v>
      </c>
      <c r="O2243" s="559">
        <f>'Progetto del paramento slu'!$G$60*(sezione!$AP$36-C2243)/C2243</f>
        <v>0.74371455599006819</v>
      </c>
      <c r="P2243" s="553">
        <f>-'Progetto del paramento slu'!$G$47*'Progetto del paramento slu'!$G$41*IF(DATI!$G$218="dx",DATI!$E$61,DATI!$E$64*DATI!$E$63)*1000*C2243*sezione!$AD$5</f>
        <v>-17167.362899076845</v>
      </c>
      <c r="Q2243" s="553">
        <f>'Foglio deposito bis'!$F$88*IF(ABS(K2243)&lt;'Progetto del paramento slu'!$G$58,ABS(K2243)*'Progetto del paramento slu'!$G$54,'Progetto del paramento slu'!$G$53)*IF(K2243&lt;0,-1,1)</f>
        <v>0</v>
      </c>
      <c r="R2243" s="553">
        <f>'Foglio deposito bis'!$F$89*IF(ABS(L2243)&lt;'Progetto del paramento slu'!$G$58,ABS(L2243)*'Progetto del paramento slu'!$G$54,'Progetto del paramento slu'!$G$53)*IF(L2243&lt;0,-1,1)</f>
        <v>153664.85805602249</v>
      </c>
      <c r="S2243" s="553">
        <f>'Foglio deposito bis'!$F$90*IF(ABS(M2243)&lt;'Progetto del paramento slu'!$G$58,ABS(M2243)*'Progetto del paramento slu'!$G$54,'Progetto del paramento slu'!$G$53)*IF(M2243&lt;0,-1,1)</f>
        <v>0</v>
      </c>
      <c r="T2243" s="553">
        <f>'Foglio deposito bis'!$F$91*IF(ABS(N2243)&lt;'Progetto del paramento slu'!$G$58,ABS(N2243)*'Progetto del paramento slu'!$G$54,'Progetto del paramento slu'!$G$53)*IF(N2243&lt;0,-1,1)</f>
        <v>892485.49558937876</v>
      </c>
      <c r="U2243" s="553">
        <f>'Foglio deposito bis'!$F$92*IF(ABS(O2243)&lt;'Progetto del paramento slu'!$G$58,ABS(O2243)*'Progetto del paramento slu'!$G$54,'Progetto del paramento slu'!$G$53)*IF(O2243&lt;0,-1,1)</f>
        <v>1662039.1047339395</v>
      </c>
      <c r="V2243" s="479">
        <f t="shared" si="168"/>
        <v>2691022.0954802642</v>
      </c>
      <c r="W2243" s="559"/>
      <c r="X2243" s="559"/>
    </row>
    <row r="2244" spans="1:24" x14ac:dyDescent="0.25">
      <c r="A2244" s="553">
        <f t="shared" si="167"/>
        <v>2688160.8683304177</v>
      </c>
      <c r="B2244" s="3">
        <f t="shared" si="169"/>
        <v>0.35</v>
      </c>
      <c r="C2244" s="553">
        <f>'Foglio deposito bis'!$E$162/sezione!$B$247*B2244</f>
        <v>1.4208815512126576</v>
      </c>
      <c r="D2244" s="611">
        <f>-'Progetto del paramento slu'!$G$47*'Progetto del paramento slu'!$G$41*IF(DATI!$G$218="dx",DATI!$E$61,DATI!$E$64*DATI!$E$63)*1000*C2244^2*sezione!$AD$5*(1-sezione!$AD$6)</f>
        <v>-16619.620392832599</v>
      </c>
      <c r="E2244" s="553">
        <f>-'Foglio deposito bis'!$F$88*(C2244-sezione!$AL$36)*IF(ABS(K2244)&lt;'Progetto del paramento slu'!$G$58,ABS(K2244)*'Progetto del paramento slu'!$G$54,'Progetto del paramento slu'!$G$53)</f>
        <v>0</v>
      </c>
      <c r="F2244" s="553">
        <f>-'Foglio deposito bis'!$F$89*(C2244-sezione!$AM$36)*IF(ABS(L2244)&lt;'Progetto del paramento slu'!$G$58,ABS(L2244)*'Progetto del paramento slu'!$G$54,'Progetto del paramento slu'!$G$53)</f>
        <v>22831389.146521859</v>
      </c>
      <c r="G2244" s="553">
        <f>-'Foglio deposito bis'!$F$90*(C2244-sezione!$AN$36)*IF(ABS(M2244)&lt;'Progetto del paramento slu'!$G$58,ABS(M2244)*'Progetto del paramento slu'!$G$54,'Progetto del paramento slu'!$G$53)</f>
        <v>0</v>
      </c>
      <c r="H2244" s="553">
        <f>-'Foglio deposito bis'!$F$91*(C2244-sezione!$AO$36)*IF(ABS(N2244)&lt;'Progetto del paramento slu'!$G$58,ABS(N2244)*'Progetto del paramento slu'!$G$54,'Progetto del paramento slu'!$G$53)</f>
        <v>302176952.32498097</v>
      </c>
      <c r="I2244" s="479">
        <f>-'Foglio deposito bis'!$F$92*(C2244-sezione!$AP$36)*IF(ABS(O2244)&lt;'Progetto del paramento slu'!$G$58,ABS(O2244)*'Progetto del paramento slu'!$G$54,'Progetto del paramento slu'!$G$53)</f>
        <v>429783548.90031081</v>
      </c>
      <c r="J2244" s="479">
        <f t="shared" si="165"/>
        <v>754775270.75142074</v>
      </c>
      <c r="K2244" s="558">
        <f>'Progetto del paramento slu'!$G$60*(sezione!$AL$36-C2244)/C2244</f>
        <v>9.503038057994094E-2</v>
      </c>
      <c r="L2244" s="558">
        <f>'Progetto del paramento slu'!$G$60*(sezione!$AM$36-C2244)/C2244</f>
        <v>0.36598892717477854</v>
      </c>
      <c r="M2244" s="559">
        <f>'Progetto del paramento slu'!$G$60*(sezione!$AN$36-C2244)/C2244</f>
        <v>0.63694747376961625</v>
      </c>
      <c r="N2244" s="559">
        <f>'Progetto del paramento slu'!$G$60*(sezione!$AO$36-C2244)/C2244</f>
        <v>0.83400823492949805</v>
      </c>
      <c r="O2244" s="559">
        <f>'Progetto del paramento slu'!$G$60*(sezione!$AP$36-C2244)/C2244</f>
        <v>0.63696961942005859</v>
      </c>
      <c r="P2244" s="553">
        <f>-'Progetto del paramento slu'!$G$47*'Progetto del paramento slu'!$G$41*IF(DATI!$G$218="dx",DATI!$E$61,DATI!$E$64*DATI!$E$63)*1000*C2244*sezione!$AD$5</f>
        <v>-20028.59004892299</v>
      </c>
      <c r="Q2244" s="553">
        <f>'Foglio deposito bis'!$F$88*IF(ABS(K2244)&lt;'Progetto del paramento slu'!$G$58,ABS(K2244)*'Progetto del paramento slu'!$G$54,'Progetto del paramento slu'!$G$53)*IF(K2244&lt;0,-1,1)</f>
        <v>0</v>
      </c>
      <c r="R2244" s="553">
        <f>'Foglio deposito bis'!$F$89*IF(ABS(L2244)&lt;'Progetto del paramento slu'!$G$58,ABS(L2244)*'Progetto del paramento slu'!$G$54,'Progetto del paramento slu'!$G$53)*IF(L2244&lt;0,-1,1)</f>
        <v>153664.85805602249</v>
      </c>
      <c r="S2244" s="553">
        <f>'Foglio deposito bis'!$F$90*IF(ABS(M2244)&lt;'Progetto del paramento slu'!$G$58,ABS(M2244)*'Progetto del paramento slu'!$G$54,'Progetto del paramento slu'!$G$53)*IF(M2244&lt;0,-1,1)</f>
        <v>0</v>
      </c>
      <c r="T2244" s="553">
        <f>'Foglio deposito bis'!$F$91*IF(ABS(N2244)&lt;'Progetto del paramento slu'!$G$58,ABS(N2244)*'Progetto del paramento slu'!$G$54,'Progetto del paramento slu'!$G$53)*IF(N2244&lt;0,-1,1)</f>
        <v>892485.49558937876</v>
      </c>
      <c r="U2244" s="553">
        <f>'Foglio deposito bis'!$F$92*IF(ABS(O2244)&lt;'Progetto del paramento slu'!$G$58,ABS(O2244)*'Progetto del paramento slu'!$G$54,'Progetto del paramento slu'!$G$53)*IF(O2244&lt;0,-1,1)</f>
        <v>1662039.1047339395</v>
      </c>
      <c r="V2244" s="479">
        <f t="shared" si="168"/>
        <v>2688160.8683304177</v>
      </c>
      <c r="W2244" s="559"/>
      <c r="X2244" s="559"/>
    </row>
    <row r="2245" spans="1:24" x14ac:dyDescent="0.25">
      <c r="A2245" s="553">
        <f t="shared" si="167"/>
        <v>2685299.6411805716</v>
      </c>
      <c r="B2245" s="3">
        <f t="shared" si="169"/>
        <v>0.39999999999999997</v>
      </c>
      <c r="C2245" s="553">
        <f>'Foglio deposito bis'!$E$162/sezione!$B$247*B2245</f>
        <v>1.6238646299573227</v>
      </c>
      <c r="D2245" s="611">
        <f>-'Progetto del paramento slu'!$G$47*'Progetto del paramento slu'!$G$41*IF(DATI!$G$218="dx",DATI!$E$61,DATI!$E$64*DATI!$E$63)*1000*C2245^2*sezione!$AD$5*(1-sezione!$AD$6)</f>
        <v>-21707.259288597677</v>
      </c>
      <c r="E2245" s="553">
        <f>-'Foglio deposito bis'!$F$88*(C2245-sezione!$AL$36)*IF(ABS(K2245)&lt;'Progetto del paramento slu'!$G$58,ABS(K2245)*'Progetto del paramento slu'!$G$54,'Progetto del paramento slu'!$G$53)</f>
        <v>0</v>
      </c>
      <c r="F2245" s="553">
        <f>-'Foglio deposito bis'!$F$89*(C2245-sezione!$AM$36)*IF(ABS(L2245)&lt;'Progetto del paramento slu'!$G$58,ABS(L2245)*'Progetto del paramento slu'!$G$54,'Progetto del paramento slu'!$G$53)</f>
        <v>22800197.780538786</v>
      </c>
      <c r="G2245" s="553">
        <f>-'Foglio deposito bis'!$F$90*(C2245-sezione!$AN$36)*IF(ABS(M2245)&lt;'Progetto del paramento slu'!$G$58,ABS(M2245)*'Progetto del paramento slu'!$G$54,'Progetto del paramento slu'!$G$53)</f>
        <v>0</v>
      </c>
      <c r="H2245" s="553">
        <f>-'Foglio deposito bis'!$F$91*(C2245-sezione!$AO$36)*IF(ABS(N2245)&lt;'Progetto del paramento slu'!$G$58,ABS(N2245)*'Progetto del paramento slu'!$G$54,'Progetto del paramento slu'!$G$53)</f>
        <v>301995792.87135124</v>
      </c>
      <c r="I2245" s="479">
        <f>-'Foglio deposito bis'!$F$92*(C2245-sezione!$AP$36)*IF(ABS(O2245)&lt;'Progetto del paramento slu'!$G$58,ABS(O2245)*'Progetto del paramento slu'!$G$54,'Progetto del paramento slu'!$G$53)</f>
        <v>429446183.0858379</v>
      </c>
      <c r="J2245" s="479">
        <f t="shared" si="165"/>
        <v>754220466.47843933</v>
      </c>
      <c r="K2245" s="558">
        <f>'Progetto del paramento slu'!$G$60*(sezione!$AL$36-C2245)/C2245</f>
        <v>8.2714083007448327E-2</v>
      </c>
      <c r="L2245" s="558">
        <f>'Progetto del paramento slu'!$G$60*(sezione!$AM$36-C2245)/C2245</f>
        <v>0.31980281127793125</v>
      </c>
      <c r="M2245" s="559">
        <f>'Progetto del paramento slu'!$G$60*(sezione!$AN$36-C2245)/C2245</f>
        <v>0.55689153954841419</v>
      </c>
      <c r="N2245" s="559">
        <f>'Progetto del paramento slu'!$G$60*(sezione!$AO$36-C2245)/C2245</f>
        <v>0.72931970556331094</v>
      </c>
      <c r="O2245" s="559">
        <f>'Progetto del paramento slu'!$G$60*(sezione!$AP$36-C2245)/C2245</f>
        <v>0.55691091699255124</v>
      </c>
      <c r="P2245" s="553">
        <f>-'Progetto del paramento slu'!$G$47*'Progetto del paramento slu'!$G$41*IF(DATI!$G$218="dx",DATI!$E$61,DATI!$E$64*DATI!$E$63)*1000*C2245*sezione!$AD$5</f>
        <v>-22889.817198769128</v>
      </c>
      <c r="Q2245" s="553">
        <f>'Foglio deposito bis'!$F$88*IF(ABS(K2245)&lt;'Progetto del paramento slu'!$G$58,ABS(K2245)*'Progetto del paramento slu'!$G$54,'Progetto del paramento slu'!$G$53)*IF(K2245&lt;0,-1,1)</f>
        <v>0</v>
      </c>
      <c r="R2245" s="553">
        <f>'Foglio deposito bis'!$F$89*IF(ABS(L2245)&lt;'Progetto del paramento slu'!$G$58,ABS(L2245)*'Progetto del paramento slu'!$G$54,'Progetto del paramento slu'!$G$53)*IF(L2245&lt;0,-1,1)</f>
        <v>153664.85805602249</v>
      </c>
      <c r="S2245" s="553">
        <f>'Foglio deposito bis'!$F$90*IF(ABS(M2245)&lt;'Progetto del paramento slu'!$G$58,ABS(M2245)*'Progetto del paramento slu'!$G$54,'Progetto del paramento slu'!$G$53)*IF(M2245&lt;0,-1,1)</f>
        <v>0</v>
      </c>
      <c r="T2245" s="553">
        <f>'Foglio deposito bis'!$F$91*IF(ABS(N2245)&lt;'Progetto del paramento slu'!$G$58,ABS(N2245)*'Progetto del paramento slu'!$G$54,'Progetto del paramento slu'!$G$53)*IF(N2245&lt;0,-1,1)</f>
        <v>892485.49558937876</v>
      </c>
      <c r="U2245" s="553">
        <f>'Foglio deposito bis'!$F$92*IF(ABS(O2245)&lt;'Progetto del paramento slu'!$G$58,ABS(O2245)*'Progetto del paramento slu'!$G$54,'Progetto del paramento slu'!$G$53)*IF(O2245&lt;0,-1,1)</f>
        <v>1662039.1047339395</v>
      </c>
      <c r="V2245" s="479">
        <f t="shared" si="168"/>
        <v>2685299.6411805716</v>
      </c>
      <c r="W2245" s="559"/>
      <c r="X2245" s="559"/>
    </row>
    <row r="2246" spans="1:24" x14ac:dyDescent="0.25">
      <c r="A2246" s="553">
        <f t="shared" si="167"/>
        <v>2682438.4140307256</v>
      </c>
      <c r="B2246" s="3">
        <f t="shared" si="169"/>
        <v>0.44999999999999996</v>
      </c>
      <c r="C2246" s="553">
        <f>'Foglio deposito bis'!$E$162/sezione!$B$247*B2246</f>
        <v>1.8268477087019881</v>
      </c>
      <c r="D2246" s="611">
        <f>-'Progetto del paramento slu'!$G$47*'Progetto del paramento slu'!$G$41*IF(DATI!$G$218="dx",DATI!$E$61,DATI!$E$64*DATI!$E$63)*1000*C2246^2*sezione!$AD$5*(1-sezione!$AD$6)</f>
        <v>-27473.250037131431</v>
      </c>
      <c r="E2246" s="553">
        <f>-'Foglio deposito bis'!$F$88*(C2246-sezione!$AL$36)*IF(ABS(K2246)&lt;'Progetto del paramento slu'!$G$58,ABS(K2246)*'Progetto del paramento slu'!$G$54,'Progetto del paramento slu'!$G$53)</f>
        <v>0</v>
      </c>
      <c r="F2246" s="553">
        <f>-'Foglio deposito bis'!$F$89*(C2246-sezione!$AM$36)*IF(ABS(L2246)&lt;'Progetto del paramento slu'!$G$58,ABS(L2246)*'Progetto del paramento slu'!$G$54,'Progetto del paramento slu'!$G$53)</f>
        <v>22769006.414555714</v>
      </c>
      <c r="G2246" s="553">
        <f>-'Foglio deposito bis'!$F$90*(C2246-sezione!$AN$36)*IF(ABS(M2246)&lt;'Progetto del paramento slu'!$G$58,ABS(M2246)*'Progetto del paramento slu'!$G$54,'Progetto del paramento slu'!$G$53)</f>
        <v>0</v>
      </c>
      <c r="H2246" s="553">
        <f>-'Foglio deposito bis'!$F$91*(C2246-sezione!$AO$36)*IF(ABS(N2246)&lt;'Progetto del paramento slu'!$G$58,ABS(N2246)*'Progetto del paramento slu'!$G$54,'Progetto del paramento slu'!$G$53)</f>
        <v>301814633.41772163</v>
      </c>
      <c r="I2246" s="479">
        <f>-'Foglio deposito bis'!$F$92*(C2246-sezione!$AP$36)*IF(ABS(O2246)&lt;'Progetto del paramento slu'!$G$58,ABS(O2246)*'Progetto del paramento slu'!$G$54,'Progetto del paramento slu'!$G$53)</f>
        <v>429108817.27136499</v>
      </c>
      <c r="J2246" s="479">
        <f t="shared" si="165"/>
        <v>753664983.85360527</v>
      </c>
      <c r="K2246" s="558">
        <f>'Progetto del paramento slu'!$G$60*(sezione!$AL$36-C2246)/C2246</f>
        <v>7.3134740451065189E-2</v>
      </c>
      <c r="L2246" s="558">
        <f>'Progetto del paramento slu'!$G$60*(sezione!$AM$36-C2246)/C2246</f>
        <v>0.2838802766914944</v>
      </c>
      <c r="M2246" s="559">
        <f>'Progetto del paramento slu'!$G$60*(sezione!$AN$36-C2246)/C2246</f>
        <v>0.49462581293192376</v>
      </c>
      <c r="N2246" s="559">
        <f>'Progetto del paramento slu'!$G$60*(sezione!$AO$36-C2246)/C2246</f>
        <v>0.6478952938340542</v>
      </c>
      <c r="O2246" s="559">
        <f>'Progetto del paramento slu'!$G$60*(sezione!$AP$36-C2246)/C2246</f>
        <v>0.49464303732671228</v>
      </c>
      <c r="P2246" s="553">
        <f>-'Progetto del paramento slu'!$G$47*'Progetto del paramento slu'!$G$41*IF(DATI!$G$218="dx",DATI!$E$61,DATI!$E$64*DATI!$E$63)*1000*C2246*sezione!$AD$5</f>
        <v>-25751.044348615265</v>
      </c>
      <c r="Q2246" s="553">
        <f>'Foglio deposito bis'!$F$88*IF(ABS(K2246)&lt;'Progetto del paramento slu'!$G$58,ABS(K2246)*'Progetto del paramento slu'!$G$54,'Progetto del paramento slu'!$G$53)*IF(K2246&lt;0,-1,1)</f>
        <v>0</v>
      </c>
      <c r="R2246" s="553">
        <f>'Foglio deposito bis'!$F$89*IF(ABS(L2246)&lt;'Progetto del paramento slu'!$G$58,ABS(L2246)*'Progetto del paramento slu'!$G$54,'Progetto del paramento slu'!$G$53)*IF(L2246&lt;0,-1,1)</f>
        <v>153664.85805602249</v>
      </c>
      <c r="S2246" s="553">
        <f>'Foglio deposito bis'!$F$90*IF(ABS(M2246)&lt;'Progetto del paramento slu'!$G$58,ABS(M2246)*'Progetto del paramento slu'!$G$54,'Progetto del paramento slu'!$G$53)*IF(M2246&lt;0,-1,1)</f>
        <v>0</v>
      </c>
      <c r="T2246" s="553">
        <f>'Foglio deposito bis'!$F$91*IF(ABS(N2246)&lt;'Progetto del paramento slu'!$G$58,ABS(N2246)*'Progetto del paramento slu'!$G$54,'Progetto del paramento slu'!$G$53)*IF(N2246&lt;0,-1,1)</f>
        <v>892485.49558937876</v>
      </c>
      <c r="U2246" s="553">
        <f>'Foglio deposito bis'!$F$92*IF(ABS(O2246)&lt;'Progetto del paramento slu'!$G$58,ABS(O2246)*'Progetto del paramento slu'!$G$54,'Progetto del paramento slu'!$G$53)*IF(O2246&lt;0,-1,1)</f>
        <v>1662039.1047339395</v>
      </c>
      <c r="V2246" s="479">
        <f t="shared" si="168"/>
        <v>2682438.4140307256</v>
      </c>
      <c r="W2246" s="559"/>
      <c r="X2246" s="559"/>
    </row>
    <row r="2247" spans="1:24" x14ac:dyDescent="0.25">
      <c r="A2247" s="553">
        <f t="shared" si="167"/>
        <v>2679577.1868808791</v>
      </c>
      <c r="B2247" s="3">
        <f t="shared" si="169"/>
        <v>0.49999999999999994</v>
      </c>
      <c r="C2247" s="553">
        <f>'Foglio deposito bis'!$E$162/sezione!$B$247*B2247</f>
        <v>2.0298307874466532</v>
      </c>
      <c r="D2247" s="611">
        <f>-'Progetto del paramento slu'!$G$47*'Progetto del paramento slu'!$G$41*IF(DATI!$G$218="dx",DATI!$E$61,DATI!$E$64*DATI!$E$63)*1000*C2247^2*sezione!$AD$5*(1-sezione!$AD$6)</f>
        <v>-33917.592638433867</v>
      </c>
      <c r="E2247" s="553">
        <f>-'Foglio deposito bis'!$F$88*(C2247-sezione!$AL$36)*IF(ABS(K2247)&lt;'Progetto del paramento slu'!$G$58,ABS(K2247)*'Progetto del paramento slu'!$G$54,'Progetto del paramento slu'!$G$53)</f>
        <v>0</v>
      </c>
      <c r="F2247" s="553">
        <f>-'Foglio deposito bis'!$F$89*(C2247-sezione!$AM$36)*IF(ABS(L2247)&lt;'Progetto del paramento slu'!$G$58,ABS(L2247)*'Progetto del paramento slu'!$G$54,'Progetto del paramento slu'!$G$53)</f>
        <v>22737815.048572641</v>
      </c>
      <c r="G2247" s="553">
        <f>-'Foglio deposito bis'!$F$90*(C2247-sezione!$AN$36)*IF(ABS(M2247)&lt;'Progetto del paramento slu'!$G$58,ABS(M2247)*'Progetto del paramento slu'!$G$54,'Progetto del paramento slu'!$G$53)</f>
        <v>0</v>
      </c>
      <c r="H2247" s="553">
        <f>-'Foglio deposito bis'!$F$91*(C2247-sezione!$AO$36)*IF(ABS(N2247)&lt;'Progetto del paramento slu'!$G$58,ABS(N2247)*'Progetto del paramento slu'!$G$54,'Progetto del paramento slu'!$G$53)</f>
        <v>301633473.9640919</v>
      </c>
      <c r="I2247" s="479">
        <f>-'Foglio deposito bis'!$F$92*(C2247-sezione!$AP$36)*IF(ABS(O2247)&lt;'Progetto del paramento slu'!$G$58,ABS(O2247)*'Progetto del paramento slu'!$G$54,'Progetto del paramento slu'!$G$53)</f>
        <v>428771451.45689207</v>
      </c>
      <c r="J2247" s="479">
        <f t="shared" si="165"/>
        <v>753108822.8769182</v>
      </c>
      <c r="K2247" s="558">
        <f>'Progetto del paramento slu'!$G$60*(sezione!$AL$36-C2247)/C2247</f>
        <v>6.547126640595867E-2</v>
      </c>
      <c r="L2247" s="558">
        <f>'Progetto del paramento slu'!$G$60*(sezione!$AM$36-C2247)/C2247</f>
        <v>0.255142249022345</v>
      </c>
      <c r="M2247" s="559">
        <f>'Progetto del paramento slu'!$G$60*(sezione!$AN$36-C2247)/C2247</f>
        <v>0.44481323163873138</v>
      </c>
      <c r="N2247" s="559">
        <f>'Progetto del paramento slu'!$G$60*(sezione!$AO$36-C2247)/C2247</f>
        <v>0.58275576445064881</v>
      </c>
      <c r="O2247" s="559">
        <f>'Progetto del paramento slu'!$G$60*(sezione!$AP$36-C2247)/C2247</f>
        <v>0.44482873359404101</v>
      </c>
      <c r="P2247" s="553">
        <f>-'Progetto del paramento slu'!$G$47*'Progetto del paramento slu'!$G$41*IF(DATI!$G$218="dx",DATI!$E$61,DATI!$E$64*DATI!$E$63)*1000*C2247*sezione!$AD$5</f>
        <v>-28612.271498461407</v>
      </c>
      <c r="Q2247" s="553">
        <f>'Foglio deposito bis'!$F$88*IF(ABS(K2247)&lt;'Progetto del paramento slu'!$G$58,ABS(K2247)*'Progetto del paramento slu'!$G$54,'Progetto del paramento slu'!$G$53)*IF(K2247&lt;0,-1,1)</f>
        <v>0</v>
      </c>
      <c r="R2247" s="553">
        <f>'Foglio deposito bis'!$F$89*IF(ABS(L2247)&lt;'Progetto del paramento slu'!$G$58,ABS(L2247)*'Progetto del paramento slu'!$G$54,'Progetto del paramento slu'!$G$53)*IF(L2247&lt;0,-1,1)</f>
        <v>153664.85805602249</v>
      </c>
      <c r="S2247" s="553">
        <f>'Foglio deposito bis'!$F$90*IF(ABS(M2247)&lt;'Progetto del paramento slu'!$G$58,ABS(M2247)*'Progetto del paramento slu'!$G$54,'Progetto del paramento slu'!$G$53)*IF(M2247&lt;0,-1,1)</f>
        <v>0</v>
      </c>
      <c r="T2247" s="553">
        <f>'Foglio deposito bis'!$F$91*IF(ABS(N2247)&lt;'Progetto del paramento slu'!$G$58,ABS(N2247)*'Progetto del paramento slu'!$G$54,'Progetto del paramento slu'!$G$53)*IF(N2247&lt;0,-1,1)</f>
        <v>892485.49558937876</v>
      </c>
      <c r="U2247" s="553">
        <f>'Foglio deposito bis'!$F$92*IF(ABS(O2247)&lt;'Progetto del paramento slu'!$G$58,ABS(O2247)*'Progetto del paramento slu'!$G$54,'Progetto del paramento slu'!$G$53)*IF(O2247&lt;0,-1,1)</f>
        <v>1662039.1047339395</v>
      </c>
      <c r="V2247" s="479">
        <f t="shared" si="168"/>
        <v>2679577.1868808791</v>
      </c>
      <c r="W2247" s="559"/>
      <c r="X2247" s="559"/>
    </row>
    <row r="2248" spans="1:24" x14ac:dyDescent="0.25">
      <c r="A2248" s="553">
        <f t="shared" si="167"/>
        <v>2676715.9597310331</v>
      </c>
      <c r="B2248" s="3">
        <f t="shared" si="169"/>
        <v>0.54999999999999993</v>
      </c>
      <c r="C2248" s="553">
        <f>'Foglio deposito bis'!$E$162/sezione!$B$247*B2248</f>
        <v>2.2328138661913188</v>
      </c>
      <c r="D2248" s="611">
        <f>-'Progetto del paramento slu'!$G$47*'Progetto del paramento slu'!$G$41*IF(DATI!$G$218="dx",DATI!$E$61,DATI!$E$64*DATI!$E$63)*1000*C2248^2*sezione!$AD$5*(1-sezione!$AD$6)</f>
        <v>-41040.287092504979</v>
      </c>
      <c r="E2248" s="553">
        <f>-'Foglio deposito bis'!$F$88*(C2248-sezione!$AL$36)*IF(ABS(K2248)&lt;'Progetto del paramento slu'!$G$58,ABS(K2248)*'Progetto del paramento slu'!$G$54,'Progetto del paramento slu'!$G$53)</f>
        <v>0</v>
      </c>
      <c r="F2248" s="553">
        <f>-'Foglio deposito bis'!$F$89*(C2248-sezione!$AM$36)*IF(ABS(L2248)&lt;'Progetto del paramento slu'!$G$58,ABS(L2248)*'Progetto del paramento slu'!$G$54,'Progetto del paramento slu'!$G$53)</f>
        <v>22706623.682589564</v>
      </c>
      <c r="G2248" s="553">
        <f>-'Foglio deposito bis'!$F$90*(C2248-sezione!$AN$36)*IF(ABS(M2248)&lt;'Progetto del paramento slu'!$G$58,ABS(M2248)*'Progetto del paramento slu'!$G$54,'Progetto del paramento slu'!$G$53)</f>
        <v>0</v>
      </c>
      <c r="H2248" s="553">
        <f>-'Foglio deposito bis'!$F$91*(C2248-sezione!$AO$36)*IF(ABS(N2248)&lt;'Progetto del paramento slu'!$G$58,ABS(N2248)*'Progetto del paramento slu'!$G$54,'Progetto del paramento slu'!$G$53)</f>
        <v>301452314.51046222</v>
      </c>
      <c r="I2248" s="479">
        <f>-'Foglio deposito bis'!$F$92*(C2248-sezione!$AP$36)*IF(ABS(O2248)&lt;'Progetto del paramento slu'!$G$58,ABS(O2248)*'Progetto del paramento slu'!$G$54,'Progetto del paramento slu'!$G$53)</f>
        <v>428434085.64241916</v>
      </c>
      <c r="J2248" s="479">
        <f t="shared" si="165"/>
        <v>752551983.54837847</v>
      </c>
      <c r="K2248" s="558">
        <f>'Progetto del paramento slu'!$G$60*(sezione!$AL$36-C2248)/C2248</f>
        <v>5.9201151278144237E-2</v>
      </c>
      <c r="L2248" s="558">
        <f>'Progetto del paramento slu'!$G$60*(sezione!$AM$36-C2248)/C2248</f>
        <v>0.23162931729304093</v>
      </c>
      <c r="M2248" s="559">
        <f>'Progetto del paramento slu'!$G$60*(sezione!$AN$36-C2248)/C2248</f>
        <v>0.40405748330793761</v>
      </c>
      <c r="N2248" s="559">
        <f>'Progetto del paramento slu'!$G$60*(sezione!$AO$36-C2248)/C2248</f>
        <v>0.52945978586422615</v>
      </c>
      <c r="O2248" s="559">
        <f>'Progetto del paramento slu'!$G$60*(sezione!$AP$36-C2248)/C2248</f>
        <v>0.40407157599458277</v>
      </c>
      <c r="P2248" s="553">
        <f>-'Progetto del paramento slu'!$G$47*'Progetto del paramento slu'!$G$41*IF(DATI!$G$218="dx",DATI!$E$61,DATI!$E$64*DATI!$E$63)*1000*C2248*sezione!$AD$5</f>
        <v>-31473.498648307548</v>
      </c>
      <c r="Q2248" s="553">
        <f>'Foglio deposito bis'!$F$88*IF(ABS(K2248)&lt;'Progetto del paramento slu'!$G$58,ABS(K2248)*'Progetto del paramento slu'!$G$54,'Progetto del paramento slu'!$G$53)*IF(K2248&lt;0,-1,1)</f>
        <v>0</v>
      </c>
      <c r="R2248" s="553">
        <f>'Foglio deposito bis'!$F$89*IF(ABS(L2248)&lt;'Progetto del paramento slu'!$G$58,ABS(L2248)*'Progetto del paramento slu'!$G$54,'Progetto del paramento slu'!$G$53)*IF(L2248&lt;0,-1,1)</f>
        <v>153664.85805602249</v>
      </c>
      <c r="S2248" s="553">
        <f>'Foglio deposito bis'!$F$90*IF(ABS(M2248)&lt;'Progetto del paramento slu'!$G$58,ABS(M2248)*'Progetto del paramento slu'!$G$54,'Progetto del paramento slu'!$G$53)*IF(M2248&lt;0,-1,1)</f>
        <v>0</v>
      </c>
      <c r="T2248" s="553">
        <f>'Foglio deposito bis'!$F$91*IF(ABS(N2248)&lt;'Progetto del paramento slu'!$G$58,ABS(N2248)*'Progetto del paramento slu'!$G$54,'Progetto del paramento slu'!$G$53)*IF(N2248&lt;0,-1,1)</f>
        <v>892485.49558937876</v>
      </c>
      <c r="U2248" s="553">
        <f>'Foglio deposito bis'!$F$92*IF(ABS(O2248)&lt;'Progetto del paramento slu'!$G$58,ABS(O2248)*'Progetto del paramento slu'!$G$54,'Progetto del paramento slu'!$G$53)*IF(O2248&lt;0,-1,1)</f>
        <v>1662039.1047339395</v>
      </c>
      <c r="V2248" s="479">
        <f t="shared" si="168"/>
        <v>2676715.9597310331</v>
      </c>
      <c r="W2248" s="559"/>
      <c r="X2248" s="559"/>
    </row>
    <row r="2249" spans="1:24" x14ac:dyDescent="0.25">
      <c r="A2249" s="553">
        <f t="shared" si="167"/>
        <v>2673854.732581187</v>
      </c>
      <c r="B2249" s="3">
        <f t="shared" si="169"/>
        <v>0.6</v>
      </c>
      <c r="C2249" s="553">
        <f>'Foglio deposito bis'!$E$162/sezione!$B$247*B2249</f>
        <v>2.4357969449359844</v>
      </c>
      <c r="D2249" s="611">
        <f>-'Progetto del paramento slu'!$G$47*'Progetto del paramento slu'!$G$41*IF(DATI!$G$218="dx",DATI!$E$61,DATI!$E$64*DATI!$E$63)*1000*C2249^2*sezione!$AD$5*(1-sezione!$AD$6)</f>
        <v>-48841.333399344781</v>
      </c>
      <c r="E2249" s="553">
        <f>-'Foglio deposito bis'!$F$88*(C2249-sezione!$AL$36)*IF(ABS(K2249)&lt;'Progetto del paramento slu'!$G$58,ABS(K2249)*'Progetto del paramento slu'!$G$54,'Progetto del paramento slu'!$G$53)</f>
        <v>0</v>
      </c>
      <c r="F2249" s="553">
        <f>-'Foglio deposito bis'!$F$89*(C2249-sezione!$AM$36)*IF(ABS(L2249)&lt;'Progetto del paramento slu'!$G$58,ABS(L2249)*'Progetto del paramento slu'!$G$54,'Progetto del paramento slu'!$G$53)</f>
        <v>22675432.316606492</v>
      </c>
      <c r="G2249" s="553">
        <f>-'Foglio deposito bis'!$F$90*(C2249-sezione!$AN$36)*IF(ABS(M2249)&lt;'Progetto del paramento slu'!$G$58,ABS(M2249)*'Progetto del paramento slu'!$G$54,'Progetto del paramento slu'!$G$53)</f>
        <v>0</v>
      </c>
      <c r="H2249" s="553">
        <f>-'Foglio deposito bis'!$F$91*(C2249-sezione!$AO$36)*IF(ABS(N2249)&lt;'Progetto del paramento slu'!$G$58,ABS(N2249)*'Progetto del paramento slu'!$G$54,'Progetto del paramento slu'!$G$53)</f>
        <v>301271155.05683249</v>
      </c>
      <c r="I2249" s="479">
        <f>-'Foglio deposito bis'!$F$92*(C2249-sezione!$AP$36)*IF(ABS(O2249)&lt;'Progetto del paramento slu'!$G$58,ABS(O2249)*'Progetto del paramento slu'!$G$54,'Progetto del paramento slu'!$G$53)</f>
        <v>428096719.82794619</v>
      </c>
      <c r="J2249" s="479">
        <f t="shared" si="165"/>
        <v>751994465.86798584</v>
      </c>
      <c r="K2249" s="558">
        <f>'Progetto del paramento slu'!$G$60*(sezione!$AL$36-C2249)/C2249</f>
        <v>5.3976055338298877E-2</v>
      </c>
      <c r="L2249" s="558">
        <f>'Progetto del paramento slu'!$G$60*(sezione!$AM$36-C2249)/C2249</f>
        <v>0.21203520751862084</v>
      </c>
      <c r="M2249" s="559">
        <f>'Progetto del paramento slu'!$G$60*(sezione!$AN$36-C2249)/C2249</f>
        <v>0.37009435969894278</v>
      </c>
      <c r="N2249" s="559">
        <f>'Progetto del paramento slu'!$G$60*(sezione!$AO$36-C2249)/C2249</f>
        <v>0.48504647037554055</v>
      </c>
      <c r="O2249" s="559">
        <f>'Progetto del paramento slu'!$G$60*(sezione!$AP$36-C2249)/C2249</f>
        <v>0.37010727799503412</v>
      </c>
      <c r="P2249" s="553">
        <f>-'Progetto del paramento slu'!$G$47*'Progetto del paramento slu'!$G$41*IF(DATI!$G$218="dx",DATI!$E$61,DATI!$E$64*DATI!$E$63)*1000*C2249*sezione!$AD$5</f>
        <v>-34334.72579815369</v>
      </c>
      <c r="Q2249" s="553">
        <f>'Foglio deposito bis'!$F$88*IF(ABS(K2249)&lt;'Progetto del paramento slu'!$G$58,ABS(K2249)*'Progetto del paramento slu'!$G$54,'Progetto del paramento slu'!$G$53)*IF(K2249&lt;0,-1,1)</f>
        <v>0</v>
      </c>
      <c r="R2249" s="553">
        <f>'Foglio deposito bis'!$F$89*IF(ABS(L2249)&lt;'Progetto del paramento slu'!$G$58,ABS(L2249)*'Progetto del paramento slu'!$G$54,'Progetto del paramento slu'!$G$53)*IF(L2249&lt;0,-1,1)</f>
        <v>153664.85805602249</v>
      </c>
      <c r="S2249" s="553">
        <f>'Foglio deposito bis'!$F$90*IF(ABS(M2249)&lt;'Progetto del paramento slu'!$G$58,ABS(M2249)*'Progetto del paramento slu'!$G$54,'Progetto del paramento slu'!$G$53)*IF(M2249&lt;0,-1,1)</f>
        <v>0</v>
      </c>
      <c r="T2249" s="553">
        <f>'Foglio deposito bis'!$F$91*IF(ABS(N2249)&lt;'Progetto del paramento slu'!$G$58,ABS(N2249)*'Progetto del paramento slu'!$G$54,'Progetto del paramento slu'!$G$53)*IF(N2249&lt;0,-1,1)</f>
        <v>892485.49558937876</v>
      </c>
      <c r="U2249" s="553">
        <f>'Foglio deposito bis'!$F$92*IF(ABS(O2249)&lt;'Progetto del paramento slu'!$G$58,ABS(O2249)*'Progetto del paramento slu'!$G$54,'Progetto del paramento slu'!$G$53)*IF(O2249&lt;0,-1,1)</f>
        <v>1662039.1047339395</v>
      </c>
      <c r="V2249" s="479">
        <f t="shared" si="168"/>
        <v>2673854.732581187</v>
      </c>
      <c r="W2249" s="559"/>
      <c r="X2249" s="559"/>
    </row>
    <row r="2250" spans="1:24" x14ac:dyDescent="0.25">
      <c r="A2250" s="553">
        <f t="shared" si="167"/>
        <v>2670993.505431341</v>
      </c>
      <c r="B2250" s="3">
        <f t="shared" si="169"/>
        <v>0.65</v>
      </c>
      <c r="C2250" s="553">
        <f>'Foglio deposito bis'!$E$162/sezione!$B$247*B2250</f>
        <v>2.63878002368065</v>
      </c>
      <c r="D2250" s="611">
        <f>-'Progetto del paramento slu'!$G$47*'Progetto del paramento slu'!$G$41*IF(DATI!$G$218="dx",DATI!$E$61,DATI!$E$64*DATI!$E$63)*1000*C2250^2*sezione!$AD$5*(1-sezione!$AD$6)</f>
        <v>-57320.731558953259</v>
      </c>
      <c r="E2250" s="553">
        <f>-'Foglio deposito bis'!$F$88*(C2250-sezione!$AL$36)*IF(ABS(K2250)&lt;'Progetto del paramento slu'!$G$58,ABS(K2250)*'Progetto del paramento slu'!$G$54,'Progetto del paramento slu'!$G$53)</f>
        <v>0</v>
      </c>
      <c r="F2250" s="553">
        <f>-'Foglio deposito bis'!$F$89*(C2250-sezione!$AM$36)*IF(ABS(L2250)&lt;'Progetto del paramento slu'!$G$58,ABS(L2250)*'Progetto del paramento slu'!$G$54,'Progetto del paramento slu'!$G$53)</f>
        <v>22644240.950623419</v>
      </c>
      <c r="G2250" s="553">
        <f>-'Foglio deposito bis'!$F$90*(C2250-sezione!$AN$36)*IF(ABS(M2250)&lt;'Progetto del paramento slu'!$G$58,ABS(M2250)*'Progetto del paramento slu'!$G$54,'Progetto del paramento slu'!$G$53)</f>
        <v>0</v>
      </c>
      <c r="H2250" s="553">
        <f>-'Foglio deposito bis'!$F$91*(C2250-sezione!$AO$36)*IF(ABS(N2250)&lt;'Progetto del paramento slu'!$G$58,ABS(N2250)*'Progetto del paramento slu'!$G$54,'Progetto del paramento slu'!$G$53)</f>
        <v>301089995.60320288</v>
      </c>
      <c r="I2250" s="479">
        <f>-'Foglio deposito bis'!$F$92*(C2250-sezione!$AP$36)*IF(ABS(O2250)&lt;'Progetto del paramento slu'!$G$58,ABS(O2250)*'Progetto del paramento slu'!$G$54,'Progetto del paramento slu'!$G$53)</f>
        <v>427759354.01347333</v>
      </c>
      <c r="J2250" s="479">
        <f t="shared" si="165"/>
        <v>751436269.83574069</v>
      </c>
      <c r="K2250" s="558">
        <f>'Progetto del paramento slu'!$G$60*(sezione!$AL$36-C2250)/C2250</f>
        <v>4.9554820312275892E-2</v>
      </c>
      <c r="L2250" s="558">
        <f>'Progetto del paramento slu'!$G$60*(sezione!$AM$36-C2250)/C2250</f>
        <v>0.1954555761710346</v>
      </c>
      <c r="M2250" s="559">
        <f>'Progetto del paramento slu'!$G$60*(sezione!$AN$36-C2250)/C2250</f>
        <v>0.34135633202979332</v>
      </c>
      <c r="N2250" s="559">
        <f>'Progetto del paramento slu'!$G$60*(sezione!$AO$36-C2250)/C2250</f>
        <v>0.44746597265434512</v>
      </c>
      <c r="O2250" s="559">
        <f>'Progetto del paramento slu'!$G$60*(sezione!$AP$36-C2250)/C2250</f>
        <v>0.34136825661080072</v>
      </c>
      <c r="P2250" s="553">
        <f>-'Progetto del paramento slu'!$G$47*'Progetto del paramento slu'!$G$41*IF(DATI!$G$218="dx",DATI!$E$61,DATI!$E$64*DATI!$E$63)*1000*C2250*sezione!$AD$5</f>
        <v>-37195.952947999838</v>
      </c>
      <c r="Q2250" s="553">
        <f>'Foglio deposito bis'!$F$88*IF(ABS(K2250)&lt;'Progetto del paramento slu'!$G$58,ABS(K2250)*'Progetto del paramento slu'!$G$54,'Progetto del paramento slu'!$G$53)*IF(K2250&lt;0,-1,1)</f>
        <v>0</v>
      </c>
      <c r="R2250" s="553">
        <f>'Foglio deposito bis'!$F$89*IF(ABS(L2250)&lt;'Progetto del paramento slu'!$G$58,ABS(L2250)*'Progetto del paramento slu'!$G$54,'Progetto del paramento slu'!$G$53)*IF(L2250&lt;0,-1,1)</f>
        <v>153664.85805602249</v>
      </c>
      <c r="S2250" s="553">
        <f>'Foglio deposito bis'!$F$90*IF(ABS(M2250)&lt;'Progetto del paramento slu'!$G$58,ABS(M2250)*'Progetto del paramento slu'!$G$54,'Progetto del paramento slu'!$G$53)*IF(M2250&lt;0,-1,1)</f>
        <v>0</v>
      </c>
      <c r="T2250" s="553">
        <f>'Foglio deposito bis'!$F$91*IF(ABS(N2250)&lt;'Progetto del paramento slu'!$G$58,ABS(N2250)*'Progetto del paramento slu'!$G$54,'Progetto del paramento slu'!$G$53)*IF(N2250&lt;0,-1,1)</f>
        <v>892485.49558937876</v>
      </c>
      <c r="U2250" s="553">
        <f>'Foglio deposito bis'!$F$92*IF(ABS(O2250)&lt;'Progetto del paramento slu'!$G$58,ABS(O2250)*'Progetto del paramento slu'!$G$54,'Progetto del paramento slu'!$G$53)*IF(O2250&lt;0,-1,1)</f>
        <v>1662039.1047339395</v>
      </c>
      <c r="V2250" s="479">
        <f t="shared" si="168"/>
        <v>2670993.505431341</v>
      </c>
      <c r="W2250" s="559"/>
      <c r="X2250" s="559"/>
    </row>
    <row r="2251" spans="1:24" x14ac:dyDescent="0.25">
      <c r="A2251" s="553">
        <f t="shared" si="167"/>
        <v>2668132.278281495</v>
      </c>
      <c r="B2251" s="3">
        <f t="shared" si="169"/>
        <v>0.70000000000000007</v>
      </c>
      <c r="C2251" s="553">
        <f>'Foglio deposito bis'!$E$162/sezione!$B$247*B2251</f>
        <v>2.8417631024253156</v>
      </c>
      <c r="D2251" s="611">
        <f>-'Progetto del paramento slu'!$G$47*'Progetto del paramento slu'!$G$41*IF(DATI!$G$218="dx",DATI!$E$61,DATI!$E$64*DATI!$E$63)*1000*C2251^2*sezione!$AD$5*(1-sezione!$AD$6)</f>
        <v>-66478.481571330427</v>
      </c>
      <c r="E2251" s="553">
        <f>-'Foglio deposito bis'!$F$88*(C2251-sezione!$AL$36)*IF(ABS(K2251)&lt;'Progetto del paramento slu'!$G$58,ABS(K2251)*'Progetto del paramento slu'!$G$54,'Progetto del paramento slu'!$G$53)</f>
        <v>0</v>
      </c>
      <c r="F2251" s="553">
        <f>-'Foglio deposito bis'!$F$89*(C2251-sezione!$AM$36)*IF(ABS(L2251)&lt;'Progetto del paramento slu'!$G$58,ABS(L2251)*'Progetto del paramento slu'!$G$54,'Progetto del paramento slu'!$G$53)</f>
        <v>22613049.584640343</v>
      </c>
      <c r="G2251" s="553">
        <f>-'Foglio deposito bis'!$F$90*(C2251-sezione!$AN$36)*IF(ABS(M2251)&lt;'Progetto del paramento slu'!$G$58,ABS(M2251)*'Progetto del paramento slu'!$G$54,'Progetto del paramento slu'!$G$53)</f>
        <v>0</v>
      </c>
      <c r="H2251" s="553">
        <f>-'Foglio deposito bis'!$F$91*(C2251-sezione!$AO$36)*IF(ABS(N2251)&lt;'Progetto del paramento slu'!$G$58,ABS(N2251)*'Progetto del paramento slu'!$G$54,'Progetto del paramento slu'!$G$53)</f>
        <v>300908836.14957315</v>
      </c>
      <c r="I2251" s="479">
        <f>-'Foglio deposito bis'!$F$92*(C2251-sezione!$AP$36)*IF(ABS(O2251)&lt;'Progetto del paramento slu'!$G$58,ABS(O2251)*'Progetto del paramento slu'!$G$54,'Progetto del paramento slu'!$G$53)</f>
        <v>427421988.19900036</v>
      </c>
      <c r="J2251" s="479">
        <f t="shared" si="165"/>
        <v>750877395.45164251</v>
      </c>
      <c r="K2251" s="558">
        <f>'Progetto del paramento slu'!$G$60*(sezione!$AL$36-C2251)/C2251</f>
        <v>4.5765190289970462E-2</v>
      </c>
      <c r="L2251" s="558">
        <f>'Progetto del paramento slu'!$G$60*(sezione!$AM$36-C2251)/C2251</f>
        <v>0.18124446358738924</v>
      </c>
      <c r="M2251" s="559">
        <f>'Progetto del paramento slu'!$G$60*(sezione!$AN$36-C2251)/C2251</f>
        <v>0.31672373688480804</v>
      </c>
      <c r="N2251" s="559">
        <f>'Progetto del paramento slu'!$G$60*(sezione!$AO$36-C2251)/C2251</f>
        <v>0.415254117464749</v>
      </c>
      <c r="O2251" s="559">
        <f>'Progetto del paramento slu'!$G$60*(sezione!$AP$36-C2251)/C2251</f>
        <v>0.31673480971002915</v>
      </c>
      <c r="P2251" s="553">
        <f>-'Progetto del paramento slu'!$G$47*'Progetto del paramento slu'!$G$41*IF(DATI!$G$218="dx",DATI!$E$61,DATI!$E$64*DATI!$E$63)*1000*C2251*sezione!$AD$5</f>
        <v>-40057.180097845987</v>
      </c>
      <c r="Q2251" s="553">
        <f>'Foglio deposito bis'!$F$88*IF(ABS(K2251)&lt;'Progetto del paramento slu'!$G$58,ABS(K2251)*'Progetto del paramento slu'!$G$54,'Progetto del paramento slu'!$G$53)*IF(K2251&lt;0,-1,1)</f>
        <v>0</v>
      </c>
      <c r="R2251" s="553">
        <f>'Foglio deposito bis'!$F$89*IF(ABS(L2251)&lt;'Progetto del paramento slu'!$G$58,ABS(L2251)*'Progetto del paramento slu'!$G$54,'Progetto del paramento slu'!$G$53)*IF(L2251&lt;0,-1,1)</f>
        <v>153664.85805602249</v>
      </c>
      <c r="S2251" s="553">
        <f>'Foglio deposito bis'!$F$90*IF(ABS(M2251)&lt;'Progetto del paramento slu'!$G$58,ABS(M2251)*'Progetto del paramento slu'!$G$54,'Progetto del paramento slu'!$G$53)*IF(M2251&lt;0,-1,1)</f>
        <v>0</v>
      </c>
      <c r="T2251" s="553">
        <f>'Foglio deposito bis'!$F$91*IF(ABS(N2251)&lt;'Progetto del paramento slu'!$G$58,ABS(N2251)*'Progetto del paramento slu'!$G$54,'Progetto del paramento slu'!$G$53)*IF(N2251&lt;0,-1,1)</f>
        <v>892485.49558937876</v>
      </c>
      <c r="U2251" s="553">
        <f>'Foglio deposito bis'!$F$92*IF(ABS(O2251)&lt;'Progetto del paramento slu'!$G$58,ABS(O2251)*'Progetto del paramento slu'!$G$54,'Progetto del paramento slu'!$G$53)*IF(O2251&lt;0,-1,1)</f>
        <v>1662039.1047339395</v>
      </c>
      <c r="V2251" s="479">
        <f t="shared" si="168"/>
        <v>2668132.278281495</v>
      </c>
      <c r="W2251" s="559"/>
      <c r="X2251" s="559"/>
    </row>
    <row r="2252" spans="1:24" x14ac:dyDescent="0.25">
      <c r="A2252" s="553">
        <f t="shared" si="167"/>
        <v>2665271.0511316485</v>
      </c>
      <c r="B2252" s="3">
        <f t="shared" si="169"/>
        <v>0.75000000000000011</v>
      </c>
      <c r="C2252" s="553">
        <f>'Foglio deposito bis'!$E$162/sezione!$B$247*B2252</f>
        <v>3.0447461811699812</v>
      </c>
      <c r="D2252" s="611">
        <f>-'Progetto del paramento slu'!$G$47*'Progetto del paramento slu'!$G$41*IF(DATI!$G$218="dx",DATI!$E$61,DATI!$E$64*DATI!$E$63)*1000*C2252^2*sezione!$AD$5*(1-sezione!$AD$6)</f>
        <v>-76314.583436476256</v>
      </c>
      <c r="E2252" s="553">
        <f>-'Foglio deposito bis'!$F$88*(C2252-sezione!$AL$36)*IF(ABS(K2252)&lt;'Progetto del paramento slu'!$G$58,ABS(K2252)*'Progetto del paramento slu'!$G$54,'Progetto del paramento slu'!$G$53)</f>
        <v>0</v>
      </c>
      <c r="F2252" s="553">
        <f>-'Foglio deposito bis'!$F$89*(C2252-sezione!$AM$36)*IF(ABS(L2252)&lt;'Progetto del paramento slu'!$G$58,ABS(L2252)*'Progetto del paramento slu'!$G$54,'Progetto del paramento slu'!$G$53)</f>
        <v>22581858.21865727</v>
      </c>
      <c r="G2252" s="553">
        <f>-'Foglio deposito bis'!$F$90*(C2252-sezione!$AN$36)*IF(ABS(M2252)&lt;'Progetto del paramento slu'!$G$58,ABS(M2252)*'Progetto del paramento slu'!$G$54,'Progetto del paramento slu'!$G$53)</f>
        <v>0</v>
      </c>
      <c r="H2252" s="553">
        <f>-'Foglio deposito bis'!$F$91*(C2252-sezione!$AO$36)*IF(ABS(N2252)&lt;'Progetto del paramento slu'!$G$58,ABS(N2252)*'Progetto del paramento slu'!$G$54,'Progetto del paramento slu'!$G$53)</f>
        <v>300727676.69594347</v>
      </c>
      <c r="I2252" s="479">
        <f>-'Foglio deposito bis'!$F$92*(C2252-sezione!$AP$36)*IF(ABS(O2252)&lt;'Progetto del paramento slu'!$G$58,ABS(O2252)*'Progetto del paramento slu'!$G$54,'Progetto del paramento slu'!$G$53)</f>
        <v>427084622.3845275</v>
      </c>
      <c r="J2252" s="479">
        <f t="shared" si="165"/>
        <v>750317842.7156918</v>
      </c>
      <c r="K2252" s="558">
        <f>'Progetto del paramento slu'!$G$60*(sezione!$AL$36-C2252)/C2252</f>
        <v>4.2480844270639098E-2</v>
      </c>
      <c r="L2252" s="558">
        <f>'Progetto del paramento slu'!$G$60*(sezione!$AM$36-C2252)/C2252</f>
        <v>0.16892816601489663</v>
      </c>
      <c r="M2252" s="559">
        <f>'Progetto del paramento slu'!$G$60*(sezione!$AN$36-C2252)/C2252</f>
        <v>0.29537548775915418</v>
      </c>
      <c r="N2252" s="559">
        <f>'Progetto del paramento slu'!$G$60*(sezione!$AO$36-C2252)/C2252</f>
        <v>0.38733717630043241</v>
      </c>
      <c r="O2252" s="559">
        <f>'Progetto del paramento slu'!$G$60*(sezione!$AP$36-C2252)/C2252</f>
        <v>0.29538582239602723</v>
      </c>
      <c r="P2252" s="553">
        <f>-'Progetto del paramento slu'!$G$47*'Progetto del paramento slu'!$G$41*IF(DATI!$G$218="dx",DATI!$E$61,DATI!$E$64*DATI!$E$63)*1000*C2252*sezione!$AD$5</f>
        <v>-42918.407247692128</v>
      </c>
      <c r="Q2252" s="553">
        <f>'Foglio deposito bis'!$F$88*IF(ABS(K2252)&lt;'Progetto del paramento slu'!$G$58,ABS(K2252)*'Progetto del paramento slu'!$G$54,'Progetto del paramento slu'!$G$53)*IF(K2252&lt;0,-1,1)</f>
        <v>0</v>
      </c>
      <c r="R2252" s="553">
        <f>'Foglio deposito bis'!$F$89*IF(ABS(L2252)&lt;'Progetto del paramento slu'!$G$58,ABS(L2252)*'Progetto del paramento slu'!$G$54,'Progetto del paramento slu'!$G$53)*IF(L2252&lt;0,-1,1)</f>
        <v>153664.85805602249</v>
      </c>
      <c r="S2252" s="553">
        <f>'Foglio deposito bis'!$F$90*IF(ABS(M2252)&lt;'Progetto del paramento slu'!$G$58,ABS(M2252)*'Progetto del paramento slu'!$G$54,'Progetto del paramento slu'!$G$53)*IF(M2252&lt;0,-1,1)</f>
        <v>0</v>
      </c>
      <c r="T2252" s="553">
        <f>'Foglio deposito bis'!$F$91*IF(ABS(N2252)&lt;'Progetto del paramento slu'!$G$58,ABS(N2252)*'Progetto del paramento slu'!$G$54,'Progetto del paramento slu'!$G$53)*IF(N2252&lt;0,-1,1)</f>
        <v>892485.49558937876</v>
      </c>
      <c r="U2252" s="553">
        <f>'Foglio deposito bis'!$F$92*IF(ABS(O2252)&lt;'Progetto del paramento slu'!$G$58,ABS(O2252)*'Progetto del paramento slu'!$G$54,'Progetto del paramento slu'!$G$53)*IF(O2252&lt;0,-1,1)</f>
        <v>1662039.1047339395</v>
      </c>
      <c r="V2252" s="479">
        <f t="shared" si="168"/>
        <v>2665271.0511316485</v>
      </c>
      <c r="W2252" s="559"/>
      <c r="X2252" s="559"/>
    </row>
    <row r="2253" spans="1:24" x14ac:dyDescent="0.25">
      <c r="A2253" s="553">
        <f t="shared" si="167"/>
        <v>2662409.8239818024</v>
      </c>
      <c r="B2253" s="3">
        <f t="shared" si="169"/>
        <v>0.80000000000000016</v>
      </c>
      <c r="C2253" s="553">
        <f>'Foglio deposito bis'!$E$162/sezione!$B$247*B2253</f>
        <v>3.2477292599146463</v>
      </c>
      <c r="D2253" s="611">
        <f>-'Progetto del paramento slu'!$G$47*'Progetto del paramento slu'!$G$41*IF(DATI!$G$218="dx",DATI!$E$61,DATI!$E$64*DATI!$E$63)*1000*C2253^2*sezione!$AD$5*(1-sezione!$AD$6)</f>
        <v>-86829.037154390753</v>
      </c>
      <c r="E2253" s="553">
        <f>-'Foglio deposito bis'!$F$88*(C2253-sezione!$AL$36)*IF(ABS(K2253)&lt;'Progetto del paramento slu'!$G$58,ABS(K2253)*'Progetto del paramento slu'!$G$54,'Progetto del paramento slu'!$G$53)</f>
        <v>0</v>
      </c>
      <c r="F2253" s="553">
        <f>-'Foglio deposito bis'!$F$89*(C2253-sezione!$AM$36)*IF(ABS(L2253)&lt;'Progetto del paramento slu'!$G$58,ABS(L2253)*'Progetto del paramento slu'!$G$54,'Progetto del paramento slu'!$G$53)</f>
        <v>22550666.852674201</v>
      </c>
      <c r="G2253" s="553">
        <f>-'Foglio deposito bis'!$F$90*(C2253-sezione!$AN$36)*IF(ABS(M2253)&lt;'Progetto del paramento slu'!$G$58,ABS(M2253)*'Progetto del paramento slu'!$G$54,'Progetto del paramento slu'!$G$53)</f>
        <v>0</v>
      </c>
      <c r="H2253" s="553">
        <f>-'Foglio deposito bis'!$F$91*(C2253-sezione!$AO$36)*IF(ABS(N2253)&lt;'Progetto del paramento slu'!$G$58,ABS(N2253)*'Progetto del paramento slu'!$G$54,'Progetto del paramento slu'!$G$53)</f>
        <v>300546517.24231374</v>
      </c>
      <c r="I2253" s="479">
        <f>-'Foglio deposito bis'!$F$92*(C2253-sezione!$AP$36)*IF(ABS(O2253)&lt;'Progetto del paramento slu'!$G$58,ABS(O2253)*'Progetto del paramento slu'!$G$54,'Progetto del paramento slu'!$G$53)</f>
        <v>426747256.57005453</v>
      </c>
      <c r="J2253" s="479">
        <f t="shared" si="165"/>
        <v>749757611.62788808</v>
      </c>
      <c r="K2253" s="558">
        <f>'Progetto del paramento slu'!$G$60*(sezione!$AL$36-C2253)/C2253</f>
        <v>3.9607041503724155E-2</v>
      </c>
      <c r="L2253" s="558">
        <f>'Progetto del paramento slu'!$G$60*(sezione!$AM$36-C2253)/C2253</f>
        <v>0.1581514056389656</v>
      </c>
      <c r="M2253" s="559">
        <f>'Progetto del paramento slu'!$G$60*(sezione!$AN$36-C2253)/C2253</f>
        <v>0.27669576977420701</v>
      </c>
      <c r="N2253" s="559">
        <f>'Progetto del paramento slu'!$G$60*(sezione!$AO$36-C2253)/C2253</f>
        <v>0.36290985278165533</v>
      </c>
      <c r="O2253" s="559">
        <f>'Progetto del paramento slu'!$G$60*(sezione!$AP$36-C2253)/C2253</f>
        <v>0.27670545849627554</v>
      </c>
      <c r="P2253" s="553">
        <f>-'Progetto del paramento slu'!$G$47*'Progetto del paramento slu'!$G$41*IF(DATI!$G$218="dx",DATI!$E$61,DATI!$E$64*DATI!$E$63)*1000*C2253*sezione!$AD$5</f>
        <v>-45779.634397538262</v>
      </c>
      <c r="Q2253" s="553">
        <f>'Foglio deposito bis'!$F$88*IF(ABS(K2253)&lt;'Progetto del paramento slu'!$G$58,ABS(K2253)*'Progetto del paramento slu'!$G$54,'Progetto del paramento slu'!$G$53)*IF(K2253&lt;0,-1,1)</f>
        <v>0</v>
      </c>
      <c r="R2253" s="553">
        <f>'Foglio deposito bis'!$F$89*IF(ABS(L2253)&lt;'Progetto del paramento slu'!$G$58,ABS(L2253)*'Progetto del paramento slu'!$G$54,'Progetto del paramento slu'!$G$53)*IF(L2253&lt;0,-1,1)</f>
        <v>153664.85805602249</v>
      </c>
      <c r="S2253" s="553">
        <f>'Foglio deposito bis'!$F$90*IF(ABS(M2253)&lt;'Progetto del paramento slu'!$G$58,ABS(M2253)*'Progetto del paramento slu'!$G$54,'Progetto del paramento slu'!$G$53)*IF(M2253&lt;0,-1,1)</f>
        <v>0</v>
      </c>
      <c r="T2253" s="553">
        <f>'Foglio deposito bis'!$F$91*IF(ABS(N2253)&lt;'Progetto del paramento slu'!$G$58,ABS(N2253)*'Progetto del paramento slu'!$G$54,'Progetto del paramento slu'!$G$53)*IF(N2253&lt;0,-1,1)</f>
        <v>892485.49558937876</v>
      </c>
      <c r="U2253" s="553">
        <f>'Foglio deposito bis'!$F$92*IF(ABS(O2253)&lt;'Progetto del paramento slu'!$G$58,ABS(O2253)*'Progetto del paramento slu'!$G$54,'Progetto del paramento slu'!$G$53)*IF(O2253&lt;0,-1,1)</f>
        <v>1662039.1047339395</v>
      </c>
      <c r="V2253" s="479">
        <f t="shared" si="168"/>
        <v>2662409.8239818024</v>
      </c>
      <c r="W2253" s="559"/>
      <c r="X2253" s="559"/>
    </row>
    <row r="2254" spans="1:24" x14ac:dyDescent="0.25">
      <c r="A2254" s="553">
        <f t="shared" si="167"/>
        <v>2659548.5968319564</v>
      </c>
      <c r="B2254" s="3">
        <f t="shared" si="169"/>
        <v>0.8500000000000002</v>
      </c>
      <c r="C2254" s="553">
        <f>'Foglio deposito bis'!$E$162/sezione!$B$247*B2254</f>
        <v>3.4507123386593119</v>
      </c>
      <c r="D2254" s="611">
        <f>-'Progetto del paramento slu'!$G$47*'Progetto del paramento slu'!$G$41*IF(DATI!$G$218="dx",DATI!$E$61,DATI!$E$64*DATI!$E$63)*1000*C2254^2*sezione!$AD$5*(1-sezione!$AD$6)</f>
        <v>-98021.842725073948</v>
      </c>
      <c r="E2254" s="553">
        <f>-'Foglio deposito bis'!$F$88*(C2254-sezione!$AL$36)*IF(ABS(K2254)&lt;'Progetto del paramento slu'!$G$58,ABS(K2254)*'Progetto del paramento slu'!$G$54,'Progetto del paramento slu'!$G$53)</f>
        <v>0</v>
      </c>
      <c r="F2254" s="553">
        <f>-'Foglio deposito bis'!$F$89*(C2254-sezione!$AM$36)*IF(ABS(L2254)&lt;'Progetto del paramento slu'!$G$58,ABS(L2254)*'Progetto del paramento slu'!$G$54,'Progetto del paramento slu'!$G$53)</f>
        <v>22519475.486691125</v>
      </c>
      <c r="G2254" s="553">
        <f>-'Foglio deposito bis'!$F$90*(C2254-sezione!$AN$36)*IF(ABS(M2254)&lt;'Progetto del paramento slu'!$G$58,ABS(M2254)*'Progetto del paramento slu'!$G$54,'Progetto del paramento slu'!$G$53)</f>
        <v>0</v>
      </c>
      <c r="H2254" s="553">
        <f>-'Foglio deposito bis'!$F$91*(C2254-sezione!$AO$36)*IF(ABS(N2254)&lt;'Progetto del paramento slu'!$G$58,ABS(N2254)*'Progetto del paramento slu'!$G$54,'Progetto del paramento slu'!$G$53)</f>
        <v>300365357.78868407</v>
      </c>
      <c r="I2254" s="479">
        <f>-'Foglio deposito bis'!$F$92*(C2254-sezione!$AP$36)*IF(ABS(O2254)&lt;'Progetto del paramento slu'!$G$58,ABS(O2254)*'Progetto del paramento slu'!$G$54,'Progetto del paramento slu'!$G$53)</f>
        <v>426409890.75558162</v>
      </c>
      <c r="J2254" s="479">
        <f t="shared" si="165"/>
        <v>749196702.18823171</v>
      </c>
      <c r="K2254" s="558">
        <f>'Progetto del paramento slu'!$G$60*(sezione!$AL$36-C2254)/C2254</f>
        <v>3.7071333179975671E-2</v>
      </c>
      <c r="L2254" s="558">
        <f>'Progetto del paramento slu'!$G$60*(sezione!$AM$36-C2254)/C2254</f>
        <v>0.14864249942490879</v>
      </c>
      <c r="M2254" s="559">
        <f>'Progetto del paramento slu'!$G$60*(sezione!$AN$36-C2254)/C2254</f>
        <v>0.26021366566984194</v>
      </c>
      <c r="N2254" s="559">
        <f>'Progetto del paramento slu'!$G$60*(sezione!$AO$36-C2254)/C2254</f>
        <v>0.34135633202979326</v>
      </c>
      <c r="O2254" s="559">
        <f>'Progetto del paramento slu'!$G$60*(sezione!$AP$36-C2254)/C2254</f>
        <v>0.26022278446708286</v>
      </c>
      <c r="P2254" s="553">
        <f>-'Progetto del paramento slu'!$G$47*'Progetto del paramento slu'!$G$41*IF(DATI!$G$218="dx",DATI!$E$61,DATI!$E$64*DATI!$E$63)*1000*C2254*sezione!$AD$5</f>
        <v>-48640.861547384404</v>
      </c>
      <c r="Q2254" s="553">
        <f>'Foglio deposito bis'!$F$88*IF(ABS(K2254)&lt;'Progetto del paramento slu'!$G$58,ABS(K2254)*'Progetto del paramento slu'!$G$54,'Progetto del paramento slu'!$G$53)*IF(K2254&lt;0,-1,1)</f>
        <v>0</v>
      </c>
      <c r="R2254" s="553">
        <f>'Foglio deposito bis'!$F$89*IF(ABS(L2254)&lt;'Progetto del paramento slu'!$G$58,ABS(L2254)*'Progetto del paramento slu'!$G$54,'Progetto del paramento slu'!$G$53)*IF(L2254&lt;0,-1,1)</f>
        <v>153664.85805602249</v>
      </c>
      <c r="S2254" s="553">
        <f>'Foglio deposito bis'!$F$90*IF(ABS(M2254)&lt;'Progetto del paramento slu'!$G$58,ABS(M2254)*'Progetto del paramento slu'!$G$54,'Progetto del paramento slu'!$G$53)*IF(M2254&lt;0,-1,1)</f>
        <v>0</v>
      </c>
      <c r="T2254" s="553">
        <f>'Foglio deposito bis'!$F$91*IF(ABS(N2254)&lt;'Progetto del paramento slu'!$G$58,ABS(N2254)*'Progetto del paramento slu'!$G$54,'Progetto del paramento slu'!$G$53)*IF(N2254&lt;0,-1,1)</f>
        <v>892485.49558937876</v>
      </c>
      <c r="U2254" s="553">
        <f>'Foglio deposito bis'!$F$92*IF(ABS(O2254)&lt;'Progetto del paramento slu'!$G$58,ABS(O2254)*'Progetto del paramento slu'!$G$54,'Progetto del paramento slu'!$G$53)*IF(O2254&lt;0,-1,1)</f>
        <v>1662039.1047339395</v>
      </c>
      <c r="V2254" s="479">
        <f t="shared" si="168"/>
        <v>2659548.5968319564</v>
      </c>
      <c r="W2254" s="559"/>
      <c r="X2254" s="559"/>
    </row>
    <row r="2255" spans="1:24" x14ac:dyDescent="0.25">
      <c r="A2255" s="553">
        <f t="shared" si="167"/>
        <v>2656687.3696821099</v>
      </c>
      <c r="B2255" s="3">
        <f t="shared" si="169"/>
        <v>0.90000000000000024</v>
      </c>
      <c r="C2255" s="553">
        <f>'Foglio deposito bis'!$E$162/sezione!$B$247*B2255</f>
        <v>3.6536954174039775</v>
      </c>
      <c r="D2255" s="611">
        <f>-'Progetto del paramento slu'!$G$47*'Progetto del paramento slu'!$G$41*IF(DATI!$G$218="dx",DATI!$E$61,DATI!$E$64*DATI!$E$63)*1000*C2255^2*sezione!$AD$5*(1-sezione!$AD$6)</f>
        <v>-109893.00014852583</v>
      </c>
      <c r="E2255" s="553">
        <f>-'Foglio deposito bis'!$F$88*(C2255-sezione!$AL$36)*IF(ABS(K2255)&lt;'Progetto del paramento slu'!$G$58,ABS(K2255)*'Progetto del paramento slu'!$G$54,'Progetto del paramento slu'!$G$53)</f>
        <v>0</v>
      </c>
      <c r="F2255" s="553">
        <f>-'Foglio deposito bis'!$F$89*(C2255-sezione!$AM$36)*IF(ABS(L2255)&lt;'Progetto del paramento slu'!$G$58,ABS(L2255)*'Progetto del paramento slu'!$G$54,'Progetto del paramento slu'!$G$53)</f>
        <v>22488284.120708052</v>
      </c>
      <c r="G2255" s="553">
        <f>-'Foglio deposito bis'!$F$90*(C2255-sezione!$AN$36)*IF(ABS(M2255)&lt;'Progetto del paramento slu'!$G$58,ABS(M2255)*'Progetto del paramento slu'!$G$54,'Progetto del paramento slu'!$G$53)</f>
        <v>0</v>
      </c>
      <c r="H2255" s="553">
        <f>-'Foglio deposito bis'!$F$91*(C2255-sezione!$AO$36)*IF(ABS(N2255)&lt;'Progetto del paramento slu'!$G$58,ABS(N2255)*'Progetto del paramento slu'!$G$54,'Progetto del paramento slu'!$G$53)</f>
        <v>300184198.3350544</v>
      </c>
      <c r="I2255" s="479">
        <f>-'Foglio deposito bis'!$F$92*(C2255-sezione!$AP$36)*IF(ABS(O2255)&lt;'Progetto del paramento slu'!$G$58,ABS(O2255)*'Progetto del paramento slu'!$G$54,'Progetto del paramento slu'!$G$53)</f>
        <v>426072524.9411087</v>
      </c>
      <c r="J2255" s="479">
        <f t="shared" si="165"/>
        <v>748635114.39672256</v>
      </c>
      <c r="K2255" s="558">
        <f>'Progetto del paramento slu'!$G$60*(sezione!$AL$36-C2255)/C2255</f>
        <v>3.4817370225532579E-2</v>
      </c>
      <c r="L2255" s="558">
        <f>'Progetto del paramento slu'!$G$60*(sezione!$AM$36-C2255)/C2255</f>
        <v>0.14019013834574717</v>
      </c>
      <c r="M2255" s="559">
        <f>'Progetto del paramento slu'!$G$60*(sezione!$AN$36-C2255)/C2255</f>
        <v>0.24556290646596177</v>
      </c>
      <c r="N2255" s="559">
        <f>'Progetto del paramento slu'!$G$60*(sezione!$AO$36-C2255)/C2255</f>
        <v>0.32219764691702696</v>
      </c>
      <c r="O2255" s="559">
        <f>'Progetto del paramento slu'!$G$60*(sezione!$AP$36-C2255)/C2255</f>
        <v>0.24557151866335603</v>
      </c>
      <c r="P2255" s="553">
        <f>-'Progetto del paramento slu'!$G$47*'Progetto del paramento slu'!$G$41*IF(DATI!$G$218="dx",DATI!$E$61,DATI!$E$64*DATI!$E$63)*1000*C2255*sezione!$AD$5</f>
        <v>-51502.088697230552</v>
      </c>
      <c r="Q2255" s="553">
        <f>'Foglio deposito bis'!$F$88*IF(ABS(K2255)&lt;'Progetto del paramento slu'!$G$58,ABS(K2255)*'Progetto del paramento slu'!$G$54,'Progetto del paramento slu'!$G$53)*IF(K2255&lt;0,-1,1)</f>
        <v>0</v>
      </c>
      <c r="R2255" s="553">
        <f>'Foglio deposito bis'!$F$89*IF(ABS(L2255)&lt;'Progetto del paramento slu'!$G$58,ABS(L2255)*'Progetto del paramento slu'!$G$54,'Progetto del paramento slu'!$G$53)*IF(L2255&lt;0,-1,1)</f>
        <v>153664.85805602249</v>
      </c>
      <c r="S2255" s="553">
        <f>'Foglio deposito bis'!$F$90*IF(ABS(M2255)&lt;'Progetto del paramento slu'!$G$58,ABS(M2255)*'Progetto del paramento slu'!$G$54,'Progetto del paramento slu'!$G$53)*IF(M2255&lt;0,-1,1)</f>
        <v>0</v>
      </c>
      <c r="T2255" s="553">
        <f>'Foglio deposito bis'!$F$91*IF(ABS(N2255)&lt;'Progetto del paramento slu'!$G$58,ABS(N2255)*'Progetto del paramento slu'!$G$54,'Progetto del paramento slu'!$G$53)*IF(N2255&lt;0,-1,1)</f>
        <v>892485.49558937876</v>
      </c>
      <c r="U2255" s="553">
        <f>'Foglio deposito bis'!$F$92*IF(ABS(O2255)&lt;'Progetto del paramento slu'!$G$58,ABS(O2255)*'Progetto del paramento slu'!$G$54,'Progetto del paramento slu'!$G$53)*IF(O2255&lt;0,-1,1)</f>
        <v>1662039.1047339395</v>
      </c>
      <c r="V2255" s="479">
        <f t="shared" si="168"/>
        <v>2656687.3696821099</v>
      </c>
      <c r="W2255" s="559"/>
      <c r="X2255" s="559"/>
    </row>
    <row r="2256" spans="1:24" x14ac:dyDescent="0.25">
      <c r="A2256" s="553">
        <f t="shared" si="167"/>
        <v>2653826.1425322639</v>
      </c>
      <c r="B2256" s="3">
        <f t="shared" si="169"/>
        <v>0.95000000000000029</v>
      </c>
      <c r="C2256" s="553">
        <f>'Foglio deposito bis'!$E$162/sezione!$B$247*B2256</f>
        <v>3.8566784961486431</v>
      </c>
      <c r="D2256" s="611">
        <f>-'Progetto del paramento slu'!$G$47*'Progetto del paramento slu'!$G$41*IF(DATI!$G$218="dx",DATI!$E$61,DATI!$E$64*DATI!$E$63)*1000*C2256^2*sezione!$AD$5*(1-sezione!$AD$6)</f>
        <v>-122442.50942474637</v>
      </c>
      <c r="E2256" s="553">
        <f>-'Foglio deposito bis'!$F$88*(C2256-sezione!$AL$36)*IF(ABS(K2256)&lt;'Progetto del paramento slu'!$G$58,ABS(K2256)*'Progetto del paramento slu'!$G$54,'Progetto del paramento slu'!$G$53)</f>
        <v>0</v>
      </c>
      <c r="F2256" s="553">
        <f>-'Foglio deposito bis'!$F$89*(C2256-sezione!$AM$36)*IF(ABS(L2256)&lt;'Progetto del paramento slu'!$G$58,ABS(L2256)*'Progetto del paramento slu'!$G$54,'Progetto del paramento slu'!$G$53)</f>
        <v>22457092.754724979</v>
      </c>
      <c r="G2256" s="553">
        <f>-'Foglio deposito bis'!$F$90*(C2256-sezione!$AN$36)*IF(ABS(M2256)&lt;'Progetto del paramento slu'!$G$58,ABS(M2256)*'Progetto del paramento slu'!$G$54,'Progetto del paramento slu'!$G$53)</f>
        <v>0</v>
      </c>
      <c r="H2256" s="553">
        <f>-'Foglio deposito bis'!$F$91*(C2256-sezione!$AO$36)*IF(ABS(N2256)&lt;'Progetto del paramento slu'!$G$58,ABS(N2256)*'Progetto del paramento slu'!$G$54,'Progetto del paramento slu'!$G$53)</f>
        <v>300003038.88142467</v>
      </c>
      <c r="I2256" s="479">
        <f>-'Foglio deposito bis'!$F$92*(C2256-sezione!$AP$36)*IF(ABS(O2256)&lt;'Progetto del paramento slu'!$G$58,ABS(O2256)*'Progetto del paramento slu'!$G$54,'Progetto del paramento slu'!$G$53)</f>
        <v>425735159.12663579</v>
      </c>
      <c r="J2256" s="479">
        <f t="shared" si="165"/>
        <v>748072848.25336075</v>
      </c>
      <c r="K2256" s="558">
        <f>'Progetto del paramento slu'!$G$60*(sezione!$AL$36-C2256)/C2256</f>
        <v>3.2800666529451912E-2</v>
      </c>
      <c r="L2256" s="558">
        <f>'Progetto del paramento slu'!$G$60*(sezione!$AM$36-C2256)/C2256</f>
        <v>0.13262749948544469</v>
      </c>
      <c r="M2256" s="559">
        <f>'Progetto del paramento slu'!$G$60*(sezione!$AN$36-C2256)/C2256</f>
        <v>0.23245433244143748</v>
      </c>
      <c r="N2256" s="559">
        <f>'Progetto del paramento slu'!$G$60*(sezione!$AO$36-C2256)/C2256</f>
        <v>0.3050556655003413</v>
      </c>
      <c r="O2256" s="559">
        <f>'Progetto del paramento slu'!$G$60*(sezione!$AP$36-C2256)/C2256</f>
        <v>0.23246249136528466</v>
      </c>
      <c r="P2256" s="553">
        <f>-'Progetto del paramento slu'!$G$47*'Progetto del paramento slu'!$G$41*IF(DATI!$G$218="dx",DATI!$E$61,DATI!$E$64*DATI!$E$63)*1000*C2256*sezione!$AD$5</f>
        <v>-54363.315847076701</v>
      </c>
      <c r="Q2256" s="553">
        <f>'Foglio deposito bis'!$F$88*IF(ABS(K2256)&lt;'Progetto del paramento slu'!$G$58,ABS(K2256)*'Progetto del paramento slu'!$G$54,'Progetto del paramento slu'!$G$53)*IF(K2256&lt;0,-1,1)</f>
        <v>0</v>
      </c>
      <c r="R2256" s="553">
        <f>'Foglio deposito bis'!$F$89*IF(ABS(L2256)&lt;'Progetto del paramento slu'!$G$58,ABS(L2256)*'Progetto del paramento slu'!$G$54,'Progetto del paramento slu'!$G$53)*IF(L2256&lt;0,-1,1)</f>
        <v>153664.85805602249</v>
      </c>
      <c r="S2256" s="553">
        <f>'Foglio deposito bis'!$F$90*IF(ABS(M2256)&lt;'Progetto del paramento slu'!$G$58,ABS(M2256)*'Progetto del paramento slu'!$G$54,'Progetto del paramento slu'!$G$53)*IF(M2256&lt;0,-1,1)</f>
        <v>0</v>
      </c>
      <c r="T2256" s="553">
        <f>'Foglio deposito bis'!$F$91*IF(ABS(N2256)&lt;'Progetto del paramento slu'!$G$58,ABS(N2256)*'Progetto del paramento slu'!$G$54,'Progetto del paramento slu'!$G$53)*IF(N2256&lt;0,-1,1)</f>
        <v>892485.49558937876</v>
      </c>
      <c r="U2256" s="553">
        <f>'Foglio deposito bis'!$F$92*IF(ABS(O2256)&lt;'Progetto del paramento slu'!$G$58,ABS(O2256)*'Progetto del paramento slu'!$G$54,'Progetto del paramento slu'!$G$53)*IF(O2256&lt;0,-1,1)</f>
        <v>1662039.1047339395</v>
      </c>
      <c r="V2256" s="479">
        <f t="shared" si="168"/>
        <v>2653826.1425322639</v>
      </c>
      <c r="W2256" s="559"/>
      <c r="X2256" s="559"/>
    </row>
    <row r="2257" spans="1:24" x14ac:dyDescent="0.25">
      <c r="A2257" s="553">
        <f t="shared" si="167"/>
        <v>2650964.9153824179</v>
      </c>
      <c r="B2257" s="3">
        <f t="shared" si="169"/>
        <v>1.0000000000000002</v>
      </c>
      <c r="C2257" s="553">
        <f>'Foglio deposito bis'!$E$162/sezione!$B$247*B2257</f>
        <v>4.0596615748933083</v>
      </c>
      <c r="D2257" s="611">
        <f>-'Progetto del paramento slu'!$G$47*'Progetto del paramento slu'!$G$41*IF(DATI!$G$218="dx",DATI!$E$61,DATI!$E$64*DATI!$E$63)*1000*C2257^2*sezione!$AD$5*(1-sezione!$AD$6)</f>
        <v>-135670.37055373556</v>
      </c>
      <c r="E2257" s="553">
        <f>-'Foglio deposito bis'!$F$88*(C2257-sezione!$AL$36)*IF(ABS(K2257)&lt;'Progetto del paramento slu'!$G$58,ABS(K2257)*'Progetto del paramento slu'!$G$54,'Progetto del paramento slu'!$G$53)</f>
        <v>0</v>
      </c>
      <c r="F2257" s="553">
        <f>-'Foglio deposito bis'!$F$89*(C2257-sezione!$AM$36)*IF(ABS(L2257)&lt;'Progetto del paramento slu'!$G$58,ABS(L2257)*'Progetto del paramento slu'!$G$54,'Progetto del paramento slu'!$G$53)</f>
        <v>22425901.388741907</v>
      </c>
      <c r="G2257" s="553">
        <f>-'Foglio deposito bis'!$F$90*(C2257-sezione!$AN$36)*IF(ABS(M2257)&lt;'Progetto del paramento slu'!$G$58,ABS(M2257)*'Progetto del paramento slu'!$G$54,'Progetto del paramento slu'!$G$53)</f>
        <v>0</v>
      </c>
      <c r="H2257" s="553">
        <f>-'Foglio deposito bis'!$F$91*(C2257-sezione!$AO$36)*IF(ABS(N2257)&lt;'Progetto del paramento slu'!$G$58,ABS(N2257)*'Progetto del paramento slu'!$G$54,'Progetto del paramento slu'!$G$53)</f>
        <v>299821879.42779499</v>
      </c>
      <c r="I2257" s="479">
        <f>-'Foglio deposito bis'!$F$92*(C2257-sezione!$AP$36)*IF(ABS(O2257)&lt;'Progetto del paramento slu'!$G$58,ABS(O2257)*'Progetto del paramento slu'!$G$54,'Progetto del paramento slu'!$G$53)</f>
        <v>425397793.31216288</v>
      </c>
      <c r="J2257" s="479">
        <f t="shared" si="165"/>
        <v>747509903.75814605</v>
      </c>
      <c r="K2257" s="558">
        <f>'Progetto del paramento slu'!$G$60*(sezione!$AL$36-C2257)/C2257</f>
        <v>3.0985633202979319E-2</v>
      </c>
      <c r="L2257" s="558">
        <f>'Progetto del paramento slu'!$G$60*(sezione!$AM$36-C2257)/C2257</f>
        <v>0.12582112451117247</v>
      </c>
      <c r="M2257" s="559">
        <f>'Progetto del paramento slu'!$G$60*(sezione!$AN$36-C2257)/C2257</f>
        <v>0.2206566158193656</v>
      </c>
      <c r="N2257" s="559">
        <f>'Progetto del paramento slu'!$G$60*(sezione!$AO$36-C2257)/C2257</f>
        <v>0.28962788222532426</v>
      </c>
      <c r="O2257" s="559">
        <f>'Progetto del paramento slu'!$G$60*(sezione!$AP$36-C2257)/C2257</f>
        <v>0.22066436679702042</v>
      </c>
      <c r="P2257" s="553">
        <f>-'Progetto del paramento slu'!$G$47*'Progetto del paramento slu'!$G$41*IF(DATI!$G$218="dx",DATI!$E$61,DATI!$E$64*DATI!$E$63)*1000*C2257*sezione!$AD$5</f>
        <v>-57224.542996922835</v>
      </c>
      <c r="Q2257" s="553">
        <f>'Foglio deposito bis'!$F$88*IF(ABS(K2257)&lt;'Progetto del paramento slu'!$G$58,ABS(K2257)*'Progetto del paramento slu'!$G$54,'Progetto del paramento slu'!$G$53)*IF(K2257&lt;0,-1,1)</f>
        <v>0</v>
      </c>
      <c r="R2257" s="553">
        <f>'Foglio deposito bis'!$F$89*IF(ABS(L2257)&lt;'Progetto del paramento slu'!$G$58,ABS(L2257)*'Progetto del paramento slu'!$G$54,'Progetto del paramento slu'!$G$53)*IF(L2257&lt;0,-1,1)</f>
        <v>153664.85805602249</v>
      </c>
      <c r="S2257" s="553">
        <f>'Foglio deposito bis'!$F$90*IF(ABS(M2257)&lt;'Progetto del paramento slu'!$G$58,ABS(M2257)*'Progetto del paramento slu'!$G$54,'Progetto del paramento slu'!$G$53)*IF(M2257&lt;0,-1,1)</f>
        <v>0</v>
      </c>
      <c r="T2257" s="553">
        <f>'Foglio deposito bis'!$F$91*IF(ABS(N2257)&lt;'Progetto del paramento slu'!$G$58,ABS(N2257)*'Progetto del paramento slu'!$G$54,'Progetto del paramento slu'!$G$53)*IF(N2257&lt;0,-1,1)</f>
        <v>892485.49558937876</v>
      </c>
      <c r="U2257" s="553">
        <f>'Foglio deposito bis'!$F$92*IF(ABS(O2257)&lt;'Progetto del paramento slu'!$G$58,ABS(O2257)*'Progetto del paramento slu'!$G$54,'Progetto del paramento slu'!$G$53)*IF(O2257&lt;0,-1,1)</f>
        <v>1662039.1047339395</v>
      </c>
      <c r="V2257" s="479">
        <f t="shared" si="168"/>
        <v>2650964.9153824179</v>
      </c>
      <c r="W2257" s="559"/>
      <c r="X2257" s="559"/>
    </row>
    <row r="2258" spans="1:24" x14ac:dyDescent="0.25">
      <c r="A2258" s="553">
        <f t="shared" si="167"/>
        <v>2648103.6882325718</v>
      </c>
      <c r="B2258" s="3">
        <f t="shared" si="169"/>
        <v>1.0500000000000003</v>
      </c>
      <c r="C2258" s="553">
        <f>'Foglio deposito bis'!$E$162/sezione!$B$247*B2258</f>
        <v>4.2626446536379738</v>
      </c>
      <c r="D2258" s="611">
        <f>-'Progetto del paramento slu'!$G$47*'Progetto del paramento slu'!$G$41*IF(DATI!$G$218="dx",DATI!$E$61,DATI!$E$64*DATI!$E$63)*1000*C2258^2*sezione!$AD$5*(1-sezione!$AD$6)</f>
        <v>-149576.58353549347</v>
      </c>
      <c r="E2258" s="553">
        <f>-'Foglio deposito bis'!$F$88*(C2258-sezione!$AL$36)*IF(ABS(K2258)&lt;'Progetto del paramento slu'!$G$58,ABS(K2258)*'Progetto del paramento slu'!$G$54,'Progetto del paramento slu'!$G$53)</f>
        <v>0</v>
      </c>
      <c r="F2258" s="553">
        <f>-'Foglio deposito bis'!$F$89*(C2258-sezione!$AM$36)*IF(ABS(L2258)&lt;'Progetto del paramento slu'!$G$58,ABS(L2258)*'Progetto del paramento slu'!$G$54,'Progetto del paramento slu'!$G$53)</f>
        <v>22394710.02275883</v>
      </c>
      <c r="G2258" s="553">
        <f>-'Foglio deposito bis'!$F$90*(C2258-sezione!$AN$36)*IF(ABS(M2258)&lt;'Progetto del paramento slu'!$G$58,ABS(M2258)*'Progetto del paramento slu'!$G$54,'Progetto del paramento slu'!$G$53)</f>
        <v>0</v>
      </c>
      <c r="H2258" s="553">
        <f>-'Foglio deposito bis'!$F$91*(C2258-sezione!$AO$36)*IF(ABS(N2258)&lt;'Progetto del paramento slu'!$G$58,ABS(N2258)*'Progetto del paramento slu'!$G$54,'Progetto del paramento slu'!$G$53)</f>
        <v>299640719.97416532</v>
      </c>
      <c r="I2258" s="479">
        <f>-'Foglio deposito bis'!$F$92*(C2258-sezione!$AP$36)*IF(ABS(O2258)&lt;'Progetto del paramento slu'!$G$58,ABS(O2258)*'Progetto del paramento slu'!$G$54,'Progetto del paramento slu'!$G$53)</f>
        <v>425060427.49768984</v>
      </c>
      <c r="J2258" s="479">
        <f t="shared" si="165"/>
        <v>746946280.91107845</v>
      </c>
      <c r="K2258" s="558">
        <f>'Progetto del paramento slu'!$G$60*(sezione!$AL$36-C2258)/C2258</f>
        <v>2.9343460193313634E-2</v>
      </c>
      <c r="L2258" s="558">
        <f>'Progetto del paramento slu'!$G$60*(sezione!$AM$36-C2258)/C2258</f>
        <v>0.11966297572492615</v>
      </c>
      <c r="M2258" s="559">
        <f>'Progetto del paramento slu'!$G$60*(sezione!$AN$36-C2258)/C2258</f>
        <v>0.20998249125653864</v>
      </c>
      <c r="N2258" s="559">
        <f>'Progetto del paramento slu'!$G$60*(sezione!$AO$36-C2258)/C2258</f>
        <v>0.27566941164316594</v>
      </c>
      <c r="O2258" s="559">
        <f>'Progetto del paramento slu'!$G$60*(sezione!$AP$36-C2258)/C2258</f>
        <v>0.20998987314001943</v>
      </c>
      <c r="P2258" s="553">
        <f>-'Progetto del paramento slu'!$G$47*'Progetto del paramento slu'!$G$41*IF(DATI!$G$218="dx",DATI!$E$61,DATI!$E$64*DATI!$E$63)*1000*C2258*sezione!$AD$5</f>
        <v>-60085.770146768984</v>
      </c>
      <c r="Q2258" s="553">
        <f>'Foglio deposito bis'!$F$88*IF(ABS(K2258)&lt;'Progetto del paramento slu'!$G$58,ABS(K2258)*'Progetto del paramento slu'!$G$54,'Progetto del paramento slu'!$G$53)*IF(K2258&lt;0,-1,1)</f>
        <v>0</v>
      </c>
      <c r="R2258" s="553">
        <f>'Foglio deposito bis'!$F$89*IF(ABS(L2258)&lt;'Progetto del paramento slu'!$G$58,ABS(L2258)*'Progetto del paramento slu'!$G$54,'Progetto del paramento slu'!$G$53)*IF(L2258&lt;0,-1,1)</f>
        <v>153664.85805602249</v>
      </c>
      <c r="S2258" s="553">
        <f>'Foglio deposito bis'!$F$90*IF(ABS(M2258)&lt;'Progetto del paramento slu'!$G$58,ABS(M2258)*'Progetto del paramento slu'!$G$54,'Progetto del paramento slu'!$G$53)*IF(M2258&lt;0,-1,1)</f>
        <v>0</v>
      </c>
      <c r="T2258" s="553">
        <f>'Foglio deposito bis'!$F$91*IF(ABS(N2258)&lt;'Progetto del paramento slu'!$G$58,ABS(N2258)*'Progetto del paramento slu'!$G$54,'Progetto del paramento slu'!$G$53)*IF(N2258&lt;0,-1,1)</f>
        <v>892485.49558937876</v>
      </c>
      <c r="U2258" s="553">
        <f>'Foglio deposito bis'!$F$92*IF(ABS(O2258)&lt;'Progetto del paramento slu'!$G$58,ABS(O2258)*'Progetto del paramento slu'!$G$54,'Progetto del paramento slu'!$G$53)*IF(O2258&lt;0,-1,1)</f>
        <v>1662039.1047339395</v>
      </c>
      <c r="V2258" s="479">
        <f t="shared" si="168"/>
        <v>2648103.6882325718</v>
      </c>
      <c r="W2258" s="559"/>
      <c r="X2258" s="559"/>
    </row>
    <row r="2259" spans="1:24" x14ac:dyDescent="0.25">
      <c r="A2259" s="553">
        <f t="shared" si="167"/>
        <v>2645242.4610827258</v>
      </c>
      <c r="B2259" s="3">
        <f t="shared" si="169"/>
        <v>1.1000000000000003</v>
      </c>
      <c r="C2259" s="553">
        <f>'Foglio deposito bis'!$E$162/sezione!$B$247*B2259</f>
        <v>4.4656277323826394</v>
      </c>
      <c r="D2259" s="611">
        <f>-'Progetto del paramento slu'!$G$47*'Progetto del paramento slu'!$G$41*IF(DATI!$G$218="dx",DATI!$E$61,DATI!$E$64*DATI!$E$63)*1000*C2259^2*sezione!$AD$5*(1-sezione!$AD$6)</f>
        <v>-164161.14837002009</v>
      </c>
      <c r="E2259" s="553">
        <f>-'Foglio deposito bis'!$F$88*(C2259-sezione!$AL$36)*IF(ABS(K2259)&lt;'Progetto del paramento slu'!$G$58,ABS(K2259)*'Progetto del paramento slu'!$G$54,'Progetto del paramento slu'!$G$53)</f>
        <v>0</v>
      </c>
      <c r="F2259" s="553">
        <f>-'Foglio deposito bis'!$F$89*(C2259-sezione!$AM$36)*IF(ABS(L2259)&lt;'Progetto del paramento slu'!$G$58,ABS(L2259)*'Progetto del paramento slu'!$G$54,'Progetto del paramento slu'!$G$53)</f>
        <v>22363518.656775758</v>
      </c>
      <c r="G2259" s="553">
        <f>-'Foglio deposito bis'!$F$90*(C2259-sezione!$AN$36)*IF(ABS(M2259)&lt;'Progetto del paramento slu'!$G$58,ABS(M2259)*'Progetto del paramento slu'!$G$54,'Progetto del paramento slu'!$G$53)</f>
        <v>0</v>
      </c>
      <c r="H2259" s="553">
        <f>-'Foglio deposito bis'!$F$91*(C2259-sezione!$AO$36)*IF(ABS(N2259)&lt;'Progetto del paramento slu'!$G$58,ABS(N2259)*'Progetto del paramento slu'!$G$54,'Progetto del paramento slu'!$G$53)</f>
        <v>299459560.52053559</v>
      </c>
      <c r="I2259" s="479">
        <f>-'Foglio deposito bis'!$F$92*(C2259-sezione!$AP$36)*IF(ABS(O2259)&lt;'Progetto del paramento slu'!$G$58,ABS(O2259)*'Progetto del paramento slu'!$G$54,'Progetto del paramento slu'!$G$53)</f>
        <v>424723061.68321693</v>
      </c>
      <c r="J2259" s="479">
        <f t="shared" si="165"/>
        <v>746381979.7121582</v>
      </c>
      <c r="K2259" s="558">
        <f>'Progetto del paramento slu'!$G$60*(sezione!$AL$36-C2259)/C2259</f>
        <v>2.7850575639072107E-2</v>
      </c>
      <c r="L2259" s="558">
        <f>'Progetto del paramento slu'!$G$60*(sezione!$AM$36-C2259)/C2259</f>
        <v>0.11406465864652041</v>
      </c>
      <c r="M2259" s="559">
        <f>'Progetto del paramento slu'!$G$60*(sezione!$AN$36-C2259)/C2259</f>
        <v>0.20027874165396869</v>
      </c>
      <c r="N2259" s="559">
        <f>'Progetto del paramento slu'!$G$60*(sezione!$AO$36-C2259)/C2259</f>
        <v>0.26297989293211294</v>
      </c>
      <c r="O2259" s="559">
        <f>'Progetto del paramento slu'!$G$60*(sezione!$AP$36-C2259)/C2259</f>
        <v>0.20028578799729127</v>
      </c>
      <c r="P2259" s="553">
        <f>-'Progetto del paramento slu'!$G$47*'Progetto del paramento slu'!$G$41*IF(DATI!$G$218="dx",DATI!$E$61,DATI!$E$64*DATI!$E$63)*1000*C2259*sezione!$AD$5</f>
        <v>-62946.997296615125</v>
      </c>
      <c r="Q2259" s="553">
        <f>'Foglio deposito bis'!$F$88*IF(ABS(K2259)&lt;'Progetto del paramento slu'!$G$58,ABS(K2259)*'Progetto del paramento slu'!$G$54,'Progetto del paramento slu'!$G$53)*IF(K2259&lt;0,-1,1)</f>
        <v>0</v>
      </c>
      <c r="R2259" s="553">
        <f>'Foglio deposito bis'!$F$89*IF(ABS(L2259)&lt;'Progetto del paramento slu'!$G$58,ABS(L2259)*'Progetto del paramento slu'!$G$54,'Progetto del paramento slu'!$G$53)*IF(L2259&lt;0,-1,1)</f>
        <v>153664.85805602249</v>
      </c>
      <c r="S2259" s="553">
        <f>'Foglio deposito bis'!$F$90*IF(ABS(M2259)&lt;'Progetto del paramento slu'!$G$58,ABS(M2259)*'Progetto del paramento slu'!$G$54,'Progetto del paramento slu'!$G$53)*IF(M2259&lt;0,-1,1)</f>
        <v>0</v>
      </c>
      <c r="T2259" s="553">
        <f>'Foglio deposito bis'!$F$91*IF(ABS(N2259)&lt;'Progetto del paramento slu'!$G$58,ABS(N2259)*'Progetto del paramento slu'!$G$54,'Progetto del paramento slu'!$G$53)*IF(N2259&lt;0,-1,1)</f>
        <v>892485.49558937876</v>
      </c>
      <c r="U2259" s="553">
        <f>'Foglio deposito bis'!$F$92*IF(ABS(O2259)&lt;'Progetto del paramento slu'!$G$58,ABS(O2259)*'Progetto del paramento slu'!$G$54,'Progetto del paramento slu'!$G$53)*IF(O2259&lt;0,-1,1)</f>
        <v>1662039.1047339395</v>
      </c>
      <c r="V2259" s="479">
        <f t="shared" si="168"/>
        <v>2645242.4610827258</v>
      </c>
      <c r="W2259" s="559"/>
      <c r="X2259" s="559"/>
    </row>
    <row r="2260" spans="1:24" x14ac:dyDescent="0.25">
      <c r="A2260" s="553">
        <f t="shared" si="167"/>
        <v>2642381.2339328798</v>
      </c>
      <c r="B2260" s="3">
        <f t="shared" si="169"/>
        <v>1.1500000000000004</v>
      </c>
      <c r="C2260" s="553">
        <f>'Foglio deposito bis'!$E$162/sezione!$B$247*B2260</f>
        <v>4.668610811127305</v>
      </c>
      <c r="D2260" s="611">
        <f>-'Progetto del paramento slu'!$G$47*'Progetto del paramento slu'!$G$41*IF(DATI!$G$218="dx",DATI!$E$61,DATI!$E$64*DATI!$E$63)*1000*C2260^2*sezione!$AD$5*(1-sezione!$AD$6)</f>
        <v>-179424.06505731534</v>
      </c>
      <c r="E2260" s="553">
        <f>-'Foglio deposito bis'!$F$88*(C2260-sezione!$AL$36)*IF(ABS(K2260)&lt;'Progetto del paramento slu'!$G$58,ABS(K2260)*'Progetto del paramento slu'!$G$54,'Progetto del paramento slu'!$G$53)</f>
        <v>0</v>
      </c>
      <c r="F2260" s="553">
        <f>-'Foglio deposito bis'!$F$89*(C2260-sezione!$AM$36)*IF(ABS(L2260)&lt;'Progetto del paramento slu'!$G$58,ABS(L2260)*'Progetto del paramento slu'!$G$54,'Progetto del paramento slu'!$G$53)</f>
        <v>22332327.290792685</v>
      </c>
      <c r="G2260" s="553">
        <f>-'Foglio deposito bis'!$F$90*(C2260-sezione!$AN$36)*IF(ABS(M2260)&lt;'Progetto del paramento slu'!$G$58,ABS(M2260)*'Progetto del paramento slu'!$G$54,'Progetto del paramento slu'!$G$53)</f>
        <v>0</v>
      </c>
      <c r="H2260" s="553">
        <f>-'Foglio deposito bis'!$F$91*(C2260-sezione!$AO$36)*IF(ABS(N2260)&lt;'Progetto del paramento slu'!$G$58,ABS(N2260)*'Progetto del paramento slu'!$G$54,'Progetto del paramento slu'!$G$53)</f>
        <v>299278401.06690592</v>
      </c>
      <c r="I2260" s="479">
        <f>-'Foglio deposito bis'!$F$92*(C2260-sezione!$AP$36)*IF(ABS(O2260)&lt;'Progetto del paramento slu'!$G$58,ABS(O2260)*'Progetto del paramento slu'!$G$54,'Progetto del paramento slu'!$G$53)</f>
        <v>424385695.86874402</v>
      </c>
      <c r="J2260" s="479">
        <f t="shared" si="165"/>
        <v>745817000.1613853</v>
      </c>
      <c r="K2260" s="558">
        <f>'Progetto del paramento slu'!$G$60*(sezione!$AL$36-C2260)/C2260</f>
        <v>2.6487507133025494E-2</v>
      </c>
      <c r="L2260" s="558">
        <f>'Progetto del paramento slu'!$G$60*(sezione!$AM$36-C2260)/C2260</f>
        <v>0.10895315174884559</v>
      </c>
      <c r="M2260" s="559">
        <f>'Progetto del paramento slu'!$G$60*(sezione!$AN$36-C2260)/C2260</f>
        <v>0.19141879636466572</v>
      </c>
      <c r="N2260" s="559">
        <f>'Progetto del paramento slu'!$G$60*(sezione!$AO$36-C2260)/C2260</f>
        <v>0.25139381063071675</v>
      </c>
      <c r="O2260" s="559">
        <f>'Progetto del paramento slu'!$G$60*(sezione!$AP$36-C2260)/C2260</f>
        <v>0.19142553634523513</v>
      </c>
      <c r="P2260" s="553">
        <f>-'Progetto del paramento slu'!$G$47*'Progetto del paramento slu'!$G$41*IF(DATI!$G$218="dx",DATI!$E$61,DATI!$E$64*DATI!$E$63)*1000*C2260*sezione!$AD$5</f>
        <v>-65808.224446461274</v>
      </c>
      <c r="Q2260" s="553">
        <f>'Foglio deposito bis'!$F$88*IF(ABS(K2260)&lt;'Progetto del paramento slu'!$G$58,ABS(K2260)*'Progetto del paramento slu'!$G$54,'Progetto del paramento slu'!$G$53)*IF(K2260&lt;0,-1,1)</f>
        <v>0</v>
      </c>
      <c r="R2260" s="553">
        <f>'Foglio deposito bis'!$F$89*IF(ABS(L2260)&lt;'Progetto del paramento slu'!$G$58,ABS(L2260)*'Progetto del paramento slu'!$G$54,'Progetto del paramento slu'!$G$53)*IF(L2260&lt;0,-1,1)</f>
        <v>153664.85805602249</v>
      </c>
      <c r="S2260" s="553">
        <f>'Foglio deposito bis'!$F$90*IF(ABS(M2260)&lt;'Progetto del paramento slu'!$G$58,ABS(M2260)*'Progetto del paramento slu'!$G$54,'Progetto del paramento slu'!$G$53)*IF(M2260&lt;0,-1,1)</f>
        <v>0</v>
      </c>
      <c r="T2260" s="553">
        <f>'Foglio deposito bis'!$F$91*IF(ABS(N2260)&lt;'Progetto del paramento slu'!$G$58,ABS(N2260)*'Progetto del paramento slu'!$G$54,'Progetto del paramento slu'!$G$53)*IF(N2260&lt;0,-1,1)</f>
        <v>892485.49558937876</v>
      </c>
      <c r="U2260" s="553">
        <f>'Foglio deposito bis'!$F$92*IF(ABS(O2260)&lt;'Progetto del paramento slu'!$G$58,ABS(O2260)*'Progetto del paramento slu'!$G$54,'Progetto del paramento slu'!$G$53)*IF(O2260&lt;0,-1,1)</f>
        <v>1662039.1047339395</v>
      </c>
      <c r="V2260" s="479">
        <f t="shared" si="168"/>
        <v>2642381.2339328798</v>
      </c>
      <c r="W2260" s="559"/>
      <c r="X2260" s="559"/>
    </row>
    <row r="2261" spans="1:24" x14ac:dyDescent="0.25">
      <c r="A2261" s="553">
        <f t="shared" si="167"/>
        <v>2639520.0067830333</v>
      </c>
      <c r="B2261" s="3">
        <f t="shared" si="169"/>
        <v>1.2000000000000004</v>
      </c>
      <c r="C2261" s="553">
        <f>'Foglio deposito bis'!$E$162/sezione!$B$247*B2261</f>
        <v>4.8715938898719706</v>
      </c>
      <c r="D2261" s="611">
        <f>-'Progetto del paramento slu'!$G$47*'Progetto del paramento slu'!$G$41*IF(DATI!$G$218="dx",DATI!$E$61,DATI!$E$64*DATI!$E$63)*1000*C2261^2*sezione!$AD$5*(1-sezione!$AD$6)</f>
        <v>-195365.33359737927</v>
      </c>
      <c r="E2261" s="553">
        <f>-'Foglio deposito bis'!$F$88*(C2261-sezione!$AL$36)*IF(ABS(K2261)&lt;'Progetto del paramento slu'!$G$58,ABS(K2261)*'Progetto del paramento slu'!$G$54,'Progetto del paramento slu'!$G$53)</f>
        <v>0</v>
      </c>
      <c r="F2261" s="553">
        <f>-'Foglio deposito bis'!$F$89*(C2261-sezione!$AM$36)*IF(ABS(L2261)&lt;'Progetto del paramento slu'!$G$58,ABS(L2261)*'Progetto del paramento slu'!$G$54,'Progetto del paramento slu'!$G$53)</f>
        <v>22301135.924809612</v>
      </c>
      <c r="G2261" s="553">
        <f>-'Foglio deposito bis'!$F$90*(C2261-sezione!$AN$36)*IF(ABS(M2261)&lt;'Progetto del paramento slu'!$G$58,ABS(M2261)*'Progetto del paramento slu'!$G$54,'Progetto del paramento slu'!$G$53)</f>
        <v>0</v>
      </c>
      <c r="H2261" s="553">
        <f>-'Foglio deposito bis'!$F$91*(C2261-sezione!$AO$36)*IF(ABS(N2261)&lt;'Progetto del paramento slu'!$G$58,ABS(N2261)*'Progetto del paramento slu'!$G$54,'Progetto del paramento slu'!$G$53)</f>
        <v>299097241.61327618</v>
      </c>
      <c r="I2261" s="479">
        <f>-'Foglio deposito bis'!$F$92*(C2261-sezione!$AP$36)*IF(ABS(O2261)&lt;'Progetto del paramento slu'!$G$58,ABS(O2261)*'Progetto del paramento slu'!$G$54,'Progetto del paramento slu'!$G$53)</f>
        <v>424048330.0542711</v>
      </c>
      <c r="J2261" s="479">
        <f t="shared" si="165"/>
        <v>745251342.2587595</v>
      </c>
      <c r="K2261" s="558">
        <f>'Progetto del paramento slu'!$G$60*(sezione!$AL$36-C2261)/C2261</f>
        <v>2.523802766914943E-2</v>
      </c>
      <c r="L2261" s="558">
        <f>'Progetto del paramento slu'!$G$60*(sezione!$AM$36-C2261)/C2261</f>
        <v>0.10426760375931036</v>
      </c>
      <c r="M2261" s="559">
        <f>'Progetto del paramento slu'!$G$60*(sezione!$AN$36-C2261)/C2261</f>
        <v>0.1832971798494713</v>
      </c>
      <c r="N2261" s="559">
        <f>'Progetto del paramento slu'!$G$60*(sezione!$AO$36-C2261)/C2261</f>
        <v>0.24077323518777016</v>
      </c>
      <c r="O2261" s="559">
        <f>'Progetto del paramento slu'!$G$60*(sezione!$AP$36-C2261)/C2261</f>
        <v>0.18330363899751698</v>
      </c>
      <c r="P2261" s="553">
        <f>-'Progetto del paramento slu'!$G$47*'Progetto del paramento slu'!$G$41*IF(DATI!$G$218="dx",DATI!$E$61,DATI!$E$64*DATI!$E$63)*1000*C2261*sezione!$AD$5</f>
        <v>-68669.451596307408</v>
      </c>
      <c r="Q2261" s="553">
        <f>'Foglio deposito bis'!$F$88*IF(ABS(K2261)&lt;'Progetto del paramento slu'!$G$58,ABS(K2261)*'Progetto del paramento slu'!$G$54,'Progetto del paramento slu'!$G$53)*IF(K2261&lt;0,-1,1)</f>
        <v>0</v>
      </c>
      <c r="R2261" s="553">
        <f>'Foglio deposito bis'!$F$89*IF(ABS(L2261)&lt;'Progetto del paramento slu'!$G$58,ABS(L2261)*'Progetto del paramento slu'!$G$54,'Progetto del paramento slu'!$G$53)*IF(L2261&lt;0,-1,1)</f>
        <v>153664.85805602249</v>
      </c>
      <c r="S2261" s="553">
        <f>'Foglio deposito bis'!$F$90*IF(ABS(M2261)&lt;'Progetto del paramento slu'!$G$58,ABS(M2261)*'Progetto del paramento slu'!$G$54,'Progetto del paramento slu'!$G$53)*IF(M2261&lt;0,-1,1)</f>
        <v>0</v>
      </c>
      <c r="T2261" s="553">
        <f>'Foglio deposito bis'!$F$91*IF(ABS(N2261)&lt;'Progetto del paramento slu'!$G$58,ABS(N2261)*'Progetto del paramento slu'!$G$54,'Progetto del paramento slu'!$G$53)*IF(N2261&lt;0,-1,1)</f>
        <v>892485.49558937876</v>
      </c>
      <c r="U2261" s="553">
        <f>'Foglio deposito bis'!$F$92*IF(ABS(O2261)&lt;'Progetto del paramento slu'!$G$58,ABS(O2261)*'Progetto del paramento slu'!$G$54,'Progetto del paramento slu'!$G$53)*IF(O2261&lt;0,-1,1)</f>
        <v>1662039.1047339395</v>
      </c>
      <c r="V2261" s="479">
        <f t="shared" si="168"/>
        <v>2639520.0067830333</v>
      </c>
      <c r="W2261" s="559"/>
      <c r="X2261" s="559"/>
    </row>
    <row r="2262" spans="1:24" x14ac:dyDescent="0.25">
      <c r="A2262" s="553">
        <f t="shared" si="167"/>
        <v>2636658.7796331872</v>
      </c>
      <c r="B2262" s="3">
        <f t="shared" si="169"/>
        <v>1.2500000000000004</v>
      </c>
      <c r="C2262" s="553">
        <f>'Foglio deposito bis'!$E$162/sezione!$B$247*B2262</f>
        <v>5.0745769686166362</v>
      </c>
      <c r="D2262" s="611">
        <f>-'Progetto del paramento slu'!$G$47*'Progetto del paramento slu'!$G$41*IF(DATI!$G$218="dx",DATI!$E$61,DATI!$E$64*DATI!$E$63)*1000*C2262^2*sezione!$AD$5*(1-sezione!$AD$6)</f>
        <v>-211984.95399021191</v>
      </c>
      <c r="E2262" s="553">
        <f>-'Foglio deposito bis'!$F$88*(C2262-sezione!$AL$36)*IF(ABS(K2262)&lt;'Progetto del paramento slu'!$G$58,ABS(K2262)*'Progetto del paramento slu'!$G$54,'Progetto del paramento slu'!$G$53)</f>
        <v>0</v>
      </c>
      <c r="F2262" s="553">
        <f>-'Foglio deposito bis'!$F$89*(C2262-sezione!$AM$36)*IF(ABS(L2262)&lt;'Progetto del paramento slu'!$G$58,ABS(L2262)*'Progetto del paramento slu'!$G$54,'Progetto del paramento slu'!$G$53)</f>
        <v>22269944.558826536</v>
      </c>
      <c r="G2262" s="553">
        <f>-'Foglio deposito bis'!$F$90*(C2262-sezione!$AN$36)*IF(ABS(M2262)&lt;'Progetto del paramento slu'!$G$58,ABS(M2262)*'Progetto del paramento slu'!$G$54,'Progetto del paramento slu'!$G$53)</f>
        <v>0</v>
      </c>
      <c r="H2262" s="553">
        <f>-'Foglio deposito bis'!$F$91*(C2262-sezione!$AO$36)*IF(ABS(N2262)&lt;'Progetto del paramento slu'!$G$58,ABS(N2262)*'Progetto del paramento slu'!$G$54,'Progetto del paramento slu'!$G$53)</f>
        <v>298916082.15964651</v>
      </c>
      <c r="I2262" s="479">
        <f>-'Foglio deposito bis'!$F$92*(C2262-sezione!$AP$36)*IF(ABS(O2262)&lt;'Progetto del paramento slu'!$G$58,ABS(O2262)*'Progetto del paramento slu'!$G$54,'Progetto del paramento slu'!$G$53)</f>
        <v>423710964.23979819</v>
      </c>
      <c r="J2262" s="479">
        <f t="shared" si="165"/>
        <v>744685006.00428104</v>
      </c>
      <c r="K2262" s="558">
        <f>'Progetto del paramento slu'!$G$60*(sezione!$AL$36-C2262)/C2262</f>
        <v>2.4088506562383451E-2</v>
      </c>
      <c r="L2262" s="558">
        <f>'Progetto del paramento slu'!$G$60*(sezione!$AM$36-C2262)/C2262</f>
        <v>9.9956899608937944E-2</v>
      </c>
      <c r="M2262" s="559">
        <f>'Progetto del paramento slu'!$G$60*(sezione!$AN$36-C2262)/C2262</f>
        <v>0.17582529265549243</v>
      </c>
      <c r="N2262" s="559">
        <f>'Progetto del paramento slu'!$G$60*(sezione!$AO$36-C2262)/C2262</f>
        <v>0.23100230578025938</v>
      </c>
      <c r="O2262" s="559">
        <f>'Progetto del paramento slu'!$G$60*(sezione!$AP$36-C2262)/C2262</f>
        <v>0.17583149343761631</v>
      </c>
      <c r="P2262" s="553">
        <f>-'Progetto del paramento slu'!$G$47*'Progetto del paramento slu'!$G$41*IF(DATI!$G$218="dx",DATI!$E$61,DATI!$E$64*DATI!$E$63)*1000*C2262*sezione!$AD$5</f>
        <v>-71530.678746153557</v>
      </c>
      <c r="Q2262" s="553">
        <f>'Foglio deposito bis'!$F$88*IF(ABS(K2262)&lt;'Progetto del paramento slu'!$G$58,ABS(K2262)*'Progetto del paramento slu'!$G$54,'Progetto del paramento slu'!$G$53)*IF(K2262&lt;0,-1,1)</f>
        <v>0</v>
      </c>
      <c r="R2262" s="553">
        <f>'Foglio deposito bis'!$F$89*IF(ABS(L2262)&lt;'Progetto del paramento slu'!$G$58,ABS(L2262)*'Progetto del paramento slu'!$G$54,'Progetto del paramento slu'!$G$53)*IF(L2262&lt;0,-1,1)</f>
        <v>153664.85805602249</v>
      </c>
      <c r="S2262" s="553">
        <f>'Foglio deposito bis'!$F$90*IF(ABS(M2262)&lt;'Progetto del paramento slu'!$G$58,ABS(M2262)*'Progetto del paramento slu'!$G$54,'Progetto del paramento slu'!$G$53)*IF(M2262&lt;0,-1,1)</f>
        <v>0</v>
      </c>
      <c r="T2262" s="553">
        <f>'Foglio deposito bis'!$F$91*IF(ABS(N2262)&lt;'Progetto del paramento slu'!$G$58,ABS(N2262)*'Progetto del paramento slu'!$G$54,'Progetto del paramento slu'!$G$53)*IF(N2262&lt;0,-1,1)</f>
        <v>892485.49558937876</v>
      </c>
      <c r="U2262" s="553">
        <f>'Foglio deposito bis'!$F$92*IF(ABS(O2262)&lt;'Progetto del paramento slu'!$G$58,ABS(O2262)*'Progetto del paramento slu'!$G$54,'Progetto del paramento slu'!$G$53)*IF(O2262&lt;0,-1,1)</f>
        <v>1662039.1047339395</v>
      </c>
      <c r="V2262" s="479">
        <f t="shared" si="168"/>
        <v>2636658.7796331872</v>
      </c>
      <c r="W2262" s="559"/>
      <c r="X2262" s="559"/>
    </row>
    <row r="2263" spans="1:24" x14ac:dyDescent="0.25">
      <c r="A2263" s="553">
        <f t="shared" si="167"/>
        <v>2633797.5524833412</v>
      </c>
      <c r="B2263" s="3">
        <f t="shared" si="169"/>
        <v>1.3000000000000005</v>
      </c>
      <c r="C2263" s="553">
        <f>'Foglio deposito bis'!$E$162/sezione!$B$247*B2263</f>
        <v>5.2775600473613018</v>
      </c>
      <c r="D2263" s="611">
        <f>-'Progetto del paramento slu'!$G$47*'Progetto del paramento slu'!$G$41*IF(DATI!$G$218="dx",DATI!$E$61,DATI!$E$64*DATI!$E$63)*1000*C2263^2*sezione!$AD$5*(1-sezione!$AD$6)</f>
        <v>-229282.92623581324</v>
      </c>
      <c r="E2263" s="553">
        <f>-'Foglio deposito bis'!$F$88*(C2263-sezione!$AL$36)*IF(ABS(K2263)&lt;'Progetto del paramento slu'!$G$58,ABS(K2263)*'Progetto del paramento slu'!$G$54,'Progetto del paramento slu'!$G$53)</f>
        <v>0</v>
      </c>
      <c r="F2263" s="553">
        <f>-'Foglio deposito bis'!$F$89*(C2263-sezione!$AM$36)*IF(ABS(L2263)&lt;'Progetto del paramento slu'!$G$58,ABS(L2263)*'Progetto del paramento slu'!$G$54,'Progetto del paramento slu'!$G$53)</f>
        <v>22238753.192843463</v>
      </c>
      <c r="G2263" s="553">
        <f>-'Foglio deposito bis'!$F$90*(C2263-sezione!$AN$36)*IF(ABS(M2263)&lt;'Progetto del paramento slu'!$G$58,ABS(M2263)*'Progetto del paramento slu'!$G$54,'Progetto del paramento slu'!$G$53)</f>
        <v>0</v>
      </c>
      <c r="H2263" s="553">
        <f>-'Foglio deposito bis'!$F$91*(C2263-sezione!$AO$36)*IF(ABS(N2263)&lt;'Progetto del paramento slu'!$G$58,ABS(N2263)*'Progetto del paramento slu'!$G$54,'Progetto del paramento slu'!$G$53)</f>
        <v>298734922.70601684</v>
      </c>
      <c r="I2263" s="479">
        <f>-'Foglio deposito bis'!$F$92*(C2263-sezione!$AP$36)*IF(ABS(O2263)&lt;'Progetto del paramento slu'!$G$58,ABS(O2263)*'Progetto del paramento slu'!$G$54,'Progetto del paramento slu'!$G$53)</f>
        <v>423373598.42532527</v>
      </c>
      <c r="J2263" s="479">
        <f t="shared" si="165"/>
        <v>744117991.3979497</v>
      </c>
      <c r="K2263" s="558">
        <f>'Progetto del paramento slu'!$G$60*(sezione!$AL$36-C2263)/C2263</f>
        <v>2.3027410156137934E-2</v>
      </c>
      <c r="L2263" s="558">
        <f>'Progetto del paramento slu'!$G$60*(sezione!$AM$36-C2263)/C2263</f>
        <v>9.5977788085517254E-2</v>
      </c>
      <c r="M2263" s="559">
        <f>'Progetto del paramento slu'!$G$60*(sezione!$AN$36-C2263)/C2263</f>
        <v>0.16892816601489657</v>
      </c>
      <c r="N2263" s="559">
        <f>'Progetto del paramento slu'!$G$60*(sezione!$AO$36-C2263)/C2263</f>
        <v>0.22198298632717245</v>
      </c>
      <c r="O2263" s="559">
        <f>'Progetto del paramento slu'!$G$60*(sezione!$AP$36-C2263)/C2263</f>
        <v>0.16893412830540028</v>
      </c>
      <c r="P2263" s="553">
        <f>-'Progetto del paramento slu'!$G$47*'Progetto del paramento slu'!$G$41*IF(DATI!$G$218="dx",DATI!$E$61,DATI!$E$64*DATI!$E$63)*1000*C2263*sezione!$AD$5</f>
        <v>-74391.905895999706</v>
      </c>
      <c r="Q2263" s="553">
        <f>'Foglio deposito bis'!$F$88*IF(ABS(K2263)&lt;'Progetto del paramento slu'!$G$58,ABS(K2263)*'Progetto del paramento slu'!$G$54,'Progetto del paramento slu'!$G$53)*IF(K2263&lt;0,-1,1)</f>
        <v>0</v>
      </c>
      <c r="R2263" s="553">
        <f>'Foglio deposito bis'!$F$89*IF(ABS(L2263)&lt;'Progetto del paramento slu'!$G$58,ABS(L2263)*'Progetto del paramento slu'!$G$54,'Progetto del paramento slu'!$G$53)*IF(L2263&lt;0,-1,1)</f>
        <v>153664.85805602249</v>
      </c>
      <c r="S2263" s="553">
        <f>'Foglio deposito bis'!$F$90*IF(ABS(M2263)&lt;'Progetto del paramento slu'!$G$58,ABS(M2263)*'Progetto del paramento slu'!$G$54,'Progetto del paramento slu'!$G$53)*IF(M2263&lt;0,-1,1)</f>
        <v>0</v>
      </c>
      <c r="T2263" s="553">
        <f>'Foglio deposito bis'!$F$91*IF(ABS(N2263)&lt;'Progetto del paramento slu'!$G$58,ABS(N2263)*'Progetto del paramento slu'!$G$54,'Progetto del paramento slu'!$G$53)*IF(N2263&lt;0,-1,1)</f>
        <v>892485.49558937876</v>
      </c>
      <c r="U2263" s="553">
        <f>'Foglio deposito bis'!$F$92*IF(ABS(O2263)&lt;'Progetto del paramento slu'!$G$58,ABS(O2263)*'Progetto del paramento slu'!$G$54,'Progetto del paramento slu'!$G$53)*IF(O2263&lt;0,-1,1)</f>
        <v>1662039.1047339395</v>
      </c>
      <c r="V2263" s="479">
        <f t="shared" si="168"/>
        <v>2633797.5524833412</v>
      </c>
      <c r="W2263" s="559"/>
      <c r="X2263" s="559"/>
    </row>
    <row r="2264" spans="1:24" x14ac:dyDescent="0.25">
      <c r="A2264" s="553">
        <f t="shared" si="167"/>
        <v>2630936.3253334947</v>
      </c>
      <c r="B2264" s="3">
        <f t="shared" si="169"/>
        <v>1.3500000000000005</v>
      </c>
      <c r="C2264" s="553">
        <f>'Foglio deposito bis'!$E$162/sezione!$B$247*B2264</f>
        <v>5.4805431261059674</v>
      </c>
      <c r="D2264" s="611">
        <f>-'Progetto del paramento slu'!$G$47*'Progetto del paramento slu'!$G$41*IF(DATI!$G$218="dx",DATI!$E$61,DATI!$E$64*DATI!$E$63)*1000*C2264^2*sezione!$AD$5*(1-sezione!$AD$6)</f>
        <v>-247259.25033418316</v>
      </c>
      <c r="E2264" s="553">
        <f>-'Foglio deposito bis'!$F$88*(C2264-sezione!$AL$36)*IF(ABS(K2264)&lt;'Progetto del paramento slu'!$G$58,ABS(K2264)*'Progetto del paramento slu'!$G$54,'Progetto del paramento slu'!$G$53)</f>
        <v>0</v>
      </c>
      <c r="F2264" s="553">
        <f>-'Foglio deposito bis'!$F$89*(C2264-sezione!$AM$36)*IF(ABS(L2264)&lt;'Progetto del paramento slu'!$G$58,ABS(L2264)*'Progetto del paramento slu'!$G$54,'Progetto del paramento slu'!$G$53)</f>
        <v>22207561.826860391</v>
      </c>
      <c r="G2264" s="553">
        <f>-'Foglio deposito bis'!$F$90*(C2264-sezione!$AN$36)*IF(ABS(M2264)&lt;'Progetto del paramento slu'!$G$58,ABS(M2264)*'Progetto del paramento slu'!$G$54,'Progetto del paramento slu'!$G$53)</f>
        <v>0</v>
      </c>
      <c r="H2264" s="553">
        <f>-'Foglio deposito bis'!$F$91*(C2264-sezione!$AO$36)*IF(ABS(N2264)&lt;'Progetto del paramento slu'!$G$58,ABS(N2264)*'Progetto del paramento slu'!$G$54,'Progetto del paramento slu'!$G$53)</f>
        <v>298553763.25238717</v>
      </c>
      <c r="I2264" s="479">
        <f>-'Foglio deposito bis'!$F$92*(C2264-sezione!$AP$36)*IF(ABS(O2264)&lt;'Progetto del paramento slu'!$G$58,ABS(O2264)*'Progetto del paramento slu'!$G$54,'Progetto del paramento slu'!$G$53)</f>
        <v>423036232.61085236</v>
      </c>
      <c r="J2264" s="479">
        <f t="shared" si="165"/>
        <v>743550298.43976569</v>
      </c>
      <c r="K2264" s="558">
        <f>'Progetto del paramento slu'!$G$60*(sezione!$AL$36-C2264)/C2264</f>
        <v>2.204491348368838E-2</v>
      </c>
      <c r="L2264" s="558">
        <f>'Progetto del paramento slu'!$G$60*(sezione!$AM$36-C2264)/C2264</f>
        <v>9.2293425563831424E-2</v>
      </c>
      <c r="M2264" s="559">
        <f>'Progetto del paramento slu'!$G$60*(sezione!$AN$36-C2264)/C2264</f>
        <v>0.16254193764397448</v>
      </c>
      <c r="N2264" s="559">
        <f>'Progetto del paramento slu'!$G$60*(sezione!$AO$36-C2264)/C2264</f>
        <v>0.21363176461135125</v>
      </c>
      <c r="O2264" s="559">
        <f>'Progetto del paramento slu'!$G$60*(sezione!$AP$36-C2264)/C2264</f>
        <v>0.16254767910890397</v>
      </c>
      <c r="P2264" s="553">
        <f>-'Progetto del paramento slu'!$G$47*'Progetto del paramento slu'!$G$41*IF(DATI!$G$218="dx",DATI!$E$61,DATI!$E$64*DATI!$E$63)*1000*C2264*sezione!$AD$5</f>
        <v>-77253.13304584584</v>
      </c>
      <c r="Q2264" s="553">
        <f>'Foglio deposito bis'!$F$88*IF(ABS(K2264)&lt;'Progetto del paramento slu'!$G$58,ABS(K2264)*'Progetto del paramento slu'!$G$54,'Progetto del paramento slu'!$G$53)*IF(K2264&lt;0,-1,1)</f>
        <v>0</v>
      </c>
      <c r="R2264" s="553">
        <f>'Foglio deposito bis'!$F$89*IF(ABS(L2264)&lt;'Progetto del paramento slu'!$G$58,ABS(L2264)*'Progetto del paramento slu'!$G$54,'Progetto del paramento slu'!$G$53)*IF(L2264&lt;0,-1,1)</f>
        <v>153664.85805602249</v>
      </c>
      <c r="S2264" s="553">
        <f>'Foglio deposito bis'!$F$90*IF(ABS(M2264)&lt;'Progetto del paramento slu'!$G$58,ABS(M2264)*'Progetto del paramento slu'!$G$54,'Progetto del paramento slu'!$G$53)*IF(M2264&lt;0,-1,1)</f>
        <v>0</v>
      </c>
      <c r="T2264" s="553">
        <f>'Foglio deposito bis'!$F$91*IF(ABS(N2264)&lt;'Progetto del paramento slu'!$G$58,ABS(N2264)*'Progetto del paramento slu'!$G$54,'Progetto del paramento slu'!$G$53)*IF(N2264&lt;0,-1,1)</f>
        <v>892485.49558937876</v>
      </c>
      <c r="U2264" s="553">
        <f>'Foglio deposito bis'!$F$92*IF(ABS(O2264)&lt;'Progetto del paramento slu'!$G$58,ABS(O2264)*'Progetto del paramento slu'!$G$54,'Progetto del paramento slu'!$G$53)*IF(O2264&lt;0,-1,1)</f>
        <v>1662039.1047339395</v>
      </c>
      <c r="V2264" s="479">
        <f t="shared" si="168"/>
        <v>2630936.3253334947</v>
      </c>
      <c r="W2264" s="559"/>
      <c r="X2264" s="559"/>
    </row>
    <row r="2265" spans="1:24" x14ac:dyDescent="0.25">
      <c r="A2265" s="553">
        <f t="shared" si="167"/>
        <v>2628075.0981836487</v>
      </c>
      <c r="B2265" s="3">
        <f t="shared" si="169"/>
        <v>1.4000000000000006</v>
      </c>
      <c r="C2265" s="553">
        <f>'Foglio deposito bis'!$E$162/sezione!$B$247*B2265</f>
        <v>5.683526204850633</v>
      </c>
      <c r="D2265" s="611">
        <f>-'Progetto del paramento slu'!$G$47*'Progetto del paramento slu'!$G$41*IF(DATI!$G$218="dx",DATI!$E$61,DATI!$E$64*DATI!$E$63)*1000*C2265^2*sezione!$AD$5*(1-sezione!$AD$6)</f>
        <v>-265913.92628532188</v>
      </c>
      <c r="E2265" s="553">
        <f>-'Foglio deposito bis'!$F$88*(C2265-sezione!$AL$36)*IF(ABS(K2265)&lt;'Progetto del paramento slu'!$G$58,ABS(K2265)*'Progetto del paramento slu'!$G$54,'Progetto del paramento slu'!$G$53)</f>
        <v>0</v>
      </c>
      <c r="F2265" s="553">
        <f>-'Foglio deposito bis'!$F$89*(C2265-sezione!$AM$36)*IF(ABS(L2265)&lt;'Progetto del paramento slu'!$G$58,ABS(L2265)*'Progetto del paramento slu'!$G$54,'Progetto del paramento slu'!$G$53)</f>
        <v>22176370.460877318</v>
      </c>
      <c r="G2265" s="553">
        <f>-'Foglio deposito bis'!$F$90*(C2265-sezione!$AN$36)*IF(ABS(M2265)&lt;'Progetto del paramento slu'!$G$58,ABS(M2265)*'Progetto del paramento slu'!$G$54,'Progetto del paramento slu'!$G$53)</f>
        <v>0</v>
      </c>
      <c r="H2265" s="553">
        <f>-'Foglio deposito bis'!$F$91*(C2265-sezione!$AO$36)*IF(ABS(N2265)&lt;'Progetto del paramento slu'!$G$58,ABS(N2265)*'Progetto del paramento slu'!$G$54,'Progetto del paramento slu'!$G$53)</f>
        <v>298372603.79875743</v>
      </c>
      <c r="I2265" s="479">
        <f>-'Foglio deposito bis'!$F$92*(C2265-sezione!$AP$36)*IF(ABS(O2265)&lt;'Progetto del paramento slu'!$G$58,ABS(O2265)*'Progetto del paramento slu'!$G$54,'Progetto del paramento slu'!$G$53)</f>
        <v>422698866.79637945</v>
      </c>
      <c r="J2265" s="479">
        <f t="shared" si="165"/>
        <v>742981927.12972879</v>
      </c>
      <c r="K2265" s="558">
        <f>'Progetto del paramento slu'!$G$60*(sezione!$AL$36-C2265)/C2265</f>
        <v>2.1132595144985222E-2</v>
      </c>
      <c r="L2265" s="558">
        <f>'Progetto del paramento slu'!$G$60*(sezione!$AM$36-C2265)/C2265</f>
        <v>8.8872231793694578E-2</v>
      </c>
      <c r="M2265" s="559">
        <f>'Progetto del paramento slu'!$G$60*(sezione!$AN$36-C2265)/C2265</f>
        <v>0.15661186844240396</v>
      </c>
      <c r="N2265" s="559">
        <f>'Progetto del paramento slu'!$G$60*(sezione!$AO$36-C2265)/C2265</f>
        <v>0.20587705873237441</v>
      </c>
      <c r="O2265" s="559">
        <f>'Progetto del paramento slu'!$G$60*(sezione!$AP$36-C2265)/C2265</f>
        <v>0.15661740485501455</v>
      </c>
      <c r="P2265" s="553">
        <f>-'Progetto del paramento slu'!$G$47*'Progetto del paramento slu'!$G$41*IF(DATI!$G$218="dx",DATI!$E$61,DATI!$E$64*DATI!$E$63)*1000*C2265*sezione!$AD$5</f>
        <v>-80114.360195691988</v>
      </c>
      <c r="Q2265" s="553">
        <f>'Foglio deposito bis'!$F$88*IF(ABS(K2265)&lt;'Progetto del paramento slu'!$G$58,ABS(K2265)*'Progetto del paramento slu'!$G$54,'Progetto del paramento slu'!$G$53)*IF(K2265&lt;0,-1,1)</f>
        <v>0</v>
      </c>
      <c r="R2265" s="553">
        <f>'Foglio deposito bis'!$F$89*IF(ABS(L2265)&lt;'Progetto del paramento slu'!$G$58,ABS(L2265)*'Progetto del paramento slu'!$G$54,'Progetto del paramento slu'!$G$53)*IF(L2265&lt;0,-1,1)</f>
        <v>153664.85805602249</v>
      </c>
      <c r="S2265" s="553">
        <f>'Foglio deposito bis'!$F$90*IF(ABS(M2265)&lt;'Progetto del paramento slu'!$G$58,ABS(M2265)*'Progetto del paramento slu'!$G$54,'Progetto del paramento slu'!$G$53)*IF(M2265&lt;0,-1,1)</f>
        <v>0</v>
      </c>
      <c r="T2265" s="553">
        <f>'Foglio deposito bis'!$F$91*IF(ABS(N2265)&lt;'Progetto del paramento slu'!$G$58,ABS(N2265)*'Progetto del paramento slu'!$G$54,'Progetto del paramento slu'!$G$53)*IF(N2265&lt;0,-1,1)</f>
        <v>892485.49558937876</v>
      </c>
      <c r="U2265" s="553">
        <f>'Foglio deposito bis'!$F$92*IF(ABS(O2265)&lt;'Progetto del paramento slu'!$G$58,ABS(O2265)*'Progetto del paramento slu'!$G$54,'Progetto del paramento slu'!$G$53)*IF(O2265&lt;0,-1,1)</f>
        <v>1662039.1047339395</v>
      </c>
      <c r="V2265" s="479">
        <f t="shared" si="168"/>
        <v>2628075.0981836487</v>
      </c>
      <c r="W2265" s="559"/>
      <c r="X2265" s="559"/>
    </row>
    <row r="2266" spans="1:24" x14ac:dyDescent="0.25">
      <c r="A2266" s="553">
        <f t="shared" si="167"/>
        <v>2625213.8710338026</v>
      </c>
      <c r="B2266" s="3">
        <f t="shared" si="169"/>
        <v>1.4500000000000006</v>
      </c>
      <c r="C2266" s="553">
        <f>'Foglio deposito bis'!$E$162/sezione!$B$247*B2266</f>
        <v>5.8865092835952986</v>
      </c>
      <c r="D2266" s="611">
        <f>-'Progetto del paramento slu'!$G$47*'Progetto del paramento slu'!$G$41*IF(DATI!$G$218="dx",DATI!$E$61,DATI!$E$64*DATI!$E$63)*1000*C2266^2*sezione!$AD$5*(1-sezione!$AD$6)</f>
        <v>-285246.95408922923</v>
      </c>
      <c r="E2266" s="553">
        <f>-'Foglio deposito bis'!$F$88*(C2266-sezione!$AL$36)*IF(ABS(K2266)&lt;'Progetto del paramento slu'!$G$58,ABS(K2266)*'Progetto del paramento slu'!$G$54,'Progetto del paramento slu'!$G$53)</f>
        <v>0</v>
      </c>
      <c r="F2266" s="553">
        <f>-'Foglio deposito bis'!$F$89*(C2266-sezione!$AM$36)*IF(ABS(L2266)&lt;'Progetto del paramento slu'!$G$58,ABS(L2266)*'Progetto del paramento slu'!$G$54,'Progetto del paramento slu'!$G$53)</f>
        <v>22145179.094894242</v>
      </c>
      <c r="G2266" s="553">
        <f>-'Foglio deposito bis'!$F$90*(C2266-sezione!$AN$36)*IF(ABS(M2266)&lt;'Progetto del paramento slu'!$G$58,ABS(M2266)*'Progetto del paramento slu'!$G$54,'Progetto del paramento slu'!$G$53)</f>
        <v>0</v>
      </c>
      <c r="H2266" s="553">
        <f>-'Foglio deposito bis'!$F$91*(C2266-sezione!$AO$36)*IF(ABS(N2266)&lt;'Progetto del paramento slu'!$G$58,ABS(N2266)*'Progetto del paramento slu'!$G$54,'Progetto del paramento slu'!$G$53)</f>
        <v>298191444.34512776</v>
      </c>
      <c r="I2266" s="479">
        <f>-'Foglio deposito bis'!$F$92*(C2266-sezione!$AP$36)*IF(ABS(O2266)&lt;'Progetto del paramento slu'!$G$58,ABS(O2266)*'Progetto del paramento slu'!$G$54,'Progetto del paramento slu'!$G$53)</f>
        <v>422361500.98190653</v>
      </c>
      <c r="J2266" s="479">
        <f t="shared" si="165"/>
        <v>742412877.46783924</v>
      </c>
      <c r="K2266" s="558">
        <f>'Progetto del paramento slu'!$G$60*(sezione!$AL$36-C2266)/C2266</f>
        <v>2.0283195312399523E-2</v>
      </c>
      <c r="L2266" s="558">
        <f>'Progetto del paramento slu'!$G$60*(sezione!$AM$36-C2266)/C2266</f>
        <v>8.5686982421498234E-2</v>
      </c>
      <c r="M2266" s="559">
        <f>'Progetto del paramento slu'!$G$60*(sezione!$AN$36-C2266)/C2266</f>
        <v>0.15109076953059694</v>
      </c>
      <c r="N2266" s="559">
        <f>'Progetto del paramento slu'!$G$60*(sezione!$AO$36-C2266)/C2266</f>
        <v>0.198657160155396</v>
      </c>
      <c r="O2266" s="559">
        <f>'Progetto del paramento slu'!$G$60*(sezione!$AP$36-C2266)/C2266</f>
        <v>0.15109611503242781</v>
      </c>
      <c r="P2266" s="553">
        <f>-'Progetto del paramento slu'!$G$47*'Progetto del paramento slu'!$G$41*IF(DATI!$G$218="dx",DATI!$E$61,DATI!$E$64*DATI!$E$63)*1000*C2266*sezione!$AD$5</f>
        <v>-82975.587345538122</v>
      </c>
      <c r="Q2266" s="553">
        <f>'Foglio deposito bis'!$F$88*IF(ABS(K2266)&lt;'Progetto del paramento slu'!$G$58,ABS(K2266)*'Progetto del paramento slu'!$G$54,'Progetto del paramento slu'!$G$53)*IF(K2266&lt;0,-1,1)</f>
        <v>0</v>
      </c>
      <c r="R2266" s="553">
        <f>'Foglio deposito bis'!$F$89*IF(ABS(L2266)&lt;'Progetto del paramento slu'!$G$58,ABS(L2266)*'Progetto del paramento slu'!$G$54,'Progetto del paramento slu'!$G$53)*IF(L2266&lt;0,-1,1)</f>
        <v>153664.85805602249</v>
      </c>
      <c r="S2266" s="553">
        <f>'Foglio deposito bis'!$F$90*IF(ABS(M2266)&lt;'Progetto del paramento slu'!$G$58,ABS(M2266)*'Progetto del paramento slu'!$G$54,'Progetto del paramento slu'!$G$53)*IF(M2266&lt;0,-1,1)</f>
        <v>0</v>
      </c>
      <c r="T2266" s="553">
        <f>'Foglio deposito bis'!$F$91*IF(ABS(N2266)&lt;'Progetto del paramento slu'!$G$58,ABS(N2266)*'Progetto del paramento slu'!$G$54,'Progetto del paramento slu'!$G$53)*IF(N2266&lt;0,-1,1)</f>
        <v>892485.49558937876</v>
      </c>
      <c r="U2266" s="553">
        <f>'Foglio deposito bis'!$F$92*IF(ABS(O2266)&lt;'Progetto del paramento slu'!$G$58,ABS(O2266)*'Progetto del paramento slu'!$G$54,'Progetto del paramento slu'!$G$53)*IF(O2266&lt;0,-1,1)</f>
        <v>1662039.1047339395</v>
      </c>
      <c r="V2266" s="479">
        <f t="shared" si="168"/>
        <v>2625213.8710338026</v>
      </c>
      <c r="W2266" s="559"/>
      <c r="X2266" s="559"/>
    </row>
    <row r="2267" spans="1:24" x14ac:dyDescent="0.25">
      <c r="A2267" s="553">
        <f t="shared" si="167"/>
        <v>2622352.6438839566</v>
      </c>
      <c r="B2267" s="3">
        <f t="shared" si="169"/>
        <v>1.5000000000000007</v>
      </c>
      <c r="C2267" s="553">
        <f>'Foglio deposito bis'!$E$162/sezione!$B$247*B2267</f>
        <v>6.0894923623399642</v>
      </c>
      <c r="D2267" s="611">
        <f>-'Progetto del paramento slu'!$G$47*'Progetto del paramento slu'!$G$41*IF(DATI!$G$218="dx",DATI!$E$61,DATI!$E$64*DATI!$E$63)*1000*C2267^2*sezione!$AD$5*(1-sezione!$AD$6)</f>
        <v>-305258.3337459052</v>
      </c>
      <c r="E2267" s="553">
        <f>-'Foglio deposito bis'!$F$88*(C2267-sezione!$AL$36)*IF(ABS(K2267)&lt;'Progetto del paramento slu'!$G$58,ABS(K2267)*'Progetto del paramento slu'!$G$54,'Progetto del paramento slu'!$G$53)</f>
        <v>0</v>
      </c>
      <c r="F2267" s="553">
        <f>-'Foglio deposito bis'!$F$89*(C2267-sezione!$AM$36)*IF(ABS(L2267)&lt;'Progetto del paramento slu'!$G$58,ABS(L2267)*'Progetto del paramento slu'!$G$54,'Progetto del paramento slu'!$G$53)</f>
        <v>22113987.728911169</v>
      </c>
      <c r="G2267" s="553">
        <f>-'Foglio deposito bis'!$F$90*(C2267-sezione!$AN$36)*IF(ABS(M2267)&lt;'Progetto del paramento slu'!$G$58,ABS(M2267)*'Progetto del paramento slu'!$G$54,'Progetto del paramento slu'!$G$53)</f>
        <v>0</v>
      </c>
      <c r="H2267" s="553">
        <f>-'Foglio deposito bis'!$F$91*(C2267-sezione!$AO$36)*IF(ABS(N2267)&lt;'Progetto del paramento slu'!$G$58,ABS(N2267)*'Progetto del paramento slu'!$G$54,'Progetto del paramento slu'!$G$53)</f>
        <v>298010284.89149803</v>
      </c>
      <c r="I2267" s="479">
        <f>-'Foglio deposito bis'!$F$92*(C2267-sezione!$AP$36)*IF(ABS(O2267)&lt;'Progetto del paramento slu'!$G$58,ABS(O2267)*'Progetto del paramento slu'!$G$54,'Progetto del paramento slu'!$G$53)</f>
        <v>422024135.16743362</v>
      </c>
      <c r="J2267" s="479">
        <f t="shared" si="165"/>
        <v>741843149.45409691</v>
      </c>
      <c r="K2267" s="558">
        <f>'Progetto del paramento slu'!$G$60*(sezione!$AL$36-C2267)/C2267</f>
        <v>1.9490422135319541E-2</v>
      </c>
      <c r="L2267" s="558">
        <f>'Progetto del paramento slu'!$G$60*(sezione!$AM$36-C2267)/C2267</f>
        <v>8.2714083007448286E-2</v>
      </c>
      <c r="M2267" s="559">
        <f>'Progetto del paramento slu'!$G$60*(sezione!$AN$36-C2267)/C2267</f>
        <v>0.14593774387957703</v>
      </c>
      <c r="N2267" s="559">
        <f>'Progetto del paramento slu'!$G$60*(sezione!$AO$36-C2267)/C2267</f>
        <v>0.19191858815021609</v>
      </c>
      <c r="O2267" s="559">
        <f>'Progetto del paramento slu'!$G$60*(sezione!$AP$36-C2267)/C2267</f>
        <v>0.14594291119801356</v>
      </c>
      <c r="P2267" s="553">
        <f>-'Progetto del paramento slu'!$G$47*'Progetto del paramento slu'!$G$41*IF(DATI!$G$218="dx",DATI!$E$61,DATI!$E$64*DATI!$E$63)*1000*C2267*sezione!$AD$5</f>
        <v>-85836.814495384271</v>
      </c>
      <c r="Q2267" s="553">
        <f>'Foglio deposito bis'!$F$88*IF(ABS(K2267)&lt;'Progetto del paramento slu'!$G$58,ABS(K2267)*'Progetto del paramento slu'!$G$54,'Progetto del paramento slu'!$G$53)*IF(K2267&lt;0,-1,1)</f>
        <v>0</v>
      </c>
      <c r="R2267" s="553">
        <f>'Foglio deposito bis'!$F$89*IF(ABS(L2267)&lt;'Progetto del paramento slu'!$G$58,ABS(L2267)*'Progetto del paramento slu'!$G$54,'Progetto del paramento slu'!$G$53)*IF(L2267&lt;0,-1,1)</f>
        <v>153664.85805602249</v>
      </c>
      <c r="S2267" s="553">
        <f>'Foglio deposito bis'!$F$90*IF(ABS(M2267)&lt;'Progetto del paramento slu'!$G$58,ABS(M2267)*'Progetto del paramento slu'!$G$54,'Progetto del paramento slu'!$G$53)*IF(M2267&lt;0,-1,1)</f>
        <v>0</v>
      </c>
      <c r="T2267" s="553">
        <f>'Foglio deposito bis'!$F$91*IF(ABS(N2267)&lt;'Progetto del paramento slu'!$G$58,ABS(N2267)*'Progetto del paramento slu'!$G$54,'Progetto del paramento slu'!$G$53)*IF(N2267&lt;0,-1,1)</f>
        <v>892485.49558937876</v>
      </c>
      <c r="U2267" s="553">
        <f>'Foglio deposito bis'!$F$92*IF(ABS(O2267)&lt;'Progetto del paramento slu'!$G$58,ABS(O2267)*'Progetto del paramento slu'!$G$54,'Progetto del paramento slu'!$G$53)*IF(O2267&lt;0,-1,1)</f>
        <v>1662039.1047339395</v>
      </c>
      <c r="V2267" s="479">
        <f t="shared" si="168"/>
        <v>2622352.6438839566</v>
      </c>
      <c r="W2267" s="559"/>
      <c r="X2267" s="559"/>
    </row>
    <row r="2268" spans="1:24" x14ac:dyDescent="0.25">
      <c r="A2268" s="553">
        <f t="shared" si="167"/>
        <v>2619491.4167341106</v>
      </c>
      <c r="B2268" s="3">
        <f t="shared" si="169"/>
        <v>1.5500000000000007</v>
      </c>
      <c r="C2268" s="553">
        <f>'Foglio deposito bis'!$E$162/sezione!$B$247*B2268</f>
        <v>6.2924754410846289</v>
      </c>
      <c r="D2268" s="611">
        <f>-'Progetto del paramento slu'!$G$47*'Progetto del paramento slu'!$G$41*IF(DATI!$G$218="dx",DATI!$E$61,DATI!$E$64*DATI!$E$63)*1000*C2268^2*sezione!$AD$5*(1-sezione!$AD$6)</f>
        <v>-325948.06525534985</v>
      </c>
      <c r="E2268" s="553">
        <f>-'Foglio deposito bis'!$F$88*(C2268-sezione!$AL$36)*IF(ABS(K2268)&lt;'Progetto del paramento slu'!$G$58,ABS(K2268)*'Progetto del paramento slu'!$G$54,'Progetto del paramento slu'!$G$53)</f>
        <v>0</v>
      </c>
      <c r="F2268" s="553">
        <f>-'Foglio deposito bis'!$F$89*(C2268-sezione!$AM$36)*IF(ABS(L2268)&lt;'Progetto del paramento slu'!$G$58,ABS(L2268)*'Progetto del paramento slu'!$G$54,'Progetto del paramento slu'!$G$53)</f>
        <v>22082796.362928096</v>
      </c>
      <c r="G2268" s="553">
        <f>-'Foglio deposito bis'!$F$90*(C2268-sezione!$AN$36)*IF(ABS(M2268)&lt;'Progetto del paramento slu'!$G$58,ABS(M2268)*'Progetto del paramento slu'!$G$54,'Progetto del paramento slu'!$G$53)</f>
        <v>0</v>
      </c>
      <c r="H2268" s="553">
        <f>-'Foglio deposito bis'!$F$91*(C2268-sezione!$AO$36)*IF(ABS(N2268)&lt;'Progetto del paramento slu'!$G$58,ABS(N2268)*'Progetto del paramento slu'!$G$54,'Progetto del paramento slu'!$G$53)</f>
        <v>297829125.43786842</v>
      </c>
      <c r="I2268" s="479">
        <f>-'Foglio deposito bis'!$F$92*(C2268-sezione!$AP$36)*IF(ABS(O2268)&lt;'Progetto del paramento slu'!$G$58,ABS(O2268)*'Progetto del paramento slu'!$G$54,'Progetto del paramento slu'!$G$53)</f>
        <v>421686769.35296065</v>
      </c>
      <c r="J2268" s="479">
        <f t="shared" si="165"/>
        <v>741272743.08850181</v>
      </c>
      <c r="K2268" s="558">
        <f>'Progetto del paramento slu'!$G$60*(sezione!$AL$36-C2268)/C2268</f>
        <v>1.8748795614825366E-2</v>
      </c>
      <c r="L2268" s="558">
        <f>'Progetto del paramento slu'!$G$60*(sezione!$AM$36-C2268)/C2268</f>
        <v>7.9932983555595125E-2</v>
      </c>
      <c r="M2268" s="559">
        <f>'Progetto del paramento slu'!$G$60*(sezione!$AN$36-C2268)/C2268</f>
        <v>0.14111717149636488</v>
      </c>
      <c r="N2268" s="559">
        <f>'Progetto del paramento slu'!$G$60*(sezione!$AO$36-C2268)/C2268</f>
        <v>0.18561476272601563</v>
      </c>
      <c r="O2268" s="559">
        <f>'Progetto del paramento slu'!$G$60*(sezione!$AP$36-C2268)/C2268</f>
        <v>0.14112217212710992</v>
      </c>
      <c r="P2268" s="553">
        <f>-'Progetto del paramento slu'!$G$47*'Progetto del paramento slu'!$G$41*IF(DATI!$G$218="dx",DATI!$E$61,DATI!$E$64*DATI!$E$63)*1000*C2268*sezione!$AD$5</f>
        <v>-88698.04164523042</v>
      </c>
      <c r="Q2268" s="553">
        <f>'Foglio deposito bis'!$F$88*IF(ABS(K2268)&lt;'Progetto del paramento slu'!$G$58,ABS(K2268)*'Progetto del paramento slu'!$G$54,'Progetto del paramento slu'!$G$53)*IF(K2268&lt;0,-1,1)</f>
        <v>0</v>
      </c>
      <c r="R2268" s="553">
        <f>'Foglio deposito bis'!$F$89*IF(ABS(L2268)&lt;'Progetto del paramento slu'!$G$58,ABS(L2268)*'Progetto del paramento slu'!$G$54,'Progetto del paramento slu'!$G$53)*IF(L2268&lt;0,-1,1)</f>
        <v>153664.85805602249</v>
      </c>
      <c r="S2268" s="553">
        <f>'Foglio deposito bis'!$F$90*IF(ABS(M2268)&lt;'Progetto del paramento slu'!$G$58,ABS(M2268)*'Progetto del paramento slu'!$G$54,'Progetto del paramento slu'!$G$53)*IF(M2268&lt;0,-1,1)</f>
        <v>0</v>
      </c>
      <c r="T2268" s="553">
        <f>'Foglio deposito bis'!$F$91*IF(ABS(N2268)&lt;'Progetto del paramento slu'!$G$58,ABS(N2268)*'Progetto del paramento slu'!$G$54,'Progetto del paramento slu'!$G$53)*IF(N2268&lt;0,-1,1)</f>
        <v>892485.49558937876</v>
      </c>
      <c r="U2268" s="553">
        <f>'Foglio deposito bis'!$F$92*IF(ABS(O2268)&lt;'Progetto del paramento slu'!$G$58,ABS(O2268)*'Progetto del paramento slu'!$G$54,'Progetto del paramento slu'!$G$53)*IF(O2268&lt;0,-1,1)</f>
        <v>1662039.1047339395</v>
      </c>
      <c r="V2268" s="479">
        <f t="shared" si="168"/>
        <v>2619491.4167341106</v>
      </c>
      <c r="W2268" s="559"/>
      <c r="X2268" s="559"/>
    </row>
    <row r="2269" spans="1:24" x14ac:dyDescent="0.25">
      <c r="A2269" s="553">
        <f t="shared" si="167"/>
        <v>2616630.1895842641</v>
      </c>
      <c r="B2269" s="3">
        <f t="shared" si="169"/>
        <v>1.6000000000000008</v>
      </c>
      <c r="C2269" s="553">
        <f>'Foglio deposito bis'!$E$162/sezione!$B$247*B2269</f>
        <v>6.4954585198292945</v>
      </c>
      <c r="D2269" s="611">
        <f>-'Progetto del paramento slu'!$G$47*'Progetto del paramento slu'!$G$41*IF(DATI!$G$218="dx",DATI!$E$61,DATI!$E$64*DATI!$E$63)*1000*C2269^2*sezione!$AD$5*(1-sezione!$AD$6)</f>
        <v>-347316.14861756313</v>
      </c>
      <c r="E2269" s="553">
        <f>-'Foglio deposito bis'!$F$88*(C2269-sezione!$AL$36)*IF(ABS(K2269)&lt;'Progetto del paramento slu'!$G$58,ABS(K2269)*'Progetto del paramento slu'!$G$54,'Progetto del paramento slu'!$G$53)</f>
        <v>0</v>
      </c>
      <c r="F2269" s="553">
        <f>-'Foglio deposito bis'!$F$89*(C2269-sezione!$AM$36)*IF(ABS(L2269)&lt;'Progetto del paramento slu'!$G$58,ABS(L2269)*'Progetto del paramento slu'!$G$54,'Progetto del paramento slu'!$G$53)</f>
        <v>22051604.996945024</v>
      </c>
      <c r="G2269" s="553">
        <f>-'Foglio deposito bis'!$F$90*(C2269-sezione!$AN$36)*IF(ABS(M2269)&lt;'Progetto del paramento slu'!$G$58,ABS(M2269)*'Progetto del paramento slu'!$G$54,'Progetto del paramento slu'!$G$53)</f>
        <v>0</v>
      </c>
      <c r="H2269" s="553">
        <f>-'Foglio deposito bis'!$F$91*(C2269-sezione!$AO$36)*IF(ABS(N2269)&lt;'Progetto del paramento slu'!$G$58,ABS(N2269)*'Progetto del paramento slu'!$G$54,'Progetto del paramento slu'!$G$53)</f>
        <v>297647965.98423868</v>
      </c>
      <c r="I2269" s="479">
        <f>-'Foglio deposito bis'!$F$92*(C2269-sezione!$AP$36)*IF(ABS(O2269)&lt;'Progetto del paramento slu'!$G$58,ABS(O2269)*'Progetto del paramento slu'!$G$54,'Progetto del paramento slu'!$G$53)</f>
        <v>421349403.53848773</v>
      </c>
      <c r="J2269" s="479">
        <f t="shared" si="165"/>
        <v>740701658.37105393</v>
      </c>
      <c r="K2269" s="558">
        <f>'Progetto del paramento slu'!$G$60*(sezione!$AL$36-C2269)/C2269</f>
        <v>1.8053520751862073E-2</v>
      </c>
      <c r="L2269" s="558">
        <f>'Progetto del paramento slu'!$G$60*(sezione!$AM$36-C2269)/C2269</f>
        <v>7.7325702819482783E-2</v>
      </c>
      <c r="M2269" s="559">
        <f>'Progetto del paramento slu'!$G$60*(sezione!$AN$36-C2269)/C2269</f>
        <v>0.13659788488710348</v>
      </c>
      <c r="N2269" s="559">
        <f>'Progetto del paramento slu'!$G$60*(sezione!$AO$36-C2269)/C2269</f>
        <v>0.17970492639082761</v>
      </c>
      <c r="O2269" s="559">
        <f>'Progetto del paramento slu'!$G$60*(sezione!$AP$36-C2269)/C2269</f>
        <v>0.13660272924813774</v>
      </c>
      <c r="P2269" s="553">
        <f>-'Progetto del paramento slu'!$G$47*'Progetto del paramento slu'!$G$41*IF(DATI!$G$218="dx",DATI!$E$61,DATI!$E$64*DATI!$E$63)*1000*C2269*sezione!$AD$5</f>
        <v>-91559.268795076554</v>
      </c>
      <c r="Q2269" s="553">
        <f>'Foglio deposito bis'!$F$88*IF(ABS(K2269)&lt;'Progetto del paramento slu'!$G$58,ABS(K2269)*'Progetto del paramento slu'!$G$54,'Progetto del paramento slu'!$G$53)*IF(K2269&lt;0,-1,1)</f>
        <v>0</v>
      </c>
      <c r="R2269" s="553">
        <f>'Foglio deposito bis'!$F$89*IF(ABS(L2269)&lt;'Progetto del paramento slu'!$G$58,ABS(L2269)*'Progetto del paramento slu'!$G$54,'Progetto del paramento slu'!$G$53)*IF(L2269&lt;0,-1,1)</f>
        <v>153664.85805602249</v>
      </c>
      <c r="S2269" s="553">
        <f>'Foglio deposito bis'!$F$90*IF(ABS(M2269)&lt;'Progetto del paramento slu'!$G$58,ABS(M2269)*'Progetto del paramento slu'!$G$54,'Progetto del paramento slu'!$G$53)*IF(M2269&lt;0,-1,1)</f>
        <v>0</v>
      </c>
      <c r="T2269" s="553">
        <f>'Foglio deposito bis'!$F$91*IF(ABS(N2269)&lt;'Progetto del paramento slu'!$G$58,ABS(N2269)*'Progetto del paramento slu'!$G$54,'Progetto del paramento slu'!$G$53)*IF(N2269&lt;0,-1,1)</f>
        <v>892485.49558937876</v>
      </c>
      <c r="U2269" s="553">
        <f>'Foglio deposito bis'!$F$92*IF(ABS(O2269)&lt;'Progetto del paramento slu'!$G$58,ABS(O2269)*'Progetto del paramento slu'!$G$54,'Progetto del paramento slu'!$G$53)*IF(O2269&lt;0,-1,1)</f>
        <v>1662039.1047339395</v>
      </c>
      <c r="V2269" s="479">
        <f t="shared" si="168"/>
        <v>2616630.1895842641</v>
      </c>
      <c r="W2269" s="559"/>
      <c r="X2269" s="559"/>
    </row>
    <row r="2270" spans="1:24" x14ac:dyDescent="0.25">
      <c r="A2270" s="553">
        <f t="shared" si="167"/>
        <v>2613768.962434418</v>
      </c>
      <c r="B2270" s="3">
        <f t="shared" si="169"/>
        <v>1.6500000000000008</v>
      </c>
      <c r="C2270" s="553">
        <f>'Foglio deposito bis'!$E$162/sezione!$B$247*B2270</f>
        <v>6.69844159857396</v>
      </c>
      <c r="D2270" s="611">
        <f>-'Progetto del paramento slu'!$G$47*'Progetto del paramento slu'!$G$41*IF(DATI!$G$218="dx",DATI!$E$61,DATI!$E$64*DATI!$E$63)*1000*C2270^2*sezione!$AD$5*(1-sezione!$AD$6)</f>
        <v>-369362.58383254526</v>
      </c>
      <c r="E2270" s="553">
        <f>-'Foglio deposito bis'!$F$88*(C2270-sezione!$AL$36)*IF(ABS(K2270)&lt;'Progetto del paramento slu'!$G$58,ABS(K2270)*'Progetto del paramento slu'!$G$54,'Progetto del paramento slu'!$G$53)</f>
        <v>0</v>
      </c>
      <c r="F2270" s="553">
        <f>-'Foglio deposito bis'!$F$89*(C2270-sezione!$AM$36)*IF(ABS(L2270)&lt;'Progetto del paramento slu'!$G$58,ABS(L2270)*'Progetto del paramento slu'!$G$54,'Progetto del paramento slu'!$G$53)</f>
        <v>22020413.630961951</v>
      </c>
      <c r="G2270" s="553">
        <f>-'Foglio deposito bis'!$F$90*(C2270-sezione!$AN$36)*IF(ABS(M2270)&lt;'Progetto del paramento slu'!$G$58,ABS(M2270)*'Progetto del paramento slu'!$G$54,'Progetto del paramento slu'!$G$53)</f>
        <v>0</v>
      </c>
      <c r="H2270" s="553">
        <f>-'Foglio deposito bis'!$F$91*(C2270-sezione!$AO$36)*IF(ABS(N2270)&lt;'Progetto del paramento slu'!$G$58,ABS(N2270)*'Progetto del paramento slu'!$G$54,'Progetto del paramento slu'!$G$53)</f>
        <v>297466806.53060901</v>
      </c>
      <c r="I2270" s="479">
        <f>-'Foglio deposito bis'!$F$92*(C2270-sezione!$AP$36)*IF(ABS(O2270)&lt;'Progetto del paramento slu'!$G$58,ABS(O2270)*'Progetto del paramento slu'!$G$54,'Progetto del paramento slu'!$G$53)</f>
        <v>421012037.72401482</v>
      </c>
      <c r="J2270" s="479">
        <f t="shared" si="165"/>
        <v>740129895.30175328</v>
      </c>
      <c r="K2270" s="558">
        <f>'Progetto del paramento slu'!$G$60*(sezione!$AL$36-C2270)/C2270</f>
        <v>1.7400383759381407E-2</v>
      </c>
      <c r="L2270" s="558">
        <f>'Progetto del paramento slu'!$G$60*(sezione!$AM$36-C2270)/C2270</f>
        <v>7.487643909768027E-2</v>
      </c>
      <c r="M2270" s="559">
        <f>'Progetto del paramento slu'!$G$60*(sezione!$AN$36-C2270)/C2270</f>
        <v>0.13235249443597913</v>
      </c>
      <c r="N2270" s="559">
        <f>'Progetto del paramento slu'!$G$60*(sezione!$AO$36-C2270)/C2270</f>
        <v>0.17415326195474193</v>
      </c>
      <c r="O2270" s="559">
        <f>'Progetto del paramento slu'!$G$60*(sezione!$AP$36-C2270)/C2270</f>
        <v>0.13235719199819415</v>
      </c>
      <c r="P2270" s="553">
        <f>-'Progetto del paramento slu'!$G$47*'Progetto del paramento slu'!$G$41*IF(DATI!$G$218="dx",DATI!$E$61,DATI!$E$64*DATI!$E$63)*1000*C2270*sezione!$AD$5</f>
        <v>-94420.495944922703</v>
      </c>
      <c r="Q2270" s="553">
        <f>'Foglio deposito bis'!$F$88*IF(ABS(K2270)&lt;'Progetto del paramento slu'!$G$58,ABS(K2270)*'Progetto del paramento slu'!$G$54,'Progetto del paramento slu'!$G$53)*IF(K2270&lt;0,-1,1)</f>
        <v>0</v>
      </c>
      <c r="R2270" s="553">
        <f>'Foglio deposito bis'!$F$89*IF(ABS(L2270)&lt;'Progetto del paramento slu'!$G$58,ABS(L2270)*'Progetto del paramento slu'!$G$54,'Progetto del paramento slu'!$G$53)*IF(L2270&lt;0,-1,1)</f>
        <v>153664.85805602249</v>
      </c>
      <c r="S2270" s="553">
        <f>'Foglio deposito bis'!$F$90*IF(ABS(M2270)&lt;'Progetto del paramento slu'!$G$58,ABS(M2270)*'Progetto del paramento slu'!$G$54,'Progetto del paramento slu'!$G$53)*IF(M2270&lt;0,-1,1)</f>
        <v>0</v>
      </c>
      <c r="T2270" s="553">
        <f>'Foglio deposito bis'!$F$91*IF(ABS(N2270)&lt;'Progetto del paramento slu'!$G$58,ABS(N2270)*'Progetto del paramento slu'!$G$54,'Progetto del paramento slu'!$G$53)*IF(N2270&lt;0,-1,1)</f>
        <v>892485.49558937876</v>
      </c>
      <c r="U2270" s="553">
        <f>'Foglio deposito bis'!$F$92*IF(ABS(O2270)&lt;'Progetto del paramento slu'!$G$58,ABS(O2270)*'Progetto del paramento slu'!$G$54,'Progetto del paramento slu'!$G$53)*IF(O2270&lt;0,-1,1)</f>
        <v>1662039.1047339395</v>
      </c>
      <c r="V2270" s="479">
        <f t="shared" si="168"/>
        <v>2613768.962434418</v>
      </c>
      <c r="W2270" s="559"/>
      <c r="X2270" s="559"/>
    </row>
    <row r="2271" spans="1:24" x14ac:dyDescent="0.25">
      <c r="A2271" s="553">
        <f t="shared" si="167"/>
        <v>2610907.735284572</v>
      </c>
      <c r="B2271" s="3">
        <f t="shared" si="169"/>
        <v>1.7000000000000008</v>
      </c>
      <c r="C2271" s="553">
        <f>'Foglio deposito bis'!$E$162/sezione!$B$247*B2271</f>
        <v>6.9014246773186256</v>
      </c>
      <c r="D2271" s="611">
        <f>-'Progetto del paramento slu'!$G$47*'Progetto del paramento slu'!$G$41*IF(DATI!$G$218="dx",DATI!$E$61,DATI!$E$64*DATI!$E$63)*1000*C2271^2*sezione!$AD$5*(1-sezione!$AD$6)</f>
        <v>-392087.37090029597</v>
      </c>
      <c r="E2271" s="553">
        <f>-'Foglio deposito bis'!$F$88*(C2271-sezione!$AL$36)*IF(ABS(K2271)&lt;'Progetto del paramento slu'!$G$58,ABS(K2271)*'Progetto del paramento slu'!$G$54,'Progetto del paramento slu'!$G$53)</f>
        <v>0</v>
      </c>
      <c r="F2271" s="553">
        <f>-'Foglio deposito bis'!$F$89*(C2271-sezione!$AM$36)*IF(ABS(L2271)&lt;'Progetto del paramento slu'!$G$58,ABS(L2271)*'Progetto del paramento slu'!$G$54,'Progetto del paramento slu'!$G$53)</f>
        <v>21989222.264978878</v>
      </c>
      <c r="G2271" s="553">
        <f>-'Foglio deposito bis'!$F$90*(C2271-sezione!$AN$36)*IF(ABS(M2271)&lt;'Progetto del paramento slu'!$G$58,ABS(M2271)*'Progetto del paramento slu'!$G$54,'Progetto del paramento slu'!$G$53)</f>
        <v>0</v>
      </c>
      <c r="H2271" s="553">
        <f>-'Foglio deposito bis'!$F$91*(C2271-sezione!$AO$36)*IF(ABS(N2271)&lt;'Progetto del paramento slu'!$G$58,ABS(N2271)*'Progetto del paramento slu'!$G$54,'Progetto del paramento slu'!$G$53)</f>
        <v>297285647.07697928</v>
      </c>
      <c r="I2271" s="479">
        <f>-'Foglio deposito bis'!$F$92*(C2271-sezione!$AP$36)*IF(ABS(O2271)&lt;'Progetto del paramento slu'!$G$58,ABS(O2271)*'Progetto del paramento slu'!$G$54,'Progetto del paramento slu'!$G$53)</f>
        <v>420674671.9095419</v>
      </c>
      <c r="J2271" s="479">
        <f t="shared" si="165"/>
        <v>739557453.88059974</v>
      </c>
      <c r="K2271" s="558">
        <f>'Progetto del paramento slu'!$G$60*(sezione!$AL$36-C2271)/C2271</f>
        <v>1.6785666589987834E-2</v>
      </c>
      <c r="L2271" s="558">
        <f>'Progetto del paramento slu'!$G$60*(sezione!$AM$36-C2271)/C2271</f>
        <v>7.2571249712454378E-2</v>
      </c>
      <c r="M2271" s="559">
        <f>'Progetto del paramento slu'!$G$60*(sezione!$AN$36-C2271)/C2271</f>
        <v>0.12835683283492091</v>
      </c>
      <c r="N2271" s="559">
        <f>'Progetto del paramento slu'!$G$60*(sezione!$AO$36-C2271)/C2271</f>
        <v>0.16892816601489657</v>
      </c>
      <c r="O2271" s="559">
        <f>'Progetto del paramento slu'!$G$60*(sezione!$AP$36-C2271)/C2271</f>
        <v>0.1283613922335414</v>
      </c>
      <c r="P2271" s="553">
        <f>-'Progetto del paramento slu'!$G$47*'Progetto del paramento slu'!$G$41*IF(DATI!$G$218="dx",DATI!$E$61,DATI!$E$64*DATI!$E$63)*1000*C2271*sezione!$AD$5</f>
        <v>-97281.723094768837</v>
      </c>
      <c r="Q2271" s="553">
        <f>'Foglio deposito bis'!$F$88*IF(ABS(K2271)&lt;'Progetto del paramento slu'!$G$58,ABS(K2271)*'Progetto del paramento slu'!$G$54,'Progetto del paramento slu'!$G$53)*IF(K2271&lt;0,-1,1)</f>
        <v>0</v>
      </c>
      <c r="R2271" s="553">
        <f>'Foglio deposito bis'!$F$89*IF(ABS(L2271)&lt;'Progetto del paramento slu'!$G$58,ABS(L2271)*'Progetto del paramento slu'!$G$54,'Progetto del paramento slu'!$G$53)*IF(L2271&lt;0,-1,1)</f>
        <v>153664.85805602249</v>
      </c>
      <c r="S2271" s="553">
        <f>'Foglio deposito bis'!$F$90*IF(ABS(M2271)&lt;'Progetto del paramento slu'!$G$58,ABS(M2271)*'Progetto del paramento slu'!$G$54,'Progetto del paramento slu'!$G$53)*IF(M2271&lt;0,-1,1)</f>
        <v>0</v>
      </c>
      <c r="T2271" s="553">
        <f>'Foglio deposito bis'!$F$91*IF(ABS(N2271)&lt;'Progetto del paramento slu'!$G$58,ABS(N2271)*'Progetto del paramento slu'!$G$54,'Progetto del paramento slu'!$G$53)*IF(N2271&lt;0,-1,1)</f>
        <v>892485.49558937876</v>
      </c>
      <c r="U2271" s="553">
        <f>'Foglio deposito bis'!$F$92*IF(ABS(O2271)&lt;'Progetto del paramento slu'!$G$58,ABS(O2271)*'Progetto del paramento slu'!$G$54,'Progetto del paramento slu'!$G$53)*IF(O2271&lt;0,-1,1)</f>
        <v>1662039.1047339395</v>
      </c>
      <c r="V2271" s="479">
        <f t="shared" si="168"/>
        <v>2610907.735284572</v>
      </c>
      <c r="W2271" s="559"/>
      <c r="X2271" s="559"/>
    </row>
    <row r="2272" spans="1:24" x14ac:dyDescent="0.25">
      <c r="A2272" s="553">
        <f t="shared" si="167"/>
        <v>2608046.5081347255</v>
      </c>
      <c r="B2272" s="3">
        <f t="shared" si="169"/>
        <v>1.7500000000000009</v>
      </c>
      <c r="C2272" s="553">
        <f>'Foglio deposito bis'!$E$162/sezione!$B$247*B2272</f>
        <v>7.1044077560632912</v>
      </c>
      <c r="D2272" s="611">
        <f>-'Progetto del paramento slu'!$G$47*'Progetto del paramento slu'!$G$41*IF(DATI!$G$218="dx",DATI!$E$61,DATI!$E$64*DATI!$E$63)*1000*C2272^2*sezione!$AD$5*(1-sezione!$AD$6)</f>
        <v>-415490.50982081541</v>
      </c>
      <c r="E2272" s="553">
        <f>-'Foglio deposito bis'!$F$88*(C2272-sezione!$AL$36)*IF(ABS(K2272)&lt;'Progetto del paramento slu'!$G$58,ABS(K2272)*'Progetto del paramento slu'!$G$54,'Progetto del paramento slu'!$G$53)</f>
        <v>0</v>
      </c>
      <c r="F2272" s="553">
        <f>-'Foglio deposito bis'!$F$89*(C2272-sezione!$AM$36)*IF(ABS(L2272)&lt;'Progetto del paramento slu'!$G$58,ABS(L2272)*'Progetto del paramento slu'!$G$54,'Progetto del paramento slu'!$G$53)</f>
        <v>21958030.898995802</v>
      </c>
      <c r="G2272" s="553">
        <f>-'Foglio deposito bis'!$F$90*(C2272-sezione!$AN$36)*IF(ABS(M2272)&lt;'Progetto del paramento slu'!$G$58,ABS(M2272)*'Progetto del paramento slu'!$G$54,'Progetto del paramento slu'!$G$53)</f>
        <v>0</v>
      </c>
      <c r="H2272" s="553">
        <f>-'Foglio deposito bis'!$F$91*(C2272-sezione!$AO$36)*IF(ABS(N2272)&lt;'Progetto del paramento slu'!$G$58,ABS(N2272)*'Progetto del paramento slu'!$G$54,'Progetto del paramento slu'!$G$53)</f>
        <v>297104487.62334961</v>
      </c>
      <c r="I2272" s="479">
        <f>-'Foglio deposito bis'!$F$92*(C2272-sezione!$AP$36)*IF(ABS(O2272)&lt;'Progetto del paramento slu'!$G$58,ABS(O2272)*'Progetto del paramento slu'!$G$54,'Progetto del paramento slu'!$G$53)</f>
        <v>420337306.09506899</v>
      </c>
      <c r="J2272" s="479">
        <f t="shared" si="165"/>
        <v>738984334.10759354</v>
      </c>
      <c r="K2272" s="558">
        <f>'Progetto del paramento slu'!$G$60*(sezione!$AL$36-C2272)/C2272</f>
        <v>1.6206076115988181E-2</v>
      </c>
      <c r="L2272" s="558">
        <f>'Progetto del paramento slu'!$G$60*(sezione!$AM$36-C2272)/C2272</f>
        <v>7.0397785434955673E-2</v>
      </c>
      <c r="M2272" s="559">
        <f>'Progetto del paramento slu'!$G$60*(sezione!$AN$36-C2272)/C2272</f>
        <v>0.12458949475392317</v>
      </c>
      <c r="N2272" s="559">
        <f>'Progetto del paramento slu'!$G$60*(sezione!$AO$36-C2272)/C2272</f>
        <v>0.16400164698589953</v>
      </c>
      <c r="O2272" s="559">
        <f>'Progetto del paramento slu'!$G$60*(sezione!$AP$36-C2272)/C2272</f>
        <v>0.12459392388401164</v>
      </c>
      <c r="P2272" s="553">
        <f>-'Progetto del paramento slu'!$G$47*'Progetto del paramento slu'!$G$41*IF(DATI!$G$218="dx",DATI!$E$61,DATI!$E$64*DATI!$E$63)*1000*C2272*sezione!$AD$5</f>
        <v>-100142.95024461499</v>
      </c>
      <c r="Q2272" s="553">
        <f>'Foglio deposito bis'!$F$88*IF(ABS(K2272)&lt;'Progetto del paramento slu'!$G$58,ABS(K2272)*'Progetto del paramento slu'!$G$54,'Progetto del paramento slu'!$G$53)*IF(K2272&lt;0,-1,1)</f>
        <v>0</v>
      </c>
      <c r="R2272" s="553">
        <f>'Foglio deposito bis'!$F$89*IF(ABS(L2272)&lt;'Progetto del paramento slu'!$G$58,ABS(L2272)*'Progetto del paramento slu'!$G$54,'Progetto del paramento slu'!$G$53)*IF(L2272&lt;0,-1,1)</f>
        <v>153664.85805602249</v>
      </c>
      <c r="S2272" s="553">
        <f>'Foglio deposito bis'!$F$90*IF(ABS(M2272)&lt;'Progetto del paramento slu'!$G$58,ABS(M2272)*'Progetto del paramento slu'!$G$54,'Progetto del paramento slu'!$G$53)*IF(M2272&lt;0,-1,1)</f>
        <v>0</v>
      </c>
      <c r="T2272" s="553">
        <f>'Foglio deposito bis'!$F$91*IF(ABS(N2272)&lt;'Progetto del paramento slu'!$G$58,ABS(N2272)*'Progetto del paramento slu'!$G$54,'Progetto del paramento slu'!$G$53)*IF(N2272&lt;0,-1,1)</f>
        <v>892485.49558937876</v>
      </c>
      <c r="U2272" s="553">
        <f>'Foglio deposito bis'!$F$92*IF(ABS(O2272)&lt;'Progetto del paramento slu'!$G$58,ABS(O2272)*'Progetto del paramento slu'!$G$54,'Progetto del paramento slu'!$G$53)*IF(O2272&lt;0,-1,1)</f>
        <v>1662039.1047339395</v>
      </c>
      <c r="V2272" s="479">
        <f t="shared" si="168"/>
        <v>2608046.5081347255</v>
      </c>
      <c r="W2272" s="559"/>
      <c r="X2272" s="559"/>
    </row>
    <row r="2273" spans="1:24" x14ac:dyDescent="0.25">
      <c r="A2273" s="553">
        <f t="shared" si="167"/>
        <v>2605185.2809848795</v>
      </c>
      <c r="B2273" s="3">
        <f t="shared" si="169"/>
        <v>1.8000000000000009</v>
      </c>
      <c r="C2273" s="553">
        <f>'Foglio deposito bis'!$E$162/sezione!$B$247*B2273</f>
        <v>7.3073908348079568</v>
      </c>
      <c r="D2273" s="611">
        <f>-'Progetto del paramento slu'!$G$47*'Progetto del paramento slu'!$G$41*IF(DATI!$G$218="dx",DATI!$E$61,DATI!$E$64*DATI!$E$63)*1000*C2273^2*sezione!$AD$5*(1-sezione!$AD$6)</f>
        <v>-439572.00059410348</v>
      </c>
      <c r="E2273" s="553">
        <f>-'Foglio deposito bis'!$F$88*(C2273-sezione!$AL$36)*IF(ABS(K2273)&lt;'Progetto del paramento slu'!$G$58,ABS(K2273)*'Progetto del paramento slu'!$G$54,'Progetto del paramento slu'!$G$53)</f>
        <v>0</v>
      </c>
      <c r="F2273" s="553">
        <f>-'Foglio deposito bis'!$F$89*(C2273-sezione!$AM$36)*IF(ABS(L2273)&lt;'Progetto del paramento slu'!$G$58,ABS(L2273)*'Progetto del paramento slu'!$G$54,'Progetto del paramento slu'!$G$53)</f>
        <v>21926839.533012729</v>
      </c>
      <c r="G2273" s="553">
        <f>-'Foglio deposito bis'!$F$90*(C2273-sezione!$AN$36)*IF(ABS(M2273)&lt;'Progetto del paramento slu'!$G$58,ABS(M2273)*'Progetto del paramento slu'!$G$54,'Progetto del paramento slu'!$G$53)</f>
        <v>0</v>
      </c>
      <c r="H2273" s="553">
        <f>-'Foglio deposito bis'!$F$91*(C2273-sezione!$AO$36)*IF(ABS(N2273)&lt;'Progetto del paramento slu'!$G$58,ABS(N2273)*'Progetto del paramento slu'!$G$54,'Progetto del paramento slu'!$G$53)</f>
        <v>296923328.16971993</v>
      </c>
      <c r="I2273" s="479">
        <f>-'Foglio deposito bis'!$F$92*(C2273-sezione!$AP$36)*IF(ABS(O2273)&lt;'Progetto del paramento slu'!$G$58,ABS(O2273)*'Progetto del paramento slu'!$G$54,'Progetto del paramento slu'!$G$53)</f>
        <v>419999940.28059608</v>
      </c>
      <c r="J2273" s="479">
        <f t="shared" si="165"/>
        <v>738410535.98273468</v>
      </c>
      <c r="K2273" s="558">
        <f>'Progetto del paramento slu'!$G$60*(sezione!$AL$36-C2273)/C2273</f>
        <v>1.5658685112766288E-2</v>
      </c>
      <c r="L2273" s="558">
        <f>'Progetto del paramento slu'!$G$60*(sezione!$AM$36-C2273)/C2273</f>
        <v>6.8345069172873571E-2</v>
      </c>
      <c r="M2273" s="559">
        <f>'Progetto del paramento slu'!$G$60*(sezione!$AN$36-C2273)/C2273</f>
        <v>0.12103145323298085</v>
      </c>
      <c r="N2273" s="559">
        <f>'Progetto del paramento slu'!$G$60*(sezione!$AO$36-C2273)/C2273</f>
        <v>0.15934882345851342</v>
      </c>
      <c r="O2273" s="559">
        <f>'Progetto del paramento slu'!$G$60*(sezione!$AP$36-C2273)/C2273</f>
        <v>0.12103575933167798</v>
      </c>
      <c r="P2273" s="553">
        <f>-'Progetto del paramento slu'!$G$47*'Progetto del paramento slu'!$G$41*IF(DATI!$G$218="dx",DATI!$E$61,DATI!$E$64*DATI!$E$63)*1000*C2273*sezione!$AD$5</f>
        <v>-103004.17739446113</v>
      </c>
      <c r="Q2273" s="553">
        <f>'Foglio deposito bis'!$F$88*IF(ABS(K2273)&lt;'Progetto del paramento slu'!$G$58,ABS(K2273)*'Progetto del paramento slu'!$G$54,'Progetto del paramento slu'!$G$53)*IF(K2273&lt;0,-1,1)</f>
        <v>0</v>
      </c>
      <c r="R2273" s="553">
        <f>'Foglio deposito bis'!$F$89*IF(ABS(L2273)&lt;'Progetto del paramento slu'!$G$58,ABS(L2273)*'Progetto del paramento slu'!$G$54,'Progetto del paramento slu'!$G$53)*IF(L2273&lt;0,-1,1)</f>
        <v>153664.85805602249</v>
      </c>
      <c r="S2273" s="553">
        <f>'Foglio deposito bis'!$F$90*IF(ABS(M2273)&lt;'Progetto del paramento slu'!$G$58,ABS(M2273)*'Progetto del paramento slu'!$G$54,'Progetto del paramento slu'!$G$53)*IF(M2273&lt;0,-1,1)</f>
        <v>0</v>
      </c>
      <c r="T2273" s="553">
        <f>'Foglio deposito bis'!$F$91*IF(ABS(N2273)&lt;'Progetto del paramento slu'!$G$58,ABS(N2273)*'Progetto del paramento slu'!$G$54,'Progetto del paramento slu'!$G$53)*IF(N2273&lt;0,-1,1)</f>
        <v>892485.49558937876</v>
      </c>
      <c r="U2273" s="553">
        <f>'Foglio deposito bis'!$F$92*IF(ABS(O2273)&lt;'Progetto del paramento slu'!$G$58,ABS(O2273)*'Progetto del paramento slu'!$G$54,'Progetto del paramento slu'!$G$53)*IF(O2273&lt;0,-1,1)</f>
        <v>1662039.1047339395</v>
      </c>
      <c r="V2273" s="479">
        <f t="shared" si="168"/>
        <v>2605185.2809848795</v>
      </c>
      <c r="W2273" s="559"/>
      <c r="X2273" s="559"/>
    </row>
    <row r="2274" spans="1:24" x14ac:dyDescent="0.25">
      <c r="A2274" s="553">
        <f t="shared" si="167"/>
        <v>2602324.0538350334</v>
      </c>
      <c r="B2274" s="3">
        <f t="shared" si="169"/>
        <v>1.850000000000001</v>
      </c>
      <c r="C2274" s="553">
        <f>'Foglio deposito bis'!$E$162/sezione!$B$247*B2274</f>
        <v>7.5103739135526224</v>
      </c>
      <c r="D2274" s="611">
        <f>-'Progetto del paramento slu'!$G$47*'Progetto del paramento slu'!$G$41*IF(DATI!$G$218="dx",DATI!$E$61,DATI!$E$64*DATI!$E$63)*1000*C2274^2*sezione!$AD$5*(1-sezione!$AD$6)</f>
        <v>-464331.84322016028</v>
      </c>
      <c r="E2274" s="553">
        <f>-'Foglio deposito bis'!$F$88*(C2274-sezione!$AL$36)*IF(ABS(K2274)&lt;'Progetto del paramento slu'!$G$58,ABS(K2274)*'Progetto del paramento slu'!$G$54,'Progetto del paramento slu'!$G$53)</f>
        <v>0</v>
      </c>
      <c r="F2274" s="553">
        <f>-'Foglio deposito bis'!$F$89*(C2274-sezione!$AM$36)*IF(ABS(L2274)&lt;'Progetto del paramento slu'!$G$58,ABS(L2274)*'Progetto del paramento slu'!$G$54,'Progetto del paramento slu'!$G$53)</f>
        <v>21895648.167029656</v>
      </c>
      <c r="G2274" s="553">
        <f>-'Foglio deposito bis'!$F$90*(C2274-sezione!$AN$36)*IF(ABS(M2274)&lt;'Progetto del paramento slu'!$G$58,ABS(M2274)*'Progetto del paramento slu'!$G$54,'Progetto del paramento slu'!$G$53)</f>
        <v>0</v>
      </c>
      <c r="H2274" s="553">
        <f>-'Foglio deposito bis'!$F$91*(C2274-sezione!$AO$36)*IF(ABS(N2274)&lt;'Progetto del paramento slu'!$G$58,ABS(N2274)*'Progetto del paramento slu'!$G$54,'Progetto del paramento slu'!$G$53)</f>
        <v>296742168.71609026</v>
      </c>
      <c r="I2274" s="479">
        <f>-'Foglio deposito bis'!$F$92*(C2274-sezione!$AP$36)*IF(ABS(O2274)&lt;'Progetto del paramento slu'!$G$58,ABS(O2274)*'Progetto del paramento slu'!$G$54,'Progetto del paramento slu'!$G$53)</f>
        <v>419662574.46612316</v>
      </c>
      <c r="J2274" s="479">
        <f t="shared" si="165"/>
        <v>737836059.50602293</v>
      </c>
      <c r="K2274" s="558">
        <f>'Progetto del paramento slu'!$G$60*(sezione!$AL$36-C2274)/C2274</f>
        <v>1.5140882812421253E-2</v>
      </c>
      <c r="L2274" s="558">
        <f>'Progetto del paramento slu'!$G$60*(sezione!$AM$36-C2274)/C2274</f>
        <v>6.6403310546579691E-2</v>
      </c>
      <c r="M2274" s="559">
        <f>'Progetto del paramento slu'!$G$60*(sezione!$AN$36-C2274)/C2274</f>
        <v>0.11766573828073813</v>
      </c>
      <c r="N2274" s="559">
        <f>'Progetto del paramento slu'!$G$60*(sezione!$AO$36-C2274)/C2274</f>
        <v>0.15494750390558062</v>
      </c>
      <c r="O2274" s="559">
        <f>'Progetto del paramento slu'!$G$60*(sezione!$AP$36-C2274)/C2274</f>
        <v>0.11766992799838938</v>
      </c>
      <c r="P2274" s="553">
        <f>-'Progetto del paramento slu'!$G$47*'Progetto del paramento slu'!$G$41*IF(DATI!$G$218="dx",DATI!$E$61,DATI!$E$64*DATI!$E$63)*1000*C2274*sezione!$AD$5</f>
        <v>-105865.40454430727</v>
      </c>
      <c r="Q2274" s="553">
        <f>'Foglio deposito bis'!$F$88*IF(ABS(K2274)&lt;'Progetto del paramento slu'!$G$58,ABS(K2274)*'Progetto del paramento slu'!$G$54,'Progetto del paramento slu'!$G$53)*IF(K2274&lt;0,-1,1)</f>
        <v>0</v>
      </c>
      <c r="R2274" s="553">
        <f>'Foglio deposito bis'!$F$89*IF(ABS(L2274)&lt;'Progetto del paramento slu'!$G$58,ABS(L2274)*'Progetto del paramento slu'!$G$54,'Progetto del paramento slu'!$G$53)*IF(L2274&lt;0,-1,1)</f>
        <v>153664.85805602249</v>
      </c>
      <c r="S2274" s="553">
        <f>'Foglio deposito bis'!$F$90*IF(ABS(M2274)&lt;'Progetto del paramento slu'!$G$58,ABS(M2274)*'Progetto del paramento slu'!$G$54,'Progetto del paramento slu'!$G$53)*IF(M2274&lt;0,-1,1)</f>
        <v>0</v>
      </c>
      <c r="T2274" s="553">
        <f>'Foglio deposito bis'!$F$91*IF(ABS(N2274)&lt;'Progetto del paramento slu'!$G$58,ABS(N2274)*'Progetto del paramento slu'!$G$54,'Progetto del paramento slu'!$G$53)*IF(N2274&lt;0,-1,1)</f>
        <v>892485.49558937876</v>
      </c>
      <c r="U2274" s="553">
        <f>'Foglio deposito bis'!$F$92*IF(ABS(O2274)&lt;'Progetto del paramento slu'!$G$58,ABS(O2274)*'Progetto del paramento slu'!$G$54,'Progetto del paramento slu'!$G$53)*IF(O2274&lt;0,-1,1)</f>
        <v>1662039.1047339395</v>
      </c>
      <c r="V2274" s="479">
        <f t="shared" si="168"/>
        <v>2602324.0538350334</v>
      </c>
      <c r="W2274" s="559"/>
      <c r="X2274" s="559"/>
    </row>
    <row r="2275" spans="1:24" x14ac:dyDescent="0.25">
      <c r="A2275" s="553">
        <f t="shared" si="167"/>
        <v>2599462.8266851874</v>
      </c>
      <c r="B2275" s="3">
        <f t="shared" si="169"/>
        <v>1.900000000000001</v>
      </c>
      <c r="C2275" s="553">
        <f>'Foglio deposito bis'!$E$162/sezione!$B$247*B2275</f>
        <v>7.713356992297288</v>
      </c>
      <c r="D2275" s="611">
        <f>-'Progetto del paramento slu'!$G$47*'Progetto del paramento slu'!$G$41*IF(DATI!$G$218="dx",DATI!$E$61,DATI!$E$64*DATI!$E$63)*1000*C2275^2*sezione!$AD$5*(1-sezione!$AD$6)</f>
        <v>-489770.03769898572</v>
      </c>
      <c r="E2275" s="553">
        <f>-'Foglio deposito bis'!$F$88*(C2275-sezione!$AL$36)*IF(ABS(K2275)&lt;'Progetto del paramento slu'!$G$58,ABS(K2275)*'Progetto del paramento slu'!$G$54,'Progetto del paramento slu'!$G$53)</f>
        <v>0</v>
      </c>
      <c r="F2275" s="553">
        <f>-'Foglio deposito bis'!$F$89*(C2275-sezione!$AM$36)*IF(ABS(L2275)&lt;'Progetto del paramento slu'!$G$58,ABS(L2275)*'Progetto del paramento slu'!$G$54,'Progetto del paramento slu'!$G$53)</f>
        <v>21864456.801046584</v>
      </c>
      <c r="G2275" s="553">
        <f>-'Foglio deposito bis'!$F$90*(C2275-sezione!$AN$36)*IF(ABS(M2275)&lt;'Progetto del paramento slu'!$G$58,ABS(M2275)*'Progetto del paramento slu'!$G$54,'Progetto del paramento slu'!$G$53)</f>
        <v>0</v>
      </c>
      <c r="H2275" s="553">
        <f>-'Foglio deposito bis'!$F$91*(C2275-sezione!$AO$36)*IF(ABS(N2275)&lt;'Progetto del paramento slu'!$G$58,ABS(N2275)*'Progetto del paramento slu'!$G$54,'Progetto del paramento slu'!$G$53)</f>
        <v>296561009.26246053</v>
      </c>
      <c r="I2275" s="479">
        <f>-'Foglio deposito bis'!$F$92*(C2275-sezione!$AP$36)*IF(ABS(O2275)&lt;'Progetto del paramento slu'!$G$58,ABS(O2275)*'Progetto del paramento slu'!$G$54,'Progetto del paramento slu'!$G$53)</f>
        <v>419325208.65165025</v>
      </c>
      <c r="J2275" s="479">
        <f t="shared" si="165"/>
        <v>737260904.67745841</v>
      </c>
      <c r="K2275" s="558">
        <f>'Progetto del paramento slu'!$G$60*(sezione!$AL$36-C2275)/C2275</f>
        <v>1.4650333264725956E-2</v>
      </c>
      <c r="L2275" s="558">
        <f>'Progetto del paramento slu'!$G$60*(sezione!$AM$36-C2275)/C2275</f>
        <v>6.4563749742722332E-2</v>
      </c>
      <c r="M2275" s="559">
        <f>'Progetto del paramento slu'!$G$60*(sezione!$AN$36-C2275)/C2275</f>
        <v>0.1144771662207187</v>
      </c>
      <c r="N2275" s="559">
        <f>'Progetto del paramento slu'!$G$60*(sezione!$AO$36-C2275)/C2275</f>
        <v>0.15077783275017059</v>
      </c>
      <c r="O2275" s="559">
        <f>'Progetto del paramento slu'!$G$60*(sezione!$AP$36-C2275)/C2275</f>
        <v>0.11448124568264229</v>
      </c>
      <c r="P2275" s="553">
        <f>-'Progetto del paramento slu'!$G$47*'Progetto del paramento slu'!$G$41*IF(DATI!$G$218="dx",DATI!$E$61,DATI!$E$64*DATI!$E$63)*1000*C2275*sezione!$AD$5</f>
        <v>-108726.63169415342</v>
      </c>
      <c r="Q2275" s="553">
        <f>'Foglio deposito bis'!$F$88*IF(ABS(K2275)&lt;'Progetto del paramento slu'!$G$58,ABS(K2275)*'Progetto del paramento slu'!$G$54,'Progetto del paramento slu'!$G$53)*IF(K2275&lt;0,-1,1)</f>
        <v>0</v>
      </c>
      <c r="R2275" s="553">
        <f>'Foglio deposito bis'!$F$89*IF(ABS(L2275)&lt;'Progetto del paramento slu'!$G$58,ABS(L2275)*'Progetto del paramento slu'!$G$54,'Progetto del paramento slu'!$G$53)*IF(L2275&lt;0,-1,1)</f>
        <v>153664.85805602249</v>
      </c>
      <c r="S2275" s="553">
        <f>'Foglio deposito bis'!$F$90*IF(ABS(M2275)&lt;'Progetto del paramento slu'!$G$58,ABS(M2275)*'Progetto del paramento slu'!$G$54,'Progetto del paramento slu'!$G$53)*IF(M2275&lt;0,-1,1)</f>
        <v>0</v>
      </c>
      <c r="T2275" s="553">
        <f>'Foglio deposito bis'!$F$91*IF(ABS(N2275)&lt;'Progetto del paramento slu'!$G$58,ABS(N2275)*'Progetto del paramento slu'!$G$54,'Progetto del paramento slu'!$G$53)*IF(N2275&lt;0,-1,1)</f>
        <v>892485.49558937876</v>
      </c>
      <c r="U2275" s="553">
        <f>'Foglio deposito bis'!$F$92*IF(ABS(O2275)&lt;'Progetto del paramento slu'!$G$58,ABS(O2275)*'Progetto del paramento slu'!$G$54,'Progetto del paramento slu'!$G$53)*IF(O2275&lt;0,-1,1)</f>
        <v>1662039.1047339395</v>
      </c>
      <c r="V2275" s="479">
        <f t="shared" si="168"/>
        <v>2599462.8266851874</v>
      </c>
      <c r="W2275" s="559"/>
      <c r="X2275" s="559"/>
    </row>
    <row r="2276" spans="1:24" x14ac:dyDescent="0.25">
      <c r="A2276" s="553">
        <f t="shared" si="167"/>
        <v>2596601.5995353414</v>
      </c>
      <c r="B2276" s="3">
        <f t="shared" si="169"/>
        <v>1.9500000000000011</v>
      </c>
      <c r="C2276" s="553">
        <f>'Foglio deposito bis'!$E$162/sezione!$B$247*B2276</f>
        <v>7.9163400710419536</v>
      </c>
      <c r="D2276" s="611">
        <f>-'Progetto del paramento slu'!$G$47*'Progetto del paramento slu'!$G$41*IF(DATI!$G$218="dx",DATI!$E$61,DATI!$E$64*DATI!$E$63)*1000*C2276^2*sezione!$AD$5*(1-sezione!$AD$6)</f>
        <v>-515886.58403057989</v>
      </c>
      <c r="E2276" s="553">
        <f>-'Foglio deposito bis'!$F$88*(C2276-sezione!$AL$36)*IF(ABS(K2276)&lt;'Progetto del paramento slu'!$G$58,ABS(K2276)*'Progetto del paramento slu'!$G$54,'Progetto del paramento slu'!$G$53)</f>
        <v>0</v>
      </c>
      <c r="F2276" s="553">
        <f>-'Foglio deposito bis'!$F$89*(C2276-sezione!$AM$36)*IF(ABS(L2276)&lt;'Progetto del paramento slu'!$G$58,ABS(L2276)*'Progetto del paramento slu'!$G$54,'Progetto del paramento slu'!$G$53)</f>
        <v>21833265.435063507</v>
      </c>
      <c r="G2276" s="553">
        <f>-'Foglio deposito bis'!$F$90*(C2276-sezione!$AN$36)*IF(ABS(M2276)&lt;'Progetto del paramento slu'!$G$58,ABS(M2276)*'Progetto del paramento slu'!$G$54,'Progetto del paramento slu'!$G$53)</f>
        <v>0</v>
      </c>
      <c r="H2276" s="553">
        <f>-'Foglio deposito bis'!$F$91*(C2276-sezione!$AO$36)*IF(ABS(N2276)&lt;'Progetto del paramento slu'!$G$58,ABS(N2276)*'Progetto del paramento slu'!$G$54,'Progetto del paramento slu'!$G$53)</f>
        <v>296379849.80883086</v>
      </c>
      <c r="I2276" s="479">
        <f>-'Foglio deposito bis'!$F$92*(C2276-sezione!$AP$36)*IF(ABS(O2276)&lt;'Progetto del paramento slu'!$G$58,ABS(O2276)*'Progetto del paramento slu'!$G$54,'Progetto del paramento slu'!$G$53)</f>
        <v>418987842.83717734</v>
      </c>
      <c r="J2276" s="479">
        <f t="shared" si="165"/>
        <v>736685071.49704111</v>
      </c>
      <c r="K2276" s="558">
        <f>'Progetto del paramento slu'!$G$60*(sezione!$AL$36-C2276)/C2276</f>
        <v>1.4184940104091956E-2</v>
      </c>
      <c r="L2276" s="558">
        <f>'Progetto del paramento slu'!$G$60*(sezione!$AM$36-C2276)/C2276</f>
        <v>6.2818525390344826E-2</v>
      </c>
      <c r="M2276" s="559">
        <f>'Progetto del paramento slu'!$G$60*(sezione!$AN$36-C2276)/C2276</f>
        <v>0.1114521106765977</v>
      </c>
      <c r="N2276" s="559">
        <f>'Progetto del paramento slu'!$G$60*(sezione!$AO$36-C2276)/C2276</f>
        <v>0.14682199088478162</v>
      </c>
      <c r="O2276" s="559">
        <f>'Progetto del paramento slu'!$G$60*(sezione!$AP$36-C2276)/C2276</f>
        <v>0.11145608553693351</v>
      </c>
      <c r="P2276" s="553">
        <f>-'Progetto del paramento slu'!$G$47*'Progetto del paramento slu'!$G$41*IF(DATI!$G$218="dx",DATI!$E$61,DATI!$E$64*DATI!$E$63)*1000*C2276*sezione!$AD$5</f>
        <v>-111587.85884399957</v>
      </c>
      <c r="Q2276" s="553">
        <f>'Foglio deposito bis'!$F$88*IF(ABS(K2276)&lt;'Progetto del paramento slu'!$G$58,ABS(K2276)*'Progetto del paramento slu'!$G$54,'Progetto del paramento slu'!$G$53)*IF(K2276&lt;0,-1,1)</f>
        <v>0</v>
      </c>
      <c r="R2276" s="553">
        <f>'Foglio deposito bis'!$F$89*IF(ABS(L2276)&lt;'Progetto del paramento slu'!$G$58,ABS(L2276)*'Progetto del paramento slu'!$G$54,'Progetto del paramento slu'!$G$53)*IF(L2276&lt;0,-1,1)</f>
        <v>153664.85805602249</v>
      </c>
      <c r="S2276" s="553">
        <f>'Foglio deposito bis'!$F$90*IF(ABS(M2276)&lt;'Progetto del paramento slu'!$G$58,ABS(M2276)*'Progetto del paramento slu'!$G$54,'Progetto del paramento slu'!$G$53)*IF(M2276&lt;0,-1,1)</f>
        <v>0</v>
      </c>
      <c r="T2276" s="553">
        <f>'Foglio deposito bis'!$F$91*IF(ABS(N2276)&lt;'Progetto del paramento slu'!$G$58,ABS(N2276)*'Progetto del paramento slu'!$G$54,'Progetto del paramento slu'!$G$53)*IF(N2276&lt;0,-1,1)</f>
        <v>892485.49558937876</v>
      </c>
      <c r="U2276" s="553">
        <f>'Foglio deposito bis'!$F$92*IF(ABS(O2276)&lt;'Progetto del paramento slu'!$G$58,ABS(O2276)*'Progetto del paramento slu'!$G$54,'Progetto del paramento slu'!$G$53)*IF(O2276&lt;0,-1,1)</f>
        <v>1662039.1047339395</v>
      </c>
      <c r="V2276" s="479">
        <f t="shared" si="168"/>
        <v>2596601.5995353414</v>
      </c>
      <c r="W2276" s="559"/>
      <c r="X2276" s="559"/>
    </row>
    <row r="2277" spans="1:24" x14ac:dyDescent="0.25">
      <c r="A2277" s="553">
        <f t="shared" si="167"/>
        <v>2593740.3723854953</v>
      </c>
      <c r="B2277" s="3">
        <f t="shared" si="169"/>
        <v>2.0000000000000009</v>
      </c>
      <c r="C2277" s="553">
        <f>'Foglio deposito bis'!$E$162/sezione!$B$247*B2277</f>
        <v>8.1193231497866183</v>
      </c>
      <c r="D2277" s="611">
        <f>-'Progetto del paramento slu'!$G$47*'Progetto del paramento slu'!$G$41*IF(DATI!$G$218="dx",DATI!$E$61,DATI!$E$64*DATI!$E$63)*1000*C2277^2*sezione!$AD$5*(1-sezione!$AD$6)</f>
        <v>-542681.48221494257</v>
      </c>
      <c r="E2277" s="553">
        <f>-'Foglio deposito bis'!$F$88*(C2277-sezione!$AL$36)*IF(ABS(K2277)&lt;'Progetto del paramento slu'!$G$58,ABS(K2277)*'Progetto del paramento slu'!$G$54,'Progetto del paramento slu'!$G$53)</f>
        <v>0</v>
      </c>
      <c r="F2277" s="553">
        <f>-'Foglio deposito bis'!$F$89*(C2277-sezione!$AM$36)*IF(ABS(L2277)&lt;'Progetto del paramento slu'!$G$58,ABS(L2277)*'Progetto del paramento slu'!$G$54,'Progetto del paramento slu'!$G$53)</f>
        <v>21802074.069080435</v>
      </c>
      <c r="G2277" s="553">
        <f>-'Foglio deposito bis'!$F$90*(C2277-sezione!$AN$36)*IF(ABS(M2277)&lt;'Progetto del paramento slu'!$G$58,ABS(M2277)*'Progetto del paramento slu'!$G$54,'Progetto del paramento slu'!$G$53)</f>
        <v>0</v>
      </c>
      <c r="H2277" s="553">
        <f>-'Foglio deposito bis'!$F$91*(C2277-sezione!$AO$36)*IF(ABS(N2277)&lt;'Progetto del paramento slu'!$G$58,ABS(N2277)*'Progetto del paramento slu'!$G$54,'Progetto del paramento slu'!$G$53)</f>
        <v>296198690.35520118</v>
      </c>
      <c r="I2277" s="479">
        <f>-'Foglio deposito bis'!$F$92*(C2277-sezione!$AP$36)*IF(ABS(O2277)&lt;'Progetto del paramento slu'!$G$58,ABS(O2277)*'Progetto del paramento slu'!$G$54,'Progetto del paramento slu'!$G$53)</f>
        <v>418650477.0227043</v>
      </c>
      <c r="J2277" s="479">
        <f t="shared" si="165"/>
        <v>736108559.96477103</v>
      </c>
      <c r="K2277" s="558">
        <f>'Progetto del paramento slu'!$G$60*(sezione!$AL$36-C2277)/C2277</f>
        <v>1.3742816601489658E-2</v>
      </c>
      <c r="L2277" s="558">
        <f>'Progetto del paramento slu'!$G$60*(sezione!$AM$36-C2277)/C2277</f>
        <v>6.1160562255586214E-2</v>
      </c>
      <c r="M2277" s="559">
        <f>'Progetto del paramento slu'!$G$60*(sezione!$AN$36-C2277)/C2277</f>
        <v>0.10857830790968277</v>
      </c>
      <c r="N2277" s="559">
        <f>'Progetto del paramento slu'!$G$60*(sezione!$AO$36-C2277)/C2277</f>
        <v>0.14306394111266207</v>
      </c>
      <c r="O2277" s="559">
        <f>'Progetto del paramento slu'!$G$60*(sezione!$AP$36-C2277)/C2277</f>
        <v>0.10858218339851018</v>
      </c>
      <c r="P2277" s="553">
        <f>-'Progetto del paramento slu'!$G$47*'Progetto del paramento slu'!$G$41*IF(DATI!$G$218="dx",DATI!$E$61,DATI!$E$64*DATI!$E$63)*1000*C2277*sezione!$AD$5</f>
        <v>-114449.0859938457</v>
      </c>
      <c r="Q2277" s="553">
        <f>'Foglio deposito bis'!$F$88*IF(ABS(K2277)&lt;'Progetto del paramento slu'!$G$58,ABS(K2277)*'Progetto del paramento slu'!$G$54,'Progetto del paramento slu'!$G$53)*IF(K2277&lt;0,-1,1)</f>
        <v>0</v>
      </c>
      <c r="R2277" s="553">
        <f>'Foglio deposito bis'!$F$89*IF(ABS(L2277)&lt;'Progetto del paramento slu'!$G$58,ABS(L2277)*'Progetto del paramento slu'!$G$54,'Progetto del paramento slu'!$G$53)*IF(L2277&lt;0,-1,1)</f>
        <v>153664.85805602249</v>
      </c>
      <c r="S2277" s="553">
        <f>'Foglio deposito bis'!$F$90*IF(ABS(M2277)&lt;'Progetto del paramento slu'!$G$58,ABS(M2277)*'Progetto del paramento slu'!$G$54,'Progetto del paramento slu'!$G$53)*IF(M2277&lt;0,-1,1)</f>
        <v>0</v>
      </c>
      <c r="T2277" s="553">
        <f>'Foglio deposito bis'!$F$91*IF(ABS(N2277)&lt;'Progetto del paramento slu'!$G$58,ABS(N2277)*'Progetto del paramento slu'!$G$54,'Progetto del paramento slu'!$G$53)*IF(N2277&lt;0,-1,1)</f>
        <v>892485.49558937876</v>
      </c>
      <c r="U2277" s="553">
        <f>'Foglio deposito bis'!$F$92*IF(ABS(O2277)&lt;'Progetto del paramento slu'!$G$58,ABS(O2277)*'Progetto del paramento slu'!$G$54,'Progetto del paramento slu'!$G$53)*IF(O2277&lt;0,-1,1)</f>
        <v>1662039.1047339395</v>
      </c>
      <c r="V2277" s="479">
        <f t="shared" si="168"/>
        <v>2593740.3723854953</v>
      </c>
      <c r="W2277" s="559"/>
      <c r="X2277" s="559"/>
    </row>
    <row r="2278" spans="1:24" x14ac:dyDescent="0.25">
      <c r="A2278" s="553">
        <f t="shared" si="167"/>
        <v>2590879.1452356488</v>
      </c>
      <c r="B2278" s="3">
        <f t="shared" si="169"/>
        <v>2.0500000000000007</v>
      </c>
      <c r="C2278" s="553">
        <f>'Foglio deposito bis'!$E$162/sezione!$B$247*B2278</f>
        <v>8.3223062285312821</v>
      </c>
      <c r="D2278" s="611">
        <f>-'Progetto del paramento slu'!$G$47*'Progetto del paramento slu'!$G$41*IF(DATI!$G$218="dx",DATI!$E$61,DATI!$E$64*DATI!$E$63)*1000*C2278^2*sezione!$AD$5*(1-sezione!$AD$6)</f>
        <v>-570154.73225207382</v>
      </c>
      <c r="E2278" s="553">
        <f>-'Foglio deposito bis'!$F$88*(C2278-sezione!$AL$36)*IF(ABS(K2278)&lt;'Progetto del paramento slu'!$G$58,ABS(K2278)*'Progetto del paramento slu'!$G$54,'Progetto del paramento slu'!$G$53)</f>
        <v>0</v>
      </c>
      <c r="F2278" s="553">
        <f>-'Foglio deposito bis'!$F$89*(C2278-sezione!$AM$36)*IF(ABS(L2278)&lt;'Progetto del paramento slu'!$G$58,ABS(L2278)*'Progetto del paramento slu'!$G$54,'Progetto del paramento slu'!$G$53)</f>
        <v>21770882.703097362</v>
      </c>
      <c r="G2278" s="553">
        <f>-'Foglio deposito bis'!$F$90*(C2278-sezione!$AN$36)*IF(ABS(M2278)&lt;'Progetto del paramento slu'!$G$58,ABS(M2278)*'Progetto del paramento slu'!$G$54,'Progetto del paramento slu'!$G$53)</f>
        <v>0</v>
      </c>
      <c r="H2278" s="553">
        <f>-'Foglio deposito bis'!$F$91*(C2278-sezione!$AO$36)*IF(ABS(N2278)&lt;'Progetto del paramento slu'!$G$58,ABS(N2278)*'Progetto del paramento slu'!$G$54,'Progetto del paramento slu'!$G$53)</f>
        <v>296017530.90157151</v>
      </c>
      <c r="I2278" s="479">
        <f>-'Foglio deposito bis'!$F$92*(C2278-sezione!$AP$36)*IF(ABS(O2278)&lt;'Progetto del paramento slu'!$G$58,ABS(O2278)*'Progetto del paramento slu'!$G$54,'Progetto del paramento slu'!$G$53)</f>
        <v>418313111.20823139</v>
      </c>
      <c r="J2278" s="479">
        <f t="shared" si="165"/>
        <v>735531370.08064818</v>
      </c>
      <c r="K2278" s="558">
        <f>'Progetto del paramento slu'!$G$60*(sezione!$AL$36-C2278)/C2278</f>
        <v>1.3322260099014303E-2</v>
      </c>
      <c r="L2278" s="558">
        <f>'Progetto del paramento slu'!$G$60*(sezione!$AM$36-C2278)/C2278</f>
        <v>5.9583475371303631E-2</v>
      </c>
      <c r="M2278" s="559">
        <f>'Progetto del paramento slu'!$G$60*(sezione!$AN$36-C2278)/C2278</f>
        <v>0.10584469064359298</v>
      </c>
      <c r="N2278" s="559">
        <f>'Progetto del paramento slu'!$G$60*(sezione!$AO$36-C2278)/C2278</f>
        <v>0.13948921084162158</v>
      </c>
      <c r="O2278" s="559">
        <f>'Progetto del paramento slu'!$G$60*(sezione!$AP$36-C2278)/C2278</f>
        <v>0.10584847160830264</v>
      </c>
      <c r="P2278" s="553">
        <f>-'Progetto del paramento slu'!$G$47*'Progetto del paramento slu'!$G$41*IF(DATI!$G$218="dx",DATI!$E$61,DATI!$E$64*DATI!$E$63)*1000*C2278*sezione!$AD$5</f>
        <v>-117310.31314369182</v>
      </c>
      <c r="Q2278" s="553">
        <f>'Foglio deposito bis'!$F$88*IF(ABS(K2278)&lt;'Progetto del paramento slu'!$G$58,ABS(K2278)*'Progetto del paramento slu'!$G$54,'Progetto del paramento slu'!$G$53)*IF(K2278&lt;0,-1,1)</f>
        <v>0</v>
      </c>
      <c r="R2278" s="553">
        <f>'Foglio deposito bis'!$F$89*IF(ABS(L2278)&lt;'Progetto del paramento slu'!$G$58,ABS(L2278)*'Progetto del paramento slu'!$G$54,'Progetto del paramento slu'!$G$53)*IF(L2278&lt;0,-1,1)</f>
        <v>153664.85805602249</v>
      </c>
      <c r="S2278" s="553">
        <f>'Foglio deposito bis'!$F$90*IF(ABS(M2278)&lt;'Progetto del paramento slu'!$G$58,ABS(M2278)*'Progetto del paramento slu'!$G$54,'Progetto del paramento slu'!$G$53)*IF(M2278&lt;0,-1,1)</f>
        <v>0</v>
      </c>
      <c r="T2278" s="553">
        <f>'Foglio deposito bis'!$F$91*IF(ABS(N2278)&lt;'Progetto del paramento slu'!$G$58,ABS(N2278)*'Progetto del paramento slu'!$G$54,'Progetto del paramento slu'!$G$53)*IF(N2278&lt;0,-1,1)</f>
        <v>892485.49558937876</v>
      </c>
      <c r="U2278" s="553">
        <f>'Foglio deposito bis'!$F$92*IF(ABS(O2278)&lt;'Progetto del paramento slu'!$G$58,ABS(O2278)*'Progetto del paramento slu'!$G$54,'Progetto del paramento slu'!$G$53)*IF(O2278&lt;0,-1,1)</f>
        <v>1662039.1047339395</v>
      </c>
      <c r="V2278" s="479">
        <f t="shared" si="168"/>
        <v>2590879.1452356488</v>
      </c>
      <c r="W2278" s="559"/>
      <c r="X2278" s="559"/>
    </row>
    <row r="2279" spans="1:24" x14ac:dyDescent="0.25">
      <c r="A2279" s="553">
        <f t="shared" si="167"/>
        <v>2588017.9180858028</v>
      </c>
      <c r="B2279" s="3">
        <f t="shared" si="169"/>
        <v>2.1000000000000005</v>
      </c>
      <c r="C2279" s="553">
        <f>'Foglio deposito bis'!$E$162/sezione!$B$247*B2279</f>
        <v>8.5252893072759477</v>
      </c>
      <c r="D2279" s="611">
        <f>-'Progetto del paramento slu'!$G$47*'Progetto del paramento slu'!$G$41*IF(DATI!$G$218="dx",DATI!$E$61,DATI!$E$64*DATI!$E$63)*1000*C2279^2*sezione!$AD$5*(1-sezione!$AD$6)</f>
        <v>-598306.33414197387</v>
      </c>
      <c r="E2279" s="553">
        <f>-'Foglio deposito bis'!$F$88*(C2279-sezione!$AL$36)*IF(ABS(K2279)&lt;'Progetto del paramento slu'!$G$58,ABS(K2279)*'Progetto del paramento slu'!$G$54,'Progetto del paramento slu'!$G$53)</f>
        <v>0</v>
      </c>
      <c r="F2279" s="553">
        <f>-'Foglio deposito bis'!$F$89*(C2279-sezione!$AM$36)*IF(ABS(L2279)&lt;'Progetto del paramento slu'!$G$58,ABS(L2279)*'Progetto del paramento slu'!$G$54,'Progetto del paramento slu'!$G$53)</f>
        <v>21739691.337114289</v>
      </c>
      <c r="G2279" s="553">
        <f>-'Foglio deposito bis'!$F$90*(C2279-sezione!$AN$36)*IF(ABS(M2279)&lt;'Progetto del paramento slu'!$G$58,ABS(M2279)*'Progetto del paramento slu'!$G$54,'Progetto del paramento slu'!$G$53)</f>
        <v>0</v>
      </c>
      <c r="H2279" s="553">
        <f>-'Foglio deposito bis'!$F$91*(C2279-sezione!$AO$36)*IF(ABS(N2279)&lt;'Progetto del paramento slu'!$G$58,ABS(N2279)*'Progetto del paramento slu'!$G$54,'Progetto del paramento slu'!$G$53)</f>
        <v>295836371.44794178</v>
      </c>
      <c r="I2279" s="479">
        <f>-'Foglio deposito bis'!$F$92*(C2279-sezione!$AP$36)*IF(ABS(O2279)&lt;'Progetto del paramento slu'!$G$58,ABS(O2279)*'Progetto del paramento slu'!$G$54,'Progetto del paramento slu'!$G$53)</f>
        <v>417975745.39375848</v>
      </c>
      <c r="J2279" s="479">
        <f t="shared" si="165"/>
        <v>734953501.84467256</v>
      </c>
      <c r="K2279" s="558">
        <f>'Progetto del paramento slu'!$G$60*(sezione!$AL$36-C2279)/C2279</f>
        <v>1.2921730096656821E-2</v>
      </c>
      <c r="L2279" s="558">
        <f>'Progetto del paramento slu'!$G$60*(sezione!$AM$36-C2279)/C2279</f>
        <v>5.8081487862463067E-2</v>
      </c>
      <c r="M2279" s="559">
        <f>'Progetto del paramento slu'!$G$60*(sezione!$AN$36-C2279)/C2279</f>
        <v>0.10324124562826932</v>
      </c>
      <c r="N2279" s="559">
        <f>'Progetto del paramento slu'!$G$60*(sezione!$AO$36-C2279)/C2279</f>
        <v>0.13608470582158297</v>
      </c>
      <c r="O2279" s="559">
        <f>'Progetto del paramento slu'!$G$60*(sezione!$AP$36-C2279)/C2279</f>
        <v>0.10324493657000972</v>
      </c>
      <c r="P2279" s="553">
        <f>-'Progetto del paramento slu'!$G$47*'Progetto del paramento slu'!$G$41*IF(DATI!$G$218="dx",DATI!$E$61,DATI!$E$64*DATI!$E$63)*1000*C2279*sezione!$AD$5</f>
        <v>-120171.54029353797</v>
      </c>
      <c r="Q2279" s="553">
        <f>'Foglio deposito bis'!$F$88*IF(ABS(K2279)&lt;'Progetto del paramento slu'!$G$58,ABS(K2279)*'Progetto del paramento slu'!$G$54,'Progetto del paramento slu'!$G$53)*IF(K2279&lt;0,-1,1)</f>
        <v>0</v>
      </c>
      <c r="R2279" s="553">
        <f>'Foglio deposito bis'!$F$89*IF(ABS(L2279)&lt;'Progetto del paramento slu'!$G$58,ABS(L2279)*'Progetto del paramento slu'!$G$54,'Progetto del paramento slu'!$G$53)*IF(L2279&lt;0,-1,1)</f>
        <v>153664.85805602249</v>
      </c>
      <c r="S2279" s="553">
        <f>'Foglio deposito bis'!$F$90*IF(ABS(M2279)&lt;'Progetto del paramento slu'!$G$58,ABS(M2279)*'Progetto del paramento slu'!$G$54,'Progetto del paramento slu'!$G$53)*IF(M2279&lt;0,-1,1)</f>
        <v>0</v>
      </c>
      <c r="T2279" s="553">
        <f>'Foglio deposito bis'!$F$91*IF(ABS(N2279)&lt;'Progetto del paramento slu'!$G$58,ABS(N2279)*'Progetto del paramento slu'!$G$54,'Progetto del paramento slu'!$G$53)*IF(N2279&lt;0,-1,1)</f>
        <v>892485.49558937876</v>
      </c>
      <c r="U2279" s="553">
        <f>'Foglio deposito bis'!$F$92*IF(ABS(O2279)&lt;'Progetto del paramento slu'!$G$58,ABS(O2279)*'Progetto del paramento slu'!$G$54,'Progetto del paramento slu'!$G$53)*IF(O2279&lt;0,-1,1)</f>
        <v>1662039.1047339395</v>
      </c>
      <c r="V2279" s="479">
        <f t="shared" si="168"/>
        <v>2588017.9180858028</v>
      </c>
      <c r="W2279" s="559"/>
      <c r="X2279" s="559"/>
    </row>
    <row r="2280" spans="1:24" x14ac:dyDescent="0.25">
      <c r="A2280" s="553">
        <f t="shared" si="167"/>
        <v>2585156.6909359568</v>
      </c>
      <c r="B2280" s="3">
        <f t="shared" si="169"/>
        <v>2.1500000000000004</v>
      </c>
      <c r="C2280" s="553">
        <f>'Foglio deposito bis'!$E$162/sezione!$B$247*B2280</f>
        <v>8.7282723860206115</v>
      </c>
      <c r="D2280" s="611">
        <f>-'Progetto del paramento slu'!$G$47*'Progetto del paramento slu'!$G$41*IF(DATI!$G$218="dx",DATI!$E$61,DATI!$E$64*DATI!$E$63)*1000*C2280^2*sezione!$AD$5*(1-sezione!$AD$6)</f>
        <v>-627136.28788464237</v>
      </c>
      <c r="E2280" s="553">
        <f>-'Foglio deposito bis'!$F$88*(C2280-sezione!$AL$36)*IF(ABS(K2280)&lt;'Progetto del paramento slu'!$G$58,ABS(K2280)*'Progetto del paramento slu'!$G$54,'Progetto del paramento slu'!$G$53)</f>
        <v>0</v>
      </c>
      <c r="F2280" s="553">
        <f>-'Foglio deposito bis'!$F$89*(C2280-sezione!$AM$36)*IF(ABS(L2280)&lt;'Progetto del paramento slu'!$G$58,ABS(L2280)*'Progetto del paramento slu'!$G$54,'Progetto del paramento slu'!$G$53)</f>
        <v>21708499.971131213</v>
      </c>
      <c r="G2280" s="553">
        <f>-'Foglio deposito bis'!$F$90*(C2280-sezione!$AN$36)*IF(ABS(M2280)&lt;'Progetto del paramento slu'!$G$58,ABS(M2280)*'Progetto del paramento slu'!$G$54,'Progetto del paramento slu'!$G$53)</f>
        <v>0</v>
      </c>
      <c r="H2280" s="553">
        <f>-'Foglio deposito bis'!$F$91*(C2280-sezione!$AO$36)*IF(ABS(N2280)&lt;'Progetto del paramento slu'!$G$58,ABS(N2280)*'Progetto del paramento slu'!$G$54,'Progetto del paramento slu'!$G$53)</f>
        <v>295655211.99431211</v>
      </c>
      <c r="I2280" s="479">
        <f>-'Foglio deposito bis'!$F$92*(C2280-sezione!$AP$36)*IF(ABS(O2280)&lt;'Progetto del paramento slu'!$G$58,ABS(O2280)*'Progetto del paramento slu'!$G$54,'Progetto del paramento slu'!$G$53)</f>
        <v>417638379.57928556</v>
      </c>
      <c r="J2280" s="479">
        <f t="shared" si="165"/>
        <v>734374955.25684428</v>
      </c>
      <c r="K2280" s="558">
        <f>'Progetto del paramento slu'!$G$60*(sezione!$AL$36-C2280)/C2280</f>
        <v>1.2539829396734569E-2</v>
      </c>
      <c r="L2280" s="558">
        <f>'Progetto del paramento slu'!$G$60*(sezione!$AM$36-C2280)/C2280</f>
        <v>5.6649360237754638E-2</v>
      </c>
      <c r="M2280" s="559">
        <f>'Progetto del paramento slu'!$G$60*(sezione!$AN$36-C2280)/C2280</f>
        <v>0.10075889107877471</v>
      </c>
      <c r="N2280" s="559">
        <f>'Progetto del paramento slu'!$G$60*(sezione!$AO$36-C2280)/C2280</f>
        <v>0.13283854987224389</v>
      </c>
      <c r="O2280" s="559">
        <f>'Progetto del paramento slu'!$G$60*(sezione!$AP$36-C2280)/C2280</f>
        <v>0.10076249618466067</v>
      </c>
      <c r="P2280" s="553">
        <f>-'Progetto del paramento slu'!$G$47*'Progetto del paramento slu'!$G$41*IF(DATI!$G$218="dx",DATI!$E$61,DATI!$E$64*DATI!$E$63)*1000*C2280*sezione!$AD$5</f>
        <v>-123032.76744338407</v>
      </c>
      <c r="Q2280" s="553">
        <f>'Foglio deposito bis'!$F$88*IF(ABS(K2280)&lt;'Progetto del paramento slu'!$G$58,ABS(K2280)*'Progetto del paramento slu'!$G$54,'Progetto del paramento slu'!$G$53)*IF(K2280&lt;0,-1,1)</f>
        <v>0</v>
      </c>
      <c r="R2280" s="553">
        <f>'Foglio deposito bis'!$F$89*IF(ABS(L2280)&lt;'Progetto del paramento slu'!$G$58,ABS(L2280)*'Progetto del paramento slu'!$G$54,'Progetto del paramento slu'!$G$53)*IF(L2280&lt;0,-1,1)</f>
        <v>153664.85805602249</v>
      </c>
      <c r="S2280" s="553">
        <f>'Foglio deposito bis'!$F$90*IF(ABS(M2280)&lt;'Progetto del paramento slu'!$G$58,ABS(M2280)*'Progetto del paramento slu'!$G$54,'Progetto del paramento slu'!$G$53)*IF(M2280&lt;0,-1,1)</f>
        <v>0</v>
      </c>
      <c r="T2280" s="553">
        <f>'Foglio deposito bis'!$F$91*IF(ABS(N2280)&lt;'Progetto del paramento slu'!$G$58,ABS(N2280)*'Progetto del paramento slu'!$G$54,'Progetto del paramento slu'!$G$53)*IF(N2280&lt;0,-1,1)</f>
        <v>892485.49558937876</v>
      </c>
      <c r="U2280" s="553">
        <f>'Foglio deposito bis'!$F$92*IF(ABS(O2280)&lt;'Progetto del paramento slu'!$G$58,ABS(O2280)*'Progetto del paramento slu'!$G$54,'Progetto del paramento slu'!$G$53)*IF(O2280&lt;0,-1,1)</f>
        <v>1662039.1047339395</v>
      </c>
      <c r="V2280" s="479">
        <f t="shared" si="168"/>
        <v>2585156.6909359568</v>
      </c>
      <c r="W2280" s="559"/>
      <c r="X2280" s="559"/>
    </row>
    <row r="2281" spans="1:24" x14ac:dyDescent="0.25">
      <c r="A2281" s="553">
        <f t="shared" si="167"/>
        <v>2582295.4637861103</v>
      </c>
      <c r="B2281" s="3">
        <f t="shared" si="169"/>
        <v>2.2000000000000002</v>
      </c>
      <c r="C2281" s="553">
        <f>'Foglio deposito bis'!$E$162/sezione!$B$247*B2281</f>
        <v>8.9312554647652771</v>
      </c>
      <c r="D2281" s="611">
        <f>-'Progetto del paramento slu'!$G$47*'Progetto del paramento slu'!$G$41*IF(DATI!$G$218="dx",DATI!$E$61,DATI!$E$64*DATI!$E$63)*1000*C2281^2*sezione!$AD$5*(1-sezione!$AD$6)</f>
        <v>-656644.5934800799</v>
      </c>
      <c r="E2281" s="553">
        <f>-'Foglio deposito bis'!$F$88*(C2281-sezione!$AL$36)*IF(ABS(K2281)&lt;'Progetto del paramento slu'!$G$58,ABS(K2281)*'Progetto del paramento slu'!$G$54,'Progetto del paramento slu'!$G$53)</f>
        <v>0</v>
      </c>
      <c r="F2281" s="553">
        <f>-'Foglio deposito bis'!$F$89*(C2281-sezione!$AM$36)*IF(ABS(L2281)&lt;'Progetto del paramento slu'!$G$58,ABS(L2281)*'Progetto del paramento slu'!$G$54,'Progetto del paramento slu'!$G$53)</f>
        <v>21677308.60514814</v>
      </c>
      <c r="G2281" s="553">
        <f>-'Foglio deposito bis'!$F$90*(C2281-sezione!$AN$36)*IF(ABS(M2281)&lt;'Progetto del paramento slu'!$G$58,ABS(M2281)*'Progetto del paramento slu'!$G$54,'Progetto del paramento slu'!$G$53)</f>
        <v>0</v>
      </c>
      <c r="H2281" s="553">
        <f>-'Foglio deposito bis'!$F$91*(C2281-sezione!$AO$36)*IF(ABS(N2281)&lt;'Progetto del paramento slu'!$G$58,ABS(N2281)*'Progetto del paramento slu'!$G$54,'Progetto del paramento slu'!$G$53)</f>
        <v>295474052.54068238</v>
      </c>
      <c r="I2281" s="479">
        <f>-'Foglio deposito bis'!$F$92*(C2281-sezione!$AP$36)*IF(ABS(O2281)&lt;'Progetto del paramento slu'!$G$58,ABS(O2281)*'Progetto del paramento slu'!$G$54,'Progetto del paramento slu'!$G$53)</f>
        <v>417301013.76481265</v>
      </c>
      <c r="J2281" s="479">
        <f t="shared" si="165"/>
        <v>733795730.31716311</v>
      </c>
      <c r="K2281" s="558">
        <f>'Progetto del paramento slu'!$G$60*(sezione!$AL$36-C2281)/C2281</f>
        <v>1.2175287819536057E-2</v>
      </c>
      <c r="L2281" s="558">
        <f>'Progetto del paramento slu'!$G$60*(sezione!$AM$36-C2281)/C2281</f>
        <v>5.5282329323260215E-2</v>
      </c>
      <c r="M2281" s="559">
        <f>'Progetto del paramento slu'!$G$60*(sezione!$AN$36-C2281)/C2281</f>
        <v>9.8389370826984374E-2</v>
      </c>
      <c r="N2281" s="559">
        <f>'Progetto del paramento slu'!$G$60*(sezione!$AO$36-C2281)/C2281</f>
        <v>0.12973994646605649</v>
      </c>
      <c r="O2281" s="559">
        <f>'Progetto del paramento slu'!$G$60*(sezione!$AP$36-C2281)/C2281</f>
        <v>9.8392893998645647E-2</v>
      </c>
      <c r="P2281" s="553">
        <f>-'Progetto del paramento slu'!$G$47*'Progetto del paramento slu'!$G$41*IF(DATI!$G$218="dx",DATI!$E$61,DATI!$E$64*DATI!$E$63)*1000*C2281*sezione!$AD$5</f>
        <v>-125893.99459323022</v>
      </c>
      <c r="Q2281" s="553">
        <f>'Foglio deposito bis'!$F$88*IF(ABS(K2281)&lt;'Progetto del paramento slu'!$G$58,ABS(K2281)*'Progetto del paramento slu'!$G$54,'Progetto del paramento slu'!$G$53)*IF(K2281&lt;0,-1,1)</f>
        <v>0</v>
      </c>
      <c r="R2281" s="553">
        <f>'Foglio deposito bis'!$F$89*IF(ABS(L2281)&lt;'Progetto del paramento slu'!$G$58,ABS(L2281)*'Progetto del paramento slu'!$G$54,'Progetto del paramento slu'!$G$53)*IF(L2281&lt;0,-1,1)</f>
        <v>153664.85805602249</v>
      </c>
      <c r="S2281" s="553">
        <f>'Foglio deposito bis'!$F$90*IF(ABS(M2281)&lt;'Progetto del paramento slu'!$G$58,ABS(M2281)*'Progetto del paramento slu'!$G$54,'Progetto del paramento slu'!$G$53)*IF(M2281&lt;0,-1,1)</f>
        <v>0</v>
      </c>
      <c r="T2281" s="553">
        <f>'Foglio deposito bis'!$F$91*IF(ABS(N2281)&lt;'Progetto del paramento slu'!$G$58,ABS(N2281)*'Progetto del paramento slu'!$G$54,'Progetto del paramento slu'!$G$53)*IF(N2281&lt;0,-1,1)</f>
        <v>892485.49558937876</v>
      </c>
      <c r="U2281" s="553">
        <f>'Foglio deposito bis'!$F$92*IF(ABS(O2281)&lt;'Progetto del paramento slu'!$G$58,ABS(O2281)*'Progetto del paramento slu'!$G$54,'Progetto del paramento slu'!$G$53)*IF(O2281&lt;0,-1,1)</f>
        <v>1662039.1047339395</v>
      </c>
      <c r="V2281" s="479">
        <f t="shared" si="168"/>
        <v>2582295.4637861103</v>
      </c>
      <c r="W2281" s="559"/>
      <c r="X2281" s="559"/>
    </row>
    <row r="2282" spans="1:24" x14ac:dyDescent="0.25">
      <c r="A2282" s="553">
        <f t="shared" si="167"/>
        <v>2579434.2366362642</v>
      </c>
      <c r="B2282" s="3">
        <f t="shared" si="169"/>
        <v>2.25</v>
      </c>
      <c r="C2282" s="553">
        <f>'Foglio deposito bis'!$E$162/sezione!$B$247*B2282</f>
        <v>9.1342385435099409</v>
      </c>
      <c r="D2282" s="611">
        <f>-'Progetto del paramento slu'!$G$47*'Progetto del paramento slu'!$G$41*IF(DATI!$G$218="dx",DATI!$E$61,DATI!$E$64*DATI!$E$63)*1000*C2282^2*sezione!$AD$5*(1-sezione!$AD$6)</f>
        <v>-686831.25092828588</v>
      </c>
      <c r="E2282" s="553">
        <f>-'Foglio deposito bis'!$F$88*(C2282-sezione!$AL$36)*IF(ABS(K2282)&lt;'Progetto del paramento slu'!$G$58,ABS(K2282)*'Progetto del paramento slu'!$G$54,'Progetto del paramento slu'!$G$53)</f>
        <v>0</v>
      </c>
      <c r="F2282" s="553">
        <f>-'Foglio deposito bis'!$F$89*(C2282-sezione!$AM$36)*IF(ABS(L2282)&lt;'Progetto del paramento slu'!$G$58,ABS(L2282)*'Progetto del paramento slu'!$G$54,'Progetto del paramento slu'!$G$53)</f>
        <v>21646117.239165068</v>
      </c>
      <c r="G2282" s="553">
        <f>-'Foglio deposito bis'!$F$90*(C2282-sezione!$AN$36)*IF(ABS(M2282)&lt;'Progetto del paramento slu'!$G$58,ABS(M2282)*'Progetto del paramento slu'!$G$54,'Progetto del paramento slu'!$G$53)</f>
        <v>0</v>
      </c>
      <c r="H2282" s="553">
        <f>-'Foglio deposito bis'!$F$91*(C2282-sezione!$AO$36)*IF(ABS(N2282)&lt;'Progetto del paramento slu'!$G$58,ABS(N2282)*'Progetto del paramento slu'!$G$54,'Progetto del paramento slu'!$G$53)</f>
        <v>295292893.08705276</v>
      </c>
      <c r="I2282" s="479">
        <f>-'Foglio deposito bis'!$F$92*(C2282-sezione!$AP$36)*IF(ABS(O2282)&lt;'Progetto del paramento slu'!$G$58,ABS(O2282)*'Progetto del paramento slu'!$G$54,'Progetto del paramento slu'!$G$53)</f>
        <v>416963647.95033973</v>
      </c>
      <c r="J2282" s="479">
        <f t="shared" si="165"/>
        <v>733215827.02562928</v>
      </c>
      <c r="K2282" s="558">
        <f>'Progetto del paramento slu'!$G$60*(sezione!$AL$36-C2282)/C2282</f>
        <v>1.1826948090213037E-2</v>
      </c>
      <c r="L2282" s="558">
        <f>'Progetto del paramento slu'!$G$60*(sezione!$AM$36-C2282)/C2282</f>
        <v>5.3976055338298884E-2</v>
      </c>
      <c r="M2282" s="559">
        <f>'Progetto del paramento slu'!$G$60*(sezione!$AN$36-C2282)/C2282</f>
        <v>9.6125162586384733E-2</v>
      </c>
      <c r="N2282" s="559">
        <f>'Progetto del paramento slu'!$G$60*(sezione!$AO$36-C2282)/C2282</f>
        <v>0.12677905876681084</v>
      </c>
      <c r="O2282" s="559">
        <f>'Progetto del paramento slu'!$G$60*(sezione!$AP$36-C2282)/C2282</f>
        <v>9.6128607465342436E-2</v>
      </c>
      <c r="P2282" s="553">
        <f>-'Progetto del paramento slu'!$G$47*'Progetto del paramento slu'!$G$41*IF(DATI!$G$218="dx",DATI!$E$61,DATI!$E$64*DATI!$E$63)*1000*C2282*sezione!$AD$5</f>
        <v>-128755.22174307634</v>
      </c>
      <c r="Q2282" s="553">
        <f>'Foglio deposito bis'!$F$88*IF(ABS(K2282)&lt;'Progetto del paramento slu'!$G$58,ABS(K2282)*'Progetto del paramento slu'!$G$54,'Progetto del paramento slu'!$G$53)*IF(K2282&lt;0,-1,1)</f>
        <v>0</v>
      </c>
      <c r="R2282" s="553">
        <f>'Foglio deposito bis'!$F$89*IF(ABS(L2282)&lt;'Progetto del paramento slu'!$G$58,ABS(L2282)*'Progetto del paramento slu'!$G$54,'Progetto del paramento slu'!$G$53)*IF(L2282&lt;0,-1,1)</f>
        <v>153664.85805602249</v>
      </c>
      <c r="S2282" s="553">
        <f>'Foglio deposito bis'!$F$90*IF(ABS(M2282)&lt;'Progetto del paramento slu'!$G$58,ABS(M2282)*'Progetto del paramento slu'!$G$54,'Progetto del paramento slu'!$G$53)*IF(M2282&lt;0,-1,1)</f>
        <v>0</v>
      </c>
      <c r="T2282" s="553">
        <f>'Foglio deposito bis'!$F$91*IF(ABS(N2282)&lt;'Progetto del paramento slu'!$G$58,ABS(N2282)*'Progetto del paramento slu'!$G$54,'Progetto del paramento slu'!$G$53)*IF(N2282&lt;0,-1,1)</f>
        <v>892485.49558937876</v>
      </c>
      <c r="U2282" s="553">
        <f>'Foglio deposito bis'!$F$92*IF(ABS(O2282)&lt;'Progetto del paramento slu'!$G$58,ABS(O2282)*'Progetto del paramento slu'!$G$54,'Progetto del paramento slu'!$G$53)*IF(O2282&lt;0,-1,1)</f>
        <v>1662039.1047339395</v>
      </c>
      <c r="V2282" s="479">
        <f t="shared" si="168"/>
        <v>2579434.2366362642</v>
      </c>
      <c r="W2282" s="559"/>
      <c r="X2282" s="559"/>
    </row>
    <row r="2283" spans="1:24" x14ac:dyDescent="0.25">
      <c r="A2283" s="553">
        <f t="shared" si="167"/>
        <v>2576573.0094864182</v>
      </c>
      <c r="B2283" s="3">
        <f t="shared" si="169"/>
        <v>2.2999999999999998</v>
      </c>
      <c r="C2283" s="553">
        <f>'Foglio deposito bis'!$E$162/sezione!$B$247*B2283</f>
        <v>9.3372216222546065</v>
      </c>
      <c r="D2283" s="611">
        <f>-'Progetto del paramento slu'!$G$47*'Progetto del paramento slu'!$G$41*IF(DATI!$G$218="dx",DATI!$E$61,DATI!$E$64*DATI!$E$63)*1000*C2283^2*sezione!$AD$5*(1-sezione!$AD$6)</f>
        <v>-717696.26022926078</v>
      </c>
      <c r="E2283" s="553">
        <f>-'Foglio deposito bis'!$F$88*(C2283-sezione!$AL$36)*IF(ABS(K2283)&lt;'Progetto del paramento slu'!$G$58,ABS(K2283)*'Progetto del paramento slu'!$G$54,'Progetto del paramento slu'!$G$53)</f>
        <v>0</v>
      </c>
      <c r="F2283" s="553">
        <f>-'Foglio deposito bis'!$F$89*(C2283-sezione!$AM$36)*IF(ABS(L2283)&lt;'Progetto del paramento slu'!$G$58,ABS(L2283)*'Progetto del paramento slu'!$G$54,'Progetto del paramento slu'!$G$53)</f>
        <v>21614925.873181995</v>
      </c>
      <c r="G2283" s="553">
        <f>-'Foglio deposito bis'!$F$90*(C2283-sezione!$AN$36)*IF(ABS(M2283)&lt;'Progetto del paramento slu'!$G$58,ABS(M2283)*'Progetto del paramento slu'!$G$54,'Progetto del paramento slu'!$G$53)</f>
        <v>0</v>
      </c>
      <c r="H2283" s="553">
        <f>-'Foglio deposito bis'!$F$91*(C2283-sezione!$AO$36)*IF(ABS(N2283)&lt;'Progetto del paramento slu'!$G$58,ABS(N2283)*'Progetto del paramento slu'!$G$54,'Progetto del paramento slu'!$G$53)</f>
        <v>295111733.63342303</v>
      </c>
      <c r="I2283" s="479">
        <f>-'Foglio deposito bis'!$F$92*(C2283-sezione!$AP$36)*IF(ABS(O2283)&lt;'Progetto del paramento slu'!$G$58,ABS(O2283)*'Progetto del paramento slu'!$G$54,'Progetto del paramento slu'!$G$53)</f>
        <v>416626282.13586682</v>
      </c>
      <c r="J2283" s="479">
        <f t="shared" si="165"/>
        <v>732635245.38224256</v>
      </c>
      <c r="K2283" s="558">
        <f>'Progetto del paramento slu'!$G$60*(sezione!$AL$36-C2283)/C2283</f>
        <v>1.1493753566512752E-2</v>
      </c>
      <c r="L2283" s="558">
        <f>'Progetto del paramento slu'!$G$60*(sezione!$AM$36-C2283)/C2283</f>
        <v>5.2726575874422824E-2</v>
      </c>
      <c r="M2283" s="559">
        <f>'Progetto del paramento slu'!$G$60*(sezione!$AN$36-C2283)/C2283</f>
        <v>9.3959398182332884E-2</v>
      </c>
      <c r="N2283" s="559">
        <f>'Progetto del paramento slu'!$G$60*(sezione!$AO$36-C2283)/C2283</f>
        <v>0.1239469053153584</v>
      </c>
      <c r="O2283" s="559">
        <f>'Progetto del paramento slu'!$G$60*(sezione!$AP$36-C2283)/C2283</f>
        <v>9.3962768172617589E-2</v>
      </c>
      <c r="P2283" s="553">
        <f>-'Progetto del paramento slu'!$G$47*'Progetto del paramento slu'!$G$41*IF(DATI!$G$218="dx",DATI!$E$61,DATI!$E$64*DATI!$E$63)*1000*C2283*sezione!$AD$5</f>
        <v>-131616.44889292249</v>
      </c>
      <c r="Q2283" s="553">
        <f>'Foglio deposito bis'!$F$88*IF(ABS(K2283)&lt;'Progetto del paramento slu'!$G$58,ABS(K2283)*'Progetto del paramento slu'!$G$54,'Progetto del paramento slu'!$G$53)*IF(K2283&lt;0,-1,1)</f>
        <v>0</v>
      </c>
      <c r="R2283" s="553">
        <f>'Foglio deposito bis'!$F$89*IF(ABS(L2283)&lt;'Progetto del paramento slu'!$G$58,ABS(L2283)*'Progetto del paramento slu'!$G$54,'Progetto del paramento slu'!$G$53)*IF(L2283&lt;0,-1,1)</f>
        <v>153664.85805602249</v>
      </c>
      <c r="S2283" s="553">
        <f>'Foglio deposito bis'!$F$90*IF(ABS(M2283)&lt;'Progetto del paramento slu'!$G$58,ABS(M2283)*'Progetto del paramento slu'!$G$54,'Progetto del paramento slu'!$G$53)*IF(M2283&lt;0,-1,1)</f>
        <v>0</v>
      </c>
      <c r="T2283" s="553">
        <f>'Foglio deposito bis'!$F$91*IF(ABS(N2283)&lt;'Progetto del paramento slu'!$G$58,ABS(N2283)*'Progetto del paramento slu'!$G$54,'Progetto del paramento slu'!$G$53)*IF(N2283&lt;0,-1,1)</f>
        <v>892485.49558937876</v>
      </c>
      <c r="U2283" s="553">
        <f>'Foglio deposito bis'!$F$92*IF(ABS(O2283)&lt;'Progetto del paramento slu'!$G$58,ABS(O2283)*'Progetto del paramento slu'!$G$54,'Progetto del paramento slu'!$G$53)*IF(O2283&lt;0,-1,1)</f>
        <v>1662039.1047339395</v>
      </c>
      <c r="V2283" s="479">
        <f t="shared" si="168"/>
        <v>2576573.0094864182</v>
      </c>
      <c r="W2283" s="559"/>
      <c r="X2283" s="559"/>
    </row>
    <row r="2284" spans="1:24" x14ac:dyDescent="0.25">
      <c r="A2284" s="553">
        <f t="shared" si="167"/>
        <v>2573711.7823365722</v>
      </c>
      <c r="B2284" s="3">
        <f t="shared" si="169"/>
        <v>2.3499999999999996</v>
      </c>
      <c r="C2284" s="553">
        <f>'Foglio deposito bis'!$E$162/sezione!$B$247*B2284</f>
        <v>9.5402047009992703</v>
      </c>
      <c r="D2284" s="611">
        <f>-'Progetto del paramento slu'!$G$47*'Progetto del paramento slu'!$G$41*IF(DATI!$G$218="dx",DATI!$E$61,DATI!$E$64*DATI!$E$63)*1000*C2284^2*sezione!$AD$5*(1-sezione!$AD$6)</f>
        <v>-749239.62138300401</v>
      </c>
      <c r="E2284" s="553">
        <f>-'Foglio deposito bis'!$F$88*(C2284-sezione!$AL$36)*IF(ABS(K2284)&lt;'Progetto del paramento slu'!$G$58,ABS(K2284)*'Progetto del paramento slu'!$G$54,'Progetto del paramento slu'!$G$53)</f>
        <v>0</v>
      </c>
      <c r="F2284" s="553">
        <f>-'Foglio deposito bis'!$F$89*(C2284-sezione!$AM$36)*IF(ABS(L2284)&lt;'Progetto del paramento slu'!$G$58,ABS(L2284)*'Progetto del paramento slu'!$G$54,'Progetto del paramento slu'!$G$53)</f>
        <v>21583734.507198919</v>
      </c>
      <c r="G2284" s="553">
        <f>-'Foglio deposito bis'!$F$90*(C2284-sezione!$AN$36)*IF(ABS(M2284)&lt;'Progetto del paramento slu'!$G$58,ABS(M2284)*'Progetto del paramento slu'!$G$54,'Progetto del paramento slu'!$G$53)</f>
        <v>0</v>
      </c>
      <c r="H2284" s="553">
        <f>-'Foglio deposito bis'!$F$91*(C2284-sezione!$AO$36)*IF(ABS(N2284)&lt;'Progetto del paramento slu'!$G$58,ABS(N2284)*'Progetto del paramento slu'!$G$54,'Progetto del paramento slu'!$G$53)</f>
        <v>294930574.17979336</v>
      </c>
      <c r="I2284" s="479">
        <f>-'Foglio deposito bis'!$F$92*(C2284-sezione!$AP$36)*IF(ABS(O2284)&lt;'Progetto del paramento slu'!$G$58,ABS(O2284)*'Progetto del paramento slu'!$G$54,'Progetto del paramento slu'!$G$53)</f>
        <v>416288916.32139391</v>
      </c>
      <c r="J2284" s="479">
        <f t="shared" si="165"/>
        <v>732053985.38700318</v>
      </c>
      <c r="K2284" s="558">
        <f>'Progetto del paramento slu'!$G$60*(sezione!$AL$36-C2284)/C2284</f>
        <v>1.1174737533182698E-2</v>
      </c>
      <c r="L2284" s="558">
        <f>'Progetto del paramento slu'!$G$60*(sezione!$AM$36-C2284)/C2284</f>
        <v>5.153026574943511E-2</v>
      </c>
      <c r="M2284" s="559">
        <f>'Progetto del paramento slu'!$G$60*(sezione!$AN$36-C2284)/C2284</f>
        <v>9.1885793965687537E-2</v>
      </c>
      <c r="N2284" s="559">
        <f>'Progetto del paramento slu'!$G$60*(sezione!$AO$36-C2284)/C2284</f>
        <v>0.12123526903205294</v>
      </c>
      <c r="O2284" s="559">
        <f>'Progetto del paramento slu'!$G$60*(sezione!$AP$36-C2284)/C2284</f>
        <v>9.1889092254051272E-2</v>
      </c>
      <c r="P2284" s="553">
        <f>-'Progetto del paramento slu'!$G$47*'Progetto del paramento slu'!$G$41*IF(DATI!$G$218="dx",DATI!$E$61,DATI!$E$64*DATI!$E$63)*1000*C2284*sezione!$AD$5</f>
        <v>-134477.67604276861</v>
      </c>
      <c r="Q2284" s="553">
        <f>'Foglio deposito bis'!$F$88*IF(ABS(K2284)&lt;'Progetto del paramento slu'!$G$58,ABS(K2284)*'Progetto del paramento slu'!$G$54,'Progetto del paramento slu'!$G$53)*IF(K2284&lt;0,-1,1)</f>
        <v>0</v>
      </c>
      <c r="R2284" s="553">
        <f>'Foglio deposito bis'!$F$89*IF(ABS(L2284)&lt;'Progetto del paramento slu'!$G$58,ABS(L2284)*'Progetto del paramento slu'!$G$54,'Progetto del paramento slu'!$G$53)*IF(L2284&lt;0,-1,1)</f>
        <v>153664.85805602249</v>
      </c>
      <c r="S2284" s="553">
        <f>'Foglio deposito bis'!$F$90*IF(ABS(M2284)&lt;'Progetto del paramento slu'!$G$58,ABS(M2284)*'Progetto del paramento slu'!$G$54,'Progetto del paramento slu'!$G$53)*IF(M2284&lt;0,-1,1)</f>
        <v>0</v>
      </c>
      <c r="T2284" s="553">
        <f>'Foglio deposito bis'!$F$91*IF(ABS(N2284)&lt;'Progetto del paramento slu'!$G$58,ABS(N2284)*'Progetto del paramento slu'!$G$54,'Progetto del paramento slu'!$G$53)*IF(N2284&lt;0,-1,1)</f>
        <v>892485.49558937876</v>
      </c>
      <c r="U2284" s="553">
        <f>'Foglio deposito bis'!$F$92*IF(ABS(O2284)&lt;'Progetto del paramento slu'!$G$58,ABS(O2284)*'Progetto del paramento slu'!$G$54,'Progetto del paramento slu'!$G$53)*IF(O2284&lt;0,-1,1)</f>
        <v>1662039.1047339395</v>
      </c>
      <c r="V2284" s="479">
        <f t="shared" si="168"/>
        <v>2573711.7823365722</v>
      </c>
      <c r="W2284" s="559"/>
      <c r="X2284" s="559"/>
    </row>
    <row r="2285" spans="1:24" x14ac:dyDescent="0.25">
      <c r="A2285" s="553">
        <f t="shared" si="167"/>
        <v>2570850.5551867262</v>
      </c>
      <c r="B2285" s="3">
        <f t="shared" si="169"/>
        <v>2.3999999999999995</v>
      </c>
      <c r="C2285" s="553">
        <f>'Foglio deposito bis'!$E$162/sezione!$B$247*B2285</f>
        <v>9.7431877797439359</v>
      </c>
      <c r="D2285" s="611">
        <f>-'Progetto del paramento slu'!$G$47*'Progetto del paramento slu'!$G$41*IF(DATI!$G$218="dx",DATI!$E$61,DATI!$E$64*DATI!$E$63)*1000*C2285^2*sezione!$AD$5*(1-sezione!$AD$6)</f>
        <v>-781461.33438951639</v>
      </c>
      <c r="E2285" s="553">
        <f>-'Foglio deposito bis'!$F$88*(C2285-sezione!$AL$36)*IF(ABS(K2285)&lt;'Progetto del paramento slu'!$G$58,ABS(K2285)*'Progetto del paramento slu'!$G$54,'Progetto del paramento slu'!$G$53)</f>
        <v>0</v>
      </c>
      <c r="F2285" s="553">
        <f>-'Foglio deposito bis'!$F$89*(C2285-sezione!$AM$36)*IF(ABS(L2285)&lt;'Progetto del paramento slu'!$G$58,ABS(L2285)*'Progetto del paramento slu'!$G$54,'Progetto del paramento slu'!$G$53)</f>
        <v>21552543.14121585</v>
      </c>
      <c r="G2285" s="553">
        <f>-'Foglio deposito bis'!$F$90*(C2285-sezione!$AN$36)*IF(ABS(M2285)&lt;'Progetto del paramento slu'!$G$58,ABS(M2285)*'Progetto del paramento slu'!$G$54,'Progetto del paramento slu'!$G$53)</f>
        <v>0</v>
      </c>
      <c r="H2285" s="553">
        <f>-'Foglio deposito bis'!$F$91*(C2285-sezione!$AO$36)*IF(ABS(N2285)&lt;'Progetto del paramento slu'!$G$58,ABS(N2285)*'Progetto del paramento slu'!$G$54,'Progetto del paramento slu'!$G$53)</f>
        <v>294749414.72616363</v>
      </c>
      <c r="I2285" s="479">
        <f>-'Foglio deposito bis'!$F$92*(C2285-sezione!$AP$36)*IF(ABS(O2285)&lt;'Progetto del paramento slu'!$G$58,ABS(O2285)*'Progetto del paramento slu'!$G$54,'Progetto del paramento slu'!$G$53)</f>
        <v>415951550.50692099</v>
      </c>
      <c r="J2285" s="479">
        <f t="shared" si="165"/>
        <v>731472047.03991103</v>
      </c>
      <c r="K2285" s="558">
        <f>'Progetto del paramento slu'!$G$60*(sezione!$AL$36-C2285)/C2285</f>
        <v>1.0869013834574724E-2</v>
      </c>
      <c r="L2285" s="558">
        <f>'Progetto del paramento slu'!$G$60*(sezione!$AM$36-C2285)/C2285</f>
        <v>5.0383801879655209E-2</v>
      </c>
      <c r="M2285" s="559">
        <f>'Progetto del paramento slu'!$G$60*(sezione!$AN$36-C2285)/C2285</f>
        <v>8.9898589924735706E-2</v>
      </c>
      <c r="N2285" s="559">
        <f>'Progetto del paramento slu'!$G$60*(sezione!$AO$36-C2285)/C2285</f>
        <v>0.11863661759388515</v>
      </c>
      <c r="O2285" s="559">
        <f>'Progetto del paramento slu'!$G$60*(sezione!$AP$36-C2285)/C2285</f>
        <v>8.9901819498758542E-2</v>
      </c>
      <c r="P2285" s="553">
        <f>-'Progetto del paramento slu'!$G$47*'Progetto del paramento slu'!$G$41*IF(DATI!$G$218="dx",DATI!$E$61,DATI!$E$64*DATI!$E$63)*1000*C2285*sezione!$AD$5</f>
        <v>-137338.90319261476</v>
      </c>
      <c r="Q2285" s="553">
        <f>'Foglio deposito bis'!$F$88*IF(ABS(K2285)&lt;'Progetto del paramento slu'!$G$58,ABS(K2285)*'Progetto del paramento slu'!$G$54,'Progetto del paramento slu'!$G$53)*IF(K2285&lt;0,-1,1)</f>
        <v>0</v>
      </c>
      <c r="R2285" s="553">
        <f>'Foglio deposito bis'!$F$89*IF(ABS(L2285)&lt;'Progetto del paramento slu'!$G$58,ABS(L2285)*'Progetto del paramento slu'!$G$54,'Progetto del paramento slu'!$G$53)*IF(L2285&lt;0,-1,1)</f>
        <v>153664.85805602249</v>
      </c>
      <c r="S2285" s="553">
        <f>'Foglio deposito bis'!$F$90*IF(ABS(M2285)&lt;'Progetto del paramento slu'!$G$58,ABS(M2285)*'Progetto del paramento slu'!$G$54,'Progetto del paramento slu'!$G$53)*IF(M2285&lt;0,-1,1)</f>
        <v>0</v>
      </c>
      <c r="T2285" s="553">
        <f>'Foglio deposito bis'!$F$91*IF(ABS(N2285)&lt;'Progetto del paramento slu'!$G$58,ABS(N2285)*'Progetto del paramento slu'!$G$54,'Progetto del paramento slu'!$G$53)*IF(N2285&lt;0,-1,1)</f>
        <v>892485.49558937876</v>
      </c>
      <c r="U2285" s="553">
        <f>'Foglio deposito bis'!$F$92*IF(ABS(O2285)&lt;'Progetto del paramento slu'!$G$58,ABS(O2285)*'Progetto del paramento slu'!$G$54,'Progetto del paramento slu'!$G$53)*IF(O2285&lt;0,-1,1)</f>
        <v>1662039.1047339395</v>
      </c>
      <c r="V2285" s="479">
        <f t="shared" si="168"/>
        <v>2570850.5551867262</v>
      </c>
      <c r="W2285" s="559"/>
      <c r="X2285" s="559"/>
    </row>
    <row r="2286" spans="1:24" x14ac:dyDescent="0.25">
      <c r="A2286" s="553">
        <f t="shared" si="167"/>
        <v>2567989.3280368801</v>
      </c>
      <c r="B2286" s="3">
        <f t="shared" si="169"/>
        <v>2.4499999999999993</v>
      </c>
      <c r="C2286" s="553">
        <f>'Foglio deposito bis'!$E$162/sezione!$B$247*B2286</f>
        <v>9.9461708584885997</v>
      </c>
      <c r="D2286" s="611">
        <f>-'Progetto del paramento slu'!$G$47*'Progetto del paramento slu'!$G$41*IF(DATI!$G$218="dx",DATI!$E$61,DATI!$E$64*DATI!$E$63)*1000*C2286^2*sezione!$AD$5*(1-sezione!$AD$6)</f>
        <v>-814361.39924879698</v>
      </c>
      <c r="E2286" s="553">
        <f>-'Foglio deposito bis'!$F$88*(C2286-sezione!$AL$36)*IF(ABS(K2286)&lt;'Progetto del paramento slu'!$G$58,ABS(K2286)*'Progetto del paramento slu'!$G$54,'Progetto del paramento slu'!$G$53)</f>
        <v>0</v>
      </c>
      <c r="F2286" s="553">
        <f>-'Foglio deposito bis'!$F$89*(C2286-sezione!$AM$36)*IF(ABS(L2286)&lt;'Progetto del paramento slu'!$G$58,ABS(L2286)*'Progetto del paramento slu'!$G$54,'Progetto del paramento slu'!$G$53)</f>
        <v>21521351.775232777</v>
      </c>
      <c r="G2286" s="553">
        <f>-'Foglio deposito bis'!$F$90*(C2286-sezione!$AN$36)*IF(ABS(M2286)&lt;'Progetto del paramento slu'!$G$58,ABS(M2286)*'Progetto del paramento slu'!$G$54,'Progetto del paramento slu'!$G$53)</f>
        <v>0</v>
      </c>
      <c r="H2286" s="553">
        <f>-'Foglio deposito bis'!$F$91*(C2286-sezione!$AO$36)*IF(ABS(N2286)&lt;'Progetto del paramento slu'!$G$58,ABS(N2286)*'Progetto del paramento slu'!$G$54,'Progetto del paramento slu'!$G$53)</f>
        <v>294568255.27253401</v>
      </c>
      <c r="I2286" s="479">
        <f>-'Foglio deposito bis'!$F$92*(C2286-sezione!$AP$36)*IF(ABS(O2286)&lt;'Progetto del paramento slu'!$G$58,ABS(O2286)*'Progetto del paramento slu'!$G$54,'Progetto del paramento slu'!$G$53)</f>
        <v>415614184.69244808</v>
      </c>
      <c r="J2286" s="479">
        <f t="shared" si="165"/>
        <v>730889430.34096599</v>
      </c>
      <c r="K2286" s="558">
        <f>'Progetto del paramento slu'!$G$60*(sezione!$AL$36-C2286)/C2286</f>
        <v>1.0575768654277283E-2</v>
      </c>
      <c r="L2286" s="558">
        <f>'Progetto del paramento slu'!$G$60*(sezione!$AM$36-C2286)/C2286</f>
        <v>4.9284132453539818E-2</v>
      </c>
      <c r="M2286" s="559">
        <f>'Progetto del paramento slu'!$G$60*(sezione!$AN$36-C2286)/C2286</f>
        <v>8.7992496252802352E-2</v>
      </c>
      <c r="N2286" s="559">
        <f>'Progetto del paramento slu'!$G$60*(sezione!$AO$36-C2286)/C2286</f>
        <v>0.11614403356135691</v>
      </c>
      <c r="O2286" s="559">
        <f>'Progetto del paramento slu'!$G$60*(sezione!$AP$36-C2286)/C2286</f>
        <v>8.7995659917151248E-2</v>
      </c>
      <c r="P2286" s="553">
        <f>-'Progetto del paramento slu'!$G$47*'Progetto del paramento slu'!$G$41*IF(DATI!$G$218="dx",DATI!$E$61,DATI!$E$64*DATI!$E$63)*1000*C2286*sezione!$AD$5</f>
        <v>-140200.13034246088</v>
      </c>
      <c r="Q2286" s="553">
        <f>'Foglio deposito bis'!$F$88*IF(ABS(K2286)&lt;'Progetto del paramento slu'!$G$58,ABS(K2286)*'Progetto del paramento slu'!$G$54,'Progetto del paramento slu'!$G$53)*IF(K2286&lt;0,-1,1)</f>
        <v>0</v>
      </c>
      <c r="R2286" s="553">
        <f>'Foglio deposito bis'!$F$89*IF(ABS(L2286)&lt;'Progetto del paramento slu'!$G$58,ABS(L2286)*'Progetto del paramento slu'!$G$54,'Progetto del paramento slu'!$G$53)*IF(L2286&lt;0,-1,1)</f>
        <v>153664.85805602249</v>
      </c>
      <c r="S2286" s="553">
        <f>'Foglio deposito bis'!$F$90*IF(ABS(M2286)&lt;'Progetto del paramento slu'!$G$58,ABS(M2286)*'Progetto del paramento slu'!$G$54,'Progetto del paramento slu'!$G$53)*IF(M2286&lt;0,-1,1)</f>
        <v>0</v>
      </c>
      <c r="T2286" s="553">
        <f>'Foglio deposito bis'!$F$91*IF(ABS(N2286)&lt;'Progetto del paramento slu'!$G$58,ABS(N2286)*'Progetto del paramento slu'!$G$54,'Progetto del paramento slu'!$G$53)*IF(N2286&lt;0,-1,1)</f>
        <v>892485.49558937876</v>
      </c>
      <c r="U2286" s="553">
        <f>'Foglio deposito bis'!$F$92*IF(ABS(O2286)&lt;'Progetto del paramento slu'!$G$58,ABS(O2286)*'Progetto del paramento slu'!$G$54,'Progetto del paramento slu'!$G$53)*IF(O2286&lt;0,-1,1)</f>
        <v>1662039.1047339395</v>
      </c>
      <c r="V2286" s="479">
        <f t="shared" si="168"/>
        <v>2567989.3280368801</v>
      </c>
      <c r="W2286" s="559"/>
      <c r="X2286" s="559"/>
    </row>
    <row r="2287" spans="1:24" x14ac:dyDescent="0.25">
      <c r="A2287" s="553">
        <f t="shared" si="167"/>
        <v>2565128.1008870336</v>
      </c>
      <c r="B2287" s="3">
        <f t="shared" si="169"/>
        <v>2.4999999999999991</v>
      </c>
      <c r="C2287" s="553">
        <f>'Foglio deposito bis'!$E$162/sezione!$B$247*B2287</f>
        <v>10.149153937233265</v>
      </c>
      <c r="D2287" s="611">
        <f>-'Progetto del paramento slu'!$G$47*'Progetto del paramento slu'!$G$41*IF(DATI!$G$218="dx",DATI!$E$61,DATI!$E$64*DATI!$E$63)*1000*C2287^2*sezione!$AD$5*(1-sezione!$AD$6)</f>
        <v>-847939.81596084638</v>
      </c>
      <c r="E2287" s="553">
        <f>-'Foglio deposito bis'!$F$88*(C2287-sezione!$AL$36)*IF(ABS(K2287)&lt;'Progetto del paramento slu'!$G$58,ABS(K2287)*'Progetto del paramento slu'!$G$54,'Progetto del paramento slu'!$G$53)</f>
        <v>0</v>
      </c>
      <c r="F2287" s="553">
        <f>-'Foglio deposito bis'!$F$89*(C2287-sezione!$AM$36)*IF(ABS(L2287)&lt;'Progetto del paramento slu'!$G$58,ABS(L2287)*'Progetto del paramento slu'!$G$54,'Progetto del paramento slu'!$G$53)</f>
        <v>21490160.409249701</v>
      </c>
      <c r="G2287" s="553">
        <f>-'Foglio deposito bis'!$F$90*(C2287-sezione!$AN$36)*IF(ABS(M2287)&lt;'Progetto del paramento slu'!$G$58,ABS(M2287)*'Progetto del paramento slu'!$G$54,'Progetto del paramento slu'!$G$53)</f>
        <v>0</v>
      </c>
      <c r="H2287" s="553">
        <f>-'Foglio deposito bis'!$F$91*(C2287-sezione!$AO$36)*IF(ABS(N2287)&lt;'Progetto del paramento slu'!$G$58,ABS(N2287)*'Progetto del paramento slu'!$G$54,'Progetto del paramento slu'!$G$53)</f>
        <v>294387095.81890428</v>
      </c>
      <c r="I2287" s="479">
        <f>-'Foglio deposito bis'!$F$92*(C2287-sezione!$AP$36)*IF(ABS(O2287)&lt;'Progetto del paramento slu'!$G$58,ABS(O2287)*'Progetto del paramento slu'!$G$54,'Progetto del paramento slu'!$G$53)</f>
        <v>415276818.87797511</v>
      </c>
      <c r="J2287" s="479">
        <f t="shared" si="165"/>
        <v>730306135.29016829</v>
      </c>
      <c r="K2287" s="558">
        <f>'Progetto del paramento slu'!$G$60*(sezione!$AL$36-C2287)/C2287</f>
        <v>1.0294253281191736E-2</v>
      </c>
      <c r="L2287" s="558">
        <f>'Progetto del paramento slu'!$G$60*(sezione!$AM$36-C2287)/C2287</f>
        <v>4.8228449804469005E-2</v>
      </c>
      <c r="M2287" s="559">
        <f>'Progetto del paramento slu'!$G$60*(sezione!$AN$36-C2287)/C2287</f>
        <v>8.6162646327746284E-2</v>
      </c>
      <c r="N2287" s="559">
        <f>'Progetto del paramento slu'!$G$60*(sezione!$AO$36-C2287)/C2287</f>
        <v>0.11375115289012976</v>
      </c>
      <c r="O2287" s="559">
        <f>'Progetto del paramento slu'!$G$60*(sezione!$AP$36-C2287)/C2287</f>
        <v>8.6165746718808209E-2</v>
      </c>
      <c r="P2287" s="553">
        <f>-'Progetto del paramento slu'!$G$47*'Progetto del paramento slu'!$G$41*IF(DATI!$G$218="dx",DATI!$E$61,DATI!$E$64*DATI!$E$63)*1000*C2287*sezione!$AD$5</f>
        <v>-143061.35749230703</v>
      </c>
      <c r="Q2287" s="553">
        <f>'Foglio deposito bis'!$F$88*IF(ABS(K2287)&lt;'Progetto del paramento slu'!$G$58,ABS(K2287)*'Progetto del paramento slu'!$G$54,'Progetto del paramento slu'!$G$53)*IF(K2287&lt;0,-1,1)</f>
        <v>0</v>
      </c>
      <c r="R2287" s="553">
        <f>'Foglio deposito bis'!$F$89*IF(ABS(L2287)&lt;'Progetto del paramento slu'!$G$58,ABS(L2287)*'Progetto del paramento slu'!$G$54,'Progetto del paramento slu'!$G$53)*IF(L2287&lt;0,-1,1)</f>
        <v>153664.85805602249</v>
      </c>
      <c r="S2287" s="553">
        <f>'Foglio deposito bis'!$F$90*IF(ABS(M2287)&lt;'Progetto del paramento slu'!$G$58,ABS(M2287)*'Progetto del paramento slu'!$G$54,'Progetto del paramento slu'!$G$53)*IF(M2287&lt;0,-1,1)</f>
        <v>0</v>
      </c>
      <c r="T2287" s="553">
        <f>'Foglio deposito bis'!$F$91*IF(ABS(N2287)&lt;'Progetto del paramento slu'!$G$58,ABS(N2287)*'Progetto del paramento slu'!$G$54,'Progetto del paramento slu'!$G$53)*IF(N2287&lt;0,-1,1)</f>
        <v>892485.49558937876</v>
      </c>
      <c r="U2287" s="553">
        <f>'Foglio deposito bis'!$F$92*IF(ABS(O2287)&lt;'Progetto del paramento slu'!$G$58,ABS(O2287)*'Progetto del paramento slu'!$G$54,'Progetto del paramento slu'!$G$53)*IF(O2287&lt;0,-1,1)</f>
        <v>1662039.1047339395</v>
      </c>
      <c r="V2287" s="479">
        <f t="shared" si="168"/>
        <v>2565128.1008870336</v>
      </c>
      <c r="W2287" s="559"/>
      <c r="X2287" s="559"/>
    </row>
    <row r="2288" spans="1:24" x14ac:dyDescent="0.25">
      <c r="A2288" s="553">
        <f t="shared" si="167"/>
        <v>2562266.8737371876</v>
      </c>
      <c r="B2288" s="3">
        <f t="shared" si="169"/>
        <v>2.5499999999999989</v>
      </c>
      <c r="C2288" s="553">
        <f>'Foglio deposito bis'!$E$162/sezione!$B$247*B2288</f>
        <v>10.352137015977929</v>
      </c>
      <c r="D2288" s="611">
        <f>-'Progetto del paramento slu'!$G$47*'Progetto del paramento slu'!$G$41*IF(DATI!$G$218="dx",DATI!$E$61,DATI!$E$64*DATI!$E$63)*1000*C2288^2*sezione!$AD$5*(1-sezione!$AD$6)</f>
        <v>-882196.58452566422</v>
      </c>
      <c r="E2288" s="553">
        <f>-'Foglio deposito bis'!$F$88*(C2288-sezione!$AL$36)*IF(ABS(K2288)&lt;'Progetto del paramento slu'!$G$58,ABS(K2288)*'Progetto del paramento slu'!$G$54,'Progetto del paramento slu'!$G$53)</f>
        <v>0</v>
      </c>
      <c r="F2288" s="553">
        <f>-'Foglio deposito bis'!$F$89*(C2288-sezione!$AM$36)*IF(ABS(L2288)&lt;'Progetto del paramento slu'!$G$58,ABS(L2288)*'Progetto del paramento slu'!$G$54,'Progetto del paramento slu'!$G$53)</f>
        <v>21458969.043266632</v>
      </c>
      <c r="G2288" s="553">
        <f>-'Foglio deposito bis'!$F$90*(C2288-sezione!$AN$36)*IF(ABS(M2288)&lt;'Progetto del paramento slu'!$G$58,ABS(M2288)*'Progetto del paramento slu'!$G$54,'Progetto del paramento slu'!$G$53)</f>
        <v>0</v>
      </c>
      <c r="H2288" s="553">
        <f>-'Foglio deposito bis'!$F$91*(C2288-sezione!$AO$36)*IF(ABS(N2288)&lt;'Progetto del paramento slu'!$G$58,ABS(N2288)*'Progetto del paramento slu'!$G$54,'Progetto del paramento slu'!$G$53)</f>
        <v>294205936.36527461</v>
      </c>
      <c r="I2288" s="479">
        <f>-'Foglio deposito bis'!$F$92*(C2288-sezione!$AP$36)*IF(ABS(O2288)&lt;'Progetto del paramento slu'!$G$58,ABS(O2288)*'Progetto del paramento slu'!$G$54,'Progetto del paramento slu'!$G$53)</f>
        <v>414939453.06350225</v>
      </c>
      <c r="J2288" s="479">
        <f t="shared" si="165"/>
        <v>729722161.88751781</v>
      </c>
      <c r="K2288" s="558">
        <f>'Progetto del paramento slu'!$G$60*(sezione!$AL$36-C2288)/C2288</f>
        <v>1.0023777726658568E-2</v>
      </c>
      <c r="L2288" s="558">
        <f>'Progetto del paramento slu'!$G$60*(sezione!$AM$36-C2288)/C2288</f>
        <v>4.7214166474969628E-2</v>
      </c>
      <c r="M2288" s="559">
        <f>'Progetto del paramento slu'!$G$60*(sezione!$AN$36-C2288)/C2288</f>
        <v>8.4404555223280692E-2</v>
      </c>
      <c r="N2288" s="559">
        <f>'Progetto del paramento slu'!$G$60*(sezione!$AO$36-C2288)/C2288</f>
        <v>0.11145211067659783</v>
      </c>
      <c r="O2288" s="559">
        <f>'Progetto del paramento slu'!$G$60*(sezione!$AP$36-C2288)/C2288</f>
        <v>8.4407594822361001E-2</v>
      </c>
      <c r="P2288" s="553">
        <f>-'Progetto del paramento slu'!$G$47*'Progetto del paramento slu'!$G$41*IF(DATI!$G$218="dx",DATI!$E$61,DATI!$E$64*DATI!$E$63)*1000*C2288*sezione!$AD$5</f>
        <v>-145922.58464215312</v>
      </c>
      <c r="Q2288" s="553">
        <f>'Foglio deposito bis'!$F$88*IF(ABS(K2288)&lt;'Progetto del paramento slu'!$G$58,ABS(K2288)*'Progetto del paramento slu'!$G$54,'Progetto del paramento slu'!$G$53)*IF(K2288&lt;0,-1,1)</f>
        <v>0</v>
      </c>
      <c r="R2288" s="553">
        <f>'Foglio deposito bis'!$F$89*IF(ABS(L2288)&lt;'Progetto del paramento slu'!$G$58,ABS(L2288)*'Progetto del paramento slu'!$G$54,'Progetto del paramento slu'!$G$53)*IF(L2288&lt;0,-1,1)</f>
        <v>153664.85805602249</v>
      </c>
      <c r="S2288" s="553">
        <f>'Foglio deposito bis'!$F$90*IF(ABS(M2288)&lt;'Progetto del paramento slu'!$G$58,ABS(M2288)*'Progetto del paramento slu'!$G$54,'Progetto del paramento slu'!$G$53)*IF(M2288&lt;0,-1,1)</f>
        <v>0</v>
      </c>
      <c r="T2288" s="553">
        <f>'Foglio deposito bis'!$F$91*IF(ABS(N2288)&lt;'Progetto del paramento slu'!$G$58,ABS(N2288)*'Progetto del paramento slu'!$G$54,'Progetto del paramento slu'!$G$53)*IF(N2288&lt;0,-1,1)</f>
        <v>892485.49558937876</v>
      </c>
      <c r="U2288" s="553">
        <f>'Foglio deposito bis'!$F$92*IF(ABS(O2288)&lt;'Progetto del paramento slu'!$G$58,ABS(O2288)*'Progetto del paramento slu'!$G$54,'Progetto del paramento slu'!$G$53)*IF(O2288&lt;0,-1,1)</f>
        <v>1662039.1047339395</v>
      </c>
      <c r="V2288" s="479">
        <f t="shared" si="168"/>
        <v>2562266.8737371876</v>
      </c>
      <c r="W2288" s="559"/>
      <c r="X2288" s="559"/>
    </row>
    <row r="2289" spans="1:24" x14ac:dyDescent="0.25">
      <c r="A2289" s="553">
        <f t="shared" si="167"/>
        <v>2559405.6465873416</v>
      </c>
      <c r="B2289" s="3">
        <f t="shared" si="169"/>
        <v>2.5999999999999988</v>
      </c>
      <c r="C2289" s="553">
        <f>'Foglio deposito bis'!$E$162/sezione!$B$247*B2289</f>
        <v>10.555120094722595</v>
      </c>
      <c r="D2289" s="611">
        <f>-'Progetto del paramento slu'!$G$47*'Progetto del paramento slu'!$G$41*IF(DATI!$G$218="dx",DATI!$E$61,DATI!$E$64*DATI!$E$63)*1000*C2289^2*sezione!$AD$5*(1-sezione!$AD$6)</f>
        <v>-917131.70494325133</v>
      </c>
      <c r="E2289" s="553">
        <f>-'Foglio deposito bis'!$F$88*(C2289-sezione!$AL$36)*IF(ABS(K2289)&lt;'Progetto del paramento slu'!$G$58,ABS(K2289)*'Progetto del paramento slu'!$G$54,'Progetto del paramento slu'!$G$53)</f>
        <v>0</v>
      </c>
      <c r="F2289" s="553">
        <f>-'Foglio deposito bis'!$F$89*(C2289-sezione!$AM$36)*IF(ABS(L2289)&lt;'Progetto del paramento slu'!$G$58,ABS(L2289)*'Progetto del paramento slu'!$G$54,'Progetto del paramento slu'!$G$53)</f>
        <v>21427777.677283555</v>
      </c>
      <c r="G2289" s="553">
        <f>-'Foglio deposito bis'!$F$90*(C2289-sezione!$AN$36)*IF(ABS(M2289)&lt;'Progetto del paramento slu'!$G$58,ABS(M2289)*'Progetto del paramento slu'!$G$54,'Progetto del paramento slu'!$G$53)</f>
        <v>0</v>
      </c>
      <c r="H2289" s="553">
        <f>-'Foglio deposito bis'!$F$91*(C2289-sezione!$AO$36)*IF(ABS(N2289)&lt;'Progetto del paramento slu'!$G$58,ABS(N2289)*'Progetto del paramento slu'!$G$54,'Progetto del paramento slu'!$G$53)</f>
        <v>294024776.91164488</v>
      </c>
      <c r="I2289" s="479">
        <f>-'Foglio deposito bis'!$F$92*(C2289-sezione!$AP$36)*IF(ABS(O2289)&lt;'Progetto del paramento slu'!$G$58,ABS(O2289)*'Progetto del paramento slu'!$G$54,'Progetto del paramento slu'!$G$53)</f>
        <v>414602087.2490294</v>
      </c>
      <c r="J2289" s="479">
        <f t="shared" si="165"/>
        <v>729137510.13301456</v>
      </c>
      <c r="K2289" s="558">
        <f>'Progetto del paramento slu'!$G$60*(sezione!$AL$36-C2289)/C2289</f>
        <v>9.7637050780689776E-3</v>
      </c>
      <c r="L2289" s="558">
        <f>'Progetto del paramento slu'!$G$60*(sezione!$AM$36-C2289)/C2289</f>
        <v>4.6238894042758674E-2</v>
      </c>
      <c r="M2289" s="559">
        <f>'Progetto del paramento slu'!$G$60*(sezione!$AN$36-C2289)/C2289</f>
        <v>8.2714083007448369E-2</v>
      </c>
      <c r="N2289" s="559">
        <f>'Progetto del paramento slu'!$G$60*(sezione!$AO$36-C2289)/C2289</f>
        <v>0.10924149316358632</v>
      </c>
      <c r="O2289" s="559">
        <f>'Progetto del paramento slu'!$G$60*(sezione!$AP$36-C2289)/C2289</f>
        <v>8.271706415270022E-2</v>
      </c>
      <c r="P2289" s="553">
        <f>-'Progetto del paramento slu'!$G$47*'Progetto del paramento slu'!$G$41*IF(DATI!$G$218="dx",DATI!$E$61,DATI!$E$64*DATI!$E$63)*1000*C2289*sezione!$AD$5</f>
        <v>-148783.81179199927</v>
      </c>
      <c r="Q2289" s="553">
        <f>'Foglio deposito bis'!$F$88*IF(ABS(K2289)&lt;'Progetto del paramento slu'!$G$58,ABS(K2289)*'Progetto del paramento slu'!$G$54,'Progetto del paramento slu'!$G$53)*IF(K2289&lt;0,-1,1)</f>
        <v>0</v>
      </c>
      <c r="R2289" s="553">
        <f>'Foglio deposito bis'!$F$89*IF(ABS(L2289)&lt;'Progetto del paramento slu'!$G$58,ABS(L2289)*'Progetto del paramento slu'!$G$54,'Progetto del paramento slu'!$G$53)*IF(L2289&lt;0,-1,1)</f>
        <v>153664.85805602249</v>
      </c>
      <c r="S2289" s="553">
        <f>'Foglio deposito bis'!$F$90*IF(ABS(M2289)&lt;'Progetto del paramento slu'!$G$58,ABS(M2289)*'Progetto del paramento slu'!$G$54,'Progetto del paramento slu'!$G$53)*IF(M2289&lt;0,-1,1)</f>
        <v>0</v>
      </c>
      <c r="T2289" s="553">
        <f>'Foglio deposito bis'!$F$91*IF(ABS(N2289)&lt;'Progetto del paramento slu'!$G$58,ABS(N2289)*'Progetto del paramento slu'!$G$54,'Progetto del paramento slu'!$G$53)*IF(N2289&lt;0,-1,1)</f>
        <v>892485.49558937876</v>
      </c>
      <c r="U2289" s="553">
        <f>'Foglio deposito bis'!$F$92*IF(ABS(O2289)&lt;'Progetto del paramento slu'!$G$58,ABS(O2289)*'Progetto del paramento slu'!$G$54,'Progetto del paramento slu'!$G$53)*IF(O2289&lt;0,-1,1)</f>
        <v>1662039.1047339395</v>
      </c>
      <c r="V2289" s="479">
        <f t="shared" si="168"/>
        <v>2559405.6465873416</v>
      </c>
      <c r="W2289" s="559"/>
      <c r="X2289" s="559"/>
    </row>
    <row r="2290" spans="1:24" x14ac:dyDescent="0.25">
      <c r="A2290" s="553">
        <f t="shared" si="167"/>
        <v>2556544.4194374955</v>
      </c>
      <c r="B2290" s="3">
        <f t="shared" si="169"/>
        <v>2.6499999999999986</v>
      </c>
      <c r="C2290" s="553">
        <f>'Foglio deposito bis'!$E$162/sezione!$B$247*B2290</f>
        <v>10.758103173467259</v>
      </c>
      <c r="D2290" s="611">
        <f>-'Progetto del paramento slu'!$G$47*'Progetto del paramento slu'!$G$41*IF(DATI!$G$218="dx",DATI!$E$61,DATI!$E$64*DATI!$E$63)*1000*C2290^2*sezione!$AD$5*(1-sezione!$AD$6)</f>
        <v>-952745.17721360654</v>
      </c>
      <c r="E2290" s="553">
        <f>-'Foglio deposito bis'!$F$88*(C2290-sezione!$AL$36)*IF(ABS(K2290)&lt;'Progetto del paramento slu'!$G$58,ABS(K2290)*'Progetto del paramento slu'!$G$54,'Progetto del paramento slu'!$G$53)</f>
        <v>0</v>
      </c>
      <c r="F2290" s="553">
        <f>-'Foglio deposito bis'!$F$89*(C2290-sezione!$AM$36)*IF(ABS(L2290)&lt;'Progetto del paramento slu'!$G$58,ABS(L2290)*'Progetto del paramento slu'!$G$54,'Progetto del paramento slu'!$G$53)</f>
        <v>21396586.311300483</v>
      </c>
      <c r="G2290" s="553">
        <f>-'Foglio deposito bis'!$F$90*(C2290-sezione!$AN$36)*IF(ABS(M2290)&lt;'Progetto del paramento slu'!$G$58,ABS(M2290)*'Progetto del paramento slu'!$G$54,'Progetto del paramento slu'!$G$53)</f>
        <v>0</v>
      </c>
      <c r="H2290" s="553">
        <f>-'Foglio deposito bis'!$F$91*(C2290-sezione!$AO$36)*IF(ABS(N2290)&lt;'Progetto del paramento slu'!$G$58,ABS(N2290)*'Progetto del paramento slu'!$G$54,'Progetto del paramento slu'!$G$53)</f>
        <v>293843617.4580152</v>
      </c>
      <c r="I2290" s="479">
        <f>-'Foglio deposito bis'!$F$92*(C2290-sezione!$AP$36)*IF(ABS(O2290)&lt;'Progetto del paramento slu'!$G$58,ABS(O2290)*'Progetto del paramento slu'!$G$54,'Progetto del paramento slu'!$G$53)</f>
        <v>414264721.43455648</v>
      </c>
      <c r="J2290" s="479">
        <f t="shared" si="165"/>
        <v>728552180.02665854</v>
      </c>
      <c r="K2290" s="558">
        <f>'Progetto del paramento slu'!$G$60*(sezione!$AL$36-C2290)/C2290</f>
        <v>9.5134464916903205E-3</v>
      </c>
      <c r="L2290" s="558">
        <f>'Progetto del paramento slu'!$G$60*(sezione!$AM$36-C2290)/C2290</f>
        <v>4.5300424343838706E-2</v>
      </c>
      <c r="M2290" s="559">
        <f>'Progetto del paramento slu'!$G$60*(sezione!$AN$36-C2290)/C2290</f>
        <v>8.1087402195987091E-2</v>
      </c>
      <c r="N2290" s="559">
        <f>'Progetto del paramento slu'!$G$60*(sezione!$AO$36-C2290)/C2290</f>
        <v>0.10711429517936774</v>
      </c>
      <c r="O2290" s="559">
        <f>'Progetto del paramento slu'!$G$60*(sezione!$AP$36-C2290)/C2290</f>
        <v>8.1090327093215314E-2</v>
      </c>
      <c r="P2290" s="553">
        <f>-'Progetto del paramento slu'!$G$47*'Progetto del paramento slu'!$G$41*IF(DATI!$G$218="dx",DATI!$E$61,DATI!$E$64*DATI!$E$63)*1000*C2290*sezione!$AD$5</f>
        <v>-151645.03894184539</v>
      </c>
      <c r="Q2290" s="553">
        <f>'Foglio deposito bis'!$F$88*IF(ABS(K2290)&lt;'Progetto del paramento slu'!$G$58,ABS(K2290)*'Progetto del paramento slu'!$G$54,'Progetto del paramento slu'!$G$53)*IF(K2290&lt;0,-1,1)</f>
        <v>0</v>
      </c>
      <c r="R2290" s="553">
        <f>'Foglio deposito bis'!$F$89*IF(ABS(L2290)&lt;'Progetto del paramento slu'!$G$58,ABS(L2290)*'Progetto del paramento slu'!$G$54,'Progetto del paramento slu'!$G$53)*IF(L2290&lt;0,-1,1)</f>
        <v>153664.85805602249</v>
      </c>
      <c r="S2290" s="553">
        <f>'Foglio deposito bis'!$F$90*IF(ABS(M2290)&lt;'Progetto del paramento slu'!$G$58,ABS(M2290)*'Progetto del paramento slu'!$G$54,'Progetto del paramento slu'!$G$53)*IF(M2290&lt;0,-1,1)</f>
        <v>0</v>
      </c>
      <c r="T2290" s="553">
        <f>'Foglio deposito bis'!$F$91*IF(ABS(N2290)&lt;'Progetto del paramento slu'!$G$58,ABS(N2290)*'Progetto del paramento slu'!$G$54,'Progetto del paramento slu'!$G$53)*IF(N2290&lt;0,-1,1)</f>
        <v>892485.49558937876</v>
      </c>
      <c r="U2290" s="553">
        <f>'Foglio deposito bis'!$F$92*IF(ABS(O2290)&lt;'Progetto del paramento slu'!$G$58,ABS(O2290)*'Progetto del paramento slu'!$G$54,'Progetto del paramento slu'!$G$53)*IF(O2290&lt;0,-1,1)</f>
        <v>1662039.1047339395</v>
      </c>
      <c r="V2290" s="479">
        <f t="shared" si="168"/>
        <v>2556544.4194374955</v>
      </c>
      <c r="W2290" s="559"/>
      <c r="X2290" s="559"/>
    </row>
    <row r="2291" spans="1:24" x14ac:dyDescent="0.25">
      <c r="A2291" s="553">
        <f t="shared" si="167"/>
        <v>2553683.192287649</v>
      </c>
      <c r="B2291" s="3">
        <f t="shared" si="169"/>
        <v>2.6999999999999984</v>
      </c>
      <c r="C2291" s="553">
        <f>'Foglio deposito bis'!$E$162/sezione!$B$247*B2291</f>
        <v>10.961086252211924</v>
      </c>
      <c r="D2291" s="611">
        <f>-'Progetto del paramento slu'!$G$47*'Progetto del paramento slu'!$G$41*IF(DATI!$G$218="dx",DATI!$E$61,DATI!$E$64*DATI!$E$63)*1000*C2291^2*sezione!$AD$5*(1-sezione!$AD$6)</f>
        <v>-989037.00133673078</v>
      </c>
      <c r="E2291" s="553">
        <f>-'Foglio deposito bis'!$F$88*(C2291-sezione!$AL$36)*IF(ABS(K2291)&lt;'Progetto del paramento slu'!$G$58,ABS(K2291)*'Progetto del paramento slu'!$G$54,'Progetto del paramento slu'!$G$53)</f>
        <v>0</v>
      </c>
      <c r="F2291" s="553">
        <f>-'Foglio deposito bis'!$F$89*(C2291-sezione!$AM$36)*IF(ABS(L2291)&lt;'Progetto del paramento slu'!$G$58,ABS(L2291)*'Progetto del paramento slu'!$G$54,'Progetto del paramento slu'!$G$53)</f>
        <v>21365394.94531741</v>
      </c>
      <c r="G2291" s="553">
        <f>-'Foglio deposito bis'!$F$90*(C2291-sezione!$AN$36)*IF(ABS(M2291)&lt;'Progetto del paramento slu'!$G$58,ABS(M2291)*'Progetto del paramento slu'!$G$54,'Progetto del paramento slu'!$G$53)</f>
        <v>0</v>
      </c>
      <c r="H2291" s="553">
        <f>-'Foglio deposito bis'!$F$91*(C2291-sezione!$AO$36)*IF(ABS(N2291)&lt;'Progetto del paramento slu'!$G$58,ABS(N2291)*'Progetto del paramento slu'!$G$54,'Progetto del paramento slu'!$G$53)</f>
        <v>293662458.00438553</v>
      </c>
      <c r="I2291" s="479">
        <f>-'Foglio deposito bis'!$F$92*(C2291-sezione!$AP$36)*IF(ABS(O2291)&lt;'Progetto del paramento slu'!$G$58,ABS(O2291)*'Progetto del paramento slu'!$G$54,'Progetto del paramento slu'!$G$53)</f>
        <v>413927355.62008357</v>
      </c>
      <c r="J2291" s="479">
        <f t="shared" si="165"/>
        <v>727966171.56844974</v>
      </c>
      <c r="K2291" s="558">
        <f>'Progetto del paramento slu'!$G$60*(sezione!$AL$36-C2291)/C2291</f>
        <v>9.2724567418442042E-3</v>
      </c>
      <c r="L2291" s="558">
        <f>'Progetto del paramento slu'!$G$60*(sezione!$AM$36-C2291)/C2291</f>
        <v>4.4396712781915766E-2</v>
      </c>
      <c r="M2291" s="559">
        <f>'Progetto del paramento slu'!$G$60*(sezione!$AN$36-C2291)/C2291</f>
        <v>7.9520968821987323E-2</v>
      </c>
      <c r="N2291" s="559">
        <f>'Progetto del paramento slu'!$G$60*(sezione!$AO$36-C2291)/C2291</f>
        <v>0.10506588230567572</v>
      </c>
      <c r="O2291" s="559">
        <f>'Progetto del paramento slu'!$G$60*(sezione!$AP$36-C2291)/C2291</f>
        <v>7.952383955445208E-2</v>
      </c>
      <c r="P2291" s="553">
        <f>-'Progetto del paramento slu'!$G$47*'Progetto del paramento slu'!$G$41*IF(DATI!$G$218="dx",DATI!$E$61,DATI!$E$64*DATI!$E$63)*1000*C2291*sezione!$AD$5</f>
        <v>-154506.26609169153</v>
      </c>
      <c r="Q2291" s="553">
        <f>'Foglio deposito bis'!$F$88*IF(ABS(K2291)&lt;'Progetto del paramento slu'!$G$58,ABS(K2291)*'Progetto del paramento slu'!$G$54,'Progetto del paramento slu'!$G$53)*IF(K2291&lt;0,-1,1)</f>
        <v>0</v>
      </c>
      <c r="R2291" s="553">
        <f>'Foglio deposito bis'!$F$89*IF(ABS(L2291)&lt;'Progetto del paramento slu'!$G$58,ABS(L2291)*'Progetto del paramento slu'!$G$54,'Progetto del paramento slu'!$G$53)*IF(L2291&lt;0,-1,1)</f>
        <v>153664.85805602249</v>
      </c>
      <c r="S2291" s="553">
        <f>'Foglio deposito bis'!$F$90*IF(ABS(M2291)&lt;'Progetto del paramento slu'!$G$58,ABS(M2291)*'Progetto del paramento slu'!$G$54,'Progetto del paramento slu'!$G$53)*IF(M2291&lt;0,-1,1)</f>
        <v>0</v>
      </c>
      <c r="T2291" s="553">
        <f>'Foglio deposito bis'!$F$91*IF(ABS(N2291)&lt;'Progetto del paramento slu'!$G$58,ABS(N2291)*'Progetto del paramento slu'!$G$54,'Progetto del paramento slu'!$G$53)*IF(N2291&lt;0,-1,1)</f>
        <v>892485.49558937876</v>
      </c>
      <c r="U2291" s="553">
        <f>'Foglio deposito bis'!$F$92*IF(ABS(O2291)&lt;'Progetto del paramento slu'!$G$58,ABS(O2291)*'Progetto del paramento slu'!$G$54,'Progetto del paramento slu'!$G$53)*IF(O2291&lt;0,-1,1)</f>
        <v>1662039.1047339395</v>
      </c>
      <c r="V2291" s="479">
        <f t="shared" si="168"/>
        <v>2553683.192287649</v>
      </c>
      <c r="W2291" s="559"/>
      <c r="X2291" s="559"/>
    </row>
    <row r="2292" spans="1:24" x14ac:dyDescent="0.25">
      <c r="A2292" s="553">
        <f t="shared" si="167"/>
        <v>2550821.965137803</v>
      </c>
      <c r="B2292" s="3">
        <f t="shared" si="169"/>
        <v>2.7499999999999982</v>
      </c>
      <c r="C2292" s="553">
        <f>'Foglio deposito bis'!$E$162/sezione!$B$247*B2292</f>
        <v>11.164069330956588</v>
      </c>
      <c r="D2292" s="611">
        <f>-'Progetto del paramento slu'!$G$47*'Progetto del paramento slu'!$G$41*IF(DATI!$G$218="dx",DATI!$E$61,DATI!$E$64*DATI!$E$63)*1000*C2292^2*sezione!$AD$5*(1-sezione!$AD$6)</f>
        <v>-1026007.1773126235</v>
      </c>
      <c r="E2292" s="553">
        <f>-'Foglio deposito bis'!$F$88*(C2292-sezione!$AL$36)*IF(ABS(K2292)&lt;'Progetto del paramento slu'!$G$58,ABS(K2292)*'Progetto del paramento slu'!$G$54,'Progetto del paramento slu'!$G$53)</f>
        <v>0</v>
      </c>
      <c r="F2292" s="553">
        <f>-'Foglio deposito bis'!$F$89*(C2292-sezione!$AM$36)*IF(ABS(L2292)&lt;'Progetto del paramento slu'!$G$58,ABS(L2292)*'Progetto del paramento slu'!$G$54,'Progetto del paramento slu'!$G$53)</f>
        <v>21334203.579334337</v>
      </c>
      <c r="G2292" s="553">
        <f>-'Foglio deposito bis'!$F$90*(C2292-sezione!$AN$36)*IF(ABS(M2292)&lt;'Progetto del paramento slu'!$G$58,ABS(M2292)*'Progetto del paramento slu'!$G$54,'Progetto del paramento slu'!$G$53)</f>
        <v>0</v>
      </c>
      <c r="H2292" s="553">
        <f>-'Foglio deposito bis'!$F$91*(C2292-sezione!$AO$36)*IF(ABS(N2292)&lt;'Progetto del paramento slu'!$G$58,ABS(N2292)*'Progetto del paramento slu'!$G$54,'Progetto del paramento slu'!$G$53)</f>
        <v>293481298.5507558</v>
      </c>
      <c r="I2292" s="479">
        <f>-'Foglio deposito bis'!$F$92*(C2292-sezione!$AP$36)*IF(ABS(O2292)&lt;'Progetto del paramento slu'!$G$58,ABS(O2292)*'Progetto del paramento slu'!$G$54,'Progetto del paramento slu'!$G$53)</f>
        <v>413589989.80561054</v>
      </c>
      <c r="J2292" s="479">
        <f t="shared" si="165"/>
        <v>727379484.75838804</v>
      </c>
      <c r="K2292" s="558">
        <f>'Progetto del paramento slu'!$G$60*(sezione!$AL$36-C2292)/C2292</f>
        <v>9.0402302556288564E-3</v>
      </c>
      <c r="L2292" s="558">
        <f>'Progetto del paramento slu'!$G$60*(sezione!$AM$36-C2292)/C2292</f>
        <v>4.3525863458608212E-2</v>
      </c>
      <c r="M2292" s="559">
        <f>'Progetto del paramento slu'!$G$60*(sezione!$AN$36-C2292)/C2292</f>
        <v>7.8011496661587562E-2</v>
      </c>
      <c r="N2292" s="559">
        <f>'Progetto del paramento slu'!$G$60*(sezione!$AO$36-C2292)/C2292</f>
        <v>0.10309195717284528</v>
      </c>
      <c r="O2292" s="559">
        <f>'Progetto del paramento slu'!$G$60*(sezione!$AP$36-C2292)/C2292</f>
        <v>7.8014315198916592E-2</v>
      </c>
      <c r="P2292" s="553">
        <f>-'Progetto del paramento slu'!$G$47*'Progetto del paramento slu'!$G$41*IF(DATI!$G$218="dx",DATI!$E$61,DATI!$E$64*DATI!$E$63)*1000*C2292*sezione!$AD$5</f>
        <v>-157367.49324153768</v>
      </c>
      <c r="Q2292" s="553">
        <f>'Foglio deposito bis'!$F$88*IF(ABS(K2292)&lt;'Progetto del paramento slu'!$G$58,ABS(K2292)*'Progetto del paramento slu'!$G$54,'Progetto del paramento slu'!$G$53)*IF(K2292&lt;0,-1,1)</f>
        <v>0</v>
      </c>
      <c r="R2292" s="553">
        <f>'Foglio deposito bis'!$F$89*IF(ABS(L2292)&lt;'Progetto del paramento slu'!$G$58,ABS(L2292)*'Progetto del paramento slu'!$G$54,'Progetto del paramento slu'!$G$53)*IF(L2292&lt;0,-1,1)</f>
        <v>153664.85805602249</v>
      </c>
      <c r="S2292" s="553">
        <f>'Foglio deposito bis'!$F$90*IF(ABS(M2292)&lt;'Progetto del paramento slu'!$G$58,ABS(M2292)*'Progetto del paramento slu'!$G$54,'Progetto del paramento slu'!$G$53)*IF(M2292&lt;0,-1,1)</f>
        <v>0</v>
      </c>
      <c r="T2292" s="553">
        <f>'Foglio deposito bis'!$F$91*IF(ABS(N2292)&lt;'Progetto del paramento slu'!$G$58,ABS(N2292)*'Progetto del paramento slu'!$G$54,'Progetto del paramento slu'!$G$53)*IF(N2292&lt;0,-1,1)</f>
        <v>892485.49558937876</v>
      </c>
      <c r="U2292" s="553">
        <f>'Foglio deposito bis'!$F$92*IF(ABS(O2292)&lt;'Progetto del paramento slu'!$G$58,ABS(O2292)*'Progetto del paramento slu'!$G$54,'Progetto del paramento slu'!$G$53)*IF(O2292&lt;0,-1,1)</f>
        <v>1662039.1047339395</v>
      </c>
      <c r="V2292" s="479">
        <f t="shared" si="168"/>
        <v>2550821.965137803</v>
      </c>
      <c r="W2292" s="559"/>
      <c r="X2292" s="559"/>
    </row>
    <row r="2293" spans="1:24" x14ac:dyDescent="0.25">
      <c r="A2293" s="553">
        <f t="shared" si="167"/>
        <v>2547960.737987957</v>
      </c>
      <c r="B2293" s="3">
        <f t="shared" si="169"/>
        <v>2.799999999999998</v>
      </c>
      <c r="C2293" s="553">
        <f>'Foglio deposito bis'!$E$162/sezione!$B$247*B2293</f>
        <v>11.367052409701254</v>
      </c>
      <c r="D2293" s="611">
        <f>-'Progetto del paramento slu'!$G$47*'Progetto del paramento slu'!$G$41*IF(DATI!$G$218="dx",DATI!$E$61,DATI!$E$64*DATI!$E$63)*1000*C2293^2*sezione!$AD$5*(1-sezione!$AD$6)</f>
        <v>-1063655.7051412852</v>
      </c>
      <c r="E2293" s="553">
        <f>-'Foglio deposito bis'!$F$88*(C2293-sezione!$AL$36)*IF(ABS(K2293)&lt;'Progetto del paramento slu'!$G$58,ABS(K2293)*'Progetto del paramento slu'!$G$54,'Progetto del paramento slu'!$G$53)</f>
        <v>0</v>
      </c>
      <c r="F2293" s="553">
        <f>-'Foglio deposito bis'!$F$89*(C2293-sezione!$AM$36)*IF(ABS(L2293)&lt;'Progetto del paramento slu'!$G$58,ABS(L2293)*'Progetto del paramento slu'!$G$54,'Progetto del paramento slu'!$G$53)</f>
        <v>21303012.213351265</v>
      </c>
      <c r="G2293" s="553">
        <f>-'Foglio deposito bis'!$F$90*(C2293-sezione!$AN$36)*IF(ABS(M2293)&lt;'Progetto del paramento slu'!$G$58,ABS(M2293)*'Progetto del paramento slu'!$G$54,'Progetto del paramento slu'!$G$53)</f>
        <v>0</v>
      </c>
      <c r="H2293" s="553">
        <f>-'Foglio deposito bis'!$F$91*(C2293-sezione!$AO$36)*IF(ABS(N2293)&lt;'Progetto del paramento slu'!$G$58,ABS(N2293)*'Progetto del paramento slu'!$G$54,'Progetto del paramento slu'!$G$53)</f>
        <v>293300139.09712613</v>
      </c>
      <c r="I2293" s="479">
        <f>-'Foglio deposito bis'!$F$92*(C2293-sezione!$AP$36)*IF(ABS(O2293)&lt;'Progetto del paramento slu'!$G$58,ABS(O2293)*'Progetto del paramento slu'!$G$54,'Progetto del paramento slu'!$G$53)</f>
        <v>413252623.99113762</v>
      </c>
      <c r="J2293" s="479">
        <f t="shared" si="165"/>
        <v>726792119.59647369</v>
      </c>
      <c r="K2293" s="558">
        <f>'Progetto del paramento slu'!$G$60*(sezione!$AL$36-C2293)/C2293</f>
        <v>8.8162975724926269E-3</v>
      </c>
      <c r="L2293" s="558">
        <f>'Progetto del paramento slu'!$G$60*(sezione!$AM$36-C2293)/C2293</f>
        <v>4.268611589684735E-2</v>
      </c>
      <c r="M2293" s="559">
        <f>'Progetto del paramento slu'!$G$60*(sezione!$AN$36-C2293)/C2293</f>
        <v>7.6555934221202077E-2</v>
      </c>
      <c r="N2293" s="559">
        <f>'Progetto del paramento slu'!$G$60*(sezione!$AO$36-C2293)/C2293</f>
        <v>0.10118852936618732</v>
      </c>
      <c r="O2293" s="559">
        <f>'Progetto del paramento slu'!$G$60*(sezione!$AP$36-C2293)/C2293</f>
        <v>7.6558702427507369E-2</v>
      </c>
      <c r="P2293" s="553">
        <f>-'Progetto del paramento slu'!$G$47*'Progetto del paramento slu'!$G$41*IF(DATI!$G$218="dx",DATI!$E$61,DATI!$E$64*DATI!$E$63)*1000*C2293*sezione!$AD$5</f>
        <v>-160228.7203913838</v>
      </c>
      <c r="Q2293" s="553">
        <f>'Foglio deposito bis'!$F$88*IF(ABS(K2293)&lt;'Progetto del paramento slu'!$G$58,ABS(K2293)*'Progetto del paramento slu'!$G$54,'Progetto del paramento slu'!$G$53)*IF(K2293&lt;0,-1,1)</f>
        <v>0</v>
      </c>
      <c r="R2293" s="553">
        <f>'Foglio deposito bis'!$F$89*IF(ABS(L2293)&lt;'Progetto del paramento slu'!$G$58,ABS(L2293)*'Progetto del paramento slu'!$G$54,'Progetto del paramento slu'!$G$53)*IF(L2293&lt;0,-1,1)</f>
        <v>153664.85805602249</v>
      </c>
      <c r="S2293" s="553">
        <f>'Foglio deposito bis'!$F$90*IF(ABS(M2293)&lt;'Progetto del paramento slu'!$G$58,ABS(M2293)*'Progetto del paramento slu'!$G$54,'Progetto del paramento slu'!$G$53)*IF(M2293&lt;0,-1,1)</f>
        <v>0</v>
      </c>
      <c r="T2293" s="553">
        <f>'Foglio deposito bis'!$F$91*IF(ABS(N2293)&lt;'Progetto del paramento slu'!$G$58,ABS(N2293)*'Progetto del paramento slu'!$G$54,'Progetto del paramento slu'!$G$53)*IF(N2293&lt;0,-1,1)</f>
        <v>892485.49558937876</v>
      </c>
      <c r="U2293" s="553">
        <f>'Foglio deposito bis'!$F$92*IF(ABS(O2293)&lt;'Progetto del paramento slu'!$G$58,ABS(O2293)*'Progetto del paramento slu'!$G$54,'Progetto del paramento slu'!$G$53)*IF(O2293&lt;0,-1,1)</f>
        <v>1662039.1047339395</v>
      </c>
      <c r="V2293" s="479">
        <f t="shared" si="168"/>
        <v>2547960.737987957</v>
      </c>
      <c r="W2293" s="559"/>
      <c r="X2293" s="559"/>
    </row>
    <row r="2294" spans="1:24" x14ac:dyDescent="0.25">
      <c r="A2294" s="553">
        <f t="shared" si="167"/>
        <v>2545099.5108381109</v>
      </c>
      <c r="B2294" s="3">
        <f t="shared" si="169"/>
        <v>2.8499999999999979</v>
      </c>
      <c r="C2294" s="553">
        <f>'Foglio deposito bis'!$E$162/sezione!$B$247*B2294</f>
        <v>11.570035488445917</v>
      </c>
      <c r="D2294" s="611">
        <f>-'Progetto del paramento slu'!$G$47*'Progetto del paramento slu'!$G$41*IF(DATI!$G$218="dx",DATI!$E$61,DATI!$E$64*DATI!$E$63)*1000*C2294^2*sezione!$AD$5*(1-sezione!$AD$6)</f>
        <v>-1101982.584822715</v>
      </c>
      <c r="E2294" s="553">
        <f>-'Foglio deposito bis'!$F$88*(C2294-sezione!$AL$36)*IF(ABS(K2294)&lt;'Progetto del paramento slu'!$G$58,ABS(K2294)*'Progetto del paramento slu'!$G$54,'Progetto del paramento slu'!$G$53)</f>
        <v>0</v>
      </c>
      <c r="F2294" s="553">
        <f>-'Foglio deposito bis'!$F$89*(C2294-sezione!$AM$36)*IF(ABS(L2294)&lt;'Progetto del paramento slu'!$G$58,ABS(L2294)*'Progetto del paramento slu'!$G$54,'Progetto del paramento slu'!$G$53)</f>
        <v>21271820.847368192</v>
      </c>
      <c r="G2294" s="553">
        <f>-'Foglio deposito bis'!$F$90*(C2294-sezione!$AN$36)*IF(ABS(M2294)&lt;'Progetto del paramento slu'!$G$58,ABS(M2294)*'Progetto del paramento slu'!$G$54,'Progetto del paramento slu'!$G$53)</f>
        <v>0</v>
      </c>
      <c r="H2294" s="553">
        <f>-'Foglio deposito bis'!$F$91*(C2294-sezione!$AO$36)*IF(ABS(N2294)&lt;'Progetto del paramento slu'!$G$58,ABS(N2294)*'Progetto del paramento slu'!$G$54,'Progetto del paramento slu'!$G$53)</f>
        <v>293118979.64349645</v>
      </c>
      <c r="I2294" s="479">
        <f>-'Foglio deposito bis'!$F$92*(C2294-sezione!$AP$36)*IF(ABS(O2294)&lt;'Progetto del paramento slu'!$G$58,ABS(O2294)*'Progetto del paramento slu'!$G$54,'Progetto del paramento slu'!$G$53)</f>
        <v>412915258.17666471</v>
      </c>
      <c r="J2294" s="479">
        <f t="shared" si="165"/>
        <v>726204076.08270669</v>
      </c>
      <c r="K2294" s="558">
        <f>'Progetto del paramento slu'!$G$60*(sezione!$AL$36-C2294)/C2294</f>
        <v>8.6002221764839848E-3</v>
      </c>
      <c r="L2294" s="558">
        <f>'Progetto del paramento slu'!$G$60*(sezione!$AM$36-C2294)/C2294</f>
        <v>4.1875833161814945E-2</v>
      </c>
      <c r="M2294" s="559">
        <f>'Progetto del paramento slu'!$G$60*(sezione!$AN$36-C2294)/C2294</f>
        <v>7.5151444147145904E-2</v>
      </c>
      <c r="N2294" s="559">
        <f>'Progetto del paramento slu'!$G$60*(sezione!$AO$36-C2294)/C2294</f>
        <v>9.935188850011388E-2</v>
      </c>
      <c r="O2294" s="559">
        <f>'Progetto del paramento slu'!$G$60*(sezione!$AP$36-C2294)/C2294</f>
        <v>7.5154163788428305E-2</v>
      </c>
      <c r="P2294" s="553">
        <f>-'Progetto del paramento slu'!$G$47*'Progetto del paramento slu'!$G$41*IF(DATI!$G$218="dx",DATI!$E$61,DATI!$E$64*DATI!$E$63)*1000*C2294*sezione!$AD$5</f>
        <v>-163089.94754122992</v>
      </c>
      <c r="Q2294" s="553">
        <f>'Foglio deposito bis'!$F$88*IF(ABS(K2294)&lt;'Progetto del paramento slu'!$G$58,ABS(K2294)*'Progetto del paramento slu'!$G$54,'Progetto del paramento slu'!$G$53)*IF(K2294&lt;0,-1,1)</f>
        <v>0</v>
      </c>
      <c r="R2294" s="553">
        <f>'Foglio deposito bis'!$F$89*IF(ABS(L2294)&lt;'Progetto del paramento slu'!$G$58,ABS(L2294)*'Progetto del paramento slu'!$G$54,'Progetto del paramento slu'!$G$53)*IF(L2294&lt;0,-1,1)</f>
        <v>153664.85805602249</v>
      </c>
      <c r="S2294" s="553">
        <f>'Foglio deposito bis'!$F$90*IF(ABS(M2294)&lt;'Progetto del paramento slu'!$G$58,ABS(M2294)*'Progetto del paramento slu'!$G$54,'Progetto del paramento slu'!$G$53)*IF(M2294&lt;0,-1,1)</f>
        <v>0</v>
      </c>
      <c r="T2294" s="553">
        <f>'Foglio deposito bis'!$F$91*IF(ABS(N2294)&lt;'Progetto del paramento slu'!$G$58,ABS(N2294)*'Progetto del paramento slu'!$G$54,'Progetto del paramento slu'!$G$53)*IF(N2294&lt;0,-1,1)</f>
        <v>892485.49558937876</v>
      </c>
      <c r="U2294" s="553">
        <f>'Foglio deposito bis'!$F$92*IF(ABS(O2294)&lt;'Progetto del paramento slu'!$G$58,ABS(O2294)*'Progetto del paramento slu'!$G$54,'Progetto del paramento slu'!$G$53)*IF(O2294&lt;0,-1,1)</f>
        <v>1662039.1047339395</v>
      </c>
      <c r="V2294" s="479">
        <f t="shared" si="168"/>
        <v>2545099.5108381109</v>
      </c>
      <c r="W2294" s="559"/>
      <c r="X2294" s="559"/>
    </row>
    <row r="2295" spans="1:24" x14ac:dyDescent="0.25">
      <c r="A2295" s="553">
        <f t="shared" si="167"/>
        <v>2542238.2836882649</v>
      </c>
      <c r="B2295" s="3">
        <f t="shared" si="169"/>
        <v>2.8999999999999977</v>
      </c>
      <c r="C2295" s="553">
        <f>'Foglio deposito bis'!$E$162/sezione!$B$247*B2295</f>
        <v>11.773018567190581</v>
      </c>
      <c r="D2295" s="611">
        <f>-'Progetto del paramento slu'!$G$47*'Progetto del paramento slu'!$G$41*IF(DATI!$G$218="dx",DATI!$E$61,DATI!$E$64*DATI!$E$63)*1000*C2295^2*sezione!$AD$5*(1-sezione!$AD$6)</f>
        <v>-1140987.8163569139</v>
      </c>
      <c r="E2295" s="553">
        <f>-'Foglio deposito bis'!$F$88*(C2295-sezione!$AL$36)*IF(ABS(K2295)&lt;'Progetto del paramento slu'!$G$58,ABS(K2295)*'Progetto del paramento slu'!$G$54,'Progetto del paramento slu'!$G$53)</f>
        <v>0</v>
      </c>
      <c r="F2295" s="553">
        <f>-'Foglio deposito bis'!$F$89*(C2295-sezione!$AM$36)*IF(ABS(L2295)&lt;'Progetto del paramento slu'!$G$58,ABS(L2295)*'Progetto del paramento slu'!$G$54,'Progetto del paramento slu'!$G$53)</f>
        <v>21240629.481385119</v>
      </c>
      <c r="G2295" s="553">
        <f>-'Foglio deposito bis'!$F$90*(C2295-sezione!$AN$36)*IF(ABS(M2295)&lt;'Progetto del paramento slu'!$G$58,ABS(M2295)*'Progetto del paramento slu'!$G$54,'Progetto del paramento slu'!$G$53)</f>
        <v>0</v>
      </c>
      <c r="H2295" s="553">
        <f>-'Foglio deposito bis'!$F$91*(C2295-sezione!$AO$36)*IF(ABS(N2295)&lt;'Progetto del paramento slu'!$G$58,ABS(N2295)*'Progetto del paramento slu'!$G$54,'Progetto del paramento slu'!$G$53)</f>
        <v>292937820.18986672</v>
      </c>
      <c r="I2295" s="479">
        <f>-'Foglio deposito bis'!$F$92*(C2295-sezione!$AP$36)*IF(ABS(O2295)&lt;'Progetto del paramento slu'!$G$58,ABS(O2295)*'Progetto del paramento slu'!$G$54,'Progetto del paramento slu'!$G$53)</f>
        <v>412577892.3621918</v>
      </c>
      <c r="J2295" s="479">
        <f t="shared" si="165"/>
        <v>725615354.21708679</v>
      </c>
      <c r="K2295" s="558">
        <f>'Progetto del paramento slu'!$G$60*(sezione!$AL$36-C2295)/C2295</f>
        <v>8.3915976561997792E-3</v>
      </c>
      <c r="L2295" s="558">
        <f>'Progetto del paramento slu'!$G$60*(sezione!$AM$36-C2295)/C2295</f>
        <v>4.1093491210749178E-2</v>
      </c>
      <c r="M2295" s="559">
        <f>'Progetto del paramento slu'!$G$60*(sezione!$AN$36-C2295)/C2295</f>
        <v>7.3795384765298566E-2</v>
      </c>
      <c r="N2295" s="559">
        <f>'Progetto del paramento slu'!$G$60*(sezione!$AO$36-C2295)/C2295</f>
        <v>9.7578580077698124E-2</v>
      </c>
      <c r="O2295" s="559">
        <f>'Progetto del paramento slu'!$G$60*(sezione!$AP$36-C2295)/C2295</f>
        <v>7.379805751621403E-2</v>
      </c>
      <c r="P2295" s="553">
        <f>-'Progetto del paramento slu'!$G$47*'Progetto del paramento slu'!$G$41*IF(DATI!$G$218="dx",DATI!$E$61,DATI!$E$64*DATI!$E$63)*1000*C2295*sezione!$AD$5</f>
        <v>-165951.17469107604</v>
      </c>
      <c r="Q2295" s="553">
        <f>'Foglio deposito bis'!$F$88*IF(ABS(K2295)&lt;'Progetto del paramento slu'!$G$58,ABS(K2295)*'Progetto del paramento slu'!$G$54,'Progetto del paramento slu'!$G$53)*IF(K2295&lt;0,-1,1)</f>
        <v>0</v>
      </c>
      <c r="R2295" s="553">
        <f>'Foglio deposito bis'!$F$89*IF(ABS(L2295)&lt;'Progetto del paramento slu'!$G$58,ABS(L2295)*'Progetto del paramento slu'!$G$54,'Progetto del paramento slu'!$G$53)*IF(L2295&lt;0,-1,1)</f>
        <v>153664.85805602249</v>
      </c>
      <c r="S2295" s="553">
        <f>'Foglio deposito bis'!$F$90*IF(ABS(M2295)&lt;'Progetto del paramento slu'!$G$58,ABS(M2295)*'Progetto del paramento slu'!$G$54,'Progetto del paramento slu'!$G$53)*IF(M2295&lt;0,-1,1)</f>
        <v>0</v>
      </c>
      <c r="T2295" s="553">
        <f>'Foglio deposito bis'!$F$91*IF(ABS(N2295)&lt;'Progetto del paramento slu'!$G$58,ABS(N2295)*'Progetto del paramento slu'!$G$54,'Progetto del paramento slu'!$G$53)*IF(N2295&lt;0,-1,1)</f>
        <v>892485.49558937876</v>
      </c>
      <c r="U2295" s="553">
        <f>'Foglio deposito bis'!$F$92*IF(ABS(O2295)&lt;'Progetto del paramento slu'!$G$58,ABS(O2295)*'Progetto del paramento slu'!$G$54,'Progetto del paramento slu'!$G$53)*IF(O2295&lt;0,-1,1)</f>
        <v>1662039.1047339395</v>
      </c>
      <c r="V2295" s="479">
        <f t="shared" si="168"/>
        <v>2542238.2836882649</v>
      </c>
      <c r="W2295" s="559"/>
      <c r="X2295" s="559"/>
    </row>
    <row r="2296" spans="1:24" x14ac:dyDescent="0.25">
      <c r="A2296" s="553">
        <f t="shared" si="167"/>
        <v>2539377.0565384189</v>
      </c>
      <c r="B2296" s="3">
        <f t="shared" si="169"/>
        <v>2.9499999999999975</v>
      </c>
      <c r="C2296" s="553">
        <f>'Foglio deposito bis'!$E$162/sezione!$B$247*B2296</f>
        <v>11.976001645935247</v>
      </c>
      <c r="D2296" s="611">
        <f>-'Progetto del paramento slu'!$G$47*'Progetto del paramento slu'!$G$41*IF(DATI!$G$218="dx",DATI!$E$61,DATI!$E$64*DATI!$E$63)*1000*C2296^2*sezione!$AD$5*(1-sezione!$AD$6)</f>
        <v>-1180671.3997438811</v>
      </c>
      <c r="E2296" s="553">
        <f>-'Foglio deposito bis'!$F$88*(C2296-sezione!$AL$36)*IF(ABS(K2296)&lt;'Progetto del paramento slu'!$G$58,ABS(K2296)*'Progetto del paramento slu'!$G$54,'Progetto del paramento slu'!$G$53)</f>
        <v>0</v>
      </c>
      <c r="F2296" s="553">
        <f>-'Foglio deposito bis'!$F$89*(C2296-sezione!$AM$36)*IF(ABS(L2296)&lt;'Progetto del paramento slu'!$G$58,ABS(L2296)*'Progetto del paramento slu'!$G$54,'Progetto del paramento slu'!$G$53)</f>
        <v>21209438.115402043</v>
      </c>
      <c r="G2296" s="553">
        <f>-'Foglio deposito bis'!$F$90*(C2296-sezione!$AN$36)*IF(ABS(M2296)&lt;'Progetto del paramento slu'!$G$58,ABS(M2296)*'Progetto del paramento slu'!$G$54,'Progetto del paramento slu'!$G$53)</f>
        <v>0</v>
      </c>
      <c r="H2296" s="553">
        <f>-'Foglio deposito bis'!$F$91*(C2296-sezione!$AO$36)*IF(ABS(N2296)&lt;'Progetto del paramento slu'!$G$58,ABS(N2296)*'Progetto del paramento slu'!$G$54,'Progetto del paramento slu'!$G$53)</f>
        <v>292756660.73623705</v>
      </c>
      <c r="I2296" s="479">
        <f>-'Foglio deposito bis'!$F$92*(C2296-sezione!$AP$36)*IF(ABS(O2296)&lt;'Progetto del paramento slu'!$G$58,ABS(O2296)*'Progetto del paramento slu'!$G$54,'Progetto del paramento slu'!$G$53)</f>
        <v>412240526.54771888</v>
      </c>
      <c r="J2296" s="479">
        <f t="shared" si="165"/>
        <v>725025953.99961412</v>
      </c>
      <c r="K2296" s="558">
        <f>'Progetto del paramento slu'!$G$60*(sezione!$AL$36-C2296)/C2296</f>
        <v>8.1900451535523253E-3</v>
      </c>
      <c r="L2296" s="558">
        <f>'Progetto del paramento slu'!$G$60*(sezione!$AM$36-C2296)/C2296</f>
        <v>4.0337669325821224E-2</v>
      </c>
      <c r="M2296" s="559">
        <f>'Progetto del paramento slu'!$G$60*(sezione!$AN$36-C2296)/C2296</f>
        <v>7.2485293498090117E-2</v>
      </c>
      <c r="N2296" s="559">
        <f>'Progetto del paramento slu'!$G$60*(sezione!$AO$36-C2296)/C2296</f>
        <v>9.586538380519477E-2</v>
      </c>
      <c r="O2296" s="559">
        <f>'Progetto del paramento slu'!$G$60*(sezione!$AP$36-C2296)/C2296</f>
        <v>7.2487920948142603E-2</v>
      </c>
      <c r="P2296" s="553">
        <f>-'Progetto del paramento slu'!$G$47*'Progetto del paramento slu'!$G$41*IF(DATI!$G$218="dx",DATI!$E$61,DATI!$E$64*DATI!$E$63)*1000*C2296*sezione!$AD$5</f>
        <v>-168812.40184092219</v>
      </c>
      <c r="Q2296" s="553">
        <f>'Foglio deposito bis'!$F$88*IF(ABS(K2296)&lt;'Progetto del paramento slu'!$G$58,ABS(K2296)*'Progetto del paramento slu'!$G$54,'Progetto del paramento slu'!$G$53)*IF(K2296&lt;0,-1,1)</f>
        <v>0</v>
      </c>
      <c r="R2296" s="553">
        <f>'Foglio deposito bis'!$F$89*IF(ABS(L2296)&lt;'Progetto del paramento slu'!$G$58,ABS(L2296)*'Progetto del paramento slu'!$G$54,'Progetto del paramento slu'!$G$53)*IF(L2296&lt;0,-1,1)</f>
        <v>153664.85805602249</v>
      </c>
      <c r="S2296" s="553">
        <f>'Foglio deposito bis'!$F$90*IF(ABS(M2296)&lt;'Progetto del paramento slu'!$G$58,ABS(M2296)*'Progetto del paramento slu'!$G$54,'Progetto del paramento slu'!$G$53)*IF(M2296&lt;0,-1,1)</f>
        <v>0</v>
      </c>
      <c r="T2296" s="553">
        <f>'Foglio deposito bis'!$F$91*IF(ABS(N2296)&lt;'Progetto del paramento slu'!$G$58,ABS(N2296)*'Progetto del paramento slu'!$G$54,'Progetto del paramento slu'!$G$53)*IF(N2296&lt;0,-1,1)</f>
        <v>892485.49558937876</v>
      </c>
      <c r="U2296" s="553">
        <f>'Foglio deposito bis'!$F$92*IF(ABS(O2296)&lt;'Progetto del paramento slu'!$G$58,ABS(O2296)*'Progetto del paramento slu'!$G$54,'Progetto del paramento slu'!$G$53)*IF(O2296&lt;0,-1,1)</f>
        <v>1662039.1047339395</v>
      </c>
      <c r="V2296" s="479">
        <f t="shared" si="168"/>
        <v>2539377.0565384189</v>
      </c>
      <c r="W2296" s="559"/>
      <c r="X2296" s="559"/>
    </row>
    <row r="2297" spans="1:24" x14ac:dyDescent="0.25">
      <c r="A2297" s="553">
        <f t="shared" si="167"/>
        <v>2536515.8293885724</v>
      </c>
      <c r="B2297" s="3">
        <f t="shared" si="169"/>
        <v>2.9999999999999973</v>
      </c>
      <c r="C2297" s="553">
        <f>'Foglio deposito bis'!$E$162/sezione!$B$247*B2297</f>
        <v>12.178984724679911</v>
      </c>
      <c r="D2297" s="611">
        <f>-'Progetto del paramento slu'!$G$47*'Progetto del paramento slu'!$G$41*IF(DATI!$G$218="dx",DATI!$E$61,DATI!$E$64*DATI!$E$63)*1000*C2297^2*sezione!$AD$5*(1-sezione!$AD$6)</f>
        <v>-1221033.3349836173</v>
      </c>
      <c r="E2297" s="553">
        <f>-'Foglio deposito bis'!$F$88*(C2297-sezione!$AL$36)*IF(ABS(K2297)&lt;'Progetto del paramento slu'!$G$58,ABS(K2297)*'Progetto del paramento slu'!$G$54,'Progetto del paramento slu'!$G$53)</f>
        <v>0</v>
      </c>
      <c r="F2297" s="553">
        <f>-'Foglio deposito bis'!$F$89*(C2297-sezione!$AM$36)*IF(ABS(L2297)&lt;'Progetto del paramento slu'!$G$58,ABS(L2297)*'Progetto del paramento slu'!$G$54,'Progetto del paramento slu'!$G$53)</f>
        <v>21178246.74941897</v>
      </c>
      <c r="G2297" s="553">
        <f>-'Foglio deposito bis'!$F$90*(C2297-sezione!$AN$36)*IF(ABS(M2297)&lt;'Progetto del paramento slu'!$G$58,ABS(M2297)*'Progetto del paramento slu'!$G$54,'Progetto del paramento slu'!$G$53)</f>
        <v>0</v>
      </c>
      <c r="H2297" s="553">
        <f>-'Foglio deposito bis'!$F$91*(C2297-sezione!$AO$36)*IF(ABS(N2297)&lt;'Progetto del paramento slu'!$G$58,ABS(N2297)*'Progetto del paramento slu'!$G$54,'Progetto del paramento slu'!$G$53)</f>
        <v>292575501.28260732</v>
      </c>
      <c r="I2297" s="479">
        <f>-'Foglio deposito bis'!$F$92*(C2297-sezione!$AP$36)*IF(ABS(O2297)&lt;'Progetto del paramento slu'!$G$58,ABS(O2297)*'Progetto del paramento slu'!$G$54,'Progetto del paramento slu'!$G$53)</f>
        <v>411903160.73324597</v>
      </c>
      <c r="J2297" s="479">
        <f t="shared" si="165"/>
        <v>724435875.43028855</v>
      </c>
      <c r="K2297" s="558">
        <f>'Progetto del paramento slu'!$G$60*(sezione!$AL$36-C2297)/C2297</f>
        <v>7.9952110676597878E-3</v>
      </c>
      <c r="L2297" s="558">
        <f>'Progetto del paramento slu'!$G$60*(sezione!$AM$36-C2297)/C2297</f>
        <v>3.9607041503724204E-2</v>
      </c>
      <c r="M2297" s="559">
        <f>'Progetto del paramento slu'!$G$60*(sezione!$AN$36-C2297)/C2297</f>
        <v>7.1218871939788625E-2</v>
      </c>
      <c r="N2297" s="559">
        <f>'Progetto del paramento slu'!$G$60*(sezione!$AO$36-C2297)/C2297</f>
        <v>9.4209294075108196E-2</v>
      </c>
      <c r="O2297" s="559">
        <f>'Progetto del paramento slu'!$G$60*(sezione!$AP$36-C2297)/C2297</f>
        <v>7.1221455599006889E-2</v>
      </c>
      <c r="P2297" s="553">
        <f>-'Progetto del paramento slu'!$G$47*'Progetto del paramento slu'!$G$41*IF(DATI!$G$218="dx",DATI!$E$61,DATI!$E$64*DATI!$E$63)*1000*C2297*sezione!$AD$5</f>
        <v>-171673.62899076831</v>
      </c>
      <c r="Q2297" s="553">
        <f>'Foglio deposito bis'!$F$88*IF(ABS(K2297)&lt;'Progetto del paramento slu'!$G$58,ABS(K2297)*'Progetto del paramento slu'!$G$54,'Progetto del paramento slu'!$G$53)*IF(K2297&lt;0,-1,1)</f>
        <v>0</v>
      </c>
      <c r="R2297" s="553">
        <f>'Foglio deposito bis'!$F$89*IF(ABS(L2297)&lt;'Progetto del paramento slu'!$G$58,ABS(L2297)*'Progetto del paramento slu'!$G$54,'Progetto del paramento slu'!$G$53)*IF(L2297&lt;0,-1,1)</f>
        <v>153664.85805602249</v>
      </c>
      <c r="S2297" s="553">
        <f>'Foglio deposito bis'!$F$90*IF(ABS(M2297)&lt;'Progetto del paramento slu'!$G$58,ABS(M2297)*'Progetto del paramento slu'!$G$54,'Progetto del paramento slu'!$G$53)*IF(M2297&lt;0,-1,1)</f>
        <v>0</v>
      </c>
      <c r="T2297" s="553">
        <f>'Foglio deposito bis'!$F$91*IF(ABS(N2297)&lt;'Progetto del paramento slu'!$G$58,ABS(N2297)*'Progetto del paramento slu'!$G$54,'Progetto del paramento slu'!$G$53)*IF(N2297&lt;0,-1,1)</f>
        <v>892485.49558937876</v>
      </c>
      <c r="U2297" s="553">
        <f>'Foglio deposito bis'!$F$92*IF(ABS(O2297)&lt;'Progetto del paramento slu'!$G$58,ABS(O2297)*'Progetto del paramento slu'!$G$54,'Progetto del paramento slu'!$G$53)*IF(O2297&lt;0,-1,1)</f>
        <v>1662039.1047339395</v>
      </c>
      <c r="V2297" s="479">
        <f t="shared" si="168"/>
        <v>2536515.8293885724</v>
      </c>
      <c r="W2297" s="559"/>
      <c r="X2297" s="559"/>
    </row>
    <row r="2298" spans="1:24" x14ac:dyDescent="0.25">
      <c r="A2298" s="553">
        <f t="shared" si="167"/>
        <v>2533654.6022387263</v>
      </c>
      <c r="B2298" s="3">
        <f t="shared" si="169"/>
        <v>3.0499999999999972</v>
      </c>
      <c r="C2298" s="553">
        <f>'Foglio deposito bis'!$E$162/sezione!$B$247*B2298</f>
        <v>12.381967803424576</v>
      </c>
      <c r="D2298" s="611">
        <f>-'Progetto del paramento slu'!$G$47*'Progetto del paramento slu'!$G$41*IF(DATI!$G$218="dx",DATI!$E$61,DATI!$E$64*DATI!$E$63)*1000*C2298^2*sezione!$AD$5*(1-sezione!$AD$6)</f>
        <v>-1262073.6220761221</v>
      </c>
      <c r="E2298" s="553">
        <f>-'Foglio deposito bis'!$F$88*(C2298-sezione!$AL$36)*IF(ABS(K2298)&lt;'Progetto del paramento slu'!$G$58,ABS(K2298)*'Progetto del paramento slu'!$G$54,'Progetto del paramento slu'!$G$53)</f>
        <v>0</v>
      </c>
      <c r="F2298" s="553">
        <f>-'Foglio deposito bis'!$F$89*(C2298-sezione!$AM$36)*IF(ABS(L2298)&lt;'Progetto del paramento slu'!$G$58,ABS(L2298)*'Progetto del paramento slu'!$G$54,'Progetto del paramento slu'!$G$53)</f>
        <v>21147055.383435898</v>
      </c>
      <c r="G2298" s="553">
        <f>-'Foglio deposito bis'!$F$90*(C2298-sezione!$AN$36)*IF(ABS(M2298)&lt;'Progetto del paramento slu'!$G$58,ABS(M2298)*'Progetto del paramento slu'!$G$54,'Progetto del paramento slu'!$G$53)</f>
        <v>0</v>
      </c>
      <c r="H2298" s="553">
        <f>-'Foglio deposito bis'!$F$91*(C2298-sezione!$AO$36)*IF(ABS(N2298)&lt;'Progetto del paramento slu'!$G$58,ABS(N2298)*'Progetto del paramento slu'!$G$54,'Progetto del paramento slu'!$G$53)</f>
        <v>292394341.82897764</v>
      </c>
      <c r="I2298" s="479">
        <f>-'Foglio deposito bis'!$F$92*(C2298-sezione!$AP$36)*IF(ABS(O2298)&lt;'Progetto del paramento slu'!$G$58,ABS(O2298)*'Progetto del paramento slu'!$G$54,'Progetto del paramento slu'!$G$53)</f>
        <v>411565794.91877306</v>
      </c>
      <c r="J2298" s="479">
        <f t="shared" si="165"/>
        <v>723845118.50911045</v>
      </c>
      <c r="K2298" s="558">
        <f>'Progetto del paramento slu'!$G$60*(sezione!$AL$36-C2298)/C2298</f>
        <v>7.8067649845833973E-3</v>
      </c>
      <c r="L2298" s="558">
        <f>'Progetto del paramento slu'!$G$60*(sezione!$AM$36-C2298)/C2298</f>
        <v>3.8900368692187742E-2</v>
      </c>
      <c r="M2298" s="559">
        <f>'Progetto del paramento slu'!$G$60*(sezione!$AN$36-C2298)/C2298</f>
        <v>6.999397239979209E-2</v>
      </c>
      <c r="N2298" s="559">
        <f>'Progetto del paramento slu'!$G$60*(sezione!$AO$36-C2298)/C2298</f>
        <v>9.2607502368958886E-2</v>
      </c>
      <c r="O2298" s="559">
        <f>'Progetto del paramento slu'!$G$60*(sezione!$AP$36-C2298)/C2298</f>
        <v>6.9996513703941207E-2</v>
      </c>
      <c r="P2298" s="553">
        <f>-'Progetto del paramento slu'!$G$47*'Progetto del paramento slu'!$G$41*IF(DATI!$G$218="dx",DATI!$E$61,DATI!$E$64*DATI!$E$63)*1000*C2298*sezione!$AD$5</f>
        <v>-174534.85614061446</v>
      </c>
      <c r="Q2298" s="553">
        <f>'Foglio deposito bis'!$F$88*IF(ABS(K2298)&lt;'Progetto del paramento slu'!$G$58,ABS(K2298)*'Progetto del paramento slu'!$G$54,'Progetto del paramento slu'!$G$53)*IF(K2298&lt;0,-1,1)</f>
        <v>0</v>
      </c>
      <c r="R2298" s="553">
        <f>'Foglio deposito bis'!$F$89*IF(ABS(L2298)&lt;'Progetto del paramento slu'!$G$58,ABS(L2298)*'Progetto del paramento slu'!$G$54,'Progetto del paramento slu'!$G$53)*IF(L2298&lt;0,-1,1)</f>
        <v>153664.85805602249</v>
      </c>
      <c r="S2298" s="553">
        <f>'Foglio deposito bis'!$F$90*IF(ABS(M2298)&lt;'Progetto del paramento slu'!$G$58,ABS(M2298)*'Progetto del paramento slu'!$G$54,'Progetto del paramento slu'!$G$53)*IF(M2298&lt;0,-1,1)</f>
        <v>0</v>
      </c>
      <c r="T2298" s="553">
        <f>'Foglio deposito bis'!$F$91*IF(ABS(N2298)&lt;'Progetto del paramento slu'!$G$58,ABS(N2298)*'Progetto del paramento slu'!$G$54,'Progetto del paramento slu'!$G$53)*IF(N2298&lt;0,-1,1)</f>
        <v>892485.49558937876</v>
      </c>
      <c r="U2298" s="553">
        <f>'Foglio deposito bis'!$F$92*IF(ABS(O2298)&lt;'Progetto del paramento slu'!$G$58,ABS(O2298)*'Progetto del paramento slu'!$G$54,'Progetto del paramento slu'!$G$53)*IF(O2298&lt;0,-1,1)</f>
        <v>1662039.1047339395</v>
      </c>
      <c r="V2298" s="479">
        <f t="shared" si="168"/>
        <v>2533654.6022387263</v>
      </c>
      <c r="W2298" s="559"/>
      <c r="X2298" s="559"/>
    </row>
    <row r="2299" spans="1:24" x14ac:dyDescent="0.25">
      <c r="A2299" s="553">
        <f t="shared" si="167"/>
        <v>2530793.3750888803</v>
      </c>
      <c r="B2299" s="3">
        <f t="shared" si="169"/>
        <v>3.099999999999997</v>
      </c>
      <c r="C2299" s="553">
        <f>'Foglio deposito bis'!$E$162/sezione!$B$247*B2299</f>
        <v>12.58495088216924</v>
      </c>
      <c r="D2299" s="611">
        <f>-'Progetto del paramento slu'!$G$47*'Progetto del paramento slu'!$G$41*IF(DATI!$G$218="dx",DATI!$E$61,DATI!$E$64*DATI!$E$63)*1000*C2299^2*sezione!$AD$5*(1-sezione!$AD$6)</f>
        <v>-1303792.2610213954</v>
      </c>
      <c r="E2299" s="553">
        <f>-'Foglio deposito bis'!$F$88*(C2299-sezione!$AL$36)*IF(ABS(K2299)&lt;'Progetto del paramento slu'!$G$58,ABS(K2299)*'Progetto del paramento slu'!$G$54,'Progetto del paramento slu'!$G$53)</f>
        <v>0</v>
      </c>
      <c r="F2299" s="553">
        <f>-'Foglio deposito bis'!$F$89*(C2299-sezione!$AM$36)*IF(ABS(L2299)&lt;'Progetto del paramento slu'!$G$58,ABS(L2299)*'Progetto del paramento slu'!$G$54,'Progetto del paramento slu'!$G$53)</f>
        <v>21115864.017452825</v>
      </c>
      <c r="G2299" s="553">
        <f>-'Foglio deposito bis'!$F$90*(C2299-sezione!$AN$36)*IF(ABS(M2299)&lt;'Progetto del paramento slu'!$G$58,ABS(M2299)*'Progetto del paramento slu'!$G$54,'Progetto del paramento slu'!$G$53)</f>
        <v>0</v>
      </c>
      <c r="H2299" s="553">
        <f>-'Foglio deposito bis'!$F$91*(C2299-sezione!$AO$36)*IF(ABS(N2299)&lt;'Progetto del paramento slu'!$G$58,ABS(N2299)*'Progetto del paramento slu'!$G$54,'Progetto del paramento slu'!$G$53)</f>
        <v>292213182.37534797</v>
      </c>
      <c r="I2299" s="479">
        <f>-'Foglio deposito bis'!$F$92*(C2299-sezione!$AP$36)*IF(ABS(O2299)&lt;'Progetto del paramento slu'!$G$58,ABS(O2299)*'Progetto del paramento slu'!$G$54,'Progetto del paramento slu'!$G$53)</f>
        <v>411228429.10430014</v>
      </c>
      <c r="J2299" s="479">
        <f t="shared" si="165"/>
        <v>723253683.23607957</v>
      </c>
      <c r="K2299" s="558">
        <f>'Progetto del paramento slu'!$G$60*(sezione!$AL$36-C2299)/C2299</f>
        <v>7.624397807412699E-3</v>
      </c>
      <c r="L2299" s="558">
        <f>'Progetto del paramento slu'!$G$60*(sezione!$AM$36-C2299)/C2299</f>
        <v>3.8216491777797623E-2</v>
      </c>
      <c r="M2299" s="559">
        <f>'Progetto del paramento slu'!$G$60*(sezione!$AN$36-C2299)/C2299</f>
        <v>6.8808585748182535E-2</v>
      </c>
      <c r="N2299" s="559">
        <f>'Progetto del paramento slu'!$G$60*(sezione!$AO$36-C2299)/C2299</f>
        <v>9.1057381363007936E-2</v>
      </c>
      <c r="O2299" s="559">
        <f>'Progetto del paramento slu'!$G$60*(sezione!$AP$36-C2299)/C2299</f>
        <v>6.8811086063555058E-2</v>
      </c>
      <c r="P2299" s="553">
        <f>-'Progetto del paramento slu'!$G$47*'Progetto del paramento slu'!$G$41*IF(DATI!$G$218="dx",DATI!$E$61,DATI!$E$64*DATI!$E$63)*1000*C2299*sezione!$AD$5</f>
        <v>-177396.08329046058</v>
      </c>
      <c r="Q2299" s="553">
        <f>'Foglio deposito bis'!$F$88*IF(ABS(K2299)&lt;'Progetto del paramento slu'!$G$58,ABS(K2299)*'Progetto del paramento slu'!$G$54,'Progetto del paramento slu'!$G$53)*IF(K2299&lt;0,-1,1)</f>
        <v>0</v>
      </c>
      <c r="R2299" s="553">
        <f>'Foglio deposito bis'!$F$89*IF(ABS(L2299)&lt;'Progetto del paramento slu'!$G$58,ABS(L2299)*'Progetto del paramento slu'!$G$54,'Progetto del paramento slu'!$G$53)*IF(L2299&lt;0,-1,1)</f>
        <v>153664.85805602249</v>
      </c>
      <c r="S2299" s="553">
        <f>'Foglio deposito bis'!$F$90*IF(ABS(M2299)&lt;'Progetto del paramento slu'!$G$58,ABS(M2299)*'Progetto del paramento slu'!$G$54,'Progetto del paramento slu'!$G$53)*IF(M2299&lt;0,-1,1)</f>
        <v>0</v>
      </c>
      <c r="T2299" s="553">
        <f>'Foglio deposito bis'!$F$91*IF(ABS(N2299)&lt;'Progetto del paramento slu'!$G$58,ABS(N2299)*'Progetto del paramento slu'!$G$54,'Progetto del paramento slu'!$G$53)*IF(N2299&lt;0,-1,1)</f>
        <v>892485.49558937876</v>
      </c>
      <c r="U2299" s="553">
        <f>'Foglio deposito bis'!$F$92*IF(ABS(O2299)&lt;'Progetto del paramento slu'!$G$58,ABS(O2299)*'Progetto del paramento slu'!$G$54,'Progetto del paramento slu'!$G$53)*IF(O2299&lt;0,-1,1)</f>
        <v>1662039.1047339395</v>
      </c>
      <c r="V2299" s="479">
        <f t="shared" si="168"/>
        <v>2530793.3750888803</v>
      </c>
      <c r="W2299" s="559"/>
      <c r="X2299" s="559"/>
    </row>
    <row r="2300" spans="1:24" x14ac:dyDescent="0.25">
      <c r="A2300" s="553">
        <f t="shared" si="167"/>
        <v>2527932.1479390338</v>
      </c>
      <c r="B2300" s="3">
        <f t="shared" si="169"/>
        <v>3.1499999999999968</v>
      </c>
      <c r="C2300" s="553">
        <f>'Foglio deposito bis'!$E$162/sezione!$B$247*B2300</f>
        <v>12.787933960913906</v>
      </c>
      <c r="D2300" s="611">
        <f>-'Progetto del paramento slu'!$G$47*'Progetto del paramento slu'!$G$41*IF(DATI!$G$218="dx",DATI!$E$61,DATI!$E$64*DATI!$E$63)*1000*C2300^2*sezione!$AD$5*(1-sezione!$AD$6)</f>
        <v>-1346189.2518194378</v>
      </c>
      <c r="E2300" s="553">
        <f>-'Foglio deposito bis'!$F$88*(C2300-sezione!$AL$36)*IF(ABS(K2300)&lt;'Progetto del paramento slu'!$G$58,ABS(K2300)*'Progetto del paramento slu'!$G$54,'Progetto del paramento slu'!$G$53)</f>
        <v>0</v>
      </c>
      <c r="F2300" s="553">
        <f>-'Foglio deposito bis'!$F$89*(C2300-sezione!$AM$36)*IF(ABS(L2300)&lt;'Progetto del paramento slu'!$G$58,ABS(L2300)*'Progetto del paramento slu'!$G$54,'Progetto del paramento slu'!$G$53)</f>
        <v>21084672.651469748</v>
      </c>
      <c r="G2300" s="553">
        <f>-'Foglio deposito bis'!$F$90*(C2300-sezione!$AN$36)*IF(ABS(M2300)&lt;'Progetto del paramento slu'!$G$58,ABS(M2300)*'Progetto del paramento slu'!$G$54,'Progetto del paramento slu'!$G$53)</f>
        <v>0</v>
      </c>
      <c r="H2300" s="553">
        <f>-'Foglio deposito bis'!$F$91*(C2300-sezione!$AO$36)*IF(ABS(N2300)&lt;'Progetto del paramento slu'!$G$58,ABS(N2300)*'Progetto del paramento slu'!$G$54,'Progetto del paramento slu'!$G$53)</f>
        <v>292032022.9217183</v>
      </c>
      <c r="I2300" s="479">
        <f>-'Foglio deposito bis'!$F$92*(C2300-sezione!$AP$36)*IF(ABS(O2300)&lt;'Progetto del paramento slu'!$G$58,ABS(O2300)*'Progetto del paramento slu'!$G$54,'Progetto del paramento slu'!$G$53)</f>
        <v>410891063.28982723</v>
      </c>
      <c r="J2300" s="479">
        <f t="shared" si="165"/>
        <v>722661569.6111958</v>
      </c>
      <c r="K2300" s="558">
        <f>'Progetto del paramento slu'!$G$60*(sezione!$AL$36-C2300)/C2300</f>
        <v>7.4478200644378942E-3</v>
      </c>
      <c r="L2300" s="558">
        <f>'Progetto del paramento slu'!$G$60*(sezione!$AM$36-C2300)/C2300</f>
        <v>3.7554325241642102E-2</v>
      </c>
      <c r="M2300" s="559">
        <f>'Progetto del paramento slu'!$G$60*(sezione!$AN$36-C2300)/C2300</f>
        <v>6.766083041884631E-2</v>
      </c>
      <c r="N2300" s="559">
        <f>'Progetto del paramento slu'!$G$60*(sezione!$AO$36-C2300)/C2300</f>
        <v>8.9556470547722103E-2</v>
      </c>
      <c r="O2300" s="559">
        <f>'Progetto del paramento slu'!$G$60*(sezione!$AP$36-C2300)/C2300</f>
        <v>6.7663291046673235E-2</v>
      </c>
      <c r="P2300" s="553">
        <f>-'Progetto del paramento slu'!$G$47*'Progetto del paramento slu'!$G$41*IF(DATI!$G$218="dx",DATI!$E$61,DATI!$E$64*DATI!$E$63)*1000*C2300*sezione!$AD$5</f>
        <v>-180257.31044030673</v>
      </c>
      <c r="Q2300" s="553">
        <f>'Foglio deposito bis'!$F$88*IF(ABS(K2300)&lt;'Progetto del paramento slu'!$G$58,ABS(K2300)*'Progetto del paramento slu'!$G$54,'Progetto del paramento slu'!$G$53)*IF(K2300&lt;0,-1,1)</f>
        <v>0</v>
      </c>
      <c r="R2300" s="553">
        <f>'Foglio deposito bis'!$F$89*IF(ABS(L2300)&lt;'Progetto del paramento slu'!$G$58,ABS(L2300)*'Progetto del paramento slu'!$G$54,'Progetto del paramento slu'!$G$53)*IF(L2300&lt;0,-1,1)</f>
        <v>153664.85805602249</v>
      </c>
      <c r="S2300" s="553">
        <f>'Foglio deposito bis'!$F$90*IF(ABS(M2300)&lt;'Progetto del paramento slu'!$G$58,ABS(M2300)*'Progetto del paramento slu'!$G$54,'Progetto del paramento slu'!$G$53)*IF(M2300&lt;0,-1,1)</f>
        <v>0</v>
      </c>
      <c r="T2300" s="553">
        <f>'Foglio deposito bis'!$F$91*IF(ABS(N2300)&lt;'Progetto del paramento slu'!$G$58,ABS(N2300)*'Progetto del paramento slu'!$G$54,'Progetto del paramento slu'!$G$53)*IF(N2300&lt;0,-1,1)</f>
        <v>892485.49558937876</v>
      </c>
      <c r="U2300" s="553">
        <f>'Foglio deposito bis'!$F$92*IF(ABS(O2300)&lt;'Progetto del paramento slu'!$G$58,ABS(O2300)*'Progetto del paramento slu'!$G$54,'Progetto del paramento slu'!$G$53)*IF(O2300&lt;0,-1,1)</f>
        <v>1662039.1047339395</v>
      </c>
      <c r="V2300" s="479">
        <f t="shared" si="168"/>
        <v>2527932.1479390338</v>
      </c>
      <c r="W2300" s="559"/>
      <c r="X2300" s="559"/>
    </row>
    <row r="2301" spans="1:24" x14ac:dyDescent="0.25">
      <c r="A2301" s="553">
        <f t="shared" si="167"/>
        <v>2525070.9207891878</v>
      </c>
      <c r="B2301" s="3">
        <f t="shared" si="169"/>
        <v>3.1999999999999966</v>
      </c>
      <c r="C2301" s="553">
        <f>'Foglio deposito bis'!$E$162/sezione!$B$247*B2301</f>
        <v>12.990917039658569</v>
      </c>
      <c r="D2301" s="611">
        <f>-'Progetto del paramento slu'!$G$47*'Progetto del paramento slu'!$G$41*IF(DATI!$G$218="dx",DATI!$E$61,DATI!$E$64*DATI!$E$63)*1000*C2301^2*sezione!$AD$5*(1-sezione!$AD$6)</f>
        <v>-1389264.5944702486</v>
      </c>
      <c r="E2301" s="553">
        <f>-'Foglio deposito bis'!$F$88*(C2301-sezione!$AL$36)*IF(ABS(K2301)&lt;'Progetto del paramento slu'!$G$58,ABS(K2301)*'Progetto del paramento slu'!$G$54,'Progetto del paramento slu'!$G$53)</f>
        <v>0</v>
      </c>
      <c r="F2301" s="553">
        <f>-'Foglio deposito bis'!$F$89*(C2301-sezione!$AM$36)*IF(ABS(L2301)&lt;'Progetto del paramento slu'!$G$58,ABS(L2301)*'Progetto del paramento slu'!$G$54,'Progetto del paramento slu'!$G$53)</f>
        <v>21053481.285486676</v>
      </c>
      <c r="G2301" s="553">
        <f>-'Foglio deposito bis'!$F$90*(C2301-sezione!$AN$36)*IF(ABS(M2301)&lt;'Progetto del paramento slu'!$G$58,ABS(M2301)*'Progetto del paramento slu'!$G$54,'Progetto del paramento slu'!$G$53)</f>
        <v>0</v>
      </c>
      <c r="H2301" s="553">
        <f>-'Foglio deposito bis'!$F$91*(C2301-sezione!$AO$36)*IF(ABS(N2301)&lt;'Progetto del paramento slu'!$G$58,ABS(N2301)*'Progetto del paramento slu'!$G$54,'Progetto del paramento slu'!$G$53)</f>
        <v>291850863.46808857</v>
      </c>
      <c r="I2301" s="479">
        <f>-'Foglio deposito bis'!$F$92*(C2301-sezione!$AP$36)*IF(ABS(O2301)&lt;'Progetto del paramento slu'!$G$58,ABS(O2301)*'Progetto del paramento slu'!$G$54,'Progetto del paramento slu'!$G$53)</f>
        <v>410553697.47535425</v>
      </c>
      <c r="J2301" s="479">
        <f t="shared" ref="J2301:J2364" si="170">D2301+E2301+F2301+G2301+H2301+I2301</f>
        <v>722068777.63445926</v>
      </c>
      <c r="K2301" s="558">
        <f>'Progetto del paramento slu'!$G$60*(sezione!$AL$36-C2301)/C2301</f>
        <v>7.276760375931053E-3</v>
      </c>
      <c r="L2301" s="558">
        <f>'Progetto del paramento slu'!$G$60*(sezione!$AM$36-C2301)/C2301</f>
        <v>3.6912851409741446E-2</v>
      </c>
      <c r="M2301" s="559">
        <f>'Progetto del paramento slu'!$G$60*(sezione!$AN$36-C2301)/C2301</f>
        <v>6.6548942443551834E-2</v>
      </c>
      <c r="N2301" s="559">
        <f>'Progetto del paramento slu'!$G$60*(sezione!$AO$36-C2301)/C2301</f>
        <v>8.8102463195413941E-2</v>
      </c>
      <c r="O2301" s="559">
        <f>'Progetto del paramento slu'!$G$60*(sezione!$AP$36-C2301)/C2301</f>
        <v>6.6551364624068979E-2</v>
      </c>
      <c r="P2301" s="553">
        <f>-'Progetto del paramento slu'!$G$47*'Progetto del paramento slu'!$G$41*IF(DATI!$G$218="dx",DATI!$E$61,DATI!$E$64*DATI!$E$63)*1000*C2301*sezione!$AD$5</f>
        <v>-183118.53759015282</v>
      </c>
      <c r="Q2301" s="553">
        <f>'Foglio deposito bis'!$F$88*IF(ABS(K2301)&lt;'Progetto del paramento slu'!$G$58,ABS(K2301)*'Progetto del paramento slu'!$G$54,'Progetto del paramento slu'!$G$53)*IF(K2301&lt;0,-1,1)</f>
        <v>0</v>
      </c>
      <c r="R2301" s="553">
        <f>'Foglio deposito bis'!$F$89*IF(ABS(L2301)&lt;'Progetto del paramento slu'!$G$58,ABS(L2301)*'Progetto del paramento slu'!$G$54,'Progetto del paramento slu'!$G$53)*IF(L2301&lt;0,-1,1)</f>
        <v>153664.85805602249</v>
      </c>
      <c r="S2301" s="553">
        <f>'Foglio deposito bis'!$F$90*IF(ABS(M2301)&lt;'Progetto del paramento slu'!$G$58,ABS(M2301)*'Progetto del paramento slu'!$G$54,'Progetto del paramento slu'!$G$53)*IF(M2301&lt;0,-1,1)</f>
        <v>0</v>
      </c>
      <c r="T2301" s="553">
        <f>'Foglio deposito bis'!$F$91*IF(ABS(N2301)&lt;'Progetto del paramento slu'!$G$58,ABS(N2301)*'Progetto del paramento slu'!$G$54,'Progetto del paramento slu'!$G$53)*IF(N2301&lt;0,-1,1)</f>
        <v>892485.49558937876</v>
      </c>
      <c r="U2301" s="553">
        <f>'Foglio deposito bis'!$F$92*IF(ABS(O2301)&lt;'Progetto del paramento slu'!$G$58,ABS(O2301)*'Progetto del paramento slu'!$G$54,'Progetto del paramento slu'!$G$53)*IF(O2301&lt;0,-1,1)</f>
        <v>1662039.1047339395</v>
      </c>
      <c r="V2301" s="479">
        <f t="shared" si="168"/>
        <v>2525070.9207891878</v>
      </c>
      <c r="W2301" s="559"/>
      <c r="X2301" s="559"/>
    </row>
    <row r="2302" spans="1:24" x14ac:dyDescent="0.25">
      <c r="A2302" s="553">
        <f t="shared" ref="A2302:A2365" si="171">ABS(V2302)</f>
        <v>2522209.6936393417</v>
      </c>
      <c r="B2302" s="3">
        <f t="shared" si="169"/>
        <v>3.2499999999999964</v>
      </c>
      <c r="C2302" s="553">
        <f>'Foglio deposito bis'!$E$162/sezione!$B$247*B2302</f>
        <v>13.193900118403235</v>
      </c>
      <c r="D2302" s="611">
        <f>-'Progetto del paramento slu'!$G$47*'Progetto del paramento slu'!$G$41*IF(DATI!$G$218="dx",DATI!$E$61,DATI!$E$64*DATI!$E$63)*1000*C2302^2*sezione!$AD$5*(1-sezione!$AD$6)</f>
        <v>-1433018.2889738283</v>
      </c>
      <c r="E2302" s="553">
        <f>-'Foglio deposito bis'!$F$88*(C2302-sezione!$AL$36)*IF(ABS(K2302)&lt;'Progetto del paramento slu'!$G$58,ABS(K2302)*'Progetto del paramento slu'!$G$54,'Progetto del paramento slu'!$G$53)</f>
        <v>0</v>
      </c>
      <c r="F2302" s="553">
        <f>-'Foglio deposito bis'!$F$89*(C2302-sezione!$AM$36)*IF(ABS(L2302)&lt;'Progetto del paramento slu'!$G$58,ABS(L2302)*'Progetto del paramento slu'!$G$54,'Progetto del paramento slu'!$G$53)</f>
        <v>21022289.919503603</v>
      </c>
      <c r="G2302" s="553">
        <f>-'Foglio deposito bis'!$F$90*(C2302-sezione!$AN$36)*IF(ABS(M2302)&lt;'Progetto del paramento slu'!$G$58,ABS(M2302)*'Progetto del paramento slu'!$G$54,'Progetto del paramento slu'!$G$53)</f>
        <v>0</v>
      </c>
      <c r="H2302" s="553">
        <f>-'Foglio deposito bis'!$F$91*(C2302-sezione!$AO$36)*IF(ABS(N2302)&lt;'Progetto del paramento slu'!$G$58,ABS(N2302)*'Progetto del paramento slu'!$G$54,'Progetto del paramento slu'!$G$53)</f>
        <v>291669704.01445889</v>
      </c>
      <c r="I2302" s="479">
        <f>-'Foglio deposito bis'!$F$92*(C2302-sezione!$AP$36)*IF(ABS(O2302)&lt;'Progetto del paramento slu'!$G$58,ABS(O2302)*'Progetto del paramento slu'!$G$54,'Progetto del paramento slu'!$G$53)</f>
        <v>410216331.66088134</v>
      </c>
      <c r="J2302" s="479">
        <f t="shared" si="170"/>
        <v>721475307.30587006</v>
      </c>
      <c r="K2302" s="558">
        <f>'Progetto del paramento slu'!$G$60*(sezione!$AL$36-C2302)/C2302</f>
        <v>7.1109640624551895E-3</v>
      </c>
      <c r="L2302" s="558">
        <f>'Progetto del paramento slu'!$G$60*(sezione!$AM$36-C2302)/C2302</f>
        <v>3.6291115234206965E-2</v>
      </c>
      <c r="M2302" s="559">
        <f>'Progetto del paramento slu'!$G$60*(sezione!$AN$36-C2302)/C2302</f>
        <v>6.5471266405958725E-2</v>
      </c>
      <c r="N2302" s="559">
        <f>'Progetto del paramento slu'!$G$60*(sezione!$AO$36-C2302)/C2302</f>
        <v>8.6693194530869114E-2</v>
      </c>
      <c r="O2302" s="559">
        <f>'Progetto del paramento slu'!$G$60*(sezione!$AP$36-C2302)/C2302</f>
        <v>6.5473651322160209E-2</v>
      </c>
      <c r="P2302" s="553">
        <f>-'Progetto del paramento slu'!$G$47*'Progetto del paramento slu'!$G$41*IF(DATI!$G$218="dx",DATI!$E$61,DATI!$E$64*DATI!$E$63)*1000*C2302*sezione!$AD$5</f>
        <v>-185979.76473999897</v>
      </c>
      <c r="Q2302" s="553">
        <f>'Foglio deposito bis'!$F$88*IF(ABS(K2302)&lt;'Progetto del paramento slu'!$G$58,ABS(K2302)*'Progetto del paramento slu'!$G$54,'Progetto del paramento slu'!$G$53)*IF(K2302&lt;0,-1,1)</f>
        <v>0</v>
      </c>
      <c r="R2302" s="553">
        <f>'Foglio deposito bis'!$F$89*IF(ABS(L2302)&lt;'Progetto del paramento slu'!$G$58,ABS(L2302)*'Progetto del paramento slu'!$G$54,'Progetto del paramento slu'!$G$53)*IF(L2302&lt;0,-1,1)</f>
        <v>153664.85805602249</v>
      </c>
      <c r="S2302" s="553">
        <f>'Foglio deposito bis'!$F$90*IF(ABS(M2302)&lt;'Progetto del paramento slu'!$G$58,ABS(M2302)*'Progetto del paramento slu'!$G$54,'Progetto del paramento slu'!$G$53)*IF(M2302&lt;0,-1,1)</f>
        <v>0</v>
      </c>
      <c r="T2302" s="553">
        <f>'Foglio deposito bis'!$F$91*IF(ABS(N2302)&lt;'Progetto del paramento slu'!$G$58,ABS(N2302)*'Progetto del paramento slu'!$G$54,'Progetto del paramento slu'!$G$53)*IF(N2302&lt;0,-1,1)</f>
        <v>892485.49558937876</v>
      </c>
      <c r="U2302" s="553">
        <f>'Foglio deposito bis'!$F$92*IF(ABS(O2302)&lt;'Progetto del paramento slu'!$G$58,ABS(O2302)*'Progetto del paramento slu'!$G$54,'Progetto del paramento slu'!$G$53)*IF(O2302&lt;0,-1,1)</f>
        <v>1662039.1047339395</v>
      </c>
      <c r="V2302" s="479">
        <f t="shared" ref="V2302:V2365" si="172">P2302+Q2302+R2302+S2302+T2302+U2302</f>
        <v>2522209.6936393417</v>
      </c>
      <c r="W2302" s="559"/>
      <c r="X2302" s="559"/>
    </row>
    <row r="2303" spans="1:24" x14ac:dyDescent="0.25">
      <c r="A2303" s="553">
        <f t="shared" si="171"/>
        <v>2519348.4664894957</v>
      </c>
      <c r="B2303" s="3">
        <f t="shared" ref="B2303:B2339" si="173">B2302+0.05</f>
        <v>3.2999999999999963</v>
      </c>
      <c r="C2303" s="553">
        <f>'Foglio deposito bis'!$E$162/sezione!$B$247*B2303</f>
        <v>13.396883197147899</v>
      </c>
      <c r="D2303" s="611">
        <f>-'Progetto del paramento slu'!$G$47*'Progetto del paramento slu'!$G$41*IF(DATI!$G$218="dx",DATI!$E$61,DATI!$E$64*DATI!$E$63)*1000*C2303^2*sezione!$AD$5*(1-sezione!$AD$6)</f>
        <v>-1477450.3353301764</v>
      </c>
      <c r="E2303" s="553">
        <f>-'Foglio deposito bis'!$F$88*(C2303-sezione!$AL$36)*IF(ABS(K2303)&lt;'Progetto del paramento slu'!$G$58,ABS(K2303)*'Progetto del paramento slu'!$G$54,'Progetto del paramento slu'!$G$53)</f>
        <v>0</v>
      </c>
      <c r="F2303" s="553">
        <f>-'Foglio deposito bis'!$F$89*(C2303-sezione!$AM$36)*IF(ABS(L2303)&lt;'Progetto del paramento slu'!$G$58,ABS(L2303)*'Progetto del paramento slu'!$G$54,'Progetto del paramento slu'!$G$53)</f>
        <v>20991098.55352053</v>
      </c>
      <c r="G2303" s="553">
        <f>-'Foglio deposito bis'!$F$90*(C2303-sezione!$AN$36)*IF(ABS(M2303)&lt;'Progetto del paramento slu'!$G$58,ABS(M2303)*'Progetto del paramento slu'!$G$54,'Progetto del paramento slu'!$G$53)</f>
        <v>0</v>
      </c>
      <c r="H2303" s="553">
        <f>-'Foglio deposito bis'!$F$91*(C2303-sezione!$AO$36)*IF(ABS(N2303)&lt;'Progetto del paramento slu'!$G$58,ABS(N2303)*'Progetto del paramento slu'!$G$54,'Progetto del paramento slu'!$G$53)</f>
        <v>291488544.56082922</v>
      </c>
      <c r="I2303" s="479">
        <f>-'Foglio deposito bis'!$F$92*(C2303-sezione!$AP$36)*IF(ABS(O2303)&lt;'Progetto del paramento slu'!$G$58,ABS(O2303)*'Progetto del paramento slu'!$G$54,'Progetto del paramento slu'!$G$53)</f>
        <v>409878965.84640843</v>
      </c>
      <c r="J2303" s="479">
        <f t="shared" si="170"/>
        <v>720881158.62542796</v>
      </c>
      <c r="K2303" s="558">
        <f>'Progetto del paramento slu'!$G$60*(sezione!$AL$36-C2303)/C2303</f>
        <v>6.9501918796907184E-3</v>
      </c>
      <c r="L2303" s="558">
        <f>'Progetto del paramento slu'!$G$60*(sezione!$AM$36-C2303)/C2303</f>
        <v>3.5688219548840196E-2</v>
      </c>
      <c r="M2303" s="559">
        <f>'Progetto del paramento slu'!$G$60*(sezione!$AN$36-C2303)/C2303</f>
        <v>6.442624721798966E-2</v>
      </c>
      <c r="N2303" s="559">
        <f>'Progetto del paramento slu'!$G$60*(sezione!$AO$36-C2303)/C2303</f>
        <v>8.5326630977371115E-2</v>
      </c>
      <c r="O2303" s="559">
        <f>'Progetto del paramento slu'!$G$60*(sezione!$AP$36-C2303)/C2303</f>
        <v>6.4428595999097185E-2</v>
      </c>
      <c r="P2303" s="553">
        <f>-'Progetto del paramento slu'!$G$47*'Progetto del paramento slu'!$G$41*IF(DATI!$G$218="dx",DATI!$E$61,DATI!$E$64*DATI!$E$63)*1000*C2303*sezione!$AD$5</f>
        <v>-188840.99188984509</v>
      </c>
      <c r="Q2303" s="553">
        <f>'Foglio deposito bis'!$F$88*IF(ABS(K2303)&lt;'Progetto del paramento slu'!$G$58,ABS(K2303)*'Progetto del paramento slu'!$G$54,'Progetto del paramento slu'!$G$53)*IF(K2303&lt;0,-1,1)</f>
        <v>0</v>
      </c>
      <c r="R2303" s="553">
        <f>'Foglio deposito bis'!$F$89*IF(ABS(L2303)&lt;'Progetto del paramento slu'!$G$58,ABS(L2303)*'Progetto del paramento slu'!$G$54,'Progetto del paramento slu'!$G$53)*IF(L2303&lt;0,-1,1)</f>
        <v>153664.85805602249</v>
      </c>
      <c r="S2303" s="553">
        <f>'Foglio deposito bis'!$F$90*IF(ABS(M2303)&lt;'Progetto del paramento slu'!$G$58,ABS(M2303)*'Progetto del paramento slu'!$G$54,'Progetto del paramento slu'!$G$53)*IF(M2303&lt;0,-1,1)</f>
        <v>0</v>
      </c>
      <c r="T2303" s="553">
        <f>'Foglio deposito bis'!$F$91*IF(ABS(N2303)&lt;'Progetto del paramento slu'!$G$58,ABS(N2303)*'Progetto del paramento slu'!$G$54,'Progetto del paramento slu'!$G$53)*IF(N2303&lt;0,-1,1)</f>
        <v>892485.49558937876</v>
      </c>
      <c r="U2303" s="553">
        <f>'Foglio deposito bis'!$F$92*IF(ABS(O2303)&lt;'Progetto del paramento slu'!$G$58,ABS(O2303)*'Progetto del paramento slu'!$G$54,'Progetto del paramento slu'!$G$53)*IF(O2303&lt;0,-1,1)</f>
        <v>1662039.1047339395</v>
      </c>
      <c r="V2303" s="479">
        <f t="shared" si="172"/>
        <v>2519348.4664894957</v>
      </c>
      <c r="W2303" s="559"/>
      <c r="X2303" s="559"/>
    </row>
    <row r="2304" spans="1:24" x14ac:dyDescent="0.25">
      <c r="A2304" s="553">
        <f t="shared" si="171"/>
        <v>2516487.2393396497</v>
      </c>
      <c r="B2304" s="3">
        <f t="shared" si="173"/>
        <v>3.3499999999999961</v>
      </c>
      <c r="C2304" s="553">
        <f>'Foglio deposito bis'!$E$162/sezione!$B$247*B2304</f>
        <v>13.599866275892564</v>
      </c>
      <c r="D2304" s="611">
        <f>-'Progetto del paramento slu'!$G$47*'Progetto del paramento slu'!$G$41*IF(DATI!$G$218="dx",DATI!$E$61,DATI!$E$64*DATI!$E$63)*1000*C2304^2*sezione!$AD$5*(1-sezione!$AD$6)</f>
        <v>-1522560.7335392935</v>
      </c>
      <c r="E2304" s="553">
        <f>-'Foglio deposito bis'!$F$88*(C2304-sezione!$AL$36)*IF(ABS(K2304)&lt;'Progetto del paramento slu'!$G$58,ABS(K2304)*'Progetto del paramento slu'!$G$54,'Progetto del paramento slu'!$G$53)</f>
        <v>0</v>
      </c>
      <c r="F2304" s="553">
        <f>-'Foglio deposito bis'!$F$89*(C2304-sezione!$AM$36)*IF(ABS(L2304)&lt;'Progetto del paramento slu'!$G$58,ABS(L2304)*'Progetto del paramento slu'!$G$54,'Progetto del paramento slu'!$G$53)</f>
        <v>20959907.187537454</v>
      </c>
      <c r="G2304" s="553">
        <f>-'Foglio deposito bis'!$F$90*(C2304-sezione!$AN$36)*IF(ABS(M2304)&lt;'Progetto del paramento slu'!$G$58,ABS(M2304)*'Progetto del paramento slu'!$G$54,'Progetto del paramento slu'!$G$53)</f>
        <v>0</v>
      </c>
      <c r="H2304" s="553">
        <f>-'Foglio deposito bis'!$F$91*(C2304-sezione!$AO$36)*IF(ABS(N2304)&lt;'Progetto del paramento slu'!$G$58,ABS(N2304)*'Progetto del paramento slu'!$G$54,'Progetto del paramento slu'!$G$53)</f>
        <v>291307385.10719955</v>
      </c>
      <c r="I2304" s="479">
        <f>-'Foglio deposito bis'!$F$92*(C2304-sezione!$AP$36)*IF(ABS(O2304)&lt;'Progetto del paramento slu'!$G$58,ABS(O2304)*'Progetto del paramento slu'!$G$54,'Progetto del paramento slu'!$G$53)</f>
        <v>409541600.03193551</v>
      </c>
      <c r="J2304" s="479">
        <f t="shared" si="170"/>
        <v>720286331.59313321</v>
      </c>
      <c r="K2304" s="558">
        <f>'Progetto del paramento slu'!$G$60*(sezione!$AL$36-C2304)/C2304</f>
        <v>6.7942188665610047E-3</v>
      </c>
      <c r="L2304" s="558">
        <f>'Progetto del paramento slu'!$G$60*(sezione!$AM$36-C2304)/C2304</f>
        <v>3.5103320749603768E-2</v>
      </c>
      <c r="M2304" s="559">
        <f>'Progetto del paramento slu'!$G$60*(sezione!$AN$36-C2304)/C2304</f>
        <v>6.3412422632646542E-2</v>
      </c>
      <c r="N2304" s="559">
        <f>'Progetto del paramento slu'!$G$60*(sezione!$AO$36-C2304)/C2304</f>
        <v>8.4000860365768551E-2</v>
      </c>
      <c r="O2304" s="559">
        <f>'Progetto del paramento slu'!$G$60*(sezione!$AP$36-C2304)/C2304</f>
        <v>6.3414736357319618E-2</v>
      </c>
      <c r="P2304" s="553">
        <f>-'Progetto del paramento slu'!$G$47*'Progetto del paramento slu'!$G$41*IF(DATI!$G$218="dx",DATI!$E$61,DATI!$E$64*DATI!$E$63)*1000*C2304*sezione!$AD$5</f>
        <v>-191702.21903969123</v>
      </c>
      <c r="Q2304" s="553">
        <f>'Foglio deposito bis'!$F$88*IF(ABS(K2304)&lt;'Progetto del paramento slu'!$G$58,ABS(K2304)*'Progetto del paramento slu'!$G$54,'Progetto del paramento slu'!$G$53)*IF(K2304&lt;0,-1,1)</f>
        <v>0</v>
      </c>
      <c r="R2304" s="553">
        <f>'Foglio deposito bis'!$F$89*IF(ABS(L2304)&lt;'Progetto del paramento slu'!$G$58,ABS(L2304)*'Progetto del paramento slu'!$G$54,'Progetto del paramento slu'!$G$53)*IF(L2304&lt;0,-1,1)</f>
        <v>153664.85805602249</v>
      </c>
      <c r="S2304" s="553">
        <f>'Foglio deposito bis'!$F$90*IF(ABS(M2304)&lt;'Progetto del paramento slu'!$G$58,ABS(M2304)*'Progetto del paramento slu'!$G$54,'Progetto del paramento slu'!$G$53)*IF(M2304&lt;0,-1,1)</f>
        <v>0</v>
      </c>
      <c r="T2304" s="553">
        <f>'Foglio deposito bis'!$F$91*IF(ABS(N2304)&lt;'Progetto del paramento slu'!$G$58,ABS(N2304)*'Progetto del paramento slu'!$G$54,'Progetto del paramento slu'!$G$53)*IF(N2304&lt;0,-1,1)</f>
        <v>892485.49558937876</v>
      </c>
      <c r="U2304" s="553">
        <f>'Foglio deposito bis'!$F$92*IF(ABS(O2304)&lt;'Progetto del paramento slu'!$G$58,ABS(O2304)*'Progetto del paramento slu'!$G$54,'Progetto del paramento slu'!$G$53)*IF(O2304&lt;0,-1,1)</f>
        <v>1662039.1047339395</v>
      </c>
      <c r="V2304" s="479">
        <f t="shared" si="172"/>
        <v>2516487.2393396497</v>
      </c>
      <c r="W2304" s="559"/>
      <c r="X2304" s="559"/>
    </row>
    <row r="2305" spans="1:24" x14ac:dyDescent="0.25">
      <c r="A2305" s="553">
        <f t="shared" si="171"/>
        <v>2513626.0121898036</v>
      </c>
      <c r="B2305" s="3">
        <f t="shared" si="173"/>
        <v>3.3999999999999959</v>
      </c>
      <c r="C2305" s="553">
        <f>'Foglio deposito bis'!$E$162/sezione!$B$247*B2305</f>
        <v>13.802849354637228</v>
      </c>
      <c r="D2305" s="611">
        <f>-'Progetto del paramento slu'!$G$47*'Progetto del paramento slu'!$G$41*IF(DATI!$G$218="dx",DATI!$E$61,DATI!$E$64*DATI!$E$63)*1000*C2305^2*sezione!$AD$5*(1-sezione!$AD$6)</f>
        <v>-1568349.483601179</v>
      </c>
      <c r="E2305" s="553">
        <f>-'Foglio deposito bis'!$F$88*(C2305-sezione!$AL$36)*IF(ABS(K2305)&lt;'Progetto del paramento slu'!$G$58,ABS(K2305)*'Progetto del paramento slu'!$G$54,'Progetto del paramento slu'!$G$53)</f>
        <v>0</v>
      </c>
      <c r="F2305" s="553">
        <f>-'Foglio deposito bis'!$F$89*(C2305-sezione!$AM$36)*IF(ABS(L2305)&lt;'Progetto del paramento slu'!$G$58,ABS(L2305)*'Progetto del paramento slu'!$G$54,'Progetto del paramento slu'!$G$53)</f>
        <v>20928715.821554381</v>
      </c>
      <c r="G2305" s="553">
        <f>-'Foglio deposito bis'!$F$90*(C2305-sezione!$AN$36)*IF(ABS(M2305)&lt;'Progetto del paramento slu'!$G$58,ABS(M2305)*'Progetto del paramento slu'!$G$54,'Progetto del paramento slu'!$G$53)</f>
        <v>0</v>
      </c>
      <c r="H2305" s="553">
        <f>-'Foglio deposito bis'!$F$91*(C2305-sezione!$AO$36)*IF(ABS(N2305)&lt;'Progetto del paramento slu'!$G$58,ABS(N2305)*'Progetto del paramento slu'!$G$54,'Progetto del paramento slu'!$G$53)</f>
        <v>291126225.65356988</v>
      </c>
      <c r="I2305" s="479">
        <f>-'Foglio deposito bis'!$F$92*(C2305-sezione!$AP$36)*IF(ABS(O2305)&lt;'Progetto del paramento slu'!$G$58,ABS(O2305)*'Progetto del paramento slu'!$G$54,'Progetto del paramento slu'!$G$53)</f>
        <v>409204234.2174626</v>
      </c>
      <c r="J2305" s="479">
        <f t="shared" si="170"/>
        <v>719690826.20898569</v>
      </c>
      <c r="K2305" s="558">
        <f>'Progetto del paramento slu'!$G$60*(sezione!$AL$36-C2305)/C2305</f>
        <v>6.6428332949939337E-3</v>
      </c>
      <c r="L2305" s="558">
        <f>'Progetto del paramento slu'!$G$60*(sezione!$AM$36-C2305)/C2305</f>
        <v>3.453562485622725E-2</v>
      </c>
      <c r="M2305" s="559">
        <f>'Progetto del paramento slu'!$G$60*(sezione!$AN$36-C2305)/C2305</f>
        <v>6.2428416417460567E-2</v>
      </c>
      <c r="N2305" s="559">
        <f>'Progetto del paramento slu'!$G$60*(sezione!$AO$36-C2305)/C2305</f>
        <v>8.2714083007448438E-2</v>
      </c>
      <c r="O2305" s="559">
        <f>'Progetto del paramento slu'!$G$60*(sezione!$AP$36-C2305)/C2305</f>
        <v>6.2430696116770802E-2</v>
      </c>
      <c r="P2305" s="553">
        <f>-'Progetto del paramento slu'!$G$47*'Progetto del paramento slu'!$G$41*IF(DATI!$G$218="dx",DATI!$E$61,DATI!$E$64*DATI!$E$63)*1000*C2305*sezione!$AD$5</f>
        <v>-194563.44618953738</v>
      </c>
      <c r="Q2305" s="553">
        <f>'Foglio deposito bis'!$F$88*IF(ABS(K2305)&lt;'Progetto del paramento slu'!$G$58,ABS(K2305)*'Progetto del paramento slu'!$G$54,'Progetto del paramento slu'!$G$53)*IF(K2305&lt;0,-1,1)</f>
        <v>0</v>
      </c>
      <c r="R2305" s="553">
        <f>'Foglio deposito bis'!$F$89*IF(ABS(L2305)&lt;'Progetto del paramento slu'!$G$58,ABS(L2305)*'Progetto del paramento slu'!$G$54,'Progetto del paramento slu'!$G$53)*IF(L2305&lt;0,-1,1)</f>
        <v>153664.85805602249</v>
      </c>
      <c r="S2305" s="553">
        <f>'Foglio deposito bis'!$F$90*IF(ABS(M2305)&lt;'Progetto del paramento slu'!$G$58,ABS(M2305)*'Progetto del paramento slu'!$G$54,'Progetto del paramento slu'!$G$53)*IF(M2305&lt;0,-1,1)</f>
        <v>0</v>
      </c>
      <c r="T2305" s="553">
        <f>'Foglio deposito bis'!$F$91*IF(ABS(N2305)&lt;'Progetto del paramento slu'!$G$58,ABS(N2305)*'Progetto del paramento slu'!$G$54,'Progetto del paramento slu'!$G$53)*IF(N2305&lt;0,-1,1)</f>
        <v>892485.49558937876</v>
      </c>
      <c r="U2305" s="553">
        <f>'Foglio deposito bis'!$F$92*IF(ABS(O2305)&lt;'Progetto del paramento slu'!$G$58,ABS(O2305)*'Progetto del paramento slu'!$G$54,'Progetto del paramento slu'!$G$53)*IF(O2305&lt;0,-1,1)</f>
        <v>1662039.1047339395</v>
      </c>
      <c r="V2305" s="479">
        <f t="shared" si="172"/>
        <v>2513626.0121898036</v>
      </c>
      <c r="W2305" s="559"/>
      <c r="X2305" s="559"/>
    </row>
    <row r="2306" spans="1:24" x14ac:dyDescent="0.25">
      <c r="A2306" s="553">
        <f t="shared" si="171"/>
        <v>2510764.7850399571</v>
      </c>
      <c r="B2306" s="3">
        <f t="shared" si="173"/>
        <v>3.4499999999999957</v>
      </c>
      <c r="C2306" s="553">
        <f>'Foglio deposito bis'!$E$162/sezione!$B$247*B2306</f>
        <v>14.005832433381894</v>
      </c>
      <c r="D2306" s="611">
        <f>-'Progetto del paramento slu'!$G$47*'Progetto del paramento slu'!$G$41*IF(DATI!$G$218="dx",DATI!$E$61,DATI!$E$64*DATI!$E$63)*1000*C2306^2*sezione!$AD$5*(1-sezione!$AD$6)</f>
        <v>-1614816.585515833</v>
      </c>
      <c r="E2306" s="553">
        <f>-'Foglio deposito bis'!$F$88*(C2306-sezione!$AL$36)*IF(ABS(K2306)&lt;'Progetto del paramento slu'!$G$58,ABS(K2306)*'Progetto del paramento slu'!$G$54,'Progetto del paramento slu'!$G$53)</f>
        <v>0</v>
      </c>
      <c r="F2306" s="553">
        <f>-'Foglio deposito bis'!$F$89*(C2306-sezione!$AM$36)*IF(ABS(L2306)&lt;'Progetto del paramento slu'!$G$58,ABS(L2306)*'Progetto del paramento slu'!$G$54,'Progetto del paramento slu'!$G$53)</f>
        <v>20897524.455571309</v>
      </c>
      <c r="G2306" s="553">
        <f>-'Foglio deposito bis'!$F$90*(C2306-sezione!$AN$36)*IF(ABS(M2306)&lt;'Progetto del paramento slu'!$G$58,ABS(M2306)*'Progetto del paramento slu'!$G$54,'Progetto del paramento slu'!$G$53)</f>
        <v>0</v>
      </c>
      <c r="H2306" s="553">
        <f>-'Foglio deposito bis'!$F$91*(C2306-sezione!$AO$36)*IF(ABS(N2306)&lt;'Progetto del paramento slu'!$G$58,ABS(N2306)*'Progetto del paramento slu'!$G$54,'Progetto del paramento slu'!$G$53)</f>
        <v>290945066.19994015</v>
      </c>
      <c r="I2306" s="479">
        <f>-'Foglio deposito bis'!$F$92*(C2306-sezione!$AP$36)*IF(ABS(O2306)&lt;'Progetto del paramento slu'!$G$58,ABS(O2306)*'Progetto del paramento slu'!$G$54,'Progetto del paramento slu'!$G$53)</f>
        <v>408866868.40298969</v>
      </c>
      <c r="J2306" s="479">
        <f t="shared" si="170"/>
        <v>719094642.47298527</v>
      </c>
      <c r="K2306" s="558">
        <f>'Progetto del paramento slu'!$G$60*(sezione!$AL$36-C2306)/C2306</f>
        <v>6.4958357110085135E-3</v>
      </c>
      <c r="L2306" s="558">
        <f>'Progetto del paramento slu'!$G$60*(sezione!$AM$36-C2306)/C2306</f>
        <v>3.3984383916281925E-2</v>
      </c>
      <c r="M2306" s="559">
        <f>'Progetto del paramento slu'!$G$60*(sezione!$AN$36-C2306)/C2306</f>
        <v>6.1472932121555343E-2</v>
      </c>
      <c r="N2306" s="559">
        <f>'Progetto del paramento slu'!$G$60*(sezione!$AO$36-C2306)/C2306</f>
        <v>8.1464603543572364E-2</v>
      </c>
      <c r="O2306" s="559">
        <f>'Progetto del paramento slu'!$G$60*(sezione!$AP$36-C2306)/C2306</f>
        <v>6.1475178781745139E-2</v>
      </c>
      <c r="P2306" s="553">
        <f>-'Progetto del paramento slu'!$G$47*'Progetto del paramento slu'!$G$41*IF(DATI!$G$218="dx",DATI!$E$61,DATI!$E$64*DATI!$E$63)*1000*C2306*sezione!$AD$5</f>
        <v>-197424.6733393835</v>
      </c>
      <c r="Q2306" s="553">
        <f>'Foglio deposito bis'!$F$88*IF(ABS(K2306)&lt;'Progetto del paramento slu'!$G$58,ABS(K2306)*'Progetto del paramento slu'!$G$54,'Progetto del paramento slu'!$G$53)*IF(K2306&lt;0,-1,1)</f>
        <v>0</v>
      </c>
      <c r="R2306" s="553">
        <f>'Foglio deposito bis'!$F$89*IF(ABS(L2306)&lt;'Progetto del paramento slu'!$G$58,ABS(L2306)*'Progetto del paramento slu'!$G$54,'Progetto del paramento slu'!$G$53)*IF(L2306&lt;0,-1,1)</f>
        <v>153664.85805602249</v>
      </c>
      <c r="S2306" s="553">
        <f>'Foglio deposito bis'!$F$90*IF(ABS(M2306)&lt;'Progetto del paramento slu'!$G$58,ABS(M2306)*'Progetto del paramento slu'!$G$54,'Progetto del paramento slu'!$G$53)*IF(M2306&lt;0,-1,1)</f>
        <v>0</v>
      </c>
      <c r="T2306" s="553">
        <f>'Foglio deposito bis'!$F$91*IF(ABS(N2306)&lt;'Progetto del paramento slu'!$G$58,ABS(N2306)*'Progetto del paramento slu'!$G$54,'Progetto del paramento slu'!$G$53)*IF(N2306&lt;0,-1,1)</f>
        <v>892485.49558937876</v>
      </c>
      <c r="U2306" s="553">
        <f>'Foglio deposito bis'!$F$92*IF(ABS(O2306)&lt;'Progetto del paramento slu'!$G$58,ABS(O2306)*'Progetto del paramento slu'!$G$54,'Progetto del paramento slu'!$G$53)*IF(O2306&lt;0,-1,1)</f>
        <v>1662039.1047339395</v>
      </c>
      <c r="V2306" s="479">
        <f t="shared" si="172"/>
        <v>2510764.7850399571</v>
      </c>
      <c r="W2306" s="559"/>
      <c r="X2306" s="559"/>
    </row>
    <row r="2307" spans="1:24" x14ac:dyDescent="0.25">
      <c r="A2307" s="553">
        <f t="shared" si="171"/>
        <v>2507903.5578901111</v>
      </c>
      <c r="B2307" s="3">
        <f t="shared" si="173"/>
        <v>3.4999999999999956</v>
      </c>
      <c r="C2307" s="553">
        <f>'Foglio deposito bis'!$E$162/sezione!$B$247*B2307</f>
        <v>14.208815512126558</v>
      </c>
      <c r="D2307" s="611">
        <f>-'Progetto del paramento slu'!$G$47*'Progetto del paramento slu'!$G$41*IF(DATI!$G$218="dx",DATI!$E$61,DATI!$E$64*DATI!$E$63)*1000*C2307^2*sezione!$AD$5*(1-sezione!$AD$6)</f>
        <v>-1661962.039283256</v>
      </c>
      <c r="E2307" s="553">
        <f>-'Foglio deposito bis'!$F$88*(C2307-sezione!$AL$36)*IF(ABS(K2307)&lt;'Progetto del paramento slu'!$G$58,ABS(K2307)*'Progetto del paramento slu'!$G$54,'Progetto del paramento slu'!$G$53)</f>
        <v>0</v>
      </c>
      <c r="F2307" s="553">
        <f>-'Foglio deposito bis'!$F$89*(C2307-sezione!$AM$36)*IF(ABS(L2307)&lt;'Progetto del paramento slu'!$G$58,ABS(L2307)*'Progetto del paramento slu'!$G$54,'Progetto del paramento slu'!$G$53)</f>
        <v>20866333.089588236</v>
      </c>
      <c r="G2307" s="553">
        <f>-'Foglio deposito bis'!$F$90*(C2307-sezione!$AN$36)*IF(ABS(M2307)&lt;'Progetto del paramento slu'!$G$58,ABS(M2307)*'Progetto del paramento slu'!$G$54,'Progetto del paramento slu'!$G$53)</f>
        <v>0</v>
      </c>
      <c r="H2307" s="553">
        <f>-'Foglio deposito bis'!$F$91*(C2307-sezione!$AO$36)*IF(ABS(N2307)&lt;'Progetto del paramento slu'!$G$58,ABS(N2307)*'Progetto del paramento slu'!$G$54,'Progetto del paramento slu'!$G$53)</f>
        <v>290763906.74631047</v>
      </c>
      <c r="I2307" s="479">
        <f>-'Foglio deposito bis'!$F$92*(C2307-sezione!$AP$36)*IF(ABS(O2307)&lt;'Progetto del paramento slu'!$G$58,ABS(O2307)*'Progetto del paramento slu'!$G$54,'Progetto del paramento slu'!$G$53)</f>
        <v>408529502.58851677</v>
      </c>
      <c r="J2307" s="479">
        <f t="shared" si="170"/>
        <v>718497780.38513231</v>
      </c>
      <c r="K2307" s="558">
        <f>'Progetto del paramento slu'!$G$60*(sezione!$AL$36-C2307)/C2307</f>
        <v>6.353038057994107E-3</v>
      </c>
      <c r="L2307" s="558">
        <f>'Progetto del paramento slu'!$G$60*(sezione!$AM$36-C2307)/C2307</f>
        <v>3.3448892717477897E-2</v>
      </c>
      <c r="M2307" s="559">
        <f>'Progetto del paramento slu'!$G$60*(sezione!$AN$36-C2307)/C2307</f>
        <v>6.0544747376961701E-2</v>
      </c>
      <c r="N2307" s="559">
        <f>'Progetto del paramento slu'!$G$60*(sezione!$AO$36-C2307)/C2307</f>
        <v>8.0250823492949916E-2</v>
      </c>
      <c r="O2307" s="559">
        <f>'Progetto del paramento slu'!$G$60*(sezione!$AP$36-C2307)/C2307</f>
        <v>6.0546961942005928E-2</v>
      </c>
      <c r="P2307" s="553">
        <f>-'Progetto del paramento slu'!$G$47*'Progetto del paramento slu'!$G$41*IF(DATI!$G$218="dx",DATI!$E$61,DATI!$E$64*DATI!$E$63)*1000*C2307*sezione!$AD$5</f>
        <v>-200285.90048922962</v>
      </c>
      <c r="Q2307" s="553">
        <f>'Foglio deposito bis'!$F$88*IF(ABS(K2307)&lt;'Progetto del paramento slu'!$G$58,ABS(K2307)*'Progetto del paramento slu'!$G$54,'Progetto del paramento slu'!$G$53)*IF(K2307&lt;0,-1,1)</f>
        <v>0</v>
      </c>
      <c r="R2307" s="553">
        <f>'Foglio deposito bis'!$F$89*IF(ABS(L2307)&lt;'Progetto del paramento slu'!$G$58,ABS(L2307)*'Progetto del paramento slu'!$G$54,'Progetto del paramento slu'!$G$53)*IF(L2307&lt;0,-1,1)</f>
        <v>153664.85805602249</v>
      </c>
      <c r="S2307" s="553">
        <f>'Foglio deposito bis'!$F$90*IF(ABS(M2307)&lt;'Progetto del paramento slu'!$G$58,ABS(M2307)*'Progetto del paramento slu'!$G$54,'Progetto del paramento slu'!$G$53)*IF(M2307&lt;0,-1,1)</f>
        <v>0</v>
      </c>
      <c r="T2307" s="553">
        <f>'Foglio deposito bis'!$F$91*IF(ABS(N2307)&lt;'Progetto del paramento slu'!$G$58,ABS(N2307)*'Progetto del paramento slu'!$G$54,'Progetto del paramento slu'!$G$53)*IF(N2307&lt;0,-1,1)</f>
        <v>892485.49558937876</v>
      </c>
      <c r="U2307" s="553">
        <f>'Foglio deposito bis'!$F$92*IF(ABS(O2307)&lt;'Progetto del paramento slu'!$G$58,ABS(O2307)*'Progetto del paramento slu'!$G$54,'Progetto del paramento slu'!$G$53)*IF(O2307&lt;0,-1,1)</f>
        <v>1662039.1047339395</v>
      </c>
      <c r="V2307" s="479">
        <f t="shared" si="172"/>
        <v>2507903.5578901111</v>
      </c>
      <c r="W2307" s="559"/>
      <c r="X2307" s="559"/>
    </row>
    <row r="2308" spans="1:24" x14ac:dyDescent="0.25">
      <c r="A2308" s="553">
        <f t="shared" si="171"/>
        <v>2505042.3307402651</v>
      </c>
      <c r="B2308" s="3">
        <f t="shared" si="173"/>
        <v>3.5499999999999954</v>
      </c>
      <c r="C2308" s="553">
        <f>'Foglio deposito bis'!$E$162/sezione!$B$247*B2308</f>
        <v>14.411798590871223</v>
      </c>
      <c r="D2308" s="611">
        <f>-'Progetto del paramento slu'!$G$47*'Progetto del paramento slu'!$G$41*IF(DATI!$G$218="dx",DATI!$E$61,DATI!$E$64*DATI!$E$63)*1000*C2308^2*sezione!$AD$5*(1-sezione!$AD$6)</f>
        <v>-1709785.8449034474</v>
      </c>
      <c r="E2308" s="553">
        <f>-'Foglio deposito bis'!$F$88*(C2308-sezione!$AL$36)*IF(ABS(K2308)&lt;'Progetto del paramento slu'!$G$58,ABS(K2308)*'Progetto del paramento slu'!$G$54,'Progetto del paramento slu'!$G$53)</f>
        <v>0</v>
      </c>
      <c r="F2308" s="553">
        <f>-'Foglio deposito bis'!$F$89*(C2308-sezione!$AM$36)*IF(ABS(L2308)&lt;'Progetto del paramento slu'!$G$58,ABS(L2308)*'Progetto del paramento slu'!$G$54,'Progetto del paramento slu'!$G$53)</f>
        <v>20835141.72360516</v>
      </c>
      <c r="G2308" s="553">
        <f>-'Foglio deposito bis'!$F$90*(C2308-sezione!$AN$36)*IF(ABS(M2308)&lt;'Progetto del paramento slu'!$G$58,ABS(M2308)*'Progetto del paramento slu'!$G$54,'Progetto del paramento slu'!$G$53)</f>
        <v>0</v>
      </c>
      <c r="H2308" s="553">
        <f>-'Foglio deposito bis'!$F$91*(C2308-sezione!$AO$36)*IF(ABS(N2308)&lt;'Progetto del paramento slu'!$G$58,ABS(N2308)*'Progetto del paramento slu'!$G$54,'Progetto del paramento slu'!$G$53)</f>
        <v>290582747.29268074</v>
      </c>
      <c r="I2308" s="479">
        <f>-'Foglio deposito bis'!$F$92*(C2308-sezione!$AP$36)*IF(ABS(O2308)&lt;'Progetto del paramento slu'!$G$58,ABS(O2308)*'Progetto del paramento slu'!$G$54,'Progetto del paramento slu'!$G$53)</f>
        <v>408192136.7740438</v>
      </c>
      <c r="J2308" s="479">
        <f t="shared" si="170"/>
        <v>717900239.94542623</v>
      </c>
      <c r="K2308" s="558">
        <f>'Progetto del paramento slu'!$G$60*(sezione!$AL$36-C2308)/C2308</f>
        <v>6.2142628740786974E-3</v>
      </c>
      <c r="L2308" s="558">
        <f>'Progetto del paramento slu'!$G$60*(sezione!$AM$36-C2308)/C2308</f>
        <v>3.2928485777795113E-2</v>
      </c>
      <c r="M2308" s="559">
        <f>'Progetto del paramento slu'!$G$60*(sezione!$AN$36-C2308)/C2308</f>
        <v>5.964270868151153E-2</v>
      </c>
      <c r="N2308" s="559">
        <f>'Progetto del paramento slu'!$G$60*(sezione!$AO$36-C2308)/C2308</f>
        <v>7.9071234429668916E-2</v>
      </c>
      <c r="O2308" s="559">
        <f>'Progetto del paramento slu'!$G$60*(sezione!$AP$36-C2308)/C2308</f>
        <v>5.9644892055498798E-2</v>
      </c>
      <c r="P2308" s="553">
        <f>-'Progetto del paramento slu'!$G$47*'Progetto del paramento slu'!$G$41*IF(DATI!$G$218="dx",DATI!$E$61,DATI!$E$64*DATI!$E$63)*1000*C2308*sezione!$AD$5</f>
        <v>-203147.12763907577</v>
      </c>
      <c r="Q2308" s="553">
        <f>'Foglio deposito bis'!$F$88*IF(ABS(K2308)&lt;'Progetto del paramento slu'!$G$58,ABS(K2308)*'Progetto del paramento slu'!$G$54,'Progetto del paramento slu'!$G$53)*IF(K2308&lt;0,-1,1)</f>
        <v>0</v>
      </c>
      <c r="R2308" s="553">
        <f>'Foglio deposito bis'!$F$89*IF(ABS(L2308)&lt;'Progetto del paramento slu'!$G$58,ABS(L2308)*'Progetto del paramento slu'!$G$54,'Progetto del paramento slu'!$G$53)*IF(L2308&lt;0,-1,1)</f>
        <v>153664.85805602249</v>
      </c>
      <c r="S2308" s="553">
        <f>'Foglio deposito bis'!$F$90*IF(ABS(M2308)&lt;'Progetto del paramento slu'!$G$58,ABS(M2308)*'Progetto del paramento slu'!$G$54,'Progetto del paramento slu'!$G$53)*IF(M2308&lt;0,-1,1)</f>
        <v>0</v>
      </c>
      <c r="T2308" s="553">
        <f>'Foglio deposito bis'!$F$91*IF(ABS(N2308)&lt;'Progetto del paramento slu'!$G$58,ABS(N2308)*'Progetto del paramento slu'!$G$54,'Progetto del paramento slu'!$G$53)*IF(N2308&lt;0,-1,1)</f>
        <v>892485.49558937876</v>
      </c>
      <c r="U2308" s="553">
        <f>'Foglio deposito bis'!$F$92*IF(ABS(O2308)&lt;'Progetto del paramento slu'!$G$58,ABS(O2308)*'Progetto del paramento slu'!$G$54,'Progetto del paramento slu'!$G$53)*IF(O2308&lt;0,-1,1)</f>
        <v>1662039.1047339395</v>
      </c>
      <c r="V2308" s="479">
        <f t="shared" si="172"/>
        <v>2505042.3307402651</v>
      </c>
      <c r="W2308" s="559"/>
      <c r="X2308" s="559"/>
    </row>
    <row r="2309" spans="1:24" x14ac:dyDescent="0.25">
      <c r="A2309" s="553">
        <f t="shared" si="171"/>
        <v>2502181.1035904186</v>
      </c>
      <c r="B2309" s="3">
        <f t="shared" si="173"/>
        <v>3.5999999999999952</v>
      </c>
      <c r="C2309" s="553">
        <f>'Foglio deposito bis'!$E$162/sezione!$B$247*B2309</f>
        <v>14.614781669615887</v>
      </c>
      <c r="D2309" s="611">
        <f>-'Progetto del paramento slu'!$G$47*'Progetto del paramento slu'!$G$41*IF(DATI!$G$218="dx",DATI!$E$61,DATI!$E$64*DATI!$E$63)*1000*C2309^2*sezione!$AD$5*(1-sezione!$AD$6)</f>
        <v>-1758288.0023764074</v>
      </c>
      <c r="E2309" s="553">
        <f>-'Foglio deposito bis'!$F$88*(C2309-sezione!$AL$36)*IF(ABS(K2309)&lt;'Progetto del paramento slu'!$G$58,ABS(K2309)*'Progetto del paramento slu'!$G$54,'Progetto del paramento slu'!$G$53)</f>
        <v>0</v>
      </c>
      <c r="F2309" s="553">
        <f>-'Foglio deposito bis'!$F$89*(C2309-sezione!$AM$36)*IF(ABS(L2309)&lt;'Progetto del paramento slu'!$G$58,ABS(L2309)*'Progetto del paramento slu'!$G$54,'Progetto del paramento slu'!$G$53)</f>
        <v>20803950.357622091</v>
      </c>
      <c r="G2309" s="553">
        <f>-'Foglio deposito bis'!$F$90*(C2309-sezione!$AN$36)*IF(ABS(M2309)&lt;'Progetto del paramento slu'!$G$58,ABS(M2309)*'Progetto del paramento slu'!$G$54,'Progetto del paramento slu'!$G$53)</f>
        <v>0</v>
      </c>
      <c r="H2309" s="553">
        <f>-'Foglio deposito bis'!$F$91*(C2309-sezione!$AO$36)*IF(ABS(N2309)&lt;'Progetto del paramento slu'!$G$58,ABS(N2309)*'Progetto del paramento slu'!$G$54,'Progetto del paramento slu'!$G$53)</f>
        <v>290401587.83905113</v>
      </c>
      <c r="I2309" s="479">
        <f>-'Foglio deposito bis'!$F$92*(C2309-sezione!$AP$36)*IF(ABS(O2309)&lt;'Progetto del paramento slu'!$G$58,ABS(O2309)*'Progetto del paramento slu'!$G$54,'Progetto del paramento slu'!$G$53)</f>
        <v>407854770.95957088</v>
      </c>
      <c r="J2309" s="479">
        <f t="shared" si="170"/>
        <v>717302021.15386772</v>
      </c>
      <c r="K2309" s="558">
        <f>'Progetto del paramento slu'!$G$60*(sezione!$AL$36-C2309)/C2309</f>
        <v>6.0793425563831598E-3</v>
      </c>
      <c r="L2309" s="558">
        <f>'Progetto del paramento slu'!$G$60*(sezione!$AM$36-C2309)/C2309</f>
        <v>3.2422534586436853E-2</v>
      </c>
      <c r="M2309" s="559">
        <f>'Progetto del paramento slu'!$G$60*(sezione!$AN$36-C2309)/C2309</f>
        <v>5.8765726616490543E-2</v>
      </c>
      <c r="N2309" s="559">
        <f>'Progetto del paramento slu'!$G$60*(sezione!$AO$36-C2309)/C2309</f>
        <v>7.7924411729256862E-2</v>
      </c>
      <c r="O2309" s="559">
        <f>'Progetto del paramento slu'!$G$60*(sezione!$AP$36-C2309)/C2309</f>
        <v>5.8767879665839101E-2</v>
      </c>
      <c r="P2309" s="553">
        <f>-'Progetto del paramento slu'!$G$47*'Progetto del paramento slu'!$G$41*IF(DATI!$G$218="dx",DATI!$E$61,DATI!$E$64*DATI!$E$63)*1000*C2309*sezione!$AD$5</f>
        <v>-206008.35478892189</v>
      </c>
      <c r="Q2309" s="553">
        <f>'Foglio deposito bis'!$F$88*IF(ABS(K2309)&lt;'Progetto del paramento slu'!$G$58,ABS(K2309)*'Progetto del paramento slu'!$G$54,'Progetto del paramento slu'!$G$53)*IF(K2309&lt;0,-1,1)</f>
        <v>0</v>
      </c>
      <c r="R2309" s="553">
        <f>'Foglio deposito bis'!$F$89*IF(ABS(L2309)&lt;'Progetto del paramento slu'!$G$58,ABS(L2309)*'Progetto del paramento slu'!$G$54,'Progetto del paramento slu'!$G$53)*IF(L2309&lt;0,-1,1)</f>
        <v>153664.85805602249</v>
      </c>
      <c r="S2309" s="553">
        <f>'Foglio deposito bis'!$F$90*IF(ABS(M2309)&lt;'Progetto del paramento slu'!$G$58,ABS(M2309)*'Progetto del paramento slu'!$G$54,'Progetto del paramento slu'!$G$53)*IF(M2309&lt;0,-1,1)</f>
        <v>0</v>
      </c>
      <c r="T2309" s="553">
        <f>'Foglio deposito bis'!$F$91*IF(ABS(N2309)&lt;'Progetto del paramento slu'!$G$58,ABS(N2309)*'Progetto del paramento slu'!$G$54,'Progetto del paramento slu'!$G$53)*IF(N2309&lt;0,-1,1)</f>
        <v>892485.49558937876</v>
      </c>
      <c r="U2309" s="553">
        <f>'Foglio deposito bis'!$F$92*IF(ABS(O2309)&lt;'Progetto del paramento slu'!$G$58,ABS(O2309)*'Progetto del paramento slu'!$G$54,'Progetto del paramento slu'!$G$53)*IF(O2309&lt;0,-1,1)</f>
        <v>1662039.1047339395</v>
      </c>
      <c r="V2309" s="479">
        <f t="shared" si="172"/>
        <v>2502181.1035904186</v>
      </c>
      <c r="W2309" s="559"/>
      <c r="X2309" s="559"/>
    </row>
    <row r="2310" spans="1:24" x14ac:dyDescent="0.25">
      <c r="A2310" s="553">
        <f t="shared" si="171"/>
        <v>2499319.8764405726</v>
      </c>
      <c r="B2310" s="3">
        <f t="shared" si="173"/>
        <v>3.649999999999995</v>
      </c>
      <c r="C2310" s="553">
        <f>'Foglio deposito bis'!$E$162/sezione!$B$247*B2310</f>
        <v>14.817764748360553</v>
      </c>
      <c r="D2310" s="611">
        <f>-'Progetto del paramento slu'!$G$47*'Progetto del paramento slu'!$G$41*IF(DATI!$G$218="dx",DATI!$E$61,DATI!$E$64*DATI!$E$63)*1000*C2310^2*sezione!$AD$5*(1-sezione!$AD$6)</f>
        <v>-1807468.5117021364</v>
      </c>
      <c r="E2310" s="553">
        <f>-'Foglio deposito bis'!$F$88*(C2310-sezione!$AL$36)*IF(ABS(K2310)&lt;'Progetto del paramento slu'!$G$58,ABS(K2310)*'Progetto del paramento slu'!$G$54,'Progetto del paramento slu'!$G$53)</f>
        <v>0</v>
      </c>
      <c r="F2310" s="553">
        <f>-'Foglio deposito bis'!$F$89*(C2310-sezione!$AM$36)*IF(ABS(L2310)&lt;'Progetto del paramento slu'!$G$58,ABS(L2310)*'Progetto del paramento slu'!$G$54,'Progetto del paramento slu'!$G$53)</f>
        <v>20772758.991639014</v>
      </c>
      <c r="G2310" s="553">
        <f>-'Foglio deposito bis'!$F$90*(C2310-sezione!$AN$36)*IF(ABS(M2310)&lt;'Progetto del paramento slu'!$G$58,ABS(M2310)*'Progetto del paramento slu'!$G$54,'Progetto del paramento slu'!$G$53)</f>
        <v>0</v>
      </c>
      <c r="H2310" s="553">
        <f>-'Foglio deposito bis'!$F$91*(C2310-sezione!$AO$36)*IF(ABS(N2310)&lt;'Progetto del paramento slu'!$G$58,ABS(N2310)*'Progetto del paramento slu'!$G$54,'Progetto del paramento slu'!$G$53)</f>
        <v>290220428.3854214</v>
      </c>
      <c r="I2310" s="479">
        <f>-'Foglio deposito bis'!$F$92*(C2310-sezione!$AP$36)*IF(ABS(O2310)&lt;'Progetto del paramento slu'!$G$58,ABS(O2310)*'Progetto del paramento slu'!$G$54,'Progetto del paramento slu'!$G$53)</f>
        <v>407517405.14509797</v>
      </c>
      <c r="J2310" s="479">
        <f t="shared" si="170"/>
        <v>716703124.01045632</v>
      </c>
      <c r="K2310" s="558">
        <f>'Progetto del paramento slu'!$G$60*(sezione!$AL$36-C2310)/C2310</f>
        <v>5.9481186857477742E-3</v>
      </c>
      <c r="L2310" s="558">
        <f>'Progetto del paramento slu'!$G$60*(sezione!$AM$36-C2310)/C2310</f>
        <v>3.1930445071554153E-2</v>
      </c>
      <c r="M2310" s="559">
        <f>'Progetto del paramento slu'!$G$60*(sezione!$AN$36-C2310)/C2310</f>
        <v>5.7912771457360533E-2</v>
      </c>
      <c r="N2310" s="559">
        <f>'Progetto del paramento slu'!$G$60*(sezione!$AO$36-C2310)/C2310</f>
        <v>7.6809008828856079E-2</v>
      </c>
      <c r="O2310" s="559">
        <f>'Progetto del paramento slu'!$G$60*(sezione!$AP$36-C2310)/C2310</f>
        <v>5.7914895012882404E-2</v>
      </c>
      <c r="P2310" s="553">
        <f>-'Progetto del paramento slu'!$G$47*'Progetto del paramento slu'!$G$41*IF(DATI!$G$218="dx",DATI!$E$61,DATI!$E$64*DATI!$E$63)*1000*C2310*sezione!$AD$5</f>
        <v>-208869.58193876801</v>
      </c>
      <c r="Q2310" s="553">
        <f>'Foglio deposito bis'!$F$88*IF(ABS(K2310)&lt;'Progetto del paramento slu'!$G$58,ABS(K2310)*'Progetto del paramento slu'!$G$54,'Progetto del paramento slu'!$G$53)*IF(K2310&lt;0,-1,1)</f>
        <v>0</v>
      </c>
      <c r="R2310" s="553">
        <f>'Foglio deposito bis'!$F$89*IF(ABS(L2310)&lt;'Progetto del paramento slu'!$G$58,ABS(L2310)*'Progetto del paramento slu'!$G$54,'Progetto del paramento slu'!$G$53)*IF(L2310&lt;0,-1,1)</f>
        <v>153664.85805602249</v>
      </c>
      <c r="S2310" s="553">
        <f>'Foglio deposito bis'!$F$90*IF(ABS(M2310)&lt;'Progetto del paramento slu'!$G$58,ABS(M2310)*'Progetto del paramento slu'!$G$54,'Progetto del paramento slu'!$G$53)*IF(M2310&lt;0,-1,1)</f>
        <v>0</v>
      </c>
      <c r="T2310" s="553">
        <f>'Foglio deposito bis'!$F$91*IF(ABS(N2310)&lt;'Progetto del paramento slu'!$G$58,ABS(N2310)*'Progetto del paramento slu'!$G$54,'Progetto del paramento slu'!$G$53)*IF(N2310&lt;0,-1,1)</f>
        <v>892485.49558937876</v>
      </c>
      <c r="U2310" s="553">
        <f>'Foglio deposito bis'!$F$92*IF(ABS(O2310)&lt;'Progetto del paramento slu'!$G$58,ABS(O2310)*'Progetto del paramento slu'!$G$54,'Progetto del paramento slu'!$G$53)*IF(O2310&lt;0,-1,1)</f>
        <v>1662039.1047339395</v>
      </c>
      <c r="V2310" s="479">
        <f t="shared" si="172"/>
        <v>2499319.8764405726</v>
      </c>
      <c r="W2310" s="559"/>
      <c r="X2310" s="559"/>
    </row>
    <row r="2311" spans="1:24" x14ac:dyDescent="0.25">
      <c r="A2311" s="553">
        <f t="shared" si="171"/>
        <v>2496458.6492907265</v>
      </c>
      <c r="B2311" s="3">
        <f t="shared" si="173"/>
        <v>3.6999999999999948</v>
      </c>
      <c r="C2311" s="553">
        <f>'Foglio deposito bis'!$E$162/sezione!$B$247*B2311</f>
        <v>15.020747827105216</v>
      </c>
      <c r="D2311" s="611">
        <f>-'Progetto del paramento slu'!$G$47*'Progetto del paramento slu'!$G$41*IF(DATI!$G$218="dx",DATI!$E$61,DATI!$E$64*DATI!$E$63)*1000*C2311^2*sezione!$AD$5*(1-sezione!$AD$6)</f>
        <v>-1857327.3728806339</v>
      </c>
      <c r="E2311" s="553">
        <f>-'Foglio deposito bis'!$F$88*(C2311-sezione!$AL$36)*IF(ABS(K2311)&lt;'Progetto del paramento slu'!$G$58,ABS(K2311)*'Progetto del paramento slu'!$G$54,'Progetto del paramento slu'!$G$53)</f>
        <v>0</v>
      </c>
      <c r="F2311" s="553">
        <f>-'Foglio deposito bis'!$F$89*(C2311-sezione!$AM$36)*IF(ABS(L2311)&lt;'Progetto del paramento slu'!$G$58,ABS(L2311)*'Progetto del paramento slu'!$G$54,'Progetto del paramento slu'!$G$53)</f>
        <v>20741567.625655942</v>
      </c>
      <c r="G2311" s="553">
        <f>-'Foglio deposito bis'!$F$90*(C2311-sezione!$AN$36)*IF(ABS(M2311)&lt;'Progetto del paramento slu'!$G$58,ABS(M2311)*'Progetto del paramento slu'!$G$54,'Progetto del paramento slu'!$G$53)</f>
        <v>0</v>
      </c>
      <c r="H2311" s="553">
        <f>-'Foglio deposito bis'!$F$91*(C2311-sezione!$AO$36)*IF(ABS(N2311)&lt;'Progetto del paramento slu'!$G$58,ABS(N2311)*'Progetto del paramento slu'!$G$54,'Progetto del paramento slu'!$G$53)</f>
        <v>290039268.93179172</v>
      </c>
      <c r="I2311" s="479">
        <f>-'Foglio deposito bis'!$F$92*(C2311-sezione!$AP$36)*IF(ABS(O2311)&lt;'Progetto del paramento slu'!$G$58,ABS(O2311)*'Progetto del paramento slu'!$G$54,'Progetto del paramento slu'!$G$53)</f>
        <v>407180039.33062506</v>
      </c>
      <c r="J2311" s="479">
        <f t="shared" si="170"/>
        <v>716103548.51519203</v>
      </c>
      <c r="K2311" s="558">
        <f>'Progetto del paramento slu'!$G$60*(sezione!$AL$36-C2311)/C2311</f>
        <v>5.8204414062106424E-3</v>
      </c>
      <c r="L2311" s="558">
        <f>'Progetto del paramento slu'!$G$60*(sezione!$AM$36-C2311)/C2311</f>
        <v>3.1451655273289907E-2</v>
      </c>
      <c r="M2311" s="559">
        <f>'Progetto del paramento slu'!$G$60*(sezione!$AN$36-C2311)/C2311</f>
        <v>5.7082869140369176E-2</v>
      </c>
      <c r="N2311" s="559">
        <f>'Progetto del paramento slu'!$G$60*(sezione!$AO$36-C2311)/C2311</f>
        <v>7.5723751952790463E-2</v>
      </c>
      <c r="O2311" s="559">
        <f>'Progetto del paramento slu'!$G$60*(sezione!$AP$36-C2311)/C2311</f>
        <v>5.7084963999194806E-2</v>
      </c>
      <c r="P2311" s="553">
        <f>-'Progetto del paramento slu'!$G$47*'Progetto del paramento slu'!$G$41*IF(DATI!$G$218="dx",DATI!$E$61,DATI!$E$64*DATI!$E$63)*1000*C2311*sezione!$AD$5</f>
        <v>-211730.80908861416</v>
      </c>
      <c r="Q2311" s="553">
        <f>'Foglio deposito bis'!$F$88*IF(ABS(K2311)&lt;'Progetto del paramento slu'!$G$58,ABS(K2311)*'Progetto del paramento slu'!$G$54,'Progetto del paramento slu'!$G$53)*IF(K2311&lt;0,-1,1)</f>
        <v>0</v>
      </c>
      <c r="R2311" s="553">
        <f>'Foglio deposito bis'!$F$89*IF(ABS(L2311)&lt;'Progetto del paramento slu'!$G$58,ABS(L2311)*'Progetto del paramento slu'!$G$54,'Progetto del paramento slu'!$G$53)*IF(L2311&lt;0,-1,1)</f>
        <v>153664.85805602249</v>
      </c>
      <c r="S2311" s="553">
        <f>'Foglio deposito bis'!$F$90*IF(ABS(M2311)&lt;'Progetto del paramento slu'!$G$58,ABS(M2311)*'Progetto del paramento slu'!$G$54,'Progetto del paramento slu'!$G$53)*IF(M2311&lt;0,-1,1)</f>
        <v>0</v>
      </c>
      <c r="T2311" s="553">
        <f>'Foglio deposito bis'!$F$91*IF(ABS(N2311)&lt;'Progetto del paramento slu'!$G$58,ABS(N2311)*'Progetto del paramento slu'!$G$54,'Progetto del paramento slu'!$G$53)*IF(N2311&lt;0,-1,1)</f>
        <v>892485.49558937876</v>
      </c>
      <c r="U2311" s="553">
        <f>'Foglio deposito bis'!$F$92*IF(ABS(O2311)&lt;'Progetto del paramento slu'!$G$58,ABS(O2311)*'Progetto del paramento slu'!$G$54,'Progetto del paramento slu'!$G$53)*IF(O2311&lt;0,-1,1)</f>
        <v>1662039.1047339395</v>
      </c>
      <c r="V2311" s="479">
        <f t="shared" si="172"/>
        <v>2496458.6492907265</v>
      </c>
      <c r="W2311" s="559"/>
      <c r="X2311" s="559"/>
    </row>
    <row r="2312" spans="1:24" x14ac:dyDescent="0.25">
      <c r="A2312" s="553">
        <f t="shared" si="171"/>
        <v>2493597.4221408805</v>
      </c>
      <c r="B2312" s="3">
        <f t="shared" si="173"/>
        <v>3.7499999999999947</v>
      </c>
      <c r="C2312" s="553">
        <f>'Foglio deposito bis'!$E$162/sezione!$B$247*B2312</f>
        <v>15.22373090584988</v>
      </c>
      <c r="D2312" s="611">
        <f>-'Progetto del paramento slu'!$G$47*'Progetto del paramento slu'!$G$41*IF(DATI!$G$218="dx",DATI!$E$61,DATI!$E$64*DATI!$E$63)*1000*C2312^2*sezione!$AD$5*(1-sezione!$AD$6)</f>
        <v>-1907864.5859118998</v>
      </c>
      <c r="E2312" s="553">
        <f>-'Foglio deposito bis'!$F$88*(C2312-sezione!$AL$36)*IF(ABS(K2312)&lt;'Progetto del paramento slu'!$G$58,ABS(K2312)*'Progetto del paramento slu'!$G$54,'Progetto del paramento slu'!$G$53)</f>
        <v>0</v>
      </c>
      <c r="F2312" s="553">
        <f>-'Foglio deposito bis'!$F$89*(C2312-sezione!$AM$36)*IF(ABS(L2312)&lt;'Progetto del paramento slu'!$G$58,ABS(L2312)*'Progetto del paramento slu'!$G$54,'Progetto del paramento slu'!$G$53)</f>
        <v>20710376.259672869</v>
      </c>
      <c r="G2312" s="553">
        <f>-'Foglio deposito bis'!$F$90*(C2312-sezione!$AN$36)*IF(ABS(M2312)&lt;'Progetto del paramento slu'!$G$58,ABS(M2312)*'Progetto del paramento slu'!$G$54,'Progetto del paramento slu'!$G$53)</f>
        <v>0</v>
      </c>
      <c r="H2312" s="553">
        <f>-'Foglio deposito bis'!$F$91*(C2312-sezione!$AO$36)*IF(ABS(N2312)&lt;'Progetto del paramento slu'!$G$58,ABS(N2312)*'Progetto del paramento slu'!$G$54,'Progetto del paramento slu'!$G$53)</f>
        <v>289858109.47816199</v>
      </c>
      <c r="I2312" s="479">
        <f>-'Foglio deposito bis'!$F$92*(C2312-sezione!$AP$36)*IF(ABS(O2312)&lt;'Progetto del paramento slu'!$G$58,ABS(O2312)*'Progetto del paramento slu'!$G$54,'Progetto del paramento slu'!$G$53)</f>
        <v>406842673.51615214</v>
      </c>
      <c r="J2312" s="479">
        <f t="shared" si="170"/>
        <v>715503294.66807508</v>
      </c>
      <c r="K2312" s="558">
        <f>'Progetto del paramento slu'!$G$60*(sezione!$AL$36-C2312)/C2312</f>
        <v>5.696168854127835E-3</v>
      </c>
      <c r="L2312" s="558">
        <f>'Progetto del paramento slu'!$G$60*(sezione!$AM$36-C2312)/C2312</f>
        <v>3.0985633202979378E-2</v>
      </c>
      <c r="M2312" s="559">
        <f>'Progetto del paramento slu'!$G$60*(sezione!$AN$36-C2312)/C2312</f>
        <v>5.6275097551830924E-2</v>
      </c>
      <c r="N2312" s="559">
        <f>'Progetto del paramento slu'!$G$60*(sezione!$AO$36-C2312)/C2312</f>
        <v>7.4667435260086595E-2</v>
      </c>
      <c r="O2312" s="559">
        <f>'Progetto del paramento slu'!$G$60*(sezione!$AP$36-C2312)/C2312</f>
        <v>5.6277164479205548E-2</v>
      </c>
      <c r="P2312" s="553">
        <f>-'Progetto del paramento slu'!$G$47*'Progetto del paramento slu'!$G$41*IF(DATI!$G$218="dx",DATI!$E$61,DATI!$E$64*DATI!$E$63)*1000*C2312*sezione!$AD$5</f>
        <v>-214592.03623846028</v>
      </c>
      <c r="Q2312" s="553">
        <f>'Foglio deposito bis'!$F$88*IF(ABS(K2312)&lt;'Progetto del paramento slu'!$G$58,ABS(K2312)*'Progetto del paramento slu'!$G$54,'Progetto del paramento slu'!$G$53)*IF(K2312&lt;0,-1,1)</f>
        <v>0</v>
      </c>
      <c r="R2312" s="553">
        <f>'Foglio deposito bis'!$F$89*IF(ABS(L2312)&lt;'Progetto del paramento slu'!$G$58,ABS(L2312)*'Progetto del paramento slu'!$G$54,'Progetto del paramento slu'!$G$53)*IF(L2312&lt;0,-1,1)</f>
        <v>153664.85805602249</v>
      </c>
      <c r="S2312" s="553">
        <f>'Foglio deposito bis'!$F$90*IF(ABS(M2312)&lt;'Progetto del paramento slu'!$G$58,ABS(M2312)*'Progetto del paramento slu'!$G$54,'Progetto del paramento slu'!$G$53)*IF(M2312&lt;0,-1,1)</f>
        <v>0</v>
      </c>
      <c r="T2312" s="553">
        <f>'Foglio deposito bis'!$F$91*IF(ABS(N2312)&lt;'Progetto del paramento slu'!$G$58,ABS(N2312)*'Progetto del paramento slu'!$G$54,'Progetto del paramento slu'!$G$53)*IF(N2312&lt;0,-1,1)</f>
        <v>892485.49558937876</v>
      </c>
      <c r="U2312" s="553">
        <f>'Foglio deposito bis'!$F$92*IF(ABS(O2312)&lt;'Progetto del paramento slu'!$G$58,ABS(O2312)*'Progetto del paramento slu'!$G$54,'Progetto del paramento slu'!$G$53)*IF(O2312&lt;0,-1,1)</f>
        <v>1662039.1047339395</v>
      </c>
      <c r="V2312" s="479">
        <f t="shared" si="172"/>
        <v>2493597.4221408805</v>
      </c>
      <c r="W2312" s="559"/>
      <c r="X2312" s="559"/>
    </row>
    <row r="2313" spans="1:24" x14ac:dyDescent="0.25">
      <c r="A2313" s="553">
        <f t="shared" si="171"/>
        <v>2490736.1949910345</v>
      </c>
      <c r="B2313" s="3">
        <f t="shared" si="173"/>
        <v>3.7999999999999945</v>
      </c>
      <c r="C2313" s="553">
        <f>'Foglio deposito bis'!$E$162/sezione!$B$247*B2313</f>
        <v>15.426713984594546</v>
      </c>
      <c r="D2313" s="611">
        <f>-'Progetto del paramento slu'!$G$47*'Progetto del paramento slu'!$G$41*IF(DATI!$G$218="dx",DATI!$E$61,DATI!$E$64*DATI!$E$63)*1000*C2313^2*sezione!$AD$5*(1-sezione!$AD$6)</f>
        <v>-1959080.1507959352</v>
      </c>
      <c r="E2313" s="553">
        <f>-'Foglio deposito bis'!$F$88*(C2313-sezione!$AL$36)*IF(ABS(K2313)&lt;'Progetto del paramento slu'!$G$58,ABS(K2313)*'Progetto del paramento slu'!$G$54,'Progetto del paramento slu'!$G$53)</f>
        <v>0</v>
      </c>
      <c r="F2313" s="553">
        <f>-'Foglio deposito bis'!$F$89*(C2313-sezione!$AM$36)*IF(ABS(L2313)&lt;'Progetto del paramento slu'!$G$58,ABS(L2313)*'Progetto del paramento slu'!$G$54,'Progetto del paramento slu'!$G$53)</f>
        <v>20679184.893689796</v>
      </c>
      <c r="G2313" s="553">
        <f>-'Foglio deposito bis'!$F$90*(C2313-sezione!$AN$36)*IF(ABS(M2313)&lt;'Progetto del paramento slu'!$G$58,ABS(M2313)*'Progetto del paramento slu'!$G$54,'Progetto del paramento slu'!$G$53)</f>
        <v>0</v>
      </c>
      <c r="H2313" s="553">
        <f>-'Foglio deposito bis'!$F$91*(C2313-sezione!$AO$36)*IF(ABS(N2313)&lt;'Progetto del paramento slu'!$G$58,ABS(N2313)*'Progetto del paramento slu'!$G$54,'Progetto del paramento slu'!$G$53)</f>
        <v>289676950.02453238</v>
      </c>
      <c r="I2313" s="479">
        <f>-'Foglio deposito bis'!$F$92*(C2313-sezione!$AP$36)*IF(ABS(O2313)&lt;'Progetto del paramento slu'!$G$58,ABS(O2313)*'Progetto del paramento slu'!$G$54,'Progetto del paramento slu'!$G$53)</f>
        <v>406505307.70167917</v>
      </c>
      <c r="J2313" s="479">
        <f t="shared" si="170"/>
        <v>714902362.46910548</v>
      </c>
      <c r="K2313" s="558">
        <f>'Progetto del paramento slu'!$G$60*(sezione!$AL$36-C2313)/C2313</f>
        <v>5.5751666323629948E-3</v>
      </c>
      <c r="L2313" s="558">
        <f>'Progetto del paramento slu'!$G$60*(sezione!$AM$36-C2313)/C2313</f>
        <v>3.0531874871361227E-2</v>
      </c>
      <c r="M2313" s="559">
        <f>'Progetto del paramento slu'!$G$60*(sezione!$AN$36-C2313)/C2313</f>
        <v>5.5488583110359466E-2</v>
      </c>
      <c r="N2313" s="559">
        <f>'Progetto del paramento slu'!$G$60*(sezione!$AO$36-C2313)/C2313</f>
        <v>7.3638916375085461E-2</v>
      </c>
      <c r="O2313" s="559">
        <f>'Progetto del paramento slu'!$G$60*(sezione!$AP$36-C2313)/C2313</f>
        <v>5.5490622841321259E-2</v>
      </c>
      <c r="P2313" s="553">
        <f>-'Progetto del paramento slu'!$G$47*'Progetto del paramento slu'!$G$41*IF(DATI!$G$218="dx",DATI!$E$61,DATI!$E$64*DATI!$E$63)*1000*C2313*sezione!$AD$5</f>
        <v>-217453.26338830643</v>
      </c>
      <c r="Q2313" s="553">
        <f>'Foglio deposito bis'!$F$88*IF(ABS(K2313)&lt;'Progetto del paramento slu'!$G$58,ABS(K2313)*'Progetto del paramento slu'!$G$54,'Progetto del paramento slu'!$G$53)*IF(K2313&lt;0,-1,1)</f>
        <v>0</v>
      </c>
      <c r="R2313" s="553">
        <f>'Foglio deposito bis'!$F$89*IF(ABS(L2313)&lt;'Progetto del paramento slu'!$G$58,ABS(L2313)*'Progetto del paramento slu'!$G$54,'Progetto del paramento slu'!$G$53)*IF(L2313&lt;0,-1,1)</f>
        <v>153664.85805602249</v>
      </c>
      <c r="S2313" s="553">
        <f>'Foglio deposito bis'!$F$90*IF(ABS(M2313)&lt;'Progetto del paramento slu'!$G$58,ABS(M2313)*'Progetto del paramento slu'!$G$54,'Progetto del paramento slu'!$G$53)*IF(M2313&lt;0,-1,1)</f>
        <v>0</v>
      </c>
      <c r="T2313" s="553">
        <f>'Foglio deposito bis'!$F$91*IF(ABS(N2313)&lt;'Progetto del paramento slu'!$G$58,ABS(N2313)*'Progetto del paramento slu'!$G$54,'Progetto del paramento slu'!$G$53)*IF(N2313&lt;0,-1,1)</f>
        <v>892485.49558937876</v>
      </c>
      <c r="U2313" s="553">
        <f>'Foglio deposito bis'!$F$92*IF(ABS(O2313)&lt;'Progetto del paramento slu'!$G$58,ABS(O2313)*'Progetto del paramento slu'!$G$54,'Progetto del paramento slu'!$G$53)*IF(O2313&lt;0,-1,1)</f>
        <v>1662039.1047339395</v>
      </c>
      <c r="V2313" s="479">
        <f t="shared" si="172"/>
        <v>2490736.1949910345</v>
      </c>
      <c r="W2313" s="559"/>
      <c r="X2313" s="559"/>
    </row>
    <row r="2314" spans="1:24" x14ac:dyDescent="0.25">
      <c r="A2314" s="553">
        <f t="shared" si="171"/>
        <v>2487874.9678411884</v>
      </c>
      <c r="B2314" s="3">
        <f t="shared" si="173"/>
        <v>3.8499999999999943</v>
      </c>
      <c r="C2314" s="553">
        <f>'Foglio deposito bis'!$E$162/sezione!$B$247*B2314</f>
        <v>15.62969706333921</v>
      </c>
      <c r="D2314" s="611">
        <f>-'Progetto del paramento slu'!$G$47*'Progetto del paramento slu'!$G$41*IF(DATI!$G$218="dx",DATI!$E$61,DATI!$E$64*DATI!$E$63)*1000*C2314^2*sezione!$AD$5*(1-sezione!$AD$6)</f>
        <v>-2010974.0675327384</v>
      </c>
      <c r="E2314" s="553">
        <f>-'Foglio deposito bis'!$F$88*(C2314-sezione!$AL$36)*IF(ABS(K2314)&lt;'Progetto del paramento slu'!$G$58,ABS(K2314)*'Progetto del paramento slu'!$G$54,'Progetto del paramento slu'!$G$53)</f>
        <v>0</v>
      </c>
      <c r="F2314" s="553">
        <f>-'Foglio deposito bis'!$F$89*(C2314-sezione!$AM$36)*IF(ABS(L2314)&lt;'Progetto del paramento slu'!$G$58,ABS(L2314)*'Progetto del paramento slu'!$G$54,'Progetto del paramento slu'!$G$53)</f>
        <v>20647993.52770672</v>
      </c>
      <c r="G2314" s="553">
        <f>-'Foglio deposito bis'!$F$90*(C2314-sezione!$AN$36)*IF(ABS(M2314)&lt;'Progetto del paramento slu'!$G$58,ABS(M2314)*'Progetto del paramento slu'!$G$54,'Progetto del paramento slu'!$G$53)</f>
        <v>0</v>
      </c>
      <c r="H2314" s="553">
        <f>-'Foglio deposito bis'!$F$91*(C2314-sezione!$AO$36)*IF(ABS(N2314)&lt;'Progetto del paramento slu'!$G$58,ABS(N2314)*'Progetto del paramento slu'!$G$54,'Progetto del paramento slu'!$G$53)</f>
        <v>289495790.57090265</v>
      </c>
      <c r="I2314" s="479">
        <f>-'Foglio deposito bis'!$F$92*(C2314-sezione!$AP$36)*IF(ABS(O2314)&lt;'Progetto del paramento slu'!$G$58,ABS(O2314)*'Progetto del paramento slu'!$G$54,'Progetto del paramento slu'!$G$53)</f>
        <v>406167941.88720626</v>
      </c>
      <c r="J2314" s="479">
        <f t="shared" si="170"/>
        <v>714300751.91828287</v>
      </c>
      <c r="K2314" s="558">
        <f>'Progetto del paramento slu'!$G$60*(sezione!$AL$36-C2314)/C2314</f>
        <v>5.4573073254491908E-3</v>
      </c>
      <c r="L2314" s="558">
        <f>'Progetto del paramento slu'!$G$60*(sezione!$AM$36-C2314)/C2314</f>
        <v>3.008990247043446E-2</v>
      </c>
      <c r="M2314" s="559">
        <f>'Progetto del paramento slu'!$G$60*(sezione!$AN$36-C2314)/C2314</f>
        <v>5.4722497615419738E-2</v>
      </c>
      <c r="N2314" s="559">
        <f>'Progetto del paramento slu'!$G$60*(sezione!$AO$36-C2314)/C2314</f>
        <v>7.263711226631811E-2</v>
      </c>
      <c r="O2314" s="559">
        <f>'Progetto del paramento slu'!$G$60*(sezione!$AP$36-C2314)/C2314</f>
        <v>5.4724510856369042E-2</v>
      </c>
      <c r="P2314" s="553">
        <f>-'Progetto del paramento slu'!$G$47*'Progetto del paramento slu'!$G$41*IF(DATI!$G$218="dx",DATI!$E$61,DATI!$E$64*DATI!$E$63)*1000*C2314*sezione!$AD$5</f>
        <v>-220314.49053815252</v>
      </c>
      <c r="Q2314" s="553">
        <f>'Foglio deposito bis'!$F$88*IF(ABS(K2314)&lt;'Progetto del paramento slu'!$G$58,ABS(K2314)*'Progetto del paramento slu'!$G$54,'Progetto del paramento slu'!$G$53)*IF(K2314&lt;0,-1,1)</f>
        <v>0</v>
      </c>
      <c r="R2314" s="553">
        <f>'Foglio deposito bis'!$F$89*IF(ABS(L2314)&lt;'Progetto del paramento slu'!$G$58,ABS(L2314)*'Progetto del paramento slu'!$G$54,'Progetto del paramento slu'!$G$53)*IF(L2314&lt;0,-1,1)</f>
        <v>153664.85805602249</v>
      </c>
      <c r="S2314" s="553">
        <f>'Foglio deposito bis'!$F$90*IF(ABS(M2314)&lt;'Progetto del paramento slu'!$G$58,ABS(M2314)*'Progetto del paramento slu'!$G$54,'Progetto del paramento slu'!$G$53)*IF(M2314&lt;0,-1,1)</f>
        <v>0</v>
      </c>
      <c r="T2314" s="553">
        <f>'Foglio deposito bis'!$F$91*IF(ABS(N2314)&lt;'Progetto del paramento slu'!$G$58,ABS(N2314)*'Progetto del paramento slu'!$G$54,'Progetto del paramento slu'!$G$53)*IF(N2314&lt;0,-1,1)</f>
        <v>892485.49558937876</v>
      </c>
      <c r="U2314" s="553">
        <f>'Foglio deposito bis'!$F$92*IF(ABS(O2314)&lt;'Progetto del paramento slu'!$G$58,ABS(O2314)*'Progetto del paramento slu'!$G$54,'Progetto del paramento slu'!$G$53)*IF(O2314&lt;0,-1,1)</f>
        <v>1662039.1047339395</v>
      </c>
      <c r="V2314" s="479">
        <f t="shared" si="172"/>
        <v>2487874.9678411884</v>
      </c>
      <c r="W2314" s="559"/>
      <c r="X2314" s="559"/>
    </row>
    <row r="2315" spans="1:24" x14ac:dyDescent="0.25">
      <c r="A2315" s="553">
        <f t="shared" si="171"/>
        <v>2485013.7406913424</v>
      </c>
      <c r="B2315" s="3">
        <f t="shared" si="173"/>
        <v>3.8999999999999941</v>
      </c>
      <c r="C2315" s="553">
        <f>'Foglio deposito bis'!$E$162/sezione!$B$247*B2315</f>
        <v>15.832680142083875</v>
      </c>
      <c r="D2315" s="611">
        <f>-'Progetto del paramento slu'!$G$47*'Progetto del paramento slu'!$G$41*IF(DATI!$G$218="dx",DATI!$E$61,DATI!$E$64*DATI!$E$63)*1000*C2315^2*sezione!$AD$5*(1-sezione!$AD$6)</f>
        <v>-2063546.336122311</v>
      </c>
      <c r="E2315" s="553">
        <f>-'Foglio deposito bis'!$F$88*(C2315-sezione!$AL$36)*IF(ABS(K2315)&lt;'Progetto del paramento slu'!$G$58,ABS(K2315)*'Progetto del paramento slu'!$G$54,'Progetto del paramento slu'!$G$53)</f>
        <v>0</v>
      </c>
      <c r="F2315" s="553">
        <f>-'Foglio deposito bis'!$F$89*(C2315-sezione!$AM$36)*IF(ABS(L2315)&lt;'Progetto del paramento slu'!$G$58,ABS(L2315)*'Progetto del paramento slu'!$G$54,'Progetto del paramento slu'!$G$53)</f>
        <v>20616802.161723647</v>
      </c>
      <c r="G2315" s="553">
        <f>-'Foglio deposito bis'!$F$90*(C2315-sezione!$AN$36)*IF(ABS(M2315)&lt;'Progetto del paramento slu'!$G$58,ABS(M2315)*'Progetto del paramento slu'!$G$54,'Progetto del paramento slu'!$G$53)</f>
        <v>0</v>
      </c>
      <c r="H2315" s="553">
        <f>-'Foglio deposito bis'!$F$91*(C2315-sezione!$AO$36)*IF(ABS(N2315)&lt;'Progetto del paramento slu'!$G$58,ABS(N2315)*'Progetto del paramento slu'!$G$54,'Progetto del paramento slu'!$G$53)</f>
        <v>289314631.11727297</v>
      </c>
      <c r="I2315" s="479">
        <f>-'Foglio deposito bis'!$F$92*(C2315-sezione!$AP$36)*IF(ABS(O2315)&lt;'Progetto del paramento slu'!$G$58,ABS(O2315)*'Progetto del paramento slu'!$G$54,'Progetto del paramento slu'!$G$53)</f>
        <v>405830576.07273334</v>
      </c>
      <c r="J2315" s="479">
        <f t="shared" si="170"/>
        <v>713698463.0156076</v>
      </c>
      <c r="K2315" s="558">
        <f>'Progetto del paramento slu'!$G$60*(sezione!$AL$36-C2315)/C2315</f>
        <v>5.3424700520459962E-3</v>
      </c>
      <c r="L2315" s="558">
        <f>'Progetto del paramento slu'!$G$60*(sezione!$AM$36-C2315)/C2315</f>
        <v>2.9659262695172481E-2</v>
      </c>
      <c r="M2315" s="559">
        <f>'Progetto del paramento slu'!$G$60*(sezione!$AN$36-C2315)/C2315</f>
        <v>5.3976055338298967E-2</v>
      </c>
      <c r="N2315" s="559">
        <f>'Progetto del paramento slu'!$G$60*(sezione!$AO$36-C2315)/C2315</f>
        <v>7.1660995442390962E-2</v>
      </c>
      <c r="O2315" s="559">
        <f>'Progetto del paramento slu'!$G$60*(sezione!$AP$36-C2315)/C2315</f>
        <v>5.397804276846687E-2</v>
      </c>
      <c r="P2315" s="553">
        <f>-'Progetto del paramento slu'!$G$47*'Progetto del paramento slu'!$G$41*IF(DATI!$G$218="dx",DATI!$E$61,DATI!$E$64*DATI!$E$63)*1000*C2315*sezione!$AD$5</f>
        <v>-223175.71768799867</v>
      </c>
      <c r="Q2315" s="553">
        <f>'Foglio deposito bis'!$F$88*IF(ABS(K2315)&lt;'Progetto del paramento slu'!$G$58,ABS(K2315)*'Progetto del paramento slu'!$G$54,'Progetto del paramento slu'!$G$53)*IF(K2315&lt;0,-1,1)</f>
        <v>0</v>
      </c>
      <c r="R2315" s="553">
        <f>'Foglio deposito bis'!$F$89*IF(ABS(L2315)&lt;'Progetto del paramento slu'!$G$58,ABS(L2315)*'Progetto del paramento slu'!$G$54,'Progetto del paramento slu'!$G$53)*IF(L2315&lt;0,-1,1)</f>
        <v>153664.85805602249</v>
      </c>
      <c r="S2315" s="553">
        <f>'Foglio deposito bis'!$F$90*IF(ABS(M2315)&lt;'Progetto del paramento slu'!$G$58,ABS(M2315)*'Progetto del paramento slu'!$G$54,'Progetto del paramento slu'!$G$53)*IF(M2315&lt;0,-1,1)</f>
        <v>0</v>
      </c>
      <c r="T2315" s="553">
        <f>'Foglio deposito bis'!$F$91*IF(ABS(N2315)&lt;'Progetto del paramento slu'!$G$58,ABS(N2315)*'Progetto del paramento slu'!$G$54,'Progetto del paramento slu'!$G$53)*IF(N2315&lt;0,-1,1)</f>
        <v>892485.49558937876</v>
      </c>
      <c r="U2315" s="553">
        <f>'Foglio deposito bis'!$F$92*IF(ABS(O2315)&lt;'Progetto del paramento slu'!$G$58,ABS(O2315)*'Progetto del paramento slu'!$G$54,'Progetto del paramento slu'!$G$53)*IF(O2315&lt;0,-1,1)</f>
        <v>1662039.1047339395</v>
      </c>
      <c r="V2315" s="479">
        <f t="shared" si="172"/>
        <v>2485013.7406913424</v>
      </c>
      <c r="W2315" s="559"/>
      <c r="X2315" s="559"/>
    </row>
    <row r="2316" spans="1:24" x14ac:dyDescent="0.25">
      <c r="A2316" s="553">
        <f t="shared" si="171"/>
        <v>2482152.5135414959</v>
      </c>
      <c r="B2316" s="3">
        <f t="shared" si="173"/>
        <v>3.949999999999994</v>
      </c>
      <c r="C2316" s="553">
        <f>'Foglio deposito bis'!$E$162/sezione!$B$247*B2316</f>
        <v>16.035663220828539</v>
      </c>
      <c r="D2316" s="611">
        <f>-'Progetto del paramento slu'!$G$47*'Progetto del paramento slu'!$G$41*IF(DATI!$G$218="dx",DATI!$E$61,DATI!$E$64*DATI!$E$63)*1000*C2316^2*sezione!$AD$5*(1-sezione!$AD$6)</f>
        <v>-2116796.9565646523</v>
      </c>
      <c r="E2316" s="553">
        <f>-'Foglio deposito bis'!$F$88*(C2316-sezione!$AL$36)*IF(ABS(K2316)&lt;'Progetto del paramento slu'!$G$58,ABS(K2316)*'Progetto del paramento slu'!$G$54,'Progetto del paramento slu'!$G$53)</f>
        <v>0</v>
      </c>
      <c r="F2316" s="553">
        <f>-'Foglio deposito bis'!$F$89*(C2316-sezione!$AM$36)*IF(ABS(L2316)&lt;'Progetto del paramento slu'!$G$58,ABS(L2316)*'Progetto del paramento slu'!$G$54,'Progetto del paramento slu'!$G$53)</f>
        <v>20585610.795740575</v>
      </c>
      <c r="G2316" s="553">
        <f>-'Foglio deposito bis'!$F$90*(C2316-sezione!$AN$36)*IF(ABS(M2316)&lt;'Progetto del paramento slu'!$G$58,ABS(M2316)*'Progetto del paramento slu'!$G$54,'Progetto del paramento slu'!$G$53)</f>
        <v>0</v>
      </c>
      <c r="H2316" s="553">
        <f>-'Foglio deposito bis'!$F$91*(C2316-sezione!$AO$36)*IF(ABS(N2316)&lt;'Progetto del paramento slu'!$G$58,ABS(N2316)*'Progetto del paramento slu'!$G$54,'Progetto del paramento slu'!$G$53)</f>
        <v>289133471.66364324</v>
      </c>
      <c r="I2316" s="479">
        <f>-'Foglio deposito bis'!$F$92*(C2316-sezione!$AP$36)*IF(ABS(O2316)&lt;'Progetto del paramento slu'!$G$58,ABS(O2316)*'Progetto del paramento slu'!$G$54,'Progetto del paramento slu'!$G$53)</f>
        <v>405493210.25826043</v>
      </c>
      <c r="J2316" s="479">
        <f t="shared" si="170"/>
        <v>713095495.76107955</v>
      </c>
      <c r="K2316" s="558">
        <f>'Progetto del paramento slu'!$G$60*(sezione!$AL$36-C2316)/C2316</f>
        <v>5.2305400513871858E-3</v>
      </c>
      <c r="L2316" s="558">
        <f>'Progetto del paramento slu'!$G$60*(sezione!$AM$36-C2316)/C2316</f>
        <v>2.9239525192701944E-2</v>
      </c>
      <c r="M2316" s="559">
        <f>'Progetto del paramento slu'!$G$60*(sezione!$AN$36-C2316)/C2316</f>
        <v>5.3248510334016702E-2</v>
      </c>
      <c r="N2316" s="559">
        <f>'Progetto del paramento slu'!$G$60*(sezione!$AO$36-C2316)/C2316</f>
        <v>7.0709590436791092E-2</v>
      </c>
      <c r="O2316" s="559">
        <f>'Progetto del paramento slu'!$G$60*(sezione!$AP$36-C2316)/C2316</f>
        <v>5.325047260684071E-2</v>
      </c>
      <c r="P2316" s="553">
        <f>-'Progetto del paramento slu'!$G$47*'Progetto del paramento slu'!$G$41*IF(DATI!$G$218="dx",DATI!$E$61,DATI!$E$64*DATI!$E$63)*1000*C2316*sezione!$AD$5</f>
        <v>-226036.94483784481</v>
      </c>
      <c r="Q2316" s="553">
        <f>'Foglio deposito bis'!$F$88*IF(ABS(K2316)&lt;'Progetto del paramento slu'!$G$58,ABS(K2316)*'Progetto del paramento slu'!$G$54,'Progetto del paramento slu'!$G$53)*IF(K2316&lt;0,-1,1)</f>
        <v>0</v>
      </c>
      <c r="R2316" s="553">
        <f>'Foglio deposito bis'!$F$89*IF(ABS(L2316)&lt;'Progetto del paramento slu'!$G$58,ABS(L2316)*'Progetto del paramento slu'!$G$54,'Progetto del paramento slu'!$G$53)*IF(L2316&lt;0,-1,1)</f>
        <v>153664.85805602249</v>
      </c>
      <c r="S2316" s="553">
        <f>'Foglio deposito bis'!$F$90*IF(ABS(M2316)&lt;'Progetto del paramento slu'!$G$58,ABS(M2316)*'Progetto del paramento slu'!$G$54,'Progetto del paramento slu'!$G$53)*IF(M2316&lt;0,-1,1)</f>
        <v>0</v>
      </c>
      <c r="T2316" s="553">
        <f>'Foglio deposito bis'!$F$91*IF(ABS(N2316)&lt;'Progetto del paramento slu'!$G$58,ABS(N2316)*'Progetto del paramento slu'!$G$54,'Progetto del paramento slu'!$G$53)*IF(N2316&lt;0,-1,1)</f>
        <v>892485.49558937876</v>
      </c>
      <c r="U2316" s="553">
        <f>'Foglio deposito bis'!$F$92*IF(ABS(O2316)&lt;'Progetto del paramento slu'!$G$58,ABS(O2316)*'Progetto del paramento slu'!$G$54,'Progetto del paramento slu'!$G$53)*IF(O2316&lt;0,-1,1)</f>
        <v>1662039.1047339395</v>
      </c>
      <c r="V2316" s="479">
        <f t="shared" si="172"/>
        <v>2482152.5135414959</v>
      </c>
      <c r="W2316" s="559"/>
      <c r="X2316" s="559"/>
    </row>
    <row r="2317" spans="1:24" x14ac:dyDescent="0.25">
      <c r="A2317" s="553">
        <f t="shared" si="171"/>
        <v>2479291.2863916499</v>
      </c>
      <c r="B2317" s="3">
        <f t="shared" si="173"/>
        <v>3.9999999999999938</v>
      </c>
      <c r="C2317" s="553">
        <f>'Foglio deposito bis'!$E$162/sezione!$B$247*B2317</f>
        <v>16.238646299573205</v>
      </c>
      <c r="D2317" s="611">
        <f>-'Progetto del paramento slu'!$G$47*'Progetto del paramento slu'!$G$41*IF(DATI!$G$218="dx",DATI!$E$61,DATI!$E$64*DATI!$E$63)*1000*C2317^2*sezione!$AD$5*(1-sezione!$AD$6)</f>
        <v>-2170725.928859761</v>
      </c>
      <c r="E2317" s="553">
        <f>-'Foglio deposito bis'!$F$88*(C2317-sezione!$AL$36)*IF(ABS(K2317)&lt;'Progetto del paramento slu'!$G$58,ABS(K2317)*'Progetto del paramento slu'!$G$54,'Progetto del paramento slu'!$G$53)</f>
        <v>0</v>
      </c>
      <c r="F2317" s="553">
        <f>-'Foglio deposito bis'!$F$89*(C2317-sezione!$AM$36)*IF(ABS(L2317)&lt;'Progetto del paramento slu'!$G$58,ABS(L2317)*'Progetto del paramento slu'!$G$54,'Progetto del paramento slu'!$G$53)</f>
        <v>20554419.429757506</v>
      </c>
      <c r="G2317" s="553">
        <f>-'Foglio deposito bis'!$F$90*(C2317-sezione!$AN$36)*IF(ABS(M2317)&lt;'Progetto del paramento slu'!$G$58,ABS(M2317)*'Progetto del paramento slu'!$G$54,'Progetto del paramento slu'!$G$53)</f>
        <v>0</v>
      </c>
      <c r="H2317" s="553">
        <f>-'Foglio deposito bis'!$F$91*(C2317-sezione!$AO$36)*IF(ABS(N2317)&lt;'Progetto del paramento slu'!$G$58,ABS(N2317)*'Progetto del paramento slu'!$G$54,'Progetto del paramento slu'!$G$53)</f>
        <v>288952312.21001357</v>
      </c>
      <c r="I2317" s="479">
        <f>-'Foglio deposito bis'!$F$92*(C2317-sezione!$AP$36)*IF(ABS(O2317)&lt;'Progetto del paramento slu'!$G$58,ABS(O2317)*'Progetto del paramento slu'!$G$54,'Progetto del paramento slu'!$G$53)</f>
        <v>405155844.44378757</v>
      </c>
      <c r="J2317" s="479">
        <f t="shared" si="170"/>
        <v>712491850.15469885</v>
      </c>
      <c r="K2317" s="558">
        <f>'Progetto del paramento slu'!$G$60*(sezione!$AL$36-C2317)/C2317</f>
        <v>5.1214083007448457E-3</v>
      </c>
      <c r="L2317" s="558">
        <f>'Progetto del paramento slu'!$G$60*(sezione!$AM$36-C2317)/C2317</f>
        <v>2.8830281127793175E-2</v>
      </c>
      <c r="M2317" s="559">
        <f>'Progetto del paramento slu'!$G$60*(sezione!$AN$36-C2317)/C2317</f>
        <v>5.2539153954841503E-2</v>
      </c>
      <c r="N2317" s="559">
        <f>'Progetto del paramento slu'!$G$60*(sezione!$AO$36-C2317)/C2317</f>
        <v>6.9781970556331188E-2</v>
      </c>
      <c r="O2317" s="559">
        <f>'Progetto del paramento slu'!$G$60*(sezione!$AP$36-C2317)/C2317</f>
        <v>5.2541091699255207E-2</v>
      </c>
      <c r="P2317" s="553">
        <f>-'Progetto del paramento slu'!$G$47*'Progetto del paramento slu'!$G$41*IF(DATI!$G$218="dx",DATI!$E$61,DATI!$E$64*DATI!$E$63)*1000*C2317*sezione!$AD$5</f>
        <v>-228898.1719876909</v>
      </c>
      <c r="Q2317" s="553">
        <f>'Foglio deposito bis'!$F$88*IF(ABS(K2317)&lt;'Progetto del paramento slu'!$G$58,ABS(K2317)*'Progetto del paramento slu'!$G$54,'Progetto del paramento slu'!$G$53)*IF(K2317&lt;0,-1,1)</f>
        <v>0</v>
      </c>
      <c r="R2317" s="553">
        <f>'Foglio deposito bis'!$F$89*IF(ABS(L2317)&lt;'Progetto del paramento slu'!$G$58,ABS(L2317)*'Progetto del paramento slu'!$G$54,'Progetto del paramento slu'!$G$53)*IF(L2317&lt;0,-1,1)</f>
        <v>153664.85805602249</v>
      </c>
      <c r="S2317" s="553">
        <f>'Foglio deposito bis'!$F$90*IF(ABS(M2317)&lt;'Progetto del paramento slu'!$G$58,ABS(M2317)*'Progetto del paramento slu'!$G$54,'Progetto del paramento slu'!$G$53)*IF(M2317&lt;0,-1,1)</f>
        <v>0</v>
      </c>
      <c r="T2317" s="553">
        <f>'Foglio deposito bis'!$F$91*IF(ABS(N2317)&lt;'Progetto del paramento slu'!$G$58,ABS(N2317)*'Progetto del paramento slu'!$G$54,'Progetto del paramento slu'!$G$53)*IF(N2317&lt;0,-1,1)</f>
        <v>892485.49558937876</v>
      </c>
      <c r="U2317" s="553">
        <f>'Foglio deposito bis'!$F$92*IF(ABS(O2317)&lt;'Progetto del paramento slu'!$G$58,ABS(O2317)*'Progetto del paramento slu'!$G$54,'Progetto del paramento slu'!$G$53)*IF(O2317&lt;0,-1,1)</f>
        <v>1662039.1047339395</v>
      </c>
      <c r="V2317" s="479">
        <f t="shared" si="172"/>
        <v>2479291.2863916499</v>
      </c>
      <c r="W2317" s="559"/>
      <c r="X2317" s="559"/>
    </row>
    <row r="2318" spans="1:24" x14ac:dyDescent="0.25">
      <c r="A2318" s="553">
        <f t="shared" si="171"/>
        <v>2476430.0592418038</v>
      </c>
      <c r="B2318" s="3">
        <f t="shared" si="173"/>
        <v>4.0499999999999936</v>
      </c>
      <c r="C2318" s="553">
        <f>'Foglio deposito bis'!$E$162/sezione!$B$247*B2318</f>
        <v>16.44162937831787</v>
      </c>
      <c r="D2318" s="611">
        <f>-'Progetto del paramento slu'!$G$47*'Progetto del paramento slu'!$G$41*IF(DATI!$G$218="dx",DATI!$E$61,DATI!$E$64*DATI!$E$63)*1000*C2318^2*sezione!$AD$5*(1-sezione!$AD$6)</f>
        <v>-2225333.2530076401</v>
      </c>
      <c r="E2318" s="553">
        <f>-'Foglio deposito bis'!$F$88*(C2318-sezione!$AL$36)*IF(ABS(K2318)&lt;'Progetto del paramento slu'!$G$58,ABS(K2318)*'Progetto del paramento slu'!$G$54,'Progetto del paramento slu'!$G$53)</f>
        <v>0</v>
      </c>
      <c r="F2318" s="553">
        <f>-'Foglio deposito bis'!$F$89*(C2318-sezione!$AM$36)*IF(ABS(L2318)&lt;'Progetto del paramento slu'!$G$58,ABS(L2318)*'Progetto del paramento slu'!$G$54,'Progetto del paramento slu'!$G$53)</f>
        <v>20523228.063774426</v>
      </c>
      <c r="G2318" s="553">
        <f>-'Foglio deposito bis'!$F$90*(C2318-sezione!$AN$36)*IF(ABS(M2318)&lt;'Progetto del paramento slu'!$G$58,ABS(M2318)*'Progetto del paramento slu'!$G$54,'Progetto del paramento slu'!$G$53)</f>
        <v>0</v>
      </c>
      <c r="H2318" s="553">
        <f>-'Foglio deposito bis'!$F$91*(C2318-sezione!$AO$36)*IF(ABS(N2318)&lt;'Progetto del paramento slu'!$G$58,ABS(N2318)*'Progetto del paramento slu'!$G$54,'Progetto del paramento slu'!$G$53)</f>
        <v>288771152.7563839</v>
      </c>
      <c r="I2318" s="479">
        <f>-'Foglio deposito bis'!$F$92*(C2318-sezione!$AP$36)*IF(ABS(O2318)&lt;'Progetto del paramento slu'!$G$58,ABS(O2318)*'Progetto del paramento slu'!$G$54,'Progetto del paramento slu'!$G$53)</f>
        <v>404818478.62931454</v>
      </c>
      <c r="J2318" s="479">
        <f t="shared" si="170"/>
        <v>711887526.19646525</v>
      </c>
      <c r="K2318" s="558">
        <f>'Progetto del paramento slu'!$G$60*(sezione!$AL$36-C2318)/C2318</f>
        <v>5.0149711612294768E-3</v>
      </c>
      <c r="L2318" s="558">
        <f>'Progetto del paramento slu'!$G$60*(sezione!$AM$36-C2318)/C2318</f>
        <v>2.8431141854610539E-2</v>
      </c>
      <c r="M2318" s="559">
        <f>'Progetto del paramento slu'!$G$60*(sezione!$AN$36-C2318)/C2318</f>
        <v>5.1847312547991596E-2</v>
      </c>
      <c r="N2318" s="559">
        <f>'Progetto del paramento slu'!$G$60*(sezione!$AO$36-C2318)/C2318</f>
        <v>6.8877254870450558E-2</v>
      </c>
      <c r="O2318" s="559">
        <f>'Progetto del paramento slu'!$G$60*(sezione!$AP$36-C2318)/C2318</f>
        <v>5.1849226369634765E-2</v>
      </c>
      <c r="P2318" s="553">
        <f>-'Progetto del paramento slu'!$G$47*'Progetto del paramento slu'!$G$41*IF(DATI!$G$218="dx",DATI!$E$61,DATI!$E$64*DATI!$E$63)*1000*C2318*sezione!$AD$5</f>
        <v>-231759.39913753708</v>
      </c>
      <c r="Q2318" s="553">
        <f>'Foglio deposito bis'!$F$88*IF(ABS(K2318)&lt;'Progetto del paramento slu'!$G$58,ABS(K2318)*'Progetto del paramento slu'!$G$54,'Progetto del paramento slu'!$G$53)*IF(K2318&lt;0,-1,1)</f>
        <v>0</v>
      </c>
      <c r="R2318" s="553">
        <f>'Foglio deposito bis'!$F$89*IF(ABS(L2318)&lt;'Progetto del paramento slu'!$G$58,ABS(L2318)*'Progetto del paramento slu'!$G$54,'Progetto del paramento slu'!$G$53)*IF(L2318&lt;0,-1,1)</f>
        <v>153664.85805602249</v>
      </c>
      <c r="S2318" s="553">
        <f>'Foglio deposito bis'!$F$90*IF(ABS(M2318)&lt;'Progetto del paramento slu'!$G$58,ABS(M2318)*'Progetto del paramento slu'!$G$54,'Progetto del paramento slu'!$G$53)*IF(M2318&lt;0,-1,1)</f>
        <v>0</v>
      </c>
      <c r="T2318" s="553">
        <f>'Foglio deposito bis'!$F$91*IF(ABS(N2318)&lt;'Progetto del paramento slu'!$G$58,ABS(N2318)*'Progetto del paramento slu'!$G$54,'Progetto del paramento slu'!$G$53)*IF(N2318&lt;0,-1,1)</f>
        <v>892485.49558937876</v>
      </c>
      <c r="U2318" s="553">
        <f>'Foglio deposito bis'!$F$92*IF(ABS(O2318)&lt;'Progetto del paramento slu'!$G$58,ABS(O2318)*'Progetto del paramento slu'!$G$54,'Progetto del paramento slu'!$G$53)*IF(O2318&lt;0,-1,1)</f>
        <v>1662039.1047339395</v>
      </c>
      <c r="V2318" s="479">
        <f t="shared" si="172"/>
        <v>2476430.0592418038</v>
      </c>
      <c r="W2318" s="559"/>
      <c r="X2318" s="559"/>
    </row>
    <row r="2319" spans="1:24" x14ac:dyDescent="0.25">
      <c r="A2319" s="553">
        <f t="shared" si="171"/>
        <v>2473568.8320919573</v>
      </c>
      <c r="B2319" s="3">
        <f t="shared" si="173"/>
        <v>4.0999999999999934</v>
      </c>
      <c r="C2319" s="553">
        <f>'Foglio deposito bis'!$E$162/sezione!$B$247*B2319</f>
        <v>16.644612457062532</v>
      </c>
      <c r="D2319" s="611">
        <f>-'Progetto del paramento slu'!$G$47*'Progetto del paramento slu'!$G$41*IF(DATI!$G$218="dx",DATI!$E$61,DATI!$E$64*DATI!$E$63)*1000*C2319^2*sezione!$AD$5*(1-sezione!$AD$6)</f>
        <v>-2280618.929008286</v>
      </c>
      <c r="E2319" s="553">
        <f>-'Foglio deposito bis'!$F$88*(C2319-sezione!$AL$36)*IF(ABS(K2319)&lt;'Progetto del paramento slu'!$G$58,ABS(K2319)*'Progetto del paramento slu'!$G$54,'Progetto del paramento slu'!$G$53)</f>
        <v>0</v>
      </c>
      <c r="F2319" s="553">
        <f>-'Foglio deposito bis'!$F$89*(C2319-sezione!$AM$36)*IF(ABS(L2319)&lt;'Progetto del paramento slu'!$G$58,ABS(L2319)*'Progetto del paramento slu'!$G$54,'Progetto del paramento slu'!$G$53)</f>
        <v>20492036.69779136</v>
      </c>
      <c r="G2319" s="553">
        <f>-'Foglio deposito bis'!$F$90*(C2319-sezione!$AN$36)*IF(ABS(M2319)&lt;'Progetto del paramento slu'!$G$58,ABS(M2319)*'Progetto del paramento slu'!$G$54,'Progetto del paramento slu'!$G$53)</f>
        <v>0</v>
      </c>
      <c r="H2319" s="553">
        <f>-'Foglio deposito bis'!$F$91*(C2319-sezione!$AO$36)*IF(ABS(N2319)&lt;'Progetto del paramento slu'!$G$58,ABS(N2319)*'Progetto del paramento slu'!$G$54,'Progetto del paramento slu'!$G$53)</f>
        <v>288589993.30275422</v>
      </c>
      <c r="I2319" s="479">
        <f>-'Foglio deposito bis'!$F$92*(C2319-sezione!$AP$36)*IF(ABS(O2319)&lt;'Progetto del paramento slu'!$G$58,ABS(O2319)*'Progetto del paramento slu'!$G$54,'Progetto del paramento slu'!$G$53)</f>
        <v>404481112.81484169</v>
      </c>
      <c r="J2319" s="479">
        <f t="shared" si="170"/>
        <v>711282523.886379</v>
      </c>
      <c r="K2319" s="558">
        <f>'Progetto del paramento slu'!$G$60*(sezione!$AL$36-C2319)/C2319</f>
        <v>4.911130049507168E-3</v>
      </c>
      <c r="L2319" s="558">
        <f>'Progetto del paramento slu'!$G$60*(sezione!$AM$36-C2319)/C2319</f>
        <v>2.8041737685651883E-2</v>
      </c>
      <c r="M2319" s="559">
        <f>'Progetto del paramento slu'!$G$60*(sezione!$AN$36-C2319)/C2319</f>
        <v>5.117234532179659E-2</v>
      </c>
      <c r="N2319" s="559">
        <f>'Progetto del paramento slu'!$G$60*(sezione!$AO$36-C2319)/C2319</f>
        <v>6.7994605420810941E-2</v>
      </c>
      <c r="O2319" s="559">
        <f>'Progetto del paramento slu'!$G$60*(sezione!$AP$36-C2319)/C2319</f>
        <v>5.1174235804151424E-2</v>
      </c>
      <c r="P2319" s="553">
        <f>-'Progetto del paramento slu'!$G$47*'Progetto del paramento slu'!$G$41*IF(DATI!$G$218="dx",DATI!$E$61,DATI!$E$64*DATI!$E$63)*1000*C2319*sezione!$AD$5</f>
        <v>-234620.62628738317</v>
      </c>
      <c r="Q2319" s="553">
        <f>'Foglio deposito bis'!$F$88*IF(ABS(K2319)&lt;'Progetto del paramento slu'!$G$58,ABS(K2319)*'Progetto del paramento slu'!$G$54,'Progetto del paramento slu'!$G$53)*IF(K2319&lt;0,-1,1)</f>
        <v>0</v>
      </c>
      <c r="R2319" s="553">
        <f>'Foglio deposito bis'!$F$89*IF(ABS(L2319)&lt;'Progetto del paramento slu'!$G$58,ABS(L2319)*'Progetto del paramento slu'!$G$54,'Progetto del paramento slu'!$G$53)*IF(L2319&lt;0,-1,1)</f>
        <v>153664.85805602249</v>
      </c>
      <c r="S2319" s="553">
        <f>'Foglio deposito bis'!$F$90*IF(ABS(M2319)&lt;'Progetto del paramento slu'!$G$58,ABS(M2319)*'Progetto del paramento slu'!$G$54,'Progetto del paramento slu'!$G$53)*IF(M2319&lt;0,-1,1)</f>
        <v>0</v>
      </c>
      <c r="T2319" s="553">
        <f>'Foglio deposito bis'!$F$91*IF(ABS(N2319)&lt;'Progetto del paramento slu'!$G$58,ABS(N2319)*'Progetto del paramento slu'!$G$54,'Progetto del paramento slu'!$G$53)*IF(N2319&lt;0,-1,1)</f>
        <v>892485.49558937876</v>
      </c>
      <c r="U2319" s="553">
        <f>'Foglio deposito bis'!$F$92*IF(ABS(O2319)&lt;'Progetto del paramento slu'!$G$58,ABS(O2319)*'Progetto del paramento slu'!$G$54,'Progetto del paramento slu'!$G$53)*IF(O2319&lt;0,-1,1)</f>
        <v>1662039.1047339395</v>
      </c>
      <c r="V2319" s="479">
        <f t="shared" si="172"/>
        <v>2473568.8320919573</v>
      </c>
      <c r="W2319" s="559"/>
      <c r="X2319" s="559"/>
    </row>
    <row r="2320" spans="1:24" x14ac:dyDescent="0.25">
      <c r="A2320" s="553">
        <f t="shared" si="171"/>
        <v>2470707.6049421113</v>
      </c>
      <c r="B2320" s="3">
        <f t="shared" si="173"/>
        <v>4.1499999999999932</v>
      </c>
      <c r="C2320" s="553">
        <f>'Foglio deposito bis'!$E$162/sezione!$B$247*B2320</f>
        <v>16.847595535807198</v>
      </c>
      <c r="D2320" s="611">
        <f>-'Progetto del paramento slu'!$G$47*'Progetto del paramento slu'!$G$41*IF(DATI!$G$218="dx",DATI!$E$61,DATI!$E$64*DATI!$E$63)*1000*C2320^2*sezione!$AD$5*(1-sezione!$AD$6)</f>
        <v>-2336582.9568617023</v>
      </c>
      <c r="E2320" s="553">
        <f>-'Foglio deposito bis'!$F$88*(C2320-sezione!$AL$36)*IF(ABS(K2320)&lt;'Progetto del paramento slu'!$G$58,ABS(K2320)*'Progetto del paramento slu'!$G$54,'Progetto del paramento slu'!$G$53)</f>
        <v>0</v>
      </c>
      <c r="F2320" s="553">
        <f>-'Foglio deposito bis'!$F$89*(C2320-sezione!$AM$36)*IF(ABS(L2320)&lt;'Progetto del paramento slu'!$G$58,ABS(L2320)*'Progetto del paramento slu'!$G$54,'Progetto del paramento slu'!$G$53)</f>
        <v>20460845.331808284</v>
      </c>
      <c r="G2320" s="553">
        <f>-'Foglio deposito bis'!$F$90*(C2320-sezione!$AN$36)*IF(ABS(M2320)&lt;'Progetto del paramento slu'!$G$58,ABS(M2320)*'Progetto del paramento slu'!$G$54,'Progetto del paramento slu'!$G$53)</f>
        <v>0</v>
      </c>
      <c r="H2320" s="553">
        <f>-'Foglio deposito bis'!$F$91*(C2320-sezione!$AO$36)*IF(ABS(N2320)&lt;'Progetto del paramento slu'!$G$58,ABS(N2320)*'Progetto del paramento slu'!$G$54,'Progetto del paramento slu'!$G$53)</f>
        <v>288408833.84912449</v>
      </c>
      <c r="I2320" s="479">
        <f>-'Foglio deposito bis'!$F$92*(C2320-sezione!$AP$36)*IF(ABS(O2320)&lt;'Progetto del paramento slu'!$G$58,ABS(O2320)*'Progetto del paramento slu'!$G$54,'Progetto del paramento slu'!$G$53)</f>
        <v>404143747.00036877</v>
      </c>
      <c r="J2320" s="479">
        <f t="shared" si="170"/>
        <v>710676843.22443986</v>
      </c>
      <c r="K2320" s="558">
        <f>'Progetto del paramento slu'!$G$60*(sezione!$AL$36-C2320)/C2320</f>
        <v>4.8097911332480453E-3</v>
      </c>
      <c r="L2320" s="558">
        <f>'Progetto del paramento slu'!$G$60*(sezione!$AM$36-C2320)/C2320</f>
        <v>2.7661716749680171E-2</v>
      </c>
      <c r="M2320" s="559">
        <f>'Progetto del paramento slu'!$G$60*(sezione!$AN$36-C2320)/C2320</f>
        <v>5.0513642366112298E-2</v>
      </c>
      <c r="N2320" s="559">
        <f>'Progetto del paramento slu'!$G$60*(sezione!$AO$36-C2320)/C2320</f>
        <v>6.7133224632608388E-2</v>
      </c>
      <c r="O2320" s="559">
        <f>'Progetto del paramento slu'!$G$60*(sezione!$AP$36-C2320)/C2320</f>
        <v>5.051551007157129E-2</v>
      </c>
      <c r="P2320" s="553">
        <f>-'Progetto del paramento slu'!$G$47*'Progetto del paramento slu'!$G$41*IF(DATI!$G$218="dx",DATI!$E$61,DATI!$E$64*DATI!$E$63)*1000*C2320*sezione!$AD$5</f>
        <v>-237481.85343722932</v>
      </c>
      <c r="Q2320" s="553">
        <f>'Foglio deposito bis'!$F$88*IF(ABS(K2320)&lt;'Progetto del paramento slu'!$G$58,ABS(K2320)*'Progetto del paramento slu'!$G$54,'Progetto del paramento slu'!$G$53)*IF(K2320&lt;0,-1,1)</f>
        <v>0</v>
      </c>
      <c r="R2320" s="553">
        <f>'Foglio deposito bis'!$F$89*IF(ABS(L2320)&lt;'Progetto del paramento slu'!$G$58,ABS(L2320)*'Progetto del paramento slu'!$G$54,'Progetto del paramento slu'!$G$53)*IF(L2320&lt;0,-1,1)</f>
        <v>153664.85805602249</v>
      </c>
      <c r="S2320" s="553">
        <f>'Foglio deposito bis'!$F$90*IF(ABS(M2320)&lt;'Progetto del paramento slu'!$G$58,ABS(M2320)*'Progetto del paramento slu'!$G$54,'Progetto del paramento slu'!$G$53)*IF(M2320&lt;0,-1,1)</f>
        <v>0</v>
      </c>
      <c r="T2320" s="553">
        <f>'Foglio deposito bis'!$F$91*IF(ABS(N2320)&lt;'Progetto del paramento slu'!$G$58,ABS(N2320)*'Progetto del paramento slu'!$G$54,'Progetto del paramento slu'!$G$53)*IF(N2320&lt;0,-1,1)</f>
        <v>892485.49558937876</v>
      </c>
      <c r="U2320" s="553">
        <f>'Foglio deposito bis'!$F$92*IF(ABS(O2320)&lt;'Progetto del paramento slu'!$G$58,ABS(O2320)*'Progetto del paramento slu'!$G$54,'Progetto del paramento slu'!$G$53)*IF(O2320&lt;0,-1,1)</f>
        <v>1662039.1047339395</v>
      </c>
      <c r="V2320" s="479">
        <f t="shared" si="172"/>
        <v>2470707.6049421113</v>
      </c>
      <c r="W2320" s="559"/>
      <c r="X2320" s="559"/>
    </row>
    <row r="2321" spans="1:24" x14ac:dyDescent="0.25">
      <c r="A2321" s="553">
        <f t="shared" si="171"/>
        <v>2467846.3777922653</v>
      </c>
      <c r="B2321" s="3">
        <f t="shared" si="173"/>
        <v>4.1999999999999931</v>
      </c>
      <c r="C2321" s="553">
        <f>'Foglio deposito bis'!$E$162/sezione!$B$247*B2321</f>
        <v>17.050578614551863</v>
      </c>
      <c r="D2321" s="611">
        <f>-'Progetto del paramento slu'!$G$47*'Progetto del paramento slu'!$G$41*IF(DATI!$G$218="dx",DATI!$E$61,DATI!$E$64*DATI!$E$63)*1000*C2321^2*sezione!$AD$5*(1-sezione!$AD$6)</f>
        <v>-2393225.3365678866</v>
      </c>
      <c r="E2321" s="553">
        <f>-'Foglio deposito bis'!$F$88*(C2321-sezione!$AL$36)*IF(ABS(K2321)&lt;'Progetto del paramento slu'!$G$58,ABS(K2321)*'Progetto del paramento slu'!$G$54,'Progetto del paramento slu'!$G$53)</f>
        <v>0</v>
      </c>
      <c r="F2321" s="553">
        <f>-'Foglio deposito bis'!$F$89*(C2321-sezione!$AM$36)*IF(ABS(L2321)&lt;'Progetto del paramento slu'!$G$58,ABS(L2321)*'Progetto del paramento slu'!$G$54,'Progetto del paramento slu'!$G$53)</f>
        <v>20429653.965825211</v>
      </c>
      <c r="G2321" s="553">
        <f>-'Foglio deposito bis'!$F$90*(C2321-sezione!$AN$36)*IF(ABS(M2321)&lt;'Progetto del paramento slu'!$G$58,ABS(M2321)*'Progetto del paramento slu'!$G$54,'Progetto del paramento slu'!$G$53)</f>
        <v>0</v>
      </c>
      <c r="H2321" s="553">
        <f>-'Foglio deposito bis'!$F$91*(C2321-sezione!$AO$36)*IF(ABS(N2321)&lt;'Progetto del paramento slu'!$G$58,ABS(N2321)*'Progetto del paramento slu'!$G$54,'Progetto del paramento slu'!$G$53)</f>
        <v>288227674.39549482</v>
      </c>
      <c r="I2321" s="479">
        <f>-'Foglio deposito bis'!$F$92*(C2321-sezione!$AP$36)*IF(ABS(O2321)&lt;'Progetto del paramento slu'!$G$58,ABS(O2321)*'Progetto del paramento slu'!$G$54,'Progetto del paramento slu'!$G$53)</f>
        <v>403806381.18589586</v>
      </c>
      <c r="J2321" s="479">
        <f t="shared" si="170"/>
        <v>710070484.21064806</v>
      </c>
      <c r="K2321" s="558">
        <f>'Progetto del paramento slu'!$G$60*(sezione!$AL$36-C2321)/C2321</f>
        <v>4.7108650483284253E-3</v>
      </c>
      <c r="L2321" s="558">
        <f>'Progetto del paramento slu'!$G$60*(sezione!$AM$36-C2321)/C2321</f>
        <v>2.7290743931231598E-2</v>
      </c>
      <c r="M2321" s="559">
        <f>'Progetto del paramento slu'!$G$60*(sezione!$AN$36-C2321)/C2321</f>
        <v>4.9870622814134763E-2</v>
      </c>
      <c r="N2321" s="559">
        <f>'Progetto del paramento slu'!$G$60*(sezione!$AO$36-C2321)/C2321</f>
        <v>6.6292352910791622E-2</v>
      </c>
      <c r="O2321" s="559">
        <f>'Progetto del paramento slu'!$G$60*(sezione!$AP$36-C2321)/C2321</f>
        <v>4.987246828500496E-2</v>
      </c>
      <c r="P2321" s="553">
        <f>-'Progetto del paramento slu'!$G$47*'Progetto del paramento slu'!$G$41*IF(DATI!$G$218="dx",DATI!$E$61,DATI!$E$64*DATI!$E$63)*1000*C2321*sezione!$AD$5</f>
        <v>-240343.08058707547</v>
      </c>
      <c r="Q2321" s="553">
        <f>'Foglio deposito bis'!$F$88*IF(ABS(K2321)&lt;'Progetto del paramento slu'!$G$58,ABS(K2321)*'Progetto del paramento slu'!$G$54,'Progetto del paramento slu'!$G$53)*IF(K2321&lt;0,-1,1)</f>
        <v>0</v>
      </c>
      <c r="R2321" s="553">
        <f>'Foglio deposito bis'!$F$89*IF(ABS(L2321)&lt;'Progetto del paramento slu'!$G$58,ABS(L2321)*'Progetto del paramento slu'!$G$54,'Progetto del paramento slu'!$G$53)*IF(L2321&lt;0,-1,1)</f>
        <v>153664.85805602249</v>
      </c>
      <c r="S2321" s="553">
        <f>'Foglio deposito bis'!$F$90*IF(ABS(M2321)&lt;'Progetto del paramento slu'!$G$58,ABS(M2321)*'Progetto del paramento slu'!$G$54,'Progetto del paramento slu'!$G$53)*IF(M2321&lt;0,-1,1)</f>
        <v>0</v>
      </c>
      <c r="T2321" s="553">
        <f>'Foglio deposito bis'!$F$91*IF(ABS(N2321)&lt;'Progetto del paramento slu'!$G$58,ABS(N2321)*'Progetto del paramento slu'!$G$54,'Progetto del paramento slu'!$G$53)*IF(N2321&lt;0,-1,1)</f>
        <v>892485.49558937876</v>
      </c>
      <c r="U2321" s="553">
        <f>'Foglio deposito bis'!$F$92*IF(ABS(O2321)&lt;'Progetto del paramento slu'!$G$58,ABS(O2321)*'Progetto del paramento slu'!$G$54,'Progetto del paramento slu'!$G$53)*IF(O2321&lt;0,-1,1)</f>
        <v>1662039.1047339395</v>
      </c>
      <c r="V2321" s="479">
        <f t="shared" si="172"/>
        <v>2467846.3777922653</v>
      </c>
      <c r="W2321" s="559"/>
      <c r="X2321" s="559"/>
    </row>
    <row r="2322" spans="1:24" x14ac:dyDescent="0.25">
      <c r="A2322" s="553">
        <f t="shared" si="171"/>
        <v>2464985.1506424192</v>
      </c>
      <c r="B2322" s="3">
        <f t="shared" si="173"/>
        <v>4.2499999999999929</v>
      </c>
      <c r="C2322" s="553">
        <f>'Foglio deposito bis'!$E$162/sezione!$B$247*B2322</f>
        <v>17.253561693296529</v>
      </c>
      <c r="D2322" s="611">
        <f>-'Progetto del paramento slu'!$G$47*'Progetto del paramento slu'!$G$41*IF(DATI!$G$218="dx",DATI!$E$61,DATI!$E$64*DATI!$E$63)*1000*C2322^2*sezione!$AD$5*(1-sezione!$AD$6)</f>
        <v>-2450546.0681268396</v>
      </c>
      <c r="E2322" s="553">
        <f>-'Foglio deposito bis'!$F$88*(C2322-sezione!$AL$36)*IF(ABS(K2322)&lt;'Progetto del paramento slu'!$G$58,ABS(K2322)*'Progetto del paramento slu'!$G$54,'Progetto del paramento slu'!$G$53)</f>
        <v>0</v>
      </c>
      <c r="F2322" s="553">
        <f>-'Foglio deposito bis'!$F$89*(C2322-sezione!$AM$36)*IF(ABS(L2322)&lt;'Progetto del paramento slu'!$G$58,ABS(L2322)*'Progetto del paramento slu'!$G$54,'Progetto del paramento slu'!$G$53)</f>
        <v>20398462.599842139</v>
      </c>
      <c r="G2322" s="553">
        <f>-'Foglio deposito bis'!$F$90*(C2322-sezione!$AN$36)*IF(ABS(M2322)&lt;'Progetto del paramento slu'!$G$58,ABS(M2322)*'Progetto del paramento slu'!$G$54,'Progetto del paramento slu'!$G$53)</f>
        <v>0</v>
      </c>
      <c r="H2322" s="553">
        <f>-'Foglio deposito bis'!$F$91*(C2322-sezione!$AO$36)*IF(ABS(N2322)&lt;'Progetto del paramento slu'!$G$58,ABS(N2322)*'Progetto del paramento slu'!$G$54,'Progetto del paramento slu'!$G$53)</f>
        <v>288046514.94186515</v>
      </c>
      <c r="I2322" s="479">
        <f>-'Foglio deposito bis'!$F$92*(C2322-sezione!$AP$36)*IF(ABS(O2322)&lt;'Progetto del paramento slu'!$G$58,ABS(O2322)*'Progetto del paramento slu'!$G$54,'Progetto del paramento slu'!$G$53)</f>
        <v>403469015.37142295</v>
      </c>
      <c r="J2322" s="479">
        <f t="shared" si="170"/>
        <v>709463446.84500337</v>
      </c>
      <c r="K2322" s="558">
        <f>'Progetto del paramento slu'!$G$60*(sezione!$AL$36-C2322)/C2322</f>
        <v>4.6142666359951495E-3</v>
      </c>
      <c r="L2322" s="558">
        <f>'Progetto del paramento slu'!$G$60*(sezione!$AM$36-C2322)/C2322</f>
        <v>2.6928499884981815E-2</v>
      </c>
      <c r="M2322" s="559">
        <f>'Progetto del paramento slu'!$G$60*(sezione!$AN$36-C2322)/C2322</f>
        <v>4.9242733133968472E-2</v>
      </c>
      <c r="N2322" s="559">
        <f>'Progetto del paramento slu'!$G$60*(sezione!$AO$36-C2322)/C2322</f>
        <v>6.5471266405958767E-2</v>
      </c>
      <c r="O2322" s="559">
        <f>'Progetto del paramento slu'!$G$60*(sezione!$AP$36-C2322)/C2322</f>
        <v>4.9244556893416662E-2</v>
      </c>
      <c r="P2322" s="553">
        <f>-'Progetto del paramento slu'!$G$47*'Progetto del paramento slu'!$G$41*IF(DATI!$G$218="dx",DATI!$E$61,DATI!$E$64*DATI!$E$63)*1000*C2322*sezione!$AD$5</f>
        <v>-243204.30773692162</v>
      </c>
      <c r="Q2322" s="553">
        <f>'Foglio deposito bis'!$F$88*IF(ABS(K2322)&lt;'Progetto del paramento slu'!$G$58,ABS(K2322)*'Progetto del paramento slu'!$G$54,'Progetto del paramento slu'!$G$53)*IF(K2322&lt;0,-1,1)</f>
        <v>0</v>
      </c>
      <c r="R2322" s="553">
        <f>'Foglio deposito bis'!$F$89*IF(ABS(L2322)&lt;'Progetto del paramento slu'!$G$58,ABS(L2322)*'Progetto del paramento slu'!$G$54,'Progetto del paramento slu'!$G$53)*IF(L2322&lt;0,-1,1)</f>
        <v>153664.85805602249</v>
      </c>
      <c r="S2322" s="553">
        <f>'Foglio deposito bis'!$F$90*IF(ABS(M2322)&lt;'Progetto del paramento slu'!$G$58,ABS(M2322)*'Progetto del paramento slu'!$G$54,'Progetto del paramento slu'!$G$53)*IF(M2322&lt;0,-1,1)</f>
        <v>0</v>
      </c>
      <c r="T2322" s="553">
        <f>'Foglio deposito bis'!$F$91*IF(ABS(N2322)&lt;'Progetto del paramento slu'!$G$58,ABS(N2322)*'Progetto del paramento slu'!$G$54,'Progetto del paramento slu'!$G$53)*IF(N2322&lt;0,-1,1)</f>
        <v>892485.49558937876</v>
      </c>
      <c r="U2322" s="553">
        <f>'Foglio deposito bis'!$F$92*IF(ABS(O2322)&lt;'Progetto del paramento slu'!$G$58,ABS(O2322)*'Progetto del paramento slu'!$G$54,'Progetto del paramento slu'!$G$53)*IF(O2322&lt;0,-1,1)</f>
        <v>1662039.1047339395</v>
      </c>
      <c r="V2322" s="479">
        <f t="shared" si="172"/>
        <v>2464985.1506424192</v>
      </c>
      <c r="W2322" s="559"/>
      <c r="X2322" s="559"/>
    </row>
    <row r="2323" spans="1:24" x14ac:dyDescent="0.25">
      <c r="A2323" s="553">
        <f t="shared" si="171"/>
        <v>2462123.9234925732</v>
      </c>
      <c r="B2323" s="3">
        <f t="shared" si="173"/>
        <v>4.2999999999999927</v>
      </c>
      <c r="C2323" s="553">
        <f>'Foglio deposito bis'!$E$162/sezione!$B$247*B2323</f>
        <v>17.456544772041191</v>
      </c>
      <c r="D2323" s="611">
        <f>-'Progetto del paramento slu'!$G$47*'Progetto del paramento slu'!$G$41*IF(DATI!$G$218="dx",DATI!$E$61,DATI!$E$64*DATI!$E$63)*1000*C2323^2*sezione!$AD$5*(1-sezione!$AD$6)</f>
        <v>-2508545.1515385602</v>
      </c>
      <c r="E2323" s="553">
        <f>-'Foglio deposito bis'!$F$88*(C2323-sezione!$AL$36)*IF(ABS(K2323)&lt;'Progetto del paramento slu'!$G$58,ABS(K2323)*'Progetto del paramento slu'!$G$54,'Progetto del paramento slu'!$G$53)</f>
        <v>0</v>
      </c>
      <c r="F2323" s="553">
        <f>-'Foglio deposito bis'!$F$89*(C2323-sezione!$AM$36)*IF(ABS(L2323)&lt;'Progetto del paramento slu'!$G$58,ABS(L2323)*'Progetto del paramento slu'!$G$54,'Progetto del paramento slu'!$G$53)</f>
        <v>20367271.233859066</v>
      </c>
      <c r="G2323" s="553">
        <f>-'Foglio deposito bis'!$F$90*(C2323-sezione!$AN$36)*IF(ABS(M2323)&lt;'Progetto del paramento slu'!$G$58,ABS(M2323)*'Progetto del paramento slu'!$G$54,'Progetto del paramento slu'!$G$53)</f>
        <v>0</v>
      </c>
      <c r="H2323" s="553">
        <f>-'Foglio deposito bis'!$F$91*(C2323-sezione!$AO$36)*IF(ABS(N2323)&lt;'Progetto del paramento slu'!$G$58,ABS(N2323)*'Progetto del paramento slu'!$G$54,'Progetto del paramento slu'!$G$53)</f>
        <v>287865355.48823541</v>
      </c>
      <c r="I2323" s="479">
        <f>-'Foglio deposito bis'!$F$92*(C2323-sezione!$AP$36)*IF(ABS(O2323)&lt;'Progetto del paramento slu'!$G$58,ABS(O2323)*'Progetto del paramento slu'!$G$54,'Progetto del paramento slu'!$G$53)</f>
        <v>403131649.55695003</v>
      </c>
      <c r="J2323" s="479">
        <f t="shared" si="170"/>
        <v>708855731.12750602</v>
      </c>
      <c r="K2323" s="558">
        <f>'Progetto del paramento slu'!$G$60*(sezione!$AL$36-C2323)/C2323</f>
        <v>4.5199146983673005E-3</v>
      </c>
      <c r="L2323" s="558">
        <f>'Progetto del paramento slu'!$G$60*(sezione!$AM$36-C2323)/C2323</f>
        <v>2.6574680118877377E-2</v>
      </c>
      <c r="M2323" s="559">
        <f>'Progetto del paramento slu'!$G$60*(sezione!$AN$36-C2323)/C2323</f>
        <v>4.8629445539387452E-2</v>
      </c>
      <c r="N2323" s="559">
        <f>'Progetto del paramento slu'!$G$60*(sezione!$AO$36-C2323)/C2323</f>
        <v>6.4669274936122054E-2</v>
      </c>
      <c r="O2323" s="559">
        <f>'Progetto del paramento slu'!$G$60*(sezione!$AP$36-C2323)/C2323</f>
        <v>4.863124809233043E-2</v>
      </c>
      <c r="P2323" s="553">
        <f>-'Progetto del paramento slu'!$G$47*'Progetto del paramento slu'!$G$41*IF(DATI!$G$218="dx",DATI!$E$61,DATI!$E$64*DATI!$E$63)*1000*C2323*sezione!$AD$5</f>
        <v>-246065.53488676771</v>
      </c>
      <c r="Q2323" s="553">
        <f>'Foglio deposito bis'!$F$88*IF(ABS(K2323)&lt;'Progetto del paramento slu'!$G$58,ABS(K2323)*'Progetto del paramento slu'!$G$54,'Progetto del paramento slu'!$G$53)*IF(K2323&lt;0,-1,1)</f>
        <v>0</v>
      </c>
      <c r="R2323" s="553">
        <f>'Foglio deposito bis'!$F$89*IF(ABS(L2323)&lt;'Progetto del paramento slu'!$G$58,ABS(L2323)*'Progetto del paramento slu'!$G$54,'Progetto del paramento slu'!$G$53)*IF(L2323&lt;0,-1,1)</f>
        <v>153664.85805602249</v>
      </c>
      <c r="S2323" s="553">
        <f>'Foglio deposito bis'!$F$90*IF(ABS(M2323)&lt;'Progetto del paramento slu'!$G$58,ABS(M2323)*'Progetto del paramento slu'!$G$54,'Progetto del paramento slu'!$G$53)*IF(M2323&lt;0,-1,1)</f>
        <v>0</v>
      </c>
      <c r="T2323" s="553">
        <f>'Foglio deposito bis'!$F$91*IF(ABS(N2323)&lt;'Progetto del paramento slu'!$G$58,ABS(N2323)*'Progetto del paramento slu'!$G$54,'Progetto del paramento slu'!$G$53)*IF(N2323&lt;0,-1,1)</f>
        <v>892485.49558937876</v>
      </c>
      <c r="U2323" s="553">
        <f>'Foglio deposito bis'!$F$92*IF(ABS(O2323)&lt;'Progetto del paramento slu'!$G$58,ABS(O2323)*'Progetto del paramento slu'!$G$54,'Progetto del paramento slu'!$G$53)*IF(O2323&lt;0,-1,1)</f>
        <v>1662039.1047339395</v>
      </c>
      <c r="V2323" s="479">
        <f t="shared" si="172"/>
        <v>2462123.9234925732</v>
      </c>
      <c r="W2323" s="559"/>
      <c r="X2323" s="559"/>
    </row>
    <row r="2324" spans="1:24" x14ac:dyDescent="0.25">
      <c r="A2324" s="553">
        <f t="shared" si="171"/>
        <v>2459262.6963427272</v>
      </c>
      <c r="B2324" s="3">
        <f t="shared" si="173"/>
        <v>4.3499999999999925</v>
      </c>
      <c r="C2324" s="553">
        <f>'Foglio deposito bis'!$E$162/sezione!$B$247*B2324</f>
        <v>17.659527850785857</v>
      </c>
      <c r="D2324" s="611">
        <f>-'Progetto del paramento slu'!$G$47*'Progetto del paramento slu'!$G$41*IF(DATI!$G$218="dx",DATI!$E$61,DATI!$E$64*DATI!$E$63)*1000*C2324^2*sezione!$AD$5*(1-sezione!$AD$6)</f>
        <v>-2567222.5868030516</v>
      </c>
      <c r="E2324" s="553">
        <f>-'Foglio deposito bis'!$F$88*(C2324-sezione!$AL$36)*IF(ABS(K2324)&lt;'Progetto del paramento slu'!$G$58,ABS(K2324)*'Progetto del paramento slu'!$G$54,'Progetto del paramento slu'!$G$53)</f>
        <v>0</v>
      </c>
      <c r="F2324" s="553">
        <f>-'Foglio deposito bis'!$F$89*(C2324-sezione!$AM$36)*IF(ABS(L2324)&lt;'Progetto del paramento slu'!$G$58,ABS(L2324)*'Progetto del paramento slu'!$G$54,'Progetto del paramento slu'!$G$53)</f>
        <v>20336079.86787599</v>
      </c>
      <c r="G2324" s="553">
        <f>-'Foglio deposito bis'!$F$90*(C2324-sezione!$AN$36)*IF(ABS(M2324)&lt;'Progetto del paramento slu'!$G$58,ABS(M2324)*'Progetto del paramento slu'!$G$54,'Progetto del paramento slu'!$G$53)</f>
        <v>0</v>
      </c>
      <c r="H2324" s="553">
        <f>-'Foglio deposito bis'!$F$91*(C2324-sezione!$AO$36)*IF(ABS(N2324)&lt;'Progetto del paramento slu'!$G$58,ABS(N2324)*'Progetto del paramento slu'!$G$54,'Progetto del paramento slu'!$G$53)</f>
        <v>287684196.03460574</v>
      </c>
      <c r="I2324" s="479">
        <f>-'Foglio deposito bis'!$F$92*(C2324-sezione!$AP$36)*IF(ABS(O2324)&lt;'Progetto del paramento slu'!$G$58,ABS(O2324)*'Progetto del paramento slu'!$G$54,'Progetto del paramento slu'!$G$53)</f>
        <v>402794283.74247712</v>
      </c>
      <c r="J2324" s="479">
        <f t="shared" si="170"/>
        <v>708247337.05815578</v>
      </c>
      <c r="K2324" s="558">
        <f>'Progetto del paramento slu'!$G$60*(sezione!$AL$36-C2324)/C2324</f>
        <v>4.4277317707998604E-3</v>
      </c>
      <c r="L2324" s="558">
        <f>'Progetto del paramento slu'!$G$60*(sezione!$AM$36-C2324)/C2324</f>
        <v>2.6228994140499475E-2</v>
      </c>
      <c r="M2324" s="559">
        <f>'Progetto del paramento slu'!$G$60*(sezione!$AN$36-C2324)/C2324</f>
        <v>4.8030256510199092E-2</v>
      </c>
      <c r="N2324" s="559">
        <f>'Progetto del paramento slu'!$G$60*(sezione!$AO$36-C2324)/C2324</f>
        <v>6.3885720051798808E-2</v>
      </c>
      <c r="O2324" s="559">
        <f>'Progetto del paramento slu'!$G$60*(sezione!$AP$36-C2324)/C2324</f>
        <v>4.8032038344142727E-2</v>
      </c>
      <c r="P2324" s="553">
        <f>-'Progetto del paramento slu'!$G$47*'Progetto del paramento slu'!$G$41*IF(DATI!$G$218="dx",DATI!$E$61,DATI!$E$64*DATI!$E$63)*1000*C2324*sezione!$AD$5</f>
        <v>-248926.76203661386</v>
      </c>
      <c r="Q2324" s="553">
        <f>'Foglio deposito bis'!$F$88*IF(ABS(K2324)&lt;'Progetto del paramento slu'!$G$58,ABS(K2324)*'Progetto del paramento slu'!$G$54,'Progetto del paramento slu'!$G$53)*IF(K2324&lt;0,-1,1)</f>
        <v>0</v>
      </c>
      <c r="R2324" s="553">
        <f>'Foglio deposito bis'!$F$89*IF(ABS(L2324)&lt;'Progetto del paramento slu'!$G$58,ABS(L2324)*'Progetto del paramento slu'!$G$54,'Progetto del paramento slu'!$G$53)*IF(L2324&lt;0,-1,1)</f>
        <v>153664.85805602249</v>
      </c>
      <c r="S2324" s="553">
        <f>'Foglio deposito bis'!$F$90*IF(ABS(M2324)&lt;'Progetto del paramento slu'!$G$58,ABS(M2324)*'Progetto del paramento slu'!$G$54,'Progetto del paramento slu'!$G$53)*IF(M2324&lt;0,-1,1)</f>
        <v>0</v>
      </c>
      <c r="T2324" s="553">
        <f>'Foglio deposito bis'!$F$91*IF(ABS(N2324)&lt;'Progetto del paramento slu'!$G$58,ABS(N2324)*'Progetto del paramento slu'!$G$54,'Progetto del paramento slu'!$G$53)*IF(N2324&lt;0,-1,1)</f>
        <v>892485.49558937876</v>
      </c>
      <c r="U2324" s="553">
        <f>'Foglio deposito bis'!$F$92*IF(ABS(O2324)&lt;'Progetto del paramento slu'!$G$58,ABS(O2324)*'Progetto del paramento slu'!$G$54,'Progetto del paramento slu'!$G$53)*IF(O2324&lt;0,-1,1)</f>
        <v>1662039.1047339395</v>
      </c>
      <c r="V2324" s="479">
        <f t="shared" si="172"/>
        <v>2459262.6963427272</v>
      </c>
      <c r="W2324" s="559"/>
      <c r="X2324" s="559"/>
    </row>
    <row r="2325" spans="1:24" x14ac:dyDescent="0.25">
      <c r="A2325" s="553">
        <f t="shared" si="171"/>
        <v>2456401.4691928807</v>
      </c>
      <c r="B2325" s="3">
        <f t="shared" si="173"/>
        <v>4.3999999999999924</v>
      </c>
      <c r="C2325" s="553">
        <f>'Foglio deposito bis'!$E$162/sezione!$B$247*B2325</f>
        <v>17.862510929530522</v>
      </c>
      <c r="D2325" s="611">
        <f>-'Progetto del paramento slu'!$G$47*'Progetto del paramento slu'!$G$41*IF(DATI!$G$218="dx",DATI!$E$61,DATI!$E$64*DATI!$E$63)*1000*C2325^2*sezione!$AD$5*(1-sezione!$AD$6)</f>
        <v>-2626578.3739203103</v>
      </c>
      <c r="E2325" s="553">
        <f>-'Foglio deposito bis'!$F$88*(C2325-sezione!$AL$36)*IF(ABS(K2325)&lt;'Progetto del paramento slu'!$G$58,ABS(K2325)*'Progetto del paramento slu'!$G$54,'Progetto del paramento slu'!$G$53)</f>
        <v>0</v>
      </c>
      <c r="F2325" s="553">
        <f>-'Foglio deposito bis'!$F$89*(C2325-sezione!$AM$36)*IF(ABS(L2325)&lt;'Progetto del paramento slu'!$G$58,ABS(L2325)*'Progetto del paramento slu'!$G$54,'Progetto del paramento slu'!$G$53)</f>
        <v>20304888.501892917</v>
      </c>
      <c r="G2325" s="553">
        <f>-'Foglio deposito bis'!$F$90*(C2325-sezione!$AN$36)*IF(ABS(M2325)&lt;'Progetto del paramento slu'!$G$58,ABS(M2325)*'Progetto del paramento slu'!$G$54,'Progetto del paramento slu'!$G$53)</f>
        <v>0</v>
      </c>
      <c r="H2325" s="553">
        <f>-'Foglio deposito bis'!$F$91*(C2325-sezione!$AO$36)*IF(ABS(N2325)&lt;'Progetto del paramento slu'!$G$58,ABS(N2325)*'Progetto del paramento slu'!$G$54,'Progetto del paramento slu'!$G$53)</f>
        <v>287503036.58097607</v>
      </c>
      <c r="I2325" s="479">
        <f>-'Foglio deposito bis'!$F$92*(C2325-sezione!$AP$36)*IF(ABS(O2325)&lt;'Progetto del paramento slu'!$G$58,ABS(O2325)*'Progetto del paramento slu'!$G$54,'Progetto del paramento slu'!$G$53)</f>
        <v>402456917.92800421</v>
      </c>
      <c r="J2325" s="479">
        <f t="shared" si="170"/>
        <v>707638264.63695288</v>
      </c>
      <c r="K2325" s="558">
        <f>'Progetto del paramento slu'!$G$60*(sezione!$AL$36-C2325)/C2325</f>
        <v>4.3376439097680426E-3</v>
      </c>
      <c r="L2325" s="558">
        <f>'Progetto del paramento slu'!$G$60*(sezione!$AM$36-C2325)/C2325</f>
        <v>2.5891164661630162E-2</v>
      </c>
      <c r="M2325" s="559">
        <f>'Progetto del paramento slu'!$G$60*(sezione!$AN$36-C2325)/C2325</f>
        <v>4.7444685413492282E-2</v>
      </c>
      <c r="N2325" s="559">
        <f>'Progetto del paramento slu'!$G$60*(sezione!$AO$36-C2325)/C2325</f>
        <v>6.311997323302837E-2</v>
      </c>
      <c r="O2325" s="559">
        <f>'Progetto del paramento slu'!$G$60*(sezione!$AP$36-C2325)/C2325</f>
        <v>4.7446446999322919E-2</v>
      </c>
      <c r="P2325" s="553">
        <f>-'Progetto del paramento slu'!$G$47*'Progetto del paramento slu'!$G$41*IF(DATI!$G$218="dx",DATI!$E$61,DATI!$E$64*DATI!$E$63)*1000*C2325*sezione!$AD$5</f>
        <v>-251787.98918645998</v>
      </c>
      <c r="Q2325" s="553">
        <f>'Foglio deposito bis'!$F$88*IF(ABS(K2325)&lt;'Progetto del paramento slu'!$G$58,ABS(K2325)*'Progetto del paramento slu'!$G$54,'Progetto del paramento slu'!$G$53)*IF(K2325&lt;0,-1,1)</f>
        <v>0</v>
      </c>
      <c r="R2325" s="553">
        <f>'Foglio deposito bis'!$F$89*IF(ABS(L2325)&lt;'Progetto del paramento slu'!$G$58,ABS(L2325)*'Progetto del paramento slu'!$G$54,'Progetto del paramento slu'!$G$53)*IF(L2325&lt;0,-1,1)</f>
        <v>153664.85805602249</v>
      </c>
      <c r="S2325" s="553">
        <f>'Foglio deposito bis'!$F$90*IF(ABS(M2325)&lt;'Progetto del paramento slu'!$G$58,ABS(M2325)*'Progetto del paramento slu'!$G$54,'Progetto del paramento slu'!$G$53)*IF(M2325&lt;0,-1,1)</f>
        <v>0</v>
      </c>
      <c r="T2325" s="553">
        <f>'Foglio deposito bis'!$F$91*IF(ABS(N2325)&lt;'Progetto del paramento slu'!$G$58,ABS(N2325)*'Progetto del paramento slu'!$G$54,'Progetto del paramento slu'!$G$53)*IF(N2325&lt;0,-1,1)</f>
        <v>892485.49558937876</v>
      </c>
      <c r="U2325" s="553">
        <f>'Foglio deposito bis'!$F$92*IF(ABS(O2325)&lt;'Progetto del paramento slu'!$G$58,ABS(O2325)*'Progetto del paramento slu'!$G$54,'Progetto del paramento slu'!$G$53)*IF(O2325&lt;0,-1,1)</f>
        <v>1662039.1047339395</v>
      </c>
      <c r="V2325" s="479">
        <f t="shared" si="172"/>
        <v>2456401.4691928807</v>
      </c>
      <c r="W2325" s="559"/>
      <c r="X2325" s="559"/>
    </row>
    <row r="2326" spans="1:24" x14ac:dyDescent="0.25">
      <c r="A2326" s="553">
        <f t="shared" si="171"/>
        <v>2453540.2420430346</v>
      </c>
      <c r="B2326" s="3">
        <f t="shared" si="173"/>
        <v>4.4499999999999922</v>
      </c>
      <c r="C2326" s="553">
        <f>'Foglio deposito bis'!$E$162/sezione!$B$247*B2326</f>
        <v>18.065494008275188</v>
      </c>
      <c r="D2326" s="611">
        <f>-'Progetto del paramento slu'!$G$47*'Progetto del paramento slu'!$G$41*IF(DATI!$G$218="dx",DATI!$E$61,DATI!$E$64*DATI!$E$63)*1000*C2326^2*sezione!$AD$5*(1-sezione!$AD$6)</f>
        <v>-2686612.5128903384</v>
      </c>
      <c r="E2326" s="553">
        <f>-'Foglio deposito bis'!$F$88*(C2326-sezione!$AL$36)*IF(ABS(K2326)&lt;'Progetto del paramento slu'!$G$58,ABS(K2326)*'Progetto del paramento slu'!$G$54,'Progetto del paramento slu'!$G$53)</f>
        <v>0</v>
      </c>
      <c r="F2326" s="553">
        <f>-'Foglio deposito bis'!$F$89*(C2326-sezione!$AM$36)*IF(ABS(L2326)&lt;'Progetto del paramento slu'!$G$58,ABS(L2326)*'Progetto del paramento slu'!$G$54,'Progetto del paramento slu'!$G$53)</f>
        <v>20273697.135909844</v>
      </c>
      <c r="G2326" s="553">
        <f>-'Foglio deposito bis'!$F$90*(C2326-sezione!$AN$36)*IF(ABS(M2326)&lt;'Progetto del paramento slu'!$G$58,ABS(M2326)*'Progetto del paramento slu'!$G$54,'Progetto del paramento slu'!$G$53)</f>
        <v>0</v>
      </c>
      <c r="H2326" s="553">
        <f>-'Foglio deposito bis'!$F$91*(C2326-sezione!$AO$36)*IF(ABS(N2326)&lt;'Progetto del paramento slu'!$G$58,ABS(N2326)*'Progetto del paramento slu'!$G$54,'Progetto del paramento slu'!$G$53)</f>
        <v>287321877.12734634</v>
      </c>
      <c r="I2326" s="479">
        <f>-'Foglio deposito bis'!$F$92*(C2326-sezione!$AP$36)*IF(ABS(O2326)&lt;'Progetto del paramento slu'!$G$58,ABS(O2326)*'Progetto del paramento slu'!$G$54,'Progetto del paramento slu'!$G$53)</f>
        <v>402119552.11353129</v>
      </c>
      <c r="J2326" s="479">
        <f t="shared" si="170"/>
        <v>707028513.86389709</v>
      </c>
      <c r="K2326" s="558">
        <f>'Progetto del paramento slu'!$G$60*(sezione!$AL$36-C2326)/C2326</f>
        <v>4.2495804950515486E-3</v>
      </c>
      <c r="L2326" s="558">
        <f>'Progetto del paramento slu'!$G$60*(sezione!$AM$36-C2326)/C2326</f>
        <v>2.5560926856443306E-2</v>
      </c>
      <c r="M2326" s="559">
        <f>'Progetto del paramento slu'!$G$60*(sezione!$AN$36-C2326)/C2326</f>
        <v>4.6872273217835068E-2</v>
      </c>
      <c r="N2326" s="559">
        <f>'Progetto del paramento slu'!$G$60*(sezione!$AO$36-C2326)/C2326</f>
        <v>6.2371434207938156E-2</v>
      </c>
      <c r="O2326" s="559">
        <f>'Progetto del paramento slu'!$G$60*(sezione!$AP$36-C2326)/C2326</f>
        <v>4.6874015010566476E-2</v>
      </c>
      <c r="P2326" s="553">
        <f>-'Progetto del paramento slu'!$G$47*'Progetto del paramento slu'!$G$41*IF(DATI!$G$218="dx",DATI!$E$61,DATI!$E$64*DATI!$E$63)*1000*C2326*sezione!$AD$5</f>
        <v>-254649.21633630613</v>
      </c>
      <c r="Q2326" s="553">
        <f>'Foglio deposito bis'!$F$88*IF(ABS(K2326)&lt;'Progetto del paramento slu'!$G$58,ABS(K2326)*'Progetto del paramento slu'!$G$54,'Progetto del paramento slu'!$G$53)*IF(K2326&lt;0,-1,1)</f>
        <v>0</v>
      </c>
      <c r="R2326" s="553">
        <f>'Foglio deposito bis'!$F$89*IF(ABS(L2326)&lt;'Progetto del paramento slu'!$G$58,ABS(L2326)*'Progetto del paramento slu'!$G$54,'Progetto del paramento slu'!$G$53)*IF(L2326&lt;0,-1,1)</f>
        <v>153664.85805602249</v>
      </c>
      <c r="S2326" s="553">
        <f>'Foglio deposito bis'!$F$90*IF(ABS(M2326)&lt;'Progetto del paramento slu'!$G$58,ABS(M2326)*'Progetto del paramento slu'!$G$54,'Progetto del paramento slu'!$G$53)*IF(M2326&lt;0,-1,1)</f>
        <v>0</v>
      </c>
      <c r="T2326" s="553">
        <f>'Foglio deposito bis'!$F$91*IF(ABS(N2326)&lt;'Progetto del paramento slu'!$G$58,ABS(N2326)*'Progetto del paramento slu'!$G$54,'Progetto del paramento slu'!$G$53)*IF(N2326&lt;0,-1,1)</f>
        <v>892485.49558937876</v>
      </c>
      <c r="U2326" s="553">
        <f>'Foglio deposito bis'!$F$92*IF(ABS(O2326)&lt;'Progetto del paramento slu'!$G$58,ABS(O2326)*'Progetto del paramento slu'!$G$54,'Progetto del paramento slu'!$G$53)*IF(O2326&lt;0,-1,1)</f>
        <v>1662039.1047339395</v>
      </c>
      <c r="V2326" s="479">
        <f t="shared" si="172"/>
        <v>2453540.2420430346</v>
      </c>
      <c r="W2326" s="559"/>
      <c r="X2326" s="559"/>
    </row>
    <row r="2327" spans="1:24" x14ac:dyDescent="0.25">
      <c r="A2327" s="553">
        <f t="shared" si="171"/>
        <v>2450679.0148931886</v>
      </c>
      <c r="B2327" s="3">
        <f t="shared" si="173"/>
        <v>4.499999999999992</v>
      </c>
      <c r="C2327" s="553">
        <f>'Foglio deposito bis'!$E$162/sezione!$B$247*B2327</f>
        <v>18.26847708701985</v>
      </c>
      <c r="D2327" s="611">
        <f>-'Progetto del paramento slu'!$G$47*'Progetto del paramento slu'!$G$41*IF(DATI!$G$218="dx",DATI!$E$61,DATI!$E$64*DATI!$E$63)*1000*C2327^2*sezione!$AD$5*(1-sezione!$AD$6)</f>
        <v>-2747325.0037131342</v>
      </c>
      <c r="E2327" s="553">
        <f>-'Foglio deposito bis'!$F$88*(C2327-sezione!$AL$36)*IF(ABS(K2327)&lt;'Progetto del paramento slu'!$G$58,ABS(K2327)*'Progetto del paramento slu'!$G$54,'Progetto del paramento slu'!$G$53)</f>
        <v>0</v>
      </c>
      <c r="F2327" s="553">
        <f>-'Foglio deposito bis'!$F$89*(C2327-sezione!$AM$36)*IF(ABS(L2327)&lt;'Progetto del paramento slu'!$G$58,ABS(L2327)*'Progetto del paramento slu'!$G$54,'Progetto del paramento slu'!$G$53)</f>
        <v>20242505.769926772</v>
      </c>
      <c r="G2327" s="553">
        <f>-'Foglio deposito bis'!$F$90*(C2327-sezione!$AN$36)*IF(ABS(M2327)&lt;'Progetto del paramento slu'!$G$58,ABS(M2327)*'Progetto del paramento slu'!$G$54,'Progetto del paramento slu'!$G$53)</f>
        <v>0</v>
      </c>
      <c r="H2327" s="553">
        <f>-'Foglio deposito bis'!$F$91*(C2327-sezione!$AO$36)*IF(ABS(N2327)&lt;'Progetto del paramento slu'!$G$58,ABS(N2327)*'Progetto del paramento slu'!$G$54,'Progetto del paramento slu'!$G$53)</f>
        <v>287140717.67371666</v>
      </c>
      <c r="I2327" s="479">
        <f>-'Foglio deposito bis'!$F$92*(C2327-sezione!$AP$36)*IF(ABS(O2327)&lt;'Progetto del paramento slu'!$G$58,ABS(O2327)*'Progetto del paramento slu'!$G$54,'Progetto del paramento slu'!$G$53)</f>
        <v>401782186.29905838</v>
      </c>
      <c r="J2327" s="479">
        <f t="shared" si="170"/>
        <v>706418084.73898864</v>
      </c>
      <c r="K2327" s="558">
        <f>'Progetto del paramento slu'!$G$60*(sezione!$AL$36-C2327)/C2327</f>
        <v>4.1634740451065317E-3</v>
      </c>
      <c r="L2327" s="558">
        <f>'Progetto del paramento slu'!$G$60*(sezione!$AM$36-C2327)/C2327</f>
        <v>2.5238027669149496E-2</v>
      </c>
      <c r="M2327" s="559">
        <f>'Progetto del paramento slu'!$G$60*(sezione!$AN$36-C2327)/C2327</f>
        <v>4.6312581293192462E-2</v>
      </c>
      <c r="N2327" s="559">
        <f>'Progetto del paramento slu'!$G$60*(sezione!$AO$36-C2327)/C2327</f>
        <v>6.1639529383405528E-2</v>
      </c>
      <c r="O2327" s="559">
        <f>'Progetto del paramento slu'!$G$60*(sezione!$AP$36-C2327)/C2327</f>
        <v>4.6314303732671307E-2</v>
      </c>
      <c r="P2327" s="553">
        <f>-'Progetto del paramento slu'!$G$47*'Progetto del paramento slu'!$G$41*IF(DATI!$G$218="dx",DATI!$E$61,DATI!$E$64*DATI!$E$63)*1000*C2327*sezione!$AD$5</f>
        <v>-257510.44348615222</v>
      </c>
      <c r="Q2327" s="553">
        <f>'Foglio deposito bis'!$F$88*IF(ABS(K2327)&lt;'Progetto del paramento slu'!$G$58,ABS(K2327)*'Progetto del paramento slu'!$G$54,'Progetto del paramento slu'!$G$53)*IF(K2327&lt;0,-1,1)</f>
        <v>0</v>
      </c>
      <c r="R2327" s="553">
        <f>'Foglio deposito bis'!$F$89*IF(ABS(L2327)&lt;'Progetto del paramento slu'!$G$58,ABS(L2327)*'Progetto del paramento slu'!$G$54,'Progetto del paramento slu'!$G$53)*IF(L2327&lt;0,-1,1)</f>
        <v>153664.85805602249</v>
      </c>
      <c r="S2327" s="553">
        <f>'Foglio deposito bis'!$F$90*IF(ABS(M2327)&lt;'Progetto del paramento slu'!$G$58,ABS(M2327)*'Progetto del paramento slu'!$G$54,'Progetto del paramento slu'!$G$53)*IF(M2327&lt;0,-1,1)</f>
        <v>0</v>
      </c>
      <c r="T2327" s="553">
        <f>'Foglio deposito bis'!$F$91*IF(ABS(N2327)&lt;'Progetto del paramento slu'!$G$58,ABS(N2327)*'Progetto del paramento slu'!$G$54,'Progetto del paramento slu'!$G$53)*IF(N2327&lt;0,-1,1)</f>
        <v>892485.49558937876</v>
      </c>
      <c r="U2327" s="553">
        <f>'Foglio deposito bis'!$F$92*IF(ABS(O2327)&lt;'Progetto del paramento slu'!$G$58,ABS(O2327)*'Progetto del paramento slu'!$G$54,'Progetto del paramento slu'!$G$53)*IF(O2327&lt;0,-1,1)</f>
        <v>1662039.1047339395</v>
      </c>
      <c r="V2327" s="479">
        <f t="shared" si="172"/>
        <v>2450679.0148931886</v>
      </c>
      <c r="W2327" s="559"/>
      <c r="X2327" s="559"/>
    </row>
    <row r="2328" spans="1:24" x14ac:dyDescent="0.25">
      <c r="A2328" s="553">
        <f t="shared" si="171"/>
        <v>2447817.7877433421</v>
      </c>
      <c r="B2328" s="3">
        <f t="shared" si="173"/>
        <v>4.5499999999999918</v>
      </c>
      <c r="C2328" s="553">
        <f>'Foglio deposito bis'!$E$162/sezione!$B$247*B2328</f>
        <v>18.471460165764515</v>
      </c>
      <c r="D2328" s="611">
        <f>-'Progetto del paramento slu'!$G$47*'Progetto del paramento slu'!$G$41*IF(DATI!$G$218="dx",DATI!$E$61,DATI!$E$64*DATI!$E$63)*1000*C2328^2*sezione!$AD$5*(1-sezione!$AD$6)</f>
        <v>-2808715.8463886995</v>
      </c>
      <c r="E2328" s="553">
        <f>-'Foglio deposito bis'!$F$88*(C2328-sezione!$AL$36)*IF(ABS(K2328)&lt;'Progetto del paramento slu'!$G$58,ABS(K2328)*'Progetto del paramento slu'!$G$54,'Progetto del paramento slu'!$G$53)</f>
        <v>0</v>
      </c>
      <c r="F2328" s="553">
        <f>-'Foglio deposito bis'!$F$89*(C2328-sezione!$AM$36)*IF(ABS(L2328)&lt;'Progetto del paramento slu'!$G$58,ABS(L2328)*'Progetto del paramento slu'!$G$54,'Progetto del paramento slu'!$G$53)</f>
        <v>20211314.403943695</v>
      </c>
      <c r="G2328" s="553">
        <f>-'Foglio deposito bis'!$F$90*(C2328-sezione!$AN$36)*IF(ABS(M2328)&lt;'Progetto del paramento slu'!$G$58,ABS(M2328)*'Progetto del paramento slu'!$G$54,'Progetto del paramento slu'!$G$53)</f>
        <v>0</v>
      </c>
      <c r="H2328" s="553">
        <f>-'Foglio deposito bis'!$F$91*(C2328-sezione!$AO$36)*IF(ABS(N2328)&lt;'Progetto del paramento slu'!$G$58,ABS(N2328)*'Progetto del paramento slu'!$G$54,'Progetto del paramento slu'!$G$53)</f>
        <v>286959558.22008699</v>
      </c>
      <c r="I2328" s="479">
        <f>-'Foglio deposito bis'!$F$92*(C2328-sezione!$AP$36)*IF(ABS(O2328)&lt;'Progetto del paramento slu'!$G$58,ABS(O2328)*'Progetto del paramento slu'!$G$54,'Progetto del paramento slu'!$G$53)</f>
        <v>401444820.4845854</v>
      </c>
      <c r="J2328" s="479">
        <f t="shared" si="170"/>
        <v>705806977.26222742</v>
      </c>
      <c r="K2328" s="558">
        <f>'Progetto del paramento slu'!$G$60*(sezione!$AL$36-C2328)/C2328</f>
        <v>4.0792600446108553E-3</v>
      </c>
      <c r="L2328" s="558">
        <f>'Progetto del paramento slu'!$G$60*(sezione!$AM$36-C2328)/C2328</f>
        <v>2.4922225167290712E-2</v>
      </c>
      <c r="M2328" s="559">
        <f>'Progetto del paramento slu'!$G$60*(sezione!$AN$36-C2328)/C2328</f>
        <v>4.5765190289970566E-2</v>
      </c>
      <c r="N2328" s="559">
        <f>'Progetto del paramento slu'!$G$60*(sezione!$AO$36-C2328)/C2328</f>
        <v>6.0923710379192267E-2</v>
      </c>
      <c r="O2328" s="559">
        <f>'Progetto del paramento slu'!$G$60*(sezione!$AP$36-C2328)/C2328</f>
        <v>4.5766893801543043E-2</v>
      </c>
      <c r="P2328" s="553">
        <f>-'Progetto del paramento slu'!$G$47*'Progetto del paramento slu'!$G$41*IF(DATI!$G$218="dx",DATI!$E$61,DATI!$E$64*DATI!$E$63)*1000*C2328*sezione!$AD$5</f>
        <v>-260371.67063599837</v>
      </c>
      <c r="Q2328" s="553">
        <f>'Foglio deposito bis'!$F$88*IF(ABS(K2328)&lt;'Progetto del paramento slu'!$G$58,ABS(K2328)*'Progetto del paramento slu'!$G$54,'Progetto del paramento slu'!$G$53)*IF(K2328&lt;0,-1,1)</f>
        <v>0</v>
      </c>
      <c r="R2328" s="553">
        <f>'Foglio deposito bis'!$F$89*IF(ABS(L2328)&lt;'Progetto del paramento slu'!$G$58,ABS(L2328)*'Progetto del paramento slu'!$G$54,'Progetto del paramento slu'!$G$53)*IF(L2328&lt;0,-1,1)</f>
        <v>153664.85805602249</v>
      </c>
      <c r="S2328" s="553">
        <f>'Foglio deposito bis'!$F$90*IF(ABS(M2328)&lt;'Progetto del paramento slu'!$G$58,ABS(M2328)*'Progetto del paramento slu'!$G$54,'Progetto del paramento slu'!$G$53)*IF(M2328&lt;0,-1,1)</f>
        <v>0</v>
      </c>
      <c r="T2328" s="553">
        <f>'Foglio deposito bis'!$F$91*IF(ABS(N2328)&lt;'Progetto del paramento slu'!$G$58,ABS(N2328)*'Progetto del paramento slu'!$G$54,'Progetto del paramento slu'!$G$53)*IF(N2328&lt;0,-1,1)</f>
        <v>892485.49558937876</v>
      </c>
      <c r="U2328" s="553">
        <f>'Foglio deposito bis'!$F$92*IF(ABS(O2328)&lt;'Progetto del paramento slu'!$G$58,ABS(O2328)*'Progetto del paramento slu'!$G$54,'Progetto del paramento slu'!$G$53)*IF(O2328&lt;0,-1,1)</f>
        <v>1662039.1047339395</v>
      </c>
      <c r="V2328" s="479">
        <f t="shared" si="172"/>
        <v>2447817.7877433421</v>
      </c>
      <c r="W2328" s="559"/>
      <c r="X2328" s="559"/>
    </row>
    <row r="2329" spans="1:24" x14ac:dyDescent="0.25">
      <c r="A2329" s="553">
        <f t="shared" si="171"/>
        <v>2444956.5605934961</v>
      </c>
      <c r="B2329" s="3">
        <f t="shared" si="173"/>
        <v>4.5999999999999917</v>
      </c>
      <c r="C2329" s="553">
        <f>'Foglio deposito bis'!$E$162/sezione!$B$247*B2329</f>
        <v>18.674443244509181</v>
      </c>
      <c r="D2329" s="611">
        <f>-'Progetto del paramento slu'!$G$47*'Progetto del paramento slu'!$G$41*IF(DATI!$G$218="dx",DATI!$E$61,DATI!$E$64*DATI!$E$63)*1000*C2329^2*sezione!$AD$5*(1-sezione!$AD$6)</f>
        <v>-2870785.0409170333</v>
      </c>
      <c r="E2329" s="553">
        <f>-'Foglio deposito bis'!$F$88*(C2329-sezione!$AL$36)*IF(ABS(K2329)&lt;'Progetto del paramento slu'!$G$58,ABS(K2329)*'Progetto del paramento slu'!$G$54,'Progetto del paramento slu'!$G$53)</f>
        <v>0</v>
      </c>
      <c r="F2329" s="553">
        <f>-'Foglio deposito bis'!$F$89*(C2329-sezione!$AM$36)*IF(ABS(L2329)&lt;'Progetto del paramento slu'!$G$58,ABS(L2329)*'Progetto del paramento slu'!$G$54,'Progetto del paramento slu'!$G$53)</f>
        <v>20180123.037960622</v>
      </c>
      <c r="G2329" s="553">
        <f>-'Foglio deposito bis'!$F$90*(C2329-sezione!$AN$36)*IF(ABS(M2329)&lt;'Progetto del paramento slu'!$G$58,ABS(M2329)*'Progetto del paramento slu'!$G$54,'Progetto del paramento slu'!$G$53)</f>
        <v>0</v>
      </c>
      <c r="H2329" s="553">
        <f>-'Foglio deposito bis'!$F$91*(C2329-sezione!$AO$36)*IF(ABS(N2329)&lt;'Progetto del paramento slu'!$G$58,ABS(N2329)*'Progetto del paramento slu'!$G$54,'Progetto del paramento slu'!$G$53)</f>
        <v>286778398.76645726</v>
      </c>
      <c r="I2329" s="479">
        <f>-'Foglio deposito bis'!$F$92*(C2329-sezione!$AP$36)*IF(ABS(O2329)&lt;'Progetto del paramento slu'!$G$58,ABS(O2329)*'Progetto del paramento slu'!$G$54,'Progetto del paramento slu'!$G$53)</f>
        <v>401107454.67011249</v>
      </c>
      <c r="J2329" s="479">
        <f t="shared" si="170"/>
        <v>705195191.4336133</v>
      </c>
      <c r="K2329" s="558">
        <f>'Progetto del paramento slu'!$G$60*(sezione!$AL$36-C2329)/C2329</f>
        <v>3.9968767832563893E-3</v>
      </c>
      <c r="L2329" s="558">
        <f>'Progetto del paramento slu'!$G$60*(sezione!$AM$36-C2329)/C2329</f>
        <v>2.4613287937211462E-2</v>
      </c>
      <c r="M2329" s="559">
        <f>'Progetto del paramento slu'!$G$60*(sezione!$AN$36-C2329)/C2329</f>
        <v>4.5229699091166531E-2</v>
      </c>
      <c r="N2329" s="559">
        <f>'Progetto del paramento slu'!$G$60*(sezione!$AO$36-C2329)/C2329</f>
        <v>6.0223452657679311E-2</v>
      </c>
      <c r="O2329" s="559">
        <f>'Progetto del paramento slu'!$G$60*(sezione!$AP$36-C2329)/C2329</f>
        <v>4.5231384086308883E-2</v>
      </c>
      <c r="P2329" s="553">
        <f>-'Progetto del paramento slu'!$G$47*'Progetto del paramento slu'!$G$41*IF(DATI!$G$218="dx",DATI!$E$61,DATI!$E$64*DATI!$E$63)*1000*C2329*sezione!$AD$5</f>
        <v>-263232.89778584451</v>
      </c>
      <c r="Q2329" s="553">
        <f>'Foglio deposito bis'!$F$88*IF(ABS(K2329)&lt;'Progetto del paramento slu'!$G$58,ABS(K2329)*'Progetto del paramento slu'!$G$54,'Progetto del paramento slu'!$G$53)*IF(K2329&lt;0,-1,1)</f>
        <v>0</v>
      </c>
      <c r="R2329" s="553">
        <f>'Foglio deposito bis'!$F$89*IF(ABS(L2329)&lt;'Progetto del paramento slu'!$G$58,ABS(L2329)*'Progetto del paramento slu'!$G$54,'Progetto del paramento slu'!$G$53)*IF(L2329&lt;0,-1,1)</f>
        <v>153664.85805602249</v>
      </c>
      <c r="S2329" s="553">
        <f>'Foglio deposito bis'!$F$90*IF(ABS(M2329)&lt;'Progetto del paramento slu'!$G$58,ABS(M2329)*'Progetto del paramento slu'!$G$54,'Progetto del paramento slu'!$G$53)*IF(M2329&lt;0,-1,1)</f>
        <v>0</v>
      </c>
      <c r="T2329" s="553">
        <f>'Foglio deposito bis'!$F$91*IF(ABS(N2329)&lt;'Progetto del paramento slu'!$G$58,ABS(N2329)*'Progetto del paramento slu'!$G$54,'Progetto del paramento slu'!$G$53)*IF(N2329&lt;0,-1,1)</f>
        <v>892485.49558937876</v>
      </c>
      <c r="U2329" s="553">
        <f>'Foglio deposito bis'!$F$92*IF(ABS(O2329)&lt;'Progetto del paramento slu'!$G$58,ABS(O2329)*'Progetto del paramento slu'!$G$54,'Progetto del paramento slu'!$G$53)*IF(O2329&lt;0,-1,1)</f>
        <v>1662039.1047339395</v>
      </c>
      <c r="V2329" s="479">
        <f t="shared" si="172"/>
        <v>2444956.5605934961</v>
      </c>
      <c r="W2329" s="559"/>
      <c r="X2329" s="559"/>
    </row>
    <row r="2330" spans="1:24" x14ac:dyDescent="0.25">
      <c r="A2330" s="553">
        <f t="shared" si="171"/>
        <v>2442095.33344365</v>
      </c>
      <c r="B2330" s="3">
        <f t="shared" si="173"/>
        <v>4.6499999999999915</v>
      </c>
      <c r="C2330" s="553">
        <f>'Foglio deposito bis'!$E$162/sezione!$B$247*B2330</f>
        <v>18.877426323253843</v>
      </c>
      <c r="D2330" s="611">
        <f>-'Progetto del paramento slu'!$G$47*'Progetto del paramento slu'!$G$41*IF(DATI!$G$218="dx",DATI!$E$61,DATI!$E$64*DATI!$E$63)*1000*C2330^2*sezione!$AD$5*(1-sezione!$AD$6)</f>
        <v>-2933532.5872981343</v>
      </c>
      <c r="E2330" s="553">
        <f>-'Foglio deposito bis'!$F$88*(C2330-sezione!$AL$36)*IF(ABS(K2330)&lt;'Progetto del paramento slu'!$G$58,ABS(K2330)*'Progetto del paramento slu'!$G$54,'Progetto del paramento slu'!$G$53)</f>
        <v>0</v>
      </c>
      <c r="F2330" s="553">
        <f>-'Foglio deposito bis'!$F$89*(C2330-sezione!$AM$36)*IF(ABS(L2330)&lt;'Progetto del paramento slu'!$G$58,ABS(L2330)*'Progetto del paramento slu'!$G$54,'Progetto del paramento slu'!$G$53)</f>
        <v>20148931.67197755</v>
      </c>
      <c r="G2330" s="553">
        <f>-'Foglio deposito bis'!$F$90*(C2330-sezione!$AN$36)*IF(ABS(M2330)&lt;'Progetto del paramento slu'!$G$58,ABS(M2330)*'Progetto del paramento slu'!$G$54,'Progetto del paramento slu'!$G$53)</f>
        <v>0</v>
      </c>
      <c r="H2330" s="553">
        <f>-'Foglio deposito bis'!$F$91*(C2330-sezione!$AO$36)*IF(ABS(N2330)&lt;'Progetto del paramento slu'!$G$58,ABS(N2330)*'Progetto del paramento slu'!$G$54,'Progetto del paramento slu'!$G$53)</f>
        <v>286597239.31282759</v>
      </c>
      <c r="I2330" s="479">
        <f>-'Foglio deposito bis'!$F$92*(C2330-sezione!$AP$36)*IF(ABS(O2330)&lt;'Progetto del paramento slu'!$G$58,ABS(O2330)*'Progetto del paramento slu'!$G$54,'Progetto del paramento slu'!$G$53)</f>
        <v>400770088.85563958</v>
      </c>
      <c r="J2330" s="479">
        <f t="shared" si="170"/>
        <v>704582727.25314665</v>
      </c>
      <c r="K2330" s="558">
        <f>'Progetto del paramento slu'!$G$60*(sezione!$AL$36-C2330)/C2330</f>
        <v>3.9162652049418061E-3</v>
      </c>
      <c r="L2330" s="558">
        <f>'Progetto del paramento slu'!$G$60*(sezione!$AM$36-C2330)/C2330</f>
        <v>2.4310994518531772E-2</v>
      </c>
      <c r="M2330" s="559">
        <f>'Progetto del paramento slu'!$G$60*(sezione!$AN$36-C2330)/C2330</f>
        <v>4.4705723832121735E-2</v>
      </c>
      <c r="N2330" s="559">
        <f>'Progetto del paramento slu'!$G$60*(sezione!$AO$36-C2330)/C2330</f>
        <v>5.9538254242005345E-2</v>
      </c>
      <c r="O2330" s="559">
        <f>'Progetto del paramento slu'!$G$60*(sezione!$AP$36-C2330)/C2330</f>
        <v>4.4707390709036753E-2</v>
      </c>
      <c r="P2330" s="553">
        <f>-'Progetto del paramento slu'!$G$47*'Progetto del paramento slu'!$G$41*IF(DATI!$G$218="dx",DATI!$E$61,DATI!$E$64*DATI!$E$63)*1000*C2330*sezione!$AD$5</f>
        <v>-266094.1249356906</v>
      </c>
      <c r="Q2330" s="553">
        <f>'Foglio deposito bis'!$F$88*IF(ABS(K2330)&lt;'Progetto del paramento slu'!$G$58,ABS(K2330)*'Progetto del paramento slu'!$G$54,'Progetto del paramento slu'!$G$53)*IF(K2330&lt;0,-1,1)</f>
        <v>0</v>
      </c>
      <c r="R2330" s="553">
        <f>'Foglio deposito bis'!$F$89*IF(ABS(L2330)&lt;'Progetto del paramento slu'!$G$58,ABS(L2330)*'Progetto del paramento slu'!$G$54,'Progetto del paramento slu'!$G$53)*IF(L2330&lt;0,-1,1)</f>
        <v>153664.85805602249</v>
      </c>
      <c r="S2330" s="553">
        <f>'Foglio deposito bis'!$F$90*IF(ABS(M2330)&lt;'Progetto del paramento slu'!$G$58,ABS(M2330)*'Progetto del paramento slu'!$G$54,'Progetto del paramento slu'!$G$53)*IF(M2330&lt;0,-1,1)</f>
        <v>0</v>
      </c>
      <c r="T2330" s="553">
        <f>'Foglio deposito bis'!$F$91*IF(ABS(N2330)&lt;'Progetto del paramento slu'!$G$58,ABS(N2330)*'Progetto del paramento slu'!$G$54,'Progetto del paramento slu'!$G$53)*IF(N2330&lt;0,-1,1)</f>
        <v>892485.49558937876</v>
      </c>
      <c r="U2330" s="553">
        <f>'Foglio deposito bis'!$F$92*IF(ABS(O2330)&lt;'Progetto del paramento slu'!$G$58,ABS(O2330)*'Progetto del paramento slu'!$G$54,'Progetto del paramento slu'!$G$53)*IF(O2330&lt;0,-1,1)</f>
        <v>1662039.1047339395</v>
      </c>
      <c r="V2330" s="479">
        <f t="shared" si="172"/>
        <v>2442095.33344365</v>
      </c>
      <c r="W2330" s="559"/>
      <c r="X2330" s="559"/>
    </row>
    <row r="2331" spans="1:24" x14ac:dyDescent="0.25">
      <c r="A2331" s="553">
        <f t="shared" si="171"/>
        <v>2439234.106293804</v>
      </c>
      <c r="B2331" s="3">
        <f t="shared" si="173"/>
        <v>4.6999999999999913</v>
      </c>
      <c r="C2331" s="553">
        <f>'Foglio deposito bis'!$E$162/sezione!$B$247*B2331</f>
        <v>19.080409401998509</v>
      </c>
      <c r="D2331" s="611">
        <f>-'Progetto del paramento slu'!$G$47*'Progetto del paramento slu'!$G$41*IF(DATI!$G$218="dx",DATI!$E$61,DATI!$E$64*DATI!$E$63)*1000*C2331^2*sezione!$AD$5*(1-sezione!$AD$6)</f>
        <v>-2996958.4855320062</v>
      </c>
      <c r="E2331" s="553">
        <f>-'Foglio deposito bis'!$F$88*(C2331-sezione!$AL$36)*IF(ABS(K2331)&lt;'Progetto del paramento slu'!$G$58,ABS(K2331)*'Progetto del paramento slu'!$G$54,'Progetto del paramento slu'!$G$53)</f>
        <v>0</v>
      </c>
      <c r="F2331" s="553">
        <f>-'Foglio deposito bis'!$F$89*(C2331-sezione!$AM$36)*IF(ABS(L2331)&lt;'Progetto del paramento slu'!$G$58,ABS(L2331)*'Progetto del paramento slu'!$G$54,'Progetto del paramento slu'!$G$53)</f>
        <v>20117740.305994473</v>
      </c>
      <c r="G2331" s="553">
        <f>-'Foglio deposito bis'!$F$90*(C2331-sezione!$AN$36)*IF(ABS(M2331)&lt;'Progetto del paramento slu'!$G$58,ABS(M2331)*'Progetto del paramento slu'!$G$54,'Progetto del paramento slu'!$G$53)</f>
        <v>0</v>
      </c>
      <c r="H2331" s="553">
        <f>-'Foglio deposito bis'!$F$91*(C2331-sezione!$AO$36)*IF(ABS(N2331)&lt;'Progetto del paramento slu'!$G$58,ABS(N2331)*'Progetto del paramento slu'!$G$54,'Progetto del paramento slu'!$G$53)</f>
        <v>286416079.85919791</v>
      </c>
      <c r="I2331" s="479">
        <f>-'Foglio deposito bis'!$F$92*(C2331-sezione!$AP$36)*IF(ABS(O2331)&lt;'Progetto del paramento slu'!$G$58,ABS(O2331)*'Progetto del paramento slu'!$G$54,'Progetto del paramento slu'!$G$53)</f>
        <v>400432723.04116666</v>
      </c>
      <c r="J2331" s="479">
        <f t="shared" si="170"/>
        <v>703969584.7208271</v>
      </c>
      <c r="K2331" s="558">
        <f>'Progetto del paramento slu'!$G$60*(sezione!$AL$36-C2331)/C2331</f>
        <v>3.837368766591361E-3</v>
      </c>
      <c r="L2331" s="558">
        <f>'Progetto del paramento slu'!$G$60*(sezione!$AM$36-C2331)/C2331</f>
        <v>2.4015132874717602E-2</v>
      </c>
      <c r="M2331" s="559">
        <f>'Progetto del paramento slu'!$G$60*(sezione!$AN$36-C2331)/C2331</f>
        <v>4.4192896982843843E-2</v>
      </c>
      <c r="N2331" s="559">
        <f>'Progetto del paramento slu'!$G$60*(sezione!$AO$36-C2331)/C2331</f>
        <v>5.8867634516026571E-2</v>
      </c>
      <c r="O2331" s="559">
        <f>'Progetto del paramento slu'!$G$60*(sezione!$AP$36-C2331)/C2331</f>
        <v>4.4194546127025724E-2</v>
      </c>
      <c r="P2331" s="553">
        <f>-'Progetto del paramento slu'!$G$47*'Progetto del paramento slu'!$G$41*IF(DATI!$G$218="dx",DATI!$E$61,DATI!$E$64*DATI!$E$63)*1000*C2331*sezione!$AD$5</f>
        <v>-268955.35208553675</v>
      </c>
      <c r="Q2331" s="553">
        <f>'Foglio deposito bis'!$F$88*IF(ABS(K2331)&lt;'Progetto del paramento slu'!$G$58,ABS(K2331)*'Progetto del paramento slu'!$G$54,'Progetto del paramento slu'!$G$53)*IF(K2331&lt;0,-1,1)</f>
        <v>0</v>
      </c>
      <c r="R2331" s="553">
        <f>'Foglio deposito bis'!$F$89*IF(ABS(L2331)&lt;'Progetto del paramento slu'!$G$58,ABS(L2331)*'Progetto del paramento slu'!$G$54,'Progetto del paramento slu'!$G$53)*IF(L2331&lt;0,-1,1)</f>
        <v>153664.85805602249</v>
      </c>
      <c r="S2331" s="553">
        <f>'Foglio deposito bis'!$F$90*IF(ABS(M2331)&lt;'Progetto del paramento slu'!$G$58,ABS(M2331)*'Progetto del paramento slu'!$G$54,'Progetto del paramento slu'!$G$53)*IF(M2331&lt;0,-1,1)</f>
        <v>0</v>
      </c>
      <c r="T2331" s="553">
        <f>'Foglio deposito bis'!$F$91*IF(ABS(N2331)&lt;'Progetto del paramento slu'!$G$58,ABS(N2331)*'Progetto del paramento slu'!$G$54,'Progetto del paramento slu'!$G$53)*IF(N2331&lt;0,-1,1)</f>
        <v>892485.49558937876</v>
      </c>
      <c r="U2331" s="553">
        <f>'Foglio deposito bis'!$F$92*IF(ABS(O2331)&lt;'Progetto del paramento slu'!$G$58,ABS(O2331)*'Progetto del paramento slu'!$G$54,'Progetto del paramento slu'!$G$53)*IF(O2331&lt;0,-1,1)</f>
        <v>1662039.1047339395</v>
      </c>
      <c r="V2331" s="479">
        <f t="shared" si="172"/>
        <v>2439234.106293804</v>
      </c>
      <c r="W2331" s="559"/>
      <c r="X2331" s="559"/>
    </row>
    <row r="2332" spans="1:24" x14ac:dyDescent="0.25">
      <c r="A2332" s="553">
        <f t="shared" si="171"/>
        <v>2436372.879143958</v>
      </c>
      <c r="B2332" s="3">
        <f t="shared" si="173"/>
        <v>4.7499999999999911</v>
      </c>
      <c r="C2332" s="553">
        <f>'Foglio deposito bis'!$E$162/sezione!$B$247*B2332</f>
        <v>19.283392480743174</v>
      </c>
      <c r="D2332" s="611">
        <f>-'Progetto del paramento slu'!$G$47*'Progetto del paramento slu'!$G$41*IF(DATI!$G$218="dx",DATI!$E$61,DATI!$E$64*DATI!$E$63)*1000*C2332^2*sezione!$AD$5*(1-sezione!$AD$6)</f>
        <v>-3061062.7356186463</v>
      </c>
      <c r="E2332" s="553">
        <f>-'Foglio deposito bis'!$F$88*(C2332-sezione!$AL$36)*IF(ABS(K2332)&lt;'Progetto del paramento slu'!$G$58,ABS(K2332)*'Progetto del paramento slu'!$G$54,'Progetto del paramento slu'!$G$53)</f>
        <v>0</v>
      </c>
      <c r="F2332" s="553">
        <f>-'Foglio deposito bis'!$F$89*(C2332-sezione!$AM$36)*IF(ABS(L2332)&lt;'Progetto del paramento slu'!$G$58,ABS(L2332)*'Progetto del paramento slu'!$G$54,'Progetto del paramento slu'!$G$53)</f>
        <v>20086548.940011401</v>
      </c>
      <c r="G2332" s="553">
        <f>-'Foglio deposito bis'!$F$90*(C2332-sezione!$AN$36)*IF(ABS(M2332)&lt;'Progetto del paramento slu'!$G$58,ABS(M2332)*'Progetto del paramento slu'!$G$54,'Progetto del paramento slu'!$G$53)</f>
        <v>0</v>
      </c>
      <c r="H2332" s="553">
        <f>-'Foglio deposito bis'!$F$91*(C2332-sezione!$AO$36)*IF(ABS(N2332)&lt;'Progetto del paramento slu'!$G$58,ABS(N2332)*'Progetto del paramento slu'!$G$54,'Progetto del paramento slu'!$G$53)</f>
        <v>286234920.40556824</v>
      </c>
      <c r="I2332" s="479">
        <f>-'Foglio deposito bis'!$F$92*(C2332-sezione!$AP$36)*IF(ABS(O2332)&lt;'Progetto del paramento slu'!$G$58,ABS(O2332)*'Progetto del paramento slu'!$G$54,'Progetto del paramento slu'!$G$53)</f>
        <v>400095357.22669369</v>
      </c>
      <c r="J2332" s="479">
        <f t="shared" si="170"/>
        <v>703355763.83665466</v>
      </c>
      <c r="K2332" s="558">
        <f>'Progetto del paramento slu'!$G$60*(sezione!$AL$36-C2332)/C2332</f>
        <v>3.7601333058903987E-3</v>
      </c>
      <c r="L2332" s="558">
        <f>'Progetto del paramento slu'!$G$60*(sezione!$AM$36-C2332)/C2332</f>
        <v>2.3725499897088997E-2</v>
      </c>
      <c r="M2332" s="559">
        <f>'Progetto del paramento slu'!$G$60*(sezione!$AN$36-C2332)/C2332</f>
        <v>4.3690866488287593E-2</v>
      </c>
      <c r="N2332" s="559">
        <f>'Progetto del paramento slu'!$G$60*(sezione!$AO$36-C2332)/C2332</f>
        <v>5.8211133100068396E-2</v>
      </c>
      <c r="O2332" s="559">
        <f>'Progetto del paramento slu'!$G$60*(sezione!$AP$36-C2332)/C2332</f>
        <v>4.3692498273057032E-2</v>
      </c>
      <c r="P2332" s="553">
        <f>-'Progetto del paramento slu'!$G$47*'Progetto del paramento slu'!$G$41*IF(DATI!$G$218="dx",DATI!$E$61,DATI!$E$64*DATI!$E$63)*1000*C2332*sezione!$AD$5</f>
        <v>-271816.5792353829</v>
      </c>
      <c r="Q2332" s="553">
        <f>'Foglio deposito bis'!$F$88*IF(ABS(K2332)&lt;'Progetto del paramento slu'!$G$58,ABS(K2332)*'Progetto del paramento slu'!$G$54,'Progetto del paramento slu'!$G$53)*IF(K2332&lt;0,-1,1)</f>
        <v>0</v>
      </c>
      <c r="R2332" s="553">
        <f>'Foglio deposito bis'!$F$89*IF(ABS(L2332)&lt;'Progetto del paramento slu'!$G$58,ABS(L2332)*'Progetto del paramento slu'!$G$54,'Progetto del paramento slu'!$G$53)*IF(L2332&lt;0,-1,1)</f>
        <v>153664.85805602249</v>
      </c>
      <c r="S2332" s="553">
        <f>'Foglio deposito bis'!$F$90*IF(ABS(M2332)&lt;'Progetto del paramento slu'!$G$58,ABS(M2332)*'Progetto del paramento slu'!$G$54,'Progetto del paramento slu'!$G$53)*IF(M2332&lt;0,-1,1)</f>
        <v>0</v>
      </c>
      <c r="T2332" s="553">
        <f>'Foglio deposito bis'!$F$91*IF(ABS(N2332)&lt;'Progetto del paramento slu'!$G$58,ABS(N2332)*'Progetto del paramento slu'!$G$54,'Progetto del paramento slu'!$G$53)*IF(N2332&lt;0,-1,1)</f>
        <v>892485.49558937876</v>
      </c>
      <c r="U2332" s="553">
        <f>'Foglio deposito bis'!$F$92*IF(ABS(O2332)&lt;'Progetto del paramento slu'!$G$58,ABS(O2332)*'Progetto del paramento slu'!$G$54,'Progetto del paramento slu'!$G$53)*IF(O2332&lt;0,-1,1)</f>
        <v>1662039.1047339395</v>
      </c>
      <c r="V2332" s="479">
        <f t="shared" si="172"/>
        <v>2436372.879143958</v>
      </c>
      <c r="W2332" s="559"/>
      <c r="X2332" s="559"/>
    </row>
    <row r="2333" spans="1:24" x14ac:dyDescent="0.25">
      <c r="A2333" s="553">
        <f t="shared" si="171"/>
        <v>2433511.6519941119</v>
      </c>
      <c r="B2333" s="3">
        <f t="shared" si="173"/>
        <v>4.7999999999999909</v>
      </c>
      <c r="C2333" s="553">
        <f>'Foglio deposito bis'!$E$162/sezione!$B$247*B2333</f>
        <v>19.48637555948784</v>
      </c>
      <c r="D2333" s="611">
        <f>-'Progetto del paramento slu'!$G$47*'Progetto del paramento slu'!$G$41*IF(DATI!$G$218="dx",DATI!$E$61,DATI!$E$64*DATI!$E$63)*1000*C2333^2*sezione!$AD$5*(1-sezione!$AD$6)</f>
        <v>-3125845.3375580553</v>
      </c>
      <c r="E2333" s="553">
        <f>-'Foglio deposito bis'!$F$88*(C2333-sezione!$AL$36)*IF(ABS(K2333)&lt;'Progetto del paramento slu'!$G$58,ABS(K2333)*'Progetto del paramento slu'!$G$54,'Progetto del paramento slu'!$G$53)</f>
        <v>0</v>
      </c>
      <c r="F2333" s="553">
        <f>-'Foglio deposito bis'!$F$89*(C2333-sezione!$AM$36)*IF(ABS(L2333)&lt;'Progetto del paramento slu'!$G$58,ABS(L2333)*'Progetto del paramento slu'!$G$54,'Progetto del paramento slu'!$G$53)</f>
        <v>20055357.574028332</v>
      </c>
      <c r="G2333" s="553">
        <f>-'Foglio deposito bis'!$F$90*(C2333-sezione!$AN$36)*IF(ABS(M2333)&lt;'Progetto del paramento slu'!$G$58,ABS(M2333)*'Progetto del paramento slu'!$G$54,'Progetto del paramento slu'!$G$53)</f>
        <v>0</v>
      </c>
      <c r="H2333" s="553">
        <f>-'Foglio deposito bis'!$F$91*(C2333-sezione!$AO$36)*IF(ABS(N2333)&lt;'Progetto del paramento slu'!$G$58,ABS(N2333)*'Progetto del paramento slu'!$G$54,'Progetto del paramento slu'!$G$53)</f>
        <v>286053760.95193851</v>
      </c>
      <c r="I2333" s="479">
        <f>-'Foglio deposito bis'!$F$92*(C2333-sezione!$AP$36)*IF(ABS(O2333)&lt;'Progetto del paramento slu'!$G$58,ABS(O2333)*'Progetto del paramento slu'!$G$54,'Progetto del paramento slu'!$G$53)</f>
        <v>399757991.41222078</v>
      </c>
      <c r="J2333" s="479">
        <f t="shared" si="170"/>
        <v>702741264.60062957</v>
      </c>
      <c r="K2333" s="558">
        <f>'Progetto del paramento slu'!$G$60*(sezione!$AL$36-C2333)/C2333</f>
        <v>3.6845069172873734E-3</v>
      </c>
      <c r="L2333" s="558">
        <f>'Progetto del paramento slu'!$G$60*(sezione!$AM$36-C2333)/C2333</f>
        <v>2.3441900939827651E-2</v>
      </c>
      <c r="M2333" s="559">
        <f>'Progetto del paramento slu'!$G$60*(sezione!$AN$36-C2333)/C2333</f>
        <v>4.3199294962367928E-2</v>
      </c>
      <c r="N2333" s="559">
        <f>'Progetto del paramento slu'!$G$60*(sezione!$AO$36-C2333)/C2333</f>
        <v>5.7568308796942677E-2</v>
      </c>
      <c r="O2333" s="559">
        <f>'Progetto del paramento slu'!$G$60*(sezione!$AP$36-C2333)/C2333</f>
        <v>4.3200909749379353E-2</v>
      </c>
      <c r="P2333" s="553">
        <f>-'Progetto del paramento slu'!$G$47*'Progetto del paramento slu'!$G$41*IF(DATI!$G$218="dx",DATI!$E$61,DATI!$E$64*DATI!$E$63)*1000*C2333*sezione!$AD$5</f>
        <v>-274677.80638522905</v>
      </c>
      <c r="Q2333" s="553">
        <f>'Foglio deposito bis'!$F$88*IF(ABS(K2333)&lt;'Progetto del paramento slu'!$G$58,ABS(K2333)*'Progetto del paramento slu'!$G$54,'Progetto del paramento slu'!$G$53)*IF(K2333&lt;0,-1,1)</f>
        <v>0</v>
      </c>
      <c r="R2333" s="553">
        <f>'Foglio deposito bis'!$F$89*IF(ABS(L2333)&lt;'Progetto del paramento slu'!$G$58,ABS(L2333)*'Progetto del paramento slu'!$G$54,'Progetto del paramento slu'!$G$53)*IF(L2333&lt;0,-1,1)</f>
        <v>153664.85805602249</v>
      </c>
      <c r="S2333" s="553">
        <f>'Foglio deposito bis'!$F$90*IF(ABS(M2333)&lt;'Progetto del paramento slu'!$G$58,ABS(M2333)*'Progetto del paramento slu'!$G$54,'Progetto del paramento slu'!$G$53)*IF(M2333&lt;0,-1,1)</f>
        <v>0</v>
      </c>
      <c r="T2333" s="553">
        <f>'Foglio deposito bis'!$F$91*IF(ABS(N2333)&lt;'Progetto del paramento slu'!$G$58,ABS(N2333)*'Progetto del paramento slu'!$G$54,'Progetto del paramento slu'!$G$53)*IF(N2333&lt;0,-1,1)</f>
        <v>892485.49558937876</v>
      </c>
      <c r="U2333" s="553">
        <f>'Foglio deposito bis'!$F$92*IF(ABS(O2333)&lt;'Progetto del paramento slu'!$G$58,ABS(O2333)*'Progetto del paramento slu'!$G$54,'Progetto del paramento slu'!$G$53)*IF(O2333&lt;0,-1,1)</f>
        <v>1662039.1047339395</v>
      </c>
      <c r="V2333" s="479">
        <f t="shared" si="172"/>
        <v>2433511.6519941119</v>
      </c>
      <c r="W2333" s="559"/>
      <c r="X2333" s="559"/>
    </row>
    <row r="2334" spans="1:24" x14ac:dyDescent="0.25">
      <c r="A2334" s="553">
        <f t="shared" si="171"/>
        <v>2430650.4248442659</v>
      </c>
      <c r="B2334" s="3">
        <f t="shared" si="173"/>
        <v>4.8499999999999908</v>
      </c>
      <c r="C2334" s="553">
        <f>'Foglio deposito bis'!$E$162/sezione!$B$247*B2334</f>
        <v>19.689358638232502</v>
      </c>
      <c r="D2334" s="611">
        <f>-'Progetto del paramento slu'!$G$47*'Progetto del paramento slu'!$G$41*IF(DATI!$G$218="dx",DATI!$E$61,DATI!$E$64*DATI!$E$63)*1000*C2334^2*sezione!$AD$5*(1-sezione!$AD$6)</f>
        <v>-3191306.291350231</v>
      </c>
      <c r="E2334" s="553">
        <f>-'Foglio deposito bis'!$F$88*(C2334-sezione!$AL$36)*IF(ABS(K2334)&lt;'Progetto del paramento slu'!$G$58,ABS(K2334)*'Progetto del paramento slu'!$G$54,'Progetto del paramento slu'!$G$53)</f>
        <v>0</v>
      </c>
      <c r="F2334" s="553">
        <f>-'Foglio deposito bis'!$F$89*(C2334-sezione!$AM$36)*IF(ABS(L2334)&lt;'Progetto del paramento slu'!$G$58,ABS(L2334)*'Progetto del paramento slu'!$G$54,'Progetto del paramento slu'!$G$53)</f>
        <v>20024166.208045255</v>
      </c>
      <c r="G2334" s="553">
        <f>-'Foglio deposito bis'!$F$90*(C2334-sezione!$AN$36)*IF(ABS(M2334)&lt;'Progetto del paramento slu'!$G$58,ABS(M2334)*'Progetto del paramento slu'!$G$54,'Progetto del paramento slu'!$G$53)</f>
        <v>0</v>
      </c>
      <c r="H2334" s="553">
        <f>-'Foglio deposito bis'!$F$91*(C2334-sezione!$AO$36)*IF(ABS(N2334)&lt;'Progetto del paramento slu'!$G$58,ABS(N2334)*'Progetto del paramento slu'!$G$54,'Progetto del paramento slu'!$G$53)</f>
        <v>285872601.49830884</v>
      </c>
      <c r="I2334" s="479">
        <f>-'Foglio deposito bis'!$F$92*(C2334-sezione!$AP$36)*IF(ABS(O2334)&lt;'Progetto del paramento slu'!$G$58,ABS(O2334)*'Progetto del paramento slu'!$G$54,'Progetto del paramento slu'!$G$53)</f>
        <v>399420625.59774786</v>
      </c>
      <c r="J2334" s="479">
        <f t="shared" si="170"/>
        <v>702126087.0127517</v>
      </c>
      <c r="K2334" s="558">
        <f>'Progetto del paramento slu'!$G$60*(sezione!$AL$36-C2334)/C2334</f>
        <v>3.6104398356658555E-3</v>
      </c>
      <c r="L2334" s="558">
        <f>'Progetto del paramento slu'!$G$60*(sezione!$AM$36-C2334)/C2334</f>
        <v>2.3164149383746956E-2</v>
      </c>
      <c r="M2334" s="559">
        <f>'Progetto del paramento slu'!$G$60*(sezione!$AN$36-C2334)/C2334</f>
        <v>4.2717858931828057E-2</v>
      </c>
      <c r="N2334" s="559">
        <f>'Progetto del paramento slu'!$G$60*(sezione!$AO$36-C2334)/C2334</f>
        <v>5.6938738603159775E-2</v>
      </c>
      <c r="O2334" s="559">
        <f>'Progetto del paramento slu'!$G$60*(sezione!$AP$36-C2334)/C2334</f>
        <v>4.2719457071550705E-2</v>
      </c>
      <c r="P2334" s="553">
        <f>-'Progetto del paramento slu'!$G$47*'Progetto del paramento slu'!$G$41*IF(DATI!$G$218="dx",DATI!$E$61,DATI!$E$64*DATI!$E$63)*1000*C2334*sezione!$AD$5</f>
        <v>-277539.03353507514</v>
      </c>
      <c r="Q2334" s="553">
        <f>'Foglio deposito bis'!$F$88*IF(ABS(K2334)&lt;'Progetto del paramento slu'!$G$58,ABS(K2334)*'Progetto del paramento slu'!$G$54,'Progetto del paramento slu'!$G$53)*IF(K2334&lt;0,-1,1)</f>
        <v>0</v>
      </c>
      <c r="R2334" s="553">
        <f>'Foglio deposito bis'!$F$89*IF(ABS(L2334)&lt;'Progetto del paramento slu'!$G$58,ABS(L2334)*'Progetto del paramento slu'!$G$54,'Progetto del paramento slu'!$G$53)*IF(L2334&lt;0,-1,1)</f>
        <v>153664.85805602249</v>
      </c>
      <c r="S2334" s="553">
        <f>'Foglio deposito bis'!$F$90*IF(ABS(M2334)&lt;'Progetto del paramento slu'!$G$58,ABS(M2334)*'Progetto del paramento slu'!$G$54,'Progetto del paramento slu'!$G$53)*IF(M2334&lt;0,-1,1)</f>
        <v>0</v>
      </c>
      <c r="T2334" s="553">
        <f>'Foglio deposito bis'!$F$91*IF(ABS(N2334)&lt;'Progetto del paramento slu'!$G$58,ABS(N2334)*'Progetto del paramento slu'!$G$54,'Progetto del paramento slu'!$G$53)*IF(N2334&lt;0,-1,1)</f>
        <v>892485.49558937876</v>
      </c>
      <c r="U2334" s="553">
        <f>'Foglio deposito bis'!$F$92*IF(ABS(O2334)&lt;'Progetto del paramento slu'!$G$58,ABS(O2334)*'Progetto del paramento slu'!$G$54,'Progetto del paramento slu'!$G$53)*IF(O2334&lt;0,-1,1)</f>
        <v>1662039.1047339395</v>
      </c>
      <c r="V2334" s="479">
        <f t="shared" si="172"/>
        <v>2430650.4248442659</v>
      </c>
      <c r="W2334" s="559"/>
      <c r="X2334" s="559"/>
    </row>
    <row r="2335" spans="1:24" x14ac:dyDescent="0.25">
      <c r="A2335" s="553">
        <f t="shared" si="171"/>
        <v>2427789.1976944194</v>
      </c>
      <c r="B2335" s="3">
        <f t="shared" si="173"/>
        <v>4.8999999999999906</v>
      </c>
      <c r="C2335" s="553">
        <f>'Foglio deposito bis'!$E$162/sezione!$B$247*B2335</f>
        <v>19.892341716977167</v>
      </c>
      <c r="D2335" s="611">
        <f>-'Progetto del paramento slu'!$G$47*'Progetto del paramento slu'!$G$41*IF(DATI!$G$218="dx",DATI!$E$61,DATI!$E$64*DATI!$E$63)*1000*C2335^2*sezione!$AD$5*(1-sezione!$AD$6)</f>
        <v>-3257445.5969951767</v>
      </c>
      <c r="E2335" s="553">
        <f>-'Foglio deposito bis'!$F$88*(C2335-sezione!$AL$36)*IF(ABS(K2335)&lt;'Progetto del paramento slu'!$G$58,ABS(K2335)*'Progetto del paramento slu'!$G$54,'Progetto del paramento slu'!$G$53)</f>
        <v>0</v>
      </c>
      <c r="F2335" s="553">
        <f>-'Foglio deposito bis'!$F$89*(C2335-sezione!$AM$36)*IF(ABS(L2335)&lt;'Progetto del paramento slu'!$G$58,ABS(L2335)*'Progetto del paramento slu'!$G$54,'Progetto del paramento slu'!$G$53)</f>
        <v>19992974.842062183</v>
      </c>
      <c r="G2335" s="553">
        <f>-'Foglio deposito bis'!$F$90*(C2335-sezione!$AN$36)*IF(ABS(M2335)&lt;'Progetto del paramento slu'!$G$58,ABS(M2335)*'Progetto del paramento slu'!$G$54,'Progetto del paramento slu'!$G$53)</f>
        <v>0</v>
      </c>
      <c r="H2335" s="553">
        <f>-'Foglio deposito bis'!$F$91*(C2335-sezione!$AO$36)*IF(ABS(N2335)&lt;'Progetto del paramento slu'!$G$58,ABS(N2335)*'Progetto del paramento slu'!$G$54,'Progetto del paramento slu'!$G$53)</f>
        <v>285691442.04467911</v>
      </c>
      <c r="I2335" s="479">
        <f>-'Foglio deposito bis'!$F$92*(C2335-sezione!$AP$36)*IF(ABS(O2335)&lt;'Progetto del paramento slu'!$G$58,ABS(O2335)*'Progetto del paramento slu'!$G$54,'Progetto del paramento slu'!$G$53)</f>
        <v>399083259.78327495</v>
      </c>
      <c r="J2335" s="479">
        <f t="shared" si="170"/>
        <v>701510231.07302105</v>
      </c>
      <c r="K2335" s="558">
        <f>'Progetto del paramento slu'!$G$60*(sezione!$AL$36-C2335)/C2335</f>
        <v>3.5378843271386524E-3</v>
      </c>
      <c r="L2335" s="558">
        <f>'Progetto del paramento slu'!$G$60*(sezione!$AM$36-C2335)/C2335</f>
        <v>2.2892066226769946E-2</v>
      </c>
      <c r="M2335" s="559">
        <f>'Progetto del paramento slu'!$G$60*(sezione!$AN$36-C2335)/C2335</f>
        <v>4.2246248126401244E-2</v>
      </c>
      <c r="N2335" s="559">
        <f>'Progetto del paramento slu'!$G$60*(sezione!$AO$36-C2335)/C2335</f>
        <v>5.6322016780678545E-2</v>
      </c>
      <c r="O2335" s="559">
        <f>'Progetto del paramento slu'!$G$60*(sezione!$AP$36-C2335)/C2335</f>
        <v>4.2247829958575692E-2</v>
      </c>
      <c r="P2335" s="553">
        <f>-'Progetto del paramento slu'!$G$47*'Progetto del paramento slu'!$G$41*IF(DATI!$G$218="dx",DATI!$E$61,DATI!$E$64*DATI!$E$63)*1000*C2335*sezione!$AD$5</f>
        <v>-280400.26068492129</v>
      </c>
      <c r="Q2335" s="553">
        <f>'Foglio deposito bis'!$F$88*IF(ABS(K2335)&lt;'Progetto del paramento slu'!$G$58,ABS(K2335)*'Progetto del paramento slu'!$G$54,'Progetto del paramento slu'!$G$53)*IF(K2335&lt;0,-1,1)</f>
        <v>0</v>
      </c>
      <c r="R2335" s="553">
        <f>'Foglio deposito bis'!$F$89*IF(ABS(L2335)&lt;'Progetto del paramento slu'!$G$58,ABS(L2335)*'Progetto del paramento slu'!$G$54,'Progetto del paramento slu'!$G$53)*IF(L2335&lt;0,-1,1)</f>
        <v>153664.85805602249</v>
      </c>
      <c r="S2335" s="553">
        <f>'Foglio deposito bis'!$F$90*IF(ABS(M2335)&lt;'Progetto del paramento slu'!$G$58,ABS(M2335)*'Progetto del paramento slu'!$G$54,'Progetto del paramento slu'!$G$53)*IF(M2335&lt;0,-1,1)</f>
        <v>0</v>
      </c>
      <c r="T2335" s="553">
        <f>'Foglio deposito bis'!$F$91*IF(ABS(N2335)&lt;'Progetto del paramento slu'!$G$58,ABS(N2335)*'Progetto del paramento slu'!$G$54,'Progetto del paramento slu'!$G$53)*IF(N2335&lt;0,-1,1)</f>
        <v>892485.49558937876</v>
      </c>
      <c r="U2335" s="553">
        <f>'Foglio deposito bis'!$F$92*IF(ABS(O2335)&lt;'Progetto del paramento slu'!$G$58,ABS(O2335)*'Progetto del paramento slu'!$G$54,'Progetto del paramento slu'!$G$53)*IF(O2335&lt;0,-1,1)</f>
        <v>1662039.1047339395</v>
      </c>
      <c r="V2335" s="479">
        <f t="shared" si="172"/>
        <v>2427789.1976944194</v>
      </c>
      <c r="W2335" s="559"/>
      <c r="X2335" s="559"/>
    </row>
    <row r="2336" spans="1:24" x14ac:dyDescent="0.25">
      <c r="A2336" s="553">
        <f t="shared" si="171"/>
        <v>2424927.9705445734</v>
      </c>
      <c r="B2336" s="3">
        <f t="shared" si="173"/>
        <v>4.9499999999999904</v>
      </c>
      <c r="C2336" s="553">
        <f>'Foglio deposito bis'!$E$162/sezione!$B$247*B2336</f>
        <v>20.095324795721833</v>
      </c>
      <c r="D2336" s="611">
        <f>-'Progetto del paramento slu'!$G$47*'Progetto del paramento slu'!$G$41*IF(DATI!$G$218="dx",DATI!$E$61,DATI!$E$64*DATI!$E$63)*1000*C2336^2*sezione!$AD$5*(1-sezione!$AD$6)</f>
        <v>-3324263.2544928915</v>
      </c>
      <c r="E2336" s="553">
        <f>-'Foglio deposito bis'!$F$88*(C2336-sezione!$AL$36)*IF(ABS(K2336)&lt;'Progetto del paramento slu'!$G$58,ABS(K2336)*'Progetto del paramento slu'!$G$54,'Progetto del paramento slu'!$G$53)</f>
        <v>0</v>
      </c>
      <c r="F2336" s="553">
        <f>-'Foglio deposito bis'!$F$89*(C2336-sezione!$AM$36)*IF(ABS(L2336)&lt;'Progetto del paramento slu'!$G$58,ABS(L2336)*'Progetto del paramento slu'!$G$54,'Progetto del paramento slu'!$G$53)</f>
        <v>19961783.47607911</v>
      </c>
      <c r="G2336" s="553">
        <f>-'Foglio deposito bis'!$F$90*(C2336-sezione!$AN$36)*IF(ABS(M2336)&lt;'Progetto del paramento slu'!$G$58,ABS(M2336)*'Progetto del paramento slu'!$G$54,'Progetto del paramento slu'!$G$53)</f>
        <v>0</v>
      </c>
      <c r="H2336" s="553">
        <f>-'Foglio deposito bis'!$F$91*(C2336-sezione!$AO$36)*IF(ABS(N2336)&lt;'Progetto del paramento slu'!$G$58,ABS(N2336)*'Progetto del paramento slu'!$G$54,'Progetto del paramento slu'!$G$53)</f>
        <v>285510282.59104949</v>
      </c>
      <c r="I2336" s="479">
        <f>-'Foglio deposito bis'!$F$92*(C2336-sezione!$AP$36)*IF(ABS(O2336)&lt;'Progetto del paramento slu'!$G$58,ABS(O2336)*'Progetto del paramento slu'!$G$54,'Progetto del paramento slu'!$G$53)</f>
        <v>398745893.96880203</v>
      </c>
      <c r="J2336" s="479">
        <f t="shared" si="170"/>
        <v>700893696.78143775</v>
      </c>
      <c r="K2336" s="558">
        <f>'Progetto del paramento slu'!$G$60*(sezione!$AL$36-C2336)/C2336</f>
        <v>3.4667945864604844E-3</v>
      </c>
      <c r="L2336" s="558">
        <f>'Progetto del paramento slu'!$G$60*(sezione!$AM$36-C2336)/C2336</f>
        <v>2.2625479699226812E-2</v>
      </c>
      <c r="M2336" s="559">
        <f>'Progetto del paramento slu'!$G$60*(sezione!$AN$36-C2336)/C2336</f>
        <v>4.1784164811993145E-2</v>
      </c>
      <c r="N2336" s="559">
        <f>'Progetto del paramento slu'!$G$60*(sezione!$AO$36-C2336)/C2336</f>
        <v>5.5717753984914117E-2</v>
      </c>
      <c r="O2336" s="559">
        <f>'Progetto del paramento slu'!$G$60*(sezione!$AP$36-C2336)/C2336</f>
        <v>4.1785730666064828E-2</v>
      </c>
      <c r="P2336" s="553">
        <f>-'Progetto del paramento slu'!$G$47*'Progetto del paramento slu'!$G$41*IF(DATI!$G$218="dx",DATI!$E$61,DATI!$E$64*DATI!$E$63)*1000*C2336*sezione!$AD$5</f>
        <v>-283261.48783476744</v>
      </c>
      <c r="Q2336" s="553">
        <f>'Foglio deposito bis'!$F$88*IF(ABS(K2336)&lt;'Progetto del paramento slu'!$G$58,ABS(K2336)*'Progetto del paramento slu'!$G$54,'Progetto del paramento slu'!$G$53)*IF(K2336&lt;0,-1,1)</f>
        <v>0</v>
      </c>
      <c r="R2336" s="553">
        <f>'Foglio deposito bis'!$F$89*IF(ABS(L2336)&lt;'Progetto del paramento slu'!$G$58,ABS(L2336)*'Progetto del paramento slu'!$G$54,'Progetto del paramento slu'!$G$53)*IF(L2336&lt;0,-1,1)</f>
        <v>153664.85805602249</v>
      </c>
      <c r="S2336" s="553">
        <f>'Foglio deposito bis'!$F$90*IF(ABS(M2336)&lt;'Progetto del paramento slu'!$G$58,ABS(M2336)*'Progetto del paramento slu'!$G$54,'Progetto del paramento slu'!$G$53)*IF(M2336&lt;0,-1,1)</f>
        <v>0</v>
      </c>
      <c r="T2336" s="553">
        <f>'Foglio deposito bis'!$F$91*IF(ABS(N2336)&lt;'Progetto del paramento slu'!$G$58,ABS(N2336)*'Progetto del paramento slu'!$G$54,'Progetto del paramento slu'!$G$53)*IF(N2336&lt;0,-1,1)</f>
        <v>892485.49558937876</v>
      </c>
      <c r="U2336" s="553">
        <f>'Foglio deposito bis'!$F$92*IF(ABS(O2336)&lt;'Progetto del paramento slu'!$G$58,ABS(O2336)*'Progetto del paramento slu'!$G$54,'Progetto del paramento slu'!$G$53)*IF(O2336&lt;0,-1,1)</f>
        <v>1662039.1047339395</v>
      </c>
      <c r="V2336" s="479">
        <f t="shared" si="172"/>
        <v>2424927.9705445734</v>
      </c>
      <c r="W2336" s="559"/>
      <c r="X2336" s="559"/>
    </row>
    <row r="2337" spans="1:24" x14ac:dyDescent="0.25">
      <c r="A2337" s="553">
        <f t="shared" si="171"/>
        <v>2422066.7433947269</v>
      </c>
      <c r="B2337" s="3">
        <f t="shared" si="173"/>
        <v>4.9999999999999902</v>
      </c>
      <c r="C2337" s="553">
        <f>'Foglio deposito bis'!$E$162/sezione!$B$247*B2337</f>
        <v>20.298307874466499</v>
      </c>
      <c r="D2337" s="611">
        <f>-'Progetto del paramento slu'!$G$47*'Progetto del paramento slu'!$G$41*IF(DATI!$G$218="dx",DATI!$E$61,DATI!$E$64*DATI!$E$63)*1000*C2337^2*sezione!$AD$5*(1-sezione!$AD$6)</f>
        <v>-3391759.2638433753</v>
      </c>
      <c r="E2337" s="553">
        <f>-'Foglio deposito bis'!$F$88*(C2337-sezione!$AL$36)*IF(ABS(K2337)&lt;'Progetto del paramento slu'!$G$58,ABS(K2337)*'Progetto del paramento slu'!$G$54,'Progetto del paramento slu'!$G$53)</f>
        <v>0</v>
      </c>
      <c r="F2337" s="553">
        <f>-'Foglio deposito bis'!$F$89*(C2337-sezione!$AM$36)*IF(ABS(L2337)&lt;'Progetto del paramento slu'!$G$58,ABS(L2337)*'Progetto del paramento slu'!$G$54,'Progetto del paramento slu'!$G$53)</f>
        <v>19930592.110096037</v>
      </c>
      <c r="G2337" s="553">
        <f>-'Foglio deposito bis'!$F$90*(C2337-sezione!$AN$36)*IF(ABS(M2337)&lt;'Progetto del paramento slu'!$G$58,ABS(M2337)*'Progetto del paramento slu'!$G$54,'Progetto del paramento slu'!$G$53)</f>
        <v>0</v>
      </c>
      <c r="H2337" s="553">
        <f>-'Foglio deposito bis'!$F$91*(C2337-sezione!$AO$36)*IF(ABS(N2337)&lt;'Progetto del paramento slu'!$G$58,ABS(N2337)*'Progetto del paramento slu'!$G$54,'Progetto del paramento slu'!$G$53)</f>
        <v>285329123.13741976</v>
      </c>
      <c r="I2337" s="479">
        <f>-'Foglio deposito bis'!$F$92*(C2337-sezione!$AP$36)*IF(ABS(O2337)&lt;'Progetto del paramento slu'!$G$58,ABS(O2337)*'Progetto del paramento slu'!$G$54,'Progetto del paramento slu'!$G$53)</f>
        <v>398408528.15432906</v>
      </c>
      <c r="J2337" s="479">
        <f t="shared" si="170"/>
        <v>700276484.13800144</v>
      </c>
      <c r="K2337" s="558">
        <f>'Progetto del paramento slu'!$G$60*(sezione!$AL$36-C2337)/C2337</f>
        <v>3.3971266405958792E-3</v>
      </c>
      <c r="L2337" s="558">
        <f>'Progetto del paramento slu'!$G$60*(sezione!$AM$36-C2337)/C2337</f>
        <v>2.2364224902234546E-2</v>
      </c>
      <c r="M2337" s="559">
        <f>'Progetto del paramento slu'!$G$60*(sezione!$AN$36-C2337)/C2337</f>
        <v>4.133132316387321E-2</v>
      </c>
      <c r="N2337" s="559">
        <f>'Progetto del paramento slu'!$G$60*(sezione!$AO$36-C2337)/C2337</f>
        <v>5.5125576445064974E-2</v>
      </c>
      <c r="O2337" s="559">
        <f>'Progetto del paramento slu'!$G$60*(sezione!$AP$36-C2337)/C2337</f>
        <v>4.1332873359404179E-2</v>
      </c>
      <c r="P2337" s="553">
        <f>-'Progetto del paramento slu'!$G$47*'Progetto del paramento slu'!$G$41*IF(DATI!$G$218="dx",DATI!$E$61,DATI!$E$64*DATI!$E$63)*1000*C2337*sezione!$AD$5</f>
        <v>-286122.71498461359</v>
      </c>
      <c r="Q2337" s="553">
        <f>'Foglio deposito bis'!$F$88*IF(ABS(K2337)&lt;'Progetto del paramento slu'!$G$58,ABS(K2337)*'Progetto del paramento slu'!$G$54,'Progetto del paramento slu'!$G$53)*IF(K2337&lt;0,-1,1)</f>
        <v>0</v>
      </c>
      <c r="R2337" s="553">
        <f>'Foglio deposito bis'!$F$89*IF(ABS(L2337)&lt;'Progetto del paramento slu'!$G$58,ABS(L2337)*'Progetto del paramento slu'!$G$54,'Progetto del paramento slu'!$G$53)*IF(L2337&lt;0,-1,1)</f>
        <v>153664.85805602249</v>
      </c>
      <c r="S2337" s="553">
        <f>'Foglio deposito bis'!$F$90*IF(ABS(M2337)&lt;'Progetto del paramento slu'!$G$58,ABS(M2337)*'Progetto del paramento slu'!$G$54,'Progetto del paramento slu'!$G$53)*IF(M2337&lt;0,-1,1)</f>
        <v>0</v>
      </c>
      <c r="T2337" s="553">
        <f>'Foglio deposito bis'!$F$91*IF(ABS(N2337)&lt;'Progetto del paramento slu'!$G$58,ABS(N2337)*'Progetto del paramento slu'!$G$54,'Progetto del paramento slu'!$G$53)*IF(N2337&lt;0,-1,1)</f>
        <v>892485.49558937876</v>
      </c>
      <c r="U2337" s="553">
        <f>'Foglio deposito bis'!$F$92*IF(ABS(O2337)&lt;'Progetto del paramento slu'!$G$58,ABS(O2337)*'Progetto del paramento slu'!$G$54,'Progetto del paramento slu'!$G$53)*IF(O2337&lt;0,-1,1)</f>
        <v>1662039.1047339395</v>
      </c>
      <c r="V2337" s="479">
        <f t="shared" si="172"/>
        <v>2422066.7433947269</v>
      </c>
      <c r="W2337" s="559"/>
      <c r="X2337" s="559"/>
    </row>
    <row r="2338" spans="1:24" x14ac:dyDescent="0.25">
      <c r="A2338" s="553">
        <f t="shared" si="171"/>
        <v>2419205.5162448809</v>
      </c>
      <c r="B2338" s="3">
        <f t="shared" si="173"/>
        <v>5.0499999999999901</v>
      </c>
      <c r="C2338" s="553">
        <f>'Foglio deposito bis'!$E$162/sezione!$B$247*B2338</f>
        <v>20.501290953211161</v>
      </c>
      <c r="D2338" s="611">
        <f>-'Progetto del paramento slu'!$G$47*'Progetto del paramento slu'!$G$41*IF(DATI!$G$218="dx",DATI!$E$61,DATI!$E$64*DATI!$E$63)*1000*C2338^2*sezione!$AD$5*(1-sezione!$AD$6)</f>
        <v>-3459933.6250466257</v>
      </c>
      <c r="E2338" s="553">
        <f>-'Foglio deposito bis'!$F$88*(C2338-sezione!$AL$36)*IF(ABS(K2338)&lt;'Progetto del paramento slu'!$G$58,ABS(K2338)*'Progetto del paramento slu'!$G$54,'Progetto del paramento slu'!$G$53)</f>
        <v>0</v>
      </c>
      <c r="F2338" s="553">
        <f>-'Foglio deposito bis'!$F$89*(C2338-sezione!$AM$36)*IF(ABS(L2338)&lt;'Progetto del paramento slu'!$G$58,ABS(L2338)*'Progetto del paramento slu'!$G$54,'Progetto del paramento slu'!$G$53)</f>
        <v>19899400.744112961</v>
      </c>
      <c r="G2338" s="553">
        <f>-'Foglio deposito bis'!$F$90*(C2338-sezione!$AN$36)*IF(ABS(M2338)&lt;'Progetto del paramento slu'!$G$58,ABS(M2338)*'Progetto del paramento slu'!$G$54,'Progetto del paramento slu'!$G$53)</f>
        <v>0</v>
      </c>
      <c r="H2338" s="553">
        <f>-'Foglio deposito bis'!$F$91*(C2338-sezione!$AO$36)*IF(ABS(N2338)&lt;'Progetto del paramento slu'!$G$58,ABS(N2338)*'Progetto del paramento slu'!$G$54,'Progetto del paramento slu'!$G$53)</f>
        <v>285147963.68379009</v>
      </c>
      <c r="I2338" s="479">
        <f>-'Foglio deposito bis'!$F$92*(C2338-sezione!$AP$36)*IF(ABS(O2338)&lt;'Progetto del paramento slu'!$G$58,ABS(O2338)*'Progetto del paramento slu'!$G$54,'Progetto del paramento slu'!$G$53)</f>
        <v>398071162.33985615</v>
      </c>
      <c r="J2338" s="479">
        <f t="shared" si="170"/>
        <v>699658593.14271259</v>
      </c>
      <c r="K2338" s="558">
        <f>'Progetto del paramento slu'!$G$60*(sezione!$AL$36-C2338)/C2338</f>
        <v>3.3288382580157231E-3</v>
      </c>
      <c r="L2338" s="558">
        <f>'Progetto del paramento slu'!$G$60*(sezione!$AM$36-C2338)/C2338</f>
        <v>2.2108143467558961E-2</v>
      </c>
      <c r="M2338" s="559">
        <f>'Progetto del paramento slu'!$G$60*(sezione!$AN$36-C2338)/C2338</f>
        <v>4.0887448677102194E-2</v>
      </c>
      <c r="N2338" s="559">
        <f>'Progetto del paramento slu'!$G$60*(sezione!$AO$36-C2338)/C2338</f>
        <v>5.4545125193133648E-2</v>
      </c>
      <c r="O2338" s="559">
        <f>'Progetto del paramento slu'!$G$60*(sezione!$AP$36-C2338)/C2338</f>
        <v>4.0888983524162557E-2</v>
      </c>
      <c r="P2338" s="553">
        <f>-'Progetto del paramento slu'!$G$47*'Progetto del paramento slu'!$G$41*IF(DATI!$G$218="dx",DATI!$E$61,DATI!$E$64*DATI!$E$63)*1000*C2338*sezione!$AD$5</f>
        <v>-288983.94213445968</v>
      </c>
      <c r="Q2338" s="553">
        <f>'Foglio deposito bis'!$F$88*IF(ABS(K2338)&lt;'Progetto del paramento slu'!$G$58,ABS(K2338)*'Progetto del paramento slu'!$G$54,'Progetto del paramento slu'!$G$53)*IF(K2338&lt;0,-1,1)</f>
        <v>0</v>
      </c>
      <c r="R2338" s="553">
        <f>'Foglio deposito bis'!$F$89*IF(ABS(L2338)&lt;'Progetto del paramento slu'!$G$58,ABS(L2338)*'Progetto del paramento slu'!$G$54,'Progetto del paramento slu'!$G$53)*IF(L2338&lt;0,-1,1)</f>
        <v>153664.85805602249</v>
      </c>
      <c r="S2338" s="553">
        <f>'Foglio deposito bis'!$F$90*IF(ABS(M2338)&lt;'Progetto del paramento slu'!$G$58,ABS(M2338)*'Progetto del paramento slu'!$G$54,'Progetto del paramento slu'!$G$53)*IF(M2338&lt;0,-1,1)</f>
        <v>0</v>
      </c>
      <c r="T2338" s="553">
        <f>'Foglio deposito bis'!$F$91*IF(ABS(N2338)&lt;'Progetto del paramento slu'!$G$58,ABS(N2338)*'Progetto del paramento slu'!$G$54,'Progetto del paramento slu'!$G$53)*IF(N2338&lt;0,-1,1)</f>
        <v>892485.49558937876</v>
      </c>
      <c r="U2338" s="553">
        <f>'Foglio deposito bis'!$F$92*IF(ABS(O2338)&lt;'Progetto del paramento slu'!$G$58,ABS(O2338)*'Progetto del paramento slu'!$G$54,'Progetto del paramento slu'!$G$53)*IF(O2338&lt;0,-1,1)</f>
        <v>1662039.1047339395</v>
      </c>
      <c r="V2338" s="479">
        <f t="shared" si="172"/>
        <v>2419205.5162448809</v>
      </c>
      <c r="W2338" s="559"/>
      <c r="X2338" s="559"/>
    </row>
    <row r="2339" spans="1:24" x14ac:dyDescent="0.25">
      <c r="A2339" s="553">
        <f t="shared" si="171"/>
        <v>2416344.2890950348</v>
      </c>
      <c r="B2339" s="3">
        <f t="shared" si="173"/>
        <v>5.0999999999999899</v>
      </c>
      <c r="C2339" s="553">
        <f>'Foglio deposito bis'!$E$162/sezione!$B$247*B2339</f>
        <v>20.704274031955826</v>
      </c>
      <c r="D2339" s="611">
        <f>-'Progetto del paramento slu'!$G$47*'Progetto del paramento slu'!$G$41*IF(DATI!$G$218="dx",DATI!$E$61,DATI!$E$64*DATI!$E$63)*1000*C2339^2*sezione!$AD$5*(1-sezione!$AD$6)</f>
        <v>-3528786.3381026466</v>
      </c>
      <c r="E2339" s="553">
        <f>-'Foglio deposito bis'!$F$88*(C2339-sezione!$AL$36)*IF(ABS(K2339)&lt;'Progetto del paramento slu'!$G$58,ABS(K2339)*'Progetto del paramento slu'!$G$54,'Progetto del paramento slu'!$G$53)</f>
        <v>0</v>
      </c>
      <c r="F2339" s="553">
        <f>-'Foglio deposito bis'!$F$89*(C2339-sezione!$AM$36)*IF(ABS(L2339)&lt;'Progetto del paramento slu'!$G$58,ABS(L2339)*'Progetto del paramento slu'!$G$54,'Progetto del paramento slu'!$G$53)</f>
        <v>19868209.378129888</v>
      </c>
      <c r="G2339" s="553">
        <f>-'Foglio deposito bis'!$F$90*(C2339-sezione!$AN$36)*IF(ABS(M2339)&lt;'Progetto del paramento slu'!$G$58,ABS(M2339)*'Progetto del paramento slu'!$G$54,'Progetto del paramento slu'!$G$53)</f>
        <v>0</v>
      </c>
      <c r="H2339" s="553">
        <f>-'Foglio deposito bis'!$F$91*(C2339-sezione!$AO$36)*IF(ABS(N2339)&lt;'Progetto del paramento slu'!$G$58,ABS(N2339)*'Progetto del paramento slu'!$G$54,'Progetto del paramento slu'!$G$53)</f>
        <v>284966804.23016036</v>
      </c>
      <c r="I2339" s="479">
        <f>-'Foglio deposito bis'!$F$92*(C2339-sezione!$AP$36)*IF(ABS(O2339)&lt;'Progetto del paramento slu'!$G$58,ABS(O2339)*'Progetto del paramento slu'!$G$54,'Progetto del paramento slu'!$G$53)</f>
        <v>397733796.52538323</v>
      </c>
      <c r="J2339" s="479">
        <f t="shared" si="170"/>
        <v>699040023.79557085</v>
      </c>
      <c r="K2339" s="558">
        <f>'Progetto del paramento slu'!$G$60*(sezione!$AL$36-C2339)/C2339</f>
        <v>3.261888863329294E-3</v>
      </c>
      <c r="L2339" s="558">
        <f>'Progetto del paramento slu'!$G$60*(sezione!$AM$36-C2339)/C2339</f>
        <v>2.1857083237484851E-2</v>
      </c>
      <c r="M2339" s="559">
        <f>'Progetto del paramento slu'!$G$60*(sezione!$AN$36-C2339)/C2339</f>
        <v>4.0452277611640407E-2</v>
      </c>
      <c r="N2339" s="559">
        <f>'Progetto del paramento slu'!$G$60*(sezione!$AO$36-C2339)/C2339</f>
        <v>5.3976055338298995E-2</v>
      </c>
      <c r="O2339" s="559">
        <f>'Progetto del paramento slu'!$G$60*(sezione!$AP$36-C2339)/C2339</f>
        <v>4.0453797411180568E-2</v>
      </c>
      <c r="P2339" s="553">
        <f>-'Progetto del paramento slu'!$G$47*'Progetto del paramento slu'!$G$41*IF(DATI!$G$218="dx",DATI!$E$61,DATI!$E$64*DATI!$E$63)*1000*C2339*sezione!$AD$5</f>
        <v>-291845.16928430583</v>
      </c>
      <c r="Q2339" s="553">
        <f>'Foglio deposito bis'!$F$88*IF(ABS(K2339)&lt;'Progetto del paramento slu'!$G$58,ABS(K2339)*'Progetto del paramento slu'!$G$54,'Progetto del paramento slu'!$G$53)*IF(K2339&lt;0,-1,1)</f>
        <v>0</v>
      </c>
      <c r="R2339" s="553">
        <f>'Foglio deposito bis'!$F$89*IF(ABS(L2339)&lt;'Progetto del paramento slu'!$G$58,ABS(L2339)*'Progetto del paramento slu'!$G$54,'Progetto del paramento slu'!$G$53)*IF(L2339&lt;0,-1,1)</f>
        <v>153664.85805602249</v>
      </c>
      <c r="S2339" s="553">
        <f>'Foglio deposito bis'!$F$90*IF(ABS(M2339)&lt;'Progetto del paramento slu'!$G$58,ABS(M2339)*'Progetto del paramento slu'!$G$54,'Progetto del paramento slu'!$G$53)*IF(M2339&lt;0,-1,1)</f>
        <v>0</v>
      </c>
      <c r="T2339" s="553">
        <f>'Foglio deposito bis'!$F$91*IF(ABS(N2339)&lt;'Progetto del paramento slu'!$G$58,ABS(N2339)*'Progetto del paramento slu'!$G$54,'Progetto del paramento slu'!$G$53)*IF(N2339&lt;0,-1,1)</f>
        <v>892485.49558937876</v>
      </c>
      <c r="U2339" s="553">
        <f>'Foglio deposito bis'!$F$92*IF(ABS(O2339)&lt;'Progetto del paramento slu'!$G$58,ABS(O2339)*'Progetto del paramento slu'!$G$54,'Progetto del paramento slu'!$G$53)*IF(O2339&lt;0,-1,1)</f>
        <v>1662039.1047339395</v>
      </c>
      <c r="V2339" s="479">
        <f t="shared" si="172"/>
        <v>2416344.2890950348</v>
      </c>
      <c r="W2339" s="559"/>
      <c r="X2339" s="559"/>
    </row>
    <row r="2340" spans="1:24" x14ac:dyDescent="0.25">
      <c r="A2340" s="553">
        <f t="shared" si="171"/>
        <v>2404899.3804956507</v>
      </c>
      <c r="B2340" s="3">
        <f>B2339+0.2</f>
        <v>5.2999999999999901</v>
      </c>
      <c r="C2340" s="553">
        <f>'Foglio deposito bis'!$E$162/sezione!$B$247*B2340</f>
        <v>21.516206346934489</v>
      </c>
      <c r="D2340" s="611">
        <f>-'Progetto del paramento slu'!$G$47*'Progetto del paramento slu'!$G$41*IF(DATI!$G$218="dx",DATI!$E$61,DATI!$E$64*DATI!$E$63)*1000*C2340^2*sezione!$AD$5*(1-sezione!$AD$6)</f>
        <v>-3810980.7088544164</v>
      </c>
      <c r="E2340" s="553">
        <f>-'Foglio deposito bis'!$F$88*(C2340-sezione!$AL$36)*IF(ABS(K2340)&lt;'Progetto del paramento slu'!$G$58,ABS(K2340)*'Progetto del paramento slu'!$G$54,'Progetto del paramento slu'!$G$53)</f>
        <v>0</v>
      </c>
      <c r="F2340" s="553">
        <f>-'Foglio deposito bis'!$F$89*(C2340-sezione!$AM$36)*IF(ABS(L2340)&lt;'Progetto del paramento slu'!$G$58,ABS(L2340)*'Progetto del paramento slu'!$G$54,'Progetto del paramento slu'!$G$53)</f>
        <v>19743443.914197594</v>
      </c>
      <c r="G2340" s="553">
        <f>-'Foglio deposito bis'!$F$90*(C2340-sezione!$AN$36)*IF(ABS(M2340)&lt;'Progetto del paramento slu'!$G$58,ABS(M2340)*'Progetto del paramento slu'!$G$54,'Progetto del paramento slu'!$G$53)</f>
        <v>0</v>
      </c>
      <c r="H2340" s="553">
        <f>-'Foglio deposito bis'!$F$91*(C2340-sezione!$AO$36)*IF(ABS(N2340)&lt;'Progetto del paramento slu'!$G$58,ABS(N2340)*'Progetto del paramento slu'!$G$54,'Progetto del paramento slu'!$G$53)</f>
        <v>284242166.41564161</v>
      </c>
      <c r="I2340" s="479">
        <f>-'Foglio deposito bis'!$F$92*(C2340-sezione!$AP$36)*IF(ABS(O2340)&lt;'Progetto del paramento slu'!$G$58,ABS(O2340)*'Progetto del paramento slu'!$G$54,'Progetto del paramento slu'!$G$53)</f>
        <v>396384333.26749158</v>
      </c>
      <c r="J2340" s="479">
        <f t="shared" si="170"/>
        <v>696558962.88847637</v>
      </c>
      <c r="K2340" s="558">
        <f>'Progetto del paramento slu'!$G$60*(sezione!$AL$36-C2340)/C2340</f>
        <v>3.0067232458451691E-3</v>
      </c>
      <c r="L2340" s="558">
        <f>'Progetto del paramento slu'!$G$60*(sezione!$AM$36-C2340)/C2340</f>
        <v>2.0900212171919383E-2</v>
      </c>
      <c r="M2340" s="559">
        <f>'Progetto del paramento slu'!$G$60*(sezione!$AN$36-C2340)/C2340</f>
        <v>3.8793701097993599E-2</v>
      </c>
      <c r="N2340" s="559">
        <f>'Progetto del paramento slu'!$G$60*(sezione!$AO$36-C2340)/C2340</f>
        <v>5.1807147589683931E-2</v>
      </c>
      <c r="O2340" s="559">
        <f>'Progetto del paramento slu'!$G$60*(sezione!$AP$36-C2340)/C2340</f>
        <v>3.8795163546607711E-2</v>
      </c>
      <c r="P2340" s="553">
        <f>-'Progetto del paramento slu'!$G$47*'Progetto del paramento slu'!$G$41*IF(DATI!$G$218="dx",DATI!$E$61,DATI!$E$64*DATI!$E$63)*1000*C2340*sezione!$AD$5</f>
        <v>-303290.07788369036</v>
      </c>
      <c r="Q2340" s="553">
        <f>'Foglio deposito bis'!$F$88*IF(ABS(K2340)&lt;'Progetto del paramento slu'!$G$58,ABS(K2340)*'Progetto del paramento slu'!$G$54,'Progetto del paramento slu'!$G$53)*IF(K2340&lt;0,-1,1)</f>
        <v>0</v>
      </c>
      <c r="R2340" s="553">
        <f>'Foglio deposito bis'!$F$89*IF(ABS(L2340)&lt;'Progetto del paramento slu'!$G$58,ABS(L2340)*'Progetto del paramento slu'!$G$54,'Progetto del paramento slu'!$G$53)*IF(L2340&lt;0,-1,1)</f>
        <v>153664.85805602249</v>
      </c>
      <c r="S2340" s="553">
        <f>'Foglio deposito bis'!$F$90*IF(ABS(M2340)&lt;'Progetto del paramento slu'!$G$58,ABS(M2340)*'Progetto del paramento slu'!$G$54,'Progetto del paramento slu'!$G$53)*IF(M2340&lt;0,-1,1)</f>
        <v>0</v>
      </c>
      <c r="T2340" s="553">
        <f>'Foglio deposito bis'!$F$91*IF(ABS(N2340)&lt;'Progetto del paramento slu'!$G$58,ABS(N2340)*'Progetto del paramento slu'!$G$54,'Progetto del paramento slu'!$G$53)*IF(N2340&lt;0,-1,1)</f>
        <v>892485.49558937876</v>
      </c>
      <c r="U2340" s="553">
        <f>'Foglio deposito bis'!$F$92*IF(ABS(O2340)&lt;'Progetto del paramento slu'!$G$58,ABS(O2340)*'Progetto del paramento slu'!$G$54,'Progetto del paramento slu'!$G$53)*IF(O2340&lt;0,-1,1)</f>
        <v>1662039.1047339395</v>
      </c>
      <c r="V2340" s="479">
        <f t="shared" si="172"/>
        <v>2404899.3804956507</v>
      </c>
      <c r="W2340" s="559"/>
      <c r="X2340" s="559"/>
    </row>
    <row r="2341" spans="1:24" x14ac:dyDescent="0.25">
      <c r="A2341" s="553">
        <f t="shared" si="171"/>
        <v>2393454.4718962656</v>
      </c>
      <c r="B2341" s="3">
        <f t="shared" ref="B2341:B2404" si="174">B2340+0.2</f>
        <v>5.4999999999999902</v>
      </c>
      <c r="C2341" s="553">
        <f>'Foglio deposito bis'!$E$162/sezione!$B$247*B2341</f>
        <v>22.328138661913151</v>
      </c>
      <c r="D2341" s="611">
        <f>-'Progetto del paramento slu'!$G$47*'Progetto del paramento slu'!$G$41*IF(DATI!$G$218="dx",DATI!$E$61,DATI!$E$64*DATI!$E$63)*1000*C2341^2*sezione!$AD$5*(1-sezione!$AD$6)</f>
        <v>-4104028.7092504846</v>
      </c>
      <c r="E2341" s="553">
        <f>-'Foglio deposito bis'!$F$88*(C2341-sezione!$AL$36)*IF(ABS(K2341)&lt;'Progetto del paramento slu'!$G$58,ABS(K2341)*'Progetto del paramento slu'!$G$54,'Progetto del paramento slu'!$G$53)</f>
        <v>0</v>
      </c>
      <c r="F2341" s="553">
        <f>-'Foglio deposito bis'!$F$89*(C2341-sezione!$AM$36)*IF(ABS(L2341)&lt;'Progetto del paramento slu'!$G$58,ABS(L2341)*'Progetto del paramento slu'!$G$54,'Progetto del paramento slu'!$G$53)</f>
        <v>19618678.4502653</v>
      </c>
      <c r="G2341" s="553">
        <f>-'Foglio deposito bis'!$F$90*(C2341-sezione!$AN$36)*IF(ABS(M2341)&lt;'Progetto del paramento slu'!$G$58,ABS(M2341)*'Progetto del paramento slu'!$G$54,'Progetto del paramento slu'!$G$53)</f>
        <v>0</v>
      </c>
      <c r="H2341" s="553">
        <f>-'Foglio deposito bis'!$F$91*(C2341-sezione!$AO$36)*IF(ABS(N2341)&lt;'Progetto del paramento slu'!$G$58,ABS(N2341)*'Progetto del paramento slu'!$G$54,'Progetto del paramento slu'!$G$53)</f>
        <v>283517528.60112286</v>
      </c>
      <c r="I2341" s="479">
        <f>-'Foglio deposito bis'!$F$92*(C2341-sezione!$AP$36)*IF(ABS(O2341)&lt;'Progetto del paramento slu'!$G$58,ABS(O2341)*'Progetto del paramento slu'!$G$54,'Progetto del paramento slu'!$G$53)</f>
        <v>395034870.00959986</v>
      </c>
      <c r="J2341" s="479">
        <f t="shared" si="170"/>
        <v>694067048.3517375</v>
      </c>
      <c r="K2341" s="558">
        <f>'Progetto del paramento slu'!$G$60*(sezione!$AL$36-C2341)/C2341</f>
        <v>2.7701151278144349E-3</v>
      </c>
      <c r="L2341" s="558">
        <f>'Progetto del paramento slu'!$G$60*(sezione!$AM$36-C2341)/C2341</f>
        <v>2.0012931729304132E-2</v>
      </c>
      <c r="M2341" s="559">
        <f>'Progetto del paramento slu'!$G$60*(sezione!$AN$36-C2341)/C2341</f>
        <v>3.7255748330793828E-2</v>
      </c>
      <c r="N2341" s="559">
        <f>'Progetto del paramento slu'!$G$60*(sezione!$AO$36-C2341)/C2341</f>
        <v>4.9795978586422693E-2</v>
      </c>
      <c r="O2341" s="559">
        <f>'Progetto del paramento slu'!$G$60*(sezione!$AP$36-C2341)/C2341</f>
        <v>3.7257157599458343E-2</v>
      </c>
      <c r="P2341" s="553">
        <f>-'Progetto del paramento slu'!$G$47*'Progetto del paramento slu'!$G$41*IF(DATI!$G$218="dx",DATI!$E$61,DATI!$E$64*DATI!$E$63)*1000*C2341*sezione!$AD$5</f>
        <v>-314734.98648307496</v>
      </c>
      <c r="Q2341" s="553">
        <f>'Foglio deposito bis'!$F$88*IF(ABS(K2341)&lt;'Progetto del paramento slu'!$G$58,ABS(K2341)*'Progetto del paramento slu'!$G$54,'Progetto del paramento slu'!$G$53)*IF(K2341&lt;0,-1,1)</f>
        <v>0</v>
      </c>
      <c r="R2341" s="553">
        <f>'Foglio deposito bis'!$F$89*IF(ABS(L2341)&lt;'Progetto del paramento slu'!$G$58,ABS(L2341)*'Progetto del paramento slu'!$G$54,'Progetto del paramento slu'!$G$53)*IF(L2341&lt;0,-1,1)</f>
        <v>153664.85805602249</v>
      </c>
      <c r="S2341" s="553">
        <f>'Foglio deposito bis'!$F$90*IF(ABS(M2341)&lt;'Progetto del paramento slu'!$G$58,ABS(M2341)*'Progetto del paramento slu'!$G$54,'Progetto del paramento slu'!$G$53)*IF(M2341&lt;0,-1,1)</f>
        <v>0</v>
      </c>
      <c r="T2341" s="553">
        <f>'Foglio deposito bis'!$F$91*IF(ABS(N2341)&lt;'Progetto del paramento slu'!$G$58,ABS(N2341)*'Progetto del paramento slu'!$G$54,'Progetto del paramento slu'!$G$53)*IF(N2341&lt;0,-1,1)</f>
        <v>892485.49558937876</v>
      </c>
      <c r="U2341" s="553">
        <f>'Foglio deposito bis'!$F$92*IF(ABS(O2341)&lt;'Progetto del paramento slu'!$G$58,ABS(O2341)*'Progetto del paramento slu'!$G$54,'Progetto del paramento slu'!$G$53)*IF(O2341&lt;0,-1,1)</f>
        <v>1662039.1047339395</v>
      </c>
      <c r="V2341" s="479">
        <f t="shared" si="172"/>
        <v>2393454.4718962656</v>
      </c>
      <c r="W2341" s="559"/>
      <c r="X2341" s="559"/>
    </row>
    <row r="2342" spans="1:24" x14ac:dyDescent="0.25">
      <c r="A2342" s="553">
        <f t="shared" si="171"/>
        <v>2382009.5632968815</v>
      </c>
      <c r="B2342" s="3">
        <f t="shared" si="174"/>
        <v>5.6999999999999904</v>
      </c>
      <c r="C2342" s="553">
        <f>'Foglio deposito bis'!$E$162/sezione!$B$247*B2342</f>
        <v>23.140070976891813</v>
      </c>
      <c r="D2342" s="611">
        <f>-'Progetto del paramento slu'!$G$47*'Progetto del paramento slu'!$G$41*IF(DATI!$G$218="dx",DATI!$E$61,DATI!$E$64*DATI!$E$63)*1000*C2342^2*sezione!$AD$5*(1-sezione!$AD$6)</f>
        <v>-4407930.3392908527</v>
      </c>
      <c r="E2342" s="553">
        <f>-'Foglio deposito bis'!$F$88*(C2342-sezione!$AL$36)*IF(ABS(K2342)&lt;'Progetto del paramento slu'!$G$58,ABS(K2342)*'Progetto del paramento slu'!$G$54,'Progetto del paramento slu'!$G$53)</f>
        <v>0</v>
      </c>
      <c r="F2342" s="553">
        <f>-'Foglio deposito bis'!$F$89*(C2342-sezione!$AM$36)*IF(ABS(L2342)&lt;'Progetto del paramento slu'!$G$58,ABS(L2342)*'Progetto del paramento slu'!$G$54,'Progetto del paramento slu'!$G$53)</f>
        <v>19493912.986333009</v>
      </c>
      <c r="G2342" s="553">
        <f>-'Foglio deposito bis'!$F$90*(C2342-sezione!$AN$36)*IF(ABS(M2342)&lt;'Progetto del paramento slu'!$G$58,ABS(M2342)*'Progetto del paramento slu'!$G$54,'Progetto del paramento slu'!$G$53)</f>
        <v>0</v>
      </c>
      <c r="H2342" s="553">
        <f>-'Foglio deposito bis'!$F$91*(C2342-sezione!$AO$36)*IF(ABS(N2342)&lt;'Progetto del paramento slu'!$G$58,ABS(N2342)*'Progetto del paramento slu'!$G$54,'Progetto del paramento slu'!$G$53)</f>
        <v>282792890.78660411</v>
      </c>
      <c r="I2342" s="479">
        <f>-'Foglio deposito bis'!$F$92*(C2342-sezione!$AP$36)*IF(ABS(O2342)&lt;'Progetto del paramento slu'!$G$58,ABS(O2342)*'Progetto del paramento slu'!$G$54,'Progetto del paramento slu'!$G$53)</f>
        <v>393685406.75170815</v>
      </c>
      <c r="J2342" s="479">
        <f t="shared" si="170"/>
        <v>691564280.18535447</v>
      </c>
      <c r="K2342" s="558">
        <f>'Progetto del paramento slu'!$G$60*(sezione!$AL$36-C2342)/C2342</f>
        <v>2.5501110882419982E-3</v>
      </c>
      <c r="L2342" s="558">
        <f>'Progetto del paramento slu'!$G$60*(sezione!$AM$36-C2342)/C2342</f>
        <v>1.9187916580907492E-2</v>
      </c>
      <c r="M2342" s="559">
        <f>'Progetto del paramento slu'!$G$60*(sezione!$AN$36-C2342)/C2342</f>
        <v>3.5825722073572985E-2</v>
      </c>
      <c r="N2342" s="559">
        <f>'Progetto del paramento slu'!$G$60*(sezione!$AO$36-C2342)/C2342</f>
        <v>4.792594425005698E-2</v>
      </c>
      <c r="O2342" s="559">
        <f>'Progetto del paramento slu'!$G$60*(sezione!$AP$36-C2342)/C2342</f>
        <v>3.5827081894214186E-2</v>
      </c>
      <c r="P2342" s="553">
        <f>-'Progetto del paramento slu'!$G$47*'Progetto del paramento slu'!$G$41*IF(DATI!$G$218="dx",DATI!$E$61,DATI!$E$64*DATI!$E$63)*1000*C2342*sezione!$AD$5</f>
        <v>-326179.89508245955</v>
      </c>
      <c r="Q2342" s="553">
        <f>'Foglio deposito bis'!$F$88*IF(ABS(K2342)&lt;'Progetto del paramento slu'!$G$58,ABS(K2342)*'Progetto del paramento slu'!$G$54,'Progetto del paramento slu'!$G$53)*IF(K2342&lt;0,-1,1)</f>
        <v>0</v>
      </c>
      <c r="R2342" s="553">
        <f>'Foglio deposito bis'!$F$89*IF(ABS(L2342)&lt;'Progetto del paramento slu'!$G$58,ABS(L2342)*'Progetto del paramento slu'!$G$54,'Progetto del paramento slu'!$G$53)*IF(L2342&lt;0,-1,1)</f>
        <v>153664.85805602249</v>
      </c>
      <c r="S2342" s="553">
        <f>'Foglio deposito bis'!$F$90*IF(ABS(M2342)&lt;'Progetto del paramento slu'!$G$58,ABS(M2342)*'Progetto del paramento slu'!$G$54,'Progetto del paramento slu'!$G$53)*IF(M2342&lt;0,-1,1)</f>
        <v>0</v>
      </c>
      <c r="T2342" s="553">
        <f>'Foglio deposito bis'!$F$91*IF(ABS(N2342)&lt;'Progetto del paramento slu'!$G$58,ABS(N2342)*'Progetto del paramento slu'!$G$54,'Progetto del paramento slu'!$G$53)*IF(N2342&lt;0,-1,1)</f>
        <v>892485.49558937876</v>
      </c>
      <c r="U2342" s="553">
        <f>'Foglio deposito bis'!$F$92*IF(ABS(O2342)&lt;'Progetto del paramento slu'!$G$58,ABS(O2342)*'Progetto del paramento slu'!$G$54,'Progetto del paramento slu'!$G$53)*IF(O2342&lt;0,-1,1)</f>
        <v>1662039.1047339395</v>
      </c>
      <c r="V2342" s="479">
        <f t="shared" si="172"/>
        <v>2382009.5632968815</v>
      </c>
      <c r="W2342" s="559"/>
      <c r="X2342" s="559"/>
    </row>
    <row r="2343" spans="1:24" x14ac:dyDescent="0.25">
      <c r="A2343" s="553">
        <f t="shared" si="171"/>
        <v>2370564.6546974964</v>
      </c>
      <c r="B2343" s="3">
        <f t="shared" si="174"/>
        <v>5.8999999999999906</v>
      </c>
      <c r="C2343" s="553">
        <f>'Foglio deposito bis'!$E$162/sezione!$B$247*B2343</f>
        <v>23.952003291870476</v>
      </c>
      <c r="D2343" s="611">
        <f>-'Progetto del paramento slu'!$G$47*'Progetto del paramento slu'!$G$41*IF(DATI!$G$218="dx",DATI!$E$61,DATI!$E$64*DATI!$E$63)*1000*C2343^2*sezione!$AD$5*(1-sezione!$AD$6)</f>
        <v>-4722685.5989755187</v>
      </c>
      <c r="E2343" s="553">
        <f>-'Foglio deposito bis'!$F$88*(C2343-sezione!$AL$36)*IF(ABS(K2343)&lt;'Progetto del paramento slu'!$G$58,ABS(K2343)*'Progetto del paramento slu'!$G$54,'Progetto del paramento slu'!$G$53)</f>
        <v>0</v>
      </c>
      <c r="F2343" s="553">
        <f>-'Foglio deposito bis'!$F$89*(C2343-sezione!$AM$36)*IF(ABS(L2343)&lt;'Progetto del paramento slu'!$G$58,ABS(L2343)*'Progetto del paramento slu'!$G$54,'Progetto del paramento slu'!$G$53)</f>
        <v>19369147.522400714</v>
      </c>
      <c r="G2343" s="553">
        <f>-'Foglio deposito bis'!$F$90*(C2343-sezione!$AN$36)*IF(ABS(M2343)&lt;'Progetto del paramento slu'!$G$58,ABS(M2343)*'Progetto del paramento slu'!$G$54,'Progetto del paramento slu'!$G$53)</f>
        <v>0</v>
      </c>
      <c r="H2343" s="553">
        <f>-'Foglio deposito bis'!$F$91*(C2343-sezione!$AO$36)*IF(ABS(N2343)&lt;'Progetto del paramento slu'!$G$58,ABS(N2343)*'Progetto del paramento slu'!$G$54,'Progetto del paramento slu'!$G$53)</f>
        <v>282068252.97208536</v>
      </c>
      <c r="I2343" s="479">
        <f>-'Foglio deposito bis'!$F$92*(C2343-sezione!$AP$36)*IF(ABS(O2343)&lt;'Progetto del paramento slu'!$G$58,ABS(O2343)*'Progetto del paramento slu'!$G$54,'Progetto del paramento slu'!$G$53)</f>
        <v>392335943.49381649</v>
      </c>
      <c r="J2343" s="479">
        <f t="shared" si="170"/>
        <v>689050658.38932705</v>
      </c>
      <c r="K2343" s="558">
        <f>'Progetto del paramento slu'!$G$60*(sezione!$AL$36-C2343)/C2343</f>
        <v>2.3450225767761667E-3</v>
      </c>
      <c r="L2343" s="558">
        <f>'Progetto del paramento slu'!$G$60*(sezione!$AM$36-C2343)/C2343</f>
        <v>1.8418834662910628E-2</v>
      </c>
      <c r="M2343" s="559">
        <f>'Progetto del paramento slu'!$G$60*(sezione!$AN$36-C2343)/C2343</f>
        <v>3.4492646749045085E-2</v>
      </c>
      <c r="N2343" s="559">
        <f>'Progetto del paramento slu'!$G$60*(sezione!$AO$36-C2343)/C2343</f>
        <v>4.6182691902597425E-2</v>
      </c>
      <c r="O2343" s="559">
        <f>'Progetto del paramento slu'!$G$60*(sezione!$AP$36-C2343)/C2343</f>
        <v>3.4493960474071321E-2</v>
      </c>
      <c r="P2343" s="553">
        <f>-'Progetto del paramento slu'!$G$47*'Progetto del paramento slu'!$G$41*IF(DATI!$G$218="dx",DATI!$E$61,DATI!$E$64*DATI!$E$63)*1000*C2343*sezione!$AD$5</f>
        <v>-337624.80368184409</v>
      </c>
      <c r="Q2343" s="553">
        <f>'Foglio deposito bis'!$F$88*IF(ABS(K2343)&lt;'Progetto del paramento slu'!$G$58,ABS(K2343)*'Progetto del paramento slu'!$G$54,'Progetto del paramento slu'!$G$53)*IF(K2343&lt;0,-1,1)</f>
        <v>0</v>
      </c>
      <c r="R2343" s="553">
        <f>'Foglio deposito bis'!$F$89*IF(ABS(L2343)&lt;'Progetto del paramento slu'!$G$58,ABS(L2343)*'Progetto del paramento slu'!$G$54,'Progetto del paramento slu'!$G$53)*IF(L2343&lt;0,-1,1)</f>
        <v>153664.85805602249</v>
      </c>
      <c r="S2343" s="553">
        <f>'Foglio deposito bis'!$F$90*IF(ABS(M2343)&lt;'Progetto del paramento slu'!$G$58,ABS(M2343)*'Progetto del paramento slu'!$G$54,'Progetto del paramento slu'!$G$53)*IF(M2343&lt;0,-1,1)</f>
        <v>0</v>
      </c>
      <c r="T2343" s="553">
        <f>'Foglio deposito bis'!$F$91*IF(ABS(N2343)&lt;'Progetto del paramento slu'!$G$58,ABS(N2343)*'Progetto del paramento slu'!$G$54,'Progetto del paramento slu'!$G$53)*IF(N2343&lt;0,-1,1)</f>
        <v>892485.49558937876</v>
      </c>
      <c r="U2343" s="553">
        <f>'Foglio deposito bis'!$F$92*IF(ABS(O2343)&lt;'Progetto del paramento slu'!$G$58,ABS(O2343)*'Progetto del paramento slu'!$G$54,'Progetto del paramento slu'!$G$53)*IF(O2343&lt;0,-1,1)</f>
        <v>1662039.1047339395</v>
      </c>
      <c r="V2343" s="479">
        <f t="shared" si="172"/>
        <v>2370564.6546974964</v>
      </c>
      <c r="W2343" s="559"/>
      <c r="X2343" s="559"/>
    </row>
    <row r="2344" spans="1:24" x14ac:dyDescent="0.25">
      <c r="A2344" s="553">
        <f t="shared" si="171"/>
        <v>2359119.7460981123</v>
      </c>
      <c r="B2344" s="3">
        <f t="shared" si="174"/>
        <v>6.0999999999999908</v>
      </c>
      <c r="C2344" s="553">
        <f>'Foglio deposito bis'!$E$162/sezione!$B$247*B2344</f>
        <v>24.763935606849138</v>
      </c>
      <c r="D2344" s="611">
        <f>-'Progetto del paramento slu'!$G$47*'Progetto del paramento slu'!$G$41*IF(DATI!$G$218="dx",DATI!$E$61,DATI!$E$64*DATI!$E$63)*1000*C2344^2*sezione!$AD$5*(1-sezione!$AD$6)</f>
        <v>-5048294.4883044828</v>
      </c>
      <c r="E2344" s="553">
        <f>-'Foglio deposito bis'!$F$88*(C2344-sezione!$AL$36)*IF(ABS(K2344)&lt;'Progetto del paramento slu'!$G$58,ABS(K2344)*'Progetto del paramento slu'!$G$54,'Progetto del paramento slu'!$G$53)</f>
        <v>0</v>
      </c>
      <c r="F2344" s="553">
        <f>-'Foglio deposito bis'!$F$89*(C2344-sezione!$AM$36)*IF(ABS(L2344)&lt;'Progetto del paramento slu'!$G$58,ABS(L2344)*'Progetto del paramento slu'!$G$54,'Progetto del paramento slu'!$G$53)</f>
        <v>19244382.05846842</v>
      </c>
      <c r="G2344" s="553">
        <f>-'Foglio deposito bis'!$F$90*(C2344-sezione!$AN$36)*IF(ABS(M2344)&lt;'Progetto del paramento slu'!$G$58,ABS(M2344)*'Progetto del paramento slu'!$G$54,'Progetto del paramento slu'!$G$53)</f>
        <v>0</v>
      </c>
      <c r="H2344" s="553">
        <f>-'Foglio deposito bis'!$F$91*(C2344-sezione!$AO$36)*IF(ABS(N2344)&lt;'Progetto del paramento slu'!$G$58,ABS(N2344)*'Progetto del paramento slu'!$G$54,'Progetto del paramento slu'!$G$53)</f>
        <v>281343615.15756661</v>
      </c>
      <c r="I2344" s="479">
        <f>-'Foglio deposito bis'!$F$92*(C2344-sezione!$AP$36)*IF(ABS(O2344)&lt;'Progetto del paramento slu'!$G$58,ABS(O2344)*'Progetto del paramento slu'!$G$54,'Progetto del paramento slu'!$G$53)</f>
        <v>390986480.23592484</v>
      </c>
      <c r="J2344" s="479">
        <f t="shared" si="170"/>
        <v>686526182.96365547</v>
      </c>
      <c r="K2344" s="558">
        <f>'Progetto del paramento slu'!$G$60*(sezione!$AL$36-C2344)/C2344</f>
        <v>2.1533824922917019E-3</v>
      </c>
      <c r="L2344" s="558">
        <f>'Progetto del paramento slu'!$G$60*(sezione!$AM$36-C2344)/C2344</f>
        <v>1.770018434609388E-2</v>
      </c>
      <c r="M2344" s="559">
        <f>'Progetto del paramento slu'!$G$60*(sezione!$AN$36-C2344)/C2344</f>
        <v>3.3246986199896057E-2</v>
      </c>
      <c r="N2344" s="559">
        <f>'Progetto del paramento slu'!$G$60*(sezione!$AO$36-C2344)/C2344</f>
        <v>4.4553751184479469E-2</v>
      </c>
      <c r="O2344" s="559">
        <f>'Progetto del paramento slu'!$G$60*(sezione!$AP$36-C2344)/C2344</f>
        <v>3.3248256851970623E-2</v>
      </c>
      <c r="P2344" s="553">
        <f>-'Progetto del paramento slu'!$G$47*'Progetto del paramento slu'!$G$41*IF(DATI!$G$218="dx",DATI!$E$61,DATI!$E$64*DATI!$E$63)*1000*C2344*sezione!$AD$5</f>
        <v>-349069.71228122868</v>
      </c>
      <c r="Q2344" s="553">
        <f>'Foglio deposito bis'!$F$88*IF(ABS(K2344)&lt;'Progetto del paramento slu'!$G$58,ABS(K2344)*'Progetto del paramento slu'!$G$54,'Progetto del paramento slu'!$G$53)*IF(K2344&lt;0,-1,1)</f>
        <v>0</v>
      </c>
      <c r="R2344" s="553">
        <f>'Foglio deposito bis'!$F$89*IF(ABS(L2344)&lt;'Progetto del paramento slu'!$G$58,ABS(L2344)*'Progetto del paramento slu'!$G$54,'Progetto del paramento slu'!$G$53)*IF(L2344&lt;0,-1,1)</f>
        <v>153664.85805602249</v>
      </c>
      <c r="S2344" s="553">
        <f>'Foglio deposito bis'!$F$90*IF(ABS(M2344)&lt;'Progetto del paramento slu'!$G$58,ABS(M2344)*'Progetto del paramento slu'!$G$54,'Progetto del paramento slu'!$G$53)*IF(M2344&lt;0,-1,1)</f>
        <v>0</v>
      </c>
      <c r="T2344" s="553">
        <f>'Foglio deposito bis'!$F$91*IF(ABS(N2344)&lt;'Progetto del paramento slu'!$G$58,ABS(N2344)*'Progetto del paramento slu'!$G$54,'Progetto del paramento slu'!$G$53)*IF(N2344&lt;0,-1,1)</f>
        <v>892485.49558937876</v>
      </c>
      <c r="U2344" s="553">
        <f>'Foglio deposito bis'!$F$92*IF(ABS(O2344)&lt;'Progetto del paramento slu'!$G$58,ABS(O2344)*'Progetto del paramento slu'!$G$54,'Progetto del paramento slu'!$G$53)*IF(O2344&lt;0,-1,1)</f>
        <v>1662039.1047339395</v>
      </c>
      <c r="V2344" s="479">
        <f t="shared" si="172"/>
        <v>2359119.7460981123</v>
      </c>
      <c r="W2344" s="559"/>
      <c r="X2344" s="559"/>
    </row>
    <row r="2345" spans="1:24" x14ac:dyDescent="0.25">
      <c r="A2345" s="553">
        <f t="shared" si="171"/>
        <v>2347674.8374987273</v>
      </c>
      <c r="B2345" s="3">
        <f t="shared" si="174"/>
        <v>6.2999999999999909</v>
      </c>
      <c r="C2345" s="553">
        <f>'Foglio deposito bis'!$E$162/sezione!$B$247*B2345</f>
        <v>25.5758679218278</v>
      </c>
      <c r="D2345" s="611">
        <f>-'Progetto del paramento slu'!$G$47*'Progetto del paramento slu'!$G$41*IF(DATI!$G$218="dx",DATI!$E$61,DATI!$E$64*DATI!$E$63)*1000*C2345^2*sezione!$AD$5*(1-sezione!$AD$6)</f>
        <v>-5384757.0072777485</v>
      </c>
      <c r="E2345" s="553">
        <f>-'Foglio deposito bis'!$F$88*(C2345-sezione!$AL$36)*IF(ABS(K2345)&lt;'Progetto del paramento slu'!$G$58,ABS(K2345)*'Progetto del paramento slu'!$G$54,'Progetto del paramento slu'!$G$53)</f>
        <v>0</v>
      </c>
      <c r="F2345" s="553">
        <f>-'Foglio deposito bis'!$F$89*(C2345-sezione!$AM$36)*IF(ABS(L2345)&lt;'Progetto del paramento slu'!$G$58,ABS(L2345)*'Progetto del paramento slu'!$G$54,'Progetto del paramento slu'!$G$53)</f>
        <v>19119616.594536126</v>
      </c>
      <c r="G2345" s="553">
        <f>-'Foglio deposito bis'!$F$90*(C2345-sezione!$AN$36)*IF(ABS(M2345)&lt;'Progetto del paramento slu'!$G$58,ABS(M2345)*'Progetto del paramento slu'!$G$54,'Progetto del paramento slu'!$G$53)</f>
        <v>0</v>
      </c>
      <c r="H2345" s="553">
        <f>-'Foglio deposito bis'!$F$91*(C2345-sezione!$AO$36)*IF(ABS(N2345)&lt;'Progetto del paramento slu'!$G$58,ABS(N2345)*'Progetto del paramento slu'!$G$54,'Progetto del paramento slu'!$G$53)</f>
        <v>280618977.3430478</v>
      </c>
      <c r="I2345" s="479">
        <f>-'Foglio deposito bis'!$F$92*(C2345-sezione!$AP$36)*IF(ABS(O2345)&lt;'Progetto del paramento slu'!$G$58,ABS(O2345)*'Progetto del paramento slu'!$G$54,'Progetto del paramento slu'!$G$53)</f>
        <v>389637016.97803313</v>
      </c>
      <c r="J2345" s="479">
        <f t="shared" si="170"/>
        <v>683990853.90833926</v>
      </c>
      <c r="K2345" s="558">
        <f>'Progetto del paramento slu'!$G$60*(sezione!$AL$36-C2345)/C2345</f>
        <v>1.973910032218949E-3</v>
      </c>
      <c r="L2345" s="558">
        <f>'Progetto del paramento slu'!$G$60*(sezione!$AM$36-C2345)/C2345</f>
        <v>1.7027162620821056E-2</v>
      </c>
      <c r="M2345" s="559">
        <f>'Progetto del paramento slu'!$G$60*(sezione!$AN$36-C2345)/C2345</f>
        <v>3.2080415209423167E-2</v>
      </c>
      <c r="N2345" s="559">
        <f>'Progetto del paramento slu'!$G$60*(sezione!$AO$36-C2345)/C2345</f>
        <v>4.3028235273861071E-2</v>
      </c>
      <c r="O2345" s="559">
        <f>'Progetto del paramento slu'!$G$60*(sezione!$AP$36-C2345)/C2345</f>
        <v>3.208164552333663E-2</v>
      </c>
      <c r="P2345" s="553">
        <f>-'Progetto del paramento slu'!$G$47*'Progetto del paramento slu'!$G$41*IF(DATI!$G$218="dx",DATI!$E$61,DATI!$E$64*DATI!$E$63)*1000*C2345*sezione!$AD$5</f>
        <v>-360514.62088061328</v>
      </c>
      <c r="Q2345" s="553">
        <f>'Foglio deposito bis'!$F$88*IF(ABS(K2345)&lt;'Progetto del paramento slu'!$G$58,ABS(K2345)*'Progetto del paramento slu'!$G$54,'Progetto del paramento slu'!$G$53)*IF(K2345&lt;0,-1,1)</f>
        <v>0</v>
      </c>
      <c r="R2345" s="553">
        <f>'Foglio deposito bis'!$F$89*IF(ABS(L2345)&lt;'Progetto del paramento slu'!$G$58,ABS(L2345)*'Progetto del paramento slu'!$G$54,'Progetto del paramento slu'!$G$53)*IF(L2345&lt;0,-1,1)</f>
        <v>153664.85805602249</v>
      </c>
      <c r="S2345" s="553">
        <f>'Foglio deposito bis'!$F$90*IF(ABS(M2345)&lt;'Progetto del paramento slu'!$G$58,ABS(M2345)*'Progetto del paramento slu'!$G$54,'Progetto del paramento slu'!$G$53)*IF(M2345&lt;0,-1,1)</f>
        <v>0</v>
      </c>
      <c r="T2345" s="553">
        <f>'Foglio deposito bis'!$F$91*IF(ABS(N2345)&lt;'Progetto del paramento slu'!$G$58,ABS(N2345)*'Progetto del paramento slu'!$G$54,'Progetto del paramento slu'!$G$53)*IF(N2345&lt;0,-1,1)</f>
        <v>892485.49558937876</v>
      </c>
      <c r="U2345" s="553">
        <f>'Foglio deposito bis'!$F$92*IF(ABS(O2345)&lt;'Progetto del paramento slu'!$G$58,ABS(O2345)*'Progetto del paramento slu'!$G$54,'Progetto del paramento slu'!$G$53)*IF(O2345&lt;0,-1,1)</f>
        <v>1662039.1047339395</v>
      </c>
      <c r="V2345" s="479">
        <f t="shared" si="172"/>
        <v>2347674.8374987273</v>
      </c>
      <c r="W2345" s="559"/>
      <c r="X2345" s="559"/>
    </row>
    <row r="2346" spans="1:24" x14ac:dyDescent="0.25">
      <c r="A2346" s="553">
        <f t="shared" si="171"/>
        <v>2336229.9288993431</v>
      </c>
      <c r="B2346" s="3">
        <f t="shared" si="174"/>
        <v>6.4999999999999911</v>
      </c>
      <c r="C2346" s="553">
        <f>'Foglio deposito bis'!$E$162/sezione!$B$247*B2346</f>
        <v>26.387800236806463</v>
      </c>
      <c r="D2346" s="611">
        <f>-'Progetto del paramento slu'!$G$47*'Progetto del paramento slu'!$G$41*IF(DATI!$G$218="dx",DATI!$E$61,DATI!$E$64*DATI!$E$63)*1000*C2346^2*sezione!$AD$5*(1-sezione!$AD$6)</f>
        <v>-5732073.1558953105</v>
      </c>
      <c r="E2346" s="553">
        <f>-'Foglio deposito bis'!$F$88*(C2346-sezione!$AL$36)*IF(ABS(K2346)&lt;'Progetto del paramento slu'!$G$58,ABS(K2346)*'Progetto del paramento slu'!$G$54,'Progetto del paramento slu'!$G$53)</f>
        <v>0</v>
      </c>
      <c r="F2346" s="553">
        <f>-'Foglio deposito bis'!$F$89*(C2346-sezione!$AM$36)*IF(ABS(L2346)&lt;'Progetto del paramento slu'!$G$58,ABS(L2346)*'Progetto del paramento slu'!$G$54,'Progetto del paramento slu'!$G$53)</f>
        <v>18994851.130603831</v>
      </c>
      <c r="G2346" s="553">
        <f>-'Foglio deposito bis'!$F$90*(C2346-sezione!$AN$36)*IF(ABS(M2346)&lt;'Progetto del paramento slu'!$G$58,ABS(M2346)*'Progetto del paramento slu'!$G$54,'Progetto del paramento slu'!$G$53)</f>
        <v>0</v>
      </c>
      <c r="H2346" s="553">
        <f>-'Foglio deposito bis'!$F$91*(C2346-sezione!$AO$36)*IF(ABS(N2346)&lt;'Progetto del paramento slu'!$G$58,ABS(N2346)*'Progetto del paramento slu'!$G$54,'Progetto del paramento slu'!$G$53)</f>
        <v>279894339.52852905</v>
      </c>
      <c r="I2346" s="479">
        <f>-'Foglio deposito bis'!$F$92*(C2346-sezione!$AP$36)*IF(ABS(O2346)&lt;'Progetto del paramento slu'!$G$58,ABS(O2346)*'Progetto del paramento slu'!$G$54,'Progetto del paramento slu'!$G$53)</f>
        <v>388287553.72014141</v>
      </c>
      <c r="J2346" s="479">
        <f t="shared" si="170"/>
        <v>681444671.2233789</v>
      </c>
      <c r="K2346" s="558">
        <f>'Progetto del paramento slu'!$G$60*(sezione!$AL$36-C2346)/C2346</f>
        <v>1.8054820312275964E-3</v>
      </c>
      <c r="L2346" s="558">
        <f>'Progetto del paramento slu'!$G$60*(sezione!$AM$36-C2346)/C2346</f>
        <v>1.6395557617103484E-2</v>
      </c>
      <c r="M2346" s="559">
        <f>'Progetto del paramento slu'!$G$60*(sezione!$AN$36-C2346)/C2346</f>
        <v>3.0985633202979375E-2</v>
      </c>
      <c r="N2346" s="559">
        <f>'Progetto del paramento slu'!$G$60*(sezione!$AO$36-C2346)/C2346</f>
        <v>4.1596597265434569E-2</v>
      </c>
      <c r="O2346" s="559">
        <f>'Progetto del paramento slu'!$G$60*(sezione!$AP$36-C2346)/C2346</f>
        <v>3.0986825661080117E-2</v>
      </c>
      <c r="P2346" s="553">
        <f>-'Progetto del paramento slu'!$G$47*'Progetto del paramento slu'!$G$41*IF(DATI!$G$218="dx",DATI!$E$61,DATI!$E$64*DATI!$E$63)*1000*C2346*sezione!$AD$5</f>
        <v>-371959.52947999787</v>
      </c>
      <c r="Q2346" s="553">
        <f>'Foglio deposito bis'!$F$88*IF(ABS(K2346)&lt;'Progetto del paramento slu'!$G$58,ABS(K2346)*'Progetto del paramento slu'!$G$54,'Progetto del paramento slu'!$G$53)*IF(K2346&lt;0,-1,1)</f>
        <v>0</v>
      </c>
      <c r="R2346" s="553">
        <f>'Foglio deposito bis'!$F$89*IF(ABS(L2346)&lt;'Progetto del paramento slu'!$G$58,ABS(L2346)*'Progetto del paramento slu'!$G$54,'Progetto del paramento slu'!$G$53)*IF(L2346&lt;0,-1,1)</f>
        <v>153664.85805602249</v>
      </c>
      <c r="S2346" s="553">
        <f>'Foglio deposito bis'!$F$90*IF(ABS(M2346)&lt;'Progetto del paramento slu'!$G$58,ABS(M2346)*'Progetto del paramento slu'!$G$54,'Progetto del paramento slu'!$G$53)*IF(M2346&lt;0,-1,1)</f>
        <v>0</v>
      </c>
      <c r="T2346" s="553">
        <f>'Foglio deposito bis'!$F$91*IF(ABS(N2346)&lt;'Progetto del paramento slu'!$G$58,ABS(N2346)*'Progetto del paramento slu'!$G$54,'Progetto del paramento slu'!$G$53)*IF(N2346&lt;0,-1,1)</f>
        <v>892485.49558937876</v>
      </c>
      <c r="U2346" s="553">
        <f>'Foglio deposito bis'!$F$92*IF(ABS(O2346)&lt;'Progetto del paramento slu'!$G$58,ABS(O2346)*'Progetto del paramento slu'!$G$54,'Progetto del paramento slu'!$G$53)*IF(O2346&lt;0,-1,1)</f>
        <v>1662039.1047339395</v>
      </c>
      <c r="V2346" s="479">
        <f t="shared" si="172"/>
        <v>2336229.9288993431</v>
      </c>
      <c r="W2346" s="559"/>
      <c r="X2346" s="559"/>
    </row>
    <row r="2347" spans="1:24" x14ac:dyDescent="0.25">
      <c r="A2347" s="553">
        <f t="shared" si="171"/>
        <v>2324785.0202999581</v>
      </c>
      <c r="B2347" s="3">
        <f t="shared" si="174"/>
        <v>6.6999999999999913</v>
      </c>
      <c r="C2347" s="553">
        <f>'Foglio deposito bis'!$E$162/sezione!$B$247*B2347</f>
        <v>27.199732551785125</v>
      </c>
      <c r="D2347" s="611">
        <f>-'Progetto del paramento slu'!$G$47*'Progetto del paramento slu'!$G$41*IF(DATI!$G$218="dx",DATI!$E$61,DATI!$E$64*DATI!$E$63)*1000*C2347^2*sezione!$AD$5*(1-sezione!$AD$6)</f>
        <v>-6090242.9341571722</v>
      </c>
      <c r="E2347" s="553">
        <f>-'Foglio deposito bis'!$F$88*(C2347-sezione!$AL$36)*IF(ABS(K2347)&lt;'Progetto del paramento slu'!$G$58,ABS(K2347)*'Progetto del paramento slu'!$G$54,'Progetto del paramento slu'!$G$53)</f>
        <v>0</v>
      </c>
      <c r="F2347" s="553">
        <f>-'Foglio deposito bis'!$F$89*(C2347-sezione!$AM$36)*IF(ABS(L2347)&lt;'Progetto del paramento slu'!$G$58,ABS(L2347)*'Progetto del paramento slu'!$G$54,'Progetto del paramento slu'!$G$53)</f>
        <v>18870085.666671537</v>
      </c>
      <c r="G2347" s="553">
        <f>-'Foglio deposito bis'!$F$90*(C2347-sezione!$AN$36)*IF(ABS(M2347)&lt;'Progetto del paramento slu'!$G$58,ABS(M2347)*'Progetto del paramento slu'!$G$54,'Progetto del paramento slu'!$G$53)</f>
        <v>0</v>
      </c>
      <c r="H2347" s="553">
        <f>-'Foglio deposito bis'!$F$91*(C2347-sezione!$AO$36)*IF(ABS(N2347)&lt;'Progetto del paramento slu'!$G$58,ABS(N2347)*'Progetto del paramento slu'!$G$54,'Progetto del paramento slu'!$G$53)</f>
        <v>279169701.71401024</v>
      </c>
      <c r="I2347" s="479">
        <f>-'Foglio deposito bis'!$F$92*(C2347-sezione!$AP$36)*IF(ABS(O2347)&lt;'Progetto del paramento slu'!$G$58,ABS(O2347)*'Progetto del paramento slu'!$G$54,'Progetto del paramento slu'!$G$53)</f>
        <v>386938090.4622497</v>
      </c>
      <c r="J2347" s="479">
        <f t="shared" si="170"/>
        <v>678887634.90877438</v>
      </c>
      <c r="K2347" s="558">
        <f>'Progetto del paramento slu'!$G$60*(sezione!$AL$36-C2347)/C2347</f>
        <v>1.6471094332805036E-3</v>
      </c>
      <c r="L2347" s="558">
        <f>'Progetto del paramento slu'!$G$60*(sezione!$AM$36-C2347)/C2347</f>
        <v>1.5801660374801886E-2</v>
      </c>
      <c r="M2347" s="559">
        <f>'Progetto del paramento slu'!$G$60*(sezione!$AN$36-C2347)/C2347</f>
        <v>2.9956211316323273E-2</v>
      </c>
      <c r="N2347" s="559">
        <f>'Progetto del paramento slu'!$G$60*(sezione!$AO$36-C2347)/C2347</f>
        <v>4.0250430182884281E-2</v>
      </c>
      <c r="O2347" s="559">
        <f>'Progetto del paramento slu'!$G$60*(sezione!$AP$36-C2347)/C2347</f>
        <v>2.9957368178659814E-2</v>
      </c>
      <c r="P2347" s="553">
        <f>-'Progetto del paramento slu'!$G$47*'Progetto del paramento slu'!$G$41*IF(DATI!$G$218="dx",DATI!$E$61,DATI!$E$64*DATI!$E$63)*1000*C2347*sezione!$AD$5</f>
        <v>-383404.43807938247</v>
      </c>
      <c r="Q2347" s="553">
        <f>'Foglio deposito bis'!$F$88*IF(ABS(K2347)&lt;'Progetto del paramento slu'!$G$58,ABS(K2347)*'Progetto del paramento slu'!$G$54,'Progetto del paramento slu'!$G$53)*IF(K2347&lt;0,-1,1)</f>
        <v>0</v>
      </c>
      <c r="R2347" s="553">
        <f>'Foglio deposito bis'!$F$89*IF(ABS(L2347)&lt;'Progetto del paramento slu'!$G$58,ABS(L2347)*'Progetto del paramento slu'!$G$54,'Progetto del paramento slu'!$G$53)*IF(L2347&lt;0,-1,1)</f>
        <v>153664.85805602249</v>
      </c>
      <c r="S2347" s="553">
        <f>'Foglio deposito bis'!$F$90*IF(ABS(M2347)&lt;'Progetto del paramento slu'!$G$58,ABS(M2347)*'Progetto del paramento slu'!$G$54,'Progetto del paramento slu'!$G$53)*IF(M2347&lt;0,-1,1)</f>
        <v>0</v>
      </c>
      <c r="T2347" s="553">
        <f>'Foglio deposito bis'!$F$91*IF(ABS(N2347)&lt;'Progetto del paramento slu'!$G$58,ABS(N2347)*'Progetto del paramento slu'!$G$54,'Progetto del paramento slu'!$G$53)*IF(N2347&lt;0,-1,1)</f>
        <v>892485.49558937876</v>
      </c>
      <c r="U2347" s="553">
        <f>'Foglio deposito bis'!$F$92*IF(ABS(O2347)&lt;'Progetto del paramento slu'!$G$58,ABS(O2347)*'Progetto del paramento slu'!$G$54,'Progetto del paramento slu'!$G$53)*IF(O2347&lt;0,-1,1)</f>
        <v>1662039.1047339395</v>
      </c>
      <c r="V2347" s="479">
        <f t="shared" si="172"/>
        <v>2324785.0202999581</v>
      </c>
      <c r="W2347" s="559"/>
      <c r="X2347" s="559"/>
    </row>
    <row r="2348" spans="1:24" x14ac:dyDescent="0.25">
      <c r="A2348" s="553">
        <f t="shared" si="171"/>
        <v>2313340.1117005739</v>
      </c>
      <c r="B2348" s="3">
        <f t="shared" si="174"/>
        <v>6.8999999999999915</v>
      </c>
      <c r="C2348" s="553">
        <f>'Foglio deposito bis'!$E$162/sezione!$B$247*B2348</f>
        <v>28.011664866763788</v>
      </c>
      <c r="D2348" s="611">
        <f>-'Progetto del paramento slu'!$G$47*'Progetto del paramento slu'!$G$41*IF(DATI!$G$218="dx",DATI!$E$61,DATI!$E$64*DATI!$E$63)*1000*C2348^2*sezione!$AD$5*(1-sezione!$AD$6)</f>
        <v>-6459266.342063332</v>
      </c>
      <c r="E2348" s="553">
        <f>-'Foglio deposito bis'!$F$88*(C2348-sezione!$AL$36)*IF(ABS(K2348)&lt;'Progetto del paramento slu'!$G$58,ABS(K2348)*'Progetto del paramento slu'!$G$54,'Progetto del paramento slu'!$G$53)</f>
        <v>0</v>
      </c>
      <c r="F2348" s="553">
        <f>-'Foglio deposito bis'!$F$89*(C2348-sezione!$AM$36)*IF(ABS(L2348)&lt;'Progetto del paramento slu'!$G$58,ABS(L2348)*'Progetto del paramento slu'!$G$54,'Progetto del paramento slu'!$G$53)</f>
        <v>18745320.202739242</v>
      </c>
      <c r="G2348" s="553">
        <f>-'Foglio deposito bis'!$F$90*(C2348-sezione!$AN$36)*IF(ABS(M2348)&lt;'Progetto del paramento slu'!$G$58,ABS(M2348)*'Progetto del paramento slu'!$G$54,'Progetto del paramento slu'!$G$53)</f>
        <v>0</v>
      </c>
      <c r="H2348" s="553">
        <f>-'Foglio deposito bis'!$F$91*(C2348-sezione!$AO$36)*IF(ABS(N2348)&lt;'Progetto del paramento slu'!$G$58,ABS(N2348)*'Progetto del paramento slu'!$G$54,'Progetto del paramento slu'!$G$53)</f>
        <v>278445063.89949149</v>
      </c>
      <c r="I2348" s="479">
        <f>-'Foglio deposito bis'!$F$92*(C2348-sezione!$AP$36)*IF(ABS(O2348)&lt;'Progetto del paramento slu'!$G$58,ABS(O2348)*'Progetto del paramento slu'!$G$54,'Progetto del paramento slu'!$G$53)</f>
        <v>385588627.20435804</v>
      </c>
      <c r="J2348" s="479">
        <f t="shared" si="170"/>
        <v>676319744.96452546</v>
      </c>
      <c r="K2348" s="558">
        <f>'Progetto del paramento slu'!$G$60*(sezione!$AL$36-C2348)/C2348</f>
        <v>1.4979178555042567E-3</v>
      </c>
      <c r="L2348" s="558">
        <f>'Progetto del paramento slu'!$G$60*(sezione!$AM$36-C2348)/C2348</f>
        <v>1.5242191958140963E-2</v>
      </c>
      <c r="M2348" s="559">
        <f>'Progetto del paramento slu'!$G$60*(sezione!$AN$36-C2348)/C2348</f>
        <v>2.8986466060777667E-2</v>
      </c>
      <c r="N2348" s="559">
        <f>'Progetto del paramento slu'!$G$60*(sezione!$AO$36-C2348)/C2348</f>
        <v>3.8982301771786181E-2</v>
      </c>
      <c r="O2348" s="559">
        <f>'Progetto del paramento slu'!$G$60*(sezione!$AP$36-C2348)/C2348</f>
        <v>2.8987589390872568E-2</v>
      </c>
      <c r="P2348" s="553">
        <f>-'Progetto del paramento slu'!$G$47*'Progetto del paramento slu'!$G$41*IF(DATI!$G$218="dx",DATI!$E$61,DATI!$E$64*DATI!$E$63)*1000*C2348*sezione!$AD$5</f>
        <v>-394849.346678767</v>
      </c>
      <c r="Q2348" s="553">
        <f>'Foglio deposito bis'!$F$88*IF(ABS(K2348)&lt;'Progetto del paramento slu'!$G$58,ABS(K2348)*'Progetto del paramento slu'!$G$54,'Progetto del paramento slu'!$G$53)*IF(K2348&lt;0,-1,1)</f>
        <v>0</v>
      </c>
      <c r="R2348" s="553">
        <f>'Foglio deposito bis'!$F$89*IF(ABS(L2348)&lt;'Progetto del paramento slu'!$G$58,ABS(L2348)*'Progetto del paramento slu'!$G$54,'Progetto del paramento slu'!$G$53)*IF(L2348&lt;0,-1,1)</f>
        <v>153664.85805602249</v>
      </c>
      <c r="S2348" s="553">
        <f>'Foglio deposito bis'!$F$90*IF(ABS(M2348)&lt;'Progetto del paramento slu'!$G$58,ABS(M2348)*'Progetto del paramento slu'!$G$54,'Progetto del paramento slu'!$G$53)*IF(M2348&lt;0,-1,1)</f>
        <v>0</v>
      </c>
      <c r="T2348" s="553">
        <f>'Foglio deposito bis'!$F$91*IF(ABS(N2348)&lt;'Progetto del paramento slu'!$G$58,ABS(N2348)*'Progetto del paramento slu'!$G$54,'Progetto del paramento slu'!$G$53)*IF(N2348&lt;0,-1,1)</f>
        <v>892485.49558937876</v>
      </c>
      <c r="U2348" s="553">
        <f>'Foglio deposito bis'!$F$92*IF(ABS(O2348)&lt;'Progetto del paramento slu'!$G$58,ABS(O2348)*'Progetto del paramento slu'!$G$54,'Progetto del paramento slu'!$G$53)*IF(O2348&lt;0,-1,1)</f>
        <v>1662039.1047339395</v>
      </c>
      <c r="V2348" s="479">
        <f t="shared" si="172"/>
        <v>2313340.1117005739</v>
      </c>
      <c r="W2348" s="559"/>
      <c r="X2348" s="559"/>
    </row>
    <row r="2349" spans="1:24" x14ac:dyDescent="0.25">
      <c r="A2349" s="553">
        <f t="shared" si="171"/>
        <v>2301895.2031011889</v>
      </c>
      <c r="B2349" s="3">
        <f t="shared" si="174"/>
        <v>7.0999999999999917</v>
      </c>
      <c r="C2349" s="553">
        <f>'Foglio deposito bis'!$E$162/sezione!$B$247*B2349</f>
        <v>28.82359718174245</v>
      </c>
      <c r="D2349" s="611">
        <f>-'Progetto del paramento slu'!$G$47*'Progetto del paramento slu'!$G$41*IF(DATI!$G$218="dx",DATI!$E$61,DATI!$E$64*DATI!$E$63)*1000*C2349^2*sezione!$AD$5*(1-sezione!$AD$6)</f>
        <v>-6839143.3796137916</v>
      </c>
      <c r="E2349" s="553">
        <f>-'Foglio deposito bis'!$F$88*(C2349-sezione!$AL$36)*IF(ABS(K2349)&lt;'Progetto del paramento slu'!$G$58,ABS(K2349)*'Progetto del paramento slu'!$G$54,'Progetto del paramento slu'!$G$53)</f>
        <v>0</v>
      </c>
      <c r="F2349" s="553">
        <f>-'Foglio deposito bis'!$F$89*(C2349-sezione!$AM$36)*IF(ABS(L2349)&lt;'Progetto del paramento slu'!$G$58,ABS(L2349)*'Progetto del paramento slu'!$G$54,'Progetto del paramento slu'!$G$53)</f>
        <v>18620554.738806948</v>
      </c>
      <c r="G2349" s="553">
        <f>-'Foglio deposito bis'!$F$90*(C2349-sezione!$AN$36)*IF(ABS(M2349)&lt;'Progetto del paramento slu'!$G$58,ABS(M2349)*'Progetto del paramento slu'!$G$54,'Progetto del paramento slu'!$G$53)</f>
        <v>0</v>
      </c>
      <c r="H2349" s="553">
        <f>-'Foglio deposito bis'!$F$91*(C2349-sezione!$AO$36)*IF(ABS(N2349)&lt;'Progetto del paramento slu'!$G$58,ABS(N2349)*'Progetto del paramento slu'!$G$54,'Progetto del paramento slu'!$G$53)</f>
        <v>277720426.08497274</v>
      </c>
      <c r="I2349" s="479">
        <f>-'Foglio deposito bis'!$F$92*(C2349-sezione!$AP$36)*IF(ABS(O2349)&lt;'Progetto del paramento slu'!$G$58,ABS(O2349)*'Progetto del paramento slu'!$G$54,'Progetto del paramento slu'!$G$53)</f>
        <v>384239163.94646639</v>
      </c>
      <c r="J2349" s="479">
        <f t="shared" si="170"/>
        <v>673741001.39063227</v>
      </c>
      <c r="K2349" s="558">
        <f>'Progetto del paramento slu'!$G$60*(sezione!$AL$36-C2349)/C2349</f>
        <v>1.3571314370393478E-3</v>
      </c>
      <c r="L2349" s="558">
        <f>'Progetto del paramento slu'!$G$60*(sezione!$AM$36-C2349)/C2349</f>
        <v>1.4714242888897553E-2</v>
      </c>
      <c r="M2349" s="559">
        <f>'Progetto del paramento slu'!$G$60*(sezione!$AN$36-C2349)/C2349</f>
        <v>2.807135434075576E-2</v>
      </c>
      <c r="N2349" s="559">
        <f>'Progetto del paramento slu'!$G$60*(sezione!$AO$36-C2349)/C2349</f>
        <v>3.7785617214834456E-2</v>
      </c>
      <c r="O2349" s="559">
        <f>'Progetto del paramento slu'!$G$60*(sezione!$AP$36-C2349)/C2349</f>
        <v>2.8072446027749394E-2</v>
      </c>
      <c r="P2349" s="553">
        <f>-'Progetto del paramento slu'!$G$47*'Progetto del paramento slu'!$G$41*IF(DATI!$G$218="dx",DATI!$E$61,DATI!$E$64*DATI!$E$63)*1000*C2349*sezione!$AD$5</f>
        <v>-406294.2552781516</v>
      </c>
      <c r="Q2349" s="553">
        <f>'Foglio deposito bis'!$F$88*IF(ABS(K2349)&lt;'Progetto del paramento slu'!$G$58,ABS(K2349)*'Progetto del paramento slu'!$G$54,'Progetto del paramento slu'!$G$53)*IF(K2349&lt;0,-1,1)</f>
        <v>0</v>
      </c>
      <c r="R2349" s="553">
        <f>'Foglio deposito bis'!$F$89*IF(ABS(L2349)&lt;'Progetto del paramento slu'!$G$58,ABS(L2349)*'Progetto del paramento slu'!$G$54,'Progetto del paramento slu'!$G$53)*IF(L2349&lt;0,-1,1)</f>
        <v>153664.85805602249</v>
      </c>
      <c r="S2349" s="553">
        <f>'Foglio deposito bis'!$F$90*IF(ABS(M2349)&lt;'Progetto del paramento slu'!$G$58,ABS(M2349)*'Progetto del paramento slu'!$G$54,'Progetto del paramento slu'!$G$53)*IF(M2349&lt;0,-1,1)</f>
        <v>0</v>
      </c>
      <c r="T2349" s="553">
        <f>'Foglio deposito bis'!$F$91*IF(ABS(N2349)&lt;'Progetto del paramento slu'!$G$58,ABS(N2349)*'Progetto del paramento slu'!$G$54,'Progetto del paramento slu'!$G$53)*IF(N2349&lt;0,-1,1)</f>
        <v>892485.49558937876</v>
      </c>
      <c r="U2349" s="553">
        <f>'Foglio deposito bis'!$F$92*IF(ABS(O2349)&lt;'Progetto del paramento slu'!$G$58,ABS(O2349)*'Progetto del paramento slu'!$G$54,'Progetto del paramento slu'!$G$53)*IF(O2349&lt;0,-1,1)</f>
        <v>1662039.1047339395</v>
      </c>
      <c r="V2349" s="479">
        <f t="shared" si="172"/>
        <v>2301895.2031011889</v>
      </c>
      <c r="W2349" s="559"/>
      <c r="X2349" s="559"/>
    </row>
    <row r="2350" spans="1:24" x14ac:dyDescent="0.25">
      <c r="A2350" s="553">
        <f t="shared" si="171"/>
        <v>2290450.2945018047</v>
      </c>
      <c r="B2350" s="3">
        <f t="shared" si="174"/>
        <v>7.2999999999999918</v>
      </c>
      <c r="C2350" s="553">
        <f>'Foglio deposito bis'!$E$162/sezione!$B$247*B2350</f>
        <v>29.635529496721112</v>
      </c>
      <c r="D2350" s="611">
        <f>-'Progetto del paramento slu'!$G$47*'Progetto del paramento slu'!$G$41*IF(DATI!$G$218="dx",DATI!$E$61,DATI!$E$64*DATI!$E$63)*1000*C2350^2*sezione!$AD$5*(1-sezione!$AD$6)</f>
        <v>-7229874.0468085501</v>
      </c>
      <c r="E2350" s="553">
        <f>-'Foglio deposito bis'!$F$88*(C2350-sezione!$AL$36)*IF(ABS(K2350)&lt;'Progetto del paramento slu'!$G$58,ABS(K2350)*'Progetto del paramento slu'!$G$54,'Progetto del paramento slu'!$G$53)</f>
        <v>0</v>
      </c>
      <c r="F2350" s="553">
        <f>-'Foglio deposito bis'!$F$89*(C2350-sezione!$AM$36)*IF(ABS(L2350)&lt;'Progetto del paramento slu'!$G$58,ABS(L2350)*'Progetto del paramento slu'!$G$54,'Progetto del paramento slu'!$G$53)</f>
        <v>18495789.274874657</v>
      </c>
      <c r="G2350" s="553">
        <f>-'Foglio deposito bis'!$F$90*(C2350-sezione!$AN$36)*IF(ABS(M2350)&lt;'Progetto del paramento slu'!$G$58,ABS(M2350)*'Progetto del paramento slu'!$G$54,'Progetto del paramento slu'!$G$53)</f>
        <v>0</v>
      </c>
      <c r="H2350" s="553">
        <f>-'Foglio deposito bis'!$F$91*(C2350-sezione!$AO$36)*IF(ABS(N2350)&lt;'Progetto del paramento slu'!$G$58,ABS(N2350)*'Progetto del paramento slu'!$G$54,'Progetto del paramento slu'!$G$53)</f>
        <v>276995788.27045399</v>
      </c>
      <c r="I2350" s="479">
        <f>-'Foglio deposito bis'!$F$92*(C2350-sezione!$AP$36)*IF(ABS(O2350)&lt;'Progetto del paramento slu'!$G$58,ABS(O2350)*'Progetto del paramento slu'!$G$54,'Progetto del paramento slu'!$G$53)</f>
        <v>382889700.68857467</v>
      </c>
      <c r="J2350" s="479">
        <f t="shared" si="170"/>
        <v>671151404.18709469</v>
      </c>
      <c r="K2350" s="558">
        <f>'Progetto del paramento slu'!$G$60*(sezione!$AL$36-C2350)/C2350</f>
        <v>1.224059342873886E-3</v>
      </c>
      <c r="L2350" s="558">
        <f>'Progetto del paramento slu'!$G$60*(sezione!$AM$36-C2350)/C2350</f>
        <v>1.4215222535777072E-2</v>
      </c>
      <c r="M2350" s="559">
        <f>'Progetto del paramento slu'!$G$60*(sezione!$AN$36-C2350)/C2350</f>
        <v>2.7206385728680258E-2</v>
      </c>
      <c r="N2350" s="559">
        <f>'Progetto del paramento slu'!$G$60*(sezione!$AO$36-C2350)/C2350</f>
        <v>3.6654504414428031E-2</v>
      </c>
      <c r="O2350" s="559">
        <f>'Progetto del paramento slu'!$G$60*(sezione!$AP$36-C2350)/C2350</f>
        <v>2.7207447506441194E-2</v>
      </c>
      <c r="P2350" s="553">
        <f>-'Progetto del paramento slu'!$G$47*'Progetto del paramento slu'!$G$41*IF(DATI!$G$218="dx",DATI!$E$61,DATI!$E$64*DATI!$E$63)*1000*C2350*sezione!$AD$5</f>
        <v>-417739.16387753619</v>
      </c>
      <c r="Q2350" s="553">
        <f>'Foglio deposito bis'!$F$88*IF(ABS(K2350)&lt;'Progetto del paramento slu'!$G$58,ABS(K2350)*'Progetto del paramento slu'!$G$54,'Progetto del paramento slu'!$G$53)*IF(K2350&lt;0,-1,1)</f>
        <v>0</v>
      </c>
      <c r="R2350" s="553">
        <f>'Foglio deposito bis'!$F$89*IF(ABS(L2350)&lt;'Progetto del paramento slu'!$G$58,ABS(L2350)*'Progetto del paramento slu'!$G$54,'Progetto del paramento slu'!$G$53)*IF(L2350&lt;0,-1,1)</f>
        <v>153664.85805602249</v>
      </c>
      <c r="S2350" s="553">
        <f>'Foglio deposito bis'!$F$90*IF(ABS(M2350)&lt;'Progetto del paramento slu'!$G$58,ABS(M2350)*'Progetto del paramento slu'!$G$54,'Progetto del paramento slu'!$G$53)*IF(M2350&lt;0,-1,1)</f>
        <v>0</v>
      </c>
      <c r="T2350" s="553">
        <f>'Foglio deposito bis'!$F$91*IF(ABS(N2350)&lt;'Progetto del paramento slu'!$G$58,ABS(N2350)*'Progetto del paramento slu'!$G$54,'Progetto del paramento slu'!$G$53)*IF(N2350&lt;0,-1,1)</f>
        <v>892485.49558937876</v>
      </c>
      <c r="U2350" s="553">
        <f>'Foglio deposito bis'!$F$92*IF(ABS(O2350)&lt;'Progetto del paramento slu'!$G$58,ABS(O2350)*'Progetto del paramento slu'!$G$54,'Progetto del paramento slu'!$G$53)*IF(O2350&lt;0,-1,1)</f>
        <v>1662039.1047339395</v>
      </c>
      <c r="V2350" s="479">
        <f t="shared" si="172"/>
        <v>2290450.2945018047</v>
      </c>
      <c r="W2350" s="559"/>
      <c r="X2350" s="559"/>
    </row>
    <row r="2351" spans="1:24" x14ac:dyDescent="0.25">
      <c r="A2351" s="553">
        <f t="shared" si="171"/>
        <v>2279005.3859024202</v>
      </c>
      <c r="B2351" s="3">
        <f t="shared" si="174"/>
        <v>7.499999999999992</v>
      </c>
      <c r="C2351" s="553">
        <f>'Foglio deposito bis'!$E$162/sezione!$B$247*B2351</f>
        <v>30.447461811699771</v>
      </c>
      <c r="D2351" s="611">
        <f>-'Progetto del paramento slu'!$G$47*'Progetto del paramento slu'!$G$41*IF(DATI!$G$218="dx",DATI!$E$61,DATI!$E$64*DATI!$E$63)*1000*C2351^2*sezione!$AD$5*(1-sezione!$AD$6)</f>
        <v>-7631458.3436476057</v>
      </c>
      <c r="E2351" s="553">
        <f>-'Foglio deposito bis'!$F$88*(C2351-sezione!$AL$36)*IF(ABS(K2351)&lt;'Progetto del paramento slu'!$G$58,ABS(K2351)*'Progetto del paramento slu'!$G$54,'Progetto del paramento slu'!$G$53)</f>
        <v>0</v>
      </c>
      <c r="F2351" s="553">
        <f>-'Foglio deposito bis'!$F$89*(C2351-sezione!$AM$36)*IF(ABS(L2351)&lt;'Progetto del paramento slu'!$G$58,ABS(L2351)*'Progetto del paramento slu'!$G$54,'Progetto del paramento slu'!$G$53)</f>
        <v>18371023.810942367</v>
      </c>
      <c r="G2351" s="553">
        <f>-'Foglio deposito bis'!$F$90*(C2351-sezione!$AN$36)*IF(ABS(M2351)&lt;'Progetto del paramento slu'!$G$58,ABS(M2351)*'Progetto del paramento slu'!$G$54,'Progetto del paramento slu'!$G$53)</f>
        <v>0</v>
      </c>
      <c r="H2351" s="553">
        <f>-'Foglio deposito bis'!$F$91*(C2351-sezione!$AO$36)*IF(ABS(N2351)&lt;'Progetto del paramento slu'!$G$58,ABS(N2351)*'Progetto del paramento slu'!$G$54,'Progetto del paramento slu'!$G$53)</f>
        <v>276271150.45593524</v>
      </c>
      <c r="I2351" s="479">
        <f>-'Foglio deposito bis'!$F$92*(C2351-sezione!$AP$36)*IF(ABS(O2351)&lt;'Progetto del paramento slu'!$G$58,ABS(O2351)*'Progetto del paramento slu'!$G$54,'Progetto del paramento slu'!$G$53)</f>
        <v>381540237.43068296</v>
      </c>
      <c r="J2351" s="479">
        <f t="shared" si="170"/>
        <v>668550953.35391295</v>
      </c>
      <c r="K2351" s="558">
        <f>'Progetto del paramento slu'!$G$60*(sezione!$AL$36-C2351)/C2351</f>
        <v>1.098084427063916E-3</v>
      </c>
      <c r="L2351" s="558">
        <f>'Progetto del paramento slu'!$G$60*(sezione!$AM$36-C2351)/C2351</f>
        <v>1.3742816601489686E-2</v>
      </c>
      <c r="M2351" s="559">
        <f>'Progetto del paramento slu'!$G$60*(sezione!$AN$36-C2351)/C2351</f>
        <v>2.6387548775915454E-2</v>
      </c>
      <c r="N2351" s="559">
        <f>'Progetto del paramento slu'!$G$60*(sezione!$AO$36-C2351)/C2351</f>
        <v>3.5583717630043282E-2</v>
      </c>
      <c r="O2351" s="559">
        <f>'Progetto del paramento slu'!$G$60*(sezione!$AP$36-C2351)/C2351</f>
        <v>2.6388582239602762E-2</v>
      </c>
      <c r="P2351" s="553">
        <f>-'Progetto del paramento slu'!$G$47*'Progetto del paramento slu'!$G$41*IF(DATI!$G$218="dx",DATI!$E$61,DATI!$E$64*DATI!$E$63)*1000*C2351*sezione!$AD$5</f>
        <v>-429184.07247692073</v>
      </c>
      <c r="Q2351" s="553">
        <f>'Foglio deposito bis'!$F$88*IF(ABS(K2351)&lt;'Progetto del paramento slu'!$G$58,ABS(K2351)*'Progetto del paramento slu'!$G$54,'Progetto del paramento slu'!$G$53)*IF(K2351&lt;0,-1,1)</f>
        <v>0</v>
      </c>
      <c r="R2351" s="553">
        <f>'Foglio deposito bis'!$F$89*IF(ABS(L2351)&lt;'Progetto del paramento slu'!$G$58,ABS(L2351)*'Progetto del paramento slu'!$G$54,'Progetto del paramento slu'!$G$53)*IF(L2351&lt;0,-1,1)</f>
        <v>153664.85805602249</v>
      </c>
      <c r="S2351" s="553">
        <f>'Foglio deposito bis'!$F$90*IF(ABS(M2351)&lt;'Progetto del paramento slu'!$G$58,ABS(M2351)*'Progetto del paramento slu'!$G$54,'Progetto del paramento slu'!$G$53)*IF(M2351&lt;0,-1,1)</f>
        <v>0</v>
      </c>
      <c r="T2351" s="553">
        <f>'Foglio deposito bis'!$F$91*IF(ABS(N2351)&lt;'Progetto del paramento slu'!$G$58,ABS(N2351)*'Progetto del paramento slu'!$G$54,'Progetto del paramento slu'!$G$53)*IF(N2351&lt;0,-1,1)</f>
        <v>892485.49558937876</v>
      </c>
      <c r="U2351" s="553">
        <f>'Foglio deposito bis'!$F$92*IF(ABS(O2351)&lt;'Progetto del paramento slu'!$G$58,ABS(O2351)*'Progetto del paramento slu'!$G$54,'Progetto del paramento slu'!$G$53)*IF(O2351&lt;0,-1,1)</f>
        <v>1662039.1047339395</v>
      </c>
      <c r="V2351" s="479">
        <f t="shared" si="172"/>
        <v>2279005.3859024202</v>
      </c>
      <c r="W2351" s="559"/>
      <c r="X2351" s="559"/>
    </row>
    <row r="2352" spans="1:24" x14ac:dyDescent="0.25">
      <c r="A2352" s="553">
        <f t="shared" si="171"/>
        <v>2267560.4773030356</v>
      </c>
      <c r="B2352" s="3">
        <f t="shared" si="174"/>
        <v>7.6999999999999922</v>
      </c>
      <c r="C2352" s="553">
        <f>'Foglio deposito bis'!$E$162/sezione!$B$247*B2352</f>
        <v>31.259394126678433</v>
      </c>
      <c r="D2352" s="611">
        <f>-'Progetto del paramento slu'!$G$47*'Progetto del paramento slu'!$G$41*IF(DATI!$G$218="dx",DATI!$E$61,DATI!$E$64*DATI!$E$63)*1000*C2352^2*sezione!$AD$5*(1-sezione!$AD$6)</f>
        <v>-8043896.2701309621</v>
      </c>
      <c r="E2352" s="553">
        <f>-'Foglio deposito bis'!$F$88*(C2352-sezione!$AL$36)*IF(ABS(K2352)&lt;'Progetto del paramento slu'!$G$58,ABS(K2352)*'Progetto del paramento slu'!$G$54,'Progetto del paramento slu'!$G$53)</f>
        <v>0</v>
      </c>
      <c r="F2352" s="553">
        <f>-'Foglio deposito bis'!$F$89*(C2352-sezione!$AM$36)*IF(ABS(L2352)&lt;'Progetto del paramento slu'!$G$58,ABS(L2352)*'Progetto del paramento slu'!$G$54,'Progetto del paramento slu'!$G$53)</f>
        <v>18246258.347010069</v>
      </c>
      <c r="G2352" s="553">
        <f>-'Foglio deposito bis'!$F$90*(C2352-sezione!$AN$36)*IF(ABS(M2352)&lt;'Progetto del paramento slu'!$G$58,ABS(M2352)*'Progetto del paramento slu'!$G$54,'Progetto del paramento slu'!$G$53)</f>
        <v>0</v>
      </c>
      <c r="H2352" s="553">
        <f>-'Foglio deposito bis'!$F$91*(C2352-sezione!$AO$36)*IF(ABS(N2352)&lt;'Progetto del paramento slu'!$G$58,ABS(N2352)*'Progetto del paramento slu'!$G$54,'Progetto del paramento slu'!$G$53)</f>
        <v>275546512.64141649</v>
      </c>
      <c r="I2352" s="479">
        <f>-'Foglio deposito bis'!$F$92*(C2352-sezione!$AP$36)*IF(ABS(O2352)&lt;'Progetto del paramento slu'!$G$58,ABS(O2352)*'Progetto del paramento slu'!$G$54,'Progetto del paramento slu'!$G$53)</f>
        <v>380190774.1727913</v>
      </c>
      <c r="J2352" s="479">
        <f t="shared" si="170"/>
        <v>665939648.89108682</v>
      </c>
      <c r="K2352" s="558">
        <f>'Progetto del paramento slu'!$G$60*(sezione!$AL$36-C2352)/C2352</f>
        <v>9.786536627245932E-4</v>
      </c>
      <c r="L2352" s="558">
        <f>'Progetto del paramento slu'!$G$60*(sezione!$AM$36-C2352)/C2352</f>
        <v>1.3294951235217223E-2</v>
      </c>
      <c r="M2352" s="559">
        <f>'Progetto del paramento slu'!$G$60*(sezione!$AN$36-C2352)/C2352</f>
        <v>2.5611248807709854E-2</v>
      </c>
      <c r="N2352" s="559">
        <f>'Progetto del paramento slu'!$G$60*(sezione!$AO$36-C2352)/C2352</f>
        <v>3.4568556133159047E-2</v>
      </c>
      <c r="O2352" s="559">
        <f>'Progetto del paramento slu'!$G$60*(sezione!$AP$36-C2352)/C2352</f>
        <v>2.5612255428184506E-2</v>
      </c>
      <c r="P2352" s="553">
        <f>-'Progetto del paramento slu'!$G$47*'Progetto del paramento slu'!$G$41*IF(DATI!$G$218="dx",DATI!$E$61,DATI!$E$64*DATI!$E$63)*1000*C2352*sezione!$AD$5</f>
        <v>-440628.98107630521</v>
      </c>
      <c r="Q2352" s="553">
        <f>'Foglio deposito bis'!$F$88*IF(ABS(K2352)&lt;'Progetto del paramento slu'!$G$58,ABS(K2352)*'Progetto del paramento slu'!$G$54,'Progetto del paramento slu'!$G$53)*IF(K2352&lt;0,-1,1)</f>
        <v>0</v>
      </c>
      <c r="R2352" s="553">
        <f>'Foglio deposito bis'!$F$89*IF(ABS(L2352)&lt;'Progetto del paramento slu'!$G$58,ABS(L2352)*'Progetto del paramento slu'!$G$54,'Progetto del paramento slu'!$G$53)*IF(L2352&lt;0,-1,1)</f>
        <v>153664.85805602249</v>
      </c>
      <c r="S2352" s="553">
        <f>'Foglio deposito bis'!$F$90*IF(ABS(M2352)&lt;'Progetto del paramento slu'!$G$58,ABS(M2352)*'Progetto del paramento slu'!$G$54,'Progetto del paramento slu'!$G$53)*IF(M2352&lt;0,-1,1)</f>
        <v>0</v>
      </c>
      <c r="T2352" s="553">
        <f>'Foglio deposito bis'!$F$91*IF(ABS(N2352)&lt;'Progetto del paramento slu'!$G$58,ABS(N2352)*'Progetto del paramento slu'!$G$54,'Progetto del paramento slu'!$G$53)*IF(N2352&lt;0,-1,1)</f>
        <v>892485.49558937876</v>
      </c>
      <c r="U2352" s="553">
        <f>'Foglio deposito bis'!$F$92*IF(ABS(O2352)&lt;'Progetto del paramento slu'!$G$58,ABS(O2352)*'Progetto del paramento slu'!$G$54,'Progetto del paramento slu'!$G$53)*IF(O2352&lt;0,-1,1)</f>
        <v>1662039.1047339395</v>
      </c>
      <c r="V2352" s="479">
        <f t="shared" si="172"/>
        <v>2267560.4773030356</v>
      </c>
      <c r="W2352" s="559"/>
      <c r="X2352" s="559"/>
    </row>
    <row r="2353" spans="1:24" x14ac:dyDescent="0.25">
      <c r="A2353" s="553">
        <f t="shared" si="171"/>
        <v>2256115.568703651</v>
      </c>
      <c r="B2353" s="3">
        <f t="shared" si="174"/>
        <v>7.8999999999999924</v>
      </c>
      <c r="C2353" s="553">
        <f>'Foglio deposito bis'!$E$162/sezione!$B$247*B2353</f>
        <v>32.071326441657099</v>
      </c>
      <c r="D2353" s="611">
        <f>-'Progetto del paramento slu'!$G$47*'Progetto del paramento slu'!$G$41*IF(DATI!$G$218="dx",DATI!$E$61,DATI!$E$64*DATI!$E$63)*1000*C2353^2*sezione!$AD$5*(1-sezione!$AD$6)</f>
        <v>-8467187.8262586184</v>
      </c>
      <c r="E2353" s="553">
        <f>-'Foglio deposito bis'!$F$88*(C2353-sezione!$AL$36)*IF(ABS(K2353)&lt;'Progetto del paramento slu'!$G$58,ABS(K2353)*'Progetto del paramento slu'!$G$54,'Progetto del paramento slu'!$G$53)</f>
        <v>0</v>
      </c>
      <c r="F2353" s="553">
        <f>-'Foglio deposito bis'!$F$89*(C2353-sezione!$AM$36)*IF(ABS(L2353)&lt;'Progetto del paramento slu'!$G$58,ABS(L2353)*'Progetto del paramento slu'!$G$54,'Progetto del paramento slu'!$G$53)</f>
        <v>18121492.883077774</v>
      </c>
      <c r="G2353" s="553">
        <f>-'Foglio deposito bis'!$F$90*(C2353-sezione!$AN$36)*IF(ABS(M2353)&lt;'Progetto del paramento slu'!$G$58,ABS(M2353)*'Progetto del paramento slu'!$G$54,'Progetto del paramento slu'!$G$53)</f>
        <v>0</v>
      </c>
      <c r="H2353" s="553">
        <f>-'Foglio deposito bis'!$F$91*(C2353-sezione!$AO$36)*IF(ABS(N2353)&lt;'Progetto del paramento slu'!$G$58,ABS(N2353)*'Progetto del paramento slu'!$G$54,'Progetto del paramento slu'!$G$53)</f>
        <v>274821874.82689774</v>
      </c>
      <c r="I2353" s="479">
        <f>-'Foglio deposito bis'!$F$92*(C2353-sezione!$AP$36)*IF(ABS(O2353)&lt;'Progetto del paramento slu'!$G$58,ABS(O2353)*'Progetto del paramento slu'!$G$54,'Progetto del paramento slu'!$G$53)</f>
        <v>378841310.91489959</v>
      </c>
      <c r="J2353" s="479">
        <f t="shared" si="170"/>
        <v>663317490.79861641</v>
      </c>
      <c r="K2353" s="558">
        <f>'Progetto del paramento slu'!$G$60*(sezione!$AL$36-C2353)/C2353</f>
        <v>8.6527002569359007E-4</v>
      </c>
      <c r="L2353" s="558">
        <f>'Progetto del paramento slu'!$G$60*(sezione!$AM$36-C2353)/C2353</f>
        <v>1.2869762596350962E-2</v>
      </c>
      <c r="M2353" s="559">
        <f>'Progetto del paramento slu'!$G$60*(sezione!$AN$36-C2353)/C2353</f>
        <v>2.4874255167008336E-2</v>
      </c>
      <c r="N2353" s="559">
        <f>'Progetto del paramento slu'!$G$60*(sezione!$AO$36-C2353)/C2353</f>
        <v>3.3604795218395517E-2</v>
      </c>
      <c r="O2353" s="559">
        <f>'Progetto del paramento slu'!$G$60*(sezione!$AP$36-C2353)/C2353</f>
        <v>2.4875236303420336E-2</v>
      </c>
      <c r="P2353" s="553">
        <f>-'Progetto del paramento slu'!$G$47*'Progetto del paramento slu'!$G$41*IF(DATI!$G$218="dx",DATI!$E$61,DATI!$E$64*DATI!$E$63)*1000*C2353*sezione!$AD$5</f>
        <v>-452073.88967568992</v>
      </c>
      <c r="Q2353" s="553">
        <f>'Foglio deposito bis'!$F$88*IF(ABS(K2353)&lt;'Progetto del paramento slu'!$G$58,ABS(K2353)*'Progetto del paramento slu'!$G$54,'Progetto del paramento slu'!$G$53)*IF(K2353&lt;0,-1,1)</f>
        <v>0</v>
      </c>
      <c r="R2353" s="553">
        <f>'Foglio deposito bis'!$F$89*IF(ABS(L2353)&lt;'Progetto del paramento slu'!$G$58,ABS(L2353)*'Progetto del paramento slu'!$G$54,'Progetto del paramento slu'!$G$53)*IF(L2353&lt;0,-1,1)</f>
        <v>153664.85805602249</v>
      </c>
      <c r="S2353" s="553">
        <f>'Foglio deposito bis'!$F$90*IF(ABS(M2353)&lt;'Progetto del paramento slu'!$G$58,ABS(M2353)*'Progetto del paramento slu'!$G$54,'Progetto del paramento slu'!$G$53)*IF(M2353&lt;0,-1,1)</f>
        <v>0</v>
      </c>
      <c r="T2353" s="553">
        <f>'Foglio deposito bis'!$F$91*IF(ABS(N2353)&lt;'Progetto del paramento slu'!$G$58,ABS(N2353)*'Progetto del paramento slu'!$G$54,'Progetto del paramento slu'!$G$53)*IF(N2353&lt;0,-1,1)</f>
        <v>892485.49558937876</v>
      </c>
      <c r="U2353" s="553">
        <f>'Foglio deposito bis'!$F$92*IF(ABS(O2353)&lt;'Progetto del paramento slu'!$G$58,ABS(O2353)*'Progetto del paramento slu'!$G$54,'Progetto del paramento slu'!$G$53)*IF(O2353&lt;0,-1,1)</f>
        <v>1662039.1047339395</v>
      </c>
      <c r="V2353" s="479">
        <f t="shared" si="172"/>
        <v>2256115.568703651</v>
      </c>
      <c r="W2353" s="559"/>
      <c r="X2353" s="559"/>
    </row>
    <row r="2354" spans="1:24" x14ac:dyDescent="0.25">
      <c r="A2354" s="553">
        <f t="shared" si="171"/>
        <v>2244670.6601042664</v>
      </c>
      <c r="B2354" s="3">
        <f t="shared" si="174"/>
        <v>8.0999999999999925</v>
      </c>
      <c r="C2354" s="553">
        <f>'Foglio deposito bis'!$E$162/sezione!$B$247*B2354</f>
        <v>32.883258756635762</v>
      </c>
      <c r="D2354" s="611">
        <f>-'Progetto del paramento slu'!$G$47*'Progetto del paramento slu'!$G$41*IF(DATI!$G$218="dx",DATI!$E$61,DATI!$E$64*DATI!$E$63)*1000*C2354^2*sezione!$AD$5*(1-sezione!$AD$6)</f>
        <v>-8901333.0120305717</v>
      </c>
      <c r="E2354" s="553">
        <f>-'Foglio deposito bis'!$F$88*(C2354-sezione!$AL$36)*IF(ABS(K2354)&lt;'Progetto del paramento slu'!$G$58,ABS(K2354)*'Progetto del paramento slu'!$G$54,'Progetto del paramento slu'!$G$53)</f>
        <v>0</v>
      </c>
      <c r="F2354" s="553">
        <f>-'Foglio deposito bis'!$F$89*(C2354-sezione!$AM$36)*IF(ABS(L2354)&lt;'Progetto del paramento slu'!$G$58,ABS(L2354)*'Progetto del paramento slu'!$G$54,'Progetto del paramento slu'!$G$53)</f>
        <v>17996727.41914548</v>
      </c>
      <c r="G2354" s="553">
        <f>-'Foglio deposito bis'!$F$90*(C2354-sezione!$AN$36)*IF(ABS(M2354)&lt;'Progetto del paramento slu'!$G$58,ABS(M2354)*'Progetto del paramento slu'!$G$54,'Progetto del paramento slu'!$G$53)</f>
        <v>0</v>
      </c>
      <c r="H2354" s="553">
        <f>-'Foglio deposito bis'!$F$91*(C2354-sezione!$AO$36)*IF(ABS(N2354)&lt;'Progetto del paramento slu'!$G$58,ABS(N2354)*'Progetto del paramento slu'!$G$54,'Progetto del paramento slu'!$G$53)</f>
        <v>274097237.01237893</v>
      </c>
      <c r="I2354" s="479">
        <f>-'Foglio deposito bis'!$F$92*(C2354-sezione!$AP$36)*IF(ABS(O2354)&lt;'Progetto del paramento slu'!$G$58,ABS(O2354)*'Progetto del paramento slu'!$G$54,'Progetto del paramento slu'!$G$53)</f>
        <v>377491847.65700787</v>
      </c>
      <c r="J2354" s="479">
        <f t="shared" si="170"/>
        <v>660684479.07650173</v>
      </c>
      <c r="K2354" s="558">
        <f>'Progetto del paramento slu'!$G$60*(sezione!$AL$36-C2354)/C2354</f>
        <v>7.5748558061473578E-4</v>
      </c>
      <c r="L2354" s="558">
        <f>'Progetto del paramento slu'!$G$60*(sezione!$AM$36-C2354)/C2354</f>
        <v>1.2465570927305257E-2</v>
      </c>
      <c r="M2354" s="559">
        <f>'Progetto del paramento slu'!$G$60*(sezione!$AN$36-C2354)/C2354</f>
        <v>2.4173656273995783E-2</v>
      </c>
      <c r="N2354" s="559">
        <f>'Progetto del paramento slu'!$G$60*(sezione!$AO$36-C2354)/C2354</f>
        <v>3.2688627435225256E-2</v>
      </c>
      <c r="O2354" s="559">
        <f>'Progetto del paramento slu'!$G$60*(sezione!$AP$36-C2354)/C2354</f>
        <v>2.4174613184817364E-2</v>
      </c>
      <c r="P2354" s="553">
        <f>-'Progetto del paramento slu'!$G$47*'Progetto del paramento slu'!$G$41*IF(DATI!$G$218="dx",DATI!$E$61,DATI!$E$64*DATI!$E$63)*1000*C2354*sezione!$AD$5</f>
        <v>-463518.7982750744</v>
      </c>
      <c r="Q2354" s="553">
        <f>'Foglio deposito bis'!$F$88*IF(ABS(K2354)&lt;'Progetto del paramento slu'!$G$58,ABS(K2354)*'Progetto del paramento slu'!$G$54,'Progetto del paramento slu'!$G$53)*IF(K2354&lt;0,-1,1)</f>
        <v>0</v>
      </c>
      <c r="R2354" s="553">
        <f>'Foglio deposito bis'!$F$89*IF(ABS(L2354)&lt;'Progetto del paramento slu'!$G$58,ABS(L2354)*'Progetto del paramento slu'!$G$54,'Progetto del paramento slu'!$G$53)*IF(L2354&lt;0,-1,1)</f>
        <v>153664.85805602249</v>
      </c>
      <c r="S2354" s="553">
        <f>'Foglio deposito bis'!$F$90*IF(ABS(M2354)&lt;'Progetto del paramento slu'!$G$58,ABS(M2354)*'Progetto del paramento slu'!$G$54,'Progetto del paramento slu'!$G$53)*IF(M2354&lt;0,-1,1)</f>
        <v>0</v>
      </c>
      <c r="T2354" s="553">
        <f>'Foglio deposito bis'!$F$91*IF(ABS(N2354)&lt;'Progetto del paramento slu'!$G$58,ABS(N2354)*'Progetto del paramento slu'!$G$54,'Progetto del paramento slu'!$G$53)*IF(N2354&lt;0,-1,1)</f>
        <v>892485.49558937876</v>
      </c>
      <c r="U2354" s="553">
        <f>'Foglio deposito bis'!$F$92*IF(ABS(O2354)&lt;'Progetto del paramento slu'!$G$58,ABS(O2354)*'Progetto del paramento slu'!$G$54,'Progetto del paramento slu'!$G$53)*IF(O2354&lt;0,-1,1)</f>
        <v>1662039.1047339395</v>
      </c>
      <c r="V2354" s="479">
        <f t="shared" si="172"/>
        <v>2244670.6601042664</v>
      </c>
      <c r="W2354" s="559"/>
      <c r="X2354" s="559"/>
    </row>
    <row r="2355" spans="1:24" x14ac:dyDescent="0.25">
      <c r="A2355" s="553">
        <f t="shared" si="171"/>
        <v>2233225.7515048818</v>
      </c>
      <c r="B2355" s="3">
        <f t="shared" si="174"/>
        <v>8.2999999999999918</v>
      </c>
      <c r="C2355" s="553">
        <f>'Foglio deposito bis'!$E$162/sezione!$B$247*B2355</f>
        <v>33.695191071614417</v>
      </c>
      <c r="D2355" s="611">
        <f>-'Progetto del paramento slu'!$G$47*'Progetto del paramento slu'!$G$41*IF(DATI!$G$218="dx",DATI!$E$61,DATI!$E$64*DATI!$E$63)*1000*C2355^2*sezione!$AD$5*(1-sezione!$AD$6)</f>
        <v>-9346331.8274468202</v>
      </c>
      <c r="E2355" s="553">
        <f>-'Foglio deposito bis'!$F$88*(C2355-sezione!$AL$36)*IF(ABS(K2355)&lt;'Progetto del paramento slu'!$G$58,ABS(K2355)*'Progetto del paramento slu'!$G$54,'Progetto del paramento slu'!$G$53)</f>
        <v>0</v>
      </c>
      <c r="F2355" s="553">
        <f>-'Foglio deposito bis'!$F$89*(C2355-sezione!$AM$36)*IF(ABS(L2355)&lt;'Progetto del paramento slu'!$G$58,ABS(L2355)*'Progetto del paramento slu'!$G$54,'Progetto del paramento slu'!$G$53)</f>
        <v>17871961.955213189</v>
      </c>
      <c r="G2355" s="553">
        <f>-'Foglio deposito bis'!$F$90*(C2355-sezione!$AN$36)*IF(ABS(M2355)&lt;'Progetto del paramento slu'!$G$58,ABS(M2355)*'Progetto del paramento slu'!$G$54,'Progetto del paramento slu'!$G$53)</f>
        <v>0</v>
      </c>
      <c r="H2355" s="553">
        <f>-'Foglio deposito bis'!$F$91*(C2355-sezione!$AO$36)*IF(ABS(N2355)&lt;'Progetto del paramento slu'!$G$58,ABS(N2355)*'Progetto del paramento slu'!$G$54,'Progetto del paramento slu'!$G$53)</f>
        <v>273372599.19786012</v>
      </c>
      <c r="I2355" s="479">
        <f>-'Foglio deposito bis'!$F$92*(C2355-sezione!$AP$36)*IF(ABS(O2355)&lt;'Progetto del paramento slu'!$G$58,ABS(O2355)*'Progetto del paramento slu'!$G$54,'Progetto del paramento slu'!$G$53)</f>
        <v>376142384.39911616</v>
      </c>
      <c r="J2355" s="479">
        <f t="shared" si="170"/>
        <v>658040613.72474265</v>
      </c>
      <c r="K2355" s="558">
        <f>'Progetto del paramento slu'!$G$60*(sezione!$AL$36-C2355)/C2355</f>
        <v>6.548955666240199E-4</v>
      </c>
      <c r="L2355" s="558">
        <f>'Progetto del paramento slu'!$G$60*(sezione!$AM$36-C2355)/C2355</f>
        <v>1.2080858374840076E-2</v>
      </c>
      <c r="M2355" s="559">
        <f>'Progetto del paramento slu'!$G$60*(sezione!$AN$36-C2355)/C2355</f>
        <v>2.350682118305613E-2</v>
      </c>
      <c r="N2355" s="559">
        <f>'Progetto del paramento slu'!$G$60*(sezione!$AO$36-C2355)/C2355</f>
        <v>3.1816612316304171E-2</v>
      </c>
      <c r="O2355" s="559">
        <f>'Progetto del paramento slu'!$G$60*(sezione!$AP$36-C2355)/C2355</f>
        <v>2.3507755035785626E-2</v>
      </c>
      <c r="P2355" s="553">
        <f>-'Progetto del paramento slu'!$G$47*'Progetto del paramento slu'!$G$41*IF(DATI!$G$218="dx",DATI!$E$61,DATI!$E$64*DATI!$E$63)*1000*C2355*sezione!$AD$5</f>
        <v>-474963.70687445893</v>
      </c>
      <c r="Q2355" s="553">
        <f>'Foglio deposito bis'!$F$88*IF(ABS(K2355)&lt;'Progetto del paramento slu'!$G$58,ABS(K2355)*'Progetto del paramento slu'!$G$54,'Progetto del paramento slu'!$G$53)*IF(K2355&lt;0,-1,1)</f>
        <v>0</v>
      </c>
      <c r="R2355" s="553">
        <f>'Foglio deposito bis'!$F$89*IF(ABS(L2355)&lt;'Progetto del paramento slu'!$G$58,ABS(L2355)*'Progetto del paramento slu'!$G$54,'Progetto del paramento slu'!$G$53)*IF(L2355&lt;0,-1,1)</f>
        <v>153664.85805602249</v>
      </c>
      <c r="S2355" s="553">
        <f>'Foglio deposito bis'!$F$90*IF(ABS(M2355)&lt;'Progetto del paramento slu'!$G$58,ABS(M2355)*'Progetto del paramento slu'!$G$54,'Progetto del paramento slu'!$G$53)*IF(M2355&lt;0,-1,1)</f>
        <v>0</v>
      </c>
      <c r="T2355" s="553">
        <f>'Foglio deposito bis'!$F$91*IF(ABS(N2355)&lt;'Progetto del paramento slu'!$G$58,ABS(N2355)*'Progetto del paramento slu'!$G$54,'Progetto del paramento slu'!$G$53)*IF(N2355&lt;0,-1,1)</f>
        <v>892485.49558937876</v>
      </c>
      <c r="U2355" s="553">
        <f>'Foglio deposito bis'!$F$92*IF(ABS(O2355)&lt;'Progetto del paramento slu'!$G$58,ABS(O2355)*'Progetto del paramento slu'!$G$54,'Progetto del paramento slu'!$G$53)*IF(O2355&lt;0,-1,1)</f>
        <v>1662039.1047339395</v>
      </c>
      <c r="V2355" s="479">
        <f t="shared" si="172"/>
        <v>2233225.7515048818</v>
      </c>
      <c r="W2355" s="559"/>
      <c r="X2355" s="559"/>
    </row>
    <row r="2356" spans="1:24" x14ac:dyDescent="0.25">
      <c r="A2356" s="553">
        <f t="shared" si="171"/>
        <v>2221780.8429054972</v>
      </c>
      <c r="B2356" s="3">
        <f t="shared" si="174"/>
        <v>8.4999999999999911</v>
      </c>
      <c r="C2356" s="553">
        <f>'Foglio deposito bis'!$E$162/sezione!$B$247*B2356</f>
        <v>34.507123386593079</v>
      </c>
      <c r="D2356" s="611">
        <f>-'Progetto del paramento slu'!$G$47*'Progetto del paramento slu'!$G$41*IF(DATI!$G$218="dx",DATI!$E$61,DATI!$E$64*DATI!$E$63)*1000*C2356^2*sezione!$AD$5*(1-sezione!$AD$6)</f>
        <v>-9802184.2725073695</v>
      </c>
      <c r="E2356" s="553">
        <f>-'Foglio deposito bis'!$F$88*(C2356-sezione!$AL$36)*IF(ABS(K2356)&lt;'Progetto del paramento slu'!$G$58,ABS(K2356)*'Progetto del paramento slu'!$G$54,'Progetto del paramento slu'!$G$53)</f>
        <v>0</v>
      </c>
      <c r="F2356" s="553">
        <f>-'Foglio deposito bis'!$F$89*(C2356-sezione!$AM$36)*IF(ABS(L2356)&lt;'Progetto del paramento slu'!$G$58,ABS(L2356)*'Progetto del paramento slu'!$G$54,'Progetto del paramento slu'!$G$53)</f>
        <v>17747196.491280895</v>
      </c>
      <c r="G2356" s="553">
        <f>-'Foglio deposito bis'!$F$90*(C2356-sezione!$AN$36)*IF(ABS(M2356)&lt;'Progetto del paramento slu'!$G$58,ABS(M2356)*'Progetto del paramento slu'!$G$54,'Progetto del paramento slu'!$G$53)</f>
        <v>0</v>
      </c>
      <c r="H2356" s="553">
        <f>-'Foglio deposito bis'!$F$91*(C2356-sezione!$AO$36)*IF(ABS(N2356)&lt;'Progetto del paramento slu'!$G$58,ABS(N2356)*'Progetto del paramento slu'!$G$54,'Progetto del paramento slu'!$G$53)</f>
        <v>272647961.38334137</v>
      </c>
      <c r="I2356" s="479">
        <f>-'Foglio deposito bis'!$F$92*(C2356-sezione!$AP$36)*IF(ABS(O2356)&lt;'Progetto del paramento slu'!$G$58,ABS(O2356)*'Progetto del paramento slu'!$G$54,'Progetto del paramento slu'!$G$53)</f>
        <v>374792921.1412245</v>
      </c>
      <c r="J2356" s="479">
        <f t="shared" si="170"/>
        <v>655385894.74333942</v>
      </c>
      <c r="K2356" s="558">
        <f>'Progetto del paramento slu'!$G$60*(sezione!$AL$36-C2356)/C2356</f>
        <v>5.571333179975722E-4</v>
      </c>
      <c r="L2356" s="558">
        <f>'Progetto del paramento slu'!$G$60*(sezione!$AM$36-C2356)/C2356</f>
        <v>1.1714249942490896E-2</v>
      </c>
      <c r="M2356" s="559">
        <f>'Progetto del paramento slu'!$G$60*(sezione!$AN$36-C2356)/C2356</f>
        <v>2.2871366566984217E-2</v>
      </c>
      <c r="N2356" s="559">
        <f>'Progetto del paramento slu'!$G$60*(sezione!$AO$36-C2356)/C2356</f>
        <v>3.0985633202979364E-2</v>
      </c>
      <c r="O2356" s="559">
        <f>'Progetto del paramento slu'!$G$60*(sezione!$AP$36-C2356)/C2356</f>
        <v>2.2872278446708316E-2</v>
      </c>
      <c r="P2356" s="553">
        <f>-'Progetto del paramento slu'!$G$47*'Progetto del paramento slu'!$G$41*IF(DATI!$G$218="dx",DATI!$E$61,DATI!$E$64*DATI!$E$63)*1000*C2356*sezione!$AD$5</f>
        <v>-486408.61547384353</v>
      </c>
      <c r="Q2356" s="553">
        <f>'Foglio deposito bis'!$F$88*IF(ABS(K2356)&lt;'Progetto del paramento slu'!$G$58,ABS(K2356)*'Progetto del paramento slu'!$G$54,'Progetto del paramento slu'!$G$53)*IF(K2356&lt;0,-1,1)</f>
        <v>0</v>
      </c>
      <c r="R2356" s="553">
        <f>'Foglio deposito bis'!$F$89*IF(ABS(L2356)&lt;'Progetto del paramento slu'!$G$58,ABS(L2356)*'Progetto del paramento slu'!$G$54,'Progetto del paramento slu'!$G$53)*IF(L2356&lt;0,-1,1)</f>
        <v>153664.85805602249</v>
      </c>
      <c r="S2356" s="553">
        <f>'Foglio deposito bis'!$F$90*IF(ABS(M2356)&lt;'Progetto del paramento slu'!$G$58,ABS(M2356)*'Progetto del paramento slu'!$G$54,'Progetto del paramento slu'!$G$53)*IF(M2356&lt;0,-1,1)</f>
        <v>0</v>
      </c>
      <c r="T2356" s="553">
        <f>'Foglio deposito bis'!$F$91*IF(ABS(N2356)&lt;'Progetto del paramento slu'!$G$58,ABS(N2356)*'Progetto del paramento slu'!$G$54,'Progetto del paramento slu'!$G$53)*IF(N2356&lt;0,-1,1)</f>
        <v>892485.49558937876</v>
      </c>
      <c r="U2356" s="553">
        <f>'Foglio deposito bis'!$F$92*IF(ABS(O2356)&lt;'Progetto del paramento slu'!$G$58,ABS(O2356)*'Progetto del paramento slu'!$G$54,'Progetto del paramento slu'!$G$53)*IF(O2356&lt;0,-1,1)</f>
        <v>1662039.1047339395</v>
      </c>
      <c r="V2356" s="479">
        <f t="shared" si="172"/>
        <v>2221780.8429054972</v>
      </c>
      <c r="W2356" s="559"/>
      <c r="X2356" s="559"/>
    </row>
    <row r="2357" spans="1:24" x14ac:dyDescent="0.25">
      <c r="A2357" s="553">
        <f t="shared" si="171"/>
        <v>2210335.934306113</v>
      </c>
      <c r="B2357" s="3">
        <f t="shared" si="174"/>
        <v>8.6999999999999904</v>
      </c>
      <c r="C2357" s="553">
        <f>'Foglio deposito bis'!$E$162/sezione!$B$247*B2357</f>
        <v>35.319055701571735</v>
      </c>
      <c r="D2357" s="611">
        <f>-'Progetto del paramento slu'!$G$47*'Progetto del paramento slu'!$G$41*IF(DATI!$G$218="dx",DATI!$E$61,DATI!$E$64*DATI!$E$63)*1000*C2357^2*sezione!$AD$5*(1-sezione!$AD$6)</f>
        <v>-10268890.347212216</v>
      </c>
      <c r="E2357" s="553">
        <f>-'Foglio deposito bis'!$F$88*(C2357-sezione!$AL$36)*IF(ABS(K2357)&lt;'Progetto del paramento slu'!$G$58,ABS(K2357)*'Progetto del paramento slu'!$G$54,'Progetto del paramento slu'!$G$53)</f>
        <v>0</v>
      </c>
      <c r="F2357" s="553">
        <f>-'Foglio deposito bis'!$F$89*(C2357-sezione!$AM$36)*IF(ABS(L2357)&lt;'Progetto del paramento slu'!$G$58,ABS(L2357)*'Progetto del paramento slu'!$G$54,'Progetto del paramento slu'!$G$53)</f>
        <v>17622431.027348604</v>
      </c>
      <c r="G2357" s="553">
        <f>-'Foglio deposito bis'!$F$90*(C2357-sezione!$AN$36)*IF(ABS(M2357)&lt;'Progetto del paramento slu'!$G$58,ABS(M2357)*'Progetto del paramento slu'!$G$54,'Progetto del paramento slu'!$G$53)</f>
        <v>0</v>
      </c>
      <c r="H2357" s="553">
        <f>-'Foglio deposito bis'!$F$91*(C2357-sezione!$AO$36)*IF(ABS(N2357)&lt;'Progetto del paramento slu'!$G$58,ABS(N2357)*'Progetto del paramento slu'!$G$54,'Progetto del paramento slu'!$G$53)</f>
        <v>271923323.56882262</v>
      </c>
      <c r="I2357" s="479">
        <f>-'Foglio deposito bis'!$F$92*(C2357-sezione!$AP$36)*IF(ABS(O2357)&lt;'Progetto del paramento slu'!$G$58,ABS(O2357)*'Progetto del paramento slu'!$G$54,'Progetto del paramento slu'!$G$53)</f>
        <v>373443457.88333285</v>
      </c>
      <c r="J2357" s="479">
        <f t="shared" si="170"/>
        <v>652720322.13229179</v>
      </c>
      <c r="K2357" s="558">
        <f>'Progetto del paramento slu'!$G$60*(sezione!$AL$36-C2357)/C2357</f>
        <v>4.6386588539992747E-4</v>
      </c>
      <c r="L2357" s="558">
        <f>'Progetto del paramento slu'!$G$60*(sezione!$AM$36-C2357)/C2357</f>
        <v>1.1364497070249729E-2</v>
      </c>
      <c r="M2357" s="559">
        <f>'Progetto del paramento slu'!$G$60*(sezione!$AN$36-C2357)/C2357</f>
        <v>2.226512825509953E-2</v>
      </c>
      <c r="N2357" s="559">
        <f>'Progetto del paramento slu'!$G$60*(sezione!$AO$36-C2357)/C2357</f>
        <v>3.0192860025899382E-2</v>
      </c>
      <c r="O2357" s="559">
        <f>'Progetto del paramento slu'!$G$60*(sezione!$AP$36-C2357)/C2357</f>
        <v>2.2266019172071348E-2</v>
      </c>
      <c r="P2357" s="553">
        <f>-'Progetto del paramento slu'!$G$47*'Progetto del paramento slu'!$G$41*IF(DATI!$G$218="dx",DATI!$E$61,DATI!$E$64*DATI!$E$63)*1000*C2357*sezione!$AD$5</f>
        <v>-497853.52407322801</v>
      </c>
      <c r="Q2357" s="553">
        <f>'Foglio deposito bis'!$F$88*IF(ABS(K2357)&lt;'Progetto del paramento slu'!$G$58,ABS(K2357)*'Progetto del paramento slu'!$G$54,'Progetto del paramento slu'!$G$53)*IF(K2357&lt;0,-1,1)</f>
        <v>0</v>
      </c>
      <c r="R2357" s="553">
        <f>'Foglio deposito bis'!$F$89*IF(ABS(L2357)&lt;'Progetto del paramento slu'!$G$58,ABS(L2357)*'Progetto del paramento slu'!$G$54,'Progetto del paramento slu'!$G$53)*IF(L2357&lt;0,-1,1)</f>
        <v>153664.85805602249</v>
      </c>
      <c r="S2357" s="553">
        <f>'Foglio deposito bis'!$F$90*IF(ABS(M2357)&lt;'Progetto del paramento slu'!$G$58,ABS(M2357)*'Progetto del paramento slu'!$G$54,'Progetto del paramento slu'!$G$53)*IF(M2357&lt;0,-1,1)</f>
        <v>0</v>
      </c>
      <c r="T2357" s="553">
        <f>'Foglio deposito bis'!$F$91*IF(ABS(N2357)&lt;'Progetto del paramento slu'!$G$58,ABS(N2357)*'Progetto del paramento slu'!$G$54,'Progetto del paramento slu'!$G$53)*IF(N2357&lt;0,-1,1)</f>
        <v>892485.49558937876</v>
      </c>
      <c r="U2357" s="553">
        <f>'Foglio deposito bis'!$F$92*IF(ABS(O2357)&lt;'Progetto del paramento slu'!$G$58,ABS(O2357)*'Progetto del paramento slu'!$G$54,'Progetto del paramento slu'!$G$53)*IF(O2357&lt;0,-1,1)</f>
        <v>1662039.1047339395</v>
      </c>
      <c r="V2357" s="479">
        <f t="shared" si="172"/>
        <v>2210335.934306113</v>
      </c>
      <c r="W2357" s="559"/>
      <c r="X2357" s="559"/>
    </row>
    <row r="2358" spans="1:24" x14ac:dyDescent="0.25">
      <c r="A2358" s="553">
        <f t="shared" si="171"/>
        <v>2198891.025706728</v>
      </c>
      <c r="B2358" s="3">
        <f t="shared" si="174"/>
        <v>8.8999999999999897</v>
      </c>
      <c r="C2358" s="553">
        <f>'Foglio deposito bis'!$E$162/sezione!$B$247*B2358</f>
        <v>36.130988016550397</v>
      </c>
      <c r="D2358" s="611">
        <f>-'Progetto del paramento slu'!$G$47*'Progetto del paramento slu'!$G$41*IF(DATI!$G$218="dx",DATI!$E$61,DATI!$E$64*DATI!$E$63)*1000*C2358^2*sezione!$AD$5*(1-sezione!$AD$6)</f>
        <v>-10746450.051561365</v>
      </c>
      <c r="E2358" s="553">
        <f>-'Foglio deposito bis'!$F$88*(C2358-sezione!$AL$36)*IF(ABS(K2358)&lt;'Progetto del paramento slu'!$G$58,ABS(K2358)*'Progetto del paramento slu'!$G$54,'Progetto del paramento slu'!$G$53)</f>
        <v>0</v>
      </c>
      <c r="F2358" s="553">
        <f>-'Foglio deposito bis'!$F$89*(C2358-sezione!$AM$36)*IF(ABS(L2358)&lt;'Progetto del paramento slu'!$G$58,ABS(L2358)*'Progetto del paramento slu'!$G$54,'Progetto del paramento slu'!$G$53)</f>
        <v>17497665.56341631</v>
      </c>
      <c r="G2358" s="553">
        <f>-'Foglio deposito bis'!$F$90*(C2358-sezione!$AN$36)*IF(ABS(M2358)&lt;'Progetto del paramento slu'!$G$58,ABS(M2358)*'Progetto del paramento slu'!$G$54,'Progetto del paramento slu'!$G$53)</f>
        <v>0</v>
      </c>
      <c r="H2358" s="553">
        <f>-'Foglio deposito bis'!$F$91*(C2358-sezione!$AO$36)*IF(ABS(N2358)&lt;'Progetto del paramento slu'!$G$58,ABS(N2358)*'Progetto del paramento slu'!$G$54,'Progetto del paramento slu'!$G$53)</f>
        <v>271198685.75430387</v>
      </c>
      <c r="I2358" s="479">
        <f>-'Foglio deposito bis'!$F$92*(C2358-sezione!$AP$36)*IF(ABS(O2358)&lt;'Progetto del paramento slu'!$G$58,ABS(O2358)*'Progetto del paramento slu'!$G$54,'Progetto del paramento slu'!$G$53)</f>
        <v>372093994.62544119</v>
      </c>
      <c r="J2358" s="479">
        <f t="shared" si="170"/>
        <v>650043895.89160001</v>
      </c>
      <c r="K2358" s="558">
        <f>'Progetto del paramento slu'!$G$60*(sezione!$AL$36-C2358)/C2358</f>
        <v>3.7479024752577159E-4</v>
      </c>
      <c r="L2358" s="558">
        <f>'Progetto del paramento slu'!$G$60*(sezione!$AM$36-C2358)/C2358</f>
        <v>1.1030463428221645E-2</v>
      </c>
      <c r="M2358" s="559">
        <f>'Progetto del paramento slu'!$G$60*(sezione!$AN$36-C2358)/C2358</f>
        <v>2.1686136608917519E-2</v>
      </c>
      <c r="N2358" s="559">
        <f>'Progetto del paramento slu'!$G$60*(sezione!$AO$36-C2358)/C2358</f>
        <v>2.9435717103969056E-2</v>
      </c>
      <c r="O2358" s="559">
        <f>'Progetto del paramento slu'!$G$60*(sezione!$AP$36-C2358)/C2358</f>
        <v>2.1687007505283226E-2</v>
      </c>
      <c r="P2358" s="553">
        <f>-'Progetto del paramento slu'!$G$47*'Progetto del paramento slu'!$G$41*IF(DATI!$G$218="dx",DATI!$E$61,DATI!$E$64*DATI!$E$63)*1000*C2358*sezione!$AD$5</f>
        <v>-509298.4326726126</v>
      </c>
      <c r="Q2358" s="553">
        <f>'Foglio deposito bis'!$F$88*IF(ABS(K2358)&lt;'Progetto del paramento slu'!$G$58,ABS(K2358)*'Progetto del paramento slu'!$G$54,'Progetto del paramento slu'!$G$53)*IF(K2358&lt;0,-1,1)</f>
        <v>0</v>
      </c>
      <c r="R2358" s="553">
        <f>'Foglio deposito bis'!$F$89*IF(ABS(L2358)&lt;'Progetto del paramento slu'!$G$58,ABS(L2358)*'Progetto del paramento slu'!$G$54,'Progetto del paramento slu'!$G$53)*IF(L2358&lt;0,-1,1)</f>
        <v>153664.85805602249</v>
      </c>
      <c r="S2358" s="553">
        <f>'Foglio deposito bis'!$F$90*IF(ABS(M2358)&lt;'Progetto del paramento slu'!$G$58,ABS(M2358)*'Progetto del paramento slu'!$G$54,'Progetto del paramento slu'!$G$53)*IF(M2358&lt;0,-1,1)</f>
        <v>0</v>
      </c>
      <c r="T2358" s="553">
        <f>'Foglio deposito bis'!$F$91*IF(ABS(N2358)&lt;'Progetto del paramento slu'!$G$58,ABS(N2358)*'Progetto del paramento slu'!$G$54,'Progetto del paramento slu'!$G$53)*IF(N2358&lt;0,-1,1)</f>
        <v>892485.49558937876</v>
      </c>
      <c r="U2358" s="553">
        <f>'Foglio deposito bis'!$F$92*IF(ABS(O2358)&lt;'Progetto del paramento slu'!$G$58,ABS(O2358)*'Progetto del paramento slu'!$G$54,'Progetto del paramento slu'!$G$53)*IF(O2358&lt;0,-1,1)</f>
        <v>1662039.1047339395</v>
      </c>
      <c r="V2358" s="479">
        <f t="shared" si="172"/>
        <v>2198891.025706728</v>
      </c>
      <c r="W2358" s="559"/>
      <c r="X2358" s="559"/>
    </row>
    <row r="2359" spans="1:24" x14ac:dyDescent="0.25">
      <c r="A2359" s="553">
        <f t="shared" si="171"/>
        <v>2187446.1171073439</v>
      </c>
      <c r="B2359" s="3">
        <f t="shared" si="174"/>
        <v>9.099999999999989</v>
      </c>
      <c r="C2359" s="553">
        <f>'Foglio deposito bis'!$E$162/sezione!$B$247*B2359</f>
        <v>36.942920331529052</v>
      </c>
      <c r="D2359" s="611">
        <f>-'Progetto del paramento slu'!$G$47*'Progetto del paramento slu'!$G$41*IF(DATI!$G$218="dx",DATI!$E$61,DATI!$E$64*DATI!$E$63)*1000*C2359^2*sezione!$AD$5*(1-sezione!$AD$6)</f>
        <v>-11234863.385554811</v>
      </c>
      <c r="E2359" s="553">
        <f>-'Foglio deposito bis'!$F$88*(C2359-sezione!$AL$36)*IF(ABS(K2359)&lt;'Progetto del paramento slu'!$G$58,ABS(K2359)*'Progetto del paramento slu'!$G$54,'Progetto del paramento slu'!$G$53)</f>
        <v>0</v>
      </c>
      <c r="F2359" s="553">
        <f>-'Foglio deposito bis'!$F$89*(C2359-sezione!$AM$36)*IF(ABS(L2359)&lt;'Progetto del paramento slu'!$G$58,ABS(L2359)*'Progetto del paramento slu'!$G$54,'Progetto del paramento slu'!$G$53)</f>
        <v>17372900.099484015</v>
      </c>
      <c r="G2359" s="553">
        <f>-'Foglio deposito bis'!$F$90*(C2359-sezione!$AN$36)*IF(ABS(M2359)&lt;'Progetto del paramento slu'!$G$58,ABS(M2359)*'Progetto del paramento slu'!$G$54,'Progetto del paramento slu'!$G$53)</f>
        <v>0</v>
      </c>
      <c r="H2359" s="553">
        <f>-'Foglio deposito bis'!$F$91*(C2359-sezione!$AO$36)*IF(ABS(N2359)&lt;'Progetto del paramento slu'!$G$58,ABS(N2359)*'Progetto del paramento slu'!$G$54,'Progetto del paramento slu'!$G$53)</f>
        <v>270474047.93978512</v>
      </c>
      <c r="I2359" s="479">
        <f>-'Foglio deposito bis'!$F$92*(C2359-sezione!$AP$36)*IF(ABS(O2359)&lt;'Progetto del paramento slu'!$G$58,ABS(O2359)*'Progetto del paramento slu'!$G$54,'Progetto del paramento slu'!$G$53)</f>
        <v>370744531.36754948</v>
      </c>
      <c r="J2359" s="479">
        <f t="shared" si="170"/>
        <v>647356616.02126384</v>
      </c>
      <c r="K2359" s="558">
        <f>'Progetto del paramento slu'!$G$60*(sezione!$AL$36-C2359)/C2359</f>
        <v>2.8963002230542555E-4</v>
      </c>
      <c r="L2359" s="558">
        <f>'Progetto del paramento slu'!$G$60*(sezione!$AM$36-C2359)/C2359</f>
        <v>1.0711112583645347E-2</v>
      </c>
      <c r="M2359" s="559">
        <f>'Progetto del paramento slu'!$G$60*(sezione!$AN$36-C2359)/C2359</f>
        <v>2.1132595144985267E-2</v>
      </c>
      <c r="N2359" s="559">
        <f>'Progetto del paramento slu'!$G$60*(sezione!$AO$36-C2359)/C2359</f>
        <v>2.8711855189596115E-2</v>
      </c>
      <c r="O2359" s="559">
        <f>'Progetto del paramento slu'!$G$60*(sezione!$AP$36-C2359)/C2359</f>
        <v>2.113344690077151E-2</v>
      </c>
      <c r="P2359" s="553">
        <f>-'Progetto del paramento slu'!$G$47*'Progetto del paramento slu'!$G$41*IF(DATI!$G$218="dx",DATI!$E$61,DATI!$E$64*DATI!$E$63)*1000*C2359*sezione!$AD$5</f>
        <v>-520743.34127199702</v>
      </c>
      <c r="Q2359" s="553">
        <f>'Foglio deposito bis'!$F$88*IF(ABS(K2359)&lt;'Progetto del paramento slu'!$G$58,ABS(K2359)*'Progetto del paramento slu'!$G$54,'Progetto del paramento slu'!$G$53)*IF(K2359&lt;0,-1,1)</f>
        <v>0</v>
      </c>
      <c r="R2359" s="553">
        <f>'Foglio deposito bis'!$F$89*IF(ABS(L2359)&lt;'Progetto del paramento slu'!$G$58,ABS(L2359)*'Progetto del paramento slu'!$G$54,'Progetto del paramento slu'!$G$53)*IF(L2359&lt;0,-1,1)</f>
        <v>153664.85805602249</v>
      </c>
      <c r="S2359" s="553">
        <f>'Foglio deposito bis'!$F$90*IF(ABS(M2359)&lt;'Progetto del paramento slu'!$G$58,ABS(M2359)*'Progetto del paramento slu'!$G$54,'Progetto del paramento slu'!$G$53)*IF(M2359&lt;0,-1,1)</f>
        <v>0</v>
      </c>
      <c r="T2359" s="553">
        <f>'Foglio deposito bis'!$F$91*IF(ABS(N2359)&lt;'Progetto del paramento slu'!$G$58,ABS(N2359)*'Progetto del paramento slu'!$G$54,'Progetto del paramento slu'!$G$53)*IF(N2359&lt;0,-1,1)</f>
        <v>892485.49558937876</v>
      </c>
      <c r="U2359" s="553">
        <f>'Foglio deposito bis'!$F$92*IF(ABS(O2359)&lt;'Progetto del paramento slu'!$G$58,ABS(O2359)*'Progetto del paramento slu'!$G$54,'Progetto del paramento slu'!$G$53)*IF(O2359&lt;0,-1,1)</f>
        <v>1662039.1047339395</v>
      </c>
      <c r="V2359" s="479">
        <f t="shared" si="172"/>
        <v>2187446.1171073439</v>
      </c>
      <c r="W2359" s="559"/>
      <c r="X2359" s="559"/>
    </row>
    <row r="2360" spans="1:24" x14ac:dyDescent="0.25">
      <c r="A2360" s="553">
        <f t="shared" si="171"/>
        <v>2176001.2085079593</v>
      </c>
      <c r="B2360" s="3">
        <f t="shared" si="174"/>
        <v>9.2999999999999883</v>
      </c>
      <c r="C2360" s="553">
        <f>'Foglio deposito bis'!$E$162/sezione!$B$247*B2360</f>
        <v>37.754852646507707</v>
      </c>
      <c r="D2360" s="611">
        <f>-'Progetto del paramento slu'!$G$47*'Progetto del paramento slu'!$G$41*IF(DATI!$G$218="dx",DATI!$E$61,DATI!$E$64*DATI!$E$63)*1000*C2360^2*sezione!$AD$5*(1-sezione!$AD$6)</f>
        <v>-11734130.349192554</v>
      </c>
      <c r="E2360" s="553">
        <f>-'Foglio deposito bis'!$F$88*(C2360-sezione!$AL$36)*IF(ABS(K2360)&lt;'Progetto del paramento slu'!$G$58,ABS(K2360)*'Progetto del paramento slu'!$G$54,'Progetto del paramento slu'!$G$53)</f>
        <v>0</v>
      </c>
      <c r="F2360" s="553">
        <f>-'Foglio deposito bis'!$F$89*(C2360-sezione!$AM$36)*IF(ABS(L2360)&lt;'Progetto del paramento slu'!$G$58,ABS(L2360)*'Progetto del paramento slu'!$G$54,'Progetto del paramento slu'!$G$53)</f>
        <v>17248134.635551721</v>
      </c>
      <c r="G2360" s="553">
        <f>-'Foglio deposito bis'!$F$90*(C2360-sezione!$AN$36)*IF(ABS(M2360)&lt;'Progetto del paramento slu'!$G$58,ABS(M2360)*'Progetto del paramento slu'!$G$54,'Progetto del paramento slu'!$G$53)</f>
        <v>0</v>
      </c>
      <c r="H2360" s="553">
        <f>-'Foglio deposito bis'!$F$91*(C2360-sezione!$AO$36)*IF(ABS(N2360)&lt;'Progetto del paramento slu'!$G$58,ABS(N2360)*'Progetto del paramento slu'!$G$54,'Progetto del paramento slu'!$G$53)</f>
        <v>269749410.12526643</v>
      </c>
      <c r="I2360" s="479">
        <f>-'Foglio deposito bis'!$F$92*(C2360-sezione!$AP$36)*IF(ABS(O2360)&lt;'Progetto del paramento slu'!$G$58,ABS(O2360)*'Progetto del paramento slu'!$G$54,'Progetto del paramento slu'!$G$53)</f>
        <v>369395068.10965776</v>
      </c>
      <c r="J2360" s="479">
        <f t="shared" si="170"/>
        <v>644658482.52128339</v>
      </c>
      <c r="K2360" s="558">
        <f>'Progetto del paramento slu'!$G$60*(sezione!$AL$36-C2360)/C2360</f>
        <v>2.0813260247090073E-4</v>
      </c>
      <c r="L2360" s="558">
        <f>'Progetto del paramento slu'!$G$60*(sezione!$AM$36-C2360)/C2360</f>
        <v>1.0405497259265878E-2</v>
      </c>
      <c r="M2360" s="559">
        <f>'Progetto del paramento slu'!$G$60*(sezione!$AN$36-C2360)/C2360</f>
        <v>2.0602861916060856E-2</v>
      </c>
      <c r="N2360" s="559">
        <f>'Progetto del paramento slu'!$G$60*(sezione!$AO$36-C2360)/C2360</f>
        <v>2.8019127121002657E-2</v>
      </c>
      <c r="O2360" s="559">
        <f>'Progetto del paramento slu'!$G$60*(sezione!$AP$36-C2360)/C2360</f>
        <v>2.0603695354518364E-2</v>
      </c>
      <c r="P2360" s="553">
        <f>-'Progetto del paramento slu'!$G$47*'Progetto del paramento slu'!$G$41*IF(DATI!$G$218="dx",DATI!$E$61,DATI!$E$64*DATI!$E$63)*1000*C2360*sezione!$AD$5</f>
        <v>-532188.24987138156</v>
      </c>
      <c r="Q2360" s="553">
        <f>'Foglio deposito bis'!$F$88*IF(ABS(K2360)&lt;'Progetto del paramento slu'!$G$58,ABS(K2360)*'Progetto del paramento slu'!$G$54,'Progetto del paramento slu'!$G$53)*IF(K2360&lt;0,-1,1)</f>
        <v>0</v>
      </c>
      <c r="R2360" s="553">
        <f>'Foglio deposito bis'!$F$89*IF(ABS(L2360)&lt;'Progetto del paramento slu'!$G$58,ABS(L2360)*'Progetto del paramento slu'!$G$54,'Progetto del paramento slu'!$G$53)*IF(L2360&lt;0,-1,1)</f>
        <v>153664.85805602249</v>
      </c>
      <c r="S2360" s="553">
        <f>'Foglio deposito bis'!$F$90*IF(ABS(M2360)&lt;'Progetto del paramento slu'!$G$58,ABS(M2360)*'Progetto del paramento slu'!$G$54,'Progetto del paramento slu'!$G$53)*IF(M2360&lt;0,-1,1)</f>
        <v>0</v>
      </c>
      <c r="T2360" s="553">
        <f>'Foglio deposito bis'!$F$91*IF(ABS(N2360)&lt;'Progetto del paramento slu'!$G$58,ABS(N2360)*'Progetto del paramento slu'!$G$54,'Progetto del paramento slu'!$G$53)*IF(N2360&lt;0,-1,1)</f>
        <v>892485.49558937876</v>
      </c>
      <c r="U2360" s="553">
        <f>'Foglio deposito bis'!$F$92*IF(ABS(O2360)&lt;'Progetto del paramento slu'!$G$58,ABS(O2360)*'Progetto del paramento slu'!$G$54,'Progetto del paramento slu'!$G$53)*IF(O2360&lt;0,-1,1)</f>
        <v>1662039.1047339395</v>
      </c>
      <c r="V2360" s="479">
        <f t="shared" si="172"/>
        <v>2176001.2085079593</v>
      </c>
      <c r="W2360" s="559"/>
      <c r="X2360" s="559"/>
    </row>
    <row r="2361" spans="1:24" x14ac:dyDescent="0.25">
      <c r="A2361" s="553">
        <f t="shared" si="171"/>
        <v>2164556.2999085747</v>
      </c>
      <c r="B2361" s="3">
        <f t="shared" si="174"/>
        <v>9.4999999999999876</v>
      </c>
      <c r="C2361" s="553">
        <f>'Foglio deposito bis'!$E$162/sezione!$B$247*B2361</f>
        <v>38.56678496148637</v>
      </c>
      <c r="D2361" s="611">
        <f>-'Progetto del paramento slu'!$G$47*'Progetto del paramento slu'!$G$41*IF(DATI!$G$218="dx",DATI!$E$61,DATI!$E$64*DATI!$E$63)*1000*C2361^2*sezione!$AD$5*(1-sezione!$AD$6)</f>
        <v>-12244250.942474598</v>
      </c>
      <c r="E2361" s="553">
        <f>-'Foglio deposito bis'!$F$88*(C2361-sezione!$AL$36)*IF(ABS(K2361)&lt;'Progetto del paramento slu'!$G$58,ABS(K2361)*'Progetto del paramento slu'!$G$54,'Progetto del paramento slu'!$G$53)</f>
        <v>0</v>
      </c>
      <c r="F2361" s="553">
        <f>-'Foglio deposito bis'!$F$89*(C2361-sezione!$AM$36)*IF(ABS(L2361)&lt;'Progetto del paramento slu'!$G$58,ABS(L2361)*'Progetto del paramento slu'!$G$54,'Progetto del paramento slu'!$G$53)</f>
        <v>17123369.171619426</v>
      </c>
      <c r="G2361" s="553">
        <f>-'Foglio deposito bis'!$F$90*(C2361-sezione!$AN$36)*IF(ABS(M2361)&lt;'Progetto del paramento slu'!$G$58,ABS(M2361)*'Progetto del paramento slu'!$G$54,'Progetto del paramento slu'!$G$53)</f>
        <v>0</v>
      </c>
      <c r="H2361" s="553">
        <f>-'Foglio deposito bis'!$F$91*(C2361-sezione!$AO$36)*IF(ABS(N2361)&lt;'Progetto del paramento slu'!$G$58,ABS(N2361)*'Progetto del paramento slu'!$G$54,'Progetto del paramento slu'!$G$53)</f>
        <v>269024772.31074762</v>
      </c>
      <c r="I2361" s="479">
        <f>-'Foglio deposito bis'!$F$92*(C2361-sezione!$AP$36)*IF(ABS(O2361)&lt;'Progetto del paramento slu'!$G$58,ABS(O2361)*'Progetto del paramento slu'!$G$54,'Progetto del paramento slu'!$G$53)</f>
        <v>368045604.85176611</v>
      </c>
      <c r="J2361" s="479">
        <f t="shared" si="170"/>
        <v>641949495.39165854</v>
      </c>
      <c r="K2361" s="558">
        <f>'Progetto del paramento slu'!$G$60*(sezione!$AL$36-C2361)/C2361</f>
        <v>1.3006665294519739E-4</v>
      </c>
      <c r="L2361" s="558">
        <f>'Progetto del paramento slu'!$G$60*(sezione!$AM$36-C2361)/C2361</f>
        <v>1.0112749948544488E-2</v>
      </c>
      <c r="M2361" s="559">
        <f>'Progetto del paramento slu'!$G$60*(sezione!$AN$36-C2361)/C2361</f>
        <v>2.0095433244143781E-2</v>
      </c>
      <c r="N2361" s="559">
        <f>'Progetto del paramento slu'!$G$60*(sezione!$AO$36-C2361)/C2361</f>
        <v>2.7355566550034179E-2</v>
      </c>
      <c r="O2361" s="559">
        <f>'Progetto del paramento slu'!$G$60*(sezione!$AP$36-C2361)/C2361</f>
        <v>2.00962491365285E-2</v>
      </c>
      <c r="P2361" s="553">
        <f>-'Progetto del paramento slu'!$G$47*'Progetto del paramento slu'!$G$41*IF(DATI!$G$218="dx",DATI!$E$61,DATI!$E$64*DATI!$E$63)*1000*C2361*sezione!$AD$5</f>
        <v>-543633.15847076615</v>
      </c>
      <c r="Q2361" s="553">
        <f>'Foglio deposito bis'!$F$88*IF(ABS(K2361)&lt;'Progetto del paramento slu'!$G$58,ABS(K2361)*'Progetto del paramento slu'!$G$54,'Progetto del paramento slu'!$G$53)*IF(K2361&lt;0,-1,1)</f>
        <v>0</v>
      </c>
      <c r="R2361" s="553">
        <f>'Foglio deposito bis'!$F$89*IF(ABS(L2361)&lt;'Progetto del paramento slu'!$G$58,ABS(L2361)*'Progetto del paramento slu'!$G$54,'Progetto del paramento slu'!$G$53)*IF(L2361&lt;0,-1,1)</f>
        <v>153664.85805602249</v>
      </c>
      <c r="S2361" s="553">
        <f>'Foglio deposito bis'!$F$90*IF(ABS(M2361)&lt;'Progetto del paramento slu'!$G$58,ABS(M2361)*'Progetto del paramento slu'!$G$54,'Progetto del paramento slu'!$G$53)*IF(M2361&lt;0,-1,1)</f>
        <v>0</v>
      </c>
      <c r="T2361" s="553">
        <f>'Foglio deposito bis'!$F$91*IF(ABS(N2361)&lt;'Progetto del paramento slu'!$G$58,ABS(N2361)*'Progetto del paramento slu'!$G$54,'Progetto del paramento slu'!$G$53)*IF(N2361&lt;0,-1,1)</f>
        <v>892485.49558937876</v>
      </c>
      <c r="U2361" s="553">
        <f>'Foglio deposito bis'!$F$92*IF(ABS(O2361)&lt;'Progetto del paramento slu'!$G$58,ABS(O2361)*'Progetto del paramento slu'!$G$54,'Progetto del paramento slu'!$G$53)*IF(O2361&lt;0,-1,1)</f>
        <v>1662039.1047339395</v>
      </c>
      <c r="V2361" s="479">
        <f t="shared" si="172"/>
        <v>2164556.2999085747</v>
      </c>
      <c r="W2361" s="559"/>
      <c r="X2361" s="559"/>
    </row>
    <row r="2362" spans="1:24" x14ac:dyDescent="0.25">
      <c r="A2362" s="553">
        <f t="shared" si="171"/>
        <v>2153111.3913091901</v>
      </c>
      <c r="B2362" s="3">
        <f t="shared" si="174"/>
        <v>9.6999999999999869</v>
      </c>
      <c r="C2362" s="553">
        <f>'Foglio deposito bis'!$E$162/sezione!$B$247*B2362</f>
        <v>39.378717276465025</v>
      </c>
      <c r="D2362" s="611">
        <f>-'Progetto del paramento slu'!$G$47*'Progetto del paramento slu'!$G$41*IF(DATI!$G$218="dx",DATI!$E$61,DATI!$E$64*DATI!$E$63)*1000*C2362^2*sezione!$AD$5*(1-sezione!$AD$6)</f>
        <v>-12765225.165400939</v>
      </c>
      <c r="E2362" s="553">
        <f>-'Foglio deposito bis'!$F$88*(C2362-sezione!$AL$36)*IF(ABS(K2362)&lt;'Progetto del paramento slu'!$G$58,ABS(K2362)*'Progetto del paramento slu'!$G$54,'Progetto del paramento slu'!$G$53)</f>
        <v>0</v>
      </c>
      <c r="F2362" s="553">
        <f>-'Foglio deposito bis'!$F$89*(C2362-sezione!$AM$36)*IF(ABS(L2362)&lt;'Progetto del paramento slu'!$G$58,ABS(L2362)*'Progetto del paramento slu'!$G$54,'Progetto del paramento slu'!$G$53)</f>
        <v>16998603.707687136</v>
      </c>
      <c r="G2362" s="553">
        <f>-'Foglio deposito bis'!$F$90*(C2362-sezione!$AN$36)*IF(ABS(M2362)&lt;'Progetto del paramento slu'!$G$58,ABS(M2362)*'Progetto del paramento slu'!$G$54,'Progetto del paramento slu'!$G$53)</f>
        <v>0</v>
      </c>
      <c r="H2362" s="553">
        <f>-'Foglio deposito bis'!$F$91*(C2362-sezione!$AO$36)*IF(ABS(N2362)&lt;'Progetto del paramento slu'!$G$58,ABS(N2362)*'Progetto del paramento slu'!$G$54,'Progetto del paramento slu'!$G$53)</f>
        <v>268300134.4962289</v>
      </c>
      <c r="I2362" s="479">
        <f>-'Foglio deposito bis'!$F$92*(C2362-sezione!$AP$36)*IF(ABS(O2362)&lt;'Progetto del paramento slu'!$G$58,ABS(O2362)*'Progetto del paramento slu'!$G$54,'Progetto del paramento slu'!$G$53)</f>
        <v>366696141.59387445</v>
      </c>
      <c r="J2362" s="479">
        <f t="shared" si="170"/>
        <v>639229654.63238955</v>
      </c>
      <c r="K2362" s="558">
        <f>'Progetto del paramento slu'!$G$60*(sezione!$AL$36-C2362)/C2362</f>
        <v>5.5219917832925745E-5</v>
      </c>
      <c r="L2362" s="558">
        <f>'Progetto del paramento slu'!$G$60*(sezione!$AM$36-C2362)/C2362</f>
        <v>9.8320746918734714E-3</v>
      </c>
      <c r="M2362" s="559">
        <f>'Progetto del paramento slu'!$G$60*(sezione!$AN$36-C2362)/C2362</f>
        <v>1.960892946591402E-2</v>
      </c>
      <c r="N2362" s="559">
        <f>'Progetto del paramento slu'!$G$60*(sezione!$AO$36-C2362)/C2362</f>
        <v>2.6719369301579872E-2</v>
      </c>
      <c r="O2362" s="559">
        <f>'Progetto del paramento slu'!$G$60*(sezione!$AP$36-C2362)/C2362</f>
        <v>1.9609728535775341E-2</v>
      </c>
      <c r="P2362" s="553">
        <f>-'Progetto del paramento slu'!$G$47*'Progetto del paramento slu'!$G$41*IF(DATI!$G$218="dx",DATI!$E$61,DATI!$E$64*DATI!$E$63)*1000*C2362*sezione!$AD$5</f>
        <v>-555078.06707015063</v>
      </c>
      <c r="Q2362" s="553">
        <f>'Foglio deposito bis'!$F$88*IF(ABS(K2362)&lt;'Progetto del paramento slu'!$G$58,ABS(K2362)*'Progetto del paramento slu'!$G$54,'Progetto del paramento slu'!$G$53)*IF(K2362&lt;0,-1,1)</f>
        <v>0</v>
      </c>
      <c r="R2362" s="553">
        <f>'Foglio deposito bis'!$F$89*IF(ABS(L2362)&lt;'Progetto del paramento slu'!$G$58,ABS(L2362)*'Progetto del paramento slu'!$G$54,'Progetto del paramento slu'!$G$53)*IF(L2362&lt;0,-1,1)</f>
        <v>153664.85805602249</v>
      </c>
      <c r="S2362" s="553">
        <f>'Foglio deposito bis'!$F$90*IF(ABS(M2362)&lt;'Progetto del paramento slu'!$G$58,ABS(M2362)*'Progetto del paramento slu'!$G$54,'Progetto del paramento slu'!$G$53)*IF(M2362&lt;0,-1,1)</f>
        <v>0</v>
      </c>
      <c r="T2362" s="553">
        <f>'Foglio deposito bis'!$F$91*IF(ABS(N2362)&lt;'Progetto del paramento slu'!$G$58,ABS(N2362)*'Progetto del paramento slu'!$G$54,'Progetto del paramento slu'!$G$53)*IF(N2362&lt;0,-1,1)</f>
        <v>892485.49558937876</v>
      </c>
      <c r="U2362" s="553">
        <f>'Foglio deposito bis'!$F$92*IF(ABS(O2362)&lt;'Progetto del paramento slu'!$G$58,ABS(O2362)*'Progetto del paramento slu'!$G$54,'Progetto del paramento slu'!$G$53)*IF(O2362&lt;0,-1,1)</f>
        <v>1662039.1047339395</v>
      </c>
      <c r="V2362" s="479">
        <f t="shared" si="172"/>
        <v>2153111.3913091901</v>
      </c>
      <c r="W2362" s="559"/>
      <c r="X2362" s="559"/>
    </row>
    <row r="2363" spans="1:24" x14ac:dyDescent="0.25">
      <c r="A2363" s="553">
        <f t="shared" si="171"/>
        <v>2141666.4827098055</v>
      </c>
      <c r="B2363" s="3">
        <f t="shared" si="174"/>
        <v>9.8999999999999861</v>
      </c>
      <c r="C2363" s="553">
        <f>'Foglio deposito bis'!$E$162/sezione!$B$247*B2363</f>
        <v>40.190649591443687</v>
      </c>
      <c r="D2363" s="611">
        <f>-'Progetto del paramento slu'!$G$47*'Progetto del paramento slu'!$G$41*IF(DATI!$G$218="dx",DATI!$E$61,DATI!$E$64*DATI!$E$63)*1000*C2363^2*sezione!$AD$5*(1-sezione!$AD$6)</f>
        <v>-13297053.017971581</v>
      </c>
      <c r="E2363" s="553">
        <f>-'Foglio deposito bis'!$F$88*(C2363-sezione!$AL$36)*IF(ABS(K2363)&lt;'Progetto del paramento slu'!$G$58,ABS(K2363)*'Progetto del paramento slu'!$G$54,'Progetto del paramento slu'!$G$53)</f>
        <v>0</v>
      </c>
      <c r="F2363" s="553">
        <f>-'Foglio deposito bis'!$F$89*(C2363-sezione!$AM$36)*IF(ABS(L2363)&lt;'Progetto del paramento slu'!$G$58,ABS(L2363)*'Progetto del paramento slu'!$G$54,'Progetto del paramento slu'!$G$53)</f>
        <v>16873838.243754841</v>
      </c>
      <c r="G2363" s="553">
        <f>-'Foglio deposito bis'!$F$90*(C2363-sezione!$AN$36)*IF(ABS(M2363)&lt;'Progetto del paramento slu'!$G$58,ABS(M2363)*'Progetto del paramento slu'!$G$54,'Progetto del paramento slu'!$G$53)</f>
        <v>0</v>
      </c>
      <c r="H2363" s="553">
        <f>-'Foglio deposito bis'!$F$91*(C2363-sezione!$AO$36)*IF(ABS(N2363)&lt;'Progetto del paramento slu'!$G$58,ABS(N2363)*'Progetto del paramento slu'!$G$54,'Progetto del paramento slu'!$G$53)</f>
        <v>267575496.68171012</v>
      </c>
      <c r="I2363" s="479">
        <f>-'Foglio deposito bis'!$F$92*(C2363-sezione!$AP$36)*IF(ABS(O2363)&lt;'Progetto del paramento slu'!$G$58,ABS(O2363)*'Progetto del paramento slu'!$G$54,'Progetto del paramento slu'!$G$53)</f>
        <v>365346678.3359828</v>
      </c>
      <c r="J2363" s="479">
        <f t="shared" si="170"/>
        <v>636498960.24347615</v>
      </c>
      <c r="K2363" s="558">
        <f>'Progetto del paramento slu'!$G$60*(sezione!$AL$36-C2363)/C2363</f>
        <v>-1.6602706769759801E-5</v>
      </c>
      <c r="L2363" s="558">
        <f>'Progetto del paramento slu'!$G$60*(sezione!$AM$36-C2363)/C2363</f>
        <v>9.5627398496134011E-3</v>
      </c>
      <c r="M2363" s="559">
        <f>'Progetto del paramento slu'!$G$60*(sezione!$AN$36-C2363)/C2363</f>
        <v>1.9142082405996564E-2</v>
      </c>
      <c r="N2363" s="559">
        <f>'Progetto del paramento slu'!$G$60*(sezione!$AO$36-C2363)/C2363</f>
        <v>2.6108876992457047E-2</v>
      </c>
      <c r="O2363" s="559">
        <f>'Progetto del paramento slu'!$G$60*(sezione!$AP$36-C2363)/C2363</f>
        <v>1.9142865333032402E-2</v>
      </c>
      <c r="P2363" s="553">
        <f>-'Progetto del paramento slu'!$G$47*'Progetto del paramento slu'!$G$41*IF(DATI!$G$218="dx",DATI!$E$61,DATI!$E$64*DATI!$E$63)*1000*C2363*sezione!$AD$5</f>
        <v>-566522.97566953511</v>
      </c>
      <c r="Q2363" s="553">
        <f>'Foglio deposito bis'!$F$88*IF(ABS(K2363)&lt;'Progetto del paramento slu'!$G$58,ABS(K2363)*'Progetto del paramento slu'!$G$54,'Progetto del paramento slu'!$G$53)*IF(K2363&lt;0,-1,1)</f>
        <v>0</v>
      </c>
      <c r="R2363" s="553">
        <f>'Foglio deposito bis'!$F$89*IF(ABS(L2363)&lt;'Progetto del paramento slu'!$G$58,ABS(L2363)*'Progetto del paramento slu'!$G$54,'Progetto del paramento slu'!$G$53)*IF(L2363&lt;0,-1,1)</f>
        <v>153664.85805602249</v>
      </c>
      <c r="S2363" s="553">
        <f>'Foglio deposito bis'!$F$90*IF(ABS(M2363)&lt;'Progetto del paramento slu'!$G$58,ABS(M2363)*'Progetto del paramento slu'!$G$54,'Progetto del paramento slu'!$G$53)*IF(M2363&lt;0,-1,1)</f>
        <v>0</v>
      </c>
      <c r="T2363" s="553">
        <f>'Foglio deposito bis'!$F$91*IF(ABS(N2363)&lt;'Progetto del paramento slu'!$G$58,ABS(N2363)*'Progetto del paramento slu'!$G$54,'Progetto del paramento slu'!$G$53)*IF(N2363&lt;0,-1,1)</f>
        <v>892485.49558937876</v>
      </c>
      <c r="U2363" s="553">
        <f>'Foglio deposito bis'!$F$92*IF(ABS(O2363)&lt;'Progetto del paramento slu'!$G$58,ABS(O2363)*'Progetto del paramento slu'!$G$54,'Progetto del paramento slu'!$G$53)*IF(O2363&lt;0,-1,1)</f>
        <v>1662039.1047339395</v>
      </c>
      <c r="V2363" s="479">
        <f t="shared" si="172"/>
        <v>2141666.4827098055</v>
      </c>
      <c r="W2363" s="559"/>
      <c r="X2363" s="559"/>
    </row>
    <row r="2364" spans="1:24" x14ac:dyDescent="0.25">
      <c r="A2364" s="553">
        <f t="shared" si="171"/>
        <v>2130221.5741104214</v>
      </c>
      <c r="B2364" s="3">
        <f t="shared" si="174"/>
        <v>10.099999999999985</v>
      </c>
      <c r="C2364" s="553">
        <f>'Foglio deposito bis'!$E$162/sezione!$B$247*B2364</f>
        <v>41.002581906422343</v>
      </c>
      <c r="D2364" s="611">
        <f>-'Progetto del paramento slu'!$G$47*'Progetto del paramento slu'!$G$41*IF(DATI!$G$218="dx",DATI!$E$61,DATI!$E$64*DATI!$E$63)*1000*C2364^2*sezione!$AD$5*(1-sezione!$AD$6)</f>
        <v>-13839734.500186518</v>
      </c>
      <c r="E2364" s="553">
        <f>-'Foglio deposito bis'!$F$88*(C2364-sezione!$AL$36)*IF(ABS(K2364)&lt;'Progetto del paramento slu'!$G$58,ABS(K2364)*'Progetto del paramento slu'!$G$54,'Progetto del paramento slu'!$G$53)</f>
        <v>0</v>
      </c>
      <c r="F2364" s="553">
        <f>-'Foglio deposito bis'!$F$89*(C2364-sezione!$AM$36)*IF(ABS(L2364)&lt;'Progetto del paramento slu'!$G$58,ABS(L2364)*'Progetto del paramento slu'!$G$54,'Progetto del paramento slu'!$G$53)</f>
        <v>16749072.779822549</v>
      </c>
      <c r="G2364" s="553">
        <f>-'Foglio deposito bis'!$F$90*(C2364-sezione!$AN$36)*IF(ABS(M2364)&lt;'Progetto del paramento slu'!$G$58,ABS(M2364)*'Progetto del paramento slu'!$G$54,'Progetto del paramento slu'!$G$53)</f>
        <v>0</v>
      </c>
      <c r="H2364" s="553">
        <f>-'Foglio deposito bis'!$F$91*(C2364-sezione!$AO$36)*IF(ABS(N2364)&lt;'Progetto del paramento slu'!$G$58,ABS(N2364)*'Progetto del paramento slu'!$G$54,'Progetto del paramento slu'!$G$53)</f>
        <v>266850858.86719137</v>
      </c>
      <c r="I2364" s="479">
        <f>-'Foglio deposito bis'!$F$92*(C2364-sezione!$AP$36)*IF(ABS(O2364)&lt;'Progetto del paramento slu'!$G$58,ABS(O2364)*'Progetto del paramento slu'!$G$54,'Progetto del paramento slu'!$G$53)</f>
        <v>363997215.07809108</v>
      </c>
      <c r="J2364" s="479">
        <f t="shared" si="170"/>
        <v>633757412.22491848</v>
      </c>
      <c r="K2364" s="558">
        <f>'Progetto del paramento slu'!$G$60*(sezione!$AL$36-C2364)/C2364</f>
        <v>-8.5580870992140368E-5</v>
      </c>
      <c r="L2364" s="558">
        <f>'Progetto del paramento slu'!$G$60*(sezione!$AM$36-C2364)/C2364</f>
        <v>9.3040717337794752E-3</v>
      </c>
      <c r="M2364" s="559">
        <f>'Progetto del paramento slu'!$G$60*(sezione!$AN$36-C2364)/C2364</f>
        <v>1.8693724338551088E-2</v>
      </c>
      <c r="N2364" s="559">
        <f>'Progetto del paramento slu'!$G$60*(sezione!$AO$36-C2364)/C2364</f>
        <v>2.5522562596566808E-2</v>
      </c>
      <c r="O2364" s="559">
        <f>'Progetto del paramento slu'!$G$60*(sezione!$AP$36-C2364)/C2364</f>
        <v>1.8694491762081267E-2</v>
      </c>
      <c r="P2364" s="553">
        <f>-'Progetto del paramento slu'!$G$47*'Progetto del paramento slu'!$G$41*IF(DATI!$G$218="dx",DATI!$E$61,DATI!$E$64*DATI!$E$63)*1000*C2364*sezione!$AD$5</f>
        <v>-577967.88426891959</v>
      </c>
      <c r="Q2364" s="553">
        <f>'Foglio deposito bis'!$F$88*IF(ABS(K2364)&lt;'Progetto del paramento slu'!$G$58,ABS(K2364)*'Progetto del paramento slu'!$G$54,'Progetto del paramento slu'!$G$53)*IF(K2364&lt;0,-1,1)</f>
        <v>0</v>
      </c>
      <c r="R2364" s="553">
        <f>'Foglio deposito bis'!$F$89*IF(ABS(L2364)&lt;'Progetto del paramento slu'!$G$58,ABS(L2364)*'Progetto del paramento slu'!$G$54,'Progetto del paramento slu'!$G$53)*IF(L2364&lt;0,-1,1)</f>
        <v>153664.85805602249</v>
      </c>
      <c r="S2364" s="553">
        <f>'Foglio deposito bis'!$F$90*IF(ABS(M2364)&lt;'Progetto del paramento slu'!$G$58,ABS(M2364)*'Progetto del paramento slu'!$G$54,'Progetto del paramento slu'!$G$53)*IF(M2364&lt;0,-1,1)</f>
        <v>0</v>
      </c>
      <c r="T2364" s="553">
        <f>'Foglio deposito bis'!$F$91*IF(ABS(N2364)&lt;'Progetto del paramento slu'!$G$58,ABS(N2364)*'Progetto del paramento slu'!$G$54,'Progetto del paramento slu'!$G$53)*IF(N2364&lt;0,-1,1)</f>
        <v>892485.49558937876</v>
      </c>
      <c r="U2364" s="553">
        <f>'Foglio deposito bis'!$F$92*IF(ABS(O2364)&lt;'Progetto del paramento slu'!$G$58,ABS(O2364)*'Progetto del paramento slu'!$G$54,'Progetto del paramento slu'!$G$53)*IF(O2364&lt;0,-1,1)</f>
        <v>1662039.1047339395</v>
      </c>
      <c r="V2364" s="479">
        <f t="shared" si="172"/>
        <v>2130221.5741104214</v>
      </c>
      <c r="W2364" s="559"/>
      <c r="X2364" s="559"/>
    </row>
    <row r="2365" spans="1:24" x14ac:dyDescent="0.25">
      <c r="A2365" s="553">
        <f t="shared" si="171"/>
        <v>2118776.6655110368</v>
      </c>
      <c r="B2365" s="3">
        <f t="shared" si="174"/>
        <v>10.299999999999985</v>
      </c>
      <c r="C2365" s="553">
        <f>'Foglio deposito bis'!$E$162/sezione!$B$247*B2365</f>
        <v>41.814514221401005</v>
      </c>
      <c r="D2365" s="611">
        <f>-'Progetto del paramento slu'!$G$47*'Progetto del paramento slu'!$G$41*IF(DATI!$G$218="dx",DATI!$E$61,DATI!$E$64*DATI!$E$63)*1000*C2365^2*sezione!$AD$5*(1-sezione!$AD$6)</f>
        <v>-14393269.612045757</v>
      </c>
      <c r="E2365" s="553">
        <f>-'Foglio deposito bis'!$F$88*(C2365-sezione!$AL$36)*IF(ABS(K2365)&lt;'Progetto del paramento slu'!$G$58,ABS(K2365)*'Progetto del paramento slu'!$G$54,'Progetto del paramento slu'!$G$53)</f>
        <v>0</v>
      </c>
      <c r="F2365" s="553">
        <f>-'Foglio deposito bis'!$F$89*(C2365-sezione!$AM$36)*IF(ABS(L2365)&lt;'Progetto del paramento slu'!$G$58,ABS(L2365)*'Progetto del paramento slu'!$G$54,'Progetto del paramento slu'!$G$53)</f>
        <v>16624307.315890254</v>
      </c>
      <c r="G2365" s="553">
        <f>-'Foglio deposito bis'!$F$90*(C2365-sezione!$AN$36)*IF(ABS(M2365)&lt;'Progetto del paramento slu'!$G$58,ABS(M2365)*'Progetto del paramento slu'!$G$54,'Progetto del paramento slu'!$G$53)</f>
        <v>0</v>
      </c>
      <c r="H2365" s="553">
        <f>-'Foglio deposito bis'!$F$91*(C2365-sezione!$AO$36)*IF(ABS(N2365)&lt;'Progetto del paramento slu'!$G$58,ABS(N2365)*'Progetto del paramento slu'!$G$54,'Progetto del paramento slu'!$G$53)</f>
        <v>266126221.05267256</v>
      </c>
      <c r="I2365" s="479">
        <f>-'Foglio deposito bis'!$F$92*(C2365-sezione!$AP$36)*IF(ABS(O2365)&lt;'Progetto del paramento slu'!$G$58,ABS(O2365)*'Progetto del paramento slu'!$G$54,'Progetto del paramento slu'!$G$53)</f>
        <v>362647751.82019937</v>
      </c>
      <c r="J2365" s="479">
        <f t="shared" ref="J2365:J2428" si="175">D2365+E2365+F2365+G2365+H2365+I2365</f>
        <v>631005010.57671642</v>
      </c>
      <c r="K2365" s="558">
        <f>'Progetto del paramento slu'!$G$60*(sezione!$AL$36-C2365)/C2365</f>
        <v>-1.5188027155539995E-4</v>
      </c>
      <c r="L2365" s="558">
        <f>'Progetto del paramento slu'!$G$60*(sezione!$AM$36-C2365)/C2365</f>
        <v>9.0554489816672516E-3</v>
      </c>
      <c r="M2365" s="559">
        <f>'Progetto del paramento slu'!$G$60*(sezione!$AN$36-C2365)/C2365</f>
        <v>1.8262778234889903E-2</v>
      </c>
      <c r="N2365" s="559">
        <f>'Progetto del paramento slu'!$G$60*(sezione!$AO$36-C2365)/C2365</f>
        <v>2.4959017691779103E-2</v>
      </c>
      <c r="O2365" s="559">
        <f>'Progetto del paramento slu'!$G$60*(sezione!$AP$36-C2365)/C2365</f>
        <v>1.8263530756992313E-2</v>
      </c>
      <c r="P2365" s="553">
        <f>-'Progetto del paramento slu'!$G$47*'Progetto del paramento slu'!$G$41*IF(DATI!$G$218="dx",DATI!$E$61,DATI!$E$64*DATI!$E$63)*1000*C2365*sezione!$AD$5</f>
        <v>-589412.79286830418</v>
      </c>
      <c r="Q2365" s="553">
        <f>'Foglio deposito bis'!$F$88*IF(ABS(K2365)&lt;'Progetto del paramento slu'!$G$58,ABS(K2365)*'Progetto del paramento slu'!$G$54,'Progetto del paramento slu'!$G$53)*IF(K2365&lt;0,-1,1)</f>
        <v>0</v>
      </c>
      <c r="R2365" s="553">
        <f>'Foglio deposito bis'!$F$89*IF(ABS(L2365)&lt;'Progetto del paramento slu'!$G$58,ABS(L2365)*'Progetto del paramento slu'!$G$54,'Progetto del paramento slu'!$G$53)*IF(L2365&lt;0,-1,1)</f>
        <v>153664.85805602249</v>
      </c>
      <c r="S2365" s="553">
        <f>'Foglio deposito bis'!$F$90*IF(ABS(M2365)&lt;'Progetto del paramento slu'!$G$58,ABS(M2365)*'Progetto del paramento slu'!$G$54,'Progetto del paramento slu'!$G$53)*IF(M2365&lt;0,-1,1)</f>
        <v>0</v>
      </c>
      <c r="T2365" s="553">
        <f>'Foglio deposito bis'!$F$91*IF(ABS(N2365)&lt;'Progetto del paramento slu'!$G$58,ABS(N2365)*'Progetto del paramento slu'!$G$54,'Progetto del paramento slu'!$G$53)*IF(N2365&lt;0,-1,1)</f>
        <v>892485.49558937876</v>
      </c>
      <c r="U2365" s="553">
        <f>'Foglio deposito bis'!$F$92*IF(ABS(O2365)&lt;'Progetto del paramento slu'!$G$58,ABS(O2365)*'Progetto del paramento slu'!$G$54,'Progetto del paramento slu'!$G$53)*IF(O2365&lt;0,-1,1)</f>
        <v>1662039.1047339395</v>
      </c>
      <c r="V2365" s="479">
        <f t="shared" si="172"/>
        <v>2118776.6655110368</v>
      </c>
      <c r="W2365" s="559"/>
      <c r="X2365" s="559"/>
    </row>
    <row r="2366" spans="1:24" x14ac:dyDescent="0.25">
      <c r="A2366" s="553">
        <f t="shared" ref="A2366:A2429" si="176">ABS(V2366)</f>
        <v>2107331.7569116522</v>
      </c>
      <c r="B2366" s="3">
        <f t="shared" si="174"/>
        <v>10.499999999999984</v>
      </c>
      <c r="C2366" s="553">
        <f>'Foglio deposito bis'!$E$162/sezione!$B$247*B2366</f>
        <v>42.62644653637966</v>
      </c>
      <c r="D2366" s="611">
        <f>-'Progetto del paramento slu'!$G$47*'Progetto del paramento slu'!$G$41*IF(DATI!$G$218="dx",DATI!$E$61,DATI!$E$64*DATI!$E$63)*1000*C2366^2*sezione!$AD$5*(1-sezione!$AD$6)</f>
        <v>-14957658.353549294</v>
      </c>
      <c r="E2366" s="553">
        <f>-'Foglio deposito bis'!$F$88*(C2366-sezione!$AL$36)*IF(ABS(K2366)&lt;'Progetto del paramento slu'!$G$58,ABS(K2366)*'Progetto del paramento slu'!$G$54,'Progetto del paramento slu'!$G$53)</f>
        <v>0</v>
      </c>
      <c r="F2366" s="553">
        <f>-'Foglio deposito bis'!$F$89*(C2366-sezione!$AM$36)*IF(ABS(L2366)&lt;'Progetto del paramento slu'!$G$58,ABS(L2366)*'Progetto del paramento slu'!$G$54,'Progetto del paramento slu'!$G$53)</f>
        <v>16499541.851957964</v>
      </c>
      <c r="G2366" s="553">
        <f>-'Foglio deposito bis'!$F$90*(C2366-sezione!$AN$36)*IF(ABS(M2366)&lt;'Progetto del paramento slu'!$G$58,ABS(M2366)*'Progetto del paramento slu'!$G$54,'Progetto del paramento slu'!$G$53)</f>
        <v>0</v>
      </c>
      <c r="H2366" s="553">
        <f>-'Foglio deposito bis'!$F$91*(C2366-sezione!$AO$36)*IF(ABS(N2366)&lt;'Progetto del paramento slu'!$G$58,ABS(N2366)*'Progetto del paramento slu'!$G$54,'Progetto del paramento slu'!$G$53)</f>
        <v>265401583.23815382</v>
      </c>
      <c r="I2366" s="479">
        <f>-'Foglio deposito bis'!$F$92*(C2366-sezione!$AP$36)*IF(ABS(O2366)&lt;'Progetto del paramento slu'!$G$58,ABS(O2366)*'Progetto del paramento slu'!$G$54,'Progetto del paramento slu'!$G$53)</f>
        <v>361298288.56230766</v>
      </c>
      <c r="J2366" s="479">
        <f t="shared" si="175"/>
        <v>628241755.29887009</v>
      </c>
      <c r="K2366" s="558">
        <f>'Progetto del paramento slu'!$G$60*(sezione!$AL$36-C2366)/C2366</f>
        <v>-2.1565398066863005E-4</v>
      </c>
      <c r="L2366" s="558">
        <f>'Progetto del paramento slu'!$G$60*(sezione!$AM$36-C2366)/C2366</f>
        <v>8.8162975724926373E-3</v>
      </c>
      <c r="M2366" s="559">
        <f>'Progetto del paramento slu'!$G$60*(sezione!$AN$36-C2366)/C2366</f>
        <v>1.7848249125653904E-2</v>
      </c>
      <c r="N2366" s="559">
        <f>'Progetto del paramento slu'!$G$60*(sezione!$AO$36-C2366)/C2366</f>
        <v>2.4416941164316645E-2</v>
      </c>
      <c r="O2366" s="559">
        <f>'Progetto del paramento slu'!$G$60*(sezione!$AP$36-C2366)/C2366</f>
        <v>1.7848987314001984E-2</v>
      </c>
      <c r="P2366" s="553">
        <f>-'Progetto del paramento slu'!$G$47*'Progetto del paramento slu'!$G$41*IF(DATI!$G$218="dx",DATI!$E$61,DATI!$E$64*DATI!$E$63)*1000*C2366*sezione!$AD$5</f>
        <v>-600857.70146768866</v>
      </c>
      <c r="Q2366" s="553">
        <f>'Foglio deposito bis'!$F$88*IF(ABS(K2366)&lt;'Progetto del paramento slu'!$G$58,ABS(K2366)*'Progetto del paramento slu'!$G$54,'Progetto del paramento slu'!$G$53)*IF(K2366&lt;0,-1,1)</f>
        <v>0</v>
      </c>
      <c r="R2366" s="553">
        <f>'Foglio deposito bis'!$F$89*IF(ABS(L2366)&lt;'Progetto del paramento slu'!$G$58,ABS(L2366)*'Progetto del paramento slu'!$G$54,'Progetto del paramento slu'!$G$53)*IF(L2366&lt;0,-1,1)</f>
        <v>153664.85805602249</v>
      </c>
      <c r="S2366" s="553">
        <f>'Foglio deposito bis'!$F$90*IF(ABS(M2366)&lt;'Progetto del paramento slu'!$G$58,ABS(M2366)*'Progetto del paramento slu'!$G$54,'Progetto del paramento slu'!$G$53)*IF(M2366&lt;0,-1,1)</f>
        <v>0</v>
      </c>
      <c r="T2366" s="553">
        <f>'Foglio deposito bis'!$F$91*IF(ABS(N2366)&lt;'Progetto del paramento slu'!$G$58,ABS(N2366)*'Progetto del paramento slu'!$G$54,'Progetto del paramento slu'!$G$53)*IF(N2366&lt;0,-1,1)</f>
        <v>892485.49558937876</v>
      </c>
      <c r="U2366" s="553">
        <f>'Foglio deposito bis'!$F$92*IF(ABS(O2366)&lt;'Progetto del paramento slu'!$G$58,ABS(O2366)*'Progetto del paramento slu'!$G$54,'Progetto del paramento slu'!$G$53)*IF(O2366&lt;0,-1,1)</f>
        <v>1662039.1047339395</v>
      </c>
      <c r="V2366" s="479">
        <f t="shared" ref="V2366:V2429" si="177">P2366+Q2366+R2366+S2366+T2366+U2366</f>
        <v>2107331.7569116522</v>
      </c>
      <c r="W2366" s="559"/>
      <c r="X2366" s="559"/>
    </row>
    <row r="2367" spans="1:24" x14ac:dyDescent="0.25">
      <c r="A2367" s="553">
        <f t="shared" si="176"/>
        <v>2095886.8483122676</v>
      </c>
      <c r="B2367" s="3">
        <f t="shared" si="174"/>
        <v>10.699999999999983</v>
      </c>
      <c r="C2367" s="553">
        <f>'Foglio deposito bis'!$E$162/sezione!$B$247*B2367</f>
        <v>43.438378851358323</v>
      </c>
      <c r="D2367" s="611">
        <f>-'Progetto del paramento slu'!$G$47*'Progetto del paramento slu'!$G$41*IF(DATI!$G$218="dx",DATI!$E$61,DATI!$E$64*DATI!$E$63)*1000*C2367^2*sezione!$AD$5*(1-sezione!$AD$6)</f>
        <v>-15532900.724697132</v>
      </c>
      <c r="E2367" s="553">
        <f>-'Foglio deposito bis'!$F$88*(C2367-sezione!$AL$36)*IF(ABS(K2367)&lt;'Progetto del paramento slu'!$G$58,ABS(K2367)*'Progetto del paramento slu'!$G$54,'Progetto del paramento slu'!$G$53)</f>
        <v>0</v>
      </c>
      <c r="F2367" s="553">
        <f>-'Foglio deposito bis'!$F$89*(C2367-sezione!$AM$36)*IF(ABS(L2367)&lt;'Progetto del paramento slu'!$G$58,ABS(L2367)*'Progetto del paramento slu'!$G$54,'Progetto del paramento slu'!$G$53)</f>
        <v>16374776.388025668</v>
      </c>
      <c r="G2367" s="553">
        <f>-'Foglio deposito bis'!$F$90*(C2367-sezione!$AN$36)*IF(ABS(M2367)&lt;'Progetto del paramento slu'!$G$58,ABS(M2367)*'Progetto del paramento slu'!$G$54,'Progetto del paramento slu'!$G$53)</f>
        <v>0</v>
      </c>
      <c r="H2367" s="553">
        <f>-'Foglio deposito bis'!$F$91*(C2367-sezione!$AO$36)*IF(ABS(N2367)&lt;'Progetto del paramento slu'!$G$58,ABS(N2367)*'Progetto del paramento slu'!$G$54,'Progetto del paramento slu'!$G$53)</f>
        <v>264676945.42363507</v>
      </c>
      <c r="I2367" s="479">
        <f>-'Foglio deposito bis'!$F$92*(C2367-sezione!$AP$36)*IF(ABS(O2367)&lt;'Progetto del paramento slu'!$G$58,ABS(O2367)*'Progetto del paramento slu'!$G$54,'Progetto del paramento slu'!$G$53)</f>
        <v>359948825.304416</v>
      </c>
      <c r="J2367" s="479">
        <f t="shared" si="175"/>
        <v>625467646.39137959</v>
      </c>
      <c r="K2367" s="558">
        <f>'Progetto del paramento slu'!$G$60*(sezione!$AL$36-C2367)/C2367</f>
        <v>-2.7704362588977727E-4</v>
      </c>
      <c r="L2367" s="558">
        <f>'Progetto del paramento slu'!$G$60*(sezione!$AM$36-C2367)/C2367</f>
        <v>8.5860864029133361E-3</v>
      </c>
      <c r="M2367" s="559">
        <f>'Progetto del paramento slu'!$G$60*(sezione!$AN$36-C2367)/C2367</f>
        <v>1.7449216431716447E-2</v>
      </c>
      <c r="N2367" s="559">
        <f>'Progetto del paramento slu'!$G$60*(sezione!$AO$36-C2367)/C2367</f>
        <v>2.3895129179936893E-2</v>
      </c>
      <c r="O2367" s="559">
        <f>'Progetto del paramento slu'!$G$60*(sezione!$AP$36-C2367)/C2367</f>
        <v>1.7449940822151476E-2</v>
      </c>
      <c r="P2367" s="553">
        <f>-'Progetto del paramento slu'!$G$47*'Progetto del paramento slu'!$G$41*IF(DATI!$G$218="dx",DATI!$E$61,DATI!$E$64*DATI!$E$63)*1000*C2367*sezione!$AD$5</f>
        <v>-612302.61006707326</v>
      </c>
      <c r="Q2367" s="553">
        <f>'Foglio deposito bis'!$F$88*IF(ABS(K2367)&lt;'Progetto del paramento slu'!$G$58,ABS(K2367)*'Progetto del paramento slu'!$G$54,'Progetto del paramento slu'!$G$53)*IF(K2367&lt;0,-1,1)</f>
        <v>0</v>
      </c>
      <c r="R2367" s="553">
        <f>'Foglio deposito bis'!$F$89*IF(ABS(L2367)&lt;'Progetto del paramento slu'!$G$58,ABS(L2367)*'Progetto del paramento slu'!$G$54,'Progetto del paramento slu'!$G$53)*IF(L2367&lt;0,-1,1)</f>
        <v>153664.85805602249</v>
      </c>
      <c r="S2367" s="553">
        <f>'Foglio deposito bis'!$F$90*IF(ABS(M2367)&lt;'Progetto del paramento slu'!$G$58,ABS(M2367)*'Progetto del paramento slu'!$G$54,'Progetto del paramento slu'!$G$53)*IF(M2367&lt;0,-1,1)</f>
        <v>0</v>
      </c>
      <c r="T2367" s="553">
        <f>'Foglio deposito bis'!$F$91*IF(ABS(N2367)&lt;'Progetto del paramento slu'!$G$58,ABS(N2367)*'Progetto del paramento slu'!$G$54,'Progetto del paramento slu'!$G$53)*IF(N2367&lt;0,-1,1)</f>
        <v>892485.49558937876</v>
      </c>
      <c r="U2367" s="553">
        <f>'Foglio deposito bis'!$F$92*IF(ABS(O2367)&lt;'Progetto del paramento slu'!$G$58,ABS(O2367)*'Progetto del paramento slu'!$G$54,'Progetto del paramento slu'!$G$53)*IF(O2367&lt;0,-1,1)</f>
        <v>1662039.1047339395</v>
      </c>
      <c r="V2367" s="479">
        <f t="shared" si="177"/>
        <v>2095886.8483122676</v>
      </c>
      <c r="W2367" s="559"/>
      <c r="X2367" s="559"/>
    </row>
    <row r="2368" spans="1:24" x14ac:dyDescent="0.25">
      <c r="A2368" s="553">
        <f t="shared" si="176"/>
        <v>2084441.939712883</v>
      </c>
      <c r="B2368" s="3">
        <f t="shared" si="174"/>
        <v>10.899999999999983</v>
      </c>
      <c r="C2368" s="553">
        <f>'Foglio deposito bis'!$E$162/sezione!$B$247*B2368</f>
        <v>44.250311166336978</v>
      </c>
      <c r="D2368" s="611">
        <f>-'Progetto del paramento slu'!$G$47*'Progetto del paramento slu'!$G$41*IF(DATI!$G$218="dx",DATI!$E$61,DATI!$E$64*DATI!$E$63)*1000*C2368^2*sezione!$AD$5*(1-sezione!$AD$6)</f>
        <v>-16118996.725489262</v>
      </c>
      <c r="E2368" s="553">
        <f>-'Foglio deposito bis'!$F$88*(C2368-sezione!$AL$36)*IF(ABS(K2368)&lt;'Progetto del paramento slu'!$G$58,ABS(K2368)*'Progetto del paramento slu'!$G$54,'Progetto del paramento slu'!$G$53)</f>
        <v>0</v>
      </c>
      <c r="F2368" s="553">
        <f>-'Foglio deposito bis'!$F$89*(C2368-sezione!$AM$36)*IF(ABS(L2368)&lt;'Progetto del paramento slu'!$G$58,ABS(L2368)*'Progetto del paramento slu'!$G$54,'Progetto del paramento slu'!$G$53)</f>
        <v>16250010.924093373</v>
      </c>
      <c r="G2368" s="553">
        <f>-'Foglio deposito bis'!$F$90*(C2368-sezione!$AN$36)*IF(ABS(M2368)&lt;'Progetto del paramento slu'!$G$58,ABS(M2368)*'Progetto del paramento slu'!$G$54,'Progetto del paramento slu'!$G$53)</f>
        <v>0</v>
      </c>
      <c r="H2368" s="553">
        <f>-'Foglio deposito bis'!$F$91*(C2368-sezione!$AO$36)*IF(ABS(N2368)&lt;'Progetto del paramento slu'!$G$58,ABS(N2368)*'Progetto del paramento slu'!$G$54,'Progetto del paramento slu'!$G$53)</f>
        <v>263952307.60911629</v>
      </c>
      <c r="I2368" s="479">
        <f>-'Foglio deposito bis'!$F$92*(C2368-sezione!$AP$36)*IF(ABS(O2368)&lt;'Progetto del paramento slu'!$G$58,ABS(O2368)*'Progetto del paramento slu'!$G$54,'Progetto del paramento slu'!$G$53)</f>
        <v>358599362.04652435</v>
      </c>
      <c r="J2368" s="479">
        <f t="shared" si="175"/>
        <v>622682683.85424471</v>
      </c>
      <c r="K2368" s="558">
        <f>'Progetto del paramento slu'!$G$60*(sezione!$AL$36-C2368)/C2368</f>
        <v>-3.3618044009363427E-4</v>
      </c>
      <c r="L2368" s="558">
        <f>'Progetto del paramento slu'!$G$60*(sezione!$AM$36-C2368)/C2368</f>
        <v>8.3643233496488705E-3</v>
      </c>
      <c r="M2368" s="559">
        <f>'Progetto del paramento slu'!$G$60*(sezione!$AN$36-C2368)/C2368</f>
        <v>1.7064827139391378E-2</v>
      </c>
      <c r="N2368" s="559">
        <f>'Progetto del paramento slu'!$G$60*(sezione!$AO$36-C2368)/C2368</f>
        <v>2.3392466259204107E-2</v>
      </c>
      <c r="O2368" s="559">
        <f>'Progetto del paramento slu'!$G$60*(sezione!$AP$36-C2368)/C2368</f>
        <v>1.7065538238258789E-2</v>
      </c>
      <c r="P2368" s="553">
        <f>-'Progetto del paramento slu'!$G$47*'Progetto del paramento slu'!$G$41*IF(DATI!$G$218="dx",DATI!$E$61,DATI!$E$64*DATI!$E$63)*1000*C2368*sezione!$AD$5</f>
        <v>-623747.51866645773</v>
      </c>
      <c r="Q2368" s="553">
        <f>'Foglio deposito bis'!$F$88*IF(ABS(K2368)&lt;'Progetto del paramento slu'!$G$58,ABS(K2368)*'Progetto del paramento slu'!$G$54,'Progetto del paramento slu'!$G$53)*IF(K2368&lt;0,-1,1)</f>
        <v>0</v>
      </c>
      <c r="R2368" s="553">
        <f>'Foglio deposito bis'!$F$89*IF(ABS(L2368)&lt;'Progetto del paramento slu'!$G$58,ABS(L2368)*'Progetto del paramento slu'!$G$54,'Progetto del paramento slu'!$G$53)*IF(L2368&lt;0,-1,1)</f>
        <v>153664.85805602249</v>
      </c>
      <c r="S2368" s="553">
        <f>'Foglio deposito bis'!$F$90*IF(ABS(M2368)&lt;'Progetto del paramento slu'!$G$58,ABS(M2368)*'Progetto del paramento slu'!$G$54,'Progetto del paramento slu'!$G$53)*IF(M2368&lt;0,-1,1)</f>
        <v>0</v>
      </c>
      <c r="T2368" s="553">
        <f>'Foglio deposito bis'!$F$91*IF(ABS(N2368)&lt;'Progetto del paramento slu'!$G$58,ABS(N2368)*'Progetto del paramento slu'!$G$54,'Progetto del paramento slu'!$G$53)*IF(N2368&lt;0,-1,1)</f>
        <v>892485.49558937876</v>
      </c>
      <c r="U2368" s="553">
        <f>'Foglio deposito bis'!$F$92*IF(ABS(O2368)&lt;'Progetto del paramento slu'!$G$58,ABS(O2368)*'Progetto del paramento slu'!$G$54,'Progetto del paramento slu'!$G$53)*IF(O2368&lt;0,-1,1)</f>
        <v>1662039.1047339395</v>
      </c>
      <c r="V2368" s="479">
        <f t="shared" si="177"/>
        <v>2084441.939712883</v>
      </c>
      <c r="W2368" s="559"/>
      <c r="X2368" s="559"/>
    </row>
    <row r="2369" spans="1:24" x14ac:dyDescent="0.25">
      <c r="A2369" s="553">
        <f t="shared" si="176"/>
        <v>2072997.0311134984</v>
      </c>
      <c r="B2369" s="3">
        <f t="shared" si="174"/>
        <v>11.099999999999982</v>
      </c>
      <c r="C2369" s="553">
        <f>'Foglio deposito bis'!$E$162/sezione!$B$247*B2369</f>
        <v>45.06224348131564</v>
      </c>
      <c r="D2369" s="611">
        <f>-'Progetto del paramento slu'!$G$47*'Progetto del paramento slu'!$G$41*IF(DATI!$G$218="dx",DATI!$E$61,DATI!$E$64*DATI!$E$63)*1000*C2369^2*sezione!$AD$5*(1-sezione!$AD$6)</f>
        <v>-16715946.355925698</v>
      </c>
      <c r="E2369" s="553">
        <f>-'Foglio deposito bis'!$F$88*(C2369-sezione!$AL$36)*IF(ABS(K2369)&lt;'Progetto del paramento slu'!$G$58,ABS(K2369)*'Progetto del paramento slu'!$G$54,'Progetto del paramento slu'!$G$53)</f>
        <v>0</v>
      </c>
      <c r="F2369" s="553">
        <f>-'Foglio deposito bis'!$F$89*(C2369-sezione!$AM$36)*IF(ABS(L2369)&lt;'Progetto del paramento slu'!$G$58,ABS(L2369)*'Progetto del paramento slu'!$G$54,'Progetto del paramento slu'!$G$53)</f>
        <v>16125245.460161079</v>
      </c>
      <c r="G2369" s="553">
        <f>-'Foglio deposito bis'!$F$90*(C2369-sezione!$AN$36)*IF(ABS(M2369)&lt;'Progetto del paramento slu'!$G$58,ABS(M2369)*'Progetto del paramento slu'!$G$54,'Progetto del paramento slu'!$G$53)</f>
        <v>0</v>
      </c>
      <c r="H2369" s="553">
        <f>-'Foglio deposito bis'!$F$91*(C2369-sezione!$AO$36)*IF(ABS(N2369)&lt;'Progetto del paramento slu'!$G$58,ABS(N2369)*'Progetto del paramento slu'!$G$54,'Progetto del paramento slu'!$G$53)</f>
        <v>263227669.79459754</v>
      </c>
      <c r="I2369" s="479">
        <f>-'Foglio deposito bis'!$F$92*(C2369-sezione!$AP$36)*IF(ABS(O2369)&lt;'Progetto del paramento slu'!$G$58,ABS(O2369)*'Progetto del paramento slu'!$G$54,'Progetto del paramento slu'!$G$53)</f>
        <v>357249898.78863263</v>
      </c>
      <c r="J2369" s="479">
        <f t="shared" si="175"/>
        <v>619886867.68746555</v>
      </c>
      <c r="K2369" s="558">
        <f>'Progetto del paramento slu'!$G$60*(sezione!$AL$36-C2369)/C2369</f>
        <v>-3.931861979297851E-4</v>
      </c>
      <c r="L2369" s="558">
        <f>'Progetto del paramento slu'!$G$60*(sezione!$AM$36-C2369)/C2369</f>
        <v>8.1505517577633059E-3</v>
      </c>
      <c r="M2369" s="559">
        <f>'Progetto del paramento slu'!$G$60*(sezione!$AN$36-C2369)/C2369</f>
        <v>1.6694289713456396E-2</v>
      </c>
      <c r="N2369" s="559">
        <f>'Progetto del paramento slu'!$G$60*(sezione!$AO$36-C2369)/C2369</f>
        <v>2.2907917317596824E-2</v>
      </c>
      <c r="O2369" s="559">
        <f>'Progetto del paramento slu'!$G$60*(sezione!$AP$36-C2369)/C2369</f>
        <v>1.6694987999731604E-2</v>
      </c>
      <c r="P2369" s="553">
        <f>-'Progetto del paramento slu'!$G$47*'Progetto del paramento slu'!$G$41*IF(DATI!$G$218="dx",DATI!$E$61,DATI!$E$64*DATI!$E$63)*1000*C2369*sezione!$AD$5</f>
        <v>-635192.42726584233</v>
      </c>
      <c r="Q2369" s="553">
        <f>'Foglio deposito bis'!$F$88*IF(ABS(K2369)&lt;'Progetto del paramento slu'!$G$58,ABS(K2369)*'Progetto del paramento slu'!$G$54,'Progetto del paramento slu'!$G$53)*IF(K2369&lt;0,-1,1)</f>
        <v>0</v>
      </c>
      <c r="R2369" s="553">
        <f>'Foglio deposito bis'!$F$89*IF(ABS(L2369)&lt;'Progetto del paramento slu'!$G$58,ABS(L2369)*'Progetto del paramento slu'!$G$54,'Progetto del paramento slu'!$G$53)*IF(L2369&lt;0,-1,1)</f>
        <v>153664.85805602249</v>
      </c>
      <c r="S2369" s="553">
        <f>'Foglio deposito bis'!$F$90*IF(ABS(M2369)&lt;'Progetto del paramento slu'!$G$58,ABS(M2369)*'Progetto del paramento slu'!$G$54,'Progetto del paramento slu'!$G$53)*IF(M2369&lt;0,-1,1)</f>
        <v>0</v>
      </c>
      <c r="T2369" s="553">
        <f>'Foglio deposito bis'!$F$91*IF(ABS(N2369)&lt;'Progetto del paramento slu'!$G$58,ABS(N2369)*'Progetto del paramento slu'!$G$54,'Progetto del paramento slu'!$G$53)*IF(N2369&lt;0,-1,1)</f>
        <v>892485.49558937876</v>
      </c>
      <c r="U2369" s="553">
        <f>'Foglio deposito bis'!$F$92*IF(ABS(O2369)&lt;'Progetto del paramento slu'!$G$58,ABS(O2369)*'Progetto del paramento slu'!$G$54,'Progetto del paramento slu'!$G$53)*IF(O2369&lt;0,-1,1)</f>
        <v>1662039.1047339395</v>
      </c>
      <c r="V2369" s="479">
        <f t="shared" si="177"/>
        <v>2072997.0311134984</v>
      </c>
      <c r="W2369" s="559"/>
      <c r="X2369" s="559"/>
    </row>
    <row r="2370" spans="1:24" x14ac:dyDescent="0.25">
      <c r="A2370" s="553">
        <f t="shared" si="176"/>
        <v>2061552.122514114</v>
      </c>
      <c r="B2370" s="3">
        <f t="shared" si="174"/>
        <v>11.299999999999981</v>
      </c>
      <c r="C2370" s="553">
        <f>'Foglio deposito bis'!$E$162/sezione!$B$247*B2370</f>
        <v>45.874175796294296</v>
      </c>
      <c r="D2370" s="611">
        <f>-'Progetto del paramento slu'!$G$47*'Progetto del paramento slu'!$G$41*IF(DATI!$G$218="dx",DATI!$E$61,DATI!$E$64*DATI!$E$63)*1000*C2370^2*sezione!$AD$5*(1-sezione!$AD$6)</f>
        <v>-17323749.616006427</v>
      </c>
      <c r="E2370" s="553">
        <f>-'Foglio deposito bis'!$F$88*(C2370-sezione!$AL$36)*IF(ABS(K2370)&lt;'Progetto del paramento slu'!$G$58,ABS(K2370)*'Progetto del paramento slu'!$G$54,'Progetto del paramento slu'!$G$53)</f>
        <v>0</v>
      </c>
      <c r="F2370" s="553">
        <f>-'Foglio deposito bis'!$F$89*(C2370-sezione!$AM$36)*IF(ABS(L2370)&lt;'Progetto del paramento slu'!$G$58,ABS(L2370)*'Progetto del paramento slu'!$G$54,'Progetto del paramento slu'!$G$53)</f>
        <v>16000479.996228788</v>
      </c>
      <c r="G2370" s="553">
        <f>-'Foglio deposito bis'!$F$90*(C2370-sezione!$AN$36)*IF(ABS(M2370)&lt;'Progetto del paramento slu'!$G$58,ABS(M2370)*'Progetto del paramento slu'!$G$54,'Progetto del paramento slu'!$G$53)</f>
        <v>0</v>
      </c>
      <c r="H2370" s="553">
        <f>-'Foglio deposito bis'!$F$91*(C2370-sezione!$AO$36)*IF(ABS(N2370)&lt;'Progetto del paramento slu'!$G$58,ABS(N2370)*'Progetto del paramento slu'!$G$54,'Progetto del paramento slu'!$G$53)</f>
        <v>262503031.98007879</v>
      </c>
      <c r="I2370" s="479">
        <f>-'Foglio deposito bis'!$F$92*(C2370-sezione!$AP$36)*IF(ABS(O2370)&lt;'Progetto del paramento slu'!$G$58,ABS(O2370)*'Progetto del paramento slu'!$G$54,'Progetto del paramento slu'!$G$53)</f>
        <v>355900435.53074092</v>
      </c>
      <c r="J2370" s="479">
        <f t="shared" si="175"/>
        <v>617080197.89104199</v>
      </c>
      <c r="K2370" s="558">
        <f>'Progetto del paramento slu'!$G$60*(sezione!$AL$36-C2370)/C2370</f>
        <v>-4.4817405283368244E-4</v>
      </c>
      <c r="L2370" s="558">
        <f>'Progetto del paramento slu'!$G$60*(sezione!$AM$36-C2370)/C2370</f>
        <v>7.9443473018736901E-3</v>
      </c>
      <c r="M2370" s="559">
        <f>'Progetto del paramento slu'!$G$60*(sezione!$AN$36-C2370)/C2370</f>
        <v>1.6336868656581065E-2</v>
      </c>
      <c r="N2370" s="559">
        <f>'Progetto del paramento slu'!$G$60*(sezione!$AO$36-C2370)/C2370</f>
        <v>2.2440520550913695E-2</v>
      </c>
      <c r="O2370" s="559">
        <f>'Progetto del paramento slu'!$G$60*(sezione!$AP$36-C2370)/C2370</f>
        <v>1.6337554583807153E-2</v>
      </c>
      <c r="P2370" s="553">
        <f>-'Progetto del paramento slu'!$G$47*'Progetto del paramento slu'!$G$41*IF(DATI!$G$218="dx",DATI!$E$61,DATI!$E$64*DATI!$E$63)*1000*C2370*sezione!$AD$5</f>
        <v>-646637.33586522681</v>
      </c>
      <c r="Q2370" s="553">
        <f>'Foglio deposito bis'!$F$88*IF(ABS(K2370)&lt;'Progetto del paramento slu'!$G$58,ABS(K2370)*'Progetto del paramento slu'!$G$54,'Progetto del paramento slu'!$G$53)*IF(K2370&lt;0,-1,1)</f>
        <v>0</v>
      </c>
      <c r="R2370" s="553">
        <f>'Foglio deposito bis'!$F$89*IF(ABS(L2370)&lt;'Progetto del paramento slu'!$G$58,ABS(L2370)*'Progetto del paramento slu'!$G$54,'Progetto del paramento slu'!$G$53)*IF(L2370&lt;0,-1,1)</f>
        <v>153664.85805602249</v>
      </c>
      <c r="S2370" s="553">
        <f>'Foglio deposito bis'!$F$90*IF(ABS(M2370)&lt;'Progetto del paramento slu'!$G$58,ABS(M2370)*'Progetto del paramento slu'!$G$54,'Progetto del paramento slu'!$G$53)*IF(M2370&lt;0,-1,1)</f>
        <v>0</v>
      </c>
      <c r="T2370" s="553">
        <f>'Foglio deposito bis'!$F$91*IF(ABS(N2370)&lt;'Progetto del paramento slu'!$G$58,ABS(N2370)*'Progetto del paramento slu'!$G$54,'Progetto del paramento slu'!$G$53)*IF(N2370&lt;0,-1,1)</f>
        <v>892485.49558937876</v>
      </c>
      <c r="U2370" s="553">
        <f>'Foglio deposito bis'!$F$92*IF(ABS(O2370)&lt;'Progetto del paramento slu'!$G$58,ABS(O2370)*'Progetto del paramento slu'!$G$54,'Progetto del paramento slu'!$G$53)*IF(O2370&lt;0,-1,1)</f>
        <v>1662039.1047339395</v>
      </c>
      <c r="V2370" s="479">
        <f t="shared" si="177"/>
        <v>2061552.122514114</v>
      </c>
      <c r="W2370" s="559"/>
      <c r="X2370" s="559"/>
    </row>
    <row r="2371" spans="1:24" x14ac:dyDescent="0.25">
      <c r="A2371" s="553">
        <f t="shared" si="176"/>
        <v>2050107.2139147294</v>
      </c>
      <c r="B2371" s="3">
        <f t="shared" si="174"/>
        <v>11.49999999999998</v>
      </c>
      <c r="C2371" s="553">
        <f>'Foglio deposito bis'!$E$162/sezione!$B$247*B2371</f>
        <v>46.686108111272958</v>
      </c>
      <c r="D2371" s="611">
        <f>-'Progetto del paramento slu'!$G$47*'Progetto del paramento slu'!$G$41*IF(DATI!$G$218="dx",DATI!$E$61,DATI!$E$64*DATI!$E$63)*1000*C2371^2*sezione!$AD$5*(1-sezione!$AD$6)</f>
        <v>-17942406.505731463</v>
      </c>
      <c r="E2371" s="553">
        <f>-'Foglio deposito bis'!$F$88*(C2371-sezione!$AL$36)*IF(ABS(K2371)&lt;'Progetto del paramento slu'!$G$58,ABS(K2371)*'Progetto del paramento slu'!$G$54,'Progetto del paramento slu'!$G$53)</f>
        <v>0</v>
      </c>
      <c r="F2371" s="553">
        <f>-'Foglio deposito bis'!$F$89*(C2371-sezione!$AM$36)*IF(ABS(L2371)&lt;'Progetto del paramento slu'!$G$58,ABS(L2371)*'Progetto del paramento slu'!$G$54,'Progetto del paramento slu'!$G$53)</f>
        <v>15875714.532296496</v>
      </c>
      <c r="G2371" s="553">
        <f>-'Foglio deposito bis'!$F$90*(C2371-sezione!$AN$36)*IF(ABS(M2371)&lt;'Progetto del paramento slu'!$G$58,ABS(M2371)*'Progetto del paramento slu'!$G$54,'Progetto del paramento slu'!$G$53)</f>
        <v>0</v>
      </c>
      <c r="H2371" s="553">
        <f>-'Foglio deposito bis'!$F$91*(C2371-sezione!$AO$36)*IF(ABS(N2371)&lt;'Progetto del paramento slu'!$G$58,ABS(N2371)*'Progetto del paramento slu'!$G$54,'Progetto del paramento slu'!$G$53)</f>
        <v>261778394.16556004</v>
      </c>
      <c r="I2371" s="479">
        <f>-'Foglio deposito bis'!$F$92*(C2371-sezione!$AP$36)*IF(ABS(O2371)&lt;'Progetto del paramento slu'!$G$58,ABS(O2371)*'Progetto del paramento slu'!$G$54,'Progetto del paramento slu'!$G$53)</f>
        <v>354550972.27284926</v>
      </c>
      <c r="J2371" s="479">
        <f t="shared" si="175"/>
        <v>614262674.4649744</v>
      </c>
      <c r="K2371" s="558">
        <f>'Progetto del paramento slu'!$G$60*(sezione!$AL$36-C2371)/C2371</f>
        <v>-5.0124928669744459E-4</v>
      </c>
      <c r="L2371" s="558">
        <f>'Progetto del paramento slu'!$G$60*(sezione!$AM$36-C2371)/C2371</f>
        <v>7.7453151748845834E-3</v>
      </c>
      <c r="M2371" s="559">
        <f>'Progetto del paramento slu'!$G$60*(sezione!$AN$36-C2371)/C2371</f>
        <v>1.5991879636466609E-2</v>
      </c>
      <c r="N2371" s="559">
        <f>'Progetto del paramento slu'!$G$60*(sezione!$AO$36-C2371)/C2371</f>
        <v>2.1989381063071724E-2</v>
      </c>
      <c r="O2371" s="559">
        <f>'Progetto del paramento slu'!$G$60*(sezione!$AP$36-C2371)/C2371</f>
        <v>1.5992553634523551E-2</v>
      </c>
      <c r="P2371" s="553">
        <f>-'Progetto del paramento slu'!$G$47*'Progetto del paramento slu'!$G$41*IF(DATI!$G$218="dx",DATI!$E$61,DATI!$E$64*DATI!$E$63)*1000*C2371*sezione!$AD$5</f>
        <v>-658082.2444646114</v>
      </c>
      <c r="Q2371" s="553">
        <f>'Foglio deposito bis'!$F$88*IF(ABS(K2371)&lt;'Progetto del paramento slu'!$G$58,ABS(K2371)*'Progetto del paramento slu'!$G$54,'Progetto del paramento slu'!$G$53)*IF(K2371&lt;0,-1,1)</f>
        <v>0</v>
      </c>
      <c r="R2371" s="553">
        <f>'Foglio deposito bis'!$F$89*IF(ABS(L2371)&lt;'Progetto del paramento slu'!$G$58,ABS(L2371)*'Progetto del paramento slu'!$G$54,'Progetto del paramento slu'!$G$53)*IF(L2371&lt;0,-1,1)</f>
        <v>153664.85805602249</v>
      </c>
      <c r="S2371" s="553">
        <f>'Foglio deposito bis'!$F$90*IF(ABS(M2371)&lt;'Progetto del paramento slu'!$G$58,ABS(M2371)*'Progetto del paramento slu'!$G$54,'Progetto del paramento slu'!$G$53)*IF(M2371&lt;0,-1,1)</f>
        <v>0</v>
      </c>
      <c r="T2371" s="553">
        <f>'Foglio deposito bis'!$F$91*IF(ABS(N2371)&lt;'Progetto del paramento slu'!$G$58,ABS(N2371)*'Progetto del paramento slu'!$G$54,'Progetto del paramento slu'!$G$53)*IF(N2371&lt;0,-1,1)</f>
        <v>892485.49558937876</v>
      </c>
      <c r="U2371" s="553">
        <f>'Foglio deposito bis'!$F$92*IF(ABS(O2371)&lt;'Progetto del paramento slu'!$G$58,ABS(O2371)*'Progetto del paramento slu'!$G$54,'Progetto del paramento slu'!$G$53)*IF(O2371&lt;0,-1,1)</f>
        <v>1662039.1047339395</v>
      </c>
      <c r="V2371" s="479">
        <f t="shared" si="177"/>
        <v>2050107.2139147294</v>
      </c>
      <c r="W2371" s="559"/>
      <c r="X2371" s="559"/>
    </row>
    <row r="2372" spans="1:24" x14ac:dyDescent="0.25">
      <c r="A2372" s="553">
        <f t="shared" si="176"/>
        <v>2038662.3053153451</v>
      </c>
      <c r="B2372" s="3">
        <f t="shared" si="174"/>
        <v>11.69999999999998</v>
      </c>
      <c r="C2372" s="553">
        <f>'Foglio deposito bis'!$E$162/sezione!$B$247*B2372</f>
        <v>47.498040426251613</v>
      </c>
      <c r="D2372" s="611">
        <f>-'Progetto del paramento slu'!$G$47*'Progetto del paramento slu'!$G$41*IF(DATI!$G$218="dx",DATI!$E$61,DATI!$E$64*DATI!$E$63)*1000*C2372^2*sezione!$AD$5*(1-sezione!$AD$6)</f>
        <v>-18571917.02510079</v>
      </c>
      <c r="E2372" s="553">
        <f>-'Foglio deposito bis'!$F$88*(C2372-sezione!$AL$36)*IF(ABS(K2372)&lt;'Progetto del paramento slu'!$G$58,ABS(K2372)*'Progetto del paramento slu'!$G$54,'Progetto del paramento slu'!$G$53)</f>
        <v>0</v>
      </c>
      <c r="F2372" s="553">
        <f>-'Foglio deposito bis'!$F$89*(C2372-sezione!$AM$36)*IF(ABS(L2372)&lt;'Progetto del paramento slu'!$G$58,ABS(L2372)*'Progetto del paramento slu'!$G$54,'Progetto del paramento slu'!$G$53)</f>
        <v>15750949.068364203</v>
      </c>
      <c r="G2372" s="553">
        <f>-'Foglio deposito bis'!$F$90*(C2372-sezione!$AN$36)*IF(ABS(M2372)&lt;'Progetto del paramento slu'!$G$58,ABS(M2372)*'Progetto del paramento slu'!$G$54,'Progetto del paramento slu'!$G$53)</f>
        <v>0</v>
      </c>
      <c r="H2372" s="553">
        <f>-'Foglio deposito bis'!$F$91*(C2372-sezione!$AO$36)*IF(ABS(N2372)&lt;'Progetto del paramento slu'!$G$58,ABS(N2372)*'Progetto del paramento slu'!$G$54,'Progetto del paramento slu'!$G$53)</f>
        <v>261053756.35104126</v>
      </c>
      <c r="I2372" s="479">
        <f>-'Foglio deposito bis'!$F$92*(C2372-sezione!$AP$36)*IF(ABS(O2372)&lt;'Progetto del paramento slu'!$G$58,ABS(O2372)*'Progetto del paramento slu'!$G$54,'Progetto del paramento slu'!$G$53)</f>
        <v>353201509.01495761</v>
      </c>
      <c r="J2372" s="479">
        <f t="shared" si="175"/>
        <v>611434297.4092623</v>
      </c>
      <c r="K2372" s="558">
        <f>'Progetto del paramento slu'!$G$60*(sezione!$AL$36-C2372)/C2372</f>
        <v>-5.5250998265133407E-4</v>
      </c>
      <c r="L2372" s="558">
        <f>'Progetto del paramento slu'!$G$60*(sezione!$AM$36-C2372)/C2372</f>
        <v>7.5530875650574982E-3</v>
      </c>
      <c r="M2372" s="559">
        <f>'Progetto del paramento slu'!$G$60*(sezione!$AN$36-C2372)/C2372</f>
        <v>1.565868511276633E-2</v>
      </c>
      <c r="N2372" s="559">
        <f>'Progetto del paramento slu'!$G$60*(sezione!$AO$36-C2372)/C2372</f>
        <v>2.1553665147463659E-2</v>
      </c>
      <c r="O2372" s="559">
        <f>'Progetto del paramento slu'!$G$60*(sezione!$AP$36-C2372)/C2372</f>
        <v>1.5659347589488962E-2</v>
      </c>
      <c r="P2372" s="553">
        <f>-'Progetto del paramento slu'!$G$47*'Progetto del paramento slu'!$G$41*IF(DATI!$G$218="dx",DATI!$E$61,DATI!$E$64*DATI!$E$63)*1000*C2372*sezione!$AD$5</f>
        <v>-669527.15306399576</v>
      </c>
      <c r="Q2372" s="553">
        <f>'Foglio deposito bis'!$F$88*IF(ABS(K2372)&lt;'Progetto del paramento slu'!$G$58,ABS(K2372)*'Progetto del paramento slu'!$G$54,'Progetto del paramento slu'!$G$53)*IF(K2372&lt;0,-1,1)</f>
        <v>0</v>
      </c>
      <c r="R2372" s="553">
        <f>'Foglio deposito bis'!$F$89*IF(ABS(L2372)&lt;'Progetto del paramento slu'!$G$58,ABS(L2372)*'Progetto del paramento slu'!$G$54,'Progetto del paramento slu'!$G$53)*IF(L2372&lt;0,-1,1)</f>
        <v>153664.85805602249</v>
      </c>
      <c r="S2372" s="553">
        <f>'Foglio deposito bis'!$F$90*IF(ABS(M2372)&lt;'Progetto del paramento slu'!$G$58,ABS(M2372)*'Progetto del paramento slu'!$G$54,'Progetto del paramento slu'!$G$53)*IF(M2372&lt;0,-1,1)</f>
        <v>0</v>
      </c>
      <c r="T2372" s="553">
        <f>'Foglio deposito bis'!$F$91*IF(ABS(N2372)&lt;'Progetto del paramento slu'!$G$58,ABS(N2372)*'Progetto del paramento slu'!$G$54,'Progetto del paramento slu'!$G$53)*IF(N2372&lt;0,-1,1)</f>
        <v>892485.49558937876</v>
      </c>
      <c r="U2372" s="553">
        <f>'Foglio deposito bis'!$F$92*IF(ABS(O2372)&lt;'Progetto del paramento slu'!$G$58,ABS(O2372)*'Progetto del paramento slu'!$G$54,'Progetto del paramento slu'!$G$53)*IF(O2372&lt;0,-1,1)</f>
        <v>1662039.1047339395</v>
      </c>
      <c r="V2372" s="479">
        <f t="shared" si="177"/>
        <v>2038662.3053153451</v>
      </c>
      <c r="W2372" s="559"/>
      <c r="X2372" s="559"/>
    </row>
    <row r="2373" spans="1:24" x14ac:dyDescent="0.25">
      <c r="A2373" s="553">
        <f t="shared" si="176"/>
        <v>2027217.3967159605</v>
      </c>
      <c r="B2373" s="3">
        <f t="shared" si="174"/>
        <v>11.899999999999979</v>
      </c>
      <c r="C2373" s="553">
        <f>'Foglio deposito bis'!$E$162/sezione!$B$247*B2373</f>
        <v>48.309972741230276</v>
      </c>
      <c r="D2373" s="611">
        <f>-'Progetto del paramento slu'!$G$47*'Progetto del paramento slu'!$G$41*IF(DATI!$G$218="dx",DATI!$E$61,DATI!$E$64*DATI!$E$63)*1000*C2373^2*sezione!$AD$5*(1-sezione!$AD$6)</f>
        <v>-19212281.174114421</v>
      </c>
      <c r="E2373" s="553">
        <f>-'Foglio deposito bis'!$F$88*(C2373-sezione!$AL$36)*IF(ABS(K2373)&lt;'Progetto del paramento slu'!$G$58,ABS(K2373)*'Progetto del paramento slu'!$G$54,'Progetto del paramento slu'!$G$53)</f>
        <v>0</v>
      </c>
      <c r="F2373" s="553">
        <f>-'Foglio deposito bis'!$F$89*(C2373-sezione!$AM$36)*IF(ABS(L2373)&lt;'Progetto del paramento slu'!$G$58,ABS(L2373)*'Progetto del paramento slu'!$G$54,'Progetto del paramento slu'!$G$53)</f>
        <v>15626183.604431909</v>
      </c>
      <c r="G2373" s="553">
        <f>-'Foglio deposito bis'!$F$90*(C2373-sezione!$AN$36)*IF(ABS(M2373)&lt;'Progetto del paramento slu'!$G$58,ABS(M2373)*'Progetto del paramento slu'!$G$54,'Progetto del paramento slu'!$G$53)</f>
        <v>0</v>
      </c>
      <c r="H2373" s="553">
        <f>-'Foglio deposito bis'!$F$91*(C2373-sezione!$AO$36)*IF(ABS(N2373)&lt;'Progetto del paramento slu'!$G$58,ABS(N2373)*'Progetto del paramento slu'!$G$54,'Progetto del paramento slu'!$G$53)</f>
        <v>260329118.53652248</v>
      </c>
      <c r="I2373" s="479">
        <f>-'Foglio deposito bis'!$F$92*(C2373-sezione!$AP$36)*IF(ABS(O2373)&lt;'Progetto del paramento slu'!$G$58,ABS(O2373)*'Progetto del paramento slu'!$G$54,'Progetto del paramento slu'!$G$53)</f>
        <v>351852045.75706589</v>
      </c>
      <c r="J2373" s="479">
        <f t="shared" si="175"/>
        <v>608595066.7239058</v>
      </c>
      <c r="K2373" s="558">
        <f>'Progetto del paramento slu'!$G$60*(sezione!$AL$36-C2373)/C2373</f>
        <v>-6.0204763000173197E-4</v>
      </c>
      <c r="L2373" s="558">
        <f>'Progetto del paramento slu'!$G$60*(sezione!$AM$36-C2373)/C2373</f>
        <v>7.3673213874935056E-3</v>
      </c>
      <c r="M2373" s="559">
        <f>'Progetto del paramento slu'!$G$60*(sezione!$AN$36-C2373)/C2373</f>
        <v>1.5336690404988744E-2</v>
      </c>
      <c r="N2373" s="559">
        <f>'Progetto del paramento slu'!$G$60*(sezione!$AO$36-C2373)/C2373</f>
        <v>2.1132595144985278E-2</v>
      </c>
      <c r="O2373" s="559">
        <f>'Progetto del paramento slu'!$G$60*(sezione!$AP$36-C2373)/C2373</f>
        <v>1.533734174764881E-2</v>
      </c>
      <c r="P2373" s="553">
        <f>-'Progetto del paramento slu'!$G$47*'Progetto del paramento slu'!$G$41*IF(DATI!$G$218="dx",DATI!$E$61,DATI!$E$64*DATI!$E$63)*1000*C2373*sezione!$AD$5</f>
        <v>-680972.06166338036</v>
      </c>
      <c r="Q2373" s="553">
        <f>'Foglio deposito bis'!$F$88*IF(ABS(K2373)&lt;'Progetto del paramento slu'!$G$58,ABS(K2373)*'Progetto del paramento slu'!$G$54,'Progetto del paramento slu'!$G$53)*IF(K2373&lt;0,-1,1)</f>
        <v>0</v>
      </c>
      <c r="R2373" s="553">
        <f>'Foglio deposito bis'!$F$89*IF(ABS(L2373)&lt;'Progetto del paramento slu'!$G$58,ABS(L2373)*'Progetto del paramento slu'!$G$54,'Progetto del paramento slu'!$G$53)*IF(L2373&lt;0,-1,1)</f>
        <v>153664.85805602249</v>
      </c>
      <c r="S2373" s="553">
        <f>'Foglio deposito bis'!$F$90*IF(ABS(M2373)&lt;'Progetto del paramento slu'!$G$58,ABS(M2373)*'Progetto del paramento slu'!$G$54,'Progetto del paramento slu'!$G$53)*IF(M2373&lt;0,-1,1)</f>
        <v>0</v>
      </c>
      <c r="T2373" s="553">
        <f>'Foglio deposito bis'!$F$91*IF(ABS(N2373)&lt;'Progetto del paramento slu'!$G$58,ABS(N2373)*'Progetto del paramento slu'!$G$54,'Progetto del paramento slu'!$G$53)*IF(N2373&lt;0,-1,1)</f>
        <v>892485.49558937876</v>
      </c>
      <c r="U2373" s="553">
        <f>'Foglio deposito bis'!$F$92*IF(ABS(O2373)&lt;'Progetto del paramento slu'!$G$58,ABS(O2373)*'Progetto del paramento slu'!$G$54,'Progetto del paramento slu'!$G$53)*IF(O2373&lt;0,-1,1)</f>
        <v>1662039.1047339395</v>
      </c>
      <c r="V2373" s="479">
        <f t="shared" si="177"/>
        <v>2027217.3967159605</v>
      </c>
      <c r="W2373" s="559"/>
      <c r="X2373" s="559"/>
    </row>
    <row r="2374" spans="1:24" x14ac:dyDescent="0.25">
      <c r="A2374" s="553">
        <f t="shared" si="176"/>
        <v>2015772.4881165759</v>
      </c>
      <c r="B2374" s="3">
        <f t="shared" si="174"/>
        <v>12.099999999999978</v>
      </c>
      <c r="C2374" s="553">
        <f>'Foglio deposito bis'!$E$162/sezione!$B$247*B2374</f>
        <v>49.121905056208931</v>
      </c>
      <c r="D2374" s="611">
        <f>-'Progetto del paramento slu'!$G$47*'Progetto del paramento slu'!$G$41*IF(DATI!$G$218="dx",DATI!$E$61,DATI!$E$64*DATI!$E$63)*1000*C2374^2*sezione!$AD$5*(1-sezione!$AD$6)</f>
        <v>-19863498.952772345</v>
      </c>
      <c r="E2374" s="553">
        <f>-'Foglio deposito bis'!$F$88*(C2374-sezione!$AL$36)*IF(ABS(K2374)&lt;'Progetto del paramento slu'!$G$58,ABS(K2374)*'Progetto del paramento slu'!$G$54,'Progetto del paramento slu'!$G$53)</f>
        <v>0</v>
      </c>
      <c r="F2374" s="553">
        <f>-'Foglio deposito bis'!$F$89*(C2374-sezione!$AM$36)*IF(ABS(L2374)&lt;'Progetto del paramento slu'!$G$58,ABS(L2374)*'Progetto del paramento slu'!$G$54,'Progetto del paramento slu'!$G$53)</f>
        <v>15501418.140499614</v>
      </c>
      <c r="G2374" s="553">
        <f>-'Foglio deposito bis'!$F$90*(C2374-sezione!$AN$36)*IF(ABS(M2374)&lt;'Progetto del paramento slu'!$G$58,ABS(M2374)*'Progetto del paramento slu'!$G$54,'Progetto del paramento slu'!$G$53)</f>
        <v>0</v>
      </c>
      <c r="H2374" s="553">
        <f>-'Foglio deposito bis'!$F$91*(C2374-sezione!$AO$36)*IF(ABS(N2374)&lt;'Progetto del paramento slu'!$G$58,ABS(N2374)*'Progetto del paramento slu'!$G$54,'Progetto del paramento slu'!$G$53)</f>
        <v>259604480.72200376</v>
      </c>
      <c r="I2374" s="479">
        <f>-'Foglio deposito bis'!$F$92*(C2374-sezione!$AP$36)*IF(ABS(O2374)&lt;'Progetto del paramento slu'!$G$58,ABS(O2374)*'Progetto del paramento slu'!$G$54,'Progetto del paramento slu'!$G$53)</f>
        <v>350502582.49917424</v>
      </c>
      <c r="J2374" s="479">
        <f t="shared" si="175"/>
        <v>605744982.40890527</v>
      </c>
      <c r="K2374" s="558">
        <f>'Progetto del paramento slu'!$G$60*(sezione!$AL$36-C2374)/C2374</f>
        <v>-6.4994766917525688E-4</v>
      </c>
      <c r="L2374" s="558">
        <f>'Progetto del paramento slu'!$G$60*(sezione!$AM$36-C2374)/C2374</f>
        <v>7.1876962405927874E-3</v>
      </c>
      <c r="M2374" s="559">
        <f>'Progetto del paramento slu'!$G$60*(sezione!$AN$36-C2374)/C2374</f>
        <v>1.5025340150360831E-2</v>
      </c>
      <c r="N2374" s="559">
        <f>'Progetto del paramento slu'!$G$60*(sezione!$AO$36-C2374)/C2374</f>
        <v>2.0725444812010319E-2</v>
      </c>
      <c r="O2374" s="559">
        <f>'Progetto del paramento slu'!$G$60*(sezione!$AP$36-C2374)/C2374</f>
        <v>1.5025980727026518E-2</v>
      </c>
      <c r="P2374" s="553">
        <f>-'Progetto del paramento slu'!$G$47*'Progetto del paramento slu'!$G$41*IF(DATI!$G$218="dx",DATI!$E$61,DATI!$E$64*DATI!$E$63)*1000*C2374*sezione!$AD$5</f>
        <v>-692416.97026276495</v>
      </c>
      <c r="Q2374" s="553">
        <f>'Foglio deposito bis'!$F$88*IF(ABS(K2374)&lt;'Progetto del paramento slu'!$G$58,ABS(K2374)*'Progetto del paramento slu'!$G$54,'Progetto del paramento slu'!$G$53)*IF(K2374&lt;0,-1,1)</f>
        <v>0</v>
      </c>
      <c r="R2374" s="553">
        <f>'Foglio deposito bis'!$F$89*IF(ABS(L2374)&lt;'Progetto del paramento slu'!$G$58,ABS(L2374)*'Progetto del paramento slu'!$G$54,'Progetto del paramento slu'!$G$53)*IF(L2374&lt;0,-1,1)</f>
        <v>153664.85805602249</v>
      </c>
      <c r="S2374" s="553">
        <f>'Foglio deposito bis'!$F$90*IF(ABS(M2374)&lt;'Progetto del paramento slu'!$G$58,ABS(M2374)*'Progetto del paramento slu'!$G$54,'Progetto del paramento slu'!$G$53)*IF(M2374&lt;0,-1,1)</f>
        <v>0</v>
      </c>
      <c r="T2374" s="553">
        <f>'Foglio deposito bis'!$F$91*IF(ABS(N2374)&lt;'Progetto del paramento slu'!$G$58,ABS(N2374)*'Progetto del paramento slu'!$G$54,'Progetto del paramento slu'!$G$53)*IF(N2374&lt;0,-1,1)</f>
        <v>892485.49558937876</v>
      </c>
      <c r="U2374" s="553">
        <f>'Foglio deposito bis'!$F$92*IF(ABS(O2374)&lt;'Progetto del paramento slu'!$G$58,ABS(O2374)*'Progetto del paramento slu'!$G$54,'Progetto del paramento slu'!$G$53)*IF(O2374&lt;0,-1,1)</f>
        <v>1662039.1047339395</v>
      </c>
      <c r="V2374" s="479">
        <f t="shared" si="177"/>
        <v>2015772.4881165759</v>
      </c>
      <c r="W2374" s="559"/>
      <c r="X2374" s="559"/>
    </row>
    <row r="2375" spans="1:24" x14ac:dyDescent="0.25">
      <c r="A2375" s="553">
        <f t="shared" si="176"/>
        <v>2004327.5795171913</v>
      </c>
      <c r="B2375" s="3">
        <f t="shared" si="174"/>
        <v>12.299999999999978</v>
      </c>
      <c r="C2375" s="553">
        <f>'Foglio deposito bis'!$E$162/sezione!$B$247*B2375</f>
        <v>49.933837371187593</v>
      </c>
      <c r="D2375" s="611">
        <f>-'Progetto del paramento slu'!$G$47*'Progetto del paramento slu'!$G$41*IF(DATI!$G$218="dx",DATI!$E$61,DATI!$E$64*DATI!$E$63)*1000*C2375^2*sezione!$AD$5*(1-sezione!$AD$6)</f>
        <v>-20525570.361074574</v>
      </c>
      <c r="E2375" s="553">
        <f>-'Foglio deposito bis'!$F$88*(C2375-sezione!$AL$36)*IF(ABS(K2375)&lt;'Progetto del paramento slu'!$G$58,ABS(K2375)*'Progetto del paramento slu'!$G$54,'Progetto del paramento slu'!$G$53)</f>
        <v>0</v>
      </c>
      <c r="F2375" s="553">
        <f>-'Foglio deposito bis'!$F$89*(C2375-sezione!$AM$36)*IF(ABS(L2375)&lt;'Progetto del paramento slu'!$G$58,ABS(L2375)*'Progetto del paramento slu'!$G$54,'Progetto del paramento slu'!$G$53)</f>
        <v>15376652.67656732</v>
      </c>
      <c r="G2375" s="553">
        <f>-'Foglio deposito bis'!$F$90*(C2375-sezione!$AN$36)*IF(ABS(M2375)&lt;'Progetto del paramento slu'!$G$58,ABS(M2375)*'Progetto del paramento slu'!$G$54,'Progetto del paramento slu'!$G$53)</f>
        <v>0</v>
      </c>
      <c r="H2375" s="553">
        <f>-'Foglio deposito bis'!$F$91*(C2375-sezione!$AO$36)*IF(ABS(N2375)&lt;'Progetto del paramento slu'!$G$58,ABS(N2375)*'Progetto del paramento slu'!$G$54,'Progetto del paramento slu'!$G$53)</f>
        <v>258879842.90748501</v>
      </c>
      <c r="I2375" s="479">
        <f>-'Foglio deposito bis'!$F$92*(C2375-sezione!$AP$36)*IF(ABS(O2375)&lt;'Progetto del paramento slu'!$G$58,ABS(O2375)*'Progetto del paramento slu'!$G$54,'Progetto del paramento slu'!$G$53)</f>
        <v>349153119.24128252</v>
      </c>
      <c r="J2375" s="479">
        <f t="shared" si="175"/>
        <v>602884044.46426034</v>
      </c>
      <c r="K2375" s="558">
        <f>'Progetto del paramento slu'!$G$60*(sezione!$AL$36-C2375)/C2375</f>
        <v>-6.962899834976105E-4</v>
      </c>
      <c r="L2375" s="558">
        <f>'Progetto del paramento slu'!$G$60*(sezione!$AM$36-C2375)/C2375</f>
        <v>7.0139125618839601E-3</v>
      </c>
      <c r="M2375" s="559">
        <f>'Progetto del paramento slu'!$G$60*(sezione!$AN$36-C2375)/C2375</f>
        <v>1.4724115107265531E-2</v>
      </c>
      <c r="N2375" s="559">
        <f>'Progetto del paramento slu'!$G$60*(sezione!$AO$36-C2375)/C2375</f>
        <v>2.0331535140270314E-2</v>
      </c>
      <c r="O2375" s="559">
        <f>'Progetto del paramento slu'!$G$60*(sezione!$AP$36-C2375)/C2375</f>
        <v>1.4724745268050477E-2</v>
      </c>
      <c r="P2375" s="553">
        <f>-'Progetto del paramento slu'!$G$47*'Progetto del paramento slu'!$G$41*IF(DATI!$G$218="dx",DATI!$E$61,DATI!$E$64*DATI!$E$63)*1000*C2375*sezione!$AD$5</f>
        <v>-703861.87886214955</v>
      </c>
      <c r="Q2375" s="553">
        <f>'Foglio deposito bis'!$F$88*IF(ABS(K2375)&lt;'Progetto del paramento slu'!$G$58,ABS(K2375)*'Progetto del paramento slu'!$G$54,'Progetto del paramento slu'!$G$53)*IF(K2375&lt;0,-1,1)</f>
        <v>0</v>
      </c>
      <c r="R2375" s="553">
        <f>'Foglio deposito bis'!$F$89*IF(ABS(L2375)&lt;'Progetto del paramento slu'!$G$58,ABS(L2375)*'Progetto del paramento slu'!$G$54,'Progetto del paramento slu'!$G$53)*IF(L2375&lt;0,-1,1)</f>
        <v>153664.85805602249</v>
      </c>
      <c r="S2375" s="553">
        <f>'Foglio deposito bis'!$F$90*IF(ABS(M2375)&lt;'Progetto del paramento slu'!$G$58,ABS(M2375)*'Progetto del paramento slu'!$G$54,'Progetto del paramento slu'!$G$53)*IF(M2375&lt;0,-1,1)</f>
        <v>0</v>
      </c>
      <c r="T2375" s="553">
        <f>'Foglio deposito bis'!$F$91*IF(ABS(N2375)&lt;'Progetto del paramento slu'!$G$58,ABS(N2375)*'Progetto del paramento slu'!$G$54,'Progetto del paramento slu'!$G$53)*IF(N2375&lt;0,-1,1)</f>
        <v>892485.49558937876</v>
      </c>
      <c r="U2375" s="553">
        <f>'Foglio deposito bis'!$F$92*IF(ABS(O2375)&lt;'Progetto del paramento slu'!$G$58,ABS(O2375)*'Progetto del paramento slu'!$G$54,'Progetto del paramento slu'!$G$53)*IF(O2375&lt;0,-1,1)</f>
        <v>1662039.1047339395</v>
      </c>
      <c r="V2375" s="479">
        <f t="shared" si="177"/>
        <v>2004327.5795171913</v>
      </c>
      <c r="W2375" s="559"/>
      <c r="X2375" s="559"/>
    </row>
    <row r="2376" spans="1:24" x14ac:dyDescent="0.25">
      <c r="A2376" s="553">
        <f t="shared" si="176"/>
        <v>1992882.6709178069</v>
      </c>
      <c r="B2376" s="3">
        <f t="shared" si="174"/>
        <v>12.499999999999977</v>
      </c>
      <c r="C2376" s="553">
        <f>'Foglio deposito bis'!$E$162/sezione!$B$247*B2376</f>
        <v>50.745769686166248</v>
      </c>
      <c r="D2376" s="611">
        <f>-'Progetto del paramento slu'!$G$47*'Progetto del paramento slu'!$G$41*IF(DATI!$G$218="dx",DATI!$E$61,DATI!$E$64*DATI!$E$63)*1000*C2376^2*sezione!$AD$5*(1-sezione!$AD$6)</f>
        <v>-21198495.399021093</v>
      </c>
      <c r="E2376" s="553">
        <f>-'Foglio deposito bis'!$F$88*(C2376-sezione!$AL$36)*IF(ABS(K2376)&lt;'Progetto del paramento slu'!$G$58,ABS(K2376)*'Progetto del paramento slu'!$G$54,'Progetto del paramento slu'!$G$53)</f>
        <v>0</v>
      </c>
      <c r="F2376" s="553">
        <f>-'Foglio deposito bis'!$F$89*(C2376-sezione!$AM$36)*IF(ABS(L2376)&lt;'Progetto del paramento slu'!$G$58,ABS(L2376)*'Progetto del paramento slu'!$G$54,'Progetto del paramento slu'!$G$53)</f>
        <v>15251887.212635029</v>
      </c>
      <c r="G2376" s="553">
        <f>-'Foglio deposito bis'!$F$90*(C2376-sezione!$AN$36)*IF(ABS(M2376)&lt;'Progetto del paramento slu'!$G$58,ABS(M2376)*'Progetto del paramento slu'!$G$54,'Progetto del paramento slu'!$G$53)</f>
        <v>0</v>
      </c>
      <c r="H2376" s="553">
        <f>-'Foglio deposito bis'!$F$91*(C2376-sezione!$AO$36)*IF(ABS(N2376)&lt;'Progetto del paramento slu'!$G$58,ABS(N2376)*'Progetto del paramento slu'!$G$54,'Progetto del paramento slu'!$G$53)</f>
        <v>258155205.09296623</v>
      </c>
      <c r="I2376" s="479">
        <f>-'Foglio deposito bis'!$F$92*(C2376-sezione!$AP$36)*IF(ABS(O2376)&lt;'Progetto del paramento slu'!$G$58,ABS(O2376)*'Progetto del paramento slu'!$G$54,'Progetto del paramento slu'!$G$53)</f>
        <v>347803655.98339087</v>
      </c>
      <c r="J2376" s="479">
        <f t="shared" si="175"/>
        <v>600012252.88997102</v>
      </c>
      <c r="K2376" s="558">
        <f>'Progetto del paramento slu'!$G$60*(sezione!$AL$36-C2376)/C2376</f>
        <v>-7.4114934376164857E-4</v>
      </c>
      <c r="L2376" s="558">
        <f>'Progetto del paramento slu'!$G$60*(sezione!$AM$36-C2376)/C2376</f>
        <v>6.8456899608938179E-3</v>
      </c>
      <c r="M2376" s="559">
        <f>'Progetto del paramento slu'!$G$60*(sezione!$AN$36-C2376)/C2376</f>
        <v>1.4432529265549283E-2</v>
      </c>
      <c r="N2376" s="559">
        <f>'Progetto del paramento slu'!$G$60*(sezione!$AO$36-C2376)/C2376</f>
        <v>1.9950230578025991E-2</v>
      </c>
      <c r="O2376" s="559">
        <f>'Progetto del paramento slu'!$G$60*(sezione!$AP$36-C2376)/C2376</f>
        <v>1.4433149343761669E-2</v>
      </c>
      <c r="P2376" s="553">
        <f>-'Progetto del paramento slu'!$G$47*'Progetto del paramento slu'!$G$41*IF(DATI!$G$218="dx",DATI!$E$61,DATI!$E$64*DATI!$E$63)*1000*C2376*sezione!$AD$5</f>
        <v>-715306.78746153391</v>
      </c>
      <c r="Q2376" s="553">
        <f>'Foglio deposito bis'!$F$88*IF(ABS(K2376)&lt;'Progetto del paramento slu'!$G$58,ABS(K2376)*'Progetto del paramento slu'!$G$54,'Progetto del paramento slu'!$G$53)*IF(K2376&lt;0,-1,1)</f>
        <v>0</v>
      </c>
      <c r="R2376" s="553">
        <f>'Foglio deposito bis'!$F$89*IF(ABS(L2376)&lt;'Progetto del paramento slu'!$G$58,ABS(L2376)*'Progetto del paramento slu'!$G$54,'Progetto del paramento slu'!$G$53)*IF(L2376&lt;0,-1,1)</f>
        <v>153664.85805602249</v>
      </c>
      <c r="S2376" s="553">
        <f>'Foglio deposito bis'!$F$90*IF(ABS(M2376)&lt;'Progetto del paramento slu'!$G$58,ABS(M2376)*'Progetto del paramento slu'!$G$54,'Progetto del paramento slu'!$G$53)*IF(M2376&lt;0,-1,1)</f>
        <v>0</v>
      </c>
      <c r="T2376" s="553">
        <f>'Foglio deposito bis'!$F$91*IF(ABS(N2376)&lt;'Progetto del paramento slu'!$G$58,ABS(N2376)*'Progetto del paramento slu'!$G$54,'Progetto del paramento slu'!$G$53)*IF(N2376&lt;0,-1,1)</f>
        <v>892485.49558937876</v>
      </c>
      <c r="U2376" s="553">
        <f>'Foglio deposito bis'!$F$92*IF(ABS(O2376)&lt;'Progetto del paramento slu'!$G$58,ABS(O2376)*'Progetto del paramento slu'!$G$54,'Progetto del paramento slu'!$G$53)*IF(O2376&lt;0,-1,1)</f>
        <v>1662039.1047339395</v>
      </c>
      <c r="V2376" s="479">
        <f t="shared" si="177"/>
        <v>1992882.6709178069</v>
      </c>
      <c r="W2376" s="559"/>
      <c r="X2376" s="559"/>
    </row>
    <row r="2377" spans="1:24" x14ac:dyDescent="0.25">
      <c r="A2377" s="553">
        <f t="shared" si="176"/>
        <v>1981437.7623184223</v>
      </c>
      <c r="B2377" s="3">
        <f t="shared" si="174"/>
        <v>12.699999999999976</v>
      </c>
      <c r="C2377" s="553">
        <f>'Foglio deposito bis'!$E$162/sezione!$B$247*B2377</f>
        <v>51.557702001144904</v>
      </c>
      <c r="D2377" s="611">
        <f>-'Progetto del paramento slu'!$G$47*'Progetto del paramento slu'!$G$41*IF(DATI!$G$218="dx",DATI!$E$61,DATI!$E$64*DATI!$E$63)*1000*C2377^2*sezione!$AD$5*(1-sezione!$AD$6)</f>
        <v>-21882274.066611916</v>
      </c>
      <c r="E2377" s="553">
        <f>-'Foglio deposito bis'!$F$88*(C2377-sezione!$AL$36)*IF(ABS(K2377)&lt;'Progetto del paramento slu'!$G$58,ABS(K2377)*'Progetto del paramento slu'!$G$54,'Progetto del paramento slu'!$G$53)</f>
        <v>0</v>
      </c>
      <c r="F2377" s="553">
        <f>-'Foglio deposito bis'!$F$89*(C2377-sezione!$AM$36)*IF(ABS(L2377)&lt;'Progetto del paramento slu'!$G$58,ABS(L2377)*'Progetto del paramento slu'!$G$54,'Progetto del paramento slu'!$G$53)</f>
        <v>15127121.748702737</v>
      </c>
      <c r="G2377" s="553">
        <f>-'Foglio deposito bis'!$F$90*(C2377-sezione!$AN$36)*IF(ABS(M2377)&lt;'Progetto del paramento slu'!$G$58,ABS(M2377)*'Progetto del paramento slu'!$G$54,'Progetto del paramento slu'!$G$53)</f>
        <v>0</v>
      </c>
      <c r="H2377" s="553">
        <f>-'Foglio deposito bis'!$F$91*(C2377-sezione!$AO$36)*IF(ABS(N2377)&lt;'Progetto del paramento slu'!$G$58,ABS(N2377)*'Progetto del paramento slu'!$G$54,'Progetto del paramento slu'!$G$53)</f>
        <v>257430567.27844748</v>
      </c>
      <c r="I2377" s="479">
        <f>-'Foglio deposito bis'!$F$92*(C2377-sezione!$AP$36)*IF(ABS(O2377)&lt;'Progetto del paramento slu'!$G$58,ABS(O2377)*'Progetto del paramento slu'!$G$54,'Progetto del paramento slu'!$G$53)</f>
        <v>346454192.72549921</v>
      </c>
      <c r="J2377" s="479">
        <f t="shared" si="175"/>
        <v>597129607.68603754</v>
      </c>
      <c r="K2377" s="558">
        <f>'Progetto del paramento slu'!$G$60*(sezione!$AL$36-C2377)/C2377</f>
        <v>-7.8459581078902394E-4</v>
      </c>
      <c r="L2377" s="558">
        <f>'Progetto del paramento slu'!$G$60*(sezione!$AM$36-C2377)/C2377</f>
        <v>6.6827657095411604E-3</v>
      </c>
      <c r="M2377" s="559">
        <f>'Progetto del paramento slu'!$G$60*(sezione!$AN$36-C2377)/C2377</f>
        <v>1.4150127229871346E-2</v>
      </c>
      <c r="N2377" s="559">
        <f>'Progetto del paramento slu'!$G$60*(sezione!$AO$36-C2377)/C2377</f>
        <v>1.9580935608293298E-2</v>
      </c>
      <c r="O2377" s="559">
        <f>'Progetto del paramento slu'!$G$60*(sezione!$AP$36-C2377)/C2377</f>
        <v>1.4150737543072512E-2</v>
      </c>
      <c r="P2377" s="553">
        <f>-'Progetto del paramento slu'!$G$47*'Progetto del paramento slu'!$G$41*IF(DATI!$G$218="dx",DATI!$E$61,DATI!$E$64*DATI!$E$63)*1000*C2377*sezione!$AD$5</f>
        <v>-726751.69606091839</v>
      </c>
      <c r="Q2377" s="553">
        <f>'Foglio deposito bis'!$F$88*IF(ABS(K2377)&lt;'Progetto del paramento slu'!$G$58,ABS(K2377)*'Progetto del paramento slu'!$G$54,'Progetto del paramento slu'!$G$53)*IF(K2377&lt;0,-1,1)</f>
        <v>0</v>
      </c>
      <c r="R2377" s="553">
        <f>'Foglio deposito bis'!$F$89*IF(ABS(L2377)&lt;'Progetto del paramento slu'!$G$58,ABS(L2377)*'Progetto del paramento slu'!$G$54,'Progetto del paramento slu'!$G$53)*IF(L2377&lt;0,-1,1)</f>
        <v>153664.85805602249</v>
      </c>
      <c r="S2377" s="553">
        <f>'Foglio deposito bis'!$F$90*IF(ABS(M2377)&lt;'Progetto del paramento slu'!$G$58,ABS(M2377)*'Progetto del paramento slu'!$G$54,'Progetto del paramento slu'!$G$53)*IF(M2377&lt;0,-1,1)</f>
        <v>0</v>
      </c>
      <c r="T2377" s="553">
        <f>'Foglio deposito bis'!$F$91*IF(ABS(N2377)&lt;'Progetto del paramento slu'!$G$58,ABS(N2377)*'Progetto del paramento slu'!$G$54,'Progetto del paramento slu'!$G$53)*IF(N2377&lt;0,-1,1)</f>
        <v>892485.49558937876</v>
      </c>
      <c r="U2377" s="553">
        <f>'Foglio deposito bis'!$F$92*IF(ABS(O2377)&lt;'Progetto del paramento slu'!$G$58,ABS(O2377)*'Progetto del paramento slu'!$G$54,'Progetto del paramento slu'!$G$53)*IF(O2377&lt;0,-1,1)</f>
        <v>1662039.1047339395</v>
      </c>
      <c r="V2377" s="479">
        <f t="shared" si="177"/>
        <v>1981437.7623184223</v>
      </c>
      <c r="W2377" s="559"/>
      <c r="X2377" s="559"/>
    </row>
    <row r="2378" spans="1:24" x14ac:dyDescent="0.25">
      <c r="A2378" s="553">
        <f t="shared" si="176"/>
        <v>1969992.8537190377</v>
      </c>
      <c r="B2378" s="3">
        <f t="shared" si="174"/>
        <v>12.899999999999975</v>
      </c>
      <c r="C2378" s="553">
        <f>'Foglio deposito bis'!$E$162/sezione!$B$247*B2378</f>
        <v>52.369634316123566</v>
      </c>
      <c r="D2378" s="611">
        <f>-'Progetto del paramento slu'!$G$47*'Progetto del paramento slu'!$G$41*IF(DATI!$G$218="dx",DATI!$E$61,DATI!$E$64*DATI!$E$63)*1000*C2378^2*sezione!$AD$5*(1-sezione!$AD$6)</f>
        <v>-22576906.36384704</v>
      </c>
      <c r="E2378" s="553">
        <f>-'Foglio deposito bis'!$F$88*(C2378-sezione!$AL$36)*IF(ABS(K2378)&lt;'Progetto del paramento slu'!$G$58,ABS(K2378)*'Progetto del paramento slu'!$G$54,'Progetto del paramento slu'!$G$53)</f>
        <v>0</v>
      </c>
      <c r="F2378" s="553">
        <f>-'Foglio deposito bis'!$F$89*(C2378-sezione!$AM$36)*IF(ABS(L2378)&lt;'Progetto del paramento slu'!$G$58,ABS(L2378)*'Progetto del paramento slu'!$G$54,'Progetto del paramento slu'!$G$53)</f>
        <v>15002356.284770442</v>
      </c>
      <c r="G2378" s="553">
        <f>-'Foglio deposito bis'!$F$90*(C2378-sezione!$AN$36)*IF(ABS(M2378)&lt;'Progetto del paramento slu'!$G$58,ABS(M2378)*'Progetto del paramento slu'!$G$54,'Progetto del paramento slu'!$G$53)</f>
        <v>0</v>
      </c>
      <c r="H2378" s="553">
        <f>-'Foglio deposito bis'!$F$91*(C2378-sezione!$AO$36)*IF(ABS(N2378)&lt;'Progetto del paramento slu'!$G$58,ABS(N2378)*'Progetto del paramento slu'!$G$54,'Progetto del paramento slu'!$G$53)</f>
        <v>256705929.46392873</v>
      </c>
      <c r="I2378" s="479">
        <f>-'Foglio deposito bis'!$F$92*(C2378-sezione!$AP$36)*IF(ABS(O2378)&lt;'Progetto del paramento slu'!$G$58,ABS(O2378)*'Progetto del paramento slu'!$G$54,'Progetto del paramento slu'!$G$53)</f>
        <v>345104729.4676075</v>
      </c>
      <c r="J2378" s="479">
        <f t="shared" si="175"/>
        <v>594236108.85245967</v>
      </c>
      <c r="K2378" s="558">
        <f>'Progetto del paramento slu'!$G$60*(sezione!$AL$36-C2378)/C2378</f>
        <v>-8.2669510054423289E-4</v>
      </c>
      <c r="L2378" s="558">
        <f>'Progetto del paramento slu'!$G$60*(sezione!$AM$36-C2378)/C2378</f>
        <v>6.5248933729591266E-3</v>
      </c>
      <c r="M2378" s="559">
        <f>'Progetto del paramento slu'!$G$60*(sezione!$AN$36-C2378)/C2378</f>
        <v>1.3876481846462488E-2</v>
      </c>
      <c r="N2378" s="559">
        <f>'Progetto del paramento slu'!$G$60*(sezione!$AO$36-C2378)/C2378</f>
        <v>1.9223091645374019E-2</v>
      </c>
      <c r="O2378" s="559">
        <f>'Progetto del paramento slu'!$G$60*(sezione!$AP$36-C2378)/C2378</f>
        <v>1.387708269744348E-2</v>
      </c>
      <c r="P2378" s="553">
        <f>-'Progetto del paramento slu'!$G$47*'Progetto del paramento slu'!$G$41*IF(DATI!$G$218="dx",DATI!$E$61,DATI!$E$64*DATI!$E$63)*1000*C2378*sezione!$AD$5</f>
        <v>-738196.60466030298</v>
      </c>
      <c r="Q2378" s="553">
        <f>'Foglio deposito bis'!$F$88*IF(ABS(K2378)&lt;'Progetto del paramento slu'!$G$58,ABS(K2378)*'Progetto del paramento slu'!$G$54,'Progetto del paramento slu'!$G$53)*IF(K2378&lt;0,-1,1)</f>
        <v>0</v>
      </c>
      <c r="R2378" s="553">
        <f>'Foglio deposito bis'!$F$89*IF(ABS(L2378)&lt;'Progetto del paramento slu'!$G$58,ABS(L2378)*'Progetto del paramento slu'!$G$54,'Progetto del paramento slu'!$G$53)*IF(L2378&lt;0,-1,1)</f>
        <v>153664.85805602249</v>
      </c>
      <c r="S2378" s="553">
        <f>'Foglio deposito bis'!$F$90*IF(ABS(M2378)&lt;'Progetto del paramento slu'!$G$58,ABS(M2378)*'Progetto del paramento slu'!$G$54,'Progetto del paramento slu'!$G$53)*IF(M2378&lt;0,-1,1)</f>
        <v>0</v>
      </c>
      <c r="T2378" s="553">
        <f>'Foglio deposito bis'!$F$91*IF(ABS(N2378)&lt;'Progetto del paramento slu'!$G$58,ABS(N2378)*'Progetto del paramento slu'!$G$54,'Progetto del paramento slu'!$G$53)*IF(N2378&lt;0,-1,1)</f>
        <v>892485.49558937876</v>
      </c>
      <c r="U2378" s="553">
        <f>'Foglio deposito bis'!$F$92*IF(ABS(O2378)&lt;'Progetto del paramento slu'!$G$58,ABS(O2378)*'Progetto del paramento slu'!$G$54,'Progetto del paramento slu'!$G$53)*IF(O2378&lt;0,-1,1)</f>
        <v>1662039.1047339395</v>
      </c>
      <c r="V2378" s="479">
        <f t="shared" si="177"/>
        <v>1969992.8537190377</v>
      </c>
      <c r="W2378" s="559"/>
      <c r="X2378" s="559"/>
    </row>
    <row r="2379" spans="1:24" x14ac:dyDescent="0.25">
      <c r="A2379" s="553">
        <f t="shared" si="176"/>
        <v>1958547.9451196534</v>
      </c>
      <c r="B2379" s="3">
        <f t="shared" si="174"/>
        <v>13.099999999999975</v>
      </c>
      <c r="C2379" s="553">
        <f>'Foglio deposito bis'!$E$162/sezione!$B$247*B2379</f>
        <v>53.181566631102221</v>
      </c>
      <c r="D2379" s="611">
        <f>-'Progetto del paramento slu'!$G$47*'Progetto del paramento slu'!$G$41*IF(DATI!$G$218="dx",DATI!$E$61,DATI!$E$64*DATI!$E$63)*1000*C2379^2*sezione!$AD$5*(1-sezione!$AD$6)</f>
        <v>-23282392.290726461</v>
      </c>
      <c r="E2379" s="553">
        <f>-'Foglio deposito bis'!$F$88*(C2379-sezione!$AL$36)*IF(ABS(K2379)&lt;'Progetto del paramento slu'!$G$58,ABS(K2379)*'Progetto del paramento slu'!$G$54,'Progetto del paramento slu'!$G$53)</f>
        <v>0</v>
      </c>
      <c r="F2379" s="553">
        <f>-'Foglio deposito bis'!$F$89*(C2379-sezione!$AM$36)*IF(ABS(L2379)&lt;'Progetto del paramento slu'!$G$58,ABS(L2379)*'Progetto del paramento slu'!$G$54,'Progetto del paramento slu'!$G$53)</f>
        <v>14877590.82083815</v>
      </c>
      <c r="G2379" s="553">
        <f>-'Foglio deposito bis'!$F$90*(C2379-sezione!$AN$36)*IF(ABS(M2379)&lt;'Progetto del paramento slu'!$G$58,ABS(M2379)*'Progetto del paramento slu'!$G$54,'Progetto del paramento slu'!$G$53)</f>
        <v>0</v>
      </c>
      <c r="H2379" s="553">
        <f>-'Foglio deposito bis'!$F$91*(C2379-sezione!$AO$36)*IF(ABS(N2379)&lt;'Progetto del paramento slu'!$G$58,ABS(N2379)*'Progetto del paramento slu'!$G$54,'Progetto del paramento slu'!$G$53)</f>
        <v>255981291.64940998</v>
      </c>
      <c r="I2379" s="479">
        <f>-'Foglio deposito bis'!$F$92*(C2379-sezione!$AP$36)*IF(ABS(O2379)&lt;'Progetto del paramento slu'!$G$58,ABS(O2379)*'Progetto del paramento slu'!$G$54,'Progetto del paramento slu'!$G$53)</f>
        <v>343755266.20971578</v>
      </c>
      <c r="J2379" s="479">
        <f t="shared" si="175"/>
        <v>591331756.3892374</v>
      </c>
      <c r="K2379" s="558">
        <f>'Progetto del paramento slu'!$G$60*(sezione!$AL$36-C2379)/C2379</f>
        <v>-8.6750891580309939E-4</v>
      </c>
      <c r="L2379" s="558">
        <f>'Progetto del paramento slu'!$G$60*(sezione!$AM$36-C2379)/C2379</f>
        <v>6.3718415657383785E-3</v>
      </c>
      <c r="M2379" s="559">
        <f>'Progetto del paramento slu'!$G$60*(sezione!$AN$36-C2379)/C2379</f>
        <v>1.3611192047279855E-2</v>
      </c>
      <c r="N2379" s="559">
        <f>'Progetto del paramento slu'!$G$60*(sezione!$AO$36-C2379)/C2379</f>
        <v>1.8876174215673655E-2</v>
      </c>
      <c r="O2379" s="559">
        <f>'Progetto del paramento slu'!$G$60*(sezione!$AP$36-C2379)/C2379</f>
        <v>1.361178372496343E-2</v>
      </c>
      <c r="P2379" s="553">
        <f>-'Progetto del paramento slu'!$G$47*'Progetto del paramento slu'!$G$41*IF(DATI!$G$218="dx",DATI!$E$61,DATI!$E$64*DATI!$E$63)*1000*C2379*sezione!$AD$5</f>
        <v>-749641.51325968746</v>
      </c>
      <c r="Q2379" s="553">
        <f>'Foglio deposito bis'!$F$88*IF(ABS(K2379)&lt;'Progetto del paramento slu'!$G$58,ABS(K2379)*'Progetto del paramento slu'!$G$54,'Progetto del paramento slu'!$G$53)*IF(K2379&lt;0,-1,1)</f>
        <v>0</v>
      </c>
      <c r="R2379" s="553">
        <f>'Foglio deposito bis'!$F$89*IF(ABS(L2379)&lt;'Progetto del paramento slu'!$G$58,ABS(L2379)*'Progetto del paramento slu'!$G$54,'Progetto del paramento slu'!$G$53)*IF(L2379&lt;0,-1,1)</f>
        <v>153664.85805602249</v>
      </c>
      <c r="S2379" s="553">
        <f>'Foglio deposito bis'!$F$90*IF(ABS(M2379)&lt;'Progetto del paramento slu'!$G$58,ABS(M2379)*'Progetto del paramento slu'!$G$54,'Progetto del paramento slu'!$G$53)*IF(M2379&lt;0,-1,1)</f>
        <v>0</v>
      </c>
      <c r="T2379" s="553">
        <f>'Foglio deposito bis'!$F$91*IF(ABS(N2379)&lt;'Progetto del paramento slu'!$G$58,ABS(N2379)*'Progetto del paramento slu'!$G$54,'Progetto del paramento slu'!$G$53)*IF(N2379&lt;0,-1,1)</f>
        <v>892485.49558937876</v>
      </c>
      <c r="U2379" s="553">
        <f>'Foglio deposito bis'!$F$92*IF(ABS(O2379)&lt;'Progetto del paramento slu'!$G$58,ABS(O2379)*'Progetto del paramento slu'!$G$54,'Progetto del paramento slu'!$G$53)*IF(O2379&lt;0,-1,1)</f>
        <v>1662039.1047339395</v>
      </c>
      <c r="V2379" s="479">
        <f t="shared" si="177"/>
        <v>1958547.9451196534</v>
      </c>
      <c r="W2379" s="559"/>
      <c r="X2379" s="559"/>
    </row>
    <row r="2380" spans="1:24" x14ac:dyDescent="0.25">
      <c r="A2380" s="553">
        <f t="shared" si="176"/>
        <v>1947103.0365202688</v>
      </c>
      <c r="B2380" s="3">
        <f t="shared" si="174"/>
        <v>13.299999999999974</v>
      </c>
      <c r="C2380" s="553">
        <f>'Foglio deposito bis'!$E$162/sezione!$B$247*B2380</f>
        <v>53.993498946080884</v>
      </c>
      <c r="D2380" s="611">
        <f>-'Progetto del paramento slu'!$G$47*'Progetto del paramento slu'!$G$41*IF(DATI!$G$218="dx",DATI!$E$61,DATI!$E$64*DATI!$E$63)*1000*C2380^2*sezione!$AD$5*(1-sezione!$AD$6)</f>
        <v>-23998731.847250182</v>
      </c>
      <c r="E2380" s="553">
        <f>-'Foglio deposito bis'!$F$88*(C2380-sezione!$AL$36)*IF(ABS(K2380)&lt;'Progetto del paramento slu'!$G$58,ABS(K2380)*'Progetto del paramento slu'!$G$54,'Progetto del paramento slu'!$G$53)</f>
        <v>0</v>
      </c>
      <c r="F2380" s="553">
        <f>-'Foglio deposito bis'!$F$89*(C2380-sezione!$AM$36)*IF(ABS(L2380)&lt;'Progetto del paramento slu'!$G$58,ABS(L2380)*'Progetto del paramento slu'!$G$54,'Progetto del paramento slu'!$G$53)</f>
        <v>14752825.356905855</v>
      </c>
      <c r="G2380" s="553">
        <f>-'Foglio deposito bis'!$F$90*(C2380-sezione!$AN$36)*IF(ABS(M2380)&lt;'Progetto del paramento slu'!$G$58,ABS(M2380)*'Progetto del paramento slu'!$G$54,'Progetto del paramento slu'!$G$53)</f>
        <v>0</v>
      </c>
      <c r="H2380" s="553">
        <f>-'Foglio deposito bis'!$F$91*(C2380-sezione!$AO$36)*IF(ABS(N2380)&lt;'Progetto del paramento slu'!$G$58,ABS(N2380)*'Progetto del paramento slu'!$G$54,'Progetto del paramento slu'!$G$53)</f>
        <v>255256653.8348912</v>
      </c>
      <c r="I2380" s="479">
        <f>-'Foglio deposito bis'!$F$92*(C2380-sezione!$AP$36)*IF(ABS(O2380)&lt;'Progetto del paramento slu'!$G$58,ABS(O2380)*'Progetto del paramento slu'!$G$54,'Progetto del paramento slu'!$G$53)</f>
        <v>342405802.95182413</v>
      </c>
      <c r="J2380" s="479">
        <f t="shared" si="175"/>
        <v>588416550.29637098</v>
      </c>
      <c r="K2380" s="558">
        <f>'Progetto del paramento slu'!$G$60*(sezione!$AL$36-C2380)/C2380</f>
        <v>-9.0709524789628587E-4</v>
      </c>
      <c r="L2380" s="558">
        <f>'Progetto del paramento slu'!$G$60*(sezione!$AM$36-C2380)/C2380</f>
        <v>6.2233928203889281E-3</v>
      </c>
      <c r="M2380" s="559">
        <f>'Progetto del paramento slu'!$G$60*(sezione!$AN$36-C2380)/C2380</f>
        <v>1.3353880888674141E-2</v>
      </c>
      <c r="N2380" s="559">
        <f>'Progetto del paramento slu'!$G$60*(sezione!$AO$36-C2380)/C2380</f>
        <v>1.8539690392881569E-2</v>
      </c>
      <c r="O2380" s="559">
        <f>'Progetto del paramento slu'!$G$60*(sezione!$AP$36-C2380)/C2380</f>
        <v>1.335446366894894E-2</v>
      </c>
      <c r="P2380" s="553">
        <f>-'Progetto del paramento slu'!$G$47*'Progetto del paramento slu'!$G$41*IF(DATI!$G$218="dx",DATI!$E$61,DATI!$E$64*DATI!$E$63)*1000*C2380*sezione!$AD$5</f>
        <v>-761086.42185907206</v>
      </c>
      <c r="Q2380" s="553">
        <f>'Foglio deposito bis'!$F$88*IF(ABS(K2380)&lt;'Progetto del paramento slu'!$G$58,ABS(K2380)*'Progetto del paramento slu'!$G$54,'Progetto del paramento slu'!$G$53)*IF(K2380&lt;0,-1,1)</f>
        <v>0</v>
      </c>
      <c r="R2380" s="553">
        <f>'Foglio deposito bis'!$F$89*IF(ABS(L2380)&lt;'Progetto del paramento slu'!$G$58,ABS(L2380)*'Progetto del paramento slu'!$G$54,'Progetto del paramento slu'!$G$53)*IF(L2380&lt;0,-1,1)</f>
        <v>153664.85805602249</v>
      </c>
      <c r="S2380" s="553">
        <f>'Foglio deposito bis'!$F$90*IF(ABS(M2380)&lt;'Progetto del paramento slu'!$G$58,ABS(M2380)*'Progetto del paramento slu'!$G$54,'Progetto del paramento slu'!$G$53)*IF(M2380&lt;0,-1,1)</f>
        <v>0</v>
      </c>
      <c r="T2380" s="553">
        <f>'Foglio deposito bis'!$F$91*IF(ABS(N2380)&lt;'Progetto del paramento slu'!$G$58,ABS(N2380)*'Progetto del paramento slu'!$G$54,'Progetto del paramento slu'!$G$53)*IF(N2380&lt;0,-1,1)</f>
        <v>892485.49558937876</v>
      </c>
      <c r="U2380" s="553">
        <f>'Foglio deposito bis'!$F$92*IF(ABS(O2380)&lt;'Progetto del paramento slu'!$G$58,ABS(O2380)*'Progetto del paramento slu'!$G$54,'Progetto del paramento slu'!$G$53)*IF(O2380&lt;0,-1,1)</f>
        <v>1662039.1047339395</v>
      </c>
      <c r="V2380" s="479">
        <f t="shared" si="177"/>
        <v>1947103.0365202688</v>
      </c>
      <c r="W2380" s="559"/>
      <c r="X2380" s="559"/>
    </row>
    <row r="2381" spans="1:24" x14ac:dyDescent="0.25">
      <c r="A2381" s="553">
        <f t="shared" si="176"/>
        <v>1935658.1279208842</v>
      </c>
      <c r="B2381" s="3">
        <f t="shared" si="174"/>
        <v>13.499999999999973</v>
      </c>
      <c r="C2381" s="553">
        <f>'Foglio deposito bis'!$E$162/sezione!$B$247*B2381</f>
        <v>54.805431261059539</v>
      </c>
      <c r="D2381" s="611">
        <f>-'Progetto del paramento slu'!$G$47*'Progetto del paramento slu'!$G$41*IF(DATI!$G$218="dx",DATI!$E$61,DATI!$E$64*DATI!$E$63)*1000*C2381^2*sezione!$AD$5*(1-sezione!$AD$6)</f>
        <v>-24725925.033418197</v>
      </c>
      <c r="E2381" s="553">
        <f>-'Foglio deposito bis'!$F$88*(C2381-sezione!$AL$36)*IF(ABS(K2381)&lt;'Progetto del paramento slu'!$G$58,ABS(K2381)*'Progetto del paramento slu'!$G$54,'Progetto del paramento slu'!$G$53)</f>
        <v>0</v>
      </c>
      <c r="F2381" s="553">
        <f>-'Foglio deposito bis'!$F$89*(C2381-sezione!$AM$36)*IF(ABS(L2381)&lt;'Progetto del paramento slu'!$G$58,ABS(L2381)*'Progetto del paramento slu'!$G$54,'Progetto del paramento slu'!$G$53)</f>
        <v>14628059.892973561</v>
      </c>
      <c r="G2381" s="553">
        <f>-'Foglio deposito bis'!$F$90*(C2381-sezione!$AN$36)*IF(ABS(M2381)&lt;'Progetto del paramento slu'!$G$58,ABS(M2381)*'Progetto del paramento slu'!$G$54,'Progetto del paramento slu'!$G$53)</f>
        <v>0</v>
      </c>
      <c r="H2381" s="553">
        <f>-'Foglio deposito bis'!$F$91*(C2381-sezione!$AO$36)*IF(ABS(N2381)&lt;'Progetto del paramento slu'!$G$58,ABS(N2381)*'Progetto del paramento slu'!$G$54,'Progetto del paramento slu'!$G$53)</f>
        <v>254532016.02037245</v>
      </c>
      <c r="I2381" s="479">
        <f>-'Foglio deposito bis'!$F$92*(C2381-sezione!$AP$36)*IF(ABS(O2381)&lt;'Progetto del paramento slu'!$G$58,ABS(O2381)*'Progetto del paramento slu'!$G$54,'Progetto del paramento slu'!$G$53)</f>
        <v>341056339.69393241</v>
      </c>
      <c r="J2381" s="479">
        <f t="shared" si="175"/>
        <v>585490490.57386017</v>
      </c>
      <c r="K2381" s="558">
        <f>'Progetto del paramento slu'!$G$60*(sezione!$AL$36-C2381)/C2381</f>
        <v>-9.4550865163115557E-4</v>
      </c>
      <c r="L2381" s="558">
        <f>'Progetto del paramento slu'!$G$60*(sezione!$AM$36-C2381)/C2381</f>
        <v>6.0793425563831667E-3</v>
      </c>
      <c r="M2381" s="559">
        <f>'Progetto del paramento slu'!$G$60*(sezione!$AN$36-C2381)/C2381</f>
        <v>1.3104193764397488E-2</v>
      </c>
      <c r="N2381" s="559">
        <f>'Progetto del paramento slu'!$G$60*(sezione!$AO$36-C2381)/C2381</f>
        <v>1.8213176461135176E-2</v>
      </c>
      <c r="O2381" s="559">
        <f>'Progetto del paramento slu'!$G$60*(sezione!$AP$36-C2381)/C2381</f>
        <v>1.3104767910890438E-2</v>
      </c>
      <c r="P2381" s="553">
        <f>-'Progetto del paramento slu'!$G$47*'Progetto del paramento slu'!$G$41*IF(DATI!$G$218="dx",DATI!$E$61,DATI!$E$64*DATI!$E$63)*1000*C2381*sezione!$AD$5</f>
        <v>-772531.33045845653</v>
      </c>
      <c r="Q2381" s="553">
        <f>'Foglio deposito bis'!$F$88*IF(ABS(K2381)&lt;'Progetto del paramento slu'!$G$58,ABS(K2381)*'Progetto del paramento slu'!$G$54,'Progetto del paramento slu'!$G$53)*IF(K2381&lt;0,-1,1)</f>
        <v>0</v>
      </c>
      <c r="R2381" s="553">
        <f>'Foglio deposito bis'!$F$89*IF(ABS(L2381)&lt;'Progetto del paramento slu'!$G$58,ABS(L2381)*'Progetto del paramento slu'!$G$54,'Progetto del paramento slu'!$G$53)*IF(L2381&lt;0,-1,1)</f>
        <v>153664.85805602249</v>
      </c>
      <c r="S2381" s="553">
        <f>'Foglio deposito bis'!$F$90*IF(ABS(M2381)&lt;'Progetto del paramento slu'!$G$58,ABS(M2381)*'Progetto del paramento slu'!$G$54,'Progetto del paramento slu'!$G$53)*IF(M2381&lt;0,-1,1)</f>
        <v>0</v>
      </c>
      <c r="T2381" s="553">
        <f>'Foglio deposito bis'!$F$91*IF(ABS(N2381)&lt;'Progetto del paramento slu'!$G$58,ABS(N2381)*'Progetto del paramento slu'!$G$54,'Progetto del paramento slu'!$G$53)*IF(N2381&lt;0,-1,1)</f>
        <v>892485.49558937876</v>
      </c>
      <c r="U2381" s="553">
        <f>'Foglio deposito bis'!$F$92*IF(ABS(O2381)&lt;'Progetto del paramento slu'!$G$58,ABS(O2381)*'Progetto del paramento slu'!$G$54,'Progetto del paramento slu'!$G$53)*IF(O2381&lt;0,-1,1)</f>
        <v>1662039.1047339395</v>
      </c>
      <c r="V2381" s="479">
        <f t="shared" si="177"/>
        <v>1935658.1279208842</v>
      </c>
      <c r="W2381" s="559"/>
      <c r="X2381" s="559"/>
    </row>
    <row r="2382" spans="1:24" x14ac:dyDescent="0.25">
      <c r="A2382" s="553">
        <f t="shared" si="176"/>
        <v>1924213.2193214996</v>
      </c>
      <c r="B2382" s="3">
        <f t="shared" si="174"/>
        <v>13.699999999999973</v>
      </c>
      <c r="C2382" s="553">
        <f>'Foglio deposito bis'!$E$162/sezione!$B$247*B2382</f>
        <v>55.617363576038201</v>
      </c>
      <c r="D2382" s="611">
        <f>-'Progetto del paramento slu'!$G$47*'Progetto del paramento slu'!$G$41*IF(DATI!$G$218="dx",DATI!$E$61,DATI!$E$64*DATI!$E$63)*1000*C2382^2*sezione!$AD$5*(1-sezione!$AD$6)</f>
        <v>-25463971.849230517</v>
      </c>
      <c r="E2382" s="553">
        <f>-'Foglio deposito bis'!$F$88*(C2382-sezione!$AL$36)*IF(ABS(K2382)&lt;'Progetto del paramento slu'!$G$58,ABS(K2382)*'Progetto del paramento slu'!$G$54,'Progetto del paramento slu'!$G$53)</f>
        <v>0</v>
      </c>
      <c r="F2382" s="553">
        <f>-'Foglio deposito bis'!$F$89*(C2382-sezione!$AM$36)*IF(ABS(L2382)&lt;'Progetto del paramento slu'!$G$58,ABS(L2382)*'Progetto del paramento slu'!$G$54,'Progetto del paramento slu'!$G$53)</f>
        <v>14503294.42904127</v>
      </c>
      <c r="G2382" s="553">
        <f>-'Foglio deposito bis'!$F$90*(C2382-sezione!$AN$36)*IF(ABS(M2382)&lt;'Progetto del paramento slu'!$G$58,ABS(M2382)*'Progetto del paramento slu'!$G$54,'Progetto del paramento slu'!$G$53)</f>
        <v>0</v>
      </c>
      <c r="H2382" s="553">
        <f>-'Foglio deposito bis'!$F$91*(C2382-sezione!$AO$36)*IF(ABS(N2382)&lt;'Progetto del paramento slu'!$G$58,ABS(N2382)*'Progetto del paramento slu'!$G$54,'Progetto del paramento slu'!$G$53)</f>
        <v>253807378.2058537</v>
      </c>
      <c r="I2382" s="479">
        <f>-'Foglio deposito bis'!$F$92*(C2382-sezione!$AP$36)*IF(ABS(O2382)&lt;'Progetto del paramento slu'!$G$58,ABS(O2382)*'Progetto del paramento slu'!$G$54,'Progetto del paramento slu'!$G$53)</f>
        <v>339706876.43604076</v>
      </c>
      <c r="J2382" s="479">
        <f t="shared" si="175"/>
        <v>582553577.2217052</v>
      </c>
      <c r="K2382" s="558">
        <f>'Progetto del paramento slu'!$G$60*(sezione!$AL$36-C2382)/C2382</f>
        <v>-9.8280049613289067E-4</v>
      </c>
      <c r="L2382" s="558">
        <f>'Progetto del paramento slu'!$G$60*(sezione!$AM$36-C2382)/C2382</f>
        <v>5.9394981395016599E-3</v>
      </c>
      <c r="M2382" s="559">
        <f>'Progetto del paramento slu'!$G$60*(sezione!$AN$36-C2382)/C2382</f>
        <v>1.2861796775136212E-2</v>
      </c>
      <c r="N2382" s="559">
        <f>'Progetto del paramento slu'!$G$60*(sezione!$AO$36-C2382)/C2382</f>
        <v>1.7896195782870428E-2</v>
      </c>
      <c r="O2382" s="559">
        <f>'Progetto del paramento slu'!$G$60*(sezione!$AP$36-C2382)/C2382</f>
        <v>1.2862362539928533E-2</v>
      </c>
      <c r="P2382" s="553">
        <f>-'Progetto del paramento slu'!$G$47*'Progetto del paramento slu'!$G$41*IF(DATI!$G$218="dx",DATI!$E$61,DATI!$E$64*DATI!$E$63)*1000*C2382*sezione!$AD$5</f>
        <v>-783976.23905784113</v>
      </c>
      <c r="Q2382" s="553">
        <f>'Foglio deposito bis'!$F$88*IF(ABS(K2382)&lt;'Progetto del paramento slu'!$G$58,ABS(K2382)*'Progetto del paramento slu'!$G$54,'Progetto del paramento slu'!$G$53)*IF(K2382&lt;0,-1,1)</f>
        <v>0</v>
      </c>
      <c r="R2382" s="553">
        <f>'Foglio deposito bis'!$F$89*IF(ABS(L2382)&lt;'Progetto del paramento slu'!$G$58,ABS(L2382)*'Progetto del paramento slu'!$G$54,'Progetto del paramento slu'!$G$53)*IF(L2382&lt;0,-1,1)</f>
        <v>153664.85805602249</v>
      </c>
      <c r="S2382" s="553">
        <f>'Foglio deposito bis'!$F$90*IF(ABS(M2382)&lt;'Progetto del paramento slu'!$G$58,ABS(M2382)*'Progetto del paramento slu'!$G$54,'Progetto del paramento slu'!$G$53)*IF(M2382&lt;0,-1,1)</f>
        <v>0</v>
      </c>
      <c r="T2382" s="553">
        <f>'Foglio deposito bis'!$F$91*IF(ABS(N2382)&lt;'Progetto del paramento slu'!$G$58,ABS(N2382)*'Progetto del paramento slu'!$G$54,'Progetto del paramento slu'!$G$53)*IF(N2382&lt;0,-1,1)</f>
        <v>892485.49558937876</v>
      </c>
      <c r="U2382" s="553">
        <f>'Foglio deposito bis'!$F$92*IF(ABS(O2382)&lt;'Progetto del paramento slu'!$G$58,ABS(O2382)*'Progetto del paramento slu'!$G$54,'Progetto del paramento slu'!$G$53)*IF(O2382&lt;0,-1,1)</f>
        <v>1662039.1047339395</v>
      </c>
      <c r="V2382" s="479">
        <f t="shared" si="177"/>
        <v>1924213.2193214996</v>
      </c>
      <c r="W2382" s="559"/>
      <c r="X2382" s="559"/>
    </row>
    <row r="2383" spans="1:24" x14ac:dyDescent="0.25">
      <c r="A2383" s="553">
        <f t="shared" si="176"/>
        <v>1912768.3107221152</v>
      </c>
      <c r="B2383" s="3">
        <f t="shared" si="174"/>
        <v>13.899999999999972</v>
      </c>
      <c r="C2383" s="553">
        <f>'Foglio deposito bis'!$E$162/sezione!$B$247*B2383</f>
        <v>56.429295891016857</v>
      </c>
      <c r="D2383" s="611">
        <f>-'Progetto del paramento slu'!$G$47*'Progetto del paramento slu'!$G$41*IF(DATI!$G$218="dx",DATI!$E$61,DATI!$E$64*DATI!$E$63)*1000*C2383^2*sezione!$AD$5*(1-sezione!$AD$6)</f>
        <v>-26212872.29468713</v>
      </c>
      <c r="E2383" s="553">
        <f>-'Foglio deposito bis'!$F$88*(C2383-sezione!$AL$36)*IF(ABS(K2383)&lt;'Progetto del paramento slu'!$G$58,ABS(K2383)*'Progetto del paramento slu'!$G$54,'Progetto del paramento slu'!$G$53)</f>
        <v>0</v>
      </c>
      <c r="F2383" s="553">
        <f>-'Foglio deposito bis'!$F$89*(C2383-sezione!$AM$36)*IF(ABS(L2383)&lt;'Progetto del paramento slu'!$G$58,ABS(L2383)*'Progetto del paramento slu'!$G$54,'Progetto del paramento slu'!$G$53)</f>
        <v>14378528.965108974</v>
      </c>
      <c r="G2383" s="553">
        <f>-'Foglio deposito bis'!$F$90*(C2383-sezione!$AN$36)*IF(ABS(M2383)&lt;'Progetto del paramento slu'!$G$58,ABS(M2383)*'Progetto del paramento slu'!$G$54,'Progetto del paramento slu'!$G$53)</f>
        <v>0</v>
      </c>
      <c r="H2383" s="553">
        <f>-'Foglio deposito bis'!$F$91*(C2383-sezione!$AO$36)*IF(ABS(N2383)&lt;'Progetto del paramento slu'!$G$58,ABS(N2383)*'Progetto del paramento slu'!$G$54,'Progetto del paramento slu'!$G$53)</f>
        <v>253082740.39133489</v>
      </c>
      <c r="I2383" s="479">
        <f>-'Foglio deposito bis'!$F$92*(C2383-sezione!$AP$36)*IF(ABS(O2383)&lt;'Progetto del paramento slu'!$G$58,ABS(O2383)*'Progetto del paramento slu'!$G$54,'Progetto del paramento slu'!$G$53)</f>
        <v>338357413.17814904</v>
      </c>
      <c r="J2383" s="479">
        <f t="shared" si="175"/>
        <v>579605810.23990583</v>
      </c>
      <c r="K2383" s="558">
        <f>'Progetto del paramento slu'!$G$60*(sezione!$AL$36-C2383)/C2383</f>
        <v>-1.0190191940302588E-3</v>
      </c>
      <c r="L2383" s="558">
        <f>'Progetto del paramento slu'!$G$60*(sezione!$AM$36-C2383)/C2383</f>
        <v>5.8036780223865289E-3</v>
      </c>
      <c r="M2383" s="559">
        <f>'Progetto del paramento slu'!$G$60*(sezione!$AN$36-C2383)/C2383</f>
        <v>1.2626375238803318E-2</v>
      </c>
      <c r="N2383" s="559">
        <f>'Progetto del paramento slu'!$G$60*(sezione!$AO$36-C2383)/C2383</f>
        <v>1.7588336850742799E-2</v>
      </c>
      <c r="O2383" s="559">
        <f>'Progetto del paramento slu'!$G$60*(sezione!$AP$36-C2383)/C2383</f>
        <v>1.2626932863095032E-2</v>
      </c>
      <c r="P2383" s="553">
        <f>-'Progetto del paramento slu'!$G$47*'Progetto del paramento slu'!$G$41*IF(DATI!$G$218="dx",DATI!$E$61,DATI!$E$64*DATI!$E$63)*1000*C2383*sezione!$AD$5</f>
        <v>-795421.14765722561</v>
      </c>
      <c r="Q2383" s="553">
        <f>'Foglio deposito bis'!$F$88*IF(ABS(K2383)&lt;'Progetto del paramento slu'!$G$58,ABS(K2383)*'Progetto del paramento slu'!$G$54,'Progetto del paramento slu'!$G$53)*IF(K2383&lt;0,-1,1)</f>
        <v>0</v>
      </c>
      <c r="R2383" s="553">
        <f>'Foglio deposito bis'!$F$89*IF(ABS(L2383)&lt;'Progetto del paramento slu'!$G$58,ABS(L2383)*'Progetto del paramento slu'!$G$54,'Progetto del paramento slu'!$G$53)*IF(L2383&lt;0,-1,1)</f>
        <v>153664.85805602249</v>
      </c>
      <c r="S2383" s="553">
        <f>'Foglio deposito bis'!$F$90*IF(ABS(M2383)&lt;'Progetto del paramento slu'!$G$58,ABS(M2383)*'Progetto del paramento slu'!$G$54,'Progetto del paramento slu'!$G$53)*IF(M2383&lt;0,-1,1)</f>
        <v>0</v>
      </c>
      <c r="T2383" s="553">
        <f>'Foglio deposito bis'!$F$91*IF(ABS(N2383)&lt;'Progetto del paramento slu'!$G$58,ABS(N2383)*'Progetto del paramento slu'!$G$54,'Progetto del paramento slu'!$G$53)*IF(N2383&lt;0,-1,1)</f>
        <v>892485.49558937876</v>
      </c>
      <c r="U2383" s="553">
        <f>'Foglio deposito bis'!$F$92*IF(ABS(O2383)&lt;'Progetto del paramento slu'!$G$58,ABS(O2383)*'Progetto del paramento slu'!$G$54,'Progetto del paramento slu'!$G$53)*IF(O2383&lt;0,-1,1)</f>
        <v>1662039.1047339395</v>
      </c>
      <c r="V2383" s="479">
        <f t="shared" si="177"/>
        <v>1912768.3107221152</v>
      </c>
      <c r="W2383" s="559"/>
      <c r="X2383" s="559"/>
    </row>
    <row r="2384" spans="1:24" x14ac:dyDescent="0.25">
      <c r="A2384" s="553">
        <f t="shared" si="176"/>
        <v>1901323.4021227306</v>
      </c>
      <c r="B2384" s="3">
        <f t="shared" si="174"/>
        <v>14.099999999999971</v>
      </c>
      <c r="C2384" s="553">
        <f>'Foglio deposito bis'!$E$162/sezione!$B$247*B2384</f>
        <v>57.241228205995519</v>
      </c>
      <c r="D2384" s="611">
        <f>-'Progetto del paramento slu'!$G$47*'Progetto del paramento slu'!$G$41*IF(DATI!$G$218="dx",DATI!$E$61,DATI!$E$64*DATI!$E$63)*1000*C2384^2*sezione!$AD$5*(1-sezione!$AD$6)</f>
        <v>-26972626.369788047</v>
      </c>
      <c r="E2384" s="553">
        <f>-'Foglio deposito bis'!$F$88*(C2384-sezione!$AL$36)*IF(ABS(K2384)&lt;'Progetto del paramento slu'!$G$58,ABS(K2384)*'Progetto del paramento slu'!$G$54,'Progetto del paramento slu'!$G$53)</f>
        <v>0</v>
      </c>
      <c r="F2384" s="553">
        <f>-'Foglio deposito bis'!$F$89*(C2384-sezione!$AM$36)*IF(ABS(L2384)&lt;'Progetto del paramento slu'!$G$58,ABS(L2384)*'Progetto del paramento slu'!$G$54,'Progetto del paramento slu'!$G$53)</f>
        <v>14253763.50117668</v>
      </c>
      <c r="G2384" s="553">
        <f>-'Foglio deposito bis'!$F$90*(C2384-sezione!$AN$36)*IF(ABS(M2384)&lt;'Progetto del paramento slu'!$G$58,ABS(M2384)*'Progetto del paramento slu'!$G$54,'Progetto del paramento slu'!$G$53)</f>
        <v>0</v>
      </c>
      <c r="H2384" s="553">
        <f>-'Foglio deposito bis'!$F$91*(C2384-sezione!$AO$36)*IF(ABS(N2384)&lt;'Progetto del paramento slu'!$G$58,ABS(N2384)*'Progetto del paramento slu'!$G$54,'Progetto del paramento slu'!$G$53)</f>
        <v>252358102.57681614</v>
      </c>
      <c r="I2384" s="479">
        <f>-'Foglio deposito bis'!$F$92*(C2384-sezione!$AP$36)*IF(ABS(O2384)&lt;'Progetto del paramento slu'!$G$58,ABS(O2384)*'Progetto del paramento slu'!$G$54,'Progetto del paramento slu'!$G$53)</f>
        <v>337007949.92025733</v>
      </c>
      <c r="J2384" s="479">
        <f t="shared" si="175"/>
        <v>576647189.62846208</v>
      </c>
      <c r="K2384" s="558">
        <f>'Progetto del paramento slu'!$G$60*(sezione!$AL$36-C2384)/C2384</f>
        <v>-1.0542104111362128E-3</v>
      </c>
      <c r="L2384" s="558">
        <f>'Progetto del paramento slu'!$G$60*(sezione!$AM$36-C2384)/C2384</f>
        <v>5.6717109582392015E-3</v>
      </c>
      <c r="M2384" s="559">
        <f>'Progetto del paramento slu'!$G$60*(sezione!$AN$36-C2384)/C2384</f>
        <v>1.2397632327614616E-2</v>
      </c>
      <c r="N2384" s="559">
        <f>'Progetto del paramento slu'!$G$60*(sezione!$AO$36-C2384)/C2384</f>
        <v>1.728921150534219E-2</v>
      </c>
      <c r="O2384" s="559">
        <f>'Progetto del paramento slu'!$G$60*(sezione!$AP$36-C2384)/C2384</f>
        <v>1.2398182042341908E-2</v>
      </c>
      <c r="P2384" s="553">
        <f>-'Progetto del paramento slu'!$G$47*'Progetto del paramento slu'!$G$41*IF(DATI!$G$218="dx",DATI!$E$61,DATI!$E$64*DATI!$E$63)*1000*C2384*sezione!$AD$5</f>
        <v>-806866.0562566102</v>
      </c>
      <c r="Q2384" s="553">
        <f>'Foglio deposito bis'!$F$88*IF(ABS(K2384)&lt;'Progetto del paramento slu'!$G$58,ABS(K2384)*'Progetto del paramento slu'!$G$54,'Progetto del paramento slu'!$G$53)*IF(K2384&lt;0,-1,1)</f>
        <v>0</v>
      </c>
      <c r="R2384" s="553">
        <f>'Foglio deposito bis'!$F$89*IF(ABS(L2384)&lt;'Progetto del paramento slu'!$G$58,ABS(L2384)*'Progetto del paramento slu'!$G$54,'Progetto del paramento slu'!$G$53)*IF(L2384&lt;0,-1,1)</f>
        <v>153664.85805602249</v>
      </c>
      <c r="S2384" s="553">
        <f>'Foglio deposito bis'!$F$90*IF(ABS(M2384)&lt;'Progetto del paramento slu'!$G$58,ABS(M2384)*'Progetto del paramento slu'!$G$54,'Progetto del paramento slu'!$G$53)*IF(M2384&lt;0,-1,1)</f>
        <v>0</v>
      </c>
      <c r="T2384" s="553">
        <f>'Foglio deposito bis'!$F$91*IF(ABS(N2384)&lt;'Progetto del paramento slu'!$G$58,ABS(N2384)*'Progetto del paramento slu'!$G$54,'Progetto del paramento slu'!$G$53)*IF(N2384&lt;0,-1,1)</f>
        <v>892485.49558937876</v>
      </c>
      <c r="U2384" s="553">
        <f>'Foglio deposito bis'!$F$92*IF(ABS(O2384)&lt;'Progetto del paramento slu'!$G$58,ABS(O2384)*'Progetto del paramento slu'!$G$54,'Progetto del paramento slu'!$G$53)*IF(O2384&lt;0,-1,1)</f>
        <v>1662039.1047339395</v>
      </c>
      <c r="V2384" s="479">
        <f t="shared" si="177"/>
        <v>1901323.4021227306</v>
      </c>
      <c r="W2384" s="559"/>
      <c r="X2384" s="559"/>
    </row>
    <row r="2385" spans="1:24" x14ac:dyDescent="0.25">
      <c r="A2385" s="553">
        <f t="shared" si="176"/>
        <v>1889878.4935233463</v>
      </c>
      <c r="B2385" s="3">
        <f t="shared" si="174"/>
        <v>14.299999999999971</v>
      </c>
      <c r="C2385" s="553">
        <f>'Foglio deposito bis'!$E$162/sezione!$B$247*B2385</f>
        <v>58.053160520974174</v>
      </c>
      <c r="D2385" s="611">
        <f>-'Progetto del paramento slu'!$G$47*'Progetto del paramento slu'!$G$41*IF(DATI!$G$218="dx",DATI!$E$61,DATI!$E$64*DATI!$E$63)*1000*C2385^2*sezione!$AD$5*(1-sezione!$AD$6)</f>
        <v>-27743234.074533258</v>
      </c>
      <c r="E2385" s="553">
        <f>-'Foglio deposito bis'!$F$88*(C2385-sezione!$AL$36)*IF(ABS(K2385)&lt;'Progetto del paramento slu'!$G$58,ABS(K2385)*'Progetto del paramento slu'!$G$54,'Progetto del paramento slu'!$G$53)</f>
        <v>0</v>
      </c>
      <c r="F2385" s="553">
        <f>-'Foglio deposito bis'!$F$89*(C2385-sezione!$AM$36)*IF(ABS(L2385)&lt;'Progetto del paramento slu'!$G$58,ABS(L2385)*'Progetto del paramento slu'!$G$54,'Progetto del paramento slu'!$G$53)</f>
        <v>14128998.037244389</v>
      </c>
      <c r="G2385" s="553">
        <f>-'Foglio deposito bis'!$F$90*(C2385-sezione!$AN$36)*IF(ABS(M2385)&lt;'Progetto del paramento slu'!$G$58,ABS(M2385)*'Progetto del paramento slu'!$G$54,'Progetto del paramento slu'!$G$53)</f>
        <v>0</v>
      </c>
      <c r="H2385" s="553">
        <f>-'Foglio deposito bis'!$F$91*(C2385-sezione!$AO$36)*IF(ABS(N2385)&lt;'Progetto del paramento slu'!$G$58,ABS(N2385)*'Progetto del paramento slu'!$G$54,'Progetto del paramento slu'!$G$53)</f>
        <v>251633464.76229736</v>
      </c>
      <c r="I2385" s="479">
        <f>-'Foglio deposito bis'!$F$92*(C2385-sezione!$AP$36)*IF(ABS(O2385)&lt;'Progetto del paramento slu'!$G$58,ABS(O2385)*'Progetto del paramento slu'!$G$54,'Progetto del paramento slu'!$G$53)</f>
        <v>335658486.66236567</v>
      </c>
      <c r="J2385" s="479">
        <f t="shared" si="175"/>
        <v>573677715.38737416</v>
      </c>
      <c r="K2385" s="558">
        <f>'Progetto del paramento slu'!$G$60*(sezione!$AL$36-C2385)/C2385</f>
        <v>-1.0884172585329088E-3</v>
      </c>
      <c r="L2385" s="558">
        <f>'Progetto del paramento slu'!$G$60*(sezione!$AM$36-C2385)/C2385</f>
        <v>5.5434352805015909E-3</v>
      </c>
      <c r="M2385" s="559">
        <f>'Progetto del paramento slu'!$G$60*(sezione!$AN$36-C2385)/C2385</f>
        <v>1.2175287819536092E-2</v>
      </c>
      <c r="N2385" s="559">
        <f>'Progetto del paramento slu'!$G$60*(sezione!$AO$36-C2385)/C2385</f>
        <v>1.6998453302470275E-2</v>
      </c>
      <c r="O2385" s="559">
        <f>'Progetto del paramento slu'!$G$60*(sezione!$AP$36-C2385)/C2385</f>
        <v>1.2175829845945519E-2</v>
      </c>
      <c r="P2385" s="553">
        <f>-'Progetto del paramento slu'!$G$47*'Progetto del paramento slu'!$G$41*IF(DATI!$G$218="dx",DATI!$E$61,DATI!$E$64*DATI!$E$63)*1000*C2385*sezione!$AD$5</f>
        <v>-818310.96485599456</v>
      </c>
      <c r="Q2385" s="553">
        <f>'Foglio deposito bis'!$F$88*IF(ABS(K2385)&lt;'Progetto del paramento slu'!$G$58,ABS(K2385)*'Progetto del paramento slu'!$G$54,'Progetto del paramento slu'!$G$53)*IF(K2385&lt;0,-1,1)</f>
        <v>0</v>
      </c>
      <c r="R2385" s="553">
        <f>'Foglio deposito bis'!$F$89*IF(ABS(L2385)&lt;'Progetto del paramento slu'!$G$58,ABS(L2385)*'Progetto del paramento slu'!$G$54,'Progetto del paramento slu'!$G$53)*IF(L2385&lt;0,-1,1)</f>
        <v>153664.85805602249</v>
      </c>
      <c r="S2385" s="553">
        <f>'Foglio deposito bis'!$F$90*IF(ABS(M2385)&lt;'Progetto del paramento slu'!$G$58,ABS(M2385)*'Progetto del paramento slu'!$G$54,'Progetto del paramento slu'!$G$53)*IF(M2385&lt;0,-1,1)</f>
        <v>0</v>
      </c>
      <c r="T2385" s="553">
        <f>'Foglio deposito bis'!$F$91*IF(ABS(N2385)&lt;'Progetto del paramento slu'!$G$58,ABS(N2385)*'Progetto del paramento slu'!$G$54,'Progetto del paramento slu'!$G$53)*IF(N2385&lt;0,-1,1)</f>
        <v>892485.49558937876</v>
      </c>
      <c r="U2385" s="553">
        <f>'Foglio deposito bis'!$F$92*IF(ABS(O2385)&lt;'Progetto del paramento slu'!$G$58,ABS(O2385)*'Progetto del paramento slu'!$G$54,'Progetto del paramento slu'!$G$53)*IF(O2385&lt;0,-1,1)</f>
        <v>1662039.1047339395</v>
      </c>
      <c r="V2385" s="479">
        <f t="shared" si="177"/>
        <v>1889878.4935233463</v>
      </c>
      <c r="W2385" s="559"/>
      <c r="X2385" s="559"/>
    </row>
    <row r="2386" spans="1:24" x14ac:dyDescent="0.25">
      <c r="A2386" s="553">
        <f t="shared" si="176"/>
        <v>1878433.5849239617</v>
      </c>
      <c r="B2386" s="3">
        <f t="shared" si="174"/>
        <v>14.49999999999997</v>
      </c>
      <c r="C2386" s="553">
        <f>'Foglio deposito bis'!$E$162/sezione!$B$247*B2386</f>
        <v>58.865092835952836</v>
      </c>
      <c r="D2386" s="611">
        <f>-'Progetto del paramento slu'!$G$47*'Progetto del paramento slu'!$G$41*IF(DATI!$G$218="dx",DATI!$E$61,DATI!$E$64*DATI!$E$63)*1000*C2386^2*sezione!$AD$5*(1-sezione!$AD$6)</f>
        <v>-28524695.408922773</v>
      </c>
      <c r="E2386" s="553">
        <f>-'Foglio deposito bis'!$F$88*(C2386-sezione!$AL$36)*IF(ABS(K2386)&lt;'Progetto del paramento slu'!$G$58,ABS(K2386)*'Progetto del paramento slu'!$G$54,'Progetto del paramento slu'!$G$53)</f>
        <v>0</v>
      </c>
      <c r="F2386" s="553">
        <f>-'Foglio deposito bis'!$F$89*(C2386-sezione!$AM$36)*IF(ABS(L2386)&lt;'Progetto del paramento slu'!$G$58,ABS(L2386)*'Progetto del paramento slu'!$G$54,'Progetto del paramento slu'!$G$53)</f>
        <v>14004232.573312094</v>
      </c>
      <c r="G2386" s="553">
        <f>-'Foglio deposito bis'!$F$90*(C2386-sezione!$AN$36)*IF(ABS(M2386)&lt;'Progetto del paramento slu'!$G$58,ABS(M2386)*'Progetto del paramento slu'!$G$54,'Progetto del paramento slu'!$G$53)</f>
        <v>0</v>
      </c>
      <c r="H2386" s="553">
        <f>-'Foglio deposito bis'!$F$91*(C2386-sezione!$AO$36)*IF(ABS(N2386)&lt;'Progetto del paramento slu'!$G$58,ABS(N2386)*'Progetto del paramento slu'!$G$54,'Progetto del paramento slu'!$G$53)</f>
        <v>250908826.94777861</v>
      </c>
      <c r="I2386" s="479">
        <f>-'Foglio deposito bis'!$F$92*(C2386-sezione!$AP$36)*IF(ABS(O2386)&lt;'Progetto del paramento slu'!$G$58,ABS(O2386)*'Progetto del paramento slu'!$G$54,'Progetto del paramento slu'!$G$53)</f>
        <v>334309023.40447396</v>
      </c>
      <c r="J2386" s="479">
        <f t="shared" si="175"/>
        <v>570697387.51664186</v>
      </c>
      <c r="K2386" s="558">
        <f>'Progetto del paramento slu'!$G$60*(sezione!$AL$36-C2386)/C2386</f>
        <v>-1.1216804687600415E-3</v>
      </c>
      <c r="L2386" s="558">
        <f>'Progetto del paramento slu'!$G$60*(sezione!$AM$36-C2386)/C2386</f>
        <v>5.4186982421498449E-3</v>
      </c>
      <c r="M2386" s="559">
        <f>'Progetto del paramento slu'!$G$60*(sezione!$AN$36-C2386)/C2386</f>
        <v>1.1959076953059729E-2</v>
      </c>
      <c r="N2386" s="559">
        <f>'Progetto del paramento slu'!$G$60*(sezione!$AO$36-C2386)/C2386</f>
        <v>1.6715716015539648E-2</v>
      </c>
      <c r="O2386" s="559">
        <f>'Progetto del paramento slu'!$G$60*(sezione!$AP$36-C2386)/C2386</f>
        <v>1.1959611503242821E-2</v>
      </c>
      <c r="P2386" s="553">
        <f>-'Progetto del paramento slu'!$G$47*'Progetto del paramento slu'!$G$41*IF(DATI!$G$218="dx",DATI!$E$61,DATI!$E$64*DATI!$E$63)*1000*C2386*sezione!$AD$5</f>
        <v>-829755.87345537916</v>
      </c>
      <c r="Q2386" s="553">
        <f>'Foglio deposito bis'!$F$88*IF(ABS(K2386)&lt;'Progetto del paramento slu'!$G$58,ABS(K2386)*'Progetto del paramento slu'!$G$54,'Progetto del paramento slu'!$G$53)*IF(K2386&lt;0,-1,1)</f>
        <v>0</v>
      </c>
      <c r="R2386" s="553">
        <f>'Foglio deposito bis'!$F$89*IF(ABS(L2386)&lt;'Progetto del paramento slu'!$G$58,ABS(L2386)*'Progetto del paramento slu'!$G$54,'Progetto del paramento slu'!$G$53)*IF(L2386&lt;0,-1,1)</f>
        <v>153664.85805602249</v>
      </c>
      <c r="S2386" s="553">
        <f>'Foglio deposito bis'!$F$90*IF(ABS(M2386)&lt;'Progetto del paramento slu'!$G$58,ABS(M2386)*'Progetto del paramento slu'!$G$54,'Progetto del paramento slu'!$G$53)*IF(M2386&lt;0,-1,1)</f>
        <v>0</v>
      </c>
      <c r="T2386" s="553">
        <f>'Foglio deposito bis'!$F$91*IF(ABS(N2386)&lt;'Progetto del paramento slu'!$G$58,ABS(N2386)*'Progetto del paramento slu'!$G$54,'Progetto del paramento slu'!$G$53)*IF(N2386&lt;0,-1,1)</f>
        <v>892485.49558937876</v>
      </c>
      <c r="U2386" s="553">
        <f>'Foglio deposito bis'!$F$92*IF(ABS(O2386)&lt;'Progetto del paramento slu'!$G$58,ABS(O2386)*'Progetto del paramento slu'!$G$54,'Progetto del paramento slu'!$G$53)*IF(O2386&lt;0,-1,1)</f>
        <v>1662039.1047339395</v>
      </c>
      <c r="V2386" s="479">
        <f t="shared" si="177"/>
        <v>1878433.5849239617</v>
      </c>
      <c r="W2386" s="559"/>
      <c r="X2386" s="559"/>
    </row>
    <row r="2387" spans="1:24" x14ac:dyDescent="0.25">
      <c r="A2387" s="553">
        <f t="shared" si="176"/>
        <v>1866988.6763245771</v>
      </c>
      <c r="B2387" s="3">
        <f t="shared" si="174"/>
        <v>14.699999999999969</v>
      </c>
      <c r="C2387" s="553">
        <f>'Foglio deposito bis'!$E$162/sezione!$B$247*B2387</f>
        <v>59.677025150931492</v>
      </c>
      <c r="D2387" s="611">
        <f>-'Progetto del paramento slu'!$G$47*'Progetto del paramento slu'!$G$41*IF(DATI!$G$218="dx",DATI!$E$61,DATI!$E$64*DATI!$E$63)*1000*C2387^2*sezione!$AD$5*(1-sezione!$AD$6)</f>
        <v>-29317010.372956585</v>
      </c>
      <c r="E2387" s="553">
        <f>-'Foglio deposito bis'!$F$88*(C2387-sezione!$AL$36)*IF(ABS(K2387)&lt;'Progetto del paramento slu'!$G$58,ABS(K2387)*'Progetto del paramento slu'!$G$54,'Progetto del paramento slu'!$G$53)</f>
        <v>0</v>
      </c>
      <c r="F2387" s="553">
        <f>-'Foglio deposito bis'!$F$89*(C2387-sezione!$AM$36)*IF(ABS(L2387)&lt;'Progetto del paramento slu'!$G$58,ABS(L2387)*'Progetto del paramento slu'!$G$54,'Progetto del paramento slu'!$G$53)</f>
        <v>13879467.109379802</v>
      </c>
      <c r="G2387" s="553">
        <f>-'Foglio deposito bis'!$F$90*(C2387-sezione!$AN$36)*IF(ABS(M2387)&lt;'Progetto del paramento slu'!$G$58,ABS(M2387)*'Progetto del paramento slu'!$G$54,'Progetto del paramento slu'!$G$53)</f>
        <v>0</v>
      </c>
      <c r="H2387" s="553">
        <f>-'Foglio deposito bis'!$F$91*(C2387-sezione!$AO$36)*IF(ABS(N2387)&lt;'Progetto del paramento slu'!$G$58,ABS(N2387)*'Progetto del paramento slu'!$G$54,'Progetto del paramento slu'!$G$53)</f>
        <v>250184189.13325986</v>
      </c>
      <c r="I2387" s="479">
        <f>-'Foglio deposito bis'!$F$92*(C2387-sezione!$AP$36)*IF(ABS(O2387)&lt;'Progetto del paramento slu'!$G$58,ABS(O2387)*'Progetto del paramento slu'!$G$54,'Progetto del paramento slu'!$G$53)</f>
        <v>332959560.14658237</v>
      </c>
      <c r="J2387" s="479">
        <f t="shared" si="175"/>
        <v>567706206.01626539</v>
      </c>
      <c r="K2387" s="558">
        <f>'Progetto del paramento slu'!$G$60*(sezione!$AL$36-C2387)/C2387</f>
        <v>-1.1540385576204488E-3</v>
      </c>
      <c r="L2387" s="558">
        <f>'Progetto del paramento slu'!$G$60*(sezione!$AM$36-C2387)/C2387</f>
        <v>5.2973554089233172E-3</v>
      </c>
      <c r="M2387" s="559">
        <f>'Progetto del paramento slu'!$G$60*(sezione!$AN$36-C2387)/C2387</f>
        <v>1.1748749375467084E-2</v>
      </c>
      <c r="N2387" s="559">
        <f>'Progetto del paramento slu'!$G$60*(sezione!$AO$36-C2387)/C2387</f>
        <v>1.6440672260226184E-2</v>
      </c>
      <c r="O2387" s="559">
        <f>'Progetto del paramento slu'!$G$60*(sezione!$AP$36-C2387)/C2387</f>
        <v>1.1749276652858567E-2</v>
      </c>
      <c r="P2387" s="553">
        <f>-'Progetto del paramento slu'!$G$47*'Progetto del paramento slu'!$G$41*IF(DATI!$G$218="dx",DATI!$E$61,DATI!$E$64*DATI!$E$63)*1000*C2387*sezione!$AD$5</f>
        <v>-841200.78205476375</v>
      </c>
      <c r="Q2387" s="553">
        <f>'Foglio deposito bis'!$F$88*IF(ABS(K2387)&lt;'Progetto del paramento slu'!$G$58,ABS(K2387)*'Progetto del paramento slu'!$G$54,'Progetto del paramento slu'!$G$53)*IF(K2387&lt;0,-1,1)</f>
        <v>0</v>
      </c>
      <c r="R2387" s="553">
        <f>'Foglio deposito bis'!$F$89*IF(ABS(L2387)&lt;'Progetto del paramento slu'!$G$58,ABS(L2387)*'Progetto del paramento slu'!$G$54,'Progetto del paramento slu'!$G$53)*IF(L2387&lt;0,-1,1)</f>
        <v>153664.85805602249</v>
      </c>
      <c r="S2387" s="553">
        <f>'Foglio deposito bis'!$F$90*IF(ABS(M2387)&lt;'Progetto del paramento slu'!$G$58,ABS(M2387)*'Progetto del paramento slu'!$G$54,'Progetto del paramento slu'!$G$53)*IF(M2387&lt;0,-1,1)</f>
        <v>0</v>
      </c>
      <c r="T2387" s="553">
        <f>'Foglio deposito bis'!$F$91*IF(ABS(N2387)&lt;'Progetto del paramento slu'!$G$58,ABS(N2387)*'Progetto del paramento slu'!$G$54,'Progetto del paramento slu'!$G$53)*IF(N2387&lt;0,-1,1)</f>
        <v>892485.49558937876</v>
      </c>
      <c r="U2387" s="553">
        <f>'Foglio deposito bis'!$F$92*IF(ABS(O2387)&lt;'Progetto del paramento slu'!$G$58,ABS(O2387)*'Progetto del paramento slu'!$G$54,'Progetto del paramento slu'!$G$53)*IF(O2387&lt;0,-1,1)</f>
        <v>1662039.1047339395</v>
      </c>
      <c r="V2387" s="479">
        <f t="shared" si="177"/>
        <v>1866988.6763245771</v>
      </c>
      <c r="W2387" s="559"/>
      <c r="X2387" s="559"/>
    </row>
    <row r="2388" spans="1:24" x14ac:dyDescent="0.25">
      <c r="A2388" s="553">
        <f t="shared" si="176"/>
        <v>1855543.7677251925</v>
      </c>
      <c r="B2388" s="3">
        <f t="shared" si="174"/>
        <v>14.899999999999968</v>
      </c>
      <c r="C2388" s="553">
        <f>'Foglio deposito bis'!$E$162/sezione!$B$247*B2388</f>
        <v>60.488957465910154</v>
      </c>
      <c r="D2388" s="611">
        <f>-'Progetto del paramento slu'!$G$47*'Progetto del paramento slu'!$G$41*IF(DATI!$G$218="dx",DATI!$E$61,DATI!$E$64*DATI!$E$63)*1000*C2388^2*sezione!$AD$5*(1-sezione!$AD$6)</f>
        <v>-30120178.966634694</v>
      </c>
      <c r="E2388" s="553">
        <f>-'Foglio deposito bis'!$F$88*(C2388-sezione!$AL$36)*IF(ABS(K2388)&lt;'Progetto del paramento slu'!$G$58,ABS(K2388)*'Progetto del paramento slu'!$G$54,'Progetto del paramento slu'!$G$53)</f>
        <v>0</v>
      </c>
      <c r="F2388" s="553">
        <f>-'Foglio deposito bis'!$F$89*(C2388-sezione!$AM$36)*IF(ABS(L2388)&lt;'Progetto del paramento slu'!$G$58,ABS(L2388)*'Progetto del paramento slu'!$G$54,'Progetto del paramento slu'!$G$53)</f>
        <v>13754701.645447509</v>
      </c>
      <c r="G2388" s="553">
        <f>-'Foglio deposito bis'!$F$90*(C2388-sezione!$AN$36)*IF(ABS(M2388)&lt;'Progetto del paramento slu'!$G$58,ABS(M2388)*'Progetto del paramento slu'!$G$54,'Progetto del paramento slu'!$G$53)</f>
        <v>0</v>
      </c>
      <c r="H2388" s="553">
        <f>-'Foglio deposito bis'!$F$91*(C2388-sezione!$AO$36)*IF(ABS(N2388)&lt;'Progetto del paramento slu'!$G$58,ABS(N2388)*'Progetto del paramento slu'!$G$54,'Progetto del paramento slu'!$G$53)</f>
        <v>249459551.31874111</v>
      </c>
      <c r="I2388" s="479">
        <f>-'Foglio deposito bis'!$F$92*(C2388-sezione!$AP$36)*IF(ABS(O2388)&lt;'Progetto del paramento slu'!$G$58,ABS(O2388)*'Progetto del paramento slu'!$G$54,'Progetto del paramento slu'!$G$53)</f>
        <v>331610096.88869065</v>
      </c>
      <c r="J2388" s="479">
        <f t="shared" si="175"/>
        <v>564704170.88624454</v>
      </c>
      <c r="K2388" s="558">
        <f>'Progetto del paramento slu'!$G$60*(sezione!$AL$36-C2388)/C2388</f>
        <v>-1.1855279729544026E-3</v>
      </c>
      <c r="L2388" s="558">
        <f>'Progetto del paramento slu'!$G$60*(sezione!$AM$36-C2388)/C2388</f>
        <v>5.1792701014209911E-3</v>
      </c>
      <c r="M2388" s="559">
        <f>'Progetto del paramento slu'!$G$60*(sezione!$AN$36-C2388)/C2388</f>
        <v>1.1544068175796384E-2</v>
      </c>
      <c r="N2388" s="559">
        <f>'Progetto del paramento slu'!$G$60*(sezione!$AO$36-C2388)/C2388</f>
        <v>1.6173012229887578E-2</v>
      </c>
      <c r="O2388" s="559">
        <f>'Progetto del paramento slu'!$G$60*(sezione!$AP$36-C2388)/C2388</f>
        <v>1.154458837563899E-2</v>
      </c>
      <c r="P2388" s="553">
        <f>-'Progetto del paramento slu'!$G$47*'Progetto del paramento slu'!$G$41*IF(DATI!$G$218="dx",DATI!$E$61,DATI!$E$64*DATI!$E$63)*1000*C2388*sezione!$AD$5</f>
        <v>-852645.69065414823</v>
      </c>
      <c r="Q2388" s="553">
        <f>'Foglio deposito bis'!$F$88*IF(ABS(K2388)&lt;'Progetto del paramento slu'!$G$58,ABS(K2388)*'Progetto del paramento slu'!$G$54,'Progetto del paramento slu'!$G$53)*IF(K2388&lt;0,-1,1)</f>
        <v>0</v>
      </c>
      <c r="R2388" s="553">
        <f>'Foglio deposito bis'!$F$89*IF(ABS(L2388)&lt;'Progetto del paramento slu'!$G$58,ABS(L2388)*'Progetto del paramento slu'!$G$54,'Progetto del paramento slu'!$G$53)*IF(L2388&lt;0,-1,1)</f>
        <v>153664.85805602249</v>
      </c>
      <c r="S2388" s="553">
        <f>'Foglio deposito bis'!$F$90*IF(ABS(M2388)&lt;'Progetto del paramento slu'!$G$58,ABS(M2388)*'Progetto del paramento slu'!$G$54,'Progetto del paramento slu'!$G$53)*IF(M2388&lt;0,-1,1)</f>
        <v>0</v>
      </c>
      <c r="T2388" s="553">
        <f>'Foglio deposito bis'!$F$91*IF(ABS(N2388)&lt;'Progetto del paramento slu'!$G$58,ABS(N2388)*'Progetto del paramento slu'!$G$54,'Progetto del paramento slu'!$G$53)*IF(N2388&lt;0,-1,1)</f>
        <v>892485.49558937876</v>
      </c>
      <c r="U2388" s="553">
        <f>'Foglio deposito bis'!$F$92*IF(ABS(O2388)&lt;'Progetto del paramento slu'!$G$58,ABS(O2388)*'Progetto del paramento slu'!$G$54,'Progetto del paramento slu'!$G$53)*IF(O2388&lt;0,-1,1)</f>
        <v>1662039.1047339395</v>
      </c>
      <c r="V2388" s="479">
        <f t="shared" si="177"/>
        <v>1855543.7677251925</v>
      </c>
      <c r="W2388" s="559"/>
      <c r="X2388" s="559"/>
    </row>
    <row r="2389" spans="1:24" x14ac:dyDescent="0.25">
      <c r="A2389" s="553">
        <f t="shared" si="176"/>
        <v>1844098.8591258079</v>
      </c>
      <c r="B2389" s="3">
        <f t="shared" si="174"/>
        <v>15.099999999999968</v>
      </c>
      <c r="C2389" s="553">
        <f>'Foglio deposito bis'!$E$162/sezione!$B$247*B2389</f>
        <v>61.300889780888809</v>
      </c>
      <c r="D2389" s="611">
        <f>-'Progetto del paramento slu'!$G$47*'Progetto del paramento slu'!$G$41*IF(DATI!$G$218="dx",DATI!$E$61,DATI!$E$64*DATI!$E$63)*1000*C2389^2*sezione!$AD$5*(1-sezione!$AD$6)</f>
        <v>-30934201.189957101</v>
      </c>
      <c r="E2389" s="553">
        <f>-'Foglio deposito bis'!$F$88*(C2389-sezione!$AL$36)*IF(ABS(K2389)&lt;'Progetto del paramento slu'!$G$58,ABS(K2389)*'Progetto del paramento slu'!$G$54,'Progetto del paramento slu'!$G$53)</f>
        <v>0</v>
      </c>
      <c r="F2389" s="553">
        <f>-'Foglio deposito bis'!$F$89*(C2389-sezione!$AM$36)*IF(ABS(L2389)&lt;'Progetto del paramento slu'!$G$58,ABS(L2389)*'Progetto del paramento slu'!$G$54,'Progetto del paramento slu'!$G$53)</f>
        <v>13629936.181515215</v>
      </c>
      <c r="G2389" s="553">
        <f>-'Foglio deposito bis'!$F$90*(C2389-sezione!$AN$36)*IF(ABS(M2389)&lt;'Progetto del paramento slu'!$G$58,ABS(M2389)*'Progetto del paramento slu'!$G$54,'Progetto del paramento slu'!$G$53)</f>
        <v>0</v>
      </c>
      <c r="H2389" s="553">
        <f>-'Foglio deposito bis'!$F$91*(C2389-sezione!$AO$36)*IF(ABS(N2389)&lt;'Progetto del paramento slu'!$G$58,ABS(N2389)*'Progetto del paramento slu'!$G$54,'Progetto del paramento slu'!$G$53)</f>
        <v>248734913.50422233</v>
      </c>
      <c r="I2389" s="479">
        <f>-'Foglio deposito bis'!$F$92*(C2389-sezione!$AP$36)*IF(ABS(O2389)&lt;'Progetto del paramento slu'!$G$58,ABS(O2389)*'Progetto del paramento slu'!$G$54,'Progetto del paramento slu'!$G$53)</f>
        <v>330260633.63079894</v>
      </c>
      <c r="J2389" s="479">
        <f t="shared" si="175"/>
        <v>561691282.1265794</v>
      </c>
      <c r="K2389" s="558">
        <f>'Progetto del paramento slu'!$G$60*(sezione!$AL$36-C2389)/C2389</f>
        <v>-1.2161832315907681E-3</v>
      </c>
      <c r="L2389" s="558">
        <f>'Progetto del paramento slu'!$G$60*(sezione!$AM$36-C2389)/C2389</f>
        <v>5.0643128815346201E-3</v>
      </c>
      <c r="M2389" s="559">
        <f>'Progetto del paramento slu'!$G$60*(sezione!$AN$36-C2389)/C2389</f>
        <v>1.1344808994660008E-2</v>
      </c>
      <c r="N2389" s="559">
        <f>'Progetto del paramento slu'!$G$60*(sezione!$AO$36-C2389)/C2389</f>
        <v>1.5912442531478471E-2</v>
      </c>
      <c r="O2389" s="559">
        <f>'Progetto del paramento slu'!$G$60*(sezione!$AP$36-C2389)/C2389</f>
        <v>1.1345322304438474E-2</v>
      </c>
      <c r="P2389" s="553">
        <f>-'Progetto del paramento slu'!$G$47*'Progetto del paramento slu'!$G$41*IF(DATI!$G$218="dx",DATI!$E$61,DATI!$E$64*DATI!$E$63)*1000*C2389*sezione!$AD$5</f>
        <v>-864090.59925353283</v>
      </c>
      <c r="Q2389" s="553">
        <f>'Foglio deposito bis'!$F$88*IF(ABS(K2389)&lt;'Progetto del paramento slu'!$G$58,ABS(K2389)*'Progetto del paramento slu'!$G$54,'Progetto del paramento slu'!$G$53)*IF(K2389&lt;0,-1,1)</f>
        <v>0</v>
      </c>
      <c r="R2389" s="553">
        <f>'Foglio deposito bis'!$F$89*IF(ABS(L2389)&lt;'Progetto del paramento slu'!$G$58,ABS(L2389)*'Progetto del paramento slu'!$G$54,'Progetto del paramento slu'!$G$53)*IF(L2389&lt;0,-1,1)</f>
        <v>153664.85805602249</v>
      </c>
      <c r="S2389" s="553">
        <f>'Foglio deposito bis'!$F$90*IF(ABS(M2389)&lt;'Progetto del paramento slu'!$G$58,ABS(M2389)*'Progetto del paramento slu'!$G$54,'Progetto del paramento slu'!$G$53)*IF(M2389&lt;0,-1,1)</f>
        <v>0</v>
      </c>
      <c r="T2389" s="553">
        <f>'Foglio deposito bis'!$F$91*IF(ABS(N2389)&lt;'Progetto del paramento slu'!$G$58,ABS(N2389)*'Progetto del paramento slu'!$G$54,'Progetto del paramento slu'!$G$53)*IF(N2389&lt;0,-1,1)</f>
        <v>892485.49558937876</v>
      </c>
      <c r="U2389" s="553">
        <f>'Foglio deposito bis'!$F$92*IF(ABS(O2389)&lt;'Progetto del paramento slu'!$G$58,ABS(O2389)*'Progetto del paramento slu'!$G$54,'Progetto del paramento slu'!$G$53)*IF(O2389&lt;0,-1,1)</f>
        <v>1662039.1047339395</v>
      </c>
      <c r="V2389" s="479">
        <f t="shared" si="177"/>
        <v>1844098.8591258079</v>
      </c>
      <c r="W2389" s="559"/>
      <c r="X2389" s="559"/>
    </row>
    <row r="2390" spans="1:24" x14ac:dyDescent="0.25">
      <c r="A2390" s="553">
        <f t="shared" si="176"/>
        <v>1832653.9505264233</v>
      </c>
      <c r="B2390" s="3">
        <f t="shared" si="174"/>
        <v>15.299999999999967</v>
      </c>
      <c r="C2390" s="553">
        <f>'Foglio deposito bis'!$E$162/sezione!$B$247*B2390</f>
        <v>62.112822095867472</v>
      </c>
      <c r="D2390" s="611">
        <f>-'Progetto del paramento slu'!$G$47*'Progetto del paramento slu'!$G$41*IF(DATI!$G$218="dx",DATI!$E$61,DATI!$E$64*DATI!$E$63)*1000*C2390^2*sezione!$AD$5*(1-sezione!$AD$6)</f>
        <v>-31759077.042923808</v>
      </c>
      <c r="E2390" s="553">
        <f>-'Foglio deposito bis'!$F$88*(C2390-sezione!$AL$36)*IF(ABS(K2390)&lt;'Progetto del paramento slu'!$G$58,ABS(K2390)*'Progetto del paramento slu'!$G$54,'Progetto del paramento slu'!$G$53)</f>
        <v>0</v>
      </c>
      <c r="F2390" s="553">
        <f>-'Foglio deposito bis'!$F$89*(C2390-sezione!$AM$36)*IF(ABS(L2390)&lt;'Progetto del paramento slu'!$G$58,ABS(L2390)*'Progetto del paramento slu'!$G$54,'Progetto del paramento slu'!$G$53)</f>
        <v>13505170.717582921</v>
      </c>
      <c r="G2390" s="553">
        <f>-'Foglio deposito bis'!$F$90*(C2390-sezione!$AN$36)*IF(ABS(M2390)&lt;'Progetto del paramento slu'!$G$58,ABS(M2390)*'Progetto del paramento slu'!$G$54,'Progetto del paramento slu'!$G$53)</f>
        <v>0</v>
      </c>
      <c r="H2390" s="553">
        <f>-'Foglio deposito bis'!$F$91*(C2390-sezione!$AO$36)*IF(ABS(N2390)&lt;'Progetto del paramento slu'!$G$58,ABS(N2390)*'Progetto del paramento slu'!$G$54,'Progetto del paramento slu'!$G$53)</f>
        <v>248010275.68970358</v>
      </c>
      <c r="I2390" s="479">
        <f>-'Foglio deposito bis'!$F$92*(C2390-sezione!$AP$36)*IF(ABS(O2390)&lt;'Progetto del paramento slu'!$G$58,ABS(O2390)*'Progetto del paramento slu'!$G$54,'Progetto del paramento slu'!$G$53)</f>
        <v>328911170.37290722</v>
      </c>
      <c r="J2390" s="479">
        <f t="shared" si="175"/>
        <v>558667539.73726988</v>
      </c>
      <c r="K2390" s="558">
        <f>'Progetto del paramento slu'!$G$60*(sezione!$AL$36-C2390)/C2390</f>
        <v>-1.2460370455569018E-3</v>
      </c>
      <c r="L2390" s="558">
        <f>'Progetto del paramento slu'!$G$60*(sezione!$AM$36-C2390)/C2390</f>
        <v>4.9523610791616188E-3</v>
      </c>
      <c r="M2390" s="559">
        <f>'Progetto del paramento slu'!$G$60*(sezione!$AN$36-C2390)/C2390</f>
        <v>1.1150759203880138E-2</v>
      </c>
      <c r="N2390" s="559">
        <f>'Progetto del paramento slu'!$G$60*(sezione!$AO$36-C2390)/C2390</f>
        <v>1.5658685112766333E-2</v>
      </c>
      <c r="O2390" s="559">
        <f>'Progetto del paramento slu'!$G$60*(sezione!$AP$36-C2390)/C2390</f>
        <v>1.1151265803726858E-2</v>
      </c>
      <c r="P2390" s="553">
        <f>-'Progetto del paramento slu'!$G$47*'Progetto del paramento slu'!$G$41*IF(DATI!$G$218="dx",DATI!$E$61,DATI!$E$64*DATI!$E$63)*1000*C2390*sezione!$AD$5</f>
        <v>-875535.50785291742</v>
      </c>
      <c r="Q2390" s="553">
        <f>'Foglio deposito bis'!$F$88*IF(ABS(K2390)&lt;'Progetto del paramento slu'!$G$58,ABS(K2390)*'Progetto del paramento slu'!$G$54,'Progetto del paramento slu'!$G$53)*IF(K2390&lt;0,-1,1)</f>
        <v>0</v>
      </c>
      <c r="R2390" s="553">
        <f>'Foglio deposito bis'!$F$89*IF(ABS(L2390)&lt;'Progetto del paramento slu'!$G$58,ABS(L2390)*'Progetto del paramento slu'!$G$54,'Progetto del paramento slu'!$G$53)*IF(L2390&lt;0,-1,1)</f>
        <v>153664.85805602249</v>
      </c>
      <c r="S2390" s="553">
        <f>'Foglio deposito bis'!$F$90*IF(ABS(M2390)&lt;'Progetto del paramento slu'!$G$58,ABS(M2390)*'Progetto del paramento slu'!$G$54,'Progetto del paramento slu'!$G$53)*IF(M2390&lt;0,-1,1)</f>
        <v>0</v>
      </c>
      <c r="T2390" s="553">
        <f>'Foglio deposito bis'!$F$91*IF(ABS(N2390)&lt;'Progetto del paramento slu'!$G$58,ABS(N2390)*'Progetto del paramento slu'!$G$54,'Progetto del paramento slu'!$G$53)*IF(N2390&lt;0,-1,1)</f>
        <v>892485.49558937876</v>
      </c>
      <c r="U2390" s="553">
        <f>'Foglio deposito bis'!$F$92*IF(ABS(O2390)&lt;'Progetto del paramento slu'!$G$58,ABS(O2390)*'Progetto del paramento slu'!$G$54,'Progetto del paramento slu'!$G$53)*IF(O2390&lt;0,-1,1)</f>
        <v>1662039.1047339395</v>
      </c>
      <c r="V2390" s="479">
        <f t="shared" si="177"/>
        <v>1832653.9505264233</v>
      </c>
      <c r="W2390" s="559"/>
      <c r="X2390" s="559"/>
    </row>
    <row r="2391" spans="1:24" x14ac:dyDescent="0.25">
      <c r="A2391" s="553">
        <f t="shared" si="176"/>
        <v>1821209.0419270389</v>
      </c>
      <c r="B2391" s="3">
        <f t="shared" si="174"/>
        <v>15.499999999999966</v>
      </c>
      <c r="C2391" s="553">
        <f>'Foglio deposito bis'!$E$162/sezione!$B$247*B2391</f>
        <v>62.924754410846127</v>
      </c>
      <c r="D2391" s="611">
        <f>-'Progetto del paramento slu'!$G$47*'Progetto del paramento slu'!$G$41*IF(DATI!$G$218="dx",DATI!$E$61,DATI!$E$64*DATI!$E$63)*1000*C2391^2*sezione!$AD$5*(1-sezione!$AD$6)</f>
        <v>-32594806.52553482</v>
      </c>
      <c r="E2391" s="553">
        <f>-'Foglio deposito bis'!$F$88*(C2391-sezione!$AL$36)*IF(ABS(K2391)&lt;'Progetto del paramento slu'!$G$58,ABS(K2391)*'Progetto del paramento slu'!$G$54,'Progetto del paramento slu'!$G$53)</f>
        <v>0</v>
      </c>
      <c r="F2391" s="553">
        <f>-'Foglio deposito bis'!$F$89*(C2391-sezione!$AM$36)*IF(ABS(L2391)&lt;'Progetto del paramento slu'!$G$58,ABS(L2391)*'Progetto del paramento slu'!$G$54,'Progetto del paramento slu'!$G$53)</f>
        <v>13380405.253650626</v>
      </c>
      <c r="G2391" s="553">
        <f>-'Foglio deposito bis'!$F$90*(C2391-sezione!$AN$36)*IF(ABS(M2391)&lt;'Progetto del paramento slu'!$G$58,ABS(M2391)*'Progetto del paramento slu'!$G$54,'Progetto del paramento slu'!$G$53)</f>
        <v>0</v>
      </c>
      <c r="H2391" s="553">
        <f>-'Foglio deposito bis'!$F$91*(C2391-sezione!$AO$36)*IF(ABS(N2391)&lt;'Progetto del paramento slu'!$G$58,ABS(N2391)*'Progetto del paramento slu'!$G$54,'Progetto del paramento slu'!$G$53)</f>
        <v>247285637.87518486</v>
      </c>
      <c r="I2391" s="479">
        <f>-'Foglio deposito bis'!$F$92*(C2391-sezione!$AP$36)*IF(ABS(O2391)&lt;'Progetto del paramento slu'!$G$58,ABS(O2391)*'Progetto del paramento slu'!$G$54,'Progetto del paramento slu'!$G$53)</f>
        <v>327561707.11501557</v>
      </c>
      <c r="J2391" s="479">
        <f t="shared" si="175"/>
        <v>555632943.7183162</v>
      </c>
      <c r="K2391" s="558">
        <f>'Progetto del paramento slu'!$G$60*(sezione!$AL$36-C2391)/C2391</f>
        <v>-1.2751204385174576E-3</v>
      </c>
      <c r="L2391" s="558">
        <f>'Progetto del paramento slu'!$G$60*(sezione!$AM$36-C2391)/C2391</f>
        <v>4.8432983555595334E-3</v>
      </c>
      <c r="M2391" s="559">
        <f>'Progetto del paramento slu'!$G$60*(sezione!$AN$36-C2391)/C2391</f>
        <v>1.0961717149636525E-2</v>
      </c>
      <c r="N2391" s="559">
        <f>'Progetto del paramento slu'!$G$60*(sezione!$AO$36-C2391)/C2391</f>
        <v>1.541147627260161E-2</v>
      </c>
      <c r="O2391" s="559">
        <f>'Progetto del paramento slu'!$G$60*(sezione!$AP$36-C2391)/C2391</f>
        <v>1.0962217212711029E-2</v>
      </c>
      <c r="P2391" s="553">
        <f>-'Progetto del paramento slu'!$G$47*'Progetto del paramento slu'!$G$41*IF(DATI!$G$218="dx",DATI!$E$61,DATI!$E$64*DATI!$E$63)*1000*C2391*sezione!$AD$5</f>
        <v>-886980.41645230178</v>
      </c>
      <c r="Q2391" s="553">
        <f>'Foglio deposito bis'!$F$88*IF(ABS(K2391)&lt;'Progetto del paramento slu'!$G$58,ABS(K2391)*'Progetto del paramento slu'!$G$54,'Progetto del paramento slu'!$G$53)*IF(K2391&lt;0,-1,1)</f>
        <v>0</v>
      </c>
      <c r="R2391" s="553">
        <f>'Foglio deposito bis'!$F$89*IF(ABS(L2391)&lt;'Progetto del paramento slu'!$G$58,ABS(L2391)*'Progetto del paramento slu'!$G$54,'Progetto del paramento slu'!$G$53)*IF(L2391&lt;0,-1,1)</f>
        <v>153664.85805602249</v>
      </c>
      <c r="S2391" s="553">
        <f>'Foglio deposito bis'!$F$90*IF(ABS(M2391)&lt;'Progetto del paramento slu'!$G$58,ABS(M2391)*'Progetto del paramento slu'!$G$54,'Progetto del paramento slu'!$G$53)*IF(M2391&lt;0,-1,1)</f>
        <v>0</v>
      </c>
      <c r="T2391" s="553">
        <f>'Foglio deposito bis'!$F$91*IF(ABS(N2391)&lt;'Progetto del paramento slu'!$G$58,ABS(N2391)*'Progetto del paramento slu'!$G$54,'Progetto del paramento slu'!$G$53)*IF(N2391&lt;0,-1,1)</f>
        <v>892485.49558937876</v>
      </c>
      <c r="U2391" s="553">
        <f>'Foglio deposito bis'!$F$92*IF(ABS(O2391)&lt;'Progetto del paramento slu'!$G$58,ABS(O2391)*'Progetto del paramento slu'!$G$54,'Progetto del paramento slu'!$G$53)*IF(O2391&lt;0,-1,1)</f>
        <v>1662039.1047339395</v>
      </c>
      <c r="V2391" s="479">
        <f t="shared" si="177"/>
        <v>1821209.0419270389</v>
      </c>
      <c r="W2391" s="559"/>
      <c r="X2391" s="559"/>
    </row>
    <row r="2392" spans="1:24" x14ac:dyDescent="0.25">
      <c r="A2392" s="553">
        <f t="shared" si="176"/>
        <v>1809764.1333276546</v>
      </c>
      <c r="B2392" s="3">
        <f t="shared" si="174"/>
        <v>15.699999999999966</v>
      </c>
      <c r="C2392" s="553">
        <f>'Foglio deposito bis'!$E$162/sezione!$B$247*B2392</f>
        <v>63.736686725824782</v>
      </c>
      <c r="D2392" s="611">
        <f>-'Progetto del paramento slu'!$G$47*'Progetto del paramento slu'!$G$41*IF(DATI!$G$218="dx",DATI!$E$61,DATI!$E$64*DATI!$E$63)*1000*C2392^2*sezione!$AD$5*(1-sezione!$AD$6)</f>
        <v>-33441389.637790114</v>
      </c>
      <c r="E2392" s="553">
        <f>-'Foglio deposito bis'!$F$88*(C2392-sezione!$AL$36)*IF(ABS(K2392)&lt;'Progetto del paramento slu'!$G$58,ABS(K2392)*'Progetto del paramento slu'!$G$54,'Progetto del paramento slu'!$G$53)</f>
        <v>0</v>
      </c>
      <c r="F2392" s="553">
        <f>-'Foglio deposito bis'!$F$89*(C2392-sezione!$AM$36)*IF(ABS(L2392)&lt;'Progetto del paramento slu'!$G$58,ABS(L2392)*'Progetto del paramento slu'!$G$54,'Progetto del paramento slu'!$G$53)</f>
        <v>13255639.789718335</v>
      </c>
      <c r="G2392" s="553">
        <f>-'Foglio deposito bis'!$F$90*(C2392-sezione!$AN$36)*IF(ABS(M2392)&lt;'Progetto del paramento slu'!$G$58,ABS(M2392)*'Progetto del paramento slu'!$G$54,'Progetto del paramento slu'!$G$53)</f>
        <v>0</v>
      </c>
      <c r="H2392" s="553">
        <f>-'Foglio deposito bis'!$F$91*(C2392-sezione!$AO$36)*IF(ABS(N2392)&lt;'Progetto del paramento slu'!$G$58,ABS(N2392)*'Progetto del paramento slu'!$G$54,'Progetto del paramento slu'!$G$53)</f>
        <v>246561000.06066605</v>
      </c>
      <c r="I2392" s="479">
        <f>-'Foglio deposito bis'!$F$92*(C2392-sezione!$AP$36)*IF(ABS(O2392)&lt;'Progetto del paramento slu'!$G$58,ABS(O2392)*'Progetto del paramento slu'!$G$54,'Progetto del paramento slu'!$G$53)</f>
        <v>326212243.85712391</v>
      </c>
      <c r="J2392" s="479">
        <f t="shared" si="175"/>
        <v>552587494.06971812</v>
      </c>
      <c r="K2392" s="558">
        <f>'Progetto del paramento slu'!$G$60*(sezione!$AL$36-C2392)/C2392</f>
        <v>-1.3034628533134137E-3</v>
      </c>
      <c r="L2392" s="558">
        <f>'Progetto del paramento slu'!$G$60*(sezione!$AM$36-C2392)/C2392</f>
        <v>4.7370143000746989E-3</v>
      </c>
      <c r="M2392" s="559">
        <f>'Progetto del paramento slu'!$G$60*(sezione!$AN$36-C2392)/C2392</f>
        <v>1.0777491453462814E-2</v>
      </c>
      <c r="N2392" s="559">
        <f>'Progetto del paramento slu'!$G$60*(sezione!$AO$36-C2392)/C2392</f>
        <v>1.5170565746835986E-2</v>
      </c>
      <c r="O2392" s="559">
        <f>'Progetto del paramento slu'!$G$60*(sezione!$AP$36-C2392)/C2392</f>
        <v>1.0777985146307069E-2</v>
      </c>
      <c r="P2392" s="553">
        <f>-'Progetto del paramento slu'!$G$47*'Progetto del paramento slu'!$G$41*IF(DATI!$G$218="dx",DATI!$E$61,DATI!$E$64*DATI!$E$63)*1000*C2392*sezione!$AD$5</f>
        <v>-898425.32505168626</v>
      </c>
      <c r="Q2392" s="553">
        <f>'Foglio deposito bis'!$F$88*IF(ABS(K2392)&lt;'Progetto del paramento slu'!$G$58,ABS(K2392)*'Progetto del paramento slu'!$G$54,'Progetto del paramento slu'!$G$53)*IF(K2392&lt;0,-1,1)</f>
        <v>0</v>
      </c>
      <c r="R2392" s="553">
        <f>'Foglio deposito bis'!$F$89*IF(ABS(L2392)&lt;'Progetto del paramento slu'!$G$58,ABS(L2392)*'Progetto del paramento slu'!$G$54,'Progetto del paramento slu'!$G$53)*IF(L2392&lt;0,-1,1)</f>
        <v>153664.85805602249</v>
      </c>
      <c r="S2392" s="553">
        <f>'Foglio deposito bis'!$F$90*IF(ABS(M2392)&lt;'Progetto del paramento slu'!$G$58,ABS(M2392)*'Progetto del paramento slu'!$G$54,'Progetto del paramento slu'!$G$53)*IF(M2392&lt;0,-1,1)</f>
        <v>0</v>
      </c>
      <c r="T2392" s="553">
        <f>'Foglio deposito bis'!$F$91*IF(ABS(N2392)&lt;'Progetto del paramento slu'!$G$58,ABS(N2392)*'Progetto del paramento slu'!$G$54,'Progetto del paramento slu'!$G$53)*IF(N2392&lt;0,-1,1)</f>
        <v>892485.49558937876</v>
      </c>
      <c r="U2392" s="553">
        <f>'Foglio deposito bis'!$F$92*IF(ABS(O2392)&lt;'Progetto del paramento slu'!$G$58,ABS(O2392)*'Progetto del paramento slu'!$G$54,'Progetto del paramento slu'!$G$53)*IF(O2392&lt;0,-1,1)</f>
        <v>1662039.1047339395</v>
      </c>
      <c r="V2392" s="479">
        <f t="shared" si="177"/>
        <v>1809764.1333276546</v>
      </c>
      <c r="W2392" s="559"/>
      <c r="X2392" s="559"/>
    </row>
    <row r="2393" spans="1:24" x14ac:dyDescent="0.25">
      <c r="A2393" s="553">
        <f t="shared" si="176"/>
        <v>1798319.22472827</v>
      </c>
      <c r="B2393" s="3">
        <f t="shared" si="174"/>
        <v>15.899999999999965</v>
      </c>
      <c r="C2393" s="553">
        <f>'Foglio deposito bis'!$E$162/sezione!$B$247*B2393</f>
        <v>64.548619040803445</v>
      </c>
      <c r="D2393" s="611">
        <f>-'Progetto del paramento slu'!$G$47*'Progetto del paramento slu'!$G$41*IF(DATI!$G$218="dx",DATI!$E$61,DATI!$E$64*DATI!$E$63)*1000*C2393^2*sezione!$AD$5*(1-sezione!$AD$6)</f>
        <v>-34298826.379689731</v>
      </c>
      <c r="E2393" s="553">
        <f>-'Foglio deposito bis'!$F$88*(C2393-sezione!$AL$36)*IF(ABS(K2393)&lt;'Progetto del paramento slu'!$G$58,ABS(K2393)*'Progetto del paramento slu'!$G$54,'Progetto del paramento slu'!$G$53)</f>
        <v>0</v>
      </c>
      <c r="F2393" s="553">
        <f>-'Foglio deposito bis'!$F$89*(C2393-sezione!$AM$36)*IF(ABS(L2393)&lt;'Progetto del paramento slu'!$G$58,ABS(L2393)*'Progetto del paramento slu'!$G$54,'Progetto del paramento slu'!$G$53)</f>
        <v>13130874.325786043</v>
      </c>
      <c r="G2393" s="553">
        <f>-'Foglio deposito bis'!$F$90*(C2393-sezione!$AN$36)*IF(ABS(M2393)&lt;'Progetto del paramento slu'!$G$58,ABS(M2393)*'Progetto del paramento slu'!$G$54,'Progetto del paramento slu'!$G$53)</f>
        <v>0</v>
      </c>
      <c r="H2393" s="553">
        <f>-'Foglio deposito bis'!$F$91*(C2393-sezione!$AO$36)*IF(ABS(N2393)&lt;'Progetto del paramento slu'!$G$58,ABS(N2393)*'Progetto del paramento slu'!$G$54,'Progetto del paramento slu'!$G$53)</f>
        <v>245836362.2461473</v>
      </c>
      <c r="I2393" s="479">
        <f>-'Foglio deposito bis'!$F$92*(C2393-sezione!$AP$36)*IF(ABS(O2393)&lt;'Progetto del paramento slu'!$G$58,ABS(O2393)*'Progetto del paramento slu'!$G$54,'Progetto del paramento slu'!$G$53)</f>
        <v>324862780.59923226</v>
      </c>
      <c r="J2393" s="479">
        <f t="shared" si="175"/>
        <v>549531190.79147589</v>
      </c>
      <c r="K2393" s="558">
        <f>'Progetto del paramento slu'!$G$60*(sezione!$AL$36-C2393)/C2393</f>
        <v>-1.3310922513849431E-3</v>
      </c>
      <c r="L2393" s="558">
        <f>'Progetto del paramento slu'!$G$60*(sezione!$AM$36-C2393)/C2393</f>
        <v>4.6334040573064641E-3</v>
      </c>
      <c r="M2393" s="559">
        <f>'Progetto del paramento slu'!$G$60*(sezione!$AN$36-C2393)/C2393</f>
        <v>1.0597900365997871E-2</v>
      </c>
      <c r="N2393" s="559">
        <f>'Progetto del paramento slu'!$G$60*(sezione!$AO$36-C2393)/C2393</f>
        <v>1.4935715863227986E-2</v>
      </c>
      <c r="O2393" s="559">
        <f>'Progetto del paramento slu'!$G$60*(sezione!$AP$36-C2393)/C2393</f>
        <v>1.0598387848869245E-2</v>
      </c>
      <c r="P2393" s="553">
        <f>-'Progetto del paramento slu'!$G$47*'Progetto del paramento slu'!$G$41*IF(DATI!$G$218="dx",DATI!$E$61,DATI!$E$64*DATI!$E$63)*1000*C2393*sezione!$AD$5</f>
        <v>-909870.23365107086</v>
      </c>
      <c r="Q2393" s="553">
        <f>'Foglio deposito bis'!$F$88*IF(ABS(K2393)&lt;'Progetto del paramento slu'!$G$58,ABS(K2393)*'Progetto del paramento slu'!$G$54,'Progetto del paramento slu'!$G$53)*IF(K2393&lt;0,-1,1)</f>
        <v>0</v>
      </c>
      <c r="R2393" s="553">
        <f>'Foglio deposito bis'!$F$89*IF(ABS(L2393)&lt;'Progetto del paramento slu'!$G$58,ABS(L2393)*'Progetto del paramento slu'!$G$54,'Progetto del paramento slu'!$G$53)*IF(L2393&lt;0,-1,1)</f>
        <v>153664.85805602249</v>
      </c>
      <c r="S2393" s="553">
        <f>'Foglio deposito bis'!$F$90*IF(ABS(M2393)&lt;'Progetto del paramento slu'!$G$58,ABS(M2393)*'Progetto del paramento slu'!$G$54,'Progetto del paramento slu'!$G$53)*IF(M2393&lt;0,-1,1)</f>
        <v>0</v>
      </c>
      <c r="T2393" s="553">
        <f>'Foglio deposito bis'!$F$91*IF(ABS(N2393)&lt;'Progetto del paramento slu'!$G$58,ABS(N2393)*'Progetto del paramento slu'!$G$54,'Progetto del paramento slu'!$G$53)*IF(N2393&lt;0,-1,1)</f>
        <v>892485.49558937876</v>
      </c>
      <c r="U2393" s="553">
        <f>'Foglio deposito bis'!$F$92*IF(ABS(O2393)&lt;'Progetto del paramento slu'!$G$58,ABS(O2393)*'Progetto del paramento slu'!$G$54,'Progetto del paramento slu'!$G$53)*IF(O2393&lt;0,-1,1)</f>
        <v>1662039.1047339395</v>
      </c>
      <c r="V2393" s="479">
        <f t="shared" si="177"/>
        <v>1798319.22472827</v>
      </c>
      <c r="W2393" s="559"/>
      <c r="X2393" s="559"/>
    </row>
    <row r="2394" spans="1:24" x14ac:dyDescent="0.25">
      <c r="A2394" s="553">
        <f t="shared" si="176"/>
        <v>1786874.3161288854</v>
      </c>
      <c r="B2394" s="3">
        <f t="shared" si="174"/>
        <v>16.099999999999966</v>
      </c>
      <c r="C2394" s="553">
        <f>'Foglio deposito bis'!$E$162/sezione!$B$247*B2394</f>
        <v>65.360551355782107</v>
      </c>
      <c r="D2394" s="611">
        <f>-'Progetto del paramento slu'!$G$47*'Progetto del paramento slu'!$G$41*IF(DATI!$G$218="dx",DATI!$E$61,DATI!$E$64*DATI!$E$63)*1000*C2394^2*sezione!$AD$5*(1-sezione!$AD$6)</f>
        <v>-35167116.75123363</v>
      </c>
      <c r="E2394" s="553">
        <f>-'Foglio deposito bis'!$F$88*(C2394-sezione!$AL$36)*IF(ABS(K2394)&lt;'Progetto del paramento slu'!$G$58,ABS(K2394)*'Progetto del paramento slu'!$G$54,'Progetto del paramento slu'!$G$53)</f>
        <v>0</v>
      </c>
      <c r="F2394" s="553">
        <f>-'Foglio deposito bis'!$F$89*(C2394-sezione!$AM$36)*IF(ABS(L2394)&lt;'Progetto del paramento slu'!$G$58,ABS(L2394)*'Progetto del paramento slu'!$G$54,'Progetto del paramento slu'!$G$53)</f>
        <v>13006108.861853749</v>
      </c>
      <c r="G2394" s="553">
        <f>-'Foglio deposito bis'!$F$90*(C2394-sezione!$AN$36)*IF(ABS(M2394)&lt;'Progetto del paramento slu'!$G$58,ABS(M2394)*'Progetto del paramento slu'!$G$54,'Progetto del paramento slu'!$G$53)</f>
        <v>0</v>
      </c>
      <c r="H2394" s="553">
        <f>-'Foglio deposito bis'!$F$91*(C2394-sezione!$AO$36)*IF(ABS(N2394)&lt;'Progetto del paramento slu'!$G$58,ABS(N2394)*'Progetto del paramento slu'!$G$54,'Progetto del paramento slu'!$G$53)</f>
        <v>245111724.43162856</v>
      </c>
      <c r="I2394" s="479">
        <f>-'Foglio deposito bis'!$F$92*(C2394-sezione!$AP$36)*IF(ABS(O2394)&lt;'Progetto del paramento slu'!$G$58,ABS(O2394)*'Progetto del paramento slu'!$G$54,'Progetto del paramento slu'!$G$53)</f>
        <v>323513317.34134054</v>
      </c>
      <c r="J2394" s="479">
        <f t="shared" si="175"/>
        <v>546464033.88358927</v>
      </c>
      <c r="K2394" s="558">
        <f>'Progetto del paramento slu'!$G$60*(sezione!$AL$36-C2394)/C2394</f>
        <v>-1.3580352047838878E-3</v>
      </c>
      <c r="L2394" s="558">
        <f>'Progetto del paramento slu'!$G$60*(sezione!$AM$36-C2394)/C2394</f>
        <v>4.5323679820604207E-3</v>
      </c>
      <c r="M2394" s="559">
        <f>'Progetto del paramento slu'!$G$60*(sezione!$AN$36-C2394)/C2394</f>
        <v>1.042277116890473E-2</v>
      </c>
      <c r="N2394" s="559">
        <f>'Progetto del paramento slu'!$G$60*(sezione!$AO$36-C2394)/C2394</f>
        <v>1.4706700759336954E-2</v>
      </c>
      <c r="O2394" s="559">
        <f>'Progetto del paramento slu'!$G$60*(sezione!$AP$36-C2394)/C2394</f>
        <v>1.042325259608826E-2</v>
      </c>
      <c r="P2394" s="553">
        <f>-'Progetto del paramento slu'!$G$47*'Progetto del paramento slu'!$G$41*IF(DATI!$G$218="dx",DATI!$E$61,DATI!$E$64*DATI!$E$63)*1000*C2394*sezione!$AD$5</f>
        <v>-921315.14225045545</v>
      </c>
      <c r="Q2394" s="553">
        <f>'Foglio deposito bis'!$F$88*IF(ABS(K2394)&lt;'Progetto del paramento slu'!$G$58,ABS(K2394)*'Progetto del paramento slu'!$G$54,'Progetto del paramento slu'!$G$53)*IF(K2394&lt;0,-1,1)</f>
        <v>0</v>
      </c>
      <c r="R2394" s="553">
        <f>'Foglio deposito bis'!$F$89*IF(ABS(L2394)&lt;'Progetto del paramento slu'!$G$58,ABS(L2394)*'Progetto del paramento slu'!$G$54,'Progetto del paramento slu'!$G$53)*IF(L2394&lt;0,-1,1)</f>
        <v>153664.85805602249</v>
      </c>
      <c r="S2394" s="553">
        <f>'Foglio deposito bis'!$F$90*IF(ABS(M2394)&lt;'Progetto del paramento slu'!$G$58,ABS(M2394)*'Progetto del paramento slu'!$G$54,'Progetto del paramento slu'!$G$53)*IF(M2394&lt;0,-1,1)</f>
        <v>0</v>
      </c>
      <c r="T2394" s="553">
        <f>'Foglio deposito bis'!$F$91*IF(ABS(N2394)&lt;'Progetto del paramento slu'!$G$58,ABS(N2394)*'Progetto del paramento slu'!$G$54,'Progetto del paramento slu'!$G$53)*IF(N2394&lt;0,-1,1)</f>
        <v>892485.49558937876</v>
      </c>
      <c r="U2394" s="553">
        <f>'Foglio deposito bis'!$F$92*IF(ABS(O2394)&lt;'Progetto del paramento slu'!$G$58,ABS(O2394)*'Progetto del paramento slu'!$G$54,'Progetto del paramento slu'!$G$53)*IF(O2394&lt;0,-1,1)</f>
        <v>1662039.1047339395</v>
      </c>
      <c r="V2394" s="479">
        <f t="shared" si="177"/>
        <v>1786874.3161288854</v>
      </c>
      <c r="W2394" s="559"/>
      <c r="X2394" s="559"/>
    </row>
    <row r="2395" spans="1:24" x14ac:dyDescent="0.25">
      <c r="A2395" s="553">
        <f t="shared" si="176"/>
        <v>1775429.4075295008</v>
      </c>
      <c r="B2395" s="3">
        <f t="shared" si="174"/>
        <v>16.299999999999965</v>
      </c>
      <c r="C2395" s="553">
        <f>'Foglio deposito bis'!$E$162/sezione!$B$247*B2395</f>
        <v>66.172483670760769</v>
      </c>
      <c r="D2395" s="611">
        <f>-'Progetto del paramento slu'!$G$47*'Progetto del paramento slu'!$G$41*IF(DATI!$G$218="dx",DATI!$E$61,DATI!$E$64*DATI!$E$63)*1000*C2395^2*sezione!$AD$5*(1-sezione!$AD$6)</f>
        <v>-36046260.752421834</v>
      </c>
      <c r="E2395" s="553">
        <f>-'Foglio deposito bis'!$F$88*(C2395-sezione!$AL$36)*IF(ABS(K2395)&lt;'Progetto del paramento slu'!$G$58,ABS(K2395)*'Progetto del paramento slu'!$G$54,'Progetto del paramento slu'!$G$53)</f>
        <v>0</v>
      </c>
      <c r="F2395" s="553">
        <f>-'Foglio deposito bis'!$F$89*(C2395-sezione!$AM$36)*IF(ABS(L2395)&lt;'Progetto del paramento slu'!$G$58,ABS(L2395)*'Progetto del paramento slu'!$G$54,'Progetto del paramento slu'!$G$53)</f>
        <v>12881343.397921454</v>
      </c>
      <c r="G2395" s="553">
        <f>-'Foglio deposito bis'!$F$90*(C2395-sezione!$AN$36)*IF(ABS(M2395)&lt;'Progetto del paramento slu'!$G$58,ABS(M2395)*'Progetto del paramento slu'!$G$54,'Progetto del paramento slu'!$G$53)</f>
        <v>0</v>
      </c>
      <c r="H2395" s="553">
        <f>-'Foglio deposito bis'!$F$91*(C2395-sezione!$AO$36)*IF(ABS(N2395)&lt;'Progetto del paramento slu'!$G$58,ABS(N2395)*'Progetto del paramento slu'!$G$54,'Progetto del paramento slu'!$G$53)</f>
        <v>244387086.61710981</v>
      </c>
      <c r="I2395" s="479">
        <f>-'Foglio deposito bis'!$F$92*(C2395-sezione!$AP$36)*IF(ABS(O2395)&lt;'Progetto del paramento slu'!$G$58,ABS(O2395)*'Progetto del paramento slu'!$G$54,'Progetto del paramento slu'!$G$53)</f>
        <v>322163854.08344883</v>
      </c>
      <c r="J2395" s="479">
        <f t="shared" si="175"/>
        <v>543386023.34605825</v>
      </c>
      <c r="K2395" s="558">
        <f>'Progetto del paramento slu'!$G$60*(sezione!$AL$36-C2395)/C2395</f>
        <v>-1.3843169814123065E-3</v>
      </c>
      <c r="L2395" s="558">
        <f>'Progetto del paramento slu'!$G$60*(sezione!$AM$36-C2395)/C2395</f>
        <v>4.4338113197038512E-3</v>
      </c>
      <c r="M2395" s="559">
        <f>'Progetto del paramento slu'!$G$60*(sezione!$AN$36-C2395)/C2395</f>
        <v>1.0251939620820008E-2</v>
      </c>
      <c r="N2395" s="559">
        <f>'Progetto del paramento slu'!$G$60*(sezione!$AO$36-C2395)/C2395</f>
        <v>1.4483305657995396E-2</v>
      </c>
      <c r="O2395" s="559">
        <f>'Progetto del paramento slu'!$G$60*(sezione!$AP$36-C2395)/C2395</f>
        <v>1.025241514092153E-2</v>
      </c>
      <c r="P2395" s="553">
        <f>-'Progetto del paramento slu'!$G$47*'Progetto del paramento slu'!$G$41*IF(DATI!$G$218="dx",DATI!$E$61,DATI!$E$64*DATI!$E$63)*1000*C2395*sezione!$AD$5</f>
        <v>-932760.05084984004</v>
      </c>
      <c r="Q2395" s="553">
        <f>'Foglio deposito bis'!$F$88*IF(ABS(K2395)&lt;'Progetto del paramento slu'!$G$58,ABS(K2395)*'Progetto del paramento slu'!$G$54,'Progetto del paramento slu'!$G$53)*IF(K2395&lt;0,-1,1)</f>
        <v>0</v>
      </c>
      <c r="R2395" s="553">
        <f>'Foglio deposito bis'!$F$89*IF(ABS(L2395)&lt;'Progetto del paramento slu'!$G$58,ABS(L2395)*'Progetto del paramento slu'!$G$54,'Progetto del paramento slu'!$G$53)*IF(L2395&lt;0,-1,1)</f>
        <v>153664.85805602249</v>
      </c>
      <c r="S2395" s="553">
        <f>'Foglio deposito bis'!$F$90*IF(ABS(M2395)&lt;'Progetto del paramento slu'!$G$58,ABS(M2395)*'Progetto del paramento slu'!$G$54,'Progetto del paramento slu'!$G$53)*IF(M2395&lt;0,-1,1)</f>
        <v>0</v>
      </c>
      <c r="T2395" s="553">
        <f>'Foglio deposito bis'!$F$91*IF(ABS(N2395)&lt;'Progetto del paramento slu'!$G$58,ABS(N2395)*'Progetto del paramento slu'!$G$54,'Progetto del paramento slu'!$G$53)*IF(N2395&lt;0,-1,1)</f>
        <v>892485.49558937876</v>
      </c>
      <c r="U2395" s="553">
        <f>'Foglio deposito bis'!$F$92*IF(ABS(O2395)&lt;'Progetto del paramento slu'!$G$58,ABS(O2395)*'Progetto del paramento slu'!$G$54,'Progetto del paramento slu'!$G$53)*IF(O2395&lt;0,-1,1)</f>
        <v>1662039.1047339395</v>
      </c>
      <c r="V2395" s="479">
        <f t="shared" si="177"/>
        <v>1775429.4075295008</v>
      </c>
      <c r="W2395" s="559"/>
      <c r="X2395" s="559"/>
    </row>
    <row r="2396" spans="1:24" x14ac:dyDescent="0.25">
      <c r="A2396" s="553">
        <f t="shared" si="176"/>
        <v>1763984.4989301162</v>
      </c>
      <c r="B2396" s="3">
        <f t="shared" si="174"/>
        <v>16.499999999999964</v>
      </c>
      <c r="C2396" s="553">
        <f>'Foglio deposito bis'!$E$162/sezione!$B$247*B2396</f>
        <v>66.984415985739432</v>
      </c>
      <c r="D2396" s="611">
        <f>-'Progetto del paramento slu'!$G$47*'Progetto del paramento slu'!$G$41*IF(DATI!$G$218="dx",DATI!$E$61,DATI!$E$64*DATI!$E$63)*1000*C2396^2*sezione!$AD$5*(1-sezione!$AD$6)</f>
        <v>-36936258.383254334</v>
      </c>
      <c r="E2396" s="553">
        <f>-'Foglio deposito bis'!$F$88*(C2396-sezione!$AL$36)*IF(ABS(K2396)&lt;'Progetto del paramento slu'!$G$58,ABS(K2396)*'Progetto del paramento slu'!$G$54,'Progetto del paramento slu'!$G$53)</f>
        <v>0</v>
      </c>
      <c r="F2396" s="553">
        <f>-'Foglio deposito bis'!$F$89*(C2396-sezione!$AM$36)*IF(ABS(L2396)&lt;'Progetto del paramento slu'!$G$58,ABS(L2396)*'Progetto del paramento slu'!$G$54,'Progetto del paramento slu'!$G$53)</f>
        <v>12756577.93398916</v>
      </c>
      <c r="G2396" s="553">
        <f>-'Foglio deposito bis'!$F$90*(C2396-sezione!$AN$36)*IF(ABS(M2396)&lt;'Progetto del paramento slu'!$G$58,ABS(M2396)*'Progetto del paramento slu'!$G$54,'Progetto del paramento slu'!$G$53)</f>
        <v>0</v>
      </c>
      <c r="H2396" s="553">
        <f>-'Foglio deposito bis'!$F$91*(C2396-sezione!$AO$36)*IF(ABS(N2396)&lt;'Progetto del paramento slu'!$G$58,ABS(N2396)*'Progetto del paramento slu'!$G$54,'Progetto del paramento slu'!$G$53)</f>
        <v>243662448.80259103</v>
      </c>
      <c r="I2396" s="479">
        <f>-'Foglio deposito bis'!$F$92*(C2396-sezione!$AP$36)*IF(ABS(O2396)&lt;'Progetto del paramento slu'!$G$58,ABS(O2396)*'Progetto del paramento slu'!$G$54,'Progetto del paramento slu'!$G$53)</f>
        <v>320814390.82555717</v>
      </c>
      <c r="J2396" s="479">
        <f t="shared" si="175"/>
        <v>540297159.17888308</v>
      </c>
      <c r="K2396" s="558">
        <f>'Progetto del paramento slu'!$G$60*(sezione!$AL$36-C2396)/C2396</f>
        <v>-1.4099616240618544E-3</v>
      </c>
      <c r="L2396" s="558">
        <f>'Progetto del paramento slu'!$G$60*(sezione!$AM$36-C2396)/C2396</f>
        <v>4.337643909768046E-3</v>
      </c>
      <c r="M2396" s="559">
        <f>'Progetto del paramento slu'!$G$60*(sezione!$AN$36-C2396)/C2396</f>
        <v>1.0085249443597946E-2</v>
      </c>
      <c r="N2396" s="559">
        <f>'Progetto del paramento slu'!$G$60*(sezione!$AO$36-C2396)/C2396</f>
        <v>1.4265326195474238E-2</v>
      </c>
      <c r="O2396" s="559">
        <f>'Progetto del paramento slu'!$G$60*(sezione!$AP$36-C2396)/C2396</f>
        <v>1.0085719199819451E-2</v>
      </c>
      <c r="P2396" s="553">
        <f>-'Progetto del paramento slu'!$G$47*'Progetto del paramento slu'!$G$41*IF(DATI!$G$218="dx",DATI!$E$61,DATI!$E$64*DATI!$E$63)*1000*C2396*sezione!$AD$5</f>
        <v>-944204.95944922464</v>
      </c>
      <c r="Q2396" s="553">
        <f>'Foglio deposito bis'!$F$88*IF(ABS(K2396)&lt;'Progetto del paramento slu'!$G$58,ABS(K2396)*'Progetto del paramento slu'!$G$54,'Progetto del paramento slu'!$G$53)*IF(K2396&lt;0,-1,1)</f>
        <v>0</v>
      </c>
      <c r="R2396" s="553">
        <f>'Foglio deposito bis'!$F$89*IF(ABS(L2396)&lt;'Progetto del paramento slu'!$G$58,ABS(L2396)*'Progetto del paramento slu'!$G$54,'Progetto del paramento slu'!$G$53)*IF(L2396&lt;0,-1,1)</f>
        <v>153664.85805602249</v>
      </c>
      <c r="S2396" s="553">
        <f>'Foglio deposito bis'!$F$90*IF(ABS(M2396)&lt;'Progetto del paramento slu'!$G$58,ABS(M2396)*'Progetto del paramento slu'!$G$54,'Progetto del paramento slu'!$G$53)*IF(M2396&lt;0,-1,1)</f>
        <v>0</v>
      </c>
      <c r="T2396" s="553">
        <f>'Foglio deposito bis'!$F$91*IF(ABS(N2396)&lt;'Progetto del paramento slu'!$G$58,ABS(N2396)*'Progetto del paramento slu'!$G$54,'Progetto del paramento slu'!$G$53)*IF(N2396&lt;0,-1,1)</f>
        <v>892485.49558937876</v>
      </c>
      <c r="U2396" s="553">
        <f>'Foglio deposito bis'!$F$92*IF(ABS(O2396)&lt;'Progetto del paramento slu'!$G$58,ABS(O2396)*'Progetto del paramento slu'!$G$54,'Progetto del paramento slu'!$G$53)*IF(O2396&lt;0,-1,1)</f>
        <v>1662039.1047339395</v>
      </c>
      <c r="V2396" s="479">
        <f t="shared" si="177"/>
        <v>1763984.4989301162</v>
      </c>
      <c r="W2396" s="559"/>
      <c r="X2396" s="559"/>
    </row>
    <row r="2397" spans="1:24" x14ac:dyDescent="0.25">
      <c r="A2397" s="553">
        <f t="shared" si="176"/>
        <v>1752539.5903307318</v>
      </c>
      <c r="B2397" s="3">
        <f t="shared" si="174"/>
        <v>16.699999999999964</v>
      </c>
      <c r="C2397" s="553">
        <f>'Foglio deposito bis'!$E$162/sezione!$B$247*B2397</f>
        <v>67.79634830071808</v>
      </c>
      <c r="D2397" s="611">
        <f>-'Progetto del paramento slu'!$G$47*'Progetto del paramento slu'!$G$41*IF(DATI!$G$218="dx",DATI!$E$61,DATI!$E$64*DATI!$E$63)*1000*C2397^2*sezione!$AD$5*(1-sezione!$AD$6)</f>
        <v>-37837109.643731125</v>
      </c>
      <c r="E2397" s="553">
        <f>-'Foglio deposito bis'!$F$88*(C2397-sezione!$AL$36)*IF(ABS(K2397)&lt;'Progetto del paramento slu'!$G$58,ABS(K2397)*'Progetto del paramento slu'!$G$54,'Progetto del paramento slu'!$G$53)</f>
        <v>0</v>
      </c>
      <c r="F2397" s="553">
        <f>-'Foglio deposito bis'!$F$89*(C2397-sezione!$AM$36)*IF(ABS(L2397)&lt;'Progetto del paramento slu'!$G$58,ABS(L2397)*'Progetto del paramento slu'!$G$54,'Progetto del paramento slu'!$G$53)</f>
        <v>12631812.470056869</v>
      </c>
      <c r="G2397" s="553">
        <f>-'Foglio deposito bis'!$F$90*(C2397-sezione!$AN$36)*IF(ABS(M2397)&lt;'Progetto del paramento slu'!$G$58,ABS(M2397)*'Progetto del paramento slu'!$G$54,'Progetto del paramento slu'!$G$53)</f>
        <v>0</v>
      </c>
      <c r="H2397" s="553">
        <f>-'Foglio deposito bis'!$F$91*(C2397-sezione!$AO$36)*IF(ABS(N2397)&lt;'Progetto del paramento slu'!$G$58,ABS(N2397)*'Progetto del paramento slu'!$G$54,'Progetto del paramento slu'!$G$53)</f>
        <v>242937810.98807228</v>
      </c>
      <c r="I2397" s="479">
        <f>-'Foglio deposito bis'!$F$92*(C2397-sezione!$AP$36)*IF(ABS(O2397)&lt;'Progetto del paramento slu'!$G$58,ABS(O2397)*'Progetto del paramento slu'!$G$54,'Progetto del paramento slu'!$G$53)</f>
        <v>319464927.56766546</v>
      </c>
      <c r="J2397" s="479">
        <f t="shared" si="175"/>
        <v>537197441.38206351</v>
      </c>
      <c r="K2397" s="558">
        <f>'Progetto del paramento slu'!$G$60*(sezione!$AL$36-C2397)/C2397</f>
        <v>-1.434992023773688E-3</v>
      </c>
      <c r="L2397" s="558">
        <f>'Progetto del paramento slu'!$G$60*(sezione!$AM$36-C2397)/C2397</f>
        <v>4.2437799108486695E-3</v>
      </c>
      <c r="M2397" s="559">
        <f>'Progetto del paramento slu'!$G$60*(sezione!$AN$36-C2397)/C2397</f>
        <v>9.9225518454710282E-3</v>
      </c>
      <c r="N2397" s="559">
        <f>'Progetto del paramento slu'!$G$60*(sezione!$AO$36-C2397)/C2397</f>
        <v>1.4052567797923653E-2</v>
      </c>
      <c r="O2397" s="559">
        <f>'Progetto del paramento slu'!$G$60*(sezione!$AP$36-C2397)/C2397</f>
        <v>9.9230159758695192E-3</v>
      </c>
      <c r="P2397" s="553">
        <f>-'Progetto del paramento slu'!$G$47*'Progetto del paramento slu'!$G$41*IF(DATI!$G$218="dx",DATI!$E$61,DATI!$E$64*DATI!$E$63)*1000*C2397*sezione!$AD$5</f>
        <v>-955649.868048609</v>
      </c>
      <c r="Q2397" s="553">
        <f>'Foglio deposito bis'!$F$88*IF(ABS(K2397)&lt;'Progetto del paramento slu'!$G$58,ABS(K2397)*'Progetto del paramento slu'!$G$54,'Progetto del paramento slu'!$G$53)*IF(K2397&lt;0,-1,1)</f>
        <v>0</v>
      </c>
      <c r="R2397" s="553">
        <f>'Foglio deposito bis'!$F$89*IF(ABS(L2397)&lt;'Progetto del paramento slu'!$G$58,ABS(L2397)*'Progetto del paramento slu'!$G$54,'Progetto del paramento slu'!$G$53)*IF(L2397&lt;0,-1,1)</f>
        <v>153664.85805602249</v>
      </c>
      <c r="S2397" s="553">
        <f>'Foglio deposito bis'!$F$90*IF(ABS(M2397)&lt;'Progetto del paramento slu'!$G$58,ABS(M2397)*'Progetto del paramento slu'!$G$54,'Progetto del paramento slu'!$G$53)*IF(M2397&lt;0,-1,1)</f>
        <v>0</v>
      </c>
      <c r="T2397" s="553">
        <f>'Foglio deposito bis'!$F$91*IF(ABS(N2397)&lt;'Progetto del paramento slu'!$G$58,ABS(N2397)*'Progetto del paramento slu'!$G$54,'Progetto del paramento slu'!$G$53)*IF(N2397&lt;0,-1,1)</f>
        <v>892485.49558937876</v>
      </c>
      <c r="U2397" s="553">
        <f>'Foglio deposito bis'!$F$92*IF(ABS(O2397)&lt;'Progetto del paramento slu'!$G$58,ABS(O2397)*'Progetto del paramento slu'!$G$54,'Progetto del paramento slu'!$G$53)*IF(O2397&lt;0,-1,1)</f>
        <v>1662039.1047339395</v>
      </c>
      <c r="V2397" s="479">
        <f t="shared" si="177"/>
        <v>1752539.5903307318</v>
      </c>
      <c r="W2397" s="559"/>
      <c r="X2397" s="559"/>
    </row>
    <row r="2398" spans="1:24" x14ac:dyDescent="0.25">
      <c r="A2398" s="553">
        <f t="shared" si="176"/>
        <v>1741094.6817313472</v>
      </c>
      <c r="B2398" s="3">
        <f t="shared" si="174"/>
        <v>16.899999999999963</v>
      </c>
      <c r="C2398" s="553">
        <f>'Foglio deposito bis'!$E$162/sezione!$B$247*B2398</f>
        <v>68.608280615696742</v>
      </c>
      <c r="D2398" s="611">
        <f>-'Progetto del paramento slu'!$G$47*'Progetto del paramento slu'!$G$41*IF(DATI!$G$218="dx",DATI!$E$61,DATI!$E$64*DATI!$E$63)*1000*C2398^2*sezione!$AD$5*(1-sezione!$AD$6)</f>
        <v>-38748814.53385222</v>
      </c>
      <c r="E2398" s="553">
        <f>-'Foglio deposito bis'!$F$88*(C2398-sezione!$AL$36)*IF(ABS(K2398)&lt;'Progetto del paramento slu'!$G$58,ABS(K2398)*'Progetto del paramento slu'!$G$54,'Progetto del paramento slu'!$G$53)</f>
        <v>0</v>
      </c>
      <c r="F2398" s="553">
        <f>-'Foglio deposito bis'!$F$89*(C2398-sezione!$AM$36)*IF(ABS(L2398)&lt;'Progetto del paramento slu'!$G$58,ABS(L2398)*'Progetto del paramento slu'!$G$54,'Progetto del paramento slu'!$G$53)</f>
        <v>12507047.006124575</v>
      </c>
      <c r="G2398" s="553">
        <f>-'Foglio deposito bis'!$F$90*(C2398-sezione!$AN$36)*IF(ABS(M2398)&lt;'Progetto del paramento slu'!$G$58,ABS(M2398)*'Progetto del paramento slu'!$G$54,'Progetto del paramento slu'!$G$53)</f>
        <v>0</v>
      </c>
      <c r="H2398" s="553">
        <f>-'Foglio deposito bis'!$F$91*(C2398-sezione!$AO$36)*IF(ABS(N2398)&lt;'Progetto del paramento slu'!$G$58,ABS(N2398)*'Progetto del paramento slu'!$G$54,'Progetto del paramento slu'!$G$53)</f>
        <v>242213173.17355353</v>
      </c>
      <c r="I2398" s="479">
        <f>-'Foglio deposito bis'!$F$92*(C2398-sezione!$AP$36)*IF(ABS(O2398)&lt;'Progetto del paramento slu'!$G$58,ABS(O2398)*'Progetto del paramento slu'!$G$54,'Progetto del paramento slu'!$G$53)</f>
        <v>318115464.30977374</v>
      </c>
      <c r="J2398" s="479">
        <f t="shared" si="175"/>
        <v>534086869.95559967</v>
      </c>
      <c r="K2398" s="558">
        <f>'Progetto del paramento slu'!$G$60*(sezione!$AL$36-C2398)/C2398</f>
        <v>-1.4594299879893842E-3</v>
      </c>
      <c r="L2398" s="558">
        <f>'Progetto del paramento slu'!$G$60*(sezione!$AM$36-C2398)/C2398</f>
        <v>4.1521375450398095E-3</v>
      </c>
      <c r="M2398" s="559">
        <f>'Progetto del paramento slu'!$G$60*(sezione!$AN$36-C2398)/C2398</f>
        <v>9.7637050780690036E-3</v>
      </c>
      <c r="N2398" s="559">
        <f>'Progetto del paramento slu'!$G$60*(sezione!$AO$36-C2398)/C2398</f>
        <v>1.3844845102090235E-2</v>
      </c>
      <c r="O2398" s="559">
        <f>'Progetto del paramento slu'!$G$60*(sezione!$AP$36-C2398)/C2398</f>
        <v>9.7641637158000574E-3</v>
      </c>
      <c r="P2398" s="553">
        <f>-'Progetto del paramento slu'!$G$47*'Progetto del paramento slu'!$G$41*IF(DATI!$G$218="dx",DATI!$E$61,DATI!$E$64*DATI!$E$63)*1000*C2398*sezione!$AD$5</f>
        <v>-967094.7766479936</v>
      </c>
      <c r="Q2398" s="553">
        <f>'Foglio deposito bis'!$F$88*IF(ABS(K2398)&lt;'Progetto del paramento slu'!$G$58,ABS(K2398)*'Progetto del paramento slu'!$G$54,'Progetto del paramento slu'!$G$53)*IF(K2398&lt;0,-1,1)</f>
        <v>0</v>
      </c>
      <c r="R2398" s="553">
        <f>'Foglio deposito bis'!$F$89*IF(ABS(L2398)&lt;'Progetto del paramento slu'!$G$58,ABS(L2398)*'Progetto del paramento slu'!$G$54,'Progetto del paramento slu'!$G$53)*IF(L2398&lt;0,-1,1)</f>
        <v>153664.85805602249</v>
      </c>
      <c r="S2398" s="553">
        <f>'Foglio deposito bis'!$F$90*IF(ABS(M2398)&lt;'Progetto del paramento slu'!$G$58,ABS(M2398)*'Progetto del paramento slu'!$G$54,'Progetto del paramento slu'!$G$53)*IF(M2398&lt;0,-1,1)</f>
        <v>0</v>
      </c>
      <c r="T2398" s="553">
        <f>'Foglio deposito bis'!$F$91*IF(ABS(N2398)&lt;'Progetto del paramento slu'!$G$58,ABS(N2398)*'Progetto del paramento slu'!$G$54,'Progetto del paramento slu'!$G$53)*IF(N2398&lt;0,-1,1)</f>
        <v>892485.49558937876</v>
      </c>
      <c r="U2398" s="553">
        <f>'Foglio deposito bis'!$F$92*IF(ABS(O2398)&lt;'Progetto del paramento slu'!$G$58,ABS(O2398)*'Progetto del paramento slu'!$G$54,'Progetto del paramento slu'!$G$53)*IF(O2398&lt;0,-1,1)</f>
        <v>1662039.1047339395</v>
      </c>
      <c r="V2398" s="479">
        <f t="shared" si="177"/>
        <v>1741094.6817313472</v>
      </c>
      <c r="W2398" s="559"/>
      <c r="X2398" s="559"/>
    </row>
    <row r="2399" spans="1:24" x14ac:dyDescent="0.25">
      <c r="A2399" s="553">
        <f t="shared" si="176"/>
        <v>1729649.7731319626</v>
      </c>
      <c r="B2399" s="3">
        <f t="shared" si="174"/>
        <v>17.099999999999962</v>
      </c>
      <c r="C2399" s="553">
        <f>'Foglio deposito bis'!$E$162/sezione!$B$247*B2399</f>
        <v>69.420212930675405</v>
      </c>
      <c r="D2399" s="611">
        <f>-'Progetto del paramento slu'!$G$47*'Progetto del paramento slu'!$G$41*IF(DATI!$G$218="dx",DATI!$E$61,DATI!$E$64*DATI!$E$63)*1000*C2399^2*sezione!$AD$5*(1-sezione!$AD$6)</f>
        <v>-39671373.053617619</v>
      </c>
      <c r="E2399" s="553">
        <f>-'Foglio deposito bis'!$F$88*(C2399-sezione!$AL$36)*IF(ABS(K2399)&lt;'Progetto del paramento slu'!$G$58,ABS(K2399)*'Progetto del paramento slu'!$G$54,'Progetto del paramento slu'!$G$53)</f>
        <v>0</v>
      </c>
      <c r="F2399" s="553">
        <f>-'Foglio deposito bis'!$F$89*(C2399-sezione!$AM$36)*IF(ABS(L2399)&lt;'Progetto del paramento slu'!$G$58,ABS(L2399)*'Progetto del paramento slu'!$G$54,'Progetto del paramento slu'!$G$53)</f>
        <v>12382281.54219228</v>
      </c>
      <c r="G2399" s="553">
        <f>-'Foglio deposito bis'!$F$90*(C2399-sezione!$AN$36)*IF(ABS(M2399)&lt;'Progetto del paramento slu'!$G$58,ABS(M2399)*'Progetto del paramento slu'!$G$54,'Progetto del paramento slu'!$G$53)</f>
        <v>0</v>
      </c>
      <c r="H2399" s="553">
        <f>-'Foglio deposito bis'!$F$91*(C2399-sezione!$AO$36)*IF(ABS(N2399)&lt;'Progetto del paramento slu'!$G$58,ABS(N2399)*'Progetto del paramento slu'!$G$54,'Progetto del paramento slu'!$G$53)</f>
        <v>241488535.35903478</v>
      </c>
      <c r="I2399" s="479">
        <f>-'Foglio deposito bis'!$F$92*(C2399-sezione!$AP$36)*IF(ABS(O2399)&lt;'Progetto del paramento slu'!$G$58,ABS(O2399)*'Progetto del paramento slu'!$G$54,'Progetto del paramento slu'!$G$53)</f>
        <v>316766001.05188209</v>
      </c>
      <c r="J2399" s="479">
        <f t="shared" si="175"/>
        <v>530965444.89949155</v>
      </c>
      <c r="K2399" s="558">
        <f>'Progetto del paramento slu'!$G$60*(sezione!$AL$36-C2399)/C2399</f>
        <v>-1.4832963039193331E-3</v>
      </c>
      <c r="L2399" s="558">
        <f>'Progetto del paramento slu'!$G$60*(sezione!$AM$36-C2399)/C2399</f>
        <v>4.0626388603025006E-3</v>
      </c>
      <c r="M2399" s="559">
        <f>'Progetto del paramento slu'!$G$60*(sezione!$AN$36-C2399)/C2399</f>
        <v>9.6085740245243356E-3</v>
      </c>
      <c r="N2399" s="559">
        <f>'Progetto del paramento slu'!$G$60*(sezione!$AO$36-C2399)/C2399</f>
        <v>1.364198141668567E-2</v>
      </c>
      <c r="O2399" s="559">
        <f>'Progetto del paramento slu'!$G$60*(sezione!$AP$36-C2399)/C2399</f>
        <v>9.6090272980714018E-3</v>
      </c>
      <c r="P2399" s="553">
        <f>-'Progetto del paramento slu'!$G$47*'Progetto del paramento slu'!$G$41*IF(DATI!$G$218="dx",DATI!$E$61,DATI!$E$64*DATI!$E$63)*1000*C2399*sezione!$AD$5</f>
        <v>-978539.68524737819</v>
      </c>
      <c r="Q2399" s="553">
        <f>'Foglio deposito bis'!$F$88*IF(ABS(K2399)&lt;'Progetto del paramento slu'!$G$58,ABS(K2399)*'Progetto del paramento slu'!$G$54,'Progetto del paramento slu'!$G$53)*IF(K2399&lt;0,-1,1)</f>
        <v>0</v>
      </c>
      <c r="R2399" s="553">
        <f>'Foglio deposito bis'!$F$89*IF(ABS(L2399)&lt;'Progetto del paramento slu'!$G$58,ABS(L2399)*'Progetto del paramento slu'!$G$54,'Progetto del paramento slu'!$G$53)*IF(L2399&lt;0,-1,1)</f>
        <v>153664.85805602249</v>
      </c>
      <c r="S2399" s="553">
        <f>'Foglio deposito bis'!$F$90*IF(ABS(M2399)&lt;'Progetto del paramento slu'!$G$58,ABS(M2399)*'Progetto del paramento slu'!$G$54,'Progetto del paramento slu'!$G$53)*IF(M2399&lt;0,-1,1)</f>
        <v>0</v>
      </c>
      <c r="T2399" s="553">
        <f>'Foglio deposito bis'!$F$91*IF(ABS(N2399)&lt;'Progetto del paramento slu'!$G$58,ABS(N2399)*'Progetto del paramento slu'!$G$54,'Progetto del paramento slu'!$G$53)*IF(N2399&lt;0,-1,1)</f>
        <v>892485.49558937876</v>
      </c>
      <c r="U2399" s="553">
        <f>'Foglio deposito bis'!$F$92*IF(ABS(O2399)&lt;'Progetto del paramento slu'!$G$58,ABS(O2399)*'Progetto del paramento slu'!$G$54,'Progetto del paramento slu'!$G$53)*IF(O2399&lt;0,-1,1)</f>
        <v>1662039.1047339395</v>
      </c>
      <c r="V2399" s="479">
        <f t="shared" si="177"/>
        <v>1729649.7731319626</v>
      </c>
      <c r="W2399" s="559"/>
      <c r="X2399" s="559"/>
    </row>
    <row r="2400" spans="1:24" x14ac:dyDescent="0.25">
      <c r="A2400" s="553">
        <f t="shared" si="176"/>
        <v>1718204.864532578</v>
      </c>
      <c r="B2400" s="3">
        <f t="shared" si="174"/>
        <v>17.299999999999962</v>
      </c>
      <c r="C2400" s="553">
        <f>'Foglio deposito bis'!$E$162/sezione!$B$247*B2400</f>
        <v>70.232145245654067</v>
      </c>
      <c r="D2400" s="611">
        <f>-'Progetto del paramento slu'!$G$47*'Progetto del paramento slu'!$G$41*IF(DATI!$G$218="dx",DATI!$E$61,DATI!$E$64*DATI!$E$63)*1000*C2400^2*sezione!$AD$5*(1-sezione!$AD$6)</f>
        <v>-40604785.20302733</v>
      </c>
      <c r="E2400" s="553">
        <f>-'Foglio deposito bis'!$F$88*(C2400-sezione!$AL$36)*IF(ABS(K2400)&lt;'Progetto del paramento slu'!$G$58,ABS(K2400)*'Progetto del paramento slu'!$G$54,'Progetto del paramento slu'!$G$53)</f>
        <v>0</v>
      </c>
      <c r="F2400" s="553">
        <f>-'Foglio deposito bis'!$F$89*(C2400-sezione!$AM$36)*IF(ABS(L2400)&lt;'Progetto del paramento slu'!$G$58,ABS(L2400)*'Progetto del paramento slu'!$G$54,'Progetto del paramento slu'!$G$53)</f>
        <v>12257516.078259986</v>
      </c>
      <c r="G2400" s="553">
        <f>-'Foglio deposito bis'!$F$90*(C2400-sezione!$AN$36)*IF(ABS(M2400)&lt;'Progetto del paramento slu'!$G$58,ABS(M2400)*'Progetto del paramento slu'!$G$54,'Progetto del paramento slu'!$G$53)</f>
        <v>0</v>
      </c>
      <c r="H2400" s="553">
        <f>-'Foglio deposito bis'!$F$91*(C2400-sezione!$AO$36)*IF(ABS(N2400)&lt;'Progetto del paramento slu'!$G$58,ABS(N2400)*'Progetto del paramento slu'!$G$54,'Progetto del paramento slu'!$G$53)</f>
        <v>240763897.544516</v>
      </c>
      <c r="I2400" s="479">
        <f>-'Foglio deposito bis'!$F$92*(C2400-sezione!$AP$36)*IF(ABS(O2400)&lt;'Progetto del paramento slu'!$G$58,ABS(O2400)*'Progetto del paramento slu'!$G$54,'Progetto del paramento slu'!$G$53)</f>
        <v>315416537.79399037</v>
      </c>
      <c r="J2400" s="479">
        <f t="shared" si="175"/>
        <v>527833166.21373904</v>
      </c>
      <c r="K2400" s="558">
        <f>'Progetto del paramento slu'!$G$60*(sezione!$AL$36-C2400)/C2400</f>
        <v>-1.5066107975156414E-3</v>
      </c>
      <c r="L2400" s="558">
        <f>'Progetto del paramento slu'!$G$60*(sezione!$AM$36-C2400)/C2400</f>
        <v>3.9752095093163447E-3</v>
      </c>
      <c r="M2400" s="559">
        <f>'Progetto del paramento slu'!$G$60*(sezione!$AN$36-C2400)/C2400</f>
        <v>9.45702981614833E-3</v>
      </c>
      <c r="N2400" s="559">
        <f>'Progetto del paramento slu'!$G$60*(sezione!$AO$36-C2400)/C2400</f>
        <v>1.3443808221117048E-2</v>
      </c>
      <c r="O2400" s="559">
        <f>'Progetto del paramento slu'!$G$60*(sezione!$AP$36-C2400)/C2400</f>
        <v>9.4574778495387837E-3</v>
      </c>
      <c r="P2400" s="553">
        <f>-'Progetto del paramento slu'!$G$47*'Progetto del paramento slu'!$G$41*IF(DATI!$G$218="dx",DATI!$E$61,DATI!$E$64*DATI!$E$63)*1000*C2400*sezione!$AD$5</f>
        <v>-989984.59384676279</v>
      </c>
      <c r="Q2400" s="553">
        <f>'Foglio deposito bis'!$F$88*IF(ABS(K2400)&lt;'Progetto del paramento slu'!$G$58,ABS(K2400)*'Progetto del paramento slu'!$G$54,'Progetto del paramento slu'!$G$53)*IF(K2400&lt;0,-1,1)</f>
        <v>0</v>
      </c>
      <c r="R2400" s="553">
        <f>'Foglio deposito bis'!$F$89*IF(ABS(L2400)&lt;'Progetto del paramento slu'!$G$58,ABS(L2400)*'Progetto del paramento slu'!$G$54,'Progetto del paramento slu'!$G$53)*IF(L2400&lt;0,-1,1)</f>
        <v>153664.85805602249</v>
      </c>
      <c r="S2400" s="553">
        <f>'Foglio deposito bis'!$F$90*IF(ABS(M2400)&lt;'Progetto del paramento slu'!$G$58,ABS(M2400)*'Progetto del paramento slu'!$G$54,'Progetto del paramento slu'!$G$53)*IF(M2400&lt;0,-1,1)</f>
        <v>0</v>
      </c>
      <c r="T2400" s="553">
        <f>'Foglio deposito bis'!$F$91*IF(ABS(N2400)&lt;'Progetto del paramento slu'!$G$58,ABS(N2400)*'Progetto del paramento slu'!$G$54,'Progetto del paramento slu'!$G$53)*IF(N2400&lt;0,-1,1)</f>
        <v>892485.49558937876</v>
      </c>
      <c r="U2400" s="553">
        <f>'Foglio deposito bis'!$F$92*IF(ABS(O2400)&lt;'Progetto del paramento slu'!$G$58,ABS(O2400)*'Progetto del paramento slu'!$G$54,'Progetto del paramento slu'!$G$53)*IF(O2400&lt;0,-1,1)</f>
        <v>1662039.1047339395</v>
      </c>
      <c r="V2400" s="479">
        <f t="shared" si="177"/>
        <v>1718204.864532578</v>
      </c>
      <c r="W2400" s="559"/>
      <c r="X2400" s="559"/>
    </row>
    <row r="2401" spans="1:24" x14ac:dyDescent="0.25">
      <c r="A2401" s="553">
        <f t="shared" si="176"/>
        <v>1706759.9559331937</v>
      </c>
      <c r="B2401" s="3">
        <f t="shared" si="174"/>
        <v>17.499999999999961</v>
      </c>
      <c r="C2401" s="553">
        <f>'Foglio deposito bis'!$E$162/sezione!$B$247*B2401</f>
        <v>71.044077560632715</v>
      </c>
      <c r="D2401" s="611">
        <f>-'Progetto del paramento slu'!$G$47*'Progetto del paramento slu'!$G$41*IF(DATI!$G$218="dx",DATI!$E$61,DATI!$E$64*DATI!$E$63)*1000*C2401^2*sezione!$AD$5*(1-sezione!$AD$6)</f>
        <v>-41549050.982081309</v>
      </c>
      <c r="E2401" s="553">
        <f>-'Foglio deposito bis'!$F$88*(C2401-sezione!$AL$36)*IF(ABS(K2401)&lt;'Progetto del paramento slu'!$G$58,ABS(K2401)*'Progetto del paramento slu'!$G$54,'Progetto del paramento slu'!$G$53)</f>
        <v>0</v>
      </c>
      <c r="F2401" s="553">
        <f>-'Foglio deposito bis'!$F$89*(C2401-sezione!$AM$36)*IF(ABS(L2401)&lt;'Progetto del paramento slu'!$G$58,ABS(L2401)*'Progetto del paramento slu'!$G$54,'Progetto del paramento slu'!$G$53)</f>
        <v>12132750.614327695</v>
      </c>
      <c r="G2401" s="553">
        <f>-'Foglio deposito bis'!$F$90*(C2401-sezione!$AN$36)*IF(ABS(M2401)&lt;'Progetto del paramento slu'!$G$58,ABS(M2401)*'Progetto del paramento slu'!$G$54,'Progetto del paramento slu'!$G$53)</f>
        <v>0</v>
      </c>
      <c r="H2401" s="553">
        <f>-'Foglio deposito bis'!$F$91*(C2401-sezione!$AO$36)*IF(ABS(N2401)&lt;'Progetto del paramento slu'!$G$58,ABS(N2401)*'Progetto del paramento slu'!$G$54,'Progetto del paramento slu'!$G$53)</f>
        <v>240039259.72999722</v>
      </c>
      <c r="I2401" s="479">
        <f>-'Foglio deposito bis'!$F$92*(C2401-sezione!$AP$36)*IF(ABS(O2401)&lt;'Progetto del paramento slu'!$G$58,ABS(O2401)*'Progetto del paramento slu'!$G$54,'Progetto del paramento slu'!$G$53)</f>
        <v>314067074.53609872</v>
      </c>
      <c r="J2401" s="479">
        <f t="shared" si="175"/>
        <v>524690033.89834231</v>
      </c>
      <c r="K2401" s="558">
        <f>'Progetto del paramento slu'!$G$60*(sezione!$AL$36-C2401)/C2401</f>
        <v>-1.5293923884011765E-3</v>
      </c>
      <c r="L2401" s="558">
        <f>'Progetto del paramento slu'!$G$60*(sezione!$AM$36-C2401)/C2401</f>
        <v>3.8897785434955879E-3</v>
      </c>
      <c r="M2401" s="559">
        <f>'Progetto del paramento slu'!$G$60*(sezione!$AN$36-C2401)/C2401</f>
        <v>9.3089494753923526E-3</v>
      </c>
      <c r="N2401" s="559">
        <f>'Progetto del paramento slu'!$G$60*(sezione!$AO$36-C2401)/C2401</f>
        <v>1.3250164698589998E-2</v>
      </c>
      <c r="O2401" s="559">
        <f>'Progetto del paramento slu'!$G$60*(sezione!$AP$36-C2401)/C2401</f>
        <v>9.309392388401198E-3</v>
      </c>
      <c r="P2401" s="553">
        <f>-'Progetto del paramento slu'!$G$47*'Progetto del paramento slu'!$G$41*IF(DATI!$G$218="dx",DATI!$E$61,DATI!$E$64*DATI!$E$63)*1000*C2401*sezione!$AD$5</f>
        <v>-1001429.502446147</v>
      </c>
      <c r="Q2401" s="553">
        <f>'Foglio deposito bis'!$F$88*IF(ABS(K2401)&lt;'Progetto del paramento slu'!$G$58,ABS(K2401)*'Progetto del paramento slu'!$G$54,'Progetto del paramento slu'!$G$53)*IF(K2401&lt;0,-1,1)</f>
        <v>0</v>
      </c>
      <c r="R2401" s="553">
        <f>'Foglio deposito bis'!$F$89*IF(ABS(L2401)&lt;'Progetto del paramento slu'!$G$58,ABS(L2401)*'Progetto del paramento slu'!$G$54,'Progetto del paramento slu'!$G$53)*IF(L2401&lt;0,-1,1)</f>
        <v>153664.85805602249</v>
      </c>
      <c r="S2401" s="553">
        <f>'Foglio deposito bis'!$F$90*IF(ABS(M2401)&lt;'Progetto del paramento slu'!$G$58,ABS(M2401)*'Progetto del paramento slu'!$G$54,'Progetto del paramento slu'!$G$53)*IF(M2401&lt;0,-1,1)</f>
        <v>0</v>
      </c>
      <c r="T2401" s="553">
        <f>'Foglio deposito bis'!$F$91*IF(ABS(N2401)&lt;'Progetto del paramento slu'!$G$58,ABS(N2401)*'Progetto del paramento slu'!$G$54,'Progetto del paramento slu'!$G$53)*IF(N2401&lt;0,-1,1)</f>
        <v>892485.49558937876</v>
      </c>
      <c r="U2401" s="553">
        <f>'Foglio deposito bis'!$F$92*IF(ABS(O2401)&lt;'Progetto del paramento slu'!$G$58,ABS(O2401)*'Progetto del paramento slu'!$G$54,'Progetto del paramento slu'!$G$53)*IF(O2401&lt;0,-1,1)</f>
        <v>1662039.1047339395</v>
      </c>
      <c r="V2401" s="479">
        <f t="shared" si="177"/>
        <v>1706759.9559331937</v>
      </c>
      <c r="W2401" s="559"/>
      <c r="X2401" s="559"/>
    </row>
    <row r="2402" spans="1:24" x14ac:dyDescent="0.25">
      <c r="A2402" s="553">
        <f t="shared" si="176"/>
        <v>1695315.0473338091</v>
      </c>
      <c r="B2402" s="3">
        <f t="shared" si="174"/>
        <v>17.69999999999996</v>
      </c>
      <c r="C2402" s="553">
        <f>'Foglio deposito bis'!$E$162/sezione!$B$247*B2402</f>
        <v>71.856009875611377</v>
      </c>
      <c r="D2402" s="611">
        <f>-'Progetto del paramento slu'!$G$47*'Progetto del paramento slu'!$G$41*IF(DATI!$G$218="dx",DATI!$E$61,DATI!$E$64*DATI!$E$63)*1000*C2402^2*sezione!$AD$5*(1-sezione!$AD$6)</f>
        <v>-42504170.390779607</v>
      </c>
      <c r="E2402" s="553">
        <f>-'Foglio deposito bis'!$F$88*(C2402-sezione!$AL$36)*IF(ABS(K2402)&lt;'Progetto del paramento slu'!$G$58,ABS(K2402)*'Progetto del paramento slu'!$G$54,'Progetto del paramento slu'!$G$53)</f>
        <v>0</v>
      </c>
      <c r="F2402" s="553">
        <f>-'Foglio deposito bis'!$F$89*(C2402-sezione!$AM$36)*IF(ABS(L2402)&lt;'Progetto del paramento slu'!$G$58,ABS(L2402)*'Progetto del paramento slu'!$G$54,'Progetto del paramento slu'!$G$53)</f>
        <v>12007985.150395401</v>
      </c>
      <c r="G2402" s="553">
        <f>-'Foglio deposito bis'!$F$90*(C2402-sezione!$AN$36)*IF(ABS(M2402)&lt;'Progetto del paramento slu'!$G$58,ABS(M2402)*'Progetto del paramento slu'!$G$54,'Progetto del paramento slu'!$G$53)</f>
        <v>0</v>
      </c>
      <c r="H2402" s="553">
        <f>-'Foglio deposito bis'!$F$91*(C2402-sezione!$AO$36)*IF(ABS(N2402)&lt;'Progetto del paramento slu'!$G$58,ABS(N2402)*'Progetto del paramento slu'!$G$54,'Progetto del paramento slu'!$G$53)</f>
        <v>239314621.91547844</v>
      </c>
      <c r="I2402" s="479">
        <f>-'Foglio deposito bis'!$F$92*(C2402-sezione!$AP$36)*IF(ABS(O2402)&lt;'Progetto del paramento slu'!$G$58,ABS(O2402)*'Progetto del paramento slu'!$G$54,'Progetto del paramento slu'!$G$53)</f>
        <v>312717611.278207</v>
      </c>
      <c r="J2402" s="479">
        <f t="shared" si="175"/>
        <v>521536047.95330125</v>
      </c>
      <c r="K2402" s="558">
        <f>'Progetto del paramento slu'!$G$60*(sezione!$AL$36-C2402)/C2402</f>
        <v>-1.5516591410746098E-3</v>
      </c>
      <c r="L2402" s="558">
        <f>'Progetto del paramento slu'!$G$60*(sezione!$AM$36-C2402)/C2402</f>
        <v>3.8062782209702141E-3</v>
      </c>
      <c r="M2402" s="559">
        <f>'Progetto del paramento slu'!$G$60*(sezione!$AN$36-C2402)/C2402</f>
        <v>9.1642155830150372E-3</v>
      </c>
      <c r="N2402" s="559">
        <f>'Progetto del paramento slu'!$G$60*(sezione!$AO$36-C2402)/C2402</f>
        <v>1.3060897300865819E-2</v>
      </c>
      <c r="O2402" s="559">
        <f>'Progetto del paramento slu'!$G$60*(sezione!$AP$36-C2402)/C2402</f>
        <v>9.1646534913571165E-3</v>
      </c>
      <c r="P2402" s="553">
        <f>-'Progetto del paramento slu'!$G$47*'Progetto del paramento slu'!$G$41*IF(DATI!$G$218="dx",DATI!$E$61,DATI!$E$64*DATI!$E$63)*1000*C2402*sezione!$AD$5</f>
        <v>-1012874.4110455316</v>
      </c>
      <c r="Q2402" s="553">
        <f>'Foglio deposito bis'!$F$88*IF(ABS(K2402)&lt;'Progetto del paramento slu'!$G$58,ABS(K2402)*'Progetto del paramento slu'!$G$54,'Progetto del paramento slu'!$G$53)*IF(K2402&lt;0,-1,1)</f>
        <v>0</v>
      </c>
      <c r="R2402" s="553">
        <f>'Foglio deposito bis'!$F$89*IF(ABS(L2402)&lt;'Progetto del paramento slu'!$G$58,ABS(L2402)*'Progetto del paramento slu'!$G$54,'Progetto del paramento slu'!$G$53)*IF(L2402&lt;0,-1,1)</f>
        <v>153664.85805602249</v>
      </c>
      <c r="S2402" s="553">
        <f>'Foglio deposito bis'!$F$90*IF(ABS(M2402)&lt;'Progetto del paramento slu'!$G$58,ABS(M2402)*'Progetto del paramento slu'!$G$54,'Progetto del paramento slu'!$G$53)*IF(M2402&lt;0,-1,1)</f>
        <v>0</v>
      </c>
      <c r="T2402" s="553">
        <f>'Foglio deposito bis'!$F$91*IF(ABS(N2402)&lt;'Progetto del paramento slu'!$G$58,ABS(N2402)*'Progetto del paramento slu'!$G$54,'Progetto del paramento slu'!$G$53)*IF(N2402&lt;0,-1,1)</f>
        <v>892485.49558937876</v>
      </c>
      <c r="U2402" s="553">
        <f>'Foglio deposito bis'!$F$92*IF(ABS(O2402)&lt;'Progetto del paramento slu'!$G$58,ABS(O2402)*'Progetto del paramento slu'!$G$54,'Progetto del paramento slu'!$G$53)*IF(O2402&lt;0,-1,1)</f>
        <v>1662039.1047339395</v>
      </c>
      <c r="V2402" s="479">
        <f t="shared" si="177"/>
        <v>1695315.0473338091</v>
      </c>
      <c r="W2402" s="559"/>
      <c r="X2402" s="559"/>
    </row>
    <row r="2403" spans="1:24" x14ac:dyDescent="0.25">
      <c r="A2403" s="553">
        <f t="shared" si="176"/>
        <v>1683870.1387344245</v>
      </c>
      <c r="B2403" s="3">
        <f t="shared" si="174"/>
        <v>17.899999999999959</v>
      </c>
      <c r="C2403" s="553">
        <f>'Foglio deposito bis'!$E$162/sezione!$B$247*B2403</f>
        <v>72.66794219059004</v>
      </c>
      <c r="D2403" s="611">
        <f>-'Progetto del paramento slu'!$G$47*'Progetto del paramento slu'!$G$41*IF(DATI!$G$218="dx",DATI!$E$61,DATI!$E$64*DATI!$E$63)*1000*C2403^2*sezione!$AD$5*(1-sezione!$AD$6)</f>
        <v>-43470143.429122202</v>
      </c>
      <c r="E2403" s="553">
        <f>-'Foglio deposito bis'!$F$88*(C2403-sezione!$AL$36)*IF(ABS(K2403)&lt;'Progetto del paramento slu'!$G$58,ABS(K2403)*'Progetto del paramento slu'!$G$54,'Progetto del paramento slu'!$G$53)</f>
        <v>0</v>
      </c>
      <c r="F2403" s="553">
        <f>-'Foglio deposito bis'!$F$89*(C2403-sezione!$AM$36)*IF(ABS(L2403)&lt;'Progetto del paramento slu'!$G$58,ABS(L2403)*'Progetto del paramento slu'!$G$54,'Progetto del paramento slu'!$G$53)</f>
        <v>11883219.686463106</v>
      </c>
      <c r="G2403" s="553">
        <f>-'Foglio deposito bis'!$F$90*(C2403-sezione!$AN$36)*IF(ABS(M2403)&lt;'Progetto del paramento slu'!$G$58,ABS(M2403)*'Progetto del paramento slu'!$G$54,'Progetto del paramento slu'!$G$53)</f>
        <v>0</v>
      </c>
      <c r="H2403" s="553">
        <f>-'Foglio deposito bis'!$F$91*(C2403-sezione!$AO$36)*IF(ABS(N2403)&lt;'Progetto del paramento slu'!$G$58,ABS(N2403)*'Progetto del paramento slu'!$G$54,'Progetto del paramento slu'!$G$53)</f>
        <v>238589984.10095969</v>
      </c>
      <c r="I2403" s="479">
        <f>-'Foglio deposito bis'!$F$92*(C2403-sezione!$AP$36)*IF(ABS(O2403)&lt;'Progetto del paramento slu'!$G$58,ABS(O2403)*'Progetto del paramento slu'!$G$54,'Progetto del paramento slu'!$G$53)</f>
        <v>311368148.02031529</v>
      </c>
      <c r="J2403" s="479">
        <f t="shared" si="175"/>
        <v>518371208.37861586</v>
      </c>
      <c r="K2403" s="558">
        <f>'Progetto del paramento slu'!$G$60*(sezione!$AL$36-C2403)/C2403</f>
        <v>-1.5734283126827148E-3</v>
      </c>
      <c r="L2403" s="558">
        <f>'Progetto del paramento slu'!$G$60*(sezione!$AM$36-C2403)/C2403</f>
        <v>3.7246438274398199E-3</v>
      </c>
      <c r="M2403" s="559">
        <f>'Progetto del paramento slu'!$G$60*(sezione!$AN$36-C2403)/C2403</f>
        <v>9.0227159675623538E-3</v>
      </c>
      <c r="N2403" s="559">
        <f>'Progetto del paramento slu'!$G$60*(sezione!$AO$36-C2403)/C2403</f>
        <v>1.2875859342196925E-2</v>
      </c>
      <c r="O2403" s="559">
        <f>'Progetto del paramento slu'!$G$60*(sezione!$AP$36-C2403)/C2403</f>
        <v>9.0231489830737959E-3</v>
      </c>
      <c r="P2403" s="553">
        <f>-'Progetto del paramento slu'!$G$47*'Progetto del paramento slu'!$G$41*IF(DATI!$G$218="dx",DATI!$E$61,DATI!$E$64*DATI!$E$63)*1000*C2403*sezione!$AD$5</f>
        <v>-1024319.3196449162</v>
      </c>
      <c r="Q2403" s="553">
        <f>'Foglio deposito bis'!$F$88*IF(ABS(K2403)&lt;'Progetto del paramento slu'!$G$58,ABS(K2403)*'Progetto del paramento slu'!$G$54,'Progetto del paramento slu'!$G$53)*IF(K2403&lt;0,-1,1)</f>
        <v>0</v>
      </c>
      <c r="R2403" s="553">
        <f>'Foglio deposito bis'!$F$89*IF(ABS(L2403)&lt;'Progetto del paramento slu'!$G$58,ABS(L2403)*'Progetto del paramento slu'!$G$54,'Progetto del paramento slu'!$G$53)*IF(L2403&lt;0,-1,1)</f>
        <v>153664.85805602249</v>
      </c>
      <c r="S2403" s="553">
        <f>'Foglio deposito bis'!$F$90*IF(ABS(M2403)&lt;'Progetto del paramento slu'!$G$58,ABS(M2403)*'Progetto del paramento slu'!$G$54,'Progetto del paramento slu'!$G$53)*IF(M2403&lt;0,-1,1)</f>
        <v>0</v>
      </c>
      <c r="T2403" s="553">
        <f>'Foglio deposito bis'!$F$91*IF(ABS(N2403)&lt;'Progetto del paramento slu'!$G$58,ABS(N2403)*'Progetto del paramento slu'!$G$54,'Progetto del paramento slu'!$G$53)*IF(N2403&lt;0,-1,1)</f>
        <v>892485.49558937876</v>
      </c>
      <c r="U2403" s="553">
        <f>'Foglio deposito bis'!$F$92*IF(ABS(O2403)&lt;'Progetto del paramento slu'!$G$58,ABS(O2403)*'Progetto del paramento slu'!$G$54,'Progetto del paramento slu'!$G$53)*IF(O2403&lt;0,-1,1)</f>
        <v>1662039.1047339395</v>
      </c>
      <c r="V2403" s="479">
        <f t="shared" si="177"/>
        <v>1683870.1387344245</v>
      </c>
      <c r="W2403" s="559"/>
      <c r="X2403" s="559"/>
    </row>
    <row r="2404" spans="1:24" x14ac:dyDescent="0.25">
      <c r="A2404" s="553">
        <f t="shared" si="176"/>
        <v>1672425.2301350399</v>
      </c>
      <c r="B2404" s="3">
        <f t="shared" si="174"/>
        <v>18.099999999999959</v>
      </c>
      <c r="C2404" s="553">
        <f>'Foglio deposito bis'!$E$162/sezione!$B$247*B2404</f>
        <v>73.479874505568702</v>
      </c>
      <c r="D2404" s="611">
        <f>-'Progetto del paramento slu'!$G$47*'Progetto del paramento slu'!$G$41*IF(DATI!$G$218="dx",DATI!$E$61,DATI!$E$64*DATI!$E$63)*1000*C2404^2*sezione!$AD$5*(1-sezione!$AD$6)</f>
        <v>-44446970.097109094</v>
      </c>
      <c r="E2404" s="553">
        <f>-'Foglio deposito bis'!$F$88*(C2404-sezione!$AL$36)*IF(ABS(K2404)&lt;'Progetto del paramento slu'!$G$58,ABS(K2404)*'Progetto del paramento slu'!$G$54,'Progetto del paramento slu'!$G$53)</f>
        <v>0</v>
      </c>
      <c r="F2404" s="553">
        <f>-'Foglio deposito bis'!$F$89*(C2404-sezione!$AM$36)*IF(ABS(L2404)&lt;'Progetto del paramento slu'!$G$58,ABS(L2404)*'Progetto del paramento slu'!$G$54,'Progetto del paramento slu'!$G$53)</f>
        <v>11758454.222530814</v>
      </c>
      <c r="G2404" s="553">
        <f>-'Foglio deposito bis'!$F$90*(C2404-sezione!$AN$36)*IF(ABS(M2404)&lt;'Progetto del paramento slu'!$G$58,ABS(M2404)*'Progetto del paramento slu'!$G$54,'Progetto del paramento slu'!$G$53)</f>
        <v>0</v>
      </c>
      <c r="H2404" s="553">
        <f>-'Foglio deposito bis'!$F$91*(C2404-sezione!$AO$36)*IF(ABS(N2404)&lt;'Progetto del paramento slu'!$G$58,ABS(N2404)*'Progetto del paramento slu'!$G$54,'Progetto del paramento slu'!$G$53)</f>
        <v>237865346.28644094</v>
      </c>
      <c r="I2404" s="479">
        <f>-'Foglio deposito bis'!$F$92*(C2404-sezione!$AP$36)*IF(ABS(O2404)&lt;'Progetto del paramento slu'!$G$58,ABS(O2404)*'Progetto del paramento slu'!$G$54,'Progetto del paramento slu'!$G$53)</f>
        <v>310018684.76242363</v>
      </c>
      <c r="J2404" s="479">
        <f t="shared" si="175"/>
        <v>515195515.17428631</v>
      </c>
      <c r="K2404" s="558">
        <f>'Progetto del paramento slu'!$G$60*(sezione!$AL$36-C2404)/C2404</f>
        <v>-1.5947163976254473E-3</v>
      </c>
      <c r="L2404" s="558">
        <f>'Progetto del paramento slu'!$G$60*(sezione!$AM$36-C2404)/C2404</f>
        <v>3.6448135089045728E-3</v>
      </c>
      <c r="M2404" s="559">
        <f>'Progetto del paramento slu'!$G$60*(sezione!$AN$36-C2404)/C2404</f>
        <v>8.8843434154345924E-3</v>
      </c>
      <c r="N2404" s="559">
        <f>'Progetto del paramento slu'!$G$60*(sezione!$AO$36-C2404)/C2404</f>
        <v>1.2694910620183698E-2</v>
      </c>
      <c r="O2404" s="559">
        <f>'Progetto del paramento slu'!$G$60*(sezione!$AP$36-C2404)/C2404</f>
        <v>8.8847716462442505E-3</v>
      </c>
      <c r="P2404" s="553">
        <f>-'Progetto del paramento slu'!$G$47*'Progetto del paramento slu'!$G$41*IF(DATI!$G$218="dx",DATI!$E$61,DATI!$E$64*DATI!$E$63)*1000*C2404*sezione!$AD$5</f>
        <v>-1035764.2282443008</v>
      </c>
      <c r="Q2404" s="553">
        <f>'Foglio deposito bis'!$F$88*IF(ABS(K2404)&lt;'Progetto del paramento slu'!$G$58,ABS(K2404)*'Progetto del paramento slu'!$G$54,'Progetto del paramento slu'!$G$53)*IF(K2404&lt;0,-1,1)</f>
        <v>0</v>
      </c>
      <c r="R2404" s="553">
        <f>'Foglio deposito bis'!$F$89*IF(ABS(L2404)&lt;'Progetto del paramento slu'!$G$58,ABS(L2404)*'Progetto del paramento slu'!$G$54,'Progetto del paramento slu'!$G$53)*IF(L2404&lt;0,-1,1)</f>
        <v>153664.85805602249</v>
      </c>
      <c r="S2404" s="553">
        <f>'Foglio deposito bis'!$F$90*IF(ABS(M2404)&lt;'Progetto del paramento slu'!$G$58,ABS(M2404)*'Progetto del paramento slu'!$G$54,'Progetto del paramento slu'!$G$53)*IF(M2404&lt;0,-1,1)</f>
        <v>0</v>
      </c>
      <c r="T2404" s="553">
        <f>'Foglio deposito bis'!$F$91*IF(ABS(N2404)&lt;'Progetto del paramento slu'!$G$58,ABS(N2404)*'Progetto del paramento slu'!$G$54,'Progetto del paramento slu'!$G$53)*IF(N2404&lt;0,-1,1)</f>
        <v>892485.49558937876</v>
      </c>
      <c r="U2404" s="553">
        <f>'Foglio deposito bis'!$F$92*IF(ABS(O2404)&lt;'Progetto del paramento slu'!$G$58,ABS(O2404)*'Progetto del paramento slu'!$G$54,'Progetto del paramento slu'!$G$53)*IF(O2404&lt;0,-1,1)</f>
        <v>1662039.1047339395</v>
      </c>
      <c r="V2404" s="479">
        <f t="shared" si="177"/>
        <v>1672425.2301350399</v>
      </c>
      <c r="W2404" s="559"/>
      <c r="X2404" s="559"/>
    </row>
    <row r="2405" spans="1:24" x14ac:dyDescent="0.25">
      <c r="A2405" s="553">
        <f t="shared" si="176"/>
        <v>1660980.3215356555</v>
      </c>
      <c r="B2405" s="3">
        <f t="shared" ref="B2405:B2428" si="178">B2404+0.2</f>
        <v>18.299999999999958</v>
      </c>
      <c r="C2405" s="553">
        <f>'Foglio deposito bis'!$E$162/sezione!$B$247*B2405</f>
        <v>74.29180682054735</v>
      </c>
      <c r="D2405" s="611">
        <f>-'Progetto del paramento slu'!$G$47*'Progetto del paramento slu'!$G$41*IF(DATI!$G$218="dx",DATI!$E$61,DATI!$E$64*DATI!$E$63)*1000*C2405^2*sezione!$AD$5*(1-sezione!$AD$6)</f>
        <v>-45434650.394740276</v>
      </c>
      <c r="E2405" s="553">
        <f>-'Foglio deposito bis'!$F$88*(C2405-sezione!$AL$36)*IF(ABS(K2405)&lt;'Progetto del paramento slu'!$G$58,ABS(K2405)*'Progetto del paramento slu'!$G$54,'Progetto del paramento slu'!$G$53)</f>
        <v>0</v>
      </c>
      <c r="F2405" s="553">
        <f>-'Foglio deposito bis'!$F$89*(C2405-sezione!$AM$36)*IF(ABS(L2405)&lt;'Progetto del paramento slu'!$G$58,ABS(L2405)*'Progetto del paramento slu'!$G$54,'Progetto del paramento slu'!$G$53)</f>
        <v>11633688.758598521</v>
      </c>
      <c r="G2405" s="553">
        <f>-'Foglio deposito bis'!$F$90*(C2405-sezione!$AN$36)*IF(ABS(M2405)&lt;'Progetto del paramento slu'!$G$58,ABS(M2405)*'Progetto del paramento slu'!$G$54,'Progetto del paramento slu'!$G$53)</f>
        <v>0</v>
      </c>
      <c r="H2405" s="553">
        <f>-'Foglio deposito bis'!$F$91*(C2405-sezione!$AO$36)*IF(ABS(N2405)&lt;'Progetto del paramento slu'!$G$58,ABS(N2405)*'Progetto del paramento slu'!$G$54,'Progetto del paramento slu'!$G$53)</f>
        <v>237140708.47192222</v>
      </c>
      <c r="I2405" s="479">
        <f>-'Foglio deposito bis'!$F$92*(C2405-sezione!$AP$36)*IF(ABS(O2405)&lt;'Progetto del paramento slu'!$G$58,ABS(O2405)*'Progetto del paramento slu'!$G$54,'Progetto del paramento slu'!$G$53)</f>
        <v>308669221.50453198</v>
      </c>
      <c r="J2405" s="479">
        <f t="shared" si="175"/>
        <v>512008968.34031248</v>
      </c>
      <c r="K2405" s="558">
        <f>'Progetto del paramento slu'!$G$60*(sezione!$AL$36-C2405)/C2405</f>
        <v>-1.6155391692360978E-3</v>
      </c>
      <c r="L2405" s="558">
        <f>'Progetto del paramento slu'!$G$60*(sezione!$AM$36-C2405)/C2405</f>
        <v>3.5667281153646336E-3</v>
      </c>
      <c r="M2405" s="559">
        <f>'Progetto del paramento slu'!$G$60*(sezione!$AN$36-C2405)/C2405</f>
        <v>8.7489953999653636E-3</v>
      </c>
      <c r="N2405" s="559">
        <f>'Progetto del paramento slu'!$G$60*(sezione!$AO$36-C2405)/C2405</f>
        <v>1.251791706149317E-2</v>
      </c>
      <c r="O2405" s="559">
        <f>'Progetto del paramento slu'!$G$60*(sezione!$AP$36-C2405)/C2405</f>
        <v>8.7494189506568849E-3</v>
      </c>
      <c r="P2405" s="553">
        <f>-'Progetto del paramento slu'!$G$47*'Progetto del paramento slu'!$G$41*IF(DATI!$G$218="dx",DATI!$E$61,DATI!$E$64*DATI!$E$63)*1000*C2405*sezione!$AD$5</f>
        <v>-1047209.1368436852</v>
      </c>
      <c r="Q2405" s="553">
        <f>'Foglio deposito bis'!$F$88*IF(ABS(K2405)&lt;'Progetto del paramento slu'!$G$58,ABS(K2405)*'Progetto del paramento slu'!$G$54,'Progetto del paramento slu'!$G$53)*IF(K2405&lt;0,-1,1)</f>
        <v>0</v>
      </c>
      <c r="R2405" s="553">
        <f>'Foglio deposito bis'!$F$89*IF(ABS(L2405)&lt;'Progetto del paramento slu'!$G$58,ABS(L2405)*'Progetto del paramento slu'!$G$54,'Progetto del paramento slu'!$G$53)*IF(L2405&lt;0,-1,1)</f>
        <v>153664.85805602249</v>
      </c>
      <c r="S2405" s="553">
        <f>'Foglio deposito bis'!$F$90*IF(ABS(M2405)&lt;'Progetto del paramento slu'!$G$58,ABS(M2405)*'Progetto del paramento slu'!$G$54,'Progetto del paramento slu'!$G$53)*IF(M2405&lt;0,-1,1)</f>
        <v>0</v>
      </c>
      <c r="T2405" s="553">
        <f>'Foglio deposito bis'!$F$91*IF(ABS(N2405)&lt;'Progetto del paramento slu'!$G$58,ABS(N2405)*'Progetto del paramento slu'!$G$54,'Progetto del paramento slu'!$G$53)*IF(N2405&lt;0,-1,1)</f>
        <v>892485.49558937876</v>
      </c>
      <c r="U2405" s="553">
        <f>'Foglio deposito bis'!$F$92*IF(ABS(O2405)&lt;'Progetto del paramento slu'!$G$58,ABS(O2405)*'Progetto del paramento slu'!$G$54,'Progetto del paramento slu'!$G$53)*IF(O2405&lt;0,-1,1)</f>
        <v>1662039.1047339395</v>
      </c>
      <c r="V2405" s="479">
        <f t="shared" si="177"/>
        <v>1660980.3215356555</v>
      </c>
      <c r="W2405" s="559"/>
      <c r="X2405" s="559"/>
    </row>
    <row r="2406" spans="1:24" x14ac:dyDescent="0.25">
      <c r="A2406" s="553">
        <f t="shared" si="176"/>
        <v>1649535.4129362709</v>
      </c>
      <c r="B2406" s="3">
        <f t="shared" si="178"/>
        <v>18.499999999999957</v>
      </c>
      <c r="C2406" s="553">
        <f>'Foglio deposito bis'!$E$162/sezione!$B$247*B2406</f>
        <v>75.103739135526013</v>
      </c>
      <c r="D2406" s="611">
        <f>-'Progetto del paramento slu'!$G$47*'Progetto del paramento slu'!$G$41*IF(DATI!$G$218="dx",DATI!$E$61,DATI!$E$64*DATI!$E$63)*1000*C2406^2*sezione!$AD$5*(1-sezione!$AD$6)</f>
        <v>-46433184.32201577</v>
      </c>
      <c r="E2406" s="553">
        <f>-'Foglio deposito bis'!$F$88*(C2406-sezione!$AL$36)*IF(ABS(K2406)&lt;'Progetto del paramento slu'!$G$58,ABS(K2406)*'Progetto del paramento slu'!$G$54,'Progetto del paramento slu'!$G$53)</f>
        <v>0</v>
      </c>
      <c r="F2406" s="553">
        <f>-'Foglio deposito bis'!$F$89*(C2406-sezione!$AM$36)*IF(ABS(L2406)&lt;'Progetto del paramento slu'!$G$58,ABS(L2406)*'Progetto del paramento slu'!$G$54,'Progetto del paramento slu'!$G$53)</f>
        <v>11508923.294666227</v>
      </c>
      <c r="G2406" s="553">
        <f>-'Foglio deposito bis'!$F$90*(C2406-sezione!$AN$36)*IF(ABS(M2406)&lt;'Progetto del paramento slu'!$G$58,ABS(M2406)*'Progetto del paramento slu'!$G$54,'Progetto del paramento slu'!$G$53)</f>
        <v>0</v>
      </c>
      <c r="H2406" s="553">
        <f>-'Foglio deposito bis'!$F$91*(C2406-sezione!$AO$36)*IF(ABS(N2406)&lt;'Progetto del paramento slu'!$G$58,ABS(N2406)*'Progetto del paramento slu'!$G$54,'Progetto del paramento slu'!$G$53)</f>
        <v>236416070.65740347</v>
      </c>
      <c r="I2406" s="479">
        <f>-'Foglio deposito bis'!$F$92*(C2406-sezione!$AP$36)*IF(ABS(O2406)&lt;'Progetto del paramento slu'!$G$58,ABS(O2406)*'Progetto del paramento slu'!$G$54,'Progetto del paramento slu'!$G$53)</f>
        <v>307319758.24664032</v>
      </c>
      <c r="J2406" s="479">
        <f t="shared" si="175"/>
        <v>508811567.87669426</v>
      </c>
      <c r="K2406" s="558">
        <f>'Progetto del paramento slu'!$G$60*(sezione!$AL$36-C2406)/C2406</f>
        <v>-1.6359117187578697E-3</v>
      </c>
      <c r="L2406" s="558">
        <f>'Progetto del paramento slu'!$G$60*(sezione!$AM$36-C2406)/C2406</f>
        <v>3.4903310546579884E-3</v>
      </c>
      <c r="M2406" s="559">
        <f>'Progetto del paramento slu'!$G$60*(sezione!$AN$36-C2406)/C2406</f>
        <v>8.616573828073848E-3</v>
      </c>
      <c r="N2406" s="559">
        <f>'Progetto del paramento slu'!$G$60*(sezione!$AO$36-C2406)/C2406</f>
        <v>1.2344750390558108E-2</v>
      </c>
      <c r="O2406" s="559">
        <f>'Progetto del paramento slu'!$G$60*(sezione!$AP$36-C2406)/C2406</f>
        <v>8.6169927998389715E-3</v>
      </c>
      <c r="P2406" s="553">
        <f>-'Progetto del paramento slu'!$G$47*'Progetto del paramento slu'!$G$41*IF(DATI!$G$218="dx",DATI!$E$61,DATI!$E$64*DATI!$E$63)*1000*C2406*sezione!$AD$5</f>
        <v>-1058654.0454430699</v>
      </c>
      <c r="Q2406" s="553">
        <f>'Foglio deposito bis'!$F$88*IF(ABS(K2406)&lt;'Progetto del paramento slu'!$G$58,ABS(K2406)*'Progetto del paramento slu'!$G$54,'Progetto del paramento slu'!$G$53)*IF(K2406&lt;0,-1,1)</f>
        <v>0</v>
      </c>
      <c r="R2406" s="553">
        <f>'Foglio deposito bis'!$F$89*IF(ABS(L2406)&lt;'Progetto del paramento slu'!$G$58,ABS(L2406)*'Progetto del paramento slu'!$G$54,'Progetto del paramento slu'!$G$53)*IF(L2406&lt;0,-1,1)</f>
        <v>153664.85805602249</v>
      </c>
      <c r="S2406" s="553">
        <f>'Foglio deposito bis'!$F$90*IF(ABS(M2406)&lt;'Progetto del paramento slu'!$G$58,ABS(M2406)*'Progetto del paramento slu'!$G$54,'Progetto del paramento slu'!$G$53)*IF(M2406&lt;0,-1,1)</f>
        <v>0</v>
      </c>
      <c r="T2406" s="553">
        <f>'Foglio deposito bis'!$F$91*IF(ABS(N2406)&lt;'Progetto del paramento slu'!$G$58,ABS(N2406)*'Progetto del paramento slu'!$G$54,'Progetto del paramento slu'!$G$53)*IF(N2406&lt;0,-1,1)</f>
        <v>892485.49558937876</v>
      </c>
      <c r="U2406" s="553">
        <f>'Foglio deposito bis'!$F$92*IF(ABS(O2406)&lt;'Progetto del paramento slu'!$G$58,ABS(O2406)*'Progetto del paramento slu'!$G$54,'Progetto del paramento slu'!$G$53)*IF(O2406&lt;0,-1,1)</f>
        <v>1662039.1047339395</v>
      </c>
      <c r="V2406" s="479">
        <f t="shared" si="177"/>
        <v>1649535.4129362709</v>
      </c>
      <c r="W2406" s="559"/>
      <c r="X2406" s="559"/>
    </row>
    <row r="2407" spans="1:24" x14ac:dyDescent="0.25">
      <c r="A2407" s="553">
        <f t="shared" si="176"/>
        <v>1638090.5043368863</v>
      </c>
      <c r="B2407" s="3">
        <f t="shared" si="178"/>
        <v>18.699999999999957</v>
      </c>
      <c r="C2407" s="553">
        <f>'Foglio deposito bis'!$E$162/sezione!$B$247*B2407</f>
        <v>75.915671450504675</v>
      </c>
      <c r="D2407" s="611">
        <f>-'Progetto del paramento slu'!$G$47*'Progetto del paramento slu'!$G$41*IF(DATI!$G$218="dx",DATI!$E$61,DATI!$E$64*DATI!$E$63)*1000*C2407^2*sezione!$AD$5*(1-sezione!$AD$6)</f>
        <v>-47442571.878935553</v>
      </c>
      <c r="E2407" s="553">
        <f>-'Foglio deposito bis'!$F$88*(C2407-sezione!$AL$36)*IF(ABS(K2407)&lt;'Progetto del paramento slu'!$G$58,ABS(K2407)*'Progetto del paramento slu'!$G$54,'Progetto del paramento slu'!$G$53)</f>
        <v>0</v>
      </c>
      <c r="F2407" s="553">
        <f>-'Foglio deposito bis'!$F$89*(C2407-sezione!$AM$36)*IF(ABS(L2407)&lt;'Progetto del paramento slu'!$G$58,ABS(L2407)*'Progetto del paramento slu'!$G$54,'Progetto del paramento slu'!$G$53)</f>
        <v>11384157.830733934</v>
      </c>
      <c r="G2407" s="553">
        <f>-'Foglio deposito bis'!$F$90*(C2407-sezione!$AN$36)*IF(ABS(M2407)&lt;'Progetto del paramento slu'!$G$58,ABS(M2407)*'Progetto del paramento slu'!$G$54,'Progetto del paramento slu'!$G$53)</f>
        <v>0</v>
      </c>
      <c r="H2407" s="553">
        <f>-'Foglio deposito bis'!$F$91*(C2407-sezione!$AO$36)*IF(ABS(N2407)&lt;'Progetto del paramento slu'!$G$58,ABS(N2407)*'Progetto del paramento slu'!$G$54,'Progetto del paramento slu'!$G$53)</f>
        <v>235691432.84288469</v>
      </c>
      <c r="I2407" s="479">
        <f>-'Foglio deposito bis'!$F$92*(C2407-sezione!$AP$36)*IF(ABS(O2407)&lt;'Progetto del paramento slu'!$G$58,ABS(O2407)*'Progetto del paramento slu'!$G$54,'Progetto del paramento slu'!$G$53)</f>
        <v>305970294.98874861</v>
      </c>
      <c r="J2407" s="479">
        <f t="shared" si="175"/>
        <v>505603313.78343165</v>
      </c>
      <c r="K2407" s="558">
        <f>'Progetto del paramento slu'!$G$60*(sezione!$AL$36-C2407)/C2407</f>
        <v>-1.6558484918192831E-3</v>
      </c>
      <c r="L2407" s="558">
        <f>'Progetto del paramento slu'!$G$60*(sezione!$AM$36-C2407)/C2407</f>
        <v>3.4155681556776894E-3</v>
      </c>
      <c r="M2407" s="559">
        <f>'Progetto del paramento slu'!$G$60*(sezione!$AN$36-C2407)/C2407</f>
        <v>8.4869848031746617E-3</v>
      </c>
      <c r="N2407" s="559">
        <f>'Progetto del paramento slu'!$G$60*(sezione!$AO$36-C2407)/C2407</f>
        <v>1.2175287819536097E-2</v>
      </c>
      <c r="O2407" s="559">
        <f>'Progetto del paramento slu'!$G$60*(sezione!$AP$36-C2407)/C2407</f>
        <v>8.4873992939583417E-3</v>
      </c>
      <c r="P2407" s="553">
        <f>-'Progetto del paramento slu'!$G$47*'Progetto del paramento slu'!$G$41*IF(DATI!$G$218="dx",DATI!$E$61,DATI!$E$64*DATI!$E$63)*1000*C2407*sezione!$AD$5</f>
        <v>-1070098.9540424545</v>
      </c>
      <c r="Q2407" s="553">
        <f>'Foglio deposito bis'!$F$88*IF(ABS(K2407)&lt;'Progetto del paramento slu'!$G$58,ABS(K2407)*'Progetto del paramento slu'!$G$54,'Progetto del paramento slu'!$G$53)*IF(K2407&lt;0,-1,1)</f>
        <v>0</v>
      </c>
      <c r="R2407" s="553">
        <f>'Foglio deposito bis'!$F$89*IF(ABS(L2407)&lt;'Progetto del paramento slu'!$G$58,ABS(L2407)*'Progetto del paramento slu'!$G$54,'Progetto del paramento slu'!$G$53)*IF(L2407&lt;0,-1,1)</f>
        <v>153664.85805602249</v>
      </c>
      <c r="S2407" s="553">
        <f>'Foglio deposito bis'!$F$90*IF(ABS(M2407)&lt;'Progetto del paramento slu'!$G$58,ABS(M2407)*'Progetto del paramento slu'!$G$54,'Progetto del paramento slu'!$G$53)*IF(M2407&lt;0,-1,1)</f>
        <v>0</v>
      </c>
      <c r="T2407" s="553">
        <f>'Foglio deposito bis'!$F$91*IF(ABS(N2407)&lt;'Progetto del paramento slu'!$G$58,ABS(N2407)*'Progetto del paramento slu'!$G$54,'Progetto del paramento slu'!$G$53)*IF(N2407&lt;0,-1,1)</f>
        <v>892485.49558937876</v>
      </c>
      <c r="U2407" s="553">
        <f>'Foglio deposito bis'!$F$92*IF(ABS(O2407)&lt;'Progetto del paramento slu'!$G$58,ABS(O2407)*'Progetto del paramento slu'!$G$54,'Progetto del paramento slu'!$G$53)*IF(O2407&lt;0,-1,1)</f>
        <v>1662039.1047339395</v>
      </c>
      <c r="V2407" s="479">
        <f t="shared" si="177"/>
        <v>1638090.5043368863</v>
      </c>
      <c r="W2407" s="559"/>
      <c r="X2407" s="559"/>
    </row>
    <row r="2408" spans="1:24" x14ac:dyDescent="0.25">
      <c r="A2408" s="553">
        <f t="shared" si="176"/>
        <v>1626645.5957375017</v>
      </c>
      <c r="B2408" s="3">
        <f t="shared" si="178"/>
        <v>18.899999999999956</v>
      </c>
      <c r="C2408" s="553">
        <f>'Foglio deposito bis'!$E$162/sezione!$B$247*B2408</f>
        <v>76.727603765483337</v>
      </c>
      <c r="D2408" s="611">
        <f>-'Progetto del paramento slu'!$G$47*'Progetto del paramento slu'!$G$41*IF(DATI!$G$218="dx",DATI!$E$61,DATI!$E$64*DATI!$E$63)*1000*C2408^2*sezione!$AD$5*(1-sezione!$AD$6)</f>
        <v>-48462813.065499641</v>
      </c>
      <c r="E2408" s="553">
        <f>-'Foglio deposito bis'!$F$88*(C2408-sezione!$AL$36)*IF(ABS(K2408)&lt;'Progetto del paramento slu'!$G$58,ABS(K2408)*'Progetto del paramento slu'!$G$54,'Progetto del paramento slu'!$G$53)</f>
        <v>0</v>
      </c>
      <c r="F2408" s="553">
        <f>-'Foglio deposito bis'!$F$89*(C2408-sezione!$AM$36)*IF(ABS(L2408)&lt;'Progetto del paramento slu'!$G$58,ABS(L2408)*'Progetto del paramento slu'!$G$54,'Progetto del paramento slu'!$G$53)</f>
        <v>11259392.36680164</v>
      </c>
      <c r="G2408" s="553">
        <f>-'Foglio deposito bis'!$F$90*(C2408-sezione!$AN$36)*IF(ABS(M2408)&lt;'Progetto del paramento slu'!$G$58,ABS(M2408)*'Progetto del paramento slu'!$G$54,'Progetto del paramento slu'!$G$53)</f>
        <v>0</v>
      </c>
      <c r="H2408" s="553">
        <f>-'Foglio deposito bis'!$F$91*(C2408-sezione!$AO$36)*IF(ABS(N2408)&lt;'Progetto del paramento slu'!$G$58,ABS(N2408)*'Progetto del paramento slu'!$G$54,'Progetto del paramento slu'!$G$53)</f>
        <v>234966795.02836594</v>
      </c>
      <c r="I2408" s="479">
        <f>-'Foglio deposito bis'!$F$92*(C2408-sezione!$AP$36)*IF(ABS(O2408)&lt;'Progetto del paramento slu'!$G$58,ABS(O2408)*'Progetto del paramento slu'!$G$54,'Progetto del paramento slu'!$G$53)</f>
        <v>304620831.7308569</v>
      </c>
      <c r="J2408" s="479">
        <f t="shared" si="175"/>
        <v>502384206.06052482</v>
      </c>
      <c r="K2408" s="558">
        <f>'Progetto del paramento slu'!$G$60*(sezione!$AL$36-C2408)/C2408</f>
        <v>-1.6753633225936823E-3</v>
      </c>
      <c r="L2408" s="558">
        <f>'Progetto del paramento slu'!$G$60*(sezione!$AM$36-C2408)/C2408</f>
        <v>3.3423875402736922E-3</v>
      </c>
      <c r="M2408" s="559">
        <f>'Progetto del paramento slu'!$G$60*(sezione!$AN$36-C2408)/C2408</f>
        <v>8.360138403141067E-3</v>
      </c>
      <c r="N2408" s="559">
        <f>'Progetto del paramento slu'!$G$60*(sezione!$AO$36-C2408)/C2408</f>
        <v>1.2009411757953704E-2</v>
      </c>
      <c r="O2408" s="559">
        <f>'Progetto del paramento slu'!$G$60*(sezione!$AP$36-C2408)/C2408</f>
        <v>8.3605485077788873E-3</v>
      </c>
      <c r="P2408" s="553">
        <f>-'Progetto del paramento slu'!$G$47*'Progetto del paramento slu'!$G$41*IF(DATI!$G$218="dx",DATI!$E$61,DATI!$E$64*DATI!$E$63)*1000*C2408*sezione!$AD$5</f>
        <v>-1081543.8626418391</v>
      </c>
      <c r="Q2408" s="553">
        <f>'Foglio deposito bis'!$F$88*IF(ABS(K2408)&lt;'Progetto del paramento slu'!$G$58,ABS(K2408)*'Progetto del paramento slu'!$G$54,'Progetto del paramento slu'!$G$53)*IF(K2408&lt;0,-1,1)</f>
        <v>0</v>
      </c>
      <c r="R2408" s="553">
        <f>'Foglio deposito bis'!$F$89*IF(ABS(L2408)&lt;'Progetto del paramento slu'!$G$58,ABS(L2408)*'Progetto del paramento slu'!$G$54,'Progetto del paramento slu'!$G$53)*IF(L2408&lt;0,-1,1)</f>
        <v>153664.85805602249</v>
      </c>
      <c r="S2408" s="553">
        <f>'Foglio deposito bis'!$F$90*IF(ABS(M2408)&lt;'Progetto del paramento slu'!$G$58,ABS(M2408)*'Progetto del paramento slu'!$G$54,'Progetto del paramento slu'!$G$53)*IF(M2408&lt;0,-1,1)</f>
        <v>0</v>
      </c>
      <c r="T2408" s="553">
        <f>'Foglio deposito bis'!$F$91*IF(ABS(N2408)&lt;'Progetto del paramento slu'!$G$58,ABS(N2408)*'Progetto del paramento slu'!$G$54,'Progetto del paramento slu'!$G$53)*IF(N2408&lt;0,-1,1)</f>
        <v>892485.49558937876</v>
      </c>
      <c r="U2408" s="553">
        <f>'Foglio deposito bis'!$F$92*IF(ABS(O2408)&lt;'Progetto del paramento slu'!$G$58,ABS(O2408)*'Progetto del paramento slu'!$G$54,'Progetto del paramento slu'!$G$53)*IF(O2408&lt;0,-1,1)</f>
        <v>1662039.1047339395</v>
      </c>
      <c r="V2408" s="479">
        <f t="shared" si="177"/>
        <v>1626645.5957375017</v>
      </c>
      <c r="W2408" s="559"/>
      <c r="X2408" s="559"/>
    </row>
    <row r="2409" spans="1:24" x14ac:dyDescent="0.25">
      <c r="A2409" s="553">
        <f t="shared" si="176"/>
        <v>1615200.6871381176</v>
      </c>
      <c r="B2409" s="3">
        <f t="shared" si="178"/>
        <v>19.099999999999955</v>
      </c>
      <c r="C2409" s="553">
        <f>'Foglio deposito bis'!$E$162/sezione!$B$247*B2409</f>
        <v>77.539536080461986</v>
      </c>
      <c r="D2409" s="611">
        <f>-'Progetto del paramento slu'!$G$47*'Progetto del paramento slu'!$G$41*IF(DATI!$G$218="dx",DATI!$E$61,DATI!$E$64*DATI!$E$63)*1000*C2409^2*sezione!$AD$5*(1-sezione!$AD$6)</f>
        <v>-49493907.881708011</v>
      </c>
      <c r="E2409" s="553">
        <f>-'Foglio deposito bis'!$F$88*(C2409-sezione!$AL$36)*IF(ABS(K2409)&lt;'Progetto del paramento slu'!$G$58,ABS(K2409)*'Progetto del paramento slu'!$G$54,'Progetto del paramento slu'!$G$53)</f>
        <v>0</v>
      </c>
      <c r="F2409" s="553">
        <f>-'Foglio deposito bis'!$F$89*(C2409-sezione!$AM$36)*IF(ABS(L2409)&lt;'Progetto del paramento slu'!$G$58,ABS(L2409)*'Progetto del paramento slu'!$G$54,'Progetto del paramento slu'!$G$53)</f>
        <v>11134626.902869347</v>
      </c>
      <c r="G2409" s="553">
        <f>-'Foglio deposito bis'!$F$90*(C2409-sezione!$AN$36)*IF(ABS(M2409)&lt;'Progetto del paramento slu'!$G$58,ABS(M2409)*'Progetto del paramento slu'!$G$54,'Progetto del paramento slu'!$G$53)</f>
        <v>0</v>
      </c>
      <c r="H2409" s="553">
        <f>-'Foglio deposito bis'!$F$91*(C2409-sezione!$AO$36)*IF(ABS(N2409)&lt;'Progetto del paramento slu'!$G$58,ABS(N2409)*'Progetto del paramento slu'!$G$54,'Progetto del paramento slu'!$G$53)</f>
        <v>234242157.21384719</v>
      </c>
      <c r="I2409" s="479">
        <f>-'Foglio deposito bis'!$F$92*(C2409-sezione!$AP$36)*IF(ABS(O2409)&lt;'Progetto del paramento slu'!$G$58,ABS(O2409)*'Progetto del paramento slu'!$G$54,'Progetto del paramento slu'!$G$53)</f>
        <v>303271368.47296524</v>
      </c>
      <c r="J2409" s="479">
        <f t="shared" si="175"/>
        <v>499154244.70797378</v>
      </c>
      <c r="K2409" s="558">
        <f>'Progetto del paramento slu'!$G$60*(sezione!$AL$36-C2409)/C2409</f>
        <v>-1.6944694658125963E-3</v>
      </c>
      <c r="L2409" s="558">
        <f>'Progetto del paramento slu'!$G$60*(sezione!$AM$36-C2409)/C2409</f>
        <v>3.2707395032027646E-3</v>
      </c>
      <c r="M2409" s="559">
        <f>'Progetto del paramento slu'!$G$60*(sezione!$AN$36-C2409)/C2409</f>
        <v>8.2359484722181256E-3</v>
      </c>
      <c r="N2409" s="559">
        <f>'Progetto del paramento slu'!$G$60*(sezione!$AO$36-C2409)/C2409</f>
        <v>1.1847009540592934E-2</v>
      </c>
      <c r="O2409" s="559">
        <f>'Progetto del paramento slu'!$G$60*(sezione!$AP$36-C2409)/C2409</f>
        <v>8.2363542825665461E-3</v>
      </c>
      <c r="P2409" s="553">
        <f>-'Progetto del paramento slu'!$G$47*'Progetto del paramento slu'!$G$41*IF(DATI!$G$218="dx",DATI!$E$61,DATI!$E$64*DATI!$E$63)*1000*C2409*sezione!$AD$5</f>
        <v>-1092988.7712412232</v>
      </c>
      <c r="Q2409" s="553">
        <f>'Foglio deposito bis'!$F$88*IF(ABS(K2409)&lt;'Progetto del paramento slu'!$G$58,ABS(K2409)*'Progetto del paramento slu'!$G$54,'Progetto del paramento slu'!$G$53)*IF(K2409&lt;0,-1,1)</f>
        <v>0</v>
      </c>
      <c r="R2409" s="553">
        <f>'Foglio deposito bis'!$F$89*IF(ABS(L2409)&lt;'Progetto del paramento slu'!$G$58,ABS(L2409)*'Progetto del paramento slu'!$G$54,'Progetto del paramento slu'!$G$53)*IF(L2409&lt;0,-1,1)</f>
        <v>153664.85805602249</v>
      </c>
      <c r="S2409" s="553">
        <f>'Foglio deposito bis'!$F$90*IF(ABS(M2409)&lt;'Progetto del paramento slu'!$G$58,ABS(M2409)*'Progetto del paramento slu'!$G$54,'Progetto del paramento slu'!$G$53)*IF(M2409&lt;0,-1,1)</f>
        <v>0</v>
      </c>
      <c r="T2409" s="553">
        <f>'Foglio deposito bis'!$F$91*IF(ABS(N2409)&lt;'Progetto del paramento slu'!$G$58,ABS(N2409)*'Progetto del paramento slu'!$G$54,'Progetto del paramento slu'!$G$53)*IF(N2409&lt;0,-1,1)</f>
        <v>892485.49558937876</v>
      </c>
      <c r="U2409" s="553">
        <f>'Foglio deposito bis'!$F$92*IF(ABS(O2409)&lt;'Progetto del paramento slu'!$G$58,ABS(O2409)*'Progetto del paramento slu'!$G$54,'Progetto del paramento slu'!$G$53)*IF(O2409&lt;0,-1,1)</f>
        <v>1662039.1047339395</v>
      </c>
      <c r="V2409" s="479">
        <f t="shared" si="177"/>
        <v>1615200.6871381176</v>
      </c>
      <c r="W2409" s="559"/>
      <c r="X2409" s="559"/>
    </row>
    <row r="2410" spans="1:24" x14ac:dyDescent="0.25">
      <c r="A2410" s="553">
        <f t="shared" si="176"/>
        <v>1603755.778538733</v>
      </c>
      <c r="B2410" s="3">
        <f t="shared" si="178"/>
        <v>19.299999999999955</v>
      </c>
      <c r="C2410" s="553">
        <f>'Foglio deposito bis'!$E$162/sezione!$B$247*B2410</f>
        <v>78.351468395440648</v>
      </c>
      <c r="D2410" s="611">
        <f>-'Progetto del paramento slu'!$G$47*'Progetto del paramento slu'!$G$41*IF(DATI!$G$218="dx",DATI!$E$61,DATI!$E$64*DATI!$E$63)*1000*C2410^2*sezione!$AD$5*(1-sezione!$AD$6)</f>
        <v>-50535856.3275607</v>
      </c>
      <c r="E2410" s="553">
        <f>-'Foglio deposito bis'!$F$88*(C2410-sezione!$AL$36)*IF(ABS(K2410)&lt;'Progetto del paramento slu'!$G$58,ABS(K2410)*'Progetto del paramento slu'!$G$54,'Progetto del paramento slu'!$G$53)</f>
        <v>0</v>
      </c>
      <c r="F2410" s="553">
        <f>-'Foglio deposito bis'!$F$89*(C2410-sezione!$AM$36)*IF(ABS(L2410)&lt;'Progetto del paramento slu'!$G$58,ABS(L2410)*'Progetto del paramento slu'!$G$54,'Progetto del paramento slu'!$G$53)</f>
        <v>11009861.438937055</v>
      </c>
      <c r="G2410" s="553">
        <f>-'Foglio deposito bis'!$F$90*(C2410-sezione!$AN$36)*IF(ABS(M2410)&lt;'Progetto del paramento slu'!$G$58,ABS(M2410)*'Progetto del paramento slu'!$G$54,'Progetto del paramento slu'!$G$53)</f>
        <v>0</v>
      </c>
      <c r="H2410" s="553">
        <f>-'Foglio deposito bis'!$F$91*(C2410-sezione!$AO$36)*IF(ABS(N2410)&lt;'Progetto del paramento slu'!$G$58,ABS(N2410)*'Progetto del paramento slu'!$G$54,'Progetto del paramento slu'!$G$53)</f>
        <v>233517519.39932844</v>
      </c>
      <c r="I2410" s="479">
        <f>-'Foglio deposito bis'!$F$92*(C2410-sezione!$AP$36)*IF(ABS(O2410)&lt;'Progetto del paramento slu'!$G$58,ABS(O2410)*'Progetto del paramento slu'!$G$54,'Progetto del paramento slu'!$G$53)</f>
        <v>301921905.21507359</v>
      </c>
      <c r="J2410" s="479">
        <f t="shared" si="175"/>
        <v>495913429.72577834</v>
      </c>
      <c r="K2410" s="558">
        <f>'Progetto del paramento slu'!$G$60*(sezione!$AL$36-C2410)/C2410</f>
        <v>-1.7131796267886316E-3</v>
      </c>
      <c r="L2410" s="558">
        <f>'Progetto del paramento slu'!$G$60*(sezione!$AM$36-C2410)/C2410</f>
        <v>3.2005763995426317E-3</v>
      </c>
      <c r="M2410" s="559">
        <f>'Progetto del paramento slu'!$G$60*(sezione!$AN$36-C2410)/C2410</f>
        <v>8.1143324258738953E-3</v>
      </c>
      <c r="N2410" s="559">
        <f>'Progetto del paramento slu'!$G$60*(sezione!$AO$36-C2410)/C2410</f>
        <v>1.1687973172296633E-2</v>
      </c>
      <c r="O2410" s="559">
        <f>'Progetto del paramento slu'!$G$60*(sezione!$AP$36-C2410)/C2410</f>
        <v>8.1147340309337315E-3</v>
      </c>
      <c r="P2410" s="553">
        <f>-'Progetto del paramento slu'!$G$47*'Progetto del paramento slu'!$G$41*IF(DATI!$G$218="dx",DATI!$E$61,DATI!$E$64*DATI!$E$63)*1000*C2410*sezione!$AD$5</f>
        <v>-1104433.6798406078</v>
      </c>
      <c r="Q2410" s="553">
        <f>'Foglio deposito bis'!$F$88*IF(ABS(K2410)&lt;'Progetto del paramento slu'!$G$58,ABS(K2410)*'Progetto del paramento slu'!$G$54,'Progetto del paramento slu'!$G$53)*IF(K2410&lt;0,-1,1)</f>
        <v>0</v>
      </c>
      <c r="R2410" s="553">
        <f>'Foglio deposito bis'!$F$89*IF(ABS(L2410)&lt;'Progetto del paramento slu'!$G$58,ABS(L2410)*'Progetto del paramento slu'!$G$54,'Progetto del paramento slu'!$G$53)*IF(L2410&lt;0,-1,1)</f>
        <v>153664.85805602249</v>
      </c>
      <c r="S2410" s="553">
        <f>'Foglio deposito bis'!$F$90*IF(ABS(M2410)&lt;'Progetto del paramento slu'!$G$58,ABS(M2410)*'Progetto del paramento slu'!$G$54,'Progetto del paramento slu'!$G$53)*IF(M2410&lt;0,-1,1)</f>
        <v>0</v>
      </c>
      <c r="T2410" s="553">
        <f>'Foglio deposito bis'!$F$91*IF(ABS(N2410)&lt;'Progetto del paramento slu'!$G$58,ABS(N2410)*'Progetto del paramento slu'!$G$54,'Progetto del paramento slu'!$G$53)*IF(N2410&lt;0,-1,1)</f>
        <v>892485.49558937876</v>
      </c>
      <c r="U2410" s="553">
        <f>'Foglio deposito bis'!$F$92*IF(ABS(O2410)&lt;'Progetto del paramento slu'!$G$58,ABS(O2410)*'Progetto del paramento slu'!$G$54,'Progetto del paramento slu'!$G$53)*IF(O2410&lt;0,-1,1)</f>
        <v>1662039.1047339395</v>
      </c>
      <c r="V2410" s="479">
        <f t="shared" si="177"/>
        <v>1603755.778538733</v>
      </c>
      <c r="W2410" s="559"/>
      <c r="X2410" s="559"/>
    </row>
    <row r="2411" spans="1:24" x14ac:dyDescent="0.25">
      <c r="A2411" s="553">
        <f t="shared" si="176"/>
        <v>1592310.8699393484</v>
      </c>
      <c r="B2411" s="3">
        <f t="shared" si="178"/>
        <v>19.499999999999954</v>
      </c>
      <c r="C2411" s="553">
        <f>'Foglio deposito bis'!$E$162/sezione!$B$247*B2411</f>
        <v>79.16340071041931</v>
      </c>
      <c r="D2411" s="611">
        <f>-'Progetto del paramento slu'!$G$47*'Progetto del paramento slu'!$G$41*IF(DATI!$G$218="dx",DATI!$E$61,DATI!$E$64*DATI!$E$63)*1000*C2411^2*sezione!$AD$5*(1-sezione!$AD$6)</f>
        <v>-51588658.403057694</v>
      </c>
      <c r="E2411" s="553">
        <f>-'Foglio deposito bis'!$F$88*(C2411-sezione!$AL$36)*IF(ABS(K2411)&lt;'Progetto del paramento slu'!$G$58,ABS(K2411)*'Progetto del paramento slu'!$G$54,'Progetto del paramento slu'!$G$53)</f>
        <v>0</v>
      </c>
      <c r="F2411" s="553">
        <f>-'Foglio deposito bis'!$F$89*(C2411-sezione!$AM$36)*IF(ABS(L2411)&lt;'Progetto del paramento slu'!$G$58,ABS(L2411)*'Progetto del paramento slu'!$G$54,'Progetto del paramento slu'!$G$53)</f>
        <v>10885095.975004761</v>
      </c>
      <c r="G2411" s="553">
        <f>-'Foglio deposito bis'!$F$90*(C2411-sezione!$AN$36)*IF(ABS(M2411)&lt;'Progetto del paramento slu'!$G$58,ABS(M2411)*'Progetto del paramento slu'!$G$54,'Progetto del paramento slu'!$G$53)</f>
        <v>0</v>
      </c>
      <c r="H2411" s="553">
        <f>-'Foglio deposito bis'!$F$91*(C2411-sezione!$AO$36)*IF(ABS(N2411)&lt;'Progetto del paramento slu'!$G$58,ABS(N2411)*'Progetto del paramento slu'!$G$54,'Progetto del paramento slu'!$G$53)</f>
        <v>232792881.58480963</v>
      </c>
      <c r="I2411" s="479">
        <f>-'Foglio deposito bis'!$F$92*(C2411-sezione!$AP$36)*IF(ABS(O2411)&lt;'Progetto del paramento slu'!$G$58,ABS(O2411)*'Progetto del paramento slu'!$G$54,'Progetto del paramento slu'!$G$53)</f>
        <v>300572441.95718193</v>
      </c>
      <c r="J2411" s="479">
        <f t="shared" si="175"/>
        <v>492661761.11393863</v>
      </c>
      <c r="K2411" s="558">
        <f>'Progetto del paramento slu'!$G$60*(sezione!$AL$36-C2411)/C2411</f>
        <v>-1.7315059895907994E-3</v>
      </c>
      <c r="L2411" s="558">
        <f>'Progetto del paramento slu'!$G$60*(sezione!$AM$36-C2411)/C2411</f>
        <v>3.131852539034502E-3</v>
      </c>
      <c r="M2411" s="559">
        <f>'Progetto del paramento slu'!$G$60*(sezione!$AN$36-C2411)/C2411</f>
        <v>7.9952110676598052E-3</v>
      </c>
      <c r="N2411" s="559">
        <f>'Progetto del paramento slu'!$G$60*(sezione!$AO$36-C2411)/C2411</f>
        <v>1.1532199088478204E-2</v>
      </c>
      <c r="O2411" s="559">
        <f>'Progetto del paramento slu'!$G$60*(sezione!$AP$36-C2411)/C2411</f>
        <v>7.9956085536933841E-3</v>
      </c>
      <c r="P2411" s="553">
        <f>-'Progetto del paramento slu'!$G$47*'Progetto del paramento slu'!$G$41*IF(DATI!$G$218="dx",DATI!$E$61,DATI!$E$64*DATI!$E$63)*1000*C2411*sezione!$AD$5</f>
        <v>-1115878.5884399924</v>
      </c>
      <c r="Q2411" s="553">
        <f>'Foglio deposito bis'!$F$88*IF(ABS(K2411)&lt;'Progetto del paramento slu'!$G$58,ABS(K2411)*'Progetto del paramento slu'!$G$54,'Progetto del paramento slu'!$G$53)*IF(K2411&lt;0,-1,1)</f>
        <v>0</v>
      </c>
      <c r="R2411" s="553">
        <f>'Foglio deposito bis'!$F$89*IF(ABS(L2411)&lt;'Progetto del paramento slu'!$G$58,ABS(L2411)*'Progetto del paramento slu'!$G$54,'Progetto del paramento slu'!$G$53)*IF(L2411&lt;0,-1,1)</f>
        <v>153664.85805602249</v>
      </c>
      <c r="S2411" s="553">
        <f>'Foglio deposito bis'!$F$90*IF(ABS(M2411)&lt;'Progetto del paramento slu'!$G$58,ABS(M2411)*'Progetto del paramento slu'!$G$54,'Progetto del paramento slu'!$G$53)*IF(M2411&lt;0,-1,1)</f>
        <v>0</v>
      </c>
      <c r="T2411" s="553">
        <f>'Foglio deposito bis'!$F$91*IF(ABS(N2411)&lt;'Progetto del paramento slu'!$G$58,ABS(N2411)*'Progetto del paramento slu'!$G$54,'Progetto del paramento slu'!$G$53)*IF(N2411&lt;0,-1,1)</f>
        <v>892485.49558937876</v>
      </c>
      <c r="U2411" s="553">
        <f>'Foglio deposito bis'!$F$92*IF(ABS(O2411)&lt;'Progetto del paramento slu'!$G$58,ABS(O2411)*'Progetto del paramento slu'!$G$54,'Progetto del paramento slu'!$G$53)*IF(O2411&lt;0,-1,1)</f>
        <v>1662039.1047339395</v>
      </c>
      <c r="V2411" s="479">
        <f t="shared" si="177"/>
        <v>1592310.8699393484</v>
      </c>
      <c r="W2411" s="559"/>
      <c r="X2411" s="559"/>
    </row>
    <row r="2412" spans="1:24" x14ac:dyDescent="0.25">
      <c r="A2412" s="553">
        <f t="shared" si="176"/>
        <v>1580865.9613399641</v>
      </c>
      <c r="B2412" s="3">
        <f t="shared" si="178"/>
        <v>19.699999999999953</v>
      </c>
      <c r="C2412" s="553">
        <f>'Foglio deposito bis'!$E$162/sezione!$B$247*B2412</f>
        <v>79.975333025397958</v>
      </c>
      <c r="D2412" s="611">
        <f>-'Progetto del paramento slu'!$G$47*'Progetto del paramento slu'!$G$41*IF(DATI!$G$218="dx",DATI!$E$61,DATI!$E$64*DATI!$E$63)*1000*C2412^2*sezione!$AD$5*(1-sezione!$AD$6)</f>
        <v>-52652314.108198956</v>
      </c>
      <c r="E2412" s="553">
        <f>-'Foglio deposito bis'!$F$88*(C2412-sezione!$AL$36)*IF(ABS(K2412)&lt;'Progetto del paramento slu'!$G$58,ABS(K2412)*'Progetto del paramento slu'!$G$54,'Progetto del paramento slu'!$G$53)</f>
        <v>0</v>
      </c>
      <c r="F2412" s="553">
        <f>-'Foglio deposito bis'!$F$89*(C2412-sezione!$AM$36)*IF(ABS(L2412)&lt;'Progetto del paramento slu'!$G$58,ABS(L2412)*'Progetto del paramento slu'!$G$54,'Progetto del paramento slu'!$G$53)</f>
        <v>10760330.51107247</v>
      </c>
      <c r="G2412" s="553">
        <f>-'Foglio deposito bis'!$F$90*(C2412-sezione!$AN$36)*IF(ABS(M2412)&lt;'Progetto del paramento slu'!$G$58,ABS(M2412)*'Progetto del paramento slu'!$G$54,'Progetto del paramento slu'!$G$53)</f>
        <v>0</v>
      </c>
      <c r="H2412" s="553">
        <f>-'Foglio deposito bis'!$F$91*(C2412-sezione!$AO$36)*IF(ABS(N2412)&lt;'Progetto del paramento slu'!$G$58,ABS(N2412)*'Progetto del paramento slu'!$G$54,'Progetto del paramento slu'!$G$53)</f>
        <v>232068243.77029088</v>
      </c>
      <c r="I2412" s="479">
        <f>-'Foglio deposito bis'!$F$92*(C2412-sezione!$AP$36)*IF(ABS(O2412)&lt;'Progetto del paramento slu'!$G$58,ABS(O2412)*'Progetto del paramento slu'!$G$54,'Progetto del paramento slu'!$G$53)</f>
        <v>299222978.69929022</v>
      </c>
      <c r="J2412" s="479">
        <f t="shared" si="175"/>
        <v>489399238.87245464</v>
      </c>
      <c r="K2412" s="558">
        <f>'Progetto del paramento slu'!$G$60*(sezione!$AL$36-C2412)/C2412</f>
        <v>-1.749460243503583E-3</v>
      </c>
      <c r="L2412" s="558">
        <f>'Progetto del paramento slu'!$G$60*(sezione!$AM$36-C2412)/C2412</f>
        <v>3.0645240868615638E-3</v>
      </c>
      <c r="M2412" s="559">
        <f>'Progetto del paramento slu'!$G$60*(sezione!$AN$36-C2412)/C2412</f>
        <v>7.8785084172267109E-3</v>
      </c>
      <c r="N2412" s="559">
        <f>'Progetto del paramento slu'!$G$60*(sezione!$AO$36-C2412)/C2412</f>
        <v>1.1379587930219546E-2</v>
      </c>
      <c r="O2412" s="559">
        <f>'Progetto del paramento slu'!$G$60*(sezione!$AP$36-C2412)/C2412</f>
        <v>7.878901867869088E-3</v>
      </c>
      <c r="P2412" s="553">
        <f>-'Progetto del paramento slu'!$G$47*'Progetto del paramento slu'!$G$41*IF(DATI!$G$218="dx",DATI!$E$61,DATI!$E$64*DATI!$E$63)*1000*C2412*sezione!$AD$5</f>
        <v>-1127323.4970393768</v>
      </c>
      <c r="Q2412" s="553">
        <f>'Foglio deposito bis'!$F$88*IF(ABS(K2412)&lt;'Progetto del paramento slu'!$G$58,ABS(K2412)*'Progetto del paramento slu'!$G$54,'Progetto del paramento slu'!$G$53)*IF(K2412&lt;0,-1,1)</f>
        <v>0</v>
      </c>
      <c r="R2412" s="553">
        <f>'Foglio deposito bis'!$F$89*IF(ABS(L2412)&lt;'Progetto del paramento slu'!$G$58,ABS(L2412)*'Progetto del paramento slu'!$G$54,'Progetto del paramento slu'!$G$53)*IF(L2412&lt;0,-1,1)</f>
        <v>153664.85805602249</v>
      </c>
      <c r="S2412" s="553">
        <f>'Foglio deposito bis'!$F$90*IF(ABS(M2412)&lt;'Progetto del paramento slu'!$G$58,ABS(M2412)*'Progetto del paramento slu'!$G$54,'Progetto del paramento slu'!$G$53)*IF(M2412&lt;0,-1,1)</f>
        <v>0</v>
      </c>
      <c r="T2412" s="553">
        <f>'Foglio deposito bis'!$F$91*IF(ABS(N2412)&lt;'Progetto del paramento slu'!$G$58,ABS(N2412)*'Progetto del paramento slu'!$G$54,'Progetto del paramento slu'!$G$53)*IF(N2412&lt;0,-1,1)</f>
        <v>892485.49558937876</v>
      </c>
      <c r="U2412" s="553">
        <f>'Foglio deposito bis'!$F$92*IF(ABS(O2412)&lt;'Progetto del paramento slu'!$G$58,ABS(O2412)*'Progetto del paramento slu'!$G$54,'Progetto del paramento slu'!$G$53)*IF(O2412&lt;0,-1,1)</f>
        <v>1662039.1047339395</v>
      </c>
      <c r="V2412" s="479">
        <f t="shared" si="177"/>
        <v>1580865.9613399641</v>
      </c>
      <c r="W2412" s="559"/>
      <c r="X2412" s="559"/>
    </row>
    <row r="2413" spans="1:24" x14ac:dyDescent="0.25">
      <c r="A2413" s="553">
        <f t="shared" si="176"/>
        <v>1569421.0527405795</v>
      </c>
      <c r="B2413" s="3">
        <f t="shared" si="178"/>
        <v>19.899999999999952</v>
      </c>
      <c r="C2413" s="553">
        <f>'Foglio deposito bis'!$E$162/sezione!$B$247*B2413</f>
        <v>80.787265340376621</v>
      </c>
      <c r="D2413" s="611">
        <f>-'Progetto del paramento slu'!$G$47*'Progetto del paramento slu'!$G$41*IF(DATI!$G$218="dx",DATI!$E$61,DATI!$E$64*DATI!$E$63)*1000*C2413^2*sezione!$AD$5*(1-sezione!$AD$6)</f>
        <v>-53726823.442984536</v>
      </c>
      <c r="E2413" s="553">
        <f>-'Foglio deposito bis'!$F$88*(C2413-sezione!$AL$36)*IF(ABS(K2413)&lt;'Progetto del paramento slu'!$G$58,ABS(K2413)*'Progetto del paramento slu'!$G$54,'Progetto del paramento slu'!$G$53)</f>
        <v>0</v>
      </c>
      <c r="F2413" s="553">
        <f>-'Foglio deposito bis'!$F$89*(C2413-sezione!$AM$36)*IF(ABS(L2413)&lt;'Progetto del paramento slu'!$G$58,ABS(L2413)*'Progetto del paramento slu'!$G$54,'Progetto del paramento slu'!$G$53)</f>
        <v>10635565.047140175</v>
      </c>
      <c r="G2413" s="553">
        <f>-'Foglio deposito bis'!$F$90*(C2413-sezione!$AN$36)*IF(ABS(M2413)&lt;'Progetto del paramento slu'!$G$58,ABS(M2413)*'Progetto del paramento slu'!$G$54,'Progetto del paramento slu'!$G$53)</f>
        <v>0</v>
      </c>
      <c r="H2413" s="553">
        <f>-'Foglio deposito bis'!$F$91*(C2413-sezione!$AO$36)*IF(ABS(N2413)&lt;'Progetto del paramento slu'!$G$58,ABS(N2413)*'Progetto del paramento slu'!$G$54,'Progetto del paramento slu'!$G$53)</f>
        <v>231343605.9557721</v>
      </c>
      <c r="I2413" s="479">
        <f>-'Foglio deposito bis'!$F$92*(C2413-sezione!$AP$36)*IF(ABS(O2413)&lt;'Progetto del paramento slu'!$G$58,ABS(O2413)*'Progetto del paramento slu'!$G$54,'Progetto del paramento slu'!$G$53)</f>
        <v>297873515.4413985</v>
      </c>
      <c r="J2413" s="479">
        <f t="shared" si="175"/>
        <v>486125863.0013262</v>
      </c>
      <c r="K2413" s="558">
        <f>'Progetto del paramento slu'!$G$60*(sezione!$AL$36-C2413)/C2413</f>
        <v>-1.7670536078904819E-3</v>
      </c>
      <c r="L2413" s="558">
        <f>'Progetto del paramento slu'!$G$60*(sezione!$AM$36-C2413)/C2413</f>
        <v>2.9985489704106934E-3</v>
      </c>
      <c r="M2413" s="559">
        <f>'Progetto del paramento slu'!$G$60*(sezione!$AN$36-C2413)/C2413</f>
        <v>7.7641515487118689E-3</v>
      </c>
      <c r="N2413" s="559">
        <f>'Progetto del paramento slu'!$G$60*(sezione!$AO$36-C2413)/C2413</f>
        <v>1.1230044332930907E-2</v>
      </c>
      <c r="O2413" s="559">
        <f>'Progetto del paramento slu'!$G$60*(sezione!$AP$36-C2413)/C2413</f>
        <v>7.7645410450764328E-3</v>
      </c>
      <c r="P2413" s="553">
        <f>-'Progetto del paramento slu'!$G$47*'Progetto del paramento slu'!$G$41*IF(DATI!$G$218="dx",DATI!$E$61,DATI!$E$64*DATI!$E$63)*1000*C2413*sezione!$AD$5</f>
        <v>-1138768.4056387614</v>
      </c>
      <c r="Q2413" s="553">
        <f>'Foglio deposito bis'!$F$88*IF(ABS(K2413)&lt;'Progetto del paramento slu'!$G$58,ABS(K2413)*'Progetto del paramento slu'!$G$54,'Progetto del paramento slu'!$G$53)*IF(K2413&lt;0,-1,1)</f>
        <v>0</v>
      </c>
      <c r="R2413" s="553">
        <f>'Foglio deposito bis'!$F$89*IF(ABS(L2413)&lt;'Progetto del paramento slu'!$G$58,ABS(L2413)*'Progetto del paramento slu'!$G$54,'Progetto del paramento slu'!$G$53)*IF(L2413&lt;0,-1,1)</f>
        <v>153664.85805602249</v>
      </c>
      <c r="S2413" s="553">
        <f>'Foglio deposito bis'!$F$90*IF(ABS(M2413)&lt;'Progetto del paramento slu'!$G$58,ABS(M2413)*'Progetto del paramento slu'!$G$54,'Progetto del paramento slu'!$G$53)*IF(M2413&lt;0,-1,1)</f>
        <v>0</v>
      </c>
      <c r="T2413" s="553">
        <f>'Foglio deposito bis'!$F$91*IF(ABS(N2413)&lt;'Progetto del paramento slu'!$G$58,ABS(N2413)*'Progetto del paramento slu'!$G$54,'Progetto del paramento slu'!$G$53)*IF(N2413&lt;0,-1,1)</f>
        <v>892485.49558937876</v>
      </c>
      <c r="U2413" s="553">
        <f>'Foglio deposito bis'!$F$92*IF(ABS(O2413)&lt;'Progetto del paramento slu'!$G$58,ABS(O2413)*'Progetto del paramento slu'!$G$54,'Progetto del paramento slu'!$G$53)*IF(O2413&lt;0,-1,1)</f>
        <v>1662039.1047339395</v>
      </c>
      <c r="V2413" s="479">
        <f t="shared" si="177"/>
        <v>1569421.0527405795</v>
      </c>
      <c r="W2413" s="559"/>
      <c r="X2413" s="559"/>
    </row>
    <row r="2414" spans="1:24" x14ac:dyDescent="0.25">
      <c r="A2414" s="553">
        <f t="shared" si="176"/>
        <v>1557976.1441411949</v>
      </c>
      <c r="B2414" s="3">
        <f t="shared" si="178"/>
        <v>20.099999999999952</v>
      </c>
      <c r="C2414" s="553">
        <f>'Foglio deposito bis'!$E$162/sezione!$B$247*B2414</f>
        <v>81.599197655355283</v>
      </c>
      <c r="D2414" s="611">
        <f>-'Progetto del paramento slu'!$G$47*'Progetto del paramento slu'!$G$41*IF(DATI!$G$218="dx",DATI!$E$61,DATI!$E$64*DATI!$E$63)*1000*C2414^2*sezione!$AD$5*(1-sezione!$AD$6)</f>
        <v>-54812186.407414421</v>
      </c>
      <c r="E2414" s="553">
        <f>-'Foglio deposito bis'!$F$88*(C2414-sezione!$AL$36)*IF(ABS(K2414)&lt;'Progetto del paramento slu'!$G$58,ABS(K2414)*'Progetto del paramento slu'!$G$54,'Progetto del paramento slu'!$G$53)</f>
        <v>0</v>
      </c>
      <c r="F2414" s="553">
        <f>-'Foglio deposito bis'!$F$89*(C2414-sezione!$AM$36)*IF(ABS(L2414)&lt;'Progetto del paramento slu'!$G$58,ABS(L2414)*'Progetto del paramento slu'!$G$54,'Progetto del paramento slu'!$G$53)</f>
        <v>10510799.583207881</v>
      </c>
      <c r="G2414" s="553">
        <f>-'Foglio deposito bis'!$F$90*(C2414-sezione!$AN$36)*IF(ABS(M2414)&lt;'Progetto del paramento slu'!$G$58,ABS(M2414)*'Progetto del paramento slu'!$G$54,'Progetto del paramento slu'!$G$53)</f>
        <v>0</v>
      </c>
      <c r="H2414" s="553">
        <f>-'Foglio deposito bis'!$F$91*(C2414-sezione!$AO$36)*IF(ABS(N2414)&lt;'Progetto del paramento slu'!$G$58,ABS(N2414)*'Progetto del paramento slu'!$G$54,'Progetto del paramento slu'!$G$53)</f>
        <v>230618968.14125335</v>
      </c>
      <c r="I2414" s="479">
        <f>-'Foglio deposito bis'!$F$92*(C2414-sezione!$AP$36)*IF(ABS(O2414)&lt;'Progetto del paramento slu'!$G$58,ABS(O2414)*'Progetto del paramento slu'!$G$54,'Progetto del paramento slu'!$G$53)</f>
        <v>296524052.18350679</v>
      </c>
      <c r="J2414" s="479">
        <f t="shared" si="175"/>
        <v>482841633.50055361</v>
      </c>
      <c r="K2414" s="558">
        <f>'Progetto del paramento slu'!$G$60*(sezione!$AL$36-C2414)/C2414</f>
        <v>-1.7842968555731636E-3</v>
      </c>
      <c r="L2414" s="558">
        <f>'Progetto del paramento slu'!$G$60*(sezione!$AM$36-C2414)/C2414</f>
        <v>2.9338867916006367E-3</v>
      </c>
      <c r="M2414" s="559">
        <f>'Progetto del paramento slu'!$G$60*(sezione!$AN$36-C2414)/C2414</f>
        <v>7.6520704387744365E-3</v>
      </c>
      <c r="N2414" s="559">
        <f>'Progetto del paramento slu'!$G$60*(sezione!$AO$36-C2414)/C2414</f>
        <v>1.1083476727628111E-2</v>
      </c>
      <c r="O2414" s="559">
        <f>'Progetto del paramento slu'!$G$60*(sezione!$AP$36-C2414)/C2414</f>
        <v>7.6524560595532835E-3</v>
      </c>
      <c r="P2414" s="553">
        <f>-'Progetto del paramento slu'!$G$47*'Progetto del paramento slu'!$G$41*IF(DATI!$G$218="dx",DATI!$E$61,DATI!$E$64*DATI!$E$63)*1000*C2414*sezione!$AD$5</f>
        <v>-1150213.3142381459</v>
      </c>
      <c r="Q2414" s="553">
        <f>'Foglio deposito bis'!$F$88*IF(ABS(K2414)&lt;'Progetto del paramento slu'!$G$58,ABS(K2414)*'Progetto del paramento slu'!$G$54,'Progetto del paramento slu'!$G$53)*IF(K2414&lt;0,-1,1)</f>
        <v>0</v>
      </c>
      <c r="R2414" s="553">
        <f>'Foglio deposito bis'!$F$89*IF(ABS(L2414)&lt;'Progetto del paramento slu'!$G$58,ABS(L2414)*'Progetto del paramento slu'!$G$54,'Progetto del paramento slu'!$G$53)*IF(L2414&lt;0,-1,1)</f>
        <v>153664.85805602249</v>
      </c>
      <c r="S2414" s="553">
        <f>'Foglio deposito bis'!$F$90*IF(ABS(M2414)&lt;'Progetto del paramento slu'!$G$58,ABS(M2414)*'Progetto del paramento slu'!$G$54,'Progetto del paramento slu'!$G$53)*IF(M2414&lt;0,-1,1)</f>
        <v>0</v>
      </c>
      <c r="T2414" s="553">
        <f>'Foglio deposito bis'!$F$91*IF(ABS(N2414)&lt;'Progetto del paramento slu'!$G$58,ABS(N2414)*'Progetto del paramento slu'!$G$54,'Progetto del paramento slu'!$G$53)*IF(N2414&lt;0,-1,1)</f>
        <v>892485.49558937876</v>
      </c>
      <c r="U2414" s="553">
        <f>'Foglio deposito bis'!$F$92*IF(ABS(O2414)&lt;'Progetto del paramento slu'!$G$58,ABS(O2414)*'Progetto del paramento slu'!$G$54,'Progetto del paramento slu'!$G$53)*IF(O2414&lt;0,-1,1)</f>
        <v>1662039.1047339395</v>
      </c>
      <c r="V2414" s="479">
        <f t="shared" si="177"/>
        <v>1557976.1441411949</v>
      </c>
      <c r="W2414" s="559"/>
      <c r="X2414" s="559"/>
    </row>
    <row r="2415" spans="1:24" x14ac:dyDescent="0.25">
      <c r="A2415" s="553">
        <f t="shared" si="176"/>
        <v>1546531.2355418103</v>
      </c>
      <c r="B2415" s="3">
        <f t="shared" si="178"/>
        <v>20.299999999999951</v>
      </c>
      <c r="C2415" s="553">
        <f>'Foglio deposito bis'!$E$162/sezione!$B$247*B2415</f>
        <v>82.411129970333945</v>
      </c>
      <c r="D2415" s="611">
        <f>-'Progetto del paramento slu'!$G$47*'Progetto del paramento slu'!$G$41*IF(DATI!$G$218="dx",DATI!$E$61,DATI!$E$64*DATI!$E$63)*1000*C2415^2*sezione!$AD$5*(1-sezione!$AD$6)</f>
        <v>-55908403.001488611</v>
      </c>
      <c r="E2415" s="553">
        <f>-'Foglio deposito bis'!$F$88*(C2415-sezione!$AL$36)*IF(ABS(K2415)&lt;'Progetto del paramento slu'!$G$58,ABS(K2415)*'Progetto del paramento slu'!$G$54,'Progetto del paramento slu'!$G$53)</f>
        <v>0</v>
      </c>
      <c r="F2415" s="553">
        <f>-'Foglio deposito bis'!$F$89*(C2415-sezione!$AM$36)*IF(ABS(L2415)&lt;'Progetto del paramento slu'!$G$58,ABS(L2415)*'Progetto del paramento slu'!$G$54,'Progetto del paramento slu'!$G$53)</f>
        <v>10386034.119275587</v>
      </c>
      <c r="G2415" s="553">
        <f>-'Foglio deposito bis'!$F$90*(C2415-sezione!$AN$36)*IF(ABS(M2415)&lt;'Progetto del paramento slu'!$G$58,ABS(M2415)*'Progetto del paramento slu'!$G$54,'Progetto del paramento slu'!$G$53)</f>
        <v>0</v>
      </c>
      <c r="H2415" s="553">
        <f>-'Foglio deposito bis'!$F$91*(C2415-sezione!$AO$36)*IF(ABS(N2415)&lt;'Progetto del paramento slu'!$G$58,ABS(N2415)*'Progetto del paramento slu'!$G$54,'Progetto del paramento slu'!$G$53)</f>
        <v>229894330.3267346</v>
      </c>
      <c r="I2415" s="479">
        <f>-'Foglio deposito bis'!$F$92*(C2415-sezione!$AP$36)*IF(ABS(O2415)&lt;'Progetto del paramento slu'!$G$58,ABS(O2415)*'Progetto del paramento slu'!$G$54,'Progetto del paramento slu'!$G$53)</f>
        <v>295174588.92561513</v>
      </c>
      <c r="J2415" s="479">
        <f t="shared" si="175"/>
        <v>479546550.37013674</v>
      </c>
      <c r="K2415" s="558">
        <f>'Progetto del paramento slu'!$G$60*(sezione!$AL$36-C2415)/C2415</f>
        <v>-1.8012003348286006E-3</v>
      </c>
      <c r="L2415" s="558">
        <f>'Progetto del paramento slu'!$G$60*(sezione!$AM$36-C2415)/C2415</f>
        <v>2.8704987443927484E-3</v>
      </c>
      <c r="M2415" s="559">
        <f>'Progetto del paramento slu'!$G$60*(sezione!$AN$36-C2415)/C2415</f>
        <v>7.5421978236140984E-3</v>
      </c>
      <c r="N2415" s="559">
        <f>'Progetto del paramento slu'!$G$60*(sezione!$AO$36-C2415)/C2415</f>
        <v>1.0939797153956897E-2</v>
      </c>
      <c r="O2415" s="559">
        <f>'Progetto del paramento slu'!$G$60*(sezione!$AP$36-C2415)/C2415</f>
        <v>7.5425796451734474E-3</v>
      </c>
      <c r="P2415" s="553">
        <f>-'Progetto del paramento slu'!$G$47*'Progetto del paramento slu'!$G$41*IF(DATI!$G$218="dx",DATI!$E$61,DATI!$E$64*DATI!$E$63)*1000*C2415*sezione!$AD$5</f>
        <v>-1161658.2228375305</v>
      </c>
      <c r="Q2415" s="553">
        <f>'Foglio deposito bis'!$F$88*IF(ABS(K2415)&lt;'Progetto del paramento slu'!$G$58,ABS(K2415)*'Progetto del paramento slu'!$G$54,'Progetto del paramento slu'!$G$53)*IF(K2415&lt;0,-1,1)</f>
        <v>0</v>
      </c>
      <c r="R2415" s="553">
        <f>'Foglio deposito bis'!$F$89*IF(ABS(L2415)&lt;'Progetto del paramento slu'!$G$58,ABS(L2415)*'Progetto del paramento slu'!$G$54,'Progetto del paramento slu'!$G$53)*IF(L2415&lt;0,-1,1)</f>
        <v>153664.85805602249</v>
      </c>
      <c r="S2415" s="553">
        <f>'Foglio deposito bis'!$F$90*IF(ABS(M2415)&lt;'Progetto del paramento slu'!$G$58,ABS(M2415)*'Progetto del paramento slu'!$G$54,'Progetto del paramento slu'!$G$53)*IF(M2415&lt;0,-1,1)</f>
        <v>0</v>
      </c>
      <c r="T2415" s="553">
        <f>'Foglio deposito bis'!$F$91*IF(ABS(N2415)&lt;'Progetto del paramento slu'!$G$58,ABS(N2415)*'Progetto del paramento slu'!$G$54,'Progetto del paramento slu'!$G$53)*IF(N2415&lt;0,-1,1)</f>
        <v>892485.49558937876</v>
      </c>
      <c r="U2415" s="553">
        <f>'Foglio deposito bis'!$F$92*IF(ABS(O2415)&lt;'Progetto del paramento slu'!$G$58,ABS(O2415)*'Progetto del paramento slu'!$G$54,'Progetto del paramento slu'!$G$53)*IF(O2415&lt;0,-1,1)</f>
        <v>1662039.1047339395</v>
      </c>
      <c r="V2415" s="479">
        <f t="shared" si="177"/>
        <v>1546531.2355418103</v>
      </c>
      <c r="W2415" s="559"/>
      <c r="X2415" s="559"/>
    </row>
    <row r="2416" spans="1:24" x14ac:dyDescent="0.25">
      <c r="A2416" s="553">
        <f t="shared" si="176"/>
        <v>1535086.3269424259</v>
      </c>
      <c r="B2416" s="3">
        <f t="shared" si="178"/>
        <v>20.49999999999995</v>
      </c>
      <c r="C2416" s="553">
        <f>'Foglio deposito bis'!$E$162/sezione!$B$247*B2416</f>
        <v>83.223062285312594</v>
      </c>
      <c r="D2416" s="611">
        <f>-'Progetto del paramento slu'!$G$47*'Progetto del paramento slu'!$G$41*IF(DATI!$G$218="dx",DATI!$E$61,DATI!$E$64*DATI!$E$63)*1000*C2416^2*sezione!$AD$5*(1-sezione!$AD$6)</f>
        <v>-57015473.225207068</v>
      </c>
      <c r="E2416" s="553">
        <f>-'Foglio deposito bis'!$F$88*(C2416-sezione!$AL$36)*IF(ABS(K2416)&lt;'Progetto del paramento slu'!$G$58,ABS(K2416)*'Progetto del paramento slu'!$G$54,'Progetto del paramento slu'!$G$53)</f>
        <v>0</v>
      </c>
      <c r="F2416" s="553">
        <f>-'Foglio deposito bis'!$F$89*(C2416-sezione!$AM$36)*IF(ABS(L2416)&lt;'Progetto del paramento slu'!$G$58,ABS(L2416)*'Progetto del paramento slu'!$G$54,'Progetto del paramento slu'!$G$53)</f>
        <v>10261268.655343296</v>
      </c>
      <c r="G2416" s="553">
        <f>-'Foglio deposito bis'!$F$90*(C2416-sezione!$AN$36)*IF(ABS(M2416)&lt;'Progetto del paramento slu'!$G$58,ABS(M2416)*'Progetto del paramento slu'!$G$54,'Progetto del paramento slu'!$G$53)</f>
        <v>0</v>
      </c>
      <c r="H2416" s="553">
        <f>-'Foglio deposito bis'!$F$91*(C2416-sezione!$AO$36)*IF(ABS(N2416)&lt;'Progetto del paramento slu'!$G$58,ABS(N2416)*'Progetto del paramento slu'!$G$54,'Progetto del paramento slu'!$G$53)</f>
        <v>229169692.51221582</v>
      </c>
      <c r="I2416" s="479">
        <f>-'Foglio deposito bis'!$F$92*(C2416-sezione!$AP$36)*IF(ABS(O2416)&lt;'Progetto del paramento slu'!$G$58,ABS(O2416)*'Progetto del paramento slu'!$G$54,'Progetto del paramento slu'!$G$53)</f>
        <v>293825125.66772342</v>
      </c>
      <c r="J2416" s="479">
        <f t="shared" si="175"/>
        <v>476240613.61007547</v>
      </c>
      <c r="K2416" s="558">
        <f>'Progetto del paramento slu'!$G$60*(sezione!$AL$36-C2416)/C2416</f>
        <v>-1.8177739900985652E-3</v>
      </c>
      <c r="L2416" s="558">
        <f>'Progetto del paramento slu'!$G$60*(sezione!$AM$36-C2416)/C2416</f>
        <v>2.8083475371303811E-3</v>
      </c>
      <c r="M2416" s="559">
        <f>'Progetto del paramento slu'!$G$60*(sezione!$AN$36-C2416)/C2416</f>
        <v>7.4344690643593269E-3</v>
      </c>
      <c r="N2416" s="559">
        <f>'Progetto del paramento slu'!$G$60*(sezione!$AO$36-C2416)/C2416</f>
        <v>1.0798921084162198E-2</v>
      </c>
      <c r="O2416" s="559">
        <f>'Progetto del paramento slu'!$G$60*(sezione!$AP$36-C2416)/C2416</f>
        <v>7.4348471608302923E-3</v>
      </c>
      <c r="P2416" s="553">
        <f>-'Progetto del paramento slu'!$G$47*'Progetto del paramento slu'!$G$41*IF(DATI!$G$218="dx",DATI!$E$61,DATI!$E$64*DATI!$E$63)*1000*C2416*sezione!$AD$5</f>
        <v>-1173103.1314369149</v>
      </c>
      <c r="Q2416" s="553">
        <f>'Foglio deposito bis'!$F$88*IF(ABS(K2416)&lt;'Progetto del paramento slu'!$G$58,ABS(K2416)*'Progetto del paramento slu'!$G$54,'Progetto del paramento slu'!$G$53)*IF(K2416&lt;0,-1,1)</f>
        <v>0</v>
      </c>
      <c r="R2416" s="553">
        <f>'Foglio deposito bis'!$F$89*IF(ABS(L2416)&lt;'Progetto del paramento slu'!$G$58,ABS(L2416)*'Progetto del paramento slu'!$G$54,'Progetto del paramento slu'!$G$53)*IF(L2416&lt;0,-1,1)</f>
        <v>153664.85805602249</v>
      </c>
      <c r="S2416" s="553">
        <f>'Foglio deposito bis'!$F$90*IF(ABS(M2416)&lt;'Progetto del paramento slu'!$G$58,ABS(M2416)*'Progetto del paramento slu'!$G$54,'Progetto del paramento slu'!$G$53)*IF(M2416&lt;0,-1,1)</f>
        <v>0</v>
      </c>
      <c r="T2416" s="553">
        <f>'Foglio deposito bis'!$F$91*IF(ABS(N2416)&lt;'Progetto del paramento slu'!$G$58,ABS(N2416)*'Progetto del paramento slu'!$G$54,'Progetto del paramento slu'!$G$53)*IF(N2416&lt;0,-1,1)</f>
        <v>892485.49558937876</v>
      </c>
      <c r="U2416" s="553">
        <f>'Foglio deposito bis'!$F$92*IF(ABS(O2416)&lt;'Progetto del paramento slu'!$G$58,ABS(O2416)*'Progetto del paramento slu'!$G$54,'Progetto del paramento slu'!$G$53)*IF(O2416&lt;0,-1,1)</f>
        <v>1662039.1047339395</v>
      </c>
      <c r="V2416" s="479">
        <f t="shared" si="177"/>
        <v>1535086.3269424259</v>
      </c>
      <c r="W2416" s="559"/>
      <c r="X2416" s="559"/>
    </row>
    <row r="2417" spans="1:24" x14ac:dyDescent="0.25">
      <c r="A2417" s="553">
        <f t="shared" si="176"/>
        <v>1523641.4183430413</v>
      </c>
      <c r="B2417" s="3">
        <f t="shared" si="178"/>
        <v>20.69999999999995</v>
      </c>
      <c r="C2417" s="553">
        <f>'Foglio deposito bis'!$E$162/sezione!$B$247*B2417</f>
        <v>84.034994600291256</v>
      </c>
      <c r="D2417" s="611">
        <f>-'Progetto del paramento slu'!$G$47*'Progetto del paramento slu'!$G$41*IF(DATI!$G$218="dx",DATI!$E$61,DATI!$E$64*DATI!$E$63)*1000*C2417^2*sezione!$AD$5*(1-sezione!$AD$6)</f>
        <v>-58133397.078569837</v>
      </c>
      <c r="E2417" s="553">
        <f>-'Foglio deposito bis'!$F$88*(C2417-sezione!$AL$36)*IF(ABS(K2417)&lt;'Progetto del paramento slu'!$G$58,ABS(K2417)*'Progetto del paramento slu'!$G$54,'Progetto del paramento slu'!$G$53)</f>
        <v>0</v>
      </c>
      <c r="F2417" s="553">
        <f>-'Foglio deposito bis'!$F$89*(C2417-sezione!$AM$36)*IF(ABS(L2417)&lt;'Progetto del paramento slu'!$G$58,ABS(L2417)*'Progetto del paramento slu'!$G$54,'Progetto del paramento slu'!$G$53)</f>
        <v>10136503.191411002</v>
      </c>
      <c r="G2417" s="553">
        <f>-'Foglio deposito bis'!$F$90*(C2417-sezione!$AN$36)*IF(ABS(M2417)&lt;'Progetto del paramento slu'!$G$58,ABS(M2417)*'Progetto del paramento slu'!$G$54,'Progetto del paramento slu'!$G$53)</f>
        <v>0</v>
      </c>
      <c r="H2417" s="553">
        <f>-'Foglio deposito bis'!$F$91*(C2417-sezione!$AO$36)*IF(ABS(N2417)&lt;'Progetto del paramento slu'!$G$58,ABS(N2417)*'Progetto del paramento slu'!$G$54,'Progetto del paramento slu'!$G$53)</f>
        <v>228445054.69769707</v>
      </c>
      <c r="I2417" s="479">
        <f>-'Foglio deposito bis'!$F$92*(C2417-sezione!$AP$36)*IF(ABS(O2417)&lt;'Progetto del paramento slu'!$G$58,ABS(O2417)*'Progetto del paramento slu'!$G$54,'Progetto del paramento slu'!$G$53)</f>
        <v>292475662.4098317</v>
      </c>
      <c r="J2417" s="479">
        <f t="shared" si="175"/>
        <v>472923823.22036994</v>
      </c>
      <c r="K2417" s="558">
        <f>'Progetto del paramento slu'!$G$60*(sezione!$AL$36-C2417)/C2417</f>
        <v>-1.834027381498579E-3</v>
      </c>
      <c r="L2417" s="558">
        <f>'Progetto del paramento slu'!$G$60*(sezione!$AM$36-C2417)/C2417</f>
        <v>2.747397319380329E-3</v>
      </c>
      <c r="M2417" s="559">
        <f>'Progetto del paramento slu'!$G$60*(sezione!$AN$36-C2417)/C2417</f>
        <v>7.3288220202592366E-3</v>
      </c>
      <c r="N2417" s="559">
        <f>'Progetto del paramento slu'!$G$60*(sezione!$AO$36-C2417)/C2417</f>
        <v>1.0660767257262078E-2</v>
      </c>
      <c r="O2417" s="559">
        <f>'Progetto del paramento slu'!$G$60*(sezione!$AP$36-C2417)/C2417</f>
        <v>7.3291964636242038E-3</v>
      </c>
      <c r="P2417" s="553">
        <f>-'Progetto del paramento slu'!$G$47*'Progetto del paramento slu'!$G$41*IF(DATI!$G$218="dx",DATI!$E$61,DATI!$E$64*DATI!$E$63)*1000*C2417*sezione!$AD$5</f>
        <v>-1184548.0400362995</v>
      </c>
      <c r="Q2417" s="553">
        <f>'Foglio deposito bis'!$F$88*IF(ABS(K2417)&lt;'Progetto del paramento slu'!$G$58,ABS(K2417)*'Progetto del paramento slu'!$G$54,'Progetto del paramento slu'!$G$53)*IF(K2417&lt;0,-1,1)</f>
        <v>0</v>
      </c>
      <c r="R2417" s="553">
        <f>'Foglio deposito bis'!$F$89*IF(ABS(L2417)&lt;'Progetto del paramento slu'!$G$58,ABS(L2417)*'Progetto del paramento slu'!$G$54,'Progetto del paramento slu'!$G$53)*IF(L2417&lt;0,-1,1)</f>
        <v>153664.85805602249</v>
      </c>
      <c r="S2417" s="553">
        <f>'Foglio deposito bis'!$F$90*IF(ABS(M2417)&lt;'Progetto del paramento slu'!$G$58,ABS(M2417)*'Progetto del paramento slu'!$G$54,'Progetto del paramento slu'!$G$53)*IF(M2417&lt;0,-1,1)</f>
        <v>0</v>
      </c>
      <c r="T2417" s="553">
        <f>'Foglio deposito bis'!$F$91*IF(ABS(N2417)&lt;'Progetto del paramento slu'!$G$58,ABS(N2417)*'Progetto del paramento slu'!$G$54,'Progetto del paramento slu'!$G$53)*IF(N2417&lt;0,-1,1)</f>
        <v>892485.49558937876</v>
      </c>
      <c r="U2417" s="553">
        <f>'Foglio deposito bis'!$F$92*IF(ABS(O2417)&lt;'Progetto del paramento slu'!$G$58,ABS(O2417)*'Progetto del paramento slu'!$G$54,'Progetto del paramento slu'!$G$53)*IF(O2417&lt;0,-1,1)</f>
        <v>1662039.1047339395</v>
      </c>
      <c r="V2417" s="479">
        <f t="shared" si="177"/>
        <v>1523641.4183430413</v>
      </c>
      <c r="W2417" s="559"/>
      <c r="X2417" s="559"/>
    </row>
    <row r="2418" spans="1:24" x14ac:dyDescent="0.25">
      <c r="A2418" s="553">
        <f t="shared" si="176"/>
        <v>1512196.5097436567</v>
      </c>
      <c r="B2418" s="3">
        <f t="shared" si="178"/>
        <v>20.899999999999949</v>
      </c>
      <c r="C2418" s="553">
        <f>'Foglio deposito bis'!$E$162/sezione!$B$247*B2418</f>
        <v>84.846926915269918</v>
      </c>
      <c r="D2418" s="611">
        <f>-'Progetto del paramento slu'!$G$47*'Progetto del paramento slu'!$G$41*IF(DATI!$G$218="dx",DATI!$E$61,DATI!$E$64*DATI!$E$63)*1000*C2418^2*sezione!$AD$5*(1-sezione!$AD$6)</f>
        <v>-59262174.561576918</v>
      </c>
      <c r="E2418" s="553">
        <f>-'Foglio deposito bis'!$F$88*(C2418-sezione!$AL$36)*IF(ABS(K2418)&lt;'Progetto del paramento slu'!$G$58,ABS(K2418)*'Progetto del paramento slu'!$G$54,'Progetto del paramento slu'!$G$53)</f>
        <v>0</v>
      </c>
      <c r="F2418" s="553">
        <f>-'Foglio deposito bis'!$F$89*(C2418-sezione!$AM$36)*IF(ABS(L2418)&lt;'Progetto del paramento slu'!$G$58,ABS(L2418)*'Progetto del paramento slu'!$G$54,'Progetto del paramento slu'!$G$53)</f>
        <v>10011737.727478707</v>
      </c>
      <c r="G2418" s="553">
        <f>-'Foglio deposito bis'!$F$90*(C2418-sezione!$AN$36)*IF(ABS(M2418)&lt;'Progetto del paramento slu'!$G$58,ABS(M2418)*'Progetto del paramento slu'!$G$54,'Progetto del paramento slu'!$G$53)</f>
        <v>0</v>
      </c>
      <c r="H2418" s="553">
        <f>-'Foglio deposito bis'!$F$91*(C2418-sezione!$AO$36)*IF(ABS(N2418)&lt;'Progetto del paramento slu'!$G$58,ABS(N2418)*'Progetto del paramento slu'!$G$54,'Progetto del paramento slu'!$G$53)</f>
        <v>227720416.88317832</v>
      </c>
      <c r="I2418" s="479">
        <f>-'Foglio deposito bis'!$F$92*(C2418-sezione!$AP$36)*IF(ABS(O2418)&lt;'Progetto del paramento slu'!$G$58,ABS(O2418)*'Progetto del paramento slu'!$G$54,'Progetto del paramento slu'!$G$53)</f>
        <v>291126199.15194005</v>
      </c>
      <c r="J2418" s="479">
        <f t="shared" si="175"/>
        <v>469596179.20102012</v>
      </c>
      <c r="K2418" s="558">
        <f>'Progetto del paramento slu'!$G$60*(sezione!$AL$36-C2418)/C2418</f>
        <v>-1.8499697032067265E-3</v>
      </c>
      <c r="L2418" s="558">
        <f>'Progetto del paramento slu'!$G$60*(sezione!$AM$36-C2418)/C2418</f>
        <v>2.6876136129747753E-3</v>
      </c>
      <c r="M2418" s="559">
        <f>'Progetto del paramento slu'!$G$60*(sezione!$AN$36-C2418)/C2418</f>
        <v>7.2251969291562759E-3</v>
      </c>
      <c r="N2418" s="559">
        <f>'Progetto del paramento slu'!$G$60*(sezione!$AO$36-C2418)/C2418</f>
        <v>1.0525257522742823E-2</v>
      </c>
      <c r="O2418" s="559">
        <f>'Progetto del paramento slu'!$G$60*(sezione!$AP$36-C2418)/C2418</f>
        <v>7.2255677893311486E-3</v>
      </c>
      <c r="P2418" s="553">
        <f>-'Progetto del paramento slu'!$G$47*'Progetto del paramento slu'!$G$41*IF(DATI!$G$218="dx",DATI!$E$61,DATI!$E$64*DATI!$E$63)*1000*C2418*sezione!$AD$5</f>
        <v>-1195992.9486356841</v>
      </c>
      <c r="Q2418" s="553">
        <f>'Foglio deposito bis'!$F$88*IF(ABS(K2418)&lt;'Progetto del paramento slu'!$G$58,ABS(K2418)*'Progetto del paramento slu'!$G$54,'Progetto del paramento slu'!$G$53)*IF(K2418&lt;0,-1,1)</f>
        <v>0</v>
      </c>
      <c r="R2418" s="553">
        <f>'Foglio deposito bis'!$F$89*IF(ABS(L2418)&lt;'Progetto del paramento slu'!$G$58,ABS(L2418)*'Progetto del paramento slu'!$G$54,'Progetto del paramento slu'!$G$53)*IF(L2418&lt;0,-1,1)</f>
        <v>153664.85805602249</v>
      </c>
      <c r="S2418" s="553">
        <f>'Foglio deposito bis'!$F$90*IF(ABS(M2418)&lt;'Progetto del paramento slu'!$G$58,ABS(M2418)*'Progetto del paramento slu'!$G$54,'Progetto del paramento slu'!$G$53)*IF(M2418&lt;0,-1,1)</f>
        <v>0</v>
      </c>
      <c r="T2418" s="553">
        <f>'Foglio deposito bis'!$F$91*IF(ABS(N2418)&lt;'Progetto del paramento slu'!$G$58,ABS(N2418)*'Progetto del paramento slu'!$G$54,'Progetto del paramento slu'!$G$53)*IF(N2418&lt;0,-1,1)</f>
        <v>892485.49558937876</v>
      </c>
      <c r="U2418" s="553">
        <f>'Foglio deposito bis'!$F$92*IF(ABS(O2418)&lt;'Progetto del paramento slu'!$G$58,ABS(O2418)*'Progetto del paramento slu'!$G$54,'Progetto del paramento slu'!$G$53)*IF(O2418&lt;0,-1,1)</f>
        <v>1662039.1047339395</v>
      </c>
      <c r="V2418" s="479">
        <f t="shared" si="177"/>
        <v>1512196.5097436567</v>
      </c>
      <c r="W2418" s="559"/>
      <c r="X2418" s="559"/>
    </row>
    <row r="2419" spans="1:24" x14ac:dyDescent="0.25">
      <c r="A2419" s="553">
        <f t="shared" si="176"/>
        <v>1500751.6011442721</v>
      </c>
      <c r="B2419" s="3">
        <f t="shared" si="178"/>
        <v>21.099999999999948</v>
      </c>
      <c r="C2419" s="553">
        <f>'Foglio deposito bis'!$E$162/sezione!$B$247*B2419</f>
        <v>85.658859230248581</v>
      </c>
      <c r="D2419" s="611">
        <f>-'Progetto del paramento slu'!$G$47*'Progetto del paramento slu'!$G$41*IF(DATI!$G$218="dx",DATI!$E$61,DATI!$E$64*DATI!$E$63)*1000*C2419^2*sezione!$AD$5*(1-sezione!$AD$6)</f>
        <v>-60401805.674228303</v>
      </c>
      <c r="E2419" s="553">
        <f>-'Foglio deposito bis'!$F$88*(C2419-sezione!$AL$36)*IF(ABS(K2419)&lt;'Progetto del paramento slu'!$G$58,ABS(K2419)*'Progetto del paramento slu'!$G$54,'Progetto del paramento slu'!$G$53)</f>
        <v>0</v>
      </c>
      <c r="F2419" s="553">
        <f>-'Foglio deposito bis'!$F$89*(C2419-sezione!$AM$36)*IF(ABS(L2419)&lt;'Progetto del paramento slu'!$G$58,ABS(L2419)*'Progetto del paramento slu'!$G$54,'Progetto del paramento slu'!$G$53)</f>
        <v>9886972.2635464147</v>
      </c>
      <c r="G2419" s="553">
        <f>-'Foglio deposito bis'!$F$90*(C2419-sezione!$AN$36)*IF(ABS(M2419)&lt;'Progetto del paramento slu'!$G$58,ABS(M2419)*'Progetto del paramento slu'!$G$54,'Progetto del paramento slu'!$G$53)</f>
        <v>0</v>
      </c>
      <c r="H2419" s="553">
        <f>-'Foglio deposito bis'!$F$91*(C2419-sezione!$AO$36)*IF(ABS(N2419)&lt;'Progetto del paramento slu'!$G$58,ABS(N2419)*'Progetto del paramento slu'!$G$54,'Progetto del paramento slu'!$G$53)</f>
        <v>226995779.06865951</v>
      </c>
      <c r="I2419" s="479">
        <f>-'Foglio deposito bis'!$F$92*(C2419-sezione!$AP$36)*IF(ABS(O2419)&lt;'Progetto del paramento slu'!$G$58,ABS(O2419)*'Progetto del paramento slu'!$G$54,'Progetto del paramento slu'!$G$53)</f>
        <v>289776735.89404839</v>
      </c>
      <c r="J2419" s="479">
        <f t="shared" si="175"/>
        <v>466257681.55202603</v>
      </c>
      <c r="K2419" s="558">
        <f>'Progetto del paramento slu'!$G$60*(sezione!$AL$36-C2419)/C2419</f>
        <v>-1.8656098008066628E-3</v>
      </c>
      <c r="L2419" s="558">
        <f>'Progetto del paramento slu'!$G$60*(sezione!$AM$36-C2419)/C2419</f>
        <v>2.6289632469750144E-3</v>
      </c>
      <c r="M2419" s="559">
        <f>'Progetto del paramento slu'!$G$60*(sezione!$AN$36-C2419)/C2419</f>
        <v>7.1235362947566902E-3</v>
      </c>
      <c r="N2419" s="559">
        <f>'Progetto del paramento slu'!$G$60*(sezione!$AO$36-C2419)/C2419</f>
        <v>1.0392316693143364E-2</v>
      </c>
      <c r="O2419" s="559">
        <f>'Progetto del paramento slu'!$G$60*(sezione!$AP$36-C2419)/C2419</f>
        <v>7.1239036396692412E-3</v>
      </c>
      <c r="P2419" s="553">
        <f>-'Progetto del paramento slu'!$G$47*'Progetto del paramento slu'!$G$41*IF(DATI!$G$218="dx",DATI!$E$61,DATI!$E$64*DATI!$E$63)*1000*C2419*sezione!$AD$5</f>
        <v>-1207437.8572350687</v>
      </c>
      <c r="Q2419" s="553">
        <f>'Foglio deposito bis'!$F$88*IF(ABS(K2419)&lt;'Progetto del paramento slu'!$G$58,ABS(K2419)*'Progetto del paramento slu'!$G$54,'Progetto del paramento slu'!$G$53)*IF(K2419&lt;0,-1,1)</f>
        <v>0</v>
      </c>
      <c r="R2419" s="553">
        <f>'Foglio deposito bis'!$F$89*IF(ABS(L2419)&lt;'Progetto del paramento slu'!$G$58,ABS(L2419)*'Progetto del paramento slu'!$G$54,'Progetto del paramento slu'!$G$53)*IF(L2419&lt;0,-1,1)</f>
        <v>153664.85805602249</v>
      </c>
      <c r="S2419" s="553">
        <f>'Foglio deposito bis'!$F$90*IF(ABS(M2419)&lt;'Progetto del paramento slu'!$G$58,ABS(M2419)*'Progetto del paramento slu'!$G$54,'Progetto del paramento slu'!$G$53)*IF(M2419&lt;0,-1,1)</f>
        <v>0</v>
      </c>
      <c r="T2419" s="553">
        <f>'Foglio deposito bis'!$F$91*IF(ABS(N2419)&lt;'Progetto del paramento slu'!$G$58,ABS(N2419)*'Progetto del paramento slu'!$G$54,'Progetto del paramento slu'!$G$53)*IF(N2419&lt;0,-1,1)</f>
        <v>892485.49558937876</v>
      </c>
      <c r="U2419" s="553">
        <f>'Foglio deposito bis'!$F$92*IF(ABS(O2419)&lt;'Progetto del paramento slu'!$G$58,ABS(O2419)*'Progetto del paramento slu'!$G$54,'Progetto del paramento slu'!$G$53)*IF(O2419&lt;0,-1,1)</f>
        <v>1662039.1047339395</v>
      </c>
      <c r="V2419" s="479">
        <f t="shared" si="177"/>
        <v>1500751.6011442721</v>
      </c>
      <c r="W2419" s="559"/>
      <c r="X2419" s="559"/>
    </row>
    <row r="2420" spans="1:24" x14ac:dyDescent="0.25">
      <c r="A2420" s="553">
        <f t="shared" si="176"/>
        <v>1489306.6925448878</v>
      </c>
      <c r="B2420" s="3">
        <f t="shared" si="178"/>
        <v>21.299999999999947</v>
      </c>
      <c r="C2420" s="553">
        <f>'Foglio deposito bis'!$E$162/sezione!$B$247*B2420</f>
        <v>86.470791545227229</v>
      </c>
      <c r="D2420" s="611">
        <f>-'Progetto del paramento slu'!$G$47*'Progetto del paramento slu'!$G$41*IF(DATI!$G$218="dx",DATI!$E$61,DATI!$E$64*DATI!$E$63)*1000*C2420^2*sezione!$AD$5*(1-sezione!$AD$6)</f>
        <v>-61552290.416523948</v>
      </c>
      <c r="E2420" s="553">
        <f>-'Foglio deposito bis'!$F$88*(C2420-sezione!$AL$36)*IF(ABS(K2420)&lt;'Progetto del paramento slu'!$G$58,ABS(K2420)*'Progetto del paramento slu'!$G$54,'Progetto del paramento slu'!$G$53)</f>
        <v>0</v>
      </c>
      <c r="F2420" s="553">
        <f>-'Foglio deposito bis'!$F$89*(C2420-sezione!$AM$36)*IF(ABS(L2420)&lt;'Progetto del paramento slu'!$G$58,ABS(L2420)*'Progetto del paramento slu'!$G$54,'Progetto del paramento slu'!$G$53)</f>
        <v>9762206.7996141221</v>
      </c>
      <c r="G2420" s="553">
        <f>-'Foglio deposito bis'!$F$90*(C2420-sezione!$AN$36)*IF(ABS(M2420)&lt;'Progetto del paramento slu'!$G$58,ABS(M2420)*'Progetto del paramento slu'!$G$54,'Progetto del paramento slu'!$G$53)</f>
        <v>0</v>
      </c>
      <c r="H2420" s="553">
        <f>-'Foglio deposito bis'!$F$91*(C2420-sezione!$AO$36)*IF(ABS(N2420)&lt;'Progetto del paramento slu'!$G$58,ABS(N2420)*'Progetto del paramento slu'!$G$54,'Progetto del paramento slu'!$G$53)</f>
        <v>226271141.25414079</v>
      </c>
      <c r="I2420" s="479">
        <f>-'Foglio deposito bis'!$F$92*(C2420-sezione!$AP$36)*IF(ABS(O2420)&lt;'Progetto del paramento slu'!$G$58,ABS(O2420)*'Progetto del paramento slu'!$G$54,'Progetto del paramento slu'!$G$53)</f>
        <v>288427272.63615674</v>
      </c>
      <c r="J2420" s="479">
        <f t="shared" si="175"/>
        <v>462908330.27338767</v>
      </c>
      <c r="K2420" s="558">
        <f>'Progetto del paramento slu'!$G$60*(sezione!$AL$36-C2420)/C2420</f>
        <v>-1.8809561876535486E-3</v>
      </c>
      <c r="L2420" s="558">
        <f>'Progetto del paramento slu'!$G$60*(sezione!$AM$36-C2420)/C2420</f>
        <v>2.5714142962991932E-3</v>
      </c>
      <c r="M2420" s="559">
        <f>'Progetto del paramento slu'!$G$60*(sezione!$AN$36-C2420)/C2420</f>
        <v>7.0237847802519359E-3</v>
      </c>
      <c r="N2420" s="559">
        <f>'Progetto del paramento slu'!$G$60*(sezione!$AO$36-C2420)/C2420</f>
        <v>1.0261872404944838E-2</v>
      </c>
      <c r="O2420" s="559">
        <f>'Progetto del paramento slu'!$G$60*(sezione!$AP$36-C2420)/C2420</f>
        <v>7.0241486759164799E-3</v>
      </c>
      <c r="P2420" s="553">
        <f>-'Progetto del paramento slu'!$G$47*'Progetto del paramento slu'!$G$41*IF(DATI!$G$218="dx",DATI!$E$61,DATI!$E$64*DATI!$E$63)*1000*C2420*sezione!$AD$5</f>
        <v>-1218882.7658344531</v>
      </c>
      <c r="Q2420" s="553">
        <f>'Foglio deposito bis'!$F$88*IF(ABS(K2420)&lt;'Progetto del paramento slu'!$G$58,ABS(K2420)*'Progetto del paramento slu'!$G$54,'Progetto del paramento slu'!$G$53)*IF(K2420&lt;0,-1,1)</f>
        <v>0</v>
      </c>
      <c r="R2420" s="553">
        <f>'Foglio deposito bis'!$F$89*IF(ABS(L2420)&lt;'Progetto del paramento slu'!$G$58,ABS(L2420)*'Progetto del paramento slu'!$G$54,'Progetto del paramento slu'!$G$53)*IF(L2420&lt;0,-1,1)</f>
        <v>153664.85805602249</v>
      </c>
      <c r="S2420" s="553">
        <f>'Foglio deposito bis'!$F$90*IF(ABS(M2420)&lt;'Progetto del paramento slu'!$G$58,ABS(M2420)*'Progetto del paramento slu'!$G$54,'Progetto del paramento slu'!$G$53)*IF(M2420&lt;0,-1,1)</f>
        <v>0</v>
      </c>
      <c r="T2420" s="553">
        <f>'Foglio deposito bis'!$F$91*IF(ABS(N2420)&lt;'Progetto del paramento slu'!$G$58,ABS(N2420)*'Progetto del paramento slu'!$G$54,'Progetto del paramento slu'!$G$53)*IF(N2420&lt;0,-1,1)</f>
        <v>892485.49558937876</v>
      </c>
      <c r="U2420" s="553">
        <f>'Foglio deposito bis'!$F$92*IF(ABS(O2420)&lt;'Progetto del paramento slu'!$G$58,ABS(O2420)*'Progetto del paramento slu'!$G$54,'Progetto del paramento slu'!$G$53)*IF(O2420&lt;0,-1,1)</f>
        <v>1662039.1047339395</v>
      </c>
      <c r="V2420" s="479">
        <f t="shared" si="177"/>
        <v>1489306.6925448878</v>
      </c>
      <c r="W2420" s="559"/>
      <c r="X2420" s="559"/>
    </row>
    <row r="2421" spans="1:24" x14ac:dyDescent="0.25">
      <c r="A2421" s="553">
        <f t="shared" si="176"/>
        <v>1477861.7839455032</v>
      </c>
      <c r="B2421" s="3">
        <f t="shared" si="178"/>
        <v>21.499999999999947</v>
      </c>
      <c r="C2421" s="553">
        <f>'Foglio deposito bis'!$E$162/sezione!$B$247*B2421</f>
        <v>87.282723860205891</v>
      </c>
      <c r="D2421" s="611">
        <f>-'Progetto del paramento slu'!$G$47*'Progetto del paramento slu'!$G$41*IF(DATI!$G$218="dx",DATI!$E$61,DATI!$E$64*DATI!$E$63)*1000*C2421^2*sezione!$AD$5*(1-sezione!$AD$6)</f>
        <v>-62713628.788463928</v>
      </c>
      <c r="E2421" s="553">
        <f>-'Foglio deposito bis'!$F$88*(C2421-sezione!$AL$36)*IF(ABS(K2421)&lt;'Progetto del paramento slu'!$G$58,ABS(K2421)*'Progetto del paramento slu'!$G$54,'Progetto del paramento slu'!$G$53)</f>
        <v>0</v>
      </c>
      <c r="F2421" s="553">
        <f>-'Foglio deposito bis'!$F$89*(C2421-sezione!$AM$36)*IF(ABS(L2421)&lt;'Progetto del paramento slu'!$G$58,ABS(L2421)*'Progetto del paramento slu'!$G$54,'Progetto del paramento slu'!$G$53)</f>
        <v>9637441.3356818277</v>
      </c>
      <c r="G2421" s="553">
        <f>-'Foglio deposito bis'!$F$90*(C2421-sezione!$AN$36)*IF(ABS(M2421)&lt;'Progetto del paramento slu'!$G$58,ABS(M2421)*'Progetto del paramento slu'!$G$54,'Progetto del paramento slu'!$G$53)</f>
        <v>0</v>
      </c>
      <c r="H2421" s="553">
        <f>-'Foglio deposito bis'!$F$91*(C2421-sezione!$AO$36)*IF(ABS(N2421)&lt;'Progetto del paramento slu'!$G$58,ABS(N2421)*'Progetto del paramento slu'!$G$54,'Progetto del paramento slu'!$G$53)</f>
        <v>225546503.43962204</v>
      </c>
      <c r="I2421" s="479">
        <f>-'Foglio deposito bis'!$F$92*(C2421-sezione!$AP$36)*IF(ABS(O2421)&lt;'Progetto del paramento slu'!$G$58,ABS(O2421)*'Progetto del paramento slu'!$G$54,'Progetto del paramento slu'!$G$53)</f>
        <v>287077809.37826502</v>
      </c>
      <c r="J2421" s="479">
        <f t="shared" si="175"/>
        <v>459548125.36510497</v>
      </c>
      <c r="K2421" s="558">
        <f>'Progetto del paramento slu'!$G$60*(sezione!$AL$36-C2421)/C2421</f>
        <v>-1.896017060326539E-3</v>
      </c>
      <c r="L2421" s="558">
        <f>'Progetto del paramento slu'!$G$60*(sezione!$AM$36-C2421)/C2421</f>
        <v>2.5149360237754796E-3</v>
      </c>
      <c r="M2421" s="559">
        <f>'Progetto del paramento slu'!$G$60*(sezione!$AN$36-C2421)/C2421</f>
        <v>6.9258891078774988E-3</v>
      </c>
      <c r="N2421" s="559">
        <f>'Progetto del paramento slu'!$G$60*(sezione!$AO$36-C2421)/C2421</f>
        <v>1.0133854987224421E-2</v>
      </c>
      <c r="O2421" s="559">
        <f>'Progetto del paramento slu'!$G$60*(sezione!$AP$36-C2421)/C2421</f>
        <v>6.9262496184660932E-3</v>
      </c>
      <c r="P2421" s="553">
        <f>-'Progetto del paramento slu'!$G$47*'Progetto del paramento slu'!$G$41*IF(DATI!$G$218="dx",DATI!$E$61,DATI!$E$64*DATI!$E$63)*1000*C2421*sezione!$AD$5</f>
        <v>-1230327.6744338376</v>
      </c>
      <c r="Q2421" s="553">
        <f>'Foglio deposito bis'!$F$88*IF(ABS(K2421)&lt;'Progetto del paramento slu'!$G$58,ABS(K2421)*'Progetto del paramento slu'!$G$54,'Progetto del paramento slu'!$G$53)*IF(K2421&lt;0,-1,1)</f>
        <v>0</v>
      </c>
      <c r="R2421" s="553">
        <f>'Foglio deposito bis'!$F$89*IF(ABS(L2421)&lt;'Progetto del paramento slu'!$G$58,ABS(L2421)*'Progetto del paramento slu'!$G$54,'Progetto del paramento slu'!$G$53)*IF(L2421&lt;0,-1,1)</f>
        <v>153664.85805602249</v>
      </c>
      <c r="S2421" s="553">
        <f>'Foglio deposito bis'!$F$90*IF(ABS(M2421)&lt;'Progetto del paramento slu'!$G$58,ABS(M2421)*'Progetto del paramento slu'!$G$54,'Progetto del paramento slu'!$G$53)*IF(M2421&lt;0,-1,1)</f>
        <v>0</v>
      </c>
      <c r="T2421" s="553">
        <f>'Foglio deposito bis'!$F$91*IF(ABS(N2421)&lt;'Progetto del paramento slu'!$G$58,ABS(N2421)*'Progetto del paramento slu'!$G$54,'Progetto del paramento slu'!$G$53)*IF(N2421&lt;0,-1,1)</f>
        <v>892485.49558937876</v>
      </c>
      <c r="U2421" s="553">
        <f>'Foglio deposito bis'!$F$92*IF(ABS(O2421)&lt;'Progetto del paramento slu'!$G$58,ABS(O2421)*'Progetto del paramento slu'!$G$54,'Progetto del paramento slu'!$G$53)*IF(O2421&lt;0,-1,1)</f>
        <v>1662039.1047339395</v>
      </c>
      <c r="V2421" s="479">
        <f t="shared" si="177"/>
        <v>1477861.7839455032</v>
      </c>
      <c r="W2421" s="559"/>
      <c r="X2421" s="559"/>
    </row>
    <row r="2422" spans="1:24" x14ac:dyDescent="0.25">
      <c r="A2422" s="553">
        <f t="shared" si="176"/>
        <v>1466416.8753461186</v>
      </c>
      <c r="B2422" s="3">
        <f t="shared" si="178"/>
        <v>21.699999999999946</v>
      </c>
      <c r="C2422" s="553">
        <f>'Foglio deposito bis'!$E$162/sezione!$B$247*B2422</f>
        <v>88.094656175184554</v>
      </c>
      <c r="D2422" s="611">
        <f>-'Progetto del paramento slu'!$G$47*'Progetto del paramento slu'!$G$41*IF(DATI!$G$218="dx",DATI!$E$61,DATI!$E$64*DATI!$E$63)*1000*C2422^2*sezione!$AD$5*(1-sezione!$AD$6)</f>
        <v>-63885820.790048204</v>
      </c>
      <c r="E2422" s="553">
        <f>-'Foglio deposito bis'!$F$88*(C2422-sezione!$AL$36)*IF(ABS(K2422)&lt;'Progetto del paramento slu'!$G$58,ABS(K2422)*'Progetto del paramento slu'!$G$54,'Progetto del paramento slu'!$G$53)</f>
        <v>0</v>
      </c>
      <c r="F2422" s="553">
        <f>-'Foglio deposito bis'!$F$89*(C2422-sezione!$AM$36)*IF(ABS(L2422)&lt;'Progetto del paramento slu'!$G$58,ABS(L2422)*'Progetto del paramento slu'!$G$54,'Progetto del paramento slu'!$G$53)</f>
        <v>9512675.8717495352</v>
      </c>
      <c r="G2422" s="553">
        <f>-'Foglio deposito bis'!$F$90*(C2422-sezione!$AN$36)*IF(ABS(M2422)&lt;'Progetto del paramento slu'!$G$58,ABS(M2422)*'Progetto del paramento slu'!$G$54,'Progetto del paramento slu'!$G$53)</f>
        <v>0</v>
      </c>
      <c r="H2422" s="553">
        <f>-'Foglio deposito bis'!$F$91*(C2422-sezione!$AO$36)*IF(ABS(N2422)&lt;'Progetto del paramento slu'!$G$58,ABS(N2422)*'Progetto del paramento slu'!$G$54,'Progetto del paramento slu'!$G$53)</f>
        <v>224821865.62510329</v>
      </c>
      <c r="I2422" s="479">
        <f>-'Foglio deposito bis'!$F$92*(C2422-sezione!$AP$36)*IF(ABS(O2422)&lt;'Progetto del paramento slu'!$G$58,ABS(O2422)*'Progetto del paramento slu'!$G$54,'Progetto del paramento slu'!$G$53)</f>
        <v>285728346.12037331</v>
      </c>
      <c r="J2422" s="479">
        <f t="shared" si="175"/>
        <v>456177066.82717794</v>
      </c>
      <c r="K2422" s="558">
        <f>'Progetto del paramento slu'!$G$60*(sezione!$AL$36-C2422)/C2422</f>
        <v>-1.9108003132267551E-3</v>
      </c>
      <c r="L2422" s="558">
        <f>'Progetto del paramento slu'!$G$60*(sezione!$AM$36-C2422)/C2422</f>
        <v>2.4594988253996684E-3</v>
      </c>
      <c r="M2422" s="559">
        <f>'Progetto del paramento slu'!$G$60*(sezione!$AN$36-C2422)/C2422</f>
        <v>6.8297979640260919E-3</v>
      </c>
      <c r="N2422" s="559">
        <f>'Progetto del paramento slu'!$G$60*(sezione!$AO$36-C2422)/C2422</f>
        <v>1.0008197337572583E-2</v>
      </c>
      <c r="O2422" s="559">
        <f>'Progetto del paramento slu'!$G$60*(sezione!$AP$36-C2422)/C2422</f>
        <v>6.8301551519364531E-3</v>
      </c>
      <c r="P2422" s="553">
        <f>-'Progetto del paramento slu'!$G$47*'Progetto del paramento slu'!$G$41*IF(DATI!$G$218="dx",DATI!$E$61,DATI!$E$64*DATI!$E$63)*1000*C2422*sezione!$AD$5</f>
        <v>-1241772.5830332222</v>
      </c>
      <c r="Q2422" s="553">
        <f>'Foglio deposito bis'!$F$88*IF(ABS(K2422)&lt;'Progetto del paramento slu'!$G$58,ABS(K2422)*'Progetto del paramento slu'!$G$54,'Progetto del paramento slu'!$G$53)*IF(K2422&lt;0,-1,1)</f>
        <v>0</v>
      </c>
      <c r="R2422" s="553">
        <f>'Foglio deposito bis'!$F$89*IF(ABS(L2422)&lt;'Progetto del paramento slu'!$G$58,ABS(L2422)*'Progetto del paramento slu'!$G$54,'Progetto del paramento slu'!$G$53)*IF(L2422&lt;0,-1,1)</f>
        <v>153664.85805602249</v>
      </c>
      <c r="S2422" s="553">
        <f>'Foglio deposito bis'!$F$90*IF(ABS(M2422)&lt;'Progetto del paramento slu'!$G$58,ABS(M2422)*'Progetto del paramento slu'!$G$54,'Progetto del paramento slu'!$G$53)*IF(M2422&lt;0,-1,1)</f>
        <v>0</v>
      </c>
      <c r="T2422" s="553">
        <f>'Foglio deposito bis'!$F$91*IF(ABS(N2422)&lt;'Progetto del paramento slu'!$G$58,ABS(N2422)*'Progetto del paramento slu'!$G$54,'Progetto del paramento slu'!$G$53)*IF(N2422&lt;0,-1,1)</f>
        <v>892485.49558937876</v>
      </c>
      <c r="U2422" s="553">
        <f>'Foglio deposito bis'!$F$92*IF(ABS(O2422)&lt;'Progetto del paramento slu'!$G$58,ABS(O2422)*'Progetto del paramento slu'!$G$54,'Progetto del paramento slu'!$G$53)*IF(O2422&lt;0,-1,1)</f>
        <v>1662039.1047339395</v>
      </c>
      <c r="V2422" s="479">
        <f t="shared" si="177"/>
        <v>1466416.8753461186</v>
      </c>
      <c r="W2422" s="559"/>
      <c r="X2422" s="559"/>
    </row>
    <row r="2423" spans="1:24" x14ac:dyDescent="0.25">
      <c r="A2423" s="553">
        <f t="shared" si="176"/>
        <v>1454971.966746734</v>
      </c>
      <c r="B2423" s="3">
        <f t="shared" si="178"/>
        <v>21.899999999999945</v>
      </c>
      <c r="C2423" s="553">
        <f>'Foglio deposito bis'!$E$162/sezione!$B$247*B2423</f>
        <v>88.906588490163216</v>
      </c>
      <c r="D2423" s="611">
        <f>-'Progetto del paramento slu'!$G$47*'Progetto del paramento slu'!$G$41*IF(DATI!$G$218="dx",DATI!$E$61,DATI!$E$64*DATI!$E$63)*1000*C2423^2*sezione!$AD$5*(1-sezione!$AD$6)</f>
        <v>-65068866.421276778</v>
      </c>
      <c r="E2423" s="553">
        <f>-'Foglio deposito bis'!$F$88*(C2423-sezione!$AL$36)*IF(ABS(K2423)&lt;'Progetto del paramento slu'!$G$58,ABS(K2423)*'Progetto del paramento slu'!$G$54,'Progetto del paramento slu'!$G$53)</f>
        <v>0</v>
      </c>
      <c r="F2423" s="553">
        <f>-'Foglio deposito bis'!$F$89*(C2423-sezione!$AM$36)*IF(ABS(L2423)&lt;'Progetto del paramento slu'!$G$58,ABS(L2423)*'Progetto del paramento slu'!$G$54,'Progetto del paramento slu'!$G$53)</f>
        <v>9387910.4078172408</v>
      </c>
      <c r="G2423" s="553">
        <f>-'Foglio deposito bis'!$F$90*(C2423-sezione!$AN$36)*IF(ABS(M2423)&lt;'Progetto del paramento slu'!$G$58,ABS(M2423)*'Progetto del paramento slu'!$G$54,'Progetto del paramento slu'!$G$53)</f>
        <v>0</v>
      </c>
      <c r="H2423" s="553">
        <f>-'Foglio deposito bis'!$F$91*(C2423-sezione!$AO$36)*IF(ABS(N2423)&lt;'Progetto del paramento slu'!$G$58,ABS(N2423)*'Progetto del paramento slu'!$G$54,'Progetto del paramento slu'!$G$53)</f>
        <v>224097227.81058455</v>
      </c>
      <c r="I2423" s="479">
        <f>-'Foglio deposito bis'!$F$92*(C2423-sezione!$AP$36)*IF(ABS(O2423)&lt;'Progetto del paramento slu'!$G$58,ABS(O2423)*'Progetto del paramento slu'!$G$54,'Progetto del paramento slu'!$G$53)</f>
        <v>284378882.86248159</v>
      </c>
      <c r="J2423" s="479">
        <f t="shared" si="175"/>
        <v>452795154.65960658</v>
      </c>
      <c r="K2423" s="558">
        <f>'Progetto del paramento slu'!$G$60*(sezione!$AL$36-C2423)/C2423</f>
        <v>-1.9253135523753693E-3</v>
      </c>
      <c r="L2423" s="558">
        <f>'Progetto del paramento slu'!$G$60*(sezione!$AM$36-C2423)/C2423</f>
        <v>2.4050741785923654E-3</v>
      </c>
      <c r="M2423" s="559">
        <f>'Progetto del paramento slu'!$G$60*(sezione!$AN$36-C2423)/C2423</f>
        <v>6.7354619095600999E-3</v>
      </c>
      <c r="N2423" s="559">
        <f>'Progetto del paramento slu'!$G$60*(sezione!$AO$36-C2423)/C2423</f>
        <v>9.8848348048093618E-3</v>
      </c>
      <c r="O2423" s="559">
        <f>'Progetto del paramento slu'!$G$60*(sezione!$AP$36-C2423)/C2423</f>
        <v>6.7358158354804114E-3</v>
      </c>
      <c r="P2423" s="553">
        <f>-'Progetto del paramento slu'!$G$47*'Progetto del paramento slu'!$G$41*IF(DATI!$G$218="dx",DATI!$E$61,DATI!$E$64*DATI!$E$63)*1000*C2423*sezione!$AD$5</f>
        <v>-1253217.4916326068</v>
      </c>
      <c r="Q2423" s="553">
        <f>'Foglio deposito bis'!$F$88*IF(ABS(K2423)&lt;'Progetto del paramento slu'!$G$58,ABS(K2423)*'Progetto del paramento slu'!$G$54,'Progetto del paramento slu'!$G$53)*IF(K2423&lt;0,-1,1)</f>
        <v>0</v>
      </c>
      <c r="R2423" s="553">
        <f>'Foglio deposito bis'!$F$89*IF(ABS(L2423)&lt;'Progetto del paramento slu'!$G$58,ABS(L2423)*'Progetto del paramento slu'!$G$54,'Progetto del paramento slu'!$G$53)*IF(L2423&lt;0,-1,1)</f>
        <v>153664.85805602249</v>
      </c>
      <c r="S2423" s="553">
        <f>'Foglio deposito bis'!$F$90*IF(ABS(M2423)&lt;'Progetto del paramento slu'!$G$58,ABS(M2423)*'Progetto del paramento slu'!$G$54,'Progetto del paramento slu'!$G$53)*IF(M2423&lt;0,-1,1)</f>
        <v>0</v>
      </c>
      <c r="T2423" s="553">
        <f>'Foglio deposito bis'!$F$91*IF(ABS(N2423)&lt;'Progetto del paramento slu'!$G$58,ABS(N2423)*'Progetto del paramento slu'!$G$54,'Progetto del paramento slu'!$G$53)*IF(N2423&lt;0,-1,1)</f>
        <v>892485.49558937876</v>
      </c>
      <c r="U2423" s="553">
        <f>'Foglio deposito bis'!$F$92*IF(ABS(O2423)&lt;'Progetto del paramento slu'!$G$58,ABS(O2423)*'Progetto del paramento slu'!$G$54,'Progetto del paramento slu'!$G$53)*IF(O2423&lt;0,-1,1)</f>
        <v>1662039.1047339395</v>
      </c>
      <c r="V2423" s="479">
        <f t="shared" si="177"/>
        <v>1454971.966746734</v>
      </c>
      <c r="W2423" s="559"/>
      <c r="X2423" s="559"/>
    </row>
    <row r="2424" spans="1:24" x14ac:dyDescent="0.25">
      <c r="A2424" s="553">
        <f t="shared" si="176"/>
        <v>1443527.0581473496</v>
      </c>
      <c r="B2424" s="3">
        <f t="shared" si="178"/>
        <v>22.099999999999945</v>
      </c>
      <c r="C2424" s="553">
        <f>'Foglio deposito bis'!$E$162/sezione!$B$247*B2424</f>
        <v>89.718520805141864</v>
      </c>
      <c r="D2424" s="611">
        <f>-'Progetto del paramento slu'!$G$47*'Progetto del paramento slu'!$G$41*IF(DATI!$G$218="dx",DATI!$E$61,DATI!$E$64*DATI!$E$63)*1000*C2424^2*sezione!$AD$5*(1-sezione!$AD$6)</f>
        <v>-66262765.682149619</v>
      </c>
      <c r="E2424" s="553">
        <f>-'Foglio deposito bis'!$F$88*(C2424-sezione!$AL$36)*IF(ABS(K2424)&lt;'Progetto del paramento slu'!$G$58,ABS(K2424)*'Progetto del paramento slu'!$G$54,'Progetto del paramento slu'!$G$53)</f>
        <v>0</v>
      </c>
      <c r="F2424" s="553">
        <f>-'Foglio deposito bis'!$F$89*(C2424-sezione!$AM$36)*IF(ABS(L2424)&lt;'Progetto del paramento slu'!$G$58,ABS(L2424)*'Progetto del paramento slu'!$G$54,'Progetto del paramento slu'!$G$53)</f>
        <v>9263144.9438849483</v>
      </c>
      <c r="G2424" s="553">
        <f>-'Foglio deposito bis'!$F$90*(C2424-sezione!$AN$36)*IF(ABS(M2424)&lt;'Progetto del paramento slu'!$G$58,ABS(M2424)*'Progetto del paramento slu'!$G$54,'Progetto del paramento slu'!$G$53)</f>
        <v>0</v>
      </c>
      <c r="H2424" s="553">
        <f>-'Foglio deposito bis'!$F$91*(C2424-sezione!$AO$36)*IF(ABS(N2424)&lt;'Progetto del paramento slu'!$G$58,ABS(N2424)*'Progetto del paramento slu'!$G$54,'Progetto del paramento slu'!$G$53)</f>
        <v>223372589.99606577</v>
      </c>
      <c r="I2424" s="479">
        <f>-'Foglio deposito bis'!$F$92*(C2424-sezione!$AP$36)*IF(ABS(O2424)&lt;'Progetto del paramento slu'!$G$58,ABS(O2424)*'Progetto del paramento slu'!$G$54,'Progetto del paramento slu'!$G$53)</f>
        <v>283029419.60459</v>
      </c>
      <c r="J2424" s="479">
        <f t="shared" si="175"/>
        <v>449402388.86239111</v>
      </c>
      <c r="K2424" s="558">
        <f>'Progetto del paramento slu'!$G$60*(sezione!$AL$36-C2424)/C2424</f>
        <v>-1.9395641084624696E-3</v>
      </c>
      <c r="L2424" s="558">
        <f>'Progetto del paramento slu'!$G$60*(sezione!$AM$36-C2424)/C2424</f>
        <v>2.3516345932657386E-3</v>
      </c>
      <c r="M2424" s="559">
        <f>'Progetto del paramento slu'!$G$60*(sezione!$AN$36-C2424)/C2424</f>
        <v>6.6428332949939467E-3</v>
      </c>
      <c r="N2424" s="559">
        <f>'Progetto del paramento slu'!$G$60*(sezione!$AO$36-C2424)/C2424</f>
        <v>9.7637050780690071E-3</v>
      </c>
      <c r="O2424" s="559">
        <f>'Progetto del paramento slu'!$G$60*(sezione!$AP$36-C2424)/C2424</f>
        <v>6.6431840179647537E-3</v>
      </c>
      <c r="P2424" s="553">
        <f>-'Progetto del paramento slu'!$G$47*'Progetto del paramento slu'!$G$41*IF(DATI!$G$218="dx",DATI!$E$61,DATI!$E$64*DATI!$E$63)*1000*C2424*sezione!$AD$5</f>
        <v>-1264662.4002319912</v>
      </c>
      <c r="Q2424" s="553">
        <f>'Foglio deposito bis'!$F$88*IF(ABS(K2424)&lt;'Progetto del paramento slu'!$G$58,ABS(K2424)*'Progetto del paramento slu'!$G$54,'Progetto del paramento slu'!$G$53)*IF(K2424&lt;0,-1,1)</f>
        <v>0</v>
      </c>
      <c r="R2424" s="553">
        <f>'Foglio deposito bis'!$F$89*IF(ABS(L2424)&lt;'Progetto del paramento slu'!$G$58,ABS(L2424)*'Progetto del paramento slu'!$G$54,'Progetto del paramento slu'!$G$53)*IF(L2424&lt;0,-1,1)</f>
        <v>153664.85805602249</v>
      </c>
      <c r="S2424" s="553">
        <f>'Foglio deposito bis'!$F$90*IF(ABS(M2424)&lt;'Progetto del paramento slu'!$G$58,ABS(M2424)*'Progetto del paramento slu'!$G$54,'Progetto del paramento slu'!$G$53)*IF(M2424&lt;0,-1,1)</f>
        <v>0</v>
      </c>
      <c r="T2424" s="553">
        <f>'Foglio deposito bis'!$F$91*IF(ABS(N2424)&lt;'Progetto del paramento slu'!$G$58,ABS(N2424)*'Progetto del paramento slu'!$G$54,'Progetto del paramento slu'!$G$53)*IF(N2424&lt;0,-1,1)</f>
        <v>892485.49558937876</v>
      </c>
      <c r="U2424" s="553">
        <f>'Foglio deposito bis'!$F$92*IF(ABS(O2424)&lt;'Progetto del paramento slu'!$G$58,ABS(O2424)*'Progetto del paramento slu'!$G$54,'Progetto del paramento slu'!$G$53)*IF(O2424&lt;0,-1,1)</f>
        <v>1662039.1047339395</v>
      </c>
      <c r="V2424" s="479">
        <f t="shared" si="177"/>
        <v>1443527.0581473496</v>
      </c>
      <c r="W2424" s="559"/>
      <c r="X2424" s="559"/>
    </row>
    <row r="2425" spans="1:24" x14ac:dyDescent="0.25">
      <c r="A2425" s="553">
        <f t="shared" si="176"/>
        <v>1432082.149547965</v>
      </c>
      <c r="B2425" s="3">
        <f t="shared" si="178"/>
        <v>22.299999999999944</v>
      </c>
      <c r="C2425" s="553">
        <f>'Foglio deposito bis'!$E$162/sezione!$B$247*B2425</f>
        <v>90.530453120120526</v>
      </c>
      <c r="D2425" s="611">
        <f>-'Progetto del paramento slu'!$G$47*'Progetto del paramento slu'!$G$41*IF(DATI!$G$218="dx",DATI!$E$61,DATI!$E$64*DATI!$E$63)*1000*C2425^2*sezione!$AD$5*(1-sezione!$AD$6)</f>
        <v>-67467518.572666794</v>
      </c>
      <c r="E2425" s="553">
        <f>-'Foglio deposito bis'!$F$88*(C2425-sezione!$AL$36)*IF(ABS(K2425)&lt;'Progetto del paramento slu'!$G$58,ABS(K2425)*'Progetto del paramento slu'!$G$54,'Progetto del paramento slu'!$G$53)</f>
        <v>0</v>
      </c>
      <c r="F2425" s="553">
        <f>-'Foglio deposito bis'!$F$89*(C2425-sezione!$AM$36)*IF(ABS(L2425)&lt;'Progetto del paramento slu'!$G$58,ABS(L2425)*'Progetto del paramento slu'!$G$54,'Progetto del paramento slu'!$G$53)</f>
        <v>9138379.4799526557</v>
      </c>
      <c r="G2425" s="553">
        <f>-'Foglio deposito bis'!$F$90*(C2425-sezione!$AN$36)*IF(ABS(M2425)&lt;'Progetto del paramento slu'!$G$58,ABS(M2425)*'Progetto del paramento slu'!$G$54,'Progetto del paramento slu'!$G$53)</f>
        <v>0</v>
      </c>
      <c r="H2425" s="553">
        <f>-'Foglio deposito bis'!$F$91*(C2425-sezione!$AO$36)*IF(ABS(N2425)&lt;'Progetto del paramento slu'!$G$58,ABS(N2425)*'Progetto del paramento slu'!$G$54,'Progetto del paramento slu'!$G$53)</f>
        <v>222647952.18154702</v>
      </c>
      <c r="I2425" s="479">
        <f>-'Foglio deposito bis'!$F$92*(C2425-sezione!$AP$36)*IF(ABS(O2425)&lt;'Progetto del paramento slu'!$G$58,ABS(O2425)*'Progetto del paramento slu'!$G$54,'Progetto del paramento slu'!$G$53)</f>
        <v>281679956.34669834</v>
      </c>
      <c r="J2425" s="479">
        <f t="shared" si="175"/>
        <v>445998769.43553126</v>
      </c>
      <c r="K2425" s="558">
        <f>'Progetto del paramento slu'!$G$60*(sezione!$AL$36-C2425)/C2425</f>
        <v>-1.9535590491937481E-3</v>
      </c>
      <c r="L2425" s="558">
        <f>'Progetto del paramento slu'!$G$60*(sezione!$AM$36-C2425)/C2425</f>
        <v>2.2991535655234444E-3</v>
      </c>
      <c r="M2425" s="559">
        <f>'Progetto del paramento slu'!$G$60*(sezione!$AN$36-C2425)/C2425</f>
        <v>6.5518661802406383E-3</v>
      </c>
      <c r="N2425" s="559">
        <f>'Progetto del paramento slu'!$G$60*(sezione!$AO$36-C2425)/C2425</f>
        <v>9.6447480818531422E-3</v>
      </c>
      <c r="O2425" s="559">
        <f>'Progetto del paramento slu'!$G$60*(sezione!$AP$36-C2425)/C2425</f>
        <v>6.5522137577139474E-3</v>
      </c>
      <c r="P2425" s="553">
        <f>-'Progetto del paramento slu'!$G$47*'Progetto del paramento slu'!$G$41*IF(DATI!$G$218="dx",DATI!$E$61,DATI!$E$64*DATI!$E$63)*1000*C2425*sezione!$AD$5</f>
        <v>-1276107.3088313758</v>
      </c>
      <c r="Q2425" s="553">
        <f>'Foglio deposito bis'!$F$88*IF(ABS(K2425)&lt;'Progetto del paramento slu'!$G$58,ABS(K2425)*'Progetto del paramento slu'!$G$54,'Progetto del paramento slu'!$G$53)*IF(K2425&lt;0,-1,1)</f>
        <v>0</v>
      </c>
      <c r="R2425" s="553">
        <f>'Foglio deposito bis'!$F$89*IF(ABS(L2425)&lt;'Progetto del paramento slu'!$G$58,ABS(L2425)*'Progetto del paramento slu'!$G$54,'Progetto del paramento slu'!$G$53)*IF(L2425&lt;0,-1,1)</f>
        <v>153664.85805602249</v>
      </c>
      <c r="S2425" s="553">
        <f>'Foglio deposito bis'!$F$90*IF(ABS(M2425)&lt;'Progetto del paramento slu'!$G$58,ABS(M2425)*'Progetto del paramento slu'!$G$54,'Progetto del paramento slu'!$G$53)*IF(M2425&lt;0,-1,1)</f>
        <v>0</v>
      </c>
      <c r="T2425" s="553">
        <f>'Foglio deposito bis'!$F$91*IF(ABS(N2425)&lt;'Progetto del paramento slu'!$G$58,ABS(N2425)*'Progetto del paramento slu'!$G$54,'Progetto del paramento slu'!$G$53)*IF(N2425&lt;0,-1,1)</f>
        <v>892485.49558937876</v>
      </c>
      <c r="U2425" s="553">
        <f>'Foglio deposito bis'!$F$92*IF(ABS(O2425)&lt;'Progetto del paramento slu'!$G$58,ABS(O2425)*'Progetto del paramento slu'!$G$54,'Progetto del paramento slu'!$G$53)*IF(O2425&lt;0,-1,1)</f>
        <v>1662039.1047339395</v>
      </c>
      <c r="V2425" s="479">
        <f t="shared" si="177"/>
        <v>1432082.149547965</v>
      </c>
      <c r="W2425" s="559"/>
      <c r="X2425" s="559"/>
    </row>
    <row r="2426" spans="1:24" x14ac:dyDescent="0.25">
      <c r="A2426" s="553">
        <f t="shared" si="176"/>
        <v>1420637.2409485804</v>
      </c>
      <c r="B2426" s="3">
        <f t="shared" si="178"/>
        <v>22.499999999999943</v>
      </c>
      <c r="C2426" s="553">
        <f>'Foglio deposito bis'!$E$162/sezione!$B$247*B2426</f>
        <v>91.342385435099189</v>
      </c>
      <c r="D2426" s="611">
        <f>-'Progetto del paramento slu'!$G$47*'Progetto del paramento slu'!$G$41*IF(DATI!$G$218="dx",DATI!$E$61,DATI!$E$64*DATI!$E$63)*1000*C2426^2*sezione!$AD$5*(1-sezione!$AD$6)</f>
        <v>-68683125.092828259</v>
      </c>
      <c r="E2426" s="553">
        <f>-'Foglio deposito bis'!$F$88*(C2426-sezione!$AL$36)*IF(ABS(K2426)&lt;'Progetto del paramento slu'!$G$58,ABS(K2426)*'Progetto del paramento slu'!$G$54,'Progetto del paramento slu'!$G$53)</f>
        <v>0</v>
      </c>
      <c r="F2426" s="553">
        <f>-'Foglio deposito bis'!$F$89*(C2426-sezione!$AM$36)*IF(ABS(L2426)&lt;'Progetto del paramento slu'!$G$58,ABS(L2426)*'Progetto del paramento slu'!$G$54,'Progetto del paramento slu'!$G$53)</f>
        <v>9013614.0160203613</v>
      </c>
      <c r="G2426" s="553">
        <f>-'Foglio deposito bis'!$F$90*(C2426-sezione!$AN$36)*IF(ABS(M2426)&lt;'Progetto del paramento slu'!$G$58,ABS(M2426)*'Progetto del paramento slu'!$G$54,'Progetto del paramento slu'!$G$53)</f>
        <v>0</v>
      </c>
      <c r="H2426" s="553">
        <f>-'Foglio deposito bis'!$F$91*(C2426-sezione!$AO$36)*IF(ABS(N2426)&lt;'Progetto del paramento slu'!$G$58,ABS(N2426)*'Progetto del paramento slu'!$G$54,'Progetto del paramento slu'!$G$53)</f>
        <v>221923314.36702827</v>
      </c>
      <c r="I2426" s="479">
        <f>-'Foglio deposito bis'!$F$92*(C2426-sezione!$AP$36)*IF(ABS(O2426)&lt;'Progetto del paramento slu'!$G$58,ABS(O2426)*'Progetto del paramento slu'!$G$54,'Progetto del paramento slu'!$G$53)</f>
        <v>280330493.08880663</v>
      </c>
      <c r="J2426" s="479">
        <f t="shared" si="175"/>
        <v>442584296.37902701</v>
      </c>
      <c r="K2426" s="558">
        <f>'Progetto del paramento slu'!$G$60*(sezione!$AL$36-C2426)/C2426</f>
        <v>-1.9673051909786929E-3</v>
      </c>
      <c r="L2426" s="558">
        <f>'Progetto del paramento slu'!$G$60*(sezione!$AM$36-C2426)/C2426</f>
        <v>2.2476055338299028E-3</v>
      </c>
      <c r="M2426" s="559">
        <f>'Progetto del paramento slu'!$G$60*(sezione!$AN$36-C2426)/C2426</f>
        <v>6.4625162586384993E-3</v>
      </c>
      <c r="N2426" s="559">
        <f>'Progetto del paramento slu'!$G$60*(sezione!$AO$36-C2426)/C2426</f>
        <v>9.5279058766811146E-3</v>
      </c>
      <c r="O2426" s="559">
        <f>'Progetto del paramento slu'!$G$60*(sezione!$AP$36-C2426)/C2426</f>
        <v>6.4628607465342675E-3</v>
      </c>
      <c r="P2426" s="553">
        <f>-'Progetto del paramento slu'!$G$47*'Progetto del paramento slu'!$G$41*IF(DATI!$G$218="dx",DATI!$E$61,DATI!$E$64*DATI!$E$63)*1000*C2426*sezione!$AD$5</f>
        <v>-1287552.2174307604</v>
      </c>
      <c r="Q2426" s="553">
        <f>'Foglio deposito bis'!$F$88*IF(ABS(K2426)&lt;'Progetto del paramento slu'!$G$58,ABS(K2426)*'Progetto del paramento slu'!$G$54,'Progetto del paramento slu'!$G$53)*IF(K2426&lt;0,-1,1)</f>
        <v>0</v>
      </c>
      <c r="R2426" s="553">
        <f>'Foglio deposito bis'!$F$89*IF(ABS(L2426)&lt;'Progetto del paramento slu'!$G$58,ABS(L2426)*'Progetto del paramento slu'!$G$54,'Progetto del paramento slu'!$G$53)*IF(L2426&lt;0,-1,1)</f>
        <v>153664.85805602249</v>
      </c>
      <c r="S2426" s="553">
        <f>'Foglio deposito bis'!$F$90*IF(ABS(M2426)&lt;'Progetto del paramento slu'!$G$58,ABS(M2426)*'Progetto del paramento slu'!$G$54,'Progetto del paramento slu'!$G$53)*IF(M2426&lt;0,-1,1)</f>
        <v>0</v>
      </c>
      <c r="T2426" s="553">
        <f>'Foglio deposito bis'!$F$91*IF(ABS(N2426)&lt;'Progetto del paramento slu'!$G$58,ABS(N2426)*'Progetto del paramento slu'!$G$54,'Progetto del paramento slu'!$G$53)*IF(N2426&lt;0,-1,1)</f>
        <v>892485.49558937876</v>
      </c>
      <c r="U2426" s="553">
        <f>'Foglio deposito bis'!$F$92*IF(ABS(O2426)&lt;'Progetto del paramento slu'!$G$58,ABS(O2426)*'Progetto del paramento slu'!$G$54,'Progetto del paramento slu'!$G$53)*IF(O2426&lt;0,-1,1)</f>
        <v>1662039.1047339395</v>
      </c>
      <c r="V2426" s="479">
        <f t="shared" si="177"/>
        <v>1420637.2409485804</v>
      </c>
      <c r="W2426" s="559"/>
      <c r="X2426" s="559"/>
    </row>
    <row r="2427" spans="1:24" x14ac:dyDescent="0.25">
      <c r="A2427" s="553">
        <f t="shared" si="176"/>
        <v>1409192.3323491963</v>
      </c>
      <c r="B2427" s="3">
        <f t="shared" si="178"/>
        <v>22.699999999999942</v>
      </c>
      <c r="C2427" s="553">
        <f>'Foglio deposito bis'!$E$162/sezione!$B$247*B2427</f>
        <v>92.154317750077837</v>
      </c>
      <c r="D2427" s="611">
        <f>-'Progetto del paramento slu'!$G$47*'Progetto del paramento slu'!$G$41*IF(DATI!$G$218="dx",DATI!$E$61,DATI!$E$64*DATI!$E$63)*1000*C2427^2*sezione!$AD$5*(1-sezione!$AD$6)</f>
        <v>-69909585.242633998</v>
      </c>
      <c r="E2427" s="553">
        <f>-'Foglio deposito bis'!$F$88*(C2427-sezione!$AL$36)*IF(ABS(K2427)&lt;'Progetto del paramento slu'!$G$58,ABS(K2427)*'Progetto del paramento slu'!$G$54,'Progetto del paramento slu'!$G$53)</f>
        <v>0</v>
      </c>
      <c r="F2427" s="553">
        <f>-'Foglio deposito bis'!$F$89*(C2427-sezione!$AM$36)*IF(ABS(L2427)&lt;'Progetto del paramento slu'!$G$58,ABS(L2427)*'Progetto del paramento slu'!$G$54,'Progetto del paramento slu'!$G$53)</f>
        <v>8888848.5520880688</v>
      </c>
      <c r="G2427" s="553">
        <f>-'Foglio deposito bis'!$F$90*(C2427-sezione!$AN$36)*IF(ABS(M2427)&lt;'Progetto del paramento slu'!$G$58,ABS(M2427)*'Progetto del paramento slu'!$G$54,'Progetto del paramento slu'!$G$53)</f>
        <v>0</v>
      </c>
      <c r="H2427" s="553">
        <f>-'Foglio deposito bis'!$F$91*(C2427-sezione!$AO$36)*IF(ABS(N2427)&lt;'Progetto del paramento slu'!$G$58,ABS(N2427)*'Progetto del paramento slu'!$G$54,'Progetto del paramento slu'!$G$53)</f>
        <v>221198676.55250949</v>
      </c>
      <c r="I2427" s="479">
        <f>-'Foglio deposito bis'!$F$92*(C2427-sezione!$AP$36)*IF(ABS(O2427)&lt;'Progetto del paramento slu'!$G$58,ABS(O2427)*'Progetto del paramento slu'!$G$54,'Progetto del paramento slu'!$G$53)</f>
        <v>278981029.83091491</v>
      </c>
      <c r="J2427" s="479">
        <f t="shared" si="175"/>
        <v>439158969.69287848</v>
      </c>
      <c r="K2427" s="558">
        <f>'Progetto del paramento slu'!$G$60*(sezione!$AL$36-C2427)/C2427</f>
        <v>-1.9808091100009069E-3</v>
      </c>
      <c r="L2427" s="558">
        <f>'Progetto del paramento slu'!$G$60*(sezione!$AM$36-C2427)/C2427</f>
        <v>2.1969658374966002E-3</v>
      </c>
      <c r="M2427" s="559">
        <f>'Progetto del paramento slu'!$G$60*(sezione!$AN$36-C2427)/C2427</f>
        <v>6.3747407849941073E-3</v>
      </c>
      <c r="N2427" s="559">
        <f>'Progetto del paramento slu'!$G$60*(sezione!$AO$36-C2427)/C2427</f>
        <v>9.4131225649922937E-3</v>
      </c>
      <c r="O2427" s="559">
        <f>'Progetto del paramento slu'!$G$60*(sezione!$AP$36-C2427)/C2427</f>
        <v>6.3750822377542319E-3</v>
      </c>
      <c r="P2427" s="553">
        <f>-'Progetto del paramento slu'!$G$47*'Progetto del paramento slu'!$G$41*IF(DATI!$G$218="dx",DATI!$E$61,DATI!$E$64*DATI!$E$63)*1000*C2427*sezione!$AD$5</f>
        <v>-1298997.1260301445</v>
      </c>
      <c r="Q2427" s="553">
        <f>'Foglio deposito bis'!$F$88*IF(ABS(K2427)&lt;'Progetto del paramento slu'!$G$58,ABS(K2427)*'Progetto del paramento slu'!$G$54,'Progetto del paramento slu'!$G$53)*IF(K2427&lt;0,-1,1)</f>
        <v>0</v>
      </c>
      <c r="R2427" s="553">
        <f>'Foglio deposito bis'!$F$89*IF(ABS(L2427)&lt;'Progetto del paramento slu'!$G$58,ABS(L2427)*'Progetto del paramento slu'!$G$54,'Progetto del paramento slu'!$G$53)*IF(L2427&lt;0,-1,1)</f>
        <v>153664.85805602249</v>
      </c>
      <c r="S2427" s="553">
        <f>'Foglio deposito bis'!$F$90*IF(ABS(M2427)&lt;'Progetto del paramento slu'!$G$58,ABS(M2427)*'Progetto del paramento slu'!$G$54,'Progetto del paramento slu'!$G$53)*IF(M2427&lt;0,-1,1)</f>
        <v>0</v>
      </c>
      <c r="T2427" s="553">
        <f>'Foglio deposito bis'!$F$91*IF(ABS(N2427)&lt;'Progetto del paramento slu'!$G$58,ABS(N2427)*'Progetto del paramento slu'!$G$54,'Progetto del paramento slu'!$G$53)*IF(N2427&lt;0,-1,1)</f>
        <v>892485.49558937876</v>
      </c>
      <c r="U2427" s="553">
        <f>'Foglio deposito bis'!$F$92*IF(ABS(O2427)&lt;'Progetto del paramento slu'!$G$58,ABS(O2427)*'Progetto del paramento slu'!$G$54,'Progetto del paramento slu'!$G$53)*IF(O2427&lt;0,-1,1)</f>
        <v>1662039.1047339395</v>
      </c>
      <c r="V2427" s="479">
        <f t="shared" si="177"/>
        <v>1409192.3323491963</v>
      </c>
      <c r="W2427" s="559"/>
      <c r="X2427" s="559"/>
    </row>
    <row r="2428" spans="1:24" x14ac:dyDescent="0.25">
      <c r="A2428" s="553">
        <f t="shared" si="176"/>
        <v>1397747.4237498117</v>
      </c>
      <c r="B2428" s="3">
        <f t="shared" si="178"/>
        <v>22.899999999999942</v>
      </c>
      <c r="C2428" s="553">
        <f>'Foglio deposito bis'!$E$162/sezione!$B$247*B2428</f>
        <v>92.966250065056499</v>
      </c>
      <c r="D2428" s="611">
        <f>-'Progetto del paramento slu'!$G$47*'Progetto del paramento slu'!$G$41*IF(DATI!$G$218="dx",DATI!$E$61,DATI!$E$64*DATI!$E$63)*1000*C2428^2*sezione!$AD$5*(1-sezione!$AD$6)</f>
        <v>-71146899.022084072</v>
      </c>
      <c r="E2428" s="553">
        <f>-'Foglio deposito bis'!$F$88*(C2428-sezione!$AL$36)*IF(ABS(K2428)&lt;'Progetto del paramento slu'!$G$58,ABS(K2428)*'Progetto del paramento slu'!$G$54,'Progetto del paramento slu'!$G$53)</f>
        <v>0</v>
      </c>
      <c r="F2428" s="553">
        <f>-'Foglio deposito bis'!$F$89*(C2428-sezione!$AM$36)*IF(ABS(L2428)&lt;'Progetto del paramento slu'!$G$58,ABS(L2428)*'Progetto del paramento slu'!$G$54,'Progetto del paramento slu'!$G$53)</f>
        <v>8764083.0881557763</v>
      </c>
      <c r="G2428" s="553">
        <f>-'Foglio deposito bis'!$F$90*(C2428-sezione!$AN$36)*IF(ABS(M2428)&lt;'Progetto del paramento slu'!$G$58,ABS(M2428)*'Progetto del paramento slu'!$G$54,'Progetto del paramento slu'!$G$53)</f>
        <v>0</v>
      </c>
      <c r="H2428" s="553">
        <f>-'Foglio deposito bis'!$F$91*(C2428-sezione!$AO$36)*IF(ABS(N2428)&lt;'Progetto del paramento slu'!$G$58,ABS(N2428)*'Progetto del paramento slu'!$G$54,'Progetto del paramento slu'!$G$53)</f>
        <v>220474038.73799074</v>
      </c>
      <c r="I2428" s="479">
        <f>-'Foglio deposito bis'!$F$92*(C2428-sezione!$AP$36)*IF(ABS(O2428)&lt;'Progetto del paramento slu'!$G$58,ABS(O2428)*'Progetto del paramento slu'!$G$54,'Progetto del paramento slu'!$G$53)</f>
        <v>277631566.5730232</v>
      </c>
      <c r="J2428" s="479">
        <f t="shared" si="175"/>
        <v>435722789.37708563</v>
      </c>
      <c r="K2428" s="558">
        <f>'Progetto del paramento slu'!$G$60*(sezione!$AL$36-C2428)/C2428</f>
        <v>-1.9940771527083225E-3</v>
      </c>
      <c r="L2428" s="558">
        <f>'Progetto del paramento slu'!$G$60*(sezione!$AM$36-C2428)/C2428</f>
        <v>2.1472106773437914E-3</v>
      </c>
      <c r="M2428" s="559">
        <f>'Progetto del paramento slu'!$G$60*(sezione!$AN$36-C2428)/C2428</f>
        <v>6.2884985073959048E-3</v>
      </c>
      <c r="N2428" s="559">
        <f>'Progetto del paramento slu'!$G$60*(sezione!$AO$36-C2428)/C2428</f>
        <v>9.30034420197926E-3</v>
      </c>
      <c r="O2428" s="559">
        <f>'Progetto del paramento slu'!$G$60*(sezione!$AP$36-C2428)/C2428</f>
        <v>6.2888369780358536E-3</v>
      </c>
      <c r="P2428" s="553">
        <f>-'Progetto del paramento slu'!$G$47*'Progetto del paramento slu'!$G$41*IF(DATI!$G$218="dx",DATI!$E$61,DATI!$E$64*DATI!$E$63)*1000*C2428*sezione!$AD$5</f>
        <v>-1310442.0346295291</v>
      </c>
      <c r="Q2428" s="553">
        <f>'Foglio deposito bis'!$F$88*IF(ABS(K2428)&lt;'Progetto del paramento slu'!$G$58,ABS(K2428)*'Progetto del paramento slu'!$G$54,'Progetto del paramento slu'!$G$53)*IF(K2428&lt;0,-1,1)</f>
        <v>0</v>
      </c>
      <c r="R2428" s="553">
        <f>'Foglio deposito bis'!$F$89*IF(ABS(L2428)&lt;'Progetto del paramento slu'!$G$58,ABS(L2428)*'Progetto del paramento slu'!$G$54,'Progetto del paramento slu'!$G$53)*IF(L2428&lt;0,-1,1)</f>
        <v>153664.85805602249</v>
      </c>
      <c r="S2428" s="553">
        <f>'Foglio deposito bis'!$F$90*IF(ABS(M2428)&lt;'Progetto del paramento slu'!$G$58,ABS(M2428)*'Progetto del paramento slu'!$G$54,'Progetto del paramento slu'!$G$53)*IF(M2428&lt;0,-1,1)</f>
        <v>0</v>
      </c>
      <c r="T2428" s="553">
        <f>'Foglio deposito bis'!$F$91*IF(ABS(N2428)&lt;'Progetto del paramento slu'!$G$58,ABS(N2428)*'Progetto del paramento slu'!$G$54,'Progetto del paramento slu'!$G$53)*IF(N2428&lt;0,-1,1)</f>
        <v>892485.49558937876</v>
      </c>
      <c r="U2428" s="553">
        <f>'Foglio deposito bis'!$F$92*IF(ABS(O2428)&lt;'Progetto del paramento slu'!$G$58,ABS(O2428)*'Progetto del paramento slu'!$G$54,'Progetto del paramento slu'!$G$53)*IF(O2428&lt;0,-1,1)</f>
        <v>1662039.1047339395</v>
      </c>
      <c r="V2428" s="479">
        <f t="shared" si="177"/>
        <v>1397747.4237498117</v>
      </c>
      <c r="W2428" s="559"/>
      <c r="X2428" s="559"/>
    </row>
    <row r="2429" spans="1:24" x14ac:dyDescent="0.25">
      <c r="A2429" s="553">
        <f t="shared" si="176"/>
        <v>1340522.8807528887</v>
      </c>
      <c r="B2429" s="3">
        <f t="shared" ref="B2429:B2479" si="179">B2428+1</f>
        <v>23.899999999999942</v>
      </c>
      <c r="C2429" s="553">
        <f>'Foglio deposito bis'!$E$162/sezione!$B$247*B2429</f>
        <v>97.025911639949811</v>
      </c>
      <c r="D2429" s="611">
        <f>-'Progetto del paramento slu'!$G$47*'Progetto del paramento slu'!$G$41*IF(DATI!$G$218="dx",DATI!$E$61,DATI!$E$64*DATI!$E$63)*1000*C2429^2*sezione!$AD$5*(1-sezione!$AD$6)</f>
        <v>-77496272.36399889</v>
      </c>
      <c r="E2429" s="553">
        <f>-'Foglio deposito bis'!$F$88*(C2429-sezione!$AL$36)*IF(ABS(K2429)&lt;'Progetto del paramento slu'!$G$58,ABS(K2429)*'Progetto del paramento slu'!$G$54,'Progetto del paramento slu'!$G$53)</f>
        <v>0</v>
      </c>
      <c r="F2429" s="553">
        <f>-'Foglio deposito bis'!$F$89*(C2429-sezione!$AM$36)*IF(ABS(L2429)&lt;'Progetto del paramento slu'!$G$58,ABS(L2429)*'Progetto del paramento slu'!$G$54,'Progetto del paramento slu'!$G$53)</f>
        <v>8140255.7684943061</v>
      </c>
      <c r="G2429" s="553">
        <f>-'Foglio deposito bis'!$F$90*(C2429-sezione!$AN$36)*IF(ABS(M2429)&lt;'Progetto del paramento slu'!$G$58,ABS(M2429)*'Progetto del paramento slu'!$G$54,'Progetto del paramento slu'!$G$53)</f>
        <v>0</v>
      </c>
      <c r="H2429" s="553">
        <f>-'Foglio deposito bis'!$F$91*(C2429-sezione!$AO$36)*IF(ABS(N2429)&lt;'Progetto del paramento slu'!$G$58,ABS(N2429)*'Progetto del paramento slu'!$G$54,'Progetto del paramento slu'!$G$53)</f>
        <v>216850849.6653969</v>
      </c>
      <c r="I2429" s="479">
        <f>-'Foglio deposito bis'!$F$92*(C2429-sezione!$AP$36)*IF(ABS(O2429)&lt;'Progetto del paramento slu'!$G$58,ABS(O2429)*'Progetto del paramento slu'!$G$54,'Progetto del paramento slu'!$G$53)</f>
        <v>270884250.28356481</v>
      </c>
      <c r="J2429" s="479">
        <f t="shared" ref="J2429:J2479" si="180">D2429+E2429+F2429+G2429+H2429+I2429</f>
        <v>418379083.35345709</v>
      </c>
      <c r="K2429" s="558">
        <f>'Progetto del paramento slu'!$G$60*(sezione!$AL$36-C2429)/C2429</f>
        <v>-2.0570864768627863E-3</v>
      </c>
      <c r="L2429" s="558">
        <f>'Progetto del paramento slu'!$G$60*(sezione!$AM$36-C2429)/C2429</f>
        <v>1.9109257117645524E-3</v>
      </c>
      <c r="M2429" s="559">
        <f>'Progetto del paramento slu'!$G$60*(sezione!$AN$36-C2429)/C2429</f>
        <v>5.8789379003918903E-3</v>
      </c>
      <c r="N2429" s="559">
        <f>'Progetto del paramento slu'!$G$60*(sezione!$AO$36-C2429)/C2429</f>
        <v>8.7647649466663195E-3</v>
      </c>
      <c r="O2429" s="559">
        <f>'Progetto del paramento slu'!$G$60*(sezione!$AP$36-C2429)/C2429</f>
        <v>5.8792622090803768E-3</v>
      </c>
      <c r="P2429" s="553">
        <f>-'Progetto del paramento slu'!$G$47*'Progetto del paramento slu'!$G$41*IF(DATI!$G$218="dx",DATI!$E$61,DATI!$E$64*DATI!$E$63)*1000*C2429*sezione!$AD$5</f>
        <v>-1367666.5776264521</v>
      </c>
      <c r="Q2429" s="553">
        <f>'Foglio deposito bis'!$F$88*IF(ABS(K2429)&lt;'Progetto del paramento slu'!$G$58,ABS(K2429)*'Progetto del paramento slu'!$G$54,'Progetto del paramento slu'!$G$53)*IF(K2429&lt;0,-1,1)</f>
        <v>0</v>
      </c>
      <c r="R2429" s="553">
        <f>'Foglio deposito bis'!$F$89*IF(ABS(L2429)&lt;'Progetto del paramento slu'!$G$58,ABS(L2429)*'Progetto del paramento slu'!$G$54,'Progetto del paramento slu'!$G$53)*IF(L2429&lt;0,-1,1)</f>
        <v>153664.85805602249</v>
      </c>
      <c r="S2429" s="553">
        <f>'Foglio deposito bis'!$F$90*IF(ABS(M2429)&lt;'Progetto del paramento slu'!$G$58,ABS(M2429)*'Progetto del paramento slu'!$G$54,'Progetto del paramento slu'!$G$53)*IF(M2429&lt;0,-1,1)</f>
        <v>0</v>
      </c>
      <c r="T2429" s="553">
        <f>'Foglio deposito bis'!$F$91*IF(ABS(N2429)&lt;'Progetto del paramento slu'!$G$58,ABS(N2429)*'Progetto del paramento slu'!$G$54,'Progetto del paramento slu'!$G$53)*IF(N2429&lt;0,-1,1)</f>
        <v>892485.49558937876</v>
      </c>
      <c r="U2429" s="553">
        <f>'Foglio deposito bis'!$F$92*IF(ABS(O2429)&lt;'Progetto del paramento slu'!$G$58,ABS(O2429)*'Progetto del paramento slu'!$G$54,'Progetto del paramento slu'!$G$53)*IF(O2429&lt;0,-1,1)</f>
        <v>1662039.1047339395</v>
      </c>
      <c r="V2429" s="479">
        <f t="shared" si="177"/>
        <v>1340522.8807528887</v>
      </c>
      <c r="W2429" s="559"/>
      <c r="X2429" s="559"/>
    </row>
    <row r="2430" spans="1:24" x14ac:dyDescent="0.25">
      <c r="A2430" s="553">
        <f t="shared" ref="A2430:A2479" si="181">ABS(V2430)</f>
        <v>1266640.537738757</v>
      </c>
      <c r="B2430" s="3">
        <f t="shared" si="179"/>
        <v>24.899999999999942</v>
      </c>
      <c r="C2430" s="553">
        <f>'Foglio deposito bis'!$E$162/sezione!$B$247*B2430</f>
        <v>101.08557321484312</v>
      </c>
      <c r="D2430" s="611">
        <f>-'Progetto del paramento slu'!$G$47*'Progetto del paramento slu'!$G$41*IF(DATI!$G$218="dx",DATI!$E$61,DATI!$E$64*DATI!$E$63)*1000*C2430^2*sezione!$AD$5*(1-sezione!$AD$6)</f>
        <v>-84116986.447021171</v>
      </c>
      <c r="E2430" s="553">
        <f>-'Foglio deposito bis'!$F$88*(C2430-sezione!$AL$36)*IF(ABS(K2430)&lt;'Progetto del paramento slu'!$G$58,ABS(K2430)*'Progetto del paramento slu'!$G$54,'Progetto del paramento slu'!$G$53)</f>
        <v>0</v>
      </c>
      <c r="F2430" s="553">
        <f>-'Foglio deposito bis'!$F$89*(C2430-sezione!$AM$36)*IF(ABS(L2430)&lt;'Progetto del paramento slu'!$G$58,ABS(L2430)*'Progetto del paramento slu'!$G$54,'Progetto del paramento slu'!$G$53)</f>
        <v>6701621.7094892943</v>
      </c>
      <c r="G2430" s="553">
        <f>-'Foglio deposito bis'!$F$90*(C2430-sezione!$AN$36)*IF(ABS(M2430)&lt;'Progetto del paramento slu'!$G$58,ABS(M2430)*'Progetto del paramento slu'!$G$54,'Progetto del paramento slu'!$G$53)</f>
        <v>0</v>
      </c>
      <c r="H2430" s="553">
        <f>-'Foglio deposito bis'!$F$91*(C2430-sezione!$AO$36)*IF(ABS(N2430)&lt;'Progetto del paramento slu'!$G$58,ABS(N2430)*'Progetto del paramento slu'!$G$54,'Progetto del paramento slu'!$G$53)</f>
        <v>213227660.59280306</v>
      </c>
      <c r="I2430" s="479">
        <f>-'Foglio deposito bis'!$F$92*(C2430-sezione!$AP$36)*IF(ABS(O2430)&lt;'Progetto del paramento slu'!$G$58,ABS(O2430)*'Progetto del paramento slu'!$G$54,'Progetto del paramento slu'!$G$53)</f>
        <v>264136933.99410632</v>
      </c>
      <c r="J2430" s="479">
        <f t="shared" si="180"/>
        <v>399949229.84937751</v>
      </c>
      <c r="K2430" s="558">
        <f>'Progetto del paramento slu'!$G$60*(sezione!$AL$36-C2430)/C2430</f>
        <v>-2.1150348111253249E-3</v>
      </c>
      <c r="L2430" s="558">
        <f>'Progetto del paramento slu'!$G$60*(sezione!$AM$36-C2430)/C2430</f>
        <v>1.6936194582800315E-3</v>
      </c>
      <c r="M2430" s="559">
        <f>'Progetto del paramento slu'!$G$60*(sezione!$AN$36-C2430)/C2430</f>
        <v>5.5022737276853879E-3</v>
      </c>
      <c r="N2430" s="559">
        <f>'Progetto del paramento slu'!$G$60*(sezione!$AO$36-C2430)/C2430</f>
        <v>8.2722041054347373E-3</v>
      </c>
      <c r="O2430" s="559">
        <f>'Progetto del paramento slu'!$G$60*(sezione!$AP$36-C2430)/C2430</f>
        <v>5.5025850119285527E-3</v>
      </c>
      <c r="P2430" s="553">
        <f>-'Progetto del paramento slu'!$G$47*'Progetto del paramento slu'!$G$41*IF(DATI!$G$218="dx",DATI!$E$61,DATI!$E$64*DATI!$E$63)*1000*C2430*sezione!$AD$5</f>
        <v>-1424891.1206233751</v>
      </c>
      <c r="Q2430" s="553">
        <f>'Foglio deposito bis'!$F$88*IF(ABS(K2430)&lt;'Progetto del paramento slu'!$G$58,ABS(K2430)*'Progetto del paramento slu'!$G$54,'Progetto del paramento slu'!$G$53)*IF(K2430&lt;0,-1,1)</f>
        <v>0</v>
      </c>
      <c r="R2430" s="553">
        <f>'Foglio deposito bis'!$F$89*IF(ABS(L2430)&lt;'Progetto del paramento slu'!$G$58,ABS(L2430)*'Progetto del paramento slu'!$G$54,'Progetto del paramento slu'!$G$53)*IF(L2430&lt;0,-1,1)</f>
        <v>137007.05803881373</v>
      </c>
      <c r="S2430" s="553">
        <f>'Foglio deposito bis'!$F$90*IF(ABS(M2430)&lt;'Progetto del paramento slu'!$G$58,ABS(M2430)*'Progetto del paramento slu'!$G$54,'Progetto del paramento slu'!$G$53)*IF(M2430&lt;0,-1,1)</f>
        <v>0</v>
      </c>
      <c r="T2430" s="553">
        <f>'Foglio deposito bis'!$F$91*IF(ABS(N2430)&lt;'Progetto del paramento slu'!$G$58,ABS(N2430)*'Progetto del paramento slu'!$G$54,'Progetto del paramento slu'!$G$53)*IF(N2430&lt;0,-1,1)</f>
        <v>892485.49558937876</v>
      </c>
      <c r="U2430" s="553">
        <f>'Foglio deposito bis'!$F$92*IF(ABS(O2430)&lt;'Progetto del paramento slu'!$G$58,ABS(O2430)*'Progetto del paramento slu'!$G$54,'Progetto del paramento slu'!$G$53)*IF(O2430&lt;0,-1,1)</f>
        <v>1662039.1047339395</v>
      </c>
      <c r="V2430" s="479">
        <f t="shared" ref="V2430:V2479" si="182">P2430+Q2430+R2430+S2430+T2430+U2430</f>
        <v>1266640.537738757</v>
      </c>
      <c r="W2430" s="559"/>
      <c r="X2430" s="559"/>
    </row>
    <row r="2431" spans="1:24" x14ac:dyDescent="0.25">
      <c r="A2431" s="553">
        <f t="shared" si="181"/>
        <v>1193194.2535857109</v>
      </c>
      <c r="B2431" s="3">
        <f t="shared" si="179"/>
        <v>25.899999999999942</v>
      </c>
      <c r="C2431" s="553">
        <f>'Foglio deposito bis'!$E$162/sezione!$B$247*B2431</f>
        <v>105.14523478973642</v>
      </c>
      <c r="D2431" s="611">
        <f>-'Progetto del paramento slu'!$G$47*'Progetto del paramento slu'!$G$41*IF(DATI!$G$218="dx",DATI!$E$61,DATI!$E$64*DATI!$E$63)*1000*C2431^2*sezione!$AD$5*(1-sezione!$AD$6)</f>
        <v>-91009041.271150887</v>
      </c>
      <c r="E2431" s="553">
        <f>-'Foglio deposito bis'!$F$88*(C2431-sezione!$AL$36)*IF(ABS(K2431)&lt;'Progetto del paramento slu'!$G$58,ABS(K2431)*'Progetto del paramento slu'!$G$54,'Progetto del paramento slu'!$G$53)</f>
        <v>0</v>
      </c>
      <c r="F2431" s="553">
        <f>-'Foglio deposito bis'!$F$89*(C2431-sezione!$AM$36)*IF(ABS(L2431)&lt;'Progetto del paramento slu'!$G$58,ABS(L2431)*'Progetto del paramento slu'!$G$54,'Progetto del paramento slu'!$G$53)</f>
        <v>5417797.0296203662</v>
      </c>
      <c r="G2431" s="553">
        <f>-'Foglio deposito bis'!$F$90*(C2431-sezione!$AN$36)*IF(ABS(M2431)&lt;'Progetto del paramento slu'!$G$58,ABS(M2431)*'Progetto del paramento slu'!$G$54,'Progetto del paramento slu'!$G$53)</f>
        <v>0</v>
      </c>
      <c r="H2431" s="553">
        <f>-'Foglio deposito bis'!$F$91*(C2431-sezione!$AO$36)*IF(ABS(N2431)&lt;'Progetto del paramento slu'!$G$58,ABS(N2431)*'Progetto del paramento slu'!$G$54,'Progetto del paramento slu'!$G$53)</f>
        <v>209604471.52020928</v>
      </c>
      <c r="I2431" s="479">
        <f>-'Foglio deposito bis'!$F$92*(C2431-sezione!$AP$36)*IF(ABS(O2431)&lt;'Progetto del paramento slu'!$G$58,ABS(O2431)*'Progetto del paramento slu'!$G$54,'Progetto del paramento slu'!$G$53)</f>
        <v>257389617.7046479</v>
      </c>
      <c r="J2431" s="479">
        <f t="shared" si="180"/>
        <v>381402844.98332667</v>
      </c>
      <c r="K2431" s="558">
        <f>'Progetto del paramento slu'!$G$60*(sezione!$AL$36-C2431)/C2431</f>
        <v>-2.1685083705413354E-3</v>
      </c>
      <c r="L2431" s="558">
        <f>'Progetto del paramento slu'!$G$60*(sezione!$AM$36-C2431)/C2431</f>
        <v>1.4930936104699916E-3</v>
      </c>
      <c r="M2431" s="559">
        <f>'Progetto del paramento slu'!$G$60*(sezione!$AN$36-C2431)/C2431</f>
        <v>5.1546955914813187E-3</v>
      </c>
      <c r="N2431" s="559">
        <f>'Progetto del paramento slu'!$G$60*(sezione!$AO$36-C2431)/C2431</f>
        <v>7.8176788503986471E-3</v>
      </c>
      <c r="O2431" s="559">
        <f>'Progetto del paramento slu'!$G$60*(sezione!$AP$36-C2431)/C2431</f>
        <v>5.1549948570278363E-3</v>
      </c>
      <c r="P2431" s="553">
        <f>-'Progetto del paramento slu'!$G$47*'Progetto del paramento slu'!$G$41*IF(DATI!$G$218="dx",DATI!$E$61,DATI!$E$64*DATI!$E$63)*1000*C2431*sezione!$AD$5</f>
        <v>-1482115.6636202978</v>
      </c>
      <c r="Q2431" s="553">
        <f>'Foglio deposito bis'!$F$88*IF(ABS(K2431)&lt;'Progetto del paramento slu'!$G$58,ABS(K2431)*'Progetto del paramento slu'!$G$54,'Progetto del paramento slu'!$G$53)*IF(K2431&lt;0,-1,1)</f>
        <v>0</v>
      </c>
      <c r="R2431" s="553">
        <f>'Foglio deposito bis'!$F$89*IF(ABS(L2431)&lt;'Progetto del paramento slu'!$G$58,ABS(L2431)*'Progetto del paramento slu'!$G$54,'Progetto del paramento slu'!$G$53)*IF(L2431&lt;0,-1,1)</f>
        <v>120785.31688269044</v>
      </c>
      <c r="S2431" s="553">
        <f>'Foglio deposito bis'!$F$90*IF(ABS(M2431)&lt;'Progetto del paramento slu'!$G$58,ABS(M2431)*'Progetto del paramento slu'!$G$54,'Progetto del paramento slu'!$G$53)*IF(M2431&lt;0,-1,1)</f>
        <v>0</v>
      </c>
      <c r="T2431" s="553">
        <f>'Foglio deposito bis'!$F$91*IF(ABS(N2431)&lt;'Progetto del paramento slu'!$G$58,ABS(N2431)*'Progetto del paramento slu'!$G$54,'Progetto del paramento slu'!$G$53)*IF(N2431&lt;0,-1,1)</f>
        <v>892485.49558937876</v>
      </c>
      <c r="U2431" s="553">
        <f>'Foglio deposito bis'!$F$92*IF(ABS(O2431)&lt;'Progetto del paramento slu'!$G$58,ABS(O2431)*'Progetto del paramento slu'!$G$54,'Progetto del paramento slu'!$G$53)*IF(O2431&lt;0,-1,1)</f>
        <v>1662039.1047339395</v>
      </c>
      <c r="V2431" s="479">
        <f t="shared" si="182"/>
        <v>1193194.2535857109</v>
      </c>
      <c r="W2431" s="559"/>
      <c r="X2431" s="559"/>
    </row>
    <row r="2432" spans="1:24" x14ac:dyDescent="0.25">
      <c r="A2432" s="553">
        <f t="shared" si="181"/>
        <v>1120954.0468420421</v>
      </c>
      <c r="B2432" s="3">
        <f t="shared" si="179"/>
        <v>26.899999999999942</v>
      </c>
      <c r="C2432" s="553">
        <f>'Foglio deposito bis'!$E$162/sezione!$B$247*B2432</f>
        <v>109.20489636462973</v>
      </c>
      <c r="D2432" s="611">
        <f>-'Progetto del paramento slu'!$G$47*'Progetto del paramento slu'!$G$41*IF(DATI!$G$218="dx",DATI!$E$61,DATI!$E$64*DATI!$E$63)*1000*C2432^2*sezione!$AD$5*(1-sezione!$AD$6)</f>
        <v>-98172436.836388126</v>
      </c>
      <c r="E2432" s="553">
        <f>-'Foglio deposito bis'!$F$88*(C2432-sezione!$AL$36)*IF(ABS(K2432)&lt;'Progetto del paramento slu'!$G$58,ABS(K2432)*'Progetto del paramento slu'!$G$54,'Progetto del paramento slu'!$G$53)</f>
        <v>0</v>
      </c>
      <c r="F2432" s="553">
        <f>-'Foglio deposito bis'!$F$89*(C2432-sezione!$AM$36)*IF(ABS(L2432)&lt;'Progetto del paramento slu'!$G$58,ABS(L2432)*'Progetto del paramento slu'!$G$54,'Progetto del paramento slu'!$G$53)</f>
        <v>4314883.961158013</v>
      </c>
      <c r="G2432" s="553">
        <f>-'Foglio deposito bis'!$F$90*(C2432-sezione!$AN$36)*IF(ABS(M2432)&lt;'Progetto del paramento slu'!$G$58,ABS(M2432)*'Progetto del paramento slu'!$G$54,'Progetto del paramento slu'!$G$53)</f>
        <v>0</v>
      </c>
      <c r="H2432" s="553">
        <f>-'Foglio deposito bis'!$F$91*(C2432-sezione!$AO$36)*IF(ABS(N2432)&lt;'Progetto del paramento slu'!$G$58,ABS(N2432)*'Progetto del paramento slu'!$G$54,'Progetto del paramento slu'!$G$53)</f>
        <v>205981282.44761544</v>
      </c>
      <c r="I2432" s="479">
        <f>-'Foglio deposito bis'!$F$92*(C2432-sezione!$AP$36)*IF(ABS(O2432)&lt;'Progetto del paramento slu'!$G$58,ABS(O2432)*'Progetto del paramento slu'!$G$54,'Progetto del paramento slu'!$G$53)</f>
        <v>250642301.41518939</v>
      </c>
      <c r="J2432" s="479">
        <f t="shared" si="180"/>
        <v>362766030.9875747</v>
      </c>
      <c r="K2432" s="558">
        <f>'Progetto del paramento slu'!$G$60*(sezione!$AL$36-C2432)/C2432</f>
        <v>-2.2180062006327359E-3</v>
      </c>
      <c r="L2432" s="558">
        <f>'Progetto del paramento slu'!$G$60*(sezione!$AM$36-C2432)/C2432</f>
        <v>1.3074767476272406E-3</v>
      </c>
      <c r="M2432" s="559">
        <f>'Progetto del paramento slu'!$G$60*(sezione!$AN$36-C2432)/C2432</f>
        <v>4.8329596958872172E-3</v>
      </c>
      <c r="N2432" s="559">
        <f>'Progetto del paramento slu'!$G$60*(sezione!$AO$36-C2432)/C2432</f>
        <v>7.3969472946217455E-3</v>
      </c>
      <c r="O2432" s="559">
        <f>'Progetto del paramento slu'!$G$60*(sezione!$AP$36-C2432)/C2432</f>
        <v>4.8332478363204805E-3</v>
      </c>
      <c r="P2432" s="553">
        <f>-'Progetto del paramento slu'!$G$47*'Progetto del paramento slu'!$G$41*IF(DATI!$G$218="dx",DATI!$E$61,DATI!$E$64*DATI!$E$63)*1000*C2432*sezione!$AD$5</f>
        <v>-1539340.2066172205</v>
      </c>
      <c r="Q2432" s="553">
        <f>'Foglio deposito bis'!$F$88*IF(ABS(K2432)&lt;'Progetto del paramento slu'!$G$58,ABS(K2432)*'Progetto del paramento slu'!$G$54,'Progetto del paramento slu'!$G$53)*IF(K2432&lt;0,-1,1)</f>
        <v>0</v>
      </c>
      <c r="R2432" s="553">
        <f>'Foglio deposito bis'!$F$89*IF(ABS(L2432)&lt;'Progetto del paramento slu'!$G$58,ABS(L2432)*'Progetto del paramento slu'!$G$54,'Progetto del paramento slu'!$G$53)*IF(L2432&lt;0,-1,1)</f>
        <v>105769.65313594429</v>
      </c>
      <c r="S2432" s="553">
        <f>'Foglio deposito bis'!$F$90*IF(ABS(M2432)&lt;'Progetto del paramento slu'!$G$58,ABS(M2432)*'Progetto del paramento slu'!$G$54,'Progetto del paramento slu'!$G$53)*IF(M2432&lt;0,-1,1)</f>
        <v>0</v>
      </c>
      <c r="T2432" s="553">
        <f>'Foglio deposito bis'!$F$91*IF(ABS(N2432)&lt;'Progetto del paramento slu'!$G$58,ABS(N2432)*'Progetto del paramento slu'!$G$54,'Progetto del paramento slu'!$G$53)*IF(N2432&lt;0,-1,1)</f>
        <v>892485.49558937876</v>
      </c>
      <c r="U2432" s="553">
        <f>'Foglio deposito bis'!$F$92*IF(ABS(O2432)&lt;'Progetto del paramento slu'!$G$58,ABS(O2432)*'Progetto del paramento slu'!$G$54,'Progetto del paramento slu'!$G$53)*IF(O2432&lt;0,-1,1)</f>
        <v>1662039.1047339395</v>
      </c>
      <c r="V2432" s="479">
        <f t="shared" si="182"/>
        <v>1120954.0468420421</v>
      </c>
      <c r="W2432" s="559"/>
      <c r="X2432" s="559"/>
    </row>
    <row r="2433" spans="1:24" x14ac:dyDescent="0.25">
      <c r="A2433" s="553">
        <f t="shared" si="181"/>
        <v>1049790.2317648062</v>
      </c>
      <c r="B2433" s="3">
        <f t="shared" si="179"/>
        <v>27.899999999999942</v>
      </c>
      <c r="C2433" s="553">
        <f>'Foglio deposito bis'!$E$162/sezione!$B$247*B2433</f>
        <v>113.26455793952304</v>
      </c>
      <c r="D2433" s="611">
        <f>-'Progetto del paramento slu'!$G$47*'Progetto del paramento slu'!$G$41*IF(DATI!$G$218="dx",DATI!$E$61,DATI!$E$64*DATI!$E$63)*1000*C2433^2*sezione!$AD$5*(1-sezione!$AD$6)</f>
        <v>-105607173.14273281</v>
      </c>
      <c r="E2433" s="553">
        <f>-'Foglio deposito bis'!$F$88*(C2433-sezione!$AL$36)*IF(ABS(K2433)&lt;'Progetto del paramento slu'!$G$58,ABS(K2433)*'Progetto del paramento slu'!$G$54,'Progetto del paramento slu'!$G$53)</f>
        <v>0</v>
      </c>
      <c r="F2433" s="553">
        <f>-'Foglio deposito bis'!$F$89*(C2433-sezione!$AM$36)*IF(ABS(L2433)&lt;'Progetto del paramento slu'!$G$58,ABS(L2433)*'Progetto del paramento slu'!$G$54,'Progetto del paramento slu'!$G$53)</f>
        <v>3373429.6426606723</v>
      </c>
      <c r="G2433" s="553">
        <f>-'Foglio deposito bis'!$F$90*(C2433-sezione!$AN$36)*IF(ABS(M2433)&lt;'Progetto del paramento slu'!$G$58,ABS(M2433)*'Progetto del paramento slu'!$G$54,'Progetto del paramento slu'!$G$53)</f>
        <v>0</v>
      </c>
      <c r="H2433" s="553">
        <f>-'Foglio deposito bis'!$F$91*(C2433-sezione!$AO$36)*IF(ABS(N2433)&lt;'Progetto del paramento slu'!$G$58,ABS(N2433)*'Progetto del paramento slu'!$G$54,'Progetto del paramento slu'!$G$53)</f>
        <v>202358093.37502164</v>
      </c>
      <c r="I2433" s="479">
        <f>-'Foglio deposito bis'!$F$92*(C2433-sezione!$AP$36)*IF(ABS(O2433)&lt;'Progetto del paramento slu'!$G$58,ABS(O2433)*'Progetto del paramento slu'!$G$54,'Progetto del paramento slu'!$G$53)</f>
        <v>243894985.12573096</v>
      </c>
      <c r="J2433" s="479">
        <f t="shared" si="180"/>
        <v>344019335.00068045</v>
      </c>
      <c r="K2433" s="558">
        <f>'Progetto del paramento slu'!$G$60*(sezione!$AL$36-C2433)/C2433</f>
        <v>-2.2639557991763655E-3</v>
      </c>
      <c r="L2433" s="558">
        <f>'Progetto del paramento slu'!$G$60*(sezione!$AM$36-C2433)/C2433</f>
        <v>1.135165753088629E-3</v>
      </c>
      <c r="M2433" s="559">
        <f>'Progetto del paramento slu'!$G$60*(sezione!$AN$36-C2433)/C2433</f>
        <v>4.534287305353624E-3</v>
      </c>
      <c r="N2433" s="559">
        <f>'Progetto del paramento slu'!$G$60*(sezione!$AO$36-C2433)/C2433</f>
        <v>7.0063757070008932E-3</v>
      </c>
      <c r="O2433" s="559">
        <f>'Progetto del paramento slu'!$G$60*(sezione!$AP$36-C2433)/C2433</f>
        <v>4.5345651181727927E-3</v>
      </c>
      <c r="P2433" s="553">
        <f>-'Progetto del paramento slu'!$G$47*'Progetto del paramento slu'!$G$41*IF(DATI!$G$218="dx",DATI!$E$61,DATI!$E$64*DATI!$E$63)*1000*C2433*sezione!$AD$5</f>
        <v>-1596564.7496141435</v>
      </c>
      <c r="Q2433" s="553">
        <f>'Foglio deposito bis'!$F$88*IF(ABS(K2433)&lt;'Progetto del paramento slu'!$G$58,ABS(K2433)*'Progetto del paramento slu'!$G$54,'Progetto del paramento slu'!$G$53)*IF(K2433&lt;0,-1,1)</f>
        <v>0</v>
      </c>
      <c r="R2433" s="553">
        <f>'Foglio deposito bis'!$F$89*IF(ABS(L2433)&lt;'Progetto del paramento slu'!$G$58,ABS(L2433)*'Progetto del paramento slu'!$G$54,'Progetto del paramento slu'!$G$53)*IF(L2433&lt;0,-1,1)</f>
        <v>91830.381055631515</v>
      </c>
      <c r="S2433" s="553">
        <f>'Foglio deposito bis'!$F$90*IF(ABS(M2433)&lt;'Progetto del paramento slu'!$G$58,ABS(M2433)*'Progetto del paramento slu'!$G$54,'Progetto del paramento slu'!$G$53)*IF(M2433&lt;0,-1,1)</f>
        <v>0</v>
      </c>
      <c r="T2433" s="553">
        <f>'Foglio deposito bis'!$F$91*IF(ABS(N2433)&lt;'Progetto del paramento slu'!$G$58,ABS(N2433)*'Progetto del paramento slu'!$G$54,'Progetto del paramento slu'!$G$53)*IF(N2433&lt;0,-1,1)</f>
        <v>892485.49558937876</v>
      </c>
      <c r="U2433" s="553">
        <f>'Foglio deposito bis'!$F$92*IF(ABS(O2433)&lt;'Progetto del paramento slu'!$G$58,ABS(O2433)*'Progetto del paramento slu'!$G$54,'Progetto del paramento slu'!$G$53)*IF(O2433&lt;0,-1,1)</f>
        <v>1662039.1047339395</v>
      </c>
      <c r="V2433" s="479">
        <f t="shared" si="182"/>
        <v>1049790.2317648062</v>
      </c>
      <c r="W2433" s="559"/>
      <c r="X2433" s="559"/>
    </row>
    <row r="2434" spans="1:24" x14ac:dyDescent="0.25">
      <c r="A2434" s="553">
        <f t="shared" si="181"/>
        <v>979591.07219485915</v>
      </c>
      <c r="B2434" s="3">
        <f t="shared" si="179"/>
        <v>28.899999999999942</v>
      </c>
      <c r="C2434" s="553">
        <f>'Foglio deposito bis'!$E$162/sezione!$B$247*B2434</f>
        <v>117.32421951441634</v>
      </c>
      <c r="D2434" s="611">
        <f>-'Progetto del paramento slu'!$G$47*'Progetto del paramento slu'!$G$41*IF(DATI!$G$218="dx",DATI!$E$61,DATI!$E$64*DATI!$E$63)*1000*C2434^2*sezione!$AD$5*(1-sezione!$AD$6)</f>
        <v>-113313250.19018497</v>
      </c>
      <c r="E2434" s="553">
        <f>-'Foglio deposito bis'!$F$88*(C2434-sezione!$AL$36)*IF(ABS(K2434)&lt;'Progetto del paramento slu'!$G$58,ABS(K2434)*'Progetto del paramento slu'!$G$54,'Progetto del paramento slu'!$G$53)</f>
        <v>0</v>
      </c>
      <c r="F2434" s="553">
        <f>-'Foglio deposito bis'!$F$89*(C2434-sezione!$AM$36)*IF(ABS(L2434)&lt;'Progetto del paramento slu'!$G$58,ABS(L2434)*'Progetto del paramento slu'!$G$54,'Progetto del paramento slu'!$G$53)</f>
        <v>2576673.6502565476</v>
      </c>
      <c r="G2434" s="553">
        <f>-'Foglio deposito bis'!$F$90*(C2434-sezione!$AN$36)*IF(ABS(M2434)&lt;'Progetto del paramento slu'!$G$58,ABS(M2434)*'Progetto del paramento slu'!$G$54,'Progetto del paramento slu'!$G$53)</f>
        <v>0</v>
      </c>
      <c r="H2434" s="553">
        <f>-'Foglio deposito bis'!$F$91*(C2434-sezione!$AO$36)*IF(ABS(N2434)&lt;'Progetto del paramento slu'!$G$58,ABS(N2434)*'Progetto del paramento slu'!$G$54,'Progetto del paramento slu'!$G$53)</f>
        <v>198734904.30242786</v>
      </c>
      <c r="I2434" s="479">
        <f>-'Foglio deposito bis'!$F$92*(C2434-sezione!$AP$36)*IF(ABS(O2434)&lt;'Progetto del paramento slu'!$G$58,ABS(O2434)*'Progetto del paramento slu'!$G$54,'Progetto del paramento slu'!$G$53)</f>
        <v>237147668.83627257</v>
      </c>
      <c r="J2434" s="479">
        <f t="shared" si="180"/>
        <v>325145996.59877199</v>
      </c>
      <c r="K2434" s="558">
        <f>'Progetto del paramento slu'!$G$60*(sezione!$AL$36-C2434)/C2434</f>
        <v>-2.3067254947065951E-3</v>
      </c>
      <c r="L2434" s="558">
        <f>'Progetto del paramento slu'!$G$60*(sezione!$AM$36-C2434)/C2434</f>
        <v>9.7477939485026842E-4</v>
      </c>
      <c r="M2434" s="559">
        <f>'Progetto del paramento slu'!$G$60*(sezione!$AN$36-C2434)/C2434</f>
        <v>4.2562842844071323E-3</v>
      </c>
      <c r="N2434" s="559">
        <f>'Progetto del paramento slu'!$G$60*(sezione!$AO$36-C2434)/C2434</f>
        <v>6.6428332949939424E-3</v>
      </c>
      <c r="O2434" s="559">
        <f>'Progetto del paramento slu'!$G$60*(sezione!$AP$36-C2434)/C2434</f>
        <v>4.2565524843259832E-3</v>
      </c>
      <c r="P2434" s="553">
        <f>-'Progetto del paramento slu'!$G$47*'Progetto del paramento slu'!$G$41*IF(DATI!$G$218="dx",DATI!$E$61,DATI!$E$64*DATI!$E$63)*1000*C2434*sezione!$AD$5</f>
        <v>-1653789.292611066</v>
      </c>
      <c r="Q2434" s="553">
        <f>'Foglio deposito bis'!$F$88*IF(ABS(K2434)&lt;'Progetto del paramento slu'!$G$58,ABS(K2434)*'Progetto del paramento slu'!$G$54,'Progetto del paramento slu'!$G$53)*IF(K2434&lt;0,-1,1)</f>
        <v>0</v>
      </c>
      <c r="R2434" s="553">
        <f>'Foglio deposito bis'!$F$89*IF(ABS(L2434)&lt;'Progetto del paramento slu'!$G$58,ABS(L2434)*'Progetto del paramento slu'!$G$54,'Progetto del paramento slu'!$G$53)*IF(L2434&lt;0,-1,1)</f>
        <v>78855.764482606915</v>
      </c>
      <c r="S2434" s="553">
        <f>'Foglio deposito bis'!$F$90*IF(ABS(M2434)&lt;'Progetto del paramento slu'!$G$58,ABS(M2434)*'Progetto del paramento slu'!$G$54,'Progetto del paramento slu'!$G$53)*IF(M2434&lt;0,-1,1)</f>
        <v>0</v>
      </c>
      <c r="T2434" s="553">
        <f>'Foglio deposito bis'!$F$91*IF(ABS(N2434)&lt;'Progetto del paramento slu'!$G$58,ABS(N2434)*'Progetto del paramento slu'!$G$54,'Progetto del paramento slu'!$G$53)*IF(N2434&lt;0,-1,1)</f>
        <v>892485.49558937876</v>
      </c>
      <c r="U2434" s="553">
        <f>'Foglio deposito bis'!$F$92*IF(ABS(O2434)&lt;'Progetto del paramento slu'!$G$58,ABS(O2434)*'Progetto del paramento slu'!$G$54,'Progetto del paramento slu'!$G$53)*IF(O2434&lt;0,-1,1)</f>
        <v>1662039.1047339395</v>
      </c>
      <c r="V2434" s="479">
        <f t="shared" si="182"/>
        <v>979591.07219485915</v>
      </c>
      <c r="W2434" s="559"/>
      <c r="X2434" s="559"/>
    </row>
    <row r="2435" spans="1:24" x14ac:dyDescent="0.25">
      <c r="A2435" s="553">
        <f t="shared" si="181"/>
        <v>910259.77995421086</v>
      </c>
      <c r="B2435" s="3">
        <f t="shared" si="179"/>
        <v>29.899999999999942</v>
      </c>
      <c r="C2435" s="553">
        <f>'Foglio deposito bis'!$E$162/sezione!$B$247*B2435</f>
        <v>121.38388108930965</v>
      </c>
      <c r="D2435" s="611">
        <f>-'Progetto del paramento slu'!$G$47*'Progetto del paramento slu'!$G$41*IF(DATI!$G$218="dx",DATI!$E$61,DATI!$E$64*DATI!$E$63)*1000*C2435^2*sezione!$AD$5*(1-sezione!$AD$6)</f>
        <v>-121290667.9787446</v>
      </c>
      <c r="E2435" s="553">
        <f>-'Foglio deposito bis'!$F$88*(C2435-sezione!$AL$36)*IF(ABS(K2435)&lt;'Progetto del paramento slu'!$G$58,ABS(K2435)*'Progetto del paramento slu'!$G$54,'Progetto del paramento slu'!$G$53)</f>
        <v>0</v>
      </c>
      <c r="F2435" s="553">
        <f>-'Foglio deposito bis'!$F$89*(C2435-sezione!$AM$36)*IF(ABS(L2435)&lt;'Progetto del paramento slu'!$G$58,ABS(L2435)*'Progetto del paramento slu'!$G$54,'Progetto del paramento slu'!$G$53)</f>
        <v>1910097.7572473169</v>
      </c>
      <c r="G2435" s="553">
        <f>-'Foglio deposito bis'!$F$90*(C2435-sezione!$AN$36)*IF(ABS(M2435)&lt;'Progetto del paramento slu'!$G$58,ABS(M2435)*'Progetto del paramento slu'!$G$54,'Progetto del paramento slu'!$G$53)</f>
        <v>0</v>
      </c>
      <c r="H2435" s="553">
        <f>-'Foglio deposito bis'!$F$91*(C2435-sezione!$AO$36)*IF(ABS(N2435)&lt;'Progetto del paramento slu'!$G$58,ABS(N2435)*'Progetto del paramento slu'!$G$54,'Progetto del paramento slu'!$G$53)</f>
        <v>195111715.22983405</v>
      </c>
      <c r="I2435" s="479">
        <f>-'Foglio deposito bis'!$F$92*(C2435-sezione!$AP$36)*IF(ABS(O2435)&lt;'Progetto del paramento slu'!$G$58,ABS(O2435)*'Progetto del paramento slu'!$G$54,'Progetto del paramento slu'!$G$53)</f>
        <v>230400352.54681411</v>
      </c>
      <c r="J2435" s="479">
        <f t="shared" si="180"/>
        <v>306131497.55515087</v>
      </c>
      <c r="K2435" s="558">
        <f>'Progetto del paramento slu'!$G$60*(sezione!$AL$36-C2435)/C2435</f>
        <v>-2.3466343410374784E-3</v>
      </c>
      <c r="L2435" s="558">
        <f>'Progetto del paramento slu'!$G$60*(sezione!$AM$36-C2435)/C2435</f>
        <v>8.2512122110945632E-4</v>
      </c>
      <c r="M2435" s="559">
        <f>'Progetto del paramento slu'!$G$60*(sezione!$AN$36-C2435)/C2435</f>
        <v>3.9968767832563911E-3</v>
      </c>
      <c r="N2435" s="559">
        <f>'Progetto del paramento slu'!$G$60*(sezione!$AO$36-C2435)/C2435</f>
        <v>6.3036081011814344E-3</v>
      </c>
      <c r="O2435" s="559">
        <f>'Progetto del paramento slu'!$G$60*(sezione!$AP$36-C2435)/C2435</f>
        <v>3.9971360132782909E-3</v>
      </c>
      <c r="P2435" s="553">
        <f>-'Progetto del paramento slu'!$G$47*'Progetto del paramento slu'!$G$41*IF(DATI!$G$218="dx",DATI!$E$61,DATI!$E$64*DATI!$E$63)*1000*C2435*sezione!$AD$5</f>
        <v>-1711013.835607989</v>
      </c>
      <c r="Q2435" s="553">
        <f>'Foglio deposito bis'!$F$88*IF(ABS(K2435)&lt;'Progetto del paramento slu'!$G$58,ABS(K2435)*'Progetto del paramento slu'!$G$54,'Progetto del paramento slu'!$G$53)*IF(K2435&lt;0,-1,1)</f>
        <v>0</v>
      </c>
      <c r="R2435" s="553">
        <f>'Foglio deposito bis'!$F$89*IF(ABS(L2435)&lt;'Progetto del paramento slu'!$G$58,ABS(L2435)*'Progetto del paramento slu'!$G$54,'Progetto del paramento slu'!$G$53)*IF(L2435&lt;0,-1,1)</f>
        <v>66749.015238881562</v>
      </c>
      <c r="S2435" s="553">
        <f>'Foglio deposito bis'!$F$90*IF(ABS(M2435)&lt;'Progetto del paramento slu'!$G$58,ABS(M2435)*'Progetto del paramento slu'!$G$54,'Progetto del paramento slu'!$G$53)*IF(M2435&lt;0,-1,1)</f>
        <v>0</v>
      </c>
      <c r="T2435" s="553">
        <f>'Foglio deposito bis'!$F$91*IF(ABS(N2435)&lt;'Progetto del paramento slu'!$G$58,ABS(N2435)*'Progetto del paramento slu'!$G$54,'Progetto del paramento slu'!$G$53)*IF(N2435&lt;0,-1,1)</f>
        <v>892485.49558937876</v>
      </c>
      <c r="U2435" s="553">
        <f>'Foglio deposito bis'!$F$92*IF(ABS(O2435)&lt;'Progetto del paramento slu'!$G$58,ABS(O2435)*'Progetto del paramento slu'!$G$54,'Progetto del paramento slu'!$G$53)*IF(O2435&lt;0,-1,1)</f>
        <v>1662039.1047339395</v>
      </c>
      <c r="V2435" s="479">
        <f t="shared" si="182"/>
        <v>910259.77995421086</v>
      </c>
      <c r="W2435" s="559"/>
      <c r="X2435" s="559"/>
    </row>
    <row r="2436" spans="1:24" x14ac:dyDescent="0.25">
      <c r="A2436" s="553">
        <f t="shared" si="181"/>
        <v>841712.09607885219</v>
      </c>
      <c r="B2436" s="3">
        <f t="shared" si="179"/>
        <v>30.899999999999942</v>
      </c>
      <c r="C2436" s="553">
        <f>'Foglio deposito bis'!$E$162/sezione!$B$247*B2436</f>
        <v>125.44354266420297</v>
      </c>
      <c r="D2436" s="611">
        <f>-'Progetto del paramento slu'!$G$47*'Progetto del paramento slu'!$G$41*IF(DATI!$G$218="dx",DATI!$E$61,DATI!$E$64*DATI!$E$63)*1000*C2436^2*sezione!$AD$5*(1-sezione!$AD$6)</f>
        <v>-129539426.50841174</v>
      </c>
      <c r="E2436" s="553">
        <f>-'Foglio deposito bis'!$F$88*(C2436-sezione!$AL$36)*IF(ABS(K2436)&lt;'Progetto del paramento slu'!$G$58,ABS(K2436)*'Progetto del paramento slu'!$G$54,'Progetto del paramento slu'!$G$53)</f>
        <v>0</v>
      </c>
      <c r="F2436" s="553">
        <f>-'Foglio deposito bis'!$F$89*(C2436-sezione!$AM$36)*IF(ABS(L2436)&lt;'Progetto del paramento slu'!$G$58,ABS(L2436)*'Progetto del paramento slu'!$G$54,'Progetto del paramento slu'!$G$53)</f>
        <v>1361063.1190315359</v>
      </c>
      <c r="G2436" s="553">
        <f>-'Foglio deposito bis'!$F$90*(C2436-sezione!$AN$36)*IF(ABS(M2436)&lt;'Progetto del paramento slu'!$G$58,ABS(M2436)*'Progetto del paramento slu'!$G$54,'Progetto del paramento slu'!$G$53)</f>
        <v>0</v>
      </c>
      <c r="H2436" s="553">
        <f>-'Foglio deposito bis'!$F$91*(C2436-sezione!$AO$36)*IF(ABS(N2436)&lt;'Progetto del paramento slu'!$G$58,ABS(N2436)*'Progetto del paramento slu'!$G$54,'Progetto del paramento slu'!$G$53)</f>
        <v>191488526.15724024</v>
      </c>
      <c r="I2436" s="479">
        <f>-'Foglio deposito bis'!$F$92*(C2436-sezione!$AP$36)*IF(ABS(O2436)&lt;'Progetto del paramento slu'!$G$58,ABS(O2436)*'Progetto del paramento slu'!$G$54,'Progetto del paramento slu'!$G$53)</f>
        <v>223653036.25735566</v>
      </c>
      <c r="J2436" s="479">
        <f t="shared" si="180"/>
        <v>286963199.02521569</v>
      </c>
      <c r="K2436" s="558">
        <f>'Progetto del paramento slu'!$G$60*(sezione!$AL$36-C2436)/C2436</f>
        <v>-2.3839600905184665E-3</v>
      </c>
      <c r="L2436" s="558">
        <f>'Progetto del paramento slu'!$G$60*(sezione!$AM$36-C2436)/C2436</f>
        <v>6.8514966055575183E-4</v>
      </c>
      <c r="M2436" s="559">
        <f>'Progetto del paramento slu'!$G$60*(sezione!$AN$36-C2436)/C2436</f>
        <v>3.7542594116299695E-3</v>
      </c>
      <c r="N2436" s="559">
        <f>'Progetto del paramento slu'!$G$60*(sezione!$AO$36-C2436)/C2436</f>
        <v>5.9863392305930371E-3</v>
      </c>
      <c r="O2436" s="559">
        <f>'Progetto del paramento slu'!$G$60*(sezione!$AP$36-C2436)/C2436</f>
        <v>3.754510252330773E-3</v>
      </c>
      <c r="P2436" s="553">
        <f>-'Progetto del paramento slu'!$G$47*'Progetto del paramento slu'!$G$41*IF(DATI!$G$218="dx",DATI!$E$61,DATI!$E$64*DATI!$E$63)*1000*C2436*sezione!$AD$5</f>
        <v>-1768238.378604912</v>
      </c>
      <c r="Q2436" s="553">
        <f>'Foglio deposito bis'!$F$88*IF(ABS(K2436)&lt;'Progetto del paramento slu'!$G$58,ABS(K2436)*'Progetto del paramento slu'!$G$54,'Progetto del paramento slu'!$G$53)*IF(K2436&lt;0,-1,1)</f>
        <v>0</v>
      </c>
      <c r="R2436" s="553">
        <f>'Foglio deposito bis'!$F$89*IF(ABS(L2436)&lt;'Progetto del paramento slu'!$G$58,ABS(L2436)*'Progetto del paramento slu'!$G$54,'Progetto del paramento slu'!$G$53)*IF(L2436&lt;0,-1,1)</f>
        <v>55425.87436044588</v>
      </c>
      <c r="S2436" s="553">
        <f>'Foglio deposito bis'!$F$90*IF(ABS(M2436)&lt;'Progetto del paramento slu'!$G$58,ABS(M2436)*'Progetto del paramento slu'!$G$54,'Progetto del paramento slu'!$G$53)*IF(M2436&lt;0,-1,1)</f>
        <v>0</v>
      </c>
      <c r="T2436" s="553">
        <f>'Foglio deposito bis'!$F$91*IF(ABS(N2436)&lt;'Progetto del paramento slu'!$G$58,ABS(N2436)*'Progetto del paramento slu'!$G$54,'Progetto del paramento slu'!$G$53)*IF(N2436&lt;0,-1,1)</f>
        <v>892485.49558937876</v>
      </c>
      <c r="U2436" s="553">
        <f>'Foglio deposito bis'!$F$92*IF(ABS(O2436)&lt;'Progetto del paramento slu'!$G$58,ABS(O2436)*'Progetto del paramento slu'!$G$54,'Progetto del paramento slu'!$G$53)*IF(O2436&lt;0,-1,1)</f>
        <v>1662039.1047339395</v>
      </c>
      <c r="V2436" s="479">
        <f t="shared" si="182"/>
        <v>841712.09607885219</v>
      </c>
      <c r="W2436" s="559"/>
      <c r="X2436" s="559"/>
    </row>
    <row r="2437" spans="1:24" x14ac:dyDescent="0.25">
      <c r="A2437" s="553">
        <f t="shared" si="181"/>
        <v>773874.32699211035</v>
      </c>
      <c r="B2437" s="3">
        <f t="shared" si="179"/>
        <v>31.899999999999942</v>
      </c>
      <c r="C2437" s="553">
        <f>'Foglio deposito bis'!$E$162/sezione!$B$247*B2437</f>
        <v>129.50320423909628</v>
      </c>
      <c r="D2437" s="611">
        <f>-'Progetto del paramento slu'!$G$47*'Progetto del paramento slu'!$G$41*IF(DATI!$G$218="dx",DATI!$E$61,DATI!$E$64*DATI!$E$63)*1000*C2437^2*sezione!$AD$5*(1-sezione!$AD$6)</f>
        <v>-138059525.77918634</v>
      </c>
      <c r="E2437" s="553">
        <f>-'Foglio deposito bis'!$F$88*(C2437-sezione!$AL$36)*IF(ABS(K2437)&lt;'Progetto del paramento slu'!$G$58,ABS(K2437)*'Progetto del paramento slu'!$G$54,'Progetto del paramento slu'!$G$53)</f>
        <v>0</v>
      </c>
      <c r="F2437" s="553">
        <f>-'Foglio deposito bis'!$F$89*(C2437-sezione!$AM$36)*IF(ABS(L2437)&lt;'Progetto del paramento slu'!$G$58,ABS(L2437)*'Progetto del paramento slu'!$G$54,'Progetto del paramento slu'!$G$53)</f>
        <v>918515.69910825382</v>
      </c>
      <c r="G2437" s="553">
        <f>-'Foglio deposito bis'!$F$90*(C2437-sezione!$AN$36)*IF(ABS(M2437)&lt;'Progetto del paramento slu'!$G$58,ABS(M2437)*'Progetto del paramento slu'!$G$54,'Progetto del paramento slu'!$G$53)</f>
        <v>0</v>
      </c>
      <c r="H2437" s="553">
        <f>-'Foglio deposito bis'!$F$91*(C2437-sezione!$AO$36)*IF(ABS(N2437)&lt;'Progetto del paramento slu'!$G$58,ABS(N2437)*'Progetto del paramento slu'!$G$54,'Progetto del paramento slu'!$G$53)</f>
        <v>187865337.0846464</v>
      </c>
      <c r="I2437" s="479">
        <f>-'Foglio deposito bis'!$F$92*(C2437-sezione!$AP$36)*IF(ABS(O2437)&lt;'Progetto del paramento slu'!$G$58,ABS(O2437)*'Progetto del paramento slu'!$G$54,'Progetto del paramento slu'!$G$53)</f>
        <v>216905719.96789718</v>
      </c>
      <c r="J2437" s="479">
        <f t="shared" si="180"/>
        <v>267630046.97246549</v>
      </c>
      <c r="K2437" s="558">
        <f>'Progetto del paramento slu'!$G$60*(sezione!$AL$36-C2437)/C2437</f>
        <v>-2.4189456676182012E-3</v>
      </c>
      <c r="L2437" s="558">
        <f>'Progetto del paramento slu'!$G$60*(sezione!$AM$36-C2437)/C2437</f>
        <v>5.5395374643174664E-4</v>
      </c>
      <c r="M2437" s="559">
        <f>'Progetto del paramento slu'!$G$60*(sezione!$AN$36-C2437)/C2437</f>
        <v>3.5268531604816938E-3</v>
      </c>
      <c r="N2437" s="559">
        <f>'Progetto del paramento slu'!$G$60*(sezione!$AO$36-C2437)/C2437</f>
        <v>5.6889618252452924E-3</v>
      </c>
      <c r="O2437" s="559">
        <f>'Progetto del paramento slu'!$G$60*(sezione!$AP$36-C2437)/C2437</f>
        <v>3.5270961378376445E-3</v>
      </c>
      <c r="P2437" s="553">
        <f>-'Progetto del paramento slu'!$G$47*'Progetto del paramento slu'!$G$41*IF(DATI!$G$218="dx",DATI!$E$61,DATI!$E$64*DATI!$E$63)*1000*C2437*sezione!$AD$5</f>
        <v>-1825462.9216018347</v>
      </c>
      <c r="Q2437" s="553">
        <f>'Foglio deposito bis'!$F$88*IF(ABS(K2437)&lt;'Progetto del paramento slu'!$G$58,ABS(K2437)*'Progetto del paramento slu'!$G$54,'Progetto del paramento slu'!$G$53)*IF(K2437&lt;0,-1,1)</f>
        <v>0</v>
      </c>
      <c r="R2437" s="553">
        <f>'Foglio deposito bis'!$F$89*IF(ABS(L2437)&lt;'Progetto del paramento slu'!$G$58,ABS(L2437)*'Progetto del paramento slu'!$G$54,'Progetto del paramento slu'!$G$53)*IF(L2437&lt;0,-1,1)</f>
        <v>44812.648270626843</v>
      </c>
      <c r="S2437" s="553">
        <f>'Foglio deposito bis'!$F$90*IF(ABS(M2437)&lt;'Progetto del paramento slu'!$G$58,ABS(M2437)*'Progetto del paramento slu'!$G$54,'Progetto del paramento slu'!$G$53)*IF(M2437&lt;0,-1,1)</f>
        <v>0</v>
      </c>
      <c r="T2437" s="553">
        <f>'Foglio deposito bis'!$F$91*IF(ABS(N2437)&lt;'Progetto del paramento slu'!$G$58,ABS(N2437)*'Progetto del paramento slu'!$G$54,'Progetto del paramento slu'!$G$53)*IF(N2437&lt;0,-1,1)</f>
        <v>892485.49558937876</v>
      </c>
      <c r="U2437" s="553">
        <f>'Foglio deposito bis'!$F$92*IF(ABS(O2437)&lt;'Progetto del paramento slu'!$G$58,ABS(O2437)*'Progetto del paramento slu'!$G$54,'Progetto del paramento slu'!$G$53)*IF(O2437&lt;0,-1,1)</f>
        <v>1662039.1047339395</v>
      </c>
      <c r="V2437" s="479">
        <f t="shared" si="182"/>
        <v>773874.32699211035</v>
      </c>
      <c r="W2437" s="559"/>
      <c r="X2437" s="559"/>
    </row>
    <row r="2438" spans="1:24" x14ac:dyDescent="0.25">
      <c r="A2438" s="553">
        <f t="shared" si="181"/>
        <v>706681.73882268253</v>
      </c>
      <c r="B2438" s="3">
        <f t="shared" si="179"/>
        <v>32.899999999999942</v>
      </c>
      <c r="C2438" s="553">
        <f>'Foglio deposito bis'!$E$162/sezione!$B$247*B2438</f>
        <v>133.56286581398959</v>
      </c>
      <c r="D2438" s="611">
        <f>-'Progetto del paramento slu'!$G$47*'Progetto del paramento slu'!$G$41*IF(DATI!$G$218="dx",DATI!$E$61,DATI!$E$64*DATI!$E$63)*1000*C2438^2*sezione!$AD$5*(1-sezione!$AD$6)</f>
        <v>-146850965.79106838</v>
      </c>
      <c r="E2438" s="553">
        <f>-'Foglio deposito bis'!$F$88*(C2438-sezione!$AL$36)*IF(ABS(K2438)&lt;'Progetto del paramento slu'!$G$58,ABS(K2438)*'Progetto del paramento slu'!$G$54,'Progetto del paramento slu'!$G$53)</f>
        <v>0</v>
      </c>
      <c r="F2438" s="553">
        <f>-'Foglio deposito bis'!$F$89*(C2438-sezione!$AM$36)*IF(ABS(L2438)&lt;'Progetto del paramento slu'!$G$58,ABS(L2438)*'Progetto del paramento slu'!$G$54,'Progetto del paramento slu'!$G$53)</f>
        <v>572745.41678210616</v>
      </c>
      <c r="G2438" s="553">
        <f>-'Foglio deposito bis'!$F$90*(C2438-sezione!$AN$36)*IF(ABS(M2438)&lt;'Progetto del paramento slu'!$G$58,ABS(M2438)*'Progetto del paramento slu'!$G$54,'Progetto del paramento slu'!$G$53)</f>
        <v>0</v>
      </c>
      <c r="H2438" s="553">
        <f>-'Foglio deposito bis'!$F$91*(C2438-sezione!$AO$36)*IF(ABS(N2438)&lt;'Progetto del paramento slu'!$G$58,ABS(N2438)*'Progetto del paramento slu'!$G$54,'Progetto del paramento slu'!$G$53)</f>
        <v>184242148.0120526</v>
      </c>
      <c r="I2438" s="479">
        <f>-'Foglio deposito bis'!$F$92*(C2438-sezione!$AP$36)*IF(ABS(O2438)&lt;'Progetto del paramento slu'!$G$58,ABS(O2438)*'Progetto del paramento slu'!$G$54,'Progetto del paramento slu'!$G$53)</f>
        <v>210158403.67843872</v>
      </c>
      <c r="J2438" s="479">
        <f t="shared" si="180"/>
        <v>248122331.31620505</v>
      </c>
      <c r="K2438" s="558">
        <f>'Progetto del paramento slu'!$G$60*(sezione!$AL$36-C2438)/C2438</f>
        <v>-2.4518044619155199E-3</v>
      </c>
      <c r="L2438" s="558">
        <f>'Progetto del paramento slu'!$G$60*(sezione!$AM$36-C2438)/C2438</f>
        <v>4.3073326781679954E-4</v>
      </c>
      <c r="M2438" s="559">
        <f>'Progetto del paramento slu'!$G$60*(sezione!$AN$36-C2438)/C2438</f>
        <v>3.3132709975491194E-3</v>
      </c>
      <c r="N2438" s="559">
        <f>'Progetto del paramento slu'!$G$60*(sezione!$AO$36-C2438)/C2438</f>
        <v>5.4096620737180794E-3</v>
      </c>
      <c r="O2438" s="559">
        <f>'Progetto del paramento slu'!$G$60*(sezione!$AP$36-C2438)/C2438</f>
        <v>3.3135065895751013E-3</v>
      </c>
      <c r="P2438" s="553">
        <f>-'Progetto del paramento slu'!$G$47*'Progetto del paramento slu'!$G$41*IF(DATI!$G$218="dx",DATI!$E$61,DATI!$E$64*DATI!$E$63)*1000*C2438*sezione!$AD$5</f>
        <v>-1882687.4645987577</v>
      </c>
      <c r="Q2438" s="553">
        <f>'Foglio deposito bis'!$F$88*IF(ABS(K2438)&lt;'Progetto del paramento slu'!$G$58,ABS(K2438)*'Progetto del paramento slu'!$G$54,'Progetto del paramento slu'!$G$53)*IF(K2438&lt;0,-1,1)</f>
        <v>0</v>
      </c>
      <c r="R2438" s="553">
        <f>'Foglio deposito bis'!$F$89*IF(ABS(L2438)&lt;'Progetto del paramento slu'!$G$58,ABS(L2438)*'Progetto del paramento slu'!$G$54,'Progetto del paramento slu'!$G$53)*IF(L2438&lt;0,-1,1)</f>
        <v>34844.603098122047</v>
      </c>
      <c r="S2438" s="553">
        <f>'Foglio deposito bis'!$F$90*IF(ABS(M2438)&lt;'Progetto del paramento slu'!$G$58,ABS(M2438)*'Progetto del paramento slu'!$G$54,'Progetto del paramento slu'!$G$53)*IF(M2438&lt;0,-1,1)</f>
        <v>0</v>
      </c>
      <c r="T2438" s="553">
        <f>'Foglio deposito bis'!$F$91*IF(ABS(N2438)&lt;'Progetto del paramento slu'!$G$58,ABS(N2438)*'Progetto del paramento slu'!$G$54,'Progetto del paramento slu'!$G$53)*IF(N2438&lt;0,-1,1)</f>
        <v>892485.49558937876</v>
      </c>
      <c r="U2438" s="553">
        <f>'Foglio deposito bis'!$F$92*IF(ABS(O2438)&lt;'Progetto del paramento slu'!$G$58,ABS(O2438)*'Progetto del paramento slu'!$G$54,'Progetto del paramento slu'!$G$53)*IF(O2438&lt;0,-1,1)</f>
        <v>1662039.1047339395</v>
      </c>
      <c r="V2438" s="479">
        <f t="shared" si="182"/>
        <v>706681.73882268253</v>
      </c>
      <c r="W2438" s="559"/>
      <c r="X2438" s="559"/>
    </row>
    <row r="2439" spans="1:24" x14ac:dyDescent="0.25">
      <c r="A2439" s="553">
        <f t="shared" si="181"/>
        <v>640077.23591417004</v>
      </c>
      <c r="B2439" s="3">
        <f t="shared" si="179"/>
        <v>33.899999999999942</v>
      </c>
      <c r="C2439" s="553">
        <f>'Foglio deposito bis'!$E$162/sezione!$B$247*B2439</f>
        <v>137.62252738888287</v>
      </c>
      <c r="D2439" s="611">
        <f>-'Progetto del paramento slu'!$G$47*'Progetto del paramento slu'!$G$41*IF(DATI!$G$218="dx",DATI!$E$61,DATI!$E$64*DATI!$E$63)*1000*C2439^2*sezione!$AD$5*(1-sezione!$AD$6)</f>
        <v>-155913746.54405782</v>
      </c>
      <c r="E2439" s="553">
        <f>-'Foglio deposito bis'!$F$88*(C2439-sezione!$AL$36)*IF(ABS(K2439)&lt;'Progetto del paramento slu'!$G$58,ABS(K2439)*'Progetto del paramento slu'!$G$54,'Progetto del paramento slu'!$G$53)</f>
        <v>0</v>
      </c>
      <c r="F2439" s="553">
        <f>-'Foglio deposito bis'!$F$89*(C2439-sezione!$AM$36)*IF(ABS(L2439)&lt;'Progetto del paramento slu'!$G$58,ABS(L2439)*'Progetto del paramento slu'!$G$54,'Progetto del paramento slu'!$G$53)</f>
        <v>315187.92359317082</v>
      </c>
      <c r="G2439" s="553">
        <f>-'Foglio deposito bis'!$F$90*(C2439-sezione!$AN$36)*IF(ABS(M2439)&lt;'Progetto del paramento slu'!$G$58,ABS(M2439)*'Progetto del paramento slu'!$G$54,'Progetto del paramento slu'!$G$53)</f>
        <v>0</v>
      </c>
      <c r="H2439" s="553">
        <f>-'Foglio deposito bis'!$F$91*(C2439-sezione!$AO$36)*IF(ABS(N2439)&lt;'Progetto del paramento slu'!$G$58,ABS(N2439)*'Progetto del paramento slu'!$G$54,'Progetto del paramento slu'!$G$53)</f>
        <v>180618958.93945879</v>
      </c>
      <c r="I2439" s="479">
        <f>-'Foglio deposito bis'!$F$92*(C2439-sezione!$AP$36)*IF(ABS(O2439)&lt;'Progetto del paramento slu'!$G$58,ABS(O2439)*'Progetto del paramento slu'!$G$54,'Progetto del paramento slu'!$G$53)</f>
        <v>203411087.38898033</v>
      </c>
      <c r="J2439" s="479">
        <f t="shared" si="180"/>
        <v>228431487.70797446</v>
      </c>
      <c r="K2439" s="558">
        <f>'Progetto del paramento slu'!$G$60*(sezione!$AL$36-C2439)/C2439</f>
        <v>-2.4827246842778939E-3</v>
      </c>
      <c r="L2439" s="558">
        <f>'Progetto del paramento slu'!$G$60*(sezione!$AM$36-C2439)/C2439</f>
        <v>3.1478243395789739E-4</v>
      </c>
      <c r="M2439" s="559">
        <f>'Progetto del paramento slu'!$G$60*(sezione!$AN$36-C2439)/C2439</f>
        <v>3.1122895521936891E-3</v>
      </c>
      <c r="N2439" s="559">
        <f>'Progetto del paramento slu'!$G$60*(sezione!$AO$36-C2439)/C2439</f>
        <v>5.1468401836379006E-3</v>
      </c>
      <c r="O2439" s="559">
        <f>'Progetto del paramento slu'!$G$60*(sezione!$AP$36-C2439)/C2439</f>
        <v>3.1125181946023853E-3</v>
      </c>
      <c r="P2439" s="553">
        <f>-'Progetto del paramento slu'!$G$47*'Progetto del paramento slu'!$G$41*IF(DATI!$G$218="dx",DATI!$E$61,DATI!$E$64*DATI!$E$63)*1000*C2439*sezione!$AD$5</f>
        <v>-1939912.0075956802</v>
      </c>
      <c r="Q2439" s="553">
        <f>'Foglio deposito bis'!$F$88*IF(ABS(K2439)&lt;'Progetto del paramento slu'!$G$58,ABS(K2439)*'Progetto del paramento slu'!$G$54,'Progetto del paramento slu'!$G$53)*IF(K2439&lt;0,-1,1)</f>
        <v>0</v>
      </c>
      <c r="R2439" s="553">
        <f>'Foglio deposito bis'!$F$89*IF(ABS(L2439)&lt;'Progetto del paramento slu'!$G$58,ABS(L2439)*'Progetto del paramento slu'!$G$54,'Progetto del paramento slu'!$G$53)*IF(L2439&lt;0,-1,1)</f>
        <v>25464.643186532048</v>
      </c>
      <c r="S2439" s="553">
        <f>'Foglio deposito bis'!$F$90*IF(ABS(M2439)&lt;'Progetto del paramento slu'!$G$58,ABS(M2439)*'Progetto del paramento slu'!$G$54,'Progetto del paramento slu'!$G$53)*IF(M2439&lt;0,-1,1)</f>
        <v>0</v>
      </c>
      <c r="T2439" s="553">
        <f>'Foglio deposito bis'!$F$91*IF(ABS(N2439)&lt;'Progetto del paramento slu'!$G$58,ABS(N2439)*'Progetto del paramento slu'!$G$54,'Progetto del paramento slu'!$G$53)*IF(N2439&lt;0,-1,1)</f>
        <v>892485.49558937876</v>
      </c>
      <c r="U2439" s="553">
        <f>'Foglio deposito bis'!$F$92*IF(ABS(O2439)&lt;'Progetto del paramento slu'!$G$58,ABS(O2439)*'Progetto del paramento slu'!$G$54,'Progetto del paramento slu'!$G$53)*IF(O2439&lt;0,-1,1)</f>
        <v>1662039.1047339395</v>
      </c>
      <c r="V2439" s="479">
        <f t="shared" si="182"/>
        <v>640077.23591417004</v>
      </c>
      <c r="W2439" s="559"/>
      <c r="X2439" s="559"/>
    </row>
    <row r="2440" spans="1:24" x14ac:dyDescent="0.25">
      <c r="A2440" s="553">
        <f t="shared" si="181"/>
        <v>574010.26652494585</v>
      </c>
      <c r="B2440" s="3">
        <f t="shared" si="179"/>
        <v>34.899999999999942</v>
      </c>
      <c r="C2440" s="553">
        <f>'Foglio deposito bis'!$E$162/sezione!$B$247*B2440</f>
        <v>141.68218896377618</v>
      </c>
      <c r="D2440" s="611">
        <f>-'Progetto del paramento slu'!$G$47*'Progetto del paramento slu'!$G$41*IF(DATI!$G$218="dx",DATI!$E$61,DATI!$E$64*DATI!$E$63)*1000*C2440^2*sezione!$AD$5*(1-sezione!$AD$6)</f>
        <v>-165247868.03815481</v>
      </c>
      <c r="E2440" s="553">
        <f>-'Foglio deposito bis'!$F$88*(C2440-sezione!$AL$36)*IF(ABS(K2440)&lt;'Progetto del paramento slu'!$G$58,ABS(K2440)*'Progetto del paramento slu'!$G$54,'Progetto del paramento slu'!$G$53)</f>
        <v>0</v>
      </c>
      <c r="F2440" s="553">
        <f>-'Foglio deposito bis'!$F$89*(C2440-sezione!$AM$36)*IF(ABS(L2440)&lt;'Progetto del paramento slu'!$G$58,ABS(L2440)*'Progetto del paramento slu'!$G$54,'Progetto del paramento slu'!$G$53)</f>
        <v>138260.45829755793</v>
      </c>
      <c r="G2440" s="553">
        <f>-'Foglio deposito bis'!$F$90*(C2440-sezione!$AN$36)*IF(ABS(M2440)&lt;'Progetto del paramento slu'!$G$58,ABS(M2440)*'Progetto del paramento slu'!$G$54,'Progetto del paramento slu'!$G$53)</f>
        <v>0</v>
      </c>
      <c r="H2440" s="553">
        <f>-'Foglio deposito bis'!$F$91*(C2440-sezione!$AO$36)*IF(ABS(N2440)&lt;'Progetto del paramento slu'!$G$58,ABS(N2440)*'Progetto del paramento slu'!$G$54,'Progetto del paramento slu'!$G$53)</f>
        <v>176995769.86686498</v>
      </c>
      <c r="I2440" s="479">
        <f>-'Foglio deposito bis'!$F$92*(C2440-sezione!$AP$36)*IF(ABS(O2440)&lt;'Progetto del paramento slu'!$G$58,ABS(O2440)*'Progetto del paramento slu'!$G$54,'Progetto del paramento slu'!$G$53)</f>
        <v>196663771.09952188</v>
      </c>
      <c r="J2440" s="479">
        <f t="shared" si="180"/>
        <v>208549933.38652959</v>
      </c>
      <c r="K2440" s="558">
        <f>'Progetto del paramento slu'!$G$60*(sezione!$AL$36-C2440)/C2440</f>
        <v>-2.5118729741266652E-3</v>
      </c>
      <c r="L2440" s="558">
        <f>'Progetto del paramento slu'!$G$60*(sezione!$AM$36-C2440)/C2440</f>
        <v>2.0547634702500604E-4</v>
      </c>
      <c r="M2440" s="559">
        <f>'Progetto del paramento slu'!$G$60*(sezione!$AN$36-C2440)/C2440</f>
        <v>2.9228256681766772E-3</v>
      </c>
      <c r="N2440" s="559">
        <f>'Progetto del paramento slu'!$G$60*(sezione!$AO$36-C2440)/C2440</f>
        <v>4.8990797199233473E-3</v>
      </c>
      <c r="O2440" s="559">
        <f>'Progetto del paramento slu'!$G$60*(sezione!$AP$36-C2440)/C2440</f>
        <v>2.9230477592269584E-3</v>
      </c>
      <c r="P2440" s="553">
        <f>-'Progetto del paramento slu'!$G$47*'Progetto del paramento slu'!$G$41*IF(DATI!$G$218="dx",DATI!$E$61,DATI!$E$64*DATI!$E$63)*1000*C2440*sezione!$AD$5</f>
        <v>-1997136.5505926032</v>
      </c>
      <c r="Q2440" s="553">
        <f>'Foglio deposito bis'!$F$88*IF(ABS(K2440)&lt;'Progetto del paramento slu'!$G$58,ABS(K2440)*'Progetto del paramento slu'!$G$54,'Progetto del paramento slu'!$G$53)*IF(K2440&lt;0,-1,1)</f>
        <v>0</v>
      </c>
      <c r="R2440" s="553">
        <f>'Foglio deposito bis'!$F$89*IF(ABS(L2440)&lt;'Progetto del paramento slu'!$G$58,ABS(L2440)*'Progetto del paramento slu'!$G$54,'Progetto del paramento slu'!$G$53)*IF(L2440&lt;0,-1,1)</f>
        <v>16622.216794230815</v>
      </c>
      <c r="S2440" s="553">
        <f>'Foglio deposito bis'!$F$90*IF(ABS(M2440)&lt;'Progetto del paramento slu'!$G$58,ABS(M2440)*'Progetto del paramento slu'!$G$54,'Progetto del paramento slu'!$G$53)*IF(M2440&lt;0,-1,1)</f>
        <v>0</v>
      </c>
      <c r="T2440" s="553">
        <f>'Foglio deposito bis'!$F$91*IF(ABS(N2440)&lt;'Progetto del paramento slu'!$G$58,ABS(N2440)*'Progetto del paramento slu'!$G$54,'Progetto del paramento slu'!$G$53)*IF(N2440&lt;0,-1,1)</f>
        <v>892485.49558937876</v>
      </c>
      <c r="U2440" s="553">
        <f>'Foglio deposito bis'!$F$92*IF(ABS(O2440)&lt;'Progetto del paramento slu'!$G$58,ABS(O2440)*'Progetto del paramento slu'!$G$54,'Progetto del paramento slu'!$G$53)*IF(O2440&lt;0,-1,1)</f>
        <v>1662039.1047339395</v>
      </c>
      <c r="V2440" s="479">
        <f t="shared" si="182"/>
        <v>574010.26652494585</v>
      </c>
      <c r="W2440" s="559"/>
      <c r="X2440" s="559"/>
    </row>
    <row r="2441" spans="1:24" x14ac:dyDescent="0.25">
      <c r="A2441" s="553">
        <f t="shared" si="181"/>
        <v>508435.91141941561</v>
      </c>
      <c r="B2441" s="3">
        <f t="shared" si="179"/>
        <v>35.899999999999942</v>
      </c>
      <c r="C2441" s="553">
        <f>'Foglio deposito bis'!$E$162/sezione!$B$247*B2441</f>
        <v>145.7418505386695</v>
      </c>
      <c r="D2441" s="611">
        <f>-'Progetto del paramento slu'!$G$47*'Progetto del paramento slu'!$G$41*IF(DATI!$G$218="dx",DATI!$E$61,DATI!$E$64*DATI!$E$63)*1000*C2441^2*sezione!$AD$5*(1-sezione!$AD$6)</f>
        <v>-174853330.2733593</v>
      </c>
      <c r="E2441" s="553">
        <f>-'Foglio deposito bis'!$F$88*(C2441-sezione!$AL$36)*IF(ABS(K2441)&lt;'Progetto del paramento slu'!$G$58,ABS(K2441)*'Progetto del paramento slu'!$G$54,'Progetto del paramento slu'!$G$53)</f>
        <v>0</v>
      </c>
      <c r="F2441" s="553">
        <f>-'Foglio deposito bis'!$F$89*(C2441-sezione!$AM$36)*IF(ABS(L2441)&lt;'Progetto del paramento slu'!$G$58,ABS(L2441)*'Progetto del paramento slu'!$G$54,'Progetto del paramento slu'!$G$53)</f>
        <v>35225.135555994566</v>
      </c>
      <c r="G2441" s="553">
        <f>-'Foglio deposito bis'!$F$90*(C2441-sezione!$AN$36)*IF(ABS(M2441)&lt;'Progetto del paramento slu'!$G$58,ABS(M2441)*'Progetto del paramento slu'!$G$54,'Progetto del paramento slu'!$G$53)</f>
        <v>0</v>
      </c>
      <c r="H2441" s="553">
        <f>-'Foglio deposito bis'!$F$91*(C2441-sezione!$AO$36)*IF(ABS(N2441)&lt;'Progetto del paramento slu'!$G$58,ABS(N2441)*'Progetto del paramento slu'!$G$54,'Progetto del paramento slu'!$G$53)</f>
        <v>173372580.79427117</v>
      </c>
      <c r="I2441" s="479">
        <f>-'Foglio deposito bis'!$F$92*(C2441-sezione!$AP$36)*IF(ABS(O2441)&lt;'Progetto del paramento slu'!$G$58,ABS(O2441)*'Progetto del paramento slu'!$G$54,'Progetto del paramento slu'!$G$53)</f>
        <v>189916454.81006342</v>
      </c>
      <c r="J2441" s="479">
        <f t="shared" si="180"/>
        <v>188470930.46653128</v>
      </c>
      <c r="K2441" s="558">
        <f>'Progetto del paramento slu'!$G$60*(sezione!$AL$36-C2441)/C2441</f>
        <v>-2.5393974038167301E-3</v>
      </c>
      <c r="L2441" s="558">
        <f>'Progetto del paramento slu'!$G$60*(sezione!$AM$36-C2441)/C2441</f>
        <v>1.0225973568726185E-4</v>
      </c>
      <c r="M2441" s="559">
        <f>'Progetto del paramento slu'!$G$60*(sezione!$AN$36-C2441)/C2441</f>
        <v>2.743916875191254E-3</v>
      </c>
      <c r="N2441" s="559">
        <f>'Progetto del paramento slu'!$G$60*(sezione!$AO$36-C2441)/C2441</f>
        <v>4.6651220675577934E-3</v>
      </c>
      <c r="O2441" s="559">
        <f>'Progetto del paramento slu'!$G$60*(sezione!$AP$36-C2441)/C2441</f>
        <v>2.7441327798613047E-3</v>
      </c>
      <c r="P2441" s="553">
        <f>-'Progetto del paramento slu'!$G$47*'Progetto del paramento slu'!$G$41*IF(DATI!$G$218="dx",DATI!$E$61,DATI!$E$64*DATI!$E$63)*1000*C2441*sezione!$AD$5</f>
        <v>-2054361.0935895259</v>
      </c>
      <c r="Q2441" s="553">
        <f>'Foglio deposito bis'!$F$88*IF(ABS(K2441)&lt;'Progetto del paramento slu'!$G$58,ABS(K2441)*'Progetto del paramento slu'!$G$54,'Progetto del paramento slu'!$G$53)*IF(K2441&lt;0,-1,1)</f>
        <v>0</v>
      </c>
      <c r="R2441" s="553">
        <f>'Foglio deposito bis'!$F$89*IF(ABS(L2441)&lt;'Progetto del paramento slu'!$G$58,ABS(L2441)*'Progetto del paramento slu'!$G$54,'Progetto del paramento slu'!$G$53)*IF(L2441&lt;0,-1,1)</f>
        <v>8272.4046856232471</v>
      </c>
      <c r="S2441" s="553">
        <f>'Foglio deposito bis'!$F$90*IF(ABS(M2441)&lt;'Progetto del paramento slu'!$G$58,ABS(M2441)*'Progetto del paramento slu'!$G$54,'Progetto del paramento slu'!$G$53)*IF(M2441&lt;0,-1,1)</f>
        <v>0</v>
      </c>
      <c r="T2441" s="553">
        <f>'Foglio deposito bis'!$F$91*IF(ABS(N2441)&lt;'Progetto del paramento slu'!$G$58,ABS(N2441)*'Progetto del paramento slu'!$G$54,'Progetto del paramento slu'!$G$53)*IF(N2441&lt;0,-1,1)</f>
        <v>892485.49558937876</v>
      </c>
      <c r="U2441" s="553">
        <f>'Foglio deposito bis'!$F$92*IF(ABS(O2441)&lt;'Progetto del paramento slu'!$G$58,ABS(O2441)*'Progetto del paramento slu'!$G$54,'Progetto del paramento slu'!$G$53)*IF(O2441&lt;0,-1,1)</f>
        <v>1662039.1047339395</v>
      </c>
      <c r="V2441" s="479">
        <f t="shared" si="182"/>
        <v>508435.91141941561</v>
      </c>
      <c r="W2441" s="559"/>
      <c r="X2441" s="559"/>
    </row>
    <row r="2442" spans="1:24" x14ac:dyDescent="0.25">
      <c r="A2442" s="553">
        <f t="shared" si="181"/>
        <v>443314.12065581535</v>
      </c>
      <c r="B2442" s="3">
        <f t="shared" si="179"/>
        <v>36.899999999999942</v>
      </c>
      <c r="C2442" s="553">
        <f>'Foglio deposito bis'!$E$162/sezione!$B$247*B2442</f>
        <v>149.80151211356281</v>
      </c>
      <c r="D2442" s="611">
        <f>-'Progetto del paramento slu'!$G$47*'Progetto del paramento slu'!$G$41*IF(DATI!$G$218="dx",DATI!$E$61,DATI!$E$64*DATI!$E$63)*1000*C2442^2*sezione!$AD$5*(1-sezione!$AD$6)</f>
        <v>-184730133.24967125</v>
      </c>
      <c r="E2442" s="553">
        <f>-'Foglio deposito bis'!$F$88*(C2442-sezione!$AL$36)*IF(ABS(K2442)&lt;'Progetto del paramento slu'!$G$58,ABS(K2442)*'Progetto del paramento slu'!$G$54,'Progetto del paramento slu'!$G$53)</f>
        <v>0</v>
      </c>
      <c r="F2442" s="553">
        <f>-'Foglio deposito bis'!$F$89*(C2442-sezione!$AM$36)*IF(ABS(L2442)&lt;'Progetto del paramento slu'!$G$58,ABS(L2442)*'Progetto del paramento slu'!$G$54,'Progetto del paramento slu'!$G$53)</f>
        <v>74.464103923806888</v>
      </c>
      <c r="G2442" s="553">
        <f>-'Foglio deposito bis'!$F$90*(C2442-sezione!$AN$36)*IF(ABS(M2442)&lt;'Progetto del paramento slu'!$G$58,ABS(M2442)*'Progetto del paramento slu'!$G$54,'Progetto del paramento slu'!$G$53)</f>
        <v>0</v>
      </c>
      <c r="H2442" s="553">
        <f>-'Foglio deposito bis'!$F$91*(C2442-sezione!$AO$36)*IF(ABS(N2442)&lt;'Progetto del paramento slu'!$G$58,ABS(N2442)*'Progetto del paramento slu'!$G$54,'Progetto del paramento slu'!$G$53)</f>
        <v>169749391.72167736</v>
      </c>
      <c r="I2442" s="479">
        <f>-'Foglio deposito bis'!$F$92*(C2442-sezione!$AP$36)*IF(ABS(O2442)&lt;'Progetto del paramento slu'!$G$58,ABS(O2442)*'Progetto del paramento slu'!$G$54,'Progetto del paramento slu'!$G$53)</f>
        <v>183169138.52060497</v>
      </c>
      <c r="J2442" s="479">
        <f t="shared" si="180"/>
        <v>168188471.45671502</v>
      </c>
      <c r="K2442" s="558">
        <f>'Progetto del paramento slu'!$G$60*(sezione!$AL$36-C2442)/C2442</f>
        <v>-2.5654299944992041E-3</v>
      </c>
      <c r="L2442" s="558">
        <f>'Progetto del paramento slu'!$G$60*(sezione!$AM$36-C2442)/C2442</f>
        <v>4.6375206279862026E-6</v>
      </c>
      <c r="M2442" s="559">
        <f>'Progetto del paramento slu'!$G$60*(sezione!$AN$36-C2442)/C2442</f>
        <v>2.5747050357551762E-3</v>
      </c>
      <c r="N2442" s="559">
        <f>'Progetto del paramento slu'!$G$60*(sezione!$AO$36-C2442)/C2442</f>
        <v>4.4438450467567687E-3</v>
      </c>
      <c r="O2442" s="559">
        <f>'Progetto del paramento slu'!$G$60*(sezione!$AP$36-C2442)/C2442</f>
        <v>2.5749150893501576E-3</v>
      </c>
      <c r="P2442" s="553">
        <f>-'Progetto del paramento slu'!$G$47*'Progetto del paramento slu'!$G$41*IF(DATI!$G$218="dx",DATI!$E$61,DATI!$E$64*DATI!$E$63)*1000*C2442*sezione!$AD$5</f>
        <v>-2111585.6365864486</v>
      </c>
      <c r="Q2442" s="553">
        <f>'Foglio deposito bis'!$F$88*IF(ABS(K2442)&lt;'Progetto del paramento slu'!$G$58,ABS(K2442)*'Progetto del paramento slu'!$G$54,'Progetto del paramento slu'!$G$53)*IF(K2442&lt;0,-1,1)</f>
        <v>0</v>
      </c>
      <c r="R2442" s="553">
        <f>'Foglio deposito bis'!$F$89*IF(ABS(L2442)&lt;'Progetto del paramento slu'!$G$58,ABS(L2442)*'Progetto del paramento slu'!$G$54,'Progetto del paramento slu'!$G$53)*IF(L2442&lt;0,-1,1)</f>
        <v>375.15691894562883</v>
      </c>
      <c r="S2442" s="553">
        <f>'Foglio deposito bis'!$F$90*IF(ABS(M2442)&lt;'Progetto del paramento slu'!$G$58,ABS(M2442)*'Progetto del paramento slu'!$G$54,'Progetto del paramento slu'!$G$53)*IF(M2442&lt;0,-1,1)</f>
        <v>0</v>
      </c>
      <c r="T2442" s="553">
        <f>'Foglio deposito bis'!$F$91*IF(ABS(N2442)&lt;'Progetto del paramento slu'!$G$58,ABS(N2442)*'Progetto del paramento slu'!$G$54,'Progetto del paramento slu'!$G$53)*IF(N2442&lt;0,-1,1)</f>
        <v>892485.49558937876</v>
      </c>
      <c r="U2442" s="553">
        <f>'Foglio deposito bis'!$F$92*IF(ABS(O2442)&lt;'Progetto del paramento slu'!$G$58,ABS(O2442)*'Progetto del paramento slu'!$G$54,'Progetto del paramento slu'!$G$53)*IF(O2442&lt;0,-1,1)</f>
        <v>1662039.1047339395</v>
      </c>
      <c r="V2442" s="479">
        <f t="shared" si="182"/>
        <v>443314.12065581535</v>
      </c>
      <c r="W2442" s="559"/>
      <c r="X2442" s="559"/>
    </row>
    <row r="2443" spans="1:24" x14ac:dyDescent="0.25">
      <c r="A2443" s="553">
        <f t="shared" si="181"/>
        <v>378609.07119916356</v>
      </c>
      <c r="B2443" s="3">
        <f t="shared" si="179"/>
        <v>37.899999999999942</v>
      </c>
      <c r="C2443" s="553">
        <f>'Foglio deposito bis'!$E$162/sezione!$B$247*B2443</f>
        <v>153.86117368845612</v>
      </c>
      <c r="D2443" s="611">
        <f>-'Progetto del paramento slu'!$G$47*'Progetto del paramento slu'!$G$41*IF(DATI!$G$218="dx",DATI!$E$61,DATI!$E$64*DATI!$E$63)*1000*C2443^2*sezione!$AD$5*(1-sezione!$AD$6)</f>
        <v>-194878276.96709067</v>
      </c>
      <c r="E2443" s="553">
        <f>-'Foglio deposito bis'!$F$88*(C2443-sezione!$AL$36)*IF(ABS(K2443)&lt;'Progetto del paramento slu'!$G$58,ABS(K2443)*'Progetto del paramento slu'!$G$54,'Progetto del paramento slu'!$G$53)</f>
        <v>0</v>
      </c>
      <c r="F2443" s="553">
        <f>-'Foglio deposito bis'!$F$89*(C2443-sezione!$AM$36)*IF(ABS(L2443)&lt;'Progetto del paramento slu'!$G$58,ABS(L2443)*'Progetto del paramento slu'!$G$54,'Progetto del paramento slu'!$G$53)</f>
        <v>-27434.988694156258</v>
      </c>
      <c r="G2443" s="553">
        <f>-'Foglio deposito bis'!$F$90*(C2443-sezione!$AN$36)*IF(ABS(M2443)&lt;'Progetto del paramento slu'!$G$58,ABS(M2443)*'Progetto del paramento slu'!$G$54,'Progetto del paramento slu'!$G$53)</f>
        <v>0</v>
      </c>
      <c r="H2443" s="553">
        <f>-'Foglio deposito bis'!$F$91*(C2443-sezione!$AO$36)*IF(ABS(N2443)&lt;'Progetto del paramento slu'!$G$58,ABS(N2443)*'Progetto del paramento slu'!$G$54,'Progetto del paramento slu'!$G$53)</f>
        <v>166126202.64908355</v>
      </c>
      <c r="I2443" s="479">
        <f>-'Foglio deposito bis'!$F$92*(C2443-sezione!$AP$36)*IF(ABS(O2443)&lt;'Progetto del paramento slu'!$G$58,ABS(O2443)*'Progetto del paramento slu'!$G$54,'Progetto del paramento slu'!$G$53)</f>
        <v>176421822.23114651</v>
      </c>
      <c r="J2443" s="479">
        <f t="shared" si="180"/>
        <v>147642312.92444524</v>
      </c>
      <c r="K2443" s="558">
        <f>'Progetto del paramento slu'!$G$60*(sezione!$AL$36-C2443)/C2443</f>
        <v>-2.5900888336944754E-3</v>
      </c>
      <c r="L2443" s="558">
        <f>'Progetto del paramento slu'!$G$60*(sezione!$AM$36-C2443)/C2443</f>
        <v>-8.7833126354282801E-5</v>
      </c>
      <c r="M2443" s="559">
        <f>'Progetto del paramento slu'!$G$60*(sezione!$AN$36-C2443)/C2443</f>
        <v>2.4144225809859098E-3</v>
      </c>
      <c r="N2443" s="559">
        <f>'Progetto del paramento slu'!$G$60*(sezione!$AO$36-C2443)/C2443</f>
        <v>4.2342449135969592E-3</v>
      </c>
      <c r="O2443" s="559">
        <f>'Progetto del paramento slu'!$G$60*(sezione!$AP$36-C2443)/C2443</f>
        <v>2.4146270922696779E-3</v>
      </c>
      <c r="P2443" s="553">
        <f>-'Progetto del paramento slu'!$G$47*'Progetto del paramento slu'!$G$41*IF(DATI!$G$218="dx",DATI!$E$61,DATI!$E$64*DATI!$E$63)*1000*C2443*sezione!$AD$5</f>
        <v>-2168810.1795833716</v>
      </c>
      <c r="Q2443" s="553">
        <f>'Foglio deposito bis'!$F$88*IF(ABS(K2443)&lt;'Progetto del paramento slu'!$G$58,ABS(K2443)*'Progetto del paramento slu'!$G$54,'Progetto del paramento slu'!$G$53)*IF(K2443&lt;0,-1,1)</f>
        <v>0</v>
      </c>
      <c r="R2443" s="553">
        <f>'Foglio deposito bis'!$F$89*IF(ABS(L2443)&lt;'Progetto del paramento slu'!$G$58,ABS(L2443)*'Progetto del paramento slu'!$G$54,'Progetto del paramento slu'!$G$53)*IF(L2443&lt;0,-1,1)</f>
        <v>-7105.3495407833016</v>
      </c>
      <c r="S2443" s="553">
        <f>'Foglio deposito bis'!$F$90*IF(ABS(M2443)&lt;'Progetto del paramento slu'!$G$58,ABS(M2443)*'Progetto del paramento slu'!$G$54,'Progetto del paramento slu'!$G$53)*IF(M2443&lt;0,-1,1)</f>
        <v>0</v>
      </c>
      <c r="T2443" s="553">
        <f>'Foglio deposito bis'!$F$91*IF(ABS(N2443)&lt;'Progetto del paramento slu'!$G$58,ABS(N2443)*'Progetto del paramento slu'!$G$54,'Progetto del paramento slu'!$G$53)*IF(N2443&lt;0,-1,1)</f>
        <v>892485.49558937876</v>
      </c>
      <c r="U2443" s="553">
        <f>'Foglio deposito bis'!$F$92*IF(ABS(O2443)&lt;'Progetto del paramento slu'!$G$58,ABS(O2443)*'Progetto del paramento slu'!$G$54,'Progetto del paramento slu'!$G$53)*IF(O2443&lt;0,-1,1)</f>
        <v>1662039.1047339395</v>
      </c>
      <c r="V2443" s="479">
        <f t="shared" si="182"/>
        <v>378609.07119916356</v>
      </c>
      <c r="W2443" s="559"/>
      <c r="X2443" s="559"/>
    </row>
    <row r="2444" spans="1:24" x14ac:dyDescent="0.25">
      <c r="A2444" s="553">
        <f t="shared" si="181"/>
        <v>314288.62361704768</v>
      </c>
      <c r="B2444" s="3">
        <f t="shared" si="179"/>
        <v>38.899999999999942</v>
      </c>
      <c r="C2444" s="553">
        <f>'Foglio deposito bis'!$E$162/sezione!$B$247*B2444</f>
        <v>157.92083526334943</v>
      </c>
      <c r="D2444" s="611">
        <f>-'Progetto del paramento slu'!$G$47*'Progetto del paramento slu'!$G$41*IF(DATI!$G$218="dx",DATI!$E$61,DATI!$E$64*DATI!$E$63)*1000*C2444^2*sezione!$AD$5*(1-sezione!$AD$6)</f>
        <v>-205297761.42561755</v>
      </c>
      <c r="E2444" s="553">
        <f>-'Foglio deposito bis'!$F$88*(C2444-sezione!$AL$36)*IF(ABS(K2444)&lt;'Progetto del paramento slu'!$G$58,ABS(K2444)*'Progetto del paramento slu'!$G$54,'Progetto del paramento slu'!$G$53)</f>
        <v>0</v>
      </c>
      <c r="F2444" s="553">
        <f>-'Foglio deposito bis'!$F$89*(C2444-sezione!$AM$36)*IF(ABS(L2444)&lt;'Progetto del paramento slu'!$G$58,ABS(L2444)*'Progetto del paramento slu'!$G$54,'Progetto del paramento slu'!$G$53)</f>
        <v>-112485.79446481763</v>
      </c>
      <c r="G2444" s="553">
        <f>-'Foglio deposito bis'!$F$90*(C2444-sezione!$AN$36)*IF(ABS(M2444)&lt;'Progetto del paramento slu'!$G$58,ABS(M2444)*'Progetto del paramento slu'!$G$54,'Progetto del paramento slu'!$G$53)</f>
        <v>0</v>
      </c>
      <c r="H2444" s="553">
        <f>-'Foglio deposito bis'!$F$91*(C2444-sezione!$AO$36)*IF(ABS(N2444)&lt;'Progetto del paramento slu'!$G$58,ABS(N2444)*'Progetto del paramento slu'!$G$54,'Progetto del paramento slu'!$G$53)</f>
        <v>162503013.57648975</v>
      </c>
      <c r="I2444" s="479">
        <f>-'Foglio deposito bis'!$F$92*(C2444-sezione!$AP$36)*IF(ABS(O2444)&lt;'Progetto del paramento slu'!$G$58,ABS(O2444)*'Progetto del paramento slu'!$G$54,'Progetto del paramento slu'!$G$53)</f>
        <v>169674505.94168806</v>
      </c>
      <c r="J2444" s="479">
        <f t="shared" si="180"/>
        <v>126767272.29809543</v>
      </c>
      <c r="K2444" s="558">
        <f>'Progetto del paramento slu'!$G$60*(sezione!$AL$36-C2444)/C2444</f>
        <v>-2.6134798662473166E-3</v>
      </c>
      <c r="L2444" s="558">
        <f>'Progetto del paramento slu'!$G$60*(sezione!$AM$36-C2444)/C2444</f>
        <v>-1.7554949842743772E-4</v>
      </c>
      <c r="M2444" s="559">
        <f>'Progetto del paramento slu'!$G$60*(sezione!$AN$36-C2444)/C2444</f>
        <v>2.2623808693924413E-3</v>
      </c>
      <c r="N2444" s="559">
        <f>'Progetto del paramento slu'!$G$60*(sezione!$AO$36-C2444)/C2444</f>
        <v>4.0354211368978082E-3</v>
      </c>
      <c r="O2444" s="559">
        <f>'Progetto del paramento slu'!$G$60*(sezione!$AP$36-C2444)/C2444</f>
        <v>2.2625801233167294E-3</v>
      </c>
      <c r="P2444" s="553">
        <f>-'Progetto del paramento slu'!$G$47*'Progetto del paramento slu'!$G$41*IF(DATI!$G$218="dx",DATI!$E$61,DATI!$E$64*DATI!$E$63)*1000*C2444*sezione!$AD$5</f>
        <v>-2226034.7225802946</v>
      </c>
      <c r="Q2444" s="553">
        <f>'Foglio deposito bis'!$F$88*IF(ABS(K2444)&lt;'Progetto del paramento slu'!$G$58,ABS(K2444)*'Progetto del paramento slu'!$G$54,'Progetto del paramento slu'!$G$53)*IF(K2444&lt;0,-1,1)</f>
        <v>0</v>
      </c>
      <c r="R2444" s="553">
        <f>'Foglio deposito bis'!$F$89*IF(ABS(L2444)&lt;'Progetto del paramento slu'!$G$58,ABS(L2444)*'Progetto del paramento slu'!$G$54,'Progetto del paramento slu'!$G$53)*IF(L2444&lt;0,-1,1)</f>
        <v>-14201.25412597604</v>
      </c>
      <c r="S2444" s="553">
        <f>'Foglio deposito bis'!$F$90*IF(ABS(M2444)&lt;'Progetto del paramento slu'!$G$58,ABS(M2444)*'Progetto del paramento slu'!$G$54,'Progetto del paramento slu'!$G$53)*IF(M2444&lt;0,-1,1)</f>
        <v>0</v>
      </c>
      <c r="T2444" s="553">
        <f>'Foglio deposito bis'!$F$91*IF(ABS(N2444)&lt;'Progetto del paramento slu'!$G$58,ABS(N2444)*'Progetto del paramento slu'!$G$54,'Progetto del paramento slu'!$G$53)*IF(N2444&lt;0,-1,1)</f>
        <v>892485.49558937876</v>
      </c>
      <c r="U2444" s="553">
        <f>'Foglio deposito bis'!$F$92*IF(ABS(O2444)&lt;'Progetto del paramento slu'!$G$58,ABS(O2444)*'Progetto del paramento slu'!$G$54,'Progetto del paramento slu'!$G$53)*IF(O2444&lt;0,-1,1)</f>
        <v>1662039.1047339395</v>
      </c>
      <c r="V2444" s="479">
        <f t="shared" si="182"/>
        <v>314288.62361704768</v>
      </c>
      <c r="W2444" s="559"/>
      <c r="X2444" s="559"/>
    </row>
    <row r="2445" spans="1:24" x14ac:dyDescent="0.25">
      <c r="A2445" s="553">
        <f t="shared" si="181"/>
        <v>250323.86047529313</v>
      </c>
      <c r="B2445" s="3">
        <f t="shared" si="179"/>
        <v>39.899999999999942</v>
      </c>
      <c r="C2445" s="553">
        <f>'Foglio deposito bis'!$E$162/sezione!$B$247*B2445</f>
        <v>161.98049683824271</v>
      </c>
      <c r="D2445" s="611">
        <f>-'Progetto del paramento slu'!$G$47*'Progetto del paramento slu'!$G$41*IF(DATI!$G$218="dx",DATI!$E$61,DATI!$E$64*DATI!$E$63)*1000*C2445^2*sezione!$AD$5*(1-sezione!$AD$6)</f>
        <v>-215988586.6252518</v>
      </c>
      <c r="E2445" s="553">
        <f>-'Foglio deposito bis'!$F$88*(C2445-sezione!$AL$36)*IF(ABS(K2445)&lt;'Progetto del paramento slu'!$G$58,ABS(K2445)*'Progetto del paramento slu'!$G$54,'Progetto del paramento slu'!$G$53)</f>
        <v>0</v>
      </c>
      <c r="F2445" s="553">
        <f>-'Foglio deposito bis'!$F$89*(C2445-sezione!$AM$36)*IF(ABS(L2445)&lt;'Progetto del paramento slu'!$G$58,ABS(L2445)*'Progetto del paramento slu'!$G$54,'Progetto del paramento slu'!$G$53)</f>
        <v>-250889.26628955867</v>
      </c>
      <c r="G2445" s="553">
        <f>-'Foglio deposito bis'!$F$90*(C2445-sezione!$AN$36)*IF(ABS(M2445)&lt;'Progetto del paramento slu'!$G$58,ABS(M2445)*'Progetto del paramento slu'!$G$54,'Progetto del paramento slu'!$G$53)</f>
        <v>0</v>
      </c>
      <c r="H2445" s="553">
        <f>-'Foglio deposito bis'!$F$91*(C2445-sezione!$AO$36)*IF(ABS(N2445)&lt;'Progetto del paramento slu'!$G$58,ABS(N2445)*'Progetto del paramento slu'!$G$54,'Progetto del paramento slu'!$G$53)</f>
        <v>158879824.50389594</v>
      </c>
      <c r="I2445" s="479">
        <f>-'Foglio deposito bis'!$F$92*(C2445-sezione!$AP$36)*IF(ABS(O2445)&lt;'Progetto del paramento slu'!$G$58,ABS(O2445)*'Progetto del paramento slu'!$G$54,'Progetto del paramento slu'!$G$53)</f>
        <v>162927189.65222964</v>
      </c>
      <c r="J2445" s="479">
        <f t="shared" si="180"/>
        <v>105567538.26458421</v>
      </c>
      <c r="K2445" s="558">
        <f>'Progetto del paramento slu'!$G$60*(sezione!$AL$36-C2445)/C2445</f>
        <v>-2.6356984159654289E-3</v>
      </c>
      <c r="L2445" s="558">
        <f>'Progetto del paramento slu'!$G$60*(sezione!$AM$36-C2445)/C2445</f>
        <v>-2.5886905987035868E-4</v>
      </c>
      <c r="M2445" s="559">
        <f>'Progetto del paramento slu'!$G$60*(sezione!$AN$36-C2445)/C2445</f>
        <v>2.1179602962247118E-3</v>
      </c>
      <c r="N2445" s="559">
        <f>'Progetto del paramento slu'!$G$60*(sezione!$AO$36-C2445)/C2445</f>
        <v>3.8465634642938537E-3</v>
      </c>
      <c r="O2445" s="559">
        <f>'Progetto del paramento slu'!$G$60*(sezione!$AP$36-C2445)/C2445</f>
        <v>2.1181545563163109E-3</v>
      </c>
      <c r="P2445" s="553">
        <f>-'Progetto del paramento slu'!$G$47*'Progetto del paramento slu'!$G$41*IF(DATI!$G$218="dx",DATI!$E$61,DATI!$E$64*DATI!$E$63)*1000*C2445*sezione!$AD$5</f>
        <v>-2283259.2655772171</v>
      </c>
      <c r="Q2445" s="553">
        <f>'Foglio deposito bis'!$F$88*IF(ABS(K2445)&lt;'Progetto del paramento slu'!$G$58,ABS(K2445)*'Progetto del paramento slu'!$G$54,'Progetto del paramento slu'!$G$53)*IF(K2445&lt;0,-1,1)</f>
        <v>0</v>
      </c>
      <c r="R2445" s="553">
        <f>'Foglio deposito bis'!$F$89*IF(ABS(L2445)&lt;'Progetto del paramento slu'!$G$58,ABS(L2445)*'Progetto del paramento slu'!$G$54,'Progetto del paramento slu'!$G$53)*IF(L2445&lt;0,-1,1)</f>
        <v>-20941.474270808187</v>
      </c>
      <c r="S2445" s="553">
        <f>'Foglio deposito bis'!$F$90*IF(ABS(M2445)&lt;'Progetto del paramento slu'!$G$58,ABS(M2445)*'Progetto del paramento slu'!$G$54,'Progetto del paramento slu'!$G$53)*IF(M2445&lt;0,-1,1)</f>
        <v>0</v>
      </c>
      <c r="T2445" s="553">
        <f>'Foglio deposito bis'!$F$91*IF(ABS(N2445)&lt;'Progetto del paramento slu'!$G$58,ABS(N2445)*'Progetto del paramento slu'!$G$54,'Progetto del paramento slu'!$G$53)*IF(N2445&lt;0,-1,1)</f>
        <v>892485.49558937876</v>
      </c>
      <c r="U2445" s="553">
        <f>'Foglio deposito bis'!$F$92*IF(ABS(O2445)&lt;'Progetto del paramento slu'!$G$58,ABS(O2445)*'Progetto del paramento slu'!$G$54,'Progetto del paramento slu'!$G$53)*IF(O2445&lt;0,-1,1)</f>
        <v>1662039.1047339395</v>
      </c>
      <c r="V2445" s="479">
        <f t="shared" si="182"/>
        <v>250323.86047529313</v>
      </c>
      <c r="W2445" s="559"/>
      <c r="X2445" s="559"/>
    </row>
    <row r="2446" spans="1:24" x14ac:dyDescent="0.25">
      <c r="A2446" s="553">
        <f t="shared" si="181"/>
        <v>186688.69245064468</v>
      </c>
      <c r="B2446" s="3">
        <f t="shared" si="179"/>
        <v>40.899999999999942</v>
      </c>
      <c r="C2446" s="553">
        <f>'Foglio deposito bis'!$E$162/sezione!$B$247*B2446</f>
        <v>166.04015841313603</v>
      </c>
      <c r="D2446" s="611">
        <f>-'Progetto del paramento slu'!$G$47*'Progetto del paramento slu'!$G$41*IF(DATI!$G$218="dx",DATI!$E$61,DATI!$E$64*DATI!$E$63)*1000*C2446^2*sezione!$AD$5*(1-sezione!$AD$6)</f>
        <v>-226950752.56599364</v>
      </c>
      <c r="E2446" s="553">
        <f>-'Foglio deposito bis'!$F$88*(C2446-sezione!$AL$36)*IF(ABS(K2446)&lt;'Progetto del paramento slu'!$G$58,ABS(K2446)*'Progetto del paramento slu'!$G$54,'Progetto del paramento slu'!$G$53)</f>
        <v>0</v>
      </c>
      <c r="F2446" s="553">
        <f>-'Foglio deposito bis'!$F$89*(C2446-sezione!$AM$36)*IF(ABS(L2446)&lt;'Progetto del paramento slu'!$G$58,ABS(L2446)*'Progetto del paramento slu'!$G$54,'Progetto del paramento slu'!$G$53)</f>
        <v>-438732.00568030711</v>
      </c>
      <c r="G2446" s="553">
        <f>-'Foglio deposito bis'!$F$90*(C2446-sezione!$AN$36)*IF(ABS(M2446)&lt;'Progetto del paramento slu'!$G$58,ABS(M2446)*'Progetto del paramento slu'!$G$54,'Progetto del paramento slu'!$G$53)</f>
        <v>0</v>
      </c>
      <c r="H2446" s="553">
        <f>-'Foglio deposito bis'!$F$91*(C2446-sezione!$AO$36)*IF(ABS(N2446)&lt;'Progetto del paramento slu'!$G$58,ABS(N2446)*'Progetto del paramento slu'!$G$54,'Progetto del paramento slu'!$G$53)</f>
        <v>155256635.4313021</v>
      </c>
      <c r="I2446" s="479">
        <f>-'Foglio deposito bis'!$F$92*(C2446-sezione!$AP$36)*IF(ABS(O2446)&lt;'Progetto del paramento slu'!$G$58,ABS(O2446)*'Progetto del paramento slu'!$G$54,'Progetto del paramento slu'!$G$53)</f>
        <v>156179873.36277118</v>
      </c>
      <c r="J2446" s="479">
        <f t="shared" si="180"/>
        <v>84047024.222399354</v>
      </c>
      <c r="K2446" s="558">
        <f>'Progetto del paramento slu'!$G$60*(sezione!$AL$36-C2446)/C2446</f>
        <v>-2.656830484034734E-3</v>
      </c>
      <c r="L2446" s="558">
        <f>'Progetto del paramento slu'!$G$60*(sezione!$AM$36-C2446)/C2446</f>
        <v>-3.3811431513025233E-4</v>
      </c>
      <c r="M2446" s="559">
        <f>'Progetto del paramento slu'!$G$60*(sezione!$AN$36-C2446)/C2446</f>
        <v>1.9806018537742295E-3</v>
      </c>
      <c r="N2446" s="559">
        <f>'Progetto del paramento slu'!$G$60*(sezione!$AO$36-C2446)/C2446</f>
        <v>3.6669408857047617E-3</v>
      </c>
      <c r="O2446" s="559">
        <f>'Progetto del paramento slu'!$G$60*(sezione!$AP$36-C2446)/C2446</f>
        <v>1.9807913642303373E-3</v>
      </c>
      <c r="P2446" s="553">
        <f>-'Progetto del paramento slu'!$G$47*'Progetto del paramento slu'!$G$41*IF(DATI!$G$218="dx",DATI!$E$61,DATI!$E$64*DATI!$E$63)*1000*C2446*sezione!$AD$5</f>
        <v>-2340483.8085741401</v>
      </c>
      <c r="Q2446" s="553">
        <f>'Foglio deposito bis'!$F$88*IF(ABS(K2446)&lt;'Progetto del paramento slu'!$G$58,ABS(K2446)*'Progetto del paramento slu'!$G$54,'Progetto del paramento slu'!$G$53)*IF(K2446&lt;0,-1,1)</f>
        <v>0</v>
      </c>
      <c r="R2446" s="553">
        <f>'Foglio deposito bis'!$F$89*IF(ABS(L2446)&lt;'Progetto del paramento slu'!$G$58,ABS(L2446)*'Progetto del paramento slu'!$G$54,'Progetto del paramento slu'!$G$53)*IF(L2446&lt;0,-1,1)</f>
        <v>-27352.099298533682</v>
      </c>
      <c r="S2446" s="553">
        <f>'Foglio deposito bis'!$F$90*IF(ABS(M2446)&lt;'Progetto del paramento slu'!$G$58,ABS(M2446)*'Progetto del paramento slu'!$G$54,'Progetto del paramento slu'!$G$53)*IF(M2446&lt;0,-1,1)</f>
        <v>0</v>
      </c>
      <c r="T2446" s="553">
        <f>'Foglio deposito bis'!$F$91*IF(ABS(N2446)&lt;'Progetto del paramento slu'!$G$58,ABS(N2446)*'Progetto del paramento slu'!$G$54,'Progetto del paramento slu'!$G$53)*IF(N2446&lt;0,-1,1)</f>
        <v>892485.49558937876</v>
      </c>
      <c r="U2446" s="553">
        <f>'Foglio deposito bis'!$F$92*IF(ABS(O2446)&lt;'Progetto del paramento slu'!$G$58,ABS(O2446)*'Progetto del paramento slu'!$G$54,'Progetto del paramento slu'!$G$53)*IF(O2446&lt;0,-1,1)</f>
        <v>1662039.1047339395</v>
      </c>
      <c r="V2446" s="479">
        <f t="shared" si="182"/>
        <v>186688.69245064468</v>
      </c>
      <c r="W2446" s="559"/>
      <c r="X2446" s="559"/>
    </row>
    <row r="2447" spans="1:24" x14ac:dyDescent="0.25">
      <c r="A2447" s="553">
        <f t="shared" si="181"/>
        <v>80004.011637995252</v>
      </c>
      <c r="B2447" s="3">
        <f t="shared" si="179"/>
        <v>41.899999999999942</v>
      </c>
      <c r="C2447" s="553">
        <f>'Foglio deposito bis'!$E$162/sezione!$B$247*B2447</f>
        <v>170.09981998802934</v>
      </c>
      <c r="D2447" s="611">
        <f>-'Progetto del paramento slu'!$G$47*'Progetto del paramento slu'!$G$41*IF(DATI!$G$218="dx",DATI!$E$61,DATI!$E$64*DATI!$E$63)*1000*C2447^2*sezione!$AD$5*(1-sezione!$AD$6)</f>
        <v>-238184259.24784294</v>
      </c>
      <c r="E2447" s="553">
        <f>-'Foglio deposito bis'!$F$88*(C2447-sezione!$AL$36)*IF(ABS(K2447)&lt;'Progetto del paramento slu'!$G$58,ABS(K2447)*'Progetto del paramento slu'!$G$54,'Progetto del paramento slu'!$G$53)</f>
        <v>0</v>
      </c>
      <c r="F2447" s="553">
        <f>-'Foglio deposito bis'!$F$89*(C2447-sezione!$AM$36)*IF(ABS(L2447)&lt;'Progetto del paramento slu'!$G$58,ABS(L2447)*'Progetto del paramento slu'!$G$54,'Progetto del paramento slu'!$G$53)</f>
        <v>-672474.20827672735</v>
      </c>
      <c r="G2447" s="553">
        <f>-'Foglio deposito bis'!$F$90*(C2447-sezione!$AN$36)*IF(ABS(M2447)&lt;'Progetto del paramento slu'!$G$58,ABS(M2447)*'Progetto del paramento slu'!$G$54,'Progetto del paramento slu'!$G$53)</f>
        <v>0</v>
      </c>
      <c r="H2447" s="553">
        <f>-'Foglio deposito bis'!$F$91*(C2447-sezione!$AO$36)*IF(ABS(N2447)&lt;'Progetto del paramento slu'!$G$58,ABS(N2447)*'Progetto del paramento slu'!$G$54,'Progetto del paramento slu'!$G$53)</f>
        <v>151633446.35870829</v>
      </c>
      <c r="I2447" s="479">
        <f>-'Foglio deposito bis'!$F$92*(C2447-sezione!$AP$36)*IF(ABS(O2447)&lt;'Progetto del paramento slu'!$G$58,ABS(O2447)*'Progetto del paramento slu'!$G$54,'Progetto del paramento slu'!$G$53)</f>
        <v>145534499.20817655</v>
      </c>
      <c r="J2447" s="479">
        <f t="shared" si="180"/>
        <v>58311212.110765189</v>
      </c>
      <c r="K2447" s="558">
        <f>'Progetto del paramento slu'!$G$60*(sezione!$AL$36-C2447)/C2447</f>
        <v>-2.6769538615040722E-3</v>
      </c>
      <c r="L2447" s="558">
        <f>'Progetto del paramento slu'!$G$60*(sezione!$AM$36-C2447)/C2447</f>
        <v>-4.135769806402704E-4</v>
      </c>
      <c r="M2447" s="559">
        <f>'Progetto del paramento slu'!$G$60*(sezione!$AN$36-C2447)/C2447</f>
        <v>1.8497999002235312E-3</v>
      </c>
      <c r="N2447" s="559">
        <f>'Progetto del paramento slu'!$G$60*(sezione!$AO$36-C2447)/C2447</f>
        <v>3.4958921772153873E-3</v>
      </c>
      <c r="O2447" s="559">
        <f>'Progetto del paramento slu'!$G$60*(sezione!$AP$36-C2447)/C2447</f>
        <v>1.8499848877570593E-3</v>
      </c>
      <c r="P2447" s="553">
        <f>-'Progetto del paramento slu'!$G$47*'Progetto del paramento slu'!$G$41*IF(DATI!$G$218="dx",DATI!$E$61,DATI!$E$64*DATI!$E$63)*1000*C2447*sezione!$AD$5</f>
        <v>-2397708.351571063</v>
      </c>
      <c r="Q2447" s="553">
        <f>'Foglio deposito bis'!$F$88*IF(ABS(K2447)&lt;'Progetto del paramento slu'!$G$58,ABS(K2447)*'Progetto del paramento slu'!$G$54,'Progetto del paramento slu'!$G$53)*IF(K2447&lt;0,-1,1)</f>
        <v>0</v>
      </c>
      <c r="R2447" s="553">
        <f>'Foglio deposito bis'!$F$89*IF(ABS(L2447)&lt;'Progetto del paramento slu'!$G$58,ABS(L2447)*'Progetto del paramento slu'!$G$54,'Progetto del paramento slu'!$G$53)*IF(L2447&lt;0,-1,1)</f>
        <v>-33456.72790488803</v>
      </c>
      <c r="S2447" s="553">
        <f>'Foglio deposito bis'!$F$90*IF(ABS(M2447)&lt;'Progetto del paramento slu'!$G$58,ABS(M2447)*'Progetto del paramento slu'!$G$54,'Progetto del paramento slu'!$G$53)*IF(M2447&lt;0,-1,1)</f>
        <v>0</v>
      </c>
      <c r="T2447" s="553">
        <f>'Foglio deposito bis'!$F$91*IF(ABS(N2447)&lt;'Progetto del paramento slu'!$G$58,ABS(N2447)*'Progetto del paramento slu'!$G$54,'Progetto del paramento slu'!$G$53)*IF(N2447&lt;0,-1,1)</f>
        <v>892485.49558937876</v>
      </c>
      <c r="U2447" s="553">
        <f>'Foglio deposito bis'!$F$92*IF(ABS(O2447)&lt;'Progetto del paramento slu'!$G$58,ABS(O2447)*'Progetto del paramento slu'!$G$54,'Progetto del paramento slu'!$G$53)*IF(O2447&lt;0,-1,1)</f>
        <v>1618683.5955245674</v>
      </c>
      <c r="V2447" s="479">
        <f t="shared" si="182"/>
        <v>80004.011637995252</v>
      </c>
      <c r="W2447" s="559"/>
      <c r="X2447" s="559"/>
    </row>
    <row r="2448" spans="1:24" x14ac:dyDescent="0.25">
      <c r="A2448" s="553">
        <f t="shared" si="181"/>
        <v>92156.715310036903</v>
      </c>
      <c r="B2448" s="3">
        <f t="shared" si="179"/>
        <v>42.899999999999942</v>
      </c>
      <c r="C2448" s="553">
        <f>'Foglio deposito bis'!$E$162/sezione!$B$247*B2448</f>
        <v>174.15948156292265</v>
      </c>
      <c r="D2448" s="611">
        <f>-'Progetto del paramento slu'!$G$47*'Progetto del paramento slu'!$G$41*IF(DATI!$G$218="dx",DATI!$E$61,DATI!$E$64*DATI!$E$63)*1000*C2448^2*sezione!$AD$5*(1-sezione!$AD$6)</f>
        <v>-249689106.6707997</v>
      </c>
      <c r="E2448" s="553">
        <f>-'Foglio deposito bis'!$F$88*(C2448-sezione!$AL$36)*IF(ABS(K2448)&lt;'Progetto del paramento slu'!$G$58,ABS(K2448)*'Progetto del paramento slu'!$G$54,'Progetto del paramento slu'!$G$53)</f>
        <v>0</v>
      </c>
      <c r="F2448" s="553">
        <f>-'Foglio deposito bis'!$F$89*(C2448-sezione!$AM$36)*IF(ABS(L2448)&lt;'Progetto del paramento slu'!$G$58,ABS(L2448)*'Progetto del paramento slu'!$G$54,'Progetto del paramento slu'!$G$53)</f>
        <v>-948906.12140709406</v>
      </c>
      <c r="G2448" s="553">
        <f>-'Foglio deposito bis'!$F$90*(C2448-sezione!$AN$36)*IF(ABS(M2448)&lt;'Progetto del paramento slu'!$G$58,ABS(M2448)*'Progetto del paramento slu'!$G$54,'Progetto del paramento slu'!$G$53)</f>
        <v>0</v>
      </c>
      <c r="H2448" s="553">
        <f>-'Foglio deposito bis'!$F$91*(C2448-sezione!$AO$36)*IF(ABS(N2448)&lt;'Progetto del paramento slu'!$G$58,ABS(N2448)*'Progetto del paramento slu'!$G$54,'Progetto del paramento slu'!$G$53)</f>
        <v>148010257.28611448</v>
      </c>
      <c r="I2448" s="479">
        <f>-'Foglio deposito bis'!$F$92*(C2448-sezione!$AP$36)*IF(ABS(O2448)&lt;'Progetto del paramento slu'!$G$58,ABS(O2448)*'Progetto del paramento slu'!$G$54,'Progetto del paramento slu'!$G$53)</f>
        <v>129595623.43832676</v>
      </c>
      <c r="J2448" s="479">
        <f t="shared" si="180"/>
        <v>26967867.932234451</v>
      </c>
      <c r="K2448" s="558">
        <f>'Progetto del paramento slu'!$G$60*(sezione!$AL$36-C2448)/C2448</f>
        <v>-2.6961390861776368E-3</v>
      </c>
      <c r="L2448" s="558">
        <f>'Progetto del paramento slu'!$G$60*(sezione!$AM$36-C2448)/C2448</f>
        <v>-4.855215731661384E-4</v>
      </c>
      <c r="M2448" s="559">
        <f>'Progetto del paramento slu'!$G$60*(sezione!$AN$36-C2448)/C2448</f>
        <v>1.7250959398453604E-3</v>
      </c>
      <c r="N2448" s="559">
        <f>'Progetto del paramento slu'!$G$60*(sezione!$AO$36-C2448)/C2448</f>
        <v>3.3328177674900863E-3</v>
      </c>
      <c r="O2448" s="559">
        <f>'Progetto del paramento slu'!$G$60*(sezione!$AP$36-C2448)/C2448</f>
        <v>1.7252766153151695E-3</v>
      </c>
      <c r="P2448" s="553">
        <f>-'Progetto del paramento slu'!$G$47*'Progetto del paramento slu'!$G$41*IF(DATI!$G$218="dx",DATI!$E$61,DATI!$E$64*DATI!$E$63)*1000*C2448*sezione!$AD$5</f>
        <v>-2454932.894567986</v>
      </c>
      <c r="Q2448" s="553">
        <f>'Foglio deposito bis'!$F$88*IF(ABS(K2448)&lt;'Progetto del paramento slu'!$G$58,ABS(K2448)*'Progetto del paramento slu'!$G$54,'Progetto del paramento slu'!$G$53)*IF(K2448&lt;0,-1,1)</f>
        <v>0</v>
      </c>
      <c r="R2448" s="553">
        <f>'Foglio deposito bis'!$F$89*IF(ABS(L2448)&lt;'Progetto del paramento slu'!$G$58,ABS(L2448)*'Progetto del paramento slu'!$G$54,'Progetto del paramento slu'!$G$53)*IF(L2448&lt;0,-1,1)</f>
        <v>-39276.758441016063</v>
      </c>
      <c r="S2448" s="553">
        <f>'Foglio deposito bis'!$F$90*IF(ABS(M2448)&lt;'Progetto del paramento slu'!$G$58,ABS(M2448)*'Progetto del paramento slu'!$G$54,'Progetto del paramento slu'!$G$53)*IF(M2448&lt;0,-1,1)</f>
        <v>0</v>
      </c>
      <c r="T2448" s="553">
        <f>'Foglio deposito bis'!$F$91*IF(ABS(N2448)&lt;'Progetto del paramento slu'!$G$58,ABS(N2448)*'Progetto del paramento slu'!$G$54,'Progetto del paramento slu'!$G$53)*IF(N2448&lt;0,-1,1)</f>
        <v>892485.49558937876</v>
      </c>
      <c r="U2448" s="553">
        <f>'Foglio deposito bis'!$F$92*IF(ABS(O2448)&lt;'Progetto del paramento slu'!$G$58,ABS(O2448)*'Progetto del paramento slu'!$G$54,'Progetto del paramento slu'!$G$53)*IF(O2448&lt;0,-1,1)</f>
        <v>1509567.4421095864</v>
      </c>
      <c r="V2448" s="479">
        <f t="shared" si="182"/>
        <v>-92156.715310036903</v>
      </c>
      <c r="W2448" s="559"/>
      <c r="X2448" s="559"/>
    </row>
    <row r="2449" spans="1:24" x14ac:dyDescent="0.25">
      <c r="A2449" s="553">
        <f t="shared" si="181"/>
        <v>259081.16964070592</v>
      </c>
      <c r="B2449" s="3">
        <f t="shared" si="179"/>
        <v>43.899999999999942</v>
      </c>
      <c r="C2449" s="553">
        <f>'Foglio deposito bis'!$E$162/sezione!$B$247*B2449</f>
        <v>178.21914313781596</v>
      </c>
      <c r="D2449" s="611">
        <f>-'Progetto del paramento slu'!$G$47*'Progetto del paramento slu'!$G$41*IF(DATI!$G$218="dx",DATI!$E$61,DATI!$E$64*DATI!$E$63)*1000*C2449^2*sezione!$AD$5*(1-sezione!$AD$6)</f>
        <v>-261465294.8348639</v>
      </c>
      <c r="E2449" s="553">
        <f>-'Foglio deposito bis'!$F$88*(C2449-sezione!$AL$36)*IF(ABS(K2449)&lt;'Progetto del paramento slu'!$G$58,ABS(K2449)*'Progetto del paramento slu'!$G$54,'Progetto del paramento slu'!$G$53)</f>
        <v>0</v>
      </c>
      <c r="F2449" s="553">
        <f>-'Foglio deposito bis'!$F$89*(C2449-sezione!$AM$36)*IF(ABS(L2449)&lt;'Progetto del paramento slu'!$G$58,ABS(L2449)*'Progetto del paramento slu'!$G$54,'Progetto del paramento slu'!$G$53)</f>
        <v>-1265110.4527797939</v>
      </c>
      <c r="G2449" s="553">
        <f>-'Foglio deposito bis'!$F$90*(C2449-sezione!$AN$36)*IF(ABS(M2449)&lt;'Progetto del paramento slu'!$G$58,ABS(M2449)*'Progetto del paramento slu'!$G$54,'Progetto del paramento slu'!$G$53)</f>
        <v>0</v>
      </c>
      <c r="H2449" s="553">
        <f>-'Foglio deposito bis'!$F$91*(C2449-sezione!$AO$36)*IF(ABS(N2449)&lt;'Progetto del paramento slu'!$G$58,ABS(N2449)*'Progetto del paramento slu'!$G$54,'Progetto del paramento slu'!$G$53)</f>
        <v>144387068.21352068</v>
      </c>
      <c r="I2449" s="479">
        <f>-'Foglio deposito bis'!$F$92*(C2449-sezione!$AP$36)*IF(ABS(O2449)&lt;'Progetto del paramento slu'!$G$58,ABS(O2449)*'Progetto del paramento slu'!$G$54,'Progetto del paramento slu'!$G$53)</f>
        <v>114949284.38301374</v>
      </c>
      <c r="J2449" s="479">
        <f t="shared" si="180"/>
        <v>-3394052.6911092848</v>
      </c>
      <c r="K2449" s="558">
        <f>'Progetto del paramento slu'!$G$60*(sezione!$AL$36-C2449)/C2449</f>
        <v>-2.7144502687248434E-3</v>
      </c>
      <c r="L2449" s="558">
        <f>'Progetto del paramento slu'!$G$60*(sezione!$AM$36-C2449)/C2449</f>
        <v>-5.5418850771816271E-4</v>
      </c>
      <c r="M2449" s="559">
        <f>'Progetto del paramento slu'!$G$60*(sezione!$AN$36-C2449)/C2449</f>
        <v>1.6060732532885182E-3</v>
      </c>
      <c r="N2449" s="559">
        <f>'Progetto del paramento slu'!$G$60*(sezione!$AO$36-C2449)/C2449</f>
        <v>3.1771727158388312E-3</v>
      </c>
      <c r="O2449" s="559">
        <f>'Progetto del paramento slu'!$G$60*(sezione!$AP$36-C2449)/C2449</f>
        <v>1.6062498131439807E-3</v>
      </c>
      <c r="P2449" s="553">
        <f>-'Progetto del paramento slu'!$G$47*'Progetto del paramento slu'!$G$41*IF(DATI!$G$218="dx",DATI!$E$61,DATI!$E$64*DATI!$E$63)*1000*C2449*sezione!$AD$5</f>
        <v>-2512157.4375649085</v>
      </c>
      <c r="Q2449" s="553">
        <f>'Foglio deposito bis'!$F$88*IF(ABS(K2449)&lt;'Progetto del paramento slu'!$G$58,ABS(K2449)*'Progetto del paramento slu'!$G$54,'Progetto del paramento slu'!$G$53)*IF(K2449&lt;0,-1,1)</f>
        <v>0</v>
      </c>
      <c r="R2449" s="553">
        <f>'Foglio deposito bis'!$F$89*IF(ABS(L2449)&lt;'Progetto del paramento slu'!$G$58,ABS(L2449)*'Progetto del paramento slu'!$G$54,'Progetto del paramento slu'!$G$53)*IF(L2449&lt;0,-1,1)</f>
        <v>-44831.639522195204</v>
      </c>
      <c r="S2449" s="553">
        <f>'Foglio deposito bis'!$F$90*IF(ABS(M2449)&lt;'Progetto del paramento slu'!$G$58,ABS(M2449)*'Progetto del paramento slu'!$G$54,'Progetto del paramento slu'!$G$53)*IF(M2449&lt;0,-1,1)</f>
        <v>0</v>
      </c>
      <c r="T2449" s="553">
        <f>'Foglio deposito bis'!$F$91*IF(ABS(N2449)&lt;'Progetto del paramento slu'!$G$58,ABS(N2449)*'Progetto del paramento slu'!$G$54,'Progetto del paramento slu'!$G$53)*IF(N2449&lt;0,-1,1)</f>
        <v>892485.49558937876</v>
      </c>
      <c r="U2449" s="553">
        <f>'Foglio deposito bis'!$F$92*IF(ABS(O2449)&lt;'Progetto del paramento slu'!$G$58,ABS(O2449)*'Progetto del paramento slu'!$G$54,'Progetto del paramento slu'!$G$53)*IF(O2449&lt;0,-1,1)</f>
        <v>1405422.4118570192</v>
      </c>
      <c r="V2449" s="479">
        <f t="shared" si="182"/>
        <v>-259081.16964070592</v>
      </c>
      <c r="W2449" s="559"/>
      <c r="X2449" s="559"/>
    </row>
    <row r="2450" spans="1:24" x14ac:dyDescent="0.25">
      <c r="A2450" s="553">
        <f t="shared" si="181"/>
        <v>421119.21366697643</v>
      </c>
      <c r="B2450" s="3">
        <f t="shared" si="179"/>
        <v>44.899999999999942</v>
      </c>
      <c r="C2450" s="553">
        <f>'Foglio deposito bis'!$E$162/sezione!$B$247*B2450</f>
        <v>182.27880471270927</v>
      </c>
      <c r="D2450" s="611">
        <f>-'Progetto del paramento slu'!$G$47*'Progetto del paramento slu'!$G$41*IF(DATI!$G$218="dx",DATI!$E$61,DATI!$E$64*DATI!$E$63)*1000*C2450^2*sezione!$AD$5*(1-sezione!$AD$6)</f>
        <v>-273512823.74003565</v>
      </c>
      <c r="E2450" s="553">
        <f>-'Foglio deposito bis'!$F$88*(C2450-sezione!$AL$36)*IF(ABS(K2450)&lt;'Progetto del paramento slu'!$G$58,ABS(K2450)*'Progetto del paramento slu'!$G$54,'Progetto del paramento slu'!$G$53)</f>
        <v>0</v>
      </c>
      <c r="F2450" s="553">
        <f>-'Foglio deposito bis'!$F$89*(C2450-sezione!$AM$36)*IF(ABS(L2450)&lt;'Progetto del paramento slu'!$G$58,ABS(L2450)*'Progetto del paramento slu'!$G$54,'Progetto del paramento slu'!$G$53)</f>
        <v>-1618429.8025122655</v>
      </c>
      <c r="G2450" s="553">
        <f>-'Foglio deposito bis'!$F$90*(C2450-sezione!$AN$36)*IF(ABS(M2450)&lt;'Progetto del paramento slu'!$G$58,ABS(M2450)*'Progetto del paramento slu'!$G$54,'Progetto del paramento slu'!$G$53)</f>
        <v>0</v>
      </c>
      <c r="H2450" s="553">
        <f>-'Foglio deposito bis'!$F$91*(C2450-sezione!$AO$36)*IF(ABS(N2450)&lt;'Progetto del paramento slu'!$G$58,ABS(N2450)*'Progetto del paramento slu'!$G$54,'Progetto del paramento slu'!$G$53)</f>
        <v>140763879.14092687</v>
      </c>
      <c r="I2450" s="479">
        <f>-'Foglio deposito bis'!$F$92*(C2450-sezione!$AP$36)*IF(ABS(O2450)&lt;'Progetto del paramento slu'!$G$58,ABS(O2450)*'Progetto del paramento slu'!$G$54,'Progetto del paramento slu'!$G$53)</f>
        <v>101509121.01454014</v>
      </c>
      <c r="J2450" s="479">
        <f t="shared" si="180"/>
        <v>-32858253.387080938</v>
      </c>
      <c r="K2450" s="558">
        <f>'Progetto del paramento slu'!$G$60*(sezione!$AL$36-C2450)/C2450</f>
        <v>-2.7319458083968958E-3</v>
      </c>
      <c r="L2450" s="558">
        <f>'Progetto del paramento slu'!$G$60*(sezione!$AM$36-C2450)/C2450</f>
        <v>-6.1979678148835974E-4</v>
      </c>
      <c r="M2450" s="559">
        <f>'Progetto del paramento slu'!$G$60*(sezione!$AN$36-C2450)/C2450</f>
        <v>1.4923522454201765E-3</v>
      </c>
      <c r="N2450" s="559">
        <f>'Progetto del paramento slu'!$G$60*(sezione!$AO$36-C2450)/C2450</f>
        <v>3.0284606286263846E-3</v>
      </c>
      <c r="O2450" s="559">
        <f>'Progetto del paramento slu'!$G$60*(sezione!$AP$36-C2450)/C2450</f>
        <v>1.4925248729848717E-3</v>
      </c>
      <c r="P2450" s="553">
        <f>-'Progetto del paramento slu'!$G$47*'Progetto del paramento slu'!$G$41*IF(DATI!$G$218="dx",DATI!$E$61,DATI!$E$64*DATI!$E$63)*1000*C2450*sezione!$AD$5</f>
        <v>-2569381.9805618315</v>
      </c>
      <c r="Q2450" s="553">
        <f>'Foglio deposito bis'!$F$88*IF(ABS(K2450)&lt;'Progetto del paramento slu'!$G$58,ABS(K2450)*'Progetto del paramento slu'!$G$54,'Progetto del paramento slu'!$G$53)*IF(K2450&lt;0,-1,1)</f>
        <v>0</v>
      </c>
      <c r="R2450" s="553">
        <f>'Foglio deposito bis'!$F$89*IF(ABS(L2450)&lt;'Progetto del paramento slu'!$G$58,ABS(L2450)*'Progetto del paramento slu'!$G$54,'Progetto del paramento slu'!$G$53)*IF(L2450&lt;0,-1,1)</f>
        <v>-50139.087147642553</v>
      </c>
      <c r="S2450" s="553">
        <f>'Foglio deposito bis'!$F$90*IF(ABS(M2450)&lt;'Progetto del paramento slu'!$G$58,ABS(M2450)*'Progetto del paramento slu'!$G$54,'Progetto del paramento slu'!$G$53)*IF(M2450&lt;0,-1,1)</f>
        <v>0</v>
      </c>
      <c r="T2450" s="553">
        <f>'Foglio deposito bis'!$F$91*IF(ABS(N2450)&lt;'Progetto del paramento slu'!$G$58,ABS(N2450)*'Progetto del paramento slu'!$G$54,'Progetto del paramento slu'!$G$53)*IF(N2450&lt;0,-1,1)</f>
        <v>892485.49558937876</v>
      </c>
      <c r="U2450" s="553">
        <f>'Foglio deposito bis'!$F$92*IF(ABS(O2450)&lt;'Progetto del paramento slu'!$G$58,ABS(O2450)*'Progetto del paramento slu'!$G$54,'Progetto del paramento slu'!$G$53)*IF(O2450&lt;0,-1,1)</f>
        <v>1305916.3584531187</v>
      </c>
      <c r="V2450" s="479">
        <f t="shared" si="182"/>
        <v>-421119.21366697643</v>
      </c>
      <c r="W2450" s="559"/>
      <c r="X2450" s="559"/>
    </row>
    <row r="2451" spans="1:24" x14ac:dyDescent="0.25">
      <c r="A2451" s="553">
        <f t="shared" si="181"/>
        <v>578590.22061135853</v>
      </c>
      <c r="B2451" s="3">
        <f t="shared" si="179"/>
        <v>45.899999999999942</v>
      </c>
      <c r="C2451" s="553">
        <f>'Foglio deposito bis'!$E$162/sezione!$B$247*B2451</f>
        <v>186.33846628760259</v>
      </c>
      <c r="D2451" s="611">
        <f>-'Progetto del paramento slu'!$G$47*'Progetto del paramento slu'!$G$41*IF(DATI!$G$218="dx",DATI!$E$61,DATI!$E$64*DATI!$E$63)*1000*C2451^2*sezione!$AD$5*(1-sezione!$AD$6)</f>
        <v>-285831693.38631487</v>
      </c>
      <c r="E2451" s="553">
        <f>-'Foglio deposito bis'!$F$88*(C2451-sezione!$AL$36)*IF(ABS(K2451)&lt;'Progetto del paramento slu'!$G$58,ABS(K2451)*'Progetto del paramento slu'!$G$54,'Progetto del paramento slu'!$G$53)</f>
        <v>0</v>
      </c>
      <c r="F2451" s="553">
        <f>-'Foglio deposito bis'!$F$89*(C2451-sezione!$AM$36)*IF(ABS(L2451)&lt;'Progetto del paramento slu'!$G$58,ABS(L2451)*'Progetto del paramento slu'!$G$54,'Progetto del paramento slu'!$G$53)</f>
        <v>-2006438.3524110597</v>
      </c>
      <c r="G2451" s="553">
        <f>-'Foglio deposito bis'!$F$90*(C2451-sezione!$AN$36)*IF(ABS(M2451)&lt;'Progetto del paramento slu'!$G$58,ABS(M2451)*'Progetto del paramento slu'!$G$54,'Progetto del paramento slu'!$G$53)</f>
        <v>0</v>
      </c>
      <c r="H2451" s="553">
        <f>-'Foglio deposito bis'!$F$91*(C2451-sezione!$AO$36)*IF(ABS(N2451)&lt;'Progetto del paramento slu'!$G$58,ABS(N2451)*'Progetto del paramento slu'!$G$54,'Progetto del paramento slu'!$G$53)</f>
        <v>137140690.06833306</v>
      </c>
      <c r="I2451" s="479">
        <f>-'Foglio deposito bis'!$F$92*(C2451-sezione!$AP$36)*IF(ABS(O2451)&lt;'Progetto del paramento slu'!$G$58,ABS(O2451)*'Progetto del paramento slu'!$G$54,'Progetto del paramento slu'!$G$53)</f>
        <v>89196298.320694268</v>
      </c>
      <c r="J2451" s="479">
        <f t="shared" si="180"/>
        <v>-61501143.349698573</v>
      </c>
      <c r="K2451" s="558">
        <f>'Progetto del paramento slu'!$G$60*(sezione!$AL$36-C2451)/C2451</f>
        <v>-2.7486790151856344E-3</v>
      </c>
      <c r="L2451" s="558">
        <f>'Progetto del paramento slu'!$G$60*(sezione!$AM$36-C2451)/C2451</f>
        <v>-6.8254630694612988E-4</v>
      </c>
      <c r="M2451" s="559">
        <f>'Progetto del paramento slu'!$G$60*(sezione!$AN$36-C2451)/C2451</f>
        <v>1.3835864012933751E-3</v>
      </c>
      <c r="N2451" s="559">
        <f>'Progetto del paramento slu'!$G$60*(sezione!$AO$36-C2451)/C2451</f>
        <v>2.8862283709221058E-3</v>
      </c>
      <c r="O2451" s="559">
        <f>'Progetto del paramento slu'!$G$60*(sezione!$AP$36-C2451)/C2451</f>
        <v>1.3837552679089485E-3</v>
      </c>
      <c r="P2451" s="553">
        <f>-'Progetto del paramento slu'!$G$47*'Progetto del paramento slu'!$G$41*IF(DATI!$G$218="dx",DATI!$E$61,DATI!$E$64*DATI!$E$63)*1000*C2451*sezione!$AD$5</f>
        <v>-2626606.5235587545</v>
      </c>
      <c r="Q2451" s="553">
        <f>'Foglio deposito bis'!$F$88*IF(ABS(K2451)&lt;'Progetto del paramento slu'!$G$58,ABS(K2451)*'Progetto del paramento slu'!$G$54,'Progetto del paramento slu'!$G$53)*IF(K2451&lt;0,-1,1)</f>
        <v>0</v>
      </c>
      <c r="R2451" s="553">
        <f>'Foglio deposito bis'!$F$89*IF(ABS(L2451)&lt;'Progetto del paramento slu'!$G$58,ABS(L2451)*'Progetto del paramento slu'!$G$54,'Progetto del paramento slu'!$G$53)*IF(L2451&lt;0,-1,1)</f>
        <v>-55215.273438647746</v>
      </c>
      <c r="S2451" s="553">
        <f>'Foglio deposito bis'!$F$90*IF(ABS(M2451)&lt;'Progetto del paramento slu'!$G$58,ABS(M2451)*'Progetto del paramento slu'!$G$54,'Progetto del paramento slu'!$G$53)*IF(M2451&lt;0,-1,1)</f>
        <v>0</v>
      </c>
      <c r="T2451" s="553">
        <f>'Foglio deposito bis'!$F$91*IF(ABS(N2451)&lt;'Progetto del paramento slu'!$G$58,ABS(N2451)*'Progetto del paramento slu'!$G$54,'Progetto del paramento slu'!$G$53)*IF(N2451&lt;0,-1,1)</f>
        <v>892485.49558937876</v>
      </c>
      <c r="U2451" s="553">
        <f>'Foglio deposito bis'!$F$92*IF(ABS(O2451)&lt;'Progetto del paramento slu'!$G$58,ABS(O2451)*'Progetto del paramento slu'!$G$54,'Progetto del paramento slu'!$G$53)*IF(O2451&lt;0,-1,1)</f>
        <v>1210746.080796665</v>
      </c>
      <c r="V2451" s="479">
        <f t="shared" si="182"/>
        <v>-578590.22061135853</v>
      </c>
      <c r="W2451" s="559"/>
      <c r="X2451" s="559"/>
    </row>
    <row r="2452" spans="1:24" x14ac:dyDescent="0.25">
      <c r="A2452" s="553">
        <f t="shared" si="181"/>
        <v>731786.32504198817</v>
      </c>
      <c r="B2452" s="3">
        <f t="shared" si="179"/>
        <v>46.899999999999942</v>
      </c>
      <c r="C2452" s="553">
        <f>'Foglio deposito bis'!$E$162/sezione!$B$247*B2452</f>
        <v>190.39812786249587</v>
      </c>
      <c r="D2452" s="611">
        <f>-'Progetto del paramento slu'!$G$47*'Progetto del paramento slu'!$G$41*IF(DATI!$G$218="dx",DATI!$E$61,DATI!$E$64*DATI!$E$63)*1000*C2452^2*sezione!$AD$5*(1-sezione!$AD$6)</f>
        <v>-298421903.77370143</v>
      </c>
      <c r="E2452" s="553">
        <f>-'Foglio deposito bis'!$F$88*(C2452-sezione!$AL$36)*IF(ABS(K2452)&lt;'Progetto del paramento slu'!$G$58,ABS(K2452)*'Progetto del paramento slu'!$G$54,'Progetto del paramento slu'!$G$53)</f>
        <v>0</v>
      </c>
      <c r="F2452" s="553">
        <f>-'Foglio deposito bis'!$F$89*(C2452-sezione!$AM$36)*IF(ABS(L2452)&lt;'Progetto del paramento slu'!$G$58,ABS(L2452)*'Progetto del paramento slu'!$G$54,'Progetto del paramento slu'!$G$53)</f>
        <v>-2426917.1770923994</v>
      </c>
      <c r="G2452" s="553">
        <f>-'Foglio deposito bis'!$F$90*(C2452-sezione!$AN$36)*IF(ABS(M2452)&lt;'Progetto del paramento slu'!$G$58,ABS(M2452)*'Progetto del paramento slu'!$G$54,'Progetto del paramento slu'!$G$53)</f>
        <v>0</v>
      </c>
      <c r="H2452" s="553">
        <f>-'Foglio deposito bis'!$F$91*(C2452-sezione!$AO$36)*IF(ABS(N2452)&lt;'Progetto del paramento slu'!$G$58,ABS(N2452)*'Progetto del paramento slu'!$G$54,'Progetto del paramento slu'!$G$53)</f>
        <v>133517500.99573924</v>
      </c>
      <c r="I2452" s="479">
        <f>-'Foglio deposito bis'!$F$92*(C2452-sezione!$AP$36)*IF(ABS(O2452)&lt;'Progetto del paramento slu'!$G$58,ABS(O2452)*'Progetto del paramento slu'!$G$54,'Progetto del paramento slu'!$G$53)</f>
        <v>77938704.95768331</v>
      </c>
      <c r="J2452" s="479">
        <f t="shared" si="180"/>
        <v>-89392614.997371271</v>
      </c>
      <c r="K2452" s="558">
        <f>'Progetto del paramento slu'!$G$60*(sezione!$AL$36-C2452)/C2452</f>
        <v>-2.7646986523884995E-3</v>
      </c>
      <c r="L2452" s="558">
        <f>'Progetto del paramento slu'!$G$60*(sezione!$AM$36-C2452)/C2452</f>
        <v>-7.4261994645687297E-4</v>
      </c>
      <c r="M2452" s="559">
        <f>'Progetto del paramento slu'!$G$60*(sezione!$AN$36-C2452)/C2452</f>
        <v>1.2794587594747535E-3</v>
      </c>
      <c r="N2452" s="559">
        <f>'Progetto del paramento slu'!$G$60*(sezione!$AO$36-C2452)/C2452</f>
        <v>2.7500614546977545E-3</v>
      </c>
      <c r="O2452" s="559">
        <f>'Progetto del paramento slu'!$G$60*(sezione!$AP$36-C2452)/C2452</f>
        <v>1.2796240255228304E-3</v>
      </c>
      <c r="P2452" s="553">
        <f>-'Progetto del paramento slu'!$G$47*'Progetto del paramento slu'!$G$41*IF(DATI!$G$218="dx",DATI!$E$61,DATI!$E$64*DATI!$E$63)*1000*C2452*sezione!$AD$5</f>
        <v>-2683831.0665556765</v>
      </c>
      <c r="Q2452" s="553">
        <f>'Foglio deposito bis'!$F$88*IF(ABS(K2452)&lt;'Progetto del paramento slu'!$G$58,ABS(K2452)*'Progetto del paramento slu'!$G$54,'Progetto del paramento slu'!$G$53)*IF(K2452&lt;0,-1,1)</f>
        <v>0</v>
      </c>
      <c r="R2452" s="553">
        <f>'Foglio deposito bis'!$F$89*IF(ABS(L2452)&lt;'Progetto del paramento slu'!$G$58,ABS(L2452)*'Progetto del paramento slu'!$G$54,'Progetto del paramento slu'!$G$53)*IF(L2452&lt;0,-1,1)</f>
        <v>-60074.991231102555</v>
      </c>
      <c r="S2452" s="553">
        <f>'Foglio deposito bis'!$F$90*IF(ABS(M2452)&lt;'Progetto del paramento slu'!$G$58,ABS(M2452)*'Progetto del paramento slu'!$G$54,'Progetto del paramento slu'!$G$53)*IF(M2452&lt;0,-1,1)</f>
        <v>0</v>
      </c>
      <c r="T2452" s="553">
        <f>'Foglio deposito bis'!$F$91*IF(ABS(N2452)&lt;'Progetto del paramento slu'!$G$58,ABS(N2452)*'Progetto del paramento slu'!$G$54,'Progetto del paramento slu'!$G$53)*IF(N2452&lt;0,-1,1)</f>
        <v>892485.49558937876</v>
      </c>
      <c r="U2452" s="553">
        <f>'Foglio deposito bis'!$F$92*IF(ABS(O2452)&lt;'Progetto del paramento slu'!$G$58,ABS(O2452)*'Progetto del paramento slu'!$G$54,'Progetto del paramento slu'!$G$53)*IF(O2452&lt;0,-1,1)</f>
        <v>1119634.2371554121</v>
      </c>
      <c r="V2452" s="479">
        <f t="shared" si="182"/>
        <v>-731786.32504198817</v>
      </c>
      <c r="W2452" s="559"/>
      <c r="X2452" s="559"/>
    </row>
    <row r="2453" spans="1:24" x14ac:dyDescent="0.25">
      <c r="A2453" s="553">
        <f t="shared" si="181"/>
        <v>880975.26615597145</v>
      </c>
      <c r="B2453" s="3">
        <f t="shared" si="179"/>
        <v>47.899999999999942</v>
      </c>
      <c r="C2453" s="553">
        <f>'Foglio deposito bis'!$E$162/sezione!$B$247*B2453</f>
        <v>194.45778943738918</v>
      </c>
      <c r="D2453" s="611">
        <f>-'Progetto del paramento slu'!$G$47*'Progetto del paramento slu'!$G$41*IF(DATI!$G$218="dx",DATI!$E$61,DATI!$E$64*DATI!$E$63)*1000*C2453^2*sezione!$AD$5*(1-sezione!$AD$6)</f>
        <v>-311283454.90219545</v>
      </c>
      <c r="E2453" s="553">
        <f>-'Foglio deposito bis'!$F$88*(C2453-sezione!$AL$36)*IF(ABS(K2453)&lt;'Progetto del paramento slu'!$G$58,ABS(K2453)*'Progetto del paramento slu'!$G$54,'Progetto del paramento slu'!$G$53)</f>
        <v>0</v>
      </c>
      <c r="F2453" s="553">
        <f>-'Foglio deposito bis'!$F$89*(C2453-sezione!$AM$36)*IF(ABS(L2453)&lt;'Progetto del paramento slu'!$G$58,ABS(L2453)*'Progetto del paramento slu'!$G$54,'Progetto del paramento slu'!$G$53)</f>
        <v>-2877832.6476555052</v>
      </c>
      <c r="G2453" s="553">
        <f>-'Foglio deposito bis'!$F$90*(C2453-sezione!$AN$36)*IF(ABS(M2453)&lt;'Progetto del paramento slu'!$G$58,ABS(M2453)*'Progetto del paramento slu'!$G$54,'Progetto del paramento slu'!$G$53)</f>
        <v>0</v>
      </c>
      <c r="H2453" s="553">
        <f>-'Foglio deposito bis'!$F$91*(C2453-sezione!$AO$36)*IF(ABS(N2453)&lt;'Progetto del paramento slu'!$G$58,ABS(N2453)*'Progetto del paramento slu'!$G$54,'Progetto del paramento slu'!$G$53)</f>
        <v>129894311.92314543</v>
      </c>
      <c r="I2453" s="479">
        <f>-'Foglio deposito bis'!$F$92*(C2453-sezione!$AP$36)*IF(ABS(O2453)&lt;'Progetto del paramento slu'!$G$58,ABS(O2453)*'Progetto del paramento slu'!$G$54,'Progetto del paramento slu'!$G$53)</f>
        <v>67670251.405830696</v>
      </c>
      <c r="J2453" s="479">
        <f t="shared" si="180"/>
        <v>-116596724.22087483</v>
      </c>
      <c r="K2453" s="558">
        <f>'Progetto del paramento slu'!$G$60*(sezione!$AL$36-C2453)/C2453</f>
        <v>-2.7800494112112865E-3</v>
      </c>
      <c r="L2453" s="558">
        <f>'Progetto del paramento slu'!$G$60*(sezione!$AM$36-C2453)/C2453</f>
        <v>-8.001852920423247E-4</v>
      </c>
      <c r="M2453" s="559">
        <f>'Progetto del paramento slu'!$G$60*(sezione!$AN$36-C2453)/C2453</f>
        <v>1.1796788271266373E-3</v>
      </c>
      <c r="N2453" s="559">
        <f>'Progetto del paramento slu'!$G$60*(sezione!$AO$36-C2453)/C2453</f>
        <v>2.6195800047040647E-3</v>
      </c>
      <c r="O2453" s="559">
        <f>'Progetto del paramento slu'!$G$60*(sezione!$AP$36-C2453)/C2453</f>
        <v>1.1798406429440655E-3</v>
      </c>
      <c r="P2453" s="553">
        <f>-'Progetto del paramento slu'!$G$47*'Progetto del paramento slu'!$G$41*IF(DATI!$G$218="dx",DATI!$E$61,DATI!$E$64*DATI!$E$63)*1000*C2453*sezione!$AD$5</f>
        <v>-2741055.6095525995</v>
      </c>
      <c r="Q2453" s="553">
        <f>'Foglio deposito bis'!$F$88*IF(ABS(K2453)&lt;'Progetto del paramento slu'!$G$58,ABS(K2453)*'Progetto del paramento slu'!$G$54,'Progetto del paramento slu'!$G$53)*IF(K2453&lt;0,-1,1)</f>
        <v>0</v>
      </c>
      <c r="R2453" s="553">
        <f>'Foglio deposito bis'!$F$89*IF(ABS(L2453)&lt;'Progetto del paramento slu'!$G$58,ABS(L2453)*'Progetto del paramento slu'!$G$54,'Progetto del paramento slu'!$G$53)*IF(L2453&lt;0,-1,1)</f>
        <v>-64731.798051012331</v>
      </c>
      <c r="S2453" s="553">
        <f>'Foglio deposito bis'!$F$90*IF(ABS(M2453)&lt;'Progetto del paramento slu'!$G$58,ABS(M2453)*'Progetto del paramento slu'!$G$54,'Progetto del paramento slu'!$G$53)*IF(M2453&lt;0,-1,1)</f>
        <v>0</v>
      </c>
      <c r="T2453" s="553">
        <f>'Foglio deposito bis'!$F$91*IF(ABS(N2453)&lt;'Progetto del paramento slu'!$G$58,ABS(N2453)*'Progetto del paramento slu'!$G$54,'Progetto del paramento slu'!$G$53)*IF(N2453&lt;0,-1,1)</f>
        <v>892485.49558937876</v>
      </c>
      <c r="U2453" s="553">
        <f>'Foglio deposito bis'!$F$92*IF(ABS(O2453)&lt;'Progetto del paramento slu'!$G$58,ABS(O2453)*'Progetto del paramento slu'!$G$54,'Progetto del paramento slu'!$G$53)*IF(O2453&lt;0,-1,1)</f>
        <v>1032326.6458582615</v>
      </c>
      <c r="V2453" s="479">
        <f t="shared" si="182"/>
        <v>-880975.26615597145</v>
      </c>
      <c r="W2453" s="559"/>
      <c r="X2453" s="559"/>
    </row>
    <row r="2454" spans="1:24" x14ac:dyDescent="0.25">
      <c r="A2454" s="553">
        <f t="shared" si="181"/>
        <v>1026402.8821935926</v>
      </c>
      <c r="B2454" s="3">
        <f t="shared" si="179"/>
        <v>48.899999999999942</v>
      </c>
      <c r="C2454" s="553">
        <f>'Foglio deposito bis'!$E$162/sezione!$B$247*B2454</f>
        <v>198.51745101228249</v>
      </c>
      <c r="D2454" s="611">
        <f>-'Progetto del paramento slu'!$G$47*'Progetto del paramento slu'!$G$41*IF(DATI!$G$218="dx",DATI!$E$61,DATI!$E$64*DATI!$E$63)*1000*C2454^2*sezione!$AD$5*(1-sezione!$AD$6)</f>
        <v>-324416346.77179706</v>
      </c>
      <c r="E2454" s="553">
        <f>-'Foglio deposito bis'!$F$88*(C2454-sezione!$AL$36)*IF(ABS(K2454)&lt;'Progetto del paramento slu'!$G$58,ABS(K2454)*'Progetto del paramento slu'!$G$54,'Progetto del paramento slu'!$G$53)</f>
        <v>0</v>
      </c>
      <c r="F2454" s="553">
        <f>-'Foglio deposito bis'!$F$89*(C2454-sezione!$AM$36)*IF(ABS(L2454)&lt;'Progetto del paramento slu'!$G$58,ABS(L2454)*'Progetto del paramento slu'!$G$54,'Progetto del paramento slu'!$G$53)</f>
        <v>-3357317.4852119237</v>
      </c>
      <c r="G2454" s="553">
        <f>-'Foglio deposito bis'!$F$90*(C2454-sezione!$AN$36)*IF(ABS(M2454)&lt;'Progetto del paramento slu'!$G$58,ABS(M2454)*'Progetto del paramento slu'!$G$54,'Progetto del paramento slu'!$G$53)</f>
        <v>0</v>
      </c>
      <c r="H2454" s="553">
        <f>-'Foglio deposito bis'!$F$91*(C2454-sezione!$AO$36)*IF(ABS(N2454)&lt;'Progetto del paramento slu'!$G$58,ABS(N2454)*'Progetto del paramento slu'!$G$54,'Progetto del paramento slu'!$G$53)</f>
        <v>126271122.85055162</v>
      </c>
      <c r="I2454" s="479">
        <f>-'Foglio deposito bis'!$F$92*(C2454-sezione!$AP$36)*IF(ABS(O2454)&lt;'Progetto del paramento slu'!$G$58,ABS(O2454)*'Progetto del paramento slu'!$G$54,'Progetto del paramento slu'!$G$53)</f>
        <v>58330254.24113901</v>
      </c>
      <c r="J2454" s="479">
        <f t="shared" si="180"/>
        <v>-143172287.16531837</v>
      </c>
      <c r="K2454" s="558">
        <f>'Progetto del paramento slu'!$G$60*(sezione!$AL$36-C2454)/C2454</f>
        <v>-2.7947723271374361E-3</v>
      </c>
      <c r="L2454" s="558">
        <f>'Progetto del paramento slu'!$G$60*(sezione!$AM$36-C2454)/C2454</f>
        <v>-8.5539622676538568E-4</v>
      </c>
      <c r="M2454" s="559">
        <f>'Progetto del paramento slu'!$G$60*(sezione!$AN$36-C2454)/C2454</f>
        <v>1.083979873606665E-3</v>
      </c>
      <c r="N2454" s="559">
        <f>'Progetto del paramento slu'!$G$60*(sezione!$AO$36-C2454)/C2454</f>
        <v>2.4944352193317925E-3</v>
      </c>
      <c r="O2454" s="559">
        <f>'Progetto del paramento slu'!$G$60*(sezione!$AP$36-C2454)/C2454</f>
        <v>1.0841383803071724E-3</v>
      </c>
      <c r="P2454" s="553">
        <f>-'Progetto del paramento slu'!$G$47*'Progetto del paramento slu'!$G$41*IF(DATI!$G$218="dx",DATI!$E$61,DATI!$E$64*DATI!$E$63)*1000*C2454*sezione!$AD$5</f>
        <v>-2798280.1525495225</v>
      </c>
      <c r="Q2454" s="553">
        <f>'Foglio deposito bis'!$F$88*IF(ABS(K2454)&lt;'Progetto del paramento slu'!$G$58,ABS(K2454)*'Progetto del paramento slu'!$G$54,'Progetto del paramento slu'!$G$53)*IF(K2454&lt;0,-1,1)</f>
        <v>0</v>
      </c>
      <c r="R2454" s="553">
        <f>'Foglio deposito bis'!$F$89*IF(ABS(L2454)&lt;'Progetto del paramento slu'!$G$58,ABS(L2454)*'Progetto del paramento slu'!$G$54,'Progetto del paramento slu'!$G$53)*IF(L2454&lt;0,-1,1)</f>
        <v>-69198.142424300022</v>
      </c>
      <c r="S2454" s="553">
        <f>'Foglio deposito bis'!$F$90*IF(ABS(M2454)&lt;'Progetto del paramento slu'!$G$58,ABS(M2454)*'Progetto del paramento slu'!$G$54,'Progetto del paramento slu'!$G$53)*IF(M2454&lt;0,-1,1)</f>
        <v>0</v>
      </c>
      <c r="T2454" s="553">
        <f>'Foglio deposito bis'!$F$91*IF(ABS(N2454)&lt;'Progetto del paramento slu'!$G$58,ABS(N2454)*'Progetto del paramento slu'!$G$54,'Progetto del paramento slu'!$G$53)*IF(N2454&lt;0,-1,1)</f>
        <v>892485.49558937876</v>
      </c>
      <c r="U2454" s="553">
        <f>'Foglio deposito bis'!$F$92*IF(ABS(O2454)&lt;'Progetto del paramento slu'!$G$58,ABS(O2454)*'Progetto del paramento slu'!$G$54,'Progetto del paramento slu'!$G$53)*IF(O2454&lt;0,-1,1)</f>
        <v>948589.91719085095</v>
      </c>
      <c r="V2454" s="479">
        <f t="shared" si="182"/>
        <v>-1026402.8821935926</v>
      </c>
      <c r="W2454" s="559"/>
      <c r="X2454" s="559"/>
    </row>
    <row r="2455" spans="1:24" x14ac:dyDescent="0.25">
      <c r="A2455" s="553">
        <f t="shared" si="181"/>
        <v>1168295.3049229691</v>
      </c>
      <c r="B2455" s="3">
        <f t="shared" si="179"/>
        <v>49.899999999999942</v>
      </c>
      <c r="C2455" s="553">
        <f>'Foglio deposito bis'!$E$162/sezione!$B$247*B2455</f>
        <v>202.5771125871758</v>
      </c>
      <c r="D2455" s="611">
        <f>-'Progetto del paramento slu'!$G$47*'Progetto del paramento slu'!$G$41*IF(DATI!$G$218="dx",DATI!$E$61,DATI!$E$64*DATI!$E$63)*1000*C2455^2*sezione!$AD$5*(1-sezione!$AD$6)</f>
        <v>-337820579.38250613</v>
      </c>
      <c r="E2455" s="553">
        <f>-'Foglio deposito bis'!$F$88*(C2455-sezione!$AL$36)*IF(ABS(K2455)&lt;'Progetto del paramento slu'!$G$58,ABS(K2455)*'Progetto del paramento slu'!$G$54,'Progetto del paramento slu'!$G$53)</f>
        <v>0</v>
      </c>
      <c r="F2455" s="553">
        <f>-'Foglio deposito bis'!$F$89*(C2455-sezione!$AM$36)*IF(ABS(L2455)&lt;'Progetto del paramento slu'!$G$58,ABS(L2455)*'Progetto del paramento slu'!$G$54,'Progetto del paramento slu'!$G$53)</f>
        <v>-3863654.0925476253</v>
      </c>
      <c r="G2455" s="553">
        <f>-'Foglio deposito bis'!$F$90*(C2455-sezione!$AN$36)*IF(ABS(M2455)&lt;'Progetto del paramento slu'!$G$58,ABS(M2455)*'Progetto del paramento slu'!$G$54,'Progetto del paramento slu'!$G$53)</f>
        <v>0</v>
      </c>
      <c r="H2455" s="553">
        <f>-'Foglio deposito bis'!$F$91*(C2455-sezione!$AO$36)*IF(ABS(N2455)&lt;'Progetto del paramento slu'!$G$58,ABS(N2455)*'Progetto del paramento slu'!$G$54,'Progetto del paramento slu'!$G$53)</f>
        <v>122647933.77795781</v>
      </c>
      <c r="I2455" s="479">
        <f>-'Foglio deposito bis'!$F$92*(C2455-sezione!$AP$36)*IF(ABS(O2455)&lt;'Progetto del paramento slu'!$G$58,ABS(O2455)*'Progetto del paramento slu'!$G$54,'Progetto del paramento slu'!$G$53)</f>
        <v>49862894.44233606</v>
      </c>
      <c r="J2455" s="479">
        <f t="shared" si="180"/>
        <v>-169173405.25475994</v>
      </c>
      <c r="K2455" s="558">
        <f>'Progetto del paramento slu'!$G$60*(sezione!$AL$36-C2455)/C2455</f>
        <v>-2.8089051462328782E-3</v>
      </c>
      <c r="L2455" s="558">
        <f>'Progetto del paramento slu'!$G$60*(sezione!$AM$36-C2455)/C2455</f>
        <v>-9.0839429837329382E-4</v>
      </c>
      <c r="M2455" s="559">
        <f>'Progetto del paramento slu'!$G$60*(sezione!$AN$36-C2455)/C2455</f>
        <v>9.921165494862908E-4</v>
      </c>
      <c r="N2455" s="559">
        <f>'Progetto del paramento slu'!$G$60*(sezione!$AO$36-C2455)/C2455</f>
        <v>2.3743062570205343E-3</v>
      </c>
      <c r="O2455" s="559">
        <f>'Progetto del paramento slu'!$G$60*(sezione!$AP$36-C2455)/C2455</f>
        <v>9.9227187969981416E-4</v>
      </c>
      <c r="P2455" s="553">
        <f>-'Progetto del paramento slu'!$G$47*'Progetto del paramento slu'!$G$41*IF(DATI!$G$218="dx",DATI!$E$61,DATI!$E$64*DATI!$E$63)*1000*C2455*sezione!$AD$5</f>
        <v>-2855504.6955464454</v>
      </c>
      <c r="Q2455" s="553">
        <f>'Foglio deposito bis'!$F$88*IF(ABS(K2455)&lt;'Progetto del paramento slu'!$G$58,ABS(K2455)*'Progetto del paramento slu'!$G$54,'Progetto del paramento slu'!$G$53)*IF(K2455&lt;0,-1,1)</f>
        <v>0</v>
      </c>
      <c r="R2455" s="553">
        <f>'Foglio deposito bis'!$F$89*IF(ABS(L2455)&lt;'Progetto del paramento slu'!$G$58,ABS(L2455)*'Progetto del paramento slu'!$G$54,'Progetto del paramento slu'!$G$53)*IF(L2455&lt;0,-1,1)</f>
        <v>-73485.474999059152</v>
      </c>
      <c r="S2455" s="553">
        <f>'Foglio deposito bis'!$F$90*IF(ABS(M2455)&lt;'Progetto del paramento slu'!$G$58,ABS(M2455)*'Progetto del paramento slu'!$G$54,'Progetto del paramento slu'!$G$53)*IF(M2455&lt;0,-1,1)</f>
        <v>0</v>
      </c>
      <c r="T2455" s="553">
        <f>'Foglio deposito bis'!$F$91*IF(ABS(N2455)&lt;'Progetto del paramento slu'!$G$58,ABS(N2455)*'Progetto del paramento slu'!$G$54,'Progetto del paramento slu'!$G$53)*IF(N2455&lt;0,-1,1)</f>
        <v>892485.49558937876</v>
      </c>
      <c r="U2455" s="553">
        <f>'Foglio deposito bis'!$F$92*IF(ABS(O2455)&lt;'Progetto del paramento slu'!$G$58,ABS(O2455)*'Progetto del paramento slu'!$G$54,'Progetto del paramento slu'!$G$53)*IF(O2455&lt;0,-1,1)</f>
        <v>868209.37003315648</v>
      </c>
      <c r="V2455" s="479">
        <f t="shared" si="182"/>
        <v>-1168295.3049229691</v>
      </c>
      <c r="W2455" s="559"/>
      <c r="X2455" s="559"/>
    </row>
    <row r="2456" spans="1:24" x14ac:dyDescent="0.25">
      <c r="A2456" s="553">
        <f t="shared" si="181"/>
        <v>1306860.8954428195</v>
      </c>
      <c r="B2456" s="3">
        <f t="shared" si="179"/>
        <v>50.899999999999942</v>
      </c>
      <c r="C2456" s="553">
        <f>'Foglio deposito bis'!$E$162/sezione!$B$247*B2456</f>
        <v>206.63677416206912</v>
      </c>
      <c r="D2456" s="611">
        <f>-'Progetto del paramento slu'!$G$47*'Progetto del paramento slu'!$G$41*IF(DATI!$G$218="dx",DATI!$E$61,DATI!$E$64*DATI!$E$63)*1000*C2456^2*sezione!$AD$5*(1-sezione!$AD$6)</f>
        <v>-351496152.73432279</v>
      </c>
      <c r="E2456" s="553">
        <f>-'Foglio deposito bis'!$F$88*(C2456-sezione!$AL$36)*IF(ABS(K2456)&lt;'Progetto del paramento slu'!$G$58,ABS(K2456)*'Progetto del paramento slu'!$G$54,'Progetto del paramento slu'!$G$53)</f>
        <v>0</v>
      </c>
      <c r="F2456" s="553">
        <f>-'Foglio deposito bis'!$F$89*(C2456-sezione!$AM$36)*IF(ABS(L2456)&lt;'Progetto del paramento slu'!$G$58,ABS(L2456)*'Progetto del paramento slu'!$G$54,'Progetto del paramento slu'!$G$53)</f>
        <v>-4395259.8506186483</v>
      </c>
      <c r="G2456" s="553">
        <f>-'Foglio deposito bis'!$F$90*(C2456-sezione!$AN$36)*IF(ABS(M2456)&lt;'Progetto del paramento slu'!$G$58,ABS(M2456)*'Progetto del paramento slu'!$G$54,'Progetto del paramento slu'!$G$53)</f>
        <v>0</v>
      </c>
      <c r="H2456" s="553">
        <f>-'Foglio deposito bis'!$F$91*(C2456-sezione!$AO$36)*IF(ABS(N2456)&lt;'Progetto del paramento slu'!$G$58,ABS(N2456)*'Progetto del paramento slu'!$G$54,'Progetto del paramento slu'!$G$53)</f>
        <v>119024744.70536399</v>
      </c>
      <c r="I2456" s="479">
        <f>-'Foglio deposito bis'!$F$92*(C2456-sezione!$AP$36)*IF(ABS(O2456)&lt;'Progetto del paramento slu'!$G$58,ABS(O2456)*'Progetto del paramento slu'!$G$54,'Progetto del paramento slu'!$G$53)</f>
        <v>42216739.551707365</v>
      </c>
      <c r="J2456" s="479">
        <f t="shared" si="180"/>
        <v>-194649928.3278701</v>
      </c>
      <c r="K2456" s="558">
        <f>'Progetto del paramento slu'!$G$60*(sezione!$AL$36-C2456)/C2456</f>
        <v>-2.8224826482715253E-3</v>
      </c>
      <c r="L2456" s="558">
        <f>'Progetto del paramento slu'!$G$60*(sezione!$AM$36-C2456)/C2456</f>
        <v>-9.5930993101821954E-4</v>
      </c>
      <c r="M2456" s="559">
        <f>'Progetto del paramento slu'!$G$60*(sezione!$AN$36-C2456)/C2456</f>
        <v>9.0386278623508633E-4</v>
      </c>
      <c r="N2456" s="559">
        <f>'Progetto del paramento slu'!$G$60*(sezione!$AO$36-C2456)/C2456</f>
        <v>2.2588974896920362E-3</v>
      </c>
      <c r="O2456" s="559">
        <f>'Progetto del paramento slu'!$G$60*(sezione!$AP$36-C2456)/C2456</f>
        <v>9.0401506477447364E-4</v>
      </c>
      <c r="P2456" s="553">
        <f>-'Progetto del paramento slu'!$G$47*'Progetto del paramento slu'!$G$41*IF(DATI!$G$218="dx",DATI!$E$61,DATI!$E$64*DATI!$E$63)*1000*C2456*sezione!$AD$5</f>
        <v>-2912729.2385433684</v>
      </c>
      <c r="Q2456" s="553">
        <f>'Foglio deposito bis'!$F$88*IF(ABS(K2456)&lt;'Progetto del paramento slu'!$G$58,ABS(K2456)*'Progetto del paramento slu'!$G$54,'Progetto del paramento slu'!$G$53)*IF(K2456&lt;0,-1,1)</f>
        <v>0</v>
      </c>
      <c r="R2456" s="553">
        <f>'Foglio deposito bis'!$F$89*IF(ABS(L2456)&lt;'Progetto del paramento slu'!$G$58,ABS(L2456)*'Progetto del paramento slu'!$G$54,'Progetto del paramento slu'!$G$53)*IF(L2456&lt;0,-1,1)</f>
        <v>-77604.346568916168</v>
      </c>
      <c r="S2456" s="553">
        <f>'Foglio deposito bis'!$F$90*IF(ABS(M2456)&lt;'Progetto del paramento slu'!$G$58,ABS(M2456)*'Progetto del paramento slu'!$G$54,'Progetto del paramento slu'!$G$53)*IF(M2456&lt;0,-1,1)</f>
        <v>0</v>
      </c>
      <c r="T2456" s="553">
        <f>'Foglio deposito bis'!$F$91*IF(ABS(N2456)&lt;'Progetto del paramento slu'!$G$58,ABS(N2456)*'Progetto del paramento slu'!$G$54,'Progetto del paramento slu'!$G$53)*IF(N2456&lt;0,-1,1)</f>
        <v>892485.49558937876</v>
      </c>
      <c r="U2456" s="553">
        <f>'Foglio deposito bis'!$F$92*IF(ABS(O2456)&lt;'Progetto del paramento slu'!$G$58,ABS(O2456)*'Progetto del paramento slu'!$G$54,'Progetto del paramento slu'!$G$53)*IF(O2456&lt;0,-1,1)</f>
        <v>790987.19408008619</v>
      </c>
      <c r="V2456" s="479">
        <f t="shared" si="182"/>
        <v>-1306860.8954428195</v>
      </c>
      <c r="W2456" s="559"/>
      <c r="X2456" s="559"/>
    </row>
    <row r="2457" spans="1:24" x14ac:dyDescent="0.25">
      <c r="A2457" s="553">
        <f t="shared" si="181"/>
        <v>1442291.9561929996</v>
      </c>
      <c r="B2457" s="3">
        <f t="shared" si="179"/>
        <v>51.899999999999942</v>
      </c>
      <c r="C2457" s="553">
        <f>'Foglio deposito bis'!$E$162/sezione!$B$247*B2457</f>
        <v>210.69643573696243</v>
      </c>
      <c r="D2457" s="611">
        <f>-'Progetto del paramento slu'!$G$47*'Progetto del paramento slu'!$G$41*IF(DATI!$G$218="dx",DATI!$E$61,DATI!$E$64*DATI!$E$63)*1000*C2457^2*sezione!$AD$5*(1-sezione!$AD$6)</f>
        <v>-365443066.82724667</v>
      </c>
      <c r="E2457" s="553">
        <f>-'Foglio deposito bis'!$F$88*(C2457-sezione!$AL$36)*IF(ABS(K2457)&lt;'Progetto del paramento slu'!$G$58,ABS(K2457)*'Progetto del paramento slu'!$G$54,'Progetto del paramento slu'!$G$53)</f>
        <v>0</v>
      </c>
      <c r="F2457" s="553">
        <f>-'Foglio deposito bis'!$F$89*(C2457-sezione!$AM$36)*IF(ABS(L2457)&lt;'Progetto del paramento slu'!$G$58,ABS(L2457)*'Progetto del paramento slu'!$G$54,'Progetto del paramento slu'!$G$53)</f>
        <v>-4950674.1148738135</v>
      </c>
      <c r="G2457" s="553">
        <f>-'Foglio deposito bis'!$F$90*(C2457-sezione!$AN$36)*IF(ABS(M2457)&lt;'Progetto del paramento slu'!$G$58,ABS(M2457)*'Progetto del paramento slu'!$G$54,'Progetto del paramento slu'!$G$53)</f>
        <v>0</v>
      </c>
      <c r="H2457" s="553">
        <f>-'Foglio deposito bis'!$F$91*(C2457-sezione!$AO$36)*IF(ABS(N2457)&lt;'Progetto del paramento slu'!$G$58,ABS(N2457)*'Progetto del paramento slu'!$G$54,'Progetto del paramento slu'!$G$53)</f>
        <v>115401555.63277018</v>
      </c>
      <c r="I2457" s="479">
        <f>-'Foglio deposito bis'!$F$92*(C2457-sezione!$AP$36)*IF(ABS(O2457)&lt;'Progetto del paramento slu'!$G$58,ABS(O2457)*'Progetto del paramento slu'!$G$54,'Progetto del paramento slu'!$G$53)</f>
        <v>35344321.077450968</v>
      </c>
      <c r="J2457" s="479">
        <f t="shared" si="180"/>
        <v>-219647864.23189935</v>
      </c>
      <c r="K2457" s="558">
        <f>'Progetto del paramento slu'!$G$60*(sezione!$AL$36-C2457)/C2457</f>
        <v>-2.8355369325052146E-3</v>
      </c>
      <c r="L2457" s="558">
        <f>'Progetto del paramento slu'!$G$60*(sezione!$AM$36-C2457)/C2457</f>
        <v>-1.0082634968945545E-3</v>
      </c>
      <c r="M2457" s="559">
        <f>'Progetto del paramento slu'!$G$60*(sezione!$AN$36-C2457)/C2457</f>
        <v>8.1900993871610571E-4</v>
      </c>
      <c r="N2457" s="559">
        <f>'Progetto del paramento slu'!$G$60*(sezione!$AO$36-C2457)/C2457</f>
        <v>2.1479360737056766E-3</v>
      </c>
      <c r="O2457" s="559">
        <f>'Progetto del paramento slu'!$G$60*(sezione!$AP$36-C2457)/C2457</f>
        <v>8.1915928317958966E-4</v>
      </c>
      <c r="P2457" s="553">
        <f>-'Progetto del paramento slu'!$G$47*'Progetto del paramento slu'!$G$41*IF(DATI!$G$218="dx",DATI!$E$61,DATI!$E$64*DATI!$E$63)*1000*C2457*sezione!$AD$5</f>
        <v>-2969953.7815402914</v>
      </c>
      <c r="Q2457" s="553">
        <f>'Foglio deposito bis'!$F$88*IF(ABS(K2457)&lt;'Progetto del paramento slu'!$G$58,ABS(K2457)*'Progetto del paramento slu'!$G$54,'Progetto del paramento slu'!$G$53)*IF(K2457&lt;0,-1,1)</f>
        <v>0</v>
      </c>
      <c r="R2457" s="553">
        <f>'Foglio deposito bis'!$F$89*IF(ABS(L2457)&lt;'Progetto del paramento slu'!$G$58,ABS(L2457)*'Progetto del paramento slu'!$G$54,'Progetto del paramento slu'!$G$53)*IF(L2457&lt;0,-1,1)</f>
        <v>-81564.494764212199</v>
      </c>
      <c r="S2457" s="553">
        <f>'Foglio deposito bis'!$F$90*IF(ABS(M2457)&lt;'Progetto del paramento slu'!$G$58,ABS(M2457)*'Progetto del paramento slu'!$G$54,'Progetto del paramento slu'!$G$53)*IF(M2457&lt;0,-1,1)</f>
        <v>0</v>
      </c>
      <c r="T2457" s="553">
        <f>'Foglio deposito bis'!$F$91*IF(ABS(N2457)&lt;'Progetto del paramento slu'!$G$58,ABS(N2457)*'Progetto del paramento slu'!$G$54,'Progetto del paramento slu'!$G$53)*IF(N2457&lt;0,-1,1)</f>
        <v>892485.49558937876</v>
      </c>
      <c r="U2457" s="553">
        <f>'Foglio deposito bis'!$F$92*IF(ABS(O2457)&lt;'Progetto del paramento slu'!$G$58,ABS(O2457)*'Progetto del paramento slu'!$G$54,'Progetto del paramento slu'!$G$53)*IF(O2457&lt;0,-1,1)</f>
        <v>716740.82452212495</v>
      </c>
      <c r="V2457" s="479">
        <f t="shared" si="182"/>
        <v>-1442291.9561929996</v>
      </c>
      <c r="W2457" s="559"/>
      <c r="X2457" s="559"/>
    </row>
    <row r="2458" spans="1:24" x14ac:dyDescent="0.25">
      <c r="A2458" s="553">
        <f t="shared" si="181"/>
        <v>1574766.2487861565</v>
      </c>
      <c r="B2458" s="3">
        <f t="shared" si="179"/>
        <v>52.899999999999942</v>
      </c>
      <c r="C2458" s="553">
        <f>'Foglio deposito bis'!$E$162/sezione!$B$247*B2458</f>
        <v>214.75609731185571</v>
      </c>
      <c r="D2458" s="611">
        <f>-'Progetto del paramento slu'!$G$47*'Progetto del paramento slu'!$G$41*IF(DATI!$G$218="dx",DATI!$E$61,DATI!$E$64*DATI!$E$63)*1000*C2458^2*sezione!$AD$5*(1-sezione!$AD$6)</f>
        <v>-379661321.66127813</v>
      </c>
      <c r="E2458" s="553">
        <f>-'Foglio deposito bis'!$F$88*(C2458-sezione!$AL$36)*IF(ABS(K2458)&lt;'Progetto del paramento slu'!$G$58,ABS(K2458)*'Progetto del paramento slu'!$G$54,'Progetto del paramento slu'!$G$53)</f>
        <v>0</v>
      </c>
      <c r="F2458" s="553">
        <f>-'Foglio deposito bis'!$F$89*(C2458-sezione!$AM$36)*IF(ABS(L2458)&lt;'Progetto del paramento slu'!$G$58,ABS(L2458)*'Progetto del paramento slu'!$G$54,'Progetto del paramento slu'!$G$53)</f>
        <v>-5528546.6864747005</v>
      </c>
      <c r="G2458" s="553">
        <f>-'Foglio deposito bis'!$F$90*(C2458-sezione!$AN$36)*IF(ABS(M2458)&lt;'Progetto del paramento slu'!$G$58,ABS(M2458)*'Progetto del paramento slu'!$G$54,'Progetto del paramento slu'!$G$53)</f>
        <v>0</v>
      </c>
      <c r="H2458" s="553">
        <f>-'Foglio deposito bis'!$F$91*(C2458-sezione!$AO$36)*IF(ABS(N2458)&lt;'Progetto del paramento slu'!$G$58,ABS(N2458)*'Progetto del paramento slu'!$G$54,'Progetto del paramento slu'!$G$53)</f>
        <v>111778366.5601764</v>
      </c>
      <c r="I2458" s="479">
        <f>-'Foglio deposito bis'!$F$92*(C2458-sezione!$AP$36)*IF(ABS(O2458)&lt;'Progetto del paramento slu'!$G$58,ABS(O2458)*'Progetto del paramento slu'!$G$54,'Progetto del paramento slu'!$G$53)</f>
        <v>29201759.827712148</v>
      </c>
      <c r="J2458" s="479">
        <f t="shared" si="180"/>
        <v>-244209741.95986429</v>
      </c>
      <c r="K2458" s="558">
        <f>'Progetto del paramento slu'!$G$60*(sezione!$AL$36-C2458)/C2458</f>
        <v>-2.8480976710211843E-3</v>
      </c>
      <c r="L2458" s="558">
        <f>'Progetto del paramento slu'!$G$60*(sezione!$AM$36-C2458)/C2458</f>
        <v>-1.0553662663294397E-3</v>
      </c>
      <c r="M2458" s="559">
        <f>'Progetto del paramento slu'!$G$60*(sezione!$AN$36-C2458)/C2458</f>
        <v>7.373651383623045E-4</v>
      </c>
      <c r="N2458" s="559">
        <f>'Progetto del paramento slu'!$G$60*(sezione!$AO$36-C2458)/C2458</f>
        <v>2.0411697963199364E-3</v>
      </c>
      <c r="O2458" s="559">
        <f>'Progetto del paramento slu'!$G$60*(sezione!$AP$36-C2458)/C2458</f>
        <v>7.3751165967903074E-4</v>
      </c>
      <c r="P2458" s="553">
        <f>-'Progetto del paramento slu'!$G$47*'Progetto del paramento slu'!$G$41*IF(DATI!$G$218="dx",DATI!$E$61,DATI!$E$64*DATI!$E$63)*1000*C2458*sezione!$AD$5</f>
        <v>-3027178.3245372139</v>
      </c>
      <c r="Q2458" s="553">
        <f>'Foglio deposito bis'!$F$88*IF(ABS(K2458)&lt;'Progetto del paramento slu'!$G$58,ABS(K2458)*'Progetto del paramento slu'!$G$54,'Progetto del paramento slu'!$G$53)*IF(K2458&lt;0,-1,1)</f>
        <v>0</v>
      </c>
      <c r="R2458" s="553">
        <f>'Foglio deposito bis'!$F$89*IF(ABS(L2458)&lt;'Progetto del paramento slu'!$G$58,ABS(L2458)*'Progetto del paramento slu'!$G$54,'Progetto del paramento slu'!$G$53)*IF(L2458&lt;0,-1,1)</f>
        <v>-85374.920910536704</v>
      </c>
      <c r="S2458" s="553">
        <f>'Foglio deposito bis'!$F$90*IF(ABS(M2458)&lt;'Progetto del paramento slu'!$G$58,ABS(M2458)*'Progetto del paramento slu'!$G$54,'Progetto del paramento slu'!$G$53)*IF(M2458&lt;0,-1,1)</f>
        <v>0</v>
      </c>
      <c r="T2458" s="553">
        <f>'Foglio deposito bis'!$F$91*IF(ABS(N2458)&lt;'Progetto del paramento slu'!$G$58,ABS(N2458)*'Progetto del paramento slu'!$G$54,'Progetto del paramento slu'!$G$53)*IF(N2458&lt;0,-1,1)</f>
        <v>892485.49558937876</v>
      </c>
      <c r="U2458" s="553">
        <f>'Foglio deposito bis'!$F$92*IF(ABS(O2458)&lt;'Progetto del paramento slu'!$G$58,ABS(O2458)*'Progetto del paramento slu'!$G$54,'Progetto del paramento slu'!$G$53)*IF(O2458&lt;0,-1,1)</f>
        <v>645301.5010722155</v>
      </c>
      <c r="V2458" s="479">
        <f t="shared" si="182"/>
        <v>-1574766.2487861565</v>
      </c>
      <c r="W2458" s="559"/>
      <c r="X2458" s="559"/>
    </row>
    <row r="2459" spans="1:24" x14ac:dyDescent="0.25">
      <c r="A2459" s="553">
        <f t="shared" si="181"/>
        <v>1704448.3428785261</v>
      </c>
      <c r="B2459" s="3">
        <f t="shared" si="179"/>
        <v>53.899999999999942</v>
      </c>
      <c r="C2459" s="553">
        <f>'Foglio deposito bis'!$E$162/sezione!$B$247*B2459</f>
        <v>218.81575888674902</v>
      </c>
      <c r="D2459" s="611">
        <f>-'Progetto del paramento slu'!$G$47*'Progetto del paramento slu'!$G$41*IF(DATI!$G$218="dx",DATI!$E$61,DATI!$E$64*DATI!$E$63)*1000*C2459^2*sezione!$AD$5*(1-sezione!$AD$6)</f>
        <v>-394150917.23641711</v>
      </c>
      <c r="E2459" s="553">
        <f>-'Foglio deposito bis'!$F$88*(C2459-sezione!$AL$36)*IF(ABS(K2459)&lt;'Progetto del paramento slu'!$G$58,ABS(K2459)*'Progetto del paramento slu'!$G$54,'Progetto del paramento slu'!$G$53)</f>
        <v>0</v>
      </c>
      <c r="F2459" s="553">
        <f>-'Foglio deposito bis'!$F$89*(C2459-sezione!$AM$36)*IF(ABS(L2459)&lt;'Progetto del paramento slu'!$G$58,ABS(L2459)*'Progetto del paramento slu'!$G$54,'Progetto del paramento slu'!$G$53)</f>
        <v>-6127627.5668677501</v>
      </c>
      <c r="G2459" s="553">
        <f>-'Foglio deposito bis'!$F$90*(C2459-sezione!$AN$36)*IF(ABS(M2459)&lt;'Progetto del paramento slu'!$G$58,ABS(M2459)*'Progetto del paramento slu'!$G$54,'Progetto del paramento slu'!$G$53)</f>
        <v>0</v>
      </c>
      <c r="H2459" s="553">
        <f>-'Foglio deposito bis'!$F$91*(C2459-sezione!$AO$36)*IF(ABS(N2459)&lt;'Progetto del paramento slu'!$G$58,ABS(N2459)*'Progetto del paramento slu'!$G$54,'Progetto del paramento slu'!$G$53)</f>
        <v>108155177.48758256</v>
      </c>
      <c r="I2459" s="479">
        <f>-'Foglio deposito bis'!$F$92*(C2459-sezione!$AP$36)*IF(ABS(O2459)&lt;'Progetto del paramento slu'!$G$58,ABS(O2459)*'Progetto del paramento slu'!$G$54,'Progetto del paramento slu'!$G$53)</f>
        <v>23748432.951404478</v>
      </c>
      <c r="J2459" s="479">
        <f t="shared" si="180"/>
        <v>-268374934.36429784</v>
      </c>
      <c r="K2459" s="558">
        <f>'Progetto del paramento slu'!$G$60*(sezione!$AL$36-C2459)/C2459</f>
        <v>-2.860192333896487E-3</v>
      </c>
      <c r="L2459" s="558">
        <f>'Progetto del paramento slu'!$G$60*(sezione!$AM$36-C2459)/C2459</f>
        <v>-1.1007212521118252E-3</v>
      </c>
      <c r="M2459" s="559">
        <f>'Progetto del paramento slu'!$G$60*(sezione!$AN$36-C2459)/C2459</f>
        <v>6.5874982967283665E-4</v>
      </c>
      <c r="N2459" s="559">
        <f>'Progetto del paramento slu'!$G$60*(sezione!$AO$36-C2459)/C2459</f>
        <v>1.9383651618798633E-3</v>
      </c>
      <c r="O2459" s="559">
        <f>'Progetto del paramento slu'!$G$60*(sezione!$AP$36-C2459)/C2459</f>
        <v>6.5889363259778689E-4</v>
      </c>
      <c r="P2459" s="553">
        <f>-'Progetto del paramento slu'!$G$47*'Progetto del paramento slu'!$G$41*IF(DATI!$G$218="dx",DATI!$E$61,DATI!$E$64*DATI!$E$63)*1000*C2459*sezione!$AD$5</f>
        <v>-3084402.8675341369</v>
      </c>
      <c r="Q2459" s="553">
        <f>'Foglio deposito bis'!$F$88*IF(ABS(K2459)&lt;'Progetto del paramento slu'!$G$58,ABS(K2459)*'Progetto del paramento slu'!$G$54,'Progetto del paramento slu'!$G$53)*IF(K2459&lt;0,-1,1)</f>
        <v>0</v>
      </c>
      <c r="R2459" s="553">
        <f>'Foglio deposito bis'!$F$89*IF(ABS(L2459)&lt;'Progetto del paramento slu'!$G$58,ABS(L2459)*'Progetto del paramento slu'!$G$54,'Progetto del paramento slu'!$G$53)*IF(L2459&lt;0,-1,1)</f>
        <v>-89043.958331580216</v>
      </c>
      <c r="S2459" s="553">
        <f>'Foglio deposito bis'!$F$90*IF(ABS(M2459)&lt;'Progetto del paramento slu'!$G$58,ABS(M2459)*'Progetto del paramento slu'!$G$54,'Progetto del paramento slu'!$G$53)*IF(M2459&lt;0,-1,1)</f>
        <v>0</v>
      </c>
      <c r="T2459" s="553">
        <f>'Foglio deposito bis'!$F$91*IF(ABS(N2459)&lt;'Progetto del paramento slu'!$G$58,ABS(N2459)*'Progetto del paramento slu'!$G$54,'Progetto del paramento slu'!$G$53)*IF(N2459&lt;0,-1,1)</f>
        <v>892485.49558937876</v>
      </c>
      <c r="U2459" s="553">
        <f>'Foglio deposito bis'!$F$92*IF(ABS(O2459)&lt;'Progetto del paramento slu'!$G$58,ABS(O2459)*'Progetto del paramento slu'!$G$54,'Progetto del paramento slu'!$G$53)*IF(O2459&lt;0,-1,1)</f>
        <v>576512.98739781242</v>
      </c>
      <c r="V2459" s="479">
        <f t="shared" si="182"/>
        <v>-1704448.3428785261</v>
      </c>
      <c r="W2459" s="559"/>
      <c r="X2459" s="559"/>
    </row>
    <row r="2460" spans="1:24" x14ac:dyDescent="0.25">
      <c r="A2460" s="553">
        <f t="shared" si="181"/>
        <v>1859789.5150974202</v>
      </c>
      <c r="B2460" s="3">
        <f t="shared" si="179"/>
        <v>54.899999999999942</v>
      </c>
      <c r="C2460" s="553">
        <f>'Foglio deposito bis'!$E$162/sezione!$B$247*B2460</f>
        <v>222.87542046164234</v>
      </c>
      <c r="D2460" s="611">
        <f>-'Progetto del paramento slu'!$G$47*'Progetto del paramento slu'!$G$41*IF(DATI!$G$218="dx",DATI!$E$61,DATI!$E$64*DATI!$E$63)*1000*C2460^2*sezione!$AD$5*(1-sezione!$AD$6)</f>
        <v>-408911853.55266345</v>
      </c>
      <c r="E2460" s="553">
        <f>-'Foglio deposito bis'!$F$88*(C2460-sezione!$AL$36)*IF(ABS(K2460)&lt;'Progetto del paramento slu'!$G$58,ABS(K2460)*'Progetto del paramento slu'!$G$54,'Progetto del paramento slu'!$G$53)</f>
        <v>0</v>
      </c>
      <c r="F2460" s="553">
        <f>-'Foglio deposito bis'!$F$89*(C2460-sezione!$AM$36)*IF(ABS(L2460)&lt;'Progetto del paramento slu'!$G$58,ABS(L2460)*'Progetto del paramento slu'!$G$54,'Progetto del paramento slu'!$G$53)</f>
        <v>-6746757.8320752438</v>
      </c>
      <c r="G2460" s="553">
        <f>-'Foglio deposito bis'!$F$90*(C2460-sezione!$AN$36)*IF(ABS(M2460)&lt;'Progetto del paramento slu'!$G$58,ABS(M2460)*'Progetto del paramento slu'!$G$54,'Progetto del paramento slu'!$G$53)</f>
        <v>0</v>
      </c>
      <c r="H2460" s="553">
        <f>-'Foglio deposito bis'!$F$91*(C2460-sezione!$AO$36)*IF(ABS(N2460)&lt;'Progetto del paramento slu'!$G$58,ABS(N2460)*'Progetto del paramento slu'!$G$54,'Progetto del paramento slu'!$G$53)</f>
        <v>101217515.37183233</v>
      </c>
      <c r="I2460" s="479">
        <f>-'Foglio deposito bis'!$F$92*(C2460-sezione!$AP$36)*IF(ABS(O2460)&lt;'Progetto del paramento slu'!$G$58,ABS(O2460)*'Progetto del paramento slu'!$G$54,'Progetto del paramento slu'!$G$53)</f>
        <v>18946677.368012656</v>
      </c>
      <c r="J2460" s="479">
        <f t="shared" si="180"/>
        <v>-295494418.64489371</v>
      </c>
      <c r="K2460" s="558">
        <f>'Progetto del paramento slu'!$G$60*(sezione!$AL$36-C2460)/C2460</f>
        <v>-2.871846389745367E-3</v>
      </c>
      <c r="L2460" s="558">
        <f>'Progetto del paramento slu'!$G$60*(sezione!$AM$36-C2460)/C2460</f>
        <v>-1.1444239615451251E-3</v>
      </c>
      <c r="M2460" s="559">
        <f>'Progetto del paramento slu'!$G$60*(sezione!$AN$36-C2460)/C2460</f>
        <v>5.829984666551164E-4</v>
      </c>
      <c r="N2460" s="559">
        <f>'Progetto del paramento slu'!$G$60*(sezione!$AO$36-C2460)/C2460</f>
        <v>1.8393056871643832E-3</v>
      </c>
      <c r="O2460" s="559">
        <f>'Progetto del paramento slu'!$G$60*(sezione!$AP$36-C2460)/C2460</f>
        <v>5.8313965021895636E-4</v>
      </c>
      <c r="P2460" s="553">
        <f>-'Progetto del paramento slu'!$G$47*'Progetto del paramento slu'!$G$41*IF(DATI!$G$218="dx",DATI!$E$61,DATI!$E$64*DATI!$E$63)*1000*C2460*sezione!$AD$5</f>
        <v>-3141627.4105310594</v>
      </c>
      <c r="Q2460" s="553">
        <f>'Foglio deposito bis'!$F$88*IF(ABS(K2460)&lt;'Progetto del paramento slu'!$G$58,ABS(K2460)*'Progetto del paramento slu'!$G$54,'Progetto del paramento slu'!$G$53)*IF(K2460&lt;0,-1,1)</f>
        <v>0</v>
      </c>
      <c r="R2460" s="553">
        <f>'Foglio deposito bis'!$F$89*IF(ABS(L2460)&lt;'Progetto del paramento slu'!$G$58,ABS(L2460)*'Progetto del paramento slu'!$G$54,'Progetto del paramento slu'!$G$53)*IF(L2460&lt;0,-1,1)</f>
        <v>-92579.333187194032</v>
      </c>
      <c r="S2460" s="553">
        <f>'Foglio deposito bis'!$F$90*IF(ABS(M2460)&lt;'Progetto del paramento slu'!$G$58,ABS(M2460)*'Progetto del paramento slu'!$G$54,'Progetto del paramento slu'!$G$53)*IF(M2460&lt;0,-1,1)</f>
        <v>0</v>
      </c>
      <c r="T2460" s="553">
        <f>'Foglio deposito bis'!$F$91*IF(ABS(N2460)&lt;'Progetto del paramento slu'!$G$58,ABS(N2460)*'Progetto del paramento slu'!$G$54,'Progetto del paramento slu'!$G$53)*IF(N2460&lt;0,-1,1)</f>
        <v>864186.79811511422</v>
      </c>
      <c r="U2460" s="553">
        <f>'Foglio deposito bis'!$F$92*IF(ABS(O2460)&lt;'Progetto del paramento slu'!$G$58,ABS(O2460)*'Progetto del paramento slu'!$G$54,'Progetto del paramento slu'!$G$53)*IF(O2460&lt;0,-1,1)</f>
        <v>510230.43050571915</v>
      </c>
      <c r="V2460" s="479">
        <f t="shared" si="182"/>
        <v>-1859789.5150974202</v>
      </c>
      <c r="W2460" s="559"/>
      <c r="X2460" s="559"/>
    </row>
    <row r="2461" spans="1:24" x14ac:dyDescent="0.25">
      <c r="A2461" s="553">
        <f t="shared" si="181"/>
        <v>2029211.3287109355</v>
      </c>
      <c r="B2461" s="3">
        <f t="shared" si="179"/>
        <v>55.899999999999942</v>
      </c>
      <c r="C2461" s="553">
        <f>'Foglio deposito bis'!$E$162/sezione!$B$247*B2461</f>
        <v>226.93508203653565</v>
      </c>
      <c r="D2461" s="611">
        <f>-'Progetto del paramento slu'!$G$47*'Progetto del paramento slu'!$G$41*IF(DATI!$G$218="dx",DATI!$E$61,DATI!$E$64*DATI!$E$63)*1000*C2461^2*sezione!$AD$5*(1-sezione!$AD$6)</f>
        <v>-423944130.61001742</v>
      </c>
      <c r="E2461" s="553">
        <f>-'Foglio deposito bis'!$F$88*(C2461-sezione!$AL$36)*IF(ABS(K2461)&lt;'Progetto del paramento slu'!$G$58,ABS(K2461)*'Progetto del paramento slu'!$G$54,'Progetto del paramento slu'!$G$53)</f>
        <v>0</v>
      </c>
      <c r="F2461" s="553">
        <f>-'Foglio deposito bis'!$F$89*(C2461-sezione!$AM$36)*IF(ABS(L2461)&lt;'Progetto del paramento slu'!$G$58,ABS(L2461)*'Progetto del paramento slu'!$G$54,'Progetto del paramento slu'!$G$53)</f>
        <v>-7384861.4864899684</v>
      </c>
      <c r="G2461" s="553">
        <f>-'Foglio deposito bis'!$F$90*(C2461-sezione!$AN$36)*IF(ABS(M2461)&lt;'Progetto del paramento slu'!$G$58,ABS(M2461)*'Progetto del paramento slu'!$G$54,'Progetto del paramento slu'!$G$53)</f>
        <v>0</v>
      </c>
      <c r="H2461" s="553">
        <f>-'Foglio deposito bis'!$F$91*(C2461-sezione!$AO$36)*IF(ABS(N2461)&lt;'Progetto del paramento slu'!$G$58,ABS(N2461)*'Progetto del paramento slu'!$G$54,'Progetto del paramento slu'!$G$53)</f>
        <v>92635161.522245377</v>
      </c>
      <c r="I2461" s="479">
        <f>-'Foglio deposito bis'!$F$92*(C2461-sezione!$AP$36)*IF(ABS(O2461)&lt;'Progetto del paramento slu'!$G$58,ABS(O2461)*'Progetto del paramento slu'!$G$54,'Progetto del paramento slu'!$G$53)</f>
        <v>14761525.029616322</v>
      </c>
      <c r="J2461" s="479">
        <f t="shared" si="180"/>
        <v>-323932305.54464573</v>
      </c>
      <c r="K2461" s="558">
        <f>'Progetto del paramento slu'!$G$60*(sezione!$AL$36-C2461)/C2461</f>
        <v>-2.8830834847409772E-3</v>
      </c>
      <c r="L2461" s="558">
        <f>'Progetto del paramento slu'!$G$60*(sezione!$AM$36-C2461)/C2461</f>
        <v>-1.1865630677786651E-3</v>
      </c>
      <c r="M2461" s="559">
        <f>'Progetto del paramento slu'!$G$60*(sezione!$AN$36-C2461)/C2461</f>
        <v>5.0995734918364728E-4</v>
      </c>
      <c r="N2461" s="559">
        <f>'Progetto del paramento slu'!$G$60*(sezione!$AO$36-C2461)/C2461</f>
        <v>1.7437903797016927E-3</v>
      </c>
      <c r="O2461" s="559">
        <f>'Progetto del paramento slu'!$G$60*(sezione!$AP$36-C2461)/C2461</f>
        <v>5.1009600710233795E-4</v>
      </c>
      <c r="P2461" s="553">
        <f>-'Progetto del paramento slu'!$G$47*'Progetto del paramento slu'!$G$41*IF(DATI!$G$218="dx",DATI!$E$61,DATI!$E$64*DATI!$E$63)*1000*C2461*sezione!$AD$5</f>
        <v>-3198851.9535279823</v>
      </c>
      <c r="Q2461" s="553">
        <f>'Foglio deposito bis'!$F$88*IF(ABS(K2461)&lt;'Progetto del paramento slu'!$G$58,ABS(K2461)*'Progetto del paramento slu'!$G$54,'Progetto del paramento slu'!$G$53)*IF(K2461&lt;0,-1,1)</f>
        <v>0</v>
      </c>
      <c r="R2461" s="553">
        <f>'Foglio deposito bis'!$F$89*IF(ABS(L2461)&lt;'Progetto del paramento slu'!$G$58,ABS(L2461)*'Progetto del paramento slu'!$G$54,'Progetto del paramento slu'!$G$53)*IF(L2461&lt;0,-1,1)</f>
        <v>-95988.21878142636</v>
      </c>
      <c r="S2461" s="553">
        <f>'Foglio deposito bis'!$F$90*IF(ABS(M2461)&lt;'Progetto del paramento slu'!$G$58,ABS(M2461)*'Progetto del paramento slu'!$G$54,'Progetto del paramento slu'!$G$53)*IF(M2461&lt;0,-1,1)</f>
        <v>0</v>
      </c>
      <c r="T2461" s="553">
        <f>'Foglio deposito bis'!$F$91*IF(ABS(N2461)&lt;'Progetto del paramento slu'!$G$58,ABS(N2461)*'Progetto del paramento slu'!$G$54,'Progetto del paramento slu'!$G$53)*IF(N2461&lt;0,-1,1)</f>
        <v>819309.50104416464</v>
      </c>
      <c r="U2461" s="553">
        <f>'Foglio deposito bis'!$F$92*IF(ABS(O2461)&lt;'Progetto del paramento slu'!$G$58,ABS(O2461)*'Progetto del paramento slu'!$G$54,'Progetto del paramento slu'!$G$53)*IF(O2461&lt;0,-1,1)</f>
        <v>446319.34255430888</v>
      </c>
      <c r="V2461" s="479">
        <f t="shared" si="182"/>
        <v>-2029211.3287109355</v>
      </c>
      <c r="W2461" s="559"/>
      <c r="X2461" s="559"/>
    </row>
    <row r="2462" spans="1:24" x14ac:dyDescent="0.25">
      <c r="A2462" s="553">
        <f t="shared" si="181"/>
        <v>2194689.4772764156</v>
      </c>
      <c r="B2462" s="3">
        <f t="shared" si="179"/>
        <v>56.899999999999942</v>
      </c>
      <c r="C2462" s="553">
        <f>'Foglio deposito bis'!$E$162/sezione!$B$247*B2462</f>
        <v>230.99474361142896</v>
      </c>
      <c r="D2462" s="611">
        <f>-'Progetto del paramento slu'!$G$47*'Progetto del paramento slu'!$G$41*IF(DATI!$G$218="dx",DATI!$E$61,DATI!$E$64*DATI!$E$63)*1000*C2462^2*sezione!$AD$5*(1-sezione!$AD$6)</f>
        <v>-439247748.40847868</v>
      </c>
      <c r="E2462" s="553">
        <f>-'Foglio deposito bis'!$F$88*(C2462-sezione!$AL$36)*IF(ABS(K2462)&lt;'Progetto del paramento slu'!$G$58,ABS(K2462)*'Progetto del paramento slu'!$G$54,'Progetto del paramento slu'!$G$53)</f>
        <v>0</v>
      </c>
      <c r="F2462" s="553">
        <f>-'Foglio deposito bis'!$F$89*(C2462-sezione!$AM$36)*IF(ABS(L2462)&lt;'Progetto del paramento slu'!$G$58,ABS(L2462)*'Progetto del paramento slu'!$G$54,'Progetto del paramento slu'!$G$53)</f>
        <v>-8040938.1756721754</v>
      </c>
      <c r="G2462" s="553">
        <f>-'Foglio deposito bis'!$F$90*(C2462-sezione!$AN$36)*IF(ABS(M2462)&lt;'Progetto del paramento slu'!$G$58,ABS(M2462)*'Progetto del paramento slu'!$G$54,'Progetto del paramento slu'!$G$53)</f>
        <v>0</v>
      </c>
      <c r="H2462" s="553">
        <f>-'Foglio deposito bis'!$F$91*(C2462-sezione!$AO$36)*IF(ABS(N2462)&lt;'Progetto del paramento slu'!$G$58,ABS(N2462)*'Progetto del paramento slu'!$G$54,'Progetto del paramento slu'!$G$53)</f>
        <v>84589126.864367485</v>
      </c>
      <c r="I2462" s="479">
        <f>-'Foglio deposito bis'!$F$92*(C2462-sezione!$AP$36)*IF(ABS(O2462)&lt;'Progetto del paramento slu'!$G$58,ABS(O2462)*'Progetto del paramento slu'!$G$54,'Progetto del paramento slu'!$G$53)</f>
        <v>11160466.099045251</v>
      </c>
      <c r="J2462" s="479">
        <f t="shared" si="180"/>
        <v>-351539093.62073809</v>
      </c>
      <c r="K2462" s="558">
        <f>'Progetto del paramento slu'!$G$60*(sezione!$AL$36-C2462)/C2462</f>
        <v>-2.8939256027595891E-3</v>
      </c>
      <c r="L2462" s="558">
        <f>'Progetto del paramento slu'!$G$60*(sezione!$AM$36-C2462)/C2462</f>
        <v>-1.2272210103484603E-3</v>
      </c>
      <c r="M2462" s="559">
        <f>'Progetto del paramento slu'!$G$60*(sezione!$AN$36-C2462)/C2462</f>
        <v>4.3948358206266912E-4</v>
      </c>
      <c r="N2462" s="559">
        <f>'Progetto del paramento slu'!$G$60*(sezione!$AO$36-C2462)/C2462</f>
        <v>1.6516323765434903E-3</v>
      </c>
      <c r="O2462" s="559">
        <f>'Progetto del paramento slu'!$G$60*(sezione!$AP$36-C2462)/C2462</f>
        <v>4.3961980311108413E-4</v>
      </c>
      <c r="P2462" s="553">
        <f>-'Progetto del paramento slu'!$G$47*'Progetto del paramento slu'!$G$41*IF(DATI!$G$218="dx",DATI!$E$61,DATI!$E$64*DATI!$E$63)*1000*C2462*sezione!$AD$5</f>
        <v>-3256076.4965249053</v>
      </c>
      <c r="Q2462" s="553">
        <f>'Foglio deposito bis'!$F$88*IF(ABS(K2462)&lt;'Progetto del paramento slu'!$G$58,ABS(K2462)*'Progetto del paramento slu'!$G$54,'Progetto del paramento slu'!$G$53)*IF(K2462&lt;0,-1,1)</f>
        <v>0</v>
      </c>
      <c r="R2462" s="553">
        <f>'Foglio deposito bis'!$F$89*IF(ABS(L2462)&lt;'Progetto del paramento slu'!$G$58,ABS(L2462)*'Progetto del paramento slu'!$G$54,'Progetto del paramento slu'!$G$53)*IF(L2462&lt;0,-1,1)</f>
        <v>-99277.284143875469</v>
      </c>
      <c r="S2462" s="553">
        <f>'Foglio deposito bis'!$F$90*IF(ABS(M2462)&lt;'Progetto del paramento slu'!$G$58,ABS(M2462)*'Progetto del paramento slu'!$G$54,'Progetto del paramento slu'!$G$53)*IF(M2462&lt;0,-1,1)</f>
        <v>0</v>
      </c>
      <c r="T2462" s="553">
        <f>'Foglio deposito bis'!$F$91*IF(ABS(N2462)&lt;'Progetto del paramento slu'!$G$58,ABS(N2462)*'Progetto del paramento slu'!$G$54,'Progetto del paramento slu'!$G$53)*IF(N2462&lt;0,-1,1)</f>
        <v>776009.61336059449</v>
      </c>
      <c r="U2462" s="553">
        <f>'Foglio deposito bis'!$F$92*IF(ABS(O2462)&lt;'Progetto del paramento slu'!$G$58,ABS(O2462)*'Progetto del paramento slu'!$G$54,'Progetto del paramento slu'!$G$53)*IF(O2462&lt;0,-1,1)</f>
        <v>384654.69003177085</v>
      </c>
      <c r="V2462" s="479">
        <f t="shared" si="182"/>
        <v>-2194689.4772764156</v>
      </c>
      <c r="W2462" s="559"/>
      <c r="X2462" s="559"/>
    </row>
    <row r="2463" spans="1:24" x14ac:dyDescent="0.25">
      <c r="A2463" s="553">
        <f t="shared" si="181"/>
        <v>2356428.2957704426</v>
      </c>
      <c r="B2463" s="3">
        <f t="shared" si="179"/>
        <v>57.899999999999942</v>
      </c>
      <c r="C2463" s="553">
        <f>'Foglio deposito bis'!$E$162/sezione!$B$247*B2463</f>
        <v>235.05440518632227</v>
      </c>
      <c r="D2463" s="611">
        <f>-'Progetto del paramento slu'!$G$47*'Progetto del paramento slu'!$G$41*IF(DATI!$G$218="dx",DATI!$E$61,DATI!$E$64*DATI!$E$63)*1000*C2463^2*sezione!$AD$5*(1-sezione!$AD$6)</f>
        <v>-454822706.94804758</v>
      </c>
      <c r="E2463" s="553">
        <f>-'Foglio deposito bis'!$F$88*(C2463-sezione!$AL$36)*IF(ABS(K2463)&lt;'Progetto del paramento slu'!$G$58,ABS(K2463)*'Progetto del paramento slu'!$G$54,'Progetto del paramento slu'!$G$53)</f>
        <v>0</v>
      </c>
      <c r="F2463" s="553">
        <f>-'Foglio deposito bis'!$F$89*(C2463-sezione!$AM$36)*IF(ABS(L2463)&lt;'Progetto del paramento slu'!$G$58,ABS(L2463)*'Progetto del paramento slu'!$G$54,'Progetto del paramento slu'!$G$53)</f>
        <v>-8714056.6542971227</v>
      </c>
      <c r="G2463" s="553">
        <f>-'Foglio deposito bis'!$F$90*(C2463-sezione!$AN$36)*IF(ABS(M2463)&lt;'Progetto del paramento slu'!$G$58,ABS(M2463)*'Progetto del paramento slu'!$G$54,'Progetto del paramento slu'!$G$53)</f>
        <v>0</v>
      </c>
      <c r="H2463" s="553">
        <f>-'Foglio deposito bis'!$F$91*(C2463-sezione!$AO$36)*IF(ABS(N2463)&lt;'Progetto del paramento slu'!$G$58,ABS(N2463)*'Progetto del paramento slu'!$G$54,'Progetto del paramento slu'!$G$53)</f>
        <v>77051622.839042768</v>
      </c>
      <c r="I2463" s="479">
        <f>-'Foglio deposito bis'!$F$92*(C2463-sezione!$AP$36)*IF(ABS(O2463)&lt;'Progetto del paramento slu'!$G$58,ABS(O2463)*'Progetto del paramento slu'!$G$54,'Progetto del paramento slu'!$G$53)</f>
        <v>8113236.6691582287</v>
      </c>
      <c r="J2463" s="479">
        <f t="shared" si="180"/>
        <v>-378371904.09414369</v>
      </c>
      <c r="K2463" s="558">
        <f>'Progetto del paramento slu'!$G$60*(sezione!$AL$36-C2463)/C2463</f>
        <v>-2.9043932089295446E-3</v>
      </c>
      <c r="L2463" s="558">
        <f>'Progetto del paramento slu'!$G$60*(sezione!$AM$36-C2463)/C2463</f>
        <v>-1.2664745334857925E-3</v>
      </c>
      <c r="M2463" s="559">
        <f>'Progetto del paramento slu'!$G$60*(sezione!$AN$36-C2463)/C2463</f>
        <v>3.7144414195795967E-4</v>
      </c>
      <c r="N2463" s="559">
        <f>'Progetto del paramento slu'!$G$60*(sezione!$AO$36-C2463)/C2463</f>
        <v>1.5626577240988703E-3</v>
      </c>
      <c r="O2463" s="559">
        <f>'Progetto del paramento slu'!$G$60*(sezione!$AP$36-C2463)/C2463</f>
        <v>3.7157801031123793E-4</v>
      </c>
      <c r="P2463" s="553">
        <f>-'Progetto del paramento slu'!$G$47*'Progetto del paramento slu'!$G$41*IF(DATI!$G$218="dx",DATI!$E$61,DATI!$E$64*DATI!$E$63)*1000*C2463*sezione!$AD$5</f>
        <v>-3313301.0395218283</v>
      </c>
      <c r="Q2463" s="553">
        <f>'Foglio deposito bis'!$F$88*IF(ABS(K2463)&lt;'Progetto del paramento slu'!$G$58,ABS(K2463)*'Progetto del paramento slu'!$G$54,'Progetto del paramento slu'!$G$53)*IF(K2463&lt;0,-1,1)</f>
        <v>0</v>
      </c>
      <c r="R2463" s="553">
        <f>'Foglio deposito bis'!$F$89*IF(ABS(L2463)&lt;'Progetto del paramento slu'!$G$58,ABS(L2463)*'Progetto del paramento slu'!$G$54,'Progetto del paramento slu'!$G$53)*IF(L2463&lt;0,-1,1)</f>
        <v>-102452.73757670629</v>
      </c>
      <c r="S2463" s="553">
        <f>'Foglio deposito bis'!$F$90*IF(ABS(M2463)&lt;'Progetto del paramento slu'!$G$58,ABS(M2463)*'Progetto del paramento slu'!$G$54,'Progetto del paramento slu'!$G$53)*IF(M2463&lt;0,-1,1)</f>
        <v>0</v>
      </c>
      <c r="T2463" s="553">
        <f>'Foglio deposito bis'!$F$91*IF(ABS(N2463)&lt;'Progetto del paramento slu'!$G$58,ABS(N2463)*'Progetto del paramento slu'!$G$54,'Progetto del paramento slu'!$G$53)*IF(N2463&lt;0,-1,1)</f>
        <v>734205.40400806325</v>
      </c>
      <c r="U2463" s="553">
        <f>'Foglio deposito bis'!$F$92*IF(ABS(O2463)&lt;'Progetto del paramento slu'!$G$58,ABS(O2463)*'Progetto del paramento slu'!$G$54,'Progetto del paramento slu'!$G$53)*IF(O2463&lt;0,-1,1)</f>
        <v>325120.0773200285</v>
      </c>
      <c r="V2463" s="479">
        <f t="shared" si="182"/>
        <v>-2356428.2957704426</v>
      </c>
      <c r="W2463" s="559"/>
      <c r="X2463" s="559"/>
    </row>
    <row r="2464" spans="1:24" x14ac:dyDescent="0.25">
      <c r="A2464" s="553">
        <f t="shared" si="181"/>
        <v>2514618.2424309505</v>
      </c>
      <c r="B2464" s="3">
        <f t="shared" si="179"/>
        <v>58.899999999999942</v>
      </c>
      <c r="C2464" s="553">
        <f>'Foglio deposito bis'!$E$162/sezione!$B$247*B2464</f>
        <v>239.11406676121555</v>
      </c>
      <c r="D2464" s="611">
        <f>-'Progetto del paramento slu'!$G$47*'Progetto del paramento slu'!$G$41*IF(DATI!$G$218="dx",DATI!$E$61,DATI!$E$64*DATI!$E$63)*1000*C2464^2*sezione!$AD$5*(1-sezione!$AD$6)</f>
        <v>-470669006.22872382</v>
      </c>
      <c r="E2464" s="553">
        <f>-'Foglio deposito bis'!$F$88*(C2464-sezione!$AL$36)*IF(ABS(K2464)&lt;'Progetto del paramento slu'!$G$58,ABS(K2464)*'Progetto del paramento slu'!$G$54,'Progetto del paramento slu'!$G$53)</f>
        <v>0</v>
      </c>
      <c r="F2464" s="553">
        <f>-'Foglio deposito bis'!$F$89*(C2464-sezione!$AM$36)*IF(ABS(L2464)&lt;'Progetto del paramento slu'!$G$58,ABS(L2464)*'Progetto del paramento slu'!$G$54,'Progetto del paramento slu'!$G$53)</f>
        <v>-9403348.9195069429</v>
      </c>
      <c r="G2464" s="553">
        <f>-'Foglio deposito bis'!$F$90*(C2464-sezione!$AN$36)*IF(ABS(M2464)&lt;'Progetto del paramento slu'!$G$58,ABS(M2464)*'Progetto del paramento slu'!$G$54,'Progetto del paramento slu'!$G$53)</f>
        <v>0</v>
      </c>
      <c r="H2464" s="553">
        <f>-'Foglio deposito bis'!$F$91*(C2464-sezione!$AO$36)*IF(ABS(N2464)&lt;'Progetto del paramento slu'!$G$58,ABS(N2464)*'Progetto del paramento slu'!$G$54,'Progetto del paramento slu'!$G$53)</f>
        <v>69996748.055818602</v>
      </c>
      <c r="I2464" s="479">
        <f>-'Foglio deposito bis'!$F$92*(C2464-sezione!$AP$36)*IF(ABS(O2464)&lt;'Progetto del paramento slu'!$G$58,ABS(O2464)*'Progetto del paramento slu'!$G$54,'Progetto del paramento slu'!$G$53)</f>
        <v>5591628.1066436907</v>
      </c>
      <c r="J2464" s="479">
        <f t="shared" si="180"/>
        <v>-404483978.9857685</v>
      </c>
      <c r="K2464" s="558">
        <f>'Progetto del paramento slu'!$G$60*(sezione!$AL$36-C2464)/C2464</f>
        <v>-2.9145053785572263E-3</v>
      </c>
      <c r="L2464" s="558">
        <f>'Progetto del paramento slu'!$G$60*(sezione!$AM$36-C2464)/C2464</f>
        <v>-1.304395169589599E-3</v>
      </c>
      <c r="M2464" s="559">
        <f>'Progetto del paramento slu'!$G$60*(sezione!$AN$36-C2464)/C2464</f>
        <v>3.0571503937802858E-4</v>
      </c>
      <c r="N2464" s="559">
        <f>'Progetto del paramento slu'!$G$60*(sezione!$AO$36-C2464)/C2464</f>
        <v>1.4767042822635757E-3</v>
      </c>
      <c r="O2464" s="559">
        <f>'Progetto del paramento slu'!$G$60*(sezione!$AP$36-C2464)/C2464</f>
        <v>3.0584663492395068E-4</v>
      </c>
      <c r="P2464" s="553">
        <f>-'Progetto del paramento slu'!$G$47*'Progetto del paramento slu'!$G$41*IF(DATI!$G$218="dx",DATI!$E$61,DATI!$E$64*DATI!$E$63)*1000*C2464*sezione!$AD$5</f>
        <v>-3370525.5825187503</v>
      </c>
      <c r="Q2464" s="553">
        <f>'Foglio deposito bis'!$F$88*IF(ABS(K2464)&lt;'Progetto del paramento slu'!$G$58,ABS(K2464)*'Progetto del paramento slu'!$G$54,'Progetto del paramento slu'!$G$53)*IF(K2464&lt;0,-1,1)</f>
        <v>0</v>
      </c>
      <c r="R2464" s="553">
        <f>'Foglio deposito bis'!$F$89*IF(ABS(L2464)&lt;'Progetto del paramento slu'!$G$58,ABS(L2464)*'Progetto del paramento slu'!$G$54,'Progetto del paramento slu'!$G$53)*IF(L2464&lt;0,-1,1)</f>
        <v>-105520.36576563794</v>
      </c>
      <c r="S2464" s="553">
        <f>'Foglio deposito bis'!$F$90*IF(ABS(M2464)&lt;'Progetto del paramento slu'!$G$58,ABS(M2464)*'Progetto del paramento slu'!$G$54,'Progetto del paramento slu'!$G$53)*IF(M2464&lt;0,-1,1)</f>
        <v>0</v>
      </c>
      <c r="T2464" s="553">
        <f>'Foglio deposito bis'!$F$91*IF(ABS(N2464)&lt;'Progetto del paramento slu'!$G$58,ABS(N2464)*'Progetto del paramento slu'!$G$54,'Progetto del paramento slu'!$G$53)*IF(N2464&lt;0,-1,1)</f>
        <v>693820.69242641609</v>
      </c>
      <c r="U2464" s="553">
        <f>'Foglio deposito bis'!$F$92*IF(ABS(O2464)&lt;'Progetto del paramento slu'!$G$58,ABS(O2464)*'Progetto del paramento slu'!$G$54,'Progetto del paramento slu'!$G$53)*IF(O2464&lt;0,-1,1)</f>
        <v>267607.01342702151</v>
      </c>
      <c r="V2464" s="479">
        <f t="shared" si="182"/>
        <v>-2514618.2424309505</v>
      </c>
      <c r="W2464" s="559"/>
      <c r="X2464" s="559"/>
    </row>
    <row r="2465" spans="1:24" x14ac:dyDescent="0.25">
      <c r="A2465" s="553">
        <f t="shared" si="181"/>
        <v>2669437.0570826596</v>
      </c>
      <c r="B2465" s="3">
        <f t="shared" si="179"/>
        <v>59.899999999999942</v>
      </c>
      <c r="C2465" s="553">
        <f>'Foglio deposito bis'!$E$162/sezione!$B$247*B2465</f>
        <v>243.17372833610887</v>
      </c>
      <c r="D2465" s="611">
        <f>-'Progetto del paramento slu'!$G$47*'Progetto del paramento slu'!$G$41*IF(DATI!$G$218="dx",DATI!$E$61,DATI!$E$64*DATI!$E$63)*1000*C2465^2*sezione!$AD$5*(1-sezione!$AD$6)</f>
        <v>-486786646.25050753</v>
      </c>
      <c r="E2465" s="553">
        <f>-'Foglio deposito bis'!$F$88*(C2465-sezione!$AL$36)*IF(ABS(K2465)&lt;'Progetto del paramento slu'!$G$58,ABS(K2465)*'Progetto del paramento slu'!$G$54,'Progetto del paramento slu'!$G$53)</f>
        <v>0</v>
      </c>
      <c r="F2465" s="553">
        <f>-'Foglio deposito bis'!$F$89*(C2465-sezione!$AM$36)*IF(ABS(L2465)&lt;'Progetto del paramento slu'!$G$58,ABS(L2465)*'Progetto del paramento slu'!$G$54,'Progetto del paramento slu'!$G$53)</f>
        <v>-10108004.931906743</v>
      </c>
      <c r="G2465" s="553">
        <f>-'Foglio deposito bis'!$F$90*(C2465-sezione!$AN$36)*IF(ABS(M2465)&lt;'Progetto del paramento slu'!$G$58,ABS(M2465)*'Progetto del paramento slu'!$G$54,'Progetto del paramento slu'!$G$53)</f>
        <v>0</v>
      </c>
      <c r="H2465" s="553">
        <f>-'Foglio deposito bis'!$F$91*(C2465-sezione!$AO$36)*IF(ABS(N2465)&lt;'Progetto del paramento slu'!$G$58,ABS(N2465)*'Progetto del paramento slu'!$G$54,'Progetto del paramento slu'!$G$53)</f>
        <v>63400330.76634267</v>
      </c>
      <c r="I2465" s="479">
        <f>-'Foglio deposito bis'!$F$92*(C2465-sezione!$AP$36)*IF(ABS(O2465)&lt;'Progetto del paramento slu'!$G$58,ABS(O2465)*'Progetto del paramento slu'!$G$54,'Progetto del paramento slu'!$G$53)</f>
        <v>3569315.49326926</v>
      </c>
      <c r="J2465" s="479">
        <f t="shared" si="180"/>
        <v>-429925004.92280239</v>
      </c>
      <c r="K2465" s="558">
        <f>'Progetto del paramento slu'!$G$60*(sezione!$AL$36-C2465)/C2465</f>
        <v>-2.9242799131389088E-3</v>
      </c>
      <c r="L2465" s="558">
        <f>'Progetto del paramento slu'!$G$60*(sezione!$AM$36-C2465)/C2465</f>
        <v>-1.341049674270908E-3</v>
      </c>
      <c r="M2465" s="559">
        <f>'Progetto del paramento slu'!$G$60*(sezione!$AN$36-C2465)/C2465</f>
        <v>2.4218056459709305E-4</v>
      </c>
      <c r="N2465" s="559">
        <f>'Progetto del paramento slu'!$G$60*(sezione!$AO$36-C2465)/C2465</f>
        <v>1.3936207383192757E-3</v>
      </c>
      <c r="O2465" s="559">
        <f>'Progetto del paramento slu'!$G$60*(sezione!$AP$36-C2465)/C2465</f>
        <v>2.4230996322238213E-4</v>
      </c>
      <c r="P2465" s="553">
        <f>-'Progetto del paramento slu'!$G$47*'Progetto del paramento slu'!$G$41*IF(DATI!$G$218="dx",DATI!$E$61,DATI!$E$64*DATI!$E$63)*1000*C2465*sezione!$AD$5</f>
        <v>-3427750.1255156733</v>
      </c>
      <c r="Q2465" s="553">
        <f>'Foglio deposito bis'!$F$88*IF(ABS(K2465)&lt;'Progetto del paramento slu'!$G$58,ABS(K2465)*'Progetto del paramento slu'!$G$54,'Progetto del paramento slu'!$G$53)*IF(K2465&lt;0,-1,1)</f>
        <v>0</v>
      </c>
      <c r="R2465" s="553">
        <f>'Foglio deposito bis'!$F$89*IF(ABS(L2465)&lt;'Progetto del paramento slu'!$G$58,ABS(L2465)*'Progetto del paramento slu'!$G$54,'Progetto del paramento slu'!$G$53)*IF(L2465&lt;0,-1,1)</f>
        <v>-108485.56897330309</v>
      </c>
      <c r="S2465" s="553">
        <f>'Foglio deposito bis'!$F$90*IF(ABS(M2465)&lt;'Progetto del paramento slu'!$G$58,ABS(M2465)*'Progetto del paramento slu'!$G$54,'Progetto del paramento slu'!$G$53)*IF(M2465&lt;0,-1,1)</f>
        <v>0</v>
      </c>
      <c r="T2465" s="553">
        <f>'Foglio deposito bis'!$F$91*IF(ABS(N2465)&lt;'Progetto del paramento slu'!$G$58,ABS(N2465)*'Progetto del paramento slu'!$G$54,'Progetto del paramento slu'!$G$53)*IF(N2465&lt;0,-1,1)</f>
        <v>654784.38523814594</v>
      </c>
      <c r="U2465" s="553">
        <f>'Foglio deposito bis'!$F$92*IF(ABS(O2465)&lt;'Progetto del paramento slu'!$G$58,ABS(O2465)*'Progetto del paramento slu'!$G$54,'Progetto del paramento slu'!$G$53)*IF(O2465&lt;0,-1,1)</f>
        <v>212014.25216817128</v>
      </c>
      <c r="V2465" s="479">
        <f t="shared" si="182"/>
        <v>-2669437.0570826596</v>
      </c>
      <c r="W2465" s="559"/>
      <c r="X2465" s="559"/>
    </row>
    <row r="2466" spans="1:24" x14ac:dyDescent="0.25">
      <c r="A2466" s="553">
        <f t="shared" si="181"/>
        <v>2821050.8053417634</v>
      </c>
      <c r="B2466" s="3">
        <f t="shared" si="179"/>
        <v>60.899999999999942</v>
      </c>
      <c r="C2466" s="553">
        <f>'Foglio deposito bis'!$E$162/sezione!$B$247*B2466</f>
        <v>247.23338991100218</v>
      </c>
      <c r="D2466" s="611">
        <f>-'Progetto del paramento slu'!$G$47*'Progetto del paramento slu'!$G$41*IF(DATI!$G$218="dx",DATI!$E$61,DATI!$E$64*DATI!$E$63)*1000*C2466^2*sezione!$AD$5*(1-sezione!$AD$6)</f>
        <v>-503175627.01339883</v>
      </c>
      <c r="E2466" s="553">
        <f>-'Foglio deposito bis'!$F$88*(C2466-sezione!$AL$36)*IF(ABS(K2466)&lt;'Progetto del paramento slu'!$G$58,ABS(K2466)*'Progetto del paramento slu'!$G$54,'Progetto del paramento slu'!$G$53)</f>
        <v>0</v>
      </c>
      <c r="F2466" s="553">
        <f>-'Foglio deposito bis'!$F$89*(C2466-sezione!$AM$36)*IF(ABS(L2466)&lt;'Progetto del paramento slu'!$G$58,ABS(L2466)*'Progetto del paramento slu'!$G$54,'Progetto del paramento slu'!$G$53)</f>
        <v>-10827267.856659571</v>
      </c>
      <c r="G2466" s="553">
        <f>-'Foglio deposito bis'!$F$90*(C2466-sezione!$AN$36)*IF(ABS(M2466)&lt;'Progetto del paramento slu'!$G$58,ABS(M2466)*'Progetto del paramento slu'!$G$54,'Progetto del paramento slu'!$G$53)</f>
        <v>0</v>
      </c>
      <c r="H2466" s="553">
        <f>-'Foglio deposito bis'!$F$91*(C2466-sezione!$AO$36)*IF(ABS(N2466)&lt;'Progetto del paramento slu'!$G$58,ABS(N2466)*'Progetto del paramento slu'!$G$54,'Progetto del paramento slu'!$G$53)</f>
        <v>57239786.85762246</v>
      </c>
      <c r="I2466" s="479">
        <f>-'Foglio deposito bis'!$F$92*(C2466-sezione!$AP$36)*IF(ABS(O2466)&lt;'Progetto del paramento slu'!$G$58,ABS(O2466)*'Progetto del paramento slu'!$G$54,'Progetto del paramento slu'!$G$53)</f>
        <v>2021702.9694714011</v>
      </c>
      <c r="J2466" s="479">
        <f t="shared" si="180"/>
        <v>-454741405.04296458</v>
      </c>
      <c r="K2466" s="558">
        <f>'Progetto del paramento slu'!$G$60*(sezione!$AL$36-C2466)/C2466</f>
        <v>-2.9337334449428677E-3</v>
      </c>
      <c r="L2466" s="558">
        <f>'Progetto del paramento slu'!$G$60*(sezione!$AM$36-C2466)/C2466</f>
        <v>-1.3765004185357535E-3</v>
      </c>
      <c r="M2466" s="559">
        <f>'Progetto del paramento slu'!$G$60*(sezione!$AN$36-C2466)/C2466</f>
        <v>1.8073260787136069E-4</v>
      </c>
      <c r="N2466" s="559">
        <f>'Progetto del paramento slu'!$G$60*(sezione!$AO$36-C2466)/C2466</f>
        <v>1.3132657179856257E-3</v>
      </c>
      <c r="O2466" s="559">
        <f>'Progetto del paramento slu'!$G$60*(sezione!$AP$36-C2466)/C2466</f>
        <v>1.8085988172447751E-4</v>
      </c>
      <c r="P2466" s="553">
        <f>-'Progetto del paramento slu'!$G$47*'Progetto del paramento slu'!$G$41*IF(DATI!$G$218="dx",DATI!$E$61,DATI!$E$64*DATI!$E$63)*1000*C2466*sezione!$AD$5</f>
        <v>-3484974.6685125963</v>
      </c>
      <c r="Q2466" s="553">
        <f>'Foglio deposito bis'!$F$88*IF(ABS(K2466)&lt;'Progetto del paramento slu'!$G$58,ABS(K2466)*'Progetto del paramento slu'!$G$54,'Progetto del paramento slu'!$G$53)*IF(K2466&lt;0,-1,1)</f>
        <v>0</v>
      </c>
      <c r="R2466" s="553">
        <f>'Foglio deposito bis'!$F$89*IF(ABS(L2466)&lt;'Progetto del paramento slu'!$G$58,ABS(L2466)*'Progetto del paramento slu'!$G$54,'Progetto del paramento slu'!$G$53)*IF(L2466&lt;0,-1,1)</f>
        <v>-111353.39276528136</v>
      </c>
      <c r="S2466" s="553">
        <f>'Foglio deposito bis'!$F$90*IF(ABS(M2466)&lt;'Progetto del paramento slu'!$G$58,ABS(M2466)*'Progetto del paramento slu'!$G$54,'Progetto del paramento slu'!$G$53)*IF(M2466&lt;0,-1,1)</f>
        <v>0</v>
      </c>
      <c r="T2466" s="553">
        <f>'Foglio deposito bis'!$F$91*IF(ABS(N2466)&lt;'Progetto del paramento slu'!$G$58,ABS(N2466)*'Progetto del paramento slu'!$G$54,'Progetto del paramento slu'!$G$53)*IF(N2466&lt;0,-1,1)</f>
        <v>617030.05858151044</v>
      </c>
      <c r="U2466" s="553">
        <f>'Foglio deposito bis'!$F$92*IF(ABS(O2466)&lt;'Progetto del paramento slu'!$G$58,ABS(O2466)*'Progetto del paramento slu'!$G$54,'Progetto del paramento slu'!$G$53)*IF(O2466&lt;0,-1,1)</f>
        <v>158247.19735460344</v>
      </c>
      <c r="V2466" s="479">
        <f t="shared" si="182"/>
        <v>-2821050.8053417634</v>
      </c>
      <c r="W2466" s="559"/>
      <c r="X2466" s="559"/>
    </row>
    <row r="2467" spans="1:24" x14ac:dyDescent="0.25">
      <c r="A2467" s="553">
        <f t="shared" si="181"/>
        <v>2969614.8216053215</v>
      </c>
      <c r="B2467" s="3">
        <f t="shared" si="179"/>
        <v>61.899999999999942</v>
      </c>
      <c r="C2467" s="553">
        <f>'Foglio deposito bis'!$E$162/sezione!$B$247*B2467</f>
        <v>251.29305148589549</v>
      </c>
      <c r="D2467" s="611">
        <f>-'Progetto del paramento slu'!$G$47*'Progetto del paramento slu'!$G$41*IF(DATI!$G$218="dx",DATI!$E$61,DATI!$E$64*DATI!$E$63)*1000*C2467^2*sezione!$AD$5*(1-sezione!$AD$6)</f>
        <v>-519835948.51739752</v>
      </c>
      <c r="E2467" s="553">
        <f>-'Foglio deposito bis'!$F$88*(C2467-sezione!$AL$36)*IF(ABS(K2467)&lt;'Progetto del paramento slu'!$G$58,ABS(K2467)*'Progetto del paramento slu'!$G$54,'Progetto del paramento slu'!$G$53)</f>
        <v>0</v>
      </c>
      <c r="F2467" s="553">
        <f>-'Foglio deposito bis'!$F$89*(C2467-sezione!$AM$36)*IF(ABS(L2467)&lt;'Progetto del paramento slu'!$G$58,ABS(L2467)*'Progetto del paramento slu'!$G$54,'Progetto del paramento slu'!$G$53)</f>
        <v>-11560429.765864637</v>
      </c>
      <c r="G2467" s="553">
        <f>-'Foglio deposito bis'!$F$90*(C2467-sezione!$AN$36)*IF(ABS(M2467)&lt;'Progetto del paramento slu'!$G$58,ABS(M2467)*'Progetto del paramento slu'!$G$54,'Progetto del paramento slu'!$G$53)</f>
        <v>0</v>
      </c>
      <c r="H2467" s="553">
        <f>-'Foglio deposito bis'!$F$91*(C2467-sezione!$AO$36)*IF(ABS(N2467)&lt;'Progetto del paramento slu'!$G$58,ABS(N2467)*'Progetto del paramento slu'!$G$54,'Progetto del paramento slu'!$G$53)</f>
        <v>51493991.610073671</v>
      </c>
      <c r="I2467" s="479">
        <f>-'Foglio deposito bis'!$F$92*(C2467-sezione!$AP$36)*IF(ABS(O2467)&lt;'Progetto del paramento slu'!$G$58,ABS(O2467)*'Progetto del paramento slu'!$G$54,'Progetto del paramento slu'!$G$53)</f>
        <v>925784.06887322129</v>
      </c>
      <c r="J2467" s="479">
        <f t="shared" si="180"/>
        <v>-478976602.60431522</v>
      </c>
      <c r="K2467" s="558">
        <f>'Progetto del paramento slu'!$G$60*(sezione!$AL$36-C2467)/C2467</f>
        <v>-2.9428815314542917E-3</v>
      </c>
      <c r="L2467" s="558">
        <f>'Progetto del paramento slu'!$G$60*(sezione!$AM$36-C2467)/C2467</f>
        <v>-1.4108057429535927E-3</v>
      </c>
      <c r="M2467" s="559">
        <f>'Progetto del paramento slu'!$G$60*(sezione!$AN$36-C2467)/C2467</f>
        <v>1.2127004554710596E-4</v>
      </c>
      <c r="N2467" s="559">
        <f>'Progetto del paramento slu'!$G$60*(sezione!$AO$36-C2467)/C2467</f>
        <v>1.2355069826385232E-3</v>
      </c>
      <c r="O2467" s="559">
        <f>'Progetto del paramento slu'!$G$60*(sezione!$AP$36-C2467)/C2467</f>
        <v>1.2139526327981703E-4</v>
      </c>
      <c r="P2467" s="553">
        <f>-'Progetto del paramento slu'!$G$47*'Progetto del paramento slu'!$G$41*IF(DATI!$G$218="dx",DATI!$E$61,DATI!$E$64*DATI!$E$63)*1000*C2467*sezione!$AD$5</f>
        <v>-3542199.2115095193</v>
      </c>
      <c r="Q2467" s="553">
        <f>'Foglio deposito bis'!$F$88*IF(ABS(K2467)&lt;'Progetto del paramento slu'!$G$58,ABS(K2467)*'Progetto del paramento slu'!$G$54,'Progetto del paramento slu'!$G$53)*IF(K2467&lt;0,-1,1)</f>
        <v>0</v>
      </c>
      <c r="R2467" s="553">
        <f>'Foglio deposito bis'!$F$89*IF(ABS(L2467)&lt;'Progetto del paramento slu'!$G$58,ABS(L2467)*'Progetto del paramento slu'!$G$54,'Progetto del paramento slu'!$G$53)*IF(L2467&lt;0,-1,1)</f>
        <v>-114128.55666091139</v>
      </c>
      <c r="S2467" s="553">
        <f>'Foglio deposito bis'!$F$90*IF(ABS(M2467)&lt;'Progetto del paramento slu'!$G$58,ABS(M2467)*'Progetto del paramento slu'!$G$54,'Progetto del paramento slu'!$G$53)*IF(M2467&lt;0,-1,1)</f>
        <v>0</v>
      </c>
      <c r="T2467" s="553">
        <f>'Foglio deposito bis'!$F$91*IF(ABS(N2467)&lt;'Progetto del paramento slu'!$G$58,ABS(N2467)*'Progetto del paramento slu'!$G$54,'Progetto del paramento slu'!$G$53)*IF(N2467&lt;0,-1,1)</f>
        <v>580495.58092831995</v>
      </c>
      <c r="U2467" s="553">
        <f>'Foglio deposito bis'!$F$92*IF(ABS(O2467)&lt;'Progetto del paramento slu'!$G$58,ABS(O2467)*'Progetto del paramento slu'!$G$54,'Progetto del paramento slu'!$G$53)*IF(O2467&lt;0,-1,1)</f>
        <v>106217.36563678905</v>
      </c>
      <c r="V2467" s="479">
        <f t="shared" si="182"/>
        <v>-2969614.8216053215</v>
      </c>
      <c r="W2467" s="559"/>
      <c r="X2467" s="559"/>
    </row>
    <row r="2468" spans="1:24" x14ac:dyDescent="0.25">
      <c r="A2468" s="553">
        <f t="shared" si="181"/>
        <v>3115274.5620893361</v>
      </c>
      <c r="B2468" s="3">
        <f t="shared" si="179"/>
        <v>62.899999999999942</v>
      </c>
      <c r="C2468" s="553">
        <f>'Foglio deposito bis'!$E$162/sezione!$B$247*B2468</f>
        <v>255.3527130607888</v>
      </c>
      <c r="D2468" s="611">
        <f>-'Progetto del paramento slu'!$G$47*'Progetto del paramento slu'!$G$41*IF(DATI!$G$218="dx",DATI!$E$61,DATI!$E$64*DATI!$E$63)*1000*C2468^2*sezione!$AD$5*(1-sezione!$AD$6)</f>
        <v>-536767610.76250374</v>
      </c>
      <c r="E2468" s="553">
        <f>-'Foglio deposito bis'!$F$88*(C2468-sezione!$AL$36)*IF(ABS(K2468)&lt;'Progetto del paramento slu'!$G$58,ABS(K2468)*'Progetto del paramento slu'!$G$54,'Progetto del paramento slu'!$G$53)</f>
        <v>0</v>
      </c>
      <c r="F2468" s="553">
        <f>-'Foglio deposito bis'!$F$89*(C2468-sezione!$AM$36)*IF(ABS(L2468)&lt;'Progetto del paramento slu'!$G$58,ABS(L2468)*'Progetto del paramento slu'!$G$54,'Progetto del paramento slu'!$G$53)</f>
        <v>-12306827.75088352</v>
      </c>
      <c r="G2468" s="553">
        <f>-'Foglio deposito bis'!$F$90*(C2468-sezione!$AN$36)*IF(ABS(M2468)&lt;'Progetto del paramento slu'!$G$58,ABS(M2468)*'Progetto del paramento slu'!$G$54,'Progetto del paramento slu'!$G$53)</f>
        <v>0</v>
      </c>
      <c r="H2468" s="553">
        <f>-'Foglio deposito bis'!$F$91*(C2468-sezione!$AO$36)*IF(ABS(N2468)&lt;'Progetto del paramento slu'!$G$58,ABS(N2468)*'Progetto del paramento slu'!$G$54,'Progetto del paramento slu'!$G$53)</f>
        <v>46143163.688505329</v>
      </c>
      <c r="I2468" s="479">
        <f>-'Foglio deposito bis'!$F$92*(C2468-sezione!$AP$36)*IF(ABS(O2468)&lt;'Progetto del paramento slu'!$G$58,ABS(O2468)*'Progetto del paramento slu'!$G$54,'Progetto del paramento slu'!$G$53)</f>
        <v>260015.37542386085</v>
      </c>
      <c r="J2468" s="479">
        <f t="shared" si="180"/>
        <v>-502671259.449458</v>
      </c>
      <c r="K2468" s="558">
        <f>'Progetto del paramento slu'!$G$60*(sezione!$AL$36-C2468)/C2468</f>
        <v>-2.9517387408111392E-3</v>
      </c>
      <c r="L2468" s="558">
        <f>'Progetto del paramento slu'!$G$60*(sezione!$AM$36-C2468)/C2468</f>
        <v>-1.4440202780417709E-3</v>
      </c>
      <c r="M2468" s="559">
        <f>'Progetto del paramento slu'!$G$60*(sezione!$AN$36-C2468)/C2468</f>
        <v>6.3698184727597001E-5</v>
      </c>
      <c r="N2468" s="559">
        <f>'Progetto del paramento slu'!$G$60*(sezione!$AO$36-C2468)/C2468</f>
        <v>1.1602207031053192E-3</v>
      </c>
      <c r="O2468" s="559">
        <f>'Progetto del paramento slu'!$G$60*(sezione!$AP$36-C2468)/C2468</f>
        <v>6.3821411717339689E-5</v>
      </c>
      <c r="P2468" s="553">
        <f>-'Progetto del paramento slu'!$G$47*'Progetto del paramento slu'!$G$41*IF(DATI!$G$218="dx",DATI!$E$61,DATI!$E$64*DATI!$E$63)*1000*C2468*sezione!$AD$5</f>
        <v>-3599423.7545064422</v>
      </c>
      <c r="Q2468" s="553">
        <f>'Foglio deposito bis'!$F$88*IF(ABS(K2468)&lt;'Progetto del paramento slu'!$G$58,ABS(K2468)*'Progetto del paramento slu'!$G$54,'Progetto del paramento slu'!$G$53)*IF(K2468&lt;0,-1,1)</f>
        <v>0</v>
      </c>
      <c r="R2468" s="553">
        <f>'Foglio deposito bis'!$F$89*IF(ABS(L2468)&lt;'Progetto del paramento slu'!$G$58,ABS(L2468)*'Progetto del paramento slu'!$G$54,'Progetto del paramento slu'!$G$53)*IF(L2468&lt;0,-1,1)</f>
        <v>-116815.48005111598</v>
      </c>
      <c r="S2468" s="553">
        <f>'Foglio deposito bis'!$F$90*IF(ABS(M2468)&lt;'Progetto del paramento slu'!$G$58,ABS(M2468)*'Progetto del paramento slu'!$G$54,'Progetto del paramento slu'!$G$53)*IF(M2468&lt;0,-1,1)</f>
        <v>0</v>
      </c>
      <c r="T2468" s="553">
        <f>'Foglio deposito bis'!$F$91*IF(ABS(N2468)&lt;'Progetto del paramento slu'!$G$58,ABS(N2468)*'Progetto del paramento slu'!$G$54,'Progetto del paramento slu'!$G$53)*IF(N2468&lt;0,-1,1)</f>
        <v>545122.7718809545</v>
      </c>
      <c r="U2468" s="553">
        <f>'Foglio deposito bis'!$F$92*IF(ABS(O2468)&lt;'Progetto del paramento slu'!$G$58,ABS(O2468)*'Progetto del paramento slu'!$G$54,'Progetto del paramento slu'!$G$53)*IF(O2468&lt;0,-1,1)</f>
        <v>55841.900587267621</v>
      </c>
      <c r="V2468" s="479">
        <f t="shared" si="182"/>
        <v>-3115274.5620893361</v>
      </c>
      <c r="W2468" s="559"/>
      <c r="X2468" s="559"/>
    </row>
    <row r="2469" spans="1:24" x14ac:dyDescent="0.25">
      <c r="A2469" s="553">
        <f t="shared" si="181"/>
        <v>3258166.3777693724</v>
      </c>
      <c r="B2469" s="3">
        <f t="shared" si="179"/>
        <v>63.899999999999942</v>
      </c>
      <c r="C2469" s="553">
        <f>'Foglio deposito bis'!$E$162/sezione!$B$247*B2469</f>
        <v>259.41237463568211</v>
      </c>
      <c r="D2469" s="611">
        <f>-'Progetto del paramento slu'!$G$47*'Progetto del paramento slu'!$G$41*IF(DATI!$G$218="dx",DATI!$E$61,DATI!$E$64*DATI!$E$63)*1000*C2469^2*sezione!$AD$5*(1-sezione!$AD$6)</f>
        <v>-553970613.74871731</v>
      </c>
      <c r="E2469" s="553">
        <f>-'Foglio deposito bis'!$F$88*(C2469-sezione!$AL$36)*IF(ABS(K2469)&lt;'Progetto del paramento slu'!$G$58,ABS(K2469)*'Progetto del paramento slu'!$G$54,'Progetto del paramento slu'!$G$53)</f>
        <v>0</v>
      </c>
      <c r="F2469" s="553">
        <f>-'Foglio deposito bis'!$F$89*(C2469-sezione!$AM$36)*IF(ABS(L2469)&lt;'Progetto del paramento slu'!$G$58,ABS(L2469)*'Progetto del paramento slu'!$G$54,'Progetto del paramento slu'!$G$53)</f>
        <v>-13065840.399706181</v>
      </c>
      <c r="G2469" s="553">
        <f>-'Foglio deposito bis'!$F$90*(C2469-sezione!$AN$36)*IF(ABS(M2469)&lt;'Progetto del paramento slu'!$G$58,ABS(M2469)*'Progetto del paramento slu'!$G$54,'Progetto del paramento slu'!$G$53)</f>
        <v>0</v>
      </c>
      <c r="H2469" s="553">
        <f>-'Foglio deposito bis'!$F$91*(C2469-sezione!$AO$36)*IF(ABS(N2469)&lt;'Progetto del paramento slu'!$G$58,ABS(N2469)*'Progetto del paramento slu'!$G$54,'Progetto del paramento slu'!$G$53)</f>
        <v>41168760.02596999</v>
      </c>
      <c r="I2469" s="479">
        <f>-'Foglio deposito bis'!$F$92*(C2469-sezione!$AP$36)*IF(ABS(O2469)&lt;'Progetto del paramento slu'!$G$58,ABS(O2469)*'Progetto del paramento slu'!$G$54,'Progetto del paramento slu'!$G$53)</f>
        <v>4202.0437172723123</v>
      </c>
      <c r="J2469" s="479">
        <f t="shared" si="180"/>
        <v>-525863492.07873619</v>
      </c>
      <c r="K2469" s="558">
        <f>'Progetto del paramento slu'!$G$60*(sezione!$AL$36-C2469)/C2469</f>
        <v>-2.9603187292178506E-3</v>
      </c>
      <c r="L2469" s="558">
        <f>'Progetto del paramento slu'!$G$60*(sezione!$AM$36-C2469)/C2469</f>
        <v>-1.476195234566939E-3</v>
      </c>
      <c r="M2469" s="559">
        <f>'Progetto del paramento slu'!$G$60*(sezione!$AN$36-C2469)/C2469</f>
        <v>7.9282600839725244E-6</v>
      </c>
      <c r="N2469" s="559">
        <f>'Progetto del paramento slu'!$G$60*(sezione!$AO$36-C2469)/C2469</f>
        <v>1.0872908016482717E-3</v>
      </c>
      <c r="O2469" s="559">
        <f>'Progetto del paramento slu'!$G$60*(sezione!$AP$36-C2469)/C2469</f>
        <v>8.0495586388209613E-6</v>
      </c>
      <c r="P2469" s="553">
        <f>-'Progetto del paramento slu'!$G$47*'Progetto del paramento slu'!$G$41*IF(DATI!$G$218="dx",DATI!$E$61,DATI!$E$64*DATI!$E$63)*1000*C2469*sezione!$AD$5</f>
        <v>-3656648.2975033652</v>
      </c>
      <c r="Q2469" s="553">
        <f>'Foglio deposito bis'!$F$88*IF(ABS(K2469)&lt;'Progetto del paramento slu'!$G$58,ABS(K2469)*'Progetto del paramento slu'!$G$54,'Progetto del paramento slu'!$G$53)*IF(K2469&lt;0,-1,1)</f>
        <v>0</v>
      </c>
      <c r="R2469" s="553">
        <f>'Foglio deposito bis'!$F$89*IF(ABS(L2469)&lt;'Progetto del paramento slu'!$G$58,ABS(L2469)*'Progetto del paramento slu'!$G$54,'Progetto del paramento slu'!$G$53)*IF(L2469&lt;0,-1,1)</f>
        <v>-119418.30568262874</v>
      </c>
      <c r="S2469" s="553">
        <f>'Foglio deposito bis'!$F$90*IF(ABS(M2469)&lt;'Progetto del paramento slu'!$G$58,ABS(M2469)*'Progetto del paramento slu'!$G$54,'Progetto del paramento slu'!$G$53)*IF(M2469&lt;0,-1,1)</f>
        <v>0</v>
      </c>
      <c r="T2469" s="553">
        <f>'Foglio deposito bis'!$F$91*IF(ABS(N2469)&lt;'Progetto del paramento slu'!$G$58,ABS(N2469)*'Progetto del paramento slu'!$G$54,'Progetto del paramento slu'!$G$53)*IF(N2469&lt;0,-1,1)</f>
        <v>510857.09300721553</v>
      </c>
      <c r="U2469" s="553">
        <f>'Foglio deposito bis'!$F$92*IF(ABS(O2469)&lt;'Progetto del paramento slu'!$G$58,ABS(O2469)*'Progetto del paramento slu'!$G$54,'Progetto del paramento slu'!$G$53)*IF(O2469&lt;0,-1,1)</f>
        <v>7043.1324094057245</v>
      </c>
      <c r="V2469" s="479">
        <f t="shared" si="182"/>
        <v>-3258166.3777693724</v>
      </c>
      <c r="W2469" s="559"/>
      <c r="X2469" s="559"/>
    </row>
    <row r="2470" spans="1:24" x14ac:dyDescent="0.25">
      <c r="A2470" s="553">
        <f t="shared" si="181"/>
        <v>3398418.2158628721</v>
      </c>
      <c r="B2470" s="3">
        <f t="shared" si="179"/>
        <v>64.899999999999949</v>
      </c>
      <c r="C2470" s="553">
        <f>'Foglio deposito bis'!$E$162/sezione!$B$247*B2470</f>
        <v>263.47203621057542</v>
      </c>
      <c r="D2470" s="611">
        <f>-'Progetto del paramento slu'!$G$47*'Progetto del paramento slu'!$G$41*IF(DATI!$G$218="dx",DATI!$E$61,DATI!$E$64*DATI!$E$63)*1000*C2470^2*sezione!$AD$5*(1-sezione!$AD$6)</f>
        <v>-571444957.47603858</v>
      </c>
      <c r="E2470" s="553">
        <f>-'Foglio deposito bis'!$F$88*(C2470-sezione!$AL$36)*IF(ABS(K2470)&lt;'Progetto del paramento slu'!$G$58,ABS(K2470)*'Progetto del paramento slu'!$G$54,'Progetto del paramento slu'!$G$53)</f>
        <v>0</v>
      </c>
      <c r="F2470" s="553">
        <f>-'Foglio deposito bis'!$F$89*(C2470-sezione!$AM$36)*IF(ABS(L2470)&lt;'Progetto del paramento slu'!$G$58,ABS(L2470)*'Progetto del paramento slu'!$G$54,'Progetto del paramento slu'!$G$53)</f>
        <v>-13836884.599984216</v>
      </c>
      <c r="G2470" s="553">
        <f>-'Foglio deposito bis'!$F$90*(C2470-sezione!$AN$36)*IF(ABS(M2470)&lt;'Progetto del paramento slu'!$G$58,ABS(M2470)*'Progetto del paramento slu'!$G$54,'Progetto del paramento slu'!$G$53)</f>
        <v>0</v>
      </c>
      <c r="H2470" s="553">
        <f>-'Foglio deposito bis'!$F$91*(C2470-sezione!$AO$36)*IF(ABS(N2470)&lt;'Progetto del paramento slu'!$G$58,ABS(N2470)*'Progetto del paramento slu'!$G$54,'Progetto del paramento slu'!$G$53)</f>
        <v>36553380.425594002</v>
      </c>
      <c r="I2470" s="479">
        <f>-'Foglio deposito bis'!$F$92*(C2470-sezione!$AP$36)*IF(ABS(O2470)&lt;'Progetto del paramento slu'!$G$58,ABS(O2470)*'Progetto del paramento slu'!$G$54,'Progetto del paramento slu'!$G$53)</f>
        <v>-139393.90294870484</v>
      </c>
      <c r="J2470" s="479">
        <f t="shared" si="180"/>
        <v>-548867855.55337751</v>
      </c>
      <c r="K2470" s="558">
        <f>'Progetto del paramento slu'!$G$60*(sezione!$AL$36-C2470)/C2470</f>
        <v>-2.9686343112021668E-3</v>
      </c>
      <c r="L2470" s="558">
        <f>'Progetto del paramento slu'!$G$60*(sezione!$AM$36-C2470)/C2470</f>
        <v>-1.5073786670081264E-3</v>
      </c>
      <c r="M2470" s="559">
        <f>'Progetto del paramento slu'!$G$60*(sezione!$AN$36-C2470)/C2470</f>
        <v>-4.6123022814085709E-5</v>
      </c>
      <c r="N2470" s="559">
        <f>'Progetto del paramento slu'!$G$60*(sezione!$AO$36-C2470)/C2470</f>
        <v>1.0166083547815802E-3</v>
      </c>
      <c r="O2470" s="559">
        <f>'Progetto del paramento slu'!$G$60*(sezione!$AP$36-C2470)/C2470</f>
        <v>-4.600359326624572E-5</v>
      </c>
      <c r="P2470" s="553">
        <f>-'Progetto del paramento slu'!$G$47*'Progetto del paramento slu'!$G$41*IF(DATI!$G$218="dx",DATI!$E$61,DATI!$E$64*DATI!$E$63)*1000*C2470*sezione!$AD$5</f>
        <v>-3713872.8405002877</v>
      </c>
      <c r="Q2470" s="553">
        <f>'Foglio deposito bis'!$F$88*IF(ABS(K2470)&lt;'Progetto del paramento slu'!$G$58,ABS(K2470)*'Progetto del paramento slu'!$G$54,'Progetto del paramento slu'!$G$53)*IF(K2470&lt;0,-1,1)</f>
        <v>0</v>
      </c>
      <c r="R2470" s="553">
        <f>'Foglio deposito bis'!$F$89*IF(ABS(L2470)&lt;'Progetto del paramento slu'!$G$58,ABS(L2470)*'Progetto del paramento slu'!$G$54,'Progetto del paramento slu'!$G$53)*IF(L2470&lt;0,-1,1)</f>
        <v>-121940.92097110563</v>
      </c>
      <c r="S2470" s="553">
        <f>'Foglio deposito bis'!$F$90*IF(ABS(M2470)&lt;'Progetto del paramento slu'!$G$58,ABS(M2470)*'Progetto del paramento slu'!$G$54,'Progetto del paramento slu'!$G$53)*IF(M2470&lt;0,-1,1)</f>
        <v>0</v>
      </c>
      <c r="T2470" s="553">
        <f>'Foglio deposito bis'!$F$91*IF(ABS(N2470)&lt;'Progetto del paramento slu'!$G$58,ABS(N2470)*'Progetto del paramento slu'!$G$54,'Progetto del paramento slu'!$G$53)*IF(N2470&lt;0,-1,1)</f>
        <v>477647.36725747469</v>
      </c>
      <c r="U2470" s="553">
        <f>'Foglio deposito bis'!$F$92*IF(ABS(O2470)&lt;'Progetto del paramento slu'!$G$58,ABS(O2470)*'Progetto del paramento slu'!$G$54,'Progetto del paramento slu'!$G$53)*IF(O2470&lt;0,-1,1)</f>
        <v>-40251.82164895349</v>
      </c>
      <c r="V2470" s="479">
        <f t="shared" si="182"/>
        <v>-3398418.2158628721</v>
      </c>
      <c r="W2470" s="559"/>
      <c r="X2470" s="559"/>
    </row>
    <row r="2471" spans="1:24" x14ac:dyDescent="0.25">
      <c r="A2471" s="553">
        <f t="shared" si="181"/>
        <v>3536150.257443578</v>
      </c>
      <c r="B2471" s="3">
        <f t="shared" si="179"/>
        <v>65.899999999999949</v>
      </c>
      <c r="C2471" s="553">
        <f>'Foglio deposito bis'!$E$162/sezione!$B$247*B2471</f>
        <v>267.53169778546874</v>
      </c>
      <c r="D2471" s="611">
        <f>-'Progetto del paramento slu'!$G$47*'Progetto del paramento slu'!$G$41*IF(DATI!$G$218="dx",DATI!$E$61,DATI!$E$64*DATI!$E$63)*1000*C2471^2*sezione!$AD$5*(1-sezione!$AD$6)</f>
        <v>-589190641.94446707</v>
      </c>
      <c r="E2471" s="553">
        <f>-'Foglio deposito bis'!$F$88*(C2471-sezione!$AL$36)*IF(ABS(K2471)&lt;'Progetto del paramento slu'!$G$58,ABS(K2471)*'Progetto del paramento slu'!$G$54,'Progetto del paramento slu'!$G$53)</f>
        <v>0</v>
      </c>
      <c r="F2471" s="553">
        <f>-'Foglio deposito bis'!$F$89*(C2471-sezione!$AM$36)*IF(ABS(L2471)&lt;'Progetto del paramento slu'!$G$58,ABS(L2471)*'Progetto del paramento slu'!$G$54,'Progetto del paramento slu'!$G$53)</f>
        <v>-14619412.633138474</v>
      </c>
      <c r="G2471" s="553">
        <f>-'Foglio deposito bis'!$F$90*(C2471-sezione!$AN$36)*IF(ABS(M2471)&lt;'Progetto del paramento slu'!$G$58,ABS(M2471)*'Progetto del paramento slu'!$G$54,'Progetto del paramento slu'!$G$53)</f>
        <v>0</v>
      </c>
      <c r="H2471" s="553">
        <f>-'Foglio deposito bis'!$F$91*(C2471-sezione!$AO$36)*IF(ABS(N2471)&lt;'Progetto del paramento slu'!$G$58,ABS(N2471)*'Progetto del paramento slu'!$G$54,'Progetto del paramento slu'!$G$53)</f>
        <v>32280680.848128855</v>
      </c>
      <c r="I2471" s="479">
        <f>-'Foglio deposito bis'!$F$92*(C2471-sezione!$AP$36)*IF(ABS(O2471)&lt;'Progetto del paramento slu'!$G$58,ABS(O2471)*'Progetto del paramento slu'!$G$54,'Progetto del paramento slu'!$G$53)</f>
        <v>-647791.02029852173</v>
      </c>
      <c r="J2471" s="479">
        <f t="shared" si="180"/>
        <v>-572177164.74977517</v>
      </c>
      <c r="K2471" s="558">
        <f>'Progetto del paramento slu'!$G$60*(sezione!$AL$36-C2471)/C2471</f>
        <v>-2.9766975234752752E-3</v>
      </c>
      <c r="L2471" s="558">
        <f>'Progetto del paramento slu'!$G$60*(sezione!$AM$36-C2471)/C2471</f>
        <v>-1.5376157130322825E-3</v>
      </c>
      <c r="M2471" s="559">
        <f>'Progetto del paramento slu'!$G$60*(sezione!$AN$36-C2471)/C2471</f>
        <v>-9.853390258928936E-5</v>
      </c>
      <c r="N2471" s="559">
        <f>'Progetto del paramento slu'!$G$60*(sezione!$AO$36-C2471)/C2471</f>
        <v>9.4807105046016012E-4</v>
      </c>
      <c r="O2471" s="559">
        <f>'Progetto del paramento slu'!$G$60*(sezione!$AP$36-C2471)/C2471</f>
        <v>-9.8416285325938604E-5</v>
      </c>
      <c r="P2471" s="553">
        <f>-'Progetto del paramento slu'!$G$47*'Progetto del paramento slu'!$G$41*IF(DATI!$G$218="dx",DATI!$E$61,DATI!$E$64*DATI!$E$63)*1000*C2471*sezione!$AD$5</f>
        <v>-3771097.3834972107</v>
      </c>
      <c r="Q2471" s="553">
        <f>'Foglio deposito bis'!$F$88*IF(ABS(K2471)&lt;'Progetto del paramento slu'!$G$58,ABS(K2471)*'Progetto del paramento slu'!$G$54,'Progetto del paramento slu'!$G$53)*IF(K2471&lt;0,-1,1)</f>
        <v>0</v>
      </c>
      <c r="R2471" s="553">
        <f>'Foglio deposito bis'!$F$89*IF(ABS(L2471)&lt;'Progetto del paramento slu'!$G$58,ABS(L2471)*'Progetto del paramento slu'!$G$54,'Progetto del paramento slu'!$G$53)*IF(L2471&lt;0,-1,1)</f>
        <v>-124386.97737374109</v>
      </c>
      <c r="S2471" s="553">
        <f>'Foglio deposito bis'!$F$90*IF(ABS(M2471)&lt;'Progetto del paramento slu'!$G$58,ABS(M2471)*'Progetto del paramento slu'!$G$54,'Progetto del paramento slu'!$G$53)*IF(M2471&lt;0,-1,1)</f>
        <v>0</v>
      </c>
      <c r="T2471" s="553">
        <f>'Foglio deposito bis'!$F$91*IF(ABS(N2471)&lt;'Progetto del paramento slu'!$G$58,ABS(N2471)*'Progetto del paramento slu'!$G$54,'Progetto del paramento slu'!$G$53)*IF(N2471&lt;0,-1,1)</f>
        <v>445445.52392805979</v>
      </c>
      <c r="U2471" s="553">
        <f>'Foglio deposito bis'!$F$92*IF(ABS(O2471)&lt;'Progetto del paramento slu'!$G$58,ABS(O2471)*'Progetto del paramento slu'!$G$54,'Progetto del paramento slu'!$G$53)*IF(O2471&lt;0,-1,1)</f>
        <v>-86111.420500685723</v>
      </c>
      <c r="V2471" s="479">
        <f t="shared" si="182"/>
        <v>-3536150.257443578</v>
      </c>
      <c r="W2471" s="559"/>
      <c r="X2471" s="559"/>
    </row>
    <row r="2472" spans="1:24" x14ac:dyDescent="0.25">
      <c r="A2472" s="553">
        <f t="shared" si="181"/>
        <v>3671475.4978708071</v>
      </c>
      <c r="B2472" s="3">
        <f t="shared" si="179"/>
        <v>66.899999999999949</v>
      </c>
      <c r="C2472" s="553">
        <f>'Foglio deposito bis'!$E$162/sezione!$B$247*B2472</f>
        <v>271.59135936036205</v>
      </c>
      <c r="D2472" s="611">
        <f>-'Progetto del paramento slu'!$G$47*'Progetto del paramento slu'!$G$41*IF(DATI!$G$218="dx",DATI!$E$61,DATI!$E$64*DATI!$E$63)*1000*C2472^2*sezione!$AD$5*(1-sezione!$AD$6)</f>
        <v>-607207667.15400326</v>
      </c>
      <c r="E2472" s="553">
        <f>-'Foglio deposito bis'!$F$88*(C2472-sezione!$AL$36)*IF(ABS(K2472)&lt;'Progetto del paramento slu'!$G$58,ABS(K2472)*'Progetto del paramento slu'!$G$54,'Progetto del paramento slu'!$G$53)</f>
        <v>0</v>
      </c>
      <c r="F2472" s="553">
        <f>-'Foglio deposito bis'!$F$89*(C2472-sezione!$AM$36)*IF(ABS(L2472)&lt;'Progetto del paramento slu'!$G$58,ABS(L2472)*'Progetto del paramento slu'!$G$54,'Progetto del paramento slu'!$G$53)</f>
        <v>-15412909.529084818</v>
      </c>
      <c r="G2472" s="553">
        <f>-'Foglio deposito bis'!$F$90*(C2472-sezione!$AN$36)*IF(ABS(M2472)&lt;'Progetto del paramento slu'!$G$58,ABS(M2472)*'Progetto del paramento slu'!$G$54,'Progetto del paramento slu'!$G$53)</f>
        <v>0</v>
      </c>
      <c r="H2472" s="553">
        <f>-'Foglio deposito bis'!$F$91*(C2472-sezione!$AO$36)*IF(ABS(N2472)&lt;'Progetto del paramento slu'!$G$58,ABS(N2472)*'Progetto del paramento slu'!$G$54,'Progetto del paramento slu'!$G$53)</f>
        <v>28335294.476403646</v>
      </c>
      <c r="I2472" s="479">
        <f>-'Foglio deposito bis'!$F$92*(C2472-sezione!$AP$36)*IF(ABS(O2472)&lt;'Progetto del paramento slu'!$G$58,ABS(O2472)*'Progetto del paramento slu'!$G$54,'Progetto del paramento slu'!$G$53)</f>
        <v>-1512657.7339676921</v>
      </c>
      <c r="J2472" s="479">
        <f t="shared" si="180"/>
        <v>-595797939.94065213</v>
      </c>
      <c r="K2472" s="558">
        <f>'Progetto del paramento slu'!$G$60*(sezione!$AL$36-C2472)/C2472</f>
        <v>-2.9845196830645838E-3</v>
      </c>
      <c r="L2472" s="558">
        <f>'Progetto del paramento slu'!$G$60*(sezione!$AM$36-C2472)/C2472</f>
        <v>-1.5669488114921884E-3</v>
      </c>
      <c r="M2472" s="559">
        <f>'Progetto del paramento slu'!$G$60*(sezione!$AN$36-C2472)/C2472</f>
        <v>-1.4937793991979338E-4</v>
      </c>
      <c r="N2472" s="559">
        <f>'Progetto del paramento slu'!$G$60*(sezione!$AO$36-C2472)/C2472</f>
        <v>8.8158269395103943E-4</v>
      </c>
      <c r="O2472" s="559">
        <f>'Progetto del paramento slu'!$G$60*(sezione!$AP$36-C2472)/C2472</f>
        <v>-1.4926208076202331E-4</v>
      </c>
      <c r="P2472" s="553">
        <f>-'Progetto del paramento slu'!$G$47*'Progetto del paramento slu'!$G$41*IF(DATI!$G$218="dx",DATI!$E$61,DATI!$E$64*DATI!$E$63)*1000*C2472*sezione!$AD$5</f>
        <v>-3828321.9264941337</v>
      </c>
      <c r="Q2472" s="553">
        <f>'Foglio deposito bis'!$F$88*IF(ABS(K2472)&lt;'Progetto del paramento slu'!$G$58,ABS(K2472)*'Progetto del paramento slu'!$G$54,'Progetto del paramento slu'!$G$53)*IF(K2472&lt;0,-1,1)</f>
        <v>0</v>
      </c>
      <c r="R2472" s="553">
        <f>'Foglio deposito bis'!$F$89*IF(ABS(L2472)&lt;'Progetto del paramento slu'!$G$58,ABS(L2472)*'Progetto del paramento slu'!$G$54,'Progetto del paramento slu'!$G$53)*IF(L2472&lt;0,-1,1)</f>
        <v>-126759.90802442926</v>
      </c>
      <c r="S2472" s="553">
        <f>'Foglio deposito bis'!$F$90*IF(ABS(M2472)&lt;'Progetto del paramento slu'!$G$58,ABS(M2472)*'Progetto del paramento slu'!$G$54,'Progetto del paramento slu'!$G$53)*IF(M2472&lt;0,-1,1)</f>
        <v>0</v>
      </c>
      <c r="T2472" s="553">
        <f>'Foglio deposito bis'!$F$91*IF(ABS(N2472)&lt;'Progetto del paramento slu'!$G$58,ABS(N2472)*'Progetto del paramento slu'!$G$54,'Progetto del paramento slu'!$G$53)*IF(N2472&lt;0,-1,1)</f>
        <v>414206.36649788002</v>
      </c>
      <c r="U2472" s="553">
        <f>'Foglio deposito bis'!$F$92*IF(ABS(O2472)&lt;'Progetto del paramento slu'!$G$58,ABS(O2472)*'Progetto del paramento slu'!$G$54,'Progetto del paramento slu'!$G$53)*IF(O2472&lt;0,-1,1)</f>
        <v>-130600.029850124</v>
      </c>
      <c r="V2472" s="479">
        <f t="shared" si="182"/>
        <v>-3671475.4978708071</v>
      </c>
      <c r="W2472" s="559"/>
      <c r="X2472" s="559"/>
    </row>
    <row r="2473" spans="1:24" x14ac:dyDescent="0.25">
      <c r="A2473" s="553">
        <f t="shared" si="181"/>
        <v>3804500.2759289551</v>
      </c>
      <c r="B2473" s="3">
        <f t="shared" si="179"/>
        <v>67.899999999999949</v>
      </c>
      <c r="C2473" s="553">
        <f>'Foglio deposito bis'!$E$162/sezione!$B$247*B2473</f>
        <v>275.65102093525536</v>
      </c>
      <c r="D2473" s="611">
        <f>-'Progetto del paramento slu'!$G$47*'Progetto del paramento slu'!$G$41*IF(DATI!$G$218="dx",DATI!$E$61,DATI!$E$64*DATI!$E$63)*1000*C2473^2*sezione!$AD$5*(1-sezione!$AD$6)</f>
        <v>-625496033.10464692</v>
      </c>
      <c r="E2473" s="553">
        <f>-'Foglio deposito bis'!$F$88*(C2473-sezione!$AL$36)*IF(ABS(K2473)&lt;'Progetto del paramento slu'!$G$58,ABS(K2473)*'Progetto del paramento slu'!$G$54,'Progetto del paramento slu'!$G$53)</f>
        <v>0</v>
      </c>
      <c r="F2473" s="553">
        <f>-'Foglio deposito bis'!$F$89*(C2473-sezione!$AM$36)*IF(ABS(L2473)&lt;'Progetto del paramento slu'!$G$58,ABS(L2473)*'Progetto del paramento slu'!$G$54,'Progetto del paramento slu'!$G$53)</f>
        <v>-16216890.654710196</v>
      </c>
      <c r="G2473" s="553">
        <f>-'Foglio deposito bis'!$F$90*(C2473-sezione!$AN$36)*IF(ABS(M2473)&lt;'Progetto del paramento slu'!$G$58,ABS(M2473)*'Progetto del paramento slu'!$G$54,'Progetto del paramento slu'!$G$53)</f>
        <v>0</v>
      </c>
      <c r="H2473" s="553">
        <f>-'Foglio deposito bis'!$F$91*(C2473-sezione!$AO$36)*IF(ABS(N2473)&lt;'Progetto del paramento slu'!$G$58,ABS(N2473)*'Progetto del paramento slu'!$G$54,'Progetto del paramento slu'!$G$53)</f>
        <v>24702759.754936498</v>
      </c>
      <c r="I2473" s="479">
        <f>-'Foglio deposito bis'!$F$92*(C2473-sezione!$AP$36)*IF(ABS(O2473)&lt;'Progetto del paramento slu'!$G$58,ABS(O2473)*'Progetto del paramento slu'!$G$54,'Progetto del paramento slu'!$G$53)</f>
        <v>-2718244.2827049927</v>
      </c>
      <c r="J2473" s="479">
        <f t="shared" si="180"/>
        <v>-619728408.28712559</v>
      </c>
      <c r="K2473" s="558">
        <f>'Progetto del paramento slu'!$G$60*(sezione!$AL$36-C2473)/C2473</f>
        <v>-2.9921114403095822E-3</v>
      </c>
      <c r="L2473" s="558">
        <f>'Progetto del paramento slu'!$G$60*(sezione!$AM$36-C2473)/C2473</f>
        <v>-1.5954179011609339E-3</v>
      </c>
      <c r="M2473" s="559">
        <f>'Progetto del paramento slu'!$G$60*(sezione!$AN$36-C2473)/C2473</f>
        <v>-1.9872436201228547E-4</v>
      </c>
      <c r="N2473" s="559">
        <f>'Progetto del paramento slu'!$G$60*(sezione!$AO$36-C2473)/C2473</f>
        <v>8.1705275736854979E-4</v>
      </c>
      <c r="O2473" s="559">
        <f>'Progetto del paramento slu'!$G$60*(sezione!$AP$36-C2473)/C2473</f>
        <v>-1.9861020917495386E-4</v>
      </c>
      <c r="P2473" s="553">
        <f>-'Progetto del paramento slu'!$G$47*'Progetto del paramento slu'!$G$41*IF(DATI!$G$218="dx",DATI!$E$61,DATI!$E$64*DATI!$E$63)*1000*C2473*sezione!$AD$5</f>
        <v>-3885546.4694910566</v>
      </c>
      <c r="Q2473" s="553">
        <f>'Foglio deposito bis'!$F$88*IF(ABS(K2473)&lt;'Progetto del paramento slu'!$G$58,ABS(K2473)*'Progetto del paramento slu'!$G$54,'Progetto del paramento slu'!$G$53)*IF(K2473&lt;0,-1,1)</f>
        <v>0</v>
      </c>
      <c r="R2473" s="553">
        <f>'Foglio deposito bis'!$F$89*IF(ABS(L2473)&lt;'Progetto del paramento slu'!$G$58,ABS(L2473)*'Progetto del paramento slu'!$G$54,'Progetto del paramento slu'!$G$53)*IF(L2473&lt;0,-1,1)</f>
        <v>-129062.94381059053</v>
      </c>
      <c r="S2473" s="553">
        <f>'Foglio deposito bis'!$F$90*IF(ABS(M2473)&lt;'Progetto del paramento slu'!$G$58,ABS(M2473)*'Progetto del paramento slu'!$G$54,'Progetto del paramento slu'!$G$53)*IF(M2473&lt;0,-1,1)</f>
        <v>0</v>
      </c>
      <c r="T2473" s="553">
        <f>'Foglio deposito bis'!$F$91*IF(ABS(N2473)&lt;'Progetto del paramento slu'!$G$58,ABS(N2473)*'Progetto del paramento slu'!$G$54,'Progetto del paramento slu'!$G$53)*IF(N2473&lt;0,-1,1)</f>
        <v>383887.36098022392</v>
      </c>
      <c r="U2473" s="553">
        <f>'Foglio deposito bis'!$F$92*IF(ABS(O2473)&lt;'Progetto del paramento slu'!$G$58,ABS(O2473)*'Progetto del paramento slu'!$G$54,'Progetto del paramento slu'!$G$53)*IF(O2473&lt;0,-1,1)</f>
        <v>-173778.22360753172</v>
      </c>
      <c r="V2473" s="479">
        <f t="shared" si="182"/>
        <v>-3804500.2759289551</v>
      </c>
      <c r="W2473" s="559"/>
      <c r="X2473" s="559"/>
    </row>
    <row r="2474" spans="1:24" x14ac:dyDescent="0.25">
      <c r="A2474" s="553">
        <f t="shared" si="181"/>
        <v>3935324.7568880832</v>
      </c>
      <c r="B2474" s="3">
        <f t="shared" si="179"/>
        <v>68.899999999999949</v>
      </c>
      <c r="C2474" s="553">
        <f>'Foglio deposito bis'!$E$162/sezione!$B$247*B2474</f>
        <v>279.71068251014867</v>
      </c>
      <c r="D2474" s="611">
        <f>-'Progetto del paramento slu'!$G$47*'Progetto del paramento slu'!$G$41*IF(DATI!$G$218="dx",DATI!$E$61,DATI!$E$64*DATI!$E$63)*1000*C2474^2*sezione!$AD$5*(1-sezione!$AD$6)</f>
        <v>-644055739.79639781</v>
      </c>
      <c r="E2474" s="553">
        <f>-'Foglio deposito bis'!$F$88*(C2474-sezione!$AL$36)*IF(ABS(K2474)&lt;'Progetto del paramento slu'!$G$58,ABS(K2474)*'Progetto del paramento slu'!$G$54,'Progetto del paramento slu'!$G$53)</f>
        <v>0</v>
      </c>
      <c r="F2474" s="553">
        <f>-'Foglio deposito bis'!$F$89*(C2474-sezione!$AM$36)*IF(ABS(L2474)&lt;'Progetto del paramento slu'!$G$58,ABS(L2474)*'Progetto del paramento slu'!$G$54,'Progetto del paramento slu'!$G$53)</f>
        <v>-17030899.512350794</v>
      </c>
      <c r="G2474" s="553">
        <f>-'Foglio deposito bis'!$F$90*(C2474-sezione!$AN$36)*IF(ABS(M2474)&lt;'Progetto del paramento slu'!$G$58,ABS(M2474)*'Progetto del paramento slu'!$G$54,'Progetto del paramento slu'!$G$53)</f>
        <v>0</v>
      </c>
      <c r="H2474" s="553">
        <f>-'Foglio deposito bis'!$F$91*(C2474-sezione!$AO$36)*IF(ABS(N2474)&lt;'Progetto del paramento slu'!$G$58,ABS(N2474)*'Progetto del paramento slu'!$G$54,'Progetto del paramento slu'!$G$53)</f>
        <v>21369454.696052894</v>
      </c>
      <c r="I2474" s="479">
        <f>-'Foglio deposito bis'!$F$92*(C2474-sezione!$AP$36)*IF(ABS(O2474)&lt;'Progetto del paramento slu'!$G$58,ABS(O2474)*'Progetto del paramento slu'!$G$54,'Progetto del paramento slu'!$G$53)</f>
        <v>-4249715.2600488216</v>
      </c>
      <c r="J2474" s="479">
        <f t="shared" si="180"/>
        <v>-643966899.87274456</v>
      </c>
      <c r="K2474" s="558">
        <f>'Progetto del paramento slu'!$G$60*(sezione!$AL$36-C2474)/C2474</f>
        <v>-2.9994828272426801E-3</v>
      </c>
      <c r="L2474" s="558">
        <f>'Progetto del paramento slu'!$G$60*(sezione!$AM$36-C2474)/C2474</f>
        <v>-1.6230606021600496E-3</v>
      </c>
      <c r="M2474" s="559">
        <f>'Progetto del paramento slu'!$G$60*(sezione!$AN$36-C2474)/C2474</f>
        <v>-2.4663837707741929E-4</v>
      </c>
      <c r="N2474" s="559">
        <f>'Progetto del paramento slu'!$G$60*(sezione!$AO$36-C2474)/C2474</f>
        <v>7.5439596843722098E-4</v>
      </c>
      <c r="O2474" s="559">
        <f>'Progetto del paramento slu'!$G$60*(sezione!$AP$36-C2474)/C2474</f>
        <v>-2.4652588103017957E-4</v>
      </c>
      <c r="P2474" s="553">
        <f>-'Progetto del paramento slu'!$G$47*'Progetto del paramento slu'!$G$41*IF(DATI!$G$218="dx",DATI!$E$61,DATI!$E$64*DATI!$E$63)*1000*C2474*sezione!$AD$5</f>
        <v>-3942771.0124879796</v>
      </c>
      <c r="Q2474" s="553">
        <f>'Foglio deposito bis'!$F$88*IF(ABS(K2474)&lt;'Progetto del paramento slu'!$G$58,ABS(K2474)*'Progetto del paramento slu'!$G$54,'Progetto del paramento slu'!$G$53)*IF(K2474&lt;0,-1,1)</f>
        <v>0</v>
      </c>
      <c r="R2474" s="553">
        <f>'Foglio deposito bis'!$F$89*IF(ABS(L2474)&lt;'Progetto del paramento slu'!$G$58,ABS(L2474)*'Progetto del paramento slu'!$G$54,'Progetto del paramento slu'!$G$53)*IF(L2474&lt;0,-1,1)</f>
        <v>-131299.12804998373</v>
      </c>
      <c r="S2474" s="553">
        <f>'Foglio deposito bis'!$F$90*IF(ABS(M2474)&lt;'Progetto del paramento slu'!$G$58,ABS(M2474)*'Progetto del paramento slu'!$G$54,'Progetto del paramento slu'!$G$53)*IF(M2474&lt;0,-1,1)</f>
        <v>0</v>
      </c>
      <c r="T2474" s="553">
        <f>'Foglio deposito bis'!$F$91*IF(ABS(N2474)&lt;'Progetto del paramento slu'!$G$58,ABS(N2474)*'Progetto del paramento slu'!$G$54,'Progetto del paramento slu'!$G$53)*IF(N2474&lt;0,-1,1)</f>
        <v>354448.44270546059</v>
      </c>
      <c r="U2474" s="553">
        <f>'Foglio deposito bis'!$F$92*IF(ABS(O2474)&lt;'Progetto del paramento slu'!$G$58,ABS(O2474)*'Progetto del paramento slu'!$G$54,'Progetto del paramento slu'!$G$53)*IF(O2474&lt;0,-1,1)</f>
        <v>-215703.0590555807</v>
      </c>
      <c r="V2474" s="479">
        <f t="shared" si="182"/>
        <v>-3935324.7568880832</v>
      </c>
      <c r="W2474" s="559"/>
      <c r="X2474" s="559"/>
    </row>
    <row r="2475" spans="1:24" x14ac:dyDescent="0.25">
      <c r="A2475" s="553">
        <f t="shared" si="181"/>
        <v>4064043.3741000812</v>
      </c>
      <c r="B2475" s="3">
        <f t="shared" si="179"/>
        <v>69.899999999999949</v>
      </c>
      <c r="C2475" s="553">
        <f>'Foglio deposito bis'!$E$162/sezione!$B$247*B2475</f>
        <v>283.77034408504198</v>
      </c>
      <c r="D2475" s="611">
        <f>-'Progetto del paramento slu'!$G$47*'Progetto del paramento slu'!$G$41*IF(DATI!$G$218="dx",DATI!$E$61,DATI!$E$64*DATI!$E$63)*1000*C2475^2*sezione!$AD$5*(1-sezione!$AD$6)</f>
        <v>-662886787.22925627</v>
      </c>
      <c r="E2475" s="553">
        <f>-'Foglio deposito bis'!$F$88*(C2475-sezione!$AL$36)*IF(ABS(K2475)&lt;'Progetto del paramento slu'!$G$58,ABS(K2475)*'Progetto del paramento slu'!$G$54,'Progetto del paramento slu'!$G$53)</f>
        <v>0</v>
      </c>
      <c r="F2475" s="553">
        <f>-'Foglio deposito bis'!$F$89*(C2475-sezione!$AM$36)*IF(ABS(L2475)&lt;'Progetto del paramento slu'!$G$58,ABS(L2475)*'Progetto del paramento slu'!$G$54,'Progetto del paramento slu'!$G$53)</f>
        <v>-17854505.727242004</v>
      </c>
      <c r="G2475" s="553">
        <f>-'Foglio deposito bis'!$F$90*(C2475-sezione!$AN$36)*IF(ABS(M2475)&lt;'Progetto del paramento slu'!$G$58,ABS(M2475)*'Progetto del paramento slu'!$G$54,'Progetto del paramento slu'!$G$53)</f>
        <v>0</v>
      </c>
      <c r="H2475" s="553">
        <f>-'Foglio deposito bis'!$F$91*(C2475-sezione!$AO$36)*IF(ABS(N2475)&lt;'Progetto del paramento slu'!$G$58,ABS(N2475)*'Progetto del paramento slu'!$G$54,'Progetto del paramento slu'!$G$53)</f>
        <v>18322536.824963842</v>
      </c>
      <c r="I2475" s="479">
        <f>-'Foglio deposito bis'!$F$92*(C2475-sezione!$AP$36)*IF(ABS(O2475)&lt;'Progetto del paramento slu'!$G$58,ABS(O2475)*'Progetto del paramento slu'!$G$54,'Progetto del paramento slu'!$G$53)</f>
        <v>-6093084.2098358078</v>
      </c>
      <c r="J2475" s="479">
        <f t="shared" si="180"/>
        <v>-668511840.34137022</v>
      </c>
      <c r="K2475" s="558">
        <f>'Progetto del paramento slu'!$G$60*(sezione!$AL$36-C2475)/C2475</f>
        <v>-3.0066433018171765E-3</v>
      </c>
      <c r="L2475" s="558">
        <f>'Progetto del paramento slu'!$G$60*(sezione!$AM$36-C2475)/C2475</f>
        <v>-1.6499123818144125E-3</v>
      </c>
      <c r="M2475" s="559">
        <f>'Progetto del paramento slu'!$G$60*(sezione!$AN$36-C2475)/C2475</f>
        <v>-2.93181461811648E-4</v>
      </c>
      <c r="N2475" s="559">
        <f>'Progetto del paramento slu'!$G$60*(sezione!$AO$36-C2475)/C2475</f>
        <v>6.935319345539988E-4</v>
      </c>
      <c r="O2475" s="559">
        <f>'Progetto del paramento slu'!$G$60*(sezione!$AP$36-C2475)/C2475</f>
        <v>-2.9307057514991959E-4</v>
      </c>
      <c r="P2475" s="553">
        <f>-'Progetto del paramento slu'!$G$47*'Progetto del paramento slu'!$G$41*IF(DATI!$G$218="dx",DATI!$E$61,DATI!$E$64*DATI!$E$63)*1000*C2475*sezione!$AD$5</f>
        <v>-3999995.5554849026</v>
      </c>
      <c r="Q2475" s="553">
        <f>'Foglio deposito bis'!$F$88*IF(ABS(K2475)&lt;'Progetto del paramento slu'!$G$58,ABS(K2475)*'Progetto del paramento slu'!$G$54,'Progetto del paramento slu'!$G$53)*IF(K2475&lt;0,-1,1)</f>
        <v>0</v>
      </c>
      <c r="R2475" s="553">
        <f>'Foglio deposito bis'!$F$89*IF(ABS(L2475)&lt;'Progetto del paramento slu'!$G$58,ABS(L2475)*'Progetto del paramento slu'!$G$54,'Progetto del paramento slu'!$G$53)*IF(L2475&lt;0,-1,1)</f>
        <v>-133471.32990770612</v>
      </c>
      <c r="S2475" s="553">
        <f>'Foglio deposito bis'!$F$90*IF(ABS(M2475)&lt;'Progetto del paramento slu'!$G$58,ABS(M2475)*'Progetto del paramento slu'!$G$54,'Progetto del paramento slu'!$G$53)*IF(M2475&lt;0,-1,1)</f>
        <v>0</v>
      </c>
      <c r="T2475" s="553">
        <f>'Foglio deposito bis'!$F$91*IF(ABS(N2475)&lt;'Progetto del paramento slu'!$G$58,ABS(N2475)*'Progetto del paramento slu'!$G$54,'Progetto del paramento slu'!$G$53)*IF(N2475&lt;0,-1,1)</f>
        <v>325851.83968891663</v>
      </c>
      <c r="U2475" s="553">
        <f>'Foglio deposito bis'!$F$92*IF(ABS(O2475)&lt;'Progetto del paramento slu'!$G$58,ABS(O2475)*'Progetto del paramento slu'!$G$54,'Progetto del paramento slu'!$G$53)*IF(O2475&lt;0,-1,1)</f>
        <v>-256428.32839638938</v>
      </c>
      <c r="V2475" s="479">
        <f t="shared" si="182"/>
        <v>-4064043.3741000812</v>
      </c>
      <c r="W2475" s="559"/>
      <c r="X2475" s="559"/>
    </row>
    <row r="2476" spans="1:24" x14ac:dyDescent="0.25">
      <c r="A2476" s="553">
        <f t="shared" si="181"/>
        <v>4190745.2332242071</v>
      </c>
      <c r="B2476" s="3">
        <f t="shared" si="179"/>
        <v>70.899999999999949</v>
      </c>
      <c r="C2476" s="553">
        <f>'Foglio deposito bis'!$E$162/sezione!$B$247*B2476</f>
        <v>287.8300056599353</v>
      </c>
      <c r="D2476" s="611">
        <f>-'Progetto del paramento slu'!$G$47*'Progetto del paramento slu'!$G$41*IF(DATI!$G$218="dx",DATI!$E$61,DATI!$E$64*DATI!$E$63)*1000*C2476^2*sezione!$AD$5*(1-sezione!$AD$6)</f>
        <v>-681989175.40322232</v>
      </c>
      <c r="E2476" s="553">
        <f>-'Foglio deposito bis'!$F$88*(C2476-sezione!$AL$36)*IF(ABS(K2476)&lt;'Progetto del paramento slu'!$G$58,ABS(K2476)*'Progetto del paramento slu'!$G$54,'Progetto del paramento slu'!$G$53)</f>
        <v>0</v>
      </c>
      <c r="F2476" s="553">
        <f>-'Foglio deposito bis'!$F$89*(C2476-sezione!$AM$36)*IF(ABS(L2476)&lt;'Progetto del paramento slu'!$G$58,ABS(L2476)*'Progetto del paramento slu'!$G$54,'Progetto del paramento slu'!$G$53)</f>
        <v>-18687303.205282956</v>
      </c>
      <c r="G2476" s="553">
        <f>-'Foglio deposito bis'!$F$90*(C2476-sezione!$AN$36)*IF(ABS(M2476)&lt;'Progetto del paramento slu'!$G$58,ABS(M2476)*'Progetto del paramento slu'!$G$54,'Progetto del paramento slu'!$G$53)</f>
        <v>0</v>
      </c>
      <c r="H2476" s="553">
        <f>-'Foglio deposito bis'!$F$91*(C2476-sezione!$AO$36)*IF(ABS(N2476)&lt;'Progetto del paramento slu'!$G$58,ABS(N2476)*'Progetto del paramento slu'!$G$54,'Progetto del paramento slu'!$G$53)</f>
        <v>15549888.207065903</v>
      </c>
      <c r="I2476" s="479">
        <f>-'Foglio deposito bis'!$F$92*(C2476-sezione!$AP$36)*IF(ABS(O2476)&lt;'Progetto del paramento slu'!$G$58,ABS(O2476)*'Progetto del paramento slu'!$G$54,'Progetto del paramento slu'!$G$53)</f>
        <v>-8235153.7566452259</v>
      </c>
      <c r="J2476" s="479">
        <f t="shared" si="180"/>
        <v>-693361744.15808451</v>
      </c>
      <c r="K2476" s="558">
        <f>'Progetto del paramento slu'!$G$60*(sezione!$AL$36-C2476)/C2476</f>
        <v>-3.0136017883923929E-3</v>
      </c>
      <c r="L2476" s="558">
        <f>'Progetto del paramento slu'!$G$60*(sezione!$AM$36-C2476)/C2476</f>
        <v>-1.676006706471473E-3</v>
      </c>
      <c r="M2476" s="559">
        <f>'Progetto del paramento slu'!$G$60*(sezione!$AN$36-C2476)/C2476</f>
        <v>-3.3841162455055287E-4</v>
      </c>
      <c r="N2476" s="559">
        <f>'Progetto del paramento slu'!$G$60*(sezione!$AO$36-C2476)/C2476</f>
        <v>6.3438479866466163E-4</v>
      </c>
      <c r="O2476" s="559">
        <f>'Progetto del paramento slu'!$G$60*(sezione!$AP$36-C2476)/C2476</f>
        <v>-3.3830230187559073E-4</v>
      </c>
      <c r="P2476" s="553">
        <f>-'Progetto del paramento slu'!$G$47*'Progetto del paramento slu'!$G$41*IF(DATI!$G$218="dx",DATI!$E$61,DATI!$E$64*DATI!$E$63)*1000*C2476*sezione!$AD$5</f>
        <v>-4057220.0984818256</v>
      </c>
      <c r="Q2476" s="553">
        <f>'Foglio deposito bis'!$F$88*IF(ABS(K2476)&lt;'Progetto del paramento slu'!$G$58,ABS(K2476)*'Progetto del paramento slu'!$G$54,'Progetto del paramento slu'!$G$53)*IF(K2476&lt;0,-1,1)</f>
        <v>0</v>
      </c>
      <c r="R2476" s="553">
        <f>'Foglio deposito bis'!$F$89*IF(ABS(L2476)&lt;'Progetto del paramento slu'!$G$58,ABS(L2476)*'Progetto del paramento slu'!$G$54,'Progetto del paramento slu'!$G$53)*IF(L2476&lt;0,-1,1)</f>
        <v>-135582.25667776359</v>
      </c>
      <c r="S2476" s="553">
        <f>'Foglio deposito bis'!$F$90*IF(ABS(M2476)&lt;'Progetto del paramento slu'!$G$58,ABS(M2476)*'Progetto del paramento slu'!$G$54,'Progetto del paramento slu'!$G$53)*IF(M2476&lt;0,-1,1)</f>
        <v>0</v>
      </c>
      <c r="T2476" s="553">
        <f>'Foglio deposito bis'!$F$91*IF(ABS(N2476)&lt;'Progetto del paramento slu'!$G$58,ABS(N2476)*'Progetto del paramento slu'!$G$54,'Progetto del paramento slu'!$G$53)*IF(N2476&lt;0,-1,1)</f>
        <v>298061.91094646411</v>
      </c>
      <c r="U2476" s="553">
        <f>'Foglio deposito bis'!$F$92*IF(ABS(O2476)&lt;'Progetto del paramento slu'!$G$58,ABS(O2476)*'Progetto del paramento slu'!$G$54,'Progetto del paramento slu'!$G$53)*IF(O2476&lt;0,-1,1)</f>
        <v>-296004.78901108215</v>
      </c>
      <c r="V2476" s="479">
        <f t="shared" si="182"/>
        <v>-4190745.2332242071</v>
      </c>
      <c r="W2476" s="559"/>
      <c r="X2476" s="559"/>
    </row>
    <row r="2477" spans="1:24" x14ac:dyDescent="0.25">
      <c r="A2477" s="553">
        <f t="shared" si="181"/>
        <v>4315514.4827203164</v>
      </c>
      <c r="B2477" s="3">
        <f t="shared" si="179"/>
        <v>71.899999999999949</v>
      </c>
      <c r="C2477" s="553">
        <f>'Foglio deposito bis'!$E$162/sezione!$B$247*B2477</f>
        <v>291.88966723482861</v>
      </c>
      <c r="D2477" s="611">
        <f>-'Progetto del paramento slu'!$G$47*'Progetto del paramento slu'!$G$41*IF(DATI!$G$218="dx",DATI!$E$61,DATI!$E$64*DATI!$E$63)*1000*C2477^2*sezione!$AD$5*(1-sezione!$AD$6)</f>
        <v>-701362904.31829584</v>
      </c>
      <c r="E2477" s="553">
        <f>-'Foglio deposito bis'!$F$88*(C2477-sezione!$AL$36)*IF(ABS(K2477)&lt;'Progetto del paramento slu'!$G$58,ABS(K2477)*'Progetto del paramento slu'!$G$54,'Progetto del paramento slu'!$G$53)</f>
        <v>0</v>
      </c>
      <c r="F2477" s="553">
        <f>-'Foglio deposito bis'!$F$89*(C2477-sezione!$AM$36)*IF(ABS(L2477)&lt;'Progetto del paramento slu'!$G$58,ABS(L2477)*'Progetto del paramento slu'!$G$54,'Progetto del paramento slu'!$G$53)</f>
        <v>-19528908.44453416</v>
      </c>
      <c r="G2477" s="553">
        <f>-'Foglio deposito bis'!$F$90*(C2477-sezione!$AN$36)*IF(ABS(M2477)&lt;'Progetto del paramento slu'!$G$58,ABS(M2477)*'Progetto del paramento slu'!$G$54,'Progetto del paramento slu'!$G$53)</f>
        <v>0</v>
      </c>
      <c r="H2477" s="553">
        <f>-'Foglio deposito bis'!$F$91*(C2477-sezione!$AO$36)*IF(ABS(N2477)&lt;'Progetto del paramento slu'!$G$58,ABS(N2477)*'Progetto del paramento slu'!$G$54,'Progetto del paramento slu'!$G$53)</f>
        <v>13040065.062670995</v>
      </c>
      <c r="I2477" s="479">
        <f>-'Foglio deposito bis'!$F$92*(C2477-sezione!$AP$36)*IF(ABS(O2477)&lt;'Progetto del paramento slu'!$G$58,ABS(O2477)*'Progetto del paramento slu'!$G$54,'Progetto del paramento slu'!$G$53)</f>
        <v>-10663460.732312024</v>
      </c>
      <c r="J2477" s="479">
        <f t="shared" si="180"/>
        <v>-718515208.43247104</v>
      </c>
      <c r="K2477" s="558">
        <f>'Progetto del paramento slu'!$G$60*(sezione!$AL$36-C2477)/C2477</f>
        <v>-3.0203667148403432E-3</v>
      </c>
      <c r="L2477" s="558">
        <f>'Progetto del paramento slu'!$G$60*(sezione!$AM$36-C2477)/C2477</f>
        <v>-1.7013751806512854E-3</v>
      </c>
      <c r="M2477" s="559">
        <f>'Progetto del paramento slu'!$G$60*(sezione!$AN$36-C2477)/C2477</f>
        <v>-3.8238364646222818E-4</v>
      </c>
      <c r="N2477" s="559">
        <f>'Progetto del paramento slu'!$G$60*(sezione!$AO$36-C2477)/C2477</f>
        <v>5.7688292385708634E-4</v>
      </c>
      <c r="O2477" s="559">
        <f>'Progetto del paramento slu'!$G$60*(sezione!$AP$36-C2477)/C2477</f>
        <v>-3.8227584426953255E-4</v>
      </c>
      <c r="P2477" s="553">
        <f>-'Progetto del paramento slu'!$G$47*'Progetto del paramento slu'!$G$41*IF(DATI!$G$218="dx",DATI!$E$61,DATI!$E$64*DATI!$E$63)*1000*C2477*sezione!$AD$5</f>
        <v>-4114444.6414787485</v>
      </c>
      <c r="Q2477" s="553">
        <f>'Foglio deposito bis'!$F$88*IF(ABS(K2477)&lt;'Progetto del paramento slu'!$G$58,ABS(K2477)*'Progetto del paramento slu'!$G$54,'Progetto del paramento slu'!$G$53)*IF(K2477&lt;0,-1,1)</f>
        <v>0</v>
      </c>
      <c r="R2477" s="553">
        <f>'Foglio deposito bis'!$F$89*IF(ABS(L2477)&lt;'Progetto del paramento slu'!$G$58,ABS(L2477)*'Progetto del paramento slu'!$G$54,'Progetto del paramento slu'!$G$53)*IF(L2477&lt;0,-1,1)</f>
        <v>-137634.46503975269</v>
      </c>
      <c r="S2477" s="553">
        <f>'Foglio deposito bis'!$F$90*IF(ABS(M2477)&lt;'Progetto del paramento slu'!$G$58,ABS(M2477)*'Progetto del paramento slu'!$G$54,'Progetto del paramento slu'!$G$53)*IF(M2477&lt;0,-1,1)</f>
        <v>0</v>
      </c>
      <c r="T2477" s="553">
        <f>'Foglio deposito bis'!$F$91*IF(ABS(N2477)&lt;'Progetto del paramento slu'!$G$58,ABS(N2477)*'Progetto del paramento slu'!$G$54,'Progetto del paramento slu'!$G$53)*IF(N2477&lt;0,-1,1)</f>
        <v>271044.99830254994</v>
      </c>
      <c r="U2477" s="553">
        <f>'Foglio deposito bis'!$F$92*IF(ABS(O2477)&lt;'Progetto del paramento slu'!$G$58,ABS(O2477)*'Progetto del paramento slu'!$G$54,'Progetto del paramento slu'!$G$53)*IF(O2477&lt;0,-1,1)</f>
        <v>-334480.37450436479</v>
      </c>
      <c r="V2477" s="479">
        <f t="shared" si="182"/>
        <v>-4315514.4827203164</v>
      </c>
      <c r="W2477" s="559"/>
      <c r="X2477" s="559"/>
    </row>
    <row r="2478" spans="1:24" x14ac:dyDescent="0.25">
      <c r="A2478" s="553">
        <f t="shared" si="181"/>
        <v>4438430.6538488194</v>
      </c>
      <c r="B2478" s="3">
        <f t="shared" si="179"/>
        <v>72.899999999999949</v>
      </c>
      <c r="C2478" s="553">
        <f>'Foglio deposito bis'!$E$162/sezione!$B$247*B2478</f>
        <v>295.94932880972192</v>
      </c>
      <c r="D2478" s="611">
        <f>-'Progetto del paramento slu'!$G$47*'Progetto del paramento slu'!$G$41*IF(DATI!$G$218="dx",DATI!$E$61,DATI!$E$64*DATI!$E$63)*1000*C2478^2*sezione!$AD$5*(1-sezione!$AD$6)</f>
        <v>-721007973.97447646</v>
      </c>
      <c r="E2478" s="553">
        <f>-'Foglio deposito bis'!$F$88*(C2478-sezione!$AL$36)*IF(ABS(K2478)&lt;'Progetto del paramento slu'!$G$58,ABS(K2478)*'Progetto del paramento slu'!$G$54,'Progetto del paramento slu'!$G$53)</f>
        <v>0</v>
      </c>
      <c r="F2478" s="553">
        <f>-'Foglio deposito bis'!$F$89*(C2478-sezione!$AM$36)*IF(ABS(L2478)&lt;'Progetto del paramento slu'!$G$58,ABS(L2478)*'Progetto del paramento slu'!$G$54,'Progetto del paramento slu'!$G$53)</f>
        <v>-20378958.985686559</v>
      </c>
      <c r="G2478" s="553">
        <f>-'Foglio deposito bis'!$F$90*(C2478-sezione!$AN$36)*IF(ABS(M2478)&lt;'Progetto del paramento slu'!$G$58,ABS(M2478)*'Progetto del paramento slu'!$G$54,'Progetto del paramento slu'!$G$53)</f>
        <v>0</v>
      </c>
      <c r="H2478" s="553">
        <f>-'Foglio deposito bis'!$F$91*(C2478-sezione!$AO$36)*IF(ABS(N2478)&lt;'Progetto del paramento slu'!$G$58,ABS(N2478)*'Progetto del paramento slu'!$G$54,'Progetto del paramento slu'!$G$53)</f>
        <v>10782251.528671987</v>
      </c>
      <c r="I2478" s="479">
        <f>-'Foglio deposito bis'!$F$92*(C2478-sezione!$AP$36)*IF(ABS(O2478)&lt;'Progetto del paramento slu'!$G$58,ABS(O2478)*'Progetto del paramento slu'!$G$54,'Progetto del paramento slu'!$G$53)</f>
        <v>-13366225.818776226</v>
      </c>
      <c r="J2478" s="479">
        <f t="shared" si="180"/>
        <v>-743970907.25026727</v>
      </c>
      <c r="K2478" s="558">
        <f>'Progetto del paramento slu'!$G$60*(sezione!$AL$36-C2478)/C2478</f>
        <v>-3.0269460465983632E-3</v>
      </c>
      <c r="L2478" s="558">
        <f>'Progetto del paramento slu'!$G$60*(sezione!$AM$36-C2478)/C2478</f>
        <v>-1.7260476747438607E-3</v>
      </c>
      <c r="M2478" s="559">
        <f>'Progetto del paramento slu'!$G$60*(sezione!$AN$36-C2478)/C2478</f>
        <v>-4.2514930288935817E-4</v>
      </c>
      <c r="N2478" s="559">
        <f>'Progetto del paramento slu'!$G$60*(sezione!$AO$36-C2478)/C2478</f>
        <v>5.2095860391391624E-4</v>
      </c>
      <c r="O2478" s="559">
        <f>'Progetto del paramento slu'!$G$60*(sezione!$AP$36-C2478)/C2478</f>
        <v>-4.2504297946473793E-4</v>
      </c>
      <c r="P2478" s="553">
        <f>-'Progetto del paramento slu'!$G$47*'Progetto del paramento slu'!$G$41*IF(DATI!$G$218="dx",DATI!$E$61,DATI!$E$64*DATI!$E$63)*1000*C2478*sezione!$AD$5</f>
        <v>-4171669.1844756706</v>
      </c>
      <c r="Q2478" s="553">
        <f>'Foglio deposito bis'!$F$88*IF(ABS(K2478)&lt;'Progetto del paramento slu'!$G$58,ABS(K2478)*'Progetto del paramento slu'!$G$54,'Progetto del paramento slu'!$G$53)*IF(K2478&lt;0,-1,1)</f>
        <v>0</v>
      </c>
      <c r="R2478" s="553">
        <f>'Foglio deposito bis'!$F$89*IF(ABS(L2478)&lt;'Progetto del paramento slu'!$G$58,ABS(L2478)*'Progetto del paramento slu'!$G$54,'Progetto del paramento slu'!$G$53)*IF(L2478&lt;0,-1,1)</f>
        <v>-139630.37138906721</v>
      </c>
      <c r="S2478" s="553">
        <f>'Foglio deposito bis'!$F$90*IF(ABS(M2478)&lt;'Progetto del paramento slu'!$G$58,ABS(M2478)*'Progetto del paramento slu'!$G$54,'Progetto del paramento slu'!$G$53)*IF(M2478&lt;0,-1,1)</f>
        <v>0</v>
      </c>
      <c r="T2478" s="553">
        <f>'Foglio deposito bis'!$F$91*IF(ABS(N2478)&lt;'Progetto del paramento slu'!$G$58,ABS(N2478)*'Progetto del paramento slu'!$G$54,'Progetto del paramento slu'!$G$53)*IF(N2478&lt;0,-1,1)</f>
        <v>244769.29039509426</v>
      </c>
      <c r="U2478" s="553">
        <f>'Foglio deposito bis'!$F$92*IF(ABS(O2478)&lt;'Progetto del paramento slu'!$G$58,ABS(O2478)*'Progetto del paramento slu'!$G$54,'Progetto del paramento slu'!$G$53)*IF(O2478&lt;0,-1,1)</f>
        <v>-371900.38837917609</v>
      </c>
      <c r="V2478" s="479">
        <f t="shared" si="182"/>
        <v>-4438430.6538488194</v>
      </c>
      <c r="W2478" s="559"/>
      <c r="X2478" s="559"/>
    </row>
    <row r="2479" spans="1:24" x14ac:dyDescent="0.25">
      <c r="A2479" s="553">
        <f t="shared" si="181"/>
        <v>4559568.9730657805</v>
      </c>
      <c r="B2479" s="3">
        <f t="shared" si="179"/>
        <v>73.899999999999949</v>
      </c>
      <c r="C2479" s="553">
        <f>'Foglio deposito bis'!$E$162/sezione!$B$247*B2479</f>
        <v>300.00899038461523</v>
      </c>
      <c r="D2479" s="611">
        <f>-'Progetto del paramento slu'!$G$47*'Progetto del paramento slu'!$G$41*IF(DATI!$G$218="dx",DATI!$E$61,DATI!$E$64*DATI!$E$63)*1000*C2479^2*sezione!$AD$5*(1-sezione!$AD$6)</f>
        <v>-740924384.3717649</v>
      </c>
      <c r="E2479" s="553">
        <f>-'Foglio deposito bis'!$F$88*(C2479-sezione!$AL$36)*IF(ABS(K2479)&lt;'Progetto del paramento slu'!$G$58,ABS(K2479)*'Progetto del paramento slu'!$G$54,'Progetto del paramento slu'!$G$53)</f>
        <v>0</v>
      </c>
      <c r="F2479" s="553">
        <f>-'Foglio deposito bis'!$F$89*(C2479-sezione!$AM$36)*IF(ABS(L2479)&lt;'Progetto del paramento slu'!$G$58,ABS(L2479)*'Progetto del paramento slu'!$G$54,'Progetto del paramento slu'!$G$53)</f>
        <v>-21237111.988338199</v>
      </c>
      <c r="G2479" s="553">
        <f>-'Foglio deposito bis'!$F$90*(C2479-sezione!$AN$36)*IF(ABS(M2479)&lt;'Progetto del paramento slu'!$G$58,ABS(M2479)*'Progetto del paramento slu'!$G$54,'Progetto del paramento slu'!$G$53)</f>
        <v>0</v>
      </c>
      <c r="H2479" s="553">
        <f>-'Foglio deposito bis'!$F$91*(C2479-sezione!$AO$36)*IF(ABS(N2479)&lt;'Progetto del paramento slu'!$G$58,ABS(N2479)*'Progetto del paramento slu'!$G$54,'Progetto del paramento slu'!$G$53)</f>
        <v>8766217.1743356381</v>
      </c>
      <c r="I2479" s="479">
        <f>-'Foglio deposito bis'!$F$92*(C2479-sezione!$AP$36)*IF(ABS(O2479)&lt;'Progetto del paramento slu'!$G$58,ABS(O2479)*'Progetto del paramento slu'!$G$54,'Progetto del paramento slu'!$G$53)</f>
        <v>-16332307.279469602</v>
      </c>
      <c r="J2479" s="479">
        <f t="shared" si="180"/>
        <v>-769727586.46523714</v>
      </c>
      <c r="K2479" s="558">
        <f>'Progetto del paramento slu'!$G$60*(sezione!$AL$36-C2479)/C2479</f>
        <v>-3.0333473179569776E-3</v>
      </c>
      <c r="L2479" s="558">
        <f>'Progetto del paramento slu'!$G$60*(sezione!$AM$36-C2479)/C2479</f>
        <v>-1.7500524423386661E-3</v>
      </c>
      <c r="M2479" s="559">
        <f>'Progetto del paramento slu'!$G$60*(sezione!$AN$36-C2479)/C2479</f>
        <v>-4.6675756672035477E-4</v>
      </c>
      <c r="N2479" s="559">
        <f>'Progetto del paramento slu'!$G$60*(sezione!$AO$36-C2479)/C2479</f>
        <v>4.6654779736569001E-4</v>
      </c>
      <c r="O2479" s="559">
        <f>'Progetto del paramento slu'!$G$60*(sezione!$AP$36-C2479)/C2479</f>
        <v>-4.6665268204302304E-4</v>
      </c>
      <c r="P2479" s="553">
        <f>-'Progetto del paramento slu'!$G$47*'Progetto del paramento slu'!$G$41*IF(DATI!$G$218="dx",DATI!$E$61,DATI!$E$64*DATI!$E$63)*1000*C2479*sezione!$AD$5</f>
        <v>-4228893.727472594</v>
      </c>
      <c r="Q2479" s="553">
        <f>'Foglio deposito bis'!$F$88*IF(ABS(K2479)&lt;'Progetto del paramento slu'!$G$58,ABS(K2479)*'Progetto del paramento slu'!$G$54,'Progetto del paramento slu'!$G$53)*IF(K2479&lt;0,-1,1)</f>
        <v>0</v>
      </c>
      <c r="R2479" s="553">
        <f>'Foglio deposito bis'!$F$89*IF(ABS(L2479)&lt;'Progetto del paramento slu'!$G$58,ABS(L2479)*'Progetto del paramento slu'!$G$54,'Progetto del paramento slu'!$G$53)*IF(L2479&lt;0,-1,1)</f>
        <v>-141572.26132838672</v>
      </c>
      <c r="S2479" s="553">
        <f>'Foglio deposito bis'!$F$90*IF(ABS(M2479)&lt;'Progetto del paramento slu'!$G$58,ABS(M2479)*'Progetto del paramento slu'!$G$54,'Progetto del paramento slu'!$G$53)*IF(M2479&lt;0,-1,1)</f>
        <v>0</v>
      </c>
      <c r="T2479" s="553">
        <f>'Foglio deposito bis'!$F$91*IF(ABS(N2479)&lt;'Progetto del paramento slu'!$G$58,ABS(N2479)*'Progetto del paramento slu'!$G$54,'Progetto del paramento slu'!$G$53)*IF(N2479&lt;0,-1,1)</f>
        <v>219204.69772194058</v>
      </c>
      <c r="U2479" s="553">
        <f>'Foglio deposito bis'!$F$92*IF(ABS(O2479)&lt;'Progetto del paramento slu'!$G$58,ABS(O2479)*'Progetto del paramento slu'!$G$54,'Progetto del paramento slu'!$G$53)*IF(O2479&lt;0,-1,1)</f>
        <v>-408307.68198673945</v>
      </c>
      <c r="V2479" s="479">
        <f t="shared" si="182"/>
        <v>-4559568.9730657805</v>
      </c>
      <c r="W2479" s="559"/>
      <c r="X2479" s="559"/>
    </row>
    <row r="2480" spans="1:24" x14ac:dyDescent="0.25">
      <c r="A2480" s="428"/>
      <c r="B2480" s="428"/>
      <c r="C2480" s="428"/>
      <c r="D2480" s="428"/>
      <c r="E2480" s="428"/>
      <c r="F2480" s="428"/>
      <c r="G2480" s="428"/>
      <c r="H2480" s="428"/>
      <c r="I2480" s="428"/>
      <c r="J2480" s="428"/>
      <c r="K2480" s="428"/>
      <c r="L2480" s="428"/>
      <c r="M2480" s="428"/>
      <c r="N2480" s="428"/>
      <c r="O2480" s="428"/>
      <c r="P2480" s="553"/>
      <c r="Q2480" s="553"/>
      <c r="R2480" s="553"/>
      <c r="S2480" s="553"/>
      <c r="T2480" s="553"/>
      <c r="U2480" s="553"/>
      <c r="V2480" s="479"/>
    </row>
    <row r="2481" spans="1:24" x14ac:dyDescent="0.25">
      <c r="A2481" s="428"/>
      <c r="B2481" s="428"/>
      <c r="C2481" s="428"/>
      <c r="D2481" s="428"/>
      <c r="E2481" s="428"/>
      <c r="F2481" s="428"/>
      <c r="G2481" s="428"/>
      <c r="H2481" s="428"/>
      <c r="I2481" s="428"/>
      <c r="J2481" s="428"/>
      <c r="K2481" s="428"/>
      <c r="L2481" s="428"/>
      <c r="M2481" s="428"/>
      <c r="N2481" s="428"/>
      <c r="O2481" s="428"/>
      <c r="P2481" s="553"/>
      <c r="Q2481" s="553"/>
      <c r="R2481" s="553"/>
      <c r="S2481" s="553"/>
      <c r="T2481" s="553"/>
      <c r="U2481" s="553"/>
      <c r="V2481" s="479"/>
    </row>
    <row r="2482" spans="1:24" ht="15.75" x14ac:dyDescent="0.25">
      <c r="A2482" s="1035" t="s">
        <v>959</v>
      </c>
      <c r="B2482" s="1036"/>
      <c r="C2482" s="1036"/>
      <c r="D2482" s="1036"/>
      <c r="E2482" s="1036"/>
      <c r="F2482" s="1036"/>
      <c r="G2482" s="1036"/>
      <c r="H2482" s="1036"/>
      <c r="I2482" s="1036"/>
      <c r="J2482" s="1036"/>
      <c r="K2482" s="1036"/>
      <c r="L2482" s="1036"/>
      <c r="M2482" s="1036"/>
      <c r="N2482" s="1036"/>
      <c r="O2482" s="1037"/>
      <c r="P2482" s="553"/>
      <c r="Q2482" s="553"/>
      <c r="R2482" s="553"/>
      <c r="S2482" s="553"/>
      <c r="T2482" s="553"/>
      <c r="U2482" s="553"/>
      <c r="V2482" s="479"/>
      <c r="W2482" s="613"/>
      <c r="X2482" s="613"/>
    </row>
    <row r="2483" spans="1:24" x14ac:dyDescent="0.25">
      <c r="A2483" s="571">
        <v>1</v>
      </c>
      <c r="B2483" s="571">
        <v>2</v>
      </c>
      <c r="C2483" s="571">
        <v>3</v>
      </c>
      <c r="D2483" s="571">
        <v>4</v>
      </c>
      <c r="E2483" s="571">
        <v>5</v>
      </c>
      <c r="F2483" s="571">
        <v>6</v>
      </c>
      <c r="G2483" s="571">
        <v>7</v>
      </c>
      <c r="H2483" s="571">
        <v>8</v>
      </c>
      <c r="I2483" s="571">
        <v>9</v>
      </c>
      <c r="J2483" s="571">
        <v>10</v>
      </c>
      <c r="K2483" s="571">
        <v>11</v>
      </c>
      <c r="L2483" s="571">
        <v>12</v>
      </c>
      <c r="M2483" s="571">
        <v>13</v>
      </c>
      <c r="N2483" s="571">
        <v>14</v>
      </c>
      <c r="O2483" s="571">
        <v>15</v>
      </c>
      <c r="P2483" s="606">
        <v>4</v>
      </c>
      <c r="Q2483" s="606">
        <v>5</v>
      </c>
      <c r="R2483" s="606">
        <v>6</v>
      </c>
      <c r="S2483" s="606">
        <v>7</v>
      </c>
      <c r="T2483" s="606">
        <v>8</v>
      </c>
      <c r="U2483" s="606">
        <v>9</v>
      </c>
      <c r="V2483" s="606">
        <v>10</v>
      </c>
      <c r="W2483" s="47"/>
      <c r="X2483" s="47"/>
    </row>
    <row r="2484" spans="1:24" x14ac:dyDescent="0.25">
      <c r="A2484" s="573" t="s">
        <v>929</v>
      </c>
      <c r="B2484" s="83" t="s">
        <v>917</v>
      </c>
      <c r="C2484" s="571" t="s">
        <v>134</v>
      </c>
      <c r="D2484" s="571" t="s">
        <v>911</v>
      </c>
      <c r="E2484" s="571" t="s">
        <v>912</v>
      </c>
      <c r="F2484" s="571" t="s">
        <v>913</v>
      </c>
      <c r="G2484" s="571" t="s">
        <v>914</v>
      </c>
      <c r="H2484" s="571" t="s">
        <v>915</v>
      </c>
      <c r="I2484" s="571" t="s">
        <v>916</v>
      </c>
      <c r="J2484" s="572" t="s">
        <v>910</v>
      </c>
      <c r="K2484" s="573" t="s">
        <v>923</v>
      </c>
      <c r="L2484" s="573" t="s">
        <v>924</v>
      </c>
      <c r="M2484" s="573" t="s">
        <v>925</v>
      </c>
      <c r="N2484" s="573" t="s">
        <v>926</v>
      </c>
      <c r="O2484" s="573" t="s">
        <v>927</v>
      </c>
      <c r="P2484" s="606" t="s">
        <v>293</v>
      </c>
      <c r="Q2484" s="606" t="s">
        <v>968</v>
      </c>
      <c r="R2484" s="606" t="s">
        <v>969</v>
      </c>
      <c r="S2484" s="606" t="s">
        <v>970</v>
      </c>
      <c r="T2484" s="606" t="s">
        <v>971</v>
      </c>
      <c r="U2484" s="606" t="s">
        <v>972</v>
      </c>
      <c r="V2484" s="607" t="s">
        <v>1021</v>
      </c>
      <c r="W2484" s="58"/>
      <c r="X2484" s="58"/>
    </row>
    <row r="2485" spans="1:24" x14ac:dyDescent="0.25">
      <c r="A2485" s="553">
        <f>ABS(V2485)</f>
        <v>2708048.4994793409</v>
      </c>
      <c r="B2485" s="3">
        <v>0</v>
      </c>
      <c r="C2485" s="42">
        <v>0.01</v>
      </c>
      <c r="D2485" s="32">
        <f>-'Progetto del paramento slu'!$G$47*'Progetto del paramento slu'!$G$41*IF(DATI!$G$218="dx",DATI!$E$61,DATI!$E$64*DATI!$E$63)*1000*C2485^2*sezione!$AD$5*(1-sezione!$AD$6)</f>
        <v>-0.82319997600000006</v>
      </c>
      <c r="E2485" s="553">
        <f>-'Foglio deposito bis'!$F$88*(C2485-sezione!$AL$37)*IF(ABS(K2485)&lt;'Progetto del paramento slu'!$G$58,ABS(K2485)*'Progetto del paramento slu'!$G$54,'Progetto del paramento slu'!$G$53)</f>
        <v>0</v>
      </c>
      <c r="F2485" s="553">
        <f>-'Foglio deposito bis'!$F$89*(C2485-sezione!$AM$37)*IF(ABS(L2485)&lt;'Progetto del paramento slu'!$G$58,ABS(L2485)*'Progetto del paramento slu'!$G$54,'Progetto del paramento slu'!$G$53)</f>
        <v>23048192.059822816</v>
      </c>
      <c r="G2485" s="553">
        <f>-'Foglio deposito bis'!$F$90*(C2485-sezione!$AN$37)*IF(ABS(M2485)&lt;'Progetto del paramento slu'!$G$58,ABS(M2485)*'Progetto del paramento slu'!$G$54,'Progetto del paramento slu'!$G$53)</f>
        <v>0</v>
      </c>
      <c r="H2485" s="553">
        <f>-'Foglio deposito bis'!$F$91*(C2485-sezione!$AO$37)*IF(ABS(N2485)&lt;'Progetto del paramento slu'!$G$58,ABS(N2485)*'Progetto del paramento slu'!$G$54,'Progetto del paramento slu'!$G$53)</f>
        <v>303436143.64543289</v>
      </c>
      <c r="I2485" s="479">
        <f>-'Foglio deposito bis'!$F$92*(C2485-sezione!$AP$37)*IF(ABS(O2485)&lt;'Progetto del paramento slu'!$G$58,ABS(O2485)*'Progetto del paramento slu'!$G$54,'Progetto del paramento slu'!$G$53)</f>
        <v>432130167.23082387</v>
      </c>
      <c r="J2485" s="479">
        <f t="shared" ref="J2485:J2548" si="183">D2485+E2485+F2485+G2485+H2485+I2485</f>
        <v>758614502.11287963</v>
      </c>
      <c r="K2485" s="558">
        <f>'Progetto del paramento slu'!$G$60*(sezione!$AL$37-C2485)/C2485</f>
        <v>13.996500000000001</v>
      </c>
      <c r="L2485" s="558">
        <f>'Progetto del paramento slu'!$G$60*(sezione!$AM$37-C2485)/C2485</f>
        <v>52.496499999999997</v>
      </c>
      <c r="M2485" s="559">
        <f>'Progetto del paramento slu'!$G$60*(sezione!$AN$37-C2485)/C2485</f>
        <v>90.996499999999997</v>
      </c>
      <c r="N2485" s="559">
        <f>'Progetto del paramento slu'!$G$60*(sezione!$AO$37-C2485)/C2485</f>
        <v>118.99650000000001</v>
      </c>
      <c r="O2485" s="559">
        <f>'Progetto del paramento slu'!$G$60*(sezione!$AP$37-C2485)/C2485</f>
        <v>90.999999999999929</v>
      </c>
      <c r="P2485" s="553">
        <f>-'Progetto del paramento slu'!$G$47*'Progetto del paramento slu'!$G$41*IF(DATI!$G$218="dx",DATI!$E$61,DATI!$E$64*DATI!$E$63)*1000*C2485*sezione!$AD$5</f>
        <v>-140.9589</v>
      </c>
      <c r="Q2485" s="553">
        <f>'Foglio deposito bis'!$F$88*IF(ABS(K2485)&lt;'Progetto del paramento slu'!$G$58,ABS(K2485)*'Progetto del paramento slu'!$G$54,'Progetto del paramento slu'!$G$53)*IF(K2485&lt;0,-1,1)</f>
        <v>0</v>
      </c>
      <c r="R2485" s="553">
        <f>'Foglio deposito bis'!$F$89*IF(ABS(L2485)&lt;'Progetto del paramento slu'!$G$58,ABS(L2485)*'Progetto del paramento slu'!$G$54,'Progetto del paramento slu'!$G$53)*IF(L2485&lt;0,-1,1)</f>
        <v>153664.85805602249</v>
      </c>
      <c r="S2485" s="553">
        <f>'Foglio deposito bis'!$F$90*IF(ABS(M2485)&lt;'Progetto del paramento slu'!$G$58,ABS(M2485)*'Progetto del paramento slu'!$G$54,'Progetto del paramento slu'!$G$53)*IF(M2485&lt;0,-1,1)</f>
        <v>0</v>
      </c>
      <c r="T2485" s="553">
        <f>'Foglio deposito bis'!$F$91*IF(ABS(N2485)&lt;'Progetto del paramento slu'!$G$58,ABS(N2485)*'Progetto del paramento slu'!$G$54,'Progetto del paramento slu'!$G$53)*IF(N2485&lt;0,-1,1)</f>
        <v>892485.49558937876</v>
      </c>
      <c r="U2485" s="553">
        <f>'Foglio deposito bis'!$F$92*IF(ABS(O2485)&lt;'Progetto del paramento slu'!$G$58,ABS(O2485)*'Progetto del paramento slu'!$G$54,'Progetto del paramento slu'!$G$53)*IF(O2485&lt;0,-1,1)</f>
        <v>1662039.1047339395</v>
      </c>
      <c r="V2485" s="479">
        <f t="shared" ref="V2485" si="184">P2485+Q2485+R2485+S2485+T2485+U2485</f>
        <v>2708048.4994793409</v>
      </c>
      <c r="W2485" s="559"/>
      <c r="X2485" s="559"/>
    </row>
    <row r="2486" spans="1:24" x14ac:dyDescent="0.25">
      <c r="A2486" s="553">
        <f t="shared" ref="A2486:A2549" si="185">ABS(V2486)</f>
        <v>2705328.2216006536</v>
      </c>
      <c r="B2486" s="3">
        <f>B2485+0.05</f>
        <v>0.05</v>
      </c>
      <c r="C2486" s="553">
        <f>'Foglio deposito bis'!$E$163/sezione!$B$247*B2486</f>
        <v>0.20298376184032474</v>
      </c>
      <c r="D2486" s="611">
        <f>-'Progetto del paramento slu'!$G$47*'Progetto del paramento slu'!$G$41*IF(DATI!$G$218="dx",DATI!$E$61,DATI!$E$64*DATI!$E$63)*1000*C2486^2*sezione!$AD$5*(1-sezione!$AD$6)</f>
        <v>-339.17820923465678</v>
      </c>
      <c r="E2486" s="553">
        <f>-'Foglio deposito bis'!$F$88*(C2486-sezione!$AL$37)*IF(ABS(K2486)&lt;'Progetto del paramento slu'!$G$58,ABS(K2486)*'Progetto del paramento slu'!$G$54,'Progetto del paramento slu'!$G$53)</f>
        <v>0</v>
      </c>
      <c r="F2486" s="553">
        <f>-'Foglio deposito bis'!$F$89*(C2486-sezione!$AM$37)*IF(ABS(L2486)&lt;'Progetto del paramento slu'!$G$58,ABS(L2486)*'Progetto del paramento slu'!$G$54,'Progetto del paramento slu'!$G$53)</f>
        <v>23018537.2374525</v>
      </c>
      <c r="G2486" s="553">
        <f>-'Foglio deposito bis'!$F$90*(C2486-sezione!$AN$37)*IF(ABS(M2486)&lt;'Progetto del paramento slu'!$G$58,ABS(M2486)*'Progetto del paramento slu'!$G$54,'Progetto del paramento slu'!$G$53)</f>
        <v>0</v>
      </c>
      <c r="H2486" s="553">
        <f>-'Foglio deposito bis'!$F$91*(C2486-sezione!$AO$37)*IF(ABS(N2486)&lt;'Progetto del paramento slu'!$G$58,ABS(N2486)*'Progetto del paramento slu'!$G$54,'Progetto del paramento slu'!$G$53)</f>
        <v>303263908.43710613</v>
      </c>
      <c r="I2486" s="479">
        <f>-'Foglio deposito bis'!$F$92*(C2486-sezione!$AP$37)*IF(ABS(O2486)&lt;'Progetto del paramento slu'!$G$58,ABS(O2486)*'Progetto del paramento slu'!$G$54,'Progetto del paramento slu'!$G$53)</f>
        <v>431809420.67206663</v>
      </c>
      <c r="J2486" s="479">
        <f t="shared" si="183"/>
        <v>758091527.16841602</v>
      </c>
      <c r="K2486" s="558">
        <f>'Progetto del paramento slu'!$G$60*(sezione!$AL$37-C2486)/C2486</f>
        <v>0.6862103429885672</v>
      </c>
      <c r="L2486" s="558">
        <f>'Progetto del paramento slu'!$G$60*(sezione!$AM$37-C2486)/C2486</f>
        <v>2.5829137862071265</v>
      </c>
      <c r="M2486" s="559">
        <f>'Progetto del paramento slu'!$G$60*(sezione!$AN$37-C2486)/C2486</f>
        <v>4.4796172294256866</v>
      </c>
      <c r="N2486" s="559">
        <f>'Progetto del paramento slu'!$G$60*(sezione!$AO$37-C2486)/C2486</f>
        <v>5.8590379154028218</v>
      </c>
      <c r="O2486" s="559">
        <f>'Progetto del paramento slu'!$G$60*(sezione!$AP$37-C2486)/C2486</f>
        <v>4.4797896570114304</v>
      </c>
      <c r="P2486" s="553">
        <f>-'Progetto del paramento slu'!$G$47*'Progetto del paramento slu'!$G$41*IF(DATI!$G$218="dx",DATI!$E$61,DATI!$E$64*DATI!$E$63)*1000*C2486*sezione!$AD$5</f>
        <v>-2861.2367786874147</v>
      </c>
      <c r="Q2486" s="553">
        <f>'Foglio deposito bis'!$F$88*IF(ABS(K2486)&lt;'Progetto del paramento slu'!$G$58,ABS(K2486)*'Progetto del paramento slu'!$G$54,'Progetto del paramento slu'!$G$53)*IF(K2486&lt;0,-1,1)</f>
        <v>0</v>
      </c>
      <c r="R2486" s="553">
        <f>'Foglio deposito bis'!$F$89*IF(ABS(L2486)&lt;'Progetto del paramento slu'!$G$58,ABS(L2486)*'Progetto del paramento slu'!$G$54,'Progetto del paramento slu'!$G$53)*IF(L2486&lt;0,-1,1)</f>
        <v>153664.85805602249</v>
      </c>
      <c r="S2486" s="553">
        <f>'Foglio deposito bis'!$F$90*IF(ABS(M2486)&lt;'Progetto del paramento slu'!$G$58,ABS(M2486)*'Progetto del paramento slu'!$G$54,'Progetto del paramento slu'!$G$53)*IF(M2486&lt;0,-1,1)</f>
        <v>0</v>
      </c>
      <c r="T2486" s="553">
        <f>'Foglio deposito bis'!$F$91*IF(ABS(N2486)&lt;'Progetto del paramento slu'!$G$58,ABS(N2486)*'Progetto del paramento slu'!$G$54,'Progetto del paramento slu'!$G$53)*IF(N2486&lt;0,-1,1)</f>
        <v>892485.49558937876</v>
      </c>
      <c r="U2486" s="553">
        <f>'Foglio deposito bis'!$F$92*IF(ABS(O2486)&lt;'Progetto del paramento slu'!$G$58,ABS(O2486)*'Progetto del paramento slu'!$G$54,'Progetto del paramento slu'!$G$53)*IF(O2486&lt;0,-1,1)</f>
        <v>1662039.1047339395</v>
      </c>
      <c r="V2486" s="479">
        <f t="shared" ref="V2486:V2549" si="186">P2486+Q2486+R2486+S2486+T2486+U2486</f>
        <v>2705328.2216006536</v>
      </c>
      <c r="W2486" s="559"/>
      <c r="X2486" s="559"/>
    </row>
    <row r="2487" spans="1:24" x14ac:dyDescent="0.25">
      <c r="A2487" s="553">
        <f t="shared" si="185"/>
        <v>2702466.9848219659</v>
      </c>
      <c r="B2487" s="3">
        <f t="shared" ref="B2487:B2550" si="187">B2486+0.05</f>
        <v>0.1</v>
      </c>
      <c r="C2487" s="553">
        <f>'Foglio deposito bis'!$E$163/sezione!$B$247*B2487</f>
        <v>0.40596752368064948</v>
      </c>
      <c r="D2487" s="611">
        <f>-'Progetto del paramento slu'!$G$47*'Progetto del paramento slu'!$G$41*IF(DATI!$G$218="dx",DATI!$E$61,DATI!$E$64*DATI!$E$63)*1000*C2487^2*sezione!$AD$5*(1-sezione!$AD$6)</f>
        <v>-1356.7128369386271</v>
      </c>
      <c r="E2487" s="553">
        <f>-'Foglio deposito bis'!$F$88*(C2487-sezione!$AL$37)*IF(ABS(K2487)&lt;'Progetto del paramento slu'!$G$58,ABS(K2487)*'Progetto del paramento slu'!$G$54,'Progetto del paramento slu'!$G$53)</f>
        <v>0</v>
      </c>
      <c r="F2487" s="553">
        <f>-'Foglio deposito bis'!$F$89*(C2487-sezione!$AM$37)*IF(ABS(L2487)&lt;'Progetto del paramento slu'!$G$58,ABS(L2487)*'Progetto del paramento slu'!$G$54,'Progetto del paramento slu'!$G$53)</f>
        <v>22987345.766501632</v>
      </c>
      <c r="G2487" s="553">
        <f>-'Foglio deposito bis'!$F$90*(C2487-sezione!$AN$37)*IF(ABS(M2487)&lt;'Progetto del paramento slu'!$G$58,ABS(M2487)*'Progetto del paramento slu'!$G$54,'Progetto del paramento slu'!$G$53)</f>
        <v>0</v>
      </c>
      <c r="H2487" s="553">
        <f>-'Foglio deposito bis'!$F$91*(C2487-sezione!$AO$37)*IF(ABS(N2487)&lt;'Progetto del paramento slu'!$G$58,ABS(N2487)*'Progetto del paramento slu'!$G$54,'Progetto del paramento slu'!$G$53)</f>
        <v>303082748.37382346</v>
      </c>
      <c r="I2487" s="479">
        <f>-'Foglio deposito bis'!$F$92*(C2487-sezione!$AP$37)*IF(ABS(O2487)&lt;'Progetto del paramento slu'!$G$58,ABS(O2487)*'Progetto del paramento slu'!$G$54,'Progetto del paramento slu'!$G$53)</f>
        <v>431472053.72226197</v>
      </c>
      <c r="J2487" s="479">
        <f t="shared" si="183"/>
        <v>757540791.14975011</v>
      </c>
      <c r="K2487" s="558">
        <f>'Progetto del paramento slu'!$G$60*(sezione!$AL$37-C2487)/C2487</f>
        <v>0.34135517149428357</v>
      </c>
      <c r="L2487" s="558">
        <f>'Progetto del paramento slu'!$G$60*(sezione!$AM$37-C2487)/C2487</f>
        <v>1.2897068931035633</v>
      </c>
      <c r="M2487" s="559">
        <f>'Progetto del paramento slu'!$G$60*(sezione!$AN$37-C2487)/C2487</f>
        <v>2.2380586147128434</v>
      </c>
      <c r="N2487" s="559">
        <f>'Progetto del paramento slu'!$G$60*(sezione!$AO$37-C2487)/C2487</f>
        <v>2.9277689577014105</v>
      </c>
      <c r="O2487" s="559">
        <f>'Progetto del paramento slu'!$G$60*(sezione!$AP$37-C2487)/C2487</f>
        <v>2.2381448285057148</v>
      </c>
      <c r="P2487" s="553">
        <f>-'Progetto del paramento slu'!$G$47*'Progetto del paramento slu'!$G$41*IF(DATI!$G$218="dx",DATI!$E$61,DATI!$E$64*DATI!$E$63)*1000*C2487*sezione!$AD$5</f>
        <v>-5722.4735573748294</v>
      </c>
      <c r="Q2487" s="553">
        <f>'Foglio deposito bis'!$F$88*IF(ABS(K2487)&lt;'Progetto del paramento slu'!$G$58,ABS(K2487)*'Progetto del paramento slu'!$G$54,'Progetto del paramento slu'!$G$53)*IF(K2487&lt;0,-1,1)</f>
        <v>0</v>
      </c>
      <c r="R2487" s="553">
        <f>'Foglio deposito bis'!$F$89*IF(ABS(L2487)&lt;'Progetto del paramento slu'!$G$58,ABS(L2487)*'Progetto del paramento slu'!$G$54,'Progetto del paramento slu'!$G$53)*IF(L2487&lt;0,-1,1)</f>
        <v>153664.85805602249</v>
      </c>
      <c r="S2487" s="553">
        <f>'Foglio deposito bis'!$F$90*IF(ABS(M2487)&lt;'Progetto del paramento slu'!$G$58,ABS(M2487)*'Progetto del paramento slu'!$G$54,'Progetto del paramento slu'!$G$53)*IF(M2487&lt;0,-1,1)</f>
        <v>0</v>
      </c>
      <c r="T2487" s="553">
        <f>'Foglio deposito bis'!$F$91*IF(ABS(N2487)&lt;'Progetto del paramento slu'!$G$58,ABS(N2487)*'Progetto del paramento slu'!$G$54,'Progetto del paramento slu'!$G$53)*IF(N2487&lt;0,-1,1)</f>
        <v>892485.49558937876</v>
      </c>
      <c r="U2487" s="553">
        <f>'Foglio deposito bis'!$F$92*IF(ABS(O2487)&lt;'Progetto del paramento slu'!$G$58,ABS(O2487)*'Progetto del paramento slu'!$G$54,'Progetto del paramento slu'!$G$53)*IF(O2487&lt;0,-1,1)</f>
        <v>1662039.1047339395</v>
      </c>
      <c r="V2487" s="479">
        <f t="shared" si="186"/>
        <v>2702466.9848219659</v>
      </c>
      <c r="W2487" s="559"/>
      <c r="X2487" s="559"/>
    </row>
    <row r="2488" spans="1:24" x14ac:dyDescent="0.25">
      <c r="A2488" s="553">
        <f t="shared" si="185"/>
        <v>2699605.7480432782</v>
      </c>
      <c r="B2488" s="3">
        <f t="shared" si="187"/>
        <v>0.15000000000000002</v>
      </c>
      <c r="C2488" s="553">
        <f>'Foglio deposito bis'!$E$163/sezione!$B$247*B2488</f>
        <v>0.60895128552097433</v>
      </c>
      <c r="D2488" s="611">
        <f>-'Progetto del paramento slu'!$G$47*'Progetto del paramento slu'!$G$41*IF(DATI!$G$218="dx",DATI!$E$61,DATI!$E$64*DATI!$E$63)*1000*C2488^2*sezione!$AD$5*(1-sezione!$AD$6)</f>
        <v>-3052.6038831119117</v>
      </c>
      <c r="E2488" s="553">
        <f>-'Foglio deposito bis'!$F$88*(C2488-sezione!$AL$37)*IF(ABS(K2488)&lt;'Progetto del paramento slu'!$G$58,ABS(K2488)*'Progetto del paramento slu'!$G$54,'Progetto del paramento slu'!$G$53)</f>
        <v>0</v>
      </c>
      <c r="F2488" s="553">
        <f>-'Foglio deposito bis'!$F$89*(C2488-sezione!$AM$37)*IF(ABS(L2488)&lt;'Progetto del paramento slu'!$G$58,ABS(L2488)*'Progetto del paramento slu'!$G$54,'Progetto del paramento slu'!$G$53)</f>
        <v>22956154.29555076</v>
      </c>
      <c r="G2488" s="553">
        <f>-'Foglio deposito bis'!$F$90*(C2488-sezione!$AN$37)*IF(ABS(M2488)&lt;'Progetto del paramento slu'!$G$58,ABS(M2488)*'Progetto del paramento slu'!$G$54,'Progetto del paramento slu'!$G$53)</f>
        <v>0</v>
      </c>
      <c r="H2488" s="553">
        <f>-'Foglio deposito bis'!$F$91*(C2488-sezione!$AO$37)*IF(ABS(N2488)&lt;'Progetto del paramento slu'!$G$58,ABS(N2488)*'Progetto del paramento slu'!$G$54,'Progetto del paramento slu'!$G$53)</f>
        <v>302901588.31054085</v>
      </c>
      <c r="I2488" s="479">
        <f>-'Foglio deposito bis'!$F$92*(C2488-sezione!$AP$37)*IF(ABS(O2488)&lt;'Progetto del paramento slu'!$G$58,ABS(O2488)*'Progetto del paramento slu'!$G$54,'Progetto del paramento slu'!$G$53)</f>
        <v>431134686.77245736</v>
      </c>
      <c r="J2488" s="479">
        <f t="shared" si="183"/>
        <v>756989376.77466583</v>
      </c>
      <c r="K2488" s="558">
        <f>'Progetto del paramento slu'!$G$60*(sezione!$AL$37-C2488)/C2488</f>
        <v>0.22640344766285569</v>
      </c>
      <c r="L2488" s="558">
        <f>'Progetto del paramento slu'!$G$60*(sezione!$AM$37-C2488)/C2488</f>
        <v>0.85863792873570866</v>
      </c>
      <c r="M2488" s="559">
        <f>'Progetto del paramento slu'!$G$60*(sezione!$AN$37-C2488)/C2488</f>
        <v>1.4908724098085619</v>
      </c>
      <c r="N2488" s="559">
        <f>'Progetto del paramento slu'!$G$60*(sezione!$AO$37-C2488)/C2488</f>
        <v>1.9506793051342732</v>
      </c>
      <c r="O2488" s="559">
        <f>'Progetto del paramento slu'!$G$60*(sezione!$AP$37-C2488)/C2488</f>
        <v>1.4909298856704765</v>
      </c>
      <c r="P2488" s="553">
        <f>-'Progetto del paramento slu'!$G$47*'Progetto del paramento slu'!$G$41*IF(DATI!$G$218="dx",DATI!$E$61,DATI!$E$64*DATI!$E$63)*1000*C2488*sezione!$AD$5</f>
        <v>-8583.7103360622459</v>
      </c>
      <c r="Q2488" s="553">
        <f>'Foglio deposito bis'!$F$88*IF(ABS(K2488)&lt;'Progetto del paramento slu'!$G$58,ABS(K2488)*'Progetto del paramento slu'!$G$54,'Progetto del paramento slu'!$G$53)*IF(K2488&lt;0,-1,1)</f>
        <v>0</v>
      </c>
      <c r="R2488" s="553">
        <f>'Foglio deposito bis'!$F$89*IF(ABS(L2488)&lt;'Progetto del paramento slu'!$G$58,ABS(L2488)*'Progetto del paramento slu'!$G$54,'Progetto del paramento slu'!$G$53)*IF(L2488&lt;0,-1,1)</f>
        <v>153664.85805602249</v>
      </c>
      <c r="S2488" s="553">
        <f>'Foglio deposito bis'!$F$90*IF(ABS(M2488)&lt;'Progetto del paramento slu'!$G$58,ABS(M2488)*'Progetto del paramento slu'!$G$54,'Progetto del paramento slu'!$G$53)*IF(M2488&lt;0,-1,1)</f>
        <v>0</v>
      </c>
      <c r="T2488" s="553">
        <f>'Foglio deposito bis'!$F$91*IF(ABS(N2488)&lt;'Progetto del paramento slu'!$G$58,ABS(N2488)*'Progetto del paramento slu'!$G$54,'Progetto del paramento slu'!$G$53)*IF(N2488&lt;0,-1,1)</f>
        <v>892485.49558937876</v>
      </c>
      <c r="U2488" s="553">
        <f>'Foglio deposito bis'!$F$92*IF(ABS(O2488)&lt;'Progetto del paramento slu'!$G$58,ABS(O2488)*'Progetto del paramento slu'!$G$54,'Progetto del paramento slu'!$G$53)*IF(O2488&lt;0,-1,1)</f>
        <v>1662039.1047339395</v>
      </c>
      <c r="V2488" s="479">
        <f t="shared" si="186"/>
        <v>2699605.7480432782</v>
      </c>
      <c r="W2488" s="559"/>
      <c r="X2488" s="559"/>
    </row>
    <row r="2489" spans="1:24" x14ac:dyDescent="0.25">
      <c r="A2489" s="553">
        <f t="shared" si="185"/>
        <v>2696744.511264591</v>
      </c>
      <c r="B2489" s="3">
        <f t="shared" si="187"/>
        <v>0.2</v>
      </c>
      <c r="C2489" s="553">
        <f>'Foglio deposito bis'!$E$163/sezione!$B$247*B2489</f>
        <v>0.81193504736129896</v>
      </c>
      <c r="D2489" s="611">
        <f>-'Progetto del paramento slu'!$G$47*'Progetto del paramento slu'!$G$41*IF(DATI!$G$218="dx",DATI!$E$61,DATI!$E$64*DATI!$E$63)*1000*C2489^2*sezione!$AD$5*(1-sezione!$AD$6)</f>
        <v>-5426.8513477545084</v>
      </c>
      <c r="E2489" s="553">
        <f>-'Foglio deposito bis'!$F$88*(C2489-sezione!$AL$37)*IF(ABS(K2489)&lt;'Progetto del paramento slu'!$G$58,ABS(K2489)*'Progetto del paramento slu'!$G$54,'Progetto del paramento slu'!$G$53)</f>
        <v>0</v>
      </c>
      <c r="F2489" s="553">
        <f>-'Foglio deposito bis'!$F$89*(C2489-sezione!$AM$37)*IF(ABS(L2489)&lt;'Progetto del paramento slu'!$G$58,ABS(L2489)*'Progetto del paramento slu'!$G$54,'Progetto del paramento slu'!$G$53)</f>
        <v>22924962.824599892</v>
      </c>
      <c r="G2489" s="553">
        <f>-'Foglio deposito bis'!$F$90*(C2489-sezione!$AN$37)*IF(ABS(M2489)&lt;'Progetto del paramento slu'!$G$58,ABS(M2489)*'Progetto del paramento slu'!$G$54,'Progetto del paramento slu'!$G$53)</f>
        <v>0</v>
      </c>
      <c r="H2489" s="553">
        <f>-'Foglio deposito bis'!$F$91*(C2489-sezione!$AO$37)*IF(ABS(N2489)&lt;'Progetto del paramento slu'!$G$58,ABS(N2489)*'Progetto del paramento slu'!$G$54,'Progetto del paramento slu'!$G$53)</f>
        <v>302720428.24725813</v>
      </c>
      <c r="I2489" s="479">
        <f>-'Foglio deposito bis'!$F$92*(C2489-sezione!$AP$37)*IF(ABS(O2489)&lt;'Progetto del paramento slu'!$G$58,ABS(O2489)*'Progetto del paramento slu'!$G$54,'Progetto del paramento slu'!$G$53)</f>
        <v>430797319.8226527</v>
      </c>
      <c r="J2489" s="479">
        <f t="shared" si="183"/>
        <v>756437284.04316294</v>
      </c>
      <c r="K2489" s="558">
        <f>'Progetto del paramento slu'!$G$60*(sezione!$AL$37-C2489)/C2489</f>
        <v>0.16892758574714176</v>
      </c>
      <c r="L2489" s="558">
        <f>'Progetto del paramento slu'!$G$60*(sezione!$AM$37-C2489)/C2489</f>
        <v>0.64310344655178164</v>
      </c>
      <c r="M2489" s="559">
        <f>'Progetto del paramento slu'!$G$60*(sezione!$AN$37-C2489)/C2489</f>
        <v>1.1172793073564216</v>
      </c>
      <c r="N2489" s="559">
        <f>'Progetto del paramento slu'!$G$60*(sezione!$AO$37-C2489)/C2489</f>
        <v>1.4621344788507051</v>
      </c>
      <c r="O2489" s="559">
        <f>'Progetto del paramento slu'!$G$60*(sezione!$AP$37-C2489)/C2489</f>
        <v>1.1173224142528573</v>
      </c>
      <c r="P2489" s="553">
        <f>-'Progetto del paramento slu'!$G$47*'Progetto del paramento slu'!$G$41*IF(DATI!$G$218="dx",DATI!$E$61,DATI!$E$64*DATI!$E$63)*1000*C2489*sezione!$AD$5</f>
        <v>-11444.947114749659</v>
      </c>
      <c r="Q2489" s="553">
        <f>'Foglio deposito bis'!$F$88*IF(ABS(K2489)&lt;'Progetto del paramento slu'!$G$58,ABS(K2489)*'Progetto del paramento slu'!$G$54,'Progetto del paramento slu'!$G$53)*IF(K2489&lt;0,-1,1)</f>
        <v>0</v>
      </c>
      <c r="R2489" s="553">
        <f>'Foglio deposito bis'!$F$89*IF(ABS(L2489)&lt;'Progetto del paramento slu'!$G$58,ABS(L2489)*'Progetto del paramento slu'!$G$54,'Progetto del paramento slu'!$G$53)*IF(L2489&lt;0,-1,1)</f>
        <v>153664.85805602249</v>
      </c>
      <c r="S2489" s="553">
        <f>'Foglio deposito bis'!$F$90*IF(ABS(M2489)&lt;'Progetto del paramento slu'!$G$58,ABS(M2489)*'Progetto del paramento slu'!$G$54,'Progetto del paramento slu'!$G$53)*IF(M2489&lt;0,-1,1)</f>
        <v>0</v>
      </c>
      <c r="T2489" s="553">
        <f>'Foglio deposito bis'!$F$91*IF(ABS(N2489)&lt;'Progetto del paramento slu'!$G$58,ABS(N2489)*'Progetto del paramento slu'!$G$54,'Progetto del paramento slu'!$G$53)*IF(N2489&lt;0,-1,1)</f>
        <v>892485.49558937876</v>
      </c>
      <c r="U2489" s="553">
        <f>'Foglio deposito bis'!$F$92*IF(ABS(O2489)&lt;'Progetto del paramento slu'!$G$58,ABS(O2489)*'Progetto del paramento slu'!$G$54,'Progetto del paramento slu'!$G$53)*IF(O2489&lt;0,-1,1)</f>
        <v>1662039.1047339395</v>
      </c>
      <c r="V2489" s="479">
        <f t="shared" si="186"/>
        <v>2696744.511264591</v>
      </c>
      <c r="W2489" s="559"/>
      <c r="X2489" s="559"/>
    </row>
    <row r="2490" spans="1:24" x14ac:dyDescent="0.25">
      <c r="A2490" s="553">
        <f t="shared" si="185"/>
        <v>2693883.2744859038</v>
      </c>
      <c r="B2490" s="3">
        <f t="shared" si="187"/>
        <v>0.25</v>
      </c>
      <c r="C2490" s="553">
        <f>'Foglio deposito bis'!$E$163/sezione!$B$247*B2490</f>
        <v>1.0149188092016237</v>
      </c>
      <c r="D2490" s="611">
        <f>-'Progetto del paramento slu'!$G$47*'Progetto del paramento slu'!$G$41*IF(DATI!$G$218="dx",DATI!$E$61,DATI!$E$64*DATI!$E$63)*1000*C2490^2*sezione!$AD$5*(1-sezione!$AD$6)</f>
        <v>-8479.455230866417</v>
      </c>
      <c r="E2490" s="553">
        <f>-'Foglio deposito bis'!$F$88*(C2490-sezione!$AL$37)*IF(ABS(K2490)&lt;'Progetto del paramento slu'!$G$58,ABS(K2490)*'Progetto del paramento slu'!$G$54,'Progetto del paramento slu'!$G$53)</f>
        <v>0</v>
      </c>
      <c r="F2490" s="553">
        <f>-'Foglio deposito bis'!$F$89*(C2490-sezione!$AM$37)*IF(ABS(L2490)&lt;'Progetto del paramento slu'!$G$58,ABS(L2490)*'Progetto del paramento slu'!$G$54,'Progetto del paramento slu'!$G$53)</f>
        <v>22893771.35364902</v>
      </c>
      <c r="G2490" s="553">
        <f>-'Foglio deposito bis'!$F$90*(C2490-sezione!$AN$37)*IF(ABS(M2490)&lt;'Progetto del paramento slu'!$G$58,ABS(M2490)*'Progetto del paramento slu'!$G$54,'Progetto del paramento slu'!$G$53)</f>
        <v>0</v>
      </c>
      <c r="H2490" s="553">
        <f>-'Foglio deposito bis'!$F$91*(C2490-sezione!$AO$37)*IF(ABS(N2490)&lt;'Progetto del paramento slu'!$G$58,ABS(N2490)*'Progetto del paramento slu'!$G$54,'Progetto del paramento slu'!$G$53)</f>
        <v>302539268.18397552</v>
      </c>
      <c r="I2490" s="479">
        <f>-'Foglio deposito bis'!$F$92*(C2490-sezione!$AP$37)*IF(ABS(O2490)&lt;'Progetto del paramento slu'!$G$58,ABS(O2490)*'Progetto del paramento slu'!$G$54,'Progetto del paramento slu'!$G$53)</f>
        <v>430459952.87284815</v>
      </c>
      <c r="J2490" s="479">
        <f t="shared" si="183"/>
        <v>755884512.9552418</v>
      </c>
      <c r="K2490" s="558">
        <f>'Progetto del paramento slu'!$G$60*(sezione!$AL$37-C2490)/C2490</f>
        <v>0.13444206859771343</v>
      </c>
      <c r="L2490" s="558">
        <f>'Progetto del paramento slu'!$G$60*(sezione!$AM$37-C2490)/C2490</f>
        <v>0.51378275724142541</v>
      </c>
      <c r="M2490" s="559">
        <f>'Progetto del paramento slu'!$G$60*(sezione!$AN$37-C2490)/C2490</f>
        <v>0.89312344588513737</v>
      </c>
      <c r="N2490" s="559">
        <f>'Progetto del paramento slu'!$G$60*(sezione!$AO$37-C2490)/C2490</f>
        <v>1.1690075830805642</v>
      </c>
      <c r="O2490" s="559">
        <f>'Progetto del paramento slu'!$G$60*(sezione!$AP$37-C2490)/C2490</f>
        <v>0.89315793140228583</v>
      </c>
      <c r="P2490" s="553">
        <f>-'Progetto del paramento slu'!$G$47*'Progetto del paramento slu'!$G$41*IF(DATI!$G$218="dx",DATI!$E$61,DATI!$E$64*DATI!$E$63)*1000*C2490*sezione!$AD$5</f>
        <v>-14306.183893437075</v>
      </c>
      <c r="Q2490" s="553">
        <f>'Foglio deposito bis'!$F$88*IF(ABS(K2490)&lt;'Progetto del paramento slu'!$G$58,ABS(K2490)*'Progetto del paramento slu'!$G$54,'Progetto del paramento slu'!$G$53)*IF(K2490&lt;0,-1,1)</f>
        <v>0</v>
      </c>
      <c r="R2490" s="553">
        <f>'Foglio deposito bis'!$F$89*IF(ABS(L2490)&lt;'Progetto del paramento slu'!$G$58,ABS(L2490)*'Progetto del paramento slu'!$G$54,'Progetto del paramento slu'!$G$53)*IF(L2490&lt;0,-1,1)</f>
        <v>153664.85805602249</v>
      </c>
      <c r="S2490" s="553">
        <f>'Foglio deposito bis'!$F$90*IF(ABS(M2490)&lt;'Progetto del paramento slu'!$G$58,ABS(M2490)*'Progetto del paramento slu'!$G$54,'Progetto del paramento slu'!$G$53)*IF(M2490&lt;0,-1,1)</f>
        <v>0</v>
      </c>
      <c r="T2490" s="553">
        <f>'Foglio deposito bis'!$F$91*IF(ABS(N2490)&lt;'Progetto del paramento slu'!$G$58,ABS(N2490)*'Progetto del paramento slu'!$G$54,'Progetto del paramento slu'!$G$53)*IF(N2490&lt;0,-1,1)</f>
        <v>892485.49558937876</v>
      </c>
      <c r="U2490" s="553">
        <f>'Foglio deposito bis'!$F$92*IF(ABS(O2490)&lt;'Progetto del paramento slu'!$G$58,ABS(O2490)*'Progetto del paramento slu'!$G$54,'Progetto del paramento slu'!$G$53)*IF(O2490&lt;0,-1,1)</f>
        <v>1662039.1047339395</v>
      </c>
      <c r="V2490" s="479">
        <f t="shared" si="186"/>
        <v>2693883.2744859038</v>
      </c>
      <c r="W2490" s="559"/>
      <c r="X2490" s="559"/>
    </row>
    <row r="2491" spans="1:24" x14ac:dyDescent="0.25">
      <c r="A2491" s="553">
        <f t="shared" si="185"/>
        <v>2691022.0377072161</v>
      </c>
      <c r="B2491" s="3">
        <f t="shared" si="187"/>
        <v>0.3</v>
      </c>
      <c r="C2491" s="553">
        <f>'Foglio deposito bis'!$E$163/sezione!$B$247*B2491</f>
        <v>1.2179025710419484</v>
      </c>
      <c r="D2491" s="611">
        <f>-'Progetto del paramento slu'!$G$47*'Progetto del paramento slu'!$G$41*IF(DATI!$G$218="dx",DATI!$E$61,DATI!$E$64*DATI!$E$63)*1000*C2491^2*sezione!$AD$5*(1-sezione!$AD$6)</f>
        <v>-12210.415532447641</v>
      </c>
      <c r="E2491" s="553">
        <f>-'Foglio deposito bis'!$F$88*(C2491-sezione!$AL$37)*IF(ABS(K2491)&lt;'Progetto del paramento slu'!$G$58,ABS(K2491)*'Progetto del paramento slu'!$G$54,'Progetto del paramento slu'!$G$53)</f>
        <v>0</v>
      </c>
      <c r="F2491" s="553">
        <f>-'Foglio deposito bis'!$F$89*(C2491-sezione!$AM$37)*IF(ABS(L2491)&lt;'Progetto del paramento slu'!$G$58,ABS(L2491)*'Progetto del paramento slu'!$G$54,'Progetto del paramento slu'!$G$53)</f>
        <v>22862579.882698148</v>
      </c>
      <c r="G2491" s="553">
        <f>-'Foglio deposito bis'!$F$90*(C2491-sezione!$AN$37)*IF(ABS(M2491)&lt;'Progetto del paramento slu'!$G$58,ABS(M2491)*'Progetto del paramento slu'!$G$54,'Progetto del paramento slu'!$G$53)</f>
        <v>0</v>
      </c>
      <c r="H2491" s="553">
        <f>-'Foglio deposito bis'!$F$91*(C2491-sezione!$AO$37)*IF(ABS(N2491)&lt;'Progetto del paramento slu'!$G$58,ABS(N2491)*'Progetto del paramento slu'!$G$54,'Progetto del paramento slu'!$G$53)</f>
        <v>302358108.12069279</v>
      </c>
      <c r="I2491" s="479">
        <f>-'Foglio deposito bis'!$F$92*(C2491-sezione!$AP$37)*IF(ABS(O2491)&lt;'Progetto del paramento slu'!$G$58,ABS(O2491)*'Progetto del paramento slu'!$G$54,'Progetto del paramento slu'!$G$53)</f>
        <v>430122585.92304343</v>
      </c>
      <c r="J2491" s="479">
        <f t="shared" si="183"/>
        <v>755331063.51090193</v>
      </c>
      <c r="K2491" s="558">
        <f>'Progetto del paramento slu'!$G$60*(sezione!$AL$37-C2491)/C2491</f>
        <v>0.11145172383142786</v>
      </c>
      <c r="L2491" s="558">
        <f>'Progetto del paramento slu'!$G$60*(sezione!$AM$37-C2491)/C2491</f>
        <v>0.42756896436785446</v>
      </c>
      <c r="M2491" s="559">
        <f>'Progetto del paramento slu'!$G$60*(sezione!$AN$37-C2491)/C2491</f>
        <v>0.74368620490428095</v>
      </c>
      <c r="N2491" s="559">
        <f>'Progetto del paramento slu'!$G$60*(sezione!$AO$37-C2491)/C2491</f>
        <v>0.97358965256713681</v>
      </c>
      <c r="O2491" s="559">
        <f>'Progetto del paramento slu'!$G$60*(sezione!$AP$37-C2491)/C2491</f>
        <v>0.7437149428352382</v>
      </c>
      <c r="P2491" s="553">
        <f>-'Progetto del paramento slu'!$G$47*'Progetto del paramento slu'!$G$41*IF(DATI!$G$218="dx",DATI!$E$61,DATI!$E$64*DATI!$E$63)*1000*C2491*sezione!$AD$5</f>
        <v>-17167.420672124488</v>
      </c>
      <c r="Q2491" s="553">
        <f>'Foglio deposito bis'!$F$88*IF(ABS(K2491)&lt;'Progetto del paramento slu'!$G$58,ABS(K2491)*'Progetto del paramento slu'!$G$54,'Progetto del paramento slu'!$G$53)*IF(K2491&lt;0,-1,1)</f>
        <v>0</v>
      </c>
      <c r="R2491" s="553">
        <f>'Foglio deposito bis'!$F$89*IF(ABS(L2491)&lt;'Progetto del paramento slu'!$G$58,ABS(L2491)*'Progetto del paramento slu'!$G$54,'Progetto del paramento slu'!$G$53)*IF(L2491&lt;0,-1,1)</f>
        <v>153664.85805602249</v>
      </c>
      <c r="S2491" s="553">
        <f>'Foglio deposito bis'!$F$90*IF(ABS(M2491)&lt;'Progetto del paramento slu'!$G$58,ABS(M2491)*'Progetto del paramento slu'!$G$54,'Progetto del paramento slu'!$G$53)*IF(M2491&lt;0,-1,1)</f>
        <v>0</v>
      </c>
      <c r="T2491" s="553">
        <f>'Foglio deposito bis'!$F$91*IF(ABS(N2491)&lt;'Progetto del paramento slu'!$G$58,ABS(N2491)*'Progetto del paramento slu'!$G$54,'Progetto del paramento slu'!$G$53)*IF(N2491&lt;0,-1,1)</f>
        <v>892485.49558937876</v>
      </c>
      <c r="U2491" s="553">
        <f>'Foglio deposito bis'!$F$92*IF(ABS(O2491)&lt;'Progetto del paramento slu'!$G$58,ABS(O2491)*'Progetto del paramento slu'!$G$54,'Progetto del paramento slu'!$G$53)*IF(O2491&lt;0,-1,1)</f>
        <v>1662039.1047339395</v>
      </c>
      <c r="V2491" s="479">
        <f t="shared" si="186"/>
        <v>2691022.0377072161</v>
      </c>
      <c r="W2491" s="559"/>
      <c r="X2491" s="559"/>
    </row>
    <row r="2492" spans="1:24" x14ac:dyDescent="0.25">
      <c r="A2492" s="553">
        <f t="shared" si="185"/>
        <v>2688160.8009285289</v>
      </c>
      <c r="B2492" s="3">
        <f t="shared" si="187"/>
        <v>0.35</v>
      </c>
      <c r="C2492" s="553">
        <f>'Foglio deposito bis'!$E$163/sezione!$B$247*B2492</f>
        <v>1.4208863328822732</v>
      </c>
      <c r="D2492" s="611">
        <f>-'Progetto del paramento slu'!$G$47*'Progetto del paramento slu'!$G$41*IF(DATI!$G$218="dx",DATI!$E$61,DATI!$E$64*DATI!$E$63)*1000*C2492^2*sezione!$AD$5*(1-sezione!$AD$6)</f>
        <v>-16619.732252498183</v>
      </c>
      <c r="E2492" s="553">
        <f>-'Foglio deposito bis'!$F$88*(C2492-sezione!$AL$37)*IF(ABS(K2492)&lt;'Progetto del paramento slu'!$G$58,ABS(K2492)*'Progetto del paramento slu'!$G$54,'Progetto del paramento slu'!$G$53)</f>
        <v>0</v>
      </c>
      <c r="F2492" s="553">
        <f>-'Foglio deposito bis'!$F$89*(C2492-sezione!$AM$37)*IF(ABS(L2492)&lt;'Progetto del paramento slu'!$G$58,ABS(L2492)*'Progetto del paramento slu'!$G$54,'Progetto del paramento slu'!$G$53)</f>
        <v>22831388.411747277</v>
      </c>
      <c r="G2492" s="553">
        <f>-'Foglio deposito bis'!$F$90*(C2492-sezione!$AN$37)*IF(ABS(M2492)&lt;'Progetto del paramento slu'!$G$58,ABS(M2492)*'Progetto del paramento slu'!$G$54,'Progetto del paramento slu'!$G$53)</f>
        <v>0</v>
      </c>
      <c r="H2492" s="553">
        <f>-'Foglio deposito bis'!$F$91*(C2492-sezione!$AO$37)*IF(ABS(N2492)&lt;'Progetto del paramento slu'!$G$58,ABS(N2492)*'Progetto del paramento slu'!$G$54,'Progetto del paramento slu'!$G$53)</f>
        <v>302176948.05741018</v>
      </c>
      <c r="I2492" s="479">
        <f>-'Foglio deposito bis'!$F$92*(C2492-sezione!$AP$37)*IF(ABS(O2492)&lt;'Progetto del paramento slu'!$G$58,ABS(O2492)*'Progetto del paramento slu'!$G$54,'Progetto del paramento slu'!$G$53)</f>
        <v>429785218.97323883</v>
      </c>
      <c r="J2492" s="479">
        <f t="shared" si="183"/>
        <v>754776935.7101438</v>
      </c>
      <c r="K2492" s="558">
        <f>'Progetto del paramento slu'!$G$60*(sezione!$AL$37-C2492)/C2492</f>
        <v>9.5030048998366728E-2</v>
      </c>
      <c r="L2492" s="558">
        <f>'Progetto del paramento slu'!$G$60*(sezione!$AM$37-C2492)/C2492</f>
        <v>0.36598768374387525</v>
      </c>
      <c r="M2492" s="559">
        <f>'Progetto del paramento slu'!$G$60*(sezione!$AN$37-C2492)/C2492</f>
        <v>0.63694531848938374</v>
      </c>
      <c r="N2492" s="559">
        <f>'Progetto del paramento slu'!$G$60*(sezione!$AO$37-C2492)/C2492</f>
        <v>0.83400541648611726</v>
      </c>
      <c r="O2492" s="559">
        <f>'Progetto del paramento slu'!$G$60*(sezione!$AP$37-C2492)/C2492</f>
        <v>0.63696995100163278</v>
      </c>
      <c r="P2492" s="553">
        <f>-'Progetto del paramento slu'!$G$47*'Progetto del paramento slu'!$G$41*IF(DATI!$G$218="dx",DATI!$E$61,DATI!$E$64*DATI!$E$63)*1000*C2492*sezione!$AD$5</f>
        <v>-20028.657450811905</v>
      </c>
      <c r="Q2492" s="553">
        <f>'Foglio deposito bis'!$F$88*IF(ABS(K2492)&lt;'Progetto del paramento slu'!$G$58,ABS(K2492)*'Progetto del paramento slu'!$G$54,'Progetto del paramento slu'!$G$53)*IF(K2492&lt;0,-1,1)</f>
        <v>0</v>
      </c>
      <c r="R2492" s="553">
        <f>'Foglio deposito bis'!$F$89*IF(ABS(L2492)&lt;'Progetto del paramento slu'!$G$58,ABS(L2492)*'Progetto del paramento slu'!$G$54,'Progetto del paramento slu'!$G$53)*IF(L2492&lt;0,-1,1)</f>
        <v>153664.85805602249</v>
      </c>
      <c r="S2492" s="553">
        <f>'Foglio deposito bis'!$F$90*IF(ABS(M2492)&lt;'Progetto del paramento slu'!$G$58,ABS(M2492)*'Progetto del paramento slu'!$G$54,'Progetto del paramento slu'!$G$53)*IF(M2492&lt;0,-1,1)</f>
        <v>0</v>
      </c>
      <c r="T2492" s="553">
        <f>'Foglio deposito bis'!$F$91*IF(ABS(N2492)&lt;'Progetto del paramento slu'!$G$58,ABS(N2492)*'Progetto del paramento slu'!$G$54,'Progetto del paramento slu'!$G$53)*IF(N2492&lt;0,-1,1)</f>
        <v>892485.49558937876</v>
      </c>
      <c r="U2492" s="553">
        <f>'Foglio deposito bis'!$F$92*IF(ABS(O2492)&lt;'Progetto del paramento slu'!$G$58,ABS(O2492)*'Progetto del paramento slu'!$G$54,'Progetto del paramento slu'!$G$53)*IF(O2492&lt;0,-1,1)</f>
        <v>1662039.1047339395</v>
      </c>
      <c r="V2492" s="479">
        <f t="shared" si="186"/>
        <v>2688160.8009285289</v>
      </c>
      <c r="W2492" s="559"/>
      <c r="X2492" s="559"/>
    </row>
    <row r="2493" spans="1:24" x14ac:dyDescent="0.25">
      <c r="A2493" s="553">
        <f t="shared" si="185"/>
        <v>2685299.5641498417</v>
      </c>
      <c r="B2493" s="3">
        <f t="shared" si="187"/>
        <v>0.39999999999999997</v>
      </c>
      <c r="C2493" s="553">
        <f>'Foglio deposito bis'!$E$163/sezione!$B$247*B2493</f>
        <v>1.6238700947225977</v>
      </c>
      <c r="D2493" s="611">
        <f>-'Progetto del paramento slu'!$G$47*'Progetto del paramento slu'!$G$41*IF(DATI!$G$218="dx",DATI!$E$61,DATI!$E$64*DATI!$E$63)*1000*C2493^2*sezione!$AD$5*(1-sezione!$AD$6)</f>
        <v>-21707.405391018026</v>
      </c>
      <c r="E2493" s="553">
        <f>-'Foglio deposito bis'!$F$88*(C2493-sezione!$AL$37)*IF(ABS(K2493)&lt;'Progetto del paramento slu'!$G$58,ABS(K2493)*'Progetto del paramento slu'!$G$54,'Progetto del paramento slu'!$G$53)</f>
        <v>0</v>
      </c>
      <c r="F2493" s="553">
        <f>-'Foglio deposito bis'!$F$89*(C2493-sezione!$AM$37)*IF(ABS(L2493)&lt;'Progetto del paramento slu'!$G$58,ABS(L2493)*'Progetto del paramento slu'!$G$54,'Progetto del paramento slu'!$G$53)</f>
        <v>22800196.940796405</v>
      </c>
      <c r="G2493" s="553">
        <f>-'Foglio deposito bis'!$F$90*(C2493-sezione!$AN$37)*IF(ABS(M2493)&lt;'Progetto del paramento slu'!$G$58,ABS(M2493)*'Progetto del paramento slu'!$G$54,'Progetto del paramento slu'!$G$53)</f>
        <v>0</v>
      </c>
      <c r="H2493" s="553">
        <f>-'Foglio deposito bis'!$F$91*(C2493-sezione!$AO$37)*IF(ABS(N2493)&lt;'Progetto del paramento slu'!$G$58,ABS(N2493)*'Progetto del paramento slu'!$G$54,'Progetto del paramento slu'!$G$53)</f>
        <v>301995787.99412757</v>
      </c>
      <c r="I2493" s="479">
        <f>-'Foglio deposito bis'!$F$92*(C2493-sezione!$AP$37)*IF(ABS(O2493)&lt;'Progetto del paramento slu'!$G$58,ABS(O2493)*'Progetto del paramento slu'!$G$54,'Progetto del paramento slu'!$G$53)</f>
        <v>429447852.02343434</v>
      </c>
      <c r="J2493" s="479">
        <f t="shared" si="183"/>
        <v>754222129.55296731</v>
      </c>
      <c r="K2493" s="558">
        <f>'Progetto del paramento slu'!$G$60*(sezione!$AL$37-C2493)/C2493</f>
        <v>8.2713792873570904E-2</v>
      </c>
      <c r="L2493" s="558">
        <f>'Progetto del paramento slu'!$G$60*(sezione!$AM$37-C2493)/C2493</f>
        <v>0.31980172327589085</v>
      </c>
      <c r="M2493" s="559">
        <f>'Progetto del paramento slu'!$G$60*(sezione!$AN$37-C2493)/C2493</f>
        <v>0.55688965367821097</v>
      </c>
      <c r="N2493" s="559">
        <f>'Progetto del paramento slu'!$G$60*(sezione!$AO$37-C2493)/C2493</f>
        <v>0.72931723942535276</v>
      </c>
      <c r="O2493" s="559">
        <f>'Progetto del paramento slu'!$G$60*(sezione!$AP$37-C2493)/C2493</f>
        <v>0.55691120712642883</v>
      </c>
      <c r="P2493" s="553">
        <f>-'Progetto del paramento slu'!$G$47*'Progetto del paramento slu'!$G$41*IF(DATI!$G$218="dx",DATI!$E$61,DATI!$E$64*DATI!$E$63)*1000*C2493*sezione!$AD$5</f>
        <v>-22889.894229499318</v>
      </c>
      <c r="Q2493" s="553">
        <f>'Foglio deposito bis'!$F$88*IF(ABS(K2493)&lt;'Progetto del paramento slu'!$G$58,ABS(K2493)*'Progetto del paramento slu'!$G$54,'Progetto del paramento slu'!$G$53)*IF(K2493&lt;0,-1,1)</f>
        <v>0</v>
      </c>
      <c r="R2493" s="553">
        <f>'Foglio deposito bis'!$F$89*IF(ABS(L2493)&lt;'Progetto del paramento slu'!$G$58,ABS(L2493)*'Progetto del paramento slu'!$G$54,'Progetto del paramento slu'!$G$53)*IF(L2493&lt;0,-1,1)</f>
        <v>153664.85805602249</v>
      </c>
      <c r="S2493" s="553">
        <f>'Foglio deposito bis'!$F$90*IF(ABS(M2493)&lt;'Progetto del paramento slu'!$G$58,ABS(M2493)*'Progetto del paramento slu'!$G$54,'Progetto del paramento slu'!$G$53)*IF(M2493&lt;0,-1,1)</f>
        <v>0</v>
      </c>
      <c r="T2493" s="553">
        <f>'Foglio deposito bis'!$F$91*IF(ABS(N2493)&lt;'Progetto del paramento slu'!$G$58,ABS(N2493)*'Progetto del paramento slu'!$G$54,'Progetto del paramento slu'!$G$53)*IF(N2493&lt;0,-1,1)</f>
        <v>892485.49558937876</v>
      </c>
      <c r="U2493" s="553">
        <f>'Foglio deposito bis'!$F$92*IF(ABS(O2493)&lt;'Progetto del paramento slu'!$G$58,ABS(O2493)*'Progetto del paramento slu'!$G$54,'Progetto del paramento slu'!$G$53)*IF(O2493&lt;0,-1,1)</f>
        <v>1662039.1047339395</v>
      </c>
      <c r="V2493" s="479">
        <f t="shared" si="186"/>
        <v>2685299.5641498417</v>
      </c>
      <c r="W2493" s="559"/>
      <c r="X2493" s="559"/>
    </row>
    <row r="2494" spans="1:24" x14ac:dyDescent="0.25">
      <c r="A2494" s="553">
        <f t="shared" si="185"/>
        <v>2682438.327371154</v>
      </c>
      <c r="B2494" s="3">
        <f t="shared" si="187"/>
        <v>0.44999999999999996</v>
      </c>
      <c r="C2494" s="553">
        <f>'Foglio deposito bis'!$E$163/sezione!$B$247*B2494</f>
        <v>1.8268538565629224</v>
      </c>
      <c r="D2494" s="611">
        <f>-'Progetto del paramento slu'!$G$47*'Progetto del paramento slu'!$G$41*IF(DATI!$G$218="dx",DATI!$E$61,DATI!$E$64*DATI!$E$63)*1000*C2494^2*sezione!$AD$5*(1-sezione!$AD$6)</f>
        <v>-27473.434948007187</v>
      </c>
      <c r="E2494" s="553">
        <f>-'Foglio deposito bis'!$F$88*(C2494-sezione!$AL$37)*IF(ABS(K2494)&lt;'Progetto del paramento slu'!$G$58,ABS(K2494)*'Progetto del paramento slu'!$G$54,'Progetto del paramento slu'!$G$53)</f>
        <v>0</v>
      </c>
      <c r="F2494" s="553">
        <f>-'Foglio deposito bis'!$F$89*(C2494-sezione!$AM$37)*IF(ABS(L2494)&lt;'Progetto del paramento slu'!$G$58,ABS(L2494)*'Progetto del paramento slu'!$G$54,'Progetto del paramento slu'!$G$53)</f>
        <v>22769005.469845533</v>
      </c>
      <c r="G2494" s="553">
        <f>-'Foglio deposito bis'!$F$90*(C2494-sezione!$AN$37)*IF(ABS(M2494)&lt;'Progetto del paramento slu'!$G$58,ABS(M2494)*'Progetto del paramento slu'!$G$54,'Progetto del paramento slu'!$G$53)</f>
        <v>0</v>
      </c>
      <c r="H2494" s="553">
        <f>-'Foglio deposito bis'!$F$91*(C2494-sezione!$AO$37)*IF(ABS(N2494)&lt;'Progetto del paramento slu'!$G$58,ABS(N2494)*'Progetto del paramento slu'!$G$54,'Progetto del paramento slu'!$G$53)</f>
        <v>301814627.93084484</v>
      </c>
      <c r="I2494" s="479">
        <f>-'Foglio deposito bis'!$F$92*(C2494-sezione!$AP$37)*IF(ABS(O2494)&lt;'Progetto del paramento slu'!$G$58,ABS(O2494)*'Progetto del paramento slu'!$G$54,'Progetto del paramento slu'!$G$53)</f>
        <v>429110485.07362962</v>
      </c>
      <c r="J2494" s="479">
        <f t="shared" si="183"/>
        <v>753666645.03937197</v>
      </c>
      <c r="K2494" s="558">
        <f>'Progetto del paramento slu'!$G$60*(sezione!$AL$37-C2494)/C2494</f>
        <v>7.3134482554285243E-2</v>
      </c>
      <c r="L2494" s="558">
        <f>'Progetto del paramento slu'!$G$60*(sezione!$AM$37-C2494)/C2494</f>
        <v>0.28387930957856966</v>
      </c>
      <c r="M2494" s="559">
        <f>'Progetto del paramento slu'!$G$60*(sezione!$AN$37-C2494)/C2494</f>
        <v>0.49462413660285409</v>
      </c>
      <c r="N2494" s="559">
        <f>'Progetto del paramento slu'!$G$60*(sezione!$AO$37-C2494)/C2494</f>
        <v>0.64789310171142456</v>
      </c>
      <c r="O2494" s="559">
        <f>'Progetto del paramento slu'!$G$60*(sezione!$AP$37-C2494)/C2494</f>
        <v>0.49464329522349221</v>
      </c>
      <c r="P2494" s="553">
        <f>-'Progetto del paramento slu'!$G$47*'Progetto del paramento slu'!$G$41*IF(DATI!$G$218="dx",DATI!$E$61,DATI!$E$64*DATI!$E$63)*1000*C2494*sezione!$AD$5</f>
        <v>-25751.13100818673</v>
      </c>
      <c r="Q2494" s="553">
        <f>'Foglio deposito bis'!$F$88*IF(ABS(K2494)&lt;'Progetto del paramento slu'!$G$58,ABS(K2494)*'Progetto del paramento slu'!$G$54,'Progetto del paramento slu'!$G$53)*IF(K2494&lt;0,-1,1)</f>
        <v>0</v>
      </c>
      <c r="R2494" s="553">
        <f>'Foglio deposito bis'!$F$89*IF(ABS(L2494)&lt;'Progetto del paramento slu'!$G$58,ABS(L2494)*'Progetto del paramento slu'!$G$54,'Progetto del paramento slu'!$G$53)*IF(L2494&lt;0,-1,1)</f>
        <v>153664.85805602249</v>
      </c>
      <c r="S2494" s="553">
        <f>'Foglio deposito bis'!$F$90*IF(ABS(M2494)&lt;'Progetto del paramento slu'!$G$58,ABS(M2494)*'Progetto del paramento slu'!$G$54,'Progetto del paramento slu'!$G$53)*IF(M2494&lt;0,-1,1)</f>
        <v>0</v>
      </c>
      <c r="T2494" s="553">
        <f>'Foglio deposito bis'!$F$91*IF(ABS(N2494)&lt;'Progetto del paramento slu'!$G$58,ABS(N2494)*'Progetto del paramento slu'!$G$54,'Progetto del paramento slu'!$G$53)*IF(N2494&lt;0,-1,1)</f>
        <v>892485.49558937876</v>
      </c>
      <c r="U2494" s="553">
        <f>'Foglio deposito bis'!$F$92*IF(ABS(O2494)&lt;'Progetto del paramento slu'!$G$58,ABS(O2494)*'Progetto del paramento slu'!$G$54,'Progetto del paramento slu'!$G$53)*IF(O2494&lt;0,-1,1)</f>
        <v>1662039.1047339395</v>
      </c>
      <c r="V2494" s="479">
        <f t="shared" si="186"/>
        <v>2682438.327371154</v>
      </c>
      <c r="W2494" s="559"/>
      <c r="X2494" s="559"/>
    </row>
    <row r="2495" spans="1:24" x14ac:dyDescent="0.25">
      <c r="A2495" s="553">
        <f t="shared" si="185"/>
        <v>2679577.0905924668</v>
      </c>
      <c r="B2495" s="3">
        <f t="shared" si="187"/>
        <v>0.49999999999999994</v>
      </c>
      <c r="C2495" s="553">
        <f>'Foglio deposito bis'!$E$163/sezione!$B$247*B2495</f>
        <v>2.0298376184032469</v>
      </c>
      <c r="D2495" s="611">
        <f>-'Progetto del paramento slu'!$G$47*'Progetto del paramento slu'!$G$41*IF(DATI!$G$218="dx",DATI!$E$61,DATI!$E$64*DATI!$E$63)*1000*C2495^2*sezione!$AD$5*(1-sezione!$AD$6)</f>
        <v>-33917.820923465661</v>
      </c>
      <c r="E2495" s="553">
        <f>-'Foglio deposito bis'!$F$88*(C2495-sezione!$AL$37)*IF(ABS(K2495)&lt;'Progetto del paramento slu'!$G$58,ABS(K2495)*'Progetto del paramento slu'!$G$54,'Progetto del paramento slu'!$G$53)</f>
        <v>0</v>
      </c>
      <c r="F2495" s="553">
        <f>-'Foglio deposito bis'!$F$89*(C2495-sezione!$AM$37)*IF(ABS(L2495)&lt;'Progetto del paramento slu'!$G$58,ABS(L2495)*'Progetto del paramento slu'!$G$54,'Progetto del paramento slu'!$G$53)</f>
        <v>22737813.998894665</v>
      </c>
      <c r="G2495" s="553">
        <f>-'Foglio deposito bis'!$F$90*(C2495-sezione!$AN$37)*IF(ABS(M2495)&lt;'Progetto del paramento slu'!$G$58,ABS(M2495)*'Progetto del paramento slu'!$G$54,'Progetto del paramento slu'!$G$53)</f>
        <v>0</v>
      </c>
      <c r="H2495" s="553">
        <f>-'Foglio deposito bis'!$F$91*(C2495-sezione!$AO$37)*IF(ABS(N2495)&lt;'Progetto del paramento slu'!$G$58,ABS(N2495)*'Progetto del paramento slu'!$G$54,'Progetto del paramento slu'!$G$53)</f>
        <v>301633467.86756223</v>
      </c>
      <c r="I2495" s="479">
        <f>-'Foglio deposito bis'!$F$92*(C2495-sezione!$AP$37)*IF(ABS(O2495)&lt;'Progetto del paramento slu'!$G$58,ABS(O2495)*'Progetto del paramento slu'!$G$54,'Progetto del paramento slu'!$G$53)</f>
        <v>428773118.12382501</v>
      </c>
      <c r="J2495" s="479">
        <f t="shared" si="183"/>
        <v>753110482.16935849</v>
      </c>
      <c r="K2495" s="558">
        <f>'Progetto del paramento slu'!$G$60*(sezione!$AL$37-C2495)/C2495</f>
        <v>6.5471034298856728E-2</v>
      </c>
      <c r="L2495" s="558">
        <f>'Progetto del paramento slu'!$G$60*(sezione!$AM$37-C2495)/C2495</f>
        <v>0.25514137862071273</v>
      </c>
      <c r="M2495" s="559">
        <f>'Progetto del paramento slu'!$G$60*(sezione!$AN$37-C2495)/C2495</f>
        <v>0.44481172294256877</v>
      </c>
      <c r="N2495" s="559">
        <f>'Progetto del paramento slu'!$G$60*(sezione!$AO$37-C2495)/C2495</f>
        <v>0.58275379154028217</v>
      </c>
      <c r="O2495" s="559">
        <f>'Progetto del paramento slu'!$G$60*(sezione!$AP$37-C2495)/C2495</f>
        <v>0.44482896570114305</v>
      </c>
      <c r="P2495" s="553">
        <f>-'Progetto del paramento slu'!$G$47*'Progetto del paramento slu'!$G$41*IF(DATI!$G$218="dx",DATI!$E$61,DATI!$E$64*DATI!$E$63)*1000*C2495*sezione!$AD$5</f>
        <v>-28612.367786874143</v>
      </c>
      <c r="Q2495" s="553">
        <f>'Foglio deposito bis'!$F$88*IF(ABS(K2495)&lt;'Progetto del paramento slu'!$G$58,ABS(K2495)*'Progetto del paramento slu'!$G$54,'Progetto del paramento slu'!$G$53)*IF(K2495&lt;0,-1,1)</f>
        <v>0</v>
      </c>
      <c r="R2495" s="553">
        <f>'Foglio deposito bis'!$F$89*IF(ABS(L2495)&lt;'Progetto del paramento slu'!$G$58,ABS(L2495)*'Progetto del paramento slu'!$G$54,'Progetto del paramento slu'!$G$53)*IF(L2495&lt;0,-1,1)</f>
        <v>153664.85805602249</v>
      </c>
      <c r="S2495" s="553">
        <f>'Foglio deposito bis'!$F$90*IF(ABS(M2495)&lt;'Progetto del paramento slu'!$G$58,ABS(M2495)*'Progetto del paramento slu'!$G$54,'Progetto del paramento slu'!$G$53)*IF(M2495&lt;0,-1,1)</f>
        <v>0</v>
      </c>
      <c r="T2495" s="553">
        <f>'Foglio deposito bis'!$F$91*IF(ABS(N2495)&lt;'Progetto del paramento slu'!$G$58,ABS(N2495)*'Progetto del paramento slu'!$G$54,'Progetto del paramento slu'!$G$53)*IF(N2495&lt;0,-1,1)</f>
        <v>892485.49558937876</v>
      </c>
      <c r="U2495" s="553">
        <f>'Foglio deposito bis'!$F$92*IF(ABS(O2495)&lt;'Progetto del paramento slu'!$G$58,ABS(O2495)*'Progetto del paramento slu'!$G$54,'Progetto del paramento slu'!$G$53)*IF(O2495&lt;0,-1,1)</f>
        <v>1662039.1047339395</v>
      </c>
      <c r="V2495" s="479">
        <f t="shared" si="186"/>
        <v>2679577.0905924668</v>
      </c>
      <c r="W2495" s="559"/>
      <c r="X2495" s="559"/>
    </row>
    <row r="2496" spans="1:24" x14ac:dyDescent="0.25">
      <c r="A2496" s="553">
        <f t="shared" si="185"/>
        <v>2676715.8538137791</v>
      </c>
      <c r="B2496" s="3">
        <f t="shared" si="187"/>
        <v>0.54999999999999993</v>
      </c>
      <c r="C2496" s="553">
        <f>'Foglio deposito bis'!$E$163/sezione!$B$247*B2496</f>
        <v>2.2328213802435717</v>
      </c>
      <c r="D2496" s="611">
        <f>-'Progetto del paramento slu'!$G$47*'Progetto del paramento slu'!$G$41*IF(DATI!$G$218="dx",DATI!$E$61,DATI!$E$64*DATI!$E$63)*1000*C2496^2*sezione!$AD$5*(1-sezione!$AD$6)</f>
        <v>-41040.563317393448</v>
      </c>
      <c r="E2496" s="553">
        <f>-'Foglio deposito bis'!$F$88*(C2496-sezione!$AL$37)*IF(ABS(K2496)&lt;'Progetto del paramento slu'!$G$58,ABS(K2496)*'Progetto del paramento slu'!$G$54,'Progetto del paramento slu'!$G$53)</f>
        <v>0</v>
      </c>
      <c r="F2496" s="553">
        <f>-'Foglio deposito bis'!$F$89*(C2496-sezione!$AM$37)*IF(ABS(L2496)&lt;'Progetto del paramento slu'!$G$58,ABS(L2496)*'Progetto del paramento slu'!$G$54,'Progetto del paramento slu'!$G$53)</f>
        <v>22706622.527943794</v>
      </c>
      <c r="G2496" s="553">
        <f>-'Foglio deposito bis'!$F$90*(C2496-sezione!$AN$37)*IF(ABS(M2496)&lt;'Progetto del paramento slu'!$G$58,ABS(M2496)*'Progetto del paramento slu'!$G$54,'Progetto del paramento slu'!$G$53)</f>
        <v>0</v>
      </c>
      <c r="H2496" s="553">
        <f>-'Foglio deposito bis'!$F$91*(C2496-sezione!$AO$37)*IF(ABS(N2496)&lt;'Progetto del paramento slu'!$G$58,ABS(N2496)*'Progetto del paramento slu'!$G$54,'Progetto del paramento slu'!$G$53)</f>
        <v>301452307.80427951</v>
      </c>
      <c r="I2496" s="479">
        <f>-'Foglio deposito bis'!$F$92*(C2496-sezione!$AP$37)*IF(ABS(O2496)&lt;'Progetto del paramento slu'!$G$58,ABS(O2496)*'Progetto del paramento slu'!$G$54,'Progetto del paramento slu'!$G$53)</f>
        <v>428435751.17402041</v>
      </c>
      <c r="J2496" s="479">
        <f t="shared" si="183"/>
        <v>752553640.94292629</v>
      </c>
      <c r="K2496" s="558">
        <f>'Progetto del paramento slu'!$G$60*(sezione!$AL$37-C2496)/C2496</f>
        <v>5.9200940271687943E-2</v>
      </c>
      <c r="L2496" s="558">
        <f>'Progetto del paramento slu'!$G$60*(sezione!$AM$37-C2496)/C2496</f>
        <v>0.23162852601882974</v>
      </c>
      <c r="M2496" s="559">
        <f>'Progetto del paramento slu'!$G$60*(sezione!$AN$37-C2496)/C2496</f>
        <v>0.4040561117659715</v>
      </c>
      <c r="N2496" s="559">
        <f>'Progetto del paramento slu'!$G$60*(sezione!$AO$37-C2496)/C2496</f>
        <v>0.52945799230934742</v>
      </c>
      <c r="O2496" s="559">
        <f>'Progetto del paramento slu'!$G$60*(sezione!$AP$37-C2496)/C2496</f>
        <v>0.40407178700103907</v>
      </c>
      <c r="P2496" s="553">
        <f>-'Progetto del paramento slu'!$G$47*'Progetto del paramento slu'!$G$41*IF(DATI!$G$218="dx",DATI!$E$61,DATI!$E$64*DATI!$E$63)*1000*C2496*sezione!$AD$5</f>
        <v>-31473.60456556156</v>
      </c>
      <c r="Q2496" s="553">
        <f>'Foglio deposito bis'!$F$88*IF(ABS(K2496)&lt;'Progetto del paramento slu'!$G$58,ABS(K2496)*'Progetto del paramento slu'!$G$54,'Progetto del paramento slu'!$G$53)*IF(K2496&lt;0,-1,1)</f>
        <v>0</v>
      </c>
      <c r="R2496" s="553">
        <f>'Foglio deposito bis'!$F$89*IF(ABS(L2496)&lt;'Progetto del paramento slu'!$G$58,ABS(L2496)*'Progetto del paramento slu'!$G$54,'Progetto del paramento slu'!$G$53)*IF(L2496&lt;0,-1,1)</f>
        <v>153664.85805602249</v>
      </c>
      <c r="S2496" s="553">
        <f>'Foglio deposito bis'!$F$90*IF(ABS(M2496)&lt;'Progetto del paramento slu'!$G$58,ABS(M2496)*'Progetto del paramento slu'!$G$54,'Progetto del paramento slu'!$G$53)*IF(M2496&lt;0,-1,1)</f>
        <v>0</v>
      </c>
      <c r="T2496" s="553">
        <f>'Foglio deposito bis'!$F$91*IF(ABS(N2496)&lt;'Progetto del paramento slu'!$G$58,ABS(N2496)*'Progetto del paramento slu'!$G$54,'Progetto del paramento slu'!$G$53)*IF(N2496&lt;0,-1,1)</f>
        <v>892485.49558937876</v>
      </c>
      <c r="U2496" s="553">
        <f>'Foglio deposito bis'!$F$92*IF(ABS(O2496)&lt;'Progetto del paramento slu'!$G$58,ABS(O2496)*'Progetto del paramento slu'!$G$54,'Progetto del paramento slu'!$G$53)*IF(O2496&lt;0,-1,1)</f>
        <v>1662039.1047339395</v>
      </c>
      <c r="V2496" s="479">
        <f t="shared" si="186"/>
        <v>2676715.8538137791</v>
      </c>
      <c r="W2496" s="559"/>
      <c r="X2496" s="559"/>
    </row>
    <row r="2497" spans="1:24" x14ac:dyDescent="0.25">
      <c r="A2497" s="553">
        <f t="shared" si="185"/>
        <v>2673854.6170350919</v>
      </c>
      <c r="B2497" s="3">
        <f t="shared" si="187"/>
        <v>0.6</v>
      </c>
      <c r="C2497" s="553">
        <f>'Foglio deposito bis'!$E$163/sezione!$B$247*B2497</f>
        <v>2.4358051420838969</v>
      </c>
      <c r="D2497" s="611">
        <f>-'Progetto del paramento slu'!$G$47*'Progetto del paramento slu'!$G$41*IF(DATI!$G$218="dx",DATI!$E$61,DATI!$E$64*DATI!$E$63)*1000*C2497^2*sezione!$AD$5*(1-sezione!$AD$6)</f>
        <v>-48841.662129790566</v>
      </c>
      <c r="E2497" s="553">
        <f>-'Foglio deposito bis'!$F$88*(C2497-sezione!$AL$37)*IF(ABS(K2497)&lt;'Progetto del paramento slu'!$G$58,ABS(K2497)*'Progetto del paramento slu'!$G$54,'Progetto del paramento slu'!$G$53)</f>
        <v>0</v>
      </c>
      <c r="F2497" s="553">
        <f>-'Foglio deposito bis'!$F$89*(C2497-sezione!$AM$37)*IF(ABS(L2497)&lt;'Progetto del paramento slu'!$G$58,ABS(L2497)*'Progetto del paramento slu'!$G$54,'Progetto del paramento slu'!$G$53)</f>
        <v>22675431.056992922</v>
      </c>
      <c r="G2497" s="553">
        <f>-'Foglio deposito bis'!$F$90*(C2497-sezione!$AN$37)*IF(ABS(M2497)&lt;'Progetto del paramento slu'!$G$58,ABS(M2497)*'Progetto del paramento slu'!$G$54,'Progetto del paramento slu'!$G$53)</f>
        <v>0</v>
      </c>
      <c r="H2497" s="553">
        <f>-'Foglio deposito bis'!$F$91*(C2497-sezione!$AO$37)*IF(ABS(N2497)&lt;'Progetto del paramento slu'!$G$58,ABS(N2497)*'Progetto del paramento slu'!$G$54,'Progetto del paramento slu'!$G$53)</f>
        <v>301271147.7409969</v>
      </c>
      <c r="I2497" s="479">
        <f>-'Foglio deposito bis'!$F$92*(C2497-sezione!$AP$37)*IF(ABS(O2497)&lt;'Progetto del paramento slu'!$G$58,ABS(O2497)*'Progetto del paramento slu'!$G$54,'Progetto del paramento slu'!$G$53)</f>
        <v>428098384.22421575</v>
      </c>
      <c r="J2497" s="479">
        <f t="shared" si="183"/>
        <v>751996121.36007571</v>
      </c>
      <c r="K2497" s="558">
        <f>'Progetto del paramento slu'!$G$60*(sezione!$AL$37-C2497)/C2497</f>
        <v>5.3975861915713935E-2</v>
      </c>
      <c r="L2497" s="558">
        <f>'Progetto del paramento slu'!$G$60*(sezione!$AM$37-C2497)/C2497</f>
        <v>0.21203448218392726</v>
      </c>
      <c r="M2497" s="559">
        <f>'Progetto del paramento slu'!$G$60*(sezione!$AN$37-C2497)/C2497</f>
        <v>0.37009310245214055</v>
      </c>
      <c r="N2497" s="559">
        <f>'Progetto del paramento slu'!$G$60*(sezione!$AO$37-C2497)/C2497</f>
        <v>0.48504482628356843</v>
      </c>
      <c r="O2497" s="559">
        <f>'Progetto del paramento slu'!$G$60*(sezione!$AP$37-C2497)/C2497</f>
        <v>0.37010747141761913</v>
      </c>
      <c r="P2497" s="553">
        <f>-'Progetto del paramento slu'!$G$47*'Progetto del paramento slu'!$G$41*IF(DATI!$G$218="dx",DATI!$E$61,DATI!$E$64*DATI!$E$63)*1000*C2497*sezione!$AD$5</f>
        <v>-34334.841344248976</v>
      </c>
      <c r="Q2497" s="553">
        <f>'Foglio deposito bis'!$F$88*IF(ABS(K2497)&lt;'Progetto del paramento slu'!$G$58,ABS(K2497)*'Progetto del paramento slu'!$G$54,'Progetto del paramento slu'!$G$53)*IF(K2497&lt;0,-1,1)</f>
        <v>0</v>
      </c>
      <c r="R2497" s="553">
        <f>'Foglio deposito bis'!$F$89*IF(ABS(L2497)&lt;'Progetto del paramento slu'!$G$58,ABS(L2497)*'Progetto del paramento slu'!$G$54,'Progetto del paramento slu'!$G$53)*IF(L2497&lt;0,-1,1)</f>
        <v>153664.85805602249</v>
      </c>
      <c r="S2497" s="553">
        <f>'Foglio deposito bis'!$F$90*IF(ABS(M2497)&lt;'Progetto del paramento slu'!$G$58,ABS(M2497)*'Progetto del paramento slu'!$G$54,'Progetto del paramento slu'!$G$53)*IF(M2497&lt;0,-1,1)</f>
        <v>0</v>
      </c>
      <c r="T2497" s="553">
        <f>'Foglio deposito bis'!$F$91*IF(ABS(N2497)&lt;'Progetto del paramento slu'!$G$58,ABS(N2497)*'Progetto del paramento slu'!$G$54,'Progetto del paramento slu'!$G$53)*IF(N2497&lt;0,-1,1)</f>
        <v>892485.49558937876</v>
      </c>
      <c r="U2497" s="553">
        <f>'Foglio deposito bis'!$F$92*IF(ABS(O2497)&lt;'Progetto del paramento slu'!$G$58,ABS(O2497)*'Progetto del paramento slu'!$G$54,'Progetto del paramento slu'!$G$53)*IF(O2497&lt;0,-1,1)</f>
        <v>1662039.1047339395</v>
      </c>
      <c r="V2497" s="479">
        <f t="shared" si="186"/>
        <v>2673854.6170350919</v>
      </c>
      <c r="W2497" s="559"/>
      <c r="X2497" s="559"/>
    </row>
    <row r="2498" spans="1:24" x14ac:dyDescent="0.25">
      <c r="A2498" s="553">
        <f t="shared" si="185"/>
        <v>2670993.3802564042</v>
      </c>
      <c r="B2498" s="3">
        <f t="shared" si="187"/>
        <v>0.65</v>
      </c>
      <c r="C2498" s="553">
        <f>'Foglio deposito bis'!$E$163/sezione!$B$247*B2498</f>
        <v>2.6387889039242216</v>
      </c>
      <c r="D2498" s="611">
        <f>-'Progetto del paramento slu'!$G$47*'Progetto del paramento slu'!$G$41*IF(DATI!$G$218="dx",DATI!$E$61,DATI!$E$64*DATI!$E$63)*1000*C2498^2*sezione!$AD$5*(1-sezione!$AD$6)</f>
        <v>-57321.117360656994</v>
      </c>
      <c r="E2498" s="553">
        <f>-'Foglio deposito bis'!$F$88*(C2498-sezione!$AL$37)*IF(ABS(K2498)&lt;'Progetto del paramento slu'!$G$58,ABS(K2498)*'Progetto del paramento slu'!$G$54,'Progetto del paramento slu'!$G$53)</f>
        <v>0</v>
      </c>
      <c r="F2498" s="553">
        <f>-'Foglio deposito bis'!$F$89*(C2498-sezione!$AM$37)*IF(ABS(L2498)&lt;'Progetto del paramento slu'!$G$58,ABS(L2498)*'Progetto del paramento slu'!$G$54,'Progetto del paramento slu'!$G$53)</f>
        <v>22644239.58604205</v>
      </c>
      <c r="G2498" s="553">
        <f>-'Foglio deposito bis'!$F$90*(C2498-sezione!$AN$37)*IF(ABS(M2498)&lt;'Progetto del paramento slu'!$G$58,ABS(M2498)*'Progetto del paramento slu'!$G$54,'Progetto del paramento slu'!$G$53)</f>
        <v>0</v>
      </c>
      <c r="H2498" s="553">
        <f>-'Foglio deposito bis'!$F$91*(C2498-sezione!$AO$37)*IF(ABS(N2498)&lt;'Progetto del paramento slu'!$G$58,ABS(N2498)*'Progetto del paramento slu'!$G$54,'Progetto del paramento slu'!$G$53)</f>
        <v>301089987.67771429</v>
      </c>
      <c r="I2498" s="479">
        <f>-'Foglio deposito bis'!$F$92*(C2498-sezione!$AP$37)*IF(ABS(O2498)&lt;'Progetto del paramento slu'!$G$58,ABS(O2498)*'Progetto del paramento slu'!$G$54,'Progetto del paramento slu'!$G$53)</f>
        <v>427761017.27441114</v>
      </c>
      <c r="J2498" s="479">
        <f t="shared" si="183"/>
        <v>751437923.42080688</v>
      </c>
      <c r="K2498" s="558">
        <f>'Progetto del paramento slu'!$G$60*(sezione!$AL$37-C2498)/C2498</f>
        <v>4.9554641768351317E-2</v>
      </c>
      <c r="L2498" s="558">
        <f>'Progetto del paramento slu'!$G$60*(sezione!$AM$37-C2498)/C2498</f>
        <v>0.19545490663131743</v>
      </c>
      <c r="M2498" s="559">
        <f>'Progetto del paramento slu'!$G$60*(sezione!$AN$37-C2498)/C2498</f>
        <v>0.34135517149428363</v>
      </c>
      <c r="N2498" s="559">
        <f>'Progetto del paramento slu'!$G$60*(sezione!$AO$37-C2498)/C2498</f>
        <v>0.44746445503098625</v>
      </c>
      <c r="O2498" s="559">
        <f>'Progetto del paramento slu'!$G$60*(sezione!$AP$37-C2498)/C2498</f>
        <v>0.34136843515472542</v>
      </c>
      <c r="P2498" s="553">
        <f>-'Progetto del paramento slu'!$G$47*'Progetto del paramento slu'!$G$41*IF(DATI!$G$218="dx",DATI!$E$61,DATI!$E$64*DATI!$E$63)*1000*C2498*sezione!$AD$5</f>
        <v>-37196.0781229364</v>
      </c>
      <c r="Q2498" s="553">
        <f>'Foglio deposito bis'!$F$88*IF(ABS(K2498)&lt;'Progetto del paramento slu'!$G$58,ABS(K2498)*'Progetto del paramento slu'!$G$54,'Progetto del paramento slu'!$G$53)*IF(K2498&lt;0,-1,1)</f>
        <v>0</v>
      </c>
      <c r="R2498" s="553">
        <f>'Foglio deposito bis'!$F$89*IF(ABS(L2498)&lt;'Progetto del paramento slu'!$G$58,ABS(L2498)*'Progetto del paramento slu'!$G$54,'Progetto del paramento slu'!$G$53)*IF(L2498&lt;0,-1,1)</f>
        <v>153664.85805602249</v>
      </c>
      <c r="S2498" s="553">
        <f>'Foglio deposito bis'!$F$90*IF(ABS(M2498)&lt;'Progetto del paramento slu'!$G$58,ABS(M2498)*'Progetto del paramento slu'!$G$54,'Progetto del paramento slu'!$G$53)*IF(M2498&lt;0,-1,1)</f>
        <v>0</v>
      </c>
      <c r="T2498" s="553">
        <f>'Foglio deposito bis'!$F$91*IF(ABS(N2498)&lt;'Progetto del paramento slu'!$G$58,ABS(N2498)*'Progetto del paramento slu'!$G$54,'Progetto del paramento slu'!$G$53)*IF(N2498&lt;0,-1,1)</f>
        <v>892485.49558937876</v>
      </c>
      <c r="U2498" s="553">
        <f>'Foglio deposito bis'!$F$92*IF(ABS(O2498)&lt;'Progetto del paramento slu'!$G$58,ABS(O2498)*'Progetto del paramento slu'!$G$54,'Progetto del paramento slu'!$G$53)*IF(O2498&lt;0,-1,1)</f>
        <v>1662039.1047339395</v>
      </c>
      <c r="V2498" s="479">
        <f t="shared" si="186"/>
        <v>2670993.3802564042</v>
      </c>
      <c r="W2498" s="559"/>
      <c r="X2498" s="559"/>
    </row>
    <row r="2499" spans="1:24" x14ac:dyDescent="0.25">
      <c r="A2499" s="553">
        <f t="shared" si="185"/>
        <v>2668132.1434777169</v>
      </c>
      <c r="B2499" s="3">
        <f t="shared" si="187"/>
        <v>0.70000000000000007</v>
      </c>
      <c r="C2499" s="553">
        <f>'Foglio deposito bis'!$E$163/sezione!$B$247*B2499</f>
        <v>2.8417726657645468</v>
      </c>
      <c r="D2499" s="611">
        <f>-'Progetto del paramento slu'!$G$47*'Progetto del paramento slu'!$G$41*IF(DATI!$G$218="dx",DATI!$E$61,DATI!$E$64*DATI!$E$63)*1000*C2499^2*sezione!$AD$5*(1-sezione!$AD$6)</f>
        <v>-66478.929009992746</v>
      </c>
      <c r="E2499" s="553">
        <f>-'Foglio deposito bis'!$F$88*(C2499-sezione!$AL$37)*IF(ABS(K2499)&lt;'Progetto del paramento slu'!$G$58,ABS(K2499)*'Progetto del paramento slu'!$G$54,'Progetto del paramento slu'!$G$53)</f>
        <v>0</v>
      </c>
      <c r="F2499" s="553">
        <f>-'Foglio deposito bis'!$F$89*(C2499-sezione!$AM$37)*IF(ABS(L2499)&lt;'Progetto del paramento slu'!$G$58,ABS(L2499)*'Progetto del paramento slu'!$G$54,'Progetto del paramento slu'!$G$53)</f>
        <v>22613048.115091179</v>
      </c>
      <c r="G2499" s="553">
        <f>-'Foglio deposito bis'!$F$90*(C2499-sezione!$AN$37)*IF(ABS(M2499)&lt;'Progetto del paramento slu'!$G$58,ABS(M2499)*'Progetto del paramento slu'!$G$54,'Progetto del paramento slu'!$G$53)</f>
        <v>0</v>
      </c>
      <c r="H2499" s="553">
        <f>-'Foglio deposito bis'!$F$91*(C2499-sezione!$AO$37)*IF(ABS(N2499)&lt;'Progetto del paramento slu'!$G$58,ABS(N2499)*'Progetto del paramento slu'!$G$54,'Progetto del paramento slu'!$G$53)</f>
        <v>300908827.61443156</v>
      </c>
      <c r="I2499" s="479">
        <f>-'Foglio deposito bis'!$F$92*(C2499-sezione!$AP$37)*IF(ABS(O2499)&lt;'Progetto del paramento slu'!$G$58,ABS(O2499)*'Progetto del paramento slu'!$G$54,'Progetto del paramento slu'!$G$53)</f>
        <v>427423650.32460654</v>
      </c>
      <c r="J2499" s="479">
        <f t="shared" si="183"/>
        <v>750879047.12511921</v>
      </c>
      <c r="K2499" s="558">
        <f>'Progetto del paramento slu'!$G$60*(sezione!$AL$37-C2499)/C2499</f>
        <v>4.5765024499183356E-2</v>
      </c>
      <c r="L2499" s="558">
        <f>'Progetto del paramento slu'!$G$60*(sezione!$AM$37-C2499)/C2499</f>
        <v>0.18124384187193759</v>
      </c>
      <c r="M2499" s="559">
        <f>'Progetto del paramento slu'!$G$60*(sezione!$AN$37-C2499)/C2499</f>
        <v>0.31672265924469184</v>
      </c>
      <c r="N2499" s="559">
        <f>'Progetto del paramento slu'!$G$60*(sezione!$AO$37-C2499)/C2499</f>
        <v>0.41525270824305854</v>
      </c>
      <c r="O2499" s="559">
        <f>'Progetto del paramento slu'!$G$60*(sezione!$AP$37-C2499)/C2499</f>
        <v>0.31673497550081631</v>
      </c>
      <c r="P2499" s="553">
        <f>-'Progetto del paramento slu'!$G$47*'Progetto del paramento slu'!$G$41*IF(DATI!$G$218="dx",DATI!$E$61,DATI!$E$64*DATI!$E$63)*1000*C2499*sezione!$AD$5</f>
        <v>-40057.314901623817</v>
      </c>
      <c r="Q2499" s="553">
        <f>'Foglio deposito bis'!$F$88*IF(ABS(K2499)&lt;'Progetto del paramento slu'!$G$58,ABS(K2499)*'Progetto del paramento slu'!$G$54,'Progetto del paramento slu'!$G$53)*IF(K2499&lt;0,-1,1)</f>
        <v>0</v>
      </c>
      <c r="R2499" s="553">
        <f>'Foglio deposito bis'!$F$89*IF(ABS(L2499)&lt;'Progetto del paramento slu'!$G$58,ABS(L2499)*'Progetto del paramento slu'!$G$54,'Progetto del paramento slu'!$G$53)*IF(L2499&lt;0,-1,1)</f>
        <v>153664.85805602249</v>
      </c>
      <c r="S2499" s="553">
        <f>'Foglio deposito bis'!$F$90*IF(ABS(M2499)&lt;'Progetto del paramento slu'!$G$58,ABS(M2499)*'Progetto del paramento slu'!$G$54,'Progetto del paramento slu'!$G$53)*IF(M2499&lt;0,-1,1)</f>
        <v>0</v>
      </c>
      <c r="T2499" s="553">
        <f>'Foglio deposito bis'!$F$91*IF(ABS(N2499)&lt;'Progetto del paramento slu'!$G$58,ABS(N2499)*'Progetto del paramento slu'!$G$54,'Progetto del paramento slu'!$G$53)*IF(N2499&lt;0,-1,1)</f>
        <v>892485.49558937876</v>
      </c>
      <c r="U2499" s="553">
        <f>'Foglio deposito bis'!$F$92*IF(ABS(O2499)&lt;'Progetto del paramento slu'!$G$58,ABS(O2499)*'Progetto del paramento slu'!$G$54,'Progetto del paramento slu'!$G$53)*IF(O2499&lt;0,-1,1)</f>
        <v>1662039.1047339395</v>
      </c>
      <c r="V2499" s="479">
        <f t="shared" si="186"/>
        <v>2668132.1434777169</v>
      </c>
      <c r="W2499" s="559"/>
      <c r="X2499" s="559"/>
    </row>
    <row r="2500" spans="1:24" x14ac:dyDescent="0.25">
      <c r="A2500" s="553">
        <f t="shared" si="185"/>
        <v>2665270.9066990297</v>
      </c>
      <c r="B2500" s="3">
        <f t="shared" si="187"/>
        <v>0.75000000000000011</v>
      </c>
      <c r="C2500" s="553">
        <f>'Foglio deposito bis'!$E$163/sezione!$B$247*B2500</f>
        <v>3.0447564276048715</v>
      </c>
      <c r="D2500" s="611">
        <f>-'Progetto del paramento slu'!$G$47*'Progetto del paramento slu'!$G$41*IF(DATI!$G$218="dx",DATI!$E$61,DATI!$E$64*DATI!$E$63)*1000*C2500^2*sezione!$AD$5*(1-sezione!$AD$6)</f>
        <v>-76315.097077797778</v>
      </c>
      <c r="E2500" s="553">
        <f>-'Foglio deposito bis'!$F$88*(C2500-sezione!$AL$37)*IF(ABS(K2500)&lt;'Progetto del paramento slu'!$G$58,ABS(K2500)*'Progetto del paramento slu'!$G$54,'Progetto del paramento slu'!$G$53)</f>
        <v>0</v>
      </c>
      <c r="F2500" s="553">
        <f>-'Foglio deposito bis'!$F$89*(C2500-sezione!$AM$37)*IF(ABS(L2500)&lt;'Progetto del paramento slu'!$G$58,ABS(L2500)*'Progetto del paramento slu'!$G$54,'Progetto del paramento slu'!$G$53)</f>
        <v>22581856.644140307</v>
      </c>
      <c r="G2500" s="553">
        <f>-'Foglio deposito bis'!$F$90*(C2500-sezione!$AN$37)*IF(ABS(M2500)&lt;'Progetto del paramento slu'!$G$58,ABS(M2500)*'Progetto del paramento slu'!$G$54,'Progetto del paramento slu'!$G$53)</f>
        <v>0</v>
      </c>
      <c r="H2500" s="553">
        <f>-'Foglio deposito bis'!$F$91*(C2500-sezione!$AO$37)*IF(ABS(N2500)&lt;'Progetto del paramento slu'!$G$58,ABS(N2500)*'Progetto del paramento slu'!$G$54,'Progetto del paramento slu'!$G$53)</f>
        <v>300727667.55114895</v>
      </c>
      <c r="I2500" s="479">
        <f>-'Foglio deposito bis'!$F$92*(C2500-sezione!$AP$37)*IF(ABS(O2500)&lt;'Progetto del paramento slu'!$G$58,ABS(O2500)*'Progetto del paramento slu'!$G$54,'Progetto del paramento slu'!$G$53)</f>
        <v>427086283.37480193</v>
      </c>
      <c r="J2500" s="479">
        <f t="shared" si="183"/>
        <v>750319492.4730134</v>
      </c>
      <c r="K2500" s="558">
        <f>'Progetto del paramento slu'!$G$60*(sezione!$AL$37-C2500)/C2500</f>
        <v>4.2480689532571135E-2</v>
      </c>
      <c r="L2500" s="558">
        <f>'Progetto del paramento slu'!$G$60*(sezione!$AM$37-C2500)/C2500</f>
        <v>0.16892758574714176</v>
      </c>
      <c r="M2500" s="559">
        <f>'Progetto del paramento slu'!$G$60*(sezione!$AN$37-C2500)/C2500</f>
        <v>0.2953744819617124</v>
      </c>
      <c r="N2500" s="559">
        <f>'Progetto del paramento slu'!$G$60*(sezione!$AO$37-C2500)/C2500</f>
        <v>0.38733586102685463</v>
      </c>
      <c r="O2500" s="559">
        <f>'Progetto del paramento slu'!$G$60*(sezione!$AP$37-C2500)/C2500</f>
        <v>0.29538597713409526</v>
      </c>
      <c r="P2500" s="553">
        <f>-'Progetto del paramento slu'!$G$47*'Progetto del paramento slu'!$G$41*IF(DATI!$G$218="dx",DATI!$E$61,DATI!$E$64*DATI!$E$63)*1000*C2500*sezione!$AD$5</f>
        <v>-42918.551680311233</v>
      </c>
      <c r="Q2500" s="553">
        <f>'Foglio deposito bis'!$F$88*IF(ABS(K2500)&lt;'Progetto del paramento slu'!$G$58,ABS(K2500)*'Progetto del paramento slu'!$G$54,'Progetto del paramento slu'!$G$53)*IF(K2500&lt;0,-1,1)</f>
        <v>0</v>
      </c>
      <c r="R2500" s="553">
        <f>'Foglio deposito bis'!$F$89*IF(ABS(L2500)&lt;'Progetto del paramento slu'!$G$58,ABS(L2500)*'Progetto del paramento slu'!$G$54,'Progetto del paramento slu'!$G$53)*IF(L2500&lt;0,-1,1)</f>
        <v>153664.85805602249</v>
      </c>
      <c r="S2500" s="553">
        <f>'Foglio deposito bis'!$F$90*IF(ABS(M2500)&lt;'Progetto del paramento slu'!$G$58,ABS(M2500)*'Progetto del paramento slu'!$G$54,'Progetto del paramento slu'!$G$53)*IF(M2500&lt;0,-1,1)</f>
        <v>0</v>
      </c>
      <c r="T2500" s="553">
        <f>'Foglio deposito bis'!$F$91*IF(ABS(N2500)&lt;'Progetto del paramento slu'!$G$58,ABS(N2500)*'Progetto del paramento slu'!$G$54,'Progetto del paramento slu'!$G$53)*IF(N2500&lt;0,-1,1)</f>
        <v>892485.49558937876</v>
      </c>
      <c r="U2500" s="553">
        <f>'Foglio deposito bis'!$F$92*IF(ABS(O2500)&lt;'Progetto del paramento slu'!$G$58,ABS(O2500)*'Progetto del paramento slu'!$G$54,'Progetto del paramento slu'!$G$53)*IF(O2500&lt;0,-1,1)</f>
        <v>1662039.1047339395</v>
      </c>
      <c r="V2500" s="479">
        <f t="shared" si="186"/>
        <v>2665270.9066990297</v>
      </c>
      <c r="W2500" s="559"/>
      <c r="X2500" s="559"/>
    </row>
    <row r="2501" spans="1:24" x14ac:dyDescent="0.25">
      <c r="A2501" s="553">
        <f t="shared" si="185"/>
        <v>2662409.669920342</v>
      </c>
      <c r="B2501" s="3">
        <f t="shared" si="187"/>
        <v>0.80000000000000016</v>
      </c>
      <c r="C2501" s="553">
        <f>'Foglio deposito bis'!$E$163/sezione!$B$247*B2501</f>
        <v>3.2477401894451963</v>
      </c>
      <c r="D2501" s="611">
        <f>-'Progetto del paramento slu'!$G$47*'Progetto del paramento slu'!$G$41*IF(DATI!$G$218="dx",DATI!$E$61,DATI!$E$64*DATI!$E$63)*1000*C2501^2*sezione!$AD$5*(1-sezione!$AD$6)</f>
        <v>-86829.621564072149</v>
      </c>
      <c r="E2501" s="553">
        <f>-'Foglio deposito bis'!$F$88*(C2501-sezione!$AL$37)*IF(ABS(K2501)&lt;'Progetto del paramento slu'!$G$58,ABS(K2501)*'Progetto del paramento slu'!$G$54,'Progetto del paramento slu'!$G$53)</f>
        <v>0</v>
      </c>
      <c r="F2501" s="553">
        <f>-'Foglio deposito bis'!$F$89*(C2501-sezione!$AM$37)*IF(ABS(L2501)&lt;'Progetto del paramento slu'!$G$58,ABS(L2501)*'Progetto del paramento slu'!$G$54,'Progetto del paramento slu'!$G$53)</f>
        <v>22550665.173189439</v>
      </c>
      <c r="G2501" s="553">
        <f>-'Foglio deposito bis'!$F$90*(C2501-sezione!$AN$37)*IF(ABS(M2501)&lt;'Progetto del paramento slu'!$G$58,ABS(M2501)*'Progetto del paramento slu'!$G$54,'Progetto del paramento slu'!$G$53)</f>
        <v>0</v>
      </c>
      <c r="H2501" s="553">
        <f>-'Foglio deposito bis'!$F$91*(C2501-sezione!$AO$37)*IF(ABS(N2501)&lt;'Progetto del paramento slu'!$G$58,ABS(N2501)*'Progetto del paramento slu'!$G$54,'Progetto del paramento slu'!$G$53)</f>
        <v>300546507.48786628</v>
      </c>
      <c r="I2501" s="479">
        <f>-'Foglio deposito bis'!$F$92*(C2501-sezione!$AP$37)*IF(ABS(O2501)&lt;'Progetto del paramento slu'!$G$58,ABS(O2501)*'Progetto del paramento slu'!$G$54,'Progetto del paramento slu'!$G$53)</f>
        <v>426748916.42499721</v>
      </c>
      <c r="J2501" s="479">
        <f t="shared" si="183"/>
        <v>749759259.46448886</v>
      </c>
      <c r="K2501" s="558">
        <f>'Progetto del paramento slu'!$G$60*(sezione!$AL$37-C2501)/C2501</f>
        <v>3.9606896436785444E-2</v>
      </c>
      <c r="L2501" s="558">
        <f>'Progetto del paramento slu'!$G$60*(sezione!$AM$37-C2501)/C2501</f>
        <v>0.15815086163794537</v>
      </c>
      <c r="M2501" s="559">
        <f>'Progetto del paramento slu'!$G$60*(sezione!$AN$37-C2501)/C2501</f>
        <v>0.27669482683910535</v>
      </c>
      <c r="N2501" s="559">
        <f>'Progetto del paramento slu'!$G$60*(sezione!$AO$37-C2501)/C2501</f>
        <v>0.36290861971267624</v>
      </c>
      <c r="O2501" s="559">
        <f>'Progetto del paramento slu'!$G$60*(sezione!$AP$37-C2501)/C2501</f>
        <v>0.27670560356321428</v>
      </c>
      <c r="P2501" s="553">
        <f>-'Progetto del paramento slu'!$G$47*'Progetto del paramento slu'!$G$41*IF(DATI!$G$218="dx",DATI!$E$61,DATI!$E$64*DATI!$E$63)*1000*C2501*sezione!$AD$5</f>
        <v>-45779.788458998642</v>
      </c>
      <c r="Q2501" s="553">
        <f>'Foglio deposito bis'!$F$88*IF(ABS(K2501)&lt;'Progetto del paramento slu'!$G$58,ABS(K2501)*'Progetto del paramento slu'!$G$54,'Progetto del paramento slu'!$G$53)*IF(K2501&lt;0,-1,1)</f>
        <v>0</v>
      </c>
      <c r="R2501" s="553">
        <f>'Foglio deposito bis'!$F$89*IF(ABS(L2501)&lt;'Progetto del paramento slu'!$G$58,ABS(L2501)*'Progetto del paramento slu'!$G$54,'Progetto del paramento slu'!$G$53)*IF(L2501&lt;0,-1,1)</f>
        <v>153664.85805602249</v>
      </c>
      <c r="S2501" s="553">
        <f>'Foglio deposito bis'!$F$90*IF(ABS(M2501)&lt;'Progetto del paramento slu'!$G$58,ABS(M2501)*'Progetto del paramento slu'!$G$54,'Progetto del paramento slu'!$G$53)*IF(M2501&lt;0,-1,1)</f>
        <v>0</v>
      </c>
      <c r="T2501" s="553">
        <f>'Foglio deposito bis'!$F$91*IF(ABS(N2501)&lt;'Progetto del paramento slu'!$G$58,ABS(N2501)*'Progetto del paramento slu'!$G$54,'Progetto del paramento slu'!$G$53)*IF(N2501&lt;0,-1,1)</f>
        <v>892485.49558937876</v>
      </c>
      <c r="U2501" s="553">
        <f>'Foglio deposito bis'!$F$92*IF(ABS(O2501)&lt;'Progetto del paramento slu'!$G$58,ABS(O2501)*'Progetto del paramento slu'!$G$54,'Progetto del paramento slu'!$G$53)*IF(O2501&lt;0,-1,1)</f>
        <v>1662039.1047339395</v>
      </c>
      <c r="V2501" s="479">
        <f t="shared" si="186"/>
        <v>2662409.669920342</v>
      </c>
      <c r="W2501" s="559"/>
      <c r="X2501" s="559"/>
    </row>
    <row r="2502" spans="1:24" x14ac:dyDescent="0.25">
      <c r="A2502" s="553">
        <f t="shared" si="185"/>
        <v>2659548.4331416548</v>
      </c>
      <c r="B2502" s="3">
        <f t="shared" si="187"/>
        <v>0.8500000000000002</v>
      </c>
      <c r="C2502" s="553">
        <f>'Foglio deposito bis'!$E$163/sezione!$B$247*B2502</f>
        <v>3.4507239512855215</v>
      </c>
      <c r="D2502" s="611">
        <f>-'Progetto del paramento slu'!$G$47*'Progetto del paramento slu'!$G$41*IF(DATI!$G$218="dx",DATI!$E$61,DATI!$E$64*DATI!$E$63)*1000*C2502^2*sezione!$AD$5*(1-sezione!$AD$6)</f>
        <v>-98022.50246881583</v>
      </c>
      <c r="E2502" s="553">
        <f>-'Foglio deposito bis'!$F$88*(C2502-sezione!$AL$37)*IF(ABS(K2502)&lt;'Progetto del paramento slu'!$G$58,ABS(K2502)*'Progetto del paramento slu'!$G$54,'Progetto del paramento slu'!$G$53)</f>
        <v>0</v>
      </c>
      <c r="F2502" s="553">
        <f>-'Foglio deposito bis'!$F$89*(C2502-sezione!$AM$37)*IF(ABS(L2502)&lt;'Progetto del paramento slu'!$G$58,ABS(L2502)*'Progetto del paramento slu'!$G$54,'Progetto del paramento slu'!$G$53)</f>
        <v>22519473.702238567</v>
      </c>
      <c r="G2502" s="553">
        <f>-'Foglio deposito bis'!$F$90*(C2502-sezione!$AN$37)*IF(ABS(M2502)&lt;'Progetto del paramento slu'!$G$58,ABS(M2502)*'Progetto del paramento slu'!$G$54,'Progetto del paramento slu'!$G$53)</f>
        <v>0</v>
      </c>
      <c r="H2502" s="553">
        <f>-'Foglio deposito bis'!$F$91*(C2502-sezione!$AO$37)*IF(ABS(N2502)&lt;'Progetto del paramento slu'!$G$58,ABS(N2502)*'Progetto del paramento slu'!$G$54,'Progetto del paramento slu'!$G$53)</f>
        <v>300365347.42458361</v>
      </c>
      <c r="I2502" s="479">
        <f>-'Foglio deposito bis'!$F$92*(C2502-sezione!$AP$37)*IF(ABS(O2502)&lt;'Progetto del paramento slu'!$G$58,ABS(O2502)*'Progetto del paramento slu'!$G$54,'Progetto del paramento slu'!$G$53)</f>
        <v>426411549.47519273</v>
      </c>
      <c r="J2502" s="479">
        <f t="shared" si="183"/>
        <v>749198348.09954607</v>
      </c>
      <c r="K2502" s="558">
        <f>'Progetto del paramento slu'!$G$60*(sezione!$AL$37-C2502)/C2502</f>
        <v>3.7071196646386285E-2</v>
      </c>
      <c r="L2502" s="558">
        <f>'Progetto del paramento slu'!$G$60*(sezione!$AM$37-C2502)/C2502</f>
        <v>0.1486419874239486</v>
      </c>
      <c r="M2502" s="559">
        <f>'Progetto del paramento slu'!$G$60*(sezione!$AN$37-C2502)/C2502</f>
        <v>0.2602127782015109</v>
      </c>
      <c r="N2502" s="559">
        <f>'Progetto del paramento slu'!$G$60*(sezione!$AO$37-C2502)/C2502</f>
        <v>0.34135517149428352</v>
      </c>
      <c r="O2502" s="559">
        <f>'Progetto del paramento slu'!$G$60*(sezione!$AP$37-C2502)/C2502</f>
        <v>0.26022292100067224</v>
      </c>
      <c r="P2502" s="553">
        <f>-'Progetto del paramento slu'!$G$47*'Progetto del paramento slu'!$G$41*IF(DATI!$G$218="dx",DATI!$E$61,DATI!$E$64*DATI!$E$63)*1000*C2502*sezione!$AD$5</f>
        <v>-48641.025237686066</v>
      </c>
      <c r="Q2502" s="553">
        <f>'Foglio deposito bis'!$F$88*IF(ABS(K2502)&lt;'Progetto del paramento slu'!$G$58,ABS(K2502)*'Progetto del paramento slu'!$G$54,'Progetto del paramento slu'!$G$53)*IF(K2502&lt;0,-1,1)</f>
        <v>0</v>
      </c>
      <c r="R2502" s="553">
        <f>'Foglio deposito bis'!$F$89*IF(ABS(L2502)&lt;'Progetto del paramento slu'!$G$58,ABS(L2502)*'Progetto del paramento slu'!$G$54,'Progetto del paramento slu'!$G$53)*IF(L2502&lt;0,-1,1)</f>
        <v>153664.85805602249</v>
      </c>
      <c r="S2502" s="553">
        <f>'Foglio deposito bis'!$F$90*IF(ABS(M2502)&lt;'Progetto del paramento slu'!$G$58,ABS(M2502)*'Progetto del paramento slu'!$G$54,'Progetto del paramento slu'!$G$53)*IF(M2502&lt;0,-1,1)</f>
        <v>0</v>
      </c>
      <c r="T2502" s="553">
        <f>'Foglio deposito bis'!$F$91*IF(ABS(N2502)&lt;'Progetto del paramento slu'!$G$58,ABS(N2502)*'Progetto del paramento slu'!$G$54,'Progetto del paramento slu'!$G$53)*IF(N2502&lt;0,-1,1)</f>
        <v>892485.49558937876</v>
      </c>
      <c r="U2502" s="553">
        <f>'Foglio deposito bis'!$F$92*IF(ABS(O2502)&lt;'Progetto del paramento slu'!$G$58,ABS(O2502)*'Progetto del paramento slu'!$G$54,'Progetto del paramento slu'!$G$53)*IF(O2502&lt;0,-1,1)</f>
        <v>1662039.1047339395</v>
      </c>
      <c r="V2502" s="479">
        <f t="shared" si="186"/>
        <v>2659548.4331416548</v>
      </c>
      <c r="W2502" s="559"/>
      <c r="X2502" s="559"/>
    </row>
    <row r="2503" spans="1:24" x14ac:dyDescent="0.25">
      <c r="A2503" s="553">
        <f t="shared" si="185"/>
        <v>2656687.1963629671</v>
      </c>
      <c r="B2503" s="3">
        <f t="shared" si="187"/>
        <v>0.90000000000000024</v>
      </c>
      <c r="C2503" s="553">
        <f>'Foglio deposito bis'!$E$163/sezione!$B$247*B2503</f>
        <v>3.6537077131258462</v>
      </c>
      <c r="D2503" s="611">
        <f>-'Progetto del paramento slu'!$G$47*'Progetto del paramento slu'!$G$41*IF(DATI!$G$218="dx",DATI!$E$61,DATI!$E$64*DATI!$E$63)*1000*C2503^2*sezione!$AD$5*(1-sezione!$AD$6)</f>
        <v>-109893.73979202883</v>
      </c>
      <c r="E2503" s="553">
        <f>-'Foglio deposito bis'!$F$88*(C2503-sezione!$AL$37)*IF(ABS(K2503)&lt;'Progetto del paramento slu'!$G$58,ABS(K2503)*'Progetto del paramento slu'!$G$54,'Progetto del paramento slu'!$G$53)</f>
        <v>0</v>
      </c>
      <c r="F2503" s="553">
        <f>-'Foglio deposito bis'!$F$89*(C2503-sezione!$AM$37)*IF(ABS(L2503)&lt;'Progetto del paramento slu'!$G$58,ABS(L2503)*'Progetto del paramento slu'!$G$54,'Progetto del paramento slu'!$G$53)</f>
        <v>22488282.231287699</v>
      </c>
      <c r="G2503" s="553">
        <f>-'Foglio deposito bis'!$F$90*(C2503-sezione!$AN$37)*IF(ABS(M2503)&lt;'Progetto del paramento slu'!$G$58,ABS(M2503)*'Progetto del paramento slu'!$G$54,'Progetto del paramento slu'!$G$53)</f>
        <v>0</v>
      </c>
      <c r="H2503" s="553">
        <f>-'Foglio deposito bis'!$F$91*(C2503-sezione!$AO$37)*IF(ABS(N2503)&lt;'Progetto del paramento slu'!$G$58,ABS(N2503)*'Progetto del paramento slu'!$G$54,'Progetto del paramento slu'!$G$53)</f>
        <v>300184187.36130095</v>
      </c>
      <c r="I2503" s="479">
        <f>-'Foglio deposito bis'!$F$92*(C2503-sezione!$AP$37)*IF(ABS(O2503)&lt;'Progetto del paramento slu'!$G$58,ABS(O2503)*'Progetto del paramento slu'!$G$54,'Progetto del paramento slu'!$G$53)</f>
        <v>426074182.525388</v>
      </c>
      <c r="J2503" s="479">
        <f t="shared" si="183"/>
        <v>748636758.37818456</v>
      </c>
      <c r="K2503" s="558">
        <f>'Progetto del paramento slu'!$G$60*(sezione!$AL$37-C2503)/C2503</f>
        <v>3.4817241277142606E-2</v>
      </c>
      <c r="L2503" s="558">
        <f>'Progetto del paramento slu'!$G$60*(sezione!$AM$37-C2503)/C2503</f>
        <v>0.14018965478928477</v>
      </c>
      <c r="M2503" s="559">
        <f>'Progetto del paramento slu'!$G$60*(sezione!$AN$37-C2503)/C2503</f>
        <v>0.24556206830142693</v>
      </c>
      <c r="N2503" s="559">
        <f>'Progetto del paramento slu'!$G$60*(sezione!$AO$37-C2503)/C2503</f>
        <v>0.32219655085571214</v>
      </c>
      <c r="O2503" s="559">
        <f>'Progetto del paramento slu'!$G$60*(sezione!$AP$37-C2503)/C2503</f>
        <v>0.24557164761174602</v>
      </c>
      <c r="P2503" s="553">
        <f>-'Progetto del paramento slu'!$G$47*'Progetto del paramento slu'!$G$41*IF(DATI!$G$218="dx",DATI!$E$61,DATI!$E$64*DATI!$E$63)*1000*C2503*sezione!$AD$5</f>
        <v>-51502.262016373483</v>
      </c>
      <c r="Q2503" s="553">
        <f>'Foglio deposito bis'!$F$88*IF(ABS(K2503)&lt;'Progetto del paramento slu'!$G$58,ABS(K2503)*'Progetto del paramento slu'!$G$54,'Progetto del paramento slu'!$G$53)*IF(K2503&lt;0,-1,1)</f>
        <v>0</v>
      </c>
      <c r="R2503" s="553">
        <f>'Foglio deposito bis'!$F$89*IF(ABS(L2503)&lt;'Progetto del paramento slu'!$G$58,ABS(L2503)*'Progetto del paramento slu'!$G$54,'Progetto del paramento slu'!$G$53)*IF(L2503&lt;0,-1,1)</f>
        <v>153664.85805602249</v>
      </c>
      <c r="S2503" s="553">
        <f>'Foglio deposito bis'!$F$90*IF(ABS(M2503)&lt;'Progetto del paramento slu'!$G$58,ABS(M2503)*'Progetto del paramento slu'!$G$54,'Progetto del paramento slu'!$G$53)*IF(M2503&lt;0,-1,1)</f>
        <v>0</v>
      </c>
      <c r="T2503" s="553">
        <f>'Foglio deposito bis'!$F$91*IF(ABS(N2503)&lt;'Progetto del paramento slu'!$G$58,ABS(N2503)*'Progetto del paramento slu'!$G$54,'Progetto del paramento slu'!$G$53)*IF(N2503&lt;0,-1,1)</f>
        <v>892485.49558937876</v>
      </c>
      <c r="U2503" s="553">
        <f>'Foglio deposito bis'!$F$92*IF(ABS(O2503)&lt;'Progetto del paramento slu'!$G$58,ABS(O2503)*'Progetto del paramento slu'!$G$54,'Progetto del paramento slu'!$G$53)*IF(O2503&lt;0,-1,1)</f>
        <v>1662039.1047339395</v>
      </c>
      <c r="V2503" s="479">
        <f t="shared" si="186"/>
        <v>2656687.1963629671</v>
      </c>
      <c r="W2503" s="559"/>
      <c r="X2503" s="559"/>
    </row>
    <row r="2504" spans="1:24" x14ac:dyDescent="0.25">
      <c r="A2504" s="553">
        <f t="shared" si="185"/>
        <v>2653825.9595842799</v>
      </c>
      <c r="B2504" s="3">
        <f t="shared" si="187"/>
        <v>0.95000000000000029</v>
      </c>
      <c r="C2504" s="553">
        <f>'Foglio deposito bis'!$E$163/sezione!$B$247*B2504</f>
        <v>3.8566914749661714</v>
      </c>
      <c r="D2504" s="611">
        <f>-'Progetto del paramento slu'!$G$47*'Progetto del paramento slu'!$G$41*IF(DATI!$G$218="dx",DATI!$E$61,DATI!$E$64*DATI!$E$63)*1000*C2504^2*sezione!$AD$5*(1-sezione!$AD$6)</f>
        <v>-122443.33353371118</v>
      </c>
      <c r="E2504" s="553">
        <f>-'Foglio deposito bis'!$F$88*(C2504-sezione!$AL$37)*IF(ABS(K2504)&lt;'Progetto del paramento slu'!$G$58,ABS(K2504)*'Progetto del paramento slu'!$G$54,'Progetto del paramento slu'!$G$53)</f>
        <v>0</v>
      </c>
      <c r="F2504" s="553">
        <f>-'Foglio deposito bis'!$F$89*(C2504-sezione!$AM$37)*IF(ABS(L2504)&lt;'Progetto del paramento slu'!$G$58,ABS(L2504)*'Progetto del paramento slu'!$G$54,'Progetto del paramento slu'!$G$53)</f>
        <v>22457090.760336827</v>
      </c>
      <c r="G2504" s="553">
        <f>-'Foglio deposito bis'!$F$90*(C2504-sezione!$AN$37)*IF(ABS(M2504)&lt;'Progetto del paramento slu'!$G$58,ABS(M2504)*'Progetto del paramento slu'!$G$54,'Progetto del paramento slu'!$G$53)</f>
        <v>0</v>
      </c>
      <c r="H2504" s="553">
        <f>-'Foglio deposito bis'!$F$91*(C2504-sezione!$AO$37)*IF(ABS(N2504)&lt;'Progetto del paramento slu'!$G$58,ABS(N2504)*'Progetto del paramento slu'!$G$54,'Progetto del paramento slu'!$G$53)</f>
        <v>300003027.29801828</v>
      </c>
      <c r="I2504" s="479">
        <f>-'Foglio deposito bis'!$F$92*(C2504-sezione!$AP$37)*IF(ABS(O2504)&lt;'Progetto del paramento slu'!$G$58,ABS(O2504)*'Progetto del paramento slu'!$G$54,'Progetto del paramento slu'!$G$53)</f>
        <v>425736815.5755834</v>
      </c>
      <c r="J2504" s="479">
        <f t="shared" si="183"/>
        <v>748074490.30040479</v>
      </c>
      <c r="K2504" s="558">
        <f>'Progetto del paramento slu'!$G$60*(sezione!$AL$37-C2504)/C2504</f>
        <v>3.2800544367819318E-2</v>
      </c>
      <c r="L2504" s="558">
        <f>'Progetto del paramento slu'!$G$60*(sezione!$AM$37-C2504)/C2504</f>
        <v>0.13262704137932244</v>
      </c>
      <c r="M2504" s="559">
        <f>'Progetto del paramento slu'!$G$60*(sezione!$AN$37-C2504)/C2504</f>
        <v>0.23245353839082553</v>
      </c>
      <c r="N2504" s="559">
        <f>'Progetto del paramento slu'!$G$60*(sezione!$AO$37-C2504)/C2504</f>
        <v>0.30505462712646414</v>
      </c>
      <c r="O2504" s="559">
        <f>'Progetto del paramento slu'!$G$60*(sezione!$AP$37-C2504)/C2504</f>
        <v>0.23246261352691727</v>
      </c>
      <c r="P2504" s="553">
        <f>-'Progetto del paramento slu'!$G$47*'Progetto del paramento slu'!$G$41*IF(DATI!$G$218="dx",DATI!$E$61,DATI!$E$64*DATI!$E$63)*1000*C2504*sezione!$AD$5</f>
        <v>-54363.498795060907</v>
      </c>
      <c r="Q2504" s="553">
        <f>'Foglio deposito bis'!$F$88*IF(ABS(K2504)&lt;'Progetto del paramento slu'!$G$58,ABS(K2504)*'Progetto del paramento slu'!$G$54,'Progetto del paramento slu'!$G$53)*IF(K2504&lt;0,-1,1)</f>
        <v>0</v>
      </c>
      <c r="R2504" s="553">
        <f>'Foglio deposito bis'!$F$89*IF(ABS(L2504)&lt;'Progetto del paramento slu'!$G$58,ABS(L2504)*'Progetto del paramento slu'!$G$54,'Progetto del paramento slu'!$G$53)*IF(L2504&lt;0,-1,1)</f>
        <v>153664.85805602249</v>
      </c>
      <c r="S2504" s="553">
        <f>'Foglio deposito bis'!$F$90*IF(ABS(M2504)&lt;'Progetto del paramento slu'!$G$58,ABS(M2504)*'Progetto del paramento slu'!$G$54,'Progetto del paramento slu'!$G$53)*IF(M2504&lt;0,-1,1)</f>
        <v>0</v>
      </c>
      <c r="T2504" s="553">
        <f>'Foglio deposito bis'!$F$91*IF(ABS(N2504)&lt;'Progetto del paramento slu'!$G$58,ABS(N2504)*'Progetto del paramento slu'!$G$54,'Progetto del paramento slu'!$G$53)*IF(N2504&lt;0,-1,1)</f>
        <v>892485.49558937876</v>
      </c>
      <c r="U2504" s="553">
        <f>'Foglio deposito bis'!$F$92*IF(ABS(O2504)&lt;'Progetto del paramento slu'!$G$58,ABS(O2504)*'Progetto del paramento slu'!$G$54,'Progetto del paramento slu'!$G$53)*IF(O2504&lt;0,-1,1)</f>
        <v>1662039.1047339395</v>
      </c>
      <c r="V2504" s="479">
        <f t="shared" si="186"/>
        <v>2653825.9595842799</v>
      </c>
      <c r="W2504" s="559"/>
      <c r="X2504" s="559"/>
    </row>
    <row r="2505" spans="1:24" x14ac:dyDescent="0.25">
      <c r="A2505" s="553">
        <f t="shared" si="185"/>
        <v>2650964.7228055922</v>
      </c>
      <c r="B2505" s="3">
        <f t="shared" si="187"/>
        <v>1.0000000000000002</v>
      </c>
      <c r="C2505" s="553">
        <f>'Foglio deposito bis'!$E$163/sezione!$B$247*B2505</f>
        <v>4.0596752368064957</v>
      </c>
      <c r="D2505" s="611">
        <f>-'Progetto del paramento slu'!$G$47*'Progetto del paramento slu'!$G$41*IF(DATI!$G$218="dx",DATI!$E$61,DATI!$E$64*DATI!$E$63)*1000*C2505^2*sezione!$AD$5*(1-sezione!$AD$6)</f>
        <v>-135671.28369386273</v>
      </c>
      <c r="E2505" s="553">
        <f>-'Foglio deposito bis'!$F$88*(C2505-sezione!$AL$37)*IF(ABS(K2505)&lt;'Progetto del paramento slu'!$G$58,ABS(K2505)*'Progetto del paramento slu'!$G$54,'Progetto del paramento slu'!$G$53)</f>
        <v>0</v>
      </c>
      <c r="F2505" s="553">
        <f>-'Foglio deposito bis'!$F$89*(C2505-sezione!$AM$37)*IF(ABS(L2505)&lt;'Progetto del paramento slu'!$G$58,ABS(L2505)*'Progetto del paramento slu'!$G$54,'Progetto del paramento slu'!$G$53)</f>
        <v>22425899.289385956</v>
      </c>
      <c r="G2505" s="553">
        <f>-'Foglio deposito bis'!$F$90*(C2505-sezione!$AN$37)*IF(ABS(M2505)&lt;'Progetto del paramento slu'!$G$58,ABS(M2505)*'Progetto del paramento slu'!$G$54,'Progetto del paramento slu'!$G$53)</f>
        <v>0</v>
      </c>
      <c r="H2505" s="553">
        <f>-'Foglio deposito bis'!$F$91*(C2505-sezione!$AO$37)*IF(ABS(N2505)&lt;'Progetto del paramento slu'!$G$58,ABS(N2505)*'Progetto del paramento slu'!$G$54,'Progetto del paramento slu'!$G$53)</f>
        <v>299821867.23473561</v>
      </c>
      <c r="I2505" s="479">
        <f>-'Foglio deposito bis'!$F$92*(C2505-sezione!$AP$37)*IF(ABS(O2505)&lt;'Progetto del paramento slu'!$G$58,ABS(O2505)*'Progetto del paramento slu'!$G$54,'Progetto del paramento slu'!$G$53)</f>
        <v>425399448.62577879</v>
      </c>
      <c r="J2505" s="479">
        <f t="shared" si="183"/>
        <v>747511543.86620653</v>
      </c>
      <c r="K2505" s="558">
        <f>'Progetto del paramento slu'!$G$60*(sezione!$AL$37-C2505)/C2505</f>
        <v>3.0985517149428345E-2</v>
      </c>
      <c r="L2505" s="558">
        <f>'Progetto del paramento slu'!$G$60*(sezione!$AM$37-C2505)/C2505</f>
        <v>0.12582068931035631</v>
      </c>
      <c r="M2505" s="559">
        <f>'Progetto del paramento slu'!$G$60*(sezione!$AN$37-C2505)/C2505</f>
        <v>0.22065586147128427</v>
      </c>
      <c r="N2505" s="559">
        <f>'Progetto del paramento slu'!$G$60*(sezione!$AO$37-C2505)/C2505</f>
        <v>0.28962689577014095</v>
      </c>
      <c r="O2505" s="559">
        <f>'Progetto del paramento slu'!$G$60*(sezione!$AP$37-C2505)/C2505</f>
        <v>0.22066448285057144</v>
      </c>
      <c r="P2505" s="553">
        <f>-'Progetto del paramento slu'!$G$47*'Progetto del paramento slu'!$G$41*IF(DATI!$G$218="dx",DATI!$E$61,DATI!$E$64*DATI!$E$63)*1000*C2505*sezione!$AD$5</f>
        <v>-57224.735573748309</v>
      </c>
      <c r="Q2505" s="553">
        <f>'Foglio deposito bis'!$F$88*IF(ABS(K2505)&lt;'Progetto del paramento slu'!$G$58,ABS(K2505)*'Progetto del paramento slu'!$G$54,'Progetto del paramento slu'!$G$53)*IF(K2505&lt;0,-1,1)</f>
        <v>0</v>
      </c>
      <c r="R2505" s="553">
        <f>'Foglio deposito bis'!$F$89*IF(ABS(L2505)&lt;'Progetto del paramento slu'!$G$58,ABS(L2505)*'Progetto del paramento slu'!$G$54,'Progetto del paramento slu'!$G$53)*IF(L2505&lt;0,-1,1)</f>
        <v>153664.85805602249</v>
      </c>
      <c r="S2505" s="553">
        <f>'Foglio deposito bis'!$F$90*IF(ABS(M2505)&lt;'Progetto del paramento slu'!$G$58,ABS(M2505)*'Progetto del paramento slu'!$G$54,'Progetto del paramento slu'!$G$53)*IF(M2505&lt;0,-1,1)</f>
        <v>0</v>
      </c>
      <c r="T2505" s="553">
        <f>'Foglio deposito bis'!$F$91*IF(ABS(N2505)&lt;'Progetto del paramento slu'!$G$58,ABS(N2505)*'Progetto del paramento slu'!$G$54,'Progetto del paramento slu'!$G$53)*IF(N2505&lt;0,-1,1)</f>
        <v>892485.49558937876</v>
      </c>
      <c r="U2505" s="553">
        <f>'Foglio deposito bis'!$F$92*IF(ABS(O2505)&lt;'Progetto del paramento slu'!$G$58,ABS(O2505)*'Progetto del paramento slu'!$G$54,'Progetto del paramento slu'!$G$53)*IF(O2505&lt;0,-1,1)</f>
        <v>1662039.1047339395</v>
      </c>
      <c r="V2505" s="479">
        <f t="shared" si="186"/>
        <v>2650964.7228055922</v>
      </c>
      <c r="W2505" s="559"/>
      <c r="X2505" s="559"/>
    </row>
    <row r="2506" spans="1:24" x14ac:dyDescent="0.25">
      <c r="A2506" s="553">
        <f t="shared" si="185"/>
        <v>2648103.486026905</v>
      </c>
      <c r="B2506" s="3">
        <f t="shared" si="187"/>
        <v>1.0500000000000003</v>
      </c>
      <c r="C2506" s="553">
        <f>'Foglio deposito bis'!$E$163/sezione!$B$247*B2506</f>
        <v>4.2626589986468204</v>
      </c>
      <c r="D2506" s="611">
        <f>-'Progetto del paramento slu'!$G$47*'Progetto del paramento slu'!$G$41*IF(DATI!$G$218="dx",DATI!$E$61,DATI!$E$64*DATI!$E$63)*1000*C2506^2*sezione!$AD$5*(1-sezione!$AD$6)</f>
        <v>-149577.59027248368</v>
      </c>
      <c r="E2506" s="553">
        <f>-'Foglio deposito bis'!$F$88*(C2506-sezione!$AL$37)*IF(ABS(K2506)&lt;'Progetto del paramento slu'!$G$58,ABS(K2506)*'Progetto del paramento slu'!$G$54,'Progetto del paramento slu'!$G$53)</f>
        <v>0</v>
      </c>
      <c r="F2506" s="553">
        <f>-'Foglio deposito bis'!$F$89*(C2506-sezione!$AM$37)*IF(ABS(L2506)&lt;'Progetto del paramento slu'!$G$58,ABS(L2506)*'Progetto del paramento slu'!$G$54,'Progetto del paramento slu'!$G$53)</f>
        <v>22394707.818435084</v>
      </c>
      <c r="G2506" s="553">
        <f>-'Foglio deposito bis'!$F$90*(C2506-sezione!$AN$37)*IF(ABS(M2506)&lt;'Progetto del paramento slu'!$G$58,ABS(M2506)*'Progetto del paramento slu'!$G$54,'Progetto del paramento slu'!$G$53)</f>
        <v>0</v>
      </c>
      <c r="H2506" s="553">
        <f>-'Foglio deposito bis'!$F$91*(C2506-sezione!$AO$37)*IF(ABS(N2506)&lt;'Progetto del paramento slu'!$G$58,ABS(N2506)*'Progetto del paramento slu'!$G$54,'Progetto del paramento slu'!$G$53)</f>
        <v>299640707.17145294</v>
      </c>
      <c r="I2506" s="479">
        <f>-'Foglio deposito bis'!$F$92*(C2506-sezione!$AP$37)*IF(ABS(O2506)&lt;'Progetto del paramento slu'!$G$58,ABS(O2506)*'Progetto del paramento slu'!$G$54,'Progetto del paramento slu'!$G$53)</f>
        <v>425062081.67597413</v>
      </c>
      <c r="J2506" s="479">
        <f t="shared" si="183"/>
        <v>746947919.07558966</v>
      </c>
      <c r="K2506" s="558">
        <f>'Progetto del paramento slu'!$G$60*(sezione!$AL$37-C2506)/C2506</f>
        <v>2.9343349666122238E-2</v>
      </c>
      <c r="L2506" s="558">
        <f>'Progetto del paramento slu'!$G$60*(sezione!$AM$37-C2506)/C2506</f>
        <v>0.11966256124795838</v>
      </c>
      <c r="M2506" s="559">
        <f>'Progetto del paramento slu'!$G$60*(sezione!$AN$37-C2506)/C2506</f>
        <v>0.20998177282979452</v>
      </c>
      <c r="N2506" s="559">
        <f>'Progetto del paramento slu'!$G$60*(sezione!$AO$37-C2506)/C2506</f>
        <v>0.27566847216203905</v>
      </c>
      <c r="O2506" s="559">
        <f>'Progetto del paramento slu'!$G$60*(sezione!$AP$37-C2506)/C2506</f>
        <v>0.20998998366721089</v>
      </c>
      <c r="P2506" s="553">
        <f>-'Progetto del paramento slu'!$G$47*'Progetto del paramento slu'!$G$41*IF(DATI!$G$218="dx",DATI!$E$61,DATI!$E$64*DATI!$E$63)*1000*C2506*sezione!$AD$5</f>
        <v>-60085.972352435725</v>
      </c>
      <c r="Q2506" s="553">
        <f>'Foglio deposito bis'!$F$88*IF(ABS(K2506)&lt;'Progetto del paramento slu'!$G$58,ABS(K2506)*'Progetto del paramento slu'!$G$54,'Progetto del paramento slu'!$G$53)*IF(K2506&lt;0,-1,1)</f>
        <v>0</v>
      </c>
      <c r="R2506" s="553">
        <f>'Foglio deposito bis'!$F$89*IF(ABS(L2506)&lt;'Progetto del paramento slu'!$G$58,ABS(L2506)*'Progetto del paramento slu'!$G$54,'Progetto del paramento slu'!$G$53)*IF(L2506&lt;0,-1,1)</f>
        <v>153664.85805602249</v>
      </c>
      <c r="S2506" s="553">
        <f>'Foglio deposito bis'!$F$90*IF(ABS(M2506)&lt;'Progetto del paramento slu'!$G$58,ABS(M2506)*'Progetto del paramento slu'!$G$54,'Progetto del paramento slu'!$G$53)*IF(M2506&lt;0,-1,1)</f>
        <v>0</v>
      </c>
      <c r="T2506" s="553">
        <f>'Foglio deposito bis'!$F$91*IF(ABS(N2506)&lt;'Progetto del paramento slu'!$G$58,ABS(N2506)*'Progetto del paramento slu'!$G$54,'Progetto del paramento slu'!$G$53)*IF(N2506&lt;0,-1,1)</f>
        <v>892485.49558937876</v>
      </c>
      <c r="U2506" s="553">
        <f>'Foglio deposito bis'!$F$92*IF(ABS(O2506)&lt;'Progetto del paramento slu'!$G$58,ABS(O2506)*'Progetto del paramento slu'!$G$54,'Progetto del paramento slu'!$G$53)*IF(O2506&lt;0,-1,1)</f>
        <v>1662039.1047339395</v>
      </c>
      <c r="V2506" s="479">
        <f t="shared" si="186"/>
        <v>2648103.486026905</v>
      </c>
      <c r="W2506" s="559"/>
      <c r="X2506" s="559"/>
    </row>
    <row r="2507" spans="1:24" x14ac:dyDescent="0.25">
      <c r="A2507" s="553">
        <f t="shared" si="185"/>
        <v>2645242.2492482178</v>
      </c>
      <c r="B2507" s="3">
        <f t="shared" si="187"/>
        <v>1.1000000000000003</v>
      </c>
      <c r="C2507" s="553">
        <f>'Foglio deposito bis'!$E$163/sezione!$B$247*B2507</f>
        <v>4.4656427604871451</v>
      </c>
      <c r="D2507" s="611">
        <f>-'Progetto del paramento slu'!$G$47*'Progetto del paramento slu'!$G$41*IF(DATI!$G$218="dx",DATI!$E$61,DATI!$E$64*DATI!$E$63)*1000*C2507^2*sezione!$AD$5*(1-sezione!$AD$6)</f>
        <v>-164162.25326957394</v>
      </c>
      <c r="E2507" s="553">
        <f>-'Foglio deposito bis'!$F$88*(C2507-sezione!$AL$37)*IF(ABS(K2507)&lt;'Progetto del paramento slu'!$G$58,ABS(K2507)*'Progetto del paramento slu'!$G$54,'Progetto del paramento slu'!$G$53)</f>
        <v>0</v>
      </c>
      <c r="F2507" s="553">
        <f>-'Foglio deposito bis'!$F$89*(C2507-sezione!$AM$37)*IF(ABS(L2507)&lt;'Progetto del paramento slu'!$G$58,ABS(L2507)*'Progetto del paramento slu'!$G$54,'Progetto del paramento slu'!$G$53)</f>
        <v>22363516.347484212</v>
      </c>
      <c r="G2507" s="553">
        <f>-'Foglio deposito bis'!$F$90*(C2507-sezione!$AN$37)*IF(ABS(M2507)&lt;'Progetto del paramento slu'!$G$58,ABS(M2507)*'Progetto del paramento slu'!$G$54,'Progetto del paramento slu'!$G$53)</f>
        <v>0</v>
      </c>
      <c r="H2507" s="553">
        <f>-'Foglio deposito bis'!$F$91*(C2507-sezione!$AO$37)*IF(ABS(N2507)&lt;'Progetto del paramento slu'!$G$58,ABS(N2507)*'Progetto del paramento slu'!$G$54,'Progetto del paramento slu'!$G$53)</f>
        <v>299459547.10817027</v>
      </c>
      <c r="I2507" s="479">
        <f>-'Foglio deposito bis'!$F$92*(C2507-sezione!$AP$37)*IF(ABS(O2507)&lt;'Progetto del paramento slu'!$G$58,ABS(O2507)*'Progetto del paramento slu'!$G$54,'Progetto del paramento slu'!$G$53)</f>
        <v>424724714.72616953</v>
      </c>
      <c r="J2507" s="479">
        <f t="shared" si="183"/>
        <v>746383615.92855442</v>
      </c>
      <c r="K2507" s="558">
        <f>'Progetto del paramento slu'!$G$60*(sezione!$AL$37-C2507)/C2507</f>
        <v>2.7850470135843956E-2</v>
      </c>
      <c r="L2507" s="558">
        <f>'Progetto del paramento slu'!$G$60*(sezione!$AM$37-C2507)/C2507</f>
        <v>0.11406426300941483</v>
      </c>
      <c r="M2507" s="559">
        <f>'Progetto del paramento slu'!$G$60*(sezione!$AN$37-C2507)/C2507</f>
        <v>0.20027805588298569</v>
      </c>
      <c r="N2507" s="559">
        <f>'Progetto del paramento slu'!$G$60*(sezione!$AO$37-C2507)/C2507</f>
        <v>0.26297899615467363</v>
      </c>
      <c r="O2507" s="559">
        <f>'Progetto del paramento slu'!$G$60*(sezione!$AP$37-C2507)/C2507</f>
        <v>0.20028589350051945</v>
      </c>
      <c r="P2507" s="553">
        <f>-'Progetto del paramento slu'!$G$47*'Progetto del paramento slu'!$G$41*IF(DATI!$G$218="dx",DATI!$E$61,DATI!$E$64*DATI!$E$63)*1000*C2507*sezione!$AD$5</f>
        <v>-62947.209131123149</v>
      </c>
      <c r="Q2507" s="553">
        <f>'Foglio deposito bis'!$F$88*IF(ABS(K2507)&lt;'Progetto del paramento slu'!$G$58,ABS(K2507)*'Progetto del paramento slu'!$G$54,'Progetto del paramento slu'!$G$53)*IF(K2507&lt;0,-1,1)</f>
        <v>0</v>
      </c>
      <c r="R2507" s="553">
        <f>'Foglio deposito bis'!$F$89*IF(ABS(L2507)&lt;'Progetto del paramento slu'!$G$58,ABS(L2507)*'Progetto del paramento slu'!$G$54,'Progetto del paramento slu'!$G$53)*IF(L2507&lt;0,-1,1)</f>
        <v>153664.85805602249</v>
      </c>
      <c r="S2507" s="553">
        <f>'Foglio deposito bis'!$F$90*IF(ABS(M2507)&lt;'Progetto del paramento slu'!$G$58,ABS(M2507)*'Progetto del paramento slu'!$G$54,'Progetto del paramento slu'!$G$53)*IF(M2507&lt;0,-1,1)</f>
        <v>0</v>
      </c>
      <c r="T2507" s="553">
        <f>'Foglio deposito bis'!$F$91*IF(ABS(N2507)&lt;'Progetto del paramento slu'!$G$58,ABS(N2507)*'Progetto del paramento slu'!$G$54,'Progetto del paramento slu'!$G$53)*IF(N2507&lt;0,-1,1)</f>
        <v>892485.49558937876</v>
      </c>
      <c r="U2507" s="553">
        <f>'Foglio deposito bis'!$F$92*IF(ABS(O2507)&lt;'Progetto del paramento slu'!$G$58,ABS(O2507)*'Progetto del paramento slu'!$G$54,'Progetto del paramento slu'!$G$53)*IF(O2507&lt;0,-1,1)</f>
        <v>1662039.1047339395</v>
      </c>
      <c r="V2507" s="479">
        <f t="shared" si="186"/>
        <v>2645242.2492482178</v>
      </c>
      <c r="W2507" s="559"/>
      <c r="X2507" s="559"/>
    </row>
    <row r="2508" spans="1:24" x14ac:dyDescent="0.25">
      <c r="A2508" s="553">
        <f t="shared" si="185"/>
        <v>2642381.0124695301</v>
      </c>
      <c r="B2508" s="3">
        <f t="shared" si="187"/>
        <v>1.1500000000000004</v>
      </c>
      <c r="C2508" s="553">
        <f>'Foglio deposito bis'!$E$163/sezione!$B$247*B2508</f>
        <v>4.6686265223274708</v>
      </c>
      <c r="D2508" s="611">
        <f>-'Progetto del paramento slu'!$G$47*'Progetto del paramento slu'!$G$41*IF(DATI!$G$218="dx",DATI!$E$61,DATI!$E$64*DATI!$E$63)*1000*C2508^2*sezione!$AD$5*(1-sezione!$AD$6)</f>
        <v>-179425.27268513353</v>
      </c>
      <c r="E2508" s="553">
        <f>-'Foglio deposito bis'!$F$88*(C2508-sezione!$AL$37)*IF(ABS(K2508)&lt;'Progetto del paramento slu'!$G$58,ABS(K2508)*'Progetto del paramento slu'!$G$54,'Progetto del paramento slu'!$G$53)</f>
        <v>0</v>
      </c>
      <c r="F2508" s="553">
        <f>-'Foglio deposito bis'!$F$89*(C2508-sezione!$AM$37)*IF(ABS(L2508)&lt;'Progetto del paramento slu'!$G$58,ABS(L2508)*'Progetto del paramento slu'!$G$54,'Progetto del paramento slu'!$G$53)</f>
        <v>22332324.876533344</v>
      </c>
      <c r="G2508" s="553">
        <f>-'Foglio deposito bis'!$F$90*(C2508-sezione!$AN$37)*IF(ABS(M2508)&lt;'Progetto del paramento slu'!$G$58,ABS(M2508)*'Progetto del paramento slu'!$G$54,'Progetto del paramento slu'!$G$53)</f>
        <v>0</v>
      </c>
      <c r="H2508" s="553">
        <f>-'Foglio deposito bis'!$F$91*(C2508-sezione!$AO$37)*IF(ABS(N2508)&lt;'Progetto del paramento slu'!$G$58,ABS(N2508)*'Progetto del paramento slu'!$G$54,'Progetto del paramento slu'!$G$53)</f>
        <v>299278387.0448876</v>
      </c>
      <c r="I2508" s="479">
        <f>-'Foglio deposito bis'!$F$92*(C2508-sezione!$AP$37)*IF(ABS(O2508)&lt;'Progetto del paramento slu'!$G$58,ABS(O2508)*'Progetto del paramento slu'!$G$54,'Progetto del paramento slu'!$G$53)</f>
        <v>424387347.77636492</v>
      </c>
      <c r="J2508" s="479">
        <f t="shared" si="183"/>
        <v>745818634.4251008</v>
      </c>
      <c r="K2508" s="558">
        <f>'Progetto del paramento slu'!$G$60*(sezione!$AL$37-C2508)/C2508</f>
        <v>2.6487406216894209E-2</v>
      </c>
      <c r="L2508" s="558">
        <f>'Progetto del paramento slu'!$G$60*(sezione!$AM$37-C2508)/C2508</f>
        <v>0.1089527733133533</v>
      </c>
      <c r="M2508" s="559">
        <f>'Progetto del paramento slu'!$G$60*(sezione!$AN$37-C2508)/C2508</f>
        <v>0.19141814040981239</v>
      </c>
      <c r="N2508" s="559">
        <f>'Progetto del paramento slu'!$G$60*(sezione!$AO$37-C2508)/C2508</f>
        <v>0.2513929528436008</v>
      </c>
      <c r="O2508" s="559">
        <f>'Progetto del paramento slu'!$G$60*(sezione!$AP$37-C2508)/C2508</f>
        <v>0.19142563726136644</v>
      </c>
      <c r="P2508" s="553">
        <f>-'Progetto del paramento slu'!$G$47*'Progetto del paramento slu'!$G$41*IF(DATI!$G$218="dx",DATI!$E$61,DATI!$E$64*DATI!$E$63)*1000*C2508*sezione!$AD$5</f>
        <v>-65808.445909810573</v>
      </c>
      <c r="Q2508" s="553">
        <f>'Foglio deposito bis'!$F$88*IF(ABS(K2508)&lt;'Progetto del paramento slu'!$G$58,ABS(K2508)*'Progetto del paramento slu'!$G$54,'Progetto del paramento slu'!$G$53)*IF(K2508&lt;0,-1,1)</f>
        <v>0</v>
      </c>
      <c r="R2508" s="553">
        <f>'Foglio deposito bis'!$F$89*IF(ABS(L2508)&lt;'Progetto del paramento slu'!$G$58,ABS(L2508)*'Progetto del paramento slu'!$G$54,'Progetto del paramento slu'!$G$53)*IF(L2508&lt;0,-1,1)</f>
        <v>153664.85805602249</v>
      </c>
      <c r="S2508" s="553">
        <f>'Foglio deposito bis'!$F$90*IF(ABS(M2508)&lt;'Progetto del paramento slu'!$G$58,ABS(M2508)*'Progetto del paramento slu'!$G$54,'Progetto del paramento slu'!$G$53)*IF(M2508&lt;0,-1,1)</f>
        <v>0</v>
      </c>
      <c r="T2508" s="553">
        <f>'Foglio deposito bis'!$F$91*IF(ABS(N2508)&lt;'Progetto del paramento slu'!$G$58,ABS(N2508)*'Progetto del paramento slu'!$G$54,'Progetto del paramento slu'!$G$53)*IF(N2508&lt;0,-1,1)</f>
        <v>892485.49558937876</v>
      </c>
      <c r="U2508" s="553">
        <f>'Foglio deposito bis'!$F$92*IF(ABS(O2508)&lt;'Progetto del paramento slu'!$G$58,ABS(O2508)*'Progetto del paramento slu'!$G$54,'Progetto del paramento slu'!$G$53)*IF(O2508&lt;0,-1,1)</f>
        <v>1662039.1047339395</v>
      </c>
      <c r="V2508" s="479">
        <f t="shared" si="186"/>
        <v>2642381.0124695301</v>
      </c>
      <c r="W2508" s="559"/>
      <c r="X2508" s="559"/>
    </row>
    <row r="2509" spans="1:24" x14ac:dyDescent="0.25">
      <c r="A2509" s="553">
        <f t="shared" si="185"/>
        <v>2639519.7756908429</v>
      </c>
      <c r="B2509" s="3">
        <f t="shared" si="187"/>
        <v>1.2000000000000004</v>
      </c>
      <c r="C2509" s="553">
        <f>'Foglio deposito bis'!$E$163/sezione!$B$247*B2509</f>
        <v>4.8716102841677955</v>
      </c>
      <c r="D2509" s="611">
        <f>-'Progetto del paramento slu'!$G$47*'Progetto del paramento slu'!$G$41*IF(DATI!$G$218="dx",DATI!$E$61,DATI!$E$64*DATI!$E$63)*1000*C2509^2*sezione!$AD$5*(1-sezione!$AD$6)</f>
        <v>-195366.64851916244</v>
      </c>
      <c r="E2509" s="553">
        <f>-'Foglio deposito bis'!$F$88*(C2509-sezione!$AL$37)*IF(ABS(K2509)&lt;'Progetto del paramento slu'!$G$58,ABS(K2509)*'Progetto del paramento slu'!$G$54,'Progetto del paramento slu'!$G$53)</f>
        <v>0</v>
      </c>
      <c r="F2509" s="553">
        <f>-'Foglio deposito bis'!$F$89*(C2509-sezione!$AM$37)*IF(ABS(L2509)&lt;'Progetto del paramento slu'!$G$58,ABS(L2509)*'Progetto del paramento slu'!$G$54,'Progetto del paramento slu'!$G$53)</f>
        <v>22301133.405582473</v>
      </c>
      <c r="G2509" s="553">
        <f>-'Foglio deposito bis'!$F$90*(C2509-sezione!$AN$37)*IF(ABS(M2509)&lt;'Progetto del paramento slu'!$G$58,ABS(M2509)*'Progetto del paramento slu'!$G$54,'Progetto del paramento slu'!$G$53)</f>
        <v>0</v>
      </c>
      <c r="H2509" s="553">
        <f>-'Foglio deposito bis'!$F$91*(C2509-sezione!$AO$37)*IF(ABS(N2509)&lt;'Progetto del paramento slu'!$G$58,ABS(N2509)*'Progetto del paramento slu'!$G$54,'Progetto del paramento slu'!$G$53)</f>
        <v>299097226.98160499</v>
      </c>
      <c r="I2509" s="479">
        <f>-'Foglio deposito bis'!$F$92*(C2509-sezione!$AP$37)*IF(ABS(O2509)&lt;'Progetto del paramento slu'!$G$58,ABS(O2509)*'Progetto del paramento slu'!$G$54,'Progetto del paramento slu'!$G$53)</f>
        <v>424049980.82656032</v>
      </c>
      <c r="J2509" s="479">
        <f t="shared" si="183"/>
        <v>745252974.5652287</v>
      </c>
      <c r="K2509" s="558">
        <f>'Progetto del paramento slu'!$G$60*(sezione!$AL$37-C2509)/C2509</f>
        <v>2.5237930957856956E-2</v>
      </c>
      <c r="L2509" s="558">
        <f>'Progetto del paramento slu'!$G$60*(sezione!$AM$37-C2509)/C2509</f>
        <v>0.10426724109196359</v>
      </c>
      <c r="M2509" s="559">
        <f>'Progetto del paramento slu'!$G$60*(sezione!$AN$37-C2509)/C2509</f>
        <v>0.18329655122607022</v>
      </c>
      <c r="N2509" s="559">
        <f>'Progetto del paramento slu'!$G$60*(sezione!$AO$37-C2509)/C2509</f>
        <v>0.2407724131417841</v>
      </c>
      <c r="O2509" s="559">
        <f>'Progetto del paramento slu'!$G$60*(sezione!$AP$37-C2509)/C2509</f>
        <v>0.18330373570880951</v>
      </c>
      <c r="P2509" s="553">
        <f>-'Progetto del paramento slu'!$G$47*'Progetto del paramento slu'!$G$41*IF(DATI!$G$218="dx",DATI!$E$61,DATI!$E$64*DATI!$E$63)*1000*C2509*sezione!$AD$5</f>
        <v>-68669.682688497982</v>
      </c>
      <c r="Q2509" s="553">
        <f>'Foglio deposito bis'!$F$88*IF(ABS(K2509)&lt;'Progetto del paramento slu'!$G$58,ABS(K2509)*'Progetto del paramento slu'!$G$54,'Progetto del paramento slu'!$G$53)*IF(K2509&lt;0,-1,1)</f>
        <v>0</v>
      </c>
      <c r="R2509" s="553">
        <f>'Foglio deposito bis'!$F$89*IF(ABS(L2509)&lt;'Progetto del paramento slu'!$G$58,ABS(L2509)*'Progetto del paramento slu'!$G$54,'Progetto del paramento slu'!$G$53)*IF(L2509&lt;0,-1,1)</f>
        <v>153664.85805602249</v>
      </c>
      <c r="S2509" s="553">
        <f>'Foglio deposito bis'!$F$90*IF(ABS(M2509)&lt;'Progetto del paramento slu'!$G$58,ABS(M2509)*'Progetto del paramento slu'!$G$54,'Progetto del paramento slu'!$G$53)*IF(M2509&lt;0,-1,1)</f>
        <v>0</v>
      </c>
      <c r="T2509" s="553">
        <f>'Foglio deposito bis'!$F$91*IF(ABS(N2509)&lt;'Progetto del paramento slu'!$G$58,ABS(N2509)*'Progetto del paramento slu'!$G$54,'Progetto del paramento slu'!$G$53)*IF(N2509&lt;0,-1,1)</f>
        <v>892485.49558937876</v>
      </c>
      <c r="U2509" s="553">
        <f>'Foglio deposito bis'!$F$92*IF(ABS(O2509)&lt;'Progetto del paramento slu'!$G$58,ABS(O2509)*'Progetto del paramento slu'!$G$54,'Progetto del paramento slu'!$G$53)*IF(O2509&lt;0,-1,1)</f>
        <v>1662039.1047339395</v>
      </c>
      <c r="V2509" s="479">
        <f t="shared" si="186"/>
        <v>2639519.7756908429</v>
      </c>
      <c r="W2509" s="559"/>
      <c r="X2509" s="559"/>
    </row>
    <row r="2510" spans="1:24" x14ac:dyDescent="0.25">
      <c r="A2510" s="553">
        <f t="shared" si="185"/>
        <v>2636658.5389121552</v>
      </c>
      <c r="B2510" s="3">
        <f t="shared" si="187"/>
        <v>1.2500000000000004</v>
      </c>
      <c r="C2510" s="553">
        <f>'Foglio deposito bis'!$E$163/sezione!$B$247*B2510</f>
        <v>5.0745940460081203</v>
      </c>
      <c r="D2510" s="611">
        <f>-'Progetto del paramento slu'!$G$47*'Progetto del paramento slu'!$G$41*IF(DATI!$G$218="dx",DATI!$E$61,DATI!$E$64*DATI!$E$63)*1000*C2510^2*sezione!$AD$5*(1-sezione!$AD$6)</f>
        <v>-211986.38077166062</v>
      </c>
      <c r="E2510" s="553">
        <f>-'Foglio deposito bis'!$F$88*(C2510-sezione!$AL$37)*IF(ABS(K2510)&lt;'Progetto del paramento slu'!$G$58,ABS(K2510)*'Progetto del paramento slu'!$G$54,'Progetto del paramento slu'!$G$53)</f>
        <v>0</v>
      </c>
      <c r="F2510" s="553">
        <f>-'Foglio deposito bis'!$F$89*(C2510-sezione!$AM$37)*IF(ABS(L2510)&lt;'Progetto del paramento slu'!$G$58,ABS(L2510)*'Progetto del paramento slu'!$G$54,'Progetto del paramento slu'!$G$53)</f>
        <v>22269941.934631601</v>
      </c>
      <c r="G2510" s="553">
        <f>-'Foglio deposito bis'!$F$90*(C2510-sezione!$AN$37)*IF(ABS(M2510)&lt;'Progetto del paramento slu'!$G$58,ABS(M2510)*'Progetto del paramento slu'!$G$54,'Progetto del paramento slu'!$G$53)</f>
        <v>0</v>
      </c>
      <c r="H2510" s="553">
        <f>-'Foglio deposito bis'!$F$91*(C2510-sezione!$AO$37)*IF(ABS(N2510)&lt;'Progetto del paramento slu'!$G$58,ABS(N2510)*'Progetto del paramento slu'!$G$54,'Progetto del paramento slu'!$G$53)</f>
        <v>298916066.91832232</v>
      </c>
      <c r="I2510" s="479">
        <f>-'Foglio deposito bis'!$F$92*(C2510-sezione!$AP$37)*IF(ABS(O2510)&lt;'Progetto del paramento slu'!$G$58,ABS(O2510)*'Progetto del paramento slu'!$G$54,'Progetto del paramento slu'!$G$53)</f>
        <v>423712613.87675571</v>
      </c>
      <c r="J2510" s="479">
        <f t="shared" si="183"/>
        <v>744686636.34893799</v>
      </c>
      <c r="K2510" s="558">
        <f>'Progetto del paramento slu'!$G$60*(sezione!$AL$37-C2510)/C2510</f>
        <v>2.4088413719542675E-2</v>
      </c>
      <c r="L2510" s="558">
        <f>'Progetto del paramento slu'!$G$60*(sezione!$AM$37-C2510)/C2510</f>
        <v>9.9956551448285039E-2</v>
      </c>
      <c r="M2510" s="559">
        <f>'Progetto del paramento slu'!$G$60*(sezione!$AN$37-C2510)/C2510</f>
        <v>0.1758246891770274</v>
      </c>
      <c r="N2510" s="559">
        <f>'Progetto del paramento slu'!$G$60*(sezione!$AO$37-C2510)/C2510</f>
        <v>0.23100151661611271</v>
      </c>
      <c r="O2510" s="559">
        <f>'Progetto del paramento slu'!$G$60*(sezione!$AP$37-C2510)/C2510</f>
        <v>0.17583158628045714</v>
      </c>
      <c r="P2510" s="553">
        <f>-'Progetto del paramento slu'!$G$47*'Progetto del paramento slu'!$G$41*IF(DATI!$G$218="dx",DATI!$E$61,DATI!$E$64*DATI!$E$63)*1000*C2510*sezione!$AD$5</f>
        <v>-71530.919467185406</v>
      </c>
      <c r="Q2510" s="553">
        <f>'Foglio deposito bis'!$F$88*IF(ABS(K2510)&lt;'Progetto del paramento slu'!$G$58,ABS(K2510)*'Progetto del paramento slu'!$G$54,'Progetto del paramento slu'!$G$53)*IF(K2510&lt;0,-1,1)</f>
        <v>0</v>
      </c>
      <c r="R2510" s="553">
        <f>'Foglio deposito bis'!$F$89*IF(ABS(L2510)&lt;'Progetto del paramento slu'!$G$58,ABS(L2510)*'Progetto del paramento slu'!$G$54,'Progetto del paramento slu'!$G$53)*IF(L2510&lt;0,-1,1)</f>
        <v>153664.85805602249</v>
      </c>
      <c r="S2510" s="553">
        <f>'Foglio deposito bis'!$F$90*IF(ABS(M2510)&lt;'Progetto del paramento slu'!$G$58,ABS(M2510)*'Progetto del paramento slu'!$G$54,'Progetto del paramento slu'!$G$53)*IF(M2510&lt;0,-1,1)</f>
        <v>0</v>
      </c>
      <c r="T2510" s="553">
        <f>'Foglio deposito bis'!$F$91*IF(ABS(N2510)&lt;'Progetto del paramento slu'!$G$58,ABS(N2510)*'Progetto del paramento slu'!$G$54,'Progetto del paramento slu'!$G$53)*IF(N2510&lt;0,-1,1)</f>
        <v>892485.49558937876</v>
      </c>
      <c r="U2510" s="553">
        <f>'Foglio deposito bis'!$F$92*IF(ABS(O2510)&lt;'Progetto del paramento slu'!$G$58,ABS(O2510)*'Progetto del paramento slu'!$G$54,'Progetto del paramento slu'!$G$53)*IF(O2510&lt;0,-1,1)</f>
        <v>1662039.1047339395</v>
      </c>
      <c r="V2510" s="479">
        <f t="shared" si="186"/>
        <v>2636658.5389121552</v>
      </c>
      <c r="W2510" s="559"/>
      <c r="X2510" s="559"/>
    </row>
    <row r="2511" spans="1:24" x14ac:dyDescent="0.25">
      <c r="A2511" s="553">
        <f t="shared" si="185"/>
        <v>2633797.302133468</v>
      </c>
      <c r="B2511" s="3">
        <f t="shared" si="187"/>
        <v>1.3000000000000005</v>
      </c>
      <c r="C2511" s="553">
        <f>'Foglio deposito bis'!$E$163/sezione!$B$247*B2511</f>
        <v>5.277577807848445</v>
      </c>
      <c r="D2511" s="611">
        <f>-'Progetto del paramento slu'!$G$47*'Progetto del paramento slu'!$G$41*IF(DATI!$G$218="dx",DATI!$E$61,DATI!$E$64*DATI!$E$63)*1000*C2511^2*sezione!$AD$5*(1-sezione!$AD$6)</f>
        <v>-229284.46944262812</v>
      </c>
      <c r="E2511" s="553">
        <f>-'Foglio deposito bis'!$F$88*(C2511-sezione!$AL$37)*IF(ABS(K2511)&lt;'Progetto del paramento slu'!$G$58,ABS(K2511)*'Progetto del paramento slu'!$G$54,'Progetto del paramento slu'!$G$53)</f>
        <v>0</v>
      </c>
      <c r="F2511" s="553">
        <f>-'Foglio deposito bis'!$F$89*(C2511-sezione!$AM$37)*IF(ABS(L2511)&lt;'Progetto del paramento slu'!$G$58,ABS(L2511)*'Progetto del paramento slu'!$G$54,'Progetto del paramento slu'!$G$53)</f>
        <v>22238750.463680729</v>
      </c>
      <c r="G2511" s="553">
        <f>-'Foglio deposito bis'!$F$90*(C2511-sezione!$AN$37)*IF(ABS(M2511)&lt;'Progetto del paramento slu'!$G$58,ABS(M2511)*'Progetto del paramento slu'!$G$54,'Progetto del paramento slu'!$G$53)</f>
        <v>0</v>
      </c>
      <c r="H2511" s="553">
        <f>-'Foglio deposito bis'!$F$91*(C2511-sezione!$AO$37)*IF(ABS(N2511)&lt;'Progetto del paramento slu'!$G$58,ABS(N2511)*'Progetto del paramento slu'!$G$54,'Progetto del paramento slu'!$G$53)</f>
        <v>298734906.85503966</v>
      </c>
      <c r="I2511" s="479">
        <f>-'Foglio deposito bis'!$F$92*(C2511-sezione!$AP$37)*IF(ABS(O2511)&lt;'Progetto del paramento slu'!$G$58,ABS(O2511)*'Progetto del paramento slu'!$G$54,'Progetto del paramento slu'!$G$53)</f>
        <v>423375246.92695111</v>
      </c>
      <c r="J2511" s="479">
        <f t="shared" si="183"/>
        <v>744119619.7762289</v>
      </c>
      <c r="K2511" s="558">
        <f>'Progetto del paramento slu'!$G$60*(sezione!$AL$37-C2511)/C2511</f>
        <v>2.302732088417565E-2</v>
      </c>
      <c r="L2511" s="558">
        <f>'Progetto del paramento slu'!$G$60*(sezione!$AM$37-C2511)/C2511</f>
        <v>9.5977453315658698E-2</v>
      </c>
      <c r="M2511" s="559">
        <f>'Progetto del paramento slu'!$G$60*(sezione!$AN$37-C2511)/C2511</f>
        <v>0.16892758574714173</v>
      </c>
      <c r="N2511" s="559">
        <f>'Progetto del paramento slu'!$G$60*(sezione!$AO$37-C2511)/C2511</f>
        <v>0.22198222751549304</v>
      </c>
      <c r="O2511" s="559">
        <f>'Progetto del paramento slu'!$G$60*(sezione!$AP$37-C2511)/C2511</f>
        <v>0.16893421757736263</v>
      </c>
      <c r="P2511" s="553">
        <f>-'Progetto del paramento slu'!$G$47*'Progetto del paramento slu'!$G$41*IF(DATI!$G$218="dx",DATI!$E$61,DATI!$E$64*DATI!$E$63)*1000*C2511*sezione!$AD$5</f>
        <v>-74392.156245872815</v>
      </c>
      <c r="Q2511" s="553">
        <f>'Foglio deposito bis'!$F$88*IF(ABS(K2511)&lt;'Progetto del paramento slu'!$G$58,ABS(K2511)*'Progetto del paramento slu'!$G$54,'Progetto del paramento slu'!$G$53)*IF(K2511&lt;0,-1,1)</f>
        <v>0</v>
      </c>
      <c r="R2511" s="553">
        <f>'Foglio deposito bis'!$F$89*IF(ABS(L2511)&lt;'Progetto del paramento slu'!$G$58,ABS(L2511)*'Progetto del paramento slu'!$G$54,'Progetto del paramento slu'!$G$53)*IF(L2511&lt;0,-1,1)</f>
        <v>153664.85805602249</v>
      </c>
      <c r="S2511" s="553">
        <f>'Foglio deposito bis'!$F$90*IF(ABS(M2511)&lt;'Progetto del paramento slu'!$G$58,ABS(M2511)*'Progetto del paramento slu'!$G$54,'Progetto del paramento slu'!$G$53)*IF(M2511&lt;0,-1,1)</f>
        <v>0</v>
      </c>
      <c r="T2511" s="553">
        <f>'Foglio deposito bis'!$F$91*IF(ABS(N2511)&lt;'Progetto del paramento slu'!$G$58,ABS(N2511)*'Progetto del paramento slu'!$G$54,'Progetto del paramento slu'!$G$53)*IF(N2511&lt;0,-1,1)</f>
        <v>892485.49558937876</v>
      </c>
      <c r="U2511" s="553">
        <f>'Foglio deposito bis'!$F$92*IF(ABS(O2511)&lt;'Progetto del paramento slu'!$G$58,ABS(O2511)*'Progetto del paramento slu'!$G$54,'Progetto del paramento slu'!$G$53)*IF(O2511&lt;0,-1,1)</f>
        <v>1662039.1047339395</v>
      </c>
      <c r="V2511" s="479">
        <f t="shared" si="186"/>
        <v>2633797.302133468</v>
      </c>
      <c r="W2511" s="559"/>
      <c r="X2511" s="559"/>
    </row>
    <row r="2512" spans="1:24" x14ac:dyDescent="0.25">
      <c r="A2512" s="553">
        <f t="shared" si="185"/>
        <v>2630936.0653547803</v>
      </c>
      <c r="B2512" s="3">
        <f t="shared" si="187"/>
        <v>1.3500000000000005</v>
      </c>
      <c r="C2512" s="553">
        <f>'Foglio deposito bis'!$E$163/sezione!$B$247*B2512</f>
        <v>5.4805615696887697</v>
      </c>
      <c r="D2512" s="611">
        <f>-'Progetto del paramento slu'!$G$47*'Progetto del paramento slu'!$G$41*IF(DATI!$G$218="dx",DATI!$E$61,DATI!$E$64*DATI!$E$63)*1000*C2512^2*sezione!$AD$5*(1-sezione!$AD$6)</f>
        <v>-247260.91453206493</v>
      </c>
      <c r="E2512" s="553">
        <f>-'Foglio deposito bis'!$F$88*(C2512-sezione!$AL$37)*IF(ABS(K2512)&lt;'Progetto del paramento slu'!$G$58,ABS(K2512)*'Progetto del paramento slu'!$G$54,'Progetto del paramento slu'!$G$53)</f>
        <v>0</v>
      </c>
      <c r="F2512" s="553">
        <f>-'Foglio deposito bis'!$F$89*(C2512-sezione!$AM$37)*IF(ABS(L2512)&lt;'Progetto del paramento slu'!$G$58,ABS(L2512)*'Progetto del paramento slu'!$G$54,'Progetto del paramento slu'!$G$53)</f>
        <v>22207558.992729858</v>
      </c>
      <c r="G2512" s="553">
        <f>-'Foglio deposito bis'!$F$90*(C2512-sezione!$AN$37)*IF(ABS(M2512)&lt;'Progetto del paramento slu'!$G$58,ABS(M2512)*'Progetto del paramento slu'!$G$54,'Progetto del paramento slu'!$G$53)</f>
        <v>0</v>
      </c>
      <c r="H2512" s="553">
        <f>-'Foglio deposito bis'!$F$91*(C2512-sezione!$AO$37)*IF(ABS(N2512)&lt;'Progetto del paramento slu'!$G$58,ABS(N2512)*'Progetto del paramento slu'!$G$54,'Progetto del paramento slu'!$G$53)</f>
        <v>298553746.79175699</v>
      </c>
      <c r="I2512" s="479">
        <f>-'Foglio deposito bis'!$F$92*(C2512-sezione!$AP$37)*IF(ABS(O2512)&lt;'Progetto del paramento slu'!$G$58,ABS(O2512)*'Progetto del paramento slu'!$G$54,'Progetto del paramento slu'!$G$53)</f>
        <v>423037879.97714651</v>
      </c>
      <c r="J2512" s="479">
        <f t="shared" si="183"/>
        <v>743551924.84710121</v>
      </c>
      <c r="K2512" s="558">
        <f>'Progetto del paramento slu'!$G$60*(sezione!$AL$37-C2512)/C2512</f>
        <v>2.2044827518095073E-2</v>
      </c>
      <c r="L2512" s="558">
        <f>'Progetto del paramento slu'!$G$60*(sezione!$AM$37-C2512)/C2512</f>
        <v>9.229310319285651E-2</v>
      </c>
      <c r="M2512" s="559">
        <f>'Progetto del paramento slu'!$G$60*(sezione!$AN$37-C2512)/C2512</f>
        <v>0.16254137886761796</v>
      </c>
      <c r="N2512" s="559">
        <f>'Progetto del paramento slu'!$G$60*(sezione!$AO$37-C2512)/C2512</f>
        <v>0.21363103390380814</v>
      </c>
      <c r="O2512" s="559">
        <f>'Progetto del paramento slu'!$G$60*(sezione!$AP$37-C2512)/C2512</f>
        <v>0.16254776507449734</v>
      </c>
      <c r="P2512" s="553">
        <f>-'Progetto del paramento slu'!$G$47*'Progetto del paramento slu'!$G$41*IF(DATI!$G$218="dx",DATI!$E$61,DATI!$E$64*DATI!$E$63)*1000*C2512*sezione!$AD$5</f>
        <v>-77253.393024560239</v>
      </c>
      <c r="Q2512" s="553">
        <f>'Foglio deposito bis'!$F$88*IF(ABS(K2512)&lt;'Progetto del paramento slu'!$G$58,ABS(K2512)*'Progetto del paramento slu'!$G$54,'Progetto del paramento slu'!$G$53)*IF(K2512&lt;0,-1,1)</f>
        <v>0</v>
      </c>
      <c r="R2512" s="553">
        <f>'Foglio deposito bis'!$F$89*IF(ABS(L2512)&lt;'Progetto del paramento slu'!$G$58,ABS(L2512)*'Progetto del paramento slu'!$G$54,'Progetto del paramento slu'!$G$53)*IF(L2512&lt;0,-1,1)</f>
        <v>153664.85805602249</v>
      </c>
      <c r="S2512" s="553">
        <f>'Foglio deposito bis'!$F$90*IF(ABS(M2512)&lt;'Progetto del paramento slu'!$G$58,ABS(M2512)*'Progetto del paramento slu'!$G$54,'Progetto del paramento slu'!$G$53)*IF(M2512&lt;0,-1,1)</f>
        <v>0</v>
      </c>
      <c r="T2512" s="553">
        <f>'Foglio deposito bis'!$F$91*IF(ABS(N2512)&lt;'Progetto del paramento slu'!$G$58,ABS(N2512)*'Progetto del paramento slu'!$G$54,'Progetto del paramento slu'!$G$53)*IF(N2512&lt;0,-1,1)</f>
        <v>892485.49558937876</v>
      </c>
      <c r="U2512" s="553">
        <f>'Foglio deposito bis'!$F$92*IF(ABS(O2512)&lt;'Progetto del paramento slu'!$G$58,ABS(O2512)*'Progetto del paramento slu'!$G$54,'Progetto del paramento slu'!$G$53)*IF(O2512&lt;0,-1,1)</f>
        <v>1662039.1047339395</v>
      </c>
      <c r="V2512" s="479">
        <f t="shared" si="186"/>
        <v>2630936.0653547803</v>
      </c>
      <c r="W2512" s="559"/>
      <c r="X2512" s="559"/>
    </row>
    <row r="2513" spans="1:24" x14ac:dyDescent="0.25">
      <c r="A2513" s="553">
        <f t="shared" si="185"/>
        <v>2628074.8285760931</v>
      </c>
      <c r="B2513" s="3">
        <f t="shared" si="187"/>
        <v>1.4000000000000006</v>
      </c>
      <c r="C2513" s="553">
        <f>'Foglio deposito bis'!$E$163/sezione!$B$247*B2513</f>
        <v>5.6835453315290954</v>
      </c>
      <c r="D2513" s="611">
        <f>-'Progetto del paramento slu'!$G$47*'Progetto del paramento slu'!$G$41*IF(DATI!$G$218="dx",DATI!$E$61,DATI!$E$64*DATI!$E$63)*1000*C2513^2*sezione!$AD$5*(1-sezione!$AD$6)</f>
        <v>-265915.71603997116</v>
      </c>
      <c r="E2513" s="553">
        <f>-'Foglio deposito bis'!$F$88*(C2513-sezione!$AL$37)*IF(ABS(K2513)&lt;'Progetto del paramento slu'!$G$58,ABS(K2513)*'Progetto del paramento slu'!$G$54,'Progetto del paramento slu'!$G$53)</f>
        <v>0</v>
      </c>
      <c r="F2513" s="553">
        <f>-'Foglio deposito bis'!$F$89*(C2513-sezione!$AM$37)*IF(ABS(L2513)&lt;'Progetto del paramento slu'!$G$58,ABS(L2513)*'Progetto del paramento slu'!$G$54,'Progetto del paramento slu'!$G$53)</f>
        <v>22176367.521778986</v>
      </c>
      <c r="G2513" s="553">
        <f>-'Foglio deposito bis'!$F$90*(C2513-sezione!$AN$37)*IF(ABS(M2513)&lt;'Progetto del paramento slu'!$G$58,ABS(M2513)*'Progetto del paramento slu'!$G$54,'Progetto del paramento slu'!$G$53)</f>
        <v>0</v>
      </c>
      <c r="H2513" s="553">
        <f>-'Foglio deposito bis'!$F$91*(C2513-sezione!$AO$37)*IF(ABS(N2513)&lt;'Progetto del paramento slu'!$G$58,ABS(N2513)*'Progetto del paramento slu'!$G$54,'Progetto del paramento slu'!$G$53)</f>
        <v>298372586.72847432</v>
      </c>
      <c r="I2513" s="479">
        <f>-'Foglio deposito bis'!$F$92*(C2513-sezione!$AP$37)*IF(ABS(O2513)&lt;'Progetto del paramento slu'!$G$58,ABS(O2513)*'Progetto del paramento slu'!$G$54,'Progetto del paramento slu'!$G$53)</f>
        <v>422700513.02734178</v>
      </c>
      <c r="J2513" s="479">
        <f t="shared" si="183"/>
        <v>742983551.56155515</v>
      </c>
      <c r="K2513" s="558">
        <f>'Progetto del paramento slu'!$G$60*(sezione!$AL$37-C2513)/C2513</f>
        <v>2.1132512249591673E-2</v>
      </c>
      <c r="L2513" s="558">
        <f>'Progetto del paramento slu'!$G$60*(sezione!$AM$37-C2513)/C2513</f>
        <v>8.8871920935968754E-2</v>
      </c>
      <c r="M2513" s="559">
        <f>'Progetto del paramento slu'!$G$60*(sezione!$AN$37-C2513)/C2513</f>
        <v>0.15661132962234586</v>
      </c>
      <c r="N2513" s="559">
        <f>'Progetto del paramento slu'!$G$60*(sezione!$AO$37-C2513)/C2513</f>
        <v>0.20587635412152921</v>
      </c>
      <c r="O2513" s="559">
        <f>'Progetto del paramento slu'!$G$60*(sezione!$AP$37-C2513)/C2513</f>
        <v>0.15661748775040812</v>
      </c>
      <c r="P2513" s="553">
        <f>-'Progetto del paramento slu'!$G$47*'Progetto del paramento slu'!$G$41*IF(DATI!$G$218="dx",DATI!$E$61,DATI!$E$64*DATI!$E$63)*1000*C2513*sezione!$AD$5</f>
        <v>-80114.629803247662</v>
      </c>
      <c r="Q2513" s="553">
        <f>'Foglio deposito bis'!$F$88*IF(ABS(K2513)&lt;'Progetto del paramento slu'!$G$58,ABS(K2513)*'Progetto del paramento slu'!$G$54,'Progetto del paramento slu'!$G$53)*IF(K2513&lt;0,-1,1)</f>
        <v>0</v>
      </c>
      <c r="R2513" s="553">
        <f>'Foglio deposito bis'!$F$89*IF(ABS(L2513)&lt;'Progetto del paramento slu'!$G$58,ABS(L2513)*'Progetto del paramento slu'!$G$54,'Progetto del paramento slu'!$G$53)*IF(L2513&lt;0,-1,1)</f>
        <v>153664.85805602249</v>
      </c>
      <c r="S2513" s="553">
        <f>'Foglio deposito bis'!$F$90*IF(ABS(M2513)&lt;'Progetto del paramento slu'!$G$58,ABS(M2513)*'Progetto del paramento slu'!$G$54,'Progetto del paramento slu'!$G$53)*IF(M2513&lt;0,-1,1)</f>
        <v>0</v>
      </c>
      <c r="T2513" s="553">
        <f>'Foglio deposito bis'!$F$91*IF(ABS(N2513)&lt;'Progetto del paramento slu'!$G$58,ABS(N2513)*'Progetto del paramento slu'!$G$54,'Progetto del paramento slu'!$G$53)*IF(N2513&lt;0,-1,1)</f>
        <v>892485.49558937876</v>
      </c>
      <c r="U2513" s="553">
        <f>'Foglio deposito bis'!$F$92*IF(ABS(O2513)&lt;'Progetto del paramento slu'!$G$58,ABS(O2513)*'Progetto del paramento slu'!$G$54,'Progetto del paramento slu'!$G$53)*IF(O2513&lt;0,-1,1)</f>
        <v>1662039.1047339395</v>
      </c>
      <c r="V2513" s="479">
        <f t="shared" si="186"/>
        <v>2628074.8285760931</v>
      </c>
      <c r="W2513" s="559"/>
      <c r="X2513" s="559"/>
    </row>
    <row r="2514" spans="1:24" x14ac:dyDescent="0.25">
      <c r="A2514" s="553">
        <f t="shared" si="185"/>
        <v>2625213.5917974059</v>
      </c>
      <c r="B2514" s="3">
        <f t="shared" si="187"/>
        <v>1.4500000000000006</v>
      </c>
      <c r="C2514" s="553">
        <f>'Foglio deposito bis'!$E$163/sezione!$B$247*B2514</f>
        <v>5.8865290933694201</v>
      </c>
      <c r="D2514" s="611">
        <f>-'Progetto del paramento slu'!$G$47*'Progetto del paramento slu'!$G$41*IF(DATI!$G$218="dx",DATI!$E$61,DATI!$E$64*DATI!$E$63)*1000*C2514^2*sezione!$AD$5*(1-sezione!$AD$6)</f>
        <v>-285248.87396634655</v>
      </c>
      <c r="E2514" s="553">
        <f>-'Foglio deposito bis'!$F$88*(C2514-sezione!$AL$37)*IF(ABS(K2514)&lt;'Progetto del paramento slu'!$G$58,ABS(K2514)*'Progetto del paramento slu'!$G$54,'Progetto del paramento slu'!$G$53)</f>
        <v>0</v>
      </c>
      <c r="F2514" s="553">
        <f>-'Foglio deposito bis'!$F$89*(C2514-sezione!$AM$37)*IF(ABS(L2514)&lt;'Progetto del paramento slu'!$G$58,ABS(L2514)*'Progetto del paramento slu'!$G$54,'Progetto del paramento slu'!$G$53)</f>
        <v>22145176.050828114</v>
      </c>
      <c r="G2514" s="553">
        <f>-'Foglio deposito bis'!$F$90*(C2514-sezione!$AN$37)*IF(ABS(M2514)&lt;'Progetto del paramento slu'!$G$58,ABS(M2514)*'Progetto del paramento slu'!$G$54,'Progetto del paramento slu'!$G$53)</f>
        <v>0</v>
      </c>
      <c r="H2514" s="553">
        <f>-'Foglio deposito bis'!$F$91*(C2514-sezione!$AO$37)*IF(ABS(N2514)&lt;'Progetto del paramento slu'!$G$58,ABS(N2514)*'Progetto del paramento slu'!$G$54,'Progetto del paramento slu'!$G$53)</f>
        <v>298191426.66519171</v>
      </c>
      <c r="I2514" s="479">
        <f>-'Foglio deposito bis'!$F$92*(C2514-sezione!$AP$37)*IF(ABS(O2514)&lt;'Progetto del paramento slu'!$G$58,ABS(O2514)*'Progetto del paramento slu'!$G$54,'Progetto del paramento slu'!$G$53)</f>
        <v>422363146.07753718</v>
      </c>
      <c r="J2514" s="479">
        <f t="shared" si="183"/>
        <v>742414499.91959071</v>
      </c>
      <c r="K2514" s="558">
        <f>'Progetto del paramento slu'!$G$60*(sezione!$AL$37-C2514)/C2514</f>
        <v>2.0283115275467823E-2</v>
      </c>
      <c r="L2514" s="558">
        <f>'Progetto del paramento slu'!$G$60*(sezione!$AM$37-C2514)/C2514</f>
        <v>8.5686682283004328E-2</v>
      </c>
      <c r="M2514" s="559">
        <f>'Progetto del paramento slu'!$G$60*(sezione!$AN$37-C2514)/C2514</f>
        <v>0.15109024929054085</v>
      </c>
      <c r="N2514" s="559">
        <f>'Progetto del paramento slu'!$G$60*(sezione!$AO$37-C2514)/C2514</f>
        <v>0.1986564798414765</v>
      </c>
      <c r="O2514" s="559">
        <f>'Progetto del paramento slu'!$G$60*(sezione!$AP$37-C2514)/C2514</f>
        <v>0.15109619506935956</v>
      </c>
      <c r="P2514" s="553">
        <f>-'Progetto del paramento slu'!$G$47*'Progetto del paramento slu'!$G$41*IF(DATI!$G$218="dx",DATI!$E$61,DATI!$E$64*DATI!$E$63)*1000*C2514*sezione!$AD$5</f>
        <v>-82975.866581935072</v>
      </c>
      <c r="Q2514" s="553">
        <f>'Foglio deposito bis'!$F$88*IF(ABS(K2514)&lt;'Progetto del paramento slu'!$G$58,ABS(K2514)*'Progetto del paramento slu'!$G$54,'Progetto del paramento slu'!$G$53)*IF(K2514&lt;0,-1,1)</f>
        <v>0</v>
      </c>
      <c r="R2514" s="553">
        <f>'Foglio deposito bis'!$F$89*IF(ABS(L2514)&lt;'Progetto del paramento slu'!$G$58,ABS(L2514)*'Progetto del paramento slu'!$G$54,'Progetto del paramento slu'!$G$53)*IF(L2514&lt;0,-1,1)</f>
        <v>153664.85805602249</v>
      </c>
      <c r="S2514" s="553">
        <f>'Foglio deposito bis'!$F$90*IF(ABS(M2514)&lt;'Progetto del paramento slu'!$G$58,ABS(M2514)*'Progetto del paramento slu'!$G$54,'Progetto del paramento slu'!$G$53)*IF(M2514&lt;0,-1,1)</f>
        <v>0</v>
      </c>
      <c r="T2514" s="553">
        <f>'Foglio deposito bis'!$F$91*IF(ABS(N2514)&lt;'Progetto del paramento slu'!$G$58,ABS(N2514)*'Progetto del paramento slu'!$G$54,'Progetto del paramento slu'!$G$53)*IF(N2514&lt;0,-1,1)</f>
        <v>892485.49558937876</v>
      </c>
      <c r="U2514" s="553">
        <f>'Foglio deposito bis'!$F$92*IF(ABS(O2514)&lt;'Progetto del paramento slu'!$G$58,ABS(O2514)*'Progetto del paramento slu'!$G$54,'Progetto del paramento slu'!$G$53)*IF(O2514&lt;0,-1,1)</f>
        <v>1662039.1047339395</v>
      </c>
      <c r="V2514" s="479">
        <f t="shared" si="186"/>
        <v>2625213.5917974059</v>
      </c>
      <c r="W2514" s="559"/>
      <c r="X2514" s="559"/>
    </row>
    <row r="2515" spans="1:24" x14ac:dyDescent="0.25">
      <c r="A2515" s="553">
        <f t="shared" si="185"/>
        <v>2622352.3550187182</v>
      </c>
      <c r="B2515" s="3">
        <f t="shared" si="187"/>
        <v>1.5000000000000007</v>
      </c>
      <c r="C2515" s="553">
        <f>'Foglio deposito bis'!$E$163/sezione!$B$247*B2515</f>
        <v>6.0895128552097448</v>
      </c>
      <c r="D2515" s="611">
        <f>-'Progetto del paramento slu'!$G$47*'Progetto del paramento slu'!$G$41*IF(DATI!$G$218="dx",DATI!$E$61,DATI!$E$64*DATI!$E$63)*1000*C2515^2*sezione!$AD$5*(1-sezione!$AD$6)</f>
        <v>-305260.38831119129</v>
      </c>
      <c r="E2515" s="553">
        <f>-'Foglio deposito bis'!$F$88*(C2515-sezione!$AL$37)*IF(ABS(K2515)&lt;'Progetto del paramento slu'!$G$58,ABS(K2515)*'Progetto del paramento slu'!$G$54,'Progetto del paramento slu'!$G$53)</f>
        <v>0</v>
      </c>
      <c r="F2515" s="553">
        <f>-'Foglio deposito bis'!$F$89*(C2515-sezione!$AM$37)*IF(ABS(L2515)&lt;'Progetto del paramento slu'!$G$58,ABS(L2515)*'Progetto del paramento slu'!$G$54,'Progetto del paramento slu'!$G$53)</f>
        <v>22113984.579877246</v>
      </c>
      <c r="G2515" s="553">
        <f>-'Foglio deposito bis'!$F$90*(C2515-sezione!$AN$37)*IF(ABS(M2515)&lt;'Progetto del paramento slu'!$G$58,ABS(M2515)*'Progetto del paramento slu'!$G$54,'Progetto del paramento slu'!$G$53)</f>
        <v>0</v>
      </c>
      <c r="H2515" s="553">
        <f>-'Foglio deposito bis'!$F$91*(C2515-sezione!$AO$37)*IF(ABS(N2515)&lt;'Progetto del paramento slu'!$G$58,ABS(N2515)*'Progetto del paramento slu'!$G$54,'Progetto del paramento slu'!$G$53)</f>
        <v>298010266.60190898</v>
      </c>
      <c r="I2515" s="479">
        <f>-'Foglio deposito bis'!$F$92*(C2515-sezione!$AP$37)*IF(ABS(O2515)&lt;'Progetto del paramento slu'!$G$58,ABS(O2515)*'Progetto del paramento slu'!$G$54,'Progetto del paramento slu'!$G$53)</f>
        <v>422025779.12773263</v>
      </c>
      <c r="J2515" s="479">
        <f t="shared" si="183"/>
        <v>741844769.92120767</v>
      </c>
      <c r="K2515" s="558">
        <f>'Progetto del paramento slu'!$G$60*(sezione!$AL$37-C2515)/C2515</f>
        <v>1.9490344766285559E-2</v>
      </c>
      <c r="L2515" s="558">
        <f>'Progetto del paramento slu'!$G$60*(sezione!$AM$37-C2515)/C2515</f>
        <v>8.2713792873570863E-2</v>
      </c>
      <c r="M2515" s="559">
        <f>'Progetto del paramento slu'!$G$60*(sezione!$AN$37-C2515)/C2515</f>
        <v>0.14593724098085614</v>
      </c>
      <c r="N2515" s="559">
        <f>'Progetto del paramento slu'!$G$60*(sezione!$AO$37-C2515)/C2515</f>
        <v>0.19191793051342729</v>
      </c>
      <c r="O2515" s="559">
        <f>'Progetto del paramento slu'!$G$60*(sezione!$AP$37-C2515)/C2515</f>
        <v>0.1459429885670476</v>
      </c>
      <c r="P2515" s="553">
        <f>-'Progetto del paramento slu'!$G$47*'Progetto del paramento slu'!$G$41*IF(DATI!$G$218="dx",DATI!$E$61,DATI!$E$64*DATI!$E$63)*1000*C2515*sezione!$AD$5</f>
        <v>-85837.103360622496</v>
      </c>
      <c r="Q2515" s="553">
        <f>'Foglio deposito bis'!$F$88*IF(ABS(K2515)&lt;'Progetto del paramento slu'!$G$58,ABS(K2515)*'Progetto del paramento slu'!$G$54,'Progetto del paramento slu'!$G$53)*IF(K2515&lt;0,-1,1)</f>
        <v>0</v>
      </c>
      <c r="R2515" s="553">
        <f>'Foglio deposito bis'!$F$89*IF(ABS(L2515)&lt;'Progetto del paramento slu'!$G$58,ABS(L2515)*'Progetto del paramento slu'!$G$54,'Progetto del paramento slu'!$G$53)*IF(L2515&lt;0,-1,1)</f>
        <v>153664.85805602249</v>
      </c>
      <c r="S2515" s="553">
        <f>'Foglio deposito bis'!$F$90*IF(ABS(M2515)&lt;'Progetto del paramento slu'!$G$58,ABS(M2515)*'Progetto del paramento slu'!$G$54,'Progetto del paramento slu'!$G$53)*IF(M2515&lt;0,-1,1)</f>
        <v>0</v>
      </c>
      <c r="T2515" s="553">
        <f>'Foglio deposito bis'!$F$91*IF(ABS(N2515)&lt;'Progetto del paramento slu'!$G$58,ABS(N2515)*'Progetto del paramento slu'!$G$54,'Progetto del paramento slu'!$G$53)*IF(N2515&lt;0,-1,1)</f>
        <v>892485.49558937876</v>
      </c>
      <c r="U2515" s="553">
        <f>'Foglio deposito bis'!$F$92*IF(ABS(O2515)&lt;'Progetto del paramento slu'!$G$58,ABS(O2515)*'Progetto del paramento slu'!$G$54,'Progetto del paramento slu'!$G$53)*IF(O2515&lt;0,-1,1)</f>
        <v>1662039.1047339395</v>
      </c>
      <c r="V2515" s="479">
        <f t="shared" si="186"/>
        <v>2622352.3550187182</v>
      </c>
      <c r="W2515" s="559"/>
      <c r="X2515" s="559"/>
    </row>
    <row r="2516" spans="1:24" x14ac:dyDescent="0.25">
      <c r="A2516" s="553">
        <f t="shared" si="185"/>
        <v>2619491.1182400309</v>
      </c>
      <c r="B2516" s="3">
        <f t="shared" si="187"/>
        <v>1.5500000000000007</v>
      </c>
      <c r="C2516" s="553">
        <f>'Foglio deposito bis'!$E$163/sezione!$B$247*B2516</f>
        <v>6.2924966170500696</v>
      </c>
      <c r="D2516" s="611">
        <f>-'Progetto del paramento slu'!$G$47*'Progetto del paramento slu'!$G$41*IF(DATI!$G$218="dx",DATI!$E$61,DATI!$E$64*DATI!$E$63)*1000*C2516^2*sezione!$AD$5*(1-sezione!$AD$6)</f>
        <v>-325950.2590745053</v>
      </c>
      <c r="E2516" s="553">
        <f>-'Foglio deposito bis'!$F$88*(C2516-sezione!$AL$37)*IF(ABS(K2516)&lt;'Progetto del paramento slu'!$G$58,ABS(K2516)*'Progetto del paramento slu'!$G$54,'Progetto del paramento slu'!$G$53)</f>
        <v>0</v>
      </c>
      <c r="F2516" s="553">
        <f>-'Foglio deposito bis'!$F$89*(C2516-sezione!$AM$37)*IF(ABS(L2516)&lt;'Progetto del paramento slu'!$G$58,ABS(L2516)*'Progetto del paramento slu'!$G$54,'Progetto del paramento slu'!$G$53)</f>
        <v>22082793.108926374</v>
      </c>
      <c r="G2516" s="553">
        <f>-'Foglio deposito bis'!$F$90*(C2516-sezione!$AN$37)*IF(ABS(M2516)&lt;'Progetto del paramento slu'!$G$58,ABS(M2516)*'Progetto del paramento slu'!$G$54,'Progetto del paramento slu'!$G$53)</f>
        <v>0</v>
      </c>
      <c r="H2516" s="553">
        <f>-'Foglio deposito bis'!$F$91*(C2516-sezione!$AO$37)*IF(ABS(N2516)&lt;'Progetto del paramento slu'!$G$58,ABS(N2516)*'Progetto del paramento slu'!$G$54,'Progetto del paramento slu'!$G$53)</f>
        <v>297829106.53862637</v>
      </c>
      <c r="I2516" s="479">
        <f>-'Foglio deposito bis'!$F$92*(C2516-sezione!$AP$37)*IF(ABS(O2516)&lt;'Progetto del paramento slu'!$G$58,ABS(O2516)*'Progetto del paramento slu'!$G$54,'Progetto del paramento slu'!$G$53)</f>
        <v>421688412.17792791</v>
      </c>
      <c r="J2516" s="479">
        <f t="shared" si="183"/>
        <v>741274361.56640613</v>
      </c>
      <c r="K2516" s="558">
        <f>'Progetto del paramento slu'!$G$60*(sezione!$AL$37-C2516)/C2516</f>
        <v>1.8748720741566673E-2</v>
      </c>
      <c r="L2516" s="558">
        <f>'Progetto del paramento slu'!$G$60*(sezione!$AM$37-C2516)/C2516</f>
        <v>7.993270278087504E-2</v>
      </c>
      <c r="M2516" s="559">
        <f>'Progetto del paramento slu'!$G$60*(sezione!$AN$37-C2516)/C2516</f>
        <v>0.14111668482018339</v>
      </c>
      <c r="N2516" s="559">
        <f>'Progetto del paramento slu'!$G$60*(sezione!$AO$37-C2516)/C2516</f>
        <v>0.18561412630331672</v>
      </c>
      <c r="O2516" s="559">
        <f>'Progetto del paramento slu'!$G$60*(sezione!$AP$37-C2516)/C2516</f>
        <v>0.14112224700036863</v>
      </c>
      <c r="P2516" s="553">
        <f>-'Progetto del paramento slu'!$G$47*'Progetto del paramento slu'!$G$41*IF(DATI!$G$218="dx",DATI!$E$61,DATI!$E$64*DATI!$E$63)*1000*C2516*sezione!$AD$5</f>
        <v>-88698.340139309905</v>
      </c>
      <c r="Q2516" s="553">
        <f>'Foglio deposito bis'!$F$88*IF(ABS(K2516)&lt;'Progetto del paramento slu'!$G$58,ABS(K2516)*'Progetto del paramento slu'!$G$54,'Progetto del paramento slu'!$G$53)*IF(K2516&lt;0,-1,1)</f>
        <v>0</v>
      </c>
      <c r="R2516" s="553">
        <f>'Foglio deposito bis'!$F$89*IF(ABS(L2516)&lt;'Progetto del paramento slu'!$G$58,ABS(L2516)*'Progetto del paramento slu'!$G$54,'Progetto del paramento slu'!$G$53)*IF(L2516&lt;0,-1,1)</f>
        <v>153664.85805602249</v>
      </c>
      <c r="S2516" s="553">
        <f>'Foglio deposito bis'!$F$90*IF(ABS(M2516)&lt;'Progetto del paramento slu'!$G$58,ABS(M2516)*'Progetto del paramento slu'!$G$54,'Progetto del paramento slu'!$G$53)*IF(M2516&lt;0,-1,1)</f>
        <v>0</v>
      </c>
      <c r="T2516" s="553">
        <f>'Foglio deposito bis'!$F$91*IF(ABS(N2516)&lt;'Progetto del paramento slu'!$G$58,ABS(N2516)*'Progetto del paramento slu'!$G$54,'Progetto del paramento slu'!$G$53)*IF(N2516&lt;0,-1,1)</f>
        <v>892485.49558937876</v>
      </c>
      <c r="U2516" s="553">
        <f>'Foglio deposito bis'!$F$92*IF(ABS(O2516)&lt;'Progetto del paramento slu'!$G$58,ABS(O2516)*'Progetto del paramento slu'!$G$54,'Progetto del paramento slu'!$G$53)*IF(O2516&lt;0,-1,1)</f>
        <v>1662039.1047339395</v>
      </c>
      <c r="V2516" s="479">
        <f t="shared" si="186"/>
        <v>2619491.1182400309</v>
      </c>
      <c r="W2516" s="559"/>
      <c r="X2516" s="559"/>
    </row>
    <row r="2517" spans="1:24" x14ac:dyDescent="0.25">
      <c r="A2517" s="553">
        <f t="shared" si="185"/>
        <v>2616629.8814613437</v>
      </c>
      <c r="B2517" s="3">
        <f t="shared" si="187"/>
        <v>1.6000000000000008</v>
      </c>
      <c r="C2517" s="553">
        <f>'Foglio deposito bis'!$E$163/sezione!$B$247*B2517</f>
        <v>6.4954803788903943</v>
      </c>
      <c r="D2517" s="611">
        <f>-'Progetto del paramento slu'!$G$47*'Progetto del paramento slu'!$G$41*IF(DATI!$G$218="dx",DATI!$E$61,DATI!$E$64*DATI!$E$63)*1000*C2517^2*sezione!$AD$5*(1-sezione!$AD$6)</f>
        <v>-347318.48625628871</v>
      </c>
      <c r="E2517" s="553">
        <f>-'Foglio deposito bis'!$F$88*(C2517-sezione!$AL$37)*IF(ABS(K2517)&lt;'Progetto del paramento slu'!$G$58,ABS(K2517)*'Progetto del paramento slu'!$G$54,'Progetto del paramento slu'!$G$53)</f>
        <v>0</v>
      </c>
      <c r="F2517" s="553">
        <f>-'Foglio deposito bis'!$F$89*(C2517-sezione!$AM$37)*IF(ABS(L2517)&lt;'Progetto del paramento slu'!$G$58,ABS(L2517)*'Progetto del paramento slu'!$G$54,'Progetto del paramento slu'!$G$53)</f>
        <v>22051601.637975503</v>
      </c>
      <c r="G2517" s="553">
        <f>-'Foglio deposito bis'!$F$90*(C2517-sezione!$AN$37)*IF(ABS(M2517)&lt;'Progetto del paramento slu'!$G$58,ABS(M2517)*'Progetto del paramento slu'!$G$54,'Progetto del paramento slu'!$G$53)</f>
        <v>0</v>
      </c>
      <c r="H2517" s="553">
        <f>-'Foglio deposito bis'!$F$91*(C2517-sezione!$AO$37)*IF(ABS(N2517)&lt;'Progetto del paramento slu'!$G$58,ABS(N2517)*'Progetto del paramento slu'!$G$54,'Progetto del paramento slu'!$G$53)</f>
        <v>297647946.47534364</v>
      </c>
      <c r="I2517" s="479">
        <f>-'Foglio deposito bis'!$F$92*(C2517-sezione!$AP$37)*IF(ABS(O2517)&lt;'Progetto del paramento slu'!$G$58,ABS(O2517)*'Progetto del paramento slu'!$G$54,'Progetto del paramento slu'!$G$53)</f>
        <v>421351045.22812331</v>
      </c>
      <c r="J2517" s="479">
        <f t="shared" si="183"/>
        <v>740703274.85518622</v>
      </c>
      <c r="K2517" s="558">
        <f>'Progetto del paramento slu'!$G$60*(sezione!$AL$37-C2517)/C2517</f>
        <v>1.8053448218392717E-2</v>
      </c>
      <c r="L2517" s="558">
        <f>'Progetto del paramento slu'!$G$60*(sezione!$AM$37-C2517)/C2517</f>
        <v>7.7325430818972682E-2</v>
      </c>
      <c r="M2517" s="559">
        <f>'Progetto del paramento slu'!$G$60*(sezione!$AN$37-C2517)/C2517</f>
        <v>0.13659741341955264</v>
      </c>
      <c r="N2517" s="559">
        <f>'Progetto del paramento slu'!$G$60*(sezione!$AO$37-C2517)/C2517</f>
        <v>0.17970430985633806</v>
      </c>
      <c r="O2517" s="559">
        <f>'Progetto del paramento slu'!$G$60*(sezione!$AP$37-C2517)/C2517</f>
        <v>0.13660280178160711</v>
      </c>
      <c r="P2517" s="553">
        <f>-'Progetto del paramento slu'!$G$47*'Progetto del paramento slu'!$G$41*IF(DATI!$G$218="dx",DATI!$E$61,DATI!$E$64*DATI!$E$63)*1000*C2517*sezione!$AD$5</f>
        <v>-91559.576917997329</v>
      </c>
      <c r="Q2517" s="553">
        <f>'Foglio deposito bis'!$F$88*IF(ABS(K2517)&lt;'Progetto del paramento slu'!$G$58,ABS(K2517)*'Progetto del paramento slu'!$G$54,'Progetto del paramento slu'!$G$53)*IF(K2517&lt;0,-1,1)</f>
        <v>0</v>
      </c>
      <c r="R2517" s="553">
        <f>'Foglio deposito bis'!$F$89*IF(ABS(L2517)&lt;'Progetto del paramento slu'!$G$58,ABS(L2517)*'Progetto del paramento slu'!$G$54,'Progetto del paramento slu'!$G$53)*IF(L2517&lt;0,-1,1)</f>
        <v>153664.85805602249</v>
      </c>
      <c r="S2517" s="553">
        <f>'Foglio deposito bis'!$F$90*IF(ABS(M2517)&lt;'Progetto del paramento slu'!$G$58,ABS(M2517)*'Progetto del paramento slu'!$G$54,'Progetto del paramento slu'!$G$53)*IF(M2517&lt;0,-1,1)</f>
        <v>0</v>
      </c>
      <c r="T2517" s="553">
        <f>'Foglio deposito bis'!$F$91*IF(ABS(N2517)&lt;'Progetto del paramento slu'!$G$58,ABS(N2517)*'Progetto del paramento slu'!$G$54,'Progetto del paramento slu'!$G$53)*IF(N2517&lt;0,-1,1)</f>
        <v>892485.49558937876</v>
      </c>
      <c r="U2517" s="553">
        <f>'Foglio deposito bis'!$F$92*IF(ABS(O2517)&lt;'Progetto del paramento slu'!$G$58,ABS(O2517)*'Progetto del paramento slu'!$G$54,'Progetto del paramento slu'!$G$53)*IF(O2517&lt;0,-1,1)</f>
        <v>1662039.1047339395</v>
      </c>
      <c r="V2517" s="479">
        <f t="shared" si="186"/>
        <v>2616629.8814613437</v>
      </c>
      <c r="W2517" s="559"/>
      <c r="X2517" s="559"/>
    </row>
    <row r="2518" spans="1:24" x14ac:dyDescent="0.25">
      <c r="A2518" s="553">
        <f t="shared" si="185"/>
        <v>2613768.644682656</v>
      </c>
      <c r="B2518" s="3">
        <f t="shared" si="187"/>
        <v>1.6500000000000008</v>
      </c>
      <c r="C2518" s="553">
        <f>'Foglio deposito bis'!$E$163/sezione!$B$247*B2518</f>
        <v>6.6984641407307199</v>
      </c>
      <c r="D2518" s="611">
        <f>-'Progetto del paramento slu'!$G$47*'Progetto del paramento slu'!$G$41*IF(DATI!$G$218="dx",DATI!$E$61,DATI!$E$64*DATI!$E$63)*1000*C2518^2*sezione!$AD$5*(1-sezione!$AD$6)</f>
        <v>-369365.06985654158</v>
      </c>
      <c r="E2518" s="553">
        <f>-'Foglio deposito bis'!$F$88*(C2518-sezione!$AL$37)*IF(ABS(K2518)&lt;'Progetto del paramento slu'!$G$58,ABS(K2518)*'Progetto del paramento slu'!$G$54,'Progetto del paramento slu'!$G$53)</f>
        <v>0</v>
      </c>
      <c r="F2518" s="553">
        <f>-'Foglio deposito bis'!$F$89*(C2518-sezione!$AM$37)*IF(ABS(L2518)&lt;'Progetto del paramento slu'!$G$58,ABS(L2518)*'Progetto del paramento slu'!$G$54,'Progetto del paramento slu'!$G$53)</f>
        <v>22020410.167024631</v>
      </c>
      <c r="G2518" s="553">
        <f>-'Foglio deposito bis'!$F$90*(C2518-sezione!$AN$37)*IF(ABS(M2518)&lt;'Progetto del paramento slu'!$G$58,ABS(M2518)*'Progetto del paramento slu'!$G$54,'Progetto del paramento slu'!$G$53)</f>
        <v>0</v>
      </c>
      <c r="H2518" s="553">
        <f>-'Foglio deposito bis'!$F$91*(C2518-sezione!$AO$37)*IF(ABS(N2518)&lt;'Progetto del paramento slu'!$G$58,ABS(N2518)*'Progetto del paramento slu'!$G$54,'Progetto del paramento slu'!$G$53)</f>
        <v>297466786.41206104</v>
      </c>
      <c r="I2518" s="479">
        <f>-'Foglio deposito bis'!$F$92*(C2518-sezione!$AP$37)*IF(ABS(O2518)&lt;'Progetto del paramento slu'!$G$58,ABS(O2518)*'Progetto del paramento slu'!$G$54,'Progetto del paramento slu'!$G$53)</f>
        <v>421013678.2783187</v>
      </c>
      <c r="J2518" s="479">
        <f t="shared" si="183"/>
        <v>740131509.78754783</v>
      </c>
      <c r="K2518" s="558">
        <f>'Progetto del paramento slu'!$G$60*(sezione!$AL$37-C2518)/C2518</f>
        <v>1.7400313423895964E-2</v>
      </c>
      <c r="L2518" s="558">
        <f>'Progetto del paramento slu'!$G$60*(sezione!$AM$37-C2518)/C2518</f>
        <v>7.4876175339609857E-2</v>
      </c>
      <c r="M2518" s="559">
        <f>'Progetto del paramento slu'!$G$60*(sezione!$AN$37-C2518)/C2518</f>
        <v>0.13235203725532374</v>
      </c>
      <c r="N2518" s="559">
        <f>'Progetto del paramento slu'!$G$60*(sezione!$AO$37-C2518)/C2518</f>
        <v>0.1741526641031157</v>
      </c>
      <c r="O2518" s="559">
        <f>'Progetto del paramento slu'!$G$60*(sezione!$AP$37-C2518)/C2518</f>
        <v>0.13235726233367962</v>
      </c>
      <c r="P2518" s="553">
        <f>-'Progetto del paramento slu'!$G$47*'Progetto del paramento slu'!$G$41*IF(DATI!$G$218="dx",DATI!$E$61,DATI!$E$64*DATI!$E$63)*1000*C2518*sezione!$AD$5</f>
        <v>-94420.813696684738</v>
      </c>
      <c r="Q2518" s="553">
        <f>'Foglio deposito bis'!$F$88*IF(ABS(K2518)&lt;'Progetto del paramento slu'!$G$58,ABS(K2518)*'Progetto del paramento slu'!$G$54,'Progetto del paramento slu'!$G$53)*IF(K2518&lt;0,-1,1)</f>
        <v>0</v>
      </c>
      <c r="R2518" s="553">
        <f>'Foglio deposito bis'!$F$89*IF(ABS(L2518)&lt;'Progetto del paramento slu'!$G$58,ABS(L2518)*'Progetto del paramento slu'!$G$54,'Progetto del paramento slu'!$G$53)*IF(L2518&lt;0,-1,1)</f>
        <v>153664.85805602249</v>
      </c>
      <c r="S2518" s="553">
        <f>'Foglio deposito bis'!$F$90*IF(ABS(M2518)&lt;'Progetto del paramento slu'!$G$58,ABS(M2518)*'Progetto del paramento slu'!$G$54,'Progetto del paramento slu'!$G$53)*IF(M2518&lt;0,-1,1)</f>
        <v>0</v>
      </c>
      <c r="T2518" s="553">
        <f>'Foglio deposito bis'!$F$91*IF(ABS(N2518)&lt;'Progetto del paramento slu'!$G$58,ABS(N2518)*'Progetto del paramento slu'!$G$54,'Progetto del paramento slu'!$G$53)*IF(N2518&lt;0,-1,1)</f>
        <v>892485.49558937876</v>
      </c>
      <c r="U2518" s="553">
        <f>'Foglio deposito bis'!$F$92*IF(ABS(O2518)&lt;'Progetto del paramento slu'!$G$58,ABS(O2518)*'Progetto del paramento slu'!$G$54,'Progetto del paramento slu'!$G$53)*IF(O2518&lt;0,-1,1)</f>
        <v>1662039.1047339395</v>
      </c>
      <c r="V2518" s="479">
        <f t="shared" si="186"/>
        <v>2613768.644682656</v>
      </c>
      <c r="W2518" s="559"/>
      <c r="X2518" s="559"/>
    </row>
    <row r="2519" spans="1:24" x14ac:dyDescent="0.25">
      <c r="A2519" s="553">
        <f t="shared" si="185"/>
        <v>2610907.4079039684</v>
      </c>
      <c r="B2519" s="3">
        <f t="shared" si="187"/>
        <v>1.7000000000000008</v>
      </c>
      <c r="C2519" s="553">
        <f>'Foglio deposito bis'!$E$163/sezione!$B$247*B2519</f>
        <v>6.9014479025710447</v>
      </c>
      <c r="D2519" s="611">
        <f>-'Progetto del paramento slu'!$G$47*'Progetto del paramento slu'!$G$41*IF(DATI!$G$218="dx",DATI!$E$61,DATI!$E$64*DATI!$E$63)*1000*C2519^2*sezione!$AD$5*(1-sezione!$AD$6)</f>
        <v>-392090.00987526361</v>
      </c>
      <c r="E2519" s="553">
        <f>-'Foglio deposito bis'!$F$88*(C2519-sezione!$AL$37)*IF(ABS(K2519)&lt;'Progetto del paramento slu'!$G$58,ABS(K2519)*'Progetto del paramento slu'!$G$54,'Progetto del paramento slu'!$G$53)</f>
        <v>0</v>
      </c>
      <c r="F2519" s="553">
        <f>-'Foglio deposito bis'!$F$89*(C2519-sezione!$AM$37)*IF(ABS(L2519)&lt;'Progetto del paramento slu'!$G$58,ABS(L2519)*'Progetto del paramento slu'!$G$54,'Progetto del paramento slu'!$G$53)</f>
        <v>21989218.696073759</v>
      </c>
      <c r="G2519" s="553">
        <f>-'Foglio deposito bis'!$F$90*(C2519-sezione!$AN$37)*IF(ABS(M2519)&lt;'Progetto del paramento slu'!$G$58,ABS(M2519)*'Progetto del paramento slu'!$G$54,'Progetto del paramento slu'!$G$53)</f>
        <v>0</v>
      </c>
      <c r="H2519" s="553">
        <f>-'Foglio deposito bis'!$F$91*(C2519-sezione!$AO$37)*IF(ABS(N2519)&lt;'Progetto del paramento slu'!$G$58,ABS(N2519)*'Progetto del paramento slu'!$G$54,'Progetto del paramento slu'!$G$53)</f>
        <v>297285626.34877843</v>
      </c>
      <c r="I2519" s="479">
        <f>-'Foglio deposito bis'!$F$92*(C2519-sezione!$AP$37)*IF(ABS(O2519)&lt;'Progetto del paramento slu'!$G$58,ABS(O2519)*'Progetto del paramento slu'!$G$54,'Progetto del paramento slu'!$G$53)</f>
        <v>420676311.3285141</v>
      </c>
      <c r="J2519" s="479">
        <f t="shared" si="183"/>
        <v>739559066.36349106</v>
      </c>
      <c r="K2519" s="558">
        <f>'Progetto del paramento slu'!$G$60*(sezione!$AL$37-C2519)/C2519</f>
        <v>1.6785598323193141E-2</v>
      </c>
      <c r="L2519" s="558">
        <f>'Progetto del paramento slu'!$G$60*(sezione!$AM$37-C2519)/C2519</f>
        <v>7.2570993711974285E-2</v>
      </c>
      <c r="M2519" s="559">
        <f>'Progetto del paramento slu'!$G$60*(sezione!$AN$37-C2519)/C2519</f>
        <v>0.12835638910075542</v>
      </c>
      <c r="N2519" s="559">
        <f>'Progetto del paramento slu'!$G$60*(sezione!$AO$37-C2519)/C2519</f>
        <v>0.1689275857471417</v>
      </c>
      <c r="O2519" s="559">
        <f>'Progetto del paramento slu'!$G$60*(sezione!$AP$37-C2519)/C2519</f>
        <v>0.12836146050033609</v>
      </c>
      <c r="P2519" s="553">
        <f>-'Progetto del paramento slu'!$G$47*'Progetto del paramento slu'!$G$41*IF(DATI!$G$218="dx",DATI!$E$61,DATI!$E$64*DATI!$E$63)*1000*C2519*sezione!$AD$5</f>
        <v>-97282.050475372162</v>
      </c>
      <c r="Q2519" s="553">
        <f>'Foglio deposito bis'!$F$88*IF(ABS(K2519)&lt;'Progetto del paramento slu'!$G$58,ABS(K2519)*'Progetto del paramento slu'!$G$54,'Progetto del paramento slu'!$G$53)*IF(K2519&lt;0,-1,1)</f>
        <v>0</v>
      </c>
      <c r="R2519" s="553">
        <f>'Foglio deposito bis'!$F$89*IF(ABS(L2519)&lt;'Progetto del paramento slu'!$G$58,ABS(L2519)*'Progetto del paramento slu'!$G$54,'Progetto del paramento slu'!$G$53)*IF(L2519&lt;0,-1,1)</f>
        <v>153664.85805602249</v>
      </c>
      <c r="S2519" s="553">
        <f>'Foglio deposito bis'!$F$90*IF(ABS(M2519)&lt;'Progetto del paramento slu'!$G$58,ABS(M2519)*'Progetto del paramento slu'!$G$54,'Progetto del paramento slu'!$G$53)*IF(M2519&lt;0,-1,1)</f>
        <v>0</v>
      </c>
      <c r="T2519" s="553">
        <f>'Foglio deposito bis'!$F$91*IF(ABS(N2519)&lt;'Progetto del paramento slu'!$G$58,ABS(N2519)*'Progetto del paramento slu'!$G$54,'Progetto del paramento slu'!$G$53)*IF(N2519&lt;0,-1,1)</f>
        <v>892485.49558937876</v>
      </c>
      <c r="U2519" s="553">
        <f>'Foglio deposito bis'!$F$92*IF(ABS(O2519)&lt;'Progetto del paramento slu'!$G$58,ABS(O2519)*'Progetto del paramento slu'!$G$54,'Progetto del paramento slu'!$G$53)*IF(O2519&lt;0,-1,1)</f>
        <v>1662039.1047339395</v>
      </c>
      <c r="V2519" s="479">
        <f t="shared" si="186"/>
        <v>2610907.4079039684</v>
      </c>
      <c r="W2519" s="559"/>
      <c r="X2519" s="559"/>
    </row>
    <row r="2520" spans="1:24" x14ac:dyDescent="0.25">
      <c r="A2520" s="553">
        <f t="shared" si="185"/>
        <v>2608046.1711252811</v>
      </c>
      <c r="B2520" s="3">
        <f t="shared" si="187"/>
        <v>1.7500000000000009</v>
      </c>
      <c r="C2520" s="553">
        <f>'Foglio deposito bis'!$E$163/sezione!$B$247*B2520</f>
        <v>7.1044316644113694</v>
      </c>
      <c r="D2520" s="611">
        <f>-'Progetto del paramento slu'!$G$47*'Progetto del paramento slu'!$G$41*IF(DATI!$G$218="dx",DATI!$E$61,DATI!$E$64*DATI!$E$63)*1000*C2520^2*sezione!$AD$5*(1-sezione!$AD$6)</f>
        <v>-415493.30631245486</v>
      </c>
      <c r="E2520" s="553">
        <f>-'Foglio deposito bis'!$F$88*(C2520-sezione!$AL$37)*IF(ABS(K2520)&lt;'Progetto del paramento slu'!$G$58,ABS(K2520)*'Progetto del paramento slu'!$G$54,'Progetto del paramento slu'!$G$53)</f>
        <v>0</v>
      </c>
      <c r="F2520" s="553">
        <f>-'Foglio deposito bis'!$F$89*(C2520-sezione!$AM$37)*IF(ABS(L2520)&lt;'Progetto del paramento slu'!$G$58,ABS(L2520)*'Progetto del paramento slu'!$G$54,'Progetto del paramento slu'!$G$53)</f>
        <v>21958027.225122888</v>
      </c>
      <c r="G2520" s="553">
        <f>-'Foglio deposito bis'!$F$90*(C2520-sezione!$AN$37)*IF(ABS(M2520)&lt;'Progetto del paramento slu'!$G$58,ABS(M2520)*'Progetto del paramento slu'!$G$54,'Progetto del paramento slu'!$G$53)</f>
        <v>0</v>
      </c>
      <c r="H2520" s="553">
        <f>-'Foglio deposito bis'!$F$91*(C2520-sezione!$AO$37)*IF(ABS(N2520)&lt;'Progetto del paramento slu'!$G$58,ABS(N2520)*'Progetto del paramento slu'!$G$54,'Progetto del paramento slu'!$G$53)</f>
        <v>297104466.2854957</v>
      </c>
      <c r="I2520" s="479">
        <f>-'Foglio deposito bis'!$F$92*(C2520-sezione!$AP$37)*IF(ABS(O2520)&lt;'Progetto del paramento slu'!$G$58,ABS(O2520)*'Progetto del paramento slu'!$G$54,'Progetto del paramento slu'!$G$53)</f>
        <v>420338944.3787095</v>
      </c>
      <c r="J2520" s="479">
        <f t="shared" si="183"/>
        <v>738985944.58301568</v>
      </c>
      <c r="K2520" s="558">
        <f>'Progetto del paramento slu'!$G$60*(sezione!$AL$37-C2520)/C2520</f>
        <v>1.6206009799673335E-2</v>
      </c>
      <c r="L2520" s="558">
        <f>'Progetto del paramento slu'!$G$60*(sezione!$AM$37-C2520)/C2520</f>
        <v>7.0397536748775011E-2</v>
      </c>
      <c r="M2520" s="559">
        <f>'Progetto del paramento slu'!$G$60*(sezione!$AN$37-C2520)/C2520</f>
        <v>0.12458906369787669</v>
      </c>
      <c r="N2520" s="559">
        <f>'Progetto del paramento slu'!$G$60*(sezione!$AO$37-C2520)/C2520</f>
        <v>0.16400108329722338</v>
      </c>
      <c r="O2520" s="559">
        <f>'Progetto del paramento slu'!$G$60*(sezione!$AP$37-C2520)/C2520</f>
        <v>0.12459399020032649</v>
      </c>
      <c r="P2520" s="553">
        <f>-'Progetto del paramento slu'!$G$47*'Progetto del paramento slu'!$G$41*IF(DATI!$G$218="dx",DATI!$E$61,DATI!$E$64*DATI!$E$63)*1000*C2520*sezione!$AD$5</f>
        <v>-100143.28725405959</v>
      </c>
      <c r="Q2520" s="553">
        <f>'Foglio deposito bis'!$F$88*IF(ABS(K2520)&lt;'Progetto del paramento slu'!$G$58,ABS(K2520)*'Progetto del paramento slu'!$G$54,'Progetto del paramento slu'!$G$53)*IF(K2520&lt;0,-1,1)</f>
        <v>0</v>
      </c>
      <c r="R2520" s="553">
        <f>'Foglio deposito bis'!$F$89*IF(ABS(L2520)&lt;'Progetto del paramento slu'!$G$58,ABS(L2520)*'Progetto del paramento slu'!$G$54,'Progetto del paramento slu'!$G$53)*IF(L2520&lt;0,-1,1)</f>
        <v>153664.85805602249</v>
      </c>
      <c r="S2520" s="553">
        <f>'Foglio deposito bis'!$F$90*IF(ABS(M2520)&lt;'Progetto del paramento slu'!$G$58,ABS(M2520)*'Progetto del paramento slu'!$G$54,'Progetto del paramento slu'!$G$53)*IF(M2520&lt;0,-1,1)</f>
        <v>0</v>
      </c>
      <c r="T2520" s="553">
        <f>'Foglio deposito bis'!$F$91*IF(ABS(N2520)&lt;'Progetto del paramento slu'!$G$58,ABS(N2520)*'Progetto del paramento slu'!$G$54,'Progetto del paramento slu'!$G$53)*IF(N2520&lt;0,-1,1)</f>
        <v>892485.49558937876</v>
      </c>
      <c r="U2520" s="553">
        <f>'Foglio deposito bis'!$F$92*IF(ABS(O2520)&lt;'Progetto del paramento slu'!$G$58,ABS(O2520)*'Progetto del paramento slu'!$G$54,'Progetto del paramento slu'!$G$53)*IF(O2520&lt;0,-1,1)</f>
        <v>1662039.1047339395</v>
      </c>
      <c r="V2520" s="479">
        <f t="shared" si="186"/>
        <v>2608046.1711252811</v>
      </c>
      <c r="W2520" s="559"/>
      <c r="X2520" s="559"/>
    </row>
    <row r="2521" spans="1:24" x14ac:dyDescent="0.25">
      <c r="A2521" s="553">
        <f t="shared" si="185"/>
        <v>2605184.9343465939</v>
      </c>
      <c r="B2521" s="3">
        <f t="shared" si="187"/>
        <v>1.8000000000000009</v>
      </c>
      <c r="C2521" s="553">
        <f>'Foglio deposito bis'!$E$163/sezione!$B$247*B2521</f>
        <v>7.3074154262516942</v>
      </c>
      <c r="D2521" s="611">
        <f>-'Progetto del paramento slu'!$G$47*'Progetto del paramento slu'!$G$41*IF(DATI!$G$218="dx",DATI!$E$61,DATI!$E$64*DATI!$E$63)*1000*C2521^2*sezione!$AD$5*(1-sezione!$AD$6)</f>
        <v>-439574.95916811557</v>
      </c>
      <c r="E2521" s="553">
        <f>-'Foglio deposito bis'!$F$88*(C2521-sezione!$AL$37)*IF(ABS(K2521)&lt;'Progetto del paramento slu'!$G$58,ABS(K2521)*'Progetto del paramento slu'!$G$54,'Progetto del paramento slu'!$G$53)</f>
        <v>0</v>
      </c>
      <c r="F2521" s="553">
        <f>-'Foglio deposito bis'!$F$89*(C2521-sezione!$AM$37)*IF(ABS(L2521)&lt;'Progetto del paramento slu'!$G$58,ABS(L2521)*'Progetto del paramento slu'!$G$54,'Progetto del paramento slu'!$G$53)</f>
        <v>21926835.754172023</v>
      </c>
      <c r="G2521" s="553">
        <f>-'Foglio deposito bis'!$F$90*(C2521-sezione!$AN$37)*IF(ABS(M2521)&lt;'Progetto del paramento slu'!$G$58,ABS(M2521)*'Progetto del paramento slu'!$G$54,'Progetto del paramento slu'!$G$53)</f>
        <v>0</v>
      </c>
      <c r="H2521" s="553">
        <f>-'Foglio deposito bis'!$F$91*(C2521-sezione!$AO$37)*IF(ABS(N2521)&lt;'Progetto del paramento slu'!$G$58,ABS(N2521)*'Progetto del paramento slu'!$G$54,'Progetto del paramento slu'!$G$53)</f>
        <v>296923306.22221309</v>
      </c>
      <c r="I2521" s="479">
        <f>-'Foglio deposito bis'!$F$92*(C2521-sezione!$AP$37)*IF(ABS(O2521)&lt;'Progetto del paramento slu'!$G$58,ABS(O2521)*'Progetto del paramento slu'!$G$54,'Progetto del paramento slu'!$G$53)</f>
        <v>420001577.42890489</v>
      </c>
      <c r="J2521" s="479">
        <f t="shared" si="183"/>
        <v>738412144.44612193</v>
      </c>
      <c r="K2521" s="558">
        <f>'Progetto del paramento slu'!$G$60*(sezione!$AL$37-C2521)/C2521</f>
        <v>1.5658620638571302E-2</v>
      </c>
      <c r="L2521" s="558">
        <f>'Progetto del paramento slu'!$G$60*(sezione!$AM$37-C2521)/C2521</f>
        <v>6.8344827394642385E-2</v>
      </c>
      <c r="M2521" s="559">
        <f>'Progetto del paramento slu'!$G$60*(sezione!$AN$37-C2521)/C2521</f>
        <v>0.12103103415071347</v>
      </c>
      <c r="N2521" s="559">
        <f>'Progetto del paramento slu'!$G$60*(sezione!$AO$37-C2521)/C2521</f>
        <v>0.15934827542785607</v>
      </c>
      <c r="O2521" s="559">
        <f>'Progetto del paramento slu'!$G$60*(sezione!$AP$37-C2521)/C2521</f>
        <v>0.12103582380587299</v>
      </c>
      <c r="P2521" s="553">
        <f>-'Progetto del paramento slu'!$G$47*'Progetto del paramento slu'!$G$41*IF(DATI!$G$218="dx",DATI!$E$61,DATI!$E$64*DATI!$E$63)*1000*C2521*sezione!$AD$5</f>
        <v>-103004.52403274699</v>
      </c>
      <c r="Q2521" s="553">
        <f>'Foglio deposito bis'!$F$88*IF(ABS(K2521)&lt;'Progetto del paramento slu'!$G$58,ABS(K2521)*'Progetto del paramento slu'!$G$54,'Progetto del paramento slu'!$G$53)*IF(K2521&lt;0,-1,1)</f>
        <v>0</v>
      </c>
      <c r="R2521" s="553">
        <f>'Foglio deposito bis'!$F$89*IF(ABS(L2521)&lt;'Progetto del paramento slu'!$G$58,ABS(L2521)*'Progetto del paramento slu'!$G$54,'Progetto del paramento slu'!$G$53)*IF(L2521&lt;0,-1,1)</f>
        <v>153664.85805602249</v>
      </c>
      <c r="S2521" s="553">
        <f>'Foglio deposito bis'!$F$90*IF(ABS(M2521)&lt;'Progetto del paramento slu'!$G$58,ABS(M2521)*'Progetto del paramento slu'!$G$54,'Progetto del paramento slu'!$G$53)*IF(M2521&lt;0,-1,1)</f>
        <v>0</v>
      </c>
      <c r="T2521" s="553">
        <f>'Foglio deposito bis'!$F$91*IF(ABS(N2521)&lt;'Progetto del paramento slu'!$G$58,ABS(N2521)*'Progetto del paramento slu'!$G$54,'Progetto del paramento slu'!$G$53)*IF(N2521&lt;0,-1,1)</f>
        <v>892485.49558937876</v>
      </c>
      <c r="U2521" s="553">
        <f>'Foglio deposito bis'!$F$92*IF(ABS(O2521)&lt;'Progetto del paramento slu'!$G$58,ABS(O2521)*'Progetto del paramento slu'!$G$54,'Progetto del paramento slu'!$G$53)*IF(O2521&lt;0,-1,1)</f>
        <v>1662039.1047339395</v>
      </c>
      <c r="V2521" s="479">
        <f t="shared" si="186"/>
        <v>2605184.9343465939</v>
      </c>
      <c r="W2521" s="559"/>
      <c r="X2521" s="559"/>
    </row>
    <row r="2522" spans="1:24" x14ac:dyDescent="0.25">
      <c r="A2522" s="553">
        <f t="shared" si="185"/>
        <v>2602323.6975679062</v>
      </c>
      <c r="B2522" s="3">
        <f t="shared" si="187"/>
        <v>1.850000000000001</v>
      </c>
      <c r="C2522" s="553">
        <f>'Foglio deposito bis'!$E$163/sezione!$B$247*B2522</f>
        <v>7.5103991880920189</v>
      </c>
      <c r="D2522" s="611">
        <f>-'Progetto del paramento slu'!$G$47*'Progetto del paramento slu'!$G$41*IF(DATI!$G$218="dx",DATI!$E$61,DATI!$E$64*DATI!$E$63)*1000*C2522^2*sezione!$AD$5*(1-sezione!$AD$6)</f>
        <v>-464334.9684422455</v>
      </c>
      <c r="E2522" s="553">
        <f>-'Foglio deposito bis'!$F$88*(C2522-sezione!$AL$37)*IF(ABS(K2522)&lt;'Progetto del paramento slu'!$G$58,ABS(K2522)*'Progetto del paramento slu'!$G$54,'Progetto del paramento slu'!$G$53)</f>
        <v>0</v>
      </c>
      <c r="F2522" s="553">
        <f>-'Foglio deposito bis'!$F$89*(C2522-sezione!$AM$37)*IF(ABS(L2522)&lt;'Progetto del paramento slu'!$G$58,ABS(L2522)*'Progetto del paramento slu'!$G$54,'Progetto del paramento slu'!$G$53)</f>
        <v>21895644.283221148</v>
      </c>
      <c r="G2522" s="553">
        <f>-'Foglio deposito bis'!$F$90*(C2522-sezione!$AN$37)*IF(ABS(M2522)&lt;'Progetto del paramento slu'!$G$58,ABS(M2522)*'Progetto del paramento slu'!$G$54,'Progetto del paramento slu'!$G$53)</f>
        <v>0</v>
      </c>
      <c r="H2522" s="553">
        <f>-'Foglio deposito bis'!$F$91*(C2522-sezione!$AO$37)*IF(ABS(N2522)&lt;'Progetto del paramento slu'!$G$58,ABS(N2522)*'Progetto del paramento slu'!$G$54,'Progetto del paramento slu'!$G$53)</f>
        <v>296742146.15893042</v>
      </c>
      <c r="I2522" s="479">
        <f>-'Foglio deposito bis'!$F$92*(C2522-sezione!$AP$37)*IF(ABS(O2522)&lt;'Progetto del paramento slu'!$G$58,ABS(O2522)*'Progetto del paramento slu'!$G$54,'Progetto del paramento slu'!$G$53)</f>
        <v>419664210.47910023</v>
      </c>
      <c r="J2522" s="479">
        <f t="shared" si="183"/>
        <v>737837665.95280957</v>
      </c>
      <c r="K2522" s="558">
        <f>'Progetto del paramento slu'!$G$60*(sezione!$AL$37-C2522)/C2522</f>
        <v>1.5140820080772078E-2</v>
      </c>
      <c r="L2522" s="558">
        <f>'Progetto del paramento slu'!$G$60*(sezione!$AM$37-C2522)/C2522</f>
        <v>6.6403075302895284E-2</v>
      </c>
      <c r="M2522" s="559">
        <f>'Progetto del paramento slu'!$G$60*(sezione!$AN$37-C2522)/C2522</f>
        <v>0.1176653305250185</v>
      </c>
      <c r="N2522" s="559">
        <f>'Progetto del paramento slu'!$G$60*(sezione!$AO$37-C2522)/C2522</f>
        <v>0.15494697068656263</v>
      </c>
      <c r="O2522" s="559">
        <f>'Progetto del paramento slu'!$G$60*(sezione!$AP$37-C2522)/C2522</f>
        <v>0.11766999073003857</v>
      </c>
      <c r="P2522" s="553">
        <f>-'Progetto del paramento slu'!$G$47*'Progetto del paramento slu'!$G$41*IF(DATI!$G$218="dx",DATI!$E$61,DATI!$E$64*DATI!$E$63)*1000*C2522*sezione!$AD$5</f>
        <v>-105865.7608114344</v>
      </c>
      <c r="Q2522" s="553">
        <f>'Foglio deposito bis'!$F$88*IF(ABS(K2522)&lt;'Progetto del paramento slu'!$G$58,ABS(K2522)*'Progetto del paramento slu'!$G$54,'Progetto del paramento slu'!$G$53)*IF(K2522&lt;0,-1,1)</f>
        <v>0</v>
      </c>
      <c r="R2522" s="553">
        <f>'Foglio deposito bis'!$F$89*IF(ABS(L2522)&lt;'Progetto del paramento slu'!$G$58,ABS(L2522)*'Progetto del paramento slu'!$G$54,'Progetto del paramento slu'!$G$53)*IF(L2522&lt;0,-1,1)</f>
        <v>153664.85805602249</v>
      </c>
      <c r="S2522" s="553">
        <f>'Foglio deposito bis'!$F$90*IF(ABS(M2522)&lt;'Progetto del paramento slu'!$G$58,ABS(M2522)*'Progetto del paramento slu'!$G$54,'Progetto del paramento slu'!$G$53)*IF(M2522&lt;0,-1,1)</f>
        <v>0</v>
      </c>
      <c r="T2522" s="553">
        <f>'Foglio deposito bis'!$F$91*IF(ABS(N2522)&lt;'Progetto del paramento slu'!$G$58,ABS(N2522)*'Progetto del paramento slu'!$G$54,'Progetto del paramento slu'!$G$53)*IF(N2522&lt;0,-1,1)</f>
        <v>892485.49558937876</v>
      </c>
      <c r="U2522" s="553">
        <f>'Foglio deposito bis'!$F$92*IF(ABS(O2522)&lt;'Progetto del paramento slu'!$G$58,ABS(O2522)*'Progetto del paramento slu'!$G$54,'Progetto del paramento slu'!$G$53)*IF(O2522&lt;0,-1,1)</f>
        <v>1662039.1047339395</v>
      </c>
      <c r="V2522" s="479">
        <f t="shared" si="186"/>
        <v>2602323.6975679062</v>
      </c>
      <c r="W2522" s="559"/>
      <c r="X2522" s="559"/>
    </row>
    <row r="2523" spans="1:24" x14ac:dyDescent="0.25">
      <c r="A2523" s="553">
        <f t="shared" si="185"/>
        <v>2599462.460789219</v>
      </c>
      <c r="B2523" s="3">
        <f t="shared" si="187"/>
        <v>1.900000000000001</v>
      </c>
      <c r="C2523" s="553">
        <f>'Foglio deposito bis'!$E$163/sezione!$B$247*B2523</f>
        <v>7.7133829499323445</v>
      </c>
      <c r="D2523" s="611">
        <f>-'Progetto del paramento slu'!$G$47*'Progetto del paramento slu'!$G$41*IF(DATI!$G$218="dx",DATI!$E$61,DATI!$E$64*DATI!$E$63)*1000*C2523^2*sezione!$AD$5*(1-sezione!$AD$6)</f>
        <v>-489773.33413484495</v>
      </c>
      <c r="E2523" s="553">
        <f>-'Foglio deposito bis'!$F$88*(C2523-sezione!$AL$37)*IF(ABS(K2523)&lt;'Progetto del paramento slu'!$G$58,ABS(K2523)*'Progetto del paramento slu'!$G$54,'Progetto del paramento slu'!$G$53)</f>
        <v>0</v>
      </c>
      <c r="F2523" s="553">
        <f>-'Foglio deposito bis'!$F$89*(C2523-sezione!$AM$37)*IF(ABS(L2523)&lt;'Progetto del paramento slu'!$G$58,ABS(L2523)*'Progetto del paramento slu'!$G$54,'Progetto del paramento slu'!$G$53)</f>
        <v>21864452.812270276</v>
      </c>
      <c r="G2523" s="553">
        <f>-'Foglio deposito bis'!$F$90*(C2523-sezione!$AN$37)*IF(ABS(M2523)&lt;'Progetto del paramento slu'!$G$58,ABS(M2523)*'Progetto del paramento slu'!$G$54,'Progetto del paramento slu'!$G$53)</f>
        <v>0</v>
      </c>
      <c r="H2523" s="553">
        <f>-'Foglio deposito bis'!$F$91*(C2523-sezione!$AO$37)*IF(ABS(N2523)&lt;'Progetto del paramento slu'!$G$58,ABS(N2523)*'Progetto del paramento slu'!$G$54,'Progetto del paramento slu'!$G$53)</f>
        <v>296560986.09564775</v>
      </c>
      <c r="I2523" s="479">
        <f>-'Foglio deposito bis'!$F$92*(C2523-sezione!$AP$37)*IF(ABS(O2523)&lt;'Progetto del paramento slu'!$G$58,ABS(O2523)*'Progetto del paramento slu'!$G$54,'Progetto del paramento slu'!$G$53)</f>
        <v>419326843.52929562</v>
      </c>
      <c r="J2523" s="479">
        <f t="shared" si="183"/>
        <v>737262509.10307884</v>
      </c>
      <c r="K2523" s="558">
        <f>'Progetto del paramento slu'!$G$60*(sezione!$AL$37-C2523)/C2523</f>
        <v>1.465027218390965E-2</v>
      </c>
      <c r="L2523" s="558">
        <f>'Progetto del paramento slu'!$G$60*(sezione!$AM$37-C2523)/C2523</f>
        <v>6.4563520689661202E-2</v>
      </c>
      <c r="M2523" s="559">
        <f>'Progetto del paramento slu'!$G$60*(sezione!$AN$37-C2523)/C2523</f>
        <v>0.11447676919541273</v>
      </c>
      <c r="N2523" s="559">
        <f>'Progetto del paramento slu'!$G$60*(sezione!$AO$37-C2523)/C2523</f>
        <v>0.15077731356323204</v>
      </c>
      <c r="O2523" s="559">
        <f>'Progetto del paramento slu'!$G$60*(sezione!$AP$37-C2523)/C2523</f>
        <v>0.11448130676345861</v>
      </c>
      <c r="P2523" s="553">
        <f>-'Progetto del paramento slu'!$G$47*'Progetto del paramento slu'!$G$41*IF(DATI!$G$218="dx",DATI!$E$61,DATI!$E$64*DATI!$E$63)*1000*C2523*sezione!$AD$5</f>
        <v>-108726.99759012183</v>
      </c>
      <c r="Q2523" s="553">
        <f>'Foglio deposito bis'!$F$88*IF(ABS(K2523)&lt;'Progetto del paramento slu'!$G$58,ABS(K2523)*'Progetto del paramento slu'!$G$54,'Progetto del paramento slu'!$G$53)*IF(K2523&lt;0,-1,1)</f>
        <v>0</v>
      </c>
      <c r="R2523" s="553">
        <f>'Foglio deposito bis'!$F$89*IF(ABS(L2523)&lt;'Progetto del paramento slu'!$G$58,ABS(L2523)*'Progetto del paramento slu'!$G$54,'Progetto del paramento slu'!$G$53)*IF(L2523&lt;0,-1,1)</f>
        <v>153664.85805602249</v>
      </c>
      <c r="S2523" s="553">
        <f>'Foglio deposito bis'!$F$90*IF(ABS(M2523)&lt;'Progetto del paramento slu'!$G$58,ABS(M2523)*'Progetto del paramento slu'!$G$54,'Progetto del paramento slu'!$G$53)*IF(M2523&lt;0,-1,1)</f>
        <v>0</v>
      </c>
      <c r="T2523" s="553">
        <f>'Foglio deposito bis'!$F$91*IF(ABS(N2523)&lt;'Progetto del paramento slu'!$G$58,ABS(N2523)*'Progetto del paramento slu'!$G$54,'Progetto del paramento slu'!$G$53)*IF(N2523&lt;0,-1,1)</f>
        <v>892485.49558937876</v>
      </c>
      <c r="U2523" s="553">
        <f>'Foglio deposito bis'!$F$92*IF(ABS(O2523)&lt;'Progetto del paramento slu'!$G$58,ABS(O2523)*'Progetto del paramento slu'!$G$54,'Progetto del paramento slu'!$G$53)*IF(O2523&lt;0,-1,1)</f>
        <v>1662039.1047339395</v>
      </c>
      <c r="V2523" s="479">
        <f t="shared" si="186"/>
        <v>2599462.460789219</v>
      </c>
      <c r="W2523" s="559"/>
      <c r="X2523" s="559"/>
    </row>
    <row r="2524" spans="1:24" x14ac:dyDescent="0.25">
      <c r="A2524" s="553">
        <f t="shared" si="185"/>
        <v>2596601.2240105318</v>
      </c>
      <c r="B2524" s="3">
        <f t="shared" si="187"/>
        <v>1.9500000000000011</v>
      </c>
      <c r="C2524" s="553">
        <f>'Foglio deposito bis'!$E$163/sezione!$B$247*B2524</f>
        <v>7.9163667117726693</v>
      </c>
      <c r="D2524" s="611">
        <f>-'Progetto del paramento slu'!$G$47*'Progetto del paramento slu'!$G$41*IF(DATI!$G$218="dx",DATI!$E$61,DATI!$E$64*DATI!$E$63)*1000*C2524^2*sezione!$AD$5*(1-sezione!$AD$6)</f>
        <v>-515890.0562459135</v>
      </c>
      <c r="E2524" s="553">
        <f>-'Foglio deposito bis'!$F$88*(C2524-sezione!$AL$37)*IF(ABS(K2524)&lt;'Progetto del paramento slu'!$G$58,ABS(K2524)*'Progetto del paramento slu'!$G$54,'Progetto del paramento slu'!$G$53)</f>
        <v>0</v>
      </c>
      <c r="F2524" s="553">
        <f>-'Foglio deposito bis'!$F$89*(C2524-sezione!$AM$37)*IF(ABS(L2524)&lt;'Progetto del paramento slu'!$G$58,ABS(L2524)*'Progetto del paramento slu'!$G$54,'Progetto del paramento slu'!$G$53)</f>
        <v>21833261.341319405</v>
      </c>
      <c r="G2524" s="553">
        <f>-'Foglio deposito bis'!$F$90*(C2524-sezione!$AN$37)*IF(ABS(M2524)&lt;'Progetto del paramento slu'!$G$58,ABS(M2524)*'Progetto del paramento slu'!$G$54,'Progetto del paramento slu'!$G$53)</f>
        <v>0</v>
      </c>
      <c r="H2524" s="553">
        <f>-'Foglio deposito bis'!$F$91*(C2524-sezione!$AO$37)*IF(ABS(N2524)&lt;'Progetto del paramento slu'!$G$58,ABS(N2524)*'Progetto del paramento slu'!$G$54,'Progetto del paramento slu'!$G$53)</f>
        <v>296379826.03236508</v>
      </c>
      <c r="I2524" s="479">
        <f>-'Foglio deposito bis'!$F$92*(C2524-sezione!$AP$37)*IF(ABS(O2524)&lt;'Progetto del paramento slu'!$G$58,ABS(O2524)*'Progetto del paramento slu'!$G$54,'Progetto del paramento slu'!$G$53)</f>
        <v>418989476.57949102</v>
      </c>
      <c r="J2524" s="479">
        <f t="shared" si="183"/>
        <v>736686673.89692962</v>
      </c>
      <c r="K2524" s="558">
        <f>'Progetto del paramento slu'!$G$60*(sezione!$AL$37-C2524)/C2524</f>
        <v>1.4184880589450432E-2</v>
      </c>
      <c r="L2524" s="558">
        <f>'Progetto del paramento slu'!$G$60*(sezione!$AM$37-C2524)/C2524</f>
        <v>6.2818302210439117E-2</v>
      </c>
      <c r="M2524" s="559">
        <f>'Progetto del paramento slu'!$G$60*(sezione!$AN$37-C2524)/C2524</f>
        <v>0.11145172383142779</v>
      </c>
      <c r="N2524" s="559">
        <f>'Progetto del paramento slu'!$G$60*(sezione!$AO$37-C2524)/C2524</f>
        <v>0.14682148501032863</v>
      </c>
      <c r="O2524" s="559">
        <f>'Progetto del paramento slu'!$G$60*(sezione!$AP$37-C2524)/C2524</f>
        <v>0.11145614505157504</v>
      </c>
      <c r="P2524" s="553">
        <f>-'Progetto del paramento slu'!$G$47*'Progetto del paramento slu'!$G$41*IF(DATI!$G$218="dx",DATI!$E$61,DATI!$E$64*DATI!$E$63)*1000*C2524*sezione!$AD$5</f>
        <v>-111588.23436880925</v>
      </c>
      <c r="Q2524" s="553">
        <f>'Foglio deposito bis'!$F$88*IF(ABS(K2524)&lt;'Progetto del paramento slu'!$G$58,ABS(K2524)*'Progetto del paramento slu'!$G$54,'Progetto del paramento slu'!$G$53)*IF(K2524&lt;0,-1,1)</f>
        <v>0</v>
      </c>
      <c r="R2524" s="553">
        <f>'Foglio deposito bis'!$F$89*IF(ABS(L2524)&lt;'Progetto del paramento slu'!$G$58,ABS(L2524)*'Progetto del paramento slu'!$G$54,'Progetto del paramento slu'!$G$53)*IF(L2524&lt;0,-1,1)</f>
        <v>153664.85805602249</v>
      </c>
      <c r="S2524" s="553">
        <f>'Foglio deposito bis'!$F$90*IF(ABS(M2524)&lt;'Progetto del paramento slu'!$G$58,ABS(M2524)*'Progetto del paramento slu'!$G$54,'Progetto del paramento slu'!$G$53)*IF(M2524&lt;0,-1,1)</f>
        <v>0</v>
      </c>
      <c r="T2524" s="553">
        <f>'Foglio deposito bis'!$F$91*IF(ABS(N2524)&lt;'Progetto del paramento slu'!$G$58,ABS(N2524)*'Progetto del paramento slu'!$G$54,'Progetto del paramento slu'!$G$53)*IF(N2524&lt;0,-1,1)</f>
        <v>892485.49558937876</v>
      </c>
      <c r="U2524" s="553">
        <f>'Foglio deposito bis'!$F$92*IF(ABS(O2524)&lt;'Progetto del paramento slu'!$G$58,ABS(O2524)*'Progetto del paramento slu'!$G$54,'Progetto del paramento slu'!$G$53)*IF(O2524&lt;0,-1,1)</f>
        <v>1662039.1047339395</v>
      </c>
      <c r="V2524" s="479">
        <f t="shared" si="186"/>
        <v>2596601.2240105318</v>
      </c>
      <c r="W2524" s="559"/>
      <c r="X2524" s="559"/>
    </row>
    <row r="2525" spans="1:24" x14ac:dyDescent="0.25">
      <c r="A2525" s="553">
        <f t="shared" si="185"/>
        <v>2593739.9872318441</v>
      </c>
      <c r="B2525" s="3">
        <f t="shared" si="187"/>
        <v>2.0000000000000009</v>
      </c>
      <c r="C2525" s="553">
        <f>'Foglio deposito bis'!$E$163/sezione!$B$247*B2525</f>
        <v>8.1193504736129931</v>
      </c>
      <c r="D2525" s="611">
        <f>-'Progetto del paramento slu'!$G$47*'Progetto del paramento slu'!$G$41*IF(DATI!$G$218="dx",DATI!$E$61,DATI!$E$64*DATI!$E$63)*1000*C2525^2*sezione!$AD$5*(1-sezione!$AD$6)</f>
        <v>-542685.13477545115</v>
      </c>
      <c r="E2525" s="553">
        <f>-'Foglio deposito bis'!$F$88*(C2525-sezione!$AL$37)*IF(ABS(K2525)&lt;'Progetto del paramento slu'!$G$58,ABS(K2525)*'Progetto del paramento slu'!$G$54,'Progetto del paramento slu'!$G$53)</f>
        <v>0</v>
      </c>
      <c r="F2525" s="553">
        <f>-'Foglio deposito bis'!$F$89*(C2525-sezione!$AM$37)*IF(ABS(L2525)&lt;'Progetto del paramento slu'!$G$58,ABS(L2525)*'Progetto del paramento slu'!$G$54,'Progetto del paramento slu'!$G$53)</f>
        <v>21802069.870368533</v>
      </c>
      <c r="G2525" s="553">
        <f>-'Foglio deposito bis'!$F$90*(C2525-sezione!$AN$37)*IF(ABS(M2525)&lt;'Progetto del paramento slu'!$G$58,ABS(M2525)*'Progetto del paramento slu'!$G$54,'Progetto del paramento slu'!$G$53)</f>
        <v>0</v>
      </c>
      <c r="H2525" s="553">
        <f>-'Foglio deposito bis'!$F$91*(C2525-sezione!$AO$37)*IF(ABS(N2525)&lt;'Progetto del paramento slu'!$G$58,ABS(N2525)*'Progetto del paramento slu'!$G$54,'Progetto del paramento slu'!$G$53)</f>
        <v>296198665.96908242</v>
      </c>
      <c r="I2525" s="479">
        <f>-'Foglio deposito bis'!$F$92*(C2525-sezione!$AP$37)*IF(ABS(O2525)&lt;'Progetto del paramento slu'!$G$58,ABS(O2525)*'Progetto del paramento slu'!$G$54,'Progetto del paramento slu'!$G$53)</f>
        <v>418652109.62968642</v>
      </c>
      <c r="J2525" s="479">
        <f t="shared" si="183"/>
        <v>736110160.33436191</v>
      </c>
      <c r="K2525" s="558">
        <f>'Progetto del paramento slu'!$G$60*(sezione!$AL$37-C2525)/C2525</f>
        <v>1.3742758574714171E-2</v>
      </c>
      <c r="L2525" s="558">
        <f>'Progetto del paramento slu'!$G$60*(sezione!$AM$37-C2525)/C2525</f>
        <v>6.1160344655178139E-2</v>
      </c>
      <c r="M2525" s="559">
        <f>'Progetto del paramento slu'!$G$60*(sezione!$AN$37-C2525)/C2525</f>
        <v>0.10857793073564211</v>
      </c>
      <c r="N2525" s="559">
        <f>'Progetto del paramento slu'!$G$60*(sezione!$AO$37-C2525)/C2525</f>
        <v>0.14306344788507047</v>
      </c>
      <c r="O2525" s="559">
        <f>'Progetto del paramento slu'!$G$60*(sezione!$AP$37-C2525)/C2525</f>
        <v>0.10858224142528569</v>
      </c>
      <c r="P2525" s="553">
        <f>-'Progetto del paramento slu'!$G$47*'Progetto del paramento slu'!$G$41*IF(DATI!$G$218="dx",DATI!$E$61,DATI!$E$64*DATI!$E$63)*1000*C2525*sezione!$AD$5</f>
        <v>-114449.47114749665</v>
      </c>
      <c r="Q2525" s="553">
        <f>'Foglio deposito bis'!$F$88*IF(ABS(K2525)&lt;'Progetto del paramento slu'!$G$58,ABS(K2525)*'Progetto del paramento slu'!$G$54,'Progetto del paramento slu'!$G$53)*IF(K2525&lt;0,-1,1)</f>
        <v>0</v>
      </c>
      <c r="R2525" s="553">
        <f>'Foglio deposito bis'!$F$89*IF(ABS(L2525)&lt;'Progetto del paramento slu'!$G$58,ABS(L2525)*'Progetto del paramento slu'!$G$54,'Progetto del paramento slu'!$G$53)*IF(L2525&lt;0,-1,1)</f>
        <v>153664.85805602249</v>
      </c>
      <c r="S2525" s="553">
        <f>'Foglio deposito bis'!$F$90*IF(ABS(M2525)&lt;'Progetto del paramento slu'!$G$58,ABS(M2525)*'Progetto del paramento slu'!$G$54,'Progetto del paramento slu'!$G$53)*IF(M2525&lt;0,-1,1)</f>
        <v>0</v>
      </c>
      <c r="T2525" s="553">
        <f>'Foglio deposito bis'!$F$91*IF(ABS(N2525)&lt;'Progetto del paramento slu'!$G$58,ABS(N2525)*'Progetto del paramento slu'!$G$54,'Progetto del paramento slu'!$G$53)*IF(N2525&lt;0,-1,1)</f>
        <v>892485.49558937876</v>
      </c>
      <c r="U2525" s="553">
        <f>'Foglio deposito bis'!$F$92*IF(ABS(O2525)&lt;'Progetto del paramento slu'!$G$58,ABS(O2525)*'Progetto del paramento slu'!$G$54,'Progetto del paramento slu'!$G$53)*IF(O2525&lt;0,-1,1)</f>
        <v>1662039.1047339395</v>
      </c>
      <c r="V2525" s="479">
        <f t="shared" si="186"/>
        <v>2593739.9872318441</v>
      </c>
      <c r="W2525" s="559"/>
      <c r="X2525" s="559"/>
    </row>
    <row r="2526" spans="1:24" x14ac:dyDescent="0.25">
      <c r="A2526" s="553">
        <f t="shared" si="185"/>
        <v>2590878.7504531564</v>
      </c>
      <c r="B2526" s="3">
        <f t="shared" si="187"/>
        <v>2.0500000000000007</v>
      </c>
      <c r="C2526" s="553">
        <f>'Foglio deposito bis'!$E$163/sezione!$B$247*B2526</f>
        <v>8.322334235453317</v>
      </c>
      <c r="D2526" s="611">
        <f>-'Progetto del paramento slu'!$G$47*'Progetto del paramento slu'!$G$41*IF(DATI!$G$218="dx",DATI!$E$61,DATI!$E$64*DATI!$E$63)*1000*C2526^2*sezione!$AD$5*(1-sezione!$AD$6)</f>
        <v>-570158.56972345838</v>
      </c>
      <c r="E2526" s="553">
        <f>-'Foglio deposito bis'!$F$88*(C2526-sezione!$AL$37)*IF(ABS(K2526)&lt;'Progetto del paramento slu'!$G$58,ABS(K2526)*'Progetto del paramento slu'!$G$54,'Progetto del paramento slu'!$G$53)</f>
        <v>0</v>
      </c>
      <c r="F2526" s="553">
        <f>-'Foglio deposito bis'!$F$89*(C2526-sezione!$AM$37)*IF(ABS(L2526)&lt;'Progetto del paramento slu'!$G$58,ABS(L2526)*'Progetto del paramento slu'!$G$54,'Progetto del paramento slu'!$G$53)</f>
        <v>21770878.399417661</v>
      </c>
      <c r="G2526" s="553">
        <f>-'Foglio deposito bis'!$F$90*(C2526-sezione!$AN$37)*IF(ABS(M2526)&lt;'Progetto del paramento slu'!$G$58,ABS(M2526)*'Progetto del paramento slu'!$G$54,'Progetto del paramento slu'!$G$53)</f>
        <v>0</v>
      </c>
      <c r="H2526" s="553">
        <f>-'Foglio deposito bis'!$F$91*(C2526-sezione!$AO$37)*IF(ABS(N2526)&lt;'Progetto del paramento slu'!$G$58,ABS(N2526)*'Progetto del paramento slu'!$G$54,'Progetto del paramento slu'!$G$53)</f>
        <v>296017505.90579981</v>
      </c>
      <c r="I2526" s="479">
        <f>-'Foglio deposito bis'!$F$92*(C2526-sezione!$AP$37)*IF(ABS(O2526)&lt;'Progetto del paramento slu'!$G$58,ABS(O2526)*'Progetto del paramento slu'!$G$54,'Progetto del paramento slu'!$G$53)</f>
        <v>418314742.67988169</v>
      </c>
      <c r="J2526" s="479">
        <f t="shared" si="183"/>
        <v>735532968.41537571</v>
      </c>
      <c r="K2526" s="558">
        <f>'Progetto del paramento slu'!$G$60*(sezione!$AL$37-C2526)/C2526</f>
        <v>1.3322203487526021E-2</v>
      </c>
      <c r="L2526" s="558">
        <f>'Progetto del paramento slu'!$G$60*(sezione!$AM$37-C2526)/C2526</f>
        <v>5.9583263078222579E-2</v>
      </c>
      <c r="M2526" s="559">
        <f>'Progetto del paramento slu'!$G$60*(sezione!$AN$37-C2526)/C2526</f>
        <v>0.10584432266891915</v>
      </c>
      <c r="N2526" s="559">
        <f>'Progetto del paramento slu'!$G$60*(sezione!$AO$37-C2526)/C2526</f>
        <v>0.13948872964397122</v>
      </c>
      <c r="O2526" s="559">
        <f>'Progetto del paramento slu'!$G$60*(sezione!$AP$37-C2526)/C2526</f>
        <v>0.10584852821979092</v>
      </c>
      <c r="P2526" s="553">
        <f>-'Progetto del paramento slu'!$G$47*'Progetto del paramento slu'!$G$41*IF(DATI!$G$218="dx",DATI!$E$61,DATI!$E$64*DATI!$E$63)*1000*C2526*sezione!$AD$5</f>
        <v>-117310.70792618406</v>
      </c>
      <c r="Q2526" s="553">
        <f>'Foglio deposito bis'!$F$88*IF(ABS(K2526)&lt;'Progetto del paramento slu'!$G$58,ABS(K2526)*'Progetto del paramento slu'!$G$54,'Progetto del paramento slu'!$G$53)*IF(K2526&lt;0,-1,1)</f>
        <v>0</v>
      </c>
      <c r="R2526" s="553">
        <f>'Foglio deposito bis'!$F$89*IF(ABS(L2526)&lt;'Progetto del paramento slu'!$G$58,ABS(L2526)*'Progetto del paramento slu'!$G$54,'Progetto del paramento slu'!$G$53)*IF(L2526&lt;0,-1,1)</f>
        <v>153664.85805602249</v>
      </c>
      <c r="S2526" s="553">
        <f>'Foglio deposito bis'!$F$90*IF(ABS(M2526)&lt;'Progetto del paramento slu'!$G$58,ABS(M2526)*'Progetto del paramento slu'!$G$54,'Progetto del paramento slu'!$G$53)*IF(M2526&lt;0,-1,1)</f>
        <v>0</v>
      </c>
      <c r="T2526" s="553">
        <f>'Foglio deposito bis'!$F$91*IF(ABS(N2526)&lt;'Progetto del paramento slu'!$G$58,ABS(N2526)*'Progetto del paramento slu'!$G$54,'Progetto del paramento slu'!$G$53)*IF(N2526&lt;0,-1,1)</f>
        <v>892485.49558937876</v>
      </c>
      <c r="U2526" s="553">
        <f>'Foglio deposito bis'!$F$92*IF(ABS(O2526)&lt;'Progetto del paramento slu'!$G$58,ABS(O2526)*'Progetto del paramento slu'!$G$54,'Progetto del paramento slu'!$G$53)*IF(O2526&lt;0,-1,1)</f>
        <v>1662039.1047339395</v>
      </c>
      <c r="V2526" s="479">
        <f t="shared" si="186"/>
        <v>2590878.7504531564</v>
      </c>
      <c r="W2526" s="559"/>
      <c r="X2526" s="559"/>
    </row>
    <row r="2527" spans="1:24" x14ac:dyDescent="0.25">
      <c r="A2527" s="553">
        <f t="shared" si="185"/>
        <v>2588017.5136744692</v>
      </c>
      <c r="B2527" s="3">
        <f t="shared" si="187"/>
        <v>2.1000000000000005</v>
      </c>
      <c r="C2527" s="553">
        <f>'Foglio deposito bis'!$E$163/sezione!$B$247*B2527</f>
        <v>8.5253179972936408</v>
      </c>
      <c r="D2527" s="611">
        <f>-'Progetto del paramento slu'!$G$47*'Progetto del paramento slu'!$G$41*IF(DATI!$G$218="dx",DATI!$E$61,DATI!$E$64*DATI!$E$63)*1000*C2527^2*sezione!$AD$5*(1-sezione!$AD$6)</f>
        <v>-598310.36108993471</v>
      </c>
      <c r="E2527" s="553">
        <f>-'Foglio deposito bis'!$F$88*(C2527-sezione!$AL$37)*IF(ABS(K2527)&lt;'Progetto del paramento slu'!$G$58,ABS(K2527)*'Progetto del paramento slu'!$G$54,'Progetto del paramento slu'!$G$53)</f>
        <v>0</v>
      </c>
      <c r="F2527" s="553">
        <f>-'Foglio deposito bis'!$F$89*(C2527-sezione!$AM$37)*IF(ABS(L2527)&lt;'Progetto del paramento slu'!$G$58,ABS(L2527)*'Progetto del paramento slu'!$G$54,'Progetto del paramento slu'!$G$53)</f>
        <v>21739686.928466789</v>
      </c>
      <c r="G2527" s="553">
        <f>-'Foglio deposito bis'!$F$90*(C2527-sezione!$AN$37)*IF(ABS(M2527)&lt;'Progetto del paramento slu'!$G$58,ABS(M2527)*'Progetto del paramento slu'!$G$54,'Progetto del paramento slu'!$G$53)</f>
        <v>0</v>
      </c>
      <c r="H2527" s="553">
        <f>-'Foglio deposito bis'!$F$91*(C2527-sezione!$AO$37)*IF(ABS(N2527)&lt;'Progetto del paramento slu'!$G$58,ABS(N2527)*'Progetto del paramento slu'!$G$54,'Progetto del paramento slu'!$G$53)</f>
        <v>295836345.84251714</v>
      </c>
      <c r="I2527" s="479">
        <f>-'Foglio deposito bis'!$F$92*(C2527-sezione!$AP$37)*IF(ABS(O2527)&lt;'Progetto del paramento slu'!$G$58,ABS(O2527)*'Progetto del paramento slu'!$G$54,'Progetto del paramento slu'!$G$53)</f>
        <v>417977375.73007709</v>
      </c>
      <c r="J2527" s="479">
        <f t="shared" si="183"/>
        <v>734955098.13997102</v>
      </c>
      <c r="K2527" s="558">
        <f>'Progetto del paramento slu'!$G$60*(sezione!$AL$37-C2527)/C2527</f>
        <v>1.2921674833061119E-2</v>
      </c>
      <c r="L2527" s="558">
        <f>'Progetto del paramento slu'!$G$60*(sezione!$AM$37-C2527)/C2527</f>
        <v>5.8081280623979187E-2</v>
      </c>
      <c r="M2527" s="559">
        <f>'Progetto del paramento slu'!$G$60*(sezione!$AN$37-C2527)/C2527</f>
        <v>0.10324088641489727</v>
      </c>
      <c r="N2527" s="559">
        <f>'Progetto del paramento slu'!$G$60*(sezione!$AO$37-C2527)/C2527</f>
        <v>0.13608423608101949</v>
      </c>
      <c r="O2527" s="559">
        <f>'Progetto del paramento slu'!$G$60*(sezione!$AP$37-C2527)/C2527</f>
        <v>0.10324499183360544</v>
      </c>
      <c r="P2527" s="553">
        <f>-'Progetto del paramento slu'!$G$47*'Progetto del paramento slu'!$G$41*IF(DATI!$G$218="dx",DATI!$E$61,DATI!$E$64*DATI!$E$63)*1000*C2527*sezione!$AD$5</f>
        <v>-120171.94470487145</v>
      </c>
      <c r="Q2527" s="553">
        <f>'Foglio deposito bis'!$F$88*IF(ABS(K2527)&lt;'Progetto del paramento slu'!$G$58,ABS(K2527)*'Progetto del paramento slu'!$G$54,'Progetto del paramento slu'!$G$53)*IF(K2527&lt;0,-1,1)</f>
        <v>0</v>
      </c>
      <c r="R2527" s="553">
        <f>'Foglio deposito bis'!$F$89*IF(ABS(L2527)&lt;'Progetto del paramento slu'!$G$58,ABS(L2527)*'Progetto del paramento slu'!$G$54,'Progetto del paramento slu'!$G$53)*IF(L2527&lt;0,-1,1)</f>
        <v>153664.85805602249</v>
      </c>
      <c r="S2527" s="553">
        <f>'Foglio deposito bis'!$F$90*IF(ABS(M2527)&lt;'Progetto del paramento slu'!$G$58,ABS(M2527)*'Progetto del paramento slu'!$G$54,'Progetto del paramento slu'!$G$53)*IF(M2527&lt;0,-1,1)</f>
        <v>0</v>
      </c>
      <c r="T2527" s="553">
        <f>'Foglio deposito bis'!$F$91*IF(ABS(N2527)&lt;'Progetto del paramento slu'!$G$58,ABS(N2527)*'Progetto del paramento slu'!$G$54,'Progetto del paramento slu'!$G$53)*IF(N2527&lt;0,-1,1)</f>
        <v>892485.49558937876</v>
      </c>
      <c r="U2527" s="553">
        <f>'Foglio deposito bis'!$F$92*IF(ABS(O2527)&lt;'Progetto del paramento slu'!$G$58,ABS(O2527)*'Progetto del paramento slu'!$G$54,'Progetto del paramento slu'!$G$53)*IF(O2527&lt;0,-1,1)</f>
        <v>1662039.1047339395</v>
      </c>
      <c r="V2527" s="479">
        <f t="shared" si="186"/>
        <v>2588017.5136744692</v>
      </c>
      <c r="W2527" s="559"/>
      <c r="X2527" s="559"/>
    </row>
    <row r="2528" spans="1:24" x14ac:dyDescent="0.25">
      <c r="A2528" s="553">
        <f t="shared" si="185"/>
        <v>2585156.276895782</v>
      </c>
      <c r="B2528" s="3">
        <f t="shared" si="187"/>
        <v>2.1500000000000004</v>
      </c>
      <c r="C2528" s="553">
        <f>'Foglio deposito bis'!$E$163/sezione!$B$247*B2528</f>
        <v>8.7283017591339647</v>
      </c>
      <c r="D2528" s="611">
        <f>-'Progetto del paramento slu'!$G$47*'Progetto del paramento slu'!$G$41*IF(DATI!$G$218="dx",DATI!$E$61,DATI!$E$64*DATI!$E$63)*1000*C2528^2*sezione!$AD$5*(1-sezione!$AD$6)</f>
        <v>-627140.50887488038</v>
      </c>
      <c r="E2528" s="553">
        <f>-'Foglio deposito bis'!$F$88*(C2528-sezione!$AL$37)*IF(ABS(K2528)&lt;'Progetto del paramento slu'!$G$58,ABS(K2528)*'Progetto del paramento slu'!$G$54,'Progetto del paramento slu'!$G$53)</f>
        <v>0</v>
      </c>
      <c r="F2528" s="553">
        <f>-'Foglio deposito bis'!$F$89*(C2528-sezione!$AM$37)*IF(ABS(L2528)&lt;'Progetto del paramento slu'!$G$58,ABS(L2528)*'Progetto del paramento slu'!$G$54,'Progetto del paramento slu'!$G$53)</f>
        <v>21708495.457515921</v>
      </c>
      <c r="G2528" s="553">
        <f>-'Foglio deposito bis'!$F$90*(C2528-sezione!$AN$37)*IF(ABS(M2528)&lt;'Progetto del paramento slu'!$G$58,ABS(M2528)*'Progetto del paramento slu'!$G$54,'Progetto del paramento slu'!$G$53)</f>
        <v>0</v>
      </c>
      <c r="H2528" s="553">
        <f>-'Foglio deposito bis'!$F$91*(C2528-sezione!$AO$37)*IF(ABS(N2528)&lt;'Progetto del paramento slu'!$G$58,ABS(N2528)*'Progetto del paramento slu'!$G$54,'Progetto del paramento slu'!$G$53)</f>
        <v>295655185.77923447</v>
      </c>
      <c r="I2528" s="479">
        <f>-'Foglio deposito bis'!$F$92*(C2528-sezione!$AP$37)*IF(ABS(O2528)&lt;'Progetto del paramento slu'!$G$58,ABS(O2528)*'Progetto del paramento slu'!$G$54,'Progetto del paramento slu'!$G$53)</f>
        <v>417640008.7802726</v>
      </c>
      <c r="J2528" s="479">
        <f t="shared" si="183"/>
        <v>734376549.50814819</v>
      </c>
      <c r="K2528" s="558">
        <f>'Progetto del paramento slu'!$G$60*(sezione!$AL$37-C2528)/C2528</f>
        <v>1.2539775418338769E-2</v>
      </c>
      <c r="L2528" s="558">
        <f>'Progetto del paramento slu'!$G$60*(sezione!$AM$37-C2528)/C2528</f>
        <v>5.664915781877039E-2</v>
      </c>
      <c r="M2528" s="559">
        <f>'Progetto del paramento slu'!$G$60*(sezione!$AN$37-C2528)/C2528</f>
        <v>0.100758540219202</v>
      </c>
      <c r="N2528" s="559">
        <f>'Progetto del paramento slu'!$G$60*(sezione!$AO$37-C2528)/C2528</f>
        <v>0.13283809105587954</v>
      </c>
      <c r="O2528" s="559">
        <f>'Progetto del paramento slu'!$G$60*(sezione!$AP$37-C2528)/C2528</f>
        <v>0.10076255016305649</v>
      </c>
      <c r="P2528" s="553">
        <f>-'Progetto del paramento slu'!$G$47*'Progetto del paramento slu'!$G$41*IF(DATI!$G$218="dx",DATI!$E$61,DATI!$E$64*DATI!$E$63)*1000*C2528*sezione!$AD$5</f>
        <v>-123033.18148355884</v>
      </c>
      <c r="Q2528" s="553">
        <f>'Foglio deposito bis'!$F$88*IF(ABS(K2528)&lt;'Progetto del paramento slu'!$G$58,ABS(K2528)*'Progetto del paramento slu'!$G$54,'Progetto del paramento slu'!$G$53)*IF(K2528&lt;0,-1,1)</f>
        <v>0</v>
      </c>
      <c r="R2528" s="553">
        <f>'Foglio deposito bis'!$F$89*IF(ABS(L2528)&lt;'Progetto del paramento slu'!$G$58,ABS(L2528)*'Progetto del paramento slu'!$G$54,'Progetto del paramento slu'!$G$53)*IF(L2528&lt;0,-1,1)</f>
        <v>153664.85805602249</v>
      </c>
      <c r="S2528" s="553">
        <f>'Foglio deposito bis'!$F$90*IF(ABS(M2528)&lt;'Progetto del paramento slu'!$G$58,ABS(M2528)*'Progetto del paramento slu'!$G$54,'Progetto del paramento slu'!$G$53)*IF(M2528&lt;0,-1,1)</f>
        <v>0</v>
      </c>
      <c r="T2528" s="553">
        <f>'Foglio deposito bis'!$F$91*IF(ABS(N2528)&lt;'Progetto del paramento slu'!$G$58,ABS(N2528)*'Progetto del paramento slu'!$G$54,'Progetto del paramento slu'!$G$53)*IF(N2528&lt;0,-1,1)</f>
        <v>892485.49558937876</v>
      </c>
      <c r="U2528" s="553">
        <f>'Foglio deposito bis'!$F$92*IF(ABS(O2528)&lt;'Progetto del paramento slu'!$G$58,ABS(O2528)*'Progetto del paramento slu'!$G$54,'Progetto del paramento slu'!$G$53)*IF(O2528&lt;0,-1,1)</f>
        <v>1662039.1047339395</v>
      </c>
      <c r="V2528" s="479">
        <f t="shared" si="186"/>
        <v>2585156.276895782</v>
      </c>
      <c r="W2528" s="559"/>
      <c r="X2528" s="559"/>
    </row>
    <row r="2529" spans="1:24" x14ac:dyDescent="0.25">
      <c r="A2529" s="553">
        <f t="shared" si="185"/>
        <v>2582295.0401170943</v>
      </c>
      <c r="B2529" s="3">
        <f t="shared" si="187"/>
        <v>2.2000000000000002</v>
      </c>
      <c r="C2529" s="553">
        <f>'Foglio deposito bis'!$E$163/sezione!$B$247*B2529</f>
        <v>8.9312855209742885</v>
      </c>
      <c r="D2529" s="611">
        <f>-'Progetto del paramento slu'!$G$47*'Progetto del paramento slu'!$G$41*IF(DATI!$G$218="dx",DATI!$E$61,DATI!$E$64*DATI!$E$63)*1000*C2529^2*sezione!$AD$5*(1-sezione!$AD$6)</f>
        <v>-656649.01307829551</v>
      </c>
      <c r="E2529" s="553">
        <f>-'Foglio deposito bis'!$F$88*(C2529-sezione!$AL$37)*IF(ABS(K2529)&lt;'Progetto del paramento slu'!$G$58,ABS(K2529)*'Progetto del paramento slu'!$G$54,'Progetto del paramento slu'!$G$53)</f>
        <v>0</v>
      </c>
      <c r="F2529" s="553">
        <f>-'Foglio deposito bis'!$F$89*(C2529-sezione!$AM$37)*IF(ABS(L2529)&lt;'Progetto del paramento slu'!$G$58,ABS(L2529)*'Progetto del paramento slu'!$G$54,'Progetto del paramento slu'!$G$53)</f>
        <v>21677303.98656505</v>
      </c>
      <c r="G2529" s="553">
        <f>-'Foglio deposito bis'!$F$90*(C2529-sezione!$AN$37)*IF(ABS(M2529)&lt;'Progetto del paramento slu'!$G$58,ABS(M2529)*'Progetto del paramento slu'!$G$54,'Progetto del paramento slu'!$G$53)</f>
        <v>0</v>
      </c>
      <c r="H2529" s="553">
        <f>-'Foglio deposito bis'!$F$91*(C2529-sezione!$AO$37)*IF(ABS(N2529)&lt;'Progetto del paramento slu'!$G$58,ABS(N2529)*'Progetto del paramento slu'!$G$54,'Progetto del paramento slu'!$G$53)</f>
        <v>295474025.7159518</v>
      </c>
      <c r="I2529" s="479">
        <f>-'Foglio deposito bis'!$F$92*(C2529-sezione!$AP$37)*IF(ABS(O2529)&lt;'Progetto del paramento slu'!$G$58,ABS(O2529)*'Progetto del paramento slu'!$G$54,'Progetto del paramento slu'!$G$53)</f>
        <v>417302641.83046788</v>
      </c>
      <c r="J2529" s="479">
        <f t="shared" si="183"/>
        <v>733797322.51990652</v>
      </c>
      <c r="K2529" s="558">
        <f>'Progetto del paramento slu'!$G$60*(sezione!$AL$37-C2529)/C2529</f>
        <v>1.217523506792198E-2</v>
      </c>
      <c r="L2529" s="558">
        <f>'Progetto del paramento slu'!$G$60*(sezione!$AM$37-C2529)/C2529</f>
        <v>5.5282131504707434E-2</v>
      </c>
      <c r="M2529" s="559">
        <f>'Progetto del paramento slu'!$G$60*(sezione!$AN$37-C2529)/C2529</f>
        <v>9.8389027941492874E-2</v>
      </c>
      <c r="N2529" s="559">
        <f>'Progetto del paramento slu'!$G$60*(sezione!$AO$37-C2529)/C2529</f>
        <v>0.12973949807733681</v>
      </c>
      <c r="O2529" s="559">
        <f>'Progetto del paramento slu'!$G$60*(sezione!$AP$37-C2529)/C2529</f>
        <v>9.8392946750259766E-2</v>
      </c>
      <c r="P2529" s="553">
        <f>-'Progetto del paramento slu'!$G$47*'Progetto del paramento slu'!$G$41*IF(DATI!$G$218="dx",DATI!$E$61,DATI!$E$64*DATI!$E$63)*1000*C2529*sezione!$AD$5</f>
        <v>-125894.41826224627</v>
      </c>
      <c r="Q2529" s="553">
        <f>'Foglio deposito bis'!$F$88*IF(ABS(K2529)&lt;'Progetto del paramento slu'!$G$58,ABS(K2529)*'Progetto del paramento slu'!$G$54,'Progetto del paramento slu'!$G$53)*IF(K2529&lt;0,-1,1)</f>
        <v>0</v>
      </c>
      <c r="R2529" s="553">
        <f>'Foglio deposito bis'!$F$89*IF(ABS(L2529)&lt;'Progetto del paramento slu'!$G$58,ABS(L2529)*'Progetto del paramento slu'!$G$54,'Progetto del paramento slu'!$G$53)*IF(L2529&lt;0,-1,1)</f>
        <v>153664.85805602249</v>
      </c>
      <c r="S2529" s="553">
        <f>'Foglio deposito bis'!$F$90*IF(ABS(M2529)&lt;'Progetto del paramento slu'!$G$58,ABS(M2529)*'Progetto del paramento slu'!$G$54,'Progetto del paramento slu'!$G$53)*IF(M2529&lt;0,-1,1)</f>
        <v>0</v>
      </c>
      <c r="T2529" s="553">
        <f>'Foglio deposito bis'!$F$91*IF(ABS(N2529)&lt;'Progetto del paramento slu'!$G$58,ABS(N2529)*'Progetto del paramento slu'!$G$54,'Progetto del paramento slu'!$G$53)*IF(N2529&lt;0,-1,1)</f>
        <v>892485.49558937876</v>
      </c>
      <c r="U2529" s="553">
        <f>'Foglio deposito bis'!$F$92*IF(ABS(O2529)&lt;'Progetto del paramento slu'!$G$58,ABS(O2529)*'Progetto del paramento slu'!$G$54,'Progetto del paramento slu'!$G$53)*IF(O2529&lt;0,-1,1)</f>
        <v>1662039.1047339395</v>
      </c>
      <c r="V2529" s="479">
        <f t="shared" si="186"/>
        <v>2582295.0401170943</v>
      </c>
      <c r="W2529" s="559"/>
      <c r="X2529" s="559"/>
    </row>
    <row r="2530" spans="1:24" x14ac:dyDescent="0.25">
      <c r="A2530" s="553">
        <f t="shared" si="185"/>
        <v>2579433.8033384071</v>
      </c>
      <c r="B2530" s="3">
        <f t="shared" si="187"/>
        <v>2.25</v>
      </c>
      <c r="C2530" s="553">
        <f>'Foglio deposito bis'!$E$163/sezione!$B$247*B2530</f>
        <v>9.1342692828146141</v>
      </c>
      <c r="D2530" s="611">
        <f>-'Progetto del paramento slu'!$G$47*'Progetto del paramento slu'!$G$41*IF(DATI!$G$218="dx",DATI!$E$61,DATI!$E$64*DATI!$E$63)*1000*C2530^2*sezione!$AD$5*(1-sezione!$AD$6)</f>
        <v>-686835.87370017986</v>
      </c>
      <c r="E2530" s="553">
        <f>-'Foglio deposito bis'!$F$88*(C2530-sezione!$AL$37)*IF(ABS(K2530)&lt;'Progetto del paramento slu'!$G$58,ABS(K2530)*'Progetto del paramento slu'!$G$54,'Progetto del paramento slu'!$G$53)</f>
        <v>0</v>
      </c>
      <c r="F2530" s="553">
        <f>-'Foglio deposito bis'!$F$89*(C2530-sezione!$AM$37)*IF(ABS(L2530)&lt;'Progetto del paramento slu'!$G$58,ABS(L2530)*'Progetto del paramento slu'!$G$54,'Progetto del paramento slu'!$G$53)</f>
        <v>21646112.515614182</v>
      </c>
      <c r="G2530" s="553">
        <f>-'Foglio deposito bis'!$F$90*(C2530-sezione!$AN$37)*IF(ABS(M2530)&lt;'Progetto del paramento slu'!$G$58,ABS(M2530)*'Progetto del paramento slu'!$G$54,'Progetto del paramento slu'!$G$53)</f>
        <v>0</v>
      </c>
      <c r="H2530" s="553">
        <f>-'Foglio deposito bis'!$F$91*(C2530-sezione!$AO$37)*IF(ABS(N2530)&lt;'Progetto del paramento slu'!$G$58,ABS(N2530)*'Progetto del paramento slu'!$G$54,'Progetto del paramento slu'!$G$53)</f>
        <v>295292865.65266919</v>
      </c>
      <c r="I2530" s="479">
        <f>-'Foglio deposito bis'!$F$92*(C2530-sezione!$AP$37)*IF(ABS(O2530)&lt;'Progetto del paramento slu'!$G$58,ABS(O2530)*'Progetto del paramento slu'!$G$54,'Progetto del paramento slu'!$G$53)</f>
        <v>416965274.88066328</v>
      </c>
      <c r="J2530" s="479">
        <f t="shared" si="183"/>
        <v>733217417.17524648</v>
      </c>
      <c r="K2530" s="558">
        <f>'Progetto del paramento slu'!$G$60*(sezione!$AL$37-C2530)/C2530</f>
        <v>1.1826896510857046E-2</v>
      </c>
      <c r="L2530" s="558">
        <f>'Progetto del paramento slu'!$G$60*(sezione!$AM$37-C2530)/C2530</f>
        <v>5.3975861915713921E-2</v>
      </c>
      <c r="M2530" s="559">
        <f>'Progetto del paramento slu'!$G$60*(sezione!$AN$37-C2530)/C2530</f>
        <v>9.6124827320570802E-2</v>
      </c>
      <c r="N2530" s="559">
        <f>'Progetto del paramento slu'!$G$60*(sezione!$AO$37-C2530)/C2530</f>
        <v>0.1267786203422849</v>
      </c>
      <c r="O2530" s="559">
        <f>'Progetto del paramento slu'!$G$60*(sezione!$AP$37-C2530)/C2530</f>
        <v>9.6128659044698431E-2</v>
      </c>
      <c r="P2530" s="553">
        <f>-'Progetto del paramento slu'!$G$47*'Progetto del paramento slu'!$G$41*IF(DATI!$G$218="dx",DATI!$E$61,DATI!$E$64*DATI!$E$63)*1000*C2530*sezione!$AD$5</f>
        <v>-128755.65504093369</v>
      </c>
      <c r="Q2530" s="553">
        <f>'Foglio deposito bis'!$F$88*IF(ABS(K2530)&lt;'Progetto del paramento slu'!$G$58,ABS(K2530)*'Progetto del paramento slu'!$G$54,'Progetto del paramento slu'!$G$53)*IF(K2530&lt;0,-1,1)</f>
        <v>0</v>
      </c>
      <c r="R2530" s="553">
        <f>'Foglio deposito bis'!$F$89*IF(ABS(L2530)&lt;'Progetto del paramento slu'!$G$58,ABS(L2530)*'Progetto del paramento slu'!$G$54,'Progetto del paramento slu'!$G$53)*IF(L2530&lt;0,-1,1)</f>
        <v>153664.85805602249</v>
      </c>
      <c r="S2530" s="553">
        <f>'Foglio deposito bis'!$F$90*IF(ABS(M2530)&lt;'Progetto del paramento slu'!$G$58,ABS(M2530)*'Progetto del paramento slu'!$G$54,'Progetto del paramento slu'!$G$53)*IF(M2530&lt;0,-1,1)</f>
        <v>0</v>
      </c>
      <c r="T2530" s="553">
        <f>'Foglio deposito bis'!$F$91*IF(ABS(N2530)&lt;'Progetto del paramento slu'!$G$58,ABS(N2530)*'Progetto del paramento slu'!$G$54,'Progetto del paramento slu'!$G$53)*IF(N2530&lt;0,-1,1)</f>
        <v>892485.49558937876</v>
      </c>
      <c r="U2530" s="553">
        <f>'Foglio deposito bis'!$F$92*IF(ABS(O2530)&lt;'Progetto del paramento slu'!$G$58,ABS(O2530)*'Progetto del paramento slu'!$G$54,'Progetto del paramento slu'!$G$53)*IF(O2530&lt;0,-1,1)</f>
        <v>1662039.1047339395</v>
      </c>
      <c r="V2530" s="479">
        <f t="shared" si="186"/>
        <v>2579433.8033384071</v>
      </c>
      <c r="W2530" s="559"/>
      <c r="X2530" s="559"/>
    </row>
    <row r="2531" spans="1:24" x14ac:dyDescent="0.25">
      <c r="A2531" s="553">
        <f t="shared" si="185"/>
        <v>2576572.5665597199</v>
      </c>
      <c r="B2531" s="3">
        <f t="shared" si="187"/>
        <v>2.2999999999999998</v>
      </c>
      <c r="C2531" s="553">
        <f>'Foglio deposito bis'!$E$163/sezione!$B$247*B2531</f>
        <v>9.337253044654938</v>
      </c>
      <c r="D2531" s="611">
        <f>-'Progetto del paramento slu'!$G$47*'Progetto del paramento slu'!$G$41*IF(DATI!$G$218="dx",DATI!$E$61,DATI!$E$64*DATI!$E$63)*1000*C2531^2*sezione!$AD$5*(1-sezione!$AD$6)</f>
        <v>-717701.09074053366</v>
      </c>
      <c r="E2531" s="553">
        <f>-'Foglio deposito bis'!$F$88*(C2531-sezione!$AL$37)*IF(ABS(K2531)&lt;'Progetto del paramento slu'!$G$58,ABS(K2531)*'Progetto del paramento slu'!$G$54,'Progetto del paramento slu'!$G$53)</f>
        <v>0</v>
      </c>
      <c r="F2531" s="553">
        <f>-'Foglio deposito bis'!$F$89*(C2531-sezione!$AM$37)*IF(ABS(L2531)&lt;'Progetto del paramento slu'!$G$58,ABS(L2531)*'Progetto del paramento slu'!$G$54,'Progetto del paramento slu'!$G$53)</f>
        <v>21614921.04466331</v>
      </c>
      <c r="G2531" s="553">
        <f>-'Foglio deposito bis'!$F$90*(C2531-sezione!$AN$37)*IF(ABS(M2531)&lt;'Progetto del paramento slu'!$G$58,ABS(M2531)*'Progetto del paramento slu'!$G$54,'Progetto del paramento slu'!$G$53)</f>
        <v>0</v>
      </c>
      <c r="H2531" s="553">
        <f>-'Foglio deposito bis'!$F$91*(C2531-sezione!$AO$37)*IF(ABS(N2531)&lt;'Progetto del paramento slu'!$G$58,ABS(N2531)*'Progetto del paramento slu'!$G$54,'Progetto del paramento slu'!$G$53)</f>
        <v>295111705.58938652</v>
      </c>
      <c r="I2531" s="479">
        <f>-'Foglio deposito bis'!$F$92*(C2531-sezione!$AP$37)*IF(ABS(O2531)&lt;'Progetto del paramento slu'!$G$58,ABS(O2531)*'Progetto del paramento slu'!$G$54,'Progetto del paramento slu'!$G$53)</f>
        <v>416627907.93085867</v>
      </c>
      <c r="J2531" s="479">
        <f t="shared" si="183"/>
        <v>732636833.47416794</v>
      </c>
      <c r="K2531" s="558">
        <f>'Progetto del paramento slu'!$G$60*(sezione!$AL$37-C2531)/C2531</f>
        <v>1.1493703108447112E-2</v>
      </c>
      <c r="L2531" s="558">
        <f>'Progetto del paramento slu'!$G$60*(sezione!$AM$37-C2531)/C2531</f>
        <v>5.2726386656676665E-2</v>
      </c>
      <c r="M2531" s="559">
        <f>'Progetto del paramento slu'!$G$60*(sezione!$AN$37-C2531)/C2531</f>
        <v>9.3959070204906223E-2</v>
      </c>
      <c r="N2531" s="559">
        <f>'Progetto del paramento slu'!$G$60*(sezione!$AO$37-C2531)/C2531</f>
        <v>0.12394647642180047</v>
      </c>
      <c r="O2531" s="559">
        <f>'Progetto del paramento slu'!$G$60*(sezione!$AP$37-C2531)/C2531</f>
        <v>9.3962818630683245E-2</v>
      </c>
      <c r="P2531" s="553">
        <f>-'Progetto del paramento slu'!$G$47*'Progetto del paramento slu'!$G$41*IF(DATI!$G$218="dx",DATI!$E$61,DATI!$E$64*DATI!$E$63)*1000*C2531*sezione!$AD$5</f>
        <v>-131616.89181962112</v>
      </c>
      <c r="Q2531" s="553">
        <f>'Foglio deposito bis'!$F$88*IF(ABS(K2531)&lt;'Progetto del paramento slu'!$G$58,ABS(K2531)*'Progetto del paramento slu'!$G$54,'Progetto del paramento slu'!$G$53)*IF(K2531&lt;0,-1,1)</f>
        <v>0</v>
      </c>
      <c r="R2531" s="553">
        <f>'Foglio deposito bis'!$F$89*IF(ABS(L2531)&lt;'Progetto del paramento slu'!$G$58,ABS(L2531)*'Progetto del paramento slu'!$G$54,'Progetto del paramento slu'!$G$53)*IF(L2531&lt;0,-1,1)</f>
        <v>153664.85805602249</v>
      </c>
      <c r="S2531" s="553">
        <f>'Foglio deposito bis'!$F$90*IF(ABS(M2531)&lt;'Progetto del paramento slu'!$G$58,ABS(M2531)*'Progetto del paramento slu'!$G$54,'Progetto del paramento slu'!$G$53)*IF(M2531&lt;0,-1,1)</f>
        <v>0</v>
      </c>
      <c r="T2531" s="553">
        <f>'Foglio deposito bis'!$F$91*IF(ABS(N2531)&lt;'Progetto del paramento slu'!$G$58,ABS(N2531)*'Progetto del paramento slu'!$G$54,'Progetto del paramento slu'!$G$53)*IF(N2531&lt;0,-1,1)</f>
        <v>892485.49558937876</v>
      </c>
      <c r="U2531" s="553">
        <f>'Foglio deposito bis'!$F$92*IF(ABS(O2531)&lt;'Progetto del paramento slu'!$G$58,ABS(O2531)*'Progetto del paramento slu'!$G$54,'Progetto del paramento slu'!$G$53)*IF(O2531&lt;0,-1,1)</f>
        <v>1662039.1047339395</v>
      </c>
      <c r="V2531" s="479">
        <f t="shared" si="186"/>
        <v>2576572.5665597199</v>
      </c>
      <c r="W2531" s="559"/>
      <c r="X2531" s="559"/>
    </row>
    <row r="2532" spans="1:24" x14ac:dyDescent="0.25">
      <c r="A2532" s="553">
        <f t="shared" si="185"/>
        <v>2573711.3297810322</v>
      </c>
      <c r="B2532" s="3">
        <f t="shared" si="187"/>
        <v>2.3499999999999996</v>
      </c>
      <c r="C2532" s="553">
        <f>'Foglio deposito bis'!$E$163/sezione!$B$247*B2532</f>
        <v>9.5402368064952618</v>
      </c>
      <c r="D2532" s="611">
        <f>-'Progetto del paramento slu'!$G$47*'Progetto del paramento slu'!$G$41*IF(DATI!$G$218="dx",DATI!$E$61,DATI!$E$64*DATI!$E$63)*1000*C2532^2*sezione!$AD$5*(1-sezione!$AD$6)</f>
        <v>-749244.66419935657</v>
      </c>
      <c r="E2532" s="553">
        <f>-'Foglio deposito bis'!$F$88*(C2532-sezione!$AL$37)*IF(ABS(K2532)&lt;'Progetto del paramento slu'!$G$58,ABS(K2532)*'Progetto del paramento slu'!$G$54,'Progetto del paramento slu'!$G$53)</f>
        <v>0</v>
      </c>
      <c r="F2532" s="553">
        <f>-'Foglio deposito bis'!$F$89*(C2532-sezione!$AM$37)*IF(ABS(L2532)&lt;'Progetto del paramento slu'!$G$58,ABS(L2532)*'Progetto del paramento slu'!$G$54,'Progetto del paramento slu'!$G$53)</f>
        <v>21583729.573712438</v>
      </c>
      <c r="G2532" s="553">
        <f>-'Foglio deposito bis'!$F$90*(C2532-sezione!$AN$37)*IF(ABS(M2532)&lt;'Progetto del paramento slu'!$G$58,ABS(M2532)*'Progetto del paramento slu'!$G$54,'Progetto del paramento slu'!$G$53)</f>
        <v>0</v>
      </c>
      <c r="H2532" s="553">
        <f>-'Foglio deposito bis'!$F$91*(C2532-sezione!$AO$37)*IF(ABS(N2532)&lt;'Progetto del paramento slu'!$G$58,ABS(N2532)*'Progetto del paramento slu'!$G$54,'Progetto del paramento slu'!$G$53)</f>
        <v>294930545.52610385</v>
      </c>
      <c r="I2532" s="479">
        <f>-'Foglio deposito bis'!$F$92*(C2532-sezione!$AP$37)*IF(ABS(O2532)&lt;'Progetto del paramento slu'!$G$58,ABS(O2532)*'Progetto del paramento slu'!$G$54,'Progetto del paramento slu'!$G$53)</f>
        <v>416290540.98105401</v>
      </c>
      <c r="J2532" s="479">
        <f t="shared" si="183"/>
        <v>732055571.41667092</v>
      </c>
      <c r="K2532" s="558">
        <f>'Progetto del paramento slu'!$G$60*(sezione!$AL$37-C2532)/C2532</f>
        <v>1.1174688148692918E-2</v>
      </c>
      <c r="L2532" s="558">
        <f>'Progetto del paramento slu'!$G$60*(sezione!$AM$37-C2532)/C2532</f>
        <v>5.1530080557598446E-2</v>
      </c>
      <c r="M2532" s="559">
        <f>'Progetto del paramento slu'!$G$60*(sezione!$AN$37-C2532)/C2532</f>
        <v>9.188547296650397E-2</v>
      </c>
      <c r="N2532" s="559">
        <f>'Progetto del paramento slu'!$G$60*(sezione!$AO$37-C2532)/C2532</f>
        <v>0.12123484926388982</v>
      </c>
      <c r="O2532" s="559">
        <f>'Progetto del paramento slu'!$G$60*(sezione!$AP$37-C2532)/C2532</f>
        <v>9.1889141638541061E-2</v>
      </c>
      <c r="P2532" s="553">
        <f>-'Progetto del paramento slu'!$G$47*'Progetto del paramento slu'!$G$41*IF(DATI!$G$218="dx",DATI!$E$61,DATI!$E$64*DATI!$E$63)*1000*C2532*sezione!$AD$5</f>
        <v>-134478.12859830851</v>
      </c>
      <c r="Q2532" s="553">
        <f>'Foglio deposito bis'!$F$88*IF(ABS(K2532)&lt;'Progetto del paramento slu'!$G$58,ABS(K2532)*'Progetto del paramento slu'!$G$54,'Progetto del paramento slu'!$G$53)*IF(K2532&lt;0,-1,1)</f>
        <v>0</v>
      </c>
      <c r="R2532" s="553">
        <f>'Foglio deposito bis'!$F$89*IF(ABS(L2532)&lt;'Progetto del paramento slu'!$G$58,ABS(L2532)*'Progetto del paramento slu'!$G$54,'Progetto del paramento slu'!$G$53)*IF(L2532&lt;0,-1,1)</f>
        <v>153664.85805602249</v>
      </c>
      <c r="S2532" s="553">
        <f>'Foglio deposito bis'!$F$90*IF(ABS(M2532)&lt;'Progetto del paramento slu'!$G$58,ABS(M2532)*'Progetto del paramento slu'!$G$54,'Progetto del paramento slu'!$G$53)*IF(M2532&lt;0,-1,1)</f>
        <v>0</v>
      </c>
      <c r="T2532" s="553">
        <f>'Foglio deposito bis'!$F$91*IF(ABS(N2532)&lt;'Progetto del paramento slu'!$G$58,ABS(N2532)*'Progetto del paramento slu'!$G$54,'Progetto del paramento slu'!$G$53)*IF(N2532&lt;0,-1,1)</f>
        <v>892485.49558937876</v>
      </c>
      <c r="U2532" s="553">
        <f>'Foglio deposito bis'!$F$92*IF(ABS(O2532)&lt;'Progetto del paramento slu'!$G$58,ABS(O2532)*'Progetto del paramento slu'!$G$54,'Progetto del paramento slu'!$G$53)*IF(O2532&lt;0,-1,1)</f>
        <v>1662039.1047339395</v>
      </c>
      <c r="V2532" s="479">
        <f t="shared" si="186"/>
        <v>2573711.3297810322</v>
      </c>
      <c r="W2532" s="559"/>
      <c r="X2532" s="559"/>
    </row>
    <row r="2533" spans="1:24" x14ac:dyDescent="0.25">
      <c r="A2533" s="553">
        <f t="shared" si="185"/>
        <v>2570850.0930023449</v>
      </c>
      <c r="B2533" s="3">
        <f t="shared" si="187"/>
        <v>2.3999999999999995</v>
      </c>
      <c r="C2533" s="553">
        <f>'Foglio deposito bis'!$E$163/sezione!$B$247*B2533</f>
        <v>9.7432205683355857</v>
      </c>
      <c r="D2533" s="611">
        <f>-'Progetto del paramento slu'!$G$47*'Progetto del paramento slu'!$G$41*IF(DATI!$G$218="dx",DATI!$E$61,DATI!$E$64*DATI!$E$63)*1000*C2533^2*sezione!$AD$5*(1-sezione!$AD$6)</f>
        <v>-781466.59407664882</v>
      </c>
      <c r="E2533" s="553">
        <f>-'Foglio deposito bis'!$F$88*(C2533-sezione!$AL$37)*IF(ABS(K2533)&lt;'Progetto del paramento slu'!$G$58,ABS(K2533)*'Progetto del paramento slu'!$G$54,'Progetto del paramento slu'!$G$53)</f>
        <v>0</v>
      </c>
      <c r="F2533" s="553">
        <f>-'Foglio deposito bis'!$F$89*(C2533-sezione!$AM$37)*IF(ABS(L2533)&lt;'Progetto del paramento slu'!$G$58,ABS(L2533)*'Progetto del paramento slu'!$G$54,'Progetto del paramento slu'!$G$53)</f>
        <v>21552538.10276157</v>
      </c>
      <c r="G2533" s="553">
        <f>-'Foglio deposito bis'!$F$90*(C2533-sezione!$AN$37)*IF(ABS(M2533)&lt;'Progetto del paramento slu'!$G$58,ABS(M2533)*'Progetto del paramento slu'!$G$54,'Progetto del paramento slu'!$G$53)</f>
        <v>0</v>
      </c>
      <c r="H2533" s="553">
        <f>-'Foglio deposito bis'!$F$91*(C2533-sezione!$AO$37)*IF(ABS(N2533)&lt;'Progetto del paramento slu'!$G$58,ABS(N2533)*'Progetto del paramento slu'!$G$54,'Progetto del paramento slu'!$G$53)</f>
        <v>294749385.46282119</v>
      </c>
      <c r="I2533" s="479">
        <f>-'Foglio deposito bis'!$F$92*(C2533-sezione!$AP$37)*IF(ABS(O2533)&lt;'Progetto del paramento slu'!$G$58,ABS(O2533)*'Progetto del paramento slu'!$G$54,'Progetto del paramento slu'!$G$53)</f>
        <v>415953174.0312494</v>
      </c>
      <c r="J2533" s="479">
        <f t="shared" si="183"/>
        <v>731473631.00275552</v>
      </c>
      <c r="K2533" s="558">
        <f>'Progetto del paramento slu'!$G$60*(sezione!$AL$37-C2533)/C2533</f>
        <v>1.0868965478928485E-2</v>
      </c>
      <c r="L2533" s="558">
        <f>'Progetto del paramento slu'!$G$60*(sezione!$AM$37-C2533)/C2533</f>
        <v>5.0383620545981826E-2</v>
      </c>
      <c r="M2533" s="559">
        <f>'Progetto del paramento slu'!$G$60*(sezione!$AN$37-C2533)/C2533</f>
        <v>8.989827561303515E-2</v>
      </c>
      <c r="N2533" s="559">
        <f>'Progetto del paramento slu'!$G$60*(sezione!$AO$37-C2533)/C2533</f>
        <v>0.11863620657089212</v>
      </c>
      <c r="O2533" s="559">
        <f>'Progetto del paramento slu'!$G$60*(sezione!$AP$37-C2533)/C2533</f>
        <v>8.9901867854404807E-2</v>
      </c>
      <c r="P2533" s="553">
        <f>-'Progetto del paramento slu'!$G$47*'Progetto del paramento slu'!$G$41*IF(DATI!$G$218="dx",DATI!$E$61,DATI!$E$64*DATI!$E$63)*1000*C2533*sezione!$AD$5</f>
        <v>-137339.36537699591</v>
      </c>
      <c r="Q2533" s="553">
        <f>'Foglio deposito bis'!$F$88*IF(ABS(K2533)&lt;'Progetto del paramento slu'!$G$58,ABS(K2533)*'Progetto del paramento slu'!$G$54,'Progetto del paramento slu'!$G$53)*IF(K2533&lt;0,-1,1)</f>
        <v>0</v>
      </c>
      <c r="R2533" s="553">
        <f>'Foglio deposito bis'!$F$89*IF(ABS(L2533)&lt;'Progetto del paramento slu'!$G$58,ABS(L2533)*'Progetto del paramento slu'!$G$54,'Progetto del paramento slu'!$G$53)*IF(L2533&lt;0,-1,1)</f>
        <v>153664.85805602249</v>
      </c>
      <c r="S2533" s="553">
        <f>'Foglio deposito bis'!$F$90*IF(ABS(M2533)&lt;'Progetto del paramento slu'!$G$58,ABS(M2533)*'Progetto del paramento slu'!$G$54,'Progetto del paramento slu'!$G$53)*IF(M2533&lt;0,-1,1)</f>
        <v>0</v>
      </c>
      <c r="T2533" s="553">
        <f>'Foglio deposito bis'!$F$91*IF(ABS(N2533)&lt;'Progetto del paramento slu'!$G$58,ABS(N2533)*'Progetto del paramento slu'!$G$54,'Progetto del paramento slu'!$G$53)*IF(N2533&lt;0,-1,1)</f>
        <v>892485.49558937876</v>
      </c>
      <c r="U2533" s="553">
        <f>'Foglio deposito bis'!$F$92*IF(ABS(O2533)&lt;'Progetto del paramento slu'!$G$58,ABS(O2533)*'Progetto del paramento slu'!$G$54,'Progetto del paramento slu'!$G$53)*IF(O2533&lt;0,-1,1)</f>
        <v>1662039.1047339395</v>
      </c>
      <c r="V2533" s="479">
        <f t="shared" si="186"/>
        <v>2570850.0930023449</v>
      </c>
      <c r="W2533" s="559"/>
      <c r="X2533" s="559"/>
    </row>
    <row r="2534" spans="1:24" x14ac:dyDescent="0.25">
      <c r="A2534" s="553">
        <f t="shared" si="185"/>
        <v>2567988.8562236577</v>
      </c>
      <c r="B2534" s="3">
        <f t="shared" si="187"/>
        <v>2.4499999999999993</v>
      </c>
      <c r="C2534" s="553">
        <f>'Foglio deposito bis'!$E$163/sezione!$B$247*B2534</f>
        <v>9.9462043301759095</v>
      </c>
      <c r="D2534" s="611">
        <f>-'Progetto del paramento slu'!$G$47*'Progetto del paramento slu'!$G$41*IF(DATI!$G$218="dx",DATI!$E$61,DATI!$E$64*DATI!$E$63)*1000*C2534^2*sezione!$AD$5*(1-sezione!$AD$6)</f>
        <v>-814366.88037241029</v>
      </c>
      <c r="E2534" s="553">
        <f>-'Foglio deposito bis'!$F$88*(C2534-sezione!$AL$37)*IF(ABS(K2534)&lt;'Progetto del paramento slu'!$G$58,ABS(K2534)*'Progetto del paramento slu'!$G$54,'Progetto del paramento slu'!$G$53)</f>
        <v>0</v>
      </c>
      <c r="F2534" s="553">
        <f>-'Foglio deposito bis'!$F$89*(C2534-sezione!$AM$37)*IF(ABS(L2534)&lt;'Progetto del paramento slu'!$G$58,ABS(L2534)*'Progetto del paramento slu'!$G$54,'Progetto del paramento slu'!$G$53)</f>
        <v>21521346.631810699</v>
      </c>
      <c r="G2534" s="553">
        <f>-'Foglio deposito bis'!$F$90*(C2534-sezione!$AN$37)*IF(ABS(M2534)&lt;'Progetto del paramento slu'!$G$58,ABS(M2534)*'Progetto del paramento slu'!$G$54,'Progetto del paramento slu'!$G$53)</f>
        <v>0</v>
      </c>
      <c r="H2534" s="553">
        <f>-'Foglio deposito bis'!$F$91*(C2534-sezione!$AO$37)*IF(ABS(N2534)&lt;'Progetto del paramento slu'!$G$58,ABS(N2534)*'Progetto del paramento slu'!$G$54,'Progetto del paramento slu'!$G$53)</f>
        <v>294568225.39953852</v>
      </c>
      <c r="I2534" s="479">
        <f>-'Foglio deposito bis'!$F$92*(C2534-sezione!$AP$37)*IF(ABS(O2534)&lt;'Progetto del paramento slu'!$G$58,ABS(O2534)*'Progetto del paramento slu'!$G$54,'Progetto del paramento slu'!$G$53)</f>
        <v>415615807.0814448</v>
      </c>
      <c r="J2534" s="479">
        <f t="shared" si="183"/>
        <v>730891012.23242164</v>
      </c>
      <c r="K2534" s="558">
        <f>'Progetto del paramento slu'!$G$60*(sezione!$AL$37-C2534)/C2534</f>
        <v>1.0575721285480967E-2</v>
      </c>
      <c r="L2534" s="558">
        <f>'Progetto del paramento slu'!$G$60*(sezione!$AM$37-C2534)/C2534</f>
        <v>4.9283954820553623E-2</v>
      </c>
      <c r="M2534" s="559">
        <f>'Progetto del paramento slu'!$G$60*(sezione!$AN$37-C2534)/C2534</f>
        <v>8.7992188355626277E-2</v>
      </c>
      <c r="N2534" s="559">
        <f>'Progetto del paramento slu'!$G$60*(sezione!$AO$37-C2534)/C2534</f>
        <v>0.11614363092658819</v>
      </c>
      <c r="O2534" s="559">
        <f>'Progetto del paramento slu'!$G$60*(sezione!$AP$37-C2534)/C2534</f>
        <v>8.7995707285947564E-2</v>
      </c>
      <c r="P2534" s="553">
        <f>-'Progetto del paramento slu'!$G$47*'Progetto del paramento slu'!$G$41*IF(DATI!$G$218="dx",DATI!$E$61,DATI!$E$64*DATI!$E$63)*1000*C2534*sezione!$AD$5</f>
        <v>-140200.6021556833</v>
      </c>
      <c r="Q2534" s="553">
        <f>'Foglio deposito bis'!$F$88*IF(ABS(K2534)&lt;'Progetto del paramento slu'!$G$58,ABS(K2534)*'Progetto del paramento slu'!$G$54,'Progetto del paramento slu'!$G$53)*IF(K2534&lt;0,-1,1)</f>
        <v>0</v>
      </c>
      <c r="R2534" s="553">
        <f>'Foglio deposito bis'!$F$89*IF(ABS(L2534)&lt;'Progetto del paramento slu'!$G$58,ABS(L2534)*'Progetto del paramento slu'!$G$54,'Progetto del paramento slu'!$G$53)*IF(L2534&lt;0,-1,1)</f>
        <v>153664.85805602249</v>
      </c>
      <c r="S2534" s="553">
        <f>'Foglio deposito bis'!$F$90*IF(ABS(M2534)&lt;'Progetto del paramento slu'!$G$58,ABS(M2534)*'Progetto del paramento slu'!$G$54,'Progetto del paramento slu'!$G$53)*IF(M2534&lt;0,-1,1)</f>
        <v>0</v>
      </c>
      <c r="T2534" s="553">
        <f>'Foglio deposito bis'!$F$91*IF(ABS(N2534)&lt;'Progetto del paramento slu'!$G$58,ABS(N2534)*'Progetto del paramento slu'!$G$54,'Progetto del paramento slu'!$G$53)*IF(N2534&lt;0,-1,1)</f>
        <v>892485.49558937876</v>
      </c>
      <c r="U2534" s="553">
        <f>'Foglio deposito bis'!$F$92*IF(ABS(O2534)&lt;'Progetto del paramento slu'!$G$58,ABS(O2534)*'Progetto del paramento slu'!$G$54,'Progetto del paramento slu'!$G$53)*IF(O2534&lt;0,-1,1)</f>
        <v>1662039.1047339395</v>
      </c>
      <c r="V2534" s="479">
        <f t="shared" si="186"/>
        <v>2567988.8562236577</v>
      </c>
      <c r="W2534" s="559"/>
      <c r="X2534" s="559"/>
    </row>
    <row r="2535" spans="1:24" x14ac:dyDescent="0.25">
      <c r="A2535" s="553">
        <f t="shared" si="185"/>
        <v>2565127.61944497</v>
      </c>
      <c r="B2535" s="3">
        <f t="shared" si="187"/>
        <v>2.4999999999999991</v>
      </c>
      <c r="C2535" s="553">
        <f>'Foglio deposito bis'!$E$163/sezione!$B$247*B2535</f>
        <v>10.149188092016233</v>
      </c>
      <c r="D2535" s="611">
        <f>-'Progetto del paramento slu'!$G$47*'Progetto del paramento slu'!$G$41*IF(DATI!$G$218="dx",DATI!$E$61,DATI!$E$64*DATI!$E$63)*1000*C2535^2*sezione!$AD$5*(1-sezione!$AD$6)</f>
        <v>-847945.52308664133</v>
      </c>
      <c r="E2535" s="553">
        <f>-'Foglio deposito bis'!$F$88*(C2535-sezione!$AL$37)*IF(ABS(K2535)&lt;'Progetto del paramento slu'!$G$58,ABS(K2535)*'Progetto del paramento slu'!$G$54,'Progetto del paramento slu'!$G$53)</f>
        <v>0</v>
      </c>
      <c r="F2535" s="553">
        <f>-'Foglio deposito bis'!$F$89*(C2535-sezione!$AM$37)*IF(ABS(L2535)&lt;'Progetto del paramento slu'!$G$58,ABS(L2535)*'Progetto del paramento slu'!$G$54,'Progetto del paramento slu'!$G$53)</f>
        <v>21490155.160859827</v>
      </c>
      <c r="G2535" s="553">
        <f>-'Foglio deposito bis'!$F$90*(C2535-sezione!$AN$37)*IF(ABS(M2535)&lt;'Progetto del paramento slu'!$G$58,ABS(M2535)*'Progetto del paramento slu'!$G$54,'Progetto del paramento slu'!$G$53)</f>
        <v>0</v>
      </c>
      <c r="H2535" s="553">
        <f>-'Foglio deposito bis'!$F$91*(C2535-sezione!$AO$37)*IF(ABS(N2535)&lt;'Progetto del paramento slu'!$G$58,ABS(N2535)*'Progetto del paramento slu'!$G$54,'Progetto del paramento slu'!$G$53)</f>
        <v>294387065.33625585</v>
      </c>
      <c r="I2535" s="479">
        <f>-'Foglio deposito bis'!$F$92*(C2535-sezione!$AP$37)*IF(ABS(O2535)&lt;'Progetto del paramento slu'!$G$58,ABS(O2535)*'Progetto del paramento slu'!$G$54,'Progetto del paramento slu'!$G$53)</f>
        <v>415278440.1316402</v>
      </c>
      <c r="J2535" s="479">
        <f t="shared" si="183"/>
        <v>730307715.10566926</v>
      </c>
      <c r="K2535" s="558">
        <f>'Progetto del paramento slu'!$G$60*(sezione!$AL$37-C2535)/C2535</f>
        <v>1.0294206859771348E-2</v>
      </c>
      <c r="L2535" s="558">
        <f>'Progetto del paramento slu'!$G$60*(sezione!$AM$37-C2535)/C2535</f>
        <v>4.8228275724142559E-2</v>
      </c>
      <c r="M2535" s="559">
        <f>'Progetto del paramento slu'!$G$60*(sezione!$AN$37-C2535)/C2535</f>
        <v>8.6162344588513753E-2</v>
      </c>
      <c r="N2535" s="559">
        <f>'Progetto del paramento slu'!$G$60*(sezione!$AO$37-C2535)/C2535</f>
        <v>0.11375075830805646</v>
      </c>
      <c r="O2535" s="559">
        <f>'Progetto del paramento slu'!$G$60*(sezione!$AP$37-C2535)/C2535</f>
        <v>8.6165793140228625E-2</v>
      </c>
      <c r="P2535" s="553">
        <f>-'Progetto del paramento slu'!$G$47*'Progetto del paramento slu'!$G$41*IF(DATI!$G$218="dx",DATI!$E$61,DATI!$E$64*DATI!$E$63)*1000*C2535*sezione!$AD$5</f>
        <v>-143061.83893437069</v>
      </c>
      <c r="Q2535" s="553">
        <f>'Foglio deposito bis'!$F$88*IF(ABS(K2535)&lt;'Progetto del paramento slu'!$G$58,ABS(K2535)*'Progetto del paramento slu'!$G$54,'Progetto del paramento slu'!$G$53)*IF(K2535&lt;0,-1,1)</f>
        <v>0</v>
      </c>
      <c r="R2535" s="553">
        <f>'Foglio deposito bis'!$F$89*IF(ABS(L2535)&lt;'Progetto del paramento slu'!$G$58,ABS(L2535)*'Progetto del paramento slu'!$G$54,'Progetto del paramento slu'!$G$53)*IF(L2535&lt;0,-1,1)</f>
        <v>153664.85805602249</v>
      </c>
      <c r="S2535" s="553">
        <f>'Foglio deposito bis'!$F$90*IF(ABS(M2535)&lt;'Progetto del paramento slu'!$G$58,ABS(M2535)*'Progetto del paramento slu'!$G$54,'Progetto del paramento slu'!$G$53)*IF(M2535&lt;0,-1,1)</f>
        <v>0</v>
      </c>
      <c r="T2535" s="553">
        <f>'Foglio deposito bis'!$F$91*IF(ABS(N2535)&lt;'Progetto del paramento slu'!$G$58,ABS(N2535)*'Progetto del paramento slu'!$G$54,'Progetto del paramento slu'!$G$53)*IF(N2535&lt;0,-1,1)</f>
        <v>892485.49558937876</v>
      </c>
      <c r="U2535" s="553">
        <f>'Foglio deposito bis'!$F$92*IF(ABS(O2535)&lt;'Progetto del paramento slu'!$G$58,ABS(O2535)*'Progetto del paramento slu'!$G$54,'Progetto del paramento slu'!$G$53)*IF(O2535&lt;0,-1,1)</f>
        <v>1662039.1047339395</v>
      </c>
      <c r="V2535" s="479">
        <f t="shared" si="186"/>
        <v>2565127.61944497</v>
      </c>
      <c r="W2535" s="559"/>
      <c r="X2535" s="559"/>
    </row>
    <row r="2536" spans="1:24" x14ac:dyDescent="0.25">
      <c r="A2536" s="553">
        <f t="shared" si="185"/>
        <v>2562266.3826662828</v>
      </c>
      <c r="B2536" s="3">
        <f t="shared" si="187"/>
        <v>2.5499999999999989</v>
      </c>
      <c r="C2536" s="553">
        <f>'Foglio deposito bis'!$E$163/sezione!$B$247*B2536</f>
        <v>10.352171853856557</v>
      </c>
      <c r="D2536" s="611">
        <f>-'Progetto del paramento slu'!$G$47*'Progetto del paramento slu'!$G$41*IF(DATI!$G$218="dx",DATI!$E$61,DATI!$E$64*DATI!$E$63)*1000*C2536^2*sezione!$AD$5*(1-sezione!$AD$6)</f>
        <v>-882202.52221934136</v>
      </c>
      <c r="E2536" s="553">
        <f>-'Foglio deposito bis'!$F$88*(C2536-sezione!$AL$37)*IF(ABS(K2536)&lt;'Progetto del paramento slu'!$G$58,ABS(K2536)*'Progetto del paramento slu'!$G$54,'Progetto del paramento slu'!$G$53)</f>
        <v>0</v>
      </c>
      <c r="F2536" s="553">
        <f>-'Foglio deposito bis'!$F$89*(C2536-sezione!$AM$37)*IF(ABS(L2536)&lt;'Progetto del paramento slu'!$G$58,ABS(L2536)*'Progetto del paramento slu'!$G$54,'Progetto del paramento slu'!$G$53)</f>
        <v>21458963.689908955</v>
      </c>
      <c r="G2536" s="553">
        <f>-'Foglio deposito bis'!$F$90*(C2536-sezione!$AN$37)*IF(ABS(M2536)&lt;'Progetto del paramento slu'!$G$58,ABS(M2536)*'Progetto del paramento slu'!$G$54,'Progetto del paramento slu'!$G$53)</f>
        <v>0</v>
      </c>
      <c r="H2536" s="553">
        <f>-'Foglio deposito bis'!$F$91*(C2536-sezione!$AO$37)*IF(ABS(N2536)&lt;'Progetto del paramento slu'!$G$58,ABS(N2536)*'Progetto del paramento slu'!$G$54,'Progetto del paramento slu'!$G$53)</f>
        <v>294205905.27297324</v>
      </c>
      <c r="I2536" s="479">
        <f>-'Foglio deposito bis'!$F$92*(C2536-sezione!$AP$37)*IF(ABS(O2536)&lt;'Progetto del paramento slu'!$G$58,ABS(O2536)*'Progetto del paramento slu'!$G$54,'Progetto del paramento slu'!$G$53)</f>
        <v>414941073.18183559</v>
      </c>
      <c r="J2536" s="479">
        <f t="shared" si="183"/>
        <v>729723739.62249851</v>
      </c>
      <c r="K2536" s="558">
        <f>'Progetto del paramento slu'!$G$60*(sezione!$AL$37-C2536)/C2536</f>
        <v>1.0023732215462105E-2</v>
      </c>
      <c r="L2536" s="558">
        <f>'Progetto del paramento slu'!$G$60*(sezione!$AM$37-C2536)/C2536</f>
        <v>4.7213995807982898E-2</v>
      </c>
      <c r="M2536" s="559">
        <f>'Progetto del paramento slu'!$G$60*(sezione!$AN$37-C2536)/C2536</f>
        <v>8.4404259400503695E-2</v>
      </c>
      <c r="N2536" s="559">
        <f>'Progetto del paramento slu'!$G$60*(sezione!$AO$37-C2536)/C2536</f>
        <v>0.11145172383142792</v>
      </c>
      <c r="O2536" s="559">
        <f>'Progetto del paramento slu'!$G$60*(sezione!$AP$37-C2536)/C2536</f>
        <v>8.4407640333557479E-2</v>
      </c>
      <c r="P2536" s="553">
        <f>-'Progetto del paramento slu'!$G$47*'Progetto del paramento slu'!$G$41*IF(DATI!$G$218="dx",DATI!$E$61,DATI!$E$64*DATI!$E$63)*1000*C2536*sezione!$AD$5</f>
        <v>-145923.07571305809</v>
      </c>
      <c r="Q2536" s="553">
        <f>'Foglio deposito bis'!$F$88*IF(ABS(K2536)&lt;'Progetto del paramento slu'!$G$58,ABS(K2536)*'Progetto del paramento slu'!$G$54,'Progetto del paramento slu'!$G$53)*IF(K2536&lt;0,-1,1)</f>
        <v>0</v>
      </c>
      <c r="R2536" s="553">
        <f>'Foglio deposito bis'!$F$89*IF(ABS(L2536)&lt;'Progetto del paramento slu'!$G$58,ABS(L2536)*'Progetto del paramento slu'!$G$54,'Progetto del paramento slu'!$G$53)*IF(L2536&lt;0,-1,1)</f>
        <v>153664.85805602249</v>
      </c>
      <c r="S2536" s="553">
        <f>'Foglio deposito bis'!$F$90*IF(ABS(M2536)&lt;'Progetto del paramento slu'!$G$58,ABS(M2536)*'Progetto del paramento slu'!$G$54,'Progetto del paramento slu'!$G$53)*IF(M2536&lt;0,-1,1)</f>
        <v>0</v>
      </c>
      <c r="T2536" s="553">
        <f>'Foglio deposito bis'!$F$91*IF(ABS(N2536)&lt;'Progetto del paramento slu'!$G$58,ABS(N2536)*'Progetto del paramento slu'!$G$54,'Progetto del paramento slu'!$G$53)*IF(N2536&lt;0,-1,1)</f>
        <v>892485.49558937876</v>
      </c>
      <c r="U2536" s="553">
        <f>'Foglio deposito bis'!$F$92*IF(ABS(O2536)&lt;'Progetto del paramento slu'!$G$58,ABS(O2536)*'Progetto del paramento slu'!$G$54,'Progetto del paramento slu'!$G$53)*IF(O2536&lt;0,-1,1)</f>
        <v>1662039.1047339395</v>
      </c>
      <c r="V2536" s="479">
        <f t="shared" si="186"/>
        <v>2562266.3826662828</v>
      </c>
      <c r="W2536" s="559"/>
      <c r="X2536" s="559"/>
    </row>
    <row r="2537" spans="1:24" x14ac:dyDescent="0.25">
      <c r="A2537" s="553">
        <f t="shared" si="185"/>
        <v>2559405.1458875951</v>
      </c>
      <c r="B2537" s="3">
        <f t="shared" si="187"/>
        <v>2.5999999999999988</v>
      </c>
      <c r="C2537" s="553">
        <f>'Foglio deposito bis'!$E$163/sezione!$B$247*B2537</f>
        <v>10.555155615696881</v>
      </c>
      <c r="D2537" s="611">
        <f>-'Progetto del paramento slu'!$G$47*'Progetto del paramento slu'!$G$41*IF(DATI!$G$218="dx",DATI!$E$61,DATI!$E$64*DATI!$E$63)*1000*C2537^2*sezione!$AD$5*(1-sezione!$AD$6)</f>
        <v>-917137.87777051097</v>
      </c>
      <c r="E2537" s="553">
        <f>-'Foglio deposito bis'!$F$88*(C2537-sezione!$AL$37)*IF(ABS(K2537)&lt;'Progetto del paramento slu'!$G$58,ABS(K2537)*'Progetto del paramento slu'!$G$54,'Progetto del paramento slu'!$G$53)</f>
        <v>0</v>
      </c>
      <c r="F2537" s="553">
        <f>-'Foglio deposito bis'!$F$89*(C2537-sezione!$AM$37)*IF(ABS(L2537)&lt;'Progetto del paramento slu'!$G$58,ABS(L2537)*'Progetto del paramento slu'!$G$54,'Progetto del paramento slu'!$G$53)</f>
        <v>21427772.218958084</v>
      </c>
      <c r="G2537" s="553">
        <f>-'Foglio deposito bis'!$F$90*(C2537-sezione!$AN$37)*IF(ABS(M2537)&lt;'Progetto del paramento slu'!$G$58,ABS(M2537)*'Progetto del paramento slu'!$G$54,'Progetto del paramento slu'!$G$53)</f>
        <v>0</v>
      </c>
      <c r="H2537" s="553">
        <f>-'Foglio deposito bis'!$F$91*(C2537-sezione!$AO$37)*IF(ABS(N2537)&lt;'Progetto del paramento slu'!$G$58,ABS(N2537)*'Progetto del paramento slu'!$G$54,'Progetto del paramento slu'!$G$53)</f>
        <v>294024745.20969057</v>
      </c>
      <c r="I2537" s="479">
        <f>-'Foglio deposito bis'!$F$92*(C2537-sezione!$AP$37)*IF(ABS(O2537)&lt;'Progetto del paramento slu'!$G$58,ABS(O2537)*'Progetto del paramento slu'!$G$54,'Progetto del paramento slu'!$G$53)</f>
        <v>414603706.23203099</v>
      </c>
      <c r="J2537" s="479">
        <f t="shared" si="183"/>
        <v>729139085.78290915</v>
      </c>
      <c r="K2537" s="558">
        <f>'Progetto del paramento slu'!$G$60*(sezione!$AL$37-C2537)/C2537</f>
        <v>9.7636604420878355E-3</v>
      </c>
      <c r="L2537" s="558">
        <f>'Progetto del paramento slu'!$G$60*(sezione!$AM$37-C2537)/C2537</f>
        <v>4.6238726657829382E-2</v>
      </c>
      <c r="M2537" s="559">
        <f>'Progetto del paramento slu'!$G$60*(sezione!$AN$37-C2537)/C2537</f>
        <v>8.2713792873570932E-2</v>
      </c>
      <c r="N2537" s="559">
        <f>'Progetto del paramento slu'!$G$60*(sezione!$AO$37-C2537)/C2537</f>
        <v>0.1092411137577466</v>
      </c>
      <c r="O2537" s="559">
        <f>'Progetto del paramento slu'!$G$60*(sezione!$AP$37-C2537)/C2537</f>
        <v>8.2717108788681382E-2</v>
      </c>
      <c r="P2537" s="553">
        <f>-'Progetto del paramento slu'!$G$47*'Progetto del paramento slu'!$G$41*IF(DATI!$G$218="dx",DATI!$E$61,DATI!$E$64*DATI!$E$63)*1000*C2537*sezione!$AD$5</f>
        <v>-148784.31249174551</v>
      </c>
      <c r="Q2537" s="553">
        <f>'Foglio deposito bis'!$F$88*IF(ABS(K2537)&lt;'Progetto del paramento slu'!$G$58,ABS(K2537)*'Progetto del paramento slu'!$G$54,'Progetto del paramento slu'!$G$53)*IF(K2537&lt;0,-1,1)</f>
        <v>0</v>
      </c>
      <c r="R2537" s="553">
        <f>'Foglio deposito bis'!$F$89*IF(ABS(L2537)&lt;'Progetto del paramento slu'!$G$58,ABS(L2537)*'Progetto del paramento slu'!$G$54,'Progetto del paramento slu'!$G$53)*IF(L2537&lt;0,-1,1)</f>
        <v>153664.85805602249</v>
      </c>
      <c r="S2537" s="553">
        <f>'Foglio deposito bis'!$F$90*IF(ABS(M2537)&lt;'Progetto del paramento slu'!$G$58,ABS(M2537)*'Progetto del paramento slu'!$G$54,'Progetto del paramento slu'!$G$53)*IF(M2537&lt;0,-1,1)</f>
        <v>0</v>
      </c>
      <c r="T2537" s="553">
        <f>'Foglio deposito bis'!$F$91*IF(ABS(N2537)&lt;'Progetto del paramento slu'!$G$58,ABS(N2537)*'Progetto del paramento slu'!$G$54,'Progetto del paramento slu'!$G$53)*IF(N2537&lt;0,-1,1)</f>
        <v>892485.49558937876</v>
      </c>
      <c r="U2537" s="553">
        <f>'Foglio deposito bis'!$F$92*IF(ABS(O2537)&lt;'Progetto del paramento slu'!$G$58,ABS(O2537)*'Progetto del paramento slu'!$G$54,'Progetto del paramento slu'!$G$53)*IF(O2537&lt;0,-1,1)</f>
        <v>1662039.1047339395</v>
      </c>
      <c r="V2537" s="479">
        <f t="shared" si="186"/>
        <v>2559405.1458875951</v>
      </c>
      <c r="W2537" s="559"/>
      <c r="X2537" s="559"/>
    </row>
    <row r="2538" spans="1:24" x14ac:dyDescent="0.25">
      <c r="A2538" s="553">
        <f t="shared" si="185"/>
        <v>2556543.9091089079</v>
      </c>
      <c r="B2538" s="3">
        <f t="shared" si="187"/>
        <v>2.6499999999999986</v>
      </c>
      <c r="C2538" s="553">
        <f>'Foglio deposito bis'!$E$163/sezione!$B$247*B2538</f>
        <v>10.758139377537205</v>
      </c>
      <c r="D2538" s="611">
        <f>-'Progetto del paramento slu'!$G$47*'Progetto del paramento slu'!$G$41*IF(DATI!$G$218="dx",DATI!$E$61,DATI!$E$64*DATI!$E$63)*1000*C2538^2*sezione!$AD$5*(1-sezione!$AD$6)</f>
        <v>-952751.58974014956</v>
      </c>
      <c r="E2538" s="553">
        <f>-'Foglio deposito bis'!$F$88*(C2538-sezione!$AL$37)*IF(ABS(K2538)&lt;'Progetto del paramento slu'!$G$58,ABS(K2538)*'Progetto del paramento slu'!$G$54,'Progetto del paramento slu'!$G$53)</f>
        <v>0</v>
      </c>
      <c r="F2538" s="553">
        <f>-'Foglio deposito bis'!$F$89*(C2538-sezione!$AM$37)*IF(ABS(L2538)&lt;'Progetto del paramento slu'!$G$58,ABS(L2538)*'Progetto del paramento slu'!$G$54,'Progetto del paramento slu'!$G$53)</f>
        <v>21396580.748007216</v>
      </c>
      <c r="G2538" s="553">
        <f>-'Foglio deposito bis'!$F$90*(C2538-sezione!$AN$37)*IF(ABS(M2538)&lt;'Progetto del paramento slu'!$G$58,ABS(M2538)*'Progetto del paramento slu'!$G$54,'Progetto del paramento slu'!$G$53)</f>
        <v>0</v>
      </c>
      <c r="H2538" s="553">
        <f>-'Foglio deposito bis'!$F$91*(C2538-sezione!$AO$37)*IF(ABS(N2538)&lt;'Progetto del paramento slu'!$G$58,ABS(N2538)*'Progetto del paramento slu'!$G$54,'Progetto del paramento slu'!$G$53)</f>
        <v>293843585.1464079</v>
      </c>
      <c r="I2538" s="479">
        <f>-'Foglio deposito bis'!$F$92*(C2538-sezione!$AP$37)*IF(ABS(O2538)&lt;'Progetto del paramento slu'!$G$58,ABS(O2538)*'Progetto del paramento slu'!$G$54,'Progetto del paramento slu'!$G$53)</f>
        <v>414266339.28222638</v>
      </c>
      <c r="J2538" s="479">
        <f t="shared" si="183"/>
        <v>728553753.58690143</v>
      </c>
      <c r="K2538" s="558">
        <f>'Progetto del paramento slu'!$G$60*(sezione!$AL$37-C2538)/C2538</f>
        <v>9.5134026978975009E-3</v>
      </c>
      <c r="L2538" s="558">
        <f>'Progetto del paramento slu'!$G$60*(sezione!$AM$37-C2538)/C2538</f>
        <v>4.5300260117115632E-2</v>
      </c>
      <c r="M2538" s="559">
        <f>'Progetto del paramento slu'!$G$60*(sezione!$AN$37-C2538)/C2538</f>
        <v>8.1087117536333755E-2</v>
      </c>
      <c r="N2538" s="559">
        <f>'Progetto del paramento slu'!$G$60*(sezione!$AO$37-C2538)/C2538</f>
        <v>0.10711392293212876</v>
      </c>
      <c r="O2538" s="559">
        <f>'Progetto del paramento slu'!$G$60*(sezione!$AP$37-C2538)/C2538</f>
        <v>8.1090370887008156E-2</v>
      </c>
      <c r="P2538" s="553">
        <f>-'Progetto del paramento slu'!$G$47*'Progetto del paramento slu'!$G$41*IF(DATI!$G$218="dx",DATI!$E$61,DATI!$E$64*DATI!$E$63)*1000*C2538*sezione!$AD$5</f>
        <v>-151645.54927043291</v>
      </c>
      <c r="Q2538" s="553">
        <f>'Foglio deposito bis'!$F$88*IF(ABS(K2538)&lt;'Progetto del paramento slu'!$G$58,ABS(K2538)*'Progetto del paramento slu'!$G$54,'Progetto del paramento slu'!$G$53)*IF(K2538&lt;0,-1,1)</f>
        <v>0</v>
      </c>
      <c r="R2538" s="553">
        <f>'Foglio deposito bis'!$F$89*IF(ABS(L2538)&lt;'Progetto del paramento slu'!$G$58,ABS(L2538)*'Progetto del paramento slu'!$G$54,'Progetto del paramento slu'!$G$53)*IF(L2538&lt;0,-1,1)</f>
        <v>153664.85805602249</v>
      </c>
      <c r="S2538" s="553">
        <f>'Foglio deposito bis'!$F$90*IF(ABS(M2538)&lt;'Progetto del paramento slu'!$G$58,ABS(M2538)*'Progetto del paramento slu'!$G$54,'Progetto del paramento slu'!$G$53)*IF(M2538&lt;0,-1,1)</f>
        <v>0</v>
      </c>
      <c r="T2538" s="553">
        <f>'Foglio deposito bis'!$F$91*IF(ABS(N2538)&lt;'Progetto del paramento slu'!$G$58,ABS(N2538)*'Progetto del paramento slu'!$G$54,'Progetto del paramento slu'!$G$53)*IF(N2538&lt;0,-1,1)</f>
        <v>892485.49558937876</v>
      </c>
      <c r="U2538" s="553">
        <f>'Foglio deposito bis'!$F$92*IF(ABS(O2538)&lt;'Progetto del paramento slu'!$G$58,ABS(O2538)*'Progetto del paramento slu'!$G$54,'Progetto del paramento slu'!$G$53)*IF(O2538&lt;0,-1,1)</f>
        <v>1662039.1047339395</v>
      </c>
      <c r="V2538" s="479">
        <f t="shared" si="186"/>
        <v>2556543.9091089079</v>
      </c>
      <c r="W2538" s="559"/>
      <c r="X2538" s="559"/>
    </row>
    <row r="2539" spans="1:24" x14ac:dyDescent="0.25">
      <c r="A2539" s="553">
        <f t="shared" si="185"/>
        <v>2553682.6723302202</v>
      </c>
      <c r="B2539" s="3">
        <f t="shared" si="187"/>
        <v>2.6999999999999984</v>
      </c>
      <c r="C2539" s="553">
        <f>'Foglio deposito bis'!$E$163/sezione!$B$247*B2539</f>
        <v>10.961123139377529</v>
      </c>
      <c r="D2539" s="611">
        <f>-'Progetto del paramento slu'!$G$47*'Progetto del paramento slu'!$G$41*IF(DATI!$G$218="dx",DATI!$E$61,DATI!$E$64*DATI!$E$63)*1000*C2539^2*sezione!$AD$5*(1-sezione!$AD$6)</f>
        <v>-989043.65812825772</v>
      </c>
      <c r="E2539" s="553">
        <f>-'Foglio deposito bis'!$F$88*(C2539-sezione!$AL$37)*IF(ABS(K2539)&lt;'Progetto del paramento slu'!$G$58,ABS(K2539)*'Progetto del paramento slu'!$G$54,'Progetto del paramento slu'!$G$53)</f>
        <v>0</v>
      </c>
      <c r="F2539" s="553">
        <f>-'Foglio deposito bis'!$F$89*(C2539-sezione!$AM$37)*IF(ABS(L2539)&lt;'Progetto del paramento slu'!$G$58,ABS(L2539)*'Progetto del paramento slu'!$G$54,'Progetto del paramento slu'!$G$53)</f>
        <v>21365389.277056344</v>
      </c>
      <c r="G2539" s="553">
        <f>-'Foglio deposito bis'!$F$90*(C2539-sezione!$AN$37)*IF(ABS(M2539)&lt;'Progetto del paramento slu'!$G$58,ABS(M2539)*'Progetto del paramento slu'!$G$54,'Progetto del paramento slu'!$G$53)</f>
        <v>0</v>
      </c>
      <c r="H2539" s="553">
        <f>-'Foglio deposito bis'!$F$91*(C2539-sezione!$AO$37)*IF(ABS(N2539)&lt;'Progetto del paramento slu'!$G$58,ABS(N2539)*'Progetto del paramento slu'!$G$54,'Progetto del paramento slu'!$G$53)</f>
        <v>293662425.08312523</v>
      </c>
      <c r="I2539" s="479">
        <f>-'Foglio deposito bis'!$F$92*(C2539-sezione!$AP$37)*IF(ABS(O2539)&lt;'Progetto del paramento slu'!$G$58,ABS(O2539)*'Progetto del paramento slu'!$G$54,'Progetto del paramento slu'!$G$53)</f>
        <v>413928972.33242172</v>
      </c>
      <c r="J2539" s="479">
        <f t="shared" si="183"/>
        <v>727967743.03447509</v>
      </c>
      <c r="K2539" s="558">
        <f>'Progetto del paramento slu'!$G$60*(sezione!$AL$37-C2539)/C2539</f>
        <v>9.272413759047549E-3</v>
      </c>
      <c r="L2539" s="558">
        <f>'Progetto del paramento slu'!$G$60*(sezione!$AM$37-C2539)/C2539</f>
        <v>4.4396551596428309E-2</v>
      </c>
      <c r="M2539" s="559">
        <f>'Progetto del paramento slu'!$G$60*(sezione!$AN$37-C2539)/C2539</f>
        <v>7.9520689433809064E-2</v>
      </c>
      <c r="N2539" s="559">
        <f>'Progetto del paramento slu'!$G$60*(sezione!$AO$37-C2539)/C2539</f>
        <v>0.10506551695190415</v>
      </c>
      <c r="O2539" s="559">
        <f>'Progetto del paramento slu'!$G$60*(sezione!$AP$37-C2539)/C2539</f>
        <v>7.952388253724875E-2</v>
      </c>
      <c r="P2539" s="553">
        <f>-'Progetto del paramento slu'!$G$47*'Progetto del paramento slu'!$G$41*IF(DATI!$G$218="dx",DATI!$E$61,DATI!$E$64*DATI!$E$63)*1000*C2539*sezione!$AD$5</f>
        <v>-154506.7860491203</v>
      </c>
      <c r="Q2539" s="553">
        <f>'Foglio deposito bis'!$F$88*IF(ABS(K2539)&lt;'Progetto del paramento slu'!$G$58,ABS(K2539)*'Progetto del paramento slu'!$G$54,'Progetto del paramento slu'!$G$53)*IF(K2539&lt;0,-1,1)</f>
        <v>0</v>
      </c>
      <c r="R2539" s="553">
        <f>'Foglio deposito bis'!$F$89*IF(ABS(L2539)&lt;'Progetto del paramento slu'!$G$58,ABS(L2539)*'Progetto del paramento slu'!$G$54,'Progetto del paramento slu'!$G$53)*IF(L2539&lt;0,-1,1)</f>
        <v>153664.85805602249</v>
      </c>
      <c r="S2539" s="553">
        <f>'Foglio deposito bis'!$F$90*IF(ABS(M2539)&lt;'Progetto del paramento slu'!$G$58,ABS(M2539)*'Progetto del paramento slu'!$G$54,'Progetto del paramento slu'!$G$53)*IF(M2539&lt;0,-1,1)</f>
        <v>0</v>
      </c>
      <c r="T2539" s="553">
        <f>'Foglio deposito bis'!$F$91*IF(ABS(N2539)&lt;'Progetto del paramento slu'!$G$58,ABS(N2539)*'Progetto del paramento slu'!$G$54,'Progetto del paramento slu'!$G$53)*IF(N2539&lt;0,-1,1)</f>
        <v>892485.49558937876</v>
      </c>
      <c r="U2539" s="553">
        <f>'Foglio deposito bis'!$F$92*IF(ABS(O2539)&lt;'Progetto del paramento slu'!$G$58,ABS(O2539)*'Progetto del paramento slu'!$G$54,'Progetto del paramento slu'!$G$53)*IF(O2539&lt;0,-1,1)</f>
        <v>1662039.1047339395</v>
      </c>
      <c r="V2539" s="479">
        <f t="shared" si="186"/>
        <v>2553682.6723302202</v>
      </c>
      <c r="W2539" s="559"/>
      <c r="X2539" s="559"/>
    </row>
    <row r="2540" spans="1:24" x14ac:dyDescent="0.25">
      <c r="A2540" s="553">
        <f t="shared" si="185"/>
        <v>2550821.435551533</v>
      </c>
      <c r="B2540" s="3">
        <f t="shared" si="187"/>
        <v>2.7499999999999982</v>
      </c>
      <c r="C2540" s="553">
        <f>'Foglio deposito bis'!$E$163/sezione!$B$247*B2540</f>
        <v>11.164106901217853</v>
      </c>
      <c r="D2540" s="611">
        <f>-'Progetto del paramento slu'!$G$47*'Progetto del paramento slu'!$G$41*IF(DATI!$G$218="dx",DATI!$E$61,DATI!$E$64*DATI!$E$63)*1000*C2540^2*sezione!$AD$5*(1-sezione!$AD$6)</f>
        <v>-1026014.0829348351</v>
      </c>
      <c r="E2540" s="553">
        <f>-'Foglio deposito bis'!$F$88*(C2540-sezione!$AL$37)*IF(ABS(K2540)&lt;'Progetto del paramento slu'!$G$58,ABS(K2540)*'Progetto del paramento slu'!$G$54,'Progetto del paramento slu'!$G$53)</f>
        <v>0</v>
      </c>
      <c r="F2540" s="553">
        <f>-'Foglio deposito bis'!$F$89*(C2540-sezione!$AM$37)*IF(ABS(L2540)&lt;'Progetto del paramento slu'!$G$58,ABS(L2540)*'Progetto del paramento slu'!$G$54,'Progetto del paramento slu'!$G$53)</f>
        <v>21334197.806105472</v>
      </c>
      <c r="G2540" s="553">
        <f>-'Foglio deposito bis'!$F$90*(C2540-sezione!$AN$37)*IF(ABS(M2540)&lt;'Progetto del paramento slu'!$G$58,ABS(M2540)*'Progetto del paramento slu'!$G$54,'Progetto del paramento slu'!$G$53)</f>
        <v>0</v>
      </c>
      <c r="H2540" s="553">
        <f>-'Foglio deposito bis'!$F$91*(C2540-sezione!$AO$37)*IF(ABS(N2540)&lt;'Progetto del paramento slu'!$G$58,ABS(N2540)*'Progetto del paramento slu'!$G$54,'Progetto del paramento slu'!$G$53)</f>
        <v>293481265.01984257</v>
      </c>
      <c r="I2540" s="479">
        <f>-'Foglio deposito bis'!$F$92*(C2540-sezione!$AP$37)*IF(ABS(O2540)&lt;'Progetto del paramento slu'!$G$58,ABS(O2540)*'Progetto del paramento slu'!$G$54,'Progetto del paramento slu'!$G$53)</f>
        <v>413591605.38261712</v>
      </c>
      <c r="J2540" s="479">
        <f t="shared" si="183"/>
        <v>727381054.12563038</v>
      </c>
      <c r="K2540" s="558">
        <f>'Progetto del paramento slu'!$G$60*(sezione!$AL$37-C2540)/C2540</f>
        <v>9.0401880543375928E-3</v>
      </c>
      <c r="L2540" s="558">
        <f>'Progetto del paramento slu'!$G$60*(sezione!$AM$37-C2540)/C2540</f>
        <v>4.3525705203765981E-2</v>
      </c>
      <c r="M2540" s="559">
        <f>'Progetto del paramento slu'!$G$60*(sezione!$AN$37-C2540)/C2540</f>
        <v>7.8011222353194354E-2</v>
      </c>
      <c r="N2540" s="559">
        <f>'Progetto del paramento slu'!$G$60*(sezione!$AO$37-C2540)/C2540</f>
        <v>0.10309159846186955</v>
      </c>
      <c r="O2540" s="559">
        <f>'Progetto del paramento slu'!$G$60*(sezione!$AP$37-C2540)/C2540</f>
        <v>7.8014357400207873E-2</v>
      </c>
      <c r="P2540" s="553">
        <f>-'Progetto del paramento slu'!$G$47*'Progetto del paramento slu'!$G$41*IF(DATI!$G$218="dx",DATI!$E$61,DATI!$E$64*DATI!$E$63)*1000*C2540*sezione!$AD$5</f>
        <v>-157368.02282780773</v>
      </c>
      <c r="Q2540" s="553">
        <f>'Foglio deposito bis'!$F$88*IF(ABS(K2540)&lt;'Progetto del paramento slu'!$G$58,ABS(K2540)*'Progetto del paramento slu'!$G$54,'Progetto del paramento slu'!$G$53)*IF(K2540&lt;0,-1,1)</f>
        <v>0</v>
      </c>
      <c r="R2540" s="553">
        <f>'Foglio deposito bis'!$F$89*IF(ABS(L2540)&lt;'Progetto del paramento slu'!$G$58,ABS(L2540)*'Progetto del paramento slu'!$G$54,'Progetto del paramento slu'!$G$53)*IF(L2540&lt;0,-1,1)</f>
        <v>153664.85805602249</v>
      </c>
      <c r="S2540" s="553">
        <f>'Foglio deposito bis'!$F$90*IF(ABS(M2540)&lt;'Progetto del paramento slu'!$G$58,ABS(M2540)*'Progetto del paramento slu'!$G$54,'Progetto del paramento slu'!$G$53)*IF(M2540&lt;0,-1,1)</f>
        <v>0</v>
      </c>
      <c r="T2540" s="553">
        <f>'Foglio deposito bis'!$F$91*IF(ABS(N2540)&lt;'Progetto del paramento slu'!$G$58,ABS(N2540)*'Progetto del paramento slu'!$G$54,'Progetto del paramento slu'!$G$53)*IF(N2540&lt;0,-1,1)</f>
        <v>892485.49558937876</v>
      </c>
      <c r="U2540" s="553">
        <f>'Foglio deposito bis'!$F$92*IF(ABS(O2540)&lt;'Progetto del paramento slu'!$G$58,ABS(O2540)*'Progetto del paramento slu'!$G$54,'Progetto del paramento slu'!$G$53)*IF(O2540&lt;0,-1,1)</f>
        <v>1662039.1047339395</v>
      </c>
      <c r="V2540" s="479">
        <f t="shared" si="186"/>
        <v>2550821.435551533</v>
      </c>
      <c r="W2540" s="559"/>
      <c r="X2540" s="559"/>
    </row>
    <row r="2541" spans="1:24" x14ac:dyDescent="0.25">
      <c r="A2541" s="553">
        <f t="shared" si="185"/>
        <v>2547960.1987728458</v>
      </c>
      <c r="B2541" s="3">
        <f t="shared" si="187"/>
        <v>2.799999999999998</v>
      </c>
      <c r="C2541" s="553">
        <f>'Foglio deposito bis'!$E$163/sezione!$B$247*B2541</f>
        <v>11.367090663058178</v>
      </c>
      <c r="D2541" s="611">
        <f>-'Progetto del paramento slu'!$G$47*'Progetto del paramento slu'!$G$41*IF(DATI!$G$218="dx",DATI!$E$61,DATI!$E$64*DATI!$E$63)*1000*C2541^2*sezione!$AD$5*(1-sezione!$AD$6)</f>
        <v>-1063662.8641598823</v>
      </c>
      <c r="E2541" s="553">
        <f>-'Foglio deposito bis'!$F$88*(C2541-sezione!$AL$37)*IF(ABS(K2541)&lt;'Progetto del paramento slu'!$G$58,ABS(K2541)*'Progetto del paramento slu'!$G$54,'Progetto del paramento slu'!$G$53)</f>
        <v>0</v>
      </c>
      <c r="F2541" s="553">
        <f>-'Foglio deposito bis'!$F$89*(C2541-sezione!$AM$37)*IF(ABS(L2541)&lt;'Progetto del paramento slu'!$G$58,ABS(L2541)*'Progetto del paramento slu'!$G$54,'Progetto del paramento slu'!$G$53)</f>
        <v>21303006.3351546</v>
      </c>
      <c r="G2541" s="553">
        <f>-'Foglio deposito bis'!$F$90*(C2541-sezione!$AN$37)*IF(ABS(M2541)&lt;'Progetto del paramento slu'!$G$58,ABS(M2541)*'Progetto del paramento slu'!$G$54,'Progetto del paramento slu'!$G$53)</f>
        <v>0</v>
      </c>
      <c r="H2541" s="553">
        <f>-'Foglio deposito bis'!$F$91*(C2541-sezione!$AO$37)*IF(ABS(N2541)&lt;'Progetto del paramento slu'!$G$58,ABS(N2541)*'Progetto del paramento slu'!$G$54,'Progetto del paramento slu'!$G$53)</f>
        <v>293300104.9565599</v>
      </c>
      <c r="I2541" s="479">
        <f>-'Foglio deposito bis'!$F$92*(C2541-sezione!$AP$37)*IF(ABS(O2541)&lt;'Progetto del paramento slu'!$G$58,ABS(O2541)*'Progetto del paramento slu'!$G$54,'Progetto del paramento slu'!$G$53)</f>
        <v>413254238.43281251</v>
      </c>
      <c r="J2541" s="479">
        <f t="shared" si="183"/>
        <v>726793686.86036706</v>
      </c>
      <c r="K2541" s="558">
        <f>'Progetto del paramento slu'!$G$60*(sezione!$AL$37-C2541)/C2541</f>
        <v>8.8162561247958505E-3</v>
      </c>
      <c r="L2541" s="558">
        <f>'Progetto del paramento slu'!$G$60*(sezione!$AM$37-C2541)/C2541</f>
        <v>4.2685960467984431E-2</v>
      </c>
      <c r="M2541" s="559">
        <f>'Progetto del paramento slu'!$G$60*(sezione!$AN$37-C2541)/C2541</f>
        <v>7.6555664811173027E-2</v>
      </c>
      <c r="N2541" s="559">
        <f>'Progetto del paramento slu'!$G$60*(sezione!$AO$37-C2541)/C2541</f>
        <v>0.10118817706076472</v>
      </c>
      <c r="O2541" s="559">
        <f>'Progetto del paramento slu'!$G$60*(sezione!$AP$37-C2541)/C2541</f>
        <v>7.6558743875204144E-2</v>
      </c>
      <c r="P2541" s="553">
        <f>-'Progetto del paramento slu'!$G$47*'Progetto del paramento slu'!$G$41*IF(DATI!$G$218="dx",DATI!$E$61,DATI!$E$64*DATI!$E$63)*1000*C2541*sezione!$AD$5</f>
        <v>-160229.25960649515</v>
      </c>
      <c r="Q2541" s="553">
        <f>'Foglio deposito bis'!$F$88*IF(ABS(K2541)&lt;'Progetto del paramento slu'!$G$58,ABS(K2541)*'Progetto del paramento slu'!$G$54,'Progetto del paramento slu'!$G$53)*IF(K2541&lt;0,-1,1)</f>
        <v>0</v>
      </c>
      <c r="R2541" s="553">
        <f>'Foglio deposito bis'!$F$89*IF(ABS(L2541)&lt;'Progetto del paramento slu'!$G$58,ABS(L2541)*'Progetto del paramento slu'!$G$54,'Progetto del paramento slu'!$G$53)*IF(L2541&lt;0,-1,1)</f>
        <v>153664.85805602249</v>
      </c>
      <c r="S2541" s="553">
        <f>'Foglio deposito bis'!$F$90*IF(ABS(M2541)&lt;'Progetto del paramento slu'!$G$58,ABS(M2541)*'Progetto del paramento slu'!$G$54,'Progetto del paramento slu'!$G$53)*IF(M2541&lt;0,-1,1)</f>
        <v>0</v>
      </c>
      <c r="T2541" s="553">
        <f>'Foglio deposito bis'!$F$91*IF(ABS(N2541)&lt;'Progetto del paramento slu'!$G$58,ABS(N2541)*'Progetto del paramento slu'!$G$54,'Progetto del paramento slu'!$G$53)*IF(N2541&lt;0,-1,1)</f>
        <v>892485.49558937876</v>
      </c>
      <c r="U2541" s="553">
        <f>'Foglio deposito bis'!$F$92*IF(ABS(O2541)&lt;'Progetto del paramento slu'!$G$58,ABS(O2541)*'Progetto del paramento slu'!$G$54,'Progetto del paramento slu'!$G$53)*IF(O2541&lt;0,-1,1)</f>
        <v>1662039.1047339395</v>
      </c>
      <c r="V2541" s="479">
        <f t="shared" si="186"/>
        <v>2547960.1987728458</v>
      </c>
      <c r="W2541" s="559"/>
      <c r="X2541" s="559"/>
    </row>
    <row r="2542" spans="1:24" x14ac:dyDescent="0.25">
      <c r="A2542" s="553">
        <f t="shared" si="185"/>
        <v>2545098.9619941581</v>
      </c>
      <c r="B2542" s="3">
        <f t="shared" si="187"/>
        <v>2.8499999999999979</v>
      </c>
      <c r="C2542" s="553">
        <f>'Foglio deposito bis'!$E$163/sezione!$B$247*B2542</f>
        <v>11.570074424898502</v>
      </c>
      <c r="D2542" s="611">
        <f>-'Progetto del paramento slu'!$G$47*'Progetto del paramento slu'!$G$41*IF(DATI!$G$218="dx",DATI!$E$61,DATI!$E$64*DATI!$E$63)*1000*C2542^2*sezione!$AD$5*(1-sezione!$AD$6)</f>
        <v>-1101990.0018033984</v>
      </c>
      <c r="E2542" s="553">
        <f>-'Foglio deposito bis'!$F$88*(C2542-sezione!$AL$37)*IF(ABS(K2542)&lt;'Progetto del paramento slu'!$G$58,ABS(K2542)*'Progetto del paramento slu'!$G$54,'Progetto del paramento slu'!$G$53)</f>
        <v>0</v>
      </c>
      <c r="F2542" s="553">
        <f>-'Foglio deposito bis'!$F$89*(C2542-sezione!$AM$37)*IF(ABS(L2542)&lt;'Progetto del paramento slu'!$G$58,ABS(L2542)*'Progetto del paramento slu'!$G$54,'Progetto del paramento slu'!$G$53)</f>
        <v>21271814.864203729</v>
      </c>
      <c r="G2542" s="553">
        <f>-'Foglio deposito bis'!$F$90*(C2542-sezione!$AN$37)*IF(ABS(M2542)&lt;'Progetto del paramento slu'!$G$58,ABS(M2542)*'Progetto del paramento slu'!$G$54,'Progetto del paramento slu'!$G$53)</f>
        <v>0</v>
      </c>
      <c r="H2542" s="553">
        <f>-'Foglio deposito bis'!$F$91*(C2542-sezione!$AO$37)*IF(ABS(N2542)&lt;'Progetto del paramento slu'!$G$58,ABS(N2542)*'Progetto del paramento slu'!$G$54,'Progetto del paramento slu'!$G$53)</f>
        <v>293118944.89327723</v>
      </c>
      <c r="I2542" s="479">
        <f>-'Foglio deposito bis'!$F$92*(C2542-sezione!$AP$37)*IF(ABS(O2542)&lt;'Progetto del paramento slu'!$G$58,ABS(O2542)*'Progetto del paramento slu'!$G$54,'Progetto del paramento slu'!$G$53)</f>
        <v>412916871.48300779</v>
      </c>
      <c r="J2542" s="479">
        <f t="shared" si="183"/>
        <v>726205641.23868537</v>
      </c>
      <c r="K2542" s="558">
        <f>'Progetto del paramento slu'!$G$60*(sezione!$AL$37-C2542)/C2542</f>
        <v>8.6001814559397843E-3</v>
      </c>
      <c r="L2542" s="558">
        <f>'Progetto del paramento slu'!$G$60*(sezione!$AM$37-C2542)/C2542</f>
        <v>4.1875680459774182E-2</v>
      </c>
      <c r="M2542" s="559">
        <f>'Progetto del paramento slu'!$G$60*(sezione!$AN$37-C2542)/C2542</f>
        <v>7.5151179463608581E-2</v>
      </c>
      <c r="N2542" s="559">
        <f>'Progetto del paramento slu'!$G$60*(sezione!$AO$37-C2542)/C2542</f>
        <v>9.9351542375488155E-2</v>
      </c>
      <c r="O2542" s="559">
        <f>'Progetto del paramento slu'!$G$60*(sezione!$AP$37-C2542)/C2542</f>
        <v>7.5154204508972505E-2</v>
      </c>
      <c r="P2542" s="553">
        <f>-'Progetto del paramento slu'!$G$47*'Progetto del paramento slu'!$G$41*IF(DATI!$G$218="dx",DATI!$E$61,DATI!$E$64*DATI!$E$63)*1000*C2542*sezione!$AD$5</f>
        <v>-163090.49638518255</v>
      </c>
      <c r="Q2542" s="553">
        <f>'Foglio deposito bis'!$F$88*IF(ABS(K2542)&lt;'Progetto del paramento slu'!$G$58,ABS(K2542)*'Progetto del paramento slu'!$G$54,'Progetto del paramento slu'!$G$53)*IF(K2542&lt;0,-1,1)</f>
        <v>0</v>
      </c>
      <c r="R2542" s="553">
        <f>'Foglio deposito bis'!$F$89*IF(ABS(L2542)&lt;'Progetto del paramento slu'!$G$58,ABS(L2542)*'Progetto del paramento slu'!$G$54,'Progetto del paramento slu'!$G$53)*IF(L2542&lt;0,-1,1)</f>
        <v>153664.85805602249</v>
      </c>
      <c r="S2542" s="553">
        <f>'Foglio deposito bis'!$F$90*IF(ABS(M2542)&lt;'Progetto del paramento slu'!$G$58,ABS(M2542)*'Progetto del paramento slu'!$G$54,'Progetto del paramento slu'!$G$53)*IF(M2542&lt;0,-1,1)</f>
        <v>0</v>
      </c>
      <c r="T2542" s="553">
        <f>'Foglio deposito bis'!$F$91*IF(ABS(N2542)&lt;'Progetto del paramento slu'!$G$58,ABS(N2542)*'Progetto del paramento slu'!$G$54,'Progetto del paramento slu'!$G$53)*IF(N2542&lt;0,-1,1)</f>
        <v>892485.49558937876</v>
      </c>
      <c r="U2542" s="553">
        <f>'Foglio deposito bis'!$F$92*IF(ABS(O2542)&lt;'Progetto del paramento slu'!$G$58,ABS(O2542)*'Progetto del paramento slu'!$G$54,'Progetto del paramento slu'!$G$53)*IF(O2542&lt;0,-1,1)</f>
        <v>1662039.1047339395</v>
      </c>
      <c r="V2542" s="479">
        <f t="shared" si="186"/>
        <v>2545098.9619941581</v>
      </c>
      <c r="W2542" s="559"/>
      <c r="X2542" s="559"/>
    </row>
    <row r="2543" spans="1:24" x14ac:dyDescent="0.25">
      <c r="A2543" s="553">
        <f t="shared" si="185"/>
        <v>2542237.7252154709</v>
      </c>
      <c r="B2543" s="3">
        <f t="shared" si="187"/>
        <v>2.8999999999999977</v>
      </c>
      <c r="C2543" s="553">
        <f>'Foglio deposito bis'!$E$163/sezione!$B$247*B2543</f>
        <v>11.773058186738826</v>
      </c>
      <c r="D2543" s="611">
        <f>-'Progetto del paramento slu'!$G$47*'Progetto del paramento slu'!$G$41*IF(DATI!$G$218="dx",DATI!$E$61,DATI!$E$64*DATI!$E$63)*1000*C2543^2*sezione!$AD$5*(1-sezione!$AD$6)</f>
        <v>-1140995.4958653834</v>
      </c>
      <c r="E2543" s="553">
        <f>-'Foglio deposito bis'!$F$88*(C2543-sezione!$AL$37)*IF(ABS(K2543)&lt;'Progetto del paramento slu'!$G$58,ABS(K2543)*'Progetto del paramento slu'!$G$54,'Progetto del paramento slu'!$G$53)</f>
        <v>0</v>
      </c>
      <c r="F2543" s="553">
        <f>-'Foglio deposito bis'!$F$89*(C2543-sezione!$AM$37)*IF(ABS(L2543)&lt;'Progetto del paramento slu'!$G$58,ABS(L2543)*'Progetto del paramento slu'!$G$54,'Progetto del paramento slu'!$G$53)</f>
        <v>21240623.393252857</v>
      </c>
      <c r="G2543" s="553">
        <f>-'Foglio deposito bis'!$F$90*(C2543-sezione!$AN$37)*IF(ABS(M2543)&lt;'Progetto del paramento slu'!$G$58,ABS(M2543)*'Progetto del paramento slu'!$G$54,'Progetto del paramento slu'!$G$53)</f>
        <v>0</v>
      </c>
      <c r="H2543" s="553">
        <f>-'Foglio deposito bis'!$F$91*(C2543-sezione!$AO$37)*IF(ABS(N2543)&lt;'Progetto del paramento slu'!$G$58,ABS(N2543)*'Progetto del paramento slu'!$G$54,'Progetto del paramento slu'!$G$53)</f>
        <v>292937784.82999462</v>
      </c>
      <c r="I2543" s="479">
        <f>-'Foglio deposito bis'!$F$92*(C2543-sezione!$AP$37)*IF(ABS(O2543)&lt;'Progetto del paramento slu'!$G$58,ABS(O2543)*'Progetto del paramento slu'!$G$54,'Progetto del paramento slu'!$G$53)</f>
        <v>412579504.53320318</v>
      </c>
      <c r="J2543" s="479">
        <f t="shared" si="183"/>
        <v>725616917.26058531</v>
      </c>
      <c r="K2543" s="558">
        <f>'Progetto del paramento slu'!$G$60*(sezione!$AL$37-C2543)/C2543</f>
        <v>8.3915576377339256E-3</v>
      </c>
      <c r="L2543" s="558">
        <f>'Progetto del paramento slu'!$G$60*(sezione!$AM$37-C2543)/C2543</f>
        <v>4.1093341141502218E-2</v>
      </c>
      <c r="M2543" s="559">
        <f>'Progetto del paramento slu'!$G$60*(sezione!$AN$37-C2543)/C2543</f>
        <v>7.3795124645270521E-2</v>
      </c>
      <c r="N2543" s="559">
        <f>'Progetto del paramento slu'!$G$60*(sezione!$AO$37-C2543)/C2543</f>
        <v>9.7578239920738372E-2</v>
      </c>
      <c r="O2543" s="559">
        <f>'Progetto del paramento slu'!$G$60*(sezione!$AP$37-C2543)/C2543</f>
        <v>7.3798097534679877E-2</v>
      </c>
      <c r="P2543" s="553">
        <f>-'Progetto del paramento slu'!$G$47*'Progetto del paramento slu'!$G$41*IF(DATI!$G$218="dx",DATI!$E$61,DATI!$E$64*DATI!$E$63)*1000*C2543*sezione!$AD$5</f>
        <v>-165951.73316386994</v>
      </c>
      <c r="Q2543" s="553">
        <f>'Foglio deposito bis'!$F$88*IF(ABS(K2543)&lt;'Progetto del paramento slu'!$G$58,ABS(K2543)*'Progetto del paramento slu'!$G$54,'Progetto del paramento slu'!$G$53)*IF(K2543&lt;0,-1,1)</f>
        <v>0</v>
      </c>
      <c r="R2543" s="553">
        <f>'Foglio deposito bis'!$F$89*IF(ABS(L2543)&lt;'Progetto del paramento slu'!$G$58,ABS(L2543)*'Progetto del paramento slu'!$G$54,'Progetto del paramento slu'!$G$53)*IF(L2543&lt;0,-1,1)</f>
        <v>153664.85805602249</v>
      </c>
      <c r="S2543" s="553">
        <f>'Foglio deposito bis'!$F$90*IF(ABS(M2543)&lt;'Progetto del paramento slu'!$G$58,ABS(M2543)*'Progetto del paramento slu'!$G$54,'Progetto del paramento slu'!$G$53)*IF(M2543&lt;0,-1,1)</f>
        <v>0</v>
      </c>
      <c r="T2543" s="553">
        <f>'Foglio deposito bis'!$F$91*IF(ABS(N2543)&lt;'Progetto del paramento slu'!$G$58,ABS(N2543)*'Progetto del paramento slu'!$G$54,'Progetto del paramento slu'!$G$53)*IF(N2543&lt;0,-1,1)</f>
        <v>892485.49558937876</v>
      </c>
      <c r="U2543" s="553">
        <f>'Foglio deposito bis'!$F$92*IF(ABS(O2543)&lt;'Progetto del paramento slu'!$G$58,ABS(O2543)*'Progetto del paramento slu'!$G$54,'Progetto del paramento slu'!$G$53)*IF(O2543&lt;0,-1,1)</f>
        <v>1662039.1047339395</v>
      </c>
      <c r="V2543" s="479">
        <f t="shared" si="186"/>
        <v>2542237.7252154709</v>
      </c>
      <c r="W2543" s="559"/>
      <c r="X2543" s="559"/>
    </row>
    <row r="2544" spans="1:24" x14ac:dyDescent="0.25">
      <c r="A2544" s="553">
        <f t="shared" si="185"/>
        <v>2539376.4884367837</v>
      </c>
      <c r="B2544" s="3">
        <f t="shared" si="187"/>
        <v>2.9499999999999975</v>
      </c>
      <c r="C2544" s="553">
        <f>'Foglio deposito bis'!$E$163/sezione!$B$247*B2544</f>
        <v>11.97604194857915</v>
      </c>
      <c r="D2544" s="611">
        <f>-'Progetto del paramento slu'!$G$47*'Progetto del paramento slu'!$G$41*IF(DATI!$G$218="dx",DATI!$E$61,DATI!$E$64*DATI!$E$63)*1000*C2544^2*sezione!$AD$5*(1-sezione!$AD$6)</f>
        <v>-1180679.3463458382</v>
      </c>
      <c r="E2544" s="553">
        <f>-'Foglio deposito bis'!$F$88*(C2544-sezione!$AL$37)*IF(ABS(K2544)&lt;'Progetto del paramento slu'!$G$58,ABS(K2544)*'Progetto del paramento slu'!$G$54,'Progetto del paramento slu'!$G$53)</f>
        <v>0</v>
      </c>
      <c r="F2544" s="553">
        <f>-'Foglio deposito bis'!$F$89*(C2544-sezione!$AM$37)*IF(ABS(L2544)&lt;'Progetto del paramento slu'!$G$58,ABS(L2544)*'Progetto del paramento slu'!$G$54,'Progetto del paramento slu'!$G$53)</f>
        <v>21209431.922301989</v>
      </c>
      <c r="G2544" s="553">
        <f>-'Foglio deposito bis'!$F$90*(C2544-sezione!$AN$37)*IF(ABS(M2544)&lt;'Progetto del paramento slu'!$G$58,ABS(M2544)*'Progetto del paramento slu'!$G$54,'Progetto del paramento slu'!$G$53)</f>
        <v>0</v>
      </c>
      <c r="H2544" s="553">
        <f>-'Foglio deposito bis'!$F$91*(C2544-sezione!$AO$37)*IF(ABS(N2544)&lt;'Progetto del paramento slu'!$G$58,ABS(N2544)*'Progetto del paramento slu'!$G$54,'Progetto del paramento slu'!$G$53)</f>
        <v>292756624.76671189</v>
      </c>
      <c r="I2544" s="479">
        <f>-'Foglio deposito bis'!$F$92*(C2544-sezione!$AP$37)*IF(ABS(O2544)&lt;'Progetto del paramento slu'!$G$58,ABS(O2544)*'Progetto del paramento slu'!$G$54,'Progetto del paramento slu'!$G$53)</f>
        <v>412242137.5833987</v>
      </c>
      <c r="J2544" s="479">
        <f t="shared" si="183"/>
        <v>725027514.92606676</v>
      </c>
      <c r="K2544" s="558">
        <f>'Progetto del paramento slu'!$G$60*(sezione!$AL$37-C2544)/C2544</f>
        <v>8.1900058133655539E-3</v>
      </c>
      <c r="L2544" s="558">
        <f>'Progetto del paramento slu'!$G$60*(sezione!$AM$37-C2544)/C2544</f>
        <v>4.0337521800120832E-2</v>
      </c>
      <c r="M2544" s="559">
        <f>'Progetto del paramento slu'!$G$60*(sezione!$AN$37-C2544)/C2544</f>
        <v>7.2485037786876108E-2</v>
      </c>
      <c r="N2544" s="559">
        <f>'Progetto del paramento slu'!$G$60*(sezione!$AO$37-C2544)/C2544</f>
        <v>9.5865049413607198E-2</v>
      </c>
      <c r="O2544" s="559">
        <f>'Progetto del paramento slu'!$G$60*(sezione!$AP$37-C2544)/C2544</f>
        <v>7.2487960288329378E-2</v>
      </c>
      <c r="P2544" s="553">
        <f>-'Progetto del paramento slu'!$G$47*'Progetto del paramento slu'!$G$41*IF(DATI!$G$218="dx",DATI!$E$61,DATI!$E$64*DATI!$E$63)*1000*C2544*sezione!$AD$5</f>
        <v>-168812.96994255733</v>
      </c>
      <c r="Q2544" s="553">
        <f>'Foglio deposito bis'!$F$88*IF(ABS(K2544)&lt;'Progetto del paramento slu'!$G$58,ABS(K2544)*'Progetto del paramento slu'!$G$54,'Progetto del paramento slu'!$G$53)*IF(K2544&lt;0,-1,1)</f>
        <v>0</v>
      </c>
      <c r="R2544" s="553">
        <f>'Foglio deposito bis'!$F$89*IF(ABS(L2544)&lt;'Progetto del paramento slu'!$G$58,ABS(L2544)*'Progetto del paramento slu'!$G$54,'Progetto del paramento slu'!$G$53)*IF(L2544&lt;0,-1,1)</f>
        <v>153664.85805602249</v>
      </c>
      <c r="S2544" s="553">
        <f>'Foglio deposito bis'!$F$90*IF(ABS(M2544)&lt;'Progetto del paramento slu'!$G$58,ABS(M2544)*'Progetto del paramento slu'!$G$54,'Progetto del paramento slu'!$G$53)*IF(M2544&lt;0,-1,1)</f>
        <v>0</v>
      </c>
      <c r="T2544" s="553">
        <f>'Foglio deposito bis'!$F$91*IF(ABS(N2544)&lt;'Progetto del paramento slu'!$G$58,ABS(N2544)*'Progetto del paramento slu'!$G$54,'Progetto del paramento slu'!$G$53)*IF(N2544&lt;0,-1,1)</f>
        <v>892485.49558937876</v>
      </c>
      <c r="U2544" s="553">
        <f>'Foglio deposito bis'!$F$92*IF(ABS(O2544)&lt;'Progetto del paramento slu'!$G$58,ABS(O2544)*'Progetto del paramento slu'!$G$54,'Progetto del paramento slu'!$G$53)*IF(O2544&lt;0,-1,1)</f>
        <v>1662039.1047339395</v>
      </c>
      <c r="V2544" s="479">
        <f t="shared" si="186"/>
        <v>2539376.4884367837</v>
      </c>
      <c r="W2544" s="559"/>
      <c r="X2544" s="559"/>
    </row>
    <row r="2545" spans="1:24" x14ac:dyDescent="0.25">
      <c r="A2545" s="553">
        <f t="shared" si="185"/>
        <v>2536515.251658096</v>
      </c>
      <c r="B2545" s="3">
        <f t="shared" si="187"/>
        <v>2.9999999999999973</v>
      </c>
      <c r="C2545" s="553">
        <f>'Foglio deposito bis'!$E$163/sezione!$B$247*B2545</f>
        <v>12.179025710419474</v>
      </c>
      <c r="D2545" s="611">
        <f>-'Progetto del paramento slu'!$G$47*'Progetto del paramento slu'!$G$41*IF(DATI!$G$218="dx",DATI!$E$61,DATI!$E$64*DATI!$E$63)*1000*C2545^2*sezione!$AD$5*(1-sezione!$AD$6)</f>
        <v>-1221041.5532447624</v>
      </c>
      <c r="E2545" s="553">
        <f>-'Foglio deposito bis'!$F$88*(C2545-sezione!$AL$37)*IF(ABS(K2545)&lt;'Progetto del paramento slu'!$G$58,ABS(K2545)*'Progetto del paramento slu'!$G$54,'Progetto del paramento slu'!$G$53)</f>
        <v>0</v>
      </c>
      <c r="F2545" s="553">
        <f>-'Foglio deposito bis'!$F$89*(C2545-sezione!$AM$37)*IF(ABS(L2545)&lt;'Progetto del paramento slu'!$G$58,ABS(L2545)*'Progetto del paramento slu'!$G$54,'Progetto del paramento slu'!$G$53)</f>
        <v>21178240.451351117</v>
      </c>
      <c r="G2545" s="553">
        <f>-'Foglio deposito bis'!$F$90*(C2545-sezione!$AN$37)*IF(ABS(M2545)&lt;'Progetto del paramento slu'!$G$58,ABS(M2545)*'Progetto del paramento slu'!$G$54,'Progetto del paramento slu'!$G$53)</f>
        <v>0</v>
      </c>
      <c r="H2545" s="553">
        <f>-'Foglio deposito bis'!$F$91*(C2545-sezione!$AO$37)*IF(ABS(N2545)&lt;'Progetto del paramento slu'!$G$58,ABS(N2545)*'Progetto del paramento slu'!$G$54,'Progetto del paramento slu'!$G$53)</f>
        <v>292575464.70342928</v>
      </c>
      <c r="I2545" s="479">
        <f>-'Foglio deposito bis'!$F$92*(C2545-sezione!$AP$37)*IF(ABS(O2545)&lt;'Progetto del paramento slu'!$G$58,ABS(O2545)*'Progetto del paramento slu'!$G$54,'Progetto del paramento slu'!$G$53)</f>
        <v>411904770.63359398</v>
      </c>
      <c r="J2545" s="479">
        <f t="shared" si="183"/>
        <v>724437434.23512959</v>
      </c>
      <c r="K2545" s="558">
        <f>'Progetto del paramento slu'!$G$60*(sezione!$AL$37-C2545)/C2545</f>
        <v>7.995172383142797E-3</v>
      </c>
      <c r="L2545" s="558">
        <f>'Progetto del paramento slu'!$G$60*(sezione!$AM$37-C2545)/C2545</f>
        <v>3.9606896436785485E-2</v>
      </c>
      <c r="M2545" s="559">
        <f>'Progetto del paramento slu'!$G$60*(sezione!$AN$37-C2545)/C2545</f>
        <v>7.1218620490428167E-2</v>
      </c>
      <c r="N2545" s="559">
        <f>'Progetto del paramento slu'!$G$60*(sezione!$AO$37-C2545)/C2545</f>
        <v>9.4208965256713781E-2</v>
      </c>
      <c r="O2545" s="559">
        <f>'Progetto del paramento slu'!$G$60*(sezione!$AP$37-C2545)/C2545</f>
        <v>7.1221494283523895E-2</v>
      </c>
      <c r="P2545" s="553">
        <f>-'Progetto del paramento slu'!$G$47*'Progetto del paramento slu'!$G$41*IF(DATI!$G$218="dx",DATI!$E$61,DATI!$E$64*DATI!$E$63)*1000*C2545*sezione!$AD$5</f>
        <v>-171674.20672124476</v>
      </c>
      <c r="Q2545" s="553">
        <f>'Foglio deposito bis'!$F$88*IF(ABS(K2545)&lt;'Progetto del paramento slu'!$G$58,ABS(K2545)*'Progetto del paramento slu'!$G$54,'Progetto del paramento slu'!$G$53)*IF(K2545&lt;0,-1,1)</f>
        <v>0</v>
      </c>
      <c r="R2545" s="553">
        <f>'Foglio deposito bis'!$F$89*IF(ABS(L2545)&lt;'Progetto del paramento slu'!$G$58,ABS(L2545)*'Progetto del paramento slu'!$G$54,'Progetto del paramento slu'!$G$53)*IF(L2545&lt;0,-1,1)</f>
        <v>153664.85805602249</v>
      </c>
      <c r="S2545" s="553">
        <f>'Foglio deposito bis'!$F$90*IF(ABS(M2545)&lt;'Progetto del paramento slu'!$G$58,ABS(M2545)*'Progetto del paramento slu'!$G$54,'Progetto del paramento slu'!$G$53)*IF(M2545&lt;0,-1,1)</f>
        <v>0</v>
      </c>
      <c r="T2545" s="553">
        <f>'Foglio deposito bis'!$F$91*IF(ABS(N2545)&lt;'Progetto del paramento slu'!$G$58,ABS(N2545)*'Progetto del paramento slu'!$G$54,'Progetto del paramento slu'!$G$53)*IF(N2545&lt;0,-1,1)</f>
        <v>892485.49558937876</v>
      </c>
      <c r="U2545" s="553">
        <f>'Foglio deposito bis'!$F$92*IF(ABS(O2545)&lt;'Progetto del paramento slu'!$G$58,ABS(O2545)*'Progetto del paramento slu'!$G$54,'Progetto del paramento slu'!$G$53)*IF(O2545&lt;0,-1,1)</f>
        <v>1662039.1047339395</v>
      </c>
      <c r="V2545" s="479">
        <f t="shared" si="186"/>
        <v>2536515.251658096</v>
      </c>
      <c r="W2545" s="559"/>
      <c r="X2545" s="559"/>
    </row>
    <row r="2546" spans="1:24" x14ac:dyDescent="0.25">
      <c r="A2546" s="553">
        <f t="shared" si="185"/>
        <v>2533654.0148794088</v>
      </c>
      <c r="B2546" s="3">
        <f t="shared" si="187"/>
        <v>3.0499999999999972</v>
      </c>
      <c r="C2546" s="553">
        <f>'Foglio deposito bis'!$E$163/sezione!$B$247*B2546</f>
        <v>12.382009472259798</v>
      </c>
      <c r="D2546" s="611">
        <f>-'Progetto del paramento slu'!$G$47*'Progetto del paramento slu'!$G$41*IF(DATI!$G$218="dx",DATI!$E$61,DATI!$E$64*DATI!$E$63)*1000*C2546^2*sezione!$AD$5*(1-sezione!$AD$6)</f>
        <v>-1262082.1165621553</v>
      </c>
      <c r="E2546" s="553">
        <f>-'Foglio deposito bis'!$F$88*(C2546-sezione!$AL$37)*IF(ABS(K2546)&lt;'Progetto del paramento slu'!$G$58,ABS(K2546)*'Progetto del paramento slu'!$G$54,'Progetto del paramento slu'!$G$53)</f>
        <v>0</v>
      </c>
      <c r="F2546" s="553">
        <f>-'Foglio deposito bis'!$F$89*(C2546-sezione!$AM$37)*IF(ABS(L2546)&lt;'Progetto del paramento slu'!$G$58,ABS(L2546)*'Progetto del paramento slu'!$G$54,'Progetto del paramento slu'!$G$53)</f>
        <v>21147048.980400246</v>
      </c>
      <c r="G2546" s="553">
        <f>-'Foglio deposito bis'!$F$90*(C2546-sezione!$AN$37)*IF(ABS(M2546)&lt;'Progetto del paramento slu'!$G$58,ABS(M2546)*'Progetto del paramento slu'!$G$54,'Progetto del paramento slu'!$G$53)</f>
        <v>0</v>
      </c>
      <c r="H2546" s="553">
        <f>-'Foglio deposito bis'!$F$91*(C2546-sezione!$AO$37)*IF(ABS(N2546)&lt;'Progetto del paramento slu'!$G$58,ABS(N2546)*'Progetto del paramento slu'!$G$54,'Progetto del paramento slu'!$G$53)</f>
        <v>292394304.64014655</v>
      </c>
      <c r="I2546" s="479">
        <f>-'Foglio deposito bis'!$F$92*(C2546-sezione!$AP$37)*IF(ABS(O2546)&lt;'Progetto del paramento slu'!$G$58,ABS(O2546)*'Progetto del paramento slu'!$G$54,'Progetto del paramento slu'!$G$53)</f>
        <v>411567403.68378937</v>
      </c>
      <c r="J2546" s="479">
        <f t="shared" si="183"/>
        <v>723846675.18777394</v>
      </c>
      <c r="K2546" s="558">
        <f>'Progetto del paramento slu'!$G$60*(sezione!$AL$37-C2546)/C2546</f>
        <v>7.8067269342388165E-3</v>
      </c>
      <c r="L2546" s="558">
        <f>'Progetto del paramento slu'!$G$60*(sezione!$AM$37-C2546)/C2546</f>
        <v>3.8900226003395558E-2</v>
      </c>
      <c r="M2546" s="559">
        <f>'Progetto del paramento slu'!$G$60*(sezione!$AN$37-C2546)/C2546</f>
        <v>6.9993725072552304E-2</v>
      </c>
      <c r="N2546" s="559">
        <f>'Progetto del paramento slu'!$G$60*(sezione!$AO$37-C2546)/C2546</f>
        <v>9.2607178941029933E-2</v>
      </c>
      <c r="O2546" s="559">
        <f>'Progetto del paramento slu'!$G$60*(sezione!$AP$37-C2546)/C2546</f>
        <v>6.9996551754285791E-2</v>
      </c>
      <c r="P2546" s="553">
        <f>-'Progetto del paramento slu'!$G$47*'Progetto del paramento slu'!$G$41*IF(DATI!$G$218="dx",DATI!$E$61,DATI!$E$64*DATI!$E$63)*1000*C2546*sezione!$AD$5</f>
        <v>-174535.44349993215</v>
      </c>
      <c r="Q2546" s="553">
        <f>'Foglio deposito bis'!$F$88*IF(ABS(K2546)&lt;'Progetto del paramento slu'!$G$58,ABS(K2546)*'Progetto del paramento slu'!$G$54,'Progetto del paramento slu'!$G$53)*IF(K2546&lt;0,-1,1)</f>
        <v>0</v>
      </c>
      <c r="R2546" s="553">
        <f>'Foglio deposito bis'!$F$89*IF(ABS(L2546)&lt;'Progetto del paramento slu'!$G$58,ABS(L2546)*'Progetto del paramento slu'!$G$54,'Progetto del paramento slu'!$G$53)*IF(L2546&lt;0,-1,1)</f>
        <v>153664.85805602249</v>
      </c>
      <c r="S2546" s="553">
        <f>'Foglio deposito bis'!$F$90*IF(ABS(M2546)&lt;'Progetto del paramento slu'!$G$58,ABS(M2546)*'Progetto del paramento slu'!$G$54,'Progetto del paramento slu'!$G$53)*IF(M2546&lt;0,-1,1)</f>
        <v>0</v>
      </c>
      <c r="T2546" s="553">
        <f>'Foglio deposito bis'!$F$91*IF(ABS(N2546)&lt;'Progetto del paramento slu'!$G$58,ABS(N2546)*'Progetto del paramento slu'!$G$54,'Progetto del paramento slu'!$G$53)*IF(N2546&lt;0,-1,1)</f>
        <v>892485.49558937876</v>
      </c>
      <c r="U2546" s="553">
        <f>'Foglio deposito bis'!$F$92*IF(ABS(O2546)&lt;'Progetto del paramento slu'!$G$58,ABS(O2546)*'Progetto del paramento slu'!$G$54,'Progetto del paramento slu'!$G$53)*IF(O2546&lt;0,-1,1)</f>
        <v>1662039.1047339395</v>
      </c>
      <c r="V2546" s="479">
        <f t="shared" si="186"/>
        <v>2533654.0148794088</v>
      </c>
      <c r="W2546" s="559"/>
      <c r="X2546" s="559"/>
    </row>
    <row r="2547" spans="1:24" x14ac:dyDescent="0.25">
      <c r="A2547" s="553">
        <f t="shared" si="185"/>
        <v>2530792.7781007211</v>
      </c>
      <c r="B2547" s="3">
        <f t="shared" si="187"/>
        <v>3.099999999999997</v>
      </c>
      <c r="C2547" s="553">
        <f>'Foglio deposito bis'!$E$163/sezione!$B$247*B2547</f>
        <v>12.584993234100121</v>
      </c>
      <c r="D2547" s="611">
        <f>-'Progetto del paramento slu'!$G$47*'Progetto del paramento slu'!$G$41*IF(DATI!$G$218="dx",DATI!$E$61,DATI!$E$64*DATI!$E$63)*1000*C2547^2*sezione!$AD$5*(1-sezione!$AD$6)</f>
        <v>-1303801.0362980177</v>
      </c>
      <c r="E2547" s="553">
        <f>-'Foglio deposito bis'!$F$88*(C2547-sezione!$AL$37)*IF(ABS(K2547)&lt;'Progetto del paramento slu'!$G$58,ABS(K2547)*'Progetto del paramento slu'!$G$54,'Progetto del paramento slu'!$G$53)</f>
        <v>0</v>
      </c>
      <c r="F2547" s="553">
        <f>-'Foglio deposito bis'!$F$89*(C2547-sezione!$AM$37)*IF(ABS(L2547)&lt;'Progetto del paramento slu'!$G$58,ABS(L2547)*'Progetto del paramento slu'!$G$54,'Progetto del paramento slu'!$G$53)</f>
        <v>21115857.509449378</v>
      </c>
      <c r="G2547" s="553">
        <f>-'Foglio deposito bis'!$F$90*(C2547-sezione!$AN$37)*IF(ABS(M2547)&lt;'Progetto del paramento slu'!$G$58,ABS(M2547)*'Progetto del paramento slu'!$G$54,'Progetto del paramento slu'!$G$53)</f>
        <v>0</v>
      </c>
      <c r="H2547" s="553">
        <f>-'Foglio deposito bis'!$F$91*(C2547-sezione!$AO$37)*IF(ABS(N2547)&lt;'Progetto del paramento slu'!$G$58,ABS(N2547)*'Progetto del paramento slu'!$G$54,'Progetto del paramento slu'!$G$53)</f>
        <v>292213144.57686394</v>
      </c>
      <c r="I2547" s="479">
        <f>-'Foglio deposito bis'!$F$92*(C2547-sezione!$AP$37)*IF(ABS(O2547)&lt;'Progetto del paramento slu'!$G$58,ABS(O2547)*'Progetto del paramento slu'!$G$54,'Progetto del paramento slu'!$G$53)</f>
        <v>411230036.73398477</v>
      </c>
      <c r="J2547" s="479">
        <f t="shared" si="183"/>
        <v>723255237.78400016</v>
      </c>
      <c r="K2547" s="558">
        <f>'Progetto del paramento slu'!$G$60*(sezione!$AL$37-C2547)/C2547</f>
        <v>7.6243603707833521E-3</v>
      </c>
      <c r="L2547" s="558">
        <f>'Progetto del paramento slu'!$G$60*(sezione!$AM$37-C2547)/C2547</f>
        <v>3.8216351390437567E-2</v>
      </c>
      <c r="M2547" s="559">
        <f>'Progetto del paramento slu'!$G$60*(sezione!$AN$37-C2547)/C2547</f>
        <v>6.8808342410091788E-2</v>
      </c>
      <c r="N2547" s="559">
        <f>'Progetto del paramento slu'!$G$60*(sezione!$AO$37-C2547)/C2547</f>
        <v>9.1057063151658485E-2</v>
      </c>
      <c r="O2547" s="559">
        <f>'Progetto del paramento slu'!$G$60*(sezione!$AP$37-C2547)/C2547</f>
        <v>6.8811123500184423E-2</v>
      </c>
      <c r="P2547" s="553">
        <f>-'Progetto del paramento slu'!$G$47*'Progetto del paramento slu'!$G$41*IF(DATI!$G$218="dx",DATI!$E$61,DATI!$E$64*DATI!$E$63)*1000*C2547*sezione!$AD$5</f>
        <v>-177396.68027861955</v>
      </c>
      <c r="Q2547" s="553">
        <f>'Foglio deposito bis'!$F$88*IF(ABS(K2547)&lt;'Progetto del paramento slu'!$G$58,ABS(K2547)*'Progetto del paramento slu'!$G$54,'Progetto del paramento slu'!$G$53)*IF(K2547&lt;0,-1,1)</f>
        <v>0</v>
      </c>
      <c r="R2547" s="553">
        <f>'Foglio deposito bis'!$F$89*IF(ABS(L2547)&lt;'Progetto del paramento slu'!$G$58,ABS(L2547)*'Progetto del paramento slu'!$G$54,'Progetto del paramento slu'!$G$53)*IF(L2547&lt;0,-1,1)</f>
        <v>153664.85805602249</v>
      </c>
      <c r="S2547" s="553">
        <f>'Foglio deposito bis'!$F$90*IF(ABS(M2547)&lt;'Progetto del paramento slu'!$G$58,ABS(M2547)*'Progetto del paramento slu'!$G$54,'Progetto del paramento slu'!$G$53)*IF(M2547&lt;0,-1,1)</f>
        <v>0</v>
      </c>
      <c r="T2547" s="553">
        <f>'Foglio deposito bis'!$F$91*IF(ABS(N2547)&lt;'Progetto del paramento slu'!$G$58,ABS(N2547)*'Progetto del paramento slu'!$G$54,'Progetto del paramento slu'!$G$53)*IF(N2547&lt;0,-1,1)</f>
        <v>892485.49558937876</v>
      </c>
      <c r="U2547" s="553">
        <f>'Foglio deposito bis'!$F$92*IF(ABS(O2547)&lt;'Progetto del paramento slu'!$G$58,ABS(O2547)*'Progetto del paramento slu'!$G$54,'Progetto del paramento slu'!$G$53)*IF(O2547&lt;0,-1,1)</f>
        <v>1662039.1047339395</v>
      </c>
      <c r="V2547" s="479">
        <f t="shared" si="186"/>
        <v>2530792.7781007211</v>
      </c>
      <c r="W2547" s="559"/>
      <c r="X2547" s="559"/>
    </row>
    <row r="2548" spans="1:24" x14ac:dyDescent="0.25">
      <c r="A2548" s="553">
        <f t="shared" si="185"/>
        <v>2527931.5413220339</v>
      </c>
      <c r="B2548" s="3">
        <f t="shared" si="187"/>
        <v>3.1499999999999968</v>
      </c>
      <c r="C2548" s="553">
        <f>'Foglio deposito bis'!$E$163/sezione!$B$247*B2548</f>
        <v>12.787976995940445</v>
      </c>
      <c r="D2548" s="611">
        <f>-'Progetto del paramento slu'!$G$47*'Progetto del paramento slu'!$G$41*IF(DATI!$G$218="dx",DATI!$E$61,DATI!$E$64*DATI!$E$63)*1000*C2548^2*sezione!$AD$5*(1-sezione!$AD$6)</f>
        <v>-1346198.3124523496</v>
      </c>
      <c r="E2548" s="553">
        <f>-'Foglio deposito bis'!$F$88*(C2548-sezione!$AL$37)*IF(ABS(K2548)&lt;'Progetto del paramento slu'!$G$58,ABS(K2548)*'Progetto del paramento slu'!$G$54,'Progetto del paramento slu'!$G$53)</f>
        <v>0</v>
      </c>
      <c r="F2548" s="553">
        <f>-'Foglio deposito bis'!$F$89*(C2548-sezione!$AM$37)*IF(ABS(L2548)&lt;'Progetto del paramento slu'!$G$58,ABS(L2548)*'Progetto del paramento slu'!$G$54,'Progetto del paramento slu'!$G$53)</f>
        <v>21084666.038498506</v>
      </c>
      <c r="G2548" s="553">
        <f>-'Foglio deposito bis'!$F$90*(C2548-sezione!$AN$37)*IF(ABS(M2548)&lt;'Progetto del paramento slu'!$G$58,ABS(M2548)*'Progetto del paramento slu'!$G$54,'Progetto del paramento slu'!$G$53)</f>
        <v>0</v>
      </c>
      <c r="H2548" s="553">
        <f>-'Foglio deposito bis'!$F$91*(C2548-sezione!$AO$37)*IF(ABS(N2548)&lt;'Progetto del paramento slu'!$G$58,ABS(N2548)*'Progetto del paramento slu'!$G$54,'Progetto del paramento slu'!$G$53)</f>
        <v>292031984.51358134</v>
      </c>
      <c r="I2548" s="479">
        <f>-'Foglio deposito bis'!$F$92*(C2548-sezione!$AP$37)*IF(ABS(O2548)&lt;'Progetto del paramento slu'!$G$58,ABS(O2548)*'Progetto del paramento slu'!$G$54,'Progetto del paramento slu'!$G$53)</f>
        <v>410892669.7841801</v>
      </c>
      <c r="J2548" s="479">
        <f t="shared" si="183"/>
        <v>722663122.02380753</v>
      </c>
      <c r="K2548" s="558">
        <f>'Progetto del paramento slu'!$G$60*(sezione!$AL$37-C2548)/C2548</f>
        <v>7.4477832220407585E-3</v>
      </c>
      <c r="L2548" s="558">
        <f>'Progetto del paramento slu'!$G$60*(sezione!$AM$37-C2548)/C2548</f>
        <v>3.7554187082652846E-2</v>
      </c>
      <c r="M2548" s="559">
        <f>'Progetto del paramento slu'!$G$60*(sezione!$AN$37-C2548)/C2548</f>
        <v>6.7660590943264945E-2</v>
      </c>
      <c r="N2548" s="559">
        <f>'Progetto del paramento slu'!$G$60*(sezione!$AO$37-C2548)/C2548</f>
        <v>8.9556157387346458E-2</v>
      </c>
      <c r="O2548" s="559">
        <f>'Progetto del paramento slu'!$G$60*(sezione!$AP$37-C2548)/C2548</f>
        <v>6.7663327889070382E-2</v>
      </c>
      <c r="P2548" s="553">
        <f>-'Progetto del paramento slu'!$G$47*'Progetto del paramento slu'!$G$41*IF(DATI!$G$218="dx",DATI!$E$61,DATI!$E$64*DATI!$E$63)*1000*C2548*sezione!$AD$5</f>
        <v>-180257.91705730697</v>
      </c>
      <c r="Q2548" s="553">
        <f>'Foglio deposito bis'!$F$88*IF(ABS(K2548)&lt;'Progetto del paramento slu'!$G$58,ABS(K2548)*'Progetto del paramento slu'!$G$54,'Progetto del paramento slu'!$G$53)*IF(K2548&lt;0,-1,1)</f>
        <v>0</v>
      </c>
      <c r="R2548" s="553">
        <f>'Foglio deposito bis'!$F$89*IF(ABS(L2548)&lt;'Progetto del paramento slu'!$G$58,ABS(L2548)*'Progetto del paramento slu'!$G$54,'Progetto del paramento slu'!$G$53)*IF(L2548&lt;0,-1,1)</f>
        <v>153664.85805602249</v>
      </c>
      <c r="S2548" s="553">
        <f>'Foglio deposito bis'!$F$90*IF(ABS(M2548)&lt;'Progetto del paramento slu'!$G$58,ABS(M2548)*'Progetto del paramento slu'!$G$54,'Progetto del paramento slu'!$G$53)*IF(M2548&lt;0,-1,1)</f>
        <v>0</v>
      </c>
      <c r="T2548" s="553">
        <f>'Foglio deposito bis'!$F$91*IF(ABS(N2548)&lt;'Progetto del paramento slu'!$G$58,ABS(N2548)*'Progetto del paramento slu'!$G$54,'Progetto del paramento slu'!$G$53)*IF(N2548&lt;0,-1,1)</f>
        <v>892485.49558937876</v>
      </c>
      <c r="U2548" s="553">
        <f>'Foglio deposito bis'!$F$92*IF(ABS(O2548)&lt;'Progetto del paramento slu'!$G$58,ABS(O2548)*'Progetto del paramento slu'!$G$54,'Progetto del paramento slu'!$G$53)*IF(O2548&lt;0,-1,1)</f>
        <v>1662039.1047339395</v>
      </c>
      <c r="V2548" s="479">
        <f t="shared" si="186"/>
        <v>2527931.5413220339</v>
      </c>
      <c r="W2548" s="559"/>
      <c r="X2548" s="559"/>
    </row>
    <row r="2549" spans="1:24" x14ac:dyDescent="0.25">
      <c r="A2549" s="553">
        <f t="shared" si="185"/>
        <v>2525070.3045433462</v>
      </c>
      <c r="B2549" s="3">
        <f t="shared" si="187"/>
        <v>3.1999999999999966</v>
      </c>
      <c r="C2549" s="553">
        <f>'Foglio deposito bis'!$E$163/sezione!$B$247*B2549</f>
        <v>12.990960757780769</v>
      </c>
      <c r="D2549" s="611">
        <f>-'Progetto del paramento slu'!$G$47*'Progetto del paramento slu'!$G$41*IF(DATI!$G$218="dx",DATI!$E$61,DATI!$E$64*DATI!$E$63)*1000*C2549^2*sezione!$AD$5*(1-sezione!$AD$6)</f>
        <v>-1389273.9450251509</v>
      </c>
      <c r="E2549" s="553">
        <f>-'Foglio deposito bis'!$F$88*(C2549-sezione!$AL$37)*IF(ABS(K2549)&lt;'Progetto del paramento slu'!$G$58,ABS(K2549)*'Progetto del paramento slu'!$G$54,'Progetto del paramento slu'!$G$53)</f>
        <v>0</v>
      </c>
      <c r="F2549" s="553">
        <f>-'Foglio deposito bis'!$F$89*(C2549-sezione!$AM$37)*IF(ABS(L2549)&lt;'Progetto del paramento slu'!$G$58,ABS(L2549)*'Progetto del paramento slu'!$G$54,'Progetto del paramento slu'!$G$53)</f>
        <v>21053474.567547631</v>
      </c>
      <c r="G2549" s="553">
        <f>-'Foglio deposito bis'!$F$90*(C2549-sezione!$AN$37)*IF(ABS(M2549)&lt;'Progetto del paramento slu'!$G$58,ABS(M2549)*'Progetto del paramento slu'!$G$54,'Progetto del paramento slu'!$G$53)</f>
        <v>0</v>
      </c>
      <c r="H2549" s="553">
        <f>-'Foglio deposito bis'!$F$91*(C2549-sezione!$AO$37)*IF(ABS(N2549)&lt;'Progetto del paramento slu'!$G$58,ABS(N2549)*'Progetto del paramento slu'!$G$54,'Progetto del paramento slu'!$G$53)</f>
        <v>291850824.45029861</v>
      </c>
      <c r="I2549" s="479">
        <f>-'Foglio deposito bis'!$F$92*(C2549-sezione!$AP$37)*IF(ABS(O2549)&lt;'Progetto del paramento slu'!$G$58,ABS(O2549)*'Progetto del paramento slu'!$G$54,'Progetto del paramento slu'!$G$53)</f>
        <v>410555302.8343755</v>
      </c>
      <c r="J2549" s="479">
        <f t="shared" ref="J2549:J2612" si="188">D2549+E2549+F2549+G2549+H2549+I2549</f>
        <v>722070327.90719652</v>
      </c>
      <c r="K2549" s="558">
        <f>'Progetto del paramento slu'!$G$60*(sezione!$AL$37-C2549)/C2549</f>
        <v>7.2767241091963742E-3</v>
      </c>
      <c r="L2549" s="558">
        <f>'Progetto del paramento slu'!$G$60*(sezione!$AM$37-C2549)/C2549</f>
        <v>3.6912715409486395E-2</v>
      </c>
      <c r="M2549" s="559">
        <f>'Progetto del paramento slu'!$G$60*(sezione!$AN$37-C2549)/C2549</f>
        <v>6.6548706709776417E-2</v>
      </c>
      <c r="N2549" s="559">
        <f>'Progetto del paramento slu'!$G$60*(sezione!$AO$37-C2549)/C2549</f>
        <v>8.8102154928169168E-2</v>
      </c>
      <c r="O2549" s="559">
        <f>'Progetto del paramento slu'!$G$60*(sezione!$AP$37-C2549)/C2549</f>
        <v>6.655140089080365E-2</v>
      </c>
      <c r="P2549" s="553">
        <f>-'Progetto del paramento slu'!$G$47*'Progetto del paramento slu'!$G$41*IF(DATI!$G$218="dx",DATI!$E$61,DATI!$E$64*DATI!$E$63)*1000*C2549*sezione!$AD$5</f>
        <v>-183119.15383599437</v>
      </c>
      <c r="Q2549" s="553">
        <f>'Foglio deposito bis'!$F$88*IF(ABS(K2549)&lt;'Progetto del paramento slu'!$G$58,ABS(K2549)*'Progetto del paramento slu'!$G$54,'Progetto del paramento slu'!$G$53)*IF(K2549&lt;0,-1,1)</f>
        <v>0</v>
      </c>
      <c r="R2549" s="553">
        <f>'Foglio deposito bis'!$F$89*IF(ABS(L2549)&lt;'Progetto del paramento slu'!$G$58,ABS(L2549)*'Progetto del paramento slu'!$G$54,'Progetto del paramento slu'!$G$53)*IF(L2549&lt;0,-1,1)</f>
        <v>153664.85805602249</v>
      </c>
      <c r="S2549" s="553">
        <f>'Foglio deposito bis'!$F$90*IF(ABS(M2549)&lt;'Progetto del paramento slu'!$G$58,ABS(M2549)*'Progetto del paramento slu'!$G$54,'Progetto del paramento slu'!$G$53)*IF(M2549&lt;0,-1,1)</f>
        <v>0</v>
      </c>
      <c r="T2549" s="553">
        <f>'Foglio deposito bis'!$F$91*IF(ABS(N2549)&lt;'Progetto del paramento slu'!$G$58,ABS(N2549)*'Progetto del paramento slu'!$G$54,'Progetto del paramento slu'!$G$53)*IF(N2549&lt;0,-1,1)</f>
        <v>892485.49558937876</v>
      </c>
      <c r="U2549" s="553">
        <f>'Foglio deposito bis'!$F$92*IF(ABS(O2549)&lt;'Progetto del paramento slu'!$G$58,ABS(O2549)*'Progetto del paramento slu'!$G$54,'Progetto del paramento slu'!$G$53)*IF(O2549&lt;0,-1,1)</f>
        <v>1662039.1047339395</v>
      </c>
      <c r="V2549" s="479">
        <f t="shared" si="186"/>
        <v>2525070.3045433462</v>
      </c>
      <c r="W2549" s="559"/>
      <c r="X2549" s="559"/>
    </row>
    <row r="2550" spans="1:24" x14ac:dyDescent="0.25">
      <c r="A2550" s="553">
        <f t="shared" ref="A2550:A2613" si="189">ABS(V2550)</f>
        <v>2522209.0677646589</v>
      </c>
      <c r="B2550" s="3">
        <f t="shared" si="187"/>
        <v>3.2499999999999964</v>
      </c>
      <c r="C2550" s="553">
        <f>'Foglio deposito bis'!$E$163/sezione!$B$247*B2550</f>
        <v>13.193944519621093</v>
      </c>
      <c r="D2550" s="611">
        <f>-'Progetto del paramento slu'!$G$47*'Progetto del paramento slu'!$G$41*IF(DATI!$G$218="dx",DATI!$E$61,DATI!$E$64*DATI!$E$63)*1000*C2550^2*sezione!$AD$5*(1-sezione!$AD$6)</f>
        <v>-1433027.9340164212</v>
      </c>
      <c r="E2550" s="553">
        <f>-'Foglio deposito bis'!$F$88*(C2550-sezione!$AL$37)*IF(ABS(K2550)&lt;'Progetto del paramento slu'!$G$58,ABS(K2550)*'Progetto del paramento slu'!$G$54,'Progetto del paramento slu'!$G$53)</f>
        <v>0</v>
      </c>
      <c r="F2550" s="553">
        <f>-'Foglio deposito bis'!$F$89*(C2550-sezione!$AM$37)*IF(ABS(L2550)&lt;'Progetto del paramento slu'!$G$58,ABS(L2550)*'Progetto del paramento slu'!$G$54,'Progetto del paramento slu'!$G$53)</f>
        <v>21022283.096596766</v>
      </c>
      <c r="G2550" s="553">
        <f>-'Foglio deposito bis'!$F$90*(C2550-sezione!$AN$37)*IF(ABS(M2550)&lt;'Progetto del paramento slu'!$G$58,ABS(M2550)*'Progetto del paramento slu'!$G$54,'Progetto del paramento slu'!$G$53)</f>
        <v>0</v>
      </c>
      <c r="H2550" s="553">
        <f>-'Foglio deposito bis'!$F$91*(C2550-sezione!$AO$37)*IF(ABS(N2550)&lt;'Progetto del paramento slu'!$G$58,ABS(N2550)*'Progetto del paramento slu'!$G$54,'Progetto del paramento slu'!$G$53)</f>
        <v>291669664.387016</v>
      </c>
      <c r="I2550" s="479">
        <f>-'Foglio deposito bis'!$F$92*(C2550-sezione!$AP$37)*IF(ABS(O2550)&lt;'Progetto del paramento slu'!$G$58,ABS(O2550)*'Progetto del paramento slu'!$G$54,'Progetto del paramento slu'!$G$53)</f>
        <v>410217935.8845709</v>
      </c>
      <c r="J2550" s="479">
        <f t="shared" si="188"/>
        <v>721476855.43416727</v>
      </c>
      <c r="K2550" s="558">
        <f>'Progetto del paramento slu'!$G$60*(sezione!$AL$37-C2550)/C2550</f>
        <v>7.110928353670277E-3</v>
      </c>
      <c r="L2550" s="558">
        <f>'Progetto del paramento slu'!$G$60*(sezione!$AM$37-C2550)/C2550</f>
        <v>3.6290981326263537E-2</v>
      </c>
      <c r="M2550" s="559">
        <f>'Progetto del paramento slu'!$G$60*(sezione!$AN$37-C2550)/C2550</f>
        <v>6.5471034298856798E-2</v>
      </c>
      <c r="N2550" s="559">
        <f>'Progetto del paramento slu'!$G$60*(sezione!$AO$37-C2550)/C2550</f>
        <v>8.6692891006197356E-2</v>
      </c>
      <c r="O2550" s="559">
        <f>'Progetto del paramento slu'!$G$60*(sezione!$AP$37-C2550)/C2550</f>
        <v>6.5473687030945152E-2</v>
      </c>
      <c r="P2550" s="553">
        <f>-'Progetto del paramento slu'!$G$47*'Progetto del paramento slu'!$G$41*IF(DATI!$G$218="dx",DATI!$E$61,DATI!$E$64*DATI!$E$63)*1000*C2550*sezione!$AD$5</f>
        <v>-185980.39061468176</v>
      </c>
      <c r="Q2550" s="553">
        <f>'Foglio deposito bis'!$F$88*IF(ABS(K2550)&lt;'Progetto del paramento slu'!$G$58,ABS(K2550)*'Progetto del paramento slu'!$G$54,'Progetto del paramento slu'!$G$53)*IF(K2550&lt;0,-1,1)</f>
        <v>0</v>
      </c>
      <c r="R2550" s="553">
        <f>'Foglio deposito bis'!$F$89*IF(ABS(L2550)&lt;'Progetto del paramento slu'!$G$58,ABS(L2550)*'Progetto del paramento slu'!$G$54,'Progetto del paramento slu'!$G$53)*IF(L2550&lt;0,-1,1)</f>
        <v>153664.85805602249</v>
      </c>
      <c r="S2550" s="553">
        <f>'Foglio deposito bis'!$F$90*IF(ABS(M2550)&lt;'Progetto del paramento slu'!$G$58,ABS(M2550)*'Progetto del paramento slu'!$G$54,'Progetto del paramento slu'!$G$53)*IF(M2550&lt;0,-1,1)</f>
        <v>0</v>
      </c>
      <c r="T2550" s="553">
        <f>'Foglio deposito bis'!$F$91*IF(ABS(N2550)&lt;'Progetto del paramento slu'!$G$58,ABS(N2550)*'Progetto del paramento slu'!$G$54,'Progetto del paramento slu'!$G$53)*IF(N2550&lt;0,-1,1)</f>
        <v>892485.49558937876</v>
      </c>
      <c r="U2550" s="553">
        <f>'Foglio deposito bis'!$F$92*IF(ABS(O2550)&lt;'Progetto del paramento slu'!$G$58,ABS(O2550)*'Progetto del paramento slu'!$G$54,'Progetto del paramento slu'!$G$53)*IF(O2550&lt;0,-1,1)</f>
        <v>1662039.1047339395</v>
      </c>
      <c r="V2550" s="479">
        <f t="shared" ref="V2550:V2613" si="190">P2550+Q2550+R2550+S2550+T2550+U2550</f>
        <v>2522209.0677646589</v>
      </c>
      <c r="W2550" s="559"/>
      <c r="X2550" s="559"/>
    </row>
    <row r="2551" spans="1:24" x14ac:dyDescent="0.25">
      <c r="A2551" s="553">
        <f t="shared" si="189"/>
        <v>2519347.8309859717</v>
      </c>
      <c r="B2551" s="3">
        <f t="shared" ref="B2551:B2587" si="191">B2550+0.05</f>
        <v>3.2999999999999963</v>
      </c>
      <c r="C2551" s="553">
        <f>'Foglio deposito bis'!$E$163/sezione!$B$247*B2551</f>
        <v>13.396928281461417</v>
      </c>
      <c r="D2551" s="611">
        <f>-'Progetto del paramento slu'!$G$47*'Progetto del paramento slu'!$G$41*IF(DATI!$G$218="dx",DATI!$E$61,DATI!$E$64*DATI!$E$63)*1000*C2551^2*sezione!$AD$5*(1-sezione!$AD$6)</f>
        <v>-1477460.2794261612</v>
      </c>
      <c r="E2551" s="553">
        <f>-'Foglio deposito bis'!$F$88*(C2551-sezione!$AL$37)*IF(ABS(K2551)&lt;'Progetto del paramento slu'!$G$58,ABS(K2551)*'Progetto del paramento slu'!$G$54,'Progetto del paramento slu'!$G$53)</f>
        <v>0</v>
      </c>
      <c r="F2551" s="553">
        <f>-'Foglio deposito bis'!$F$89*(C2551-sezione!$AM$37)*IF(ABS(L2551)&lt;'Progetto del paramento slu'!$G$58,ABS(L2551)*'Progetto del paramento slu'!$G$54,'Progetto del paramento slu'!$G$53)</f>
        <v>20991091.625645895</v>
      </c>
      <c r="G2551" s="553">
        <f>-'Foglio deposito bis'!$F$90*(C2551-sezione!$AN$37)*IF(ABS(M2551)&lt;'Progetto del paramento slu'!$G$58,ABS(M2551)*'Progetto del paramento slu'!$G$54,'Progetto del paramento slu'!$G$53)</f>
        <v>0</v>
      </c>
      <c r="H2551" s="553">
        <f>-'Foglio deposito bis'!$F$91*(C2551-sezione!$AO$37)*IF(ABS(N2551)&lt;'Progetto del paramento slu'!$G$58,ABS(N2551)*'Progetto del paramento slu'!$G$54,'Progetto del paramento slu'!$G$53)</f>
        <v>291488504.32373333</v>
      </c>
      <c r="I2551" s="479">
        <f>-'Foglio deposito bis'!$F$92*(C2551-sezione!$AP$37)*IF(ABS(O2551)&lt;'Progetto del paramento slu'!$G$58,ABS(O2551)*'Progetto del paramento slu'!$G$54,'Progetto del paramento slu'!$G$53)</f>
        <v>409880568.93476629</v>
      </c>
      <c r="J2551" s="479">
        <f t="shared" si="188"/>
        <v>720882704.6047194</v>
      </c>
      <c r="K2551" s="558">
        <f>'Progetto del paramento slu'!$G$60*(sezione!$AL$37-C2551)/C2551</f>
        <v>6.9501567119479996E-3</v>
      </c>
      <c r="L2551" s="558">
        <f>'Progetto del paramento slu'!$G$60*(sezione!$AM$37-C2551)/C2551</f>
        <v>3.5688087669804996E-2</v>
      </c>
      <c r="M2551" s="559">
        <f>'Progetto del paramento slu'!$G$60*(sezione!$AN$37-C2551)/C2551</f>
        <v>6.4426018627661993E-2</v>
      </c>
      <c r="N2551" s="559">
        <f>'Progetto del paramento slu'!$G$60*(sezione!$AO$37-C2551)/C2551</f>
        <v>8.5326332051557999E-2</v>
      </c>
      <c r="O2551" s="559">
        <f>'Progetto del paramento slu'!$G$60*(sezione!$AP$37-C2551)/C2551</f>
        <v>6.4428631166839917E-2</v>
      </c>
      <c r="P2551" s="553">
        <f>-'Progetto del paramento slu'!$G$47*'Progetto del paramento slu'!$G$41*IF(DATI!$G$218="dx",DATI!$E$61,DATI!$E$64*DATI!$E$63)*1000*C2551*sezione!$AD$5</f>
        <v>-188841.62739336918</v>
      </c>
      <c r="Q2551" s="553">
        <f>'Foglio deposito bis'!$F$88*IF(ABS(K2551)&lt;'Progetto del paramento slu'!$G$58,ABS(K2551)*'Progetto del paramento slu'!$G$54,'Progetto del paramento slu'!$G$53)*IF(K2551&lt;0,-1,1)</f>
        <v>0</v>
      </c>
      <c r="R2551" s="553">
        <f>'Foglio deposito bis'!$F$89*IF(ABS(L2551)&lt;'Progetto del paramento slu'!$G$58,ABS(L2551)*'Progetto del paramento slu'!$G$54,'Progetto del paramento slu'!$G$53)*IF(L2551&lt;0,-1,1)</f>
        <v>153664.85805602249</v>
      </c>
      <c r="S2551" s="553">
        <f>'Foglio deposito bis'!$F$90*IF(ABS(M2551)&lt;'Progetto del paramento slu'!$G$58,ABS(M2551)*'Progetto del paramento slu'!$G$54,'Progetto del paramento slu'!$G$53)*IF(M2551&lt;0,-1,1)</f>
        <v>0</v>
      </c>
      <c r="T2551" s="553">
        <f>'Foglio deposito bis'!$F$91*IF(ABS(N2551)&lt;'Progetto del paramento slu'!$G$58,ABS(N2551)*'Progetto del paramento slu'!$G$54,'Progetto del paramento slu'!$G$53)*IF(N2551&lt;0,-1,1)</f>
        <v>892485.49558937876</v>
      </c>
      <c r="U2551" s="553">
        <f>'Foglio deposito bis'!$F$92*IF(ABS(O2551)&lt;'Progetto del paramento slu'!$G$58,ABS(O2551)*'Progetto del paramento slu'!$G$54,'Progetto del paramento slu'!$G$53)*IF(O2551&lt;0,-1,1)</f>
        <v>1662039.1047339395</v>
      </c>
      <c r="V2551" s="479">
        <f t="shared" si="190"/>
        <v>2519347.8309859717</v>
      </c>
      <c r="W2551" s="559"/>
      <c r="X2551" s="559"/>
    </row>
    <row r="2552" spans="1:24" x14ac:dyDescent="0.25">
      <c r="A2552" s="553">
        <f t="shared" si="189"/>
        <v>2516486.594207284</v>
      </c>
      <c r="B2552" s="3">
        <f t="shared" si="191"/>
        <v>3.3499999999999961</v>
      </c>
      <c r="C2552" s="553">
        <f>'Foglio deposito bis'!$E$163/sezione!$B$247*B2552</f>
        <v>13.599912043301742</v>
      </c>
      <c r="D2552" s="611">
        <f>-'Progetto del paramento slu'!$G$47*'Progetto del paramento slu'!$G$41*IF(DATI!$G$218="dx",DATI!$E$61,DATI!$E$64*DATI!$E$63)*1000*C2552^2*sezione!$AD$5*(1-sezione!$AD$6)</f>
        <v>-1522570.9812543707</v>
      </c>
      <c r="E2552" s="553">
        <f>-'Foglio deposito bis'!$F$88*(C2552-sezione!$AL$37)*IF(ABS(K2552)&lt;'Progetto del paramento slu'!$G$58,ABS(K2552)*'Progetto del paramento slu'!$G$54,'Progetto del paramento slu'!$G$53)</f>
        <v>0</v>
      </c>
      <c r="F2552" s="553">
        <f>-'Foglio deposito bis'!$F$89*(C2552-sezione!$AM$37)*IF(ABS(L2552)&lt;'Progetto del paramento slu'!$G$58,ABS(L2552)*'Progetto del paramento slu'!$G$54,'Progetto del paramento slu'!$G$53)</f>
        <v>20959900.154695023</v>
      </c>
      <c r="G2552" s="553">
        <f>-'Foglio deposito bis'!$F$90*(C2552-sezione!$AN$37)*IF(ABS(M2552)&lt;'Progetto del paramento slu'!$G$58,ABS(M2552)*'Progetto del paramento slu'!$G$54,'Progetto del paramento slu'!$G$53)</f>
        <v>0</v>
      </c>
      <c r="H2552" s="553">
        <f>-'Foglio deposito bis'!$F$91*(C2552-sezione!$AO$37)*IF(ABS(N2552)&lt;'Progetto del paramento slu'!$G$58,ABS(N2552)*'Progetto del paramento slu'!$G$54,'Progetto del paramento slu'!$G$53)</f>
        <v>291307344.26045066</v>
      </c>
      <c r="I2552" s="479">
        <f>-'Foglio deposito bis'!$F$92*(C2552-sezione!$AP$37)*IF(ABS(O2552)&lt;'Progetto del paramento slu'!$G$58,ABS(O2552)*'Progetto del paramento slu'!$G$54,'Progetto del paramento slu'!$G$53)</f>
        <v>409543201.98496169</v>
      </c>
      <c r="J2552" s="479">
        <f t="shared" si="188"/>
        <v>720287875.41885304</v>
      </c>
      <c r="K2552" s="558">
        <f>'Progetto del paramento slu'!$G$60*(sezione!$AL$37-C2552)/C2552</f>
        <v>6.7941842237099681E-3</v>
      </c>
      <c r="L2552" s="558">
        <f>'Progetto del paramento slu'!$G$60*(sezione!$AM$37-C2552)/C2552</f>
        <v>3.5103190838912383E-2</v>
      </c>
      <c r="M2552" s="559">
        <f>'Progetto del paramento slu'!$G$60*(sezione!$AN$37-C2552)/C2552</f>
        <v>6.3412197454114791E-2</v>
      </c>
      <c r="N2552" s="559">
        <f>'Progetto del paramento slu'!$G$60*(sezione!$AO$37-C2552)/C2552</f>
        <v>8.4000565901534735E-2</v>
      </c>
      <c r="O2552" s="559">
        <f>'Progetto del paramento slu'!$G$60*(sezione!$AP$37-C2552)/C2552</f>
        <v>6.3414771000170664E-2</v>
      </c>
      <c r="P2552" s="553">
        <f>-'Progetto del paramento slu'!$G$47*'Progetto del paramento slu'!$G$41*IF(DATI!$G$218="dx",DATI!$E$61,DATI!$E$64*DATI!$E$63)*1000*C2552*sezione!$AD$5</f>
        <v>-191702.86417205661</v>
      </c>
      <c r="Q2552" s="553">
        <f>'Foglio deposito bis'!$F$88*IF(ABS(K2552)&lt;'Progetto del paramento slu'!$G$58,ABS(K2552)*'Progetto del paramento slu'!$G$54,'Progetto del paramento slu'!$G$53)*IF(K2552&lt;0,-1,1)</f>
        <v>0</v>
      </c>
      <c r="R2552" s="553">
        <f>'Foglio deposito bis'!$F$89*IF(ABS(L2552)&lt;'Progetto del paramento slu'!$G$58,ABS(L2552)*'Progetto del paramento slu'!$G$54,'Progetto del paramento slu'!$G$53)*IF(L2552&lt;0,-1,1)</f>
        <v>153664.85805602249</v>
      </c>
      <c r="S2552" s="553">
        <f>'Foglio deposito bis'!$F$90*IF(ABS(M2552)&lt;'Progetto del paramento slu'!$G$58,ABS(M2552)*'Progetto del paramento slu'!$G$54,'Progetto del paramento slu'!$G$53)*IF(M2552&lt;0,-1,1)</f>
        <v>0</v>
      </c>
      <c r="T2552" s="553">
        <f>'Foglio deposito bis'!$F$91*IF(ABS(N2552)&lt;'Progetto del paramento slu'!$G$58,ABS(N2552)*'Progetto del paramento slu'!$G$54,'Progetto del paramento slu'!$G$53)*IF(N2552&lt;0,-1,1)</f>
        <v>892485.49558937876</v>
      </c>
      <c r="U2552" s="553">
        <f>'Foglio deposito bis'!$F$92*IF(ABS(O2552)&lt;'Progetto del paramento slu'!$G$58,ABS(O2552)*'Progetto del paramento slu'!$G$54,'Progetto del paramento slu'!$G$53)*IF(O2552&lt;0,-1,1)</f>
        <v>1662039.1047339395</v>
      </c>
      <c r="V2552" s="479">
        <f t="shared" si="190"/>
        <v>2516486.594207284</v>
      </c>
      <c r="W2552" s="559"/>
      <c r="X2552" s="559"/>
    </row>
    <row r="2553" spans="1:24" x14ac:dyDescent="0.25">
      <c r="A2553" s="553">
        <f t="shared" si="189"/>
        <v>2513625.3574285968</v>
      </c>
      <c r="B2553" s="3">
        <f t="shared" si="191"/>
        <v>3.3999999999999959</v>
      </c>
      <c r="C2553" s="553">
        <f>'Foglio deposito bis'!$E$163/sezione!$B$247*B2553</f>
        <v>13.802895805142066</v>
      </c>
      <c r="D2553" s="611">
        <f>-'Progetto del paramento slu'!$G$47*'Progetto del paramento slu'!$G$41*IF(DATI!$G$218="dx",DATI!$E$61,DATI!$E$64*DATI!$E$63)*1000*C2553^2*sezione!$AD$5*(1-sezione!$AD$6)</f>
        <v>-1568360.0395010491</v>
      </c>
      <c r="E2553" s="553">
        <f>-'Foglio deposito bis'!$F$88*(C2553-sezione!$AL$37)*IF(ABS(K2553)&lt;'Progetto del paramento slu'!$G$58,ABS(K2553)*'Progetto del paramento slu'!$G$54,'Progetto del paramento slu'!$G$53)</f>
        <v>0</v>
      </c>
      <c r="F2553" s="553">
        <f>-'Foglio deposito bis'!$F$89*(C2553-sezione!$AM$37)*IF(ABS(L2553)&lt;'Progetto del paramento slu'!$G$58,ABS(L2553)*'Progetto del paramento slu'!$G$54,'Progetto del paramento slu'!$G$53)</f>
        <v>20928708.683744147</v>
      </c>
      <c r="G2553" s="553">
        <f>-'Foglio deposito bis'!$F$90*(C2553-sezione!$AN$37)*IF(ABS(M2553)&lt;'Progetto del paramento slu'!$G$58,ABS(M2553)*'Progetto del paramento slu'!$G$54,'Progetto del paramento slu'!$G$53)</f>
        <v>0</v>
      </c>
      <c r="H2553" s="553">
        <f>-'Foglio deposito bis'!$F$91*(C2553-sezione!$AO$37)*IF(ABS(N2553)&lt;'Progetto del paramento slu'!$G$58,ABS(N2553)*'Progetto del paramento slu'!$G$54,'Progetto del paramento slu'!$G$53)</f>
        <v>291126184.19716805</v>
      </c>
      <c r="I2553" s="479">
        <f>-'Foglio deposito bis'!$F$92*(C2553-sezione!$AP$37)*IF(ABS(O2553)&lt;'Progetto del paramento slu'!$G$58,ABS(O2553)*'Progetto del paramento slu'!$G$54,'Progetto del paramento slu'!$G$53)</f>
        <v>409205835.03515702</v>
      </c>
      <c r="J2553" s="479">
        <f t="shared" si="188"/>
        <v>719692367.8765682</v>
      </c>
      <c r="K2553" s="558">
        <f>'Progetto del paramento slu'!$G$60*(sezione!$AL$37-C2553)/C2553</f>
        <v>6.6427991615965873E-3</v>
      </c>
      <c r="L2553" s="558">
        <f>'Progetto del paramento slu'!$G$60*(sezione!$AM$37-C2553)/C2553</f>
        <v>3.4535496855987204E-2</v>
      </c>
      <c r="M2553" s="559">
        <f>'Progetto del paramento slu'!$G$60*(sezione!$AN$37-C2553)/C2553</f>
        <v>6.2428194550377819E-2</v>
      </c>
      <c r="N2553" s="559">
        <f>'Progetto del paramento slu'!$G$60*(sezione!$AO$37-C2553)/C2553</f>
        <v>8.2713792873571002E-2</v>
      </c>
      <c r="O2553" s="559">
        <f>'Progetto del paramento slu'!$G$60*(sezione!$AP$37-C2553)/C2553</f>
        <v>6.2430730250168154E-2</v>
      </c>
      <c r="P2553" s="553">
        <f>-'Progetto del paramento slu'!$G$47*'Progetto del paramento slu'!$G$41*IF(DATI!$G$218="dx",DATI!$E$61,DATI!$E$64*DATI!$E$63)*1000*C2553*sezione!$AD$5</f>
        <v>-194564.100950744</v>
      </c>
      <c r="Q2553" s="553">
        <f>'Foglio deposito bis'!$F$88*IF(ABS(K2553)&lt;'Progetto del paramento slu'!$G$58,ABS(K2553)*'Progetto del paramento slu'!$G$54,'Progetto del paramento slu'!$G$53)*IF(K2553&lt;0,-1,1)</f>
        <v>0</v>
      </c>
      <c r="R2553" s="553">
        <f>'Foglio deposito bis'!$F$89*IF(ABS(L2553)&lt;'Progetto del paramento slu'!$G$58,ABS(L2553)*'Progetto del paramento slu'!$G$54,'Progetto del paramento slu'!$G$53)*IF(L2553&lt;0,-1,1)</f>
        <v>153664.85805602249</v>
      </c>
      <c r="S2553" s="553">
        <f>'Foglio deposito bis'!$F$90*IF(ABS(M2553)&lt;'Progetto del paramento slu'!$G$58,ABS(M2553)*'Progetto del paramento slu'!$G$54,'Progetto del paramento slu'!$G$53)*IF(M2553&lt;0,-1,1)</f>
        <v>0</v>
      </c>
      <c r="T2553" s="553">
        <f>'Foglio deposito bis'!$F$91*IF(ABS(N2553)&lt;'Progetto del paramento slu'!$G$58,ABS(N2553)*'Progetto del paramento slu'!$G$54,'Progetto del paramento slu'!$G$53)*IF(N2553&lt;0,-1,1)</f>
        <v>892485.49558937876</v>
      </c>
      <c r="U2553" s="553">
        <f>'Foglio deposito bis'!$F$92*IF(ABS(O2553)&lt;'Progetto del paramento slu'!$G$58,ABS(O2553)*'Progetto del paramento slu'!$G$54,'Progetto del paramento slu'!$G$53)*IF(O2553&lt;0,-1,1)</f>
        <v>1662039.1047339395</v>
      </c>
      <c r="V2553" s="479">
        <f t="shared" si="190"/>
        <v>2513625.3574285968</v>
      </c>
      <c r="W2553" s="559"/>
      <c r="X2553" s="559"/>
    </row>
    <row r="2554" spans="1:24" x14ac:dyDescent="0.25">
      <c r="A2554" s="553">
        <f t="shared" si="189"/>
        <v>2510764.1206499096</v>
      </c>
      <c r="B2554" s="3">
        <f t="shared" si="191"/>
        <v>3.4499999999999957</v>
      </c>
      <c r="C2554" s="553">
        <f>'Foglio deposito bis'!$E$163/sezione!$B$247*B2554</f>
        <v>14.00587956698239</v>
      </c>
      <c r="D2554" s="611">
        <f>-'Progetto del paramento slu'!$G$47*'Progetto del paramento slu'!$G$41*IF(DATI!$G$218="dx",DATI!$E$61,DATI!$E$64*DATI!$E$63)*1000*C2554^2*sezione!$AD$5*(1-sezione!$AD$6)</f>
        <v>-1614827.4541661968</v>
      </c>
      <c r="E2554" s="553">
        <f>-'Foglio deposito bis'!$F$88*(C2554-sezione!$AL$37)*IF(ABS(K2554)&lt;'Progetto del paramento slu'!$G$58,ABS(K2554)*'Progetto del paramento slu'!$G$54,'Progetto del paramento slu'!$G$53)</f>
        <v>0</v>
      </c>
      <c r="F2554" s="553">
        <f>-'Foglio deposito bis'!$F$89*(C2554-sezione!$AM$37)*IF(ABS(L2554)&lt;'Progetto del paramento slu'!$G$58,ABS(L2554)*'Progetto del paramento slu'!$G$54,'Progetto del paramento slu'!$G$53)</f>
        <v>20897517.212793276</v>
      </c>
      <c r="G2554" s="553">
        <f>-'Foglio deposito bis'!$F$90*(C2554-sezione!$AN$37)*IF(ABS(M2554)&lt;'Progetto del paramento slu'!$G$58,ABS(M2554)*'Progetto del paramento slu'!$G$54,'Progetto del paramento slu'!$G$53)</f>
        <v>0</v>
      </c>
      <c r="H2554" s="553">
        <f>-'Foglio deposito bis'!$F$91*(C2554-sezione!$AO$37)*IF(ABS(N2554)&lt;'Progetto del paramento slu'!$G$58,ABS(N2554)*'Progetto del paramento slu'!$G$54,'Progetto del paramento slu'!$G$53)</f>
        <v>290945024.13388532</v>
      </c>
      <c r="I2554" s="479">
        <f>-'Foglio deposito bis'!$F$92*(C2554-sezione!$AP$37)*IF(ABS(O2554)&lt;'Progetto del paramento slu'!$G$58,ABS(O2554)*'Progetto del paramento slu'!$G$54,'Progetto del paramento slu'!$G$53)</f>
        <v>408868468.08535242</v>
      </c>
      <c r="J2554" s="479">
        <f t="shared" si="188"/>
        <v>719096181.97786474</v>
      </c>
      <c r="K2554" s="558">
        <f>'Progetto del paramento slu'!$G$60*(sezione!$AL$37-C2554)/C2554</f>
        <v>6.495802072298087E-3</v>
      </c>
      <c r="L2554" s="558">
        <f>'Progetto del paramento slu'!$G$60*(sezione!$AM$37-C2554)/C2554</f>
        <v>3.3984257771117819E-2</v>
      </c>
      <c r="M2554" s="559">
        <f>'Progetto del paramento slu'!$G$60*(sezione!$AN$37-C2554)/C2554</f>
        <v>6.1472713469937559E-2</v>
      </c>
      <c r="N2554" s="559">
        <f>'Progetto del paramento slu'!$G$60*(sezione!$AO$37-C2554)/C2554</f>
        <v>8.1464317614533724E-2</v>
      </c>
      <c r="O2554" s="559">
        <f>'Progetto del paramento slu'!$G$60*(sezione!$AP$37-C2554)/C2554</f>
        <v>6.1475212420455574E-2</v>
      </c>
      <c r="P2554" s="553">
        <f>-'Progetto del paramento slu'!$G$47*'Progetto del paramento slu'!$G$41*IF(DATI!$G$218="dx",DATI!$E$61,DATI!$E$64*DATI!$E$63)*1000*C2554*sezione!$AD$5</f>
        <v>-197425.3377294314</v>
      </c>
      <c r="Q2554" s="553">
        <f>'Foglio deposito bis'!$F$88*IF(ABS(K2554)&lt;'Progetto del paramento slu'!$G$58,ABS(K2554)*'Progetto del paramento slu'!$G$54,'Progetto del paramento slu'!$G$53)*IF(K2554&lt;0,-1,1)</f>
        <v>0</v>
      </c>
      <c r="R2554" s="553">
        <f>'Foglio deposito bis'!$F$89*IF(ABS(L2554)&lt;'Progetto del paramento slu'!$G$58,ABS(L2554)*'Progetto del paramento slu'!$G$54,'Progetto del paramento slu'!$G$53)*IF(L2554&lt;0,-1,1)</f>
        <v>153664.85805602249</v>
      </c>
      <c r="S2554" s="553">
        <f>'Foglio deposito bis'!$F$90*IF(ABS(M2554)&lt;'Progetto del paramento slu'!$G$58,ABS(M2554)*'Progetto del paramento slu'!$G$54,'Progetto del paramento slu'!$G$53)*IF(M2554&lt;0,-1,1)</f>
        <v>0</v>
      </c>
      <c r="T2554" s="553">
        <f>'Foglio deposito bis'!$F$91*IF(ABS(N2554)&lt;'Progetto del paramento slu'!$G$58,ABS(N2554)*'Progetto del paramento slu'!$G$54,'Progetto del paramento slu'!$G$53)*IF(N2554&lt;0,-1,1)</f>
        <v>892485.49558937876</v>
      </c>
      <c r="U2554" s="553">
        <f>'Foglio deposito bis'!$F$92*IF(ABS(O2554)&lt;'Progetto del paramento slu'!$G$58,ABS(O2554)*'Progetto del paramento slu'!$G$54,'Progetto del paramento slu'!$G$53)*IF(O2554&lt;0,-1,1)</f>
        <v>1662039.1047339395</v>
      </c>
      <c r="V2554" s="479">
        <f t="shared" si="190"/>
        <v>2510764.1206499096</v>
      </c>
      <c r="W2554" s="559"/>
      <c r="X2554" s="559"/>
    </row>
    <row r="2555" spans="1:24" x14ac:dyDescent="0.25">
      <c r="A2555" s="553">
        <f t="shared" si="189"/>
        <v>2507902.8838712219</v>
      </c>
      <c r="B2555" s="3">
        <f t="shared" si="191"/>
        <v>3.4999999999999956</v>
      </c>
      <c r="C2555" s="553">
        <f>'Foglio deposito bis'!$E$163/sezione!$B$247*B2555</f>
        <v>14.208863328822714</v>
      </c>
      <c r="D2555" s="611">
        <f>-'Progetto del paramento slu'!$G$47*'Progetto del paramento slu'!$G$41*IF(DATI!$G$218="dx",DATI!$E$61,DATI!$E$64*DATI!$E$63)*1000*C2555^2*sezione!$AD$5*(1-sezione!$AD$6)</f>
        <v>-1661973.2252498139</v>
      </c>
      <c r="E2555" s="553">
        <f>-'Foglio deposito bis'!$F$88*(C2555-sezione!$AL$37)*IF(ABS(K2555)&lt;'Progetto del paramento slu'!$G$58,ABS(K2555)*'Progetto del paramento slu'!$G$54,'Progetto del paramento slu'!$G$53)</f>
        <v>0</v>
      </c>
      <c r="F2555" s="553">
        <f>-'Foglio deposito bis'!$F$89*(C2555-sezione!$AM$37)*IF(ABS(L2555)&lt;'Progetto del paramento slu'!$G$58,ABS(L2555)*'Progetto del paramento slu'!$G$54,'Progetto del paramento slu'!$G$53)</f>
        <v>20866325.741842411</v>
      </c>
      <c r="G2555" s="553">
        <f>-'Foglio deposito bis'!$F$90*(C2555-sezione!$AN$37)*IF(ABS(M2555)&lt;'Progetto del paramento slu'!$G$58,ABS(M2555)*'Progetto del paramento slu'!$G$54,'Progetto del paramento slu'!$G$53)</f>
        <v>0</v>
      </c>
      <c r="H2555" s="553">
        <f>-'Foglio deposito bis'!$F$91*(C2555-sezione!$AO$37)*IF(ABS(N2555)&lt;'Progetto del paramento slu'!$G$58,ABS(N2555)*'Progetto del paramento slu'!$G$54,'Progetto del paramento slu'!$G$53)</f>
        <v>290763864.07060272</v>
      </c>
      <c r="I2555" s="479">
        <f>-'Foglio deposito bis'!$F$92*(C2555-sezione!$AP$37)*IF(ABS(O2555)&lt;'Progetto del paramento slu'!$G$58,ABS(O2555)*'Progetto del paramento slu'!$G$54,'Progetto del paramento slu'!$G$53)</f>
        <v>408531101.13554782</v>
      </c>
      <c r="J2555" s="479">
        <f t="shared" si="188"/>
        <v>718499317.72274315</v>
      </c>
      <c r="K2555" s="558">
        <f>'Progetto del paramento slu'!$G$60*(sezione!$AL$37-C2555)/C2555</f>
        <v>6.353004899836685E-3</v>
      </c>
      <c r="L2555" s="558">
        <f>'Progetto del paramento slu'!$G$60*(sezione!$AM$37-C2555)/C2555</f>
        <v>3.3448768374387573E-2</v>
      </c>
      <c r="M2555" s="559">
        <f>'Progetto del paramento slu'!$G$60*(sezione!$AN$37-C2555)/C2555</f>
        <v>6.054453184893846E-2</v>
      </c>
      <c r="N2555" s="559">
        <f>'Progetto del paramento slu'!$G$60*(sezione!$AO$37-C2555)/C2555</f>
        <v>8.0250541648611839E-2</v>
      </c>
      <c r="O2555" s="559">
        <f>'Progetto del paramento slu'!$G$60*(sezione!$AP$37-C2555)/C2555</f>
        <v>6.0546995100163363E-2</v>
      </c>
      <c r="P2555" s="553">
        <f>-'Progetto del paramento slu'!$G$47*'Progetto del paramento slu'!$G$41*IF(DATI!$G$218="dx",DATI!$E$61,DATI!$E$64*DATI!$E$63)*1000*C2555*sezione!$AD$5</f>
        <v>-200286.57450811879</v>
      </c>
      <c r="Q2555" s="553">
        <f>'Foglio deposito bis'!$F$88*IF(ABS(K2555)&lt;'Progetto del paramento slu'!$G$58,ABS(K2555)*'Progetto del paramento slu'!$G$54,'Progetto del paramento slu'!$G$53)*IF(K2555&lt;0,-1,1)</f>
        <v>0</v>
      </c>
      <c r="R2555" s="553">
        <f>'Foglio deposito bis'!$F$89*IF(ABS(L2555)&lt;'Progetto del paramento slu'!$G$58,ABS(L2555)*'Progetto del paramento slu'!$G$54,'Progetto del paramento slu'!$G$53)*IF(L2555&lt;0,-1,1)</f>
        <v>153664.85805602249</v>
      </c>
      <c r="S2555" s="553">
        <f>'Foglio deposito bis'!$F$90*IF(ABS(M2555)&lt;'Progetto del paramento slu'!$G$58,ABS(M2555)*'Progetto del paramento slu'!$G$54,'Progetto del paramento slu'!$G$53)*IF(M2555&lt;0,-1,1)</f>
        <v>0</v>
      </c>
      <c r="T2555" s="553">
        <f>'Foglio deposito bis'!$F$91*IF(ABS(N2555)&lt;'Progetto del paramento slu'!$G$58,ABS(N2555)*'Progetto del paramento slu'!$G$54,'Progetto del paramento slu'!$G$53)*IF(N2555&lt;0,-1,1)</f>
        <v>892485.49558937876</v>
      </c>
      <c r="U2555" s="553">
        <f>'Foglio deposito bis'!$F$92*IF(ABS(O2555)&lt;'Progetto del paramento slu'!$G$58,ABS(O2555)*'Progetto del paramento slu'!$G$54,'Progetto del paramento slu'!$G$53)*IF(O2555&lt;0,-1,1)</f>
        <v>1662039.1047339395</v>
      </c>
      <c r="V2555" s="479">
        <f t="shared" si="190"/>
        <v>2507902.8838712219</v>
      </c>
      <c r="W2555" s="559"/>
      <c r="X2555" s="559"/>
    </row>
    <row r="2556" spans="1:24" x14ac:dyDescent="0.25">
      <c r="A2556" s="553">
        <f t="shared" si="189"/>
        <v>2505041.6470925347</v>
      </c>
      <c r="B2556" s="3">
        <f t="shared" si="191"/>
        <v>3.5499999999999954</v>
      </c>
      <c r="C2556" s="553">
        <f>'Foglio deposito bis'!$E$163/sezione!$B$247*B2556</f>
        <v>14.411847090663038</v>
      </c>
      <c r="D2556" s="611">
        <f>-'Progetto del paramento slu'!$G$47*'Progetto del paramento slu'!$G$41*IF(DATI!$G$218="dx",DATI!$E$61,DATI!$E$64*DATI!$E$63)*1000*C2556^2*sezione!$AD$5*(1-sezione!$AD$6)</f>
        <v>-1709797.3527519004</v>
      </c>
      <c r="E2556" s="553">
        <f>-'Foglio deposito bis'!$F$88*(C2556-sezione!$AL$37)*IF(ABS(K2556)&lt;'Progetto del paramento slu'!$G$58,ABS(K2556)*'Progetto del paramento slu'!$G$54,'Progetto del paramento slu'!$G$53)</f>
        <v>0</v>
      </c>
      <c r="F2556" s="553">
        <f>-'Foglio deposito bis'!$F$89*(C2556-sezione!$AM$37)*IF(ABS(L2556)&lt;'Progetto del paramento slu'!$G$58,ABS(L2556)*'Progetto del paramento slu'!$G$54,'Progetto del paramento slu'!$G$53)</f>
        <v>20835134.27089154</v>
      </c>
      <c r="G2556" s="553">
        <f>-'Foglio deposito bis'!$F$90*(C2556-sezione!$AN$37)*IF(ABS(M2556)&lt;'Progetto del paramento slu'!$G$58,ABS(M2556)*'Progetto del paramento slu'!$G$54,'Progetto del paramento slu'!$G$53)</f>
        <v>0</v>
      </c>
      <c r="H2556" s="553">
        <f>-'Foglio deposito bis'!$F$91*(C2556-sezione!$AO$37)*IF(ABS(N2556)&lt;'Progetto del paramento slu'!$G$58,ABS(N2556)*'Progetto del paramento slu'!$G$54,'Progetto del paramento slu'!$G$53)</f>
        <v>290582704.00732005</v>
      </c>
      <c r="I2556" s="479">
        <f>-'Foglio deposito bis'!$F$92*(C2556-sezione!$AP$37)*IF(ABS(O2556)&lt;'Progetto del paramento slu'!$G$58,ABS(O2556)*'Progetto del paramento slu'!$G$54,'Progetto del paramento slu'!$G$53)</f>
        <v>408193734.18574315</v>
      </c>
      <c r="J2556" s="479">
        <f t="shared" si="188"/>
        <v>717901775.11120284</v>
      </c>
      <c r="K2556" s="558">
        <f>'Progetto del paramento slu'!$G$60*(sezione!$AL$37-C2556)/C2556</f>
        <v>6.2142301829375777E-3</v>
      </c>
      <c r="L2556" s="558">
        <f>'Progetto del paramento slu'!$G$60*(sezione!$AM$37-C2556)/C2556</f>
        <v>3.292836318601592E-2</v>
      </c>
      <c r="M2556" s="559">
        <f>'Progetto del paramento slu'!$G$60*(sezione!$AN$37-C2556)/C2556</f>
        <v>5.9642496189094257E-2</v>
      </c>
      <c r="N2556" s="559">
        <f>'Progetto del paramento slu'!$G$60*(sezione!$AO$37-C2556)/C2556</f>
        <v>7.9070956554969415E-2</v>
      </c>
      <c r="O2556" s="559">
        <f>'Progetto del paramento slu'!$G$60*(sezione!$AP$37-C2556)/C2556</f>
        <v>5.9644924746639932E-2</v>
      </c>
      <c r="P2556" s="553">
        <f>-'Progetto del paramento slu'!$G$47*'Progetto del paramento slu'!$G$41*IF(DATI!$G$218="dx",DATI!$E$61,DATI!$E$64*DATI!$E$63)*1000*C2556*sezione!$AD$5</f>
        <v>-203147.81128680619</v>
      </c>
      <c r="Q2556" s="553">
        <f>'Foglio deposito bis'!$F$88*IF(ABS(K2556)&lt;'Progetto del paramento slu'!$G$58,ABS(K2556)*'Progetto del paramento slu'!$G$54,'Progetto del paramento slu'!$G$53)*IF(K2556&lt;0,-1,1)</f>
        <v>0</v>
      </c>
      <c r="R2556" s="553">
        <f>'Foglio deposito bis'!$F$89*IF(ABS(L2556)&lt;'Progetto del paramento slu'!$G$58,ABS(L2556)*'Progetto del paramento slu'!$G$54,'Progetto del paramento slu'!$G$53)*IF(L2556&lt;0,-1,1)</f>
        <v>153664.85805602249</v>
      </c>
      <c r="S2556" s="553">
        <f>'Foglio deposito bis'!$F$90*IF(ABS(M2556)&lt;'Progetto del paramento slu'!$G$58,ABS(M2556)*'Progetto del paramento slu'!$G$54,'Progetto del paramento slu'!$G$53)*IF(M2556&lt;0,-1,1)</f>
        <v>0</v>
      </c>
      <c r="T2556" s="553">
        <f>'Foglio deposito bis'!$F$91*IF(ABS(N2556)&lt;'Progetto del paramento slu'!$G$58,ABS(N2556)*'Progetto del paramento slu'!$G$54,'Progetto del paramento slu'!$G$53)*IF(N2556&lt;0,-1,1)</f>
        <v>892485.49558937876</v>
      </c>
      <c r="U2556" s="553">
        <f>'Foglio deposito bis'!$F$92*IF(ABS(O2556)&lt;'Progetto del paramento slu'!$G$58,ABS(O2556)*'Progetto del paramento slu'!$G$54,'Progetto del paramento slu'!$G$53)*IF(O2556&lt;0,-1,1)</f>
        <v>1662039.1047339395</v>
      </c>
      <c r="V2556" s="479">
        <f t="shared" si="190"/>
        <v>2505041.6470925347</v>
      </c>
      <c r="W2556" s="559"/>
      <c r="X2556" s="559"/>
    </row>
    <row r="2557" spans="1:24" x14ac:dyDescent="0.25">
      <c r="A2557" s="553">
        <f t="shared" si="189"/>
        <v>2502180.410313847</v>
      </c>
      <c r="B2557" s="3">
        <f t="shared" si="191"/>
        <v>3.5999999999999952</v>
      </c>
      <c r="C2557" s="553">
        <f>'Foglio deposito bis'!$E$163/sezione!$B$247*B2557</f>
        <v>14.614830852503362</v>
      </c>
      <c r="D2557" s="611">
        <f>-'Progetto del paramento slu'!$G$47*'Progetto del paramento slu'!$G$41*IF(DATI!$G$218="dx",DATI!$E$61,DATI!$E$64*DATI!$E$63)*1000*C2557^2*sezione!$AD$5*(1-sezione!$AD$6)</f>
        <v>-1758299.836672456</v>
      </c>
      <c r="E2557" s="553">
        <f>-'Foglio deposito bis'!$F$88*(C2557-sezione!$AL$37)*IF(ABS(K2557)&lt;'Progetto del paramento slu'!$G$58,ABS(K2557)*'Progetto del paramento slu'!$G$54,'Progetto del paramento slu'!$G$53)</f>
        <v>0</v>
      </c>
      <c r="F2557" s="553">
        <f>-'Foglio deposito bis'!$F$89*(C2557-sezione!$AM$37)*IF(ABS(L2557)&lt;'Progetto del paramento slu'!$G$58,ABS(L2557)*'Progetto del paramento slu'!$G$54,'Progetto del paramento slu'!$G$53)</f>
        <v>20803942.799940668</v>
      </c>
      <c r="G2557" s="553">
        <f>-'Foglio deposito bis'!$F$90*(C2557-sezione!$AN$37)*IF(ABS(M2557)&lt;'Progetto del paramento slu'!$G$58,ABS(M2557)*'Progetto del paramento slu'!$G$54,'Progetto del paramento slu'!$G$53)</f>
        <v>0</v>
      </c>
      <c r="H2557" s="553">
        <f>-'Foglio deposito bis'!$F$91*(C2557-sezione!$AO$37)*IF(ABS(N2557)&lt;'Progetto del paramento slu'!$G$58,ABS(N2557)*'Progetto del paramento slu'!$G$54,'Progetto del paramento slu'!$G$53)</f>
        <v>290401543.94403738</v>
      </c>
      <c r="I2557" s="479">
        <f>-'Foglio deposito bis'!$F$92*(C2557-sezione!$AP$37)*IF(ABS(O2557)&lt;'Progetto del paramento slu'!$G$58,ABS(O2557)*'Progetto del paramento slu'!$G$54,'Progetto del paramento slu'!$G$53)</f>
        <v>407856367.23593855</v>
      </c>
      <c r="J2557" s="479">
        <f t="shared" si="188"/>
        <v>717303554.14324415</v>
      </c>
      <c r="K2557" s="558">
        <f>'Progetto del paramento slu'!$G$60*(sezione!$AL$37-C2557)/C2557</f>
        <v>6.0793103192856674E-3</v>
      </c>
      <c r="L2557" s="558">
        <f>'Progetto del paramento slu'!$G$60*(sezione!$AM$37-C2557)/C2557</f>
        <v>3.2422413697321253E-2</v>
      </c>
      <c r="M2557" s="559">
        <f>'Progetto del paramento slu'!$G$60*(sezione!$AN$37-C2557)/C2557</f>
        <v>5.8765517075356835E-2</v>
      </c>
      <c r="N2557" s="559">
        <f>'Progetto del paramento slu'!$G$60*(sezione!$AO$37-C2557)/C2557</f>
        <v>7.7924137713928171E-2</v>
      </c>
      <c r="O2557" s="559">
        <f>'Progetto del paramento slu'!$G$60*(sezione!$AP$37-C2557)/C2557</f>
        <v>5.8767911902936606E-2</v>
      </c>
      <c r="P2557" s="553">
        <f>-'Progetto del paramento slu'!$G$47*'Progetto del paramento slu'!$G$41*IF(DATI!$G$218="dx",DATI!$E$61,DATI!$E$64*DATI!$E$63)*1000*C2557*sezione!$AD$5</f>
        <v>-206009.04806549361</v>
      </c>
      <c r="Q2557" s="553">
        <f>'Foglio deposito bis'!$F$88*IF(ABS(K2557)&lt;'Progetto del paramento slu'!$G$58,ABS(K2557)*'Progetto del paramento slu'!$G$54,'Progetto del paramento slu'!$G$53)*IF(K2557&lt;0,-1,1)</f>
        <v>0</v>
      </c>
      <c r="R2557" s="553">
        <f>'Foglio deposito bis'!$F$89*IF(ABS(L2557)&lt;'Progetto del paramento slu'!$G$58,ABS(L2557)*'Progetto del paramento slu'!$G$54,'Progetto del paramento slu'!$G$53)*IF(L2557&lt;0,-1,1)</f>
        <v>153664.85805602249</v>
      </c>
      <c r="S2557" s="553">
        <f>'Foglio deposito bis'!$F$90*IF(ABS(M2557)&lt;'Progetto del paramento slu'!$G$58,ABS(M2557)*'Progetto del paramento slu'!$G$54,'Progetto del paramento slu'!$G$53)*IF(M2557&lt;0,-1,1)</f>
        <v>0</v>
      </c>
      <c r="T2557" s="553">
        <f>'Foglio deposito bis'!$F$91*IF(ABS(N2557)&lt;'Progetto del paramento slu'!$G$58,ABS(N2557)*'Progetto del paramento slu'!$G$54,'Progetto del paramento slu'!$G$53)*IF(N2557&lt;0,-1,1)</f>
        <v>892485.49558937876</v>
      </c>
      <c r="U2557" s="553">
        <f>'Foglio deposito bis'!$F$92*IF(ABS(O2557)&lt;'Progetto del paramento slu'!$G$58,ABS(O2557)*'Progetto del paramento slu'!$G$54,'Progetto del paramento slu'!$G$53)*IF(O2557&lt;0,-1,1)</f>
        <v>1662039.1047339395</v>
      </c>
      <c r="V2557" s="479">
        <f t="shared" si="190"/>
        <v>2502180.410313847</v>
      </c>
      <c r="W2557" s="559"/>
      <c r="X2557" s="559"/>
    </row>
    <row r="2558" spans="1:24" x14ac:dyDescent="0.25">
      <c r="A2558" s="553">
        <f t="shared" si="189"/>
        <v>2499319.1735351598</v>
      </c>
      <c r="B2558" s="3">
        <f t="shared" si="191"/>
        <v>3.649999999999995</v>
      </c>
      <c r="C2558" s="553">
        <f>'Foglio deposito bis'!$E$163/sezione!$B$247*B2558</f>
        <v>14.817814614343686</v>
      </c>
      <c r="D2558" s="611">
        <f>-'Progetto del paramento slu'!$G$47*'Progetto del paramento slu'!$G$41*IF(DATI!$G$218="dx",DATI!$E$61,DATI!$E$64*DATI!$E$63)*1000*C2558^2*sezione!$AD$5*(1-sezione!$AD$6)</f>
        <v>-1807480.6770114808</v>
      </c>
      <c r="E2558" s="553">
        <f>-'Foglio deposito bis'!$F$88*(C2558-sezione!$AL$37)*IF(ABS(K2558)&lt;'Progetto del paramento slu'!$G$58,ABS(K2558)*'Progetto del paramento slu'!$G$54,'Progetto del paramento slu'!$G$53)</f>
        <v>0</v>
      </c>
      <c r="F2558" s="553">
        <f>-'Foglio deposito bis'!$F$89*(C2558-sezione!$AM$37)*IF(ABS(L2558)&lt;'Progetto del paramento slu'!$G$58,ABS(L2558)*'Progetto del paramento slu'!$G$54,'Progetto del paramento slu'!$G$53)</f>
        <v>20772751.328989793</v>
      </c>
      <c r="G2558" s="553">
        <f>-'Foglio deposito bis'!$F$90*(C2558-sezione!$AN$37)*IF(ABS(M2558)&lt;'Progetto del paramento slu'!$G$58,ABS(M2558)*'Progetto del paramento slu'!$G$54,'Progetto del paramento slu'!$G$53)</f>
        <v>0</v>
      </c>
      <c r="H2558" s="553">
        <f>-'Foglio deposito bis'!$F$91*(C2558-sezione!$AO$37)*IF(ABS(N2558)&lt;'Progetto del paramento slu'!$G$58,ABS(N2558)*'Progetto del paramento slu'!$G$54,'Progetto del paramento slu'!$G$53)</f>
        <v>290220383.88075477</v>
      </c>
      <c r="I2558" s="479">
        <f>-'Foglio deposito bis'!$F$92*(C2558-sezione!$AP$37)*IF(ABS(O2558)&lt;'Progetto del paramento slu'!$G$58,ABS(O2558)*'Progetto del paramento slu'!$G$54,'Progetto del paramento slu'!$G$53)</f>
        <v>407519000.28613394</v>
      </c>
      <c r="J2558" s="479">
        <f t="shared" si="188"/>
        <v>716704654.81886697</v>
      </c>
      <c r="K2558" s="558">
        <f>'Progetto del paramento slu'!$G$60*(sezione!$AL$37-C2558)/C2558</f>
        <v>5.9480868902543581E-3</v>
      </c>
      <c r="L2558" s="558">
        <f>'Progetto del paramento slu'!$G$60*(sezione!$AM$37-C2558)/C2558</f>
        <v>3.1930325838453837E-2</v>
      </c>
      <c r="M2558" s="559">
        <f>'Progetto del paramento slu'!$G$60*(sezione!$AN$37-C2558)/C2558</f>
        <v>5.7912564786653326E-2</v>
      </c>
      <c r="N2558" s="559">
        <f>'Progetto del paramento slu'!$G$60*(sezione!$AO$37-C2558)/C2558</f>
        <v>7.6808738567162041E-2</v>
      </c>
      <c r="O2558" s="559">
        <f>'Progetto del paramento slu'!$G$60*(sezione!$AP$37-C2558)/C2558</f>
        <v>5.791492680837583E-2</v>
      </c>
      <c r="P2558" s="553">
        <f>-'Progetto del paramento slu'!$G$47*'Progetto del paramento slu'!$G$41*IF(DATI!$G$218="dx",DATI!$E$61,DATI!$E$64*DATI!$E$63)*1000*C2558*sezione!$AD$5</f>
        <v>-208870.28484418101</v>
      </c>
      <c r="Q2558" s="553">
        <f>'Foglio deposito bis'!$F$88*IF(ABS(K2558)&lt;'Progetto del paramento slu'!$G$58,ABS(K2558)*'Progetto del paramento slu'!$G$54,'Progetto del paramento slu'!$G$53)*IF(K2558&lt;0,-1,1)</f>
        <v>0</v>
      </c>
      <c r="R2558" s="553">
        <f>'Foglio deposito bis'!$F$89*IF(ABS(L2558)&lt;'Progetto del paramento slu'!$G$58,ABS(L2558)*'Progetto del paramento slu'!$G$54,'Progetto del paramento slu'!$G$53)*IF(L2558&lt;0,-1,1)</f>
        <v>153664.85805602249</v>
      </c>
      <c r="S2558" s="553">
        <f>'Foglio deposito bis'!$F$90*IF(ABS(M2558)&lt;'Progetto del paramento slu'!$G$58,ABS(M2558)*'Progetto del paramento slu'!$G$54,'Progetto del paramento slu'!$G$53)*IF(M2558&lt;0,-1,1)</f>
        <v>0</v>
      </c>
      <c r="T2558" s="553">
        <f>'Foglio deposito bis'!$F$91*IF(ABS(N2558)&lt;'Progetto del paramento slu'!$G$58,ABS(N2558)*'Progetto del paramento slu'!$G$54,'Progetto del paramento slu'!$G$53)*IF(N2558&lt;0,-1,1)</f>
        <v>892485.49558937876</v>
      </c>
      <c r="U2558" s="553">
        <f>'Foglio deposito bis'!$F$92*IF(ABS(O2558)&lt;'Progetto del paramento slu'!$G$58,ABS(O2558)*'Progetto del paramento slu'!$G$54,'Progetto del paramento slu'!$G$53)*IF(O2558&lt;0,-1,1)</f>
        <v>1662039.1047339395</v>
      </c>
      <c r="V2558" s="479">
        <f t="shared" si="190"/>
        <v>2499319.1735351598</v>
      </c>
      <c r="W2558" s="559"/>
      <c r="X2558" s="559"/>
    </row>
    <row r="2559" spans="1:24" x14ac:dyDescent="0.25">
      <c r="A2559" s="553">
        <f t="shared" si="189"/>
        <v>2496457.9367564721</v>
      </c>
      <c r="B2559" s="3">
        <f t="shared" si="191"/>
        <v>3.6999999999999948</v>
      </c>
      <c r="C2559" s="553">
        <f>'Foglio deposito bis'!$E$163/sezione!$B$247*B2559</f>
        <v>15.020798376184009</v>
      </c>
      <c r="D2559" s="611">
        <f>-'Progetto del paramento slu'!$G$47*'Progetto del paramento slu'!$G$41*IF(DATI!$G$218="dx",DATI!$E$61,DATI!$E$64*DATI!$E$63)*1000*C2559^2*sezione!$AD$5*(1-sezione!$AD$6)</f>
        <v>-1857339.8737689748</v>
      </c>
      <c r="E2559" s="553">
        <f>-'Foglio deposito bis'!$F$88*(C2559-sezione!$AL$37)*IF(ABS(K2559)&lt;'Progetto del paramento slu'!$G$58,ABS(K2559)*'Progetto del paramento slu'!$G$54,'Progetto del paramento slu'!$G$53)</f>
        <v>0</v>
      </c>
      <c r="F2559" s="553">
        <f>-'Foglio deposito bis'!$F$89*(C2559-sezione!$AM$37)*IF(ABS(L2559)&lt;'Progetto del paramento slu'!$G$58,ABS(L2559)*'Progetto del paramento slu'!$G$54,'Progetto del paramento slu'!$G$53)</f>
        <v>20741559.858038925</v>
      </c>
      <c r="G2559" s="553">
        <f>-'Foglio deposito bis'!$F$90*(C2559-sezione!$AN$37)*IF(ABS(M2559)&lt;'Progetto del paramento slu'!$G$58,ABS(M2559)*'Progetto del paramento slu'!$G$54,'Progetto del paramento slu'!$G$53)</f>
        <v>0</v>
      </c>
      <c r="H2559" s="553">
        <f>-'Foglio deposito bis'!$F$91*(C2559-sezione!$AO$37)*IF(ABS(N2559)&lt;'Progetto del paramento slu'!$G$58,ABS(N2559)*'Progetto del paramento slu'!$G$54,'Progetto del paramento slu'!$G$53)</f>
        <v>290039223.8174721</v>
      </c>
      <c r="I2559" s="479">
        <f>-'Foglio deposito bis'!$F$92*(C2559-sezione!$AP$37)*IF(ABS(O2559)&lt;'Progetto del paramento slu'!$G$58,ABS(O2559)*'Progetto del paramento slu'!$G$54,'Progetto del paramento slu'!$G$53)</f>
        <v>407181633.33632928</v>
      </c>
      <c r="J2559" s="479">
        <f t="shared" si="188"/>
        <v>716105077.1380713</v>
      </c>
      <c r="K2559" s="558">
        <f>'Progetto del paramento slu'!$G$60*(sezione!$AL$37-C2559)/C2559</f>
        <v>5.8204100403860554E-3</v>
      </c>
      <c r="L2559" s="558">
        <f>'Progetto del paramento slu'!$G$60*(sezione!$AM$37-C2559)/C2559</f>
        <v>3.145153765144771E-2</v>
      </c>
      <c r="M2559" s="559">
        <f>'Progetto del paramento slu'!$G$60*(sezione!$AN$37-C2559)/C2559</f>
        <v>5.7082665262509359E-2</v>
      </c>
      <c r="N2559" s="559">
        <f>'Progetto del paramento slu'!$G$60*(sezione!$AO$37-C2559)/C2559</f>
        <v>7.5723485343281466E-2</v>
      </c>
      <c r="O2559" s="559">
        <f>'Progetto del paramento slu'!$G$60*(sezione!$AP$37-C2559)/C2559</f>
        <v>5.7084995365019396E-2</v>
      </c>
      <c r="P2559" s="553">
        <f>-'Progetto del paramento slu'!$G$47*'Progetto del paramento slu'!$G$41*IF(DATI!$G$218="dx",DATI!$E$61,DATI!$E$64*DATI!$E$63)*1000*C2559*sezione!$AD$5</f>
        <v>-211731.5216228684</v>
      </c>
      <c r="Q2559" s="553">
        <f>'Foglio deposito bis'!$F$88*IF(ABS(K2559)&lt;'Progetto del paramento slu'!$G$58,ABS(K2559)*'Progetto del paramento slu'!$G$54,'Progetto del paramento slu'!$G$53)*IF(K2559&lt;0,-1,1)</f>
        <v>0</v>
      </c>
      <c r="R2559" s="553">
        <f>'Foglio deposito bis'!$F$89*IF(ABS(L2559)&lt;'Progetto del paramento slu'!$G$58,ABS(L2559)*'Progetto del paramento slu'!$G$54,'Progetto del paramento slu'!$G$53)*IF(L2559&lt;0,-1,1)</f>
        <v>153664.85805602249</v>
      </c>
      <c r="S2559" s="553">
        <f>'Foglio deposito bis'!$F$90*IF(ABS(M2559)&lt;'Progetto del paramento slu'!$G$58,ABS(M2559)*'Progetto del paramento slu'!$G$54,'Progetto del paramento slu'!$G$53)*IF(M2559&lt;0,-1,1)</f>
        <v>0</v>
      </c>
      <c r="T2559" s="553">
        <f>'Foglio deposito bis'!$F$91*IF(ABS(N2559)&lt;'Progetto del paramento slu'!$G$58,ABS(N2559)*'Progetto del paramento slu'!$G$54,'Progetto del paramento slu'!$G$53)*IF(N2559&lt;0,-1,1)</f>
        <v>892485.49558937876</v>
      </c>
      <c r="U2559" s="553">
        <f>'Foglio deposito bis'!$F$92*IF(ABS(O2559)&lt;'Progetto del paramento slu'!$G$58,ABS(O2559)*'Progetto del paramento slu'!$G$54,'Progetto del paramento slu'!$G$53)*IF(O2559&lt;0,-1,1)</f>
        <v>1662039.1047339395</v>
      </c>
      <c r="V2559" s="479">
        <f t="shared" si="190"/>
        <v>2496457.9367564721</v>
      </c>
      <c r="W2559" s="559"/>
      <c r="X2559" s="559"/>
    </row>
    <row r="2560" spans="1:24" x14ac:dyDescent="0.25">
      <c r="A2560" s="553">
        <f t="shared" si="189"/>
        <v>2493596.6999777849</v>
      </c>
      <c r="B2560" s="3">
        <f t="shared" si="191"/>
        <v>3.7499999999999947</v>
      </c>
      <c r="C2560" s="553">
        <f>'Foglio deposito bis'!$E$163/sezione!$B$247*B2560</f>
        <v>15.223782138024333</v>
      </c>
      <c r="D2560" s="611">
        <f>-'Progetto del paramento slu'!$G$47*'Progetto del paramento slu'!$G$41*IF(DATI!$G$218="dx",DATI!$E$61,DATI!$E$64*DATI!$E$63)*1000*C2560^2*sezione!$AD$5*(1-sezione!$AD$6)</f>
        <v>-1907877.4269449383</v>
      </c>
      <c r="E2560" s="553">
        <f>-'Foglio deposito bis'!$F$88*(C2560-sezione!$AL$37)*IF(ABS(K2560)&lt;'Progetto del paramento slu'!$G$58,ABS(K2560)*'Progetto del paramento slu'!$G$54,'Progetto del paramento slu'!$G$53)</f>
        <v>0</v>
      </c>
      <c r="F2560" s="553">
        <f>-'Foglio deposito bis'!$F$89*(C2560-sezione!$AM$37)*IF(ABS(L2560)&lt;'Progetto del paramento slu'!$G$58,ABS(L2560)*'Progetto del paramento slu'!$G$54,'Progetto del paramento slu'!$G$53)</f>
        <v>20710368.387088057</v>
      </c>
      <c r="G2560" s="553">
        <f>-'Foglio deposito bis'!$F$90*(C2560-sezione!$AN$37)*IF(ABS(M2560)&lt;'Progetto del paramento slu'!$G$58,ABS(M2560)*'Progetto del paramento slu'!$G$54,'Progetto del paramento slu'!$G$53)</f>
        <v>0</v>
      </c>
      <c r="H2560" s="553">
        <f>-'Foglio deposito bis'!$F$91*(C2560-sezione!$AO$37)*IF(ABS(N2560)&lt;'Progetto del paramento slu'!$G$58,ABS(N2560)*'Progetto del paramento slu'!$G$54,'Progetto del paramento slu'!$G$53)</f>
        <v>289858063.75418943</v>
      </c>
      <c r="I2560" s="479">
        <f>-'Foglio deposito bis'!$F$92*(C2560-sezione!$AP$37)*IF(ABS(O2560)&lt;'Progetto del paramento slu'!$G$58,ABS(O2560)*'Progetto del paramento slu'!$G$54,'Progetto del paramento slu'!$G$53)</f>
        <v>406844266.38652474</v>
      </c>
      <c r="J2560" s="479">
        <f t="shared" si="188"/>
        <v>715504821.10085726</v>
      </c>
      <c r="K2560" s="558">
        <f>'Progetto del paramento slu'!$G$60*(sezione!$AL$37-C2560)/C2560</f>
        <v>5.6961379065142417E-3</v>
      </c>
      <c r="L2560" s="558">
        <f>'Progetto del paramento slu'!$G$60*(sezione!$AM$37-C2560)/C2560</f>
        <v>3.0985517149428411E-2</v>
      </c>
      <c r="M2560" s="559">
        <f>'Progetto del paramento slu'!$G$60*(sezione!$AN$37-C2560)/C2560</f>
        <v>5.6274896392342573E-2</v>
      </c>
      <c r="N2560" s="559">
        <f>'Progetto del paramento slu'!$G$60*(sezione!$AO$37-C2560)/C2560</f>
        <v>7.4667172205371071E-2</v>
      </c>
      <c r="O2560" s="559">
        <f>'Progetto del paramento slu'!$G$60*(sezione!$AP$37-C2560)/C2560</f>
        <v>5.6277195426819152E-2</v>
      </c>
      <c r="P2560" s="553">
        <f>-'Progetto del paramento slu'!$G$47*'Progetto del paramento slu'!$G$41*IF(DATI!$G$218="dx",DATI!$E$61,DATI!$E$64*DATI!$E$63)*1000*C2560*sezione!$AD$5</f>
        <v>-214592.75840155579</v>
      </c>
      <c r="Q2560" s="553">
        <f>'Foglio deposito bis'!$F$88*IF(ABS(K2560)&lt;'Progetto del paramento slu'!$G$58,ABS(K2560)*'Progetto del paramento slu'!$G$54,'Progetto del paramento slu'!$G$53)*IF(K2560&lt;0,-1,1)</f>
        <v>0</v>
      </c>
      <c r="R2560" s="553">
        <f>'Foglio deposito bis'!$F$89*IF(ABS(L2560)&lt;'Progetto del paramento slu'!$G$58,ABS(L2560)*'Progetto del paramento slu'!$G$54,'Progetto del paramento slu'!$G$53)*IF(L2560&lt;0,-1,1)</f>
        <v>153664.85805602249</v>
      </c>
      <c r="S2560" s="553">
        <f>'Foglio deposito bis'!$F$90*IF(ABS(M2560)&lt;'Progetto del paramento slu'!$G$58,ABS(M2560)*'Progetto del paramento slu'!$G$54,'Progetto del paramento slu'!$G$53)*IF(M2560&lt;0,-1,1)</f>
        <v>0</v>
      </c>
      <c r="T2560" s="553">
        <f>'Foglio deposito bis'!$F$91*IF(ABS(N2560)&lt;'Progetto del paramento slu'!$G$58,ABS(N2560)*'Progetto del paramento slu'!$G$54,'Progetto del paramento slu'!$G$53)*IF(N2560&lt;0,-1,1)</f>
        <v>892485.49558937876</v>
      </c>
      <c r="U2560" s="553">
        <f>'Foglio deposito bis'!$F$92*IF(ABS(O2560)&lt;'Progetto del paramento slu'!$G$58,ABS(O2560)*'Progetto del paramento slu'!$G$54,'Progetto del paramento slu'!$G$53)*IF(O2560&lt;0,-1,1)</f>
        <v>1662039.1047339395</v>
      </c>
      <c r="V2560" s="479">
        <f t="shared" si="190"/>
        <v>2493596.6999777849</v>
      </c>
      <c r="W2560" s="559"/>
      <c r="X2560" s="559"/>
    </row>
    <row r="2561" spans="1:24" x14ac:dyDescent="0.25">
      <c r="A2561" s="553">
        <f t="shared" si="189"/>
        <v>2490735.4631990977</v>
      </c>
      <c r="B2561" s="3">
        <f t="shared" si="191"/>
        <v>3.7999999999999945</v>
      </c>
      <c r="C2561" s="553">
        <f>'Foglio deposito bis'!$E$163/sezione!$B$247*B2561</f>
        <v>15.426765899864657</v>
      </c>
      <c r="D2561" s="611">
        <f>-'Progetto del paramento slu'!$G$47*'Progetto del paramento slu'!$G$41*IF(DATI!$G$218="dx",DATI!$E$61,DATI!$E$64*DATI!$E$63)*1000*C2561^2*sezione!$AD$5*(1-sezione!$AD$6)</f>
        <v>-1959093.3365393714</v>
      </c>
      <c r="E2561" s="553">
        <f>-'Foglio deposito bis'!$F$88*(C2561-sezione!$AL$37)*IF(ABS(K2561)&lt;'Progetto del paramento slu'!$G$58,ABS(K2561)*'Progetto del paramento slu'!$G$54,'Progetto del paramento slu'!$G$53)</f>
        <v>0</v>
      </c>
      <c r="F2561" s="553">
        <f>-'Foglio deposito bis'!$F$89*(C2561-sezione!$AM$37)*IF(ABS(L2561)&lt;'Progetto del paramento slu'!$G$58,ABS(L2561)*'Progetto del paramento slu'!$G$54,'Progetto del paramento slu'!$G$53)</f>
        <v>20679176.916137185</v>
      </c>
      <c r="G2561" s="553">
        <f>-'Foglio deposito bis'!$F$90*(C2561-sezione!$AN$37)*IF(ABS(M2561)&lt;'Progetto del paramento slu'!$G$58,ABS(M2561)*'Progetto del paramento slu'!$G$54,'Progetto del paramento slu'!$G$53)</f>
        <v>0</v>
      </c>
      <c r="H2561" s="553">
        <f>-'Foglio deposito bis'!$F$91*(C2561-sezione!$AO$37)*IF(ABS(N2561)&lt;'Progetto del paramento slu'!$G$58,ABS(N2561)*'Progetto del paramento slu'!$G$54,'Progetto del paramento slu'!$G$53)</f>
        <v>289676903.69090676</v>
      </c>
      <c r="I2561" s="479">
        <f>-'Foglio deposito bis'!$F$92*(C2561-sezione!$AP$37)*IF(ABS(O2561)&lt;'Progetto del paramento slu'!$G$58,ABS(O2561)*'Progetto del paramento slu'!$G$54,'Progetto del paramento slu'!$G$53)</f>
        <v>406506899.43672013</v>
      </c>
      <c r="J2561" s="479">
        <f t="shared" si="188"/>
        <v>714903886.70722473</v>
      </c>
      <c r="K2561" s="558">
        <f>'Progetto del paramento slu'!$G$60*(sezione!$AL$37-C2561)/C2561</f>
        <v>5.5751360919548444E-3</v>
      </c>
      <c r="L2561" s="558">
        <f>'Progetto del paramento slu'!$G$60*(sezione!$AM$37-C2561)/C2561</f>
        <v>3.0531760344830669E-2</v>
      </c>
      <c r="M2561" s="559">
        <f>'Progetto del paramento slu'!$G$60*(sezione!$AN$37-C2561)/C2561</f>
        <v>5.548838459770649E-2</v>
      </c>
      <c r="N2561" s="559">
        <f>'Progetto del paramento slu'!$G$60*(sezione!$AO$37-C2561)/C2561</f>
        <v>7.3638656781616171E-2</v>
      </c>
      <c r="O2561" s="559">
        <f>'Progetto del paramento slu'!$G$60*(sezione!$AP$37-C2561)/C2561</f>
        <v>5.5490653381729427E-2</v>
      </c>
      <c r="P2561" s="553">
        <f>-'Progetto del paramento slu'!$G$47*'Progetto del paramento slu'!$G$41*IF(DATI!$G$218="dx",DATI!$E$61,DATI!$E$64*DATI!$E$63)*1000*C2561*sezione!$AD$5</f>
        <v>-217453.99518024325</v>
      </c>
      <c r="Q2561" s="553">
        <f>'Foglio deposito bis'!$F$88*IF(ABS(K2561)&lt;'Progetto del paramento slu'!$G$58,ABS(K2561)*'Progetto del paramento slu'!$G$54,'Progetto del paramento slu'!$G$53)*IF(K2561&lt;0,-1,1)</f>
        <v>0</v>
      </c>
      <c r="R2561" s="553">
        <f>'Foglio deposito bis'!$F$89*IF(ABS(L2561)&lt;'Progetto del paramento slu'!$G$58,ABS(L2561)*'Progetto del paramento slu'!$G$54,'Progetto del paramento slu'!$G$53)*IF(L2561&lt;0,-1,1)</f>
        <v>153664.85805602249</v>
      </c>
      <c r="S2561" s="553">
        <f>'Foglio deposito bis'!$F$90*IF(ABS(M2561)&lt;'Progetto del paramento slu'!$G$58,ABS(M2561)*'Progetto del paramento slu'!$G$54,'Progetto del paramento slu'!$G$53)*IF(M2561&lt;0,-1,1)</f>
        <v>0</v>
      </c>
      <c r="T2561" s="553">
        <f>'Foglio deposito bis'!$F$91*IF(ABS(N2561)&lt;'Progetto del paramento slu'!$G$58,ABS(N2561)*'Progetto del paramento slu'!$G$54,'Progetto del paramento slu'!$G$53)*IF(N2561&lt;0,-1,1)</f>
        <v>892485.49558937876</v>
      </c>
      <c r="U2561" s="553">
        <f>'Foglio deposito bis'!$F$92*IF(ABS(O2561)&lt;'Progetto del paramento slu'!$G$58,ABS(O2561)*'Progetto del paramento slu'!$G$54,'Progetto del paramento slu'!$G$53)*IF(O2561&lt;0,-1,1)</f>
        <v>1662039.1047339395</v>
      </c>
      <c r="V2561" s="479">
        <f t="shared" si="190"/>
        <v>2490735.4631990977</v>
      </c>
      <c r="W2561" s="559"/>
      <c r="X2561" s="559"/>
    </row>
    <row r="2562" spans="1:24" x14ac:dyDescent="0.25">
      <c r="A2562" s="553">
        <f t="shared" si="189"/>
        <v>2487874.22642041</v>
      </c>
      <c r="B2562" s="3">
        <f t="shared" si="191"/>
        <v>3.8499999999999943</v>
      </c>
      <c r="C2562" s="553">
        <f>'Foglio deposito bis'!$E$163/sezione!$B$247*B2562</f>
        <v>15.629749661704983</v>
      </c>
      <c r="D2562" s="611">
        <f>-'Progetto del paramento slu'!$G$47*'Progetto del paramento slu'!$G$41*IF(DATI!$G$218="dx",DATI!$E$61,DATI!$E$64*DATI!$E$63)*1000*C2562^2*sezione!$AD$5*(1-sezione!$AD$6)</f>
        <v>-2010987.6025522745</v>
      </c>
      <c r="E2562" s="553">
        <f>-'Foglio deposito bis'!$F$88*(C2562-sezione!$AL$37)*IF(ABS(K2562)&lt;'Progetto del paramento slu'!$G$58,ABS(K2562)*'Progetto del paramento slu'!$G$54,'Progetto del paramento slu'!$G$53)</f>
        <v>0</v>
      </c>
      <c r="F2562" s="553">
        <f>-'Foglio deposito bis'!$F$89*(C2562-sezione!$AM$37)*IF(ABS(L2562)&lt;'Progetto del paramento slu'!$G$58,ABS(L2562)*'Progetto del paramento slu'!$G$54,'Progetto del paramento slu'!$G$53)</f>
        <v>20647985.445186313</v>
      </c>
      <c r="G2562" s="553">
        <f>-'Foglio deposito bis'!$F$90*(C2562-sezione!$AN$37)*IF(ABS(M2562)&lt;'Progetto del paramento slu'!$G$58,ABS(M2562)*'Progetto del paramento slu'!$G$54,'Progetto del paramento slu'!$G$53)</f>
        <v>0</v>
      </c>
      <c r="H2562" s="553">
        <f>-'Foglio deposito bis'!$F$91*(C2562-sezione!$AO$37)*IF(ABS(N2562)&lt;'Progetto del paramento slu'!$G$58,ABS(N2562)*'Progetto del paramento slu'!$G$54,'Progetto del paramento slu'!$G$53)</f>
        <v>289495743.62762409</v>
      </c>
      <c r="I2562" s="479">
        <f>-'Foglio deposito bis'!$F$92*(C2562-sezione!$AP$37)*IF(ABS(O2562)&lt;'Progetto del paramento slu'!$G$58,ABS(O2562)*'Progetto del paramento slu'!$G$54,'Progetto del paramento slu'!$G$53)</f>
        <v>406169532.48691547</v>
      </c>
      <c r="J2562" s="479">
        <f t="shared" si="188"/>
        <v>714302273.95717359</v>
      </c>
      <c r="K2562" s="558">
        <f>'Progetto del paramento slu'!$G$60*(sezione!$AL$37-C2562)/C2562</f>
        <v>5.4572771816697157E-3</v>
      </c>
      <c r="L2562" s="558">
        <f>'Progetto del paramento slu'!$G$60*(sezione!$AM$37-C2562)/C2562</f>
        <v>3.0089789431261435E-2</v>
      </c>
      <c r="M2562" s="559">
        <f>'Progetto del paramento slu'!$G$60*(sezione!$AN$37-C2562)/C2562</f>
        <v>5.4722301680853153E-2</v>
      </c>
      <c r="N2562" s="559">
        <f>'Progetto del paramento slu'!$G$60*(sezione!$AO$37-C2562)/C2562</f>
        <v>7.263685604419258E-2</v>
      </c>
      <c r="O2562" s="559">
        <f>'Progetto del paramento slu'!$G$60*(sezione!$AP$37-C2562)/C2562</f>
        <v>5.4724541000148522E-2</v>
      </c>
      <c r="P2562" s="553">
        <f>-'Progetto del paramento slu'!$G$47*'Progetto del paramento slu'!$G$41*IF(DATI!$G$218="dx",DATI!$E$61,DATI!$E$64*DATI!$E$63)*1000*C2562*sezione!$AD$5</f>
        <v>-220315.23195893064</v>
      </c>
      <c r="Q2562" s="553">
        <f>'Foglio deposito bis'!$F$88*IF(ABS(K2562)&lt;'Progetto del paramento slu'!$G$58,ABS(K2562)*'Progetto del paramento slu'!$G$54,'Progetto del paramento slu'!$G$53)*IF(K2562&lt;0,-1,1)</f>
        <v>0</v>
      </c>
      <c r="R2562" s="553">
        <f>'Foglio deposito bis'!$F$89*IF(ABS(L2562)&lt;'Progetto del paramento slu'!$G$58,ABS(L2562)*'Progetto del paramento slu'!$G$54,'Progetto del paramento slu'!$G$53)*IF(L2562&lt;0,-1,1)</f>
        <v>153664.85805602249</v>
      </c>
      <c r="S2562" s="553">
        <f>'Foglio deposito bis'!$F$90*IF(ABS(M2562)&lt;'Progetto del paramento slu'!$G$58,ABS(M2562)*'Progetto del paramento slu'!$G$54,'Progetto del paramento slu'!$G$53)*IF(M2562&lt;0,-1,1)</f>
        <v>0</v>
      </c>
      <c r="T2562" s="553">
        <f>'Foglio deposito bis'!$F$91*IF(ABS(N2562)&lt;'Progetto del paramento slu'!$G$58,ABS(N2562)*'Progetto del paramento slu'!$G$54,'Progetto del paramento slu'!$G$53)*IF(N2562&lt;0,-1,1)</f>
        <v>892485.49558937876</v>
      </c>
      <c r="U2562" s="553">
        <f>'Foglio deposito bis'!$F$92*IF(ABS(O2562)&lt;'Progetto del paramento slu'!$G$58,ABS(O2562)*'Progetto del paramento slu'!$G$54,'Progetto del paramento slu'!$G$53)*IF(O2562&lt;0,-1,1)</f>
        <v>1662039.1047339395</v>
      </c>
      <c r="V2562" s="479">
        <f t="shared" si="190"/>
        <v>2487874.22642041</v>
      </c>
      <c r="W2562" s="559"/>
      <c r="X2562" s="559"/>
    </row>
    <row r="2563" spans="1:24" x14ac:dyDescent="0.25">
      <c r="A2563" s="553">
        <f t="shared" si="189"/>
        <v>2485012.9896417228</v>
      </c>
      <c r="B2563" s="3">
        <f t="shared" si="191"/>
        <v>3.8999999999999941</v>
      </c>
      <c r="C2563" s="553">
        <f>'Foglio deposito bis'!$E$163/sezione!$B$247*B2563</f>
        <v>15.832733423545307</v>
      </c>
      <c r="D2563" s="611">
        <f>-'Progetto del paramento slu'!$G$47*'Progetto del paramento slu'!$G$41*IF(DATI!$G$218="dx",DATI!$E$61,DATI!$E$64*DATI!$E$63)*1000*C2563^2*sezione!$AD$5*(1-sezione!$AD$6)</f>
        <v>-2063560.2249836456</v>
      </c>
      <c r="E2563" s="553">
        <f>-'Foglio deposito bis'!$F$88*(C2563-sezione!$AL$37)*IF(ABS(K2563)&lt;'Progetto del paramento slu'!$G$58,ABS(K2563)*'Progetto del paramento slu'!$G$54,'Progetto del paramento slu'!$G$53)</f>
        <v>0</v>
      </c>
      <c r="F2563" s="553">
        <f>-'Foglio deposito bis'!$F$89*(C2563-sezione!$AM$37)*IF(ABS(L2563)&lt;'Progetto del paramento slu'!$G$58,ABS(L2563)*'Progetto del paramento slu'!$G$54,'Progetto del paramento slu'!$G$53)</f>
        <v>20616793.974235442</v>
      </c>
      <c r="G2563" s="553">
        <f>-'Foglio deposito bis'!$F$90*(C2563-sezione!$AN$37)*IF(ABS(M2563)&lt;'Progetto del paramento slu'!$G$58,ABS(M2563)*'Progetto del paramento slu'!$G$54,'Progetto del paramento slu'!$G$53)</f>
        <v>0</v>
      </c>
      <c r="H2563" s="553">
        <f>-'Foglio deposito bis'!$F$91*(C2563-sezione!$AO$37)*IF(ABS(N2563)&lt;'Progetto del paramento slu'!$G$58,ABS(N2563)*'Progetto del paramento slu'!$G$54,'Progetto del paramento slu'!$G$53)</f>
        <v>289314583.56434149</v>
      </c>
      <c r="I2563" s="479">
        <f>-'Foglio deposito bis'!$F$92*(C2563-sezione!$AP$37)*IF(ABS(O2563)&lt;'Progetto del paramento slu'!$G$58,ABS(O2563)*'Progetto del paramento slu'!$G$54,'Progetto del paramento slu'!$G$53)</f>
        <v>405832165.53711087</v>
      </c>
      <c r="J2563" s="479">
        <f t="shared" si="188"/>
        <v>713699982.85070419</v>
      </c>
      <c r="K2563" s="558">
        <f>'Progetto del paramento slu'!$G$60*(sezione!$AL$37-C2563)/C2563</f>
        <v>5.3424402947252324E-3</v>
      </c>
      <c r="L2563" s="558">
        <f>'Progetto del paramento slu'!$G$60*(sezione!$AM$37-C2563)/C2563</f>
        <v>2.9659151105219623E-2</v>
      </c>
      <c r="M2563" s="559">
        <f>'Progetto del paramento slu'!$G$60*(sezione!$AN$37-C2563)/C2563</f>
        <v>5.3975861915714018E-2</v>
      </c>
      <c r="N2563" s="559">
        <f>'Progetto del paramento slu'!$G$60*(sezione!$AO$37-C2563)/C2563</f>
        <v>7.1660742505164479E-2</v>
      </c>
      <c r="O2563" s="559">
        <f>'Progetto del paramento slu'!$G$60*(sezione!$AP$37-C2563)/C2563</f>
        <v>5.3978072525787638E-2</v>
      </c>
      <c r="P2563" s="553">
        <f>-'Progetto del paramento slu'!$G$47*'Progetto del paramento slu'!$G$41*IF(DATI!$G$218="dx",DATI!$E$61,DATI!$E$64*DATI!$E$63)*1000*C2563*sezione!$AD$5</f>
        <v>-223176.46873761804</v>
      </c>
      <c r="Q2563" s="553">
        <f>'Foglio deposito bis'!$F$88*IF(ABS(K2563)&lt;'Progetto del paramento slu'!$G$58,ABS(K2563)*'Progetto del paramento slu'!$G$54,'Progetto del paramento slu'!$G$53)*IF(K2563&lt;0,-1,1)</f>
        <v>0</v>
      </c>
      <c r="R2563" s="553">
        <f>'Foglio deposito bis'!$F$89*IF(ABS(L2563)&lt;'Progetto del paramento slu'!$G$58,ABS(L2563)*'Progetto del paramento slu'!$G$54,'Progetto del paramento slu'!$G$53)*IF(L2563&lt;0,-1,1)</f>
        <v>153664.85805602249</v>
      </c>
      <c r="S2563" s="553">
        <f>'Foglio deposito bis'!$F$90*IF(ABS(M2563)&lt;'Progetto del paramento slu'!$G$58,ABS(M2563)*'Progetto del paramento slu'!$G$54,'Progetto del paramento slu'!$G$53)*IF(M2563&lt;0,-1,1)</f>
        <v>0</v>
      </c>
      <c r="T2563" s="553">
        <f>'Foglio deposito bis'!$F$91*IF(ABS(N2563)&lt;'Progetto del paramento slu'!$G$58,ABS(N2563)*'Progetto del paramento slu'!$G$54,'Progetto del paramento slu'!$G$53)*IF(N2563&lt;0,-1,1)</f>
        <v>892485.49558937876</v>
      </c>
      <c r="U2563" s="553">
        <f>'Foglio deposito bis'!$F$92*IF(ABS(O2563)&lt;'Progetto del paramento slu'!$G$58,ABS(O2563)*'Progetto del paramento slu'!$G$54,'Progetto del paramento slu'!$G$53)*IF(O2563&lt;0,-1,1)</f>
        <v>1662039.1047339395</v>
      </c>
      <c r="V2563" s="479">
        <f t="shared" si="190"/>
        <v>2485012.9896417228</v>
      </c>
      <c r="W2563" s="559"/>
      <c r="X2563" s="559"/>
    </row>
    <row r="2564" spans="1:24" x14ac:dyDescent="0.25">
      <c r="A2564" s="553">
        <f t="shared" si="189"/>
        <v>2482151.7528630355</v>
      </c>
      <c r="B2564" s="3">
        <f t="shared" si="191"/>
        <v>3.949999999999994</v>
      </c>
      <c r="C2564" s="553">
        <f>'Foglio deposito bis'!$E$163/sezione!$B$247*B2564</f>
        <v>16.035717185385629</v>
      </c>
      <c r="D2564" s="611">
        <f>-'Progetto del paramento slu'!$G$47*'Progetto del paramento slu'!$G$41*IF(DATI!$G$218="dx",DATI!$E$61,DATI!$E$64*DATI!$E$63)*1000*C2564^2*sezione!$AD$5*(1-sezione!$AD$6)</f>
        <v>-2116811.203833486</v>
      </c>
      <c r="E2564" s="553">
        <f>-'Foglio deposito bis'!$F$88*(C2564-sezione!$AL$37)*IF(ABS(K2564)&lt;'Progetto del paramento slu'!$G$58,ABS(K2564)*'Progetto del paramento slu'!$G$54,'Progetto del paramento slu'!$G$53)</f>
        <v>0</v>
      </c>
      <c r="F2564" s="553">
        <f>-'Foglio deposito bis'!$F$89*(C2564-sezione!$AM$37)*IF(ABS(L2564)&lt;'Progetto del paramento slu'!$G$58,ABS(L2564)*'Progetto del paramento slu'!$G$54,'Progetto del paramento slu'!$G$53)</f>
        <v>20585602.50328457</v>
      </c>
      <c r="G2564" s="553">
        <f>-'Foglio deposito bis'!$F$90*(C2564-sezione!$AN$37)*IF(ABS(M2564)&lt;'Progetto del paramento slu'!$G$58,ABS(M2564)*'Progetto del paramento slu'!$G$54,'Progetto del paramento slu'!$G$53)</f>
        <v>0</v>
      </c>
      <c r="H2564" s="553">
        <f>-'Foglio deposito bis'!$F$91*(C2564-sezione!$AO$37)*IF(ABS(N2564)&lt;'Progetto del paramento slu'!$G$58,ABS(N2564)*'Progetto del paramento slu'!$G$54,'Progetto del paramento slu'!$G$53)</f>
        <v>289133423.50105882</v>
      </c>
      <c r="I2564" s="479">
        <f>-'Foglio deposito bis'!$F$92*(C2564-sezione!$AP$37)*IF(ABS(O2564)&lt;'Progetto del paramento slu'!$G$58,ABS(O2564)*'Progetto del paramento slu'!$G$54,'Progetto del paramento slu'!$G$53)</f>
        <v>405494798.5873062</v>
      </c>
      <c r="J2564" s="479">
        <f t="shared" si="188"/>
        <v>713097013.38781619</v>
      </c>
      <c r="K2564" s="558">
        <f>'Progetto del paramento slu'!$G$60*(sezione!$AL$37-C2564)/C2564</f>
        <v>5.2305106707413703E-3</v>
      </c>
      <c r="L2564" s="558">
        <f>'Progetto del paramento slu'!$G$60*(sezione!$AM$37-C2564)/C2564</f>
        <v>2.9239415015280136E-2</v>
      </c>
      <c r="M2564" s="559">
        <f>'Progetto del paramento slu'!$G$60*(sezione!$AN$37-C2564)/C2564</f>
        <v>5.3248319359818906E-2</v>
      </c>
      <c r="N2564" s="559">
        <f>'Progetto del paramento slu'!$G$60*(sezione!$AO$37-C2564)/C2564</f>
        <v>7.0709340701301637E-2</v>
      </c>
      <c r="O2564" s="559">
        <f>'Progetto del paramento slu'!$G$60*(sezione!$AP$37-C2564)/C2564</f>
        <v>5.3250501987486543E-2</v>
      </c>
      <c r="P2564" s="553">
        <f>-'Progetto del paramento slu'!$G$47*'Progetto del paramento slu'!$G$41*IF(DATI!$G$218="dx",DATI!$E$61,DATI!$E$64*DATI!$E$63)*1000*C2564*sezione!$AD$5</f>
        <v>-226037.70551630543</v>
      </c>
      <c r="Q2564" s="553">
        <f>'Foglio deposito bis'!$F$88*IF(ABS(K2564)&lt;'Progetto del paramento slu'!$G$58,ABS(K2564)*'Progetto del paramento slu'!$G$54,'Progetto del paramento slu'!$G$53)*IF(K2564&lt;0,-1,1)</f>
        <v>0</v>
      </c>
      <c r="R2564" s="553">
        <f>'Foglio deposito bis'!$F$89*IF(ABS(L2564)&lt;'Progetto del paramento slu'!$G$58,ABS(L2564)*'Progetto del paramento slu'!$G$54,'Progetto del paramento slu'!$G$53)*IF(L2564&lt;0,-1,1)</f>
        <v>153664.85805602249</v>
      </c>
      <c r="S2564" s="553">
        <f>'Foglio deposito bis'!$F$90*IF(ABS(M2564)&lt;'Progetto del paramento slu'!$G$58,ABS(M2564)*'Progetto del paramento slu'!$G$54,'Progetto del paramento slu'!$G$53)*IF(M2564&lt;0,-1,1)</f>
        <v>0</v>
      </c>
      <c r="T2564" s="553">
        <f>'Foglio deposito bis'!$F$91*IF(ABS(N2564)&lt;'Progetto del paramento slu'!$G$58,ABS(N2564)*'Progetto del paramento slu'!$G$54,'Progetto del paramento slu'!$G$53)*IF(N2564&lt;0,-1,1)</f>
        <v>892485.49558937876</v>
      </c>
      <c r="U2564" s="553">
        <f>'Foglio deposito bis'!$F$92*IF(ABS(O2564)&lt;'Progetto del paramento slu'!$G$58,ABS(O2564)*'Progetto del paramento slu'!$G$54,'Progetto del paramento slu'!$G$53)*IF(O2564&lt;0,-1,1)</f>
        <v>1662039.1047339395</v>
      </c>
      <c r="V2564" s="479">
        <f t="shared" si="190"/>
        <v>2482151.7528630355</v>
      </c>
      <c r="W2564" s="559"/>
      <c r="X2564" s="559"/>
    </row>
    <row r="2565" spans="1:24" x14ac:dyDescent="0.25">
      <c r="A2565" s="553">
        <f t="shared" si="189"/>
        <v>2479290.5160843479</v>
      </c>
      <c r="B2565" s="3">
        <f t="shared" si="191"/>
        <v>3.9999999999999938</v>
      </c>
      <c r="C2565" s="553">
        <f>'Foglio deposito bis'!$E$163/sezione!$B$247*B2565</f>
        <v>16.238700947225954</v>
      </c>
      <c r="D2565" s="611">
        <f>-'Progetto del paramento slu'!$G$47*'Progetto del paramento slu'!$G$41*IF(DATI!$G$218="dx",DATI!$E$61,DATI!$E$64*DATI!$E$63)*1000*C2565^2*sezione!$AD$5*(1-sezione!$AD$6)</f>
        <v>-2170740.5391017962</v>
      </c>
      <c r="E2565" s="553">
        <f>-'Foglio deposito bis'!$F$88*(C2565-sezione!$AL$37)*IF(ABS(K2565)&lt;'Progetto del paramento slu'!$G$58,ABS(K2565)*'Progetto del paramento slu'!$G$54,'Progetto del paramento slu'!$G$53)</f>
        <v>0</v>
      </c>
      <c r="F2565" s="553">
        <f>-'Foglio deposito bis'!$F$89*(C2565-sezione!$AM$37)*IF(ABS(L2565)&lt;'Progetto del paramento slu'!$G$58,ABS(L2565)*'Progetto del paramento slu'!$G$54,'Progetto del paramento slu'!$G$53)</f>
        <v>20554411.032333698</v>
      </c>
      <c r="G2565" s="553">
        <f>-'Foglio deposito bis'!$F$90*(C2565-sezione!$AN$37)*IF(ABS(M2565)&lt;'Progetto del paramento slu'!$G$58,ABS(M2565)*'Progetto del paramento slu'!$G$54,'Progetto del paramento slu'!$G$53)</f>
        <v>0</v>
      </c>
      <c r="H2565" s="553">
        <f>-'Foglio deposito bis'!$F$91*(C2565-sezione!$AO$37)*IF(ABS(N2565)&lt;'Progetto del paramento slu'!$G$58,ABS(N2565)*'Progetto del paramento slu'!$G$54,'Progetto del paramento slu'!$G$53)</f>
        <v>288952263.43777615</v>
      </c>
      <c r="I2565" s="479">
        <f>-'Foglio deposito bis'!$F$92*(C2565-sezione!$AP$37)*IF(ABS(O2565)&lt;'Progetto del paramento slu'!$G$58,ABS(O2565)*'Progetto del paramento slu'!$G$54,'Progetto del paramento slu'!$G$53)</f>
        <v>405157431.6375016</v>
      </c>
      <c r="J2565" s="479">
        <f t="shared" si="188"/>
        <v>712493365.56850958</v>
      </c>
      <c r="K2565" s="558">
        <f>'Progetto del paramento slu'!$G$60*(sezione!$AL$37-C2565)/C2565</f>
        <v>5.1213792873571022E-3</v>
      </c>
      <c r="L2565" s="558">
        <f>'Progetto del paramento slu'!$G$60*(sezione!$AM$37-C2565)/C2565</f>
        <v>2.8830172327589134E-2</v>
      </c>
      <c r="M2565" s="559">
        <f>'Progetto del paramento slu'!$G$60*(sezione!$AN$37-C2565)/C2565</f>
        <v>5.2538965367821162E-2</v>
      </c>
      <c r="N2565" s="559">
        <f>'Progetto del paramento slu'!$G$60*(sezione!$AO$37-C2565)/C2565</f>
        <v>6.9781723942535387E-2</v>
      </c>
      <c r="O2565" s="559">
        <f>'Progetto del paramento slu'!$G$60*(sezione!$AP$37-C2565)/C2565</f>
        <v>5.2541120712642955E-2</v>
      </c>
      <c r="P2565" s="553">
        <f>-'Progetto del paramento slu'!$G$47*'Progetto del paramento slu'!$G$41*IF(DATI!$G$218="dx",DATI!$E$61,DATI!$E$64*DATI!$E$63)*1000*C2565*sezione!$AD$5</f>
        <v>-228898.94229499286</v>
      </c>
      <c r="Q2565" s="553">
        <f>'Foglio deposito bis'!$F$88*IF(ABS(K2565)&lt;'Progetto del paramento slu'!$G$58,ABS(K2565)*'Progetto del paramento slu'!$G$54,'Progetto del paramento slu'!$G$53)*IF(K2565&lt;0,-1,1)</f>
        <v>0</v>
      </c>
      <c r="R2565" s="553">
        <f>'Foglio deposito bis'!$F$89*IF(ABS(L2565)&lt;'Progetto del paramento slu'!$G$58,ABS(L2565)*'Progetto del paramento slu'!$G$54,'Progetto del paramento slu'!$G$53)*IF(L2565&lt;0,-1,1)</f>
        <v>153664.85805602249</v>
      </c>
      <c r="S2565" s="553">
        <f>'Foglio deposito bis'!$F$90*IF(ABS(M2565)&lt;'Progetto del paramento slu'!$G$58,ABS(M2565)*'Progetto del paramento slu'!$G$54,'Progetto del paramento slu'!$G$53)*IF(M2565&lt;0,-1,1)</f>
        <v>0</v>
      </c>
      <c r="T2565" s="553">
        <f>'Foglio deposito bis'!$F$91*IF(ABS(N2565)&lt;'Progetto del paramento slu'!$G$58,ABS(N2565)*'Progetto del paramento slu'!$G$54,'Progetto del paramento slu'!$G$53)*IF(N2565&lt;0,-1,1)</f>
        <v>892485.49558937876</v>
      </c>
      <c r="U2565" s="553">
        <f>'Foglio deposito bis'!$F$92*IF(ABS(O2565)&lt;'Progetto del paramento slu'!$G$58,ABS(O2565)*'Progetto del paramento slu'!$G$54,'Progetto del paramento slu'!$G$53)*IF(O2565&lt;0,-1,1)</f>
        <v>1662039.1047339395</v>
      </c>
      <c r="V2565" s="479">
        <f t="shared" si="190"/>
        <v>2479290.5160843479</v>
      </c>
      <c r="W2565" s="559"/>
      <c r="X2565" s="559"/>
    </row>
    <row r="2566" spans="1:24" x14ac:dyDescent="0.25">
      <c r="A2566" s="553">
        <f t="shared" si="189"/>
        <v>2476429.2793056606</v>
      </c>
      <c r="B2566" s="3">
        <f t="shared" si="191"/>
        <v>4.0499999999999936</v>
      </c>
      <c r="C2566" s="553">
        <f>'Foglio deposito bis'!$E$163/sezione!$B$247*B2566</f>
        <v>16.441684709066276</v>
      </c>
      <c r="D2566" s="611">
        <f>-'Progetto del paramento slu'!$G$47*'Progetto del paramento slu'!$G$41*IF(DATI!$G$218="dx",DATI!$E$61,DATI!$E$64*DATI!$E$63)*1000*C2566^2*sezione!$AD$5*(1-sezione!$AD$6)</f>
        <v>-2225348.230788575</v>
      </c>
      <c r="E2566" s="553">
        <f>-'Foglio deposito bis'!$F$88*(C2566-sezione!$AL$37)*IF(ABS(K2566)&lt;'Progetto del paramento slu'!$G$58,ABS(K2566)*'Progetto del paramento slu'!$G$54,'Progetto del paramento slu'!$G$53)</f>
        <v>0</v>
      </c>
      <c r="F2566" s="553">
        <f>-'Foglio deposito bis'!$F$89*(C2566-sezione!$AM$37)*IF(ABS(L2566)&lt;'Progetto del paramento slu'!$G$58,ABS(L2566)*'Progetto del paramento slu'!$G$54,'Progetto del paramento slu'!$G$53)</f>
        <v>20523219.561382834</v>
      </c>
      <c r="G2566" s="553">
        <f>-'Foglio deposito bis'!$F$90*(C2566-sezione!$AN$37)*IF(ABS(M2566)&lt;'Progetto del paramento slu'!$G$58,ABS(M2566)*'Progetto del paramento slu'!$G$54,'Progetto del paramento slu'!$G$53)</f>
        <v>0</v>
      </c>
      <c r="H2566" s="553">
        <f>-'Foglio deposito bis'!$F$91*(C2566-sezione!$AO$37)*IF(ABS(N2566)&lt;'Progetto del paramento slu'!$G$58,ABS(N2566)*'Progetto del paramento slu'!$G$54,'Progetto del paramento slu'!$G$53)</f>
        <v>288771103.37449348</v>
      </c>
      <c r="I2566" s="479">
        <f>-'Foglio deposito bis'!$F$92*(C2566-sezione!$AP$37)*IF(ABS(O2566)&lt;'Progetto del paramento slu'!$G$58,ABS(O2566)*'Progetto del paramento slu'!$G$54,'Progetto del paramento slu'!$G$53)</f>
        <v>404820064.68769699</v>
      </c>
      <c r="J2566" s="479">
        <f t="shared" si="188"/>
        <v>711889039.39278471</v>
      </c>
      <c r="K2566" s="558">
        <f>'Progetto del paramento slu'!$G$60*(sezione!$AL$37-C2566)/C2566</f>
        <v>5.0149425060317075E-3</v>
      </c>
      <c r="L2566" s="558">
        <f>'Progetto del paramento slu'!$G$60*(sezione!$AM$37-C2566)/C2566</f>
        <v>2.8431034397618907E-2</v>
      </c>
      <c r="M2566" s="559">
        <f>'Progetto del paramento slu'!$G$60*(sezione!$AN$37-C2566)/C2566</f>
        <v>5.1847126289206104E-2</v>
      </c>
      <c r="N2566" s="559">
        <f>'Progetto del paramento slu'!$G$60*(sezione!$AO$37-C2566)/C2566</f>
        <v>6.8877011301269511E-2</v>
      </c>
      <c r="O2566" s="559">
        <f>'Progetto del paramento slu'!$G$60*(sezione!$AP$37-C2566)/C2566</f>
        <v>5.1849255024832556E-2</v>
      </c>
      <c r="P2566" s="553">
        <f>-'Progetto del paramento slu'!$G$47*'Progetto del paramento slu'!$G$41*IF(DATI!$G$218="dx",DATI!$E$61,DATI!$E$64*DATI!$E$63)*1000*C2566*sezione!$AD$5</f>
        <v>-231760.17907368022</v>
      </c>
      <c r="Q2566" s="553">
        <f>'Foglio deposito bis'!$F$88*IF(ABS(K2566)&lt;'Progetto del paramento slu'!$G$58,ABS(K2566)*'Progetto del paramento slu'!$G$54,'Progetto del paramento slu'!$G$53)*IF(K2566&lt;0,-1,1)</f>
        <v>0</v>
      </c>
      <c r="R2566" s="553">
        <f>'Foglio deposito bis'!$F$89*IF(ABS(L2566)&lt;'Progetto del paramento slu'!$G$58,ABS(L2566)*'Progetto del paramento slu'!$G$54,'Progetto del paramento slu'!$G$53)*IF(L2566&lt;0,-1,1)</f>
        <v>153664.85805602249</v>
      </c>
      <c r="S2566" s="553">
        <f>'Foglio deposito bis'!$F$90*IF(ABS(M2566)&lt;'Progetto del paramento slu'!$G$58,ABS(M2566)*'Progetto del paramento slu'!$G$54,'Progetto del paramento slu'!$G$53)*IF(M2566&lt;0,-1,1)</f>
        <v>0</v>
      </c>
      <c r="T2566" s="553">
        <f>'Foglio deposito bis'!$F$91*IF(ABS(N2566)&lt;'Progetto del paramento slu'!$G$58,ABS(N2566)*'Progetto del paramento slu'!$G$54,'Progetto del paramento slu'!$G$53)*IF(N2566&lt;0,-1,1)</f>
        <v>892485.49558937876</v>
      </c>
      <c r="U2566" s="553">
        <f>'Foglio deposito bis'!$F$92*IF(ABS(O2566)&lt;'Progetto del paramento slu'!$G$58,ABS(O2566)*'Progetto del paramento slu'!$G$54,'Progetto del paramento slu'!$G$53)*IF(O2566&lt;0,-1,1)</f>
        <v>1662039.1047339395</v>
      </c>
      <c r="V2566" s="479">
        <f t="shared" si="190"/>
        <v>2476429.2793056606</v>
      </c>
      <c r="W2566" s="559"/>
      <c r="X2566" s="559"/>
    </row>
    <row r="2567" spans="1:24" x14ac:dyDescent="0.25">
      <c r="A2567" s="553">
        <f t="shared" si="189"/>
        <v>2473568.0425269734</v>
      </c>
      <c r="B2567" s="3">
        <f t="shared" si="191"/>
        <v>4.0999999999999934</v>
      </c>
      <c r="C2567" s="553">
        <f>'Foglio deposito bis'!$E$163/sezione!$B$247*B2567</f>
        <v>16.644668470906602</v>
      </c>
      <c r="D2567" s="611">
        <f>-'Progetto del paramento slu'!$G$47*'Progetto del paramento slu'!$G$41*IF(DATI!$G$218="dx",DATI!$E$61,DATI!$E$64*DATI!$E$63)*1000*C2567^2*sezione!$AD$5*(1-sezione!$AD$6)</f>
        <v>-2280634.2788938247</v>
      </c>
      <c r="E2567" s="553">
        <f>-'Foglio deposito bis'!$F$88*(C2567-sezione!$AL$37)*IF(ABS(K2567)&lt;'Progetto del paramento slu'!$G$58,ABS(K2567)*'Progetto del paramento slu'!$G$54,'Progetto del paramento slu'!$G$53)</f>
        <v>0</v>
      </c>
      <c r="F2567" s="553">
        <f>-'Foglio deposito bis'!$F$89*(C2567-sezione!$AM$37)*IF(ABS(L2567)&lt;'Progetto del paramento slu'!$G$58,ABS(L2567)*'Progetto del paramento slu'!$G$54,'Progetto del paramento slu'!$G$53)</f>
        <v>20492028.090431958</v>
      </c>
      <c r="G2567" s="553">
        <f>-'Foglio deposito bis'!$F$90*(C2567-sezione!$AN$37)*IF(ABS(M2567)&lt;'Progetto del paramento slu'!$G$58,ABS(M2567)*'Progetto del paramento slu'!$G$54,'Progetto del paramento slu'!$G$53)</f>
        <v>0</v>
      </c>
      <c r="H2567" s="553">
        <f>-'Foglio deposito bis'!$F$91*(C2567-sezione!$AO$37)*IF(ABS(N2567)&lt;'Progetto del paramento slu'!$G$58,ABS(N2567)*'Progetto del paramento slu'!$G$54,'Progetto del paramento slu'!$G$53)</f>
        <v>288589943.31121081</v>
      </c>
      <c r="I2567" s="479">
        <f>-'Foglio deposito bis'!$F$92*(C2567-sezione!$AP$37)*IF(ABS(O2567)&lt;'Progetto del paramento slu'!$G$58,ABS(O2567)*'Progetto del paramento slu'!$G$54,'Progetto del paramento slu'!$G$53)</f>
        <v>404482697.73789239</v>
      </c>
      <c r="J2567" s="479">
        <f t="shared" si="188"/>
        <v>711284034.86064136</v>
      </c>
      <c r="K2567" s="558">
        <f>'Progetto del paramento slu'!$G$60*(sezione!$AL$37-C2567)/C2567</f>
        <v>4.911101743763027E-3</v>
      </c>
      <c r="L2567" s="558">
        <f>'Progetto del paramento slu'!$G$60*(sezione!$AM$37-C2567)/C2567</f>
        <v>2.8041631539111354E-2</v>
      </c>
      <c r="M2567" s="559">
        <f>'Progetto del paramento slu'!$G$60*(sezione!$AN$37-C2567)/C2567</f>
        <v>5.1172161334459676E-2</v>
      </c>
      <c r="N2567" s="559">
        <f>'Progetto del paramento slu'!$G$60*(sezione!$AO$37-C2567)/C2567</f>
        <v>6.7994364821985731E-2</v>
      </c>
      <c r="O2567" s="559">
        <f>'Progetto del paramento slu'!$G$60*(sezione!$AP$37-C2567)/C2567</f>
        <v>5.1174264109895576E-2</v>
      </c>
      <c r="P2567" s="553">
        <f>-'Progetto del paramento slu'!$G$47*'Progetto del paramento slu'!$G$41*IF(DATI!$G$218="dx",DATI!$E$61,DATI!$E$64*DATI!$E$63)*1000*C2567*sezione!$AD$5</f>
        <v>-234621.41585236765</v>
      </c>
      <c r="Q2567" s="553">
        <f>'Foglio deposito bis'!$F$88*IF(ABS(K2567)&lt;'Progetto del paramento slu'!$G$58,ABS(K2567)*'Progetto del paramento slu'!$G$54,'Progetto del paramento slu'!$G$53)*IF(K2567&lt;0,-1,1)</f>
        <v>0</v>
      </c>
      <c r="R2567" s="553">
        <f>'Foglio deposito bis'!$F$89*IF(ABS(L2567)&lt;'Progetto del paramento slu'!$G$58,ABS(L2567)*'Progetto del paramento slu'!$G$54,'Progetto del paramento slu'!$G$53)*IF(L2567&lt;0,-1,1)</f>
        <v>153664.85805602249</v>
      </c>
      <c r="S2567" s="553">
        <f>'Foglio deposito bis'!$F$90*IF(ABS(M2567)&lt;'Progetto del paramento slu'!$G$58,ABS(M2567)*'Progetto del paramento slu'!$G$54,'Progetto del paramento slu'!$G$53)*IF(M2567&lt;0,-1,1)</f>
        <v>0</v>
      </c>
      <c r="T2567" s="553">
        <f>'Foglio deposito bis'!$F$91*IF(ABS(N2567)&lt;'Progetto del paramento slu'!$G$58,ABS(N2567)*'Progetto del paramento slu'!$G$54,'Progetto del paramento slu'!$G$53)*IF(N2567&lt;0,-1,1)</f>
        <v>892485.49558937876</v>
      </c>
      <c r="U2567" s="553">
        <f>'Foglio deposito bis'!$F$92*IF(ABS(O2567)&lt;'Progetto del paramento slu'!$G$58,ABS(O2567)*'Progetto del paramento slu'!$G$54,'Progetto del paramento slu'!$G$53)*IF(O2567&lt;0,-1,1)</f>
        <v>1662039.1047339395</v>
      </c>
      <c r="V2567" s="479">
        <f t="shared" si="190"/>
        <v>2473568.0425269734</v>
      </c>
      <c r="W2567" s="559"/>
      <c r="X2567" s="559"/>
    </row>
    <row r="2568" spans="1:24" x14ac:dyDescent="0.25">
      <c r="A2568" s="553">
        <f t="shared" si="189"/>
        <v>2470706.8057482857</v>
      </c>
      <c r="B2568" s="3">
        <f t="shared" si="191"/>
        <v>4.1499999999999932</v>
      </c>
      <c r="C2568" s="553">
        <f>'Foglio deposito bis'!$E$163/sezione!$B$247*B2568</f>
        <v>16.847652232746928</v>
      </c>
      <c r="D2568" s="611">
        <f>-'Progetto del paramento slu'!$G$47*'Progetto del paramento slu'!$G$41*IF(DATI!$G$218="dx",DATI!$E$61,DATI!$E$64*DATI!$E$63)*1000*C2568^2*sezione!$AD$5*(1-sezione!$AD$6)</f>
        <v>-2336598.6834175428</v>
      </c>
      <c r="E2568" s="553">
        <f>-'Foglio deposito bis'!$F$88*(C2568-sezione!$AL$37)*IF(ABS(K2568)&lt;'Progetto del paramento slu'!$G$58,ABS(K2568)*'Progetto del paramento slu'!$G$54,'Progetto del paramento slu'!$G$53)</f>
        <v>0</v>
      </c>
      <c r="F2568" s="553">
        <f>-'Foglio deposito bis'!$F$89*(C2568-sezione!$AM$37)*IF(ABS(L2568)&lt;'Progetto del paramento slu'!$G$58,ABS(L2568)*'Progetto del paramento slu'!$G$54,'Progetto del paramento slu'!$G$53)</f>
        <v>20460836.619481087</v>
      </c>
      <c r="G2568" s="553">
        <f>-'Foglio deposito bis'!$F$90*(C2568-sezione!$AN$37)*IF(ABS(M2568)&lt;'Progetto del paramento slu'!$G$58,ABS(M2568)*'Progetto del paramento slu'!$G$54,'Progetto del paramento slu'!$G$53)</f>
        <v>0</v>
      </c>
      <c r="H2568" s="553">
        <f>-'Foglio deposito bis'!$F$91*(C2568-sezione!$AO$37)*IF(ABS(N2568)&lt;'Progetto del paramento slu'!$G$58,ABS(N2568)*'Progetto del paramento slu'!$G$54,'Progetto del paramento slu'!$G$53)</f>
        <v>288408783.24792814</v>
      </c>
      <c r="I2568" s="479">
        <f>-'Foglio deposito bis'!$F$92*(C2568-sezione!$AP$37)*IF(ABS(O2568)&lt;'Progetto del paramento slu'!$G$58,ABS(O2568)*'Progetto del paramento slu'!$G$54,'Progetto del paramento slu'!$G$53)</f>
        <v>404145330.78808773</v>
      </c>
      <c r="J2568" s="479">
        <f t="shared" si="188"/>
        <v>710678351.9720794</v>
      </c>
      <c r="K2568" s="558">
        <f>'Progetto del paramento slu'!$G$60*(sezione!$AL$37-C2568)/C2568</f>
        <v>4.8097631685369664E-3</v>
      </c>
      <c r="L2568" s="558">
        <f>'Progetto del paramento slu'!$G$60*(sezione!$AM$37-C2568)/C2568</f>
        <v>2.7661611882013624E-2</v>
      </c>
      <c r="M2568" s="559">
        <f>'Progetto del paramento slu'!$G$60*(sezione!$AN$37-C2568)/C2568</f>
        <v>5.0513460595490285E-2</v>
      </c>
      <c r="N2568" s="559">
        <f>'Progetto del paramento slu'!$G$60*(sezione!$AO$37-C2568)/C2568</f>
        <v>6.7132986932564198E-2</v>
      </c>
      <c r="O2568" s="559">
        <f>'Progetto del paramento slu'!$G$60*(sezione!$AP$37-C2568)/C2568</f>
        <v>5.0515538036282365E-2</v>
      </c>
      <c r="P2568" s="553">
        <f>-'Progetto del paramento slu'!$G$47*'Progetto del paramento slu'!$G$41*IF(DATI!$G$218="dx",DATI!$E$61,DATI!$E$64*DATI!$E$63)*1000*C2568*sezione!$AD$5</f>
        <v>-237482.6526310551</v>
      </c>
      <c r="Q2568" s="553">
        <f>'Foglio deposito bis'!$F$88*IF(ABS(K2568)&lt;'Progetto del paramento slu'!$G$58,ABS(K2568)*'Progetto del paramento slu'!$G$54,'Progetto del paramento slu'!$G$53)*IF(K2568&lt;0,-1,1)</f>
        <v>0</v>
      </c>
      <c r="R2568" s="553">
        <f>'Foglio deposito bis'!$F$89*IF(ABS(L2568)&lt;'Progetto del paramento slu'!$G$58,ABS(L2568)*'Progetto del paramento slu'!$G$54,'Progetto del paramento slu'!$G$53)*IF(L2568&lt;0,-1,1)</f>
        <v>153664.85805602249</v>
      </c>
      <c r="S2568" s="553">
        <f>'Foglio deposito bis'!$F$90*IF(ABS(M2568)&lt;'Progetto del paramento slu'!$G$58,ABS(M2568)*'Progetto del paramento slu'!$G$54,'Progetto del paramento slu'!$G$53)*IF(M2568&lt;0,-1,1)</f>
        <v>0</v>
      </c>
      <c r="T2568" s="553">
        <f>'Foglio deposito bis'!$F$91*IF(ABS(N2568)&lt;'Progetto del paramento slu'!$G$58,ABS(N2568)*'Progetto del paramento slu'!$G$54,'Progetto del paramento slu'!$G$53)*IF(N2568&lt;0,-1,1)</f>
        <v>892485.49558937876</v>
      </c>
      <c r="U2568" s="553">
        <f>'Foglio deposito bis'!$F$92*IF(ABS(O2568)&lt;'Progetto del paramento slu'!$G$58,ABS(O2568)*'Progetto del paramento slu'!$G$54,'Progetto del paramento slu'!$G$53)*IF(O2568&lt;0,-1,1)</f>
        <v>1662039.1047339395</v>
      </c>
      <c r="V2568" s="479">
        <f t="shared" si="190"/>
        <v>2470706.8057482857</v>
      </c>
      <c r="W2568" s="559"/>
      <c r="X2568" s="559"/>
    </row>
    <row r="2569" spans="1:24" x14ac:dyDescent="0.25">
      <c r="A2569" s="553">
        <f t="shared" si="189"/>
        <v>2467845.568969598</v>
      </c>
      <c r="B2569" s="3">
        <f t="shared" si="191"/>
        <v>4.1999999999999931</v>
      </c>
      <c r="C2569" s="553">
        <f>'Foglio deposito bis'!$E$163/sezione!$B$247*B2569</f>
        <v>17.05063599458725</v>
      </c>
      <c r="D2569" s="611">
        <f>-'Progetto del paramento slu'!$G$47*'Progetto del paramento slu'!$G$41*IF(DATI!$G$218="dx",DATI!$E$61,DATI!$E$64*DATI!$E$63)*1000*C2569^2*sezione!$AD$5*(1-sezione!$AD$6)</f>
        <v>-2393241.4443597305</v>
      </c>
      <c r="E2569" s="553">
        <f>-'Foglio deposito bis'!$F$88*(C2569-sezione!$AL$37)*IF(ABS(K2569)&lt;'Progetto del paramento slu'!$G$58,ABS(K2569)*'Progetto del paramento slu'!$G$54,'Progetto del paramento slu'!$G$53)</f>
        <v>0</v>
      </c>
      <c r="F2569" s="553">
        <f>-'Foglio deposito bis'!$F$89*(C2569-sezione!$AM$37)*IF(ABS(L2569)&lt;'Progetto del paramento slu'!$G$58,ABS(L2569)*'Progetto del paramento slu'!$G$54,'Progetto del paramento slu'!$G$53)</f>
        <v>20429645.148530215</v>
      </c>
      <c r="G2569" s="553">
        <f>-'Foglio deposito bis'!$F$90*(C2569-sezione!$AN$37)*IF(ABS(M2569)&lt;'Progetto del paramento slu'!$G$58,ABS(M2569)*'Progetto del paramento slu'!$G$54,'Progetto del paramento slu'!$G$53)</f>
        <v>0</v>
      </c>
      <c r="H2569" s="553">
        <f>-'Foglio deposito bis'!$F$91*(C2569-sezione!$AO$37)*IF(ABS(N2569)&lt;'Progetto del paramento slu'!$G$58,ABS(N2569)*'Progetto del paramento slu'!$G$54,'Progetto del paramento slu'!$G$53)</f>
        <v>288227623.18464547</v>
      </c>
      <c r="I2569" s="479">
        <f>-'Foglio deposito bis'!$F$92*(C2569-sezione!$AP$37)*IF(ABS(O2569)&lt;'Progetto del paramento slu'!$G$58,ABS(O2569)*'Progetto del paramento slu'!$G$54,'Progetto del paramento slu'!$G$53)</f>
        <v>403807963.83828312</v>
      </c>
      <c r="J2569" s="479">
        <f t="shared" si="188"/>
        <v>710071990.72709906</v>
      </c>
      <c r="K2569" s="558">
        <f>'Progetto del paramento slu'!$G$60*(sezione!$AL$37-C2569)/C2569</f>
        <v>4.7108374165305746E-3</v>
      </c>
      <c r="L2569" s="558">
        <f>'Progetto del paramento slu'!$G$60*(sezione!$AM$37-C2569)/C2569</f>
        <v>2.7290640311989654E-2</v>
      </c>
      <c r="M2569" s="559">
        <f>'Progetto del paramento slu'!$G$60*(sezione!$AN$37-C2569)/C2569</f>
        <v>4.9870443207448739E-2</v>
      </c>
      <c r="N2569" s="559">
        <f>'Progetto del paramento slu'!$G$60*(sezione!$AO$37-C2569)/C2569</f>
        <v>6.6292118040509884E-2</v>
      </c>
      <c r="O2569" s="559">
        <f>'Progetto del paramento slu'!$G$60*(sezione!$AP$37-C2569)/C2569</f>
        <v>4.9872495916802824E-2</v>
      </c>
      <c r="P2569" s="553">
        <f>-'Progetto del paramento slu'!$G$47*'Progetto del paramento slu'!$G$41*IF(DATI!$G$218="dx",DATI!$E$61,DATI!$E$64*DATI!$E$63)*1000*C2569*sezione!$AD$5</f>
        <v>-240343.88940974249</v>
      </c>
      <c r="Q2569" s="553">
        <f>'Foglio deposito bis'!$F$88*IF(ABS(K2569)&lt;'Progetto del paramento slu'!$G$58,ABS(K2569)*'Progetto del paramento slu'!$G$54,'Progetto del paramento slu'!$G$53)*IF(K2569&lt;0,-1,1)</f>
        <v>0</v>
      </c>
      <c r="R2569" s="553">
        <f>'Foglio deposito bis'!$F$89*IF(ABS(L2569)&lt;'Progetto del paramento slu'!$G$58,ABS(L2569)*'Progetto del paramento slu'!$G$54,'Progetto del paramento slu'!$G$53)*IF(L2569&lt;0,-1,1)</f>
        <v>153664.85805602249</v>
      </c>
      <c r="S2569" s="553">
        <f>'Foglio deposito bis'!$F$90*IF(ABS(M2569)&lt;'Progetto del paramento slu'!$G$58,ABS(M2569)*'Progetto del paramento slu'!$G$54,'Progetto del paramento slu'!$G$53)*IF(M2569&lt;0,-1,1)</f>
        <v>0</v>
      </c>
      <c r="T2569" s="553">
        <f>'Foglio deposito bis'!$F$91*IF(ABS(N2569)&lt;'Progetto del paramento slu'!$G$58,ABS(N2569)*'Progetto del paramento slu'!$G$54,'Progetto del paramento slu'!$G$53)*IF(N2569&lt;0,-1,1)</f>
        <v>892485.49558937876</v>
      </c>
      <c r="U2569" s="553">
        <f>'Foglio deposito bis'!$F$92*IF(ABS(O2569)&lt;'Progetto del paramento slu'!$G$58,ABS(O2569)*'Progetto del paramento slu'!$G$54,'Progetto del paramento slu'!$G$53)*IF(O2569&lt;0,-1,1)</f>
        <v>1662039.1047339395</v>
      </c>
      <c r="V2569" s="479">
        <f t="shared" si="190"/>
        <v>2467845.568969598</v>
      </c>
      <c r="W2569" s="559"/>
      <c r="X2569" s="559"/>
    </row>
    <row r="2570" spans="1:24" x14ac:dyDescent="0.25">
      <c r="A2570" s="553">
        <f t="shared" si="189"/>
        <v>2464984.3321909108</v>
      </c>
      <c r="B2570" s="3">
        <f t="shared" si="191"/>
        <v>4.2499999999999929</v>
      </c>
      <c r="C2570" s="553">
        <f>'Foglio deposito bis'!$E$163/sezione!$B$247*B2570</f>
        <v>17.253619756427575</v>
      </c>
      <c r="D2570" s="611">
        <f>-'Progetto del paramento slu'!$G$47*'Progetto del paramento slu'!$G$41*IF(DATI!$G$218="dx",DATI!$E$61,DATI!$E$64*DATI!$E$63)*1000*C2570^2*sezione!$AD$5*(1-sezione!$AD$6)</f>
        <v>-2450562.5617203866</v>
      </c>
      <c r="E2570" s="553">
        <f>-'Foglio deposito bis'!$F$88*(C2570-sezione!$AL$37)*IF(ABS(K2570)&lt;'Progetto del paramento slu'!$G$58,ABS(K2570)*'Progetto del paramento slu'!$G$54,'Progetto del paramento slu'!$G$53)</f>
        <v>0</v>
      </c>
      <c r="F2570" s="553">
        <f>-'Foglio deposito bis'!$F$89*(C2570-sezione!$AM$37)*IF(ABS(L2570)&lt;'Progetto del paramento slu'!$G$58,ABS(L2570)*'Progetto del paramento slu'!$G$54,'Progetto del paramento slu'!$G$53)</f>
        <v>20398453.677579343</v>
      </c>
      <c r="G2570" s="553">
        <f>-'Foglio deposito bis'!$F$90*(C2570-sezione!$AN$37)*IF(ABS(M2570)&lt;'Progetto del paramento slu'!$G$58,ABS(M2570)*'Progetto del paramento slu'!$G$54,'Progetto del paramento slu'!$G$53)</f>
        <v>0</v>
      </c>
      <c r="H2570" s="553">
        <f>-'Foglio deposito bis'!$F$91*(C2570-sezione!$AO$37)*IF(ABS(N2570)&lt;'Progetto del paramento slu'!$G$58,ABS(N2570)*'Progetto del paramento slu'!$G$54,'Progetto del paramento slu'!$G$53)</f>
        <v>288046463.12136281</v>
      </c>
      <c r="I2570" s="479">
        <f>-'Foglio deposito bis'!$F$92*(C2570-sezione!$AP$37)*IF(ABS(O2570)&lt;'Progetto del paramento slu'!$G$58,ABS(O2570)*'Progetto del paramento slu'!$G$54,'Progetto del paramento slu'!$G$53)</f>
        <v>403470596.88847852</v>
      </c>
      <c r="J2570" s="479">
        <f t="shared" si="188"/>
        <v>709464951.12570024</v>
      </c>
      <c r="K2570" s="558">
        <f>'Progetto del paramento slu'!$G$60*(sezione!$AL$37-C2570)/C2570</f>
        <v>4.6142393292772739E-3</v>
      </c>
      <c r="L2570" s="558">
        <f>'Progetto del paramento slu'!$G$60*(sezione!$AM$37-C2570)/C2570</f>
        <v>2.6928397484789774E-2</v>
      </c>
      <c r="M2570" s="559">
        <f>'Progetto del paramento slu'!$G$60*(sezione!$AN$37-C2570)/C2570</f>
        <v>4.924255564030227E-2</v>
      </c>
      <c r="N2570" s="559">
        <f>'Progetto del paramento slu'!$G$60*(sezione!$AO$37-C2570)/C2570</f>
        <v>6.5471034298856839E-2</v>
      </c>
      <c r="O2570" s="559">
        <f>'Progetto del paramento slu'!$G$60*(sezione!$AP$37-C2570)/C2570</f>
        <v>4.9244584200134549E-2</v>
      </c>
      <c r="P2570" s="553">
        <f>-'Progetto del paramento slu'!$G$47*'Progetto del paramento slu'!$G$41*IF(DATI!$G$218="dx",DATI!$E$61,DATI!$E$64*DATI!$E$63)*1000*C2570*sezione!$AD$5</f>
        <v>-243205.12618842989</v>
      </c>
      <c r="Q2570" s="553">
        <f>'Foglio deposito bis'!$F$88*IF(ABS(K2570)&lt;'Progetto del paramento slu'!$G$58,ABS(K2570)*'Progetto del paramento slu'!$G$54,'Progetto del paramento slu'!$G$53)*IF(K2570&lt;0,-1,1)</f>
        <v>0</v>
      </c>
      <c r="R2570" s="553">
        <f>'Foglio deposito bis'!$F$89*IF(ABS(L2570)&lt;'Progetto del paramento slu'!$G$58,ABS(L2570)*'Progetto del paramento slu'!$G$54,'Progetto del paramento slu'!$G$53)*IF(L2570&lt;0,-1,1)</f>
        <v>153664.85805602249</v>
      </c>
      <c r="S2570" s="553">
        <f>'Foglio deposito bis'!$F$90*IF(ABS(M2570)&lt;'Progetto del paramento slu'!$G$58,ABS(M2570)*'Progetto del paramento slu'!$G$54,'Progetto del paramento slu'!$G$53)*IF(M2570&lt;0,-1,1)</f>
        <v>0</v>
      </c>
      <c r="T2570" s="553">
        <f>'Foglio deposito bis'!$F$91*IF(ABS(N2570)&lt;'Progetto del paramento slu'!$G$58,ABS(N2570)*'Progetto del paramento slu'!$G$54,'Progetto del paramento slu'!$G$53)*IF(N2570&lt;0,-1,1)</f>
        <v>892485.49558937876</v>
      </c>
      <c r="U2570" s="553">
        <f>'Foglio deposito bis'!$F$92*IF(ABS(O2570)&lt;'Progetto del paramento slu'!$G$58,ABS(O2570)*'Progetto del paramento slu'!$G$54,'Progetto del paramento slu'!$G$53)*IF(O2570&lt;0,-1,1)</f>
        <v>1662039.1047339395</v>
      </c>
      <c r="V2570" s="479">
        <f t="shared" si="190"/>
        <v>2464984.3321909108</v>
      </c>
      <c r="W2570" s="559"/>
      <c r="X2570" s="559"/>
    </row>
    <row r="2571" spans="1:24" x14ac:dyDescent="0.25">
      <c r="A2571" s="553">
        <f t="shared" si="189"/>
        <v>2462123.0954122236</v>
      </c>
      <c r="B2571" s="3">
        <f t="shared" si="191"/>
        <v>4.2999999999999927</v>
      </c>
      <c r="C2571" s="553">
        <f>'Foglio deposito bis'!$E$163/sezione!$B$247*B2571</f>
        <v>17.456603518267897</v>
      </c>
      <c r="D2571" s="611">
        <f>-'Progetto del paramento slu'!$G$47*'Progetto del paramento slu'!$G$41*IF(DATI!$G$218="dx",DATI!$E$61,DATI!$E$64*DATI!$E$63)*1000*C2571^2*sezione!$AD$5*(1-sezione!$AD$6)</f>
        <v>-2508562.0354995131</v>
      </c>
      <c r="E2571" s="553">
        <f>-'Foglio deposito bis'!$F$88*(C2571-sezione!$AL$37)*IF(ABS(K2571)&lt;'Progetto del paramento slu'!$G$58,ABS(K2571)*'Progetto del paramento slu'!$G$54,'Progetto del paramento slu'!$G$53)</f>
        <v>0</v>
      </c>
      <c r="F2571" s="553">
        <f>-'Foglio deposito bis'!$F$89*(C2571-sezione!$AM$37)*IF(ABS(L2571)&lt;'Progetto del paramento slu'!$G$58,ABS(L2571)*'Progetto del paramento slu'!$G$54,'Progetto del paramento slu'!$G$53)</f>
        <v>20367262.206628472</v>
      </c>
      <c r="G2571" s="553">
        <f>-'Foglio deposito bis'!$F$90*(C2571-sezione!$AN$37)*IF(ABS(M2571)&lt;'Progetto del paramento slu'!$G$58,ABS(M2571)*'Progetto del paramento slu'!$G$54,'Progetto del paramento slu'!$G$53)</f>
        <v>0</v>
      </c>
      <c r="H2571" s="553">
        <f>-'Foglio deposito bis'!$F$91*(C2571-sezione!$AO$37)*IF(ABS(N2571)&lt;'Progetto del paramento slu'!$G$58,ABS(N2571)*'Progetto del paramento slu'!$G$54,'Progetto del paramento slu'!$G$53)</f>
        <v>287865303.05808014</v>
      </c>
      <c r="I2571" s="479">
        <f>-'Foglio deposito bis'!$F$92*(C2571-sezione!$AP$37)*IF(ABS(O2571)&lt;'Progetto del paramento slu'!$G$58,ABS(O2571)*'Progetto del paramento slu'!$G$54,'Progetto del paramento slu'!$G$53)</f>
        <v>403133229.93867385</v>
      </c>
      <c r="J2571" s="479">
        <f t="shared" si="188"/>
        <v>708857233.16788292</v>
      </c>
      <c r="K2571" s="558">
        <f>'Progetto del paramento slu'!$G$60*(sezione!$AL$37-C2571)/C2571</f>
        <v>4.5198877091693996E-3</v>
      </c>
      <c r="L2571" s="558">
        <f>'Progetto del paramento slu'!$G$60*(sezione!$AM$37-C2571)/C2571</f>
        <v>2.6574578909385246E-2</v>
      </c>
      <c r="M2571" s="559">
        <f>'Progetto del paramento slu'!$G$60*(sezione!$AN$37-C2571)/C2571</f>
        <v>4.8629270109601094E-2</v>
      </c>
      <c r="N2571" s="559">
        <f>'Progetto del paramento slu'!$G$60*(sezione!$AO$37-C2571)/C2571</f>
        <v>6.4669045527939895E-2</v>
      </c>
      <c r="O2571" s="559">
        <f>'Progetto del paramento slu'!$G$60*(sezione!$AP$37-C2571)/C2571</f>
        <v>4.8631275081528334E-2</v>
      </c>
      <c r="P2571" s="553">
        <f>-'Progetto del paramento slu'!$G$47*'Progetto del paramento slu'!$G$41*IF(DATI!$G$218="dx",DATI!$E$61,DATI!$E$64*DATI!$E$63)*1000*C2571*sezione!$AD$5</f>
        <v>-246066.36296711728</v>
      </c>
      <c r="Q2571" s="553">
        <f>'Foglio deposito bis'!$F$88*IF(ABS(K2571)&lt;'Progetto del paramento slu'!$G$58,ABS(K2571)*'Progetto del paramento slu'!$G$54,'Progetto del paramento slu'!$G$53)*IF(K2571&lt;0,-1,1)</f>
        <v>0</v>
      </c>
      <c r="R2571" s="553">
        <f>'Foglio deposito bis'!$F$89*IF(ABS(L2571)&lt;'Progetto del paramento slu'!$G$58,ABS(L2571)*'Progetto del paramento slu'!$G$54,'Progetto del paramento slu'!$G$53)*IF(L2571&lt;0,-1,1)</f>
        <v>153664.85805602249</v>
      </c>
      <c r="S2571" s="553">
        <f>'Foglio deposito bis'!$F$90*IF(ABS(M2571)&lt;'Progetto del paramento slu'!$G$58,ABS(M2571)*'Progetto del paramento slu'!$G$54,'Progetto del paramento slu'!$G$53)*IF(M2571&lt;0,-1,1)</f>
        <v>0</v>
      </c>
      <c r="T2571" s="553">
        <f>'Foglio deposito bis'!$F$91*IF(ABS(N2571)&lt;'Progetto del paramento slu'!$G$58,ABS(N2571)*'Progetto del paramento slu'!$G$54,'Progetto del paramento slu'!$G$53)*IF(N2571&lt;0,-1,1)</f>
        <v>892485.49558937876</v>
      </c>
      <c r="U2571" s="553">
        <f>'Foglio deposito bis'!$F$92*IF(ABS(O2571)&lt;'Progetto del paramento slu'!$G$58,ABS(O2571)*'Progetto del paramento slu'!$G$54,'Progetto del paramento slu'!$G$53)*IF(O2571&lt;0,-1,1)</f>
        <v>1662039.1047339395</v>
      </c>
      <c r="V2571" s="479">
        <f t="shared" si="190"/>
        <v>2462123.0954122236</v>
      </c>
      <c r="W2571" s="559"/>
      <c r="X2571" s="559"/>
    </row>
    <row r="2572" spans="1:24" x14ac:dyDescent="0.25">
      <c r="A2572" s="553">
        <f t="shared" si="189"/>
        <v>2459261.8586335359</v>
      </c>
      <c r="B2572" s="3">
        <f t="shared" si="191"/>
        <v>4.3499999999999925</v>
      </c>
      <c r="C2572" s="553">
        <f>'Foglio deposito bis'!$E$163/sezione!$B$247*B2572</f>
        <v>17.659587280108223</v>
      </c>
      <c r="D2572" s="611">
        <f>-'Progetto del paramento slu'!$G$47*'Progetto del paramento slu'!$G$41*IF(DATI!$G$218="dx",DATI!$E$61,DATI!$E$64*DATI!$E$63)*1000*C2572^2*sezione!$AD$5*(1-sezione!$AD$6)</f>
        <v>-2567239.8656971087</v>
      </c>
      <c r="E2572" s="553">
        <f>-'Foglio deposito bis'!$F$88*(C2572-sezione!$AL$37)*IF(ABS(K2572)&lt;'Progetto del paramento slu'!$G$58,ABS(K2572)*'Progetto del paramento slu'!$G$54,'Progetto del paramento slu'!$G$53)</f>
        <v>0</v>
      </c>
      <c r="F2572" s="553">
        <f>-'Foglio deposito bis'!$F$89*(C2572-sezione!$AM$37)*IF(ABS(L2572)&lt;'Progetto del paramento slu'!$G$58,ABS(L2572)*'Progetto del paramento slu'!$G$54,'Progetto del paramento slu'!$G$53)</f>
        <v>20336070.735677604</v>
      </c>
      <c r="G2572" s="553">
        <f>-'Foglio deposito bis'!$F$90*(C2572-sezione!$AN$37)*IF(ABS(M2572)&lt;'Progetto del paramento slu'!$G$58,ABS(M2572)*'Progetto del paramento slu'!$G$54,'Progetto del paramento slu'!$G$53)</f>
        <v>0</v>
      </c>
      <c r="H2572" s="553">
        <f>-'Foglio deposito bis'!$F$91*(C2572-sezione!$AO$37)*IF(ABS(N2572)&lt;'Progetto del paramento slu'!$G$58,ABS(N2572)*'Progetto del paramento slu'!$G$54,'Progetto del paramento slu'!$G$53)</f>
        <v>287684142.99479753</v>
      </c>
      <c r="I2572" s="479">
        <f>-'Foglio deposito bis'!$F$92*(C2572-sezione!$AP$37)*IF(ABS(O2572)&lt;'Progetto del paramento slu'!$G$58,ABS(O2572)*'Progetto del paramento slu'!$G$54,'Progetto del paramento slu'!$G$53)</f>
        <v>402795862.98886931</v>
      </c>
      <c r="J2572" s="479">
        <f t="shared" si="188"/>
        <v>708248836.85364735</v>
      </c>
      <c r="K2572" s="558">
        <f>'Progetto del paramento slu'!$G$60*(sezione!$AL$37-C2572)/C2572</f>
        <v>4.4277050918226238E-3</v>
      </c>
      <c r="L2572" s="558">
        <f>'Progetto del paramento slu'!$G$60*(sezione!$AM$37-C2572)/C2572</f>
        <v>2.6228894094334841E-2</v>
      </c>
      <c r="M2572" s="559">
        <f>'Progetto del paramento slu'!$G$60*(sezione!$AN$37-C2572)/C2572</f>
        <v>4.8030083096847059E-2</v>
      </c>
      <c r="N2572" s="559">
        <f>'Progetto del paramento slu'!$G$60*(sezione!$AO$37-C2572)/C2572</f>
        <v>6.3885493280492311E-2</v>
      </c>
      <c r="O2572" s="559">
        <f>'Progetto del paramento slu'!$G$60*(sezione!$AP$37-C2572)/C2572</f>
        <v>4.803206502311997E-2</v>
      </c>
      <c r="P2572" s="553">
        <f>-'Progetto del paramento slu'!$G$47*'Progetto del paramento slu'!$G$41*IF(DATI!$G$218="dx",DATI!$E$61,DATI!$E$64*DATI!$E$63)*1000*C2572*sezione!$AD$5</f>
        <v>-248927.59974580471</v>
      </c>
      <c r="Q2572" s="553">
        <f>'Foglio deposito bis'!$F$88*IF(ABS(K2572)&lt;'Progetto del paramento slu'!$G$58,ABS(K2572)*'Progetto del paramento slu'!$G$54,'Progetto del paramento slu'!$G$53)*IF(K2572&lt;0,-1,1)</f>
        <v>0</v>
      </c>
      <c r="R2572" s="553">
        <f>'Foglio deposito bis'!$F$89*IF(ABS(L2572)&lt;'Progetto del paramento slu'!$G$58,ABS(L2572)*'Progetto del paramento slu'!$G$54,'Progetto del paramento slu'!$G$53)*IF(L2572&lt;0,-1,1)</f>
        <v>153664.85805602249</v>
      </c>
      <c r="S2572" s="553">
        <f>'Foglio deposito bis'!$F$90*IF(ABS(M2572)&lt;'Progetto del paramento slu'!$G$58,ABS(M2572)*'Progetto del paramento slu'!$G$54,'Progetto del paramento slu'!$G$53)*IF(M2572&lt;0,-1,1)</f>
        <v>0</v>
      </c>
      <c r="T2572" s="553">
        <f>'Foglio deposito bis'!$F$91*IF(ABS(N2572)&lt;'Progetto del paramento slu'!$G$58,ABS(N2572)*'Progetto del paramento slu'!$G$54,'Progetto del paramento slu'!$G$53)*IF(N2572&lt;0,-1,1)</f>
        <v>892485.49558937876</v>
      </c>
      <c r="U2572" s="553">
        <f>'Foglio deposito bis'!$F$92*IF(ABS(O2572)&lt;'Progetto del paramento slu'!$G$58,ABS(O2572)*'Progetto del paramento slu'!$G$54,'Progetto del paramento slu'!$G$53)*IF(O2572&lt;0,-1,1)</f>
        <v>1662039.1047339395</v>
      </c>
      <c r="V2572" s="479">
        <f t="shared" si="190"/>
        <v>2459261.8586335359</v>
      </c>
      <c r="W2572" s="559"/>
      <c r="X2572" s="559"/>
    </row>
    <row r="2573" spans="1:24" x14ac:dyDescent="0.25">
      <c r="A2573" s="553">
        <f t="shared" si="189"/>
        <v>2456400.6218548487</v>
      </c>
      <c r="B2573" s="3">
        <f t="shared" si="191"/>
        <v>4.3999999999999924</v>
      </c>
      <c r="C2573" s="553">
        <f>'Foglio deposito bis'!$E$163/sezione!$B$247*B2573</f>
        <v>17.862571041948545</v>
      </c>
      <c r="D2573" s="611">
        <f>-'Progetto del paramento slu'!$G$47*'Progetto del paramento slu'!$G$41*IF(DATI!$G$218="dx",DATI!$E$61,DATI!$E$64*DATI!$E$63)*1000*C2573^2*sezione!$AD$5*(1-sezione!$AD$6)</f>
        <v>-2626596.0523131727</v>
      </c>
      <c r="E2573" s="553">
        <f>-'Foglio deposito bis'!$F$88*(C2573-sezione!$AL$37)*IF(ABS(K2573)&lt;'Progetto del paramento slu'!$G$58,ABS(K2573)*'Progetto del paramento slu'!$G$54,'Progetto del paramento slu'!$G$53)</f>
        <v>0</v>
      </c>
      <c r="F2573" s="553">
        <f>-'Foglio deposito bis'!$F$89*(C2573-sezione!$AM$37)*IF(ABS(L2573)&lt;'Progetto del paramento slu'!$G$58,ABS(L2573)*'Progetto del paramento slu'!$G$54,'Progetto del paramento slu'!$G$53)</f>
        <v>20304879.264726732</v>
      </c>
      <c r="G2573" s="553">
        <f>-'Foglio deposito bis'!$F$90*(C2573-sezione!$AN$37)*IF(ABS(M2573)&lt;'Progetto del paramento slu'!$G$58,ABS(M2573)*'Progetto del paramento slu'!$G$54,'Progetto del paramento slu'!$G$53)</f>
        <v>0</v>
      </c>
      <c r="H2573" s="553">
        <f>-'Foglio deposito bis'!$F$91*(C2573-sezione!$AO$37)*IF(ABS(N2573)&lt;'Progetto del paramento slu'!$G$58,ABS(N2573)*'Progetto del paramento slu'!$G$54,'Progetto del paramento slu'!$G$53)</f>
        <v>287502982.9315148</v>
      </c>
      <c r="I2573" s="479">
        <f>-'Foglio deposito bis'!$F$92*(C2573-sezione!$AP$37)*IF(ABS(O2573)&lt;'Progetto del paramento slu'!$G$58,ABS(O2573)*'Progetto del paramento slu'!$G$54,'Progetto del paramento slu'!$G$53)</f>
        <v>402458496.03906465</v>
      </c>
      <c r="J2573" s="479">
        <f t="shared" si="188"/>
        <v>707639762.18299294</v>
      </c>
      <c r="K2573" s="558">
        <f>'Progetto del paramento slu'!$G$60*(sezione!$AL$37-C2573)/C2573</f>
        <v>4.3376175339610041E-3</v>
      </c>
      <c r="L2573" s="558">
        <f>'Progetto del paramento slu'!$G$60*(sezione!$AM$37-C2573)/C2573</f>
        <v>2.5891065752353767E-2</v>
      </c>
      <c r="M2573" s="559">
        <f>'Progetto del paramento slu'!$G$60*(sezione!$AN$37-C2573)/C2573</f>
        <v>4.7444513970746532E-2</v>
      </c>
      <c r="N2573" s="559">
        <f>'Progetto del paramento slu'!$G$60*(sezione!$AO$37-C2573)/C2573</f>
        <v>6.3119749038668529E-2</v>
      </c>
      <c r="O2573" s="559">
        <f>'Progetto del paramento slu'!$G$60*(sezione!$AP$37-C2573)/C2573</f>
        <v>4.7446473375129972E-2</v>
      </c>
      <c r="P2573" s="553">
        <f>-'Progetto del paramento slu'!$G$47*'Progetto del paramento slu'!$G$41*IF(DATI!$G$218="dx",DATI!$E$61,DATI!$E$64*DATI!$E$63)*1000*C2573*sezione!$AD$5</f>
        <v>-251788.83652449207</v>
      </c>
      <c r="Q2573" s="553">
        <f>'Foglio deposito bis'!$F$88*IF(ABS(K2573)&lt;'Progetto del paramento slu'!$G$58,ABS(K2573)*'Progetto del paramento slu'!$G$54,'Progetto del paramento slu'!$G$53)*IF(K2573&lt;0,-1,1)</f>
        <v>0</v>
      </c>
      <c r="R2573" s="553">
        <f>'Foglio deposito bis'!$F$89*IF(ABS(L2573)&lt;'Progetto del paramento slu'!$G$58,ABS(L2573)*'Progetto del paramento slu'!$G$54,'Progetto del paramento slu'!$G$53)*IF(L2573&lt;0,-1,1)</f>
        <v>153664.85805602249</v>
      </c>
      <c r="S2573" s="553">
        <f>'Foglio deposito bis'!$F$90*IF(ABS(M2573)&lt;'Progetto del paramento slu'!$G$58,ABS(M2573)*'Progetto del paramento slu'!$G$54,'Progetto del paramento slu'!$G$53)*IF(M2573&lt;0,-1,1)</f>
        <v>0</v>
      </c>
      <c r="T2573" s="553">
        <f>'Foglio deposito bis'!$F$91*IF(ABS(N2573)&lt;'Progetto del paramento slu'!$G$58,ABS(N2573)*'Progetto del paramento slu'!$G$54,'Progetto del paramento slu'!$G$53)*IF(N2573&lt;0,-1,1)</f>
        <v>892485.49558937876</v>
      </c>
      <c r="U2573" s="553">
        <f>'Foglio deposito bis'!$F$92*IF(ABS(O2573)&lt;'Progetto del paramento slu'!$G$58,ABS(O2573)*'Progetto del paramento slu'!$G$54,'Progetto del paramento slu'!$G$53)*IF(O2573&lt;0,-1,1)</f>
        <v>1662039.1047339395</v>
      </c>
      <c r="V2573" s="479">
        <f t="shared" si="190"/>
        <v>2456400.6218548487</v>
      </c>
      <c r="W2573" s="559"/>
      <c r="X2573" s="559"/>
    </row>
    <row r="2574" spans="1:24" x14ac:dyDescent="0.25">
      <c r="A2574" s="553">
        <f t="shared" si="189"/>
        <v>2453539.3850761615</v>
      </c>
      <c r="B2574" s="3">
        <f t="shared" si="191"/>
        <v>4.4499999999999922</v>
      </c>
      <c r="C2574" s="553">
        <f>'Foglio deposito bis'!$E$163/sezione!$B$247*B2574</f>
        <v>18.065554803788871</v>
      </c>
      <c r="D2574" s="611">
        <f>-'Progetto del paramento slu'!$G$47*'Progetto del paramento slu'!$G$41*IF(DATI!$G$218="dx",DATI!$E$61,DATI!$E$64*DATI!$E$63)*1000*C2574^2*sezione!$AD$5*(1-sezione!$AD$6)</f>
        <v>-2686630.5953477067</v>
      </c>
      <c r="E2574" s="553">
        <f>-'Foglio deposito bis'!$F$88*(C2574-sezione!$AL$37)*IF(ABS(K2574)&lt;'Progetto del paramento slu'!$G$58,ABS(K2574)*'Progetto del paramento slu'!$G$54,'Progetto del paramento slu'!$G$53)</f>
        <v>0</v>
      </c>
      <c r="F2574" s="553">
        <f>-'Foglio deposito bis'!$F$89*(C2574-sezione!$AM$37)*IF(ABS(L2574)&lt;'Progetto del paramento slu'!$G$58,ABS(L2574)*'Progetto del paramento slu'!$G$54,'Progetto del paramento slu'!$G$53)</f>
        <v>20273687.79377586</v>
      </c>
      <c r="G2574" s="553">
        <f>-'Foglio deposito bis'!$F$90*(C2574-sezione!$AN$37)*IF(ABS(M2574)&lt;'Progetto del paramento slu'!$G$58,ABS(M2574)*'Progetto del paramento slu'!$G$54,'Progetto del paramento slu'!$G$53)</f>
        <v>0</v>
      </c>
      <c r="H2574" s="553">
        <f>-'Foglio deposito bis'!$F$91*(C2574-sezione!$AO$37)*IF(ABS(N2574)&lt;'Progetto del paramento slu'!$G$58,ABS(N2574)*'Progetto del paramento slu'!$G$54,'Progetto del paramento slu'!$G$53)</f>
        <v>287321822.86823219</v>
      </c>
      <c r="I2574" s="479">
        <f>-'Foglio deposito bis'!$F$92*(C2574-sezione!$AP$37)*IF(ABS(O2574)&lt;'Progetto del paramento slu'!$G$58,ABS(O2574)*'Progetto del paramento slu'!$G$54,'Progetto del paramento slu'!$G$53)</f>
        <v>402121129.08926004</v>
      </c>
      <c r="J2574" s="479">
        <f t="shared" si="188"/>
        <v>707030009.15592039</v>
      </c>
      <c r="K2574" s="558">
        <f>'Progetto del paramento slu'!$G$60*(sezione!$AL$37-C2574)/C2574</f>
        <v>4.2495544156018914E-3</v>
      </c>
      <c r="L2574" s="558">
        <f>'Progetto del paramento slu'!$G$60*(sezione!$AM$37-C2574)/C2574</f>
        <v>2.5560829058507092E-2</v>
      </c>
      <c r="M2574" s="559">
        <f>'Progetto del paramento slu'!$G$60*(sezione!$AN$37-C2574)/C2574</f>
        <v>4.6872103701412295E-2</v>
      </c>
      <c r="N2574" s="559">
        <f>'Progetto del paramento slu'!$G$60*(sezione!$AO$37-C2574)/C2574</f>
        <v>6.2371212532616072E-2</v>
      </c>
      <c r="O2574" s="559">
        <f>'Progetto del paramento slu'!$G$60*(sezione!$AP$37-C2574)/C2574</f>
        <v>4.6874041090016152E-2</v>
      </c>
      <c r="P2574" s="553">
        <f>-'Progetto del paramento slu'!$G$47*'Progetto del paramento slu'!$G$41*IF(DATI!$G$218="dx",DATI!$E$61,DATI!$E$64*DATI!$E$63)*1000*C2574*sezione!$AD$5</f>
        <v>-254650.0733031795</v>
      </c>
      <c r="Q2574" s="553">
        <f>'Foglio deposito bis'!$F$88*IF(ABS(K2574)&lt;'Progetto del paramento slu'!$G$58,ABS(K2574)*'Progetto del paramento slu'!$G$54,'Progetto del paramento slu'!$G$53)*IF(K2574&lt;0,-1,1)</f>
        <v>0</v>
      </c>
      <c r="R2574" s="553">
        <f>'Foglio deposito bis'!$F$89*IF(ABS(L2574)&lt;'Progetto del paramento slu'!$G$58,ABS(L2574)*'Progetto del paramento slu'!$G$54,'Progetto del paramento slu'!$G$53)*IF(L2574&lt;0,-1,1)</f>
        <v>153664.85805602249</v>
      </c>
      <c r="S2574" s="553">
        <f>'Foglio deposito bis'!$F$90*IF(ABS(M2574)&lt;'Progetto del paramento slu'!$G$58,ABS(M2574)*'Progetto del paramento slu'!$G$54,'Progetto del paramento slu'!$G$53)*IF(M2574&lt;0,-1,1)</f>
        <v>0</v>
      </c>
      <c r="T2574" s="553">
        <f>'Foglio deposito bis'!$F$91*IF(ABS(N2574)&lt;'Progetto del paramento slu'!$G$58,ABS(N2574)*'Progetto del paramento slu'!$G$54,'Progetto del paramento slu'!$G$53)*IF(N2574&lt;0,-1,1)</f>
        <v>892485.49558937876</v>
      </c>
      <c r="U2574" s="553">
        <f>'Foglio deposito bis'!$F$92*IF(ABS(O2574)&lt;'Progetto del paramento slu'!$G$58,ABS(O2574)*'Progetto del paramento slu'!$G$54,'Progetto del paramento slu'!$G$53)*IF(O2574&lt;0,-1,1)</f>
        <v>1662039.1047339395</v>
      </c>
      <c r="V2574" s="479">
        <f t="shared" si="190"/>
        <v>2453539.3850761615</v>
      </c>
      <c r="W2574" s="559"/>
      <c r="X2574" s="559"/>
    </row>
    <row r="2575" spans="1:24" x14ac:dyDescent="0.25">
      <c r="A2575" s="553">
        <f t="shared" si="189"/>
        <v>2450678.1482974738</v>
      </c>
      <c r="B2575" s="3">
        <f t="shared" si="191"/>
        <v>4.499999999999992</v>
      </c>
      <c r="C2575" s="553">
        <f>'Foglio deposito bis'!$E$163/sezione!$B$247*B2575</f>
        <v>18.268538565629193</v>
      </c>
      <c r="D2575" s="611">
        <f>-'Progetto del paramento slu'!$G$47*'Progetto del paramento slu'!$G$41*IF(DATI!$G$218="dx",DATI!$E$61,DATI!$E$64*DATI!$E$63)*1000*C2575^2*sezione!$AD$5*(1-sezione!$AD$6)</f>
        <v>-2747343.4948007097</v>
      </c>
      <c r="E2575" s="553">
        <f>-'Foglio deposito bis'!$F$88*(C2575-sezione!$AL$37)*IF(ABS(K2575)&lt;'Progetto del paramento slu'!$G$58,ABS(K2575)*'Progetto del paramento slu'!$G$54,'Progetto del paramento slu'!$G$53)</f>
        <v>0</v>
      </c>
      <c r="F2575" s="553">
        <f>-'Foglio deposito bis'!$F$89*(C2575-sezione!$AM$37)*IF(ABS(L2575)&lt;'Progetto del paramento slu'!$G$58,ABS(L2575)*'Progetto del paramento slu'!$G$54,'Progetto del paramento slu'!$G$53)</f>
        <v>20242496.322824989</v>
      </c>
      <c r="G2575" s="553">
        <f>-'Foglio deposito bis'!$F$90*(C2575-sezione!$AN$37)*IF(ABS(M2575)&lt;'Progetto del paramento slu'!$G$58,ABS(M2575)*'Progetto del paramento slu'!$G$54,'Progetto del paramento slu'!$G$53)</f>
        <v>0</v>
      </c>
      <c r="H2575" s="553">
        <f>-'Foglio deposito bis'!$F$91*(C2575-sezione!$AO$37)*IF(ABS(N2575)&lt;'Progetto del paramento slu'!$G$58,ABS(N2575)*'Progetto del paramento slu'!$G$54,'Progetto del paramento slu'!$G$53)</f>
        <v>287140662.80494958</v>
      </c>
      <c r="I2575" s="479">
        <f>-'Foglio deposito bis'!$F$92*(C2575-sezione!$AP$37)*IF(ABS(O2575)&lt;'Progetto del paramento slu'!$G$58,ABS(O2575)*'Progetto del paramento slu'!$G$54,'Progetto del paramento slu'!$G$53)</f>
        <v>401783762.13945538</v>
      </c>
      <c r="J2575" s="479">
        <f t="shared" si="188"/>
        <v>706419577.77242923</v>
      </c>
      <c r="K2575" s="558">
        <f>'Progetto del paramento slu'!$G$60*(sezione!$AL$37-C2575)/C2575</f>
        <v>4.1634482554285378E-3</v>
      </c>
      <c r="L2575" s="558">
        <f>'Progetto del paramento slu'!$G$60*(sezione!$AM$37-C2575)/C2575</f>
        <v>2.5237930957857015E-2</v>
      </c>
      <c r="M2575" s="559">
        <f>'Progetto del paramento slu'!$G$60*(sezione!$AN$37-C2575)/C2575</f>
        <v>4.631241366028549E-2</v>
      </c>
      <c r="N2575" s="559">
        <f>'Progetto del paramento slu'!$G$60*(sezione!$AO$37-C2575)/C2575</f>
        <v>6.1639310171142582E-2</v>
      </c>
      <c r="O2575" s="559">
        <f>'Progetto del paramento slu'!$G$60*(sezione!$AP$37-C2575)/C2575</f>
        <v>4.6314329522349311E-2</v>
      </c>
      <c r="P2575" s="553">
        <f>-'Progetto del paramento slu'!$G$47*'Progetto del paramento slu'!$G$41*IF(DATI!$G$218="dx",DATI!$E$61,DATI!$E$64*DATI!$E$63)*1000*C2575*sezione!$AD$5</f>
        <v>-257511.31008186689</v>
      </c>
      <c r="Q2575" s="553">
        <f>'Foglio deposito bis'!$F$88*IF(ABS(K2575)&lt;'Progetto del paramento slu'!$G$58,ABS(K2575)*'Progetto del paramento slu'!$G$54,'Progetto del paramento slu'!$G$53)*IF(K2575&lt;0,-1,1)</f>
        <v>0</v>
      </c>
      <c r="R2575" s="553">
        <f>'Foglio deposito bis'!$F$89*IF(ABS(L2575)&lt;'Progetto del paramento slu'!$G$58,ABS(L2575)*'Progetto del paramento slu'!$G$54,'Progetto del paramento slu'!$G$53)*IF(L2575&lt;0,-1,1)</f>
        <v>153664.85805602249</v>
      </c>
      <c r="S2575" s="553">
        <f>'Foglio deposito bis'!$F$90*IF(ABS(M2575)&lt;'Progetto del paramento slu'!$G$58,ABS(M2575)*'Progetto del paramento slu'!$G$54,'Progetto del paramento slu'!$G$53)*IF(M2575&lt;0,-1,1)</f>
        <v>0</v>
      </c>
      <c r="T2575" s="553">
        <f>'Foglio deposito bis'!$F$91*IF(ABS(N2575)&lt;'Progetto del paramento slu'!$G$58,ABS(N2575)*'Progetto del paramento slu'!$G$54,'Progetto del paramento slu'!$G$53)*IF(N2575&lt;0,-1,1)</f>
        <v>892485.49558937876</v>
      </c>
      <c r="U2575" s="553">
        <f>'Foglio deposito bis'!$F$92*IF(ABS(O2575)&lt;'Progetto del paramento slu'!$G$58,ABS(O2575)*'Progetto del paramento slu'!$G$54,'Progetto del paramento slu'!$G$53)*IF(O2575&lt;0,-1,1)</f>
        <v>1662039.1047339395</v>
      </c>
      <c r="V2575" s="479">
        <f t="shared" si="190"/>
        <v>2450678.1482974738</v>
      </c>
      <c r="W2575" s="559"/>
      <c r="X2575" s="559"/>
    </row>
    <row r="2576" spans="1:24" x14ac:dyDescent="0.25">
      <c r="A2576" s="553">
        <f t="shared" si="189"/>
        <v>2447816.9115187866</v>
      </c>
      <c r="B2576" s="3">
        <f t="shared" si="191"/>
        <v>4.5499999999999918</v>
      </c>
      <c r="C2576" s="553">
        <f>'Foglio deposito bis'!$E$163/sezione!$B$247*B2576</f>
        <v>18.471522327469518</v>
      </c>
      <c r="D2576" s="611">
        <f>-'Progetto del paramento slu'!$G$47*'Progetto del paramento slu'!$G$41*IF(DATI!$G$218="dx",DATI!$E$61,DATI!$E$64*DATI!$E$63)*1000*C2576^2*sezione!$AD$5*(1-sezione!$AD$6)</f>
        <v>-2808734.7506721825</v>
      </c>
      <c r="E2576" s="553">
        <f>-'Foglio deposito bis'!$F$88*(C2576-sezione!$AL$37)*IF(ABS(K2576)&lt;'Progetto del paramento slu'!$G$58,ABS(K2576)*'Progetto del paramento slu'!$G$54,'Progetto del paramento slu'!$G$53)</f>
        <v>0</v>
      </c>
      <c r="F2576" s="553">
        <f>-'Foglio deposito bis'!$F$89*(C2576-sezione!$AM$37)*IF(ABS(L2576)&lt;'Progetto del paramento slu'!$G$58,ABS(L2576)*'Progetto del paramento slu'!$G$54,'Progetto del paramento slu'!$G$53)</f>
        <v>20211304.851874121</v>
      </c>
      <c r="G2576" s="553">
        <f>-'Foglio deposito bis'!$F$90*(C2576-sezione!$AN$37)*IF(ABS(M2576)&lt;'Progetto del paramento slu'!$G$58,ABS(M2576)*'Progetto del paramento slu'!$G$54,'Progetto del paramento slu'!$G$53)</f>
        <v>0</v>
      </c>
      <c r="H2576" s="553">
        <f>-'Foglio deposito bis'!$F$91*(C2576-sezione!$AO$37)*IF(ABS(N2576)&lt;'Progetto del paramento slu'!$G$58,ABS(N2576)*'Progetto del paramento slu'!$G$54,'Progetto del paramento slu'!$G$53)</f>
        <v>286959502.74166685</v>
      </c>
      <c r="I2576" s="479">
        <f>-'Foglio deposito bis'!$F$92*(C2576-sezione!$AP$37)*IF(ABS(O2576)&lt;'Progetto del paramento slu'!$G$58,ABS(O2576)*'Progetto del paramento slu'!$G$54,'Progetto del paramento slu'!$G$53)</f>
        <v>401446395.18965077</v>
      </c>
      <c r="J2576" s="479">
        <f t="shared" si="188"/>
        <v>705808468.03251958</v>
      </c>
      <c r="K2576" s="558">
        <f>'Progetto del paramento slu'!$G$60*(sezione!$AL$37-C2576)/C2576</f>
        <v>4.0792345383359159E-3</v>
      </c>
      <c r="L2576" s="558">
        <f>'Progetto del paramento slu'!$G$60*(sezione!$AM$37-C2576)/C2576</f>
        <v>2.4922129518759686E-2</v>
      </c>
      <c r="M2576" s="559">
        <f>'Progetto del paramento slu'!$G$60*(sezione!$AN$37-C2576)/C2576</f>
        <v>4.5765024499183453E-2</v>
      </c>
      <c r="N2576" s="559">
        <f>'Progetto del paramento slu'!$G$60*(sezione!$AO$37-C2576)/C2576</f>
        <v>6.0923493575855289E-2</v>
      </c>
      <c r="O2576" s="559">
        <f>'Progetto del paramento slu'!$G$60*(sezione!$AP$37-C2576)/C2576</f>
        <v>4.576691930781799E-2</v>
      </c>
      <c r="P2576" s="553">
        <f>-'Progetto del paramento slu'!$G$47*'Progetto del paramento slu'!$G$41*IF(DATI!$G$218="dx",DATI!$E$61,DATI!$E$64*DATI!$E$63)*1000*C2576*sezione!$AD$5</f>
        <v>-260372.54686055428</v>
      </c>
      <c r="Q2576" s="553">
        <f>'Foglio deposito bis'!$F$88*IF(ABS(K2576)&lt;'Progetto del paramento slu'!$G$58,ABS(K2576)*'Progetto del paramento slu'!$G$54,'Progetto del paramento slu'!$G$53)*IF(K2576&lt;0,-1,1)</f>
        <v>0</v>
      </c>
      <c r="R2576" s="553">
        <f>'Foglio deposito bis'!$F$89*IF(ABS(L2576)&lt;'Progetto del paramento slu'!$G$58,ABS(L2576)*'Progetto del paramento slu'!$G$54,'Progetto del paramento slu'!$G$53)*IF(L2576&lt;0,-1,1)</f>
        <v>153664.85805602249</v>
      </c>
      <c r="S2576" s="553">
        <f>'Foglio deposito bis'!$F$90*IF(ABS(M2576)&lt;'Progetto del paramento slu'!$G$58,ABS(M2576)*'Progetto del paramento slu'!$G$54,'Progetto del paramento slu'!$G$53)*IF(M2576&lt;0,-1,1)</f>
        <v>0</v>
      </c>
      <c r="T2576" s="553">
        <f>'Foglio deposito bis'!$F$91*IF(ABS(N2576)&lt;'Progetto del paramento slu'!$G$58,ABS(N2576)*'Progetto del paramento slu'!$G$54,'Progetto del paramento slu'!$G$53)*IF(N2576&lt;0,-1,1)</f>
        <v>892485.49558937876</v>
      </c>
      <c r="U2576" s="553">
        <f>'Foglio deposito bis'!$F$92*IF(ABS(O2576)&lt;'Progetto del paramento slu'!$G$58,ABS(O2576)*'Progetto del paramento slu'!$G$54,'Progetto del paramento slu'!$G$53)*IF(O2576&lt;0,-1,1)</f>
        <v>1662039.1047339395</v>
      </c>
      <c r="V2576" s="479">
        <f t="shared" si="190"/>
        <v>2447816.9115187866</v>
      </c>
      <c r="W2576" s="559"/>
      <c r="X2576" s="559"/>
    </row>
    <row r="2577" spans="1:24" x14ac:dyDescent="0.25">
      <c r="A2577" s="553">
        <f t="shared" si="189"/>
        <v>2444955.6747400993</v>
      </c>
      <c r="B2577" s="3">
        <f t="shared" si="191"/>
        <v>4.5999999999999917</v>
      </c>
      <c r="C2577" s="553">
        <f>'Foglio deposito bis'!$E$163/sezione!$B$247*B2577</f>
        <v>18.67450608930984</v>
      </c>
      <c r="D2577" s="611">
        <f>-'Progetto del paramento slu'!$G$47*'Progetto del paramento slu'!$G$41*IF(DATI!$G$218="dx",DATI!$E$61,DATI!$E$64*DATI!$E$63)*1000*C2577^2*sezione!$AD$5*(1-sezione!$AD$6)</f>
        <v>-2870804.3629621235</v>
      </c>
      <c r="E2577" s="553">
        <f>-'Foglio deposito bis'!$F$88*(C2577-sezione!$AL$37)*IF(ABS(K2577)&lt;'Progetto del paramento slu'!$G$58,ABS(K2577)*'Progetto del paramento slu'!$G$54,'Progetto del paramento slu'!$G$53)</f>
        <v>0</v>
      </c>
      <c r="F2577" s="553">
        <f>-'Foglio deposito bis'!$F$89*(C2577-sezione!$AM$37)*IF(ABS(L2577)&lt;'Progetto del paramento slu'!$G$58,ABS(L2577)*'Progetto del paramento slu'!$G$54,'Progetto del paramento slu'!$G$53)</f>
        <v>20180113.380923249</v>
      </c>
      <c r="G2577" s="553">
        <f>-'Foglio deposito bis'!$F$90*(C2577-sezione!$AN$37)*IF(ABS(M2577)&lt;'Progetto del paramento slu'!$G$58,ABS(M2577)*'Progetto del paramento slu'!$G$54,'Progetto del paramento slu'!$G$53)</f>
        <v>0</v>
      </c>
      <c r="H2577" s="553">
        <f>-'Foglio deposito bis'!$F$91*(C2577-sezione!$AO$37)*IF(ABS(N2577)&lt;'Progetto del paramento slu'!$G$58,ABS(N2577)*'Progetto del paramento slu'!$G$54,'Progetto del paramento slu'!$G$53)</f>
        <v>286778342.67838424</v>
      </c>
      <c r="I2577" s="479">
        <f>-'Foglio deposito bis'!$F$92*(C2577-sezione!$AP$37)*IF(ABS(O2577)&lt;'Progetto del paramento slu'!$G$58,ABS(O2577)*'Progetto del paramento slu'!$G$54,'Progetto del paramento slu'!$G$53)</f>
        <v>401109028.23984623</v>
      </c>
      <c r="J2577" s="479">
        <f t="shared" si="188"/>
        <v>705196679.93619156</v>
      </c>
      <c r="K2577" s="558">
        <f>'Progetto del paramento slu'!$G$60*(sezione!$AL$37-C2577)/C2577</f>
        <v>3.9968515542235699E-3</v>
      </c>
      <c r="L2577" s="558">
        <f>'Progetto del paramento slu'!$G$60*(sezione!$AM$37-C2577)/C2577</f>
        <v>2.461319332833839E-2</v>
      </c>
      <c r="M2577" s="559">
        <f>'Progetto del paramento slu'!$G$60*(sezione!$AN$37-C2577)/C2577</f>
        <v>4.5229535102453207E-2</v>
      </c>
      <c r="N2577" s="559">
        <f>'Progetto del paramento slu'!$G$60*(sezione!$AO$37-C2577)/C2577</f>
        <v>6.0223238210900351E-2</v>
      </c>
      <c r="O2577" s="559">
        <f>'Progetto del paramento slu'!$G$60*(sezione!$AP$37-C2577)/C2577</f>
        <v>4.5231409315341718E-2</v>
      </c>
      <c r="P2577" s="553">
        <f>-'Progetto del paramento slu'!$G$47*'Progetto del paramento slu'!$G$41*IF(DATI!$G$218="dx",DATI!$E$61,DATI!$E$64*DATI!$E$63)*1000*C2577*sezione!$AD$5</f>
        <v>-263233.78363924171</v>
      </c>
      <c r="Q2577" s="553">
        <f>'Foglio deposito bis'!$F$88*IF(ABS(K2577)&lt;'Progetto del paramento slu'!$G$58,ABS(K2577)*'Progetto del paramento slu'!$G$54,'Progetto del paramento slu'!$G$53)*IF(K2577&lt;0,-1,1)</f>
        <v>0</v>
      </c>
      <c r="R2577" s="553">
        <f>'Foglio deposito bis'!$F$89*IF(ABS(L2577)&lt;'Progetto del paramento slu'!$G$58,ABS(L2577)*'Progetto del paramento slu'!$G$54,'Progetto del paramento slu'!$G$53)*IF(L2577&lt;0,-1,1)</f>
        <v>153664.85805602249</v>
      </c>
      <c r="S2577" s="553">
        <f>'Foglio deposito bis'!$F$90*IF(ABS(M2577)&lt;'Progetto del paramento slu'!$G$58,ABS(M2577)*'Progetto del paramento slu'!$G$54,'Progetto del paramento slu'!$G$53)*IF(M2577&lt;0,-1,1)</f>
        <v>0</v>
      </c>
      <c r="T2577" s="553">
        <f>'Foglio deposito bis'!$F$91*IF(ABS(N2577)&lt;'Progetto del paramento slu'!$G$58,ABS(N2577)*'Progetto del paramento slu'!$G$54,'Progetto del paramento slu'!$G$53)*IF(N2577&lt;0,-1,1)</f>
        <v>892485.49558937876</v>
      </c>
      <c r="U2577" s="553">
        <f>'Foglio deposito bis'!$F$92*IF(ABS(O2577)&lt;'Progetto del paramento slu'!$G$58,ABS(O2577)*'Progetto del paramento slu'!$G$54,'Progetto del paramento slu'!$G$53)*IF(O2577&lt;0,-1,1)</f>
        <v>1662039.1047339395</v>
      </c>
      <c r="V2577" s="479">
        <f t="shared" si="190"/>
        <v>2444955.6747400993</v>
      </c>
      <c r="W2577" s="559"/>
      <c r="X2577" s="559"/>
    </row>
    <row r="2578" spans="1:24" x14ac:dyDescent="0.25">
      <c r="A2578" s="553">
        <f t="shared" si="189"/>
        <v>2442094.4379614117</v>
      </c>
      <c r="B2578" s="3">
        <f t="shared" si="191"/>
        <v>4.6499999999999915</v>
      </c>
      <c r="C2578" s="553">
        <f>'Foglio deposito bis'!$E$163/sezione!$B$247*B2578</f>
        <v>18.877489851150166</v>
      </c>
      <c r="D2578" s="611">
        <f>-'Progetto del paramento slu'!$G$47*'Progetto del paramento slu'!$G$41*IF(DATI!$G$218="dx",DATI!$E$61,DATI!$E$64*DATI!$E$63)*1000*C2578^2*sezione!$AD$5*(1-sezione!$AD$6)</f>
        <v>-2933552.3316705353</v>
      </c>
      <c r="E2578" s="553">
        <f>-'Foglio deposito bis'!$F$88*(C2578-sezione!$AL$37)*IF(ABS(K2578)&lt;'Progetto del paramento slu'!$G$58,ABS(K2578)*'Progetto del paramento slu'!$G$54,'Progetto del paramento slu'!$G$53)</f>
        <v>0</v>
      </c>
      <c r="F2578" s="553">
        <f>-'Foglio deposito bis'!$F$89*(C2578-sezione!$AM$37)*IF(ABS(L2578)&lt;'Progetto del paramento slu'!$G$58,ABS(L2578)*'Progetto del paramento slu'!$G$54,'Progetto del paramento slu'!$G$53)</f>
        <v>20148921.909972381</v>
      </c>
      <c r="G2578" s="553">
        <f>-'Foglio deposito bis'!$F$90*(C2578-sezione!$AN$37)*IF(ABS(M2578)&lt;'Progetto del paramento slu'!$G$58,ABS(M2578)*'Progetto del paramento slu'!$G$54,'Progetto del paramento slu'!$G$53)</f>
        <v>0</v>
      </c>
      <c r="H2578" s="553">
        <f>-'Foglio deposito bis'!$F$91*(C2578-sezione!$AO$37)*IF(ABS(N2578)&lt;'Progetto del paramento slu'!$G$58,ABS(N2578)*'Progetto del paramento slu'!$G$54,'Progetto del paramento slu'!$G$53)</f>
        <v>286597182.61510152</v>
      </c>
      <c r="I2578" s="479">
        <f>-'Foglio deposito bis'!$F$92*(C2578-sezione!$AP$37)*IF(ABS(O2578)&lt;'Progetto del paramento slu'!$G$58,ABS(O2578)*'Progetto del paramento slu'!$G$54,'Progetto del paramento slu'!$G$53)</f>
        <v>400771661.29004157</v>
      </c>
      <c r="J2578" s="479">
        <f t="shared" si="188"/>
        <v>704584213.48344493</v>
      </c>
      <c r="K2578" s="558">
        <f>'Progetto del paramento slu'!$G$60*(sezione!$AL$37-C2578)/C2578</f>
        <v>3.9162402471889079E-3</v>
      </c>
      <c r="L2578" s="558">
        <f>'Progetto del paramento slu'!$G$60*(sezione!$AM$37-C2578)/C2578</f>
        <v>2.4310900926958402E-2</v>
      </c>
      <c r="M2578" s="559">
        <f>'Progetto del paramento slu'!$G$60*(sezione!$AN$37-C2578)/C2578</f>
        <v>4.4705561606727902E-2</v>
      </c>
      <c r="N2578" s="559">
        <f>'Progetto del paramento slu'!$G$60*(sezione!$AO$37-C2578)/C2578</f>
        <v>5.9538042101105706E-2</v>
      </c>
      <c r="O2578" s="559">
        <f>'Progetto del paramento slu'!$G$60*(sezione!$AP$37-C2578)/C2578</f>
        <v>4.4707415666789652E-2</v>
      </c>
      <c r="P2578" s="553">
        <f>-'Progetto del paramento slu'!$G$47*'Progetto del paramento slu'!$G$41*IF(DATI!$G$218="dx",DATI!$E$61,DATI!$E$64*DATI!$E$63)*1000*C2578*sezione!$AD$5</f>
        <v>-266095.0204179291</v>
      </c>
      <c r="Q2578" s="553">
        <f>'Foglio deposito bis'!$F$88*IF(ABS(K2578)&lt;'Progetto del paramento slu'!$G$58,ABS(K2578)*'Progetto del paramento slu'!$G$54,'Progetto del paramento slu'!$G$53)*IF(K2578&lt;0,-1,1)</f>
        <v>0</v>
      </c>
      <c r="R2578" s="553">
        <f>'Foglio deposito bis'!$F$89*IF(ABS(L2578)&lt;'Progetto del paramento slu'!$G$58,ABS(L2578)*'Progetto del paramento slu'!$G$54,'Progetto del paramento slu'!$G$53)*IF(L2578&lt;0,-1,1)</f>
        <v>153664.85805602249</v>
      </c>
      <c r="S2578" s="553">
        <f>'Foglio deposito bis'!$F$90*IF(ABS(M2578)&lt;'Progetto del paramento slu'!$G$58,ABS(M2578)*'Progetto del paramento slu'!$G$54,'Progetto del paramento slu'!$G$53)*IF(M2578&lt;0,-1,1)</f>
        <v>0</v>
      </c>
      <c r="T2578" s="553">
        <f>'Foglio deposito bis'!$F$91*IF(ABS(N2578)&lt;'Progetto del paramento slu'!$G$58,ABS(N2578)*'Progetto del paramento slu'!$G$54,'Progetto del paramento slu'!$G$53)*IF(N2578&lt;0,-1,1)</f>
        <v>892485.49558937876</v>
      </c>
      <c r="U2578" s="553">
        <f>'Foglio deposito bis'!$F$92*IF(ABS(O2578)&lt;'Progetto del paramento slu'!$G$58,ABS(O2578)*'Progetto del paramento slu'!$G$54,'Progetto del paramento slu'!$G$53)*IF(O2578&lt;0,-1,1)</f>
        <v>1662039.1047339395</v>
      </c>
      <c r="V2578" s="479">
        <f t="shared" si="190"/>
        <v>2442094.4379614117</v>
      </c>
      <c r="W2578" s="559"/>
      <c r="X2578" s="559"/>
    </row>
    <row r="2579" spans="1:24" x14ac:dyDescent="0.25">
      <c r="A2579" s="553">
        <f t="shared" si="189"/>
        <v>2439233.201182724</v>
      </c>
      <c r="B2579" s="3">
        <f t="shared" si="191"/>
        <v>4.6999999999999913</v>
      </c>
      <c r="C2579" s="553">
        <f>'Foglio deposito bis'!$E$163/sezione!$B$247*B2579</f>
        <v>19.080473612990492</v>
      </c>
      <c r="D2579" s="611">
        <f>-'Progetto del paramento slu'!$G$47*'Progetto del paramento slu'!$G$41*IF(DATI!$G$218="dx",DATI!$E$61,DATI!$E$64*DATI!$E$63)*1000*C2579^2*sezione!$AD$5*(1-sezione!$AD$6)</f>
        <v>-2996978.6567974165</v>
      </c>
      <c r="E2579" s="553">
        <f>-'Foglio deposito bis'!$F$88*(C2579-sezione!$AL$37)*IF(ABS(K2579)&lt;'Progetto del paramento slu'!$G$58,ABS(K2579)*'Progetto del paramento slu'!$G$54,'Progetto del paramento slu'!$G$53)</f>
        <v>0</v>
      </c>
      <c r="F2579" s="553">
        <f>-'Foglio deposito bis'!$F$89*(C2579-sezione!$AM$37)*IF(ABS(L2579)&lt;'Progetto del paramento slu'!$G$58,ABS(L2579)*'Progetto del paramento slu'!$G$54,'Progetto del paramento slu'!$G$53)</f>
        <v>20117730.439021509</v>
      </c>
      <c r="G2579" s="553">
        <f>-'Foglio deposito bis'!$F$90*(C2579-sezione!$AN$37)*IF(ABS(M2579)&lt;'Progetto del paramento slu'!$G$58,ABS(M2579)*'Progetto del paramento slu'!$G$54,'Progetto del paramento slu'!$G$53)</f>
        <v>0</v>
      </c>
      <c r="H2579" s="553">
        <f>-'Foglio deposito bis'!$F$91*(C2579-sezione!$AO$37)*IF(ABS(N2579)&lt;'Progetto del paramento slu'!$G$58,ABS(N2579)*'Progetto del paramento slu'!$G$54,'Progetto del paramento slu'!$G$53)</f>
        <v>286416022.55181891</v>
      </c>
      <c r="I2579" s="479">
        <f>-'Foglio deposito bis'!$F$92*(C2579-sezione!$AP$37)*IF(ABS(O2579)&lt;'Progetto del paramento slu'!$G$58,ABS(O2579)*'Progetto del paramento slu'!$G$54,'Progetto del paramento slu'!$G$53)</f>
        <v>400434294.34023696</v>
      </c>
      <c r="J2579" s="479">
        <f t="shared" si="188"/>
        <v>703971068.67427993</v>
      </c>
      <c r="K2579" s="558">
        <f>'Progetto del paramento slu'!$G$60*(sezione!$AL$37-C2579)/C2579</f>
        <v>3.837344074346472E-3</v>
      </c>
      <c r="L2579" s="558">
        <f>'Progetto del paramento slu'!$G$60*(sezione!$AM$37-C2579)/C2579</f>
        <v>2.401504027879927E-2</v>
      </c>
      <c r="M2579" s="559">
        <f>'Progetto del paramento slu'!$G$60*(sezione!$AN$37-C2579)/C2579</f>
        <v>4.4192736483252067E-2</v>
      </c>
      <c r="N2579" s="559">
        <f>'Progetto del paramento slu'!$G$60*(sezione!$AO$37-C2579)/C2579</f>
        <v>5.8867424631945005E-2</v>
      </c>
      <c r="O2579" s="559">
        <f>'Progetto del paramento slu'!$G$60*(sezione!$AP$37-C2579)/C2579</f>
        <v>4.4194570819270612E-2</v>
      </c>
      <c r="P2579" s="553">
        <f>-'Progetto del paramento slu'!$G$47*'Progetto del paramento slu'!$G$41*IF(DATI!$G$218="dx",DATI!$E$61,DATI!$E$64*DATI!$E$63)*1000*C2579*sezione!$AD$5</f>
        <v>-268956.2571966165</v>
      </c>
      <c r="Q2579" s="553">
        <f>'Foglio deposito bis'!$F$88*IF(ABS(K2579)&lt;'Progetto del paramento slu'!$G$58,ABS(K2579)*'Progetto del paramento slu'!$G$54,'Progetto del paramento slu'!$G$53)*IF(K2579&lt;0,-1,1)</f>
        <v>0</v>
      </c>
      <c r="R2579" s="553">
        <f>'Foglio deposito bis'!$F$89*IF(ABS(L2579)&lt;'Progetto del paramento slu'!$G$58,ABS(L2579)*'Progetto del paramento slu'!$G$54,'Progetto del paramento slu'!$G$53)*IF(L2579&lt;0,-1,1)</f>
        <v>153664.85805602249</v>
      </c>
      <c r="S2579" s="553">
        <f>'Foglio deposito bis'!$F$90*IF(ABS(M2579)&lt;'Progetto del paramento slu'!$G$58,ABS(M2579)*'Progetto del paramento slu'!$G$54,'Progetto del paramento slu'!$G$53)*IF(M2579&lt;0,-1,1)</f>
        <v>0</v>
      </c>
      <c r="T2579" s="553">
        <f>'Foglio deposito bis'!$F$91*IF(ABS(N2579)&lt;'Progetto del paramento slu'!$G$58,ABS(N2579)*'Progetto del paramento slu'!$G$54,'Progetto del paramento slu'!$G$53)*IF(N2579&lt;0,-1,1)</f>
        <v>892485.49558937876</v>
      </c>
      <c r="U2579" s="553">
        <f>'Foglio deposito bis'!$F$92*IF(ABS(O2579)&lt;'Progetto del paramento slu'!$G$58,ABS(O2579)*'Progetto del paramento slu'!$G$54,'Progetto del paramento slu'!$G$53)*IF(O2579&lt;0,-1,1)</f>
        <v>1662039.1047339395</v>
      </c>
      <c r="V2579" s="479">
        <f t="shared" si="190"/>
        <v>2439233.201182724</v>
      </c>
      <c r="W2579" s="559"/>
      <c r="X2579" s="559"/>
    </row>
    <row r="2580" spans="1:24" x14ac:dyDescent="0.25">
      <c r="A2580" s="553">
        <f t="shared" si="189"/>
        <v>2436371.9644040368</v>
      </c>
      <c r="B2580" s="3">
        <f t="shared" si="191"/>
        <v>4.7499999999999911</v>
      </c>
      <c r="C2580" s="553">
        <f>'Foglio deposito bis'!$E$163/sezione!$B$247*B2580</f>
        <v>19.283457374830814</v>
      </c>
      <c r="D2580" s="611">
        <f>-'Progetto del paramento slu'!$G$47*'Progetto del paramento slu'!$G$41*IF(DATI!$G$218="dx",DATI!$E$61,DATI!$E$64*DATI!$E$63)*1000*C2580^2*sezione!$AD$5*(1-sezione!$AD$6)</f>
        <v>-3061083.3383427653</v>
      </c>
      <c r="E2580" s="553">
        <f>-'Foglio deposito bis'!$F$88*(C2580-sezione!$AL$37)*IF(ABS(K2580)&lt;'Progetto del paramento slu'!$G$58,ABS(K2580)*'Progetto del paramento slu'!$G$54,'Progetto del paramento slu'!$G$53)</f>
        <v>0</v>
      </c>
      <c r="F2580" s="553">
        <f>-'Foglio deposito bis'!$F$89*(C2580-sezione!$AM$37)*IF(ABS(L2580)&lt;'Progetto del paramento slu'!$G$58,ABS(L2580)*'Progetto del paramento slu'!$G$54,'Progetto del paramento slu'!$G$53)</f>
        <v>20086538.968070637</v>
      </c>
      <c r="G2580" s="553">
        <f>-'Foglio deposito bis'!$F$90*(C2580-sezione!$AN$37)*IF(ABS(M2580)&lt;'Progetto del paramento slu'!$G$58,ABS(M2580)*'Progetto del paramento slu'!$G$54,'Progetto del paramento slu'!$G$53)</f>
        <v>0</v>
      </c>
      <c r="H2580" s="553">
        <f>-'Foglio deposito bis'!$F$91*(C2580-sezione!$AO$37)*IF(ABS(N2580)&lt;'Progetto del paramento slu'!$G$58,ABS(N2580)*'Progetto del paramento slu'!$G$54,'Progetto del paramento slu'!$G$53)</f>
        <v>286234862.4885363</v>
      </c>
      <c r="I2580" s="479">
        <f>-'Foglio deposito bis'!$F$92*(C2580-sezione!$AP$37)*IF(ABS(O2580)&lt;'Progetto del paramento slu'!$G$58,ABS(O2580)*'Progetto del paramento slu'!$G$54,'Progetto del paramento slu'!$G$53)</f>
        <v>400096927.39043236</v>
      </c>
      <c r="J2580" s="479">
        <f t="shared" si="188"/>
        <v>703357245.50869656</v>
      </c>
      <c r="K2580" s="558">
        <f>'Progetto del paramento slu'!$G$60*(sezione!$AL$37-C2580)/C2580</f>
        <v>3.7601088735638782E-3</v>
      </c>
      <c r="L2580" s="558">
        <f>'Progetto del paramento slu'!$G$60*(sezione!$AM$37-C2580)/C2580</f>
        <v>2.3725408275864543E-2</v>
      </c>
      <c r="M2580" s="559">
        <f>'Progetto del paramento slu'!$G$60*(sezione!$AN$37-C2580)/C2580</f>
        <v>4.3690707678165207E-2</v>
      </c>
      <c r="N2580" s="559">
        <f>'Progetto del paramento slu'!$G$60*(sezione!$AO$37-C2580)/C2580</f>
        <v>5.8210925425292978E-2</v>
      </c>
      <c r="O2580" s="559">
        <f>'Progetto del paramento slu'!$G$60*(sezione!$AP$37-C2580)/C2580</f>
        <v>4.3692522705383555E-2</v>
      </c>
      <c r="P2580" s="553">
        <f>-'Progetto del paramento slu'!$G$47*'Progetto del paramento slu'!$G$41*IF(DATI!$G$218="dx",DATI!$E$61,DATI!$E$64*DATI!$E$63)*1000*C2580*sezione!$AD$5</f>
        <v>-271817.49397530389</v>
      </c>
      <c r="Q2580" s="553">
        <f>'Foglio deposito bis'!$F$88*IF(ABS(K2580)&lt;'Progetto del paramento slu'!$G$58,ABS(K2580)*'Progetto del paramento slu'!$G$54,'Progetto del paramento slu'!$G$53)*IF(K2580&lt;0,-1,1)</f>
        <v>0</v>
      </c>
      <c r="R2580" s="553">
        <f>'Foglio deposito bis'!$F$89*IF(ABS(L2580)&lt;'Progetto del paramento slu'!$G$58,ABS(L2580)*'Progetto del paramento slu'!$G$54,'Progetto del paramento slu'!$G$53)*IF(L2580&lt;0,-1,1)</f>
        <v>153664.85805602249</v>
      </c>
      <c r="S2580" s="553">
        <f>'Foglio deposito bis'!$F$90*IF(ABS(M2580)&lt;'Progetto del paramento slu'!$G$58,ABS(M2580)*'Progetto del paramento slu'!$G$54,'Progetto del paramento slu'!$G$53)*IF(M2580&lt;0,-1,1)</f>
        <v>0</v>
      </c>
      <c r="T2580" s="553">
        <f>'Foglio deposito bis'!$F$91*IF(ABS(N2580)&lt;'Progetto del paramento slu'!$G$58,ABS(N2580)*'Progetto del paramento slu'!$G$54,'Progetto del paramento slu'!$G$53)*IF(N2580&lt;0,-1,1)</f>
        <v>892485.49558937876</v>
      </c>
      <c r="U2580" s="553">
        <f>'Foglio deposito bis'!$F$92*IF(ABS(O2580)&lt;'Progetto del paramento slu'!$G$58,ABS(O2580)*'Progetto del paramento slu'!$G$54,'Progetto del paramento slu'!$G$53)*IF(O2580&lt;0,-1,1)</f>
        <v>1662039.1047339395</v>
      </c>
      <c r="V2580" s="479">
        <f t="shared" si="190"/>
        <v>2436371.9644040368</v>
      </c>
      <c r="W2580" s="559"/>
      <c r="X2580" s="559"/>
    </row>
    <row r="2581" spans="1:24" x14ac:dyDescent="0.25">
      <c r="A2581" s="553">
        <f t="shared" si="189"/>
        <v>2433510.7276253495</v>
      </c>
      <c r="B2581" s="3">
        <f t="shared" si="191"/>
        <v>4.7999999999999909</v>
      </c>
      <c r="C2581" s="553">
        <f>'Foglio deposito bis'!$E$163/sezione!$B$247*B2581</f>
        <v>19.486441136671139</v>
      </c>
      <c r="D2581" s="611">
        <f>-'Progetto del paramento slu'!$G$47*'Progetto del paramento slu'!$G$41*IF(DATI!$G$218="dx",DATI!$E$61,DATI!$E$64*DATI!$E$63)*1000*C2581^2*sezione!$AD$5*(1-sezione!$AD$6)</f>
        <v>-3125866.3763065855</v>
      </c>
      <c r="E2581" s="553">
        <f>-'Foglio deposito bis'!$F$88*(C2581-sezione!$AL$37)*IF(ABS(K2581)&lt;'Progetto del paramento slu'!$G$58,ABS(K2581)*'Progetto del paramento slu'!$G$54,'Progetto del paramento slu'!$G$53)</f>
        <v>0</v>
      </c>
      <c r="F2581" s="553">
        <f>-'Foglio deposito bis'!$F$89*(C2581-sezione!$AM$37)*IF(ABS(L2581)&lt;'Progetto del paramento slu'!$G$58,ABS(L2581)*'Progetto del paramento slu'!$G$54,'Progetto del paramento slu'!$G$53)</f>
        <v>20055347.497119766</v>
      </c>
      <c r="G2581" s="553">
        <f>-'Foglio deposito bis'!$F$90*(C2581-sezione!$AN$37)*IF(ABS(M2581)&lt;'Progetto del paramento slu'!$G$58,ABS(M2581)*'Progetto del paramento slu'!$G$54,'Progetto del paramento slu'!$G$53)</f>
        <v>0</v>
      </c>
      <c r="H2581" s="553">
        <f>-'Foglio deposito bis'!$F$91*(C2581-sezione!$AO$37)*IF(ABS(N2581)&lt;'Progetto del paramento slu'!$G$58,ABS(N2581)*'Progetto del paramento slu'!$G$54,'Progetto del paramento slu'!$G$53)</f>
        <v>286053702.42525357</v>
      </c>
      <c r="I2581" s="479">
        <f>-'Foglio deposito bis'!$F$92*(C2581-sezione!$AP$37)*IF(ABS(O2581)&lt;'Progetto del paramento slu'!$G$58,ABS(O2581)*'Progetto del paramento slu'!$G$54,'Progetto del paramento slu'!$G$53)</f>
        <v>399759560.44062769</v>
      </c>
      <c r="J2581" s="479">
        <f t="shared" si="188"/>
        <v>702742743.98669446</v>
      </c>
      <c r="K2581" s="558">
        <f>'Progetto del paramento slu'!$G$60*(sezione!$AL$37-C2581)/C2581</f>
        <v>3.6844827394642539E-3</v>
      </c>
      <c r="L2581" s="558">
        <f>'Progetto del paramento slu'!$G$60*(sezione!$AM$37-C2581)/C2581</f>
        <v>2.3441810272990953E-2</v>
      </c>
      <c r="M2581" s="559">
        <f>'Progetto del paramento slu'!$G$60*(sezione!$AN$37-C2581)/C2581</f>
        <v>4.319913780651765E-2</v>
      </c>
      <c r="N2581" s="559">
        <f>'Progetto del paramento slu'!$G$60*(sezione!$AO$37-C2581)/C2581</f>
        <v>5.7568103285446162E-2</v>
      </c>
      <c r="O2581" s="559">
        <f>'Progetto del paramento slu'!$G$60*(sezione!$AP$37-C2581)/C2581</f>
        <v>4.3200933927202471E-2</v>
      </c>
      <c r="P2581" s="553">
        <f>-'Progetto del paramento slu'!$G$47*'Progetto del paramento slu'!$G$41*IF(DATI!$G$218="dx",DATI!$E$61,DATI!$E$64*DATI!$E$63)*1000*C2581*sezione!$AD$5</f>
        <v>-274678.73075399135</v>
      </c>
      <c r="Q2581" s="553">
        <f>'Foglio deposito bis'!$F$88*IF(ABS(K2581)&lt;'Progetto del paramento slu'!$G$58,ABS(K2581)*'Progetto del paramento slu'!$G$54,'Progetto del paramento slu'!$G$53)*IF(K2581&lt;0,-1,1)</f>
        <v>0</v>
      </c>
      <c r="R2581" s="553">
        <f>'Foglio deposito bis'!$F$89*IF(ABS(L2581)&lt;'Progetto del paramento slu'!$G$58,ABS(L2581)*'Progetto del paramento slu'!$G$54,'Progetto del paramento slu'!$G$53)*IF(L2581&lt;0,-1,1)</f>
        <v>153664.85805602249</v>
      </c>
      <c r="S2581" s="553">
        <f>'Foglio deposito bis'!$F$90*IF(ABS(M2581)&lt;'Progetto del paramento slu'!$G$58,ABS(M2581)*'Progetto del paramento slu'!$G$54,'Progetto del paramento slu'!$G$53)*IF(M2581&lt;0,-1,1)</f>
        <v>0</v>
      </c>
      <c r="T2581" s="553">
        <f>'Foglio deposito bis'!$F$91*IF(ABS(N2581)&lt;'Progetto del paramento slu'!$G$58,ABS(N2581)*'Progetto del paramento slu'!$G$54,'Progetto del paramento slu'!$G$53)*IF(N2581&lt;0,-1,1)</f>
        <v>892485.49558937876</v>
      </c>
      <c r="U2581" s="553">
        <f>'Foglio deposito bis'!$F$92*IF(ABS(O2581)&lt;'Progetto del paramento slu'!$G$58,ABS(O2581)*'Progetto del paramento slu'!$G$54,'Progetto del paramento slu'!$G$53)*IF(O2581&lt;0,-1,1)</f>
        <v>1662039.1047339395</v>
      </c>
      <c r="V2581" s="479">
        <f t="shared" si="190"/>
        <v>2433510.7276253495</v>
      </c>
      <c r="W2581" s="559"/>
      <c r="X2581" s="559"/>
    </row>
    <row r="2582" spans="1:24" x14ac:dyDescent="0.25">
      <c r="A2582" s="553">
        <f t="shared" si="189"/>
        <v>2430649.4908466619</v>
      </c>
      <c r="B2582" s="3">
        <f t="shared" si="191"/>
        <v>4.8499999999999908</v>
      </c>
      <c r="C2582" s="553">
        <f>'Foglio deposito bis'!$E$163/sezione!$B$247*B2582</f>
        <v>19.689424898511461</v>
      </c>
      <c r="D2582" s="611">
        <f>-'Progetto del paramento slu'!$G$47*'Progetto del paramento slu'!$G$41*IF(DATI!$G$218="dx",DATI!$E$61,DATI!$E$64*DATI!$E$63)*1000*C2582^2*sezione!$AD$5*(1-sezione!$AD$6)</f>
        <v>-3191327.7706888728</v>
      </c>
      <c r="E2582" s="553">
        <f>-'Foglio deposito bis'!$F$88*(C2582-sezione!$AL$37)*IF(ABS(K2582)&lt;'Progetto del paramento slu'!$G$58,ABS(K2582)*'Progetto del paramento slu'!$G$54,'Progetto del paramento slu'!$G$53)</f>
        <v>0</v>
      </c>
      <c r="F2582" s="553">
        <f>-'Foglio deposito bis'!$F$89*(C2582-sezione!$AM$37)*IF(ABS(L2582)&lt;'Progetto del paramento slu'!$G$58,ABS(L2582)*'Progetto del paramento slu'!$G$54,'Progetto del paramento slu'!$G$53)</f>
        <v>20024156.026168898</v>
      </c>
      <c r="G2582" s="553">
        <f>-'Foglio deposito bis'!$F$90*(C2582-sezione!$AN$37)*IF(ABS(M2582)&lt;'Progetto del paramento slu'!$G$58,ABS(M2582)*'Progetto del paramento slu'!$G$54,'Progetto del paramento slu'!$G$53)</f>
        <v>0</v>
      </c>
      <c r="H2582" s="553">
        <f>-'Foglio deposito bis'!$F$91*(C2582-sezione!$AO$37)*IF(ABS(N2582)&lt;'Progetto del paramento slu'!$G$58,ABS(N2582)*'Progetto del paramento slu'!$G$54,'Progetto del paramento slu'!$G$53)</f>
        <v>285872542.36197096</v>
      </c>
      <c r="I2582" s="479">
        <f>-'Foglio deposito bis'!$F$92*(C2582-sezione!$AP$37)*IF(ABS(O2582)&lt;'Progetto del paramento slu'!$G$58,ABS(O2582)*'Progetto del paramento slu'!$G$54,'Progetto del paramento slu'!$G$53)</f>
        <v>399422193.49082309</v>
      </c>
      <c r="J2582" s="479">
        <f t="shared" si="188"/>
        <v>702127564.1082741</v>
      </c>
      <c r="K2582" s="558">
        <f>'Progetto del paramento slu'!$G$60*(sezione!$AL$37-C2582)/C2582</f>
        <v>3.6104159070986437E-3</v>
      </c>
      <c r="L2582" s="558">
        <f>'Progetto del paramento slu'!$G$60*(sezione!$AM$37-C2582)/C2582</f>
        <v>2.3164059651619915E-2</v>
      </c>
      <c r="M2582" s="559">
        <f>'Progetto del paramento slu'!$G$60*(sezione!$AN$37-C2582)/C2582</f>
        <v>4.2717703396141185E-2</v>
      </c>
      <c r="N2582" s="559">
        <f>'Progetto del paramento slu'!$G$60*(sezione!$AO$37-C2582)/C2582</f>
        <v>5.6938535210338474E-2</v>
      </c>
      <c r="O2582" s="559">
        <f>'Progetto del paramento slu'!$G$60*(sezione!$AP$37-C2582)/C2582</f>
        <v>4.2719481000117923E-2</v>
      </c>
      <c r="P2582" s="553">
        <f>-'Progetto del paramento slu'!$G$47*'Progetto del paramento slu'!$G$41*IF(DATI!$G$218="dx",DATI!$E$61,DATI!$E$64*DATI!$E$63)*1000*C2582*sezione!$AD$5</f>
        <v>-277539.96753267868</v>
      </c>
      <c r="Q2582" s="553">
        <f>'Foglio deposito bis'!$F$88*IF(ABS(K2582)&lt;'Progetto del paramento slu'!$G$58,ABS(K2582)*'Progetto del paramento slu'!$G$54,'Progetto del paramento slu'!$G$53)*IF(K2582&lt;0,-1,1)</f>
        <v>0</v>
      </c>
      <c r="R2582" s="553">
        <f>'Foglio deposito bis'!$F$89*IF(ABS(L2582)&lt;'Progetto del paramento slu'!$G$58,ABS(L2582)*'Progetto del paramento slu'!$G$54,'Progetto del paramento slu'!$G$53)*IF(L2582&lt;0,-1,1)</f>
        <v>153664.85805602249</v>
      </c>
      <c r="S2582" s="553">
        <f>'Foglio deposito bis'!$F$90*IF(ABS(M2582)&lt;'Progetto del paramento slu'!$G$58,ABS(M2582)*'Progetto del paramento slu'!$G$54,'Progetto del paramento slu'!$G$53)*IF(M2582&lt;0,-1,1)</f>
        <v>0</v>
      </c>
      <c r="T2582" s="553">
        <f>'Foglio deposito bis'!$F$91*IF(ABS(N2582)&lt;'Progetto del paramento slu'!$G$58,ABS(N2582)*'Progetto del paramento slu'!$G$54,'Progetto del paramento slu'!$G$53)*IF(N2582&lt;0,-1,1)</f>
        <v>892485.49558937876</v>
      </c>
      <c r="U2582" s="553">
        <f>'Foglio deposito bis'!$F$92*IF(ABS(O2582)&lt;'Progetto del paramento slu'!$G$58,ABS(O2582)*'Progetto del paramento slu'!$G$54,'Progetto del paramento slu'!$G$53)*IF(O2582&lt;0,-1,1)</f>
        <v>1662039.1047339395</v>
      </c>
      <c r="V2582" s="479">
        <f t="shared" si="190"/>
        <v>2430649.4908466619</v>
      </c>
      <c r="W2582" s="559"/>
      <c r="X2582" s="559"/>
    </row>
    <row r="2583" spans="1:24" x14ac:dyDescent="0.25">
      <c r="A2583" s="553">
        <f t="shared" si="189"/>
        <v>2427788.2540679746</v>
      </c>
      <c r="B2583" s="3">
        <f t="shared" si="191"/>
        <v>4.8999999999999906</v>
      </c>
      <c r="C2583" s="553">
        <f>'Foglio deposito bis'!$E$163/sezione!$B$247*B2583</f>
        <v>19.892408660351787</v>
      </c>
      <c r="D2583" s="611">
        <f>-'Progetto del paramento slu'!$G$47*'Progetto del paramento slu'!$G$41*IF(DATI!$G$218="dx",DATI!$E$61,DATI!$E$64*DATI!$E$63)*1000*C2583^2*sezione!$AD$5*(1-sezione!$AD$6)</f>
        <v>-3257467.5214896314</v>
      </c>
      <c r="E2583" s="553">
        <f>-'Foglio deposito bis'!$F$88*(C2583-sezione!$AL$37)*IF(ABS(K2583)&lt;'Progetto del paramento slu'!$G$58,ABS(K2583)*'Progetto del paramento slu'!$G$54,'Progetto del paramento slu'!$G$53)</f>
        <v>0</v>
      </c>
      <c r="F2583" s="553">
        <f>-'Foglio deposito bis'!$F$89*(C2583-sezione!$AM$37)*IF(ABS(L2583)&lt;'Progetto del paramento slu'!$G$58,ABS(L2583)*'Progetto del paramento slu'!$G$54,'Progetto del paramento slu'!$G$53)</f>
        <v>19992964.555218026</v>
      </c>
      <c r="G2583" s="553">
        <f>-'Foglio deposito bis'!$F$90*(C2583-sezione!$AN$37)*IF(ABS(M2583)&lt;'Progetto del paramento slu'!$G$58,ABS(M2583)*'Progetto del paramento slu'!$G$54,'Progetto del paramento slu'!$G$53)</f>
        <v>0</v>
      </c>
      <c r="H2583" s="553">
        <f>-'Foglio deposito bis'!$F$91*(C2583-sezione!$AO$37)*IF(ABS(N2583)&lt;'Progetto del paramento slu'!$G$58,ABS(N2583)*'Progetto del paramento slu'!$G$54,'Progetto del paramento slu'!$G$53)</f>
        <v>285691382.29868823</v>
      </c>
      <c r="I2583" s="479">
        <f>-'Foglio deposito bis'!$F$92*(C2583-sezione!$AP$37)*IF(ABS(O2583)&lt;'Progetto del paramento slu'!$G$58,ABS(O2583)*'Progetto del paramento slu'!$G$54,'Progetto del paramento slu'!$G$53)</f>
        <v>399084826.54101849</v>
      </c>
      <c r="J2583" s="479">
        <f t="shared" si="188"/>
        <v>701511705.87343514</v>
      </c>
      <c r="K2583" s="558">
        <f>'Progetto del paramento slu'!$G$60*(sezione!$AL$37-C2583)/C2583</f>
        <v>3.5378606427404944E-3</v>
      </c>
      <c r="L2583" s="558">
        <f>'Progetto del paramento slu'!$G$60*(sezione!$AM$37-C2583)/C2583</f>
        <v>2.2891977410276855E-2</v>
      </c>
      <c r="M2583" s="559">
        <f>'Progetto del paramento slu'!$G$60*(sezione!$AN$37-C2583)/C2583</f>
        <v>4.2246094177813213E-2</v>
      </c>
      <c r="N2583" s="559">
        <f>'Progetto del paramento slu'!$G$60*(sezione!$AO$37-C2583)/C2583</f>
        <v>5.6321815463294192E-2</v>
      </c>
      <c r="O2583" s="559">
        <f>'Progetto del paramento slu'!$G$60*(sezione!$AP$37-C2583)/C2583</f>
        <v>4.2247853642973857E-2</v>
      </c>
      <c r="P2583" s="553">
        <f>-'Progetto del paramento slu'!$G$47*'Progetto del paramento slu'!$G$41*IF(DATI!$G$218="dx",DATI!$E$61,DATI!$E$64*DATI!$E$63)*1000*C2583*sezione!$AD$5</f>
        <v>-280401.20431136613</v>
      </c>
      <c r="Q2583" s="553">
        <f>'Foglio deposito bis'!$F$88*IF(ABS(K2583)&lt;'Progetto del paramento slu'!$G$58,ABS(K2583)*'Progetto del paramento slu'!$G$54,'Progetto del paramento slu'!$G$53)*IF(K2583&lt;0,-1,1)</f>
        <v>0</v>
      </c>
      <c r="R2583" s="553">
        <f>'Foglio deposito bis'!$F$89*IF(ABS(L2583)&lt;'Progetto del paramento slu'!$G$58,ABS(L2583)*'Progetto del paramento slu'!$G$54,'Progetto del paramento slu'!$G$53)*IF(L2583&lt;0,-1,1)</f>
        <v>153664.85805602249</v>
      </c>
      <c r="S2583" s="553">
        <f>'Foglio deposito bis'!$F$90*IF(ABS(M2583)&lt;'Progetto del paramento slu'!$G$58,ABS(M2583)*'Progetto del paramento slu'!$G$54,'Progetto del paramento slu'!$G$53)*IF(M2583&lt;0,-1,1)</f>
        <v>0</v>
      </c>
      <c r="T2583" s="553">
        <f>'Foglio deposito bis'!$F$91*IF(ABS(N2583)&lt;'Progetto del paramento slu'!$G$58,ABS(N2583)*'Progetto del paramento slu'!$G$54,'Progetto del paramento slu'!$G$53)*IF(N2583&lt;0,-1,1)</f>
        <v>892485.49558937876</v>
      </c>
      <c r="U2583" s="553">
        <f>'Foglio deposito bis'!$F$92*IF(ABS(O2583)&lt;'Progetto del paramento slu'!$G$58,ABS(O2583)*'Progetto del paramento slu'!$G$54,'Progetto del paramento slu'!$G$53)*IF(O2583&lt;0,-1,1)</f>
        <v>1662039.1047339395</v>
      </c>
      <c r="V2583" s="479">
        <f t="shared" si="190"/>
        <v>2427788.2540679746</v>
      </c>
      <c r="W2583" s="559"/>
      <c r="X2583" s="559"/>
    </row>
    <row r="2584" spans="1:24" x14ac:dyDescent="0.25">
      <c r="A2584" s="553">
        <f t="shared" si="189"/>
        <v>2424927.0172892874</v>
      </c>
      <c r="B2584" s="3">
        <f t="shared" si="191"/>
        <v>4.9499999999999904</v>
      </c>
      <c r="C2584" s="553">
        <f>'Foglio deposito bis'!$E$163/sezione!$B$247*B2584</f>
        <v>20.095392422192109</v>
      </c>
      <c r="D2584" s="611">
        <f>-'Progetto del paramento slu'!$G$47*'Progetto del paramento slu'!$G$41*IF(DATI!$G$218="dx",DATI!$E$61,DATI!$E$64*DATI!$E$63)*1000*C2584^2*sezione!$AD$5*(1-sezione!$AD$6)</f>
        <v>-3324285.6287088576</v>
      </c>
      <c r="E2584" s="553">
        <f>-'Foglio deposito bis'!$F$88*(C2584-sezione!$AL$37)*IF(ABS(K2584)&lt;'Progetto del paramento slu'!$G$58,ABS(K2584)*'Progetto del paramento slu'!$G$54,'Progetto del paramento slu'!$G$53)</f>
        <v>0</v>
      </c>
      <c r="F2584" s="553">
        <f>-'Foglio deposito bis'!$F$89*(C2584-sezione!$AM$37)*IF(ABS(L2584)&lt;'Progetto del paramento slu'!$G$58,ABS(L2584)*'Progetto del paramento slu'!$G$54,'Progetto del paramento slu'!$G$53)</f>
        <v>19961773.084267154</v>
      </c>
      <c r="G2584" s="553">
        <f>-'Foglio deposito bis'!$F$90*(C2584-sezione!$AN$37)*IF(ABS(M2584)&lt;'Progetto del paramento slu'!$G$58,ABS(M2584)*'Progetto del paramento slu'!$G$54,'Progetto del paramento slu'!$G$53)</f>
        <v>0</v>
      </c>
      <c r="H2584" s="553">
        <f>-'Foglio deposito bis'!$F$91*(C2584-sezione!$AO$37)*IF(ABS(N2584)&lt;'Progetto del paramento slu'!$G$58,ABS(N2584)*'Progetto del paramento slu'!$G$54,'Progetto del paramento slu'!$G$53)</f>
        <v>285510222.23540562</v>
      </c>
      <c r="I2584" s="479">
        <f>-'Foglio deposito bis'!$F$92*(C2584-sezione!$AP$37)*IF(ABS(O2584)&lt;'Progetto del paramento slu'!$G$58,ABS(O2584)*'Progetto del paramento slu'!$G$54,'Progetto del paramento slu'!$G$53)</f>
        <v>398747459.59121382</v>
      </c>
      <c r="J2584" s="479">
        <f t="shared" si="188"/>
        <v>700895169.28217769</v>
      </c>
      <c r="K2584" s="558">
        <f>'Progetto del paramento slu'!$G$60*(sezione!$AL$37-C2584)/C2584</f>
        <v>3.466771141298672E-3</v>
      </c>
      <c r="L2584" s="558">
        <f>'Progetto del paramento slu'!$G$60*(sezione!$AM$37-C2584)/C2584</f>
        <v>2.2625391779870021E-2</v>
      </c>
      <c r="M2584" s="559">
        <f>'Progetto del paramento slu'!$G$60*(sezione!$AN$37-C2584)/C2584</f>
        <v>4.1784012418441367E-2</v>
      </c>
      <c r="N2584" s="559">
        <f>'Progetto del paramento slu'!$G$60*(sezione!$AO$37-C2584)/C2584</f>
        <v>5.5717554701038709E-2</v>
      </c>
      <c r="O2584" s="559">
        <f>'Progetto del paramento slu'!$G$60*(sezione!$AP$37-C2584)/C2584</f>
        <v>4.1785754111226654E-2</v>
      </c>
      <c r="P2584" s="553">
        <f>-'Progetto del paramento slu'!$G$47*'Progetto del paramento slu'!$G$41*IF(DATI!$G$218="dx",DATI!$E$61,DATI!$E$64*DATI!$E$63)*1000*C2584*sezione!$AD$5</f>
        <v>-283262.44109005353</v>
      </c>
      <c r="Q2584" s="553">
        <f>'Foglio deposito bis'!$F$88*IF(ABS(K2584)&lt;'Progetto del paramento slu'!$G$58,ABS(K2584)*'Progetto del paramento slu'!$G$54,'Progetto del paramento slu'!$G$53)*IF(K2584&lt;0,-1,1)</f>
        <v>0</v>
      </c>
      <c r="R2584" s="553">
        <f>'Foglio deposito bis'!$F$89*IF(ABS(L2584)&lt;'Progetto del paramento slu'!$G$58,ABS(L2584)*'Progetto del paramento slu'!$G$54,'Progetto del paramento slu'!$G$53)*IF(L2584&lt;0,-1,1)</f>
        <v>153664.85805602249</v>
      </c>
      <c r="S2584" s="553">
        <f>'Foglio deposito bis'!$F$90*IF(ABS(M2584)&lt;'Progetto del paramento slu'!$G$58,ABS(M2584)*'Progetto del paramento slu'!$G$54,'Progetto del paramento slu'!$G$53)*IF(M2584&lt;0,-1,1)</f>
        <v>0</v>
      </c>
      <c r="T2584" s="553">
        <f>'Foglio deposito bis'!$F$91*IF(ABS(N2584)&lt;'Progetto del paramento slu'!$G$58,ABS(N2584)*'Progetto del paramento slu'!$G$54,'Progetto del paramento slu'!$G$53)*IF(N2584&lt;0,-1,1)</f>
        <v>892485.49558937876</v>
      </c>
      <c r="U2584" s="553">
        <f>'Foglio deposito bis'!$F$92*IF(ABS(O2584)&lt;'Progetto del paramento slu'!$G$58,ABS(O2584)*'Progetto del paramento slu'!$G$54,'Progetto del paramento slu'!$G$53)*IF(O2584&lt;0,-1,1)</f>
        <v>1662039.1047339395</v>
      </c>
      <c r="V2584" s="479">
        <f t="shared" si="190"/>
        <v>2424927.0172892874</v>
      </c>
      <c r="W2584" s="559"/>
      <c r="X2584" s="559"/>
    </row>
    <row r="2585" spans="1:24" x14ac:dyDescent="0.25">
      <c r="A2585" s="553">
        <f t="shared" si="189"/>
        <v>2422065.7805105997</v>
      </c>
      <c r="B2585" s="3">
        <f t="shared" si="191"/>
        <v>4.9999999999999902</v>
      </c>
      <c r="C2585" s="553">
        <f>'Foglio deposito bis'!$E$163/sezione!$B$247*B2585</f>
        <v>20.298376184032435</v>
      </c>
      <c r="D2585" s="611">
        <f>-'Progetto del paramento slu'!$G$47*'Progetto del paramento slu'!$G$41*IF(DATI!$G$218="dx",DATI!$E$61,DATI!$E$64*DATI!$E$63)*1000*C2585^2*sezione!$AD$5*(1-sezione!$AD$6)</f>
        <v>-3391782.0923465542</v>
      </c>
      <c r="E2585" s="553">
        <f>-'Foglio deposito bis'!$F$88*(C2585-sezione!$AL$37)*IF(ABS(K2585)&lt;'Progetto del paramento slu'!$G$58,ABS(K2585)*'Progetto del paramento slu'!$G$54,'Progetto del paramento slu'!$G$53)</f>
        <v>0</v>
      </c>
      <c r="F2585" s="553">
        <f>-'Foglio deposito bis'!$F$89*(C2585-sezione!$AM$37)*IF(ABS(L2585)&lt;'Progetto del paramento slu'!$G$58,ABS(L2585)*'Progetto del paramento slu'!$G$54,'Progetto del paramento slu'!$G$53)</f>
        <v>19930581.613316283</v>
      </c>
      <c r="G2585" s="553">
        <f>-'Foglio deposito bis'!$F$90*(C2585-sezione!$AN$37)*IF(ABS(M2585)&lt;'Progetto del paramento slu'!$G$58,ABS(M2585)*'Progetto del paramento slu'!$G$54,'Progetto del paramento slu'!$G$53)</f>
        <v>0</v>
      </c>
      <c r="H2585" s="553">
        <f>-'Foglio deposito bis'!$F$91*(C2585-sezione!$AO$37)*IF(ABS(N2585)&lt;'Progetto del paramento slu'!$G$58,ABS(N2585)*'Progetto del paramento slu'!$G$54,'Progetto del paramento slu'!$G$53)</f>
        <v>285329062.17212296</v>
      </c>
      <c r="I2585" s="479">
        <f>-'Foglio deposito bis'!$F$92*(C2585-sezione!$AP$37)*IF(ABS(O2585)&lt;'Progetto del paramento slu'!$G$58,ABS(O2585)*'Progetto del paramento slu'!$G$54,'Progetto del paramento slu'!$G$53)</f>
        <v>398410092.64140922</v>
      </c>
      <c r="J2585" s="479">
        <f t="shared" si="188"/>
        <v>700277954.33450198</v>
      </c>
      <c r="K2585" s="558">
        <f>'Progetto del paramento slu'!$G$60*(sezione!$AL$37-C2585)/C2585</f>
        <v>3.3971034298856846E-3</v>
      </c>
      <c r="L2585" s="558">
        <f>'Progetto del paramento slu'!$G$60*(sezione!$AM$37-C2585)/C2585</f>
        <v>2.2364137862071316E-2</v>
      </c>
      <c r="M2585" s="559">
        <f>'Progetto del paramento slu'!$G$60*(sezione!$AN$37-C2585)/C2585</f>
        <v>4.1331172294256951E-2</v>
      </c>
      <c r="N2585" s="559">
        <f>'Progetto del paramento slu'!$G$60*(sezione!$AO$37-C2585)/C2585</f>
        <v>5.512537915402832E-2</v>
      </c>
      <c r="O2585" s="559">
        <f>'Progetto del paramento slu'!$G$60*(sezione!$AP$37-C2585)/C2585</f>
        <v>4.133289657011438E-2</v>
      </c>
      <c r="P2585" s="553">
        <f>-'Progetto del paramento slu'!$G$47*'Progetto del paramento slu'!$G$41*IF(DATI!$G$218="dx",DATI!$E$61,DATI!$E$64*DATI!$E$63)*1000*C2585*sezione!$AD$5</f>
        <v>-286123.67786874092</v>
      </c>
      <c r="Q2585" s="553">
        <f>'Foglio deposito bis'!$F$88*IF(ABS(K2585)&lt;'Progetto del paramento slu'!$G$58,ABS(K2585)*'Progetto del paramento slu'!$G$54,'Progetto del paramento slu'!$G$53)*IF(K2585&lt;0,-1,1)</f>
        <v>0</v>
      </c>
      <c r="R2585" s="553">
        <f>'Foglio deposito bis'!$F$89*IF(ABS(L2585)&lt;'Progetto del paramento slu'!$G$58,ABS(L2585)*'Progetto del paramento slu'!$G$54,'Progetto del paramento slu'!$G$53)*IF(L2585&lt;0,-1,1)</f>
        <v>153664.85805602249</v>
      </c>
      <c r="S2585" s="553">
        <f>'Foglio deposito bis'!$F$90*IF(ABS(M2585)&lt;'Progetto del paramento slu'!$G$58,ABS(M2585)*'Progetto del paramento slu'!$G$54,'Progetto del paramento slu'!$G$53)*IF(M2585&lt;0,-1,1)</f>
        <v>0</v>
      </c>
      <c r="T2585" s="553">
        <f>'Foglio deposito bis'!$F$91*IF(ABS(N2585)&lt;'Progetto del paramento slu'!$G$58,ABS(N2585)*'Progetto del paramento slu'!$G$54,'Progetto del paramento slu'!$G$53)*IF(N2585&lt;0,-1,1)</f>
        <v>892485.49558937876</v>
      </c>
      <c r="U2585" s="553">
        <f>'Foglio deposito bis'!$F$92*IF(ABS(O2585)&lt;'Progetto del paramento slu'!$G$58,ABS(O2585)*'Progetto del paramento slu'!$G$54,'Progetto del paramento slu'!$G$53)*IF(O2585&lt;0,-1,1)</f>
        <v>1662039.1047339395</v>
      </c>
      <c r="V2585" s="479">
        <f t="shared" si="190"/>
        <v>2422065.7805105997</v>
      </c>
      <c r="W2585" s="559"/>
      <c r="X2585" s="559"/>
    </row>
    <row r="2586" spans="1:24" x14ac:dyDescent="0.25">
      <c r="A2586" s="553">
        <f t="shared" si="189"/>
        <v>2419204.5437319125</v>
      </c>
      <c r="B2586" s="3">
        <f t="shared" si="191"/>
        <v>5.0499999999999901</v>
      </c>
      <c r="C2586" s="553">
        <f>'Foglio deposito bis'!$E$163/sezione!$B$247*B2586</f>
        <v>20.501359945872757</v>
      </c>
      <c r="D2586" s="611">
        <f>-'Progetto del paramento slu'!$G$47*'Progetto del paramento slu'!$G$41*IF(DATI!$G$218="dx",DATI!$E$61,DATI!$E$64*DATI!$E$63)*1000*C2586^2*sezione!$AD$5*(1-sezione!$AD$6)</f>
        <v>-3459956.9124027188</v>
      </c>
      <c r="E2586" s="553">
        <f>-'Foglio deposito bis'!$F$88*(C2586-sezione!$AL$37)*IF(ABS(K2586)&lt;'Progetto del paramento slu'!$G$58,ABS(K2586)*'Progetto del paramento slu'!$G$54,'Progetto del paramento slu'!$G$53)</f>
        <v>0</v>
      </c>
      <c r="F2586" s="553">
        <f>-'Foglio deposito bis'!$F$89*(C2586-sezione!$AM$37)*IF(ABS(L2586)&lt;'Progetto del paramento slu'!$G$58,ABS(L2586)*'Progetto del paramento slu'!$G$54,'Progetto del paramento slu'!$G$53)</f>
        <v>19899390.142365411</v>
      </c>
      <c r="G2586" s="553">
        <f>-'Foglio deposito bis'!$F$90*(C2586-sezione!$AN$37)*IF(ABS(M2586)&lt;'Progetto del paramento slu'!$G$58,ABS(M2586)*'Progetto del paramento slu'!$G$54,'Progetto del paramento slu'!$G$53)</f>
        <v>0</v>
      </c>
      <c r="H2586" s="553">
        <f>-'Foglio deposito bis'!$F$91*(C2586-sezione!$AO$37)*IF(ABS(N2586)&lt;'Progetto del paramento slu'!$G$58,ABS(N2586)*'Progetto del paramento slu'!$G$54,'Progetto del paramento slu'!$G$53)</f>
        <v>285147902.10884029</v>
      </c>
      <c r="I2586" s="479">
        <f>-'Foglio deposito bis'!$F$92*(C2586-sezione!$AP$37)*IF(ABS(O2586)&lt;'Progetto del paramento slu'!$G$58,ABS(O2586)*'Progetto del paramento slu'!$G$54,'Progetto del paramento slu'!$G$53)</f>
        <v>398072725.69160461</v>
      </c>
      <c r="J2586" s="479">
        <f t="shared" si="188"/>
        <v>699660061.03040767</v>
      </c>
      <c r="K2586" s="558">
        <f>'Progetto del paramento slu'!$G$60*(sezione!$AL$37-C2586)/C2586</f>
        <v>3.3288152771145398E-3</v>
      </c>
      <c r="L2586" s="558">
        <f>'Progetto del paramento slu'!$G$60*(sezione!$AM$37-C2586)/C2586</f>
        <v>2.2108057289179524E-2</v>
      </c>
      <c r="M2586" s="559">
        <f>'Progetto del paramento slu'!$G$60*(sezione!$AN$37-C2586)/C2586</f>
        <v>4.088729930124451E-2</v>
      </c>
      <c r="N2586" s="559">
        <f>'Progetto del paramento slu'!$G$60*(sezione!$AO$37-C2586)/C2586</f>
        <v>5.4544929855473594E-2</v>
      </c>
      <c r="O2586" s="559">
        <f>'Progetto del paramento slu'!$G$60*(sezione!$AP$37-C2586)/C2586</f>
        <v>4.0889006505063746E-2</v>
      </c>
      <c r="P2586" s="553">
        <f>-'Progetto del paramento slu'!$G$47*'Progetto del paramento slu'!$G$41*IF(DATI!$G$218="dx",DATI!$E$61,DATI!$E$64*DATI!$E$63)*1000*C2586*sezione!$AD$5</f>
        <v>-288984.91464742832</v>
      </c>
      <c r="Q2586" s="553">
        <f>'Foglio deposito bis'!$F$88*IF(ABS(K2586)&lt;'Progetto del paramento slu'!$G$58,ABS(K2586)*'Progetto del paramento slu'!$G$54,'Progetto del paramento slu'!$G$53)*IF(K2586&lt;0,-1,1)</f>
        <v>0</v>
      </c>
      <c r="R2586" s="553">
        <f>'Foglio deposito bis'!$F$89*IF(ABS(L2586)&lt;'Progetto del paramento slu'!$G$58,ABS(L2586)*'Progetto del paramento slu'!$G$54,'Progetto del paramento slu'!$G$53)*IF(L2586&lt;0,-1,1)</f>
        <v>153664.85805602249</v>
      </c>
      <c r="S2586" s="553">
        <f>'Foglio deposito bis'!$F$90*IF(ABS(M2586)&lt;'Progetto del paramento slu'!$G$58,ABS(M2586)*'Progetto del paramento slu'!$G$54,'Progetto del paramento slu'!$G$53)*IF(M2586&lt;0,-1,1)</f>
        <v>0</v>
      </c>
      <c r="T2586" s="553">
        <f>'Foglio deposito bis'!$F$91*IF(ABS(N2586)&lt;'Progetto del paramento slu'!$G$58,ABS(N2586)*'Progetto del paramento slu'!$G$54,'Progetto del paramento slu'!$G$53)*IF(N2586&lt;0,-1,1)</f>
        <v>892485.49558937876</v>
      </c>
      <c r="U2586" s="553">
        <f>'Foglio deposito bis'!$F$92*IF(ABS(O2586)&lt;'Progetto del paramento slu'!$G$58,ABS(O2586)*'Progetto del paramento slu'!$G$54,'Progetto del paramento slu'!$G$53)*IF(O2586&lt;0,-1,1)</f>
        <v>1662039.1047339395</v>
      </c>
      <c r="V2586" s="479">
        <f t="shared" si="190"/>
        <v>2419204.5437319125</v>
      </c>
      <c r="W2586" s="559"/>
      <c r="X2586" s="559"/>
    </row>
    <row r="2587" spans="1:24" x14ac:dyDescent="0.25">
      <c r="A2587" s="553">
        <f t="shared" si="189"/>
        <v>2416343.3069532253</v>
      </c>
      <c r="B2587" s="3">
        <f t="shared" si="191"/>
        <v>5.0999999999999899</v>
      </c>
      <c r="C2587" s="553">
        <f>'Foglio deposito bis'!$E$163/sezione!$B$247*B2587</f>
        <v>20.704343707713083</v>
      </c>
      <c r="D2587" s="611">
        <f>-'Progetto del paramento slu'!$G$47*'Progetto del paramento slu'!$G$41*IF(DATI!$G$218="dx",DATI!$E$61,DATI!$E$64*DATI!$E$63)*1000*C2587^2*sezione!$AD$5*(1-sezione!$AD$6)</f>
        <v>-3528810.0888773552</v>
      </c>
      <c r="E2587" s="553">
        <f>-'Foglio deposito bis'!$F$88*(C2587-sezione!$AL$37)*IF(ABS(K2587)&lt;'Progetto del paramento slu'!$G$58,ABS(K2587)*'Progetto del paramento slu'!$G$54,'Progetto del paramento slu'!$G$53)</f>
        <v>0</v>
      </c>
      <c r="F2587" s="553">
        <f>-'Foglio deposito bis'!$F$89*(C2587-sezione!$AM$37)*IF(ABS(L2587)&lt;'Progetto del paramento slu'!$G$58,ABS(L2587)*'Progetto del paramento slu'!$G$54,'Progetto del paramento slu'!$G$53)</f>
        <v>19868198.671414539</v>
      </c>
      <c r="G2587" s="553">
        <f>-'Foglio deposito bis'!$F$90*(C2587-sezione!$AN$37)*IF(ABS(M2587)&lt;'Progetto del paramento slu'!$G$58,ABS(M2587)*'Progetto del paramento slu'!$G$54,'Progetto del paramento slu'!$G$53)</f>
        <v>0</v>
      </c>
      <c r="H2587" s="553">
        <f>-'Foglio deposito bis'!$F$91*(C2587-sezione!$AO$37)*IF(ABS(N2587)&lt;'Progetto del paramento slu'!$G$58,ABS(N2587)*'Progetto del paramento slu'!$G$54,'Progetto del paramento slu'!$G$53)</f>
        <v>284966742.04555768</v>
      </c>
      <c r="I2587" s="479">
        <f>-'Foglio deposito bis'!$F$92*(C2587-sezione!$AP$37)*IF(ABS(O2587)&lt;'Progetto del paramento slu'!$G$58,ABS(O2587)*'Progetto del paramento slu'!$G$54,'Progetto del paramento slu'!$G$53)</f>
        <v>397735358.74179995</v>
      </c>
      <c r="J2587" s="479">
        <f t="shared" si="188"/>
        <v>699041489.36989474</v>
      </c>
      <c r="K2587" s="558">
        <f>'Progetto del paramento slu'!$G$60*(sezione!$AL$37-C2587)/C2587</f>
        <v>3.2618661077310641E-3</v>
      </c>
      <c r="L2587" s="558">
        <f>'Progetto del paramento slu'!$G$60*(sezione!$AM$37-C2587)/C2587</f>
        <v>2.1856997903991489E-2</v>
      </c>
      <c r="M2587" s="559">
        <f>'Progetto del paramento slu'!$G$60*(sezione!$AN$37-C2587)/C2587</f>
        <v>4.0452129700251908E-2</v>
      </c>
      <c r="N2587" s="559">
        <f>'Progetto del paramento slu'!$G$60*(sezione!$AO$37-C2587)/C2587</f>
        <v>5.3975861915714046E-2</v>
      </c>
      <c r="O2587" s="559">
        <f>'Progetto del paramento slu'!$G$60*(sezione!$AP$37-C2587)/C2587</f>
        <v>4.0453820166778807E-2</v>
      </c>
      <c r="P2587" s="553">
        <f>-'Progetto del paramento slu'!$G$47*'Progetto del paramento slu'!$G$41*IF(DATI!$G$218="dx",DATI!$E$61,DATI!$E$64*DATI!$E$63)*1000*C2587*sezione!$AD$5</f>
        <v>-291846.15142611577</v>
      </c>
      <c r="Q2587" s="553">
        <f>'Foglio deposito bis'!$F$88*IF(ABS(K2587)&lt;'Progetto del paramento slu'!$G$58,ABS(K2587)*'Progetto del paramento slu'!$G$54,'Progetto del paramento slu'!$G$53)*IF(K2587&lt;0,-1,1)</f>
        <v>0</v>
      </c>
      <c r="R2587" s="553">
        <f>'Foglio deposito bis'!$F$89*IF(ABS(L2587)&lt;'Progetto del paramento slu'!$G$58,ABS(L2587)*'Progetto del paramento slu'!$G$54,'Progetto del paramento slu'!$G$53)*IF(L2587&lt;0,-1,1)</f>
        <v>153664.85805602249</v>
      </c>
      <c r="S2587" s="553">
        <f>'Foglio deposito bis'!$F$90*IF(ABS(M2587)&lt;'Progetto del paramento slu'!$G$58,ABS(M2587)*'Progetto del paramento slu'!$G$54,'Progetto del paramento slu'!$G$53)*IF(M2587&lt;0,-1,1)</f>
        <v>0</v>
      </c>
      <c r="T2587" s="553">
        <f>'Foglio deposito bis'!$F$91*IF(ABS(N2587)&lt;'Progetto del paramento slu'!$G$58,ABS(N2587)*'Progetto del paramento slu'!$G$54,'Progetto del paramento slu'!$G$53)*IF(N2587&lt;0,-1,1)</f>
        <v>892485.49558937876</v>
      </c>
      <c r="U2587" s="553">
        <f>'Foglio deposito bis'!$F$92*IF(ABS(O2587)&lt;'Progetto del paramento slu'!$G$58,ABS(O2587)*'Progetto del paramento slu'!$G$54,'Progetto del paramento slu'!$G$53)*IF(O2587&lt;0,-1,1)</f>
        <v>1662039.1047339395</v>
      </c>
      <c r="V2587" s="479">
        <f t="shared" si="190"/>
        <v>2416343.3069532253</v>
      </c>
      <c r="W2587" s="559"/>
      <c r="X2587" s="559"/>
    </row>
    <row r="2588" spans="1:24" x14ac:dyDescent="0.25">
      <c r="A2588" s="553">
        <f t="shared" si="189"/>
        <v>2404898.3598384755</v>
      </c>
      <c r="B2588" s="3">
        <f>B2587+0.2</f>
        <v>5.2999999999999901</v>
      </c>
      <c r="C2588" s="553">
        <f>'Foglio deposito bis'!$E$163/sezione!$B$247*B2588</f>
        <v>21.516278755074381</v>
      </c>
      <c r="D2588" s="611">
        <f>-'Progetto del paramento slu'!$G$47*'Progetto del paramento slu'!$G$41*IF(DATI!$G$218="dx",DATI!$E$61,DATI!$E$64*DATI!$E$63)*1000*C2588^2*sezione!$AD$5*(1-sezione!$AD$6)</f>
        <v>-3811006.3589605885</v>
      </c>
      <c r="E2588" s="553">
        <f>-'Foglio deposito bis'!$F$88*(C2588-sezione!$AL$37)*IF(ABS(K2588)&lt;'Progetto del paramento slu'!$G$58,ABS(K2588)*'Progetto del paramento slu'!$G$54,'Progetto del paramento slu'!$G$53)</f>
        <v>0</v>
      </c>
      <c r="F2588" s="553">
        <f>-'Foglio deposito bis'!$F$89*(C2588-sezione!$AM$37)*IF(ABS(L2588)&lt;'Progetto del paramento slu'!$G$58,ABS(L2588)*'Progetto del paramento slu'!$G$54,'Progetto del paramento slu'!$G$53)</f>
        <v>19743432.787611056</v>
      </c>
      <c r="G2588" s="553">
        <f>-'Foglio deposito bis'!$F$90*(C2588-sezione!$AN$37)*IF(ABS(M2588)&lt;'Progetto del paramento slu'!$G$58,ABS(M2588)*'Progetto del paramento slu'!$G$54,'Progetto del paramento slu'!$G$53)</f>
        <v>0</v>
      </c>
      <c r="H2588" s="553">
        <f>-'Foglio deposito bis'!$F$91*(C2588-sezione!$AO$37)*IF(ABS(N2588)&lt;'Progetto del paramento slu'!$G$58,ABS(N2588)*'Progetto del paramento slu'!$G$54,'Progetto del paramento slu'!$G$53)</f>
        <v>284242101.792427</v>
      </c>
      <c r="I2588" s="479">
        <f>-'Foglio deposito bis'!$F$92*(C2588-sezione!$AP$37)*IF(ABS(O2588)&lt;'Progetto del paramento slu'!$G$58,ABS(O2588)*'Progetto del paramento slu'!$G$54,'Progetto del paramento slu'!$G$53)</f>
        <v>396385890.94258147</v>
      </c>
      <c r="J2588" s="479">
        <f t="shared" si="188"/>
        <v>696560419.16365886</v>
      </c>
      <c r="K2588" s="558">
        <f>'Progetto del paramento slu'!$G$60*(sezione!$AL$37-C2588)/C2588</f>
        <v>3.0067013489487593E-3</v>
      </c>
      <c r="L2588" s="558">
        <f>'Progetto del paramento slu'!$G$60*(sezione!$AM$37-C2588)/C2588</f>
        <v>2.0900130058557845E-2</v>
      </c>
      <c r="M2588" s="559">
        <f>'Progetto del paramento slu'!$G$60*(sezione!$AN$37-C2588)/C2588</f>
        <v>3.8793558768166932E-2</v>
      </c>
      <c r="N2588" s="559">
        <f>'Progetto del paramento slu'!$G$60*(sezione!$AO$37-C2588)/C2588</f>
        <v>5.180696146606445E-2</v>
      </c>
      <c r="O2588" s="559">
        <f>'Progetto del paramento slu'!$G$60*(sezione!$AP$37-C2588)/C2588</f>
        <v>3.8795185443504132E-2</v>
      </c>
      <c r="P2588" s="553">
        <f>-'Progetto del paramento slu'!$G$47*'Progetto del paramento slu'!$G$41*IF(DATI!$G$218="dx",DATI!$E$61,DATI!$E$64*DATI!$E$63)*1000*C2588*sezione!$AD$5</f>
        <v>-303291.09854086541</v>
      </c>
      <c r="Q2588" s="553">
        <f>'Foglio deposito bis'!$F$88*IF(ABS(K2588)&lt;'Progetto del paramento slu'!$G$58,ABS(K2588)*'Progetto del paramento slu'!$G$54,'Progetto del paramento slu'!$G$53)*IF(K2588&lt;0,-1,1)</f>
        <v>0</v>
      </c>
      <c r="R2588" s="553">
        <f>'Foglio deposito bis'!$F$89*IF(ABS(L2588)&lt;'Progetto del paramento slu'!$G$58,ABS(L2588)*'Progetto del paramento slu'!$G$54,'Progetto del paramento slu'!$G$53)*IF(L2588&lt;0,-1,1)</f>
        <v>153664.85805602249</v>
      </c>
      <c r="S2588" s="553">
        <f>'Foglio deposito bis'!$F$90*IF(ABS(M2588)&lt;'Progetto del paramento slu'!$G$58,ABS(M2588)*'Progetto del paramento slu'!$G$54,'Progetto del paramento slu'!$G$53)*IF(M2588&lt;0,-1,1)</f>
        <v>0</v>
      </c>
      <c r="T2588" s="553">
        <f>'Foglio deposito bis'!$F$91*IF(ABS(N2588)&lt;'Progetto del paramento slu'!$G$58,ABS(N2588)*'Progetto del paramento slu'!$G$54,'Progetto del paramento slu'!$G$53)*IF(N2588&lt;0,-1,1)</f>
        <v>892485.49558937876</v>
      </c>
      <c r="U2588" s="553">
        <f>'Foglio deposito bis'!$F$92*IF(ABS(O2588)&lt;'Progetto del paramento slu'!$G$58,ABS(O2588)*'Progetto del paramento slu'!$G$54,'Progetto del paramento slu'!$G$53)*IF(O2588&lt;0,-1,1)</f>
        <v>1662039.1047339395</v>
      </c>
      <c r="V2588" s="479">
        <f t="shared" si="190"/>
        <v>2404898.3598384755</v>
      </c>
      <c r="W2588" s="559"/>
      <c r="X2588" s="559"/>
    </row>
    <row r="2589" spans="1:24" x14ac:dyDescent="0.25">
      <c r="A2589" s="553">
        <f t="shared" si="189"/>
        <v>2393453.4127237257</v>
      </c>
      <c r="B2589" s="3">
        <f t="shared" ref="B2589:B2652" si="192">B2588+0.2</f>
        <v>5.4999999999999902</v>
      </c>
      <c r="C2589" s="553">
        <f>'Foglio deposito bis'!$E$163/sezione!$B$247*B2589</f>
        <v>22.32821380243568</v>
      </c>
      <c r="D2589" s="611">
        <f>-'Progetto del paramento slu'!$G$47*'Progetto del paramento slu'!$G$41*IF(DATI!$G$218="dx",DATI!$E$61,DATI!$E$64*DATI!$E$63)*1000*C2589^2*sezione!$AD$5*(1-sezione!$AD$6)</f>
        <v>-4104056.3317393316</v>
      </c>
      <c r="E2589" s="553">
        <f>-'Foglio deposito bis'!$F$88*(C2589-sezione!$AL$37)*IF(ABS(K2589)&lt;'Progetto del paramento slu'!$G$58,ABS(K2589)*'Progetto del paramento slu'!$G$54,'Progetto del paramento slu'!$G$53)</f>
        <v>0</v>
      </c>
      <c r="F2589" s="553">
        <f>-'Foglio deposito bis'!$F$89*(C2589-sezione!$AM$37)*IF(ABS(L2589)&lt;'Progetto del paramento slu'!$G$58,ABS(L2589)*'Progetto del paramento slu'!$G$54,'Progetto del paramento slu'!$G$53)</f>
        <v>19618666.903807573</v>
      </c>
      <c r="G2589" s="553">
        <f>-'Foglio deposito bis'!$F$90*(C2589-sezione!$AN$37)*IF(ABS(M2589)&lt;'Progetto del paramento slu'!$G$58,ABS(M2589)*'Progetto del paramento slu'!$G$54,'Progetto del paramento slu'!$G$53)</f>
        <v>0</v>
      </c>
      <c r="H2589" s="553">
        <f>-'Foglio deposito bis'!$F$91*(C2589-sezione!$AO$37)*IF(ABS(N2589)&lt;'Progetto del paramento slu'!$G$58,ABS(N2589)*'Progetto del paramento slu'!$G$54,'Progetto del paramento slu'!$G$53)</f>
        <v>283517461.53929639</v>
      </c>
      <c r="I2589" s="479">
        <f>-'Foglio deposito bis'!$F$92*(C2589-sezione!$AP$37)*IF(ABS(O2589)&lt;'Progetto del paramento slu'!$G$58,ABS(O2589)*'Progetto del paramento slu'!$G$54,'Progetto del paramento slu'!$G$53)</f>
        <v>395036423.14336306</v>
      </c>
      <c r="J2589" s="479">
        <f t="shared" si="188"/>
        <v>694068495.2547276</v>
      </c>
      <c r="K2589" s="558">
        <f>'Progetto del paramento slu'!$G$60*(sezione!$AL$37-C2589)/C2589</f>
        <v>2.770094027168804E-3</v>
      </c>
      <c r="L2589" s="558">
        <f>'Progetto del paramento slu'!$G$60*(sezione!$AM$37-C2589)/C2589</f>
        <v>2.0012852601883013E-2</v>
      </c>
      <c r="M2589" s="559">
        <f>'Progetto del paramento slu'!$G$60*(sezione!$AN$37-C2589)/C2589</f>
        <v>3.7255611176597231E-2</v>
      </c>
      <c r="N2589" s="559">
        <f>'Progetto del paramento slu'!$G$60*(sezione!$AO$37-C2589)/C2589</f>
        <v>4.9795799230934829E-2</v>
      </c>
      <c r="O2589" s="559">
        <f>'Progetto del paramento slu'!$G$60*(sezione!$AP$37-C2589)/C2589</f>
        <v>3.7257178700103984E-2</v>
      </c>
      <c r="P2589" s="553">
        <f>-'Progetto del paramento slu'!$G$47*'Progetto del paramento slu'!$G$41*IF(DATI!$G$218="dx",DATI!$E$61,DATI!$E$64*DATI!$E$63)*1000*C2589*sezione!$AD$5</f>
        <v>-314736.04565561505</v>
      </c>
      <c r="Q2589" s="553">
        <f>'Foglio deposito bis'!$F$88*IF(ABS(K2589)&lt;'Progetto del paramento slu'!$G$58,ABS(K2589)*'Progetto del paramento slu'!$G$54,'Progetto del paramento slu'!$G$53)*IF(K2589&lt;0,-1,1)</f>
        <v>0</v>
      </c>
      <c r="R2589" s="553">
        <f>'Foglio deposito bis'!$F$89*IF(ABS(L2589)&lt;'Progetto del paramento slu'!$G$58,ABS(L2589)*'Progetto del paramento slu'!$G$54,'Progetto del paramento slu'!$G$53)*IF(L2589&lt;0,-1,1)</f>
        <v>153664.85805602249</v>
      </c>
      <c r="S2589" s="553">
        <f>'Foglio deposito bis'!$F$90*IF(ABS(M2589)&lt;'Progetto del paramento slu'!$G$58,ABS(M2589)*'Progetto del paramento slu'!$G$54,'Progetto del paramento slu'!$G$53)*IF(M2589&lt;0,-1,1)</f>
        <v>0</v>
      </c>
      <c r="T2589" s="553">
        <f>'Foglio deposito bis'!$F$91*IF(ABS(N2589)&lt;'Progetto del paramento slu'!$G$58,ABS(N2589)*'Progetto del paramento slu'!$G$54,'Progetto del paramento slu'!$G$53)*IF(N2589&lt;0,-1,1)</f>
        <v>892485.49558937876</v>
      </c>
      <c r="U2589" s="553">
        <f>'Foglio deposito bis'!$F$92*IF(ABS(O2589)&lt;'Progetto del paramento slu'!$G$58,ABS(O2589)*'Progetto del paramento slu'!$G$54,'Progetto del paramento slu'!$G$53)*IF(O2589&lt;0,-1,1)</f>
        <v>1662039.1047339395</v>
      </c>
      <c r="V2589" s="479">
        <f t="shared" si="190"/>
        <v>2393453.4127237257</v>
      </c>
      <c r="W2589" s="559"/>
      <c r="X2589" s="559"/>
    </row>
    <row r="2590" spans="1:24" x14ac:dyDescent="0.25">
      <c r="A2590" s="553">
        <f t="shared" si="189"/>
        <v>2382008.4656089759</v>
      </c>
      <c r="B2590" s="3">
        <f t="shared" si="192"/>
        <v>5.6999999999999904</v>
      </c>
      <c r="C2590" s="553">
        <f>'Foglio deposito bis'!$E$163/sezione!$B$247*B2590</f>
        <v>23.140148849796983</v>
      </c>
      <c r="D2590" s="611">
        <f>-'Progetto del paramento slu'!$G$47*'Progetto del paramento slu'!$G$41*IF(DATI!$G$218="dx",DATI!$E$61,DATI!$E$64*DATI!$E$63)*1000*C2590^2*sezione!$AD$5*(1-sezione!$AD$6)</f>
        <v>-4407960.0072135841</v>
      </c>
      <c r="E2590" s="553">
        <f>-'Foglio deposito bis'!$F$88*(C2590-sezione!$AL$37)*IF(ABS(K2590)&lt;'Progetto del paramento slu'!$G$58,ABS(K2590)*'Progetto del paramento slu'!$G$54,'Progetto del paramento slu'!$G$53)</f>
        <v>0</v>
      </c>
      <c r="F2590" s="553">
        <f>-'Foglio deposito bis'!$F$89*(C2590-sezione!$AM$37)*IF(ABS(L2590)&lt;'Progetto del paramento slu'!$G$58,ABS(L2590)*'Progetto del paramento slu'!$G$54,'Progetto del paramento slu'!$G$53)</f>
        <v>19493901.020004086</v>
      </c>
      <c r="G2590" s="553">
        <f>-'Foglio deposito bis'!$F$90*(C2590-sezione!$AN$37)*IF(ABS(M2590)&lt;'Progetto del paramento slu'!$G$58,ABS(M2590)*'Progetto del paramento slu'!$G$54,'Progetto del paramento slu'!$G$53)</f>
        <v>0</v>
      </c>
      <c r="H2590" s="553">
        <f>-'Foglio deposito bis'!$F$91*(C2590-sezione!$AO$37)*IF(ABS(N2590)&lt;'Progetto del paramento slu'!$G$58,ABS(N2590)*'Progetto del paramento slu'!$G$54,'Progetto del paramento slu'!$G$53)</f>
        <v>282792821.28616571</v>
      </c>
      <c r="I2590" s="479">
        <f>-'Foglio deposito bis'!$F$92*(C2590-sezione!$AP$37)*IF(ABS(O2590)&lt;'Progetto del paramento slu'!$G$58,ABS(O2590)*'Progetto del paramento slu'!$G$54,'Progetto del paramento slu'!$G$53)</f>
        <v>393686955.34414452</v>
      </c>
      <c r="J2590" s="479">
        <f t="shared" si="188"/>
        <v>691565717.64310074</v>
      </c>
      <c r="K2590" s="558">
        <f>'Progetto del paramento slu'!$G$60*(sezione!$AL$37-C2590)/C2590</f>
        <v>2.5500907279698971E-3</v>
      </c>
      <c r="L2590" s="558">
        <f>'Progetto del paramento slu'!$G$60*(sezione!$AM$37-C2590)/C2590</f>
        <v>1.918784022988711E-2</v>
      </c>
      <c r="M2590" s="559">
        <f>'Progetto del paramento slu'!$G$60*(sezione!$AN$37-C2590)/C2590</f>
        <v>3.582558973180433E-2</v>
      </c>
      <c r="N2590" s="559">
        <f>'Progetto del paramento slu'!$G$60*(sezione!$AO$37-C2590)/C2590</f>
        <v>4.7925771187744125E-2</v>
      </c>
      <c r="O2590" s="559">
        <f>'Progetto del paramento slu'!$G$60*(sezione!$AP$37-C2590)/C2590</f>
        <v>3.5827102254486286E-2</v>
      </c>
      <c r="P2590" s="553">
        <f>-'Progetto del paramento slu'!$G$47*'Progetto del paramento slu'!$G$41*IF(DATI!$G$218="dx",DATI!$E$61,DATI!$E$64*DATI!$E$63)*1000*C2590*sezione!$AD$5</f>
        <v>-326180.9927703648</v>
      </c>
      <c r="Q2590" s="553">
        <f>'Foglio deposito bis'!$F$88*IF(ABS(K2590)&lt;'Progetto del paramento slu'!$G$58,ABS(K2590)*'Progetto del paramento slu'!$G$54,'Progetto del paramento slu'!$G$53)*IF(K2590&lt;0,-1,1)</f>
        <v>0</v>
      </c>
      <c r="R2590" s="553">
        <f>'Foglio deposito bis'!$F$89*IF(ABS(L2590)&lt;'Progetto del paramento slu'!$G$58,ABS(L2590)*'Progetto del paramento slu'!$G$54,'Progetto del paramento slu'!$G$53)*IF(L2590&lt;0,-1,1)</f>
        <v>153664.85805602249</v>
      </c>
      <c r="S2590" s="553">
        <f>'Foglio deposito bis'!$F$90*IF(ABS(M2590)&lt;'Progetto del paramento slu'!$G$58,ABS(M2590)*'Progetto del paramento slu'!$G$54,'Progetto del paramento slu'!$G$53)*IF(M2590&lt;0,-1,1)</f>
        <v>0</v>
      </c>
      <c r="T2590" s="553">
        <f>'Foglio deposito bis'!$F$91*IF(ABS(N2590)&lt;'Progetto del paramento slu'!$G$58,ABS(N2590)*'Progetto del paramento slu'!$G$54,'Progetto del paramento slu'!$G$53)*IF(N2590&lt;0,-1,1)</f>
        <v>892485.49558937876</v>
      </c>
      <c r="U2590" s="553">
        <f>'Foglio deposito bis'!$F$92*IF(ABS(O2590)&lt;'Progetto del paramento slu'!$G$58,ABS(O2590)*'Progetto del paramento slu'!$G$54,'Progetto del paramento slu'!$G$53)*IF(O2590&lt;0,-1,1)</f>
        <v>1662039.1047339395</v>
      </c>
      <c r="V2590" s="479">
        <f t="shared" si="190"/>
        <v>2382008.4656089759</v>
      </c>
      <c r="W2590" s="559"/>
      <c r="X2590" s="559"/>
    </row>
    <row r="2591" spans="1:24" x14ac:dyDescent="0.25">
      <c r="A2591" s="553">
        <f t="shared" si="189"/>
        <v>2370563.518494226</v>
      </c>
      <c r="B2591" s="3">
        <f t="shared" si="192"/>
        <v>5.8999999999999906</v>
      </c>
      <c r="C2591" s="553">
        <f>'Foglio deposito bis'!$E$163/sezione!$B$247*B2591</f>
        <v>23.952083897158282</v>
      </c>
      <c r="D2591" s="611">
        <f>-'Progetto del paramento slu'!$G$47*'Progetto del paramento slu'!$G$41*IF(DATI!$G$218="dx",DATI!$E$61,DATI!$E$64*DATI!$E$63)*1000*C2591^2*sezione!$AD$5*(1-sezione!$AD$6)</f>
        <v>-4722717.3853833452</v>
      </c>
      <c r="E2591" s="553">
        <f>-'Foglio deposito bis'!$F$88*(C2591-sezione!$AL$37)*IF(ABS(K2591)&lt;'Progetto del paramento slu'!$G$58,ABS(K2591)*'Progetto del paramento slu'!$G$54,'Progetto del paramento slu'!$G$53)</f>
        <v>0</v>
      </c>
      <c r="F2591" s="553">
        <f>-'Foglio deposito bis'!$F$89*(C2591-sezione!$AM$37)*IF(ABS(L2591)&lt;'Progetto del paramento slu'!$G$58,ABS(L2591)*'Progetto del paramento slu'!$G$54,'Progetto del paramento slu'!$G$53)</f>
        <v>19369135.136200603</v>
      </c>
      <c r="G2591" s="553">
        <f>-'Foglio deposito bis'!$F$90*(C2591-sezione!$AN$37)*IF(ABS(M2591)&lt;'Progetto del paramento slu'!$G$58,ABS(M2591)*'Progetto del paramento slu'!$G$54,'Progetto del paramento slu'!$G$53)</f>
        <v>0</v>
      </c>
      <c r="H2591" s="553">
        <f>-'Foglio deposito bis'!$F$91*(C2591-sezione!$AO$37)*IF(ABS(N2591)&lt;'Progetto del paramento slu'!$G$58,ABS(N2591)*'Progetto del paramento slu'!$G$54,'Progetto del paramento slu'!$G$53)</f>
        <v>282068181.0330351</v>
      </c>
      <c r="I2591" s="479">
        <f>-'Foglio deposito bis'!$F$92*(C2591-sezione!$AP$37)*IF(ABS(O2591)&lt;'Progetto del paramento slu'!$G$58,ABS(O2591)*'Progetto del paramento slu'!$G$54,'Progetto del paramento slu'!$G$53)</f>
        <v>392337487.54492605</v>
      </c>
      <c r="J2591" s="479">
        <f t="shared" si="188"/>
        <v>689052086.32877839</v>
      </c>
      <c r="K2591" s="558">
        <f>'Progetto del paramento slu'!$G$60*(sezione!$AL$37-C2591)/C2591</f>
        <v>2.3450029066827815E-3</v>
      </c>
      <c r="L2591" s="558">
        <f>'Progetto del paramento slu'!$G$60*(sezione!$AM$37-C2591)/C2591</f>
        <v>1.8418760900060432E-2</v>
      </c>
      <c r="M2591" s="559">
        <f>'Progetto del paramento slu'!$G$60*(sezione!$AN$37-C2591)/C2591</f>
        <v>3.449251889343808E-2</v>
      </c>
      <c r="N2591" s="559">
        <f>'Progetto del paramento slu'!$G$60*(sezione!$AO$37-C2591)/C2591</f>
        <v>4.6182524706803639E-2</v>
      </c>
      <c r="O2591" s="559">
        <f>'Progetto del paramento slu'!$G$60*(sezione!$AP$37-C2591)/C2591</f>
        <v>3.4493980144164715E-2</v>
      </c>
      <c r="P2591" s="553">
        <f>-'Progetto del paramento slu'!$G$47*'Progetto del paramento slu'!$G$41*IF(DATI!$G$218="dx",DATI!$E$61,DATI!$E$64*DATI!$E$63)*1000*C2591*sezione!$AD$5</f>
        <v>-337625.93988511444</v>
      </c>
      <c r="Q2591" s="553">
        <f>'Foglio deposito bis'!$F$88*IF(ABS(K2591)&lt;'Progetto del paramento slu'!$G$58,ABS(K2591)*'Progetto del paramento slu'!$G$54,'Progetto del paramento slu'!$G$53)*IF(K2591&lt;0,-1,1)</f>
        <v>0</v>
      </c>
      <c r="R2591" s="553">
        <f>'Foglio deposito bis'!$F$89*IF(ABS(L2591)&lt;'Progetto del paramento slu'!$G$58,ABS(L2591)*'Progetto del paramento slu'!$G$54,'Progetto del paramento slu'!$G$53)*IF(L2591&lt;0,-1,1)</f>
        <v>153664.85805602249</v>
      </c>
      <c r="S2591" s="553">
        <f>'Foglio deposito bis'!$F$90*IF(ABS(M2591)&lt;'Progetto del paramento slu'!$G$58,ABS(M2591)*'Progetto del paramento slu'!$G$54,'Progetto del paramento slu'!$G$53)*IF(M2591&lt;0,-1,1)</f>
        <v>0</v>
      </c>
      <c r="T2591" s="553">
        <f>'Foglio deposito bis'!$F$91*IF(ABS(N2591)&lt;'Progetto del paramento slu'!$G$58,ABS(N2591)*'Progetto del paramento slu'!$G$54,'Progetto del paramento slu'!$G$53)*IF(N2591&lt;0,-1,1)</f>
        <v>892485.49558937876</v>
      </c>
      <c r="U2591" s="553">
        <f>'Foglio deposito bis'!$F$92*IF(ABS(O2591)&lt;'Progetto del paramento slu'!$G$58,ABS(O2591)*'Progetto del paramento slu'!$G$54,'Progetto del paramento slu'!$G$53)*IF(O2591&lt;0,-1,1)</f>
        <v>1662039.1047339395</v>
      </c>
      <c r="V2591" s="479">
        <f t="shared" si="190"/>
        <v>2370563.518494226</v>
      </c>
      <c r="W2591" s="559"/>
      <c r="X2591" s="559"/>
    </row>
    <row r="2592" spans="1:24" x14ac:dyDescent="0.25">
      <c r="A2592" s="553">
        <f t="shared" si="189"/>
        <v>2359118.5713794767</v>
      </c>
      <c r="B2592" s="3">
        <f t="shared" si="192"/>
        <v>6.0999999999999908</v>
      </c>
      <c r="C2592" s="553">
        <f>'Foglio deposito bis'!$E$163/sezione!$B$247*B2592</f>
        <v>24.764018944519581</v>
      </c>
      <c r="D2592" s="611">
        <f>-'Progetto del paramento slu'!$G$47*'Progetto del paramento slu'!$G$41*IF(DATI!$G$218="dx",DATI!$E$61,DATI!$E$64*DATI!$E$63)*1000*C2592^2*sezione!$AD$5*(1-sezione!$AD$6)</f>
        <v>-5048328.4662486156</v>
      </c>
      <c r="E2592" s="553">
        <f>-'Foglio deposito bis'!$F$88*(C2592-sezione!$AL$37)*IF(ABS(K2592)&lt;'Progetto del paramento slu'!$G$58,ABS(K2592)*'Progetto del paramento slu'!$G$54,'Progetto del paramento slu'!$G$53)</f>
        <v>0</v>
      </c>
      <c r="F2592" s="553">
        <f>-'Foglio deposito bis'!$F$89*(C2592-sezione!$AM$37)*IF(ABS(L2592)&lt;'Progetto del paramento slu'!$G$58,ABS(L2592)*'Progetto del paramento slu'!$G$54,'Progetto del paramento slu'!$G$53)</f>
        <v>19244369.252397124</v>
      </c>
      <c r="G2592" s="553">
        <f>-'Foglio deposito bis'!$F$90*(C2592-sezione!$AN$37)*IF(ABS(M2592)&lt;'Progetto del paramento slu'!$G$58,ABS(M2592)*'Progetto del paramento slu'!$G$54,'Progetto del paramento slu'!$G$53)</f>
        <v>0</v>
      </c>
      <c r="H2592" s="553">
        <f>-'Foglio deposito bis'!$F$91*(C2592-sezione!$AO$37)*IF(ABS(N2592)&lt;'Progetto del paramento slu'!$G$58,ABS(N2592)*'Progetto del paramento slu'!$G$54,'Progetto del paramento slu'!$G$53)</f>
        <v>281343540.77990443</v>
      </c>
      <c r="I2592" s="479">
        <f>-'Foglio deposito bis'!$F$92*(C2592-sezione!$AP$37)*IF(ABS(O2592)&lt;'Progetto del paramento slu'!$G$58,ABS(O2592)*'Progetto del paramento slu'!$G$54,'Progetto del paramento slu'!$G$53)</f>
        <v>390988019.74570757</v>
      </c>
      <c r="J2592" s="479">
        <f t="shared" si="188"/>
        <v>686527601.31176043</v>
      </c>
      <c r="K2592" s="558">
        <f>'Progetto del paramento slu'!$G$60*(sezione!$AL$37-C2592)/C2592</f>
        <v>2.1533634671194114E-3</v>
      </c>
      <c r="L2592" s="558">
        <f>'Progetto del paramento slu'!$G$60*(sezione!$AM$37-C2592)/C2592</f>
        <v>1.7700113001697795E-2</v>
      </c>
      <c r="M2592" s="559">
        <f>'Progetto del paramento slu'!$G$60*(sezione!$AN$37-C2592)/C2592</f>
        <v>3.3246862536276171E-2</v>
      </c>
      <c r="N2592" s="559">
        <f>'Progetto del paramento slu'!$G$60*(sezione!$AO$37-C2592)/C2592</f>
        <v>4.4553589470514993E-2</v>
      </c>
      <c r="O2592" s="559">
        <f>'Progetto del paramento slu'!$G$60*(sezione!$AP$37-C2592)/C2592</f>
        <v>3.3248275877142922E-2</v>
      </c>
      <c r="P2592" s="553">
        <f>-'Progetto del paramento slu'!$G$47*'Progetto del paramento slu'!$G$41*IF(DATI!$G$218="dx",DATI!$E$61,DATI!$E$64*DATI!$E$63)*1000*C2592*sezione!$AD$5</f>
        <v>-349070.88699986413</v>
      </c>
      <c r="Q2592" s="553">
        <f>'Foglio deposito bis'!$F$88*IF(ABS(K2592)&lt;'Progetto del paramento slu'!$G$58,ABS(K2592)*'Progetto del paramento slu'!$G$54,'Progetto del paramento slu'!$G$53)*IF(K2592&lt;0,-1,1)</f>
        <v>0</v>
      </c>
      <c r="R2592" s="553">
        <f>'Foglio deposito bis'!$F$89*IF(ABS(L2592)&lt;'Progetto del paramento slu'!$G$58,ABS(L2592)*'Progetto del paramento slu'!$G$54,'Progetto del paramento slu'!$G$53)*IF(L2592&lt;0,-1,1)</f>
        <v>153664.85805602249</v>
      </c>
      <c r="S2592" s="553">
        <f>'Foglio deposito bis'!$F$90*IF(ABS(M2592)&lt;'Progetto del paramento slu'!$G$58,ABS(M2592)*'Progetto del paramento slu'!$G$54,'Progetto del paramento slu'!$G$53)*IF(M2592&lt;0,-1,1)</f>
        <v>0</v>
      </c>
      <c r="T2592" s="553">
        <f>'Foglio deposito bis'!$F$91*IF(ABS(N2592)&lt;'Progetto del paramento slu'!$G$58,ABS(N2592)*'Progetto del paramento slu'!$G$54,'Progetto del paramento slu'!$G$53)*IF(N2592&lt;0,-1,1)</f>
        <v>892485.49558937876</v>
      </c>
      <c r="U2592" s="553">
        <f>'Foglio deposito bis'!$F$92*IF(ABS(O2592)&lt;'Progetto del paramento slu'!$G$58,ABS(O2592)*'Progetto del paramento slu'!$G$54,'Progetto del paramento slu'!$G$53)*IF(O2592&lt;0,-1,1)</f>
        <v>1662039.1047339395</v>
      </c>
      <c r="V2592" s="479">
        <f t="shared" si="190"/>
        <v>2359118.5713794767</v>
      </c>
      <c r="W2592" s="559"/>
      <c r="X2592" s="559"/>
    </row>
    <row r="2593" spans="1:24" x14ac:dyDescent="0.25">
      <c r="A2593" s="553">
        <f t="shared" si="189"/>
        <v>2347673.6242647269</v>
      </c>
      <c r="B2593" s="3">
        <f t="shared" si="192"/>
        <v>6.2999999999999909</v>
      </c>
      <c r="C2593" s="553">
        <f>'Foglio deposito bis'!$E$163/sezione!$B$247*B2593</f>
        <v>25.57595399188088</v>
      </c>
      <c r="D2593" s="611">
        <f>-'Progetto del paramento slu'!$G$47*'Progetto del paramento slu'!$G$41*IF(DATI!$G$218="dx",DATI!$E$61,DATI!$E$64*DATI!$E$63)*1000*C2593^2*sezione!$AD$5*(1-sezione!$AD$6)</f>
        <v>-5384793.2498093937</v>
      </c>
      <c r="E2593" s="553">
        <f>-'Foglio deposito bis'!$F$88*(C2593-sezione!$AL$37)*IF(ABS(K2593)&lt;'Progetto del paramento slu'!$G$58,ABS(K2593)*'Progetto del paramento slu'!$G$54,'Progetto del paramento slu'!$G$53)</f>
        <v>0</v>
      </c>
      <c r="F2593" s="553">
        <f>-'Foglio deposito bis'!$F$89*(C2593-sezione!$AM$37)*IF(ABS(L2593)&lt;'Progetto del paramento slu'!$G$58,ABS(L2593)*'Progetto del paramento slu'!$G$54,'Progetto del paramento slu'!$G$53)</f>
        <v>19119603.368593637</v>
      </c>
      <c r="G2593" s="553">
        <f>-'Foglio deposito bis'!$F$90*(C2593-sezione!$AN$37)*IF(ABS(M2593)&lt;'Progetto del paramento slu'!$G$58,ABS(M2593)*'Progetto del paramento slu'!$G$54,'Progetto del paramento slu'!$G$53)</f>
        <v>0</v>
      </c>
      <c r="H2593" s="553">
        <f>-'Foglio deposito bis'!$F$91*(C2593-sezione!$AO$37)*IF(ABS(N2593)&lt;'Progetto del paramento slu'!$G$58,ABS(N2593)*'Progetto del paramento slu'!$G$54,'Progetto del paramento slu'!$G$53)</f>
        <v>280618900.52677387</v>
      </c>
      <c r="I2593" s="479">
        <f>-'Foglio deposito bis'!$F$92*(C2593-sezione!$AP$37)*IF(ABS(O2593)&lt;'Progetto del paramento slu'!$G$58,ABS(O2593)*'Progetto del paramento slu'!$G$54,'Progetto del paramento slu'!$G$53)</f>
        <v>389638551.9464891</v>
      </c>
      <c r="J2593" s="479">
        <f t="shared" si="188"/>
        <v>683992262.59204721</v>
      </c>
      <c r="K2593" s="558">
        <f>'Progetto del paramento slu'!$G$60*(sezione!$AL$37-C2593)/C2593</f>
        <v>1.973891611020382E-3</v>
      </c>
      <c r="L2593" s="558">
        <f>'Progetto del paramento slu'!$G$60*(sezione!$AM$37-C2593)/C2593</f>
        <v>1.7027093541326432E-2</v>
      </c>
      <c r="M2593" s="559">
        <f>'Progetto del paramento slu'!$G$60*(sezione!$AN$37-C2593)/C2593</f>
        <v>3.2080295471632485E-2</v>
      </c>
      <c r="N2593" s="559">
        <f>'Progetto del paramento slu'!$G$60*(sezione!$AO$37-C2593)/C2593</f>
        <v>4.3028078693673255E-2</v>
      </c>
      <c r="O2593" s="559">
        <f>'Progetto del paramento slu'!$G$60*(sezione!$AP$37-C2593)/C2593</f>
        <v>3.208166394453521E-2</v>
      </c>
      <c r="P2593" s="553">
        <f>-'Progetto del paramento slu'!$G$47*'Progetto del paramento slu'!$G$41*IF(DATI!$G$218="dx",DATI!$E$61,DATI!$E$64*DATI!$E$63)*1000*C2593*sezione!$AD$5</f>
        <v>-360515.83411461377</v>
      </c>
      <c r="Q2593" s="553">
        <f>'Foglio deposito bis'!$F$88*IF(ABS(K2593)&lt;'Progetto del paramento slu'!$G$58,ABS(K2593)*'Progetto del paramento slu'!$G$54,'Progetto del paramento slu'!$G$53)*IF(K2593&lt;0,-1,1)</f>
        <v>0</v>
      </c>
      <c r="R2593" s="553">
        <f>'Foglio deposito bis'!$F$89*IF(ABS(L2593)&lt;'Progetto del paramento slu'!$G$58,ABS(L2593)*'Progetto del paramento slu'!$G$54,'Progetto del paramento slu'!$G$53)*IF(L2593&lt;0,-1,1)</f>
        <v>153664.85805602249</v>
      </c>
      <c r="S2593" s="553">
        <f>'Foglio deposito bis'!$F$90*IF(ABS(M2593)&lt;'Progetto del paramento slu'!$G$58,ABS(M2593)*'Progetto del paramento slu'!$G$54,'Progetto del paramento slu'!$G$53)*IF(M2593&lt;0,-1,1)</f>
        <v>0</v>
      </c>
      <c r="T2593" s="553">
        <f>'Foglio deposito bis'!$F$91*IF(ABS(N2593)&lt;'Progetto del paramento slu'!$G$58,ABS(N2593)*'Progetto del paramento slu'!$G$54,'Progetto del paramento slu'!$G$53)*IF(N2593&lt;0,-1,1)</f>
        <v>892485.49558937876</v>
      </c>
      <c r="U2593" s="553">
        <f>'Foglio deposito bis'!$F$92*IF(ABS(O2593)&lt;'Progetto del paramento slu'!$G$58,ABS(O2593)*'Progetto del paramento slu'!$G$54,'Progetto del paramento slu'!$G$53)*IF(O2593&lt;0,-1,1)</f>
        <v>1662039.1047339395</v>
      </c>
      <c r="V2593" s="479">
        <f t="shared" si="190"/>
        <v>2347673.6242647269</v>
      </c>
      <c r="W2593" s="559"/>
      <c r="X2593" s="559"/>
    </row>
    <row r="2594" spans="1:24" x14ac:dyDescent="0.25">
      <c r="A2594" s="553">
        <f t="shared" si="189"/>
        <v>2336228.6771499775</v>
      </c>
      <c r="B2594" s="3">
        <f t="shared" si="192"/>
        <v>6.4999999999999911</v>
      </c>
      <c r="C2594" s="553">
        <f>'Foglio deposito bis'!$E$163/sezione!$B$247*B2594</f>
        <v>26.387889039242179</v>
      </c>
      <c r="D2594" s="611">
        <f>-'Progetto del paramento slu'!$G$47*'Progetto del paramento slu'!$G$41*IF(DATI!$G$218="dx",DATI!$E$61,DATI!$E$64*DATI!$E$63)*1000*C2594^2*sezione!$AD$5*(1-sezione!$AD$6)</f>
        <v>-5732111.736065683</v>
      </c>
      <c r="E2594" s="553">
        <f>-'Foglio deposito bis'!$F$88*(C2594-sezione!$AL$37)*IF(ABS(K2594)&lt;'Progetto del paramento slu'!$G$58,ABS(K2594)*'Progetto del paramento slu'!$G$54,'Progetto del paramento slu'!$G$53)</f>
        <v>0</v>
      </c>
      <c r="F2594" s="553">
        <f>-'Foglio deposito bis'!$F$89*(C2594-sezione!$AM$37)*IF(ABS(L2594)&lt;'Progetto del paramento slu'!$G$58,ABS(L2594)*'Progetto del paramento slu'!$G$54,'Progetto del paramento slu'!$G$53)</f>
        <v>18994837.48479015</v>
      </c>
      <c r="G2594" s="553">
        <f>-'Foglio deposito bis'!$F$90*(C2594-sezione!$AN$37)*IF(ABS(M2594)&lt;'Progetto del paramento slu'!$G$58,ABS(M2594)*'Progetto del paramento slu'!$G$54,'Progetto del paramento slu'!$G$53)</f>
        <v>0</v>
      </c>
      <c r="H2594" s="553">
        <f>-'Foglio deposito bis'!$F$91*(C2594-sezione!$AO$37)*IF(ABS(N2594)&lt;'Progetto del paramento slu'!$G$58,ABS(N2594)*'Progetto del paramento slu'!$G$54,'Progetto del paramento slu'!$G$53)</f>
        <v>279894260.2736432</v>
      </c>
      <c r="I2594" s="479">
        <f>-'Foglio deposito bis'!$F$92*(C2594-sezione!$AP$37)*IF(ABS(O2594)&lt;'Progetto del paramento slu'!$G$58,ABS(O2594)*'Progetto del paramento slu'!$G$54,'Progetto del paramento slu'!$G$53)</f>
        <v>388289084.14727062</v>
      </c>
      <c r="J2594" s="479">
        <f t="shared" si="188"/>
        <v>681446070.16963828</v>
      </c>
      <c r="K2594" s="558">
        <f>'Progetto del paramento slu'!$G$60*(sezione!$AL$37-C2594)/C2594</f>
        <v>1.8054641768351393E-3</v>
      </c>
      <c r="L2594" s="558">
        <f>'Progetto del paramento slu'!$G$60*(sezione!$AM$37-C2594)/C2594</f>
        <v>1.6395490663131774E-2</v>
      </c>
      <c r="M2594" s="559">
        <f>'Progetto del paramento slu'!$G$60*(sezione!$AN$37-C2594)/C2594</f>
        <v>3.0985517149428408E-2</v>
      </c>
      <c r="N2594" s="559">
        <f>'Progetto del paramento slu'!$G$60*(sezione!$AO$37-C2594)/C2594</f>
        <v>4.159644550309869E-2</v>
      </c>
      <c r="O2594" s="559">
        <f>'Progetto del paramento slu'!$G$60*(sezione!$AP$37-C2594)/C2594</f>
        <v>3.0986843515472585E-2</v>
      </c>
      <c r="P2594" s="553">
        <f>-'Progetto del paramento slu'!$G$47*'Progetto del paramento slu'!$G$41*IF(DATI!$G$218="dx",DATI!$E$61,DATI!$E$64*DATI!$E$63)*1000*C2594*sezione!$AD$5</f>
        <v>-371960.78122936341</v>
      </c>
      <c r="Q2594" s="553">
        <f>'Foglio deposito bis'!$F$88*IF(ABS(K2594)&lt;'Progetto del paramento slu'!$G$58,ABS(K2594)*'Progetto del paramento slu'!$G$54,'Progetto del paramento slu'!$G$53)*IF(K2594&lt;0,-1,1)</f>
        <v>0</v>
      </c>
      <c r="R2594" s="553">
        <f>'Foglio deposito bis'!$F$89*IF(ABS(L2594)&lt;'Progetto del paramento slu'!$G$58,ABS(L2594)*'Progetto del paramento slu'!$G$54,'Progetto del paramento slu'!$G$53)*IF(L2594&lt;0,-1,1)</f>
        <v>153664.85805602249</v>
      </c>
      <c r="S2594" s="553">
        <f>'Foglio deposito bis'!$F$90*IF(ABS(M2594)&lt;'Progetto del paramento slu'!$G$58,ABS(M2594)*'Progetto del paramento slu'!$G$54,'Progetto del paramento slu'!$G$53)*IF(M2594&lt;0,-1,1)</f>
        <v>0</v>
      </c>
      <c r="T2594" s="553">
        <f>'Foglio deposito bis'!$F$91*IF(ABS(N2594)&lt;'Progetto del paramento slu'!$G$58,ABS(N2594)*'Progetto del paramento slu'!$G$54,'Progetto del paramento slu'!$G$53)*IF(N2594&lt;0,-1,1)</f>
        <v>892485.49558937876</v>
      </c>
      <c r="U2594" s="553">
        <f>'Foglio deposito bis'!$F$92*IF(ABS(O2594)&lt;'Progetto del paramento slu'!$G$58,ABS(O2594)*'Progetto del paramento slu'!$G$54,'Progetto del paramento slu'!$G$53)*IF(O2594&lt;0,-1,1)</f>
        <v>1662039.1047339395</v>
      </c>
      <c r="V2594" s="479">
        <f t="shared" si="190"/>
        <v>2336228.6771499775</v>
      </c>
      <c r="W2594" s="559"/>
      <c r="X2594" s="559"/>
    </row>
    <row r="2595" spans="1:24" x14ac:dyDescent="0.25">
      <c r="A2595" s="553">
        <f t="shared" si="189"/>
        <v>2324783.7300352277</v>
      </c>
      <c r="B2595" s="3">
        <f t="shared" si="192"/>
        <v>6.6999999999999913</v>
      </c>
      <c r="C2595" s="553">
        <f>'Foglio deposito bis'!$E$163/sezione!$B$247*B2595</f>
        <v>27.199824086603481</v>
      </c>
      <c r="D2595" s="611">
        <f>-'Progetto del paramento slu'!$G$47*'Progetto del paramento slu'!$G$41*IF(DATI!$G$218="dx",DATI!$E$61,DATI!$E$64*DATI!$E$63)*1000*C2595^2*sezione!$AD$5*(1-sezione!$AD$6)</f>
        <v>-6090283.9250174807</v>
      </c>
      <c r="E2595" s="553">
        <f>-'Foglio deposito bis'!$F$88*(C2595-sezione!$AL$37)*IF(ABS(K2595)&lt;'Progetto del paramento slu'!$G$58,ABS(K2595)*'Progetto del paramento slu'!$G$54,'Progetto del paramento slu'!$G$53)</f>
        <v>0</v>
      </c>
      <c r="F2595" s="553">
        <f>-'Foglio deposito bis'!$F$89*(C2595-sezione!$AM$37)*IF(ABS(L2595)&lt;'Progetto del paramento slu'!$G$58,ABS(L2595)*'Progetto del paramento slu'!$G$54,'Progetto del paramento slu'!$G$53)</f>
        <v>18870071.600986671</v>
      </c>
      <c r="G2595" s="553">
        <f>-'Foglio deposito bis'!$F$90*(C2595-sezione!$AN$37)*IF(ABS(M2595)&lt;'Progetto del paramento slu'!$G$58,ABS(M2595)*'Progetto del paramento slu'!$G$54,'Progetto del paramento slu'!$G$53)</f>
        <v>0</v>
      </c>
      <c r="H2595" s="553">
        <f>-'Foglio deposito bis'!$F$91*(C2595-sezione!$AO$37)*IF(ABS(N2595)&lt;'Progetto del paramento slu'!$G$58,ABS(N2595)*'Progetto del paramento slu'!$G$54,'Progetto del paramento slu'!$G$53)</f>
        <v>279169620.02051258</v>
      </c>
      <c r="I2595" s="479">
        <f>-'Foglio deposito bis'!$F$92*(C2595-sezione!$AP$37)*IF(ABS(O2595)&lt;'Progetto del paramento slu'!$G$58,ABS(O2595)*'Progetto del paramento slu'!$G$54,'Progetto del paramento slu'!$G$53)</f>
        <v>386939616.34805208</v>
      </c>
      <c r="J2595" s="479">
        <f t="shared" si="188"/>
        <v>678889024.04453385</v>
      </c>
      <c r="K2595" s="558">
        <f>'Progetto del paramento slu'!$G$60*(sezione!$AL$37-C2595)/C2595</f>
        <v>1.6470921118549849E-3</v>
      </c>
      <c r="L2595" s="558">
        <f>'Progetto del paramento slu'!$G$60*(sezione!$AM$37-C2595)/C2595</f>
        <v>1.5801595419456194E-2</v>
      </c>
      <c r="M2595" s="559">
        <f>'Progetto del paramento slu'!$G$60*(sezione!$AN$37-C2595)/C2595</f>
        <v>2.9956098727057401E-2</v>
      </c>
      <c r="N2595" s="559">
        <f>'Progetto del paramento slu'!$G$60*(sezione!$AO$37-C2595)/C2595</f>
        <v>4.0250282950767373E-2</v>
      </c>
      <c r="O2595" s="559">
        <f>'Progetto del paramento slu'!$G$60*(sezione!$AP$37-C2595)/C2595</f>
        <v>2.9957385500085337E-2</v>
      </c>
      <c r="P2595" s="553">
        <f>-'Progetto del paramento slu'!$G$47*'Progetto del paramento slu'!$G$41*IF(DATI!$G$218="dx",DATI!$E$61,DATI!$E$64*DATI!$E$63)*1000*C2595*sezione!$AD$5</f>
        <v>-383405.72834411316</v>
      </c>
      <c r="Q2595" s="553">
        <f>'Foglio deposito bis'!$F$88*IF(ABS(K2595)&lt;'Progetto del paramento slu'!$G$58,ABS(K2595)*'Progetto del paramento slu'!$G$54,'Progetto del paramento slu'!$G$53)*IF(K2595&lt;0,-1,1)</f>
        <v>0</v>
      </c>
      <c r="R2595" s="553">
        <f>'Foglio deposito bis'!$F$89*IF(ABS(L2595)&lt;'Progetto del paramento slu'!$G$58,ABS(L2595)*'Progetto del paramento slu'!$G$54,'Progetto del paramento slu'!$G$53)*IF(L2595&lt;0,-1,1)</f>
        <v>153664.85805602249</v>
      </c>
      <c r="S2595" s="553">
        <f>'Foglio deposito bis'!$F$90*IF(ABS(M2595)&lt;'Progetto del paramento slu'!$G$58,ABS(M2595)*'Progetto del paramento slu'!$G$54,'Progetto del paramento slu'!$G$53)*IF(M2595&lt;0,-1,1)</f>
        <v>0</v>
      </c>
      <c r="T2595" s="553">
        <f>'Foglio deposito bis'!$F$91*IF(ABS(N2595)&lt;'Progetto del paramento slu'!$G$58,ABS(N2595)*'Progetto del paramento slu'!$G$54,'Progetto del paramento slu'!$G$53)*IF(N2595&lt;0,-1,1)</f>
        <v>892485.49558937876</v>
      </c>
      <c r="U2595" s="553">
        <f>'Foglio deposito bis'!$F$92*IF(ABS(O2595)&lt;'Progetto del paramento slu'!$G$58,ABS(O2595)*'Progetto del paramento slu'!$G$54,'Progetto del paramento slu'!$G$53)*IF(O2595&lt;0,-1,1)</f>
        <v>1662039.1047339395</v>
      </c>
      <c r="V2595" s="479">
        <f t="shared" si="190"/>
        <v>2324783.7300352277</v>
      </c>
      <c r="W2595" s="559"/>
      <c r="X2595" s="559"/>
    </row>
    <row r="2596" spans="1:24" x14ac:dyDescent="0.25">
      <c r="A2596" s="553">
        <f t="shared" si="189"/>
        <v>2313338.7829204779</v>
      </c>
      <c r="B2596" s="3">
        <f t="shared" si="192"/>
        <v>6.8999999999999915</v>
      </c>
      <c r="C2596" s="553">
        <f>'Foglio deposito bis'!$E$163/sezione!$B$247*B2596</f>
        <v>28.01175913396478</v>
      </c>
      <c r="D2596" s="611">
        <f>-'Progetto del paramento slu'!$G$47*'Progetto del paramento slu'!$G$41*IF(DATI!$G$218="dx",DATI!$E$61,DATI!$E$64*DATI!$E$63)*1000*C2596^2*sezione!$AD$5*(1-sezione!$AD$6)</f>
        <v>-6459309.816664787</v>
      </c>
      <c r="E2596" s="553">
        <f>-'Foglio deposito bis'!$F$88*(C2596-sezione!$AL$37)*IF(ABS(K2596)&lt;'Progetto del paramento slu'!$G$58,ABS(K2596)*'Progetto del paramento slu'!$G$54,'Progetto del paramento slu'!$G$53)</f>
        <v>0</v>
      </c>
      <c r="F2596" s="553">
        <f>-'Foglio deposito bis'!$F$89*(C2596-sezione!$AM$37)*IF(ABS(L2596)&lt;'Progetto del paramento slu'!$G$58,ABS(L2596)*'Progetto del paramento slu'!$G$54,'Progetto del paramento slu'!$G$53)</f>
        <v>18745305.717183188</v>
      </c>
      <c r="G2596" s="553">
        <f>-'Foglio deposito bis'!$F$90*(C2596-sezione!$AN$37)*IF(ABS(M2596)&lt;'Progetto del paramento slu'!$G$58,ABS(M2596)*'Progetto del paramento slu'!$G$54,'Progetto del paramento slu'!$G$53)</f>
        <v>0</v>
      </c>
      <c r="H2596" s="553">
        <f>-'Foglio deposito bis'!$F$91*(C2596-sezione!$AO$37)*IF(ABS(N2596)&lt;'Progetto del paramento slu'!$G$58,ABS(N2596)*'Progetto del paramento slu'!$G$54,'Progetto del paramento slu'!$G$53)</f>
        <v>278444979.76738191</v>
      </c>
      <c r="I2596" s="479">
        <f>-'Foglio deposito bis'!$F$92*(C2596-sezione!$AP$37)*IF(ABS(O2596)&lt;'Progetto del paramento slu'!$G$58,ABS(O2596)*'Progetto del paramento slu'!$G$54,'Progetto del paramento slu'!$G$53)</f>
        <v>385590148.54883367</v>
      </c>
      <c r="J2596" s="479">
        <f t="shared" si="188"/>
        <v>676321124.21673393</v>
      </c>
      <c r="K2596" s="558">
        <f>'Progetto del paramento slu'!$G$60*(sezione!$AL$37-C2596)/C2596</f>
        <v>1.4979010361490434E-3</v>
      </c>
      <c r="L2596" s="558">
        <f>'Progetto del paramento slu'!$G$60*(sezione!$AM$37-C2596)/C2596</f>
        <v>1.5242128885558913E-2</v>
      </c>
      <c r="M2596" s="559">
        <f>'Progetto del paramento slu'!$G$60*(sezione!$AN$37-C2596)/C2596</f>
        <v>2.8986356734968782E-2</v>
      </c>
      <c r="N2596" s="559">
        <f>'Progetto del paramento slu'!$G$60*(sezione!$AO$37-C2596)/C2596</f>
        <v>3.898215880726686E-2</v>
      </c>
      <c r="O2596" s="559">
        <f>'Progetto del paramento slu'!$G$60*(sezione!$AP$37-C2596)/C2596</f>
        <v>2.8987606210227789E-2</v>
      </c>
      <c r="P2596" s="553">
        <f>-'Progetto del paramento slu'!$G$47*'Progetto del paramento slu'!$G$41*IF(DATI!$G$218="dx",DATI!$E$61,DATI!$E$64*DATI!$E$63)*1000*C2596*sezione!$AD$5</f>
        <v>-394850.6754588628</v>
      </c>
      <c r="Q2596" s="553">
        <f>'Foglio deposito bis'!$F$88*IF(ABS(K2596)&lt;'Progetto del paramento slu'!$G$58,ABS(K2596)*'Progetto del paramento slu'!$G$54,'Progetto del paramento slu'!$G$53)*IF(K2596&lt;0,-1,1)</f>
        <v>0</v>
      </c>
      <c r="R2596" s="553">
        <f>'Foglio deposito bis'!$F$89*IF(ABS(L2596)&lt;'Progetto del paramento slu'!$G$58,ABS(L2596)*'Progetto del paramento slu'!$G$54,'Progetto del paramento slu'!$G$53)*IF(L2596&lt;0,-1,1)</f>
        <v>153664.85805602249</v>
      </c>
      <c r="S2596" s="553">
        <f>'Foglio deposito bis'!$F$90*IF(ABS(M2596)&lt;'Progetto del paramento slu'!$G$58,ABS(M2596)*'Progetto del paramento slu'!$G$54,'Progetto del paramento slu'!$G$53)*IF(M2596&lt;0,-1,1)</f>
        <v>0</v>
      </c>
      <c r="T2596" s="553">
        <f>'Foglio deposito bis'!$F$91*IF(ABS(N2596)&lt;'Progetto del paramento slu'!$G$58,ABS(N2596)*'Progetto del paramento slu'!$G$54,'Progetto del paramento slu'!$G$53)*IF(N2596&lt;0,-1,1)</f>
        <v>892485.49558937876</v>
      </c>
      <c r="U2596" s="553">
        <f>'Foglio deposito bis'!$F$92*IF(ABS(O2596)&lt;'Progetto del paramento slu'!$G$58,ABS(O2596)*'Progetto del paramento slu'!$G$54,'Progetto del paramento slu'!$G$53)*IF(O2596&lt;0,-1,1)</f>
        <v>1662039.1047339395</v>
      </c>
      <c r="V2596" s="479">
        <f t="shared" si="190"/>
        <v>2313338.7829204779</v>
      </c>
      <c r="W2596" s="559"/>
      <c r="X2596" s="559"/>
    </row>
    <row r="2597" spans="1:24" x14ac:dyDescent="0.25">
      <c r="A2597" s="553">
        <f t="shared" si="189"/>
        <v>2301893.8358057281</v>
      </c>
      <c r="B2597" s="3">
        <f t="shared" si="192"/>
        <v>7.0999999999999917</v>
      </c>
      <c r="C2597" s="553">
        <f>'Foglio deposito bis'!$E$163/sezione!$B$247*B2597</f>
        <v>28.823694181326079</v>
      </c>
      <c r="D2597" s="611">
        <f>-'Progetto del paramento slu'!$G$47*'Progetto del paramento slu'!$G$41*IF(DATI!$G$218="dx",DATI!$E$61,DATI!$E$64*DATI!$E$63)*1000*C2597^2*sezione!$AD$5*(1-sezione!$AD$6)</f>
        <v>-6839189.4110076027</v>
      </c>
      <c r="E2597" s="553">
        <f>-'Foglio deposito bis'!$F$88*(C2597-sezione!$AL$37)*IF(ABS(K2597)&lt;'Progetto del paramento slu'!$G$58,ABS(K2597)*'Progetto del paramento slu'!$G$54,'Progetto del paramento slu'!$G$53)</f>
        <v>0</v>
      </c>
      <c r="F2597" s="553">
        <f>-'Foglio deposito bis'!$F$89*(C2597-sezione!$AM$37)*IF(ABS(L2597)&lt;'Progetto del paramento slu'!$G$58,ABS(L2597)*'Progetto del paramento slu'!$G$54,'Progetto del paramento slu'!$G$53)</f>
        <v>18620539.833379701</v>
      </c>
      <c r="G2597" s="553">
        <f>-'Foglio deposito bis'!$F$90*(C2597-sezione!$AN$37)*IF(ABS(M2597)&lt;'Progetto del paramento slu'!$G$58,ABS(M2597)*'Progetto del paramento slu'!$G$54,'Progetto del paramento slu'!$G$53)</f>
        <v>0</v>
      </c>
      <c r="H2597" s="553">
        <f>-'Foglio deposito bis'!$F$91*(C2597-sezione!$AO$37)*IF(ABS(N2597)&lt;'Progetto del paramento slu'!$G$58,ABS(N2597)*'Progetto del paramento slu'!$G$54,'Progetto del paramento slu'!$G$53)</f>
        <v>277720339.51425129</v>
      </c>
      <c r="I2597" s="479">
        <f>-'Foglio deposito bis'!$F$92*(C2597-sezione!$AP$37)*IF(ABS(O2597)&lt;'Progetto del paramento slu'!$G$58,ABS(O2597)*'Progetto del paramento slu'!$G$54,'Progetto del paramento slu'!$G$53)</f>
        <v>384240680.74961513</v>
      </c>
      <c r="J2597" s="479">
        <f t="shared" si="188"/>
        <v>673742370.68623853</v>
      </c>
      <c r="K2597" s="558">
        <f>'Progetto del paramento slu'!$G$60*(sezione!$AL$37-C2597)/C2597</f>
        <v>1.3571150914687884E-3</v>
      </c>
      <c r="L2597" s="558">
        <f>'Progetto del paramento slu'!$G$60*(sezione!$AM$37-C2597)/C2597</f>
        <v>1.4714181593007957E-2</v>
      </c>
      <c r="M2597" s="559">
        <f>'Progetto del paramento slu'!$G$60*(sezione!$AN$37-C2597)/C2597</f>
        <v>2.8071248094547124E-2</v>
      </c>
      <c r="N2597" s="559">
        <f>'Progetto del paramento slu'!$G$60*(sezione!$AO$37-C2597)/C2597</f>
        <v>3.7785478277484699E-2</v>
      </c>
      <c r="O2597" s="559">
        <f>'Progetto del paramento slu'!$G$60*(sezione!$AP$37-C2597)/C2597</f>
        <v>2.8072462373319961E-2</v>
      </c>
      <c r="P2597" s="553">
        <f>-'Progetto del paramento slu'!$G$47*'Progetto del paramento slu'!$G$41*IF(DATI!$G$218="dx",DATI!$E$61,DATI!$E$64*DATI!$E$63)*1000*C2597*sezione!$AD$5</f>
        <v>-406295.62257361243</v>
      </c>
      <c r="Q2597" s="553">
        <f>'Foglio deposito bis'!$F$88*IF(ABS(K2597)&lt;'Progetto del paramento slu'!$G$58,ABS(K2597)*'Progetto del paramento slu'!$G$54,'Progetto del paramento slu'!$G$53)*IF(K2597&lt;0,-1,1)</f>
        <v>0</v>
      </c>
      <c r="R2597" s="553">
        <f>'Foglio deposito bis'!$F$89*IF(ABS(L2597)&lt;'Progetto del paramento slu'!$G$58,ABS(L2597)*'Progetto del paramento slu'!$G$54,'Progetto del paramento slu'!$G$53)*IF(L2597&lt;0,-1,1)</f>
        <v>153664.85805602249</v>
      </c>
      <c r="S2597" s="553">
        <f>'Foglio deposito bis'!$F$90*IF(ABS(M2597)&lt;'Progetto del paramento slu'!$G$58,ABS(M2597)*'Progetto del paramento slu'!$G$54,'Progetto del paramento slu'!$G$53)*IF(M2597&lt;0,-1,1)</f>
        <v>0</v>
      </c>
      <c r="T2597" s="553">
        <f>'Foglio deposito bis'!$F$91*IF(ABS(N2597)&lt;'Progetto del paramento slu'!$G$58,ABS(N2597)*'Progetto del paramento slu'!$G$54,'Progetto del paramento slu'!$G$53)*IF(N2597&lt;0,-1,1)</f>
        <v>892485.49558937876</v>
      </c>
      <c r="U2597" s="553">
        <f>'Foglio deposito bis'!$F$92*IF(ABS(O2597)&lt;'Progetto del paramento slu'!$G$58,ABS(O2597)*'Progetto del paramento slu'!$G$54,'Progetto del paramento slu'!$G$53)*IF(O2597&lt;0,-1,1)</f>
        <v>1662039.1047339395</v>
      </c>
      <c r="V2597" s="479">
        <f t="shared" si="190"/>
        <v>2301893.8358057281</v>
      </c>
      <c r="W2597" s="559"/>
      <c r="X2597" s="559"/>
    </row>
    <row r="2598" spans="1:24" x14ac:dyDescent="0.25">
      <c r="A2598" s="553">
        <f t="shared" si="189"/>
        <v>2290448.8886909788</v>
      </c>
      <c r="B2598" s="3">
        <f t="shared" si="192"/>
        <v>7.2999999999999918</v>
      </c>
      <c r="C2598" s="553">
        <f>'Foglio deposito bis'!$E$163/sezione!$B$247*B2598</f>
        <v>29.635629228687378</v>
      </c>
      <c r="D2598" s="611">
        <f>-'Progetto del paramento slu'!$G$47*'Progetto del paramento slu'!$G$41*IF(DATI!$G$218="dx",DATI!$E$61,DATI!$E$64*DATI!$E$63)*1000*C2598^2*sezione!$AD$5*(1-sezione!$AD$6)</f>
        <v>-7229922.7080459269</v>
      </c>
      <c r="E2598" s="553">
        <f>-'Foglio deposito bis'!$F$88*(C2598-sezione!$AL$37)*IF(ABS(K2598)&lt;'Progetto del paramento slu'!$G$58,ABS(K2598)*'Progetto del paramento slu'!$G$54,'Progetto del paramento slu'!$G$53)</f>
        <v>0</v>
      </c>
      <c r="F2598" s="553">
        <f>-'Foglio deposito bis'!$F$89*(C2598-sezione!$AM$37)*IF(ABS(L2598)&lt;'Progetto del paramento slu'!$G$58,ABS(L2598)*'Progetto del paramento slu'!$G$54,'Progetto del paramento slu'!$G$53)</f>
        <v>18495773.949576218</v>
      </c>
      <c r="G2598" s="553">
        <f>-'Foglio deposito bis'!$F$90*(C2598-sezione!$AN$37)*IF(ABS(M2598)&lt;'Progetto del paramento slu'!$G$58,ABS(M2598)*'Progetto del paramento slu'!$G$54,'Progetto del paramento slu'!$G$53)</f>
        <v>0</v>
      </c>
      <c r="H2598" s="553">
        <f>-'Foglio deposito bis'!$F$91*(C2598-sezione!$AO$37)*IF(ABS(N2598)&lt;'Progetto del paramento slu'!$G$58,ABS(N2598)*'Progetto del paramento slu'!$G$54,'Progetto del paramento slu'!$G$53)</f>
        <v>276995699.26112068</v>
      </c>
      <c r="I2598" s="479">
        <f>-'Foglio deposito bis'!$F$92*(C2598-sezione!$AP$37)*IF(ABS(O2598)&lt;'Progetto del paramento slu'!$G$58,ABS(O2598)*'Progetto del paramento slu'!$G$54,'Progetto del paramento slu'!$G$53)</f>
        <v>382891212.95039666</v>
      </c>
      <c r="J2598" s="479">
        <f t="shared" si="188"/>
        <v>671152763.45304763</v>
      </c>
      <c r="K2598" s="558">
        <f>'Progetto del paramento slu'!$G$60*(sezione!$AL$37-C2598)/C2598</f>
        <v>1.2240434451271777E-3</v>
      </c>
      <c r="L2598" s="558">
        <f>'Progetto del paramento slu'!$G$60*(sezione!$AM$37-C2598)/C2598</f>
        <v>1.4215162919226917E-2</v>
      </c>
      <c r="M2598" s="559">
        <f>'Progetto del paramento slu'!$G$60*(sezione!$AN$37-C2598)/C2598</f>
        <v>2.7206282393326654E-2</v>
      </c>
      <c r="N2598" s="559">
        <f>'Progetto del paramento slu'!$G$60*(sezione!$AO$37-C2598)/C2598</f>
        <v>3.6654369283581012E-2</v>
      </c>
      <c r="O2598" s="559">
        <f>'Progetto del paramento slu'!$G$60*(sezione!$AP$37-C2598)/C2598</f>
        <v>2.720746340418791E-2</v>
      </c>
      <c r="P2598" s="553">
        <f>-'Progetto del paramento slu'!$G$47*'Progetto del paramento slu'!$G$41*IF(DATI!$G$218="dx",DATI!$E$61,DATI!$E$64*DATI!$E$63)*1000*C2598*sezione!$AD$5</f>
        <v>-417740.56968836213</v>
      </c>
      <c r="Q2598" s="553">
        <f>'Foglio deposito bis'!$F$88*IF(ABS(K2598)&lt;'Progetto del paramento slu'!$G$58,ABS(K2598)*'Progetto del paramento slu'!$G$54,'Progetto del paramento slu'!$G$53)*IF(K2598&lt;0,-1,1)</f>
        <v>0</v>
      </c>
      <c r="R2598" s="553">
        <f>'Foglio deposito bis'!$F$89*IF(ABS(L2598)&lt;'Progetto del paramento slu'!$G$58,ABS(L2598)*'Progetto del paramento slu'!$G$54,'Progetto del paramento slu'!$G$53)*IF(L2598&lt;0,-1,1)</f>
        <v>153664.85805602249</v>
      </c>
      <c r="S2598" s="553">
        <f>'Foglio deposito bis'!$F$90*IF(ABS(M2598)&lt;'Progetto del paramento slu'!$G$58,ABS(M2598)*'Progetto del paramento slu'!$G$54,'Progetto del paramento slu'!$G$53)*IF(M2598&lt;0,-1,1)</f>
        <v>0</v>
      </c>
      <c r="T2598" s="553">
        <f>'Foglio deposito bis'!$F$91*IF(ABS(N2598)&lt;'Progetto del paramento slu'!$G$58,ABS(N2598)*'Progetto del paramento slu'!$G$54,'Progetto del paramento slu'!$G$53)*IF(N2598&lt;0,-1,1)</f>
        <v>892485.49558937876</v>
      </c>
      <c r="U2598" s="553">
        <f>'Foglio deposito bis'!$F$92*IF(ABS(O2598)&lt;'Progetto del paramento slu'!$G$58,ABS(O2598)*'Progetto del paramento slu'!$G$54,'Progetto del paramento slu'!$G$53)*IF(O2598&lt;0,-1,1)</f>
        <v>1662039.1047339395</v>
      </c>
      <c r="V2598" s="479">
        <f t="shared" si="190"/>
        <v>2290448.8886909788</v>
      </c>
      <c r="W2598" s="559"/>
      <c r="X2598" s="559"/>
    </row>
    <row r="2599" spans="1:24" x14ac:dyDescent="0.25">
      <c r="A2599" s="553">
        <f t="shared" si="189"/>
        <v>2279003.9415762289</v>
      </c>
      <c r="B2599" s="3">
        <f t="shared" si="192"/>
        <v>7.499999999999992</v>
      </c>
      <c r="C2599" s="553">
        <f>'Foglio deposito bis'!$E$163/sezione!$B$247*B2599</f>
        <v>30.447564276048677</v>
      </c>
      <c r="D2599" s="611">
        <f>-'Progetto del paramento slu'!$G$47*'Progetto del paramento slu'!$G$41*IF(DATI!$G$218="dx",DATI!$E$61,DATI!$E$64*DATI!$E$63)*1000*C2599^2*sezione!$AD$5*(1-sezione!$AD$6)</f>
        <v>-7631509.7077797595</v>
      </c>
      <c r="E2599" s="553">
        <f>-'Foglio deposito bis'!$F$88*(C2599-sezione!$AL$37)*IF(ABS(K2599)&lt;'Progetto del paramento slu'!$G$58,ABS(K2599)*'Progetto del paramento slu'!$G$54,'Progetto del paramento slu'!$G$53)</f>
        <v>0</v>
      </c>
      <c r="F2599" s="553">
        <f>-'Foglio deposito bis'!$F$89*(C2599-sezione!$AM$37)*IF(ABS(L2599)&lt;'Progetto del paramento slu'!$G$58,ABS(L2599)*'Progetto del paramento slu'!$G$54,'Progetto del paramento slu'!$G$53)</f>
        <v>18371008.065772735</v>
      </c>
      <c r="G2599" s="553">
        <f>-'Foglio deposito bis'!$F$90*(C2599-sezione!$AN$37)*IF(ABS(M2599)&lt;'Progetto del paramento slu'!$G$58,ABS(M2599)*'Progetto del paramento slu'!$G$54,'Progetto del paramento slu'!$G$53)</f>
        <v>0</v>
      </c>
      <c r="H2599" s="553">
        <f>-'Foglio deposito bis'!$F$91*(C2599-sezione!$AO$37)*IF(ABS(N2599)&lt;'Progetto del paramento slu'!$G$58,ABS(N2599)*'Progetto del paramento slu'!$G$54,'Progetto del paramento slu'!$G$53)</f>
        <v>276271059.00799</v>
      </c>
      <c r="I2599" s="479">
        <f>-'Foglio deposito bis'!$F$92*(C2599-sezione!$AP$37)*IF(ABS(O2599)&lt;'Progetto del paramento slu'!$G$58,ABS(O2599)*'Progetto del paramento slu'!$G$54,'Progetto del paramento slu'!$G$53)</f>
        <v>381541745.15117818</v>
      </c>
      <c r="J2599" s="479">
        <f t="shared" si="188"/>
        <v>668552302.51716113</v>
      </c>
      <c r="K2599" s="558">
        <f>'Progetto del paramento slu'!$G$60*(sezione!$AL$37-C2599)/C2599</f>
        <v>1.0980689532571193E-3</v>
      </c>
      <c r="L2599" s="558">
        <f>'Progetto del paramento slu'!$G$60*(sezione!$AM$37-C2599)/C2599</f>
        <v>1.3742758574714197E-2</v>
      </c>
      <c r="M2599" s="559">
        <f>'Progetto del paramento slu'!$G$60*(sezione!$AN$37-C2599)/C2599</f>
        <v>2.6387448196171278E-2</v>
      </c>
      <c r="N2599" s="559">
        <f>'Progetto del paramento slu'!$G$60*(sezione!$AO$37-C2599)/C2599</f>
        <v>3.5583586102685513E-2</v>
      </c>
      <c r="O2599" s="559">
        <f>'Progetto del paramento slu'!$G$60*(sezione!$AP$37-C2599)/C2599</f>
        <v>2.6388597713409564E-2</v>
      </c>
      <c r="P2599" s="553">
        <f>-'Progetto del paramento slu'!$G$47*'Progetto del paramento slu'!$G$41*IF(DATI!$G$218="dx",DATI!$E$61,DATI!$E$64*DATI!$E$63)*1000*C2599*sezione!$AD$5</f>
        <v>-429185.51680311176</v>
      </c>
      <c r="Q2599" s="553">
        <f>'Foglio deposito bis'!$F$88*IF(ABS(K2599)&lt;'Progetto del paramento slu'!$G$58,ABS(K2599)*'Progetto del paramento slu'!$G$54,'Progetto del paramento slu'!$G$53)*IF(K2599&lt;0,-1,1)</f>
        <v>0</v>
      </c>
      <c r="R2599" s="553">
        <f>'Foglio deposito bis'!$F$89*IF(ABS(L2599)&lt;'Progetto del paramento slu'!$G$58,ABS(L2599)*'Progetto del paramento slu'!$G$54,'Progetto del paramento slu'!$G$53)*IF(L2599&lt;0,-1,1)</f>
        <v>153664.85805602249</v>
      </c>
      <c r="S2599" s="553">
        <f>'Foglio deposito bis'!$F$90*IF(ABS(M2599)&lt;'Progetto del paramento slu'!$G$58,ABS(M2599)*'Progetto del paramento slu'!$G$54,'Progetto del paramento slu'!$G$53)*IF(M2599&lt;0,-1,1)</f>
        <v>0</v>
      </c>
      <c r="T2599" s="553">
        <f>'Foglio deposito bis'!$F$91*IF(ABS(N2599)&lt;'Progetto del paramento slu'!$G$58,ABS(N2599)*'Progetto del paramento slu'!$G$54,'Progetto del paramento slu'!$G$53)*IF(N2599&lt;0,-1,1)</f>
        <v>892485.49558937876</v>
      </c>
      <c r="U2599" s="553">
        <f>'Foglio deposito bis'!$F$92*IF(ABS(O2599)&lt;'Progetto del paramento slu'!$G$58,ABS(O2599)*'Progetto del paramento slu'!$G$54,'Progetto del paramento slu'!$G$53)*IF(O2599&lt;0,-1,1)</f>
        <v>1662039.1047339395</v>
      </c>
      <c r="V2599" s="479">
        <f t="shared" si="190"/>
        <v>2279003.9415762289</v>
      </c>
      <c r="W2599" s="559"/>
      <c r="X2599" s="559"/>
    </row>
    <row r="2600" spans="1:24" x14ac:dyDescent="0.25">
      <c r="A2600" s="553">
        <f t="shared" si="189"/>
        <v>2267558.9944614796</v>
      </c>
      <c r="B2600" s="3">
        <f t="shared" si="192"/>
        <v>7.6999999999999922</v>
      </c>
      <c r="C2600" s="553">
        <f>'Foglio deposito bis'!$E$163/sezione!$B$247*B2600</f>
        <v>31.25949932340998</v>
      </c>
      <c r="D2600" s="611">
        <f>-'Progetto del paramento slu'!$G$47*'Progetto del paramento slu'!$G$41*IF(DATI!$G$218="dx",DATI!$E$61,DATI!$E$64*DATI!$E$63)*1000*C2600^2*sezione!$AD$5*(1-sezione!$AD$6)</f>
        <v>-8043950.4102091026</v>
      </c>
      <c r="E2600" s="553">
        <f>-'Foglio deposito bis'!$F$88*(C2600-sezione!$AL$37)*IF(ABS(K2600)&lt;'Progetto del paramento slu'!$G$58,ABS(K2600)*'Progetto del paramento slu'!$G$54,'Progetto del paramento slu'!$G$53)</f>
        <v>0</v>
      </c>
      <c r="F2600" s="553">
        <f>-'Foglio deposito bis'!$F$89*(C2600-sezione!$AM$37)*IF(ABS(L2600)&lt;'Progetto del paramento slu'!$G$58,ABS(L2600)*'Progetto del paramento slu'!$G$54,'Progetto del paramento slu'!$G$53)</f>
        <v>18246242.181969248</v>
      </c>
      <c r="G2600" s="553">
        <f>-'Foglio deposito bis'!$F$90*(C2600-sezione!$AN$37)*IF(ABS(M2600)&lt;'Progetto del paramento slu'!$G$58,ABS(M2600)*'Progetto del paramento slu'!$G$54,'Progetto del paramento slu'!$G$53)</f>
        <v>0</v>
      </c>
      <c r="H2600" s="553">
        <f>-'Foglio deposito bis'!$F$91*(C2600-sezione!$AO$37)*IF(ABS(N2600)&lt;'Progetto del paramento slu'!$G$58,ABS(N2600)*'Progetto del paramento slu'!$G$54,'Progetto del paramento slu'!$G$53)</f>
        <v>275546418.75485939</v>
      </c>
      <c r="I2600" s="479">
        <f>-'Foglio deposito bis'!$F$92*(C2600-sezione!$AP$37)*IF(ABS(O2600)&lt;'Progetto del paramento slu'!$G$58,ABS(O2600)*'Progetto del paramento slu'!$G$54,'Progetto del paramento slu'!$G$53)</f>
        <v>380192277.35195971</v>
      </c>
      <c r="J2600" s="479">
        <f t="shared" si="188"/>
        <v>665940987.87857926</v>
      </c>
      <c r="K2600" s="558">
        <f>'Progetto del paramento slu'!$G$60*(sezione!$AL$37-C2600)/C2600</f>
        <v>9.7863859083485586E-4</v>
      </c>
      <c r="L2600" s="558">
        <f>'Progetto del paramento slu'!$G$60*(sezione!$AM$37-C2600)/C2600</f>
        <v>1.3294894715630709E-2</v>
      </c>
      <c r="M2600" s="559">
        <f>'Progetto del paramento slu'!$G$60*(sezione!$AN$37-C2600)/C2600</f>
        <v>2.5611150840426564E-2</v>
      </c>
      <c r="N2600" s="559">
        <f>'Progetto del paramento slu'!$G$60*(sezione!$AO$37-C2600)/C2600</f>
        <v>3.4568428022096281E-2</v>
      </c>
      <c r="O2600" s="559">
        <f>'Progetto del paramento slu'!$G$60*(sezione!$AP$37-C2600)/C2600</f>
        <v>2.5612270500074245E-2</v>
      </c>
      <c r="P2600" s="553">
        <f>-'Progetto del paramento slu'!$G$47*'Progetto del paramento slu'!$G$41*IF(DATI!$G$218="dx",DATI!$E$61,DATI!$E$64*DATI!$E$63)*1000*C2600*sezione!$AD$5</f>
        <v>-440630.46391786146</v>
      </c>
      <c r="Q2600" s="553">
        <f>'Foglio deposito bis'!$F$88*IF(ABS(K2600)&lt;'Progetto del paramento slu'!$G$58,ABS(K2600)*'Progetto del paramento slu'!$G$54,'Progetto del paramento slu'!$G$53)*IF(K2600&lt;0,-1,1)</f>
        <v>0</v>
      </c>
      <c r="R2600" s="553">
        <f>'Foglio deposito bis'!$F$89*IF(ABS(L2600)&lt;'Progetto del paramento slu'!$G$58,ABS(L2600)*'Progetto del paramento slu'!$G$54,'Progetto del paramento slu'!$G$53)*IF(L2600&lt;0,-1,1)</f>
        <v>153664.85805602249</v>
      </c>
      <c r="S2600" s="553">
        <f>'Foglio deposito bis'!$F$90*IF(ABS(M2600)&lt;'Progetto del paramento slu'!$G$58,ABS(M2600)*'Progetto del paramento slu'!$G$54,'Progetto del paramento slu'!$G$53)*IF(M2600&lt;0,-1,1)</f>
        <v>0</v>
      </c>
      <c r="T2600" s="553">
        <f>'Foglio deposito bis'!$F$91*IF(ABS(N2600)&lt;'Progetto del paramento slu'!$G$58,ABS(N2600)*'Progetto del paramento slu'!$G$54,'Progetto del paramento slu'!$G$53)*IF(N2600&lt;0,-1,1)</f>
        <v>892485.49558937876</v>
      </c>
      <c r="U2600" s="553">
        <f>'Foglio deposito bis'!$F$92*IF(ABS(O2600)&lt;'Progetto del paramento slu'!$G$58,ABS(O2600)*'Progetto del paramento slu'!$G$54,'Progetto del paramento slu'!$G$53)*IF(O2600&lt;0,-1,1)</f>
        <v>1662039.1047339395</v>
      </c>
      <c r="V2600" s="479">
        <f t="shared" si="190"/>
        <v>2267558.9944614796</v>
      </c>
      <c r="W2600" s="559"/>
      <c r="X2600" s="559"/>
    </row>
    <row r="2601" spans="1:24" x14ac:dyDescent="0.25">
      <c r="A2601" s="553">
        <f t="shared" si="189"/>
        <v>2256114.0473467298</v>
      </c>
      <c r="B2601" s="3">
        <f t="shared" si="192"/>
        <v>7.8999999999999924</v>
      </c>
      <c r="C2601" s="553">
        <f>'Foglio deposito bis'!$E$163/sezione!$B$247*B2601</f>
        <v>32.071434370771279</v>
      </c>
      <c r="D2601" s="611">
        <f>-'Progetto del paramento slu'!$G$47*'Progetto del paramento slu'!$G$41*IF(DATI!$G$218="dx",DATI!$E$61,DATI!$E$64*DATI!$E$63)*1000*C2601^2*sezione!$AD$5*(1-sezione!$AD$6)</f>
        <v>-8467244.8153339531</v>
      </c>
      <c r="E2601" s="553">
        <f>-'Foglio deposito bis'!$F$88*(C2601-sezione!$AL$37)*IF(ABS(K2601)&lt;'Progetto del paramento slu'!$G$58,ABS(K2601)*'Progetto del paramento slu'!$G$54,'Progetto del paramento slu'!$G$53)</f>
        <v>0</v>
      </c>
      <c r="F2601" s="553">
        <f>-'Foglio deposito bis'!$F$89*(C2601-sezione!$AM$37)*IF(ABS(L2601)&lt;'Progetto del paramento slu'!$G$58,ABS(L2601)*'Progetto del paramento slu'!$G$54,'Progetto del paramento slu'!$G$53)</f>
        <v>18121476.298165765</v>
      </c>
      <c r="G2601" s="553">
        <f>-'Foglio deposito bis'!$F$90*(C2601-sezione!$AN$37)*IF(ABS(M2601)&lt;'Progetto del paramento slu'!$G$58,ABS(M2601)*'Progetto del paramento slu'!$G$54,'Progetto del paramento slu'!$G$53)</f>
        <v>0</v>
      </c>
      <c r="H2601" s="553">
        <f>-'Foglio deposito bis'!$F$91*(C2601-sezione!$AO$37)*IF(ABS(N2601)&lt;'Progetto del paramento slu'!$G$58,ABS(N2601)*'Progetto del paramento slu'!$G$54,'Progetto del paramento slu'!$G$53)</f>
        <v>274821778.50172877</v>
      </c>
      <c r="I2601" s="479">
        <f>-'Foglio deposito bis'!$F$92*(C2601-sezione!$AP$37)*IF(ABS(O2601)&lt;'Progetto del paramento slu'!$G$58,ABS(O2601)*'Progetto del paramento slu'!$G$54,'Progetto del paramento slu'!$G$53)</f>
        <v>378842809.55274123</v>
      </c>
      <c r="J2601" s="479">
        <f t="shared" si="188"/>
        <v>663318819.53730178</v>
      </c>
      <c r="K2601" s="558">
        <f>'Progetto del paramento slu'!$G$60*(sezione!$AL$37-C2601)/C2601</f>
        <v>8.6525533537068218E-4</v>
      </c>
      <c r="L2601" s="558">
        <f>'Progetto del paramento slu'!$G$60*(sezione!$AM$37-C2601)/C2601</f>
        <v>1.2869707507640058E-2</v>
      </c>
      <c r="M2601" s="559">
        <f>'Progetto del paramento slu'!$G$60*(sezione!$AN$37-C2601)/C2601</f>
        <v>2.4874159679909434E-2</v>
      </c>
      <c r="N2601" s="559">
        <f>'Progetto del paramento slu'!$G$60*(sezione!$AO$37-C2601)/C2601</f>
        <v>3.3604670350650796E-2</v>
      </c>
      <c r="O2601" s="559">
        <f>'Progetto del paramento slu'!$G$60*(sezione!$AP$37-C2601)/C2601</f>
        <v>2.4875250993743252E-2</v>
      </c>
      <c r="P2601" s="553">
        <f>-'Progetto del paramento slu'!$G$47*'Progetto del paramento slu'!$G$41*IF(DATI!$G$218="dx",DATI!$E$61,DATI!$E$64*DATI!$E$63)*1000*C2601*sezione!$AD$5</f>
        <v>-452075.41103261115</v>
      </c>
      <c r="Q2601" s="553">
        <f>'Foglio deposito bis'!$F$88*IF(ABS(K2601)&lt;'Progetto del paramento slu'!$G$58,ABS(K2601)*'Progetto del paramento slu'!$G$54,'Progetto del paramento slu'!$G$53)*IF(K2601&lt;0,-1,1)</f>
        <v>0</v>
      </c>
      <c r="R2601" s="553">
        <f>'Foglio deposito bis'!$F$89*IF(ABS(L2601)&lt;'Progetto del paramento slu'!$G$58,ABS(L2601)*'Progetto del paramento slu'!$G$54,'Progetto del paramento slu'!$G$53)*IF(L2601&lt;0,-1,1)</f>
        <v>153664.85805602249</v>
      </c>
      <c r="S2601" s="553">
        <f>'Foglio deposito bis'!$F$90*IF(ABS(M2601)&lt;'Progetto del paramento slu'!$G$58,ABS(M2601)*'Progetto del paramento slu'!$G$54,'Progetto del paramento slu'!$G$53)*IF(M2601&lt;0,-1,1)</f>
        <v>0</v>
      </c>
      <c r="T2601" s="553">
        <f>'Foglio deposito bis'!$F$91*IF(ABS(N2601)&lt;'Progetto del paramento slu'!$G$58,ABS(N2601)*'Progetto del paramento slu'!$G$54,'Progetto del paramento slu'!$G$53)*IF(N2601&lt;0,-1,1)</f>
        <v>892485.49558937876</v>
      </c>
      <c r="U2601" s="553">
        <f>'Foglio deposito bis'!$F$92*IF(ABS(O2601)&lt;'Progetto del paramento slu'!$G$58,ABS(O2601)*'Progetto del paramento slu'!$G$54,'Progetto del paramento slu'!$G$53)*IF(O2601&lt;0,-1,1)</f>
        <v>1662039.1047339395</v>
      </c>
      <c r="V2601" s="479">
        <f t="shared" si="190"/>
        <v>2256114.0473467298</v>
      </c>
      <c r="W2601" s="559"/>
      <c r="X2601" s="559"/>
    </row>
    <row r="2602" spans="1:24" x14ac:dyDescent="0.25">
      <c r="A2602" s="553">
        <f t="shared" si="189"/>
        <v>2244669.10023198</v>
      </c>
      <c r="B2602" s="3">
        <f t="shared" si="192"/>
        <v>8.0999999999999925</v>
      </c>
      <c r="C2602" s="553">
        <f>'Foglio deposito bis'!$E$163/sezione!$B$247*B2602</f>
        <v>32.883369418132574</v>
      </c>
      <c r="D2602" s="611">
        <f>-'Progetto del paramento slu'!$G$47*'Progetto del paramento slu'!$G$41*IF(DATI!$G$218="dx",DATI!$E$61,DATI!$E$64*DATI!$E$63)*1000*C2602^2*sezione!$AD$5*(1-sezione!$AD$6)</f>
        <v>-8901392.923154315</v>
      </c>
      <c r="E2602" s="553">
        <f>-'Foglio deposito bis'!$F$88*(C2602-sezione!$AL$37)*IF(ABS(K2602)&lt;'Progetto del paramento slu'!$G$58,ABS(K2602)*'Progetto del paramento slu'!$G$54,'Progetto del paramento slu'!$G$53)</f>
        <v>0</v>
      </c>
      <c r="F2602" s="553">
        <f>-'Foglio deposito bis'!$F$89*(C2602-sezione!$AM$37)*IF(ABS(L2602)&lt;'Progetto del paramento slu'!$G$58,ABS(L2602)*'Progetto del paramento slu'!$G$54,'Progetto del paramento slu'!$G$53)</f>
        <v>17996710.414362282</v>
      </c>
      <c r="G2602" s="553">
        <f>-'Foglio deposito bis'!$F$90*(C2602-sezione!$AN$37)*IF(ABS(M2602)&lt;'Progetto del paramento slu'!$G$58,ABS(M2602)*'Progetto del paramento slu'!$G$54,'Progetto del paramento slu'!$G$53)</f>
        <v>0</v>
      </c>
      <c r="H2602" s="553">
        <f>-'Foglio deposito bis'!$F$91*(C2602-sezione!$AO$37)*IF(ABS(N2602)&lt;'Progetto del paramento slu'!$G$58,ABS(N2602)*'Progetto del paramento slu'!$G$54,'Progetto del paramento slu'!$G$53)</f>
        <v>274097138.2485981</v>
      </c>
      <c r="I2602" s="479">
        <f>-'Foglio deposito bis'!$F$92*(C2602-sezione!$AP$37)*IF(ABS(O2602)&lt;'Progetto del paramento slu'!$G$58,ABS(O2602)*'Progetto del paramento slu'!$G$54,'Progetto del paramento slu'!$G$53)</f>
        <v>377493341.75352269</v>
      </c>
      <c r="J2602" s="479">
        <f t="shared" si="188"/>
        <v>660685797.49332881</v>
      </c>
      <c r="K2602" s="558">
        <f>'Progetto del paramento slu'!$G$60*(sezione!$AL$37-C2602)/C2602</f>
        <v>7.574712530158509E-4</v>
      </c>
      <c r="L2602" s="558">
        <f>'Progetto del paramento slu'!$G$60*(sezione!$AM$37-C2602)/C2602</f>
        <v>1.2465517198809442E-2</v>
      </c>
      <c r="M2602" s="559">
        <f>'Progetto del paramento slu'!$G$60*(sezione!$AN$37-C2602)/C2602</f>
        <v>2.417356314460303E-2</v>
      </c>
      <c r="N2602" s="559">
        <f>'Progetto del paramento slu'!$G$60*(sezione!$AO$37-C2602)/C2602</f>
        <v>3.2688505650634726E-2</v>
      </c>
      <c r="O2602" s="559">
        <f>'Progetto del paramento slu'!$G$60*(sezione!$AP$37-C2602)/C2602</f>
        <v>2.4174627512416256E-2</v>
      </c>
      <c r="P2602" s="553">
        <f>-'Progetto del paramento slu'!$G$47*'Progetto del paramento slu'!$G$41*IF(DATI!$G$218="dx",DATI!$E$61,DATI!$E$64*DATI!$E$63)*1000*C2602*sezione!$AD$5</f>
        <v>-463520.35814736079</v>
      </c>
      <c r="Q2602" s="553">
        <f>'Foglio deposito bis'!$F$88*IF(ABS(K2602)&lt;'Progetto del paramento slu'!$G$58,ABS(K2602)*'Progetto del paramento slu'!$G$54,'Progetto del paramento slu'!$G$53)*IF(K2602&lt;0,-1,1)</f>
        <v>0</v>
      </c>
      <c r="R2602" s="553">
        <f>'Foglio deposito bis'!$F$89*IF(ABS(L2602)&lt;'Progetto del paramento slu'!$G$58,ABS(L2602)*'Progetto del paramento slu'!$G$54,'Progetto del paramento slu'!$G$53)*IF(L2602&lt;0,-1,1)</f>
        <v>153664.85805602249</v>
      </c>
      <c r="S2602" s="553">
        <f>'Foglio deposito bis'!$F$90*IF(ABS(M2602)&lt;'Progetto del paramento slu'!$G$58,ABS(M2602)*'Progetto del paramento slu'!$G$54,'Progetto del paramento slu'!$G$53)*IF(M2602&lt;0,-1,1)</f>
        <v>0</v>
      </c>
      <c r="T2602" s="553">
        <f>'Foglio deposito bis'!$F$91*IF(ABS(N2602)&lt;'Progetto del paramento slu'!$G$58,ABS(N2602)*'Progetto del paramento slu'!$G$54,'Progetto del paramento slu'!$G$53)*IF(N2602&lt;0,-1,1)</f>
        <v>892485.49558937876</v>
      </c>
      <c r="U2602" s="553">
        <f>'Foglio deposito bis'!$F$92*IF(ABS(O2602)&lt;'Progetto del paramento slu'!$G$58,ABS(O2602)*'Progetto del paramento slu'!$G$54,'Progetto del paramento slu'!$G$53)*IF(O2602&lt;0,-1,1)</f>
        <v>1662039.1047339395</v>
      </c>
      <c r="V2602" s="479">
        <f t="shared" si="190"/>
        <v>2244669.10023198</v>
      </c>
      <c r="W2602" s="559"/>
      <c r="X2602" s="559"/>
    </row>
    <row r="2603" spans="1:24" x14ac:dyDescent="0.25">
      <c r="A2603" s="553">
        <f t="shared" si="189"/>
        <v>2233224.1531172302</v>
      </c>
      <c r="B2603" s="3">
        <f t="shared" si="192"/>
        <v>8.2999999999999918</v>
      </c>
      <c r="C2603" s="553">
        <f>'Foglio deposito bis'!$E$163/sezione!$B$247*B2603</f>
        <v>33.695304465493876</v>
      </c>
      <c r="D2603" s="611">
        <f>-'Progetto del paramento slu'!$G$47*'Progetto del paramento slu'!$G$41*IF(DATI!$G$218="dx",DATI!$E$61,DATI!$E$64*DATI!$E$63)*1000*C2603^2*sezione!$AD$5*(1-sezione!$AD$6)</f>
        <v>-9346394.7336701863</v>
      </c>
      <c r="E2603" s="553">
        <f>-'Foglio deposito bis'!$F$88*(C2603-sezione!$AL$37)*IF(ABS(K2603)&lt;'Progetto del paramento slu'!$G$58,ABS(K2603)*'Progetto del paramento slu'!$G$54,'Progetto del paramento slu'!$G$53)</f>
        <v>0</v>
      </c>
      <c r="F2603" s="553">
        <f>-'Foglio deposito bis'!$F$89*(C2603-sezione!$AM$37)*IF(ABS(L2603)&lt;'Progetto del paramento slu'!$G$58,ABS(L2603)*'Progetto del paramento slu'!$G$54,'Progetto del paramento slu'!$G$53)</f>
        <v>17871944.530558798</v>
      </c>
      <c r="G2603" s="553">
        <f>-'Foglio deposito bis'!$F$90*(C2603-sezione!$AN$37)*IF(ABS(M2603)&lt;'Progetto del paramento slu'!$G$58,ABS(M2603)*'Progetto del paramento slu'!$G$54,'Progetto del paramento slu'!$G$53)</f>
        <v>0</v>
      </c>
      <c r="H2603" s="553">
        <f>-'Foglio deposito bis'!$F$91*(C2603-sezione!$AO$37)*IF(ABS(N2603)&lt;'Progetto del paramento slu'!$G$58,ABS(N2603)*'Progetto del paramento slu'!$G$54,'Progetto del paramento slu'!$G$53)</f>
        <v>273372497.99546742</v>
      </c>
      <c r="I2603" s="479">
        <f>-'Foglio deposito bis'!$F$92*(C2603-sezione!$AP$37)*IF(ABS(O2603)&lt;'Progetto del paramento slu'!$G$58,ABS(O2603)*'Progetto del paramento slu'!$G$54,'Progetto del paramento slu'!$G$53)</f>
        <v>376143873.95430428</v>
      </c>
      <c r="J2603" s="479">
        <f t="shared" si="188"/>
        <v>658041921.74666023</v>
      </c>
      <c r="K2603" s="558">
        <f>'Progetto del paramento slu'!$G$60*(sezione!$AL$37-C2603)/C2603</f>
        <v>6.5488158426848045E-4</v>
      </c>
      <c r="L2603" s="558">
        <f>'Progetto del paramento slu'!$G$60*(sezione!$AM$37-C2603)/C2603</f>
        <v>1.2080805941006802E-2</v>
      </c>
      <c r="M2603" s="559">
        <f>'Progetto del paramento slu'!$G$60*(sezione!$AN$37-C2603)/C2603</f>
        <v>2.350673029774512E-2</v>
      </c>
      <c r="N2603" s="559">
        <f>'Progetto del paramento slu'!$G$60*(sezione!$AO$37-C2603)/C2603</f>
        <v>3.1816493466282077E-2</v>
      </c>
      <c r="O2603" s="559">
        <f>'Progetto del paramento slu'!$G$60*(sezione!$AP$37-C2603)/C2603</f>
        <v>2.3507769018141167E-2</v>
      </c>
      <c r="P2603" s="553">
        <f>-'Progetto del paramento slu'!$G$47*'Progetto del paramento slu'!$G$41*IF(DATI!$G$218="dx",DATI!$E$61,DATI!$E$64*DATI!$E$63)*1000*C2603*sezione!$AD$5</f>
        <v>-474965.30526211049</v>
      </c>
      <c r="Q2603" s="553">
        <f>'Foglio deposito bis'!$F$88*IF(ABS(K2603)&lt;'Progetto del paramento slu'!$G$58,ABS(K2603)*'Progetto del paramento slu'!$G$54,'Progetto del paramento slu'!$G$53)*IF(K2603&lt;0,-1,1)</f>
        <v>0</v>
      </c>
      <c r="R2603" s="553">
        <f>'Foglio deposito bis'!$F$89*IF(ABS(L2603)&lt;'Progetto del paramento slu'!$G$58,ABS(L2603)*'Progetto del paramento slu'!$G$54,'Progetto del paramento slu'!$G$53)*IF(L2603&lt;0,-1,1)</f>
        <v>153664.85805602249</v>
      </c>
      <c r="S2603" s="553">
        <f>'Foglio deposito bis'!$F$90*IF(ABS(M2603)&lt;'Progetto del paramento slu'!$G$58,ABS(M2603)*'Progetto del paramento slu'!$G$54,'Progetto del paramento slu'!$G$53)*IF(M2603&lt;0,-1,1)</f>
        <v>0</v>
      </c>
      <c r="T2603" s="553">
        <f>'Foglio deposito bis'!$F$91*IF(ABS(N2603)&lt;'Progetto del paramento slu'!$G$58,ABS(N2603)*'Progetto del paramento slu'!$G$54,'Progetto del paramento slu'!$G$53)*IF(N2603&lt;0,-1,1)</f>
        <v>892485.49558937876</v>
      </c>
      <c r="U2603" s="553">
        <f>'Foglio deposito bis'!$F$92*IF(ABS(O2603)&lt;'Progetto del paramento slu'!$G$58,ABS(O2603)*'Progetto del paramento slu'!$G$54,'Progetto del paramento slu'!$G$53)*IF(O2603&lt;0,-1,1)</f>
        <v>1662039.1047339395</v>
      </c>
      <c r="V2603" s="479">
        <f t="shared" si="190"/>
        <v>2233224.1531172302</v>
      </c>
      <c r="W2603" s="559"/>
      <c r="X2603" s="559"/>
    </row>
    <row r="2604" spans="1:24" x14ac:dyDescent="0.25">
      <c r="A2604" s="553">
        <f t="shared" si="189"/>
        <v>2221779.2060024808</v>
      </c>
      <c r="B2604" s="3">
        <f t="shared" si="192"/>
        <v>8.4999999999999911</v>
      </c>
      <c r="C2604" s="553">
        <f>'Foglio deposito bis'!$E$163/sezione!$B$247*B2604</f>
        <v>34.507239512855172</v>
      </c>
      <c r="D2604" s="611">
        <f>-'Progetto del paramento slu'!$G$47*'Progetto del paramento slu'!$G$41*IF(DATI!$G$218="dx",DATI!$E$61,DATI!$E$64*DATI!$E$63)*1000*C2604^2*sezione!$AD$5*(1-sezione!$AD$6)</f>
        <v>-9802250.2468815632</v>
      </c>
      <c r="E2604" s="553">
        <f>-'Foglio deposito bis'!$F$88*(C2604-sezione!$AL$37)*IF(ABS(K2604)&lt;'Progetto del paramento slu'!$G$58,ABS(K2604)*'Progetto del paramento slu'!$G$54,'Progetto del paramento slu'!$G$53)</f>
        <v>0</v>
      </c>
      <c r="F2604" s="553">
        <f>-'Foglio deposito bis'!$F$89*(C2604-sezione!$AM$37)*IF(ABS(L2604)&lt;'Progetto del paramento slu'!$G$58,ABS(L2604)*'Progetto del paramento slu'!$G$54,'Progetto del paramento slu'!$G$53)</f>
        <v>17747178.646755315</v>
      </c>
      <c r="G2604" s="553">
        <f>-'Foglio deposito bis'!$F$90*(C2604-sezione!$AN$37)*IF(ABS(M2604)&lt;'Progetto del paramento slu'!$G$58,ABS(M2604)*'Progetto del paramento slu'!$G$54,'Progetto del paramento slu'!$G$53)</f>
        <v>0</v>
      </c>
      <c r="H2604" s="553">
        <f>-'Foglio deposito bis'!$F$91*(C2604-sezione!$AO$37)*IF(ABS(N2604)&lt;'Progetto del paramento slu'!$G$58,ABS(N2604)*'Progetto del paramento slu'!$G$54,'Progetto del paramento slu'!$G$53)</f>
        <v>272647857.74233687</v>
      </c>
      <c r="I2604" s="479">
        <f>-'Foglio deposito bis'!$F$92*(C2604-sezione!$AP$37)*IF(ABS(O2604)&lt;'Progetto del paramento slu'!$G$58,ABS(O2604)*'Progetto del paramento slu'!$G$54,'Progetto del paramento slu'!$G$53)</f>
        <v>374794406.1550858</v>
      </c>
      <c r="J2604" s="479">
        <f t="shared" si="188"/>
        <v>655387192.2972964</v>
      </c>
      <c r="K2604" s="558">
        <f>'Progetto del paramento slu'!$G$60*(sezione!$AL$37-C2604)/C2604</f>
        <v>5.5711966463863408E-4</v>
      </c>
      <c r="L2604" s="558">
        <f>'Progetto del paramento slu'!$G$60*(sezione!$AM$37-C2604)/C2604</f>
        <v>1.1714198742394879E-2</v>
      </c>
      <c r="M2604" s="559">
        <f>'Progetto del paramento slu'!$G$60*(sezione!$AN$37-C2604)/C2604</f>
        <v>2.2871277820151123E-2</v>
      </c>
      <c r="N2604" s="559">
        <f>'Progetto del paramento slu'!$G$60*(sezione!$AO$37-C2604)/C2604</f>
        <v>3.098551714942839E-2</v>
      </c>
      <c r="O2604" s="559">
        <f>'Progetto del paramento slu'!$G$60*(sezione!$AP$37-C2604)/C2604</f>
        <v>2.2872292100067259E-2</v>
      </c>
      <c r="P2604" s="553">
        <f>-'Progetto del paramento slu'!$G$47*'Progetto del paramento slu'!$G$41*IF(DATI!$G$218="dx",DATI!$E$61,DATI!$E$64*DATI!$E$63)*1000*C2604*sezione!$AD$5</f>
        <v>-486410.25237686007</v>
      </c>
      <c r="Q2604" s="553">
        <f>'Foglio deposito bis'!$F$88*IF(ABS(K2604)&lt;'Progetto del paramento slu'!$G$58,ABS(K2604)*'Progetto del paramento slu'!$G$54,'Progetto del paramento slu'!$G$53)*IF(K2604&lt;0,-1,1)</f>
        <v>0</v>
      </c>
      <c r="R2604" s="553">
        <f>'Foglio deposito bis'!$F$89*IF(ABS(L2604)&lt;'Progetto del paramento slu'!$G$58,ABS(L2604)*'Progetto del paramento slu'!$G$54,'Progetto del paramento slu'!$G$53)*IF(L2604&lt;0,-1,1)</f>
        <v>153664.85805602249</v>
      </c>
      <c r="S2604" s="553">
        <f>'Foglio deposito bis'!$F$90*IF(ABS(M2604)&lt;'Progetto del paramento slu'!$G$58,ABS(M2604)*'Progetto del paramento slu'!$G$54,'Progetto del paramento slu'!$G$53)*IF(M2604&lt;0,-1,1)</f>
        <v>0</v>
      </c>
      <c r="T2604" s="553">
        <f>'Foglio deposito bis'!$F$91*IF(ABS(N2604)&lt;'Progetto del paramento slu'!$G$58,ABS(N2604)*'Progetto del paramento slu'!$G$54,'Progetto del paramento slu'!$G$53)*IF(N2604&lt;0,-1,1)</f>
        <v>892485.49558937876</v>
      </c>
      <c r="U2604" s="553">
        <f>'Foglio deposito bis'!$F$92*IF(ABS(O2604)&lt;'Progetto del paramento slu'!$G$58,ABS(O2604)*'Progetto del paramento slu'!$G$54,'Progetto del paramento slu'!$G$53)*IF(O2604&lt;0,-1,1)</f>
        <v>1662039.1047339395</v>
      </c>
      <c r="V2604" s="479">
        <f t="shared" si="190"/>
        <v>2221779.2060024808</v>
      </c>
      <c r="W2604" s="559"/>
      <c r="X2604" s="559"/>
    </row>
    <row r="2605" spans="1:24" x14ac:dyDescent="0.25">
      <c r="A2605" s="553">
        <f t="shared" si="189"/>
        <v>2210334.258887731</v>
      </c>
      <c r="B2605" s="3">
        <f t="shared" si="192"/>
        <v>8.6999999999999904</v>
      </c>
      <c r="C2605" s="553">
        <f>'Foglio deposito bis'!$E$163/sezione!$B$247*B2605</f>
        <v>35.319174560216467</v>
      </c>
      <c r="D2605" s="611">
        <f>-'Progetto del paramento slu'!$G$47*'Progetto del paramento slu'!$G$41*IF(DATI!$G$218="dx",DATI!$E$61,DATI!$E$64*DATI!$E$63)*1000*C2605^2*sezione!$AD$5*(1-sezione!$AD$6)</f>
        <v>-10268959.462788446</v>
      </c>
      <c r="E2605" s="553">
        <f>-'Foglio deposito bis'!$F$88*(C2605-sezione!$AL$37)*IF(ABS(K2605)&lt;'Progetto del paramento slu'!$G$58,ABS(K2605)*'Progetto del paramento slu'!$G$54,'Progetto del paramento slu'!$G$53)</f>
        <v>0</v>
      </c>
      <c r="F2605" s="553">
        <f>-'Foglio deposito bis'!$F$89*(C2605-sezione!$AM$37)*IF(ABS(L2605)&lt;'Progetto del paramento slu'!$G$58,ABS(L2605)*'Progetto del paramento slu'!$G$54,'Progetto del paramento slu'!$G$53)</f>
        <v>17622412.762951829</v>
      </c>
      <c r="G2605" s="553">
        <f>-'Foglio deposito bis'!$F$90*(C2605-sezione!$AN$37)*IF(ABS(M2605)&lt;'Progetto del paramento slu'!$G$58,ABS(M2605)*'Progetto del paramento slu'!$G$54,'Progetto del paramento slu'!$G$53)</f>
        <v>0</v>
      </c>
      <c r="H2605" s="553">
        <f>-'Foglio deposito bis'!$F$91*(C2605-sezione!$AO$37)*IF(ABS(N2605)&lt;'Progetto del paramento slu'!$G$58,ABS(N2605)*'Progetto del paramento slu'!$G$54,'Progetto del paramento slu'!$G$53)</f>
        <v>271923217.48920619</v>
      </c>
      <c r="I2605" s="479">
        <f>-'Foglio deposito bis'!$F$92*(C2605-sezione!$AP$37)*IF(ABS(O2605)&lt;'Progetto del paramento slu'!$G$58,ABS(O2605)*'Progetto del paramento slu'!$G$54,'Progetto del paramento slu'!$G$53)</f>
        <v>373444938.35586733</v>
      </c>
      <c r="J2605" s="479">
        <f t="shared" si="188"/>
        <v>652721609.14523697</v>
      </c>
      <c r="K2605" s="558">
        <f>'Progetto del paramento slu'!$G$60*(sezione!$AL$37-C2605)/C2605</f>
        <v>4.6385254591130954E-4</v>
      </c>
      <c r="L2605" s="558">
        <f>'Progetto del paramento slu'!$G$60*(sezione!$AM$37-C2605)/C2605</f>
        <v>1.136444704716741E-2</v>
      </c>
      <c r="M2605" s="559">
        <f>'Progetto del paramento slu'!$G$60*(sezione!$AN$37-C2605)/C2605</f>
        <v>2.2265041548423511E-2</v>
      </c>
      <c r="N2605" s="559">
        <f>'Progetto del paramento slu'!$G$60*(sezione!$AO$37-C2605)/C2605</f>
        <v>3.0192746640246133E-2</v>
      </c>
      <c r="O2605" s="559">
        <f>'Progetto del paramento slu'!$G$60*(sezione!$AP$37-C2605)/C2605</f>
        <v>2.2266032511559966E-2</v>
      </c>
      <c r="P2605" s="553">
        <f>-'Progetto del paramento slu'!$G$47*'Progetto del paramento slu'!$G$41*IF(DATI!$G$218="dx",DATI!$E$61,DATI!$E$64*DATI!$E$63)*1000*C2605*sezione!$AD$5</f>
        <v>-497855.1994916097</v>
      </c>
      <c r="Q2605" s="553">
        <f>'Foglio deposito bis'!$F$88*IF(ABS(K2605)&lt;'Progetto del paramento slu'!$G$58,ABS(K2605)*'Progetto del paramento slu'!$G$54,'Progetto del paramento slu'!$G$53)*IF(K2605&lt;0,-1,1)</f>
        <v>0</v>
      </c>
      <c r="R2605" s="553">
        <f>'Foglio deposito bis'!$F$89*IF(ABS(L2605)&lt;'Progetto del paramento slu'!$G$58,ABS(L2605)*'Progetto del paramento slu'!$G$54,'Progetto del paramento slu'!$G$53)*IF(L2605&lt;0,-1,1)</f>
        <v>153664.85805602249</v>
      </c>
      <c r="S2605" s="553">
        <f>'Foglio deposito bis'!$F$90*IF(ABS(M2605)&lt;'Progetto del paramento slu'!$G$58,ABS(M2605)*'Progetto del paramento slu'!$G$54,'Progetto del paramento slu'!$G$53)*IF(M2605&lt;0,-1,1)</f>
        <v>0</v>
      </c>
      <c r="T2605" s="553">
        <f>'Foglio deposito bis'!$F$91*IF(ABS(N2605)&lt;'Progetto del paramento slu'!$G$58,ABS(N2605)*'Progetto del paramento slu'!$G$54,'Progetto del paramento slu'!$G$53)*IF(N2605&lt;0,-1,1)</f>
        <v>892485.49558937876</v>
      </c>
      <c r="U2605" s="553">
        <f>'Foglio deposito bis'!$F$92*IF(ABS(O2605)&lt;'Progetto del paramento slu'!$G$58,ABS(O2605)*'Progetto del paramento slu'!$G$54,'Progetto del paramento slu'!$G$53)*IF(O2605&lt;0,-1,1)</f>
        <v>1662039.1047339395</v>
      </c>
      <c r="V2605" s="479">
        <f t="shared" si="190"/>
        <v>2210334.258887731</v>
      </c>
      <c r="W2605" s="559"/>
      <c r="X2605" s="559"/>
    </row>
    <row r="2606" spans="1:24" x14ac:dyDescent="0.25">
      <c r="A2606" s="553">
        <f t="shared" si="189"/>
        <v>2198889.3117729817</v>
      </c>
      <c r="B2606" s="3">
        <f t="shared" si="192"/>
        <v>8.8999999999999897</v>
      </c>
      <c r="C2606" s="553">
        <f>'Foglio deposito bis'!$E$163/sezione!$B$247*B2606</f>
        <v>36.131109607577763</v>
      </c>
      <c r="D2606" s="611">
        <f>-'Progetto del paramento slu'!$G$47*'Progetto del paramento slu'!$G$41*IF(DATI!$G$218="dx",DATI!$E$61,DATI!$E$64*DATI!$E$63)*1000*C2606^2*sezione!$AD$5*(1-sezione!$AD$6)</f>
        <v>-10746522.38139084</v>
      </c>
      <c r="E2606" s="553">
        <f>-'Foglio deposito bis'!$F$88*(C2606-sezione!$AL$37)*IF(ABS(K2606)&lt;'Progetto del paramento slu'!$G$58,ABS(K2606)*'Progetto del paramento slu'!$G$54,'Progetto del paramento slu'!$G$53)</f>
        <v>0</v>
      </c>
      <c r="F2606" s="553">
        <f>-'Foglio deposito bis'!$F$89*(C2606-sezione!$AM$37)*IF(ABS(L2606)&lt;'Progetto del paramento slu'!$G$58,ABS(L2606)*'Progetto del paramento slu'!$G$54,'Progetto del paramento slu'!$G$53)</f>
        <v>17497646.879148345</v>
      </c>
      <c r="G2606" s="553">
        <f>-'Foglio deposito bis'!$F$90*(C2606-sezione!$AN$37)*IF(ABS(M2606)&lt;'Progetto del paramento slu'!$G$58,ABS(M2606)*'Progetto del paramento slu'!$G$54,'Progetto del paramento slu'!$G$53)</f>
        <v>0</v>
      </c>
      <c r="H2606" s="553">
        <f>-'Foglio deposito bis'!$F$91*(C2606-sezione!$AO$37)*IF(ABS(N2606)&lt;'Progetto del paramento slu'!$G$58,ABS(N2606)*'Progetto del paramento slu'!$G$54,'Progetto del paramento slu'!$G$53)</f>
        <v>271198577.23607558</v>
      </c>
      <c r="I2606" s="479">
        <f>-'Foglio deposito bis'!$F$92*(C2606-sezione!$AP$37)*IF(ABS(O2606)&lt;'Progetto del paramento slu'!$G$58,ABS(O2606)*'Progetto del paramento slu'!$G$54,'Progetto del paramento slu'!$G$53)</f>
        <v>372095470.55664879</v>
      </c>
      <c r="J2606" s="479">
        <f t="shared" si="188"/>
        <v>650045172.29048181</v>
      </c>
      <c r="K2606" s="558">
        <f>'Progetto del paramento slu'!$G$60*(sezione!$AL$37-C2606)/C2606</f>
        <v>3.747772078009433E-4</v>
      </c>
      <c r="L2606" s="558">
        <f>'Progetto del paramento slu'!$G$60*(sezione!$AM$37-C2606)/C2606</f>
        <v>1.1030414529253537E-2</v>
      </c>
      <c r="M2606" s="559">
        <f>'Progetto del paramento slu'!$G$60*(sezione!$AN$37-C2606)/C2606</f>
        <v>2.1686051850706132E-2</v>
      </c>
      <c r="N2606" s="559">
        <f>'Progetto del paramento slu'!$G$60*(sezione!$AO$37-C2606)/C2606</f>
        <v>2.9435606266308024E-2</v>
      </c>
      <c r="O2606" s="559">
        <f>'Progetto del paramento slu'!$G$60*(sezione!$AP$37-C2606)/C2606</f>
        <v>2.1687020545008061E-2</v>
      </c>
      <c r="P2606" s="553">
        <f>-'Progetto del paramento slu'!$G$47*'Progetto del paramento slu'!$G$41*IF(DATI!$G$218="dx",DATI!$E$61,DATI!$E$64*DATI!$E$63)*1000*C2606*sezione!$AD$5</f>
        <v>-509300.14660635928</v>
      </c>
      <c r="Q2606" s="553">
        <f>'Foglio deposito bis'!$F$88*IF(ABS(K2606)&lt;'Progetto del paramento slu'!$G$58,ABS(K2606)*'Progetto del paramento slu'!$G$54,'Progetto del paramento slu'!$G$53)*IF(K2606&lt;0,-1,1)</f>
        <v>0</v>
      </c>
      <c r="R2606" s="553">
        <f>'Foglio deposito bis'!$F$89*IF(ABS(L2606)&lt;'Progetto del paramento slu'!$G$58,ABS(L2606)*'Progetto del paramento slu'!$G$54,'Progetto del paramento slu'!$G$53)*IF(L2606&lt;0,-1,1)</f>
        <v>153664.85805602249</v>
      </c>
      <c r="S2606" s="553">
        <f>'Foglio deposito bis'!$F$90*IF(ABS(M2606)&lt;'Progetto del paramento slu'!$G$58,ABS(M2606)*'Progetto del paramento slu'!$G$54,'Progetto del paramento slu'!$G$53)*IF(M2606&lt;0,-1,1)</f>
        <v>0</v>
      </c>
      <c r="T2606" s="553">
        <f>'Foglio deposito bis'!$F$91*IF(ABS(N2606)&lt;'Progetto del paramento slu'!$G$58,ABS(N2606)*'Progetto del paramento slu'!$G$54,'Progetto del paramento slu'!$G$53)*IF(N2606&lt;0,-1,1)</f>
        <v>892485.49558937876</v>
      </c>
      <c r="U2606" s="553">
        <f>'Foglio deposito bis'!$F$92*IF(ABS(O2606)&lt;'Progetto del paramento slu'!$G$58,ABS(O2606)*'Progetto del paramento slu'!$G$54,'Progetto del paramento slu'!$G$53)*IF(O2606&lt;0,-1,1)</f>
        <v>1662039.1047339395</v>
      </c>
      <c r="V2606" s="479">
        <f t="shared" si="190"/>
        <v>2198889.3117729817</v>
      </c>
      <c r="W2606" s="559"/>
      <c r="X2606" s="559"/>
    </row>
    <row r="2607" spans="1:24" x14ac:dyDescent="0.25">
      <c r="A2607" s="553">
        <f t="shared" si="189"/>
        <v>2187444.3646582318</v>
      </c>
      <c r="B2607" s="3">
        <f t="shared" si="192"/>
        <v>9.099999999999989</v>
      </c>
      <c r="C2607" s="553">
        <f>'Foglio deposito bis'!$E$163/sezione!$B$247*B2607</f>
        <v>36.943044654939058</v>
      </c>
      <c r="D2607" s="611">
        <f>-'Progetto del paramento slu'!$G$47*'Progetto del paramento slu'!$G$41*IF(DATI!$G$218="dx",DATI!$E$61,DATI!$E$64*DATI!$E$63)*1000*C2607^2*sezione!$AD$5*(1-sezione!$AD$6)</f>
        <v>-11234939.002688743</v>
      </c>
      <c r="E2607" s="553">
        <f>-'Foglio deposito bis'!$F$88*(C2607-sezione!$AL$37)*IF(ABS(K2607)&lt;'Progetto del paramento slu'!$G$58,ABS(K2607)*'Progetto del paramento slu'!$G$54,'Progetto del paramento slu'!$G$53)</f>
        <v>0</v>
      </c>
      <c r="F2607" s="553">
        <f>-'Foglio deposito bis'!$F$89*(C2607-sezione!$AM$37)*IF(ABS(L2607)&lt;'Progetto del paramento slu'!$G$58,ABS(L2607)*'Progetto del paramento slu'!$G$54,'Progetto del paramento slu'!$G$53)</f>
        <v>17372880.995344862</v>
      </c>
      <c r="G2607" s="553">
        <f>-'Foglio deposito bis'!$F$90*(C2607-sezione!$AN$37)*IF(ABS(M2607)&lt;'Progetto del paramento slu'!$G$58,ABS(M2607)*'Progetto del paramento slu'!$G$54,'Progetto del paramento slu'!$G$53)</f>
        <v>0</v>
      </c>
      <c r="H2607" s="553">
        <f>-'Foglio deposito bis'!$F$91*(C2607-sezione!$AO$37)*IF(ABS(N2607)&lt;'Progetto del paramento slu'!$G$58,ABS(N2607)*'Progetto del paramento slu'!$G$54,'Progetto del paramento slu'!$G$53)</f>
        <v>270473936.98294491</v>
      </c>
      <c r="I2607" s="479">
        <f>-'Foglio deposito bis'!$F$92*(C2607-sezione!$AP$37)*IF(ABS(O2607)&lt;'Progetto del paramento slu'!$G$58,ABS(O2607)*'Progetto del paramento slu'!$G$54,'Progetto del paramento slu'!$G$53)</f>
        <v>370746002.75743037</v>
      </c>
      <c r="J2607" s="479">
        <f t="shared" si="188"/>
        <v>647357881.73303139</v>
      </c>
      <c r="K2607" s="558">
        <f>'Progetto del paramento slu'!$G$60*(sezione!$AL$37-C2607)/C2607</f>
        <v>2.8961726916795587E-4</v>
      </c>
      <c r="L2607" s="558">
        <f>'Progetto del paramento slu'!$G$60*(sezione!$AM$37-C2607)/C2607</f>
        <v>1.0711064759379834E-2</v>
      </c>
      <c r="M2607" s="559">
        <f>'Progetto del paramento slu'!$G$60*(sezione!$AN$37-C2607)/C2607</f>
        <v>2.1132512249591714E-2</v>
      </c>
      <c r="N2607" s="559">
        <f>'Progetto del paramento slu'!$G$60*(sezione!$AO$37-C2607)/C2607</f>
        <v>2.8711746787927622E-2</v>
      </c>
      <c r="O2607" s="559">
        <f>'Progetto del paramento slu'!$G$60*(sezione!$AP$37-C2607)/C2607</f>
        <v>2.1133459653908983E-2</v>
      </c>
      <c r="P2607" s="553">
        <f>-'Progetto del paramento slu'!$G$47*'Progetto del paramento slu'!$G$41*IF(DATI!$G$218="dx",DATI!$E$61,DATI!$E$64*DATI!$E$63)*1000*C2607*sezione!$AD$5</f>
        <v>-520745.09372110886</v>
      </c>
      <c r="Q2607" s="553">
        <f>'Foglio deposito bis'!$F$88*IF(ABS(K2607)&lt;'Progetto del paramento slu'!$G$58,ABS(K2607)*'Progetto del paramento slu'!$G$54,'Progetto del paramento slu'!$G$53)*IF(K2607&lt;0,-1,1)</f>
        <v>0</v>
      </c>
      <c r="R2607" s="553">
        <f>'Foglio deposito bis'!$F$89*IF(ABS(L2607)&lt;'Progetto del paramento slu'!$G$58,ABS(L2607)*'Progetto del paramento slu'!$G$54,'Progetto del paramento slu'!$G$53)*IF(L2607&lt;0,-1,1)</f>
        <v>153664.85805602249</v>
      </c>
      <c r="S2607" s="553">
        <f>'Foglio deposito bis'!$F$90*IF(ABS(M2607)&lt;'Progetto del paramento slu'!$G$58,ABS(M2607)*'Progetto del paramento slu'!$G$54,'Progetto del paramento slu'!$G$53)*IF(M2607&lt;0,-1,1)</f>
        <v>0</v>
      </c>
      <c r="T2607" s="553">
        <f>'Foglio deposito bis'!$F$91*IF(ABS(N2607)&lt;'Progetto del paramento slu'!$G$58,ABS(N2607)*'Progetto del paramento slu'!$G$54,'Progetto del paramento slu'!$G$53)*IF(N2607&lt;0,-1,1)</f>
        <v>892485.49558937876</v>
      </c>
      <c r="U2607" s="553">
        <f>'Foglio deposito bis'!$F$92*IF(ABS(O2607)&lt;'Progetto del paramento slu'!$G$58,ABS(O2607)*'Progetto del paramento slu'!$G$54,'Progetto del paramento slu'!$G$53)*IF(O2607&lt;0,-1,1)</f>
        <v>1662039.1047339395</v>
      </c>
      <c r="V2607" s="479">
        <f t="shared" si="190"/>
        <v>2187444.3646582318</v>
      </c>
      <c r="W2607" s="559"/>
      <c r="X2607" s="559"/>
    </row>
    <row r="2608" spans="1:24" x14ac:dyDescent="0.25">
      <c r="A2608" s="553">
        <f t="shared" si="189"/>
        <v>2175999.417543482</v>
      </c>
      <c r="B2608" s="3">
        <f t="shared" si="192"/>
        <v>9.2999999999999883</v>
      </c>
      <c r="C2608" s="553">
        <f>'Foglio deposito bis'!$E$163/sezione!$B$247*B2608</f>
        <v>37.754979702300353</v>
      </c>
      <c r="D2608" s="611">
        <f>-'Progetto del paramento slu'!$G$47*'Progetto del paramento slu'!$G$41*IF(DATI!$G$218="dx",DATI!$E$61,DATI!$E$64*DATI!$E$63)*1000*C2608^2*sezione!$AD$5*(1-sezione!$AD$6)</f>
        <v>-11734209.326682154</v>
      </c>
      <c r="E2608" s="553">
        <f>-'Foglio deposito bis'!$F$88*(C2608-sezione!$AL$37)*IF(ABS(K2608)&lt;'Progetto del paramento slu'!$G$58,ABS(K2608)*'Progetto del paramento slu'!$G$54,'Progetto del paramento slu'!$G$53)</f>
        <v>0</v>
      </c>
      <c r="F2608" s="553">
        <f>-'Foglio deposito bis'!$F$89*(C2608-sezione!$AM$37)*IF(ABS(L2608)&lt;'Progetto del paramento slu'!$G$58,ABS(L2608)*'Progetto del paramento slu'!$G$54,'Progetto del paramento slu'!$G$53)</f>
        <v>17248115.111541379</v>
      </c>
      <c r="G2608" s="553">
        <f>-'Foglio deposito bis'!$F$90*(C2608-sezione!$AN$37)*IF(ABS(M2608)&lt;'Progetto del paramento slu'!$G$58,ABS(M2608)*'Progetto del paramento slu'!$G$54,'Progetto del paramento slu'!$G$53)</f>
        <v>0</v>
      </c>
      <c r="H2608" s="553">
        <f>-'Foglio deposito bis'!$F$91*(C2608-sezione!$AO$37)*IF(ABS(N2608)&lt;'Progetto del paramento slu'!$G$58,ABS(N2608)*'Progetto del paramento slu'!$G$54,'Progetto del paramento slu'!$G$53)</f>
        <v>269749296.72981429</v>
      </c>
      <c r="I2608" s="479">
        <f>-'Foglio deposito bis'!$F$92*(C2608-sezione!$AP$37)*IF(ABS(O2608)&lt;'Progetto del paramento slu'!$G$58,ABS(O2608)*'Progetto del paramento slu'!$G$54,'Progetto del paramento slu'!$G$53)</f>
        <v>369396534.9582119</v>
      </c>
      <c r="J2608" s="479">
        <f t="shared" si="188"/>
        <v>644659737.47288537</v>
      </c>
      <c r="K2608" s="558">
        <f>'Progetto del paramento slu'!$G$60*(sezione!$AL$37-C2608)/C2608</f>
        <v>2.0812012359445166E-4</v>
      </c>
      <c r="L2608" s="558">
        <f>'Progetto del paramento slu'!$G$60*(sezione!$AM$37-C2608)/C2608</f>
        <v>1.0405450463479194E-2</v>
      </c>
      <c r="M2608" s="559">
        <f>'Progetto del paramento slu'!$G$60*(sezione!$AN$37-C2608)/C2608</f>
        <v>2.0602780803363939E-2</v>
      </c>
      <c r="N2608" s="559">
        <f>'Progetto del paramento slu'!$G$60*(sezione!$AO$37-C2608)/C2608</f>
        <v>2.8019021050552838E-2</v>
      </c>
      <c r="O2608" s="559">
        <f>'Progetto del paramento slu'!$G$60*(sezione!$AP$37-C2608)/C2608</f>
        <v>2.0603707833394814E-2</v>
      </c>
      <c r="P2608" s="553">
        <f>-'Progetto del paramento slu'!$G$47*'Progetto del paramento slu'!$G$41*IF(DATI!$G$218="dx",DATI!$E$61,DATI!$E$64*DATI!$E$63)*1000*C2608*sezione!$AD$5</f>
        <v>-532190.04083585856</v>
      </c>
      <c r="Q2608" s="553">
        <f>'Foglio deposito bis'!$F$88*IF(ABS(K2608)&lt;'Progetto del paramento slu'!$G$58,ABS(K2608)*'Progetto del paramento slu'!$G$54,'Progetto del paramento slu'!$G$53)*IF(K2608&lt;0,-1,1)</f>
        <v>0</v>
      </c>
      <c r="R2608" s="553">
        <f>'Foglio deposito bis'!$F$89*IF(ABS(L2608)&lt;'Progetto del paramento slu'!$G$58,ABS(L2608)*'Progetto del paramento slu'!$G$54,'Progetto del paramento slu'!$G$53)*IF(L2608&lt;0,-1,1)</f>
        <v>153664.85805602249</v>
      </c>
      <c r="S2608" s="553">
        <f>'Foglio deposito bis'!$F$90*IF(ABS(M2608)&lt;'Progetto del paramento slu'!$G$58,ABS(M2608)*'Progetto del paramento slu'!$G$54,'Progetto del paramento slu'!$G$53)*IF(M2608&lt;0,-1,1)</f>
        <v>0</v>
      </c>
      <c r="T2608" s="553">
        <f>'Foglio deposito bis'!$F$91*IF(ABS(N2608)&lt;'Progetto del paramento slu'!$G$58,ABS(N2608)*'Progetto del paramento slu'!$G$54,'Progetto del paramento slu'!$G$53)*IF(N2608&lt;0,-1,1)</f>
        <v>892485.49558937876</v>
      </c>
      <c r="U2608" s="553">
        <f>'Foglio deposito bis'!$F$92*IF(ABS(O2608)&lt;'Progetto del paramento slu'!$G$58,ABS(O2608)*'Progetto del paramento slu'!$G$54,'Progetto del paramento slu'!$G$53)*IF(O2608&lt;0,-1,1)</f>
        <v>1662039.1047339395</v>
      </c>
      <c r="V2608" s="479">
        <f t="shared" si="190"/>
        <v>2175999.417543482</v>
      </c>
      <c r="W2608" s="559"/>
      <c r="X2608" s="559"/>
    </row>
    <row r="2609" spans="1:24" x14ac:dyDescent="0.25">
      <c r="A2609" s="553">
        <f t="shared" si="189"/>
        <v>2164554.4704287327</v>
      </c>
      <c r="B2609" s="3">
        <f t="shared" si="192"/>
        <v>9.4999999999999876</v>
      </c>
      <c r="C2609" s="553">
        <f>'Foglio deposito bis'!$E$163/sezione!$B$247*B2609</f>
        <v>38.566914749661649</v>
      </c>
      <c r="D2609" s="611">
        <f>-'Progetto del paramento slu'!$G$47*'Progetto del paramento slu'!$G$41*IF(DATI!$G$218="dx",DATI!$E$61,DATI!$E$64*DATI!$E$63)*1000*C2609^2*sezione!$AD$5*(1-sezione!$AD$6)</f>
        <v>-12244333.353371076</v>
      </c>
      <c r="E2609" s="553">
        <f>-'Foglio deposito bis'!$F$88*(C2609-sezione!$AL$37)*IF(ABS(K2609)&lt;'Progetto del paramento slu'!$G$58,ABS(K2609)*'Progetto del paramento slu'!$G$54,'Progetto del paramento slu'!$G$53)</f>
        <v>0</v>
      </c>
      <c r="F2609" s="553">
        <f>-'Foglio deposito bis'!$F$89*(C2609-sezione!$AM$37)*IF(ABS(L2609)&lt;'Progetto del paramento slu'!$G$58,ABS(L2609)*'Progetto del paramento slu'!$G$54,'Progetto del paramento slu'!$G$53)</f>
        <v>17123349.227737896</v>
      </c>
      <c r="G2609" s="553">
        <f>-'Foglio deposito bis'!$F$90*(C2609-sezione!$AN$37)*IF(ABS(M2609)&lt;'Progetto del paramento slu'!$G$58,ABS(M2609)*'Progetto del paramento slu'!$G$54,'Progetto del paramento slu'!$G$53)</f>
        <v>0</v>
      </c>
      <c r="H2609" s="553">
        <f>-'Foglio deposito bis'!$F$91*(C2609-sezione!$AO$37)*IF(ABS(N2609)&lt;'Progetto del paramento slu'!$G$58,ABS(N2609)*'Progetto del paramento slu'!$G$54,'Progetto del paramento slu'!$G$53)</f>
        <v>269024656.47668368</v>
      </c>
      <c r="I2609" s="479">
        <f>-'Foglio deposito bis'!$F$92*(C2609-sezione!$AP$37)*IF(ABS(O2609)&lt;'Progetto del paramento slu'!$G$58,ABS(O2609)*'Progetto del paramento slu'!$G$54,'Progetto del paramento slu'!$G$53)</f>
        <v>368047067.15899342</v>
      </c>
      <c r="J2609" s="479">
        <f t="shared" si="188"/>
        <v>641950739.51004386</v>
      </c>
      <c r="K2609" s="558">
        <f>'Progetto del paramento slu'!$G$60*(sezione!$AL$37-C2609)/C2609</f>
        <v>1.3005443678193711E-4</v>
      </c>
      <c r="L2609" s="558">
        <f>'Progetto del paramento slu'!$G$60*(sezione!$AM$37-C2609)/C2609</f>
        <v>1.0112704137932265E-2</v>
      </c>
      <c r="M2609" s="559">
        <f>'Progetto del paramento slu'!$G$60*(sezione!$AN$37-C2609)/C2609</f>
        <v>2.0095353839082591E-2</v>
      </c>
      <c r="N2609" s="559">
        <f>'Progetto del paramento slu'!$G$60*(sezione!$AO$37-C2609)/C2609</f>
        <v>2.7355462712646467E-2</v>
      </c>
      <c r="O2609" s="559">
        <f>'Progetto del paramento slu'!$G$60*(sezione!$AP$37-C2609)/C2609</f>
        <v>2.0096261352691769E-2</v>
      </c>
      <c r="P2609" s="553">
        <f>-'Progetto del paramento slu'!$G$47*'Progetto del paramento slu'!$G$41*IF(DATI!$G$218="dx",DATI!$E$61,DATI!$E$64*DATI!$E$63)*1000*C2609*sezione!$AD$5</f>
        <v>-543634.98795060813</v>
      </c>
      <c r="Q2609" s="553">
        <f>'Foglio deposito bis'!$F$88*IF(ABS(K2609)&lt;'Progetto del paramento slu'!$G$58,ABS(K2609)*'Progetto del paramento slu'!$G$54,'Progetto del paramento slu'!$G$53)*IF(K2609&lt;0,-1,1)</f>
        <v>0</v>
      </c>
      <c r="R2609" s="553">
        <f>'Foglio deposito bis'!$F$89*IF(ABS(L2609)&lt;'Progetto del paramento slu'!$G$58,ABS(L2609)*'Progetto del paramento slu'!$G$54,'Progetto del paramento slu'!$G$53)*IF(L2609&lt;0,-1,1)</f>
        <v>153664.85805602249</v>
      </c>
      <c r="S2609" s="553">
        <f>'Foglio deposito bis'!$F$90*IF(ABS(M2609)&lt;'Progetto del paramento slu'!$G$58,ABS(M2609)*'Progetto del paramento slu'!$G$54,'Progetto del paramento slu'!$G$53)*IF(M2609&lt;0,-1,1)</f>
        <v>0</v>
      </c>
      <c r="T2609" s="553">
        <f>'Foglio deposito bis'!$F$91*IF(ABS(N2609)&lt;'Progetto del paramento slu'!$G$58,ABS(N2609)*'Progetto del paramento slu'!$G$54,'Progetto del paramento slu'!$G$53)*IF(N2609&lt;0,-1,1)</f>
        <v>892485.49558937876</v>
      </c>
      <c r="U2609" s="553">
        <f>'Foglio deposito bis'!$F$92*IF(ABS(O2609)&lt;'Progetto del paramento slu'!$G$58,ABS(O2609)*'Progetto del paramento slu'!$G$54,'Progetto del paramento slu'!$G$53)*IF(O2609&lt;0,-1,1)</f>
        <v>1662039.1047339395</v>
      </c>
      <c r="V2609" s="479">
        <f t="shared" si="190"/>
        <v>2164554.4704287327</v>
      </c>
      <c r="W2609" s="559"/>
      <c r="X2609" s="559"/>
    </row>
    <row r="2610" spans="1:24" x14ac:dyDescent="0.25">
      <c r="A2610" s="553">
        <f t="shared" si="189"/>
        <v>2153109.5233139829</v>
      </c>
      <c r="B2610" s="3">
        <f t="shared" si="192"/>
        <v>9.6999999999999869</v>
      </c>
      <c r="C2610" s="553">
        <f>'Foglio deposito bis'!$E$163/sezione!$B$247*B2610</f>
        <v>39.378849797022944</v>
      </c>
      <c r="D2610" s="611">
        <f>-'Progetto del paramento slu'!$G$47*'Progetto del paramento slu'!$G$41*IF(DATI!$G$218="dx",DATI!$E$61,DATI!$E$64*DATI!$E$63)*1000*C2610^2*sezione!$AD$5*(1-sezione!$AD$6)</f>
        <v>-12765311.082755504</v>
      </c>
      <c r="E2610" s="553">
        <f>-'Foglio deposito bis'!$F$88*(C2610-sezione!$AL$37)*IF(ABS(K2610)&lt;'Progetto del paramento slu'!$G$58,ABS(K2610)*'Progetto del paramento slu'!$G$54,'Progetto del paramento slu'!$G$53)</f>
        <v>0</v>
      </c>
      <c r="F2610" s="553">
        <f>-'Foglio deposito bis'!$F$89*(C2610-sezione!$AM$37)*IF(ABS(L2610)&lt;'Progetto del paramento slu'!$G$58,ABS(L2610)*'Progetto del paramento slu'!$G$54,'Progetto del paramento slu'!$G$53)</f>
        <v>16998583.343934413</v>
      </c>
      <c r="G2610" s="553">
        <f>-'Foglio deposito bis'!$F$90*(C2610-sezione!$AN$37)*IF(ABS(M2610)&lt;'Progetto del paramento slu'!$G$58,ABS(M2610)*'Progetto del paramento slu'!$G$54,'Progetto del paramento slu'!$G$53)</f>
        <v>0</v>
      </c>
      <c r="H2610" s="553">
        <f>-'Foglio deposito bis'!$F$91*(C2610-sezione!$AO$37)*IF(ABS(N2610)&lt;'Progetto del paramento slu'!$G$58,ABS(N2610)*'Progetto del paramento slu'!$G$54,'Progetto del paramento slu'!$G$53)</f>
        <v>268300016.22355306</v>
      </c>
      <c r="I2610" s="479">
        <f>-'Foglio deposito bis'!$F$92*(C2610-sezione!$AP$37)*IF(ABS(O2610)&lt;'Progetto del paramento slu'!$G$58,ABS(O2610)*'Progetto del paramento slu'!$G$54,'Progetto del paramento slu'!$G$53)</f>
        <v>366697599.35977489</v>
      </c>
      <c r="J2610" s="479">
        <f t="shared" si="188"/>
        <v>639230887.84450686</v>
      </c>
      <c r="K2610" s="558">
        <f>'Progetto del paramento slu'!$G$60*(sezione!$AL$37-C2610)/C2610</f>
        <v>5.5207953549320072E-5</v>
      </c>
      <c r="L2610" s="558">
        <f>'Progetto del paramento slu'!$G$60*(sezione!$AM$37-C2610)/C2610</f>
        <v>9.8320298258099507E-3</v>
      </c>
      <c r="M2610" s="559">
        <f>'Progetto del paramento slu'!$G$60*(sezione!$AN$37-C2610)/C2610</f>
        <v>1.9608851698070581E-2</v>
      </c>
      <c r="N2610" s="559">
        <f>'Progetto del paramento slu'!$G$60*(sezione!$AO$37-C2610)/C2610</f>
        <v>2.6719267605169222E-2</v>
      </c>
      <c r="O2610" s="559">
        <f>'Progetto del paramento slu'!$G$60*(sezione!$AP$37-C2610)/C2610</f>
        <v>1.9609740500058946E-2</v>
      </c>
      <c r="P2610" s="553">
        <f>-'Progetto del paramento slu'!$G$47*'Progetto del paramento slu'!$G$41*IF(DATI!$G$218="dx",DATI!$E$61,DATI!$E$64*DATI!$E$63)*1000*C2610*sezione!$AD$5</f>
        <v>-555079.93506535783</v>
      </c>
      <c r="Q2610" s="553">
        <f>'Foglio deposito bis'!$F$88*IF(ABS(K2610)&lt;'Progetto del paramento slu'!$G$58,ABS(K2610)*'Progetto del paramento slu'!$G$54,'Progetto del paramento slu'!$G$53)*IF(K2610&lt;0,-1,1)</f>
        <v>0</v>
      </c>
      <c r="R2610" s="553">
        <f>'Foglio deposito bis'!$F$89*IF(ABS(L2610)&lt;'Progetto del paramento slu'!$G$58,ABS(L2610)*'Progetto del paramento slu'!$G$54,'Progetto del paramento slu'!$G$53)*IF(L2610&lt;0,-1,1)</f>
        <v>153664.85805602249</v>
      </c>
      <c r="S2610" s="553">
        <f>'Foglio deposito bis'!$F$90*IF(ABS(M2610)&lt;'Progetto del paramento slu'!$G$58,ABS(M2610)*'Progetto del paramento slu'!$G$54,'Progetto del paramento slu'!$G$53)*IF(M2610&lt;0,-1,1)</f>
        <v>0</v>
      </c>
      <c r="T2610" s="553">
        <f>'Foglio deposito bis'!$F$91*IF(ABS(N2610)&lt;'Progetto del paramento slu'!$G$58,ABS(N2610)*'Progetto del paramento slu'!$G$54,'Progetto del paramento slu'!$G$53)*IF(N2610&lt;0,-1,1)</f>
        <v>892485.49558937876</v>
      </c>
      <c r="U2610" s="553">
        <f>'Foglio deposito bis'!$F$92*IF(ABS(O2610)&lt;'Progetto del paramento slu'!$G$58,ABS(O2610)*'Progetto del paramento slu'!$G$54,'Progetto del paramento slu'!$G$53)*IF(O2610&lt;0,-1,1)</f>
        <v>1662039.1047339395</v>
      </c>
      <c r="V2610" s="479">
        <f t="shared" si="190"/>
        <v>2153109.5233139829</v>
      </c>
      <c r="W2610" s="559"/>
      <c r="X2610" s="559"/>
    </row>
    <row r="2611" spans="1:24" x14ac:dyDescent="0.25">
      <c r="A2611" s="553">
        <f t="shared" si="189"/>
        <v>2141664.5761992335</v>
      </c>
      <c r="B2611" s="3">
        <f t="shared" si="192"/>
        <v>9.8999999999999861</v>
      </c>
      <c r="C2611" s="553">
        <f>'Foglio deposito bis'!$E$163/sezione!$B$247*B2611</f>
        <v>40.19078484438424</v>
      </c>
      <c r="D2611" s="611">
        <f>-'Progetto del paramento slu'!$G$47*'Progetto del paramento slu'!$G$41*IF(DATI!$G$218="dx",DATI!$E$61,DATI!$E$64*DATI!$E$63)*1000*C2611^2*sezione!$AD$5*(1-sezione!$AD$6)</f>
        <v>-13297142.514835445</v>
      </c>
      <c r="E2611" s="553">
        <f>-'Foglio deposito bis'!$F$88*(C2611-sezione!$AL$37)*IF(ABS(K2611)&lt;'Progetto del paramento slu'!$G$58,ABS(K2611)*'Progetto del paramento slu'!$G$54,'Progetto del paramento slu'!$G$53)</f>
        <v>0</v>
      </c>
      <c r="F2611" s="553">
        <f>-'Foglio deposito bis'!$F$89*(C2611-sezione!$AM$37)*IF(ABS(L2611)&lt;'Progetto del paramento slu'!$G$58,ABS(L2611)*'Progetto del paramento slu'!$G$54,'Progetto del paramento slu'!$G$53)</f>
        <v>16873817.46013093</v>
      </c>
      <c r="G2611" s="553">
        <f>-'Foglio deposito bis'!$F$90*(C2611-sezione!$AN$37)*IF(ABS(M2611)&lt;'Progetto del paramento slu'!$G$58,ABS(M2611)*'Progetto del paramento slu'!$G$54,'Progetto del paramento slu'!$G$53)</f>
        <v>0</v>
      </c>
      <c r="H2611" s="553">
        <f>-'Foglio deposito bis'!$F$91*(C2611-sezione!$AO$37)*IF(ABS(N2611)&lt;'Progetto del paramento slu'!$G$58,ABS(N2611)*'Progetto del paramento slu'!$G$54,'Progetto del paramento slu'!$G$53)</f>
        <v>267575375.97042245</v>
      </c>
      <c r="I2611" s="479">
        <f>-'Foglio deposito bis'!$F$92*(C2611-sezione!$AP$37)*IF(ABS(O2611)&lt;'Progetto del paramento slu'!$G$58,ABS(O2611)*'Progetto del paramento slu'!$G$54,'Progetto del paramento slu'!$G$53)</f>
        <v>365348131.56055647</v>
      </c>
      <c r="J2611" s="479">
        <f t="shared" si="188"/>
        <v>636500182.47627449</v>
      </c>
      <c r="K2611" s="558">
        <f>'Progetto del paramento slu'!$G$60*(sezione!$AL$37-C2611)/C2611</f>
        <v>-1.6614429350665983E-5</v>
      </c>
      <c r="L2611" s="558">
        <f>'Progetto del paramento slu'!$G$60*(sezione!$AM$37-C2611)/C2611</f>
        <v>9.5626958899350037E-3</v>
      </c>
      <c r="M2611" s="559">
        <f>'Progetto del paramento slu'!$G$60*(sezione!$AN$37-C2611)/C2611</f>
        <v>1.9142006209220672E-2</v>
      </c>
      <c r="N2611" s="559">
        <f>'Progetto del paramento slu'!$G$60*(sezione!$AO$37-C2611)/C2611</f>
        <v>2.6108777350519346E-2</v>
      </c>
      <c r="O2611" s="559">
        <f>'Progetto del paramento slu'!$G$60*(sezione!$AP$37-C2611)/C2611</f>
        <v>1.9142877055613315E-2</v>
      </c>
      <c r="P2611" s="553">
        <f>-'Progetto del paramento slu'!$G$47*'Progetto del paramento slu'!$G$41*IF(DATI!$G$218="dx",DATI!$E$61,DATI!$E$64*DATI!$E$63)*1000*C2611*sezione!$AD$5</f>
        <v>-566524.88218010741</v>
      </c>
      <c r="Q2611" s="553">
        <f>'Foglio deposito bis'!$F$88*IF(ABS(K2611)&lt;'Progetto del paramento slu'!$G$58,ABS(K2611)*'Progetto del paramento slu'!$G$54,'Progetto del paramento slu'!$G$53)*IF(K2611&lt;0,-1,1)</f>
        <v>0</v>
      </c>
      <c r="R2611" s="553">
        <f>'Foglio deposito bis'!$F$89*IF(ABS(L2611)&lt;'Progetto del paramento slu'!$G$58,ABS(L2611)*'Progetto del paramento slu'!$G$54,'Progetto del paramento slu'!$G$53)*IF(L2611&lt;0,-1,1)</f>
        <v>153664.85805602249</v>
      </c>
      <c r="S2611" s="553">
        <f>'Foglio deposito bis'!$F$90*IF(ABS(M2611)&lt;'Progetto del paramento slu'!$G$58,ABS(M2611)*'Progetto del paramento slu'!$G$54,'Progetto del paramento slu'!$G$53)*IF(M2611&lt;0,-1,1)</f>
        <v>0</v>
      </c>
      <c r="T2611" s="553">
        <f>'Foglio deposito bis'!$F$91*IF(ABS(N2611)&lt;'Progetto del paramento slu'!$G$58,ABS(N2611)*'Progetto del paramento slu'!$G$54,'Progetto del paramento slu'!$G$53)*IF(N2611&lt;0,-1,1)</f>
        <v>892485.49558937876</v>
      </c>
      <c r="U2611" s="553">
        <f>'Foglio deposito bis'!$F$92*IF(ABS(O2611)&lt;'Progetto del paramento slu'!$G$58,ABS(O2611)*'Progetto del paramento slu'!$G$54,'Progetto del paramento slu'!$G$53)*IF(O2611&lt;0,-1,1)</f>
        <v>1662039.1047339395</v>
      </c>
      <c r="V2611" s="479">
        <f t="shared" si="190"/>
        <v>2141664.5761992335</v>
      </c>
      <c r="W2611" s="559"/>
      <c r="X2611" s="559"/>
    </row>
    <row r="2612" spans="1:24" x14ac:dyDescent="0.25">
      <c r="A2612" s="553">
        <f t="shared" si="189"/>
        <v>2130219.6290844837</v>
      </c>
      <c r="B2612" s="3">
        <f t="shared" si="192"/>
        <v>10.099999999999985</v>
      </c>
      <c r="C2612" s="553">
        <f>'Foglio deposito bis'!$E$163/sezione!$B$247*B2612</f>
        <v>41.002719891745535</v>
      </c>
      <c r="D2612" s="611">
        <f>-'Progetto del paramento slu'!$G$47*'Progetto del paramento slu'!$G$41*IF(DATI!$G$218="dx",DATI!$E$61,DATI!$E$64*DATI!$E$63)*1000*C2612^2*sezione!$AD$5*(1-sezione!$AD$6)</f>
        <v>-13839827.649610894</v>
      </c>
      <c r="E2612" s="553">
        <f>-'Foglio deposito bis'!$F$88*(C2612-sezione!$AL$37)*IF(ABS(K2612)&lt;'Progetto del paramento slu'!$G$58,ABS(K2612)*'Progetto del paramento slu'!$G$54,'Progetto del paramento slu'!$G$53)</f>
        <v>0</v>
      </c>
      <c r="F2612" s="553">
        <f>-'Foglio deposito bis'!$F$89*(C2612-sezione!$AM$37)*IF(ABS(L2612)&lt;'Progetto del paramento slu'!$G$58,ABS(L2612)*'Progetto del paramento slu'!$G$54,'Progetto del paramento slu'!$G$53)</f>
        <v>16749051.576327447</v>
      </c>
      <c r="G2612" s="553">
        <f>-'Foglio deposito bis'!$F$90*(C2612-sezione!$AN$37)*IF(ABS(M2612)&lt;'Progetto del paramento slu'!$G$58,ABS(M2612)*'Progetto del paramento slu'!$G$54,'Progetto del paramento slu'!$G$53)</f>
        <v>0</v>
      </c>
      <c r="H2612" s="553">
        <f>-'Foglio deposito bis'!$F$91*(C2612-sezione!$AO$37)*IF(ABS(N2612)&lt;'Progetto del paramento slu'!$G$58,ABS(N2612)*'Progetto del paramento slu'!$G$54,'Progetto del paramento slu'!$G$53)</f>
        <v>266850735.7172918</v>
      </c>
      <c r="I2612" s="479">
        <f>-'Foglio deposito bis'!$F$92*(C2612-sezione!$AP$37)*IF(ABS(O2612)&lt;'Progetto del paramento slu'!$G$58,ABS(O2612)*'Progetto del paramento slu'!$G$54,'Progetto del paramento slu'!$G$53)</f>
        <v>363998663.761338</v>
      </c>
      <c r="J2612" s="479">
        <f t="shared" si="188"/>
        <v>633758623.40534639</v>
      </c>
      <c r="K2612" s="558">
        <f>'Progetto del paramento slu'!$G$60*(sezione!$AL$37-C2612)/C2612</f>
        <v>-8.5592361442731813E-5</v>
      </c>
      <c r="L2612" s="558">
        <f>'Progetto del paramento slu'!$G$60*(sezione!$AM$37-C2612)/C2612</f>
        <v>9.3040286445897572E-3</v>
      </c>
      <c r="M2612" s="559">
        <f>'Progetto del paramento slu'!$G$60*(sezione!$AN$37-C2612)/C2612</f>
        <v>1.8693649650622243E-2</v>
      </c>
      <c r="N2612" s="559">
        <f>'Progetto del paramento slu'!$G$60*(sezione!$AO$37-C2612)/C2612</f>
        <v>2.5522464927736778E-2</v>
      </c>
      <c r="O2612" s="559">
        <f>'Progetto del paramento slu'!$G$60*(sezione!$AP$37-C2612)/C2612</f>
        <v>1.8694503252531861E-2</v>
      </c>
      <c r="P2612" s="553">
        <f>-'Progetto del paramento slu'!$G$47*'Progetto del paramento slu'!$G$41*IF(DATI!$G$218="dx",DATI!$E$61,DATI!$E$64*DATI!$E$63)*1000*C2612*sezione!$AD$5</f>
        <v>-577969.82929485699</v>
      </c>
      <c r="Q2612" s="553">
        <f>'Foglio deposito bis'!$F$88*IF(ABS(K2612)&lt;'Progetto del paramento slu'!$G$58,ABS(K2612)*'Progetto del paramento slu'!$G$54,'Progetto del paramento slu'!$G$53)*IF(K2612&lt;0,-1,1)</f>
        <v>0</v>
      </c>
      <c r="R2612" s="553">
        <f>'Foglio deposito bis'!$F$89*IF(ABS(L2612)&lt;'Progetto del paramento slu'!$G$58,ABS(L2612)*'Progetto del paramento slu'!$G$54,'Progetto del paramento slu'!$G$53)*IF(L2612&lt;0,-1,1)</f>
        <v>153664.85805602249</v>
      </c>
      <c r="S2612" s="553">
        <f>'Foglio deposito bis'!$F$90*IF(ABS(M2612)&lt;'Progetto del paramento slu'!$G$58,ABS(M2612)*'Progetto del paramento slu'!$G$54,'Progetto del paramento slu'!$G$53)*IF(M2612&lt;0,-1,1)</f>
        <v>0</v>
      </c>
      <c r="T2612" s="553">
        <f>'Foglio deposito bis'!$F$91*IF(ABS(N2612)&lt;'Progetto del paramento slu'!$G$58,ABS(N2612)*'Progetto del paramento slu'!$G$54,'Progetto del paramento slu'!$G$53)*IF(N2612&lt;0,-1,1)</f>
        <v>892485.49558937876</v>
      </c>
      <c r="U2612" s="553">
        <f>'Foglio deposito bis'!$F$92*IF(ABS(O2612)&lt;'Progetto del paramento slu'!$G$58,ABS(O2612)*'Progetto del paramento slu'!$G$54,'Progetto del paramento slu'!$G$53)*IF(O2612&lt;0,-1,1)</f>
        <v>1662039.1047339395</v>
      </c>
      <c r="V2612" s="479">
        <f t="shared" si="190"/>
        <v>2130219.6290844837</v>
      </c>
      <c r="W2612" s="559"/>
      <c r="X2612" s="559"/>
    </row>
    <row r="2613" spans="1:24" x14ac:dyDescent="0.25">
      <c r="A2613" s="553">
        <f t="shared" si="189"/>
        <v>2118774.6819697339</v>
      </c>
      <c r="B2613" s="3">
        <f t="shared" si="192"/>
        <v>10.299999999999985</v>
      </c>
      <c r="C2613" s="553">
        <f>'Foglio deposito bis'!$E$163/sezione!$B$247*B2613</f>
        <v>41.814654939106838</v>
      </c>
      <c r="D2613" s="611">
        <f>-'Progetto del paramento slu'!$G$47*'Progetto del paramento slu'!$G$41*IF(DATI!$G$218="dx",DATI!$E$61,DATI!$E$64*DATI!$E$63)*1000*C2613^2*sezione!$AD$5*(1-sezione!$AD$6)</f>
        <v>-14393366.487081854</v>
      </c>
      <c r="E2613" s="553">
        <f>-'Foglio deposito bis'!$F$88*(C2613-sezione!$AL$37)*IF(ABS(K2613)&lt;'Progetto del paramento slu'!$G$58,ABS(K2613)*'Progetto del paramento slu'!$G$54,'Progetto del paramento slu'!$G$53)</f>
        <v>0</v>
      </c>
      <c r="F2613" s="553">
        <f>-'Foglio deposito bis'!$F$89*(C2613-sezione!$AM$37)*IF(ABS(L2613)&lt;'Progetto del paramento slu'!$G$58,ABS(L2613)*'Progetto del paramento slu'!$G$54,'Progetto del paramento slu'!$G$53)</f>
        <v>16624285.692523962</v>
      </c>
      <c r="G2613" s="553">
        <f>-'Foglio deposito bis'!$F$90*(C2613-sezione!$AN$37)*IF(ABS(M2613)&lt;'Progetto del paramento slu'!$G$58,ABS(M2613)*'Progetto del paramento slu'!$G$54,'Progetto del paramento slu'!$G$53)</f>
        <v>0</v>
      </c>
      <c r="H2613" s="553">
        <f>-'Foglio deposito bis'!$F$91*(C2613-sezione!$AO$37)*IF(ABS(N2613)&lt;'Progetto del paramento slu'!$G$58,ABS(N2613)*'Progetto del paramento slu'!$G$54,'Progetto del paramento slu'!$G$53)</f>
        <v>266126095.46416113</v>
      </c>
      <c r="I2613" s="479">
        <f>-'Foglio deposito bis'!$F$92*(C2613-sezione!$AP$37)*IF(ABS(O2613)&lt;'Progetto del paramento slu'!$G$58,ABS(O2613)*'Progetto del paramento slu'!$G$54,'Progetto del paramento slu'!$G$53)</f>
        <v>362649195.96211946</v>
      </c>
      <c r="J2613" s="479">
        <f t="shared" ref="J2613:J2676" si="193">D2613+E2613+F2613+G2613+H2613+I2613</f>
        <v>631006210.63172269</v>
      </c>
      <c r="K2613" s="558">
        <f>'Progetto del paramento slu'!$G$60*(sezione!$AL$37-C2613)/C2613</f>
        <v>-1.5189153889044613E-4</v>
      </c>
      <c r="L2613" s="558">
        <f>'Progetto del paramento slu'!$G$60*(sezione!$AM$37-C2613)/C2613</f>
        <v>9.0554067291608257E-3</v>
      </c>
      <c r="M2613" s="559">
        <f>'Progetto del paramento slu'!$G$60*(sezione!$AN$37-C2613)/C2613</f>
        <v>1.8262704997212102E-2</v>
      </c>
      <c r="N2613" s="559">
        <f>'Progetto del paramento slu'!$G$60*(sezione!$AO$37-C2613)/C2613</f>
        <v>2.4958921919431207E-2</v>
      </c>
      <c r="O2613" s="559">
        <f>'Progetto del paramento slu'!$G$60*(sezione!$AP$37-C2613)/C2613</f>
        <v>1.8263542024327357E-2</v>
      </c>
      <c r="P2613" s="553">
        <f>-'Progetto del paramento slu'!$G$47*'Progetto del paramento slu'!$G$41*IF(DATI!$G$218="dx",DATI!$E$61,DATI!$E$64*DATI!$E$63)*1000*C2613*sezione!$AD$5</f>
        <v>-589414.77640960668</v>
      </c>
      <c r="Q2613" s="553">
        <f>'Foglio deposito bis'!$F$88*IF(ABS(K2613)&lt;'Progetto del paramento slu'!$G$58,ABS(K2613)*'Progetto del paramento slu'!$G$54,'Progetto del paramento slu'!$G$53)*IF(K2613&lt;0,-1,1)</f>
        <v>0</v>
      </c>
      <c r="R2613" s="553">
        <f>'Foglio deposito bis'!$F$89*IF(ABS(L2613)&lt;'Progetto del paramento slu'!$G$58,ABS(L2613)*'Progetto del paramento slu'!$G$54,'Progetto del paramento slu'!$G$53)*IF(L2613&lt;0,-1,1)</f>
        <v>153664.85805602249</v>
      </c>
      <c r="S2613" s="553">
        <f>'Foglio deposito bis'!$F$90*IF(ABS(M2613)&lt;'Progetto del paramento slu'!$G$58,ABS(M2613)*'Progetto del paramento slu'!$G$54,'Progetto del paramento slu'!$G$53)*IF(M2613&lt;0,-1,1)</f>
        <v>0</v>
      </c>
      <c r="T2613" s="553">
        <f>'Foglio deposito bis'!$F$91*IF(ABS(N2613)&lt;'Progetto del paramento slu'!$G$58,ABS(N2613)*'Progetto del paramento slu'!$G$54,'Progetto del paramento slu'!$G$53)*IF(N2613&lt;0,-1,1)</f>
        <v>892485.49558937876</v>
      </c>
      <c r="U2613" s="553">
        <f>'Foglio deposito bis'!$F$92*IF(ABS(O2613)&lt;'Progetto del paramento slu'!$G$58,ABS(O2613)*'Progetto del paramento slu'!$G$54,'Progetto del paramento slu'!$G$53)*IF(O2613&lt;0,-1,1)</f>
        <v>1662039.1047339395</v>
      </c>
      <c r="V2613" s="479">
        <f t="shared" si="190"/>
        <v>2118774.6819697339</v>
      </c>
      <c r="W2613" s="559"/>
      <c r="X2613" s="559"/>
    </row>
    <row r="2614" spans="1:24" x14ac:dyDescent="0.25">
      <c r="A2614" s="553">
        <f t="shared" ref="A2614:A2677" si="194">ABS(V2614)</f>
        <v>2107329.7348549846</v>
      </c>
      <c r="B2614" s="3">
        <f t="shared" si="192"/>
        <v>10.499999999999984</v>
      </c>
      <c r="C2614" s="553">
        <f>'Foglio deposito bis'!$E$163/sezione!$B$247*B2614</f>
        <v>42.626589986468133</v>
      </c>
      <c r="D2614" s="611">
        <f>-'Progetto del paramento slu'!$G$47*'Progetto del paramento slu'!$G$41*IF(DATI!$G$218="dx",DATI!$E$61,DATI!$E$64*DATI!$E$63)*1000*C2614^2*sezione!$AD$5*(1-sezione!$AD$6)</f>
        <v>-14957759.027248319</v>
      </c>
      <c r="E2614" s="553">
        <f>-'Foglio deposito bis'!$F$88*(C2614-sezione!$AL$37)*IF(ABS(K2614)&lt;'Progetto del paramento slu'!$G$58,ABS(K2614)*'Progetto del paramento slu'!$G$54,'Progetto del paramento slu'!$G$53)</f>
        <v>0</v>
      </c>
      <c r="F2614" s="553">
        <f>-'Foglio deposito bis'!$F$89*(C2614-sezione!$AM$37)*IF(ABS(L2614)&lt;'Progetto del paramento slu'!$G$58,ABS(L2614)*'Progetto del paramento slu'!$G$54,'Progetto del paramento slu'!$G$53)</f>
        <v>16499519.808720479</v>
      </c>
      <c r="G2614" s="553">
        <f>-'Foglio deposito bis'!$F$90*(C2614-sezione!$AN$37)*IF(ABS(M2614)&lt;'Progetto del paramento slu'!$G$58,ABS(M2614)*'Progetto del paramento slu'!$G$54,'Progetto del paramento slu'!$G$53)</f>
        <v>0</v>
      </c>
      <c r="H2614" s="553">
        <f>-'Foglio deposito bis'!$F$91*(C2614-sezione!$AO$37)*IF(ABS(N2614)&lt;'Progetto del paramento slu'!$G$58,ABS(N2614)*'Progetto del paramento slu'!$G$54,'Progetto del paramento slu'!$G$53)</f>
        <v>265401455.21103051</v>
      </c>
      <c r="I2614" s="479">
        <f>-'Foglio deposito bis'!$F$92*(C2614-sezione!$AP$37)*IF(ABS(O2614)&lt;'Progetto del paramento slu'!$G$58,ABS(O2614)*'Progetto del paramento slu'!$G$54,'Progetto del paramento slu'!$G$53)</f>
        <v>361299728.16290098</v>
      </c>
      <c r="J2614" s="479">
        <f t="shared" si="193"/>
        <v>628242944.15540361</v>
      </c>
      <c r="K2614" s="558">
        <f>'Progetto del paramento slu'!$G$60*(sezione!$AL$37-C2614)/C2614</f>
        <v>-2.1566503338777077E-4</v>
      </c>
      <c r="L2614" s="558">
        <f>'Progetto del paramento slu'!$G$60*(sezione!$AM$37-C2614)/C2614</f>
        <v>8.8162561247958609E-3</v>
      </c>
      <c r="M2614" s="559">
        <f>'Progetto del paramento slu'!$G$60*(sezione!$AN$37-C2614)/C2614</f>
        <v>1.784817728297949E-2</v>
      </c>
      <c r="N2614" s="559">
        <f>'Progetto del paramento slu'!$G$60*(sezione!$AO$37-C2614)/C2614</f>
        <v>2.4416847216203946E-2</v>
      </c>
      <c r="O2614" s="559">
        <f>'Progetto del paramento slu'!$G$60*(sezione!$AP$37-C2614)/C2614</f>
        <v>1.7848998366721124E-2</v>
      </c>
      <c r="P2614" s="553">
        <f>-'Progetto del paramento slu'!$G$47*'Progetto del paramento slu'!$G$41*IF(DATI!$G$218="dx",DATI!$E$61,DATI!$E$64*DATI!$E$63)*1000*C2614*sezione!$AD$5</f>
        <v>-600859.72352435626</v>
      </c>
      <c r="Q2614" s="553">
        <f>'Foglio deposito bis'!$F$88*IF(ABS(K2614)&lt;'Progetto del paramento slu'!$G$58,ABS(K2614)*'Progetto del paramento slu'!$G$54,'Progetto del paramento slu'!$G$53)*IF(K2614&lt;0,-1,1)</f>
        <v>0</v>
      </c>
      <c r="R2614" s="553">
        <f>'Foglio deposito bis'!$F$89*IF(ABS(L2614)&lt;'Progetto del paramento slu'!$G$58,ABS(L2614)*'Progetto del paramento slu'!$G$54,'Progetto del paramento slu'!$G$53)*IF(L2614&lt;0,-1,1)</f>
        <v>153664.85805602249</v>
      </c>
      <c r="S2614" s="553">
        <f>'Foglio deposito bis'!$F$90*IF(ABS(M2614)&lt;'Progetto del paramento slu'!$G$58,ABS(M2614)*'Progetto del paramento slu'!$G$54,'Progetto del paramento slu'!$G$53)*IF(M2614&lt;0,-1,1)</f>
        <v>0</v>
      </c>
      <c r="T2614" s="553">
        <f>'Foglio deposito bis'!$F$91*IF(ABS(N2614)&lt;'Progetto del paramento slu'!$G$58,ABS(N2614)*'Progetto del paramento slu'!$G$54,'Progetto del paramento slu'!$G$53)*IF(N2614&lt;0,-1,1)</f>
        <v>892485.49558937876</v>
      </c>
      <c r="U2614" s="553">
        <f>'Foglio deposito bis'!$F$92*IF(ABS(O2614)&lt;'Progetto del paramento slu'!$G$58,ABS(O2614)*'Progetto del paramento slu'!$G$54,'Progetto del paramento slu'!$G$53)*IF(O2614&lt;0,-1,1)</f>
        <v>1662039.1047339395</v>
      </c>
      <c r="V2614" s="479">
        <f t="shared" ref="V2614:V2677" si="195">P2614+Q2614+R2614+S2614+T2614+U2614</f>
        <v>2107329.7348549846</v>
      </c>
      <c r="W2614" s="559"/>
      <c r="X2614" s="559"/>
    </row>
    <row r="2615" spans="1:24" x14ac:dyDescent="0.25">
      <c r="A2615" s="553">
        <f t="shared" si="194"/>
        <v>2095884.787740235</v>
      </c>
      <c r="B2615" s="3">
        <f t="shared" si="192"/>
        <v>10.699999999999983</v>
      </c>
      <c r="C2615" s="553">
        <f>'Foglio deposito bis'!$E$163/sezione!$B$247*B2615</f>
        <v>43.438525033829428</v>
      </c>
      <c r="D2615" s="611">
        <f>-'Progetto del paramento slu'!$G$47*'Progetto del paramento slu'!$G$41*IF(DATI!$G$218="dx",DATI!$E$61,DATI!$E$64*DATI!$E$63)*1000*C2615^2*sezione!$AD$5*(1-sezione!$AD$6)</f>
        <v>-15533005.270110292</v>
      </c>
      <c r="E2615" s="553">
        <f>-'Foglio deposito bis'!$F$88*(C2615-sezione!$AL$37)*IF(ABS(K2615)&lt;'Progetto del paramento slu'!$G$58,ABS(K2615)*'Progetto del paramento slu'!$G$54,'Progetto del paramento slu'!$G$53)</f>
        <v>0</v>
      </c>
      <c r="F2615" s="553">
        <f>-'Foglio deposito bis'!$F$89*(C2615-sezione!$AM$37)*IF(ABS(L2615)&lt;'Progetto del paramento slu'!$G$58,ABS(L2615)*'Progetto del paramento slu'!$G$54,'Progetto del paramento slu'!$G$53)</f>
        <v>16374753.924916998</v>
      </c>
      <c r="G2615" s="553">
        <f>-'Foglio deposito bis'!$F$90*(C2615-sezione!$AN$37)*IF(ABS(M2615)&lt;'Progetto del paramento slu'!$G$58,ABS(M2615)*'Progetto del paramento slu'!$G$54,'Progetto del paramento slu'!$G$53)</f>
        <v>0</v>
      </c>
      <c r="H2615" s="553">
        <f>-'Foglio deposito bis'!$F$91*(C2615-sezione!$AO$37)*IF(ABS(N2615)&lt;'Progetto del paramento slu'!$G$58,ABS(N2615)*'Progetto del paramento slu'!$G$54,'Progetto del paramento slu'!$G$53)</f>
        <v>264676814.9578999</v>
      </c>
      <c r="I2615" s="479">
        <f>-'Foglio deposito bis'!$F$92*(C2615-sezione!$AP$37)*IF(ABS(O2615)&lt;'Progetto del paramento slu'!$G$58,ABS(O2615)*'Progetto del paramento slu'!$G$54,'Progetto del paramento slu'!$G$53)</f>
        <v>359950260.36368257</v>
      </c>
      <c r="J2615" s="479">
        <f t="shared" si="193"/>
        <v>625468823.97638917</v>
      </c>
      <c r="K2615" s="558">
        <f>'Progetto del paramento slu'!$G$60*(sezione!$AL$37-C2615)/C2615</f>
        <v>-2.770544720160366E-4</v>
      </c>
      <c r="L2615" s="558">
        <f>'Progetto del paramento slu'!$G$60*(sezione!$AM$37-C2615)/C2615</f>
        <v>8.5860457299398642E-3</v>
      </c>
      <c r="M2615" s="559">
        <f>'Progetto del paramento slu'!$G$60*(sezione!$AN$37-C2615)/C2615</f>
        <v>1.7449145931895765E-2</v>
      </c>
      <c r="N2615" s="559">
        <f>'Progetto del paramento slu'!$G$60*(sezione!$AO$37-C2615)/C2615</f>
        <v>2.3895036987863692E-2</v>
      </c>
      <c r="O2615" s="559">
        <f>'Progetto del paramento slu'!$G$60*(sezione!$AP$37-C2615)/C2615</f>
        <v>1.744995166827774E-2</v>
      </c>
      <c r="P2615" s="553">
        <f>-'Progetto del paramento slu'!$G$47*'Progetto del paramento slu'!$G$41*IF(DATI!$G$218="dx",DATI!$E$61,DATI!$E$64*DATI!$E$63)*1000*C2615*sezione!$AD$5</f>
        <v>-612304.67063910584</v>
      </c>
      <c r="Q2615" s="553">
        <f>'Foglio deposito bis'!$F$88*IF(ABS(K2615)&lt;'Progetto del paramento slu'!$G$58,ABS(K2615)*'Progetto del paramento slu'!$G$54,'Progetto del paramento slu'!$G$53)*IF(K2615&lt;0,-1,1)</f>
        <v>0</v>
      </c>
      <c r="R2615" s="553">
        <f>'Foglio deposito bis'!$F$89*IF(ABS(L2615)&lt;'Progetto del paramento slu'!$G$58,ABS(L2615)*'Progetto del paramento slu'!$G$54,'Progetto del paramento slu'!$G$53)*IF(L2615&lt;0,-1,1)</f>
        <v>153664.85805602249</v>
      </c>
      <c r="S2615" s="553">
        <f>'Foglio deposito bis'!$F$90*IF(ABS(M2615)&lt;'Progetto del paramento slu'!$G$58,ABS(M2615)*'Progetto del paramento slu'!$G$54,'Progetto del paramento slu'!$G$53)*IF(M2615&lt;0,-1,1)</f>
        <v>0</v>
      </c>
      <c r="T2615" s="553">
        <f>'Foglio deposito bis'!$F$91*IF(ABS(N2615)&lt;'Progetto del paramento slu'!$G$58,ABS(N2615)*'Progetto del paramento slu'!$G$54,'Progetto del paramento slu'!$G$53)*IF(N2615&lt;0,-1,1)</f>
        <v>892485.49558937876</v>
      </c>
      <c r="U2615" s="553">
        <f>'Foglio deposito bis'!$F$92*IF(ABS(O2615)&lt;'Progetto del paramento slu'!$G$58,ABS(O2615)*'Progetto del paramento slu'!$G$54,'Progetto del paramento slu'!$G$53)*IF(O2615&lt;0,-1,1)</f>
        <v>1662039.1047339395</v>
      </c>
      <c r="V2615" s="479">
        <f t="shared" si="195"/>
        <v>2095884.787740235</v>
      </c>
      <c r="W2615" s="559"/>
      <c r="X2615" s="559"/>
    </row>
    <row r="2616" spans="1:24" x14ac:dyDescent="0.25">
      <c r="A2616" s="553">
        <f t="shared" si="194"/>
        <v>2084439.8406254852</v>
      </c>
      <c r="B2616" s="3">
        <f t="shared" si="192"/>
        <v>10.899999999999983</v>
      </c>
      <c r="C2616" s="553">
        <f>'Foglio deposito bis'!$E$163/sezione!$B$247*B2616</f>
        <v>44.250460081190724</v>
      </c>
      <c r="D2616" s="611">
        <f>-'Progetto del paramento slu'!$G$47*'Progetto del paramento slu'!$G$41*IF(DATI!$G$218="dx",DATI!$E$61,DATI!$E$64*DATI!$E$63)*1000*C2616^2*sezione!$AD$5*(1-sezione!$AD$6)</f>
        <v>-16119105.215667777</v>
      </c>
      <c r="E2616" s="553">
        <f>-'Foglio deposito bis'!$F$88*(C2616-sezione!$AL$37)*IF(ABS(K2616)&lt;'Progetto del paramento slu'!$G$58,ABS(K2616)*'Progetto del paramento slu'!$G$54,'Progetto del paramento slu'!$G$53)</f>
        <v>0</v>
      </c>
      <c r="F2616" s="553">
        <f>-'Foglio deposito bis'!$F$89*(C2616-sezione!$AM$37)*IF(ABS(L2616)&lt;'Progetto del paramento slu'!$G$58,ABS(L2616)*'Progetto del paramento slu'!$G$54,'Progetto del paramento slu'!$G$53)</f>
        <v>16249988.041113513</v>
      </c>
      <c r="G2616" s="553">
        <f>-'Foglio deposito bis'!$F$90*(C2616-sezione!$AN$37)*IF(ABS(M2616)&lt;'Progetto del paramento slu'!$G$58,ABS(M2616)*'Progetto del paramento slu'!$G$54,'Progetto del paramento slu'!$G$53)</f>
        <v>0</v>
      </c>
      <c r="H2616" s="553">
        <f>-'Foglio deposito bis'!$F$91*(C2616-sezione!$AO$37)*IF(ABS(N2616)&lt;'Progetto del paramento slu'!$G$58,ABS(N2616)*'Progetto del paramento slu'!$G$54,'Progetto del paramento slu'!$G$53)</f>
        <v>263952174.70476925</v>
      </c>
      <c r="I2616" s="479">
        <f>-'Foglio deposito bis'!$F$92*(C2616-sezione!$AP$37)*IF(ABS(O2616)&lt;'Progetto del paramento slu'!$G$58,ABS(O2616)*'Progetto del paramento slu'!$G$54,'Progetto del paramento slu'!$G$53)</f>
        <v>358600792.56446403</v>
      </c>
      <c r="J2616" s="479">
        <f t="shared" si="193"/>
        <v>622683850.094679</v>
      </c>
      <c r="K2616" s="558">
        <f>'Progetto del paramento slu'!$G$60*(sezione!$AL$37-C2616)/C2616</f>
        <v>-3.3619108720840272E-4</v>
      </c>
      <c r="L2616" s="558">
        <f>'Progetto del paramento slu'!$G$60*(sezione!$AM$37-C2616)/C2616</f>
        <v>8.3642834229684902E-3</v>
      </c>
      <c r="M2616" s="559">
        <f>'Progetto del paramento slu'!$G$60*(sezione!$AN$37-C2616)/C2616</f>
        <v>1.7064757933145384E-2</v>
      </c>
      <c r="N2616" s="559">
        <f>'Progetto del paramento slu'!$G$60*(sezione!$AO$37-C2616)/C2616</f>
        <v>2.3392375758728576E-2</v>
      </c>
      <c r="O2616" s="559">
        <f>'Progetto del paramento slu'!$G$60*(sezione!$AP$37-C2616)/C2616</f>
        <v>1.7065548885373559E-2</v>
      </c>
      <c r="P2616" s="553">
        <f>-'Progetto del paramento slu'!$G$47*'Progetto del paramento slu'!$G$41*IF(DATI!$G$218="dx",DATI!$E$61,DATI!$E$64*DATI!$E$63)*1000*C2616*sezione!$AD$5</f>
        <v>-623749.61775385553</v>
      </c>
      <c r="Q2616" s="553">
        <f>'Foglio deposito bis'!$F$88*IF(ABS(K2616)&lt;'Progetto del paramento slu'!$G$58,ABS(K2616)*'Progetto del paramento slu'!$G$54,'Progetto del paramento slu'!$G$53)*IF(K2616&lt;0,-1,1)</f>
        <v>0</v>
      </c>
      <c r="R2616" s="553">
        <f>'Foglio deposito bis'!$F$89*IF(ABS(L2616)&lt;'Progetto del paramento slu'!$G$58,ABS(L2616)*'Progetto del paramento slu'!$G$54,'Progetto del paramento slu'!$G$53)*IF(L2616&lt;0,-1,1)</f>
        <v>153664.85805602249</v>
      </c>
      <c r="S2616" s="553">
        <f>'Foglio deposito bis'!$F$90*IF(ABS(M2616)&lt;'Progetto del paramento slu'!$G$58,ABS(M2616)*'Progetto del paramento slu'!$G$54,'Progetto del paramento slu'!$G$53)*IF(M2616&lt;0,-1,1)</f>
        <v>0</v>
      </c>
      <c r="T2616" s="553">
        <f>'Foglio deposito bis'!$F$91*IF(ABS(N2616)&lt;'Progetto del paramento slu'!$G$58,ABS(N2616)*'Progetto del paramento slu'!$G$54,'Progetto del paramento slu'!$G$53)*IF(N2616&lt;0,-1,1)</f>
        <v>892485.49558937876</v>
      </c>
      <c r="U2616" s="553">
        <f>'Foglio deposito bis'!$F$92*IF(ABS(O2616)&lt;'Progetto del paramento slu'!$G$58,ABS(O2616)*'Progetto del paramento slu'!$G$54,'Progetto del paramento slu'!$G$53)*IF(O2616&lt;0,-1,1)</f>
        <v>1662039.1047339395</v>
      </c>
      <c r="V2616" s="479">
        <f t="shared" si="195"/>
        <v>2084439.8406254852</v>
      </c>
      <c r="W2616" s="559"/>
      <c r="X2616" s="559"/>
    </row>
    <row r="2617" spans="1:24" x14ac:dyDescent="0.25">
      <c r="A2617" s="553">
        <f t="shared" si="194"/>
        <v>2072994.8935107356</v>
      </c>
      <c r="B2617" s="3">
        <f t="shared" si="192"/>
        <v>11.099999999999982</v>
      </c>
      <c r="C2617" s="553">
        <f>'Foglio deposito bis'!$E$163/sezione!$B$247*B2617</f>
        <v>45.062395128552019</v>
      </c>
      <c r="D2617" s="611">
        <f>-'Progetto del paramento slu'!$G$47*'Progetto del paramento slu'!$G$41*IF(DATI!$G$218="dx",DATI!$E$61,DATI!$E$64*DATI!$E$63)*1000*C2617^2*sezione!$AD$5*(1-sezione!$AD$6)</f>
        <v>-16716058.863920769</v>
      </c>
      <c r="E2617" s="553">
        <f>-'Foglio deposito bis'!$F$88*(C2617-sezione!$AL$37)*IF(ABS(K2617)&lt;'Progetto del paramento slu'!$G$58,ABS(K2617)*'Progetto del paramento slu'!$G$54,'Progetto del paramento slu'!$G$53)</f>
        <v>0</v>
      </c>
      <c r="F2617" s="553">
        <f>-'Foglio deposito bis'!$F$89*(C2617-sezione!$AM$37)*IF(ABS(L2617)&lt;'Progetto del paramento slu'!$G$58,ABS(L2617)*'Progetto del paramento slu'!$G$54,'Progetto del paramento slu'!$G$53)</f>
        <v>16125222.157310026</v>
      </c>
      <c r="G2617" s="553">
        <f>-'Foglio deposito bis'!$F$90*(C2617-sezione!$AN$37)*IF(ABS(M2617)&lt;'Progetto del paramento slu'!$G$58,ABS(M2617)*'Progetto del paramento slu'!$G$54,'Progetto del paramento slu'!$G$53)</f>
        <v>0</v>
      </c>
      <c r="H2617" s="553">
        <f>-'Foglio deposito bis'!$F$91*(C2617-sezione!$AO$37)*IF(ABS(N2617)&lt;'Progetto del paramento slu'!$G$58,ABS(N2617)*'Progetto del paramento slu'!$G$54,'Progetto del paramento slu'!$G$53)</f>
        <v>263227534.45163864</v>
      </c>
      <c r="I2617" s="479">
        <f>-'Foglio deposito bis'!$F$92*(C2617-sezione!$AP$37)*IF(ABS(O2617)&lt;'Progetto del paramento slu'!$G$58,ABS(O2617)*'Progetto del paramento slu'!$G$54,'Progetto del paramento slu'!$G$53)</f>
        <v>357251324.76524556</v>
      </c>
      <c r="J2617" s="479">
        <f t="shared" si="193"/>
        <v>619888022.51027346</v>
      </c>
      <c r="K2617" s="558">
        <f>'Progetto del paramento slu'!$G$60*(sezione!$AL$37-C2617)/C2617</f>
        <v>-3.9319665320464755E-4</v>
      </c>
      <c r="L2617" s="558">
        <f>'Progetto del paramento slu'!$G$60*(sezione!$AM$37-C2617)/C2617</f>
        <v>8.1505125504825714E-3</v>
      </c>
      <c r="M2617" s="559">
        <f>'Progetto del paramento slu'!$G$60*(sezione!$AN$37-C2617)/C2617</f>
        <v>1.6694221754169791E-2</v>
      </c>
      <c r="N2617" s="559">
        <f>'Progetto del paramento slu'!$G$60*(sezione!$AO$37-C2617)/C2617</f>
        <v>2.2907828447760497E-2</v>
      </c>
      <c r="O2617" s="559">
        <f>'Progetto del paramento slu'!$G$60*(sezione!$AP$37-C2617)/C2617</f>
        <v>1.6694998455006473E-2</v>
      </c>
      <c r="P2617" s="553">
        <f>-'Progetto del paramento slu'!$G$47*'Progetto del paramento slu'!$G$41*IF(DATI!$G$218="dx",DATI!$E$61,DATI!$E$64*DATI!$E$63)*1000*C2617*sezione!$AD$5</f>
        <v>-635194.56486860511</v>
      </c>
      <c r="Q2617" s="553">
        <f>'Foglio deposito bis'!$F$88*IF(ABS(K2617)&lt;'Progetto del paramento slu'!$G$58,ABS(K2617)*'Progetto del paramento slu'!$G$54,'Progetto del paramento slu'!$G$53)*IF(K2617&lt;0,-1,1)</f>
        <v>0</v>
      </c>
      <c r="R2617" s="553">
        <f>'Foglio deposito bis'!$F$89*IF(ABS(L2617)&lt;'Progetto del paramento slu'!$G$58,ABS(L2617)*'Progetto del paramento slu'!$G$54,'Progetto del paramento slu'!$G$53)*IF(L2617&lt;0,-1,1)</f>
        <v>153664.85805602249</v>
      </c>
      <c r="S2617" s="553">
        <f>'Foglio deposito bis'!$F$90*IF(ABS(M2617)&lt;'Progetto del paramento slu'!$G$58,ABS(M2617)*'Progetto del paramento slu'!$G$54,'Progetto del paramento slu'!$G$53)*IF(M2617&lt;0,-1,1)</f>
        <v>0</v>
      </c>
      <c r="T2617" s="553">
        <f>'Foglio deposito bis'!$F$91*IF(ABS(N2617)&lt;'Progetto del paramento slu'!$G$58,ABS(N2617)*'Progetto del paramento slu'!$G$54,'Progetto del paramento slu'!$G$53)*IF(N2617&lt;0,-1,1)</f>
        <v>892485.49558937876</v>
      </c>
      <c r="U2617" s="553">
        <f>'Foglio deposito bis'!$F$92*IF(ABS(O2617)&lt;'Progetto del paramento slu'!$G$58,ABS(O2617)*'Progetto del paramento slu'!$G$54,'Progetto del paramento slu'!$G$53)*IF(O2617&lt;0,-1,1)</f>
        <v>1662039.1047339395</v>
      </c>
      <c r="V2617" s="479">
        <f t="shared" si="195"/>
        <v>2072994.8935107356</v>
      </c>
      <c r="W2617" s="559"/>
      <c r="X2617" s="559"/>
    </row>
    <row r="2618" spans="1:24" x14ac:dyDescent="0.25">
      <c r="A2618" s="553">
        <f t="shared" si="194"/>
        <v>2061549.946395986</v>
      </c>
      <c r="B2618" s="3">
        <f t="shared" si="192"/>
        <v>11.299999999999981</v>
      </c>
      <c r="C2618" s="553">
        <f>'Foglio deposito bis'!$E$163/sezione!$B$247*B2618</f>
        <v>45.874330175913315</v>
      </c>
      <c r="D2618" s="611">
        <f>-'Progetto del paramento slu'!$G$47*'Progetto del paramento slu'!$G$41*IF(DATI!$G$218="dx",DATI!$E$61,DATI!$E$64*DATI!$E$63)*1000*C2618^2*sezione!$AD$5*(1-sezione!$AD$6)</f>
        <v>-17323866.214869268</v>
      </c>
      <c r="E2618" s="553">
        <f>-'Foglio deposito bis'!$F$88*(C2618-sezione!$AL$37)*IF(ABS(K2618)&lt;'Progetto del paramento slu'!$G$58,ABS(K2618)*'Progetto del paramento slu'!$G$54,'Progetto del paramento slu'!$G$53)</f>
        <v>0</v>
      </c>
      <c r="F2618" s="553">
        <f>-'Foglio deposito bis'!$F$89*(C2618-sezione!$AM$37)*IF(ABS(L2618)&lt;'Progetto del paramento slu'!$G$58,ABS(L2618)*'Progetto del paramento slu'!$G$54,'Progetto del paramento slu'!$G$53)</f>
        <v>16000456.273506545</v>
      </c>
      <c r="G2618" s="553">
        <f>-'Foglio deposito bis'!$F$90*(C2618-sezione!$AN$37)*IF(ABS(M2618)&lt;'Progetto del paramento slu'!$G$58,ABS(M2618)*'Progetto del paramento slu'!$G$54,'Progetto del paramento slu'!$G$53)</f>
        <v>0</v>
      </c>
      <c r="H2618" s="553">
        <f>-'Foglio deposito bis'!$F$91*(C2618-sezione!$AO$37)*IF(ABS(N2618)&lt;'Progetto del paramento slu'!$G$58,ABS(N2618)*'Progetto del paramento slu'!$G$54,'Progetto del paramento slu'!$G$53)</f>
        <v>262502894.19850802</v>
      </c>
      <c r="I2618" s="479">
        <f>-'Foglio deposito bis'!$F$92*(C2618-sezione!$AP$37)*IF(ABS(O2618)&lt;'Progetto del paramento slu'!$G$58,ABS(O2618)*'Progetto del paramento slu'!$G$54,'Progetto del paramento slu'!$G$53)</f>
        <v>355901856.96602708</v>
      </c>
      <c r="J2618" s="479">
        <f t="shared" si="193"/>
        <v>617081341.22317243</v>
      </c>
      <c r="K2618" s="558">
        <f>'Progetto del paramento slu'!$G$60*(sezione!$AL$37-C2618)/C2618</f>
        <v>-4.4818432305943241E-4</v>
      </c>
      <c r="L2618" s="558">
        <f>'Progetto del paramento slu'!$G$60*(sezione!$AM$37-C2618)/C2618</f>
        <v>7.9443087885271279E-3</v>
      </c>
      <c r="M2618" s="559">
        <f>'Progetto del paramento slu'!$G$60*(sezione!$AN$37-C2618)/C2618</f>
        <v>1.633680190011369E-2</v>
      </c>
      <c r="N2618" s="559">
        <f>'Progetto del paramento slu'!$G$60*(sezione!$AO$37-C2618)/C2618</f>
        <v>2.2440433253994824E-2</v>
      </c>
      <c r="O2618" s="559">
        <f>'Progetto del paramento slu'!$G$60*(sezione!$AP$37-C2618)/C2618</f>
        <v>1.6337564854032906E-2</v>
      </c>
      <c r="P2618" s="553">
        <f>-'Progetto del paramento slu'!$G$47*'Progetto del paramento slu'!$G$41*IF(DATI!$G$218="dx",DATI!$E$61,DATI!$E$64*DATI!$E$63)*1000*C2618*sezione!$AD$5</f>
        <v>-646639.51198335469</v>
      </c>
      <c r="Q2618" s="553">
        <f>'Foglio deposito bis'!$F$88*IF(ABS(K2618)&lt;'Progetto del paramento slu'!$G$58,ABS(K2618)*'Progetto del paramento slu'!$G$54,'Progetto del paramento slu'!$G$53)*IF(K2618&lt;0,-1,1)</f>
        <v>0</v>
      </c>
      <c r="R2618" s="553">
        <f>'Foglio deposito bis'!$F$89*IF(ABS(L2618)&lt;'Progetto del paramento slu'!$G$58,ABS(L2618)*'Progetto del paramento slu'!$G$54,'Progetto del paramento slu'!$G$53)*IF(L2618&lt;0,-1,1)</f>
        <v>153664.85805602249</v>
      </c>
      <c r="S2618" s="553">
        <f>'Foglio deposito bis'!$F$90*IF(ABS(M2618)&lt;'Progetto del paramento slu'!$G$58,ABS(M2618)*'Progetto del paramento slu'!$G$54,'Progetto del paramento slu'!$G$53)*IF(M2618&lt;0,-1,1)</f>
        <v>0</v>
      </c>
      <c r="T2618" s="553">
        <f>'Foglio deposito bis'!$F$91*IF(ABS(N2618)&lt;'Progetto del paramento slu'!$G$58,ABS(N2618)*'Progetto del paramento slu'!$G$54,'Progetto del paramento slu'!$G$53)*IF(N2618&lt;0,-1,1)</f>
        <v>892485.49558937876</v>
      </c>
      <c r="U2618" s="553">
        <f>'Foglio deposito bis'!$F$92*IF(ABS(O2618)&lt;'Progetto del paramento slu'!$G$58,ABS(O2618)*'Progetto del paramento slu'!$G$54,'Progetto del paramento slu'!$G$53)*IF(O2618&lt;0,-1,1)</f>
        <v>1662039.1047339395</v>
      </c>
      <c r="V2618" s="479">
        <f t="shared" si="195"/>
        <v>2061549.946395986</v>
      </c>
      <c r="W2618" s="559"/>
      <c r="X2618" s="559"/>
    </row>
    <row r="2619" spans="1:24" x14ac:dyDescent="0.25">
      <c r="A2619" s="553">
        <f t="shared" si="194"/>
        <v>2050104.9992812364</v>
      </c>
      <c r="B2619" s="3">
        <f t="shared" si="192"/>
        <v>11.49999999999998</v>
      </c>
      <c r="C2619" s="553">
        <f>'Foglio deposito bis'!$E$163/sezione!$B$247*B2619</f>
        <v>46.68626522327461</v>
      </c>
      <c r="D2619" s="611">
        <f>-'Progetto del paramento slu'!$G$47*'Progetto del paramento slu'!$G$41*IF(DATI!$G$218="dx",DATI!$E$61,DATI!$E$64*DATI!$E$63)*1000*C2619^2*sezione!$AD$5*(1-sezione!$AD$6)</f>
        <v>-17942527.268513277</v>
      </c>
      <c r="E2619" s="553">
        <f>-'Foglio deposito bis'!$F$88*(C2619-sezione!$AL$37)*IF(ABS(K2619)&lt;'Progetto del paramento slu'!$G$58,ABS(K2619)*'Progetto del paramento slu'!$G$54,'Progetto del paramento slu'!$G$53)</f>
        <v>0</v>
      </c>
      <c r="F2619" s="553">
        <f>-'Foglio deposito bis'!$F$89*(C2619-sezione!$AM$37)*IF(ABS(L2619)&lt;'Progetto del paramento slu'!$G$58,ABS(L2619)*'Progetto del paramento slu'!$G$54,'Progetto del paramento slu'!$G$53)</f>
        <v>15875690.389703065</v>
      </c>
      <c r="G2619" s="553">
        <f>-'Foglio deposito bis'!$F$90*(C2619-sezione!$AN$37)*IF(ABS(M2619)&lt;'Progetto del paramento slu'!$G$58,ABS(M2619)*'Progetto del paramento slu'!$G$54,'Progetto del paramento slu'!$G$53)</f>
        <v>0</v>
      </c>
      <c r="H2619" s="553">
        <f>-'Foglio deposito bis'!$F$91*(C2619-sezione!$AO$37)*IF(ABS(N2619)&lt;'Progetto del paramento slu'!$G$58,ABS(N2619)*'Progetto del paramento slu'!$G$54,'Progetto del paramento slu'!$G$53)</f>
        <v>261778253.94537735</v>
      </c>
      <c r="I2619" s="479">
        <f>-'Foglio deposito bis'!$F$92*(C2619-sezione!$AP$37)*IF(ABS(O2619)&lt;'Progetto del paramento slu'!$G$58,ABS(O2619)*'Progetto del paramento slu'!$G$54,'Progetto del paramento slu'!$G$53)</f>
        <v>354552389.16680866</v>
      </c>
      <c r="J2619" s="479">
        <f t="shared" si="193"/>
        <v>614263806.23337579</v>
      </c>
      <c r="K2619" s="558">
        <f>'Progetto del paramento slu'!$G$60*(sezione!$AL$37-C2619)/C2619</f>
        <v>-5.0125937831057253E-4</v>
      </c>
      <c r="L2619" s="558">
        <f>'Progetto del paramento slu'!$G$60*(sezione!$AM$37-C2619)/C2619</f>
        <v>7.7452773313353542E-3</v>
      </c>
      <c r="M2619" s="559">
        <f>'Progetto del paramento slu'!$G$60*(sezione!$AN$37-C2619)/C2619</f>
        <v>1.5991814040981277E-2</v>
      </c>
      <c r="N2619" s="559">
        <f>'Progetto del paramento slu'!$G$60*(sezione!$AO$37-C2619)/C2619</f>
        <v>2.1989295284360132E-2</v>
      </c>
      <c r="O2619" s="559">
        <f>'Progetto del paramento slu'!$G$60*(sezione!$AP$37-C2619)/C2619</f>
        <v>1.5992563726136683E-2</v>
      </c>
      <c r="P2619" s="553">
        <f>-'Progetto del paramento slu'!$G$47*'Progetto del paramento slu'!$G$41*IF(DATI!$G$218="dx",DATI!$E$61,DATI!$E$64*DATI!$E$63)*1000*C2619*sezione!$AD$5</f>
        <v>-658084.45909810439</v>
      </c>
      <c r="Q2619" s="553">
        <f>'Foglio deposito bis'!$F$88*IF(ABS(K2619)&lt;'Progetto del paramento slu'!$G$58,ABS(K2619)*'Progetto del paramento slu'!$G$54,'Progetto del paramento slu'!$G$53)*IF(K2619&lt;0,-1,1)</f>
        <v>0</v>
      </c>
      <c r="R2619" s="553">
        <f>'Foglio deposito bis'!$F$89*IF(ABS(L2619)&lt;'Progetto del paramento slu'!$G$58,ABS(L2619)*'Progetto del paramento slu'!$G$54,'Progetto del paramento slu'!$G$53)*IF(L2619&lt;0,-1,1)</f>
        <v>153664.85805602249</v>
      </c>
      <c r="S2619" s="553">
        <f>'Foglio deposito bis'!$F$90*IF(ABS(M2619)&lt;'Progetto del paramento slu'!$G$58,ABS(M2619)*'Progetto del paramento slu'!$G$54,'Progetto del paramento slu'!$G$53)*IF(M2619&lt;0,-1,1)</f>
        <v>0</v>
      </c>
      <c r="T2619" s="553">
        <f>'Foglio deposito bis'!$F$91*IF(ABS(N2619)&lt;'Progetto del paramento slu'!$G$58,ABS(N2619)*'Progetto del paramento slu'!$G$54,'Progetto del paramento slu'!$G$53)*IF(N2619&lt;0,-1,1)</f>
        <v>892485.49558937876</v>
      </c>
      <c r="U2619" s="553">
        <f>'Foglio deposito bis'!$F$92*IF(ABS(O2619)&lt;'Progetto del paramento slu'!$G$58,ABS(O2619)*'Progetto del paramento slu'!$G$54,'Progetto del paramento slu'!$G$53)*IF(O2619&lt;0,-1,1)</f>
        <v>1662039.1047339395</v>
      </c>
      <c r="V2619" s="479">
        <f t="shared" si="195"/>
        <v>2050104.9992812364</v>
      </c>
      <c r="W2619" s="559"/>
      <c r="X2619" s="559"/>
    </row>
    <row r="2620" spans="1:24" x14ac:dyDescent="0.25">
      <c r="A2620" s="553">
        <f t="shared" si="194"/>
        <v>2038660.0521664869</v>
      </c>
      <c r="B2620" s="3">
        <f t="shared" si="192"/>
        <v>11.69999999999998</v>
      </c>
      <c r="C2620" s="553">
        <f>'Foglio deposito bis'!$E$163/sezione!$B$247*B2620</f>
        <v>47.498200270635905</v>
      </c>
      <c r="D2620" s="611">
        <f>-'Progetto del paramento slu'!$G$47*'Progetto del paramento slu'!$G$41*IF(DATI!$G$218="dx",DATI!$E$61,DATI!$E$64*DATI!$E$63)*1000*C2620^2*sezione!$AD$5*(1-sezione!$AD$6)</f>
        <v>-18572042.024852797</v>
      </c>
      <c r="E2620" s="553">
        <f>-'Foglio deposito bis'!$F$88*(C2620-sezione!$AL$37)*IF(ABS(K2620)&lt;'Progetto del paramento slu'!$G$58,ABS(K2620)*'Progetto del paramento slu'!$G$54,'Progetto del paramento slu'!$G$53)</f>
        <v>0</v>
      </c>
      <c r="F2620" s="553">
        <f>-'Foglio deposito bis'!$F$89*(C2620-sezione!$AM$37)*IF(ABS(L2620)&lt;'Progetto del paramento slu'!$G$58,ABS(L2620)*'Progetto del paramento slu'!$G$54,'Progetto del paramento slu'!$G$53)</f>
        <v>15750924.505899578</v>
      </c>
      <c r="G2620" s="553">
        <f>-'Foglio deposito bis'!$F$90*(C2620-sezione!$AN$37)*IF(ABS(M2620)&lt;'Progetto del paramento slu'!$G$58,ABS(M2620)*'Progetto del paramento slu'!$G$54,'Progetto del paramento slu'!$G$53)</f>
        <v>0</v>
      </c>
      <c r="H2620" s="553">
        <f>-'Foglio deposito bis'!$F$91*(C2620-sezione!$AO$37)*IF(ABS(N2620)&lt;'Progetto del paramento slu'!$G$58,ABS(N2620)*'Progetto del paramento slu'!$G$54,'Progetto del paramento slu'!$G$53)</f>
        <v>261053613.69224676</v>
      </c>
      <c r="I2620" s="479">
        <f>-'Foglio deposito bis'!$F$92*(C2620-sezione!$AP$37)*IF(ABS(O2620)&lt;'Progetto del paramento slu'!$G$58,ABS(O2620)*'Progetto del paramento slu'!$G$54,'Progetto del paramento slu'!$G$53)</f>
        <v>353202921.36759019</v>
      </c>
      <c r="J2620" s="479">
        <f t="shared" si="193"/>
        <v>611435417.54088378</v>
      </c>
      <c r="K2620" s="558">
        <f>'Progetto del paramento slu'!$G$60*(sezione!$AL$37-C2620)/C2620</f>
        <v>-5.52519901758255E-4</v>
      </c>
      <c r="L2620" s="558">
        <f>'Progetto del paramento slu'!$G$60*(sezione!$AM$37-C2620)/C2620</f>
        <v>7.5530503684065444E-3</v>
      </c>
      <c r="M2620" s="559">
        <f>'Progetto del paramento slu'!$G$60*(sezione!$AN$37-C2620)/C2620</f>
        <v>1.5658620638571343E-2</v>
      </c>
      <c r="N2620" s="559">
        <f>'Progetto del paramento slu'!$G$60*(sezione!$AO$37-C2620)/C2620</f>
        <v>2.1553580835054834E-2</v>
      </c>
      <c r="O2620" s="559">
        <f>'Progetto del paramento slu'!$G$60*(sezione!$AP$37-C2620)/C2620</f>
        <v>1.5659357508595886E-2</v>
      </c>
      <c r="P2620" s="553">
        <f>-'Progetto del paramento slu'!$G$47*'Progetto del paramento slu'!$G$41*IF(DATI!$G$218="dx",DATI!$E$61,DATI!$E$64*DATI!$E$63)*1000*C2620*sezione!$AD$5</f>
        <v>-669529.40621285397</v>
      </c>
      <c r="Q2620" s="553">
        <f>'Foglio deposito bis'!$F$88*IF(ABS(K2620)&lt;'Progetto del paramento slu'!$G$58,ABS(K2620)*'Progetto del paramento slu'!$G$54,'Progetto del paramento slu'!$G$53)*IF(K2620&lt;0,-1,1)</f>
        <v>0</v>
      </c>
      <c r="R2620" s="553">
        <f>'Foglio deposito bis'!$F$89*IF(ABS(L2620)&lt;'Progetto del paramento slu'!$G$58,ABS(L2620)*'Progetto del paramento slu'!$G$54,'Progetto del paramento slu'!$G$53)*IF(L2620&lt;0,-1,1)</f>
        <v>153664.85805602249</v>
      </c>
      <c r="S2620" s="553">
        <f>'Foglio deposito bis'!$F$90*IF(ABS(M2620)&lt;'Progetto del paramento slu'!$G$58,ABS(M2620)*'Progetto del paramento slu'!$G$54,'Progetto del paramento slu'!$G$53)*IF(M2620&lt;0,-1,1)</f>
        <v>0</v>
      </c>
      <c r="T2620" s="553">
        <f>'Foglio deposito bis'!$F$91*IF(ABS(N2620)&lt;'Progetto del paramento slu'!$G$58,ABS(N2620)*'Progetto del paramento slu'!$G$54,'Progetto del paramento slu'!$G$53)*IF(N2620&lt;0,-1,1)</f>
        <v>892485.49558937876</v>
      </c>
      <c r="U2620" s="553">
        <f>'Foglio deposito bis'!$F$92*IF(ABS(O2620)&lt;'Progetto del paramento slu'!$G$58,ABS(O2620)*'Progetto del paramento slu'!$G$54,'Progetto del paramento slu'!$G$53)*IF(O2620&lt;0,-1,1)</f>
        <v>1662039.1047339395</v>
      </c>
      <c r="V2620" s="479">
        <f t="shared" si="195"/>
        <v>2038660.0521664869</v>
      </c>
      <c r="W2620" s="559"/>
      <c r="X2620" s="559"/>
    </row>
    <row r="2621" spans="1:24" x14ac:dyDescent="0.25">
      <c r="A2621" s="553">
        <f t="shared" si="194"/>
        <v>2027215.1050517373</v>
      </c>
      <c r="B2621" s="3">
        <f t="shared" si="192"/>
        <v>11.899999999999979</v>
      </c>
      <c r="C2621" s="553">
        <f>'Foglio deposito bis'!$E$163/sezione!$B$247*B2621</f>
        <v>48.310135317997201</v>
      </c>
      <c r="D2621" s="611">
        <f>-'Progetto del paramento slu'!$G$47*'Progetto del paramento slu'!$G$41*IF(DATI!$G$218="dx",DATI!$E$61,DATI!$E$64*DATI!$E$63)*1000*C2621^2*sezione!$AD$5*(1-sezione!$AD$6)</f>
        <v>-19212410.483887825</v>
      </c>
      <c r="E2621" s="553">
        <f>-'Foglio deposito bis'!$F$88*(C2621-sezione!$AL$37)*IF(ABS(K2621)&lt;'Progetto del paramento slu'!$G$58,ABS(K2621)*'Progetto del paramento slu'!$G$54,'Progetto del paramento slu'!$G$53)</f>
        <v>0</v>
      </c>
      <c r="F2621" s="553">
        <f>-'Foglio deposito bis'!$F$89*(C2621-sezione!$AM$37)*IF(ABS(L2621)&lt;'Progetto del paramento slu'!$G$58,ABS(L2621)*'Progetto del paramento slu'!$G$54,'Progetto del paramento slu'!$G$53)</f>
        <v>15626158.622096093</v>
      </c>
      <c r="G2621" s="553">
        <f>-'Foglio deposito bis'!$F$90*(C2621-sezione!$AN$37)*IF(ABS(M2621)&lt;'Progetto del paramento slu'!$G$58,ABS(M2621)*'Progetto del paramento slu'!$G$54,'Progetto del paramento slu'!$G$53)</f>
        <v>0</v>
      </c>
      <c r="H2621" s="553">
        <f>-'Foglio deposito bis'!$F$91*(C2621-sezione!$AO$37)*IF(ABS(N2621)&lt;'Progetto del paramento slu'!$G$58,ABS(N2621)*'Progetto del paramento slu'!$G$54,'Progetto del paramento slu'!$G$53)</f>
        <v>260328973.43911609</v>
      </c>
      <c r="I2621" s="479">
        <f>-'Foglio deposito bis'!$F$92*(C2621-sezione!$AP$37)*IF(ABS(O2621)&lt;'Progetto del paramento slu'!$G$58,ABS(O2621)*'Progetto del paramento slu'!$G$54,'Progetto del paramento slu'!$G$53)</f>
        <v>351853453.56837165</v>
      </c>
      <c r="J2621" s="479">
        <f t="shared" si="193"/>
        <v>608596175.14569604</v>
      </c>
      <c r="K2621" s="558">
        <f>'Progetto del paramento slu'!$G$60*(sezione!$AL$37-C2621)/C2621</f>
        <v>-6.0205738240097322E-4</v>
      </c>
      <c r="L2621" s="558">
        <f>'Progetto del paramento slu'!$G$60*(sezione!$AM$37-C2621)/C2621</f>
        <v>7.3672848159963495E-3</v>
      </c>
      <c r="M2621" s="559">
        <f>'Progetto del paramento slu'!$G$60*(sezione!$AN$37-C2621)/C2621</f>
        <v>1.5336627014393674E-2</v>
      </c>
      <c r="N2621" s="559">
        <f>'Progetto del paramento slu'!$G$60*(sezione!$AO$37-C2621)/C2621</f>
        <v>2.1132512249591728E-2</v>
      </c>
      <c r="O2621" s="559">
        <f>'Progetto del paramento slu'!$G$60*(sezione!$AP$37-C2621)/C2621</f>
        <v>1.5337351500048056E-2</v>
      </c>
      <c r="P2621" s="553">
        <f>-'Progetto del paramento slu'!$G$47*'Progetto del paramento slu'!$G$41*IF(DATI!$G$218="dx",DATI!$E$61,DATI!$E$64*DATI!$E$63)*1000*C2621*sezione!$AD$5</f>
        <v>-680974.35332760355</v>
      </c>
      <c r="Q2621" s="553">
        <f>'Foglio deposito bis'!$F$88*IF(ABS(K2621)&lt;'Progetto del paramento slu'!$G$58,ABS(K2621)*'Progetto del paramento slu'!$G$54,'Progetto del paramento slu'!$G$53)*IF(K2621&lt;0,-1,1)</f>
        <v>0</v>
      </c>
      <c r="R2621" s="553">
        <f>'Foglio deposito bis'!$F$89*IF(ABS(L2621)&lt;'Progetto del paramento slu'!$G$58,ABS(L2621)*'Progetto del paramento slu'!$G$54,'Progetto del paramento slu'!$G$53)*IF(L2621&lt;0,-1,1)</f>
        <v>153664.85805602249</v>
      </c>
      <c r="S2621" s="553">
        <f>'Foglio deposito bis'!$F$90*IF(ABS(M2621)&lt;'Progetto del paramento slu'!$G$58,ABS(M2621)*'Progetto del paramento slu'!$G$54,'Progetto del paramento slu'!$G$53)*IF(M2621&lt;0,-1,1)</f>
        <v>0</v>
      </c>
      <c r="T2621" s="553">
        <f>'Foglio deposito bis'!$F$91*IF(ABS(N2621)&lt;'Progetto del paramento slu'!$G$58,ABS(N2621)*'Progetto del paramento slu'!$G$54,'Progetto del paramento slu'!$G$53)*IF(N2621&lt;0,-1,1)</f>
        <v>892485.49558937876</v>
      </c>
      <c r="U2621" s="553">
        <f>'Foglio deposito bis'!$F$92*IF(ABS(O2621)&lt;'Progetto del paramento slu'!$G$58,ABS(O2621)*'Progetto del paramento slu'!$G$54,'Progetto del paramento slu'!$G$53)*IF(O2621&lt;0,-1,1)</f>
        <v>1662039.1047339395</v>
      </c>
      <c r="V2621" s="479">
        <f t="shared" si="195"/>
        <v>2027215.1050517373</v>
      </c>
      <c r="W2621" s="559"/>
      <c r="X2621" s="559"/>
    </row>
    <row r="2622" spans="1:24" x14ac:dyDescent="0.25">
      <c r="A2622" s="553">
        <f t="shared" si="194"/>
        <v>2015770.1579369875</v>
      </c>
      <c r="B2622" s="3">
        <f t="shared" si="192"/>
        <v>12.099999999999978</v>
      </c>
      <c r="C2622" s="553">
        <f>'Foglio deposito bis'!$E$163/sezione!$B$247*B2622</f>
        <v>49.122070365358496</v>
      </c>
      <c r="D2622" s="611">
        <f>-'Progetto del paramento slu'!$G$47*'Progetto del paramento slu'!$G$41*IF(DATI!$G$218="dx",DATI!$E$61,DATI!$E$64*DATI!$E$63)*1000*C2622^2*sezione!$AD$5*(1-sezione!$AD$6)</f>
        <v>-19863632.645618364</v>
      </c>
      <c r="E2622" s="553">
        <f>-'Foglio deposito bis'!$F$88*(C2622-sezione!$AL$37)*IF(ABS(K2622)&lt;'Progetto del paramento slu'!$G$58,ABS(K2622)*'Progetto del paramento slu'!$G$54,'Progetto del paramento slu'!$G$53)</f>
        <v>0</v>
      </c>
      <c r="F2622" s="553">
        <f>-'Foglio deposito bis'!$F$89*(C2622-sezione!$AM$37)*IF(ABS(L2622)&lt;'Progetto del paramento slu'!$G$58,ABS(L2622)*'Progetto del paramento slu'!$G$54,'Progetto del paramento slu'!$G$53)</f>
        <v>15501392.738292612</v>
      </c>
      <c r="G2622" s="553">
        <f>-'Foglio deposito bis'!$F$90*(C2622-sezione!$AN$37)*IF(ABS(M2622)&lt;'Progetto del paramento slu'!$G$58,ABS(M2622)*'Progetto del paramento slu'!$G$54,'Progetto del paramento slu'!$G$53)</f>
        <v>0</v>
      </c>
      <c r="H2622" s="553">
        <f>-'Foglio deposito bis'!$F$91*(C2622-sezione!$AO$37)*IF(ABS(N2622)&lt;'Progetto del paramento slu'!$G$58,ABS(N2622)*'Progetto del paramento slu'!$G$54,'Progetto del paramento slu'!$G$53)</f>
        <v>259604333.18598551</v>
      </c>
      <c r="I2622" s="479">
        <f>-'Foglio deposito bis'!$F$92*(C2622-sezione!$AP$37)*IF(ABS(O2622)&lt;'Progetto del paramento slu'!$G$58,ABS(O2622)*'Progetto del paramento slu'!$G$54,'Progetto del paramento slu'!$G$53)</f>
        <v>350503985.76915318</v>
      </c>
      <c r="J2622" s="479">
        <f t="shared" si="193"/>
        <v>605746079.04781294</v>
      </c>
      <c r="K2622" s="558">
        <f>'Progetto del paramento slu'!$G$60*(sezione!$AL$37-C2622)/C2622</f>
        <v>-6.4995726037781658E-4</v>
      </c>
      <c r="L2622" s="558">
        <f>'Progetto del paramento slu'!$G$60*(sezione!$AM$37-C2622)/C2622</f>
        <v>7.1876602735831876E-3</v>
      </c>
      <c r="M2622" s="559">
        <f>'Progetto del paramento slu'!$G$60*(sezione!$AN$37-C2622)/C2622</f>
        <v>1.5025277807544193E-2</v>
      </c>
      <c r="N2622" s="559">
        <f>'Progetto del paramento slu'!$G$60*(sezione!$AO$37-C2622)/C2622</f>
        <v>2.0725363286788558E-2</v>
      </c>
      <c r="O2622" s="559">
        <f>'Progetto del paramento slu'!$G$60*(sezione!$AP$37-C2622)/C2622</f>
        <v>1.5025990318229083E-2</v>
      </c>
      <c r="P2622" s="553">
        <f>-'Progetto del paramento slu'!$G$47*'Progetto del paramento slu'!$G$41*IF(DATI!$G$218="dx",DATI!$E$61,DATI!$E$64*DATI!$E$63)*1000*C2622*sezione!$AD$5</f>
        <v>-692419.30044235324</v>
      </c>
      <c r="Q2622" s="553">
        <f>'Foglio deposito bis'!$F$88*IF(ABS(K2622)&lt;'Progetto del paramento slu'!$G$58,ABS(K2622)*'Progetto del paramento slu'!$G$54,'Progetto del paramento slu'!$G$53)*IF(K2622&lt;0,-1,1)</f>
        <v>0</v>
      </c>
      <c r="R2622" s="553">
        <f>'Foglio deposito bis'!$F$89*IF(ABS(L2622)&lt;'Progetto del paramento slu'!$G$58,ABS(L2622)*'Progetto del paramento slu'!$G$54,'Progetto del paramento slu'!$G$53)*IF(L2622&lt;0,-1,1)</f>
        <v>153664.85805602249</v>
      </c>
      <c r="S2622" s="553">
        <f>'Foglio deposito bis'!$F$90*IF(ABS(M2622)&lt;'Progetto del paramento slu'!$G$58,ABS(M2622)*'Progetto del paramento slu'!$G$54,'Progetto del paramento slu'!$G$53)*IF(M2622&lt;0,-1,1)</f>
        <v>0</v>
      </c>
      <c r="T2622" s="553">
        <f>'Foglio deposito bis'!$F$91*IF(ABS(N2622)&lt;'Progetto del paramento slu'!$G$58,ABS(N2622)*'Progetto del paramento slu'!$G$54,'Progetto del paramento slu'!$G$53)*IF(N2622&lt;0,-1,1)</f>
        <v>892485.49558937876</v>
      </c>
      <c r="U2622" s="553">
        <f>'Foglio deposito bis'!$F$92*IF(ABS(O2622)&lt;'Progetto del paramento slu'!$G$58,ABS(O2622)*'Progetto del paramento slu'!$G$54,'Progetto del paramento slu'!$G$53)*IF(O2622&lt;0,-1,1)</f>
        <v>1662039.1047339395</v>
      </c>
      <c r="V2622" s="479">
        <f t="shared" si="195"/>
        <v>2015770.1579369875</v>
      </c>
      <c r="W2622" s="559"/>
      <c r="X2622" s="559"/>
    </row>
    <row r="2623" spans="1:24" x14ac:dyDescent="0.25">
      <c r="A2623" s="553">
        <f t="shared" si="194"/>
        <v>2004325.2108222379</v>
      </c>
      <c r="B2623" s="3">
        <f t="shared" si="192"/>
        <v>12.299999999999978</v>
      </c>
      <c r="C2623" s="553">
        <f>'Foglio deposito bis'!$E$163/sezione!$B$247*B2623</f>
        <v>49.934005412719792</v>
      </c>
      <c r="D2623" s="611">
        <f>-'Progetto del paramento slu'!$G$47*'Progetto del paramento slu'!$G$41*IF(DATI!$G$218="dx",DATI!$E$61,DATI!$E$64*DATI!$E$63)*1000*C2623^2*sezione!$AD$5*(1-sezione!$AD$6)</f>
        <v>-20525708.510044407</v>
      </c>
      <c r="E2623" s="553">
        <f>-'Foglio deposito bis'!$F$88*(C2623-sezione!$AL$37)*IF(ABS(K2623)&lt;'Progetto del paramento slu'!$G$58,ABS(K2623)*'Progetto del paramento slu'!$G$54,'Progetto del paramento slu'!$G$53)</f>
        <v>0</v>
      </c>
      <c r="F2623" s="553">
        <f>-'Foglio deposito bis'!$F$89*(C2623-sezione!$AM$37)*IF(ABS(L2623)&lt;'Progetto del paramento slu'!$G$58,ABS(L2623)*'Progetto del paramento slu'!$G$54,'Progetto del paramento slu'!$G$53)</f>
        <v>15376626.854489129</v>
      </c>
      <c r="G2623" s="553">
        <f>-'Foglio deposito bis'!$F$90*(C2623-sezione!$AN$37)*IF(ABS(M2623)&lt;'Progetto del paramento slu'!$G$58,ABS(M2623)*'Progetto del paramento slu'!$G$54,'Progetto del paramento slu'!$G$53)</f>
        <v>0</v>
      </c>
      <c r="H2623" s="553">
        <f>-'Foglio deposito bis'!$F$91*(C2623-sezione!$AO$37)*IF(ABS(N2623)&lt;'Progetto del paramento slu'!$G$58,ABS(N2623)*'Progetto del paramento slu'!$G$54,'Progetto del paramento slu'!$G$53)</f>
        <v>258879692.93285483</v>
      </c>
      <c r="I2623" s="479">
        <f>-'Foglio deposito bis'!$F$92*(C2623-sezione!$AP$37)*IF(ABS(O2623)&lt;'Progetto del paramento slu'!$G$58,ABS(O2623)*'Progetto del paramento slu'!$G$54,'Progetto del paramento slu'!$G$53)</f>
        <v>349154517.96993476</v>
      </c>
      <c r="J2623" s="479">
        <f t="shared" si="193"/>
        <v>602885129.24723434</v>
      </c>
      <c r="K2623" s="558">
        <f>'Progetto del paramento slu'!$G$60*(sezione!$AL$37-C2623)/C2623</f>
        <v>-6.9629941874565691E-4</v>
      </c>
      <c r="L2623" s="558">
        <f>'Progetto del paramento slu'!$G$60*(sezione!$AM$37-C2623)/C2623</f>
        <v>7.0138771797037883E-3</v>
      </c>
      <c r="M2623" s="559">
        <f>'Progetto del paramento slu'!$G$60*(sezione!$AN$37-C2623)/C2623</f>
        <v>1.4724053778153232E-2</v>
      </c>
      <c r="N2623" s="559">
        <f>'Progetto del paramento slu'!$G$60*(sezione!$AO$37-C2623)/C2623</f>
        <v>2.0331454940661915E-2</v>
      </c>
      <c r="O2623" s="559">
        <f>'Progetto del paramento slu'!$G$60*(sezione!$AP$37-C2623)/C2623</f>
        <v>1.4724754703298528E-2</v>
      </c>
      <c r="P2623" s="553">
        <f>-'Progetto del paramento slu'!$G$47*'Progetto del paramento slu'!$G$41*IF(DATI!$G$218="dx",DATI!$E$61,DATI!$E$64*DATI!$E$63)*1000*C2623*sezione!$AD$5</f>
        <v>-703864.24755710282</v>
      </c>
      <c r="Q2623" s="553">
        <f>'Foglio deposito bis'!$F$88*IF(ABS(K2623)&lt;'Progetto del paramento slu'!$G$58,ABS(K2623)*'Progetto del paramento slu'!$G$54,'Progetto del paramento slu'!$G$53)*IF(K2623&lt;0,-1,1)</f>
        <v>0</v>
      </c>
      <c r="R2623" s="553">
        <f>'Foglio deposito bis'!$F$89*IF(ABS(L2623)&lt;'Progetto del paramento slu'!$G$58,ABS(L2623)*'Progetto del paramento slu'!$G$54,'Progetto del paramento slu'!$G$53)*IF(L2623&lt;0,-1,1)</f>
        <v>153664.85805602249</v>
      </c>
      <c r="S2623" s="553">
        <f>'Foglio deposito bis'!$F$90*IF(ABS(M2623)&lt;'Progetto del paramento slu'!$G$58,ABS(M2623)*'Progetto del paramento slu'!$G$54,'Progetto del paramento slu'!$G$53)*IF(M2623&lt;0,-1,1)</f>
        <v>0</v>
      </c>
      <c r="T2623" s="553">
        <f>'Foglio deposito bis'!$F$91*IF(ABS(N2623)&lt;'Progetto del paramento slu'!$G$58,ABS(N2623)*'Progetto del paramento slu'!$G$54,'Progetto del paramento slu'!$G$53)*IF(N2623&lt;0,-1,1)</f>
        <v>892485.49558937876</v>
      </c>
      <c r="U2623" s="553">
        <f>'Foglio deposito bis'!$F$92*IF(ABS(O2623)&lt;'Progetto del paramento slu'!$G$58,ABS(O2623)*'Progetto del paramento slu'!$G$54,'Progetto del paramento slu'!$G$53)*IF(O2623&lt;0,-1,1)</f>
        <v>1662039.1047339395</v>
      </c>
      <c r="V2623" s="479">
        <f t="shared" si="195"/>
        <v>2004325.2108222379</v>
      </c>
      <c r="W2623" s="559"/>
      <c r="X2623" s="559"/>
    </row>
    <row r="2624" spans="1:24" x14ac:dyDescent="0.25">
      <c r="A2624" s="553">
        <f t="shared" si="194"/>
        <v>1992880.2637074883</v>
      </c>
      <c r="B2624" s="3">
        <f t="shared" si="192"/>
        <v>12.499999999999977</v>
      </c>
      <c r="C2624" s="553">
        <f>'Foglio deposito bis'!$E$163/sezione!$B$247*B2624</f>
        <v>50.745940460081094</v>
      </c>
      <c r="D2624" s="611">
        <f>-'Progetto del paramento slu'!$G$47*'Progetto del paramento slu'!$G$41*IF(DATI!$G$218="dx",DATI!$E$61,DATI!$E$64*DATI!$E$63)*1000*C2624^2*sezione!$AD$5*(1-sezione!$AD$6)</f>
        <v>-21198638.077165972</v>
      </c>
      <c r="E2624" s="553">
        <f>-'Foglio deposito bis'!$F$88*(C2624-sezione!$AL$37)*IF(ABS(K2624)&lt;'Progetto del paramento slu'!$G$58,ABS(K2624)*'Progetto del paramento slu'!$G$54,'Progetto del paramento slu'!$G$53)</f>
        <v>0</v>
      </c>
      <c r="F2624" s="553">
        <f>-'Foglio deposito bis'!$F$89*(C2624-sezione!$AM$37)*IF(ABS(L2624)&lt;'Progetto del paramento slu'!$G$58,ABS(L2624)*'Progetto del paramento slu'!$G$54,'Progetto del paramento slu'!$G$53)</f>
        <v>15251860.970685644</v>
      </c>
      <c r="G2624" s="553">
        <f>-'Foglio deposito bis'!$F$90*(C2624-sezione!$AN$37)*IF(ABS(M2624)&lt;'Progetto del paramento slu'!$G$58,ABS(M2624)*'Progetto del paramento slu'!$G$54,'Progetto del paramento slu'!$G$53)</f>
        <v>0</v>
      </c>
      <c r="H2624" s="553">
        <f>-'Foglio deposito bis'!$F$91*(C2624-sezione!$AO$37)*IF(ABS(N2624)&lt;'Progetto del paramento slu'!$G$58,ABS(N2624)*'Progetto del paramento slu'!$G$54,'Progetto del paramento slu'!$G$53)</f>
        <v>258155052.67972422</v>
      </c>
      <c r="I2624" s="479">
        <f>-'Foglio deposito bis'!$F$92*(C2624-sezione!$AP$37)*IF(ABS(O2624)&lt;'Progetto del paramento slu'!$G$58,ABS(O2624)*'Progetto del paramento slu'!$G$54,'Progetto del paramento slu'!$G$53)</f>
        <v>347805050.17071623</v>
      </c>
      <c r="J2624" s="479">
        <f t="shared" si="193"/>
        <v>600013325.74396014</v>
      </c>
      <c r="K2624" s="558">
        <f>'Progetto del paramento slu'!$G$60*(sezione!$AL$37-C2624)/C2624</f>
        <v>-7.4115862804572654E-4</v>
      </c>
      <c r="L2624" s="558">
        <f>'Progetto del paramento slu'!$G$60*(sezione!$AM$37-C2624)/C2624</f>
        <v>6.845655144828525E-3</v>
      </c>
      <c r="M2624" s="559">
        <f>'Progetto del paramento slu'!$G$60*(sezione!$AN$37-C2624)/C2624</f>
        <v>1.4432468917702777E-2</v>
      </c>
      <c r="N2624" s="559">
        <f>'Progetto del paramento slu'!$G$60*(sezione!$AO$37-C2624)/C2624</f>
        <v>1.9950151661611324E-2</v>
      </c>
      <c r="O2624" s="559">
        <f>'Progetto del paramento slu'!$G$60*(sezione!$AP$37-C2624)/C2624</f>
        <v>1.4433158628045749E-2</v>
      </c>
      <c r="P2624" s="553">
        <f>-'Progetto del paramento slu'!$G$47*'Progetto del paramento slu'!$G$41*IF(DATI!$G$218="dx",DATI!$E$61,DATI!$E$64*DATI!$E$63)*1000*C2624*sezione!$AD$5</f>
        <v>-715309.19467185251</v>
      </c>
      <c r="Q2624" s="553">
        <f>'Foglio deposito bis'!$F$88*IF(ABS(K2624)&lt;'Progetto del paramento slu'!$G$58,ABS(K2624)*'Progetto del paramento slu'!$G$54,'Progetto del paramento slu'!$G$53)*IF(K2624&lt;0,-1,1)</f>
        <v>0</v>
      </c>
      <c r="R2624" s="553">
        <f>'Foglio deposito bis'!$F$89*IF(ABS(L2624)&lt;'Progetto del paramento slu'!$G$58,ABS(L2624)*'Progetto del paramento slu'!$G$54,'Progetto del paramento slu'!$G$53)*IF(L2624&lt;0,-1,1)</f>
        <v>153664.85805602249</v>
      </c>
      <c r="S2624" s="553">
        <f>'Foglio deposito bis'!$F$90*IF(ABS(M2624)&lt;'Progetto del paramento slu'!$G$58,ABS(M2624)*'Progetto del paramento slu'!$G$54,'Progetto del paramento slu'!$G$53)*IF(M2624&lt;0,-1,1)</f>
        <v>0</v>
      </c>
      <c r="T2624" s="553">
        <f>'Foglio deposito bis'!$F$91*IF(ABS(N2624)&lt;'Progetto del paramento slu'!$G$58,ABS(N2624)*'Progetto del paramento slu'!$G$54,'Progetto del paramento slu'!$G$53)*IF(N2624&lt;0,-1,1)</f>
        <v>892485.49558937876</v>
      </c>
      <c r="U2624" s="553">
        <f>'Foglio deposito bis'!$F$92*IF(ABS(O2624)&lt;'Progetto del paramento slu'!$G$58,ABS(O2624)*'Progetto del paramento slu'!$G$54,'Progetto del paramento slu'!$G$53)*IF(O2624&lt;0,-1,1)</f>
        <v>1662039.1047339395</v>
      </c>
      <c r="V2624" s="479">
        <f t="shared" si="195"/>
        <v>1992880.2637074883</v>
      </c>
      <c r="W2624" s="559"/>
      <c r="X2624" s="559"/>
    </row>
    <row r="2625" spans="1:24" x14ac:dyDescent="0.25">
      <c r="A2625" s="553">
        <f t="shared" si="194"/>
        <v>1981435.3165927387</v>
      </c>
      <c r="B2625" s="3">
        <f t="shared" si="192"/>
        <v>12.699999999999976</v>
      </c>
      <c r="C2625" s="553">
        <f>'Foglio deposito bis'!$E$163/sezione!$B$247*B2625</f>
        <v>51.55787550744239</v>
      </c>
      <c r="D2625" s="611">
        <f>-'Progetto del paramento slu'!$G$47*'Progetto del paramento slu'!$G$41*IF(DATI!$G$218="dx",DATI!$E$61,DATI!$E$64*DATI!$E$63)*1000*C2625^2*sezione!$AD$5*(1-sezione!$AD$6)</f>
        <v>-21882421.346983034</v>
      </c>
      <c r="E2625" s="553">
        <f>-'Foglio deposito bis'!$F$88*(C2625-sezione!$AL$37)*IF(ABS(K2625)&lt;'Progetto del paramento slu'!$G$58,ABS(K2625)*'Progetto del paramento slu'!$G$54,'Progetto del paramento slu'!$G$53)</f>
        <v>0</v>
      </c>
      <c r="F2625" s="553">
        <f>-'Foglio deposito bis'!$F$89*(C2625-sezione!$AM$37)*IF(ABS(L2625)&lt;'Progetto del paramento slu'!$G$58,ABS(L2625)*'Progetto del paramento slu'!$G$54,'Progetto del paramento slu'!$G$53)</f>
        <v>15127095.086882161</v>
      </c>
      <c r="G2625" s="553">
        <f>-'Foglio deposito bis'!$F$90*(C2625-sezione!$AN$37)*IF(ABS(M2625)&lt;'Progetto del paramento slu'!$G$58,ABS(M2625)*'Progetto del paramento slu'!$G$54,'Progetto del paramento slu'!$G$53)</f>
        <v>0</v>
      </c>
      <c r="H2625" s="553">
        <f>-'Foglio deposito bis'!$F$91*(C2625-sezione!$AO$37)*IF(ABS(N2625)&lt;'Progetto del paramento slu'!$G$58,ABS(N2625)*'Progetto del paramento slu'!$G$54,'Progetto del paramento slu'!$G$53)</f>
        <v>257430412.42659354</v>
      </c>
      <c r="I2625" s="479">
        <f>-'Foglio deposito bis'!$F$92*(C2625-sezione!$AP$37)*IF(ABS(O2625)&lt;'Progetto del paramento slu'!$G$58,ABS(O2625)*'Progetto del paramento slu'!$G$54,'Progetto del paramento slu'!$G$53)</f>
        <v>346455582.37149775</v>
      </c>
      <c r="J2625" s="479">
        <f t="shared" si="193"/>
        <v>597130668.53799045</v>
      </c>
      <c r="K2625" s="558">
        <f>'Progetto del paramento slu'!$G$60*(sezione!$AL$37-C2625)/C2625</f>
        <v>-7.8460494886390395E-4</v>
      </c>
      <c r="L2625" s="558">
        <f>'Progetto del paramento slu'!$G$60*(sezione!$AM$37-C2625)/C2625</f>
        <v>6.68273144176036E-3</v>
      </c>
      <c r="M2625" s="559">
        <f>'Progetto del paramento slu'!$G$60*(sezione!$AN$37-C2625)/C2625</f>
        <v>1.4150067832384624E-2</v>
      </c>
      <c r="N2625" s="559">
        <f>'Progetto del paramento slu'!$G$60*(sezione!$AO$37-C2625)/C2625</f>
        <v>1.9580857934656814E-2</v>
      </c>
      <c r="O2625" s="559">
        <f>'Progetto del paramento slu'!$G$60*(sezione!$AP$37-C2625)/C2625</f>
        <v>1.4150746681147394E-2</v>
      </c>
      <c r="P2625" s="553">
        <f>-'Progetto del paramento slu'!$G$47*'Progetto del paramento slu'!$G$41*IF(DATI!$G$218="dx",DATI!$E$61,DATI!$E$64*DATI!$E$63)*1000*C2625*sezione!$AD$5</f>
        <v>-726754.14178660209</v>
      </c>
      <c r="Q2625" s="553">
        <f>'Foglio deposito bis'!$F$88*IF(ABS(K2625)&lt;'Progetto del paramento slu'!$G$58,ABS(K2625)*'Progetto del paramento slu'!$G$54,'Progetto del paramento slu'!$G$53)*IF(K2625&lt;0,-1,1)</f>
        <v>0</v>
      </c>
      <c r="R2625" s="553">
        <f>'Foglio deposito bis'!$F$89*IF(ABS(L2625)&lt;'Progetto del paramento slu'!$G$58,ABS(L2625)*'Progetto del paramento slu'!$G$54,'Progetto del paramento slu'!$G$53)*IF(L2625&lt;0,-1,1)</f>
        <v>153664.85805602249</v>
      </c>
      <c r="S2625" s="553">
        <f>'Foglio deposito bis'!$F$90*IF(ABS(M2625)&lt;'Progetto del paramento slu'!$G$58,ABS(M2625)*'Progetto del paramento slu'!$G$54,'Progetto del paramento slu'!$G$53)*IF(M2625&lt;0,-1,1)</f>
        <v>0</v>
      </c>
      <c r="T2625" s="553">
        <f>'Foglio deposito bis'!$F$91*IF(ABS(N2625)&lt;'Progetto del paramento slu'!$G$58,ABS(N2625)*'Progetto del paramento slu'!$G$54,'Progetto del paramento slu'!$G$53)*IF(N2625&lt;0,-1,1)</f>
        <v>892485.49558937876</v>
      </c>
      <c r="U2625" s="553">
        <f>'Foglio deposito bis'!$F$92*IF(ABS(O2625)&lt;'Progetto del paramento slu'!$G$58,ABS(O2625)*'Progetto del paramento slu'!$G$54,'Progetto del paramento slu'!$G$53)*IF(O2625&lt;0,-1,1)</f>
        <v>1662039.1047339395</v>
      </c>
      <c r="V2625" s="479">
        <f t="shared" si="195"/>
        <v>1981435.3165927387</v>
      </c>
      <c r="W2625" s="559"/>
      <c r="X2625" s="559"/>
    </row>
    <row r="2626" spans="1:24" x14ac:dyDescent="0.25">
      <c r="A2626" s="553">
        <f t="shared" si="194"/>
        <v>1969990.3694779892</v>
      </c>
      <c r="B2626" s="3">
        <f t="shared" si="192"/>
        <v>12.899999999999975</v>
      </c>
      <c r="C2626" s="553">
        <f>'Foglio deposito bis'!$E$163/sezione!$B$247*B2626</f>
        <v>52.369810554803685</v>
      </c>
      <c r="D2626" s="611">
        <f>-'Progetto del paramento slu'!$G$47*'Progetto del paramento slu'!$G$41*IF(DATI!$G$218="dx",DATI!$E$61,DATI!$E$64*DATI!$E$63)*1000*C2626^2*sezione!$AD$5*(1-sezione!$AD$6)</f>
        <v>-22577058.319495607</v>
      </c>
      <c r="E2626" s="553">
        <f>-'Foglio deposito bis'!$F$88*(C2626-sezione!$AL$37)*IF(ABS(K2626)&lt;'Progetto del paramento slu'!$G$58,ABS(K2626)*'Progetto del paramento slu'!$G$54,'Progetto del paramento slu'!$G$53)</f>
        <v>0</v>
      </c>
      <c r="F2626" s="553">
        <f>-'Foglio deposito bis'!$F$89*(C2626-sezione!$AM$37)*IF(ABS(L2626)&lt;'Progetto del paramento slu'!$G$58,ABS(L2626)*'Progetto del paramento slu'!$G$54,'Progetto del paramento slu'!$G$53)</f>
        <v>15002329.203078678</v>
      </c>
      <c r="G2626" s="553">
        <f>-'Foglio deposito bis'!$F$90*(C2626-sezione!$AN$37)*IF(ABS(M2626)&lt;'Progetto del paramento slu'!$G$58,ABS(M2626)*'Progetto del paramento slu'!$G$54,'Progetto del paramento slu'!$G$53)</f>
        <v>0</v>
      </c>
      <c r="H2626" s="553">
        <f>-'Foglio deposito bis'!$F$91*(C2626-sezione!$AO$37)*IF(ABS(N2626)&lt;'Progetto del paramento slu'!$G$58,ABS(N2626)*'Progetto del paramento slu'!$G$54,'Progetto del paramento slu'!$G$53)</f>
        <v>256705772.17346296</v>
      </c>
      <c r="I2626" s="479">
        <f>-'Foglio deposito bis'!$F$92*(C2626-sezione!$AP$37)*IF(ABS(O2626)&lt;'Progetto del paramento slu'!$G$58,ABS(O2626)*'Progetto del paramento slu'!$G$54,'Progetto del paramento slu'!$G$53)</f>
        <v>345106114.57227927</v>
      </c>
      <c r="J2626" s="479">
        <f t="shared" si="193"/>
        <v>594237157.62932527</v>
      </c>
      <c r="K2626" s="558">
        <f>'Progetto del paramento slu'!$G$60*(sezione!$AL$37-C2626)/C2626</f>
        <v>-8.2670409694353332E-4</v>
      </c>
      <c r="L2626" s="558">
        <f>'Progetto del paramento slu'!$G$60*(sezione!$AM$37-C2626)/C2626</f>
        <v>6.5248596364617505E-3</v>
      </c>
      <c r="M2626" s="559">
        <f>'Progetto del paramento slu'!$G$60*(sezione!$AN$37-C2626)/C2626</f>
        <v>1.3876423369867035E-2</v>
      </c>
      <c r="N2626" s="559">
        <f>'Progetto del paramento slu'!$G$60*(sezione!$AO$37-C2626)/C2626</f>
        <v>1.922301517597997E-2</v>
      </c>
      <c r="O2626" s="559">
        <f>'Progetto del paramento slu'!$G$60*(sezione!$AP$37-C2626)/C2626</f>
        <v>1.3877091693842783E-2</v>
      </c>
      <c r="P2626" s="553">
        <f>-'Progetto del paramento slu'!$G$47*'Progetto del paramento slu'!$G$41*IF(DATI!$G$218="dx",DATI!$E$61,DATI!$E$64*DATI!$E$63)*1000*C2626*sezione!$AD$5</f>
        <v>-738199.08890135167</v>
      </c>
      <c r="Q2626" s="553">
        <f>'Foglio deposito bis'!$F$88*IF(ABS(K2626)&lt;'Progetto del paramento slu'!$G$58,ABS(K2626)*'Progetto del paramento slu'!$G$54,'Progetto del paramento slu'!$G$53)*IF(K2626&lt;0,-1,1)</f>
        <v>0</v>
      </c>
      <c r="R2626" s="553">
        <f>'Foglio deposito bis'!$F$89*IF(ABS(L2626)&lt;'Progetto del paramento slu'!$G$58,ABS(L2626)*'Progetto del paramento slu'!$G$54,'Progetto del paramento slu'!$G$53)*IF(L2626&lt;0,-1,1)</f>
        <v>153664.85805602249</v>
      </c>
      <c r="S2626" s="553">
        <f>'Foglio deposito bis'!$F$90*IF(ABS(M2626)&lt;'Progetto del paramento slu'!$G$58,ABS(M2626)*'Progetto del paramento slu'!$G$54,'Progetto del paramento slu'!$G$53)*IF(M2626&lt;0,-1,1)</f>
        <v>0</v>
      </c>
      <c r="T2626" s="553">
        <f>'Foglio deposito bis'!$F$91*IF(ABS(N2626)&lt;'Progetto del paramento slu'!$G$58,ABS(N2626)*'Progetto del paramento slu'!$G$54,'Progetto del paramento slu'!$G$53)*IF(N2626&lt;0,-1,1)</f>
        <v>892485.49558937876</v>
      </c>
      <c r="U2626" s="553">
        <f>'Foglio deposito bis'!$F$92*IF(ABS(O2626)&lt;'Progetto del paramento slu'!$G$58,ABS(O2626)*'Progetto del paramento slu'!$G$54,'Progetto del paramento slu'!$G$53)*IF(O2626&lt;0,-1,1)</f>
        <v>1662039.1047339395</v>
      </c>
      <c r="V2626" s="479">
        <f t="shared" si="195"/>
        <v>1969990.3694779892</v>
      </c>
      <c r="W2626" s="559"/>
      <c r="X2626" s="559"/>
    </row>
    <row r="2627" spans="1:24" x14ac:dyDescent="0.25">
      <c r="A2627" s="553">
        <f t="shared" si="194"/>
        <v>1958545.4223632393</v>
      </c>
      <c r="B2627" s="3">
        <f t="shared" si="192"/>
        <v>13.099999999999975</v>
      </c>
      <c r="C2627" s="553">
        <f>'Foglio deposito bis'!$E$163/sezione!$B$247*B2627</f>
        <v>53.18174560216498</v>
      </c>
      <c r="D2627" s="611">
        <f>-'Progetto del paramento slu'!$G$47*'Progetto del paramento slu'!$G$41*IF(DATI!$G$218="dx",DATI!$E$61,DATI!$E$64*DATI!$E$63)*1000*C2627^2*sezione!$AD$5*(1-sezione!$AD$6)</f>
        <v>-23282548.994703691</v>
      </c>
      <c r="E2627" s="553">
        <f>-'Foglio deposito bis'!$F$88*(C2627-sezione!$AL$37)*IF(ABS(K2627)&lt;'Progetto del paramento slu'!$G$58,ABS(K2627)*'Progetto del paramento slu'!$G$54,'Progetto del paramento slu'!$G$53)</f>
        <v>0</v>
      </c>
      <c r="F2627" s="553">
        <f>-'Foglio deposito bis'!$F$89*(C2627-sezione!$AM$37)*IF(ABS(L2627)&lt;'Progetto del paramento slu'!$G$58,ABS(L2627)*'Progetto del paramento slu'!$G$54,'Progetto del paramento slu'!$G$53)</f>
        <v>14877563.319275193</v>
      </c>
      <c r="G2627" s="553">
        <f>-'Foglio deposito bis'!$F$90*(C2627-sezione!$AN$37)*IF(ABS(M2627)&lt;'Progetto del paramento slu'!$G$58,ABS(M2627)*'Progetto del paramento slu'!$G$54,'Progetto del paramento slu'!$G$53)</f>
        <v>0</v>
      </c>
      <c r="H2627" s="553">
        <f>-'Foglio deposito bis'!$F$91*(C2627-sezione!$AO$37)*IF(ABS(N2627)&lt;'Progetto del paramento slu'!$G$58,ABS(N2627)*'Progetto del paramento slu'!$G$54,'Progetto del paramento slu'!$G$53)</f>
        <v>255981131.92033228</v>
      </c>
      <c r="I2627" s="479">
        <f>-'Foglio deposito bis'!$F$92*(C2627-sezione!$AP$37)*IF(ABS(O2627)&lt;'Progetto del paramento slu'!$G$58,ABS(O2627)*'Progetto del paramento slu'!$G$54,'Progetto del paramento slu'!$G$53)</f>
        <v>343756646.7730608</v>
      </c>
      <c r="J2627" s="479">
        <f t="shared" si="193"/>
        <v>591332793.0179646</v>
      </c>
      <c r="K2627" s="558">
        <f>'Progetto del paramento slu'!$G$60*(sezione!$AL$37-C2627)/C2627</f>
        <v>-8.6751777485279222E-4</v>
      </c>
      <c r="L2627" s="558">
        <f>'Progetto del paramento slu'!$G$60*(sezione!$AM$37-C2627)/C2627</f>
        <v>6.3718083443020301E-3</v>
      </c>
      <c r="M2627" s="559">
        <f>'Progetto del paramento slu'!$G$60*(sezione!$AN$37-C2627)/C2627</f>
        <v>1.361113446345685E-2</v>
      </c>
      <c r="N2627" s="559">
        <f>'Progetto del paramento slu'!$G$60*(sezione!$AO$37-C2627)/C2627</f>
        <v>1.8876098913751267E-2</v>
      </c>
      <c r="O2627" s="559">
        <f>'Progetto del paramento slu'!$G$60*(sezione!$AP$37-C2627)/C2627</f>
        <v>1.3611792584013122E-2</v>
      </c>
      <c r="P2627" s="553">
        <f>-'Progetto del paramento slu'!$G$47*'Progetto del paramento slu'!$G$41*IF(DATI!$G$218="dx",DATI!$E$61,DATI!$E$64*DATI!$E$63)*1000*C2627*sezione!$AD$5</f>
        <v>-749644.03601610137</v>
      </c>
      <c r="Q2627" s="553">
        <f>'Foglio deposito bis'!$F$88*IF(ABS(K2627)&lt;'Progetto del paramento slu'!$G$58,ABS(K2627)*'Progetto del paramento slu'!$G$54,'Progetto del paramento slu'!$G$53)*IF(K2627&lt;0,-1,1)</f>
        <v>0</v>
      </c>
      <c r="R2627" s="553">
        <f>'Foglio deposito bis'!$F$89*IF(ABS(L2627)&lt;'Progetto del paramento slu'!$G$58,ABS(L2627)*'Progetto del paramento slu'!$G$54,'Progetto del paramento slu'!$G$53)*IF(L2627&lt;0,-1,1)</f>
        <v>153664.85805602249</v>
      </c>
      <c r="S2627" s="553">
        <f>'Foglio deposito bis'!$F$90*IF(ABS(M2627)&lt;'Progetto del paramento slu'!$G$58,ABS(M2627)*'Progetto del paramento slu'!$G$54,'Progetto del paramento slu'!$G$53)*IF(M2627&lt;0,-1,1)</f>
        <v>0</v>
      </c>
      <c r="T2627" s="553">
        <f>'Foglio deposito bis'!$F$91*IF(ABS(N2627)&lt;'Progetto del paramento slu'!$G$58,ABS(N2627)*'Progetto del paramento slu'!$G$54,'Progetto del paramento slu'!$G$53)*IF(N2627&lt;0,-1,1)</f>
        <v>892485.49558937876</v>
      </c>
      <c r="U2627" s="553">
        <f>'Foglio deposito bis'!$F$92*IF(ABS(O2627)&lt;'Progetto del paramento slu'!$G$58,ABS(O2627)*'Progetto del paramento slu'!$G$54,'Progetto del paramento slu'!$G$53)*IF(O2627&lt;0,-1,1)</f>
        <v>1662039.1047339395</v>
      </c>
      <c r="V2627" s="479">
        <f t="shared" si="195"/>
        <v>1958545.4223632393</v>
      </c>
      <c r="W2627" s="559"/>
      <c r="X2627" s="559"/>
    </row>
    <row r="2628" spans="1:24" x14ac:dyDescent="0.25">
      <c r="A2628" s="553">
        <f t="shared" si="194"/>
        <v>1947100.4752484898</v>
      </c>
      <c r="B2628" s="3">
        <f t="shared" si="192"/>
        <v>13.299999999999974</v>
      </c>
      <c r="C2628" s="553">
        <f>'Foglio deposito bis'!$E$163/sezione!$B$247*B2628</f>
        <v>53.993680649526276</v>
      </c>
      <c r="D2628" s="611">
        <f>-'Progetto del paramento slu'!$G$47*'Progetto del paramento slu'!$G$41*IF(DATI!$G$218="dx",DATI!$E$61,DATI!$E$64*DATI!$E$63)*1000*C2628^2*sezione!$AD$5*(1-sezione!$AD$6)</f>
        <v>-23998893.372607276</v>
      </c>
      <c r="E2628" s="553">
        <f>-'Foglio deposito bis'!$F$88*(C2628-sezione!$AL$37)*IF(ABS(K2628)&lt;'Progetto del paramento slu'!$G$58,ABS(K2628)*'Progetto del paramento slu'!$G$54,'Progetto del paramento slu'!$G$53)</f>
        <v>0</v>
      </c>
      <c r="F2628" s="553">
        <f>-'Foglio deposito bis'!$F$89*(C2628-sezione!$AM$37)*IF(ABS(L2628)&lt;'Progetto del paramento slu'!$G$58,ABS(L2628)*'Progetto del paramento slu'!$G$54,'Progetto del paramento slu'!$G$53)</f>
        <v>14752797.435471712</v>
      </c>
      <c r="G2628" s="553">
        <f>-'Foglio deposito bis'!$F$90*(C2628-sezione!$AN$37)*IF(ABS(M2628)&lt;'Progetto del paramento slu'!$G$58,ABS(M2628)*'Progetto del paramento slu'!$G$54,'Progetto del paramento slu'!$G$53)</f>
        <v>0</v>
      </c>
      <c r="H2628" s="553">
        <f>-'Foglio deposito bis'!$F$91*(C2628-sezione!$AO$37)*IF(ABS(N2628)&lt;'Progetto del paramento slu'!$G$58,ABS(N2628)*'Progetto del paramento slu'!$G$54,'Progetto del paramento slu'!$G$53)</f>
        <v>255256491.66720173</v>
      </c>
      <c r="I2628" s="479">
        <f>-'Foglio deposito bis'!$F$92*(C2628-sezione!$AP$37)*IF(ABS(O2628)&lt;'Progetto del paramento slu'!$G$58,ABS(O2628)*'Progetto del paramento slu'!$G$54,'Progetto del paramento slu'!$G$53)</f>
        <v>342407178.97384232</v>
      </c>
      <c r="J2628" s="479">
        <f t="shared" si="193"/>
        <v>588417574.70390844</v>
      </c>
      <c r="K2628" s="558">
        <f>'Progetto del paramento slu'!$G$60*(sezione!$AL$37-C2628)/C2628</f>
        <v>-9.0710397372718626E-4</v>
      </c>
      <c r="L2628" s="558">
        <f>'Progetto del paramento slu'!$G$60*(sezione!$AM$37-C2628)/C2628</f>
        <v>6.2233600985230515E-3</v>
      </c>
      <c r="M2628" s="559">
        <f>'Progetto del paramento slu'!$G$60*(sezione!$AN$37-C2628)/C2628</f>
        <v>1.335382417077329E-2</v>
      </c>
      <c r="N2628" s="559">
        <f>'Progetto del paramento slu'!$G$60*(sezione!$AO$37-C2628)/C2628</f>
        <v>1.8539616223318917E-2</v>
      </c>
      <c r="O2628" s="559">
        <f>'Progetto del paramento slu'!$G$60*(sezione!$AP$37-C2628)/C2628</f>
        <v>1.3354472394779842E-2</v>
      </c>
      <c r="P2628" s="553">
        <f>-'Progetto del paramento slu'!$G$47*'Progetto del paramento slu'!$G$41*IF(DATI!$G$218="dx",DATI!$E$61,DATI!$E$64*DATI!$E$63)*1000*C2628*sezione!$AD$5</f>
        <v>-761088.98313085095</v>
      </c>
      <c r="Q2628" s="553">
        <f>'Foglio deposito bis'!$F$88*IF(ABS(K2628)&lt;'Progetto del paramento slu'!$G$58,ABS(K2628)*'Progetto del paramento slu'!$G$54,'Progetto del paramento slu'!$G$53)*IF(K2628&lt;0,-1,1)</f>
        <v>0</v>
      </c>
      <c r="R2628" s="553">
        <f>'Foglio deposito bis'!$F$89*IF(ABS(L2628)&lt;'Progetto del paramento slu'!$G$58,ABS(L2628)*'Progetto del paramento slu'!$G$54,'Progetto del paramento slu'!$G$53)*IF(L2628&lt;0,-1,1)</f>
        <v>153664.85805602249</v>
      </c>
      <c r="S2628" s="553">
        <f>'Foglio deposito bis'!$F$90*IF(ABS(M2628)&lt;'Progetto del paramento slu'!$G$58,ABS(M2628)*'Progetto del paramento slu'!$G$54,'Progetto del paramento slu'!$G$53)*IF(M2628&lt;0,-1,1)</f>
        <v>0</v>
      </c>
      <c r="T2628" s="553">
        <f>'Foglio deposito bis'!$F$91*IF(ABS(N2628)&lt;'Progetto del paramento slu'!$G$58,ABS(N2628)*'Progetto del paramento slu'!$G$54,'Progetto del paramento slu'!$G$53)*IF(N2628&lt;0,-1,1)</f>
        <v>892485.49558937876</v>
      </c>
      <c r="U2628" s="553">
        <f>'Foglio deposito bis'!$F$92*IF(ABS(O2628)&lt;'Progetto del paramento slu'!$G$58,ABS(O2628)*'Progetto del paramento slu'!$G$54,'Progetto del paramento slu'!$G$53)*IF(O2628&lt;0,-1,1)</f>
        <v>1662039.1047339395</v>
      </c>
      <c r="V2628" s="479">
        <f t="shared" si="195"/>
        <v>1947100.4752484898</v>
      </c>
      <c r="W2628" s="559"/>
      <c r="X2628" s="559"/>
    </row>
    <row r="2629" spans="1:24" x14ac:dyDescent="0.25">
      <c r="A2629" s="553">
        <f t="shared" si="194"/>
        <v>1935655.5281337402</v>
      </c>
      <c r="B2629" s="3">
        <f t="shared" si="192"/>
        <v>13.499999999999973</v>
      </c>
      <c r="C2629" s="553">
        <f>'Foglio deposito bis'!$E$163/sezione!$B$247*B2629</f>
        <v>54.805615696887571</v>
      </c>
      <c r="D2629" s="611">
        <f>-'Progetto del paramento slu'!$G$47*'Progetto del paramento slu'!$G$41*IF(DATI!$G$218="dx",DATI!$E$61,DATI!$E$64*DATI!$E$63)*1000*C2629^2*sezione!$AD$5*(1-sezione!$AD$6)</f>
        <v>-24726091.453206379</v>
      </c>
      <c r="E2629" s="553">
        <f>-'Foglio deposito bis'!$F$88*(C2629-sezione!$AL$37)*IF(ABS(K2629)&lt;'Progetto del paramento slu'!$G$58,ABS(K2629)*'Progetto del paramento slu'!$G$54,'Progetto del paramento slu'!$G$53)</f>
        <v>0</v>
      </c>
      <c r="F2629" s="553">
        <f>-'Foglio deposito bis'!$F$89*(C2629-sezione!$AM$37)*IF(ABS(L2629)&lt;'Progetto del paramento slu'!$G$58,ABS(L2629)*'Progetto del paramento slu'!$G$54,'Progetto del paramento slu'!$G$53)</f>
        <v>14628031.551668229</v>
      </c>
      <c r="G2629" s="553">
        <f>-'Foglio deposito bis'!$F$90*(C2629-sezione!$AN$37)*IF(ABS(M2629)&lt;'Progetto del paramento slu'!$G$58,ABS(M2629)*'Progetto del paramento slu'!$G$54,'Progetto del paramento slu'!$G$53)</f>
        <v>0</v>
      </c>
      <c r="H2629" s="553">
        <f>-'Foglio deposito bis'!$F$91*(C2629-sezione!$AO$37)*IF(ABS(N2629)&lt;'Progetto del paramento slu'!$G$58,ABS(N2629)*'Progetto del paramento slu'!$G$54,'Progetto del paramento slu'!$G$53)</f>
        <v>254531851.41407105</v>
      </c>
      <c r="I2629" s="479">
        <f>-'Foglio deposito bis'!$F$92*(C2629-sezione!$AP$37)*IF(ABS(O2629)&lt;'Progetto del paramento slu'!$G$58,ABS(O2629)*'Progetto del paramento slu'!$G$54,'Progetto del paramento slu'!$G$53)</f>
        <v>341057711.17462385</v>
      </c>
      <c r="J2629" s="479">
        <f t="shared" si="193"/>
        <v>585491502.68715668</v>
      </c>
      <c r="K2629" s="558">
        <f>'Progetto del paramento slu'!$G$60*(sezione!$AL$37-C2629)/C2629</f>
        <v>-9.4551724819048704E-4</v>
      </c>
      <c r="L2629" s="558">
        <f>'Progetto del paramento slu'!$G$60*(sezione!$AM$37-C2629)/C2629</f>
        <v>6.0793103192856735E-3</v>
      </c>
      <c r="M2629" s="559">
        <f>'Progetto del paramento slu'!$G$60*(sezione!$AN$37-C2629)/C2629</f>
        <v>1.3104137886761836E-2</v>
      </c>
      <c r="N2629" s="559">
        <f>'Progetto del paramento slu'!$G$60*(sezione!$AO$37-C2629)/C2629</f>
        <v>1.8213103390380861E-2</v>
      </c>
      <c r="O2629" s="559">
        <f>'Progetto del paramento slu'!$G$60*(sezione!$AP$37-C2629)/C2629</f>
        <v>1.3104776507449772E-2</v>
      </c>
      <c r="P2629" s="553">
        <f>-'Progetto del paramento slu'!$G$47*'Progetto del paramento slu'!$G$41*IF(DATI!$G$218="dx",DATI!$E$61,DATI!$E$64*DATI!$E$63)*1000*C2629*sezione!$AD$5</f>
        <v>-772533.93024560052</v>
      </c>
      <c r="Q2629" s="553">
        <f>'Foglio deposito bis'!$F$88*IF(ABS(K2629)&lt;'Progetto del paramento slu'!$G$58,ABS(K2629)*'Progetto del paramento slu'!$G$54,'Progetto del paramento slu'!$G$53)*IF(K2629&lt;0,-1,1)</f>
        <v>0</v>
      </c>
      <c r="R2629" s="553">
        <f>'Foglio deposito bis'!$F$89*IF(ABS(L2629)&lt;'Progetto del paramento slu'!$G$58,ABS(L2629)*'Progetto del paramento slu'!$G$54,'Progetto del paramento slu'!$G$53)*IF(L2629&lt;0,-1,1)</f>
        <v>153664.85805602249</v>
      </c>
      <c r="S2629" s="553">
        <f>'Foglio deposito bis'!$F$90*IF(ABS(M2629)&lt;'Progetto del paramento slu'!$G$58,ABS(M2629)*'Progetto del paramento slu'!$G$54,'Progetto del paramento slu'!$G$53)*IF(M2629&lt;0,-1,1)</f>
        <v>0</v>
      </c>
      <c r="T2629" s="553">
        <f>'Foglio deposito bis'!$F$91*IF(ABS(N2629)&lt;'Progetto del paramento slu'!$G$58,ABS(N2629)*'Progetto del paramento slu'!$G$54,'Progetto del paramento slu'!$G$53)*IF(N2629&lt;0,-1,1)</f>
        <v>892485.49558937876</v>
      </c>
      <c r="U2629" s="553">
        <f>'Foglio deposito bis'!$F$92*IF(ABS(O2629)&lt;'Progetto del paramento slu'!$G$58,ABS(O2629)*'Progetto del paramento slu'!$G$54,'Progetto del paramento slu'!$G$53)*IF(O2629&lt;0,-1,1)</f>
        <v>1662039.1047339395</v>
      </c>
      <c r="V2629" s="479">
        <f t="shared" si="195"/>
        <v>1935655.5281337402</v>
      </c>
      <c r="W2629" s="559"/>
      <c r="X2629" s="559"/>
    </row>
    <row r="2630" spans="1:24" x14ac:dyDescent="0.25">
      <c r="A2630" s="553">
        <f t="shared" si="194"/>
        <v>1924210.5810189906</v>
      </c>
      <c r="B2630" s="3">
        <f t="shared" si="192"/>
        <v>13.699999999999973</v>
      </c>
      <c r="C2630" s="553">
        <f>'Foglio deposito bis'!$E$163/sezione!$B$247*B2630</f>
        <v>55.617550744248867</v>
      </c>
      <c r="D2630" s="611">
        <f>-'Progetto del paramento slu'!$G$47*'Progetto del paramento slu'!$G$41*IF(DATI!$G$218="dx",DATI!$E$61,DATI!$E$64*DATI!$E$63)*1000*C2630^2*sezione!$AD$5*(1-sezione!$AD$6)</f>
        <v>-25464143.236500986</v>
      </c>
      <c r="E2630" s="553">
        <f>-'Foglio deposito bis'!$F$88*(C2630-sezione!$AL$37)*IF(ABS(K2630)&lt;'Progetto del paramento slu'!$G$58,ABS(K2630)*'Progetto del paramento slu'!$G$54,'Progetto del paramento slu'!$G$53)</f>
        <v>0</v>
      </c>
      <c r="F2630" s="553">
        <f>-'Foglio deposito bis'!$F$89*(C2630-sezione!$AM$37)*IF(ABS(L2630)&lt;'Progetto del paramento slu'!$G$58,ABS(L2630)*'Progetto del paramento slu'!$G$54,'Progetto del paramento slu'!$G$53)</f>
        <v>14503265.667864745</v>
      </c>
      <c r="G2630" s="553">
        <f>-'Foglio deposito bis'!$F$90*(C2630-sezione!$AN$37)*IF(ABS(M2630)&lt;'Progetto del paramento slu'!$G$58,ABS(M2630)*'Progetto del paramento slu'!$G$54,'Progetto del paramento slu'!$G$53)</f>
        <v>0</v>
      </c>
      <c r="H2630" s="553">
        <f>-'Foglio deposito bis'!$F$91*(C2630-sezione!$AO$37)*IF(ABS(N2630)&lt;'Progetto del paramento slu'!$G$58,ABS(N2630)*'Progetto del paramento slu'!$G$54,'Progetto del paramento slu'!$G$53)</f>
        <v>253807211.16094038</v>
      </c>
      <c r="I2630" s="479">
        <f>-'Foglio deposito bis'!$F$92*(C2630-sezione!$AP$37)*IF(ABS(O2630)&lt;'Progetto del paramento slu'!$G$58,ABS(O2630)*'Progetto del paramento slu'!$G$54,'Progetto del paramento slu'!$G$53)</f>
        <v>339708243.37540537</v>
      </c>
      <c r="J2630" s="479">
        <f t="shared" si="193"/>
        <v>582554576.96770954</v>
      </c>
      <c r="K2630" s="558">
        <f>'Progetto del paramento slu'!$G$60*(sezione!$AL$37-C2630)/C2630</f>
        <v>-9.8280896719500545E-4</v>
      </c>
      <c r="L2630" s="558">
        <f>'Progetto del paramento slu'!$G$60*(sezione!$AM$37-C2630)/C2630</f>
        <v>5.9394663730187296E-3</v>
      </c>
      <c r="M2630" s="559">
        <f>'Progetto del paramento slu'!$G$60*(sezione!$AN$37-C2630)/C2630</f>
        <v>1.2861741713232466E-2</v>
      </c>
      <c r="N2630" s="559">
        <f>'Progetto del paramento slu'!$G$60*(sezione!$AO$37-C2630)/C2630</f>
        <v>1.7896123778842452E-2</v>
      </c>
      <c r="O2630" s="559">
        <f>'Progetto del paramento slu'!$G$60*(sezione!$AP$37-C2630)/C2630</f>
        <v>1.2862371010990652E-2</v>
      </c>
      <c r="P2630" s="553">
        <f>-'Progetto del paramento slu'!$G$47*'Progetto del paramento slu'!$G$41*IF(DATI!$G$218="dx",DATI!$E$61,DATI!$E$64*DATI!$E$63)*1000*C2630*sezione!$AD$5</f>
        <v>-783978.87736035022</v>
      </c>
      <c r="Q2630" s="553">
        <f>'Foglio deposito bis'!$F$88*IF(ABS(K2630)&lt;'Progetto del paramento slu'!$G$58,ABS(K2630)*'Progetto del paramento slu'!$G$54,'Progetto del paramento slu'!$G$53)*IF(K2630&lt;0,-1,1)</f>
        <v>0</v>
      </c>
      <c r="R2630" s="553">
        <f>'Foglio deposito bis'!$F$89*IF(ABS(L2630)&lt;'Progetto del paramento slu'!$G$58,ABS(L2630)*'Progetto del paramento slu'!$G$54,'Progetto del paramento slu'!$G$53)*IF(L2630&lt;0,-1,1)</f>
        <v>153664.85805602249</v>
      </c>
      <c r="S2630" s="553">
        <f>'Foglio deposito bis'!$F$90*IF(ABS(M2630)&lt;'Progetto del paramento slu'!$G$58,ABS(M2630)*'Progetto del paramento slu'!$G$54,'Progetto del paramento slu'!$G$53)*IF(M2630&lt;0,-1,1)</f>
        <v>0</v>
      </c>
      <c r="T2630" s="553">
        <f>'Foglio deposito bis'!$F$91*IF(ABS(N2630)&lt;'Progetto del paramento slu'!$G$58,ABS(N2630)*'Progetto del paramento slu'!$G$54,'Progetto del paramento slu'!$G$53)*IF(N2630&lt;0,-1,1)</f>
        <v>892485.49558937876</v>
      </c>
      <c r="U2630" s="553">
        <f>'Foglio deposito bis'!$F$92*IF(ABS(O2630)&lt;'Progetto del paramento slu'!$G$58,ABS(O2630)*'Progetto del paramento slu'!$G$54,'Progetto del paramento slu'!$G$53)*IF(O2630&lt;0,-1,1)</f>
        <v>1662039.1047339395</v>
      </c>
      <c r="V2630" s="479">
        <f t="shared" si="195"/>
        <v>1924210.5810189906</v>
      </c>
      <c r="W2630" s="559"/>
      <c r="X2630" s="559"/>
    </row>
    <row r="2631" spans="1:24" x14ac:dyDescent="0.25">
      <c r="A2631" s="553">
        <f t="shared" si="194"/>
        <v>1912765.633904241</v>
      </c>
      <c r="B2631" s="3">
        <f t="shared" si="192"/>
        <v>13.899999999999972</v>
      </c>
      <c r="C2631" s="553">
        <f>'Foglio deposito bis'!$E$163/sezione!$B$247*B2631</f>
        <v>56.429485791610162</v>
      </c>
      <c r="D2631" s="611">
        <f>-'Progetto del paramento slu'!$G$47*'Progetto del paramento slu'!$G$41*IF(DATI!$G$218="dx",DATI!$E$61,DATI!$E$64*DATI!$E$63)*1000*C2631^2*sezione!$AD$5*(1-sezione!$AD$6)</f>
        <v>-26213048.722491104</v>
      </c>
      <c r="E2631" s="553">
        <f>-'Foglio deposito bis'!$F$88*(C2631-sezione!$AL$37)*IF(ABS(K2631)&lt;'Progetto del paramento slu'!$G$58,ABS(K2631)*'Progetto del paramento slu'!$G$54,'Progetto del paramento slu'!$G$53)</f>
        <v>0</v>
      </c>
      <c r="F2631" s="553">
        <f>-'Foglio deposito bis'!$F$89*(C2631-sezione!$AM$37)*IF(ABS(L2631)&lt;'Progetto del paramento slu'!$G$58,ABS(L2631)*'Progetto del paramento slu'!$G$54,'Progetto del paramento slu'!$G$53)</f>
        <v>14378499.784061261</v>
      </c>
      <c r="G2631" s="553">
        <f>-'Foglio deposito bis'!$F$90*(C2631-sezione!$AN$37)*IF(ABS(M2631)&lt;'Progetto del paramento slu'!$G$58,ABS(M2631)*'Progetto del paramento slu'!$G$54,'Progetto del paramento slu'!$G$53)</f>
        <v>0</v>
      </c>
      <c r="H2631" s="553">
        <f>-'Foglio deposito bis'!$F$91*(C2631-sezione!$AO$37)*IF(ABS(N2631)&lt;'Progetto del paramento slu'!$G$58,ABS(N2631)*'Progetto del paramento slu'!$G$54,'Progetto del paramento slu'!$G$53)</f>
        <v>253082570.90780979</v>
      </c>
      <c r="I2631" s="479">
        <f>-'Foglio deposito bis'!$F$92*(C2631-sezione!$AP$37)*IF(ABS(O2631)&lt;'Progetto del paramento slu'!$G$58,ABS(O2631)*'Progetto del paramento slu'!$G$54,'Progetto del paramento slu'!$G$53)</f>
        <v>338358775.57618695</v>
      </c>
      <c r="J2631" s="479">
        <f t="shared" si="193"/>
        <v>579606797.54556692</v>
      </c>
      <c r="K2631" s="558">
        <f>'Progetto del paramento slu'!$G$60*(sezione!$AL$37-C2631)/C2631</f>
        <v>-1.019027543206588E-3</v>
      </c>
      <c r="L2631" s="558">
        <f>'Progetto del paramento slu'!$G$60*(sezione!$AM$37-C2631)/C2631</f>
        <v>5.803646712975296E-3</v>
      </c>
      <c r="M2631" s="559">
        <f>'Progetto del paramento slu'!$G$60*(sezione!$AN$37-C2631)/C2631</f>
        <v>1.262632096915718E-2</v>
      </c>
      <c r="N2631" s="559">
        <f>'Progetto del paramento slu'!$G$60*(sezione!$AO$37-C2631)/C2631</f>
        <v>1.7588265882744005E-2</v>
      </c>
      <c r="O2631" s="559">
        <f>'Progetto del paramento slu'!$G$60*(sezione!$AP$37-C2631)/C2631</f>
        <v>1.2626941212271363E-2</v>
      </c>
      <c r="P2631" s="553">
        <f>-'Progetto del paramento slu'!$G$47*'Progetto del paramento slu'!$G$41*IF(DATI!$G$218="dx",DATI!$E$61,DATI!$E$64*DATI!$E$63)*1000*C2631*sezione!$AD$5</f>
        <v>-795423.8244750998</v>
      </c>
      <c r="Q2631" s="553">
        <f>'Foglio deposito bis'!$F$88*IF(ABS(K2631)&lt;'Progetto del paramento slu'!$G$58,ABS(K2631)*'Progetto del paramento slu'!$G$54,'Progetto del paramento slu'!$G$53)*IF(K2631&lt;0,-1,1)</f>
        <v>0</v>
      </c>
      <c r="R2631" s="553">
        <f>'Foglio deposito bis'!$F$89*IF(ABS(L2631)&lt;'Progetto del paramento slu'!$G$58,ABS(L2631)*'Progetto del paramento slu'!$G$54,'Progetto del paramento slu'!$G$53)*IF(L2631&lt;0,-1,1)</f>
        <v>153664.85805602249</v>
      </c>
      <c r="S2631" s="553">
        <f>'Foglio deposito bis'!$F$90*IF(ABS(M2631)&lt;'Progetto del paramento slu'!$G$58,ABS(M2631)*'Progetto del paramento slu'!$G$54,'Progetto del paramento slu'!$G$53)*IF(M2631&lt;0,-1,1)</f>
        <v>0</v>
      </c>
      <c r="T2631" s="553">
        <f>'Foglio deposito bis'!$F$91*IF(ABS(N2631)&lt;'Progetto del paramento slu'!$G$58,ABS(N2631)*'Progetto del paramento slu'!$G$54,'Progetto del paramento slu'!$G$53)*IF(N2631&lt;0,-1,1)</f>
        <v>892485.49558937876</v>
      </c>
      <c r="U2631" s="553">
        <f>'Foglio deposito bis'!$F$92*IF(ABS(O2631)&lt;'Progetto del paramento slu'!$G$58,ABS(O2631)*'Progetto del paramento slu'!$G$54,'Progetto del paramento slu'!$G$53)*IF(O2631&lt;0,-1,1)</f>
        <v>1662039.1047339395</v>
      </c>
      <c r="V2631" s="479">
        <f t="shared" si="195"/>
        <v>1912765.633904241</v>
      </c>
      <c r="W2631" s="559"/>
      <c r="X2631" s="559"/>
    </row>
    <row r="2632" spans="1:24" x14ac:dyDescent="0.25">
      <c r="A2632" s="553">
        <f t="shared" si="194"/>
        <v>1901320.6867894914</v>
      </c>
      <c r="B2632" s="3">
        <f t="shared" si="192"/>
        <v>14.099999999999971</v>
      </c>
      <c r="C2632" s="553">
        <f>'Foglio deposito bis'!$E$163/sezione!$B$247*B2632</f>
        <v>57.241420838971457</v>
      </c>
      <c r="D2632" s="611">
        <f>-'Progetto del paramento slu'!$G$47*'Progetto del paramento slu'!$G$41*IF(DATI!$G$218="dx",DATI!$E$61,DATI!$E$64*DATI!$E$63)*1000*C2632^2*sezione!$AD$5*(1-sezione!$AD$6)</f>
        <v>-26972807.91117673</v>
      </c>
      <c r="E2632" s="553">
        <f>-'Foglio deposito bis'!$F$88*(C2632-sezione!$AL$37)*IF(ABS(K2632)&lt;'Progetto del paramento slu'!$G$58,ABS(K2632)*'Progetto del paramento slu'!$G$54,'Progetto del paramento slu'!$G$53)</f>
        <v>0</v>
      </c>
      <c r="F2632" s="553">
        <f>-'Foglio deposito bis'!$F$89*(C2632-sezione!$AM$37)*IF(ABS(L2632)&lt;'Progetto del paramento slu'!$G$58,ABS(L2632)*'Progetto del paramento slu'!$G$54,'Progetto del paramento slu'!$G$53)</f>
        <v>14253733.900257776</v>
      </c>
      <c r="G2632" s="553">
        <f>-'Foglio deposito bis'!$F$90*(C2632-sezione!$AN$37)*IF(ABS(M2632)&lt;'Progetto del paramento slu'!$G$58,ABS(M2632)*'Progetto del paramento slu'!$G$54,'Progetto del paramento slu'!$G$53)</f>
        <v>0</v>
      </c>
      <c r="H2632" s="553">
        <f>-'Foglio deposito bis'!$F$91*(C2632-sezione!$AO$37)*IF(ABS(N2632)&lt;'Progetto del paramento slu'!$G$58,ABS(N2632)*'Progetto del paramento slu'!$G$54,'Progetto del paramento slu'!$G$53)</f>
        <v>252357930.65467912</v>
      </c>
      <c r="I2632" s="479">
        <f>-'Foglio deposito bis'!$F$92*(C2632-sezione!$AP$37)*IF(ABS(O2632)&lt;'Progetto del paramento slu'!$G$58,ABS(O2632)*'Progetto del paramento slu'!$G$54,'Progetto del paramento slu'!$G$53)</f>
        <v>337009307.77696842</v>
      </c>
      <c r="J2632" s="479">
        <f t="shared" si="193"/>
        <v>576648164.42072856</v>
      </c>
      <c r="K2632" s="558">
        <f>'Progetto del paramento slu'!$G$60*(sezione!$AL$37-C2632)/C2632</f>
        <v>-1.0542186418845086E-3</v>
      </c>
      <c r="L2632" s="558">
        <f>'Progetto del paramento slu'!$G$60*(sezione!$AM$37-C2632)/C2632</f>
        <v>5.6716800929330928E-3</v>
      </c>
      <c r="M2632" s="559">
        <f>'Progetto del paramento slu'!$G$60*(sezione!$AN$37-C2632)/C2632</f>
        <v>1.2397578827750692E-2</v>
      </c>
      <c r="N2632" s="559">
        <f>'Progetto del paramento slu'!$G$60*(sezione!$AO$37-C2632)/C2632</f>
        <v>1.7289141543981677E-2</v>
      </c>
      <c r="O2632" s="559">
        <f>'Progetto del paramento slu'!$G$60*(sezione!$AP$37-C2632)/C2632</f>
        <v>1.2398190273090208E-2</v>
      </c>
      <c r="P2632" s="553">
        <f>-'Progetto del paramento slu'!$G$47*'Progetto del paramento slu'!$G$41*IF(DATI!$G$218="dx",DATI!$E$61,DATI!$E$64*DATI!$E$63)*1000*C2632*sezione!$AD$5</f>
        <v>-806868.77158984938</v>
      </c>
      <c r="Q2632" s="553">
        <f>'Foglio deposito bis'!$F$88*IF(ABS(K2632)&lt;'Progetto del paramento slu'!$G$58,ABS(K2632)*'Progetto del paramento slu'!$G$54,'Progetto del paramento slu'!$G$53)*IF(K2632&lt;0,-1,1)</f>
        <v>0</v>
      </c>
      <c r="R2632" s="553">
        <f>'Foglio deposito bis'!$F$89*IF(ABS(L2632)&lt;'Progetto del paramento slu'!$G$58,ABS(L2632)*'Progetto del paramento slu'!$G$54,'Progetto del paramento slu'!$G$53)*IF(L2632&lt;0,-1,1)</f>
        <v>153664.85805602249</v>
      </c>
      <c r="S2632" s="553">
        <f>'Foglio deposito bis'!$F$90*IF(ABS(M2632)&lt;'Progetto del paramento slu'!$G$58,ABS(M2632)*'Progetto del paramento slu'!$G$54,'Progetto del paramento slu'!$G$53)*IF(M2632&lt;0,-1,1)</f>
        <v>0</v>
      </c>
      <c r="T2632" s="553">
        <f>'Foglio deposito bis'!$F$91*IF(ABS(N2632)&lt;'Progetto del paramento slu'!$G$58,ABS(N2632)*'Progetto del paramento slu'!$G$54,'Progetto del paramento slu'!$G$53)*IF(N2632&lt;0,-1,1)</f>
        <v>892485.49558937876</v>
      </c>
      <c r="U2632" s="553">
        <f>'Foglio deposito bis'!$F$92*IF(ABS(O2632)&lt;'Progetto del paramento slu'!$G$58,ABS(O2632)*'Progetto del paramento slu'!$G$54,'Progetto del paramento slu'!$G$53)*IF(O2632&lt;0,-1,1)</f>
        <v>1662039.1047339395</v>
      </c>
      <c r="V2632" s="479">
        <f t="shared" si="195"/>
        <v>1901320.6867894914</v>
      </c>
      <c r="W2632" s="559"/>
      <c r="X2632" s="559"/>
    </row>
    <row r="2633" spans="1:24" x14ac:dyDescent="0.25">
      <c r="A2633" s="553">
        <f t="shared" si="194"/>
        <v>1889875.7396747419</v>
      </c>
      <c r="B2633" s="3">
        <f t="shared" si="192"/>
        <v>14.299999999999971</v>
      </c>
      <c r="C2633" s="553">
        <f>'Foglio deposito bis'!$E$163/sezione!$B$247*B2633</f>
        <v>58.053355886332753</v>
      </c>
      <c r="D2633" s="611">
        <f>-'Progetto del paramento slu'!$G$47*'Progetto del paramento slu'!$G$41*IF(DATI!$G$218="dx",DATI!$E$61,DATI!$E$64*DATI!$E$63)*1000*C2633^2*sezione!$AD$5*(1-sezione!$AD$6)</f>
        <v>-27743420.802557867</v>
      </c>
      <c r="E2633" s="553">
        <f>-'Foglio deposito bis'!$F$88*(C2633-sezione!$AL$37)*IF(ABS(K2633)&lt;'Progetto del paramento slu'!$G$58,ABS(K2633)*'Progetto del paramento slu'!$G$54,'Progetto del paramento slu'!$G$53)</f>
        <v>0</v>
      </c>
      <c r="F2633" s="553">
        <f>-'Foglio deposito bis'!$F$89*(C2633-sezione!$AM$37)*IF(ABS(L2633)&lt;'Progetto del paramento slu'!$G$58,ABS(L2633)*'Progetto del paramento slu'!$G$54,'Progetto del paramento slu'!$G$53)</f>
        <v>14128968.016454292</v>
      </c>
      <c r="G2633" s="553">
        <f>-'Foglio deposito bis'!$F$90*(C2633-sezione!$AN$37)*IF(ABS(M2633)&lt;'Progetto del paramento slu'!$G$58,ABS(M2633)*'Progetto del paramento slu'!$G$54,'Progetto del paramento slu'!$G$53)</f>
        <v>0</v>
      </c>
      <c r="H2633" s="553">
        <f>-'Foglio deposito bis'!$F$91*(C2633-sezione!$AO$37)*IF(ABS(N2633)&lt;'Progetto del paramento slu'!$G$58,ABS(N2633)*'Progetto del paramento slu'!$G$54,'Progetto del paramento slu'!$G$53)</f>
        <v>251633290.40154853</v>
      </c>
      <c r="I2633" s="479">
        <f>-'Foglio deposito bis'!$F$92*(C2633-sezione!$AP$37)*IF(ABS(O2633)&lt;'Progetto del paramento slu'!$G$58,ABS(O2633)*'Progetto del paramento slu'!$G$54,'Progetto del paramento slu'!$G$53)</f>
        <v>335659839.97774994</v>
      </c>
      <c r="J2633" s="479">
        <f t="shared" si="193"/>
        <v>573678677.59319496</v>
      </c>
      <c r="K2633" s="558">
        <f>'Progetto del paramento slu'!$G$60*(sezione!$AL$37-C2633)/C2633</f>
        <v>-1.0884253741658442E-3</v>
      </c>
      <c r="L2633" s="558">
        <f>'Progetto del paramento slu'!$G$60*(sezione!$AM$37-C2633)/C2633</f>
        <v>5.5434048468780851E-3</v>
      </c>
      <c r="M2633" s="559">
        <f>'Progetto del paramento slu'!$G$60*(sezione!$AN$37-C2633)/C2633</f>
        <v>1.2175235067922013E-2</v>
      </c>
      <c r="N2633" s="559">
        <f>'Progetto del paramento slu'!$G$60*(sezione!$AO$37-C2633)/C2633</f>
        <v>1.6998384319590328E-2</v>
      </c>
      <c r="O2633" s="559">
        <f>'Progetto del paramento slu'!$G$60*(sezione!$AP$37-C2633)/C2633</f>
        <v>1.2175837961578459E-2</v>
      </c>
      <c r="P2633" s="553">
        <f>-'Progetto del paramento slu'!$G$47*'Progetto del paramento slu'!$G$41*IF(DATI!$G$218="dx",DATI!$E$61,DATI!$E$64*DATI!$E$63)*1000*C2633*sezione!$AD$5</f>
        <v>-818313.71870459896</v>
      </c>
      <c r="Q2633" s="553">
        <f>'Foglio deposito bis'!$F$88*IF(ABS(K2633)&lt;'Progetto del paramento slu'!$G$58,ABS(K2633)*'Progetto del paramento slu'!$G$54,'Progetto del paramento slu'!$G$53)*IF(K2633&lt;0,-1,1)</f>
        <v>0</v>
      </c>
      <c r="R2633" s="553">
        <f>'Foglio deposito bis'!$F$89*IF(ABS(L2633)&lt;'Progetto del paramento slu'!$G$58,ABS(L2633)*'Progetto del paramento slu'!$G$54,'Progetto del paramento slu'!$G$53)*IF(L2633&lt;0,-1,1)</f>
        <v>153664.85805602249</v>
      </c>
      <c r="S2633" s="553">
        <f>'Foglio deposito bis'!$F$90*IF(ABS(M2633)&lt;'Progetto del paramento slu'!$G$58,ABS(M2633)*'Progetto del paramento slu'!$G$54,'Progetto del paramento slu'!$G$53)*IF(M2633&lt;0,-1,1)</f>
        <v>0</v>
      </c>
      <c r="T2633" s="553">
        <f>'Foglio deposito bis'!$F$91*IF(ABS(N2633)&lt;'Progetto del paramento slu'!$G$58,ABS(N2633)*'Progetto del paramento slu'!$G$54,'Progetto del paramento slu'!$G$53)*IF(N2633&lt;0,-1,1)</f>
        <v>892485.49558937876</v>
      </c>
      <c r="U2633" s="553">
        <f>'Foglio deposito bis'!$F$92*IF(ABS(O2633)&lt;'Progetto del paramento slu'!$G$58,ABS(O2633)*'Progetto del paramento slu'!$G$54,'Progetto del paramento slu'!$G$53)*IF(O2633&lt;0,-1,1)</f>
        <v>1662039.1047339395</v>
      </c>
      <c r="V2633" s="479">
        <f t="shared" si="195"/>
        <v>1889875.7396747419</v>
      </c>
      <c r="W2633" s="559"/>
      <c r="X2633" s="559"/>
    </row>
    <row r="2634" spans="1:24" x14ac:dyDescent="0.25">
      <c r="A2634" s="553">
        <f t="shared" si="194"/>
        <v>1878430.7925599923</v>
      </c>
      <c r="B2634" s="3">
        <f t="shared" si="192"/>
        <v>14.49999999999997</v>
      </c>
      <c r="C2634" s="553">
        <f>'Foglio deposito bis'!$E$163/sezione!$B$247*B2634</f>
        <v>58.865290933694048</v>
      </c>
      <c r="D2634" s="611">
        <f>-'Progetto del paramento slu'!$G$47*'Progetto del paramento slu'!$G$41*IF(DATI!$G$218="dx",DATI!$E$61,DATI!$E$64*DATI!$E$63)*1000*C2634^2*sezione!$AD$5*(1-sezione!$AD$6)</f>
        <v>-28524887.396634508</v>
      </c>
      <c r="E2634" s="553">
        <f>-'Foglio deposito bis'!$F$88*(C2634-sezione!$AL$37)*IF(ABS(K2634)&lt;'Progetto del paramento slu'!$G$58,ABS(K2634)*'Progetto del paramento slu'!$G$54,'Progetto del paramento slu'!$G$53)</f>
        <v>0</v>
      </c>
      <c r="F2634" s="553">
        <f>-'Foglio deposito bis'!$F$89*(C2634-sezione!$AM$37)*IF(ABS(L2634)&lt;'Progetto del paramento slu'!$G$58,ABS(L2634)*'Progetto del paramento slu'!$G$54,'Progetto del paramento slu'!$G$53)</f>
        <v>14004202.132650811</v>
      </c>
      <c r="G2634" s="553">
        <f>-'Foglio deposito bis'!$F$90*(C2634-sezione!$AN$37)*IF(ABS(M2634)&lt;'Progetto del paramento slu'!$G$58,ABS(M2634)*'Progetto del paramento slu'!$G$54,'Progetto del paramento slu'!$G$53)</f>
        <v>0</v>
      </c>
      <c r="H2634" s="553">
        <f>-'Foglio deposito bis'!$F$91*(C2634-sezione!$AO$37)*IF(ABS(N2634)&lt;'Progetto del paramento slu'!$G$58,ABS(N2634)*'Progetto del paramento slu'!$G$54,'Progetto del paramento slu'!$G$53)</f>
        <v>250908650.14841789</v>
      </c>
      <c r="I2634" s="479">
        <f>-'Foglio deposito bis'!$F$92*(C2634-sezione!$AP$37)*IF(ABS(O2634)&lt;'Progetto del paramento slu'!$G$58,ABS(O2634)*'Progetto del paramento slu'!$G$54,'Progetto del paramento slu'!$G$53)</f>
        <v>334310372.17853147</v>
      </c>
      <c r="J2634" s="479">
        <f t="shared" si="193"/>
        <v>570698337.06296563</v>
      </c>
      <c r="K2634" s="558">
        <f>'Progetto del paramento slu'!$G$60*(sezione!$AL$37-C2634)/C2634</f>
        <v>-1.1216884724532118E-3</v>
      </c>
      <c r="L2634" s="558">
        <f>'Progetto del paramento slu'!$G$60*(sezione!$AM$37-C2634)/C2634</f>
        <v>5.4186682283004564E-3</v>
      </c>
      <c r="M2634" s="559">
        <f>'Progetto del paramento slu'!$G$60*(sezione!$AN$37-C2634)/C2634</f>
        <v>1.1959024929054126E-2</v>
      </c>
      <c r="N2634" s="559">
        <f>'Progetto del paramento slu'!$G$60*(sezione!$AO$37-C2634)/C2634</f>
        <v>1.6715647984147701E-2</v>
      </c>
      <c r="O2634" s="559">
        <f>'Progetto del paramento slu'!$G$60*(sezione!$AP$37-C2634)/C2634</f>
        <v>1.1959619506935998E-2</v>
      </c>
      <c r="P2634" s="553">
        <f>-'Progetto del paramento slu'!$G$47*'Progetto del paramento slu'!$G$41*IF(DATI!$G$218="dx",DATI!$E$61,DATI!$E$64*DATI!$E$63)*1000*C2634*sezione!$AD$5</f>
        <v>-829758.66581934853</v>
      </c>
      <c r="Q2634" s="553">
        <f>'Foglio deposito bis'!$F$88*IF(ABS(K2634)&lt;'Progetto del paramento slu'!$G$58,ABS(K2634)*'Progetto del paramento slu'!$G$54,'Progetto del paramento slu'!$G$53)*IF(K2634&lt;0,-1,1)</f>
        <v>0</v>
      </c>
      <c r="R2634" s="553">
        <f>'Foglio deposito bis'!$F$89*IF(ABS(L2634)&lt;'Progetto del paramento slu'!$G$58,ABS(L2634)*'Progetto del paramento slu'!$G$54,'Progetto del paramento slu'!$G$53)*IF(L2634&lt;0,-1,1)</f>
        <v>153664.85805602249</v>
      </c>
      <c r="S2634" s="553">
        <f>'Foglio deposito bis'!$F$90*IF(ABS(M2634)&lt;'Progetto del paramento slu'!$G$58,ABS(M2634)*'Progetto del paramento slu'!$G$54,'Progetto del paramento slu'!$G$53)*IF(M2634&lt;0,-1,1)</f>
        <v>0</v>
      </c>
      <c r="T2634" s="553">
        <f>'Foglio deposito bis'!$F$91*IF(ABS(N2634)&lt;'Progetto del paramento slu'!$G$58,ABS(N2634)*'Progetto del paramento slu'!$G$54,'Progetto del paramento slu'!$G$53)*IF(N2634&lt;0,-1,1)</f>
        <v>892485.49558937876</v>
      </c>
      <c r="U2634" s="553">
        <f>'Foglio deposito bis'!$F$92*IF(ABS(O2634)&lt;'Progetto del paramento slu'!$G$58,ABS(O2634)*'Progetto del paramento slu'!$G$54,'Progetto del paramento slu'!$G$53)*IF(O2634&lt;0,-1,1)</f>
        <v>1662039.1047339395</v>
      </c>
      <c r="V2634" s="479">
        <f t="shared" si="195"/>
        <v>1878430.7925599923</v>
      </c>
      <c r="W2634" s="559"/>
      <c r="X2634" s="559"/>
    </row>
    <row r="2635" spans="1:24" x14ac:dyDescent="0.25">
      <c r="A2635" s="553">
        <f t="shared" si="194"/>
        <v>1866985.8454452425</v>
      </c>
      <c r="B2635" s="3">
        <f t="shared" si="192"/>
        <v>14.699999999999969</v>
      </c>
      <c r="C2635" s="553">
        <f>'Foglio deposito bis'!$E$163/sezione!$B$247*B2635</f>
        <v>59.677225981055351</v>
      </c>
      <c r="D2635" s="611">
        <f>-'Progetto del paramento slu'!$G$47*'Progetto del paramento slu'!$G$41*IF(DATI!$G$218="dx",DATI!$E$61,DATI!$E$64*DATI!$E$63)*1000*C2635^2*sezione!$AD$5*(1-sezione!$AD$6)</f>
        <v>-29317207.693406668</v>
      </c>
      <c r="E2635" s="553">
        <f>-'Foglio deposito bis'!$F$88*(C2635-sezione!$AL$37)*IF(ABS(K2635)&lt;'Progetto del paramento slu'!$G$58,ABS(K2635)*'Progetto del paramento slu'!$G$54,'Progetto del paramento slu'!$G$53)</f>
        <v>0</v>
      </c>
      <c r="F2635" s="553">
        <f>-'Foglio deposito bis'!$F$89*(C2635-sezione!$AM$37)*IF(ABS(L2635)&lt;'Progetto del paramento slu'!$G$58,ABS(L2635)*'Progetto del paramento slu'!$G$54,'Progetto del paramento slu'!$G$53)</f>
        <v>13879436.248847324</v>
      </c>
      <c r="G2635" s="553">
        <f>-'Foglio deposito bis'!$F$90*(C2635-sezione!$AN$37)*IF(ABS(M2635)&lt;'Progetto del paramento slu'!$G$58,ABS(M2635)*'Progetto del paramento slu'!$G$54,'Progetto del paramento slu'!$G$53)</f>
        <v>0</v>
      </c>
      <c r="H2635" s="553">
        <f>-'Foglio deposito bis'!$F$91*(C2635-sezione!$AO$37)*IF(ABS(N2635)&lt;'Progetto del paramento slu'!$G$58,ABS(N2635)*'Progetto del paramento slu'!$G$54,'Progetto del paramento slu'!$G$53)</f>
        <v>250184009.89528725</v>
      </c>
      <c r="I2635" s="479">
        <f>-'Foglio deposito bis'!$F$92*(C2635-sezione!$AP$37)*IF(ABS(O2635)&lt;'Progetto del paramento slu'!$G$58,ABS(O2635)*'Progetto del paramento slu'!$G$54,'Progetto del paramento slu'!$G$53)</f>
        <v>332960904.37931299</v>
      </c>
      <c r="J2635" s="479">
        <f t="shared" si="193"/>
        <v>567707142.83004093</v>
      </c>
      <c r="K2635" s="558">
        <f>'Progetto del paramento slu'!$G$60*(sezione!$AL$37-C2635)/C2635</f>
        <v>-1.154046452419835E-3</v>
      </c>
      <c r="L2635" s="558">
        <f>'Progetto del paramento slu'!$G$60*(sezione!$AM$37-C2635)/C2635</f>
        <v>5.2973258034256189E-3</v>
      </c>
      <c r="M2635" s="559">
        <f>'Progetto del paramento slu'!$G$60*(sezione!$AN$37-C2635)/C2635</f>
        <v>1.1748698059271073E-2</v>
      </c>
      <c r="N2635" s="559">
        <f>'Progetto del paramento slu'!$G$60*(sezione!$AO$37-C2635)/C2635</f>
        <v>1.6440605154431402E-2</v>
      </c>
      <c r="O2635" s="559">
        <f>'Progetto del paramento slu'!$G$60*(sezione!$AP$37-C2635)/C2635</f>
        <v>1.1749284547657954E-2</v>
      </c>
      <c r="P2635" s="553">
        <f>-'Progetto del paramento slu'!$G$47*'Progetto del paramento slu'!$G$41*IF(DATI!$G$218="dx",DATI!$E$61,DATI!$E$64*DATI!$E$63)*1000*C2635*sezione!$AD$5</f>
        <v>-841203.61293409823</v>
      </c>
      <c r="Q2635" s="553">
        <f>'Foglio deposito bis'!$F$88*IF(ABS(K2635)&lt;'Progetto del paramento slu'!$G$58,ABS(K2635)*'Progetto del paramento slu'!$G$54,'Progetto del paramento slu'!$G$53)*IF(K2635&lt;0,-1,1)</f>
        <v>0</v>
      </c>
      <c r="R2635" s="553">
        <f>'Foglio deposito bis'!$F$89*IF(ABS(L2635)&lt;'Progetto del paramento slu'!$G$58,ABS(L2635)*'Progetto del paramento slu'!$G$54,'Progetto del paramento slu'!$G$53)*IF(L2635&lt;0,-1,1)</f>
        <v>153664.85805602249</v>
      </c>
      <c r="S2635" s="553">
        <f>'Foglio deposito bis'!$F$90*IF(ABS(M2635)&lt;'Progetto del paramento slu'!$G$58,ABS(M2635)*'Progetto del paramento slu'!$G$54,'Progetto del paramento slu'!$G$53)*IF(M2635&lt;0,-1,1)</f>
        <v>0</v>
      </c>
      <c r="T2635" s="553">
        <f>'Foglio deposito bis'!$F$91*IF(ABS(N2635)&lt;'Progetto del paramento slu'!$G$58,ABS(N2635)*'Progetto del paramento slu'!$G$54,'Progetto del paramento slu'!$G$53)*IF(N2635&lt;0,-1,1)</f>
        <v>892485.49558937876</v>
      </c>
      <c r="U2635" s="553">
        <f>'Foglio deposito bis'!$F$92*IF(ABS(O2635)&lt;'Progetto del paramento slu'!$G$58,ABS(O2635)*'Progetto del paramento slu'!$G$54,'Progetto del paramento slu'!$G$53)*IF(O2635&lt;0,-1,1)</f>
        <v>1662039.1047339395</v>
      </c>
      <c r="V2635" s="479">
        <f t="shared" si="195"/>
        <v>1866985.8454452425</v>
      </c>
      <c r="W2635" s="559"/>
      <c r="X2635" s="559"/>
    </row>
    <row r="2636" spans="1:24" x14ac:dyDescent="0.25">
      <c r="A2636" s="553">
        <f t="shared" si="194"/>
        <v>1855540.8983304929</v>
      </c>
      <c r="B2636" s="3">
        <f t="shared" si="192"/>
        <v>14.899999999999968</v>
      </c>
      <c r="C2636" s="553">
        <f>'Foglio deposito bis'!$E$163/sezione!$B$247*B2636</f>
        <v>60.489161028416646</v>
      </c>
      <c r="D2636" s="611">
        <f>-'Progetto del paramento slu'!$G$47*'Progetto del paramento slu'!$G$41*IF(DATI!$G$218="dx",DATI!$E$61,DATI!$E$64*DATI!$E$63)*1000*C2636^2*sezione!$AD$5*(1-sezione!$AD$6)</f>
        <v>-30120381.692874331</v>
      </c>
      <c r="E2636" s="553">
        <f>-'Foglio deposito bis'!$F$88*(C2636-sezione!$AL$37)*IF(ABS(K2636)&lt;'Progetto del paramento slu'!$G$58,ABS(K2636)*'Progetto del paramento slu'!$G$54,'Progetto del paramento slu'!$G$53)</f>
        <v>0</v>
      </c>
      <c r="F2636" s="553">
        <f>-'Foglio deposito bis'!$F$89*(C2636-sezione!$AM$37)*IF(ABS(L2636)&lt;'Progetto del paramento slu'!$G$58,ABS(L2636)*'Progetto del paramento slu'!$G$54,'Progetto del paramento slu'!$G$53)</f>
        <v>13754670.365043843</v>
      </c>
      <c r="G2636" s="553">
        <f>-'Foglio deposito bis'!$F$90*(C2636-sezione!$AN$37)*IF(ABS(M2636)&lt;'Progetto del paramento slu'!$G$58,ABS(M2636)*'Progetto del paramento slu'!$G$54,'Progetto del paramento slu'!$G$53)</f>
        <v>0</v>
      </c>
      <c r="H2636" s="553">
        <f>-'Foglio deposito bis'!$F$91*(C2636-sezione!$AO$37)*IF(ABS(N2636)&lt;'Progetto del paramento slu'!$G$58,ABS(N2636)*'Progetto del paramento slu'!$G$54,'Progetto del paramento slu'!$G$53)</f>
        <v>249459369.64215657</v>
      </c>
      <c r="I2636" s="479">
        <f>-'Foglio deposito bis'!$F$92*(C2636-sezione!$AP$37)*IF(ABS(O2636)&lt;'Progetto del paramento slu'!$G$58,ABS(O2636)*'Progetto del paramento slu'!$G$54,'Progetto del paramento slu'!$G$53)</f>
        <v>331611436.58009452</v>
      </c>
      <c r="J2636" s="479">
        <f t="shared" si="193"/>
        <v>564705094.89442062</v>
      </c>
      <c r="K2636" s="558">
        <f>'Progetto del paramento slu'!$G$60*(sezione!$AL$37-C2636)/C2636</f>
        <v>-1.1855357617833271E-3</v>
      </c>
      <c r="L2636" s="558">
        <f>'Progetto del paramento slu'!$G$60*(sezione!$AM$37-C2636)/C2636</f>
        <v>5.1792408933125245E-3</v>
      </c>
      <c r="M2636" s="559">
        <f>'Progetto del paramento slu'!$G$60*(sezione!$AN$37-C2636)/C2636</f>
        <v>1.1544017548408374E-2</v>
      </c>
      <c r="N2636" s="559">
        <f>'Progetto del paramento slu'!$G$60*(sezione!$AO$37-C2636)/C2636</f>
        <v>1.617294602484172E-2</v>
      </c>
      <c r="O2636" s="559">
        <f>'Progetto del paramento slu'!$G$60*(sezione!$AP$37-C2636)/C2636</f>
        <v>1.1544596164467916E-2</v>
      </c>
      <c r="P2636" s="553">
        <f>-'Progetto del paramento slu'!$G$47*'Progetto del paramento slu'!$G$41*IF(DATI!$G$218="dx",DATI!$E$61,DATI!$E$64*DATI!$E$63)*1000*C2636*sezione!$AD$5</f>
        <v>-852648.56004884792</v>
      </c>
      <c r="Q2636" s="553">
        <f>'Foglio deposito bis'!$F$88*IF(ABS(K2636)&lt;'Progetto del paramento slu'!$G$58,ABS(K2636)*'Progetto del paramento slu'!$G$54,'Progetto del paramento slu'!$G$53)*IF(K2636&lt;0,-1,1)</f>
        <v>0</v>
      </c>
      <c r="R2636" s="553">
        <f>'Foglio deposito bis'!$F$89*IF(ABS(L2636)&lt;'Progetto del paramento slu'!$G$58,ABS(L2636)*'Progetto del paramento slu'!$G$54,'Progetto del paramento slu'!$G$53)*IF(L2636&lt;0,-1,1)</f>
        <v>153664.85805602249</v>
      </c>
      <c r="S2636" s="553">
        <f>'Foglio deposito bis'!$F$90*IF(ABS(M2636)&lt;'Progetto del paramento slu'!$G$58,ABS(M2636)*'Progetto del paramento slu'!$G$54,'Progetto del paramento slu'!$G$53)*IF(M2636&lt;0,-1,1)</f>
        <v>0</v>
      </c>
      <c r="T2636" s="553">
        <f>'Foglio deposito bis'!$F$91*IF(ABS(N2636)&lt;'Progetto del paramento slu'!$G$58,ABS(N2636)*'Progetto del paramento slu'!$G$54,'Progetto del paramento slu'!$G$53)*IF(N2636&lt;0,-1,1)</f>
        <v>892485.49558937876</v>
      </c>
      <c r="U2636" s="553">
        <f>'Foglio deposito bis'!$F$92*IF(ABS(O2636)&lt;'Progetto del paramento slu'!$G$58,ABS(O2636)*'Progetto del paramento slu'!$G$54,'Progetto del paramento slu'!$G$53)*IF(O2636&lt;0,-1,1)</f>
        <v>1662039.1047339395</v>
      </c>
      <c r="V2636" s="479">
        <f t="shared" si="195"/>
        <v>1855540.8983304929</v>
      </c>
      <c r="W2636" s="559"/>
      <c r="X2636" s="559"/>
    </row>
    <row r="2637" spans="1:24" x14ac:dyDescent="0.25">
      <c r="A2637" s="553">
        <f t="shared" si="194"/>
        <v>1844095.9512157433</v>
      </c>
      <c r="B2637" s="3">
        <f t="shared" si="192"/>
        <v>15.099999999999968</v>
      </c>
      <c r="C2637" s="553">
        <f>'Foglio deposito bis'!$E$163/sezione!$B$247*B2637</f>
        <v>61.301096075777942</v>
      </c>
      <c r="D2637" s="611">
        <f>-'Progetto del paramento slu'!$G$47*'Progetto del paramento slu'!$G$41*IF(DATI!$G$218="dx",DATI!$E$61,DATI!$E$64*DATI!$E$63)*1000*C2637^2*sezione!$AD$5*(1-sezione!$AD$6)</f>
        <v>-30934409.395037502</v>
      </c>
      <c r="E2637" s="553">
        <f>-'Foglio deposito bis'!$F$88*(C2637-sezione!$AL$37)*IF(ABS(K2637)&lt;'Progetto del paramento slu'!$G$58,ABS(K2637)*'Progetto del paramento slu'!$G$54,'Progetto del paramento slu'!$G$53)</f>
        <v>0</v>
      </c>
      <c r="F2637" s="553">
        <f>-'Foglio deposito bis'!$F$89*(C2637-sezione!$AM$37)*IF(ABS(L2637)&lt;'Progetto del paramento slu'!$G$58,ABS(L2637)*'Progetto del paramento slu'!$G$54,'Progetto del paramento slu'!$G$53)</f>
        <v>13629904.48124036</v>
      </c>
      <c r="G2637" s="553">
        <f>-'Foglio deposito bis'!$F$90*(C2637-sezione!$AN$37)*IF(ABS(M2637)&lt;'Progetto del paramento slu'!$G$58,ABS(M2637)*'Progetto del paramento slu'!$G$54,'Progetto del paramento slu'!$G$53)</f>
        <v>0</v>
      </c>
      <c r="H2637" s="553">
        <f>-'Foglio deposito bis'!$F$91*(C2637-sezione!$AO$37)*IF(ABS(N2637)&lt;'Progetto del paramento slu'!$G$58,ABS(N2637)*'Progetto del paramento slu'!$G$54,'Progetto del paramento slu'!$G$53)</f>
        <v>248734729.38902602</v>
      </c>
      <c r="I2637" s="479">
        <f>-'Foglio deposito bis'!$F$92*(C2637-sezione!$AP$37)*IF(ABS(O2637)&lt;'Progetto del paramento slu'!$G$58,ABS(O2637)*'Progetto del paramento slu'!$G$54,'Progetto del paramento slu'!$G$53)</f>
        <v>330261968.78087604</v>
      </c>
      <c r="J2637" s="479">
        <f t="shared" si="193"/>
        <v>561692193.25610495</v>
      </c>
      <c r="K2637" s="558">
        <f>'Progetto del paramento slu'!$G$60*(sezione!$AL$37-C2637)/C2637</f>
        <v>-1.2161909172563954E-3</v>
      </c>
      <c r="L2637" s="558">
        <f>'Progetto del paramento slu'!$G$60*(sezione!$AM$37-C2637)/C2637</f>
        <v>5.0642840602885177E-3</v>
      </c>
      <c r="M2637" s="559">
        <f>'Progetto del paramento slu'!$G$60*(sezione!$AN$37-C2637)/C2637</f>
        <v>1.134475903783343E-2</v>
      </c>
      <c r="N2637" s="559">
        <f>'Progetto del paramento slu'!$G$60*(sezione!$AO$37-C2637)/C2637</f>
        <v>1.591237720332064E-2</v>
      </c>
      <c r="O2637" s="559">
        <f>'Progetto del paramento slu'!$G$60*(sezione!$AP$37-C2637)/C2637</f>
        <v>1.1345329990104102E-2</v>
      </c>
      <c r="P2637" s="553">
        <f>-'Progetto del paramento slu'!$G$47*'Progetto del paramento slu'!$G$41*IF(DATI!$G$218="dx",DATI!$E$61,DATI!$E$64*DATI!$E$63)*1000*C2637*sezione!$AD$5</f>
        <v>-864093.5071635975</v>
      </c>
      <c r="Q2637" s="553">
        <f>'Foglio deposito bis'!$F$88*IF(ABS(K2637)&lt;'Progetto del paramento slu'!$G$58,ABS(K2637)*'Progetto del paramento slu'!$G$54,'Progetto del paramento slu'!$G$53)*IF(K2637&lt;0,-1,1)</f>
        <v>0</v>
      </c>
      <c r="R2637" s="553">
        <f>'Foglio deposito bis'!$F$89*IF(ABS(L2637)&lt;'Progetto del paramento slu'!$G$58,ABS(L2637)*'Progetto del paramento slu'!$G$54,'Progetto del paramento slu'!$G$53)*IF(L2637&lt;0,-1,1)</f>
        <v>153664.85805602249</v>
      </c>
      <c r="S2637" s="553">
        <f>'Foglio deposito bis'!$F$90*IF(ABS(M2637)&lt;'Progetto del paramento slu'!$G$58,ABS(M2637)*'Progetto del paramento slu'!$G$54,'Progetto del paramento slu'!$G$53)*IF(M2637&lt;0,-1,1)</f>
        <v>0</v>
      </c>
      <c r="T2637" s="553">
        <f>'Foglio deposito bis'!$F$91*IF(ABS(N2637)&lt;'Progetto del paramento slu'!$G$58,ABS(N2637)*'Progetto del paramento slu'!$G$54,'Progetto del paramento slu'!$G$53)*IF(N2637&lt;0,-1,1)</f>
        <v>892485.49558937876</v>
      </c>
      <c r="U2637" s="553">
        <f>'Foglio deposito bis'!$F$92*IF(ABS(O2637)&lt;'Progetto del paramento slu'!$G$58,ABS(O2637)*'Progetto del paramento slu'!$G$54,'Progetto del paramento slu'!$G$53)*IF(O2637&lt;0,-1,1)</f>
        <v>1662039.1047339395</v>
      </c>
      <c r="V2637" s="479">
        <f t="shared" si="195"/>
        <v>1844095.9512157433</v>
      </c>
      <c r="W2637" s="559"/>
      <c r="X2637" s="559"/>
    </row>
    <row r="2638" spans="1:24" x14ac:dyDescent="0.25">
      <c r="A2638" s="553">
        <f t="shared" si="194"/>
        <v>1832651.0041009937</v>
      </c>
      <c r="B2638" s="3">
        <f t="shared" si="192"/>
        <v>15.299999999999967</v>
      </c>
      <c r="C2638" s="553">
        <f>'Foglio deposito bis'!$E$163/sezione!$B$247*B2638</f>
        <v>62.113031123139237</v>
      </c>
      <c r="D2638" s="611">
        <f>-'Progetto del paramento slu'!$G$47*'Progetto del paramento slu'!$G$41*IF(DATI!$G$218="dx",DATI!$E$61,DATI!$E$64*DATI!$E$63)*1000*C2638^2*sezione!$AD$5*(1-sezione!$AD$6)</f>
        <v>-31759290.799896181</v>
      </c>
      <c r="E2638" s="553">
        <f>-'Foglio deposito bis'!$F$88*(C2638-sezione!$AL$37)*IF(ABS(K2638)&lt;'Progetto del paramento slu'!$G$58,ABS(K2638)*'Progetto del paramento slu'!$G$54,'Progetto del paramento slu'!$G$53)</f>
        <v>0</v>
      </c>
      <c r="F2638" s="553">
        <f>-'Foglio deposito bis'!$F$89*(C2638-sezione!$AM$37)*IF(ABS(L2638)&lt;'Progetto del paramento slu'!$G$58,ABS(L2638)*'Progetto del paramento slu'!$G$54,'Progetto del paramento slu'!$G$53)</f>
        <v>13505138.597436875</v>
      </c>
      <c r="G2638" s="553">
        <f>-'Foglio deposito bis'!$F$90*(C2638-sezione!$AN$37)*IF(ABS(M2638)&lt;'Progetto del paramento slu'!$G$58,ABS(M2638)*'Progetto del paramento slu'!$G$54,'Progetto del paramento slu'!$G$53)</f>
        <v>0</v>
      </c>
      <c r="H2638" s="553">
        <f>-'Foglio deposito bis'!$F$91*(C2638-sezione!$AO$37)*IF(ABS(N2638)&lt;'Progetto del paramento slu'!$G$58,ABS(N2638)*'Progetto del paramento slu'!$G$54,'Progetto del paramento slu'!$G$53)</f>
        <v>248010089.13589534</v>
      </c>
      <c r="I2638" s="479">
        <f>-'Foglio deposito bis'!$F$92*(C2638-sezione!$AP$37)*IF(ABS(O2638)&lt;'Progetto del paramento slu'!$G$58,ABS(O2638)*'Progetto del paramento slu'!$G$54,'Progetto del paramento slu'!$G$53)</f>
        <v>328912500.98165756</v>
      </c>
      <c r="J2638" s="479">
        <f t="shared" si="193"/>
        <v>558668437.91509366</v>
      </c>
      <c r="K2638" s="558">
        <f>'Progetto del paramento slu'!$G$60*(sezione!$AL$37-C2638)/C2638</f>
        <v>-1.2460446307563117E-3</v>
      </c>
      <c r="L2638" s="558">
        <f>'Progetto del paramento slu'!$G$60*(sezione!$AM$37-C2638)/C2638</f>
        <v>4.9523326346638304E-3</v>
      </c>
      <c r="M2638" s="559">
        <f>'Progetto del paramento slu'!$G$60*(sezione!$AN$37-C2638)/C2638</f>
        <v>1.1150709900083973E-2</v>
      </c>
      <c r="N2638" s="559">
        <f>'Progetto del paramento slu'!$G$60*(sezione!$AO$37-C2638)/C2638</f>
        <v>1.565862063857135E-2</v>
      </c>
      <c r="O2638" s="559">
        <f>'Progetto del paramento slu'!$G$60*(sezione!$AP$37-C2638)/C2638</f>
        <v>1.1151273388926271E-2</v>
      </c>
      <c r="P2638" s="553">
        <f>-'Progetto del paramento slu'!$G$47*'Progetto del paramento slu'!$G$41*IF(DATI!$G$218="dx",DATI!$E$61,DATI!$E$64*DATI!$E$63)*1000*C2638*sezione!$AD$5</f>
        <v>-875538.45427834708</v>
      </c>
      <c r="Q2638" s="553">
        <f>'Foglio deposito bis'!$F$88*IF(ABS(K2638)&lt;'Progetto del paramento slu'!$G$58,ABS(K2638)*'Progetto del paramento slu'!$G$54,'Progetto del paramento slu'!$G$53)*IF(K2638&lt;0,-1,1)</f>
        <v>0</v>
      </c>
      <c r="R2638" s="553">
        <f>'Foglio deposito bis'!$F$89*IF(ABS(L2638)&lt;'Progetto del paramento slu'!$G$58,ABS(L2638)*'Progetto del paramento slu'!$G$54,'Progetto del paramento slu'!$G$53)*IF(L2638&lt;0,-1,1)</f>
        <v>153664.85805602249</v>
      </c>
      <c r="S2638" s="553">
        <f>'Foglio deposito bis'!$F$90*IF(ABS(M2638)&lt;'Progetto del paramento slu'!$G$58,ABS(M2638)*'Progetto del paramento slu'!$G$54,'Progetto del paramento slu'!$G$53)*IF(M2638&lt;0,-1,1)</f>
        <v>0</v>
      </c>
      <c r="T2638" s="553">
        <f>'Foglio deposito bis'!$F$91*IF(ABS(N2638)&lt;'Progetto del paramento slu'!$G$58,ABS(N2638)*'Progetto del paramento slu'!$G$54,'Progetto del paramento slu'!$G$53)*IF(N2638&lt;0,-1,1)</f>
        <v>892485.49558937876</v>
      </c>
      <c r="U2638" s="553">
        <f>'Foglio deposito bis'!$F$92*IF(ABS(O2638)&lt;'Progetto del paramento slu'!$G$58,ABS(O2638)*'Progetto del paramento slu'!$G$54,'Progetto del paramento slu'!$G$53)*IF(O2638&lt;0,-1,1)</f>
        <v>1662039.1047339395</v>
      </c>
      <c r="V2638" s="479">
        <f t="shared" si="195"/>
        <v>1832651.0041009937</v>
      </c>
      <c r="W2638" s="559"/>
      <c r="X2638" s="559"/>
    </row>
    <row r="2639" spans="1:24" x14ac:dyDescent="0.25">
      <c r="A2639" s="553">
        <f t="shared" si="194"/>
        <v>1821206.0569862442</v>
      </c>
      <c r="B2639" s="3">
        <f t="shared" si="192"/>
        <v>15.499999999999966</v>
      </c>
      <c r="C2639" s="553">
        <f>'Foglio deposito bis'!$E$163/sezione!$B$247*B2639</f>
        <v>62.924966170500532</v>
      </c>
      <c r="D2639" s="611">
        <f>-'Progetto del paramento slu'!$G$47*'Progetto del paramento slu'!$G$41*IF(DATI!$G$218="dx",DATI!$E$61,DATI!$E$64*DATI!$E$63)*1000*C2639^2*sezione!$AD$5*(1-sezione!$AD$6)</f>
        <v>-32595025.907450363</v>
      </c>
      <c r="E2639" s="553">
        <f>-'Foglio deposito bis'!$F$88*(C2639-sezione!$AL$37)*IF(ABS(K2639)&lt;'Progetto del paramento slu'!$G$58,ABS(K2639)*'Progetto del paramento slu'!$G$54,'Progetto del paramento slu'!$G$53)</f>
        <v>0</v>
      </c>
      <c r="F2639" s="553">
        <f>-'Foglio deposito bis'!$F$89*(C2639-sezione!$AM$37)*IF(ABS(L2639)&lt;'Progetto del paramento slu'!$G$58,ABS(L2639)*'Progetto del paramento slu'!$G$54,'Progetto del paramento slu'!$G$53)</f>
        <v>13380372.713633392</v>
      </c>
      <c r="G2639" s="553">
        <f>-'Foglio deposito bis'!$F$90*(C2639-sezione!$AN$37)*IF(ABS(M2639)&lt;'Progetto del paramento slu'!$G$58,ABS(M2639)*'Progetto del paramento slu'!$G$54,'Progetto del paramento slu'!$G$53)</f>
        <v>0</v>
      </c>
      <c r="H2639" s="553">
        <f>-'Foglio deposito bis'!$F$91*(C2639-sezione!$AO$37)*IF(ABS(N2639)&lt;'Progetto del paramento slu'!$G$58,ABS(N2639)*'Progetto del paramento slu'!$G$54,'Progetto del paramento slu'!$G$53)</f>
        <v>247285448.88276476</v>
      </c>
      <c r="I2639" s="479">
        <f>-'Foglio deposito bis'!$F$92*(C2639-sezione!$AP$37)*IF(ABS(O2639)&lt;'Progetto del paramento slu'!$G$58,ABS(O2639)*'Progetto del paramento slu'!$G$54,'Progetto del paramento slu'!$G$53)</f>
        <v>327563033.18243903</v>
      </c>
      <c r="J2639" s="479">
        <f t="shared" si="193"/>
        <v>555633828.87138677</v>
      </c>
      <c r="K2639" s="558">
        <f>'Progetto del paramento slu'!$G$60*(sezione!$AL$37-C2639)/C2639</f>
        <v>-1.2751279258433272E-3</v>
      </c>
      <c r="L2639" s="558">
        <f>'Progetto del paramento slu'!$G$60*(sezione!$AM$37-C2639)/C2639</f>
        <v>4.8432702780875237E-3</v>
      </c>
      <c r="M2639" s="559">
        <f>'Progetto del paramento slu'!$G$60*(sezione!$AN$37-C2639)/C2639</f>
        <v>1.0961668482018374E-2</v>
      </c>
      <c r="N2639" s="559">
        <f>'Progetto del paramento slu'!$G$60*(sezione!$AO$37-C2639)/C2639</f>
        <v>1.5411412630331722E-2</v>
      </c>
      <c r="O2639" s="559">
        <f>'Progetto del paramento slu'!$G$60*(sezione!$AP$37-C2639)/C2639</f>
        <v>1.09622247000369E-2</v>
      </c>
      <c r="P2639" s="553">
        <f>-'Progetto del paramento slu'!$G$47*'Progetto del paramento slu'!$G$41*IF(DATI!$G$218="dx",DATI!$E$61,DATI!$E$64*DATI!$E$63)*1000*C2639*sezione!$AD$5</f>
        <v>-886983.40139309666</v>
      </c>
      <c r="Q2639" s="553">
        <f>'Foglio deposito bis'!$F$88*IF(ABS(K2639)&lt;'Progetto del paramento slu'!$G$58,ABS(K2639)*'Progetto del paramento slu'!$G$54,'Progetto del paramento slu'!$G$53)*IF(K2639&lt;0,-1,1)</f>
        <v>0</v>
      </c>
      <c r="R2639" s="553">
        <f>'Foglio deposito bis'!$F$89*IF(ABS(L2639)&lt;'Progetto del paramento slu'!$G$58,ABS(L2639)*'Progetto del paramento slu'!$G$54,'Progetto del paramento slu'!$G$53)*IF(L2639&lt;0,-1,1)</f>
        <v>153664.85805602249</v>
      </c>
      <c r="S2639" s="553">
        <f>'Foglio deposito bis'!$F$90*IF(ABS(M2639)&lt;'Progetto del paramento slu'!$G$58,ABS(M2639)*'Progetto del paramento slu'!$G$54,'Progetto del paramento slu'!$G$53)*IF(M2639&lt;0,-1,1)</f>
        <v>0</v>
      </c>
      <c r="T2639" s="553">
        <f>'Foglio deposito bis'!$F$91*IF(ABS(N2639)&lt;'Progetto del paramento slu'!$G$58,ABS(N2639)*'Progetto del paramento slu'!$G$54,'Progetto del paramento slu'!$G$53)*IF(N2639&lt;0,-1,1)</f>
        <v>892485.49558937876</v>
      </c>
      <c r="U2639" s="553">
        <f>'Foglio deposito bis'!$F$92*IF(ABS(O2639)&lt;'Progetto del paramento slu'!$G$58,ABS(O2639)*'Progetto del paramento slu'!$G$54,'Progetto del paramento slu'!$G$53)*IF(O2639&lt;0,-1,1)</f>
        <v>1662039.1047339395</v>
      </c>
      <c r="V2639" s="479">
        <f t="shared" si="195"/>
        <v>1821206.0569862442</v>
      </c>
      <c r="W2639" s="559"/>
      <c r="X2639" s="559"/>
    </row>
    <row r="2640" spans="1:24" x14ac:dyDescent="0.25">
      <c r="A2640" s="553">
        <f t="shared" si="194"/>
        <v>1809761.1098714944</v>
      </c>
      <c r="B2640" s="3">
        <f t="shared" si="192"/>
        <v>15.699999999999966</v>
      </c>
      <c r="C2640" s="553">
        <f>'Foglio deposito bis'!$E$163/sezione!$B$247*B2640</f>
        <v>63.736901217861828</v>
      </c>
      <c r="D2640" s="611">
        <f>-'Progetto del paramento slu'!$G$47*'Progetto del paramento slu'!$G$41*IF(DATI!$G$218="dx",DATI!$E$61,DATI!$E$64*DATI!$E$63)*1000*C2640^2*sezione!$AD$5*(1-sezione!$AD$6)</f>
        <v>-33441614.71770006</v>
      </c>
      <c r="E2640" s="553">
        <f>-'Foglio deposito bis'!$F$88*(C2640-sezione!$AL$37)*IF(ABS(K2640)&lt;'Progetto del paramento slu'!$G$58,ABS(K2640)*'Progetto del paramento slu'!$G$54,'Progetto del paramento slu'!$G$53)</f>
        <v>0</v>
      </c>
      <c r="F2640" s="553">
        <f>-'Foglio deposito bis'!$F$89*(C2640-sezione!$AM$37)*IF(ABS(L2640)&lt;'Progetto del paramento slu'!$G$58,ABS(L2640)*'Progetto del paramento slu'!$G$54,'Progetto del paramento slu'!$G$53)</f>
        <v>13255606.829829911</v>
      </c>
      <c r="G2640" s="553">
        <f>-'Foglio deposito bis'!$F$90*(C2640-sezione!$AN$37)*IF(ABS(M2640)&lt;'Progetto del paramento slu'!$G$58,ABS(M2640)*'Progetto del paramento slu'!$G$54,'Progetto del paramento slu'!$G$53)</f>
        <v>0</v>
      </c>
      <c r="H2640" s="553">
        <f>-'Foglio deposito bis'!$F$91*(C2640-sezione!$AO$37)*IF(ABS(N2640)&lt;'Progetto del paramento slu'!$G$58,ABS(N2640)*'Progetto del paramento slu'!$G$54,'Progetto del paramento slu'!$G$53)</f>
        <v>246560808.62963408</v>
      </c>
      <c r="I2640" s="479">
        <f>-'Foglio deposito bis'!$F$92*(C2640-sezione!$AP$37)*IF(ABS(O2640)&lt;'Progetto del paramento slu'!$G$58,ABS(O2640)*'Progetto del paramento slu'!$G$54,'Progetto del paramento slu'!$G$53)</f>
        <v>326213565.38322061</v>
      </c>
      <c r="J2640" s="479">
        <f t="shared" si="193"/>
        <v>552588366.1249845</v>
      </c>
      <c r="K2640" s="558">
        <f>'Progetto del paramento slu'!$G$60*(sezione!$AL$37-C2640)/C2640</f>
        <v>-1.3034702452593356E-3</v>
      </c>
      <c r="L2640" s="558">
        <f>'Progetto del paramento slu'!$G$60*(sezione!$AM$37-C2640)/C2640</f>
        <v>4.7369865802774922E-3</v>
      </c>
      <c r="M2640" s="559">
        <f>'Progetto del paramento slu'!$G$60*(sezione!$AN$37-C2640)/C2640</f>
        <v>1.0777443405814319E-2</v>
      </c>
      <c r="N2640" s="559">
        <f>'Progetto del paramento slu'!$G$60*(sezione!$AO$37-C2640)/C2640</f>
        <v>1.5170502915295649E-2</v>
      </c>
      <c r="O2640" s="559">
        <f>'Progetto del paramento slu'!$G$60*(sezione!$AP$37-C2640)/C2640</f>
        <v>1.0777992538252993E-2</v>
      </c>
      <c r="P2640" s="553">
        <f>-'Progetto del paramento slu'!$G$47*'Progetto del paramento slu'!$G$41*IF(DATI!$G$218="dx",DATI!$E$61,DATI!$E$64*DATI!$E$63)*1000*C2640*sezione!$AD$5</f>
        <v>-898428.34850784647</v>
      </c>
      <c r="Q2640" s="553">
        <f>'Foglio deposito bis'!$F$88*IF(ABS(K2640)&lt;'Progetto del paramento slu'!$G$58,ABS(K2640)*'Progetto del paramento slu'!$G$54,'Progetto del paramento slu'!$G$53)*IF(K2640&lt;0,-1,1)</f>
        <v>0</v>
      </c>
      <c r="R2640" s="553">
        <f>'Foglio deposito bis'!$F$89*IF(ABS(L2640)&lt;'Progetto del paramento slu'!$G$58,ABS(L2640)*'Progetto del paramento slu'!$G$54,'Progetto del paramento slu'!$G$53)*IF(L2640&lt;0,-1,1)</f>
        <v>153664.85805602249</v>
      </c>
      <c r="S2640" s="553">
        <f>'Foglio deposito bis'!$F$90*IF(ABS(M2640)&lt;'Progetto del paramento slu'!$G$58,ABS(M2640)*'Progetto del paramento slu'!$G$54,'Progetto del paramento slu'!$G$53)*IF(M2640&lt;0,-1,1)</f>
        <v>0</v>
      </c>
      <c r="T2640" s="553">
        <f>'Foglio deposito bis'!$F$91*IF(ABS(N2640)&lt;'Progetto del paramento slu'!$G$58,ABS(N2640)*'Progetto del paramento slu'!$G$54,'Progetto del paramento slu'!$G$53)*IF(N2640&lt;0,-1,1)</f>
        <v>892485.49558937876</v>
      </c>
      <c r="U2640" s="553">
        <f>'Foglio deposito bis'!$F$92*IF(ABS(O2640)&lt;'Progetto del paramento slu'!$G$58,ABS(O2640)*'Progetto del paramento slu'!$G$54,'Progetto del paramento slu'!$G$53)*IF(O2640&lt;0,-1,1)</f>
        <v>1662039.1047339395</v>
      </c>
      <c r="V2640" s="479">
        <f t="shared" si="195"/>
        <v>1809761.1098714944</v>
      </c>
      <c r="W2640" s="559"/>
      <c r="X2640" s="559"/>
    </row>
    <row r="2641" spans="1:24" x14ac:dyDescent="0.25">
      <c r="A2641" s="553">
        <f t="shared" si="194"/>
        <v>1798316.1627567448</v>
      </c>
      <c r="B2641" s="3">
        <f t="shared" si="192"/>
        <v>15.899999999999965</v>
      </c>
      <c r="C2641" s="553">
        <f>'Foglio deposito bis'!$E$163/sezione!$B$247*B2641</f>
        <v>64.54883626522313</v>
      </c>
      <c r="D2641" s="611">
        <f>-'Progetto del paramento slu'!$G$47*'Progetto del paramento slu'!$G$41*IF(DATI!$G$218="dx",DATI!$E$61,DATI!$E$64*DATI!$E$63)*1000*C2641^2*sezione!$AD$5*(1-sezione!$AD$6)</f>
        <v>-34299057.230645292</v>
      </c>
      <c r="E2641" s="553">
        <f>-'Foglio deposito bis'!$F$88*(C2641-sezione!$AL$37)*IF(ABS(K2641)&lt;'Progetto del paramento slu'!$G$58,ABS(K2641)*'Progetto del paramento slu'!$G$54,'Progetto del paramento slu'!$G$53)</f>
        <v>0</v>
      </c>
      <c r="F2641" s="553">
        <f>-'Foglio deposito bis'!$F$89*(C2641-sezione!$AM$37)*IF(ABS(L2641)&lt;'Progetto del paramento slu'!$G$58,ABS(L2641)*'Progetto del paramento slu'!$G$54,'Progetto del paramento slu'!$G$53)</f>
        <v>13130840.946026424</v>
      </c>
      <c r="G2641" s="553">
        <f>-'Foglio deposito bis'!$F$90*(C2641-sezione!$AN$37)*IF(ABS(M2641)&lt;'Progetto del paramento slu'!$G$58,ABS(M2641)*'Progetto del paramento slu'!$G$54,'Progetto del paramento slu'!$G$53)</f>
        <v>0</v>
      </c>
      <c r="H2641" s="553">
        <f>-'Foglio deposito bis'!$F$91*(C2641-sezione!$AO$37)*IF(ABS(N2641)&lt;'Progetto del paramento slu'!$G$58,ABS(N2641)*'Progetto del paramento slu'!$G$54,'Progetto del paramento slu'!$G$53)</f>
        <v>245836168.37650347</v>
      </c>
      <c r="I2641" s="479">
        <f>-'Foglio deposito bis'!$F$92*(C2641-sezione!$AP$37)*IF(ABS(O2641)&lt;'Progetto del paramento slu'!$G$58,ABS(O2641)*'Progetto del paramento slu'!$G$54,'Progetto del paramento slu'!$G$53)</f>
        <v>324864097.58400208</v>
      </c>
      <c r="J2641" s="479">
        <f t="shared" si="193"/>
        <v>549532049.67588663</v>
      </c>
      <c r="K2641" s="558">
        <f>'Progetto del paramento slu'!$G$60*(sezione!$AL$37-C2641)/C2641</f>
        <v>-1.3310995503504133E-3</v>
      </c>
      <c r="L2641" s="558">
        <f>'Progetto del paramento slu'!$G$60*(sezione!$AM$37-C2641)/C2641</f>
        <v>4.6333766861859508E-3</v>
      </c>
      <c r="M2641" s="559">
        <f>'Progetto del paramento slu'!$G$60*(sezione!$AN$37-C2641)/C2641</f>
        <v>1.0597852922722313E-2</v>
      </c>
      <c r="N2641" s="559">
        <f>'Progetto del paramento slu'!$G$60*(sezione!$AO$37-C2641)/C2641</f>
        <v>1.4935653822021487E-2</v>
      </c>
      <c r="O2641" s="559">
        <f>'Progetto del paramento slu'!$G$60*(sezione!$AP$37-C2641)/C2641</f>
        <v>1.0598395147834713E-2</v>
      </c>
      <c r="P2641" s="553">
        <f>-'Progetto del paramento slu'!$G$47*'Progetto del paramento slu'!$G$41*IF(DATI!$G$218="dx",DATI!$E$61,DATI!$E$64*DATI!$E$63)*1000*C2641*sezione!$AD$5</f>
        <v>-909873.29562259605</v>
      </c>
      <c r="Q2641" s="553">
        <f>'Foglio deposito bis'!$F$88*IF(ABS(K2641)&lt;'Progetto del paramento slu'!$G$58,ABS(K2641)*'Progetto del paramento slu'!$G$54,'Progetto del paramento slu'!$G$53)*IF(K2641&lt;0,-1,1)</f>
        <v>0</v>
      </c>
      <c r="R2641" s="553">
        <f>'Foglio deposito bis'!$F$89*IF(ABS(L2641)&lt;'Progetto del paramento slu'!$G$58,ABS(L2641)*'Progetto del paramento slu'!$G$54,'Progetto del paramento slu'!$G$53)*IF(L2641&lt;0,-1,1)</f>
        <v>153664.85805602249</v>
      </c>
      <c r="S2641" s="553">
        <f>'Foglio deposito bis'!$F$90*IF(ABS(M2641)&lt;'Progetto del paramento slu'!$G$58,ABS(M2641)*'Progetto del paramento slu'!$G$54,'Progetto del paramento slu'!$G$53)*IF(M2641&lt;0,-1,1)</f>
        <v>0</v>
      </c>
      <c r="T2641" s="553">
        <f>'Foglio deposito bis'!$F$91*IF(ABS(N2641)&lt;'Progetto del paramento slu'!$G$58,ABS(N2641)*'Progetto del paramento slu'!$G$54,'Progetto del paramento slu'!$G$53)*IF(N2641&lt;0,-1,1)</f>
        <v>892485.49558937876</v>
      </c>
      <c r="U2641" s="553">
        <f>'Foglio deposito bis'!$F$92*IF(ABS(O2641)&lt;'Progetto del paramento slu'!$G$58,ABS(O2641)*'Progetto del paramento slu'!$G$54,'Progetto del paramento slu'!$G$53)*IF(O2641&lt;0,-1,1)</f>
        <v>1662039.1047339395</v>
      </c>
      <c r="V2641" s="479">
        <f t="shared" si="195"/>
        <v>1798316.1627567448</v>
      </c>
      <c r="W2641" s="559"/>
      <c r="X2641" s="559"/>
    </row>
    <row r="2642" spans="1:24" x14ac:dyDescent="0.25">
      <c r="A2642" s="553">
        <f t="shared" si="194"/>
        <v>1786871.215641995</v>
      </c>
      <c r="B2642" s="3">
        <f t="shared" si="192"/>
        <v>16.099999999999966</v>
      </c>
      <c r="C2642" s="553">
        <f>'Foglio deposito bis'!$E$163/sezione!$B$247*B2642</f>
        <v>65.360771312584433</v>
      </c>
      <c r="D2642" s="611">
        <f>-'Progetto del paramento slu'!$G$47*'Progetto del paramento slu'!$G$41*IF(DATI!$G$218="dx",DATI!$E$61,DATI!$E$64*DATI!$E$63)*1000*C2642^2*sezione!$AD$5*(1-sezione!$AD$6)</f>
        <v>-35167353.446286008</v>
      </c>
      <c r="E2642" s="553">
        <f>-'Foglio deposito bis'!$F$88*(C2642-sezione!$AL$37)*IF(ABS(K2642)&lt;'Progetto del paramento slu'!$G$58,ABS(K2642)*'Progetto del paramento slu'!$G$54,'Progetto del paramento slu'!$G$53)</f>
        <v>0</v>
      </c>
      <c r="F2642" s="553">
        <f>-'Foglio deposito bis'!$F$89*(C2642-sezione!$AM$37)*IF(ABS(L2642)&lt;'Progetto del paramento slu'!$G$58,ABS(L2642)*'Progetto del paramento slu'!$G$54,'Progetto del paramento slu'!$G$53)</f>
        <v>13006075.062222939</v>
      </c>
      <c r="G2642" s="553">
        <f>-'Foglio deposito bis'!$F$90*(C2642-sezione!$AN$37)*IF(ABS(M2642)&lt;'Progetto del paramento slu'!$G$58,ABS(M2642)*'Progetto del paramento slu'!$G$54,'Progetto del paramento slu'!$G$53)</f>
        <v>0</v>
      </c>
      <c r="H2642" s="553">
        <f>-'Foglio deposito bis'!$F$91*(C2642-sezione!$AO$37)*IF(ABS(N2642)&lt;'Progetto del paramento slu'!$G$58,ABS(N2642)*'Progetto del paramento slu'!$G$54,'Progetto del paramento slu'!$G$53)</f>
        <v>245111528.12337279</v>
      </c>
      <c r="I2642" s="479">
        <f>-'Foglio deposito bis'!$F$92*(C2642-sezione!$AP$37)*IF(ABS(O2642)&lt;'Progetto del paramento slu'!$G$58,ABS(O2642)*'Progetto del paramento slu'!$G$54,'Progetto del paramento slu'!$G$53)</f>
        <v>323514629.78478366</v>
      </c>
      <c r="J2642" s="479">
        <f t="shared" si="193"/>
        <v>546464879.52409339</v>
      </c>
      <c r="K2642" s="558">
        <f>'Progetto del paramento slu'!$G$60*(sezione!$AL$37-C2642)/C2642</f>
        <v>-1.3580424130789797E-3</v>
      </c>
      <c r="L2642" s="558">
        <f>'Progetto del paramento slu'!$G$60*(sezione!$AM$37-C2642)/C2642</f>
        <v>4.5323409509538263E-3</v>
      </c>
      <c r="M2642" s="559">
        <f>'Progetto del paramento slu'!$G$60*(sezione!$AN$37-C2642)/C2642</f>
        <v>1.0422724314986634E-2</v>
      </c>
      <c r="N2642" s="559">
        <f>'Progetto del paramento slu'!$G$60*(sezione!$AO$37-C2642)/C2642</f>
        <v>1.4706639488828673E-2</v>
      </c>
      <c r="O2642" s="559">
        <f>'Progetto del paramento slu'!$G$60*(sezione!$AP$37-C2642)/C2642</f>
        <v>1.0423259804383349E-2</v>
      </c>
      <c r="P2642" s="553">
        <f>-'Progetto del paramento slu'!$G$47*'Progetto del paramento slu'!$G$41*IF(DATI!$G$218="dx",DATI!$E$61,DATI!$E$64*DATI!$E$63)*1000*C2642*sezione!$AD$5</f>
        <v>-921318.24273734575</v>
      </c>
      <c r="Q2642" s="553">
        <f>'Foglio deposito bis'!$F$88*IF(ABS(K2642)&lt;'Progetto del paramento slu'!$G$58,ABS(K2642)*'Progetto del paramento slu'!$G$54,'Progetto del paramento slu'!$G$53)*IF(K2642&lt;0,-1,1)</f>
        <v>0</v>
      </c>
      <c r="R2642" s="553">
        <f>'Foglio deposito bis'!$F$89*IF(ABS(L2642)&lt;'Progetto del paramento slu'!$G$58,ABS(L2642)*'Progetto del paramento slu'!$G$54,'Progetto del paramento slu'!$G$53)*IF(L2642&lt;0,-1,1)</f>
        <v>153664.85805602249</v>
      </c>
      <c r="S2642" s="553">
        <f>'Foglio deposito bis'!$F$90*IF(ABS(M2642)&lt;'Progetto del paramento slu'!$G$58,ABS(M2642)*'Progetto del paramento slu'!$G$54,'Progetto del paramento slu'!$G$53)*IF(M2642&lt;0,-1,1)</f>
        <v>0</v>
      </c>
      <c r="T2642" s="553">
        <f>'Foglio deposito bis'!$F$91*IF(ABS(N2642)&lt;'Progetto del paramento slu'!$G$58,ABS(N2642)*'Progetto del paramento slu'!$G$54,'Progetto del paramento slu'!$G$53)*IF(N2642&lt;0,-1,1)</f>
        <v>892485.49558937876</v>
      </c>
      <c r="U2642" s="553">
        <f>'Foglio deposito bis'!$F$92*IF(ABS(O2642)&lt;'Progetto del paramento slu'!$G$58,ABS(O2642)*'Progetto del paramento slu'!$G$54,'Progetto del paramento slu'!$G$53)*IF(O2642&lt;0,-1,1)</f>
        <v>1662039.1047339395</v>
      </c>
      <c r="V2642" s="479">
        <f t="shared" si="195"/>
        <v>1786871.215641995</v>
      </c>
      <c r="W2642" s="559"/>
      <c r="X2642" s="559"/>
    </row>
    <row r="2643" spans="1:24" x14ac:dyDescent="0.25">
      <c r="A2643" s="553">
        <f t="shared" si="194"/>
        <v>1775426.2685272454</v>
      </c>
      <c r="B2643" s="3">
        <f t="shared" si="192"/>
        <v>16.299999999999965</v>
      </c>
      <c r="C2643" s="553">
        <f>'Foglio deposito bis'!$E$163/sezione!$B$247*B2643</f>
        <v>66.172706359945721</v>
      </c>
      <c r="D2643" s="611">
        <f>-'Progetto del paramento slu'!$G$47*'Progetto del paramento slu'!$G$41*IF(DATI!$G$218="dx",DATI!$E$61,DATI!$E$64*DATI!$E$63)*1000*C2643^2*sezione!$AD$5*(1-sezione!$AD$6)</f>
        <v>-36046503.36462222</v>
      </c>
      <c r="E2643" s="553">
        <f>-'Foglio deposito bis'!$F$88*(C2643-sezione!$AL$37)*IF(ABS(K2643)&lt;'Progetto del paramento slu'!$G$58,ABS(K2643)*'Progetto del paramento slu'!$G$54,'Progetto del paramento slu'!$G$53)</f>
        <v>0</v>
      </c>
      <c r="F2643" s="553">
        <f>-'Foglio deposito bis'!$F$89*(C2643-sezione!$AM$37)*IF(ABS(L2643)&lt;'Progetto del paramento slu'!$G$58,ABS(L2643)*'Progetto del paramento slu'!$G$54,'Progetto del paramento slu'!$G$53)</f>
        <v>12881309.178419456</v>
      </c>
      <c r="G2643" s="553">
        <f>-'Foglio deposito bis'!$F$90*(C2643-sezione!$AN$37)*IF(ABS(M2643)&lt;'Progetto del paramento slu'!$G$58,ABS(M2643)*'Progetto del paramento slu'!$G$54,'Progetto del paramento slu'!$G$53)</f>
        <v>0</v>
      </c>
      <c r="H2643" s="553">
        <f>-'Foglio deposito bis'!$F$91*(C2643-sezione!$AO$37)*IF(ABS(N2643)&lt;'Progetto del paramento slu'!$G$58,ABS(N2643)*'Progetto del paramento slu'!$G$54,'Progetto del paramento slu'!$G$53)</f>
        <v>244386887.87024221</v>
      </c>
      <c r="I2643" s="479">
        <f>-'Foglio deposito bis'!$F$92*(C2643-sezione!$AP$37)*IF(ABS(O2643)&lt;'Progetto del paramento slu'!$G$58,ABS(O2643)*'Progetto del paramento slu'!$G$54,'Progetto del paramento slu'!$G$53)</f>
        <v>322165161.98556513</v>
      </c>
      <c r="J2643" s="479">
        <f t="shared" si="193"/>
        <v>543386855.66960454</v>
      </c>
      <c r="K2643" s="558">
        <f>'Progetto del paramento slu'!$G$60*(sezione!$AL$37-C2643)/C2643</f>
        <v>-1.3843241012620594E-3</v>
      </c>
      <c r="L2643" s="558">
        <f>'Progetto del paramento slu'!$G$60*(sezione!$AM$37-C2643)/C2643</f>
        <v>4.4337846202672773E-3</v>
      </c>
      <c r="M2643" s="559">
        <f>'Progetto del paramento slu'!$G$60*(sezione!$AN$37-C2643)/C2643</f>
        <v>1.0251893341796613E-2</v>
      </c>
      <c r="N2643" s="559">
        <f>'Progetto del paramento slu'!$G$60*(sezione!$AO$37-C2643)/C2643</f>
        <v>1.4483245139272495E-2</v>
      </c>
      <c r="O2643" s="559">
        <f>'Progetto del paramento slu'!$G$60*(sezione!$AP$37-C2643)/C2643</f>
        <v>1.0252422260771287E-2</v>
      </c>
      <c r="P2643" s="553">
        <f>-'Progetto del paramento slu'!$G$47*'Progetto del paramento slu'!$G$41*IF(DATI!$G$218="dx",DATI!$E$61,DATI!$E$64*DATI!$E$63)*1000*C2643*sezione!$AD$5</f>
        <v>-932763.18985209533</v>
      </c>
      <c r="Q2643" s="553">
        <f>'Foglio deposito bis'!$F$88*IF(ABS(K2643)&lt;'Progetto del paramento slu'!$G$58,ABS(K2643)*'Progetto del paramento slu'!$G$54,'Progetto del paramento slu'!$G$53)*IF(K2643&lt;0,-1,1)</f>
        <v>0</v>
      </c>
      <c r="R2643" s="553">
        <f>'Foglio deposito bis'!$F$89*IF(ABS(L2643)&lt;'Progetto del paramento slu'!$G$58,ABS(L2643)*'Progetto del paramento slu'!$G$54,'Progetto del paramento slu'!$G$53)*IF(L2643&lt;0,-1,1)</f>
        <v>153664.85805602249</v>
      </c>
      <c r="S2643" s="553">
        <f>'Foglio deposito bis'!$F$90*IF(ABS(M2643)&lt;'Progetto del paramento slu'!$G$58,ABS(M2643)*'Progetto del paramento slu'!$G$54,'Progetto del paramento slu'!$G$53)*IF(M2643&lt;0,-1,1)</f>
        <v>0</v>
      </c>
      <c r="T2643" s="553">
        <f>'Foglio deposito bis'!$F$91*IF(ABS(N2643)&lt;'Progetto del paramento slu'!$G$58,ABS(N2643)*'Progetto del paramento slu'!$G$54,'Progetto del paramento slu'!$G$53)*IF(N2643&lt;0,-1,1)</f>
        <v>892485.49558937876</v>
      </c>
      <c r="U2643" s="553">
        <f>'Foglio deposito bis'!$F$92*IF(ABS(O2643)&lt;'Progetto del paramento slu'!$G$58,ABS(O2643)*'Progetto del paramento slu'!$G$54,'Progetto del paramento slu'!$G$53)*IF(O2643&lt;0,-1,1)</f>
        <v>1662039.1047339395</v>
      </c>
      <c r="V2643" s="479">
        <f t="shared" si="195"/>
        <v>1775426.2685272454</v>
      </c>
      <c r="W2643" s="559"/>
      <c r="X2643" s="559"/>
    </row>
    <row r="2644" spans="1:24" x14ac:dyDescent="0.25">
      <c r="A2644" s="553">
        <f t="shared" si="194"/>
        <v>1763981.3214124958</v>
      </c>
      <c r="B2644" s="3">
        <f t="shared" si="192"/>
        <v>16.499999999999964</v>
      </c>
      <c r="C2644" s="553">
        <f>'Foglio deposito bis'!$E$163/sezione!$B$247*B2644</f>
        <v>66.984641407307024</v>
      </c>
      <c r="D2644" s="611">
        <f>-'Progetto del paramento slu'!$G$47*'Progetto del paramento slu'!$G$41*IF(DATI!$G$218="dx",DATI!$E$61,DATI!$E$64*DATI!$E$63)*1000*C2644^2*sezione!$AD$5*(1-sezione!$AD$6)</f>
        <v>-36936506.985653959</v>
      </c>
      <c r="E2644" s="553">
        <f>-'Foglio deposito bis'!$F$88*(C2644-sezione!$AL$37)*IF(ABS(K2644)&lt;'Progetto del paramento slu'!$G$58,ABS(K2644)*'Progetto del paramento slu'!$G$54,'Progetto del paramento slu'!$G$53)</f>
        <v>0</v>
      </c>
      <c r="F2644" s="553">
        <f>-'Foglio deposito bis'!$F$89*(C2644-sezione!$AM$37)*IF(ABS(L2644)&lt;'Progetto del paramento slu'!$G$58,ABS(L2644)*'Progetto del paramento slu'!$G$54,'Progetto del paramento slu'!$G$53)</f>
        <v>12756543.294615973</v>
      </c>
      <c r="G2644" s="553">
        <f>-'Foglio deposito bis'!$F$90*(C2644-sezione!$AN$37)*IF(ABS(M2644)&lt;'Progetto del paramento slu'!$G$58,ABS(M2644)*'Progetto del paramento slu'!$G$54,'Progetto del paramento slu'!$G$53)</f>
        <v>0</v>
      </c>
      <c r="H2644" s="553">
        <f>-'Foglio deposito bis'!$F$91*(C2644-sezione!$AO$37)*IF(ABS(N2644)&lt;'Progetto del paramento slu'!$G$58,ABS(N2644)*'Progetto del paramento slu'!$G$54,'Progetto del paramento slu'!$G$53)</f>
        <v>243662247.61711153</v>
      </c>
      <c r="I2644" s="479">
        <f>-'Foglio deposito bis'!$F$92*(C2644-sezione!$AP$37)*IF(ABS(O2644)&lt;'Progetto del paramento slu'!$G$58,ABS(O2644)*'Progetto del paramento slu'!$G$54,'Progetto del paramento slu'!$G$53)</f>
        <v>320815694.18634665</v>
      </c>
      <c r="J2644" s="479">
        <f t="shared" si="193"/>
        <v>540297978.1124202</v>
      </c>
      <c r="K2644" s="558">
        <f>'Progetto del paramento slu'!$G$60*(sezione!$AL$37-C2644)/C2644</f>
        <v>-1.4099686576103984E-3</v>
      </c>
      <c r="L2644" s="558">
        <f>'Progetto del paramento slu'!$G$60*(sezione!$AM$37-C2644)/C2644</f>
        <v>4.3376175339610067E-3</v>
      </c>
      <c r="M2644" s="559">
        <f>'Progetto del paramento slu'!$G$60*(sezione!$AN$37-C2644)/C2644</f>
        <v>1.0085203725532411E-2</v>
      </c>
      <c r="N2644" s="559">
        <f>'Progetto del paramento slu'!$G$60*(sezione!$AO$37-C2644)/C2644</f>
        <v>1.4265266410311615E-2</v>
      </c>
      <c r="O2644" s="559">
        <f>'Progetto del paramento slu'!$G$60*(sezione!$AP$37-C2644)/C2644</f>
        <v>1.0085726233367995E-2</v>
      </c>
      <c r="P2644" s="553">
        <f>-'Progetto del paramento slu'!$G$47*'Progetto del paramento slu'!$G$41*IF(DATI!$G$218="dx",DATI!$E$61,DATI!$E$64*DATI!$E$63)*1000*C2644*sezione!$AD$5</f>
        <v>-944208.1369668449</v>
      </c>
      <c r="Q2644" s="553">
        <f>'Foglio deposito bis'!$F$88*IF(ABS(K2644)&lt;'Progetto del paramento slu'!$G$58,ABS(K2644)*'Progetto del paramento slu'!$G$54,'Progetto del paramento slu'!$G$53)*IF(K2644&lt;0,-1,1)</f>
        <v>0</v>
      </c>
      <c r="R2644" s="553">
        <f>'Foglio deposito bis'!$F$89*IF(ABS(L2644)&lt;'Progetto del paramento slu'!$G$58,ABS(L2644)*'Progetto del paramento slu'!$G$54,'Progetto del paramento slu'!$G$53)*IF(L2644&lt;0,-1,1)</f>
        <v>153664.85805602249</v>
      </c>
      <c r="S2644" s="553">
        <f>'Foglio deposito bis'!$F$90*IF(ABS(M2644)&lt;'Progetto del paramento slu'!$G$58,ABS(M2644)*'Progetto del paramento slu'!$G$54,'Progetto del paramento slu'!$G$53)*IF(M2644&lt;0,-1,1)</f>
        <v>0</v>
      </c>
      <c r="T2644" s="553">
        <f>'Foglio deposito bis'!$F$91*IF(ABS(N2644)&lt;'Progetto del paramento slu'!$G$58,ABS(N2644)*'Progetto del paramento slu'!$G$54,'Progetto del paramento slu'!$G$53)*IF(N2644&lt;0,-1,1)</f>
        <v>892485.49558937876</v>
      </c>
      <c r="U2644" s="553">
        <f>'Foglio deposito bis'!$F$92*IF(ABS(O2644)&lt;'Progetto del paramento slu'!$G$58,ABS(O2644)*'Progetto del paramento slu'!$G$54,'Progetto del paramento slu'!$G$53)*IF(O2644&lt;0,-1,1)</f>
        <v>1662039.1047339395</v>
      </c>
      <c r="V2644" s="479">
        <f t="shared" si="195"/>
        <v>1763981.3214124958</v>
      </c>
      <c r="W2644" s="559"/>
      <c r="X2644" s="559"/>
    </row>
    <row r="2645" spans="1:24" x14ac:dyDescent="0.25">
      <c r="A2645" s="553">
        <f t="shared" si="194"/>
        <v>1752536.3742977462</v>
      </c>
      <c r="B2645" s="3">
        <f t="shared" si="192"/>
        <v>16.699999999999964</v>
      </c>
      <c r="C2645" s="553">
        <f>'Foglio deposito bis'!$E$163/sezione!$B$247*B2645</f>
        <v>67.796576454668312</v>
      </c>
      <c r="D2645" s="611">
        <f>-'Progetto del paramento slu'!$G$47*'Progetto del paramento slu'!$G$41*IF(DATI!$G$218="dx",DATI!$E$61,DATI!$E$64*DATI!$E$63)*1000*C2645^2*sezione!$AD$5*(1-sezione!$AD$6)</f>
        <v>-37837364.309381202</v>
      </c>
      <c r="E2645" s="553">
        <f>-'Foglio deposito bis'!$F$88*(C2645-sezione!$AL$37)*IF(ABS(K2645)&lt;'Progetto del paramento slu'!$G$58,ABS(K2645)*'Progetto del paramento slu'!$G$54,'Progetto del paramento slu'!$G$53)</f>
        <v>0</v>
      </c>
      <c r="F2645" s="553">
        <f>-'Foglio deposito bis'!$F$89*(C2645-sezione!$AM$37)*IF(ABS(L2645)&lt;'Progetto del paramento slu'!$G$58,ABS(L2645)*'Progetto del paramento slu'!$G$54,'Progetto del paramento slu'!$G$53)</f>
        <v>12631777.410812492</v>
      </c>
      <c r="G2645" s="553">
        <f>-'Foglio deposito bis'!$F$90*(C2645-sezione!$AN$37)*IF(ABS(M2645)&lt;'Progetto del paramento slu'!$G$58,ABS(M2645)*'Progetto del paramento slu'!$G$54,'Progetto del paramento slu'!$G$53)</f>
        <v>0</v>
      </c>
      <c r="H2645" s="553">
        <f>-'Foglio deposito bis'!$F$91*(C2645-sezione!$AO$37)*IF(ABS(N2645)&lt;'Progetto del paramento slu'!$G$58,ABS(N2645)*'Progetto del paramento slu'!$G$54,'Progetto del paramento slu'!$G$53)</f>
        <v>242937607.36398095</v>
      </c>
      <c r="I2645" s="479">
        <f>-'Foglio deposito bis'!$F$92*(C2645-sezione!$AP$37)*IF(ABS(O2645)&lt;'Progetto del paramento slu'!$G$58,ABS(O2645)*'Progetto del paramento slu'!$G$54,'Progetto del paramento slu'!$G$53)</f>
        <v>319466226.38712823</v>
      </c>
      <c r="J2645" s="479">
        <f t="shared" si="193"/>
        <v>537198246.85254049</v>
      </c>
      <c r="K2645" s="558">
        <f>'Progetto del paramento slu'!$G$60*(sezione!$AL$37-C2645)/C2645</f>
        <v>-1.4349989730881177E-3</v>
      </c>
      <c r="L2645" s="558">
        <f>'Progetto del paramento slu'!$G$60*(sezione!$AM$37-C2645)/C2645</f>
        <v>4.2437538509195582E-3</v>
      </c>
      <c r="M2645" s="559">
        <f>'Progetto del paramento slu'!$G$60*(sezione!$AN$37-C2645)/C2645</f>
        <v>9.922506674927235E-3</v>
      </c>
      <c r="N2645" s="559">
        <f>'Progetto del paramento slu'!$G$60*(sezione!$AO$37-C2645)/C2645</f>
        <v>1.4052508728750999E-2</v>
      </c>
      <c r="O2645" s="559">
        <f>'Progetto del paramento slu'!$G$60*(sezione!$AP$37-C2645)/C2645</f>
        <v>9.9230229251839521E-3</v>
      </c>
      <c r="P2645" s="553">
        <f>-'Progetto del paramento slu'!$G$47*'Progetto del paramento slu'!$G$41*IF(DATI!$G$218="dx",DATI!$E$61,DATI!$E$64*DATI!$E$63)*1000*C2645*sezione!$AD$5</f>
        <v>-955653.08408159448</v>
      </c>
      <c r="Q2645" s="553">
        <f>'Foglio deposito bis'!$F$88*IF(ABS(K2645)&lt;'Progetto del paramento slu'!$G$58,ABS(K2645)*'Progetto del paramento slu'!$G$54,'Progetto del paramento slu'!$G$53)*IF(K2645&lt;0,-1,1)</f>
        <v>0</v>
      </c>
      <c r="R2645" s="553">
        <f>'Foglio deposito bis'!$F$89*IF(ABS(L2645)&lt;'Progetto del paramento slu'!$G$58,ABS(L2645)*'Progetto del paramento slu'!$G$54,'Progetto del paramento slu'!$G$53)*IF(L2645&lt;0,-1,1)</f>
        <v>153664.85805602249</v>
      </c>
      <c r="S2645" s="553">
        <f>'Foglio deposito bis'!$F$90*IF(ABS(M2645)&lt;'Progetto del paramento slu'!$G$58,ABS(M2645)*'Progetto del paramento slu'!$G$54,'Progetto del paramento slu'!$G$53)*IF(M2645&lt;0,-1,1)</f>
        <v>0</v>
      </c>
      <c r="T2645" s="553">
        <f>'Foglio deposito bis'!$F$91*IF(ABS(N2645)&lt;'Progetto del paramento slu'!$G$58,ABS(N2645)*'Progetto del paramento slu'!$G$54,'Progetto del paramento slu'!$G$53)*IF(N2645&lt;0,-1,1)</f>
        <v>892485.49558937876</v>
      </c>
      <c r="U2645" s="553">
        <f>'Foglio deposito bis'!$F$92*IF(ABS(O2645)&lt;'Progetto del paramento slu'!$G$58,ABS(O2645)*'Progetto del paramento slu'!$G$54,'Progetto del paramento slu'!$G$53)*IF(O2645&lt;0,-1,1)</f>
        <v>1662039.1047339395</v>
      </c>
      <c r="V2645" s="479">
        <f t="shared" si="195"/>
        <v>1752536.3742977462</v>
      </c>
      <c r="W2645" s="559"/>
      <c r="X2645" s="559"/>
    </row>
    <row r="2646" spans="1:24" x14ac:dyDescent="0.25">
      <c r="A2646" s="553">
        <f t="shared" si="194"/>
        <v>1741091.4271829964</v>
      </c>
      <c r="B2646" s="3">
        <f t="shared" si="192"/>
        <v>16.899999999999963</v>
      </c>
      <c r="C2646" s="553">
        <f>'Foglio deposito bis'!$E$163/sezione!$B$247*B2646</f>
        <v>68.608511502029614</v>
      </c>
      <c r="D2646" s="611">
        <f>-'Progetto del paramento slu'!$G$47*'Progetto del paramento slu'!$G$41*IF(DATI!$G$218="dx",DATI!$E$61,DATI!$E$64*DATI!$E$63)*1000*C2646^2*sezione!$AD$5*(1-sezione!$AD$6)</f>
        <v>-38749075.335803956</v>
      </c>
      <c r="E2646" s="553">
        <f>-'Foglio deposito bis'!$F$88*(C2646-sezione!$AL$37)*IF(ABS(K2646)&lt;'Progetto del paramento slu'!$G$58,ABS(K2646)*'Progetto del paramento slu'!$G$54,'Progetto del paramento slu'!$G$53)</f>
        <v>0</v>
      </c>
      <c r="F2646" s="553">
        <f>-'Foglio deposito bis'!$F$89*(C2646-sezione!$AM$37)*IF(ABS(L2646)&lt;'Progetto del paramento slu'!$G$58,ABS(L2646)*'Progetto del paramento slu'!$G$54,'Progetto del paramento slu'!$G$53)</f>
        <v>12507011.527009007</v>
      </c>
      <c r="G2646" s="553">
        <f>-'Foglio deposito bis'!$F$90*(C2646-sezione!$AN$37)*IF(ABS(M2646)&lt;'Progetto del paramento slu'!$G$58,ABS(M2646)*'Progetto del paramento slu'!$G$54,'Progetto del paramento slu'!$G$53)</f>
        <v>0</v>
      </c>
      <c r="H2646" s="553">
        <f>-'Foglio deposito bis'!$F$91*(C2646-sezione!$AO$37)*IF(ABS(N2646)&lt;'Progetto del paramento slu'!$G$58,ABS(N2646)*'Progetto del paramento slu'!$G$54,'Progetto del paramento slu'!$G$53)</f>
        <v>242212967.11085027</v>
      </c>
      <c r="I2646" s="479">
        <f>-'Foglio deposito bis'!$F$92*(C2646-sezione!$AP$37)*IF(ABS(O2646)&lt;'Progetto del paramento slu'!$G$58,ABS(O2646)*'Progetto del paramento slu'!$G$54,'Progetto del paramento slu'!$G$53)</f>
        <v>318116758.58790976</v>
      </c>
      <c r="J2646" s="479">
        <f t="shared" si="193"/>
        <v>534087661.88996506</v>
      </c>
      <c r="K2646" s="558">
        <f>'Progetto del paramento slu'!$G$60*(sezione!$AL$37-C2646)/C2646</f>
        <v>-1.4594368550634065E-3</v>
      </c>
      <c r="L2646" s="558">
        <f>'Progetto del paramento slu'!$G$60*(sezione!$AM$37-C2646)/C2646</f>
        <v>4.1521117935122255E-3</v>
      </c>
      <c r="M2646" s="559">
        <f>'Progetto del paramento slu'!$G$60*(sezione!$AN$37-C2646)/C2646</f>
        <v>9.763660442087858E-3</v>
      </c>
      <c r="N2646" s="559">
        <f>'Progetto del paramento slu'!$G$60*(sezione!$AO$37-C2646)/C2646</f>
        <v>1.3844786731961045E-2</v>
      </c>
      <c r="O2646" s="559">
        <f>'Progetto del paramento slu'!$G$60*(sezione!$AP$37-C2646)/C2646</f>
        <v>9.7641705828740814E-3</v>
      </c>
      <c r="P2646" s="553">
        <f>-'Progetto del paramento slu'!$G$47*'Progetto del paramento slu'!$G$41*IF(DATI!$G$218="dx",DATI!$E$61,DATI!$E$64*DATI!$E$63)*1000*C2646*sezione!$AD$5</f>
        <v>-967098.03119634429</v>
      </c>
      <c r="Q2646" s="553">
        <f>'Foglio deposito bis'!$F$88*IF(ABS(K2646)&lt;'Progetto del paramento slu'!$G$58,ABS(K2646)*'Progetto del paramento slu'!$G$54,'Progetto del paramento slu'!$G$53)*IF(K2646&lt;0,-1,1)</f>
        <v>0</v>
      </c>
      <c r="R2646" s="553">
        <f>'Foglio deposito bis'!$F$89*IF(ABS(L2646)&lt;'Progetto del paramento slu'!$G$58,ABS(L2646)*'Progetto del paramento slu'!$G$54,'Progetto del paramento slu'!$G$53)*IF(L2646&lt;0,-1,1)</f>
        <v>153664.85805602249</v>
      </c>
      <c r="S2646" s="553">
        <f>'Foglio deposito bis'!$F$90*IF(ABS(M2646)&lt;'Progetto del paramento slu'!$G$58,ABS(M2646)*'Progetto del paramento slu'!$G$54,'Progetto del paramento slu'!$G$53)*IF(M2646&lt;0,-1,1)</f>
        <v>0</v>
      </c>
      <c r="T2646" s="553">
        <f>'Foglio deposito bis'!$F$91*IF(ABS(N2646)&lt;'Progetto del paramento slu'!$G$58,ABS(N2646)*'Progetto del paramento slu'!$G$54,'Progetto del paramento slu'!$G$53)*IF(N2646&lt;0,-1,1)</f>
        <v>892485.49558937876</v>
      </c>
      <c r="U2646" s="553">
        <f>'Foglio deposito bis'!$F$92*IF(ABS(O2646)&lt;'Progetto del paramento slu'!$G$58,ABS(O2646)*'Progetto del paramento slu'!$G$54,'Progetto del paramento slu'!$G$53)*IF(O2646&lt;0,-1,1)</f>
        <v>1662039.1047339395</v>
      </c>
      <c r="V2646" s="479">
        <f t="shared" si="195"/>
        <v>1741091.4271829964</v>
      </c>
      <c r="W2646" s="559"/>
      <c r="X2646" s="559"/>
    </row>
    <row r="2647" spans="1:24" x14ac:dyDescent="0.25">
      <c r="A2647" s="553">
        <f t="shared" si="194"/>
        <v>1729646.4800682471</v>
      </c>
      <c r="B2647" s="3">
        <f t="shared" si="192"/>
        <v>17.099999999999962</v>
      </c>
      <c r="C2647" s="553">
        <f>'Foglio deposito bis'!$E$163/sezione!$B$247*B2647</f>
        <v>69.420446549390903</v>
      </c>
      <c r="D2647" s="611">
        <f>-'Progetto del paramento slu'!$G$47*'Progetto del paramento slu'!$G$41*IF(DATI!$G$218="dx",DATI!$E$61,DATI!$E$64*DATI!$E$63)*1000*C2647^2*sezione!$AD$5*(1-sezione!$AD$6)</f>
        <v>-39671640.064922206</v>
      </c>
      <c r="E2647" s="553">
        <f>-'Foglio deposito bis'!$F$88*(C2647-sezione!$AL$37)*IF(ABS(K2647)&lt;'Progetto del paramento slu'!$G$58,ABS(K2647)*'Progetto del paramento slu'!$G$54,'Progetto del paramento slu'!$G$53)</f>
        <v>0</v>
      </c>
      <c r="F2647" s="553">
        <f>-'Foglio deposito bis'!$F$89*(C2647-sezione!$AM$37)*IF(ABS(L2647)&lt;'Progetto del paramento slu'!$G$58,ABS(L2647)*'Progetto del paramento slu'!$G$54,'Progetto del paramento slu'!$G$53)</f>
        <v>12382245.643205523</v>
      </c>
      <c r="G2647" s="553">
        <f>-'Foglio deposito bis'!$F$90*(C2647-sezione!$AN$37)*IF(ABS(M2647)&lt;'Progetto del paramento slu'!$G$58,ABS(M2647)*'Progetto del paramento slu'!$G$54,'Progetto del paramento slu'!$G$53)</f>
        <v>0</v>
      </c>
      <c r="H2647" s="553">
        <f>-'Foglio deposito bis'!$F$91*(C2647-sezione!$AO$37)*IF(ABS(N2647)&lt;'Progetto del paramento slu'!$G$58,ABS(N2647)*'Progetto del paramento slu'!$G$54,'Progetto del paramento slu'!$G$53)</f>
        <v>241488326.85771966</v>
      </c>
      <c r="I2647" s="479">
        <f>-'Foglio deposito bis'!$F$92*(C2647-sezione!$AP$37)*IF(ABS(O2647)&lt;'Progetto del paramento slu'!$G$58,ABS(O2647)*'Progetto del paramento slu'!$G$54,'Progetto del paramento slu'!$G$53)</f>
        <v>316767290.78869122</v>
      </c>
      <c r="J2647" s="479">
        <f t="shared" si="193"/>
        <v>530966223.22469419</v>
      </c>
      <c r="K2647" s="558">
        <f>'Progetto del paramento slu'!$G$60*(sezione!$AL$37-C2647)/C2647</f>
        <v>-1.4833030906766997E-3</v>
      </c>
      <c r="L2647" s="558">
        <f>'Progetto del paramento slu'!$G$60*(sezione!$AM$37-C2647)/C2647</f>
        <v>4.0626134099623762E-3</v>
      </c>
      <c r="M2647" s="559">
        <f>'Progetto del paramento slu'!$G$60*(sezione!$AN$37-C2647)/C2647</f>
        <v>9.608529910601453E-3</v>
      </c>
      <c r="N2647" s="559">
        <f>'Progetto del paramento slu'!$G$60*(sezione!$AO$37-C2647)/C2647</f>
        <v>1.3641923729248051E-2</v>
      </c>
      <c r="O2647" s="559">
        <f>'Progetto del paramento slu'!$G$60*(sezione!$AP$37-C2647)/C2647</f>
        <v>9.6090340848287714E-3</v>
      </c>
      <c r="P2647" s="553">
        <f>-'Progetto del paramento slu'!$G$47*'Progetto del paramento slu'!$G$41*IF(DATI!$G$218="dx",DATI!$E$61,DATI!$E$64*DATI!$E$63)*1000*C2647*sezione!$AD$5</f>
        <v>-978542.97831109364</v>
      </c>
      <c r="Q2647" s="553">
        <f>'Foglio deposito bis'!$F$88*IF(ABS(K2647)&lt;'Progetto del paramento slu'!$G$58,ABS(K2647)*'Progetto del paramento slu'!$G$54,'Progetto del paramento slu'!$G$53)*IF(K2647&lt;0,-1,1)</f>
        <v>0</v>
      </c>
      <c r="R2647" s="553">
        <f>'Foglio deposito bis'!$F$89*IF(ABS(L2647)&lt;'Progetto del paramento slu'!$G$58,ABS(L2647)*'Progetto del paramento slu'!$G$54,'Progetto del paramento slu'!$G$53)*IF(L2647&lt;0,-1,1)</f>
        <v>153664.85805602249</v>
      </c>
      <c r="S2647" s="553">
        <f>'Foglio deposito bis'!$F$90*IF(ABS(M2647)&lt;'Progetto del paramento slu'!$G$58,ABS(M2647)*'Progetto del paramento slu'!$G$54,'Progetto del paramento slu'!$G$53)*IF(M2647&lt;0,-1,1)</f>
        <v>0</v>
      </c>
      <c r="T2647" s="553">
        <f>'Foglio deposito bis'!$F$91*IF(ABS(N2647)&lt;'Progetto del paramento slu'!$G$58,ABS(N2647)*'Progetto del paramento slu'!$G$54,'Progetto del paramento slu'!$G$53)*IF(N2647&lt;0,-1,1)</f>
        <v>892485.49558937876</v>
      </c>
      <c r="U2647" s="553">
        <f>'Foglio deposito bis'!$F$92*IF(ABS(O2647)&lt;'Progetto del paramento slu'!$G$58,ABS(O2647)*'Progetto del paramento slu'!$G$54,'Progetto del paramento slu'!$G$53)*IF(O2647&lt;0,-1,1)</f>
        <v>1662039.1047339395</v>
      </c>
      <c r="V2647" s="479">
        <f t="shared" si="195"/>
        <v>1729646.4800682471</v>
      </c>
      <c r="W2647" s="559"/>
      <c r="X2647" s="559"/>
    </row>
    <row r="2648" spans="1:24" x14ac:dyDescent="0.25">
      <c r="A2648" s="553">
        <f t="shared" si="194"/>
        <v>1718201.5329534973</v>
      </c>
      <c r="B2648" s="3">
        <f t="shared" si="192"/>
        <v>17.299999999999962</v>
      </c>
      <c r="C2648" s="553">
        <f>'Foglio deposito bis'!$E$163/sezione!$B$247*B2648</f>
        <v>70.232381596752205</v>
      </c>
      <c r="D2648" s="611">
        <f>-'Progetto del paramento slu'!$G$47*'Progetto del paramento slu'!$G$41*IF(DATI!$G$218="dx",DATI!$E$61,DATI!$E$64*DATI!$E$63)*1000*C2648^2*sezione!$AD$5*(1-sezione!$AD$6)</f>
        <v>-40605058.496735983</v>
      </c>
      <c r="E2648" s="553">
        <f>-'Foglio deposito bis'!$F$88*(C2648-sezione!$AL$37)*IF(ABS(K2648)&lt;'Progetto del paramento slu'!$G$58,ABS(K2648)*'Progetto del paramento slu'!$G$54,'Progetto del paramento slu'!$G$53)</f>
        <v>0</v>
      </c>
      <c r="F2648" s="553">
        <f>-'Foglio deposito bis'!$F$89*(C2648-sezione!$AM$37)*IF(ABS(L2648)&lt;'Progetto del paramento slu'!$G$58,ABS(L2648)*'Progetto del paramento slu'!$G$54,'Progetto del paramento slu'!$G$53)</f>
        <v>12257479.75940204</v>
      </c>
      <c r="G2648" s="553">
        <f>-'Foglio deposito bis'!$F$90*(C2648-sezione!$AN$37)*IF(ABS(M2648)&lt;'Progetto del paramento slu'!$G$58,ABS(M2648)*'Progetto del paramento slu'!$G$54,'Progetto del paramento slu'!$G$53)</f>
        <v>0</v>
      </c>
      <c r="H2648" s="553">
        <f>-'Foglio deposito bis'!$F$91*(C2648-sezione!$AO$37)*IF(ABS(N2648)&lt;'Progetto del paramento slu'!$G$58,ABS(N2648)*'Progetto del paramento slu'!$G$54,'Progetto del paramento slu'!$G$53)</f>
        <v>240763686.60458905</v>
      </c>
      <c r="I2648" s="479">
        <f>-'Foglio deposito bis'!$F$92*(C2648-sezione!$AP$37)*IF(ABS(O2648)&lt;'Progetto del paramento slu'!$G$58,ABS(O2648)*'Progetto del paramento slu'!$G$54,'Progetto del paramento slu'!$G$53)</f>
        <v>315417822.98947281</v>
      </c>
      <c r="J2648" s="479">
        <f t="shared" si="193"/>
        <v>527833930.8567279</v>
      </c>
      <c r="K2648" s="558">
        <f>'Progetto del paramento slu'!$G$60*(sezione!$AL$37-C2648)/C2648</f>
        <v>-1.5066175058133853E-3</v>
      </c>
      <c r="L2648" s="558">
        <f>'Progetto del paramento slu'!$G$60*(sezione!$AM$37-C2648)/C2648</f>
        <v>3.975184353199805E-3</v>
      </c>
      <c r="M2648" s="559">
        <f>'Progetto del paramento slu'!$G$60*(sezione!$AN$37-C2648)/C2648</f>
        <v>9.456986212212996E-3</v>
      </c>
      <c r="N2648" s="559">
        <f>'Progetto del paramento slu'!$G$60*(sezione!$AO$37-C2648)/C2648</f>
        <v>1.3443751200586225E-2</v>
      </c>
      <c r="O2648" s="559">
        <f>'Progetto del paramento slu'!$G$60*(sezione!$AP$37-C2648)/C2648</f>
        <v>9.4574845578365308E-3</v>
      </c>
      <c r="P2648" s="553">
        <f>-'Progetto del paramento slu'!$G$47*'Progetto del paramento slu'!$G$41*IF(DATI!$G$218="dx",DATI!$E$61,DATI!$E$64*DATI!$E$63)*1000*C2648*sezione!$AD$5</f>
        <v>-989987.92542584345</v>
      </c>
      <c r="Q2648" s="553">
        <f>'Foglio deposito bis'!$F$88*IF(ABS(K2648)&lt;'Progetto del paramento slu'!$G$58,ABS(K2648)*'Progetto del paramento slu'!$G$54,'Progetto del paramento slu'!$G$53)*IF(K2648&lt;0,-1,1)</f>
        <v>0</v>
      </c>
      <c r="R2648" s="553">
        <f>'Foglio deposito bis'!$F$89*IF(ABS(L2648)&lt;'Progetto del paramento slu'!$G$58,ABS(L2648)*'Progetto del paramento slu'!$G$54,'Progetto del paramento slu'!$G$53)*IF(L2648&lt;0,-1,1)</f>
        <v>153664.85805602249</v>
      </c>
      <c r="S2648" s="553">
        <f>'Foglio deposito bis'!$F$90*IF(ABS(M2648)&lt;'Progetto del paramento slu'!$G$58,ABS(M2648)*'Progetto del paramento slu'!$G$54,'Progetto del paramento slu'!$G$53)*IF(M2648&lt;0,-1,1)</f>
        <v>0</v>
      </c>
      <c r="T2648" s="553">
        <f>'Foglio deposito bis'!$F$91*IF(ABS(N2648)&lt;'Progetto del paramento slu'!$G$58,ABS(N2648)*'Progetto del paramento slu'!$G$54,'Progetto del paramento slu'!$G$53)*IF(N2648&lt;0,-1,1)</f>
        <v>892485.49558937876</v>
      </c>
      <c r="U2648" s="553">
        <f>'Foglio deposito bis'!$F$92*IF(ABS(O2648)&lt;'Progetto del paramento slu'!$G$58,ABS(O2648)*'Progetto del paramento slu'!$G$54,'Progetto del paramento slu'!$G$53)*IF(O2648&lt;0,-1,1)</f>
        <v>1662039.1047339395</v>
      </c>
      <c r="V2648" s="479">
        <f t="shared" si="195"/>
        <v>1718201.5329534973</v>
      </c>
      <c r="W2648" s="559"/>
      <c r="X2648" s="559"/>
    </row>
    <row r="2649" spans="1:24" x14ac:dyDescent="0.25">
      <c r="A2649" s="553">
        <f t="shared" si="194"/>
        <v>1706756.5858387477</v>
      </c>
      <c r="B2649" s="3">
        <f t="shared" si="192"/>
        <v>17.499999999999961</v>
      </c>
      <c r="C2649" s="553">
        <f>'Foglio deposito bis'!$E$163/sezione!$B$247*B2649</f>
        <v>71.044316644113493</v>
      </c>
      <c r="D2649" s="611">
        <f>-'Progetto del paramento slu'!$G$47*'Progetto del paramento slu'!$G$41*IF(DATI!$G$218="dx",DATI!$E$61,DATI!$E$64*DATI!$E$63)*1000*C2649^2*sezione!$AD$5*(1-sezione!$AD$6)</f>
        <v>-41549330.631245263</v>
      </c>
      <c r="E2649" s="553">
        <f>-'Foglio deposito bis'!$F$88*(C2649-sezione!$AL$37)*IF(ABS(K2649)&lt;'Progetto del paramento slu'!$G$58,ABS(K2649)*'Progetto del paramento slu'!$G$54,'Progetto del paramento slu'!$G$53)</f>
        <v>0</v>
      </c>
      <c r="F2649" s="553">
        <f>-'Foglio deposito bis'!$F$89*(C2649-sezione!$AM$37)*IF(ABS(L2649)&lt;'Progetto del paramento slu'!$G$58,ABS(L2649)*'Progetto del paramento slu'!$G$54,'Progetto del paramento slu'!$G$53)</f>
        <v>12132713.875598557</v>
      </c>
      <c r="G2649" s="553">
        <f>-'Foglio deposito bis'!$F$90*(C2649-sezione!$AN$37)*IF(ABS(M2649)&lt;'Progetto del paramento slu'!$G$58,ABS(M2649)*'Progetto del paramento slu'!$G$54,'Progetto del paramento slu'!$G$53)</f>
        <v>0</v>
      </c>
      <c r="H2649" s="553">
        <f>-'Foglio deposito bis'!$F$91*(C2649-sezione!$AO$37)*IF(ABS(N2649)&lt;'Progetto del paramento slu'!$G$58,ABS(N2649)*'Progetto del paramento slu'!$G$54,'Progetto del paramento slu'!$G$53)</f>
        <v>240039046.3514584</v>
      </c>
      <c r="I2649" s="479">
        <f>-'Foglio deposito bis'!$F$92*(C2649-sezione!$AP$37)*IF(ABS(O2649)&lt;'Progetto del paramento slu'!$G$58,ABS(O2649)*'Progetto del paramento slu'!$G$54,'Progetto del paramento slu'!$G$53)</f>
        <v>314068355.19025427</v>
      </c>
      <c r="J2649" s="479">
        <f t="shared" si="193"/>
        <v>524690784.78606594</v>
      </c>
      <c r="K2649" s="558">
        <f>'Progetto del paramento slu'!$G$60*(sezione!$AL$37-C2649)/C2649</f>
        <v>-1.5293990200326607E-3</v>
      </c>
      <c r="L2649" s="558">
        <f>'Progetto del paramento slu'!$G$60*(sezione!$AM$37-C2649)/C2649</f>
        <v>3.8897536748775225E-3</v>
      </c>
      <c r="M2649" s="559">
        <f>'Progetto del paramento slu'!$G$60*(sezione!$AN$37-C2649)/C2649</f>
        <v>9.3089063697877044E-3</v>
      </c>
      <c r="N2649" s="559">
        <f>'Progetto del paramento slu'!$G$60*(sezione!$AO$37-C2649)/C2649</f>
        <v>1.3250108329722383E-2</v>
      </c>
      <c r="O2649" s="559">
        <f>'Progetto del paramento slu'!$G$60*(sezione!$AP$37-C2649)/C2649</f>
        <v>9.3093990200326833E-3</v>
      </c>
      <c r="P2649" s="553">
        <f>-'Progetto del paramento slu'!$G$47*'Progetto del paramento slu'!$G$41*IF(DATI!$G$218="dx",DATI!$E$61,DATI!$E$64*DATI!$E$63)*1000*C2649*sezione!$AD$5</f>
        <v>-1001432.872540593</v>
      </c>
      <c r="Q2649" s="553">
        <f>'Foglio deposito bis'!$F$88*IF(ABS(K2649)&lt;'Progetto del paramento slu'!$G$58,ABS(K2649)*'Progetto del paramento slu'!$G$54,'Progetto del paramento slu'!$G$53)*IF(K2649&lt;0,-1,1)</f>
        <v>0</v>
      </c>
      <c r="R2649" s="553">
        <f>'Foglio deposito bis'!$F$89*IF(ABS(L2649)&lt;'Progetto del paramento slu'!$G$58,ABS(L2649)*'Progetto del paramento slu'!$G$54,'Progetto del paramento slu'!$G$53)*IF(L2649&lt;0,-1,1)</f>
        <v>153664.85805602249</v>
      </c>
      <c r="S2649" s="553">
        <f>'Foglio deposito bis'!$F$90*IF(ABS(M2649)&lt;'Progetto del paramento slu'!$G$58,ABS(M2649)*'Progetto del paramento slu'!$G$54,'Progetto del paramento slu'!$G$53)*IF(M2649&lt;0,-1,1)</f>
        <v>0</v>
      </c>
      <c r="T2649" s="553">
        <f>'Foglio deposito bis'!$F$91*IF(ABS(N2649)&lt;'Progetto del paramento slu'!$G$58,ABS(N2649)*'Progetto del paramento slu'!$G$54,'Progetto del paramento slu'!$G$53)*IF(N2649&lt;0,-1,1)</f>
        <v>892485.49558937876</v>
      </c>
      <c r="U2649" s="553">
        <f>'Foglio deposito bis'!$F$92*IF(ABS(O2649)&lt;'Progetto del paramento slu'!$G$58,ABS(O2649)*'Progetto del paramento slu'!$G$54,'Progetto del paramento slu'!$G$53)*IF(O2649&lt;0,-1,1)</f>
        <v>1662039.1047339395</v>
      </c>
      <c r="V2649" s="479">
        <f t="shared" si="195"/>
        <v>1706756.5858387477</v>
      </c>
      <c r="W2649" s="559"/>
      <c r="X2649" s="559"/>
    </row>
    <row r="2650" spans="1:24" x14ac:dyDescent="0.25">
      <c r="A2650" s="553">
        <f t="shared" si="194"/>
        <v>1695311.6387239981</v>
      </c>
      <c r="B2650" s="3">
        <f t="shared" si="192"/>
        <v>17.69999999999996</v>
      </c>
      <c r="C2650" s="553">
        <f>'Foglio deposito bis'!$E$163/sezione!$B$247*B2650</f>
        <v>71.856251691474796</v>
      </c>
      <c r="D2650" s="611">
        <f>-'Progetto del paramento slu'!$G$47*'Progetto del paramento slu'!$G$41*IF(DATI!$G$218="dx",DATI!$E$61,DATI!$E$64*DATI!$E$63)*1000*C2650^2*sezione!$AD$5*(1-sezione!$AD$6)</f>
        <v>-42504456.468450055</v>
      </c>
      <c r="E2650" s="553">
        <f>-'Foglio deposito bis'!$F$88*(C2650-sezione!$AL$37)*IF(ABS(K2650)&lt;'Progetto del paramento slu'!$G$58,ABS(K2650)*'Progetto del paramento slu'!$G$54,'Progetto del paramento slu'!$G$53)</f>
        <v>0</v>
      </c>
      <c r="F2650" s="553">
        <f>-'Foglio deposito bis'!$F$89*(C2650-sezione!$AM$37)*IF(ABS(L2650)&lt;'Progetto del paramento slu'!$G$58,ABS(L2650)*'Progetto del paramento slu'!$G$54,'Progetto del paramento slu'!$G$53)</f>
        <v>12007947.991795074</v>
      </c>
      <c r="G2650" s="553">
        <f>-'Foglio deposito bis'!$F$90*(C2650-sezione!$AN$37)*IF(ABS(M2650)&lt;'Progetto del paramento slu'!$G$58,ABS(M2650)*'Progetto del paramento slu'!$G$54,'Progetto del paramento slu'!$G$53)</f>
        <v>0</v>
      </c>
      <c r="H2650" s="553">
        <f>-'Foglio deposito bis'!$F$91*(C2650-sezione!$AO$37)*IF(ABS(N2650)&lt;'Progetto del paramento slu'!$G$58,ABS(N2650)*'Progetto del paramento slu'!$G$54,'Progetto del paramento slu'!$G$53)</f>
        <v>239314406.09832779</v>
      </c>
      <c r="I2650" s="479">
        <f>-'Foglio deposito bis'!$F$92*(C2650-sezione!$AP$37)*IF(ABS(O2650)&lt;'Progetto del paramento slu'!$G$58,ABS(O2650)*'Progetto del paramento slu'!$G$54,'Progetto del paramento slu'!$G$53)</f>
        <v>312718887.39103585</v>
      </c>
      <c r="J2650" s="479">
        <f t="shared" si="193"/>
        <v>521536785.01270866</v>
      </c>
      <c r="K2650" s="558">
        <f>'Progetto del paramento slu'!$G$60*(sezione!$AL$37-C2650)/C2650</f>
        <v>-1.5516656977724048E-3</v>
      </c>
      <c r="L2650" s="558">
        <f>'Progetto del paramento slu'!$G$60*(sezione!$AM$37-C2650)/C2650</f>
        <v>3.8062536333534815E-3</v>
      </c>
      <c r="M2650" s="559">
        <f>'Progetto del paramento slu'!$G$60*(sezione!$AN$37-C2650)/C2650</f>
        <v>9.1641729644793696E-3</v>
      </c>
      <c r="N2650" s="559">
        <f>'Progetto del paramento slu'!$G$60*(sezione!$AO$37-C2650)/C2650</f>
        <v>1.3060841568934559E-2</v>
      </c>
      <c r="O2650" s="559">
        <f>'Progetto del paramento slu'!$G$60*(sezione!$AP$37-C2650)/C2650</f>
        <v>9.164660048054914E-3</v>
      </c>
      <c r="P2650" s="553">
        <f>-'Progetto del paramento slu'!$G$47*'Progetto del paramento slu'!$G$41*IF(DATI!$G$218="dx",DATI!$E$61,DATI!$E$64*DATI!$E$63)*1000*C2650*sezione!$AD$5</f>
        <v>-1012877.8196553426</v>
      </c>
      <c r="Q2650" s="553">
        <f>'Foglio deposito bis'!$F$88*IF(ABS(K2650)&lt;'Progetto del paramento slu'!$G$58,ABS(K2650)*'Progetto del paramento slu'!$G$54,'Progetto del paramento slu'!$G$53)*IF(K2650&lt;0,-1,1)</f>
        <v>0</v>
      </c>
      <c r="R2650" s="553">
        <f>'Foglio deposito bis'!$F$89*IF(ABS(L2650)&lt;'Progetto del paramento slu'!$G$58,ABS(L2650)*'Progetto del paramento slu'!$G$54,'Progetto del paramento slu'!$G$53)*IF(L2650&lt;0,-1,1)</f>
        <v>153664.85805602249</v>
      </c>
      <c r="S2650" s="553">
        <f>'Foglio deposito bis'!$F$90*IF(ABS(M2650)&lt;'Progetto del paramento slu'!$G$58,ABS(M2650)*'Progetto del paramento slu'!$G$54,'Progetto del paramento slu'!$G$53)*IF(M2650&lt;0,-1,1)</f>
        <v>0</v>
      </c>
      <c r="T2650" s="553">
        <f>'Foglio deposito bis'!$F$91*IF(ABS(N2650)&lt;'Progetto del paramento slu'!$G$58,ABS(N2650)*'Progetto del paramento slu'!$G$54,'Progetto del paramento slu'!$G$53)*IF(N2650&lt;0,-1,1)</f>
        <v>892485.49558937876</v>
      </c>
      <c r="U2650" s="553">
        <f>'Foglio deposito bis'!$F$92*IF(ABS(O2650)&lt;'Progetto del paramento slu'!$G$58,ABS(O2650)*'Progetto del paramento slu'!$G$54,'Progetto del paramento slu'!$G$53)*IF(O2650&lt;0,-1,1)</f>
        <v>1662039.1047339395</v>
      </c>
      <c r="V2650" s="479">
        <f t="shared" si="195"/>
        <v>1695311.6387239981</v>
      </c>
      <c r="W2650" s="559"/>
      <c r="X2650" s="559"/>
    </row>
    <row r="2651" spans="1:24" x14ac:dyDescent="0.25">
      <c r="A2651" s="553">
        <f t="shared" si="194"/>
        <v>1683866.6916092485</v>
      </c>
      <c r="B2651" s="3">
        <f t="shared" si="192"/>
        <v>17.899999999999959</v>
      </c>
      <c r="C2651" s="553">
        <f>'Foglio deposito bis'!$E$163/sezione!$B$247*B2651</f>
        <v>72.668186738836098</v>
      </c>
      <c r="D2651" s="611">
        <f>-'Progetto del paramento slu'!$G$47*'Progetto del paramento slu'!$G$41*IF(DATI!$G$218="dx",DATI!$E$61,DATI!$E$64*DATI!$E$63)*1000*C2651^2*sezione!$AD$5*(1-sezione!$AD$6)</f>
        <v>-43470436.008350357</v>
      </c>
      <c r="E2651" s="553">
        <f>-'Foglio deposito bis'!$F$88*(C2651-sezione!$AL$37)*IF(ABS(K2651)&lt;'Progetto del paramento slu'!$G$58,ABS(K2651)*'Progetto del paramento slu'!$G$54,'Progetto del paramento slu'!$G$53)</f>
        <v>0</v>
      </c>
      <c r="F2651" s="553">
        <f>-'Foglio deposito bis'!$F$89*(C2651-sezione!$AM$37)*IF(ABS(L2651)&lt;'Progetto del paramento slu'!$G$58,ABS(L2651)*'Progetto del paramento slu'!$G$54,'Progetto del paramento slu'!$G$53)</f>
        <v>11883182.107991589</v>
      </c>
      <c r="G2651" s="553">
        <f>-'Foglio deposito bis'!$F$90*(C2651-sezione!$AN$37)*IF(ABS(M2651)&lt;'Progetto del paramento slu'!$G$58,ABS(M2651)*'Progetto del paramento slu'!$G$54,'Progetto del paramento slu'!$G$53)</f>
        <v>0</v>
      </c>
      <c r="H2651" s="553">
        <f>-'Foglio deposito bis'!$F$91*(C2651-sezione!$AO$37)*IF(ABS(N2651)&lt;'Progetto del paramento slu'!$G$58,ABS(N2651)*'Progetto del paramento slu'!$G$54,'Progetto del paramento slu'!$G$53)</f>
        <v>238589765.84519717</v>
      </c>
      <c r="I2651" s="479">
        <f>-'Foglio deposito bis'!$F$92*(C2651-sezione!$AP$37)*IF(ABS(O2651)&lt;'Progetto del paramento slu'!$G$58,ABS(O2651)*'Progetto del paramento slu'!$G$54,'Progetto del paramento slu'!$G$53)</f>
        <v>311369419.59181732</v>
      </c>
      <c r="J2651" s="479">
        <f t="shared" si="193"/>
        <v>518371931.53665572</v>
      </c>
      <c r="K2651" s="558">
        <f>'Progetto del paramento slu'!$G$60*(sezione!$AL$37-C2651)/C2651</f>
        <v>-1.5734347961213167E-3</v>
      </c>
      <c r="L2651" s="558">
        <f>'Progetto del paramento slu'!$G$60*(sezione!$AM$37-C2651)/C2651</f>
        <v>3.7246195145450621E-3</v>
      </c>
      <c r="M2651" s="559">
        <f>'Progetto del paramento slu'!$G$60*(sezione!$AN$37-C2651)/C2651</f>
        <v>9.0226738252114427E-3</v>
      </c>
      <c r="N2651" s="559">
        <f>'Progetto del paramento slu'!$G$60*(sezione!$AO$37-C2651)/C2651</f>
        <v>1.2875804232968809E-2</v>
      </c>
      <c r="O2651" s="559">
        <f>'Progetto del paramento slu'!$G$60*(sezione!$AP$37-C2651)/C2651</f>
        <v>9.0231554665124013E-3</v>
      </c>
      <c r="P2651" s="553">
        <f>-'Progetto del paramento slu'!$G$47*'Progetto del paramento slu'!$G$41*IF(DATI!$G$218="dx",DATI!$E$61,DATI!$E$64*DATI!$E$63)*1000*C2651*sezione!$AD$5</f>
        <v>-1024322.7667700923</v>
      </c>
      <c r="Q2651" s="553">
        <f>'Foglio deposito bis'!$F$88*IF(ABS(K2651)&lt;'Progetto del paramento slu'!$G$58,ABS(K2651)*'Progetto del paramento slu'!$G$54,'Progetto del paramento slu'!$G$53)*IF(K2651&lt;0,-1,1)</f>
        <v>0</v>
      </c>
      <c r="R2651" s="553">
        <f>'Foglio deposito bis'!$F$89*IF(ABS(L2651)&lt;'Progetto del paramento slu'!$G$58,ABS(L2651)*'Progetto del paramento slu'!$G$54,'Progetto del paramento slu'!$G$53)*IF(L2651&lt;0,-1,1)</f>
        <v>153664.85805602249</v>
      </c>
      <c r="S2651" s="553">
        <f>'Foglio deposito bis'!$F$90*IF(ABS(M2651)&lt;'Progetto del paramento slu'!$G$58,ABS(M2651)*'Progetto del paramento slu'!$G$54,'Progetto del paramento slu'!$G$53)*IF(M2651&lt;0,-1,1)</f>
        <v>0</v>
      </c>
      <c r="T2651" s="553">
        <f>'Foglio deposito bis'!$F$91*IF(ABS(N2651)&lt;'Progetto del paramento slu'!$G$58,ABS(N2651)*'Progetto del paramento slu'!$G$54,'Progetto del paramento slu'!$G$53)*IF(N2651&lt;0,-1,1)</f>
        <v>892485.49558937876</v>
      </c>
      <c r="U2651" s="553">
        <f>'Foglio deposito bis'!$F$92*IF(ABS(O2651)&lt;'Progetto del paramento slu'!$G$58,ABS(O2651)*'Progetto del paramento slu'!$G$54,'Progetto del paramento slu'!$G$53)*IF(O2651&lt;0,-1,1)</f>
        <v>1662039.1047339395</v>
      </c>
      <c r="V2651" s="479">
        <f t="shared" si="195"/>
        <v>1683866.6916092485</v>
      </c>
      <c r="W2651" s="559"/>
      <c r="X2651" s="559"/>
    </row>
    <row r="2652" spans="1:24" x14ac:dyDescent="0.25">
      <c r="A2652" s="553">
        <f t="shared" si="194"/>
        <v>1672421.7444944989</v>
      </c>
      <c r="B2652" s="3">
        <f t="shared" si="192"/>
        <v>18.099999999999959</v>
      </c>
      <c r="C2652" s="553">
        <f>'Foglio deposito bis'!$E$163/sezione!$B$247*B2652</f>
        <v>73.480121786197387</v>
      </c>
      <c r="D2652" s="611">
        <f>-'Progetto del paramento slu'!$G$47*'Progetto del paramento slu'!$G$41*IF(DATI!$G$218="dx",DATI!$E$61,DATI!$E$64*DATI!$E$63)*1000*C2652^2*sezione!$AD$5*(1-sezione!$AD$6)</f>
        <v>-44447269.250946157</v>
      </c>
      <c r="E2652" s="553">
        <f>-'Foglio deposito bis'!$F$88*(C2652-sezione!$AL$37)*IF(ABS(K2652)&lt;'Progetto del paramento slu'!$G$58,ABS(K2652)*'Progetto del paramento slu'!$G$54,'Progetto del paramento slu'!$G$53)</f>
        <v>0</v>
      </c>
      <c r="F2652" s="553">
        <f>-'Foglio deposito bis'!$F$89*(C2652-sezione!$AM$37)*IF(ABS(L2652)&lt;'Progetto del paramento slu'!$G$58,ABS(L2652)*'Progetto del paramento slu'!$G$54,'Progetto del paramento slu'!$G$53)</f>
        <v>11758416.224188106</v>
      </c>
      <c r="G2652" s="553">
        <f>-'Foglio deposito bis'!$F$90*(C2652-sezione!$AN$37)*IF(ABS(M2652)&lt;'Progetto del paramento slu'!$G$58,ABS(M2652)*'Progetto del paramento slu'!$G$54,'Progetto del paramento slu'!$G$53)</f>
        <v>0</v>
      </c>
      <c r="H2652" s="553">
        <f>-'Foglio deposito bis'!$F$91*(C2652-sezione!$AO$37)*IF(ABS(N2652)&lt;'Progetto del paramento slu'!$G$58,ABS(N2652)*'Progetto del paramento slu'!$G$54,'Progetto del paramento slu'!$G$53)</f>
        <v>237865125.5920665</v>
      </c>
      <c r="I2652" s="479">
        <f>-'Foglio deposito bis'!$F$92*(C2652-sezione!$AP$37)*IF(ABS(O2652)&lt;'Progetto del paramento slu'!$G$58,ABS(O2652)*'Progetto del paramento slu'!$G$54,'Progetto del paramento slu'!$G$53)</f>
        <v>310019951.79259884</v>
      </c>
      <c r="J2652" s="479">
        <f t="shared" si="193"/>
        <v>515196224.3579073</v>
      </c>
      <c r="K2652" s="558">
        <f>'Progetto del paramento slu'!$G$60*(sezione!$AL$37-C2652)/C2652</f>
        <v>-1.5947228094238433E-3</v>
      </c>
      <c r="L2652" s="558">
        <f>'Progetto del paramento slu'!$G$60*(sezione!$AM$37-C2652)/C2652</f>
        <v>3.6447894646605876E-3</v>
      </c>
      <c r="M2652" s="559">
        <f>'Progetto del paramento slu'!$G$60*(sezione!$AN$37-C2652)/C2652</f>
        <v>8.8843017387450172E-3</v>
      </c>
      <c r="N2652" s="559">
        <f>'Progetto del paramento slu'!$G$60*(sezione!$AO$37-C2652)/C2652</f>
        <v>1.2694856119897333E-2</v>
      </c>
      <c r="O2652" s="559">
        <f>'Progetto del paramento slu'!$G$60*(sezione!$AP$37-C2652)/C2652</f>
        <v>8.88477805804265E-3</v>
      </c>
      <c r="P2652" s="553">
        <f>-'Progetto del paramento slu'!$G$47*'Progetto del paramento slu'!$G$41*IF(DATI!$G$218="dx",DATI!$E$61,DATI!$E$64*DATI!$E$63)*1000*C2652*sezione!$AD$5</f>
        <v>-1035767.7138848419</v>
      </c>
      <c r="Q2652" s="553">
        <f>'Foglio deposito bis'!$F$88*IF(ABS(K2652)&lt;'Progetto del paramento slu'!$G$58,ABS(K2652)*'Progetto del paramento slu'!$G$54,'Progetto del paramento slu'!$G$53)*IF(K2652&lt;0,-1,1)</f>
        <v>0</v>
      </c>
      <c r="R2652" s="553">
        <f>'Foglio deposito bis'!$F$89*IF(ABS(L2652)&lt;'Progetto del paramento slu'!$G$58,ABS(L2652)*'Progetto del paramento slu'!$G$54,'Progetto del paramento slu'!$G$53)*IF(L2652&lt;0,-1,1)</f>
        <v>153664.85805602249</v>
      </c>
      <c r="S2652" s="553">
        <f>'Foglio deposito bis'!$F$90*IF(ABS(M2652)&lt;'Progetto del paramento slu'!$G$58,ABS(M2652)*'Progetto del paramento slu'!$G$54,'Progetto del paramento slu'!$G$53)*IF(M2652&lt;0,-1,1)</f>
        <v>0</v>
      </c>
      <c r="T2652" s="553">
        <f>'Foglio deposito bis'!$F$91*IF(ABS(N2652)&lt;'Progetto del paramento slu'!$G$58,ABS(N2652)*'Progetto del paramento slu'!$G$54,'Progetto del paramento slu'!$G$53)*IF(N2652&lt;0,-1,1)</f>
        <v>892485.49558937876</v>
      </c>
      <c r="U2652" s="553">
        <f>'Foglio deposito bis'!$F$92*IF(ABS(O2652)&lt;'Progetto del paramento slu'!$G$58,ABS(O2652)*'Progetto del paramento slu'!$G$54,'Progetto del paramento slu'!$G$53)*IF(O2652&lt;0,-1,1)</f>
        <v>1662039.1047339395</v>
      </c>
      <c r="V2652" s="479">
        <f t="shared" si="195"/>
        <v>1672421.7444944989</v>
      </c>
      <c r="W2652" s="559"/>
      <c r="X2652" s="559"/>
    </row>
    <row r="2653" spans="1:24" x14ac:dyDescent="0.25">
      <c r="A2653" s="553">
        <f t="shared" si="194"/>
        <v>1660976.7973797494</v>
      </c>
      <c r="B2653" s="3">
        <f t="shared" ref="B2653:B2676" si="196">B2652+0.2</f>
        <v>18.299999999999958</v>
      </c>
      <c r="C2653" s="553">
        <f>'Foglio deposito bis'!$E$163/sezione!$B$247*B2653</f>
        <v>74.292056833558689</v>
      </c>
      <c r="D2653" s="611">
        <f>-'Progetto del paramento slu'!$G$47*'Progetto del paramento slu'!$G$41*IF(DATI!$G$218="dx",DATI!$E$61,DATI!$E$64*DATI!$E$63)*1000*C2653^2*sezione!$AD$5*(1-sezione!$AD$6)</f>
        <v>-45434956.196237475</v>
      </c>
      <c r="E2653" s="553">
        <f>-'Foglio deposito bis'!$F$88*(C2653-sezione!$AL$37)*IF(ABS(K2653)&lt;'Progetto del paramento slu'!$G$58,ABS(K2653)*'Progetto del paramento slu'!$G$54,'Progetto del paramento slu'!$G$53)</f>
        <v>0</v>
      </c>
      <c r="F2653" s="553">
        <f>-'Foglio deposito bis'!$F$89*(C2653-sezione!$AM$37)*IF(ABS(L2653)&lt;'Progetto del paramento slu'!$G$58,ABS(L2653)*'Progetto del paramento slu'!$G$54,'Progetto del paramento slu'!$G$53)</f>
        <v>11633650.340384623</v>
      </c>
      <c r="G2653" s="553">
        <f>-'Foglio deposito bis'!$F$90*(C2653-sezione!$AN$37)*IF(ABS(M2653)&lt;'Progetto del paramento slu'!$G$58,ABS(M2653)*'Progetto del paramento slu'!$G$54,'Progetto del paramento slu'!$G$53)</f>
        <v>0</v>
      </c>
      <c r="H2653" s="553">
        <f>-'Foglio deposito bis'!$F$91*(C2653-sezione!$AO$37)*IF(ABS(N2653)&lt;'Progetto del paramento slu'!$G$58,ABS(N2653)*'Progetto del paramento slu'!$G$54,'Progetto del paramento slu'!$G$53)</f>
        <v>237140485.33893585</v>
      </c>
      <c r="I2653" s="479">
        <f>-'Foglio deposito bis'!$F$92*(C2653-sezione!$AP$37)*IF(ABS(O2653)&lt;'Progetto del paramento slu'!$G$58,ABS(O2653)*'Progetto del paramento slu'!$G$54,'Progetto del paramento slu'!$G$53)</f>
        <v>308670483.99338037</v>
      </c>
      <c r="J2653" s="479">
        <f t="shared" si="193"/>
        <v>512009663.47646338</v>
      </c>
      <c r="K2653" s="558">
        <f>'Progetto del paramento slu'!$G$60*(sezione!$AL$37-C2653)/C2653</f>
        <v>-1.6155455109601949E-3</v>
      </c>
      <c r="L2653" s="558">
        <f>'Progetto del paramento slu'!$G$60*(sezione!$AM$37-C2653)/C2653</f>
        <v>3.5667043338992693E-3</v>
      </c>
      <c r="M2653" s="559">
        <f>'Progetto del paramento slu'!$G$60*(sezione!$AN$37-C2653)/C2653</f>
        <v>8.7489541787587333E-3</v>
      </c>
      <c r="N2653" s="559">
        <f>'Progetto del paramento slu'!$G$60*(sezione!$AO$37-C2653)/C2653</f>
        <v>1.2517863156838342E-2</v>
      </c>
      <c r="O2653" s="559">
        <f>'Progetto del paramento slu'!$G$60*(sezione!$AP$37-C2653)/C2653</f>
        <v>8.7494252923809822E-3</v>
      </c>
      <c r="P2653" s="553">
        <f>-'Progetto del paramento slu'!$G$47*'Progetto del paramento slu'!$G$41*IF(DATI!$G$218="dx",DATI!$E$61,DATI!$E$64*DATI!$E$63)*1000*C2653*sezione!$AD$5</f>
        <v>-1047212.6609995915</v>
      </c>
      <c r="Q2653" s="553">
        <f>'Foglio deposito bis'!$F$88*IF(ABS(K2653)&lt;'Progetto del paramento slu'!$G$58,ABS(K2653)*'Progetto del paramento slu'!$G$54,'Progetto del paramento slu'!$G$53)*IF(K2653&lt;0,-1,1)</f>
        <v>0</v>
      </c>
      <c r="R2653" s="553">
        <f>'Foglio deposito bis'!$F$89*IF(ABS(L2653)&lt;'Progetto del paramento slu'!$G$58,ABS(L2653)*'Progetto del paramento slu'!$G$54,'Progetto del paramento slu'!$G$53)*IF(L2653&lt;0,-1,1)</f>
        <v>153664.85805602249</v>
      </c>
      <c r="S2653" s="553">
        <f>'Foglio deposito bis'!$F$90*IF(ABS(M2653)&lt;'Progetto del paramento slu'!$G$58,ABS(M2653)*'Progetto del paramento slu'!$G$54,'Progetto del paramento slu'!$G$53)*IF(M2653&lt;0,-1,1)</f>
        <v>0</v>
      </c>
      <c r="T2653" s="553">
        <f>'Foglio deposito bis'!$F$91*IF(ABS(N2653)&lt;'Progetto del paramento slu'!$G$58,ABS(N2653)*'Progetto del paramento slu'!$G$54,'Progetto del paramento slu'!$G$53)*IF(N2653&lt;0,-1,1)</f>
        <v>892485.49558937876</v>
      </c>
      <c r="U2653" s="553">
        <f>'Foglio deposito bis'!$F$92*IF(ABS(O2653)&lt;'Progetto del paramento slu'!$G$58,ABS(O2653)*'Progetto del paramento slu'!$G$54,'Progetto del paramento slu'!$G$53)*IF(O2653&lt;0,-1,1)</f>
        <v>1662039.1047339395</v>
      </c>
      <c r="V2653" s="479">
        <f t="shared" si="195"/>
        <v>1660976.7973797494</v>
      </c>
      <c r="W2653" s="559"/>
      <c r="X2653" s="559"/>
    </row>
    <row r="2654" spans="1:24" x14ac:dyDescent="0.25">
      <c r="A2654" s="553">
        <f t="shared" si="194"/>
        <v>1649531.8502649998</v>
      </c>
      <c r="B2654" s="3">
        <f t="shared" si="196"/>
        <v>18.499999999999957</v>
      </c>
      <c r="C2654" s="553">
        <f>'Foglio deposito bis'!$E$163/sezione!$B$247*B2654</f>
        <v>75.103991880919978</v>
      </c>
      <c r="D2654" s="611">
        <f>-'Progetto del paramento slu'!$G$47*'Progetto del paramento slu'!$G$41*IF(DATI!$G$218="dx",DATI!$E$61,DATI!$E$64*DATI!$E$63)*1000*C2654^2*sezione!$AD$5*(1-sezione!$AD$6)</f>
        <v>-46433496.844224297</v>
      </c>
      <c r="E2654" s="553">
        <f>-'Foglio deposito bis'!$F$88*(C2654-sezione!$AL$37)*IF(ABS(K2654)&lt;'Progetto del paramento slu'!$G$58,ABS(K2654)*'Progetto del paramento slu'!$G$54,'Progetto del paramento slu'!$G$53)</f>
        <v>0</v>
      </c>
      <c r="F2654" s="553">
        <f>-'Foglio deposito bis'!$F$89*(C2654-sezione!$AM$37)*IF(ABS(L2654)&lt;'Progetto del paramento slu'!$G$58,ABS(L2654)*'Progetto del paramento slu'!$G$54,'Progetto del paramento slu'!$G$53)</f>
        <v>11508884.45658114</v>
      </c>
      <c r="G2654" s="553">
        <f>-'Foglio deposito bis'!$F$90*(C2654-sezione!$AN$37)*IF(ABS(M2654)&lt;'Progetto del paramento slu'!$G$58,ABS(M2654)*'Progetto del paramento slu'!$G$54,'Progetto del paramento slu'!$G$53)</f>
        <v>0</v>
      </c>
      <c r="H2654" s="553">
        <f>-'Foglio deposito bis'!$F$91*(C2654-sezione!$AO$37)*IF(ABS(N2654)&lt;'Progetto del paramento slu'!$G$58,ABS(N2654)*'Progetto del paramento slu'!$G$54,'Progetto del paramento slu'!$G$53)</f>
        <v>236415845.08580524</v>
      </c>
      <c r="I2654" s="479">
        <f>-'Foglio deposito bis'!$F$92*(C2654-sezione!$AP$37)*IF(ABS(O2654)&lt;'Progetto del paramento slu'!$G$58,ABS(O2654)*'Progetto del paramento slu'!$G$54,'Progetto del paramento slu'!$G$53)</f>
        <v>307321016.19416189</v>
      </c>
      <c r="J2654" s="479">
        <f t="shared" si="193"/>
        <v>508812248.89232397</v>
      </c>
      <c r="K2654" s="558">
        <f>'Progetto del paramento slu'!$G$60*(sezione!$AL$37-C2654)/C2654</f>
        <v>-1.6359179919227872E-3</v>
      </c>
      <c r="L2654" s="558">
        <f>'Progetto del paramento slu'!$G$60*(sezione!$AM$37-C2654)/C2654</f>
        <v>3.4903075302895482E-3</v>
      </c>
      <c r="M2654" s="559">
        <f>'Progetto del paramento slu'!$G$60*(sezione!$AN$37-C2654)/C2654</f>
        <v>8.6165330525018839E-3</v>
      </c>
      <c r="N2654" s="559">
        <f>'Progetto del paramento slu'!$G$60*(sezione!$AO$37-C2654)/C2654</f>
        <v>1.234469706865631E-2</v>
      </c>
      <c r="O2654" s="559">
        <f>'Progetto del paramento slu'!$G$60*(sezione!$AP$37-C2654)/C2654</f>
        <v>8.616999073003893E-3</v>
      </c>
      <c r="P2654" s="553">
        <f>-'Progetto del paramento slu'!$G$47*'Progetto del paramento slu'!$G$41*IF(DATI!$G$218="dx",DATI!$E$61,DATI!$E$64*DATI!$E$63)*1000*C2654*sezione!$AD$5</f>
        <v>-1058657.608114341</v>
      </c>
      <c r="Q2654" s="553">
        <f>'Foglio deposito bis'!$F$88*IF(ABS(K2654)&lt;'Progetto del paramento slu'!$G$58,ABS(K2654)*'Progetto del paramento slu'!$G$54,'Progetto del paramento slu'!$G$53)*IF(K2654&lt;0,-1,1)</f>
        <v>0</v>
      </c>
      <c r="R2654" s="553">
        <f>'Foglio deposito bis'!$F$89*IF(ABS(L2654)&lt;'Progetto del paramento slu'!$G$58,ABS(L2654)*'Progetto del paramento slu'!$G$54,'Progetto del paramento slu'!$G$53)*IF(L2654&lt;0,-1,1)</f>
        <v>153664.85805602249</v>
      </c>
      <c r="S2654" s="553">
        <f>'Foglio deposito bis'!$F$90*IF(ABS(M2654)&lt;'Progetto del paramento slu'!$G$58,ABS(M2654)*'Progetto del paramento slu'!$G$54,'Progetto del paramento slu'!$G$53)*IF(M2654&lt;0,-1,1)</f>
        <v>0</v>
      </c>
      <c r="T2654" s="553">
        <f>'Foglio deposito bis'!$F$91*IF(ABS(N2654)&lt;'Progetto del paramento slu'!$G$58,ABS(N2654)*'Progetto del paramento slu'!$G$54,'Progetto del paramento slu'!$G$53)*IF(N2654&lt;0,-1,1)</f>
        <v>892485.49558937876</v>
      </c>
      <c r="U2654" s="553">
        <f>'Foglio deposito bis'!$F$92*IF(ABS(O2654)&lt;'Progetto del paramento slu'!$G$58,ABS(O2654)*'Progetto del paramento slu'!$G$54,'Progetto del paramento slu'!$G$53)*IF(O2654&lt;0,-1,1)</f>
        <v>1662039.1047339395</v>
      </c>
      <c r="V2654" s="479">
        <f t="shared" si="195"/>
        <v>1649531.8502649998</v>
      </c>
      <c r="W2654" s="559"/>
      <c r="X2654" s="559"/>
    </row>
    <row r="2655" spans="1:24" x14ac:dyDescent="0.25">
      <c r="A2655" s="553">
        <f t="shared" si="194"/>
        <v>1638086.90315025</v>
      </c>
      <c r="B2655" s="3">
        <f t="shared" si="196"/>
        <v>18.699999999999957</v>
      </c>
      <c r="C2655" s="553">
        <f>'Foglio deposito bis'!$E$163/sezione!$B$247*B2655</f>
        <v>75.91592692828128</v>
      </c>
      <c r="D2655" s="611">
        <f>-'Progetto del paramento slu'!$G$47*'Progetto del paramento slu'!$G$41*IF(DATI!$G$218="dx",DATI!$E$61,DATI!$E$64*DATI!$E$63)*1000*C2655^2*sezione!$AD$5*(1-sezione!$AD$6)</f>
        <v>-47442891.19490663</v>
      </c>
      <c r="E2655" s="553">
        <f>-'Foglio deposito bis'!$F$88*(C2655-sezione!$AL$37)*IF(ABS(K2655)&lt;'Progetto del paramento slu'!$G$58,ABS(K2655)*'Progetto del paramento slu'!$G$54,'Progetto del paramento slu'!$G$53)</f>
        <v>0</v>
      </c>
      <c r="F2655" s="553">
        <f>-'Foglio deposito bis'!$F$89*(C2655-sezione!$AM$37)*IF(ABS(L2655)&lt;'Progetto del paramento slu'!$G$58,ABS(L2655)*'Progetto del paramento slu'!$G$54,'Progetto del paramento slu'!$G$53)</f>
        <v>11384118.572777655</v>
      </c>
      <c r="G2655" s="553">
        <f>-'Foglio deposito bis'!$F$90*(C2655-sezione!$AN$37)*IF(ABS(M2655)&lt;'Progetto del paramento slu'!$G$58,ABS(M2655)*'Progetto del paramento slu'!$G$54,'Progetto del paramento slu'!$G$53)</f>
        <v>0</v>
      </c>
      <c r="H2655" s="553">
        <f>-'Foglio deposito bis'!$F$91*(C2655-sezione!$AO$37)*IF(ABS(N2655)&lt;'Progetto del paramento slu'!$G$58,ABS(N2655)*'Progetto del paramento slu'!$G$54,'Progetto del paramento slu'!$G$53)</f>
        <v>235691204.83267456</v>
      </c>
      <c r="I2655" s="479">
        <f>-'Foglio deposito bis'!$F$92*(C2655-sezione!$AP$37)*IF(ABS(O2655)&lt;'Progetto del paramento slu'!$G$58,ABS(O2655)*'Progetto del paramento slu'!$G$54,'Progetto del paramento slu'!$G$53)</f>
        <v>305971548.39494342</v>
      </c>
      <c r="J2655" s="479">
        <f t="shared" si="193"/>
        <v>505603980.60548902</v>
      </c>
      <c r="K2655" s="558">
        <f>'Progetto del paramento slu'!$G$60*(sezione!$AL$37-C2655)/C2655</f>
        <v>-1.6558546978915276E-3</v>
      </c>
      <c r="L2655" s="558">
        <f>'Progetto del paramento slu'!$G$60*(sezione!$AM$37-C2655)/C2655</f>
        <v>3.4155448829067715E-3</v>
      </c>
      <c r="M2655" s="559">
        <f>'Progetto del paramento slu'!$G$60*(sezione!$AN$37-C2655)/C2655</f>
        <v>8.4869444637050706E-3</v>
      </c>
      <c r="N2655" s="559">
        <f>'Progetto del paramento slu'!$G$60*(sezione!$AO$37-C2655)/C2655</f>
        <v>1.2175235067922016E-2</v>
      </c>
      <c r="O2655" s="559">
        <f>'Progetto del paramento slu'!$G$60*(sezione!$AP$37-C2655)/C2655</f>
        <v>8.4874055000305863E-3</v>
      </c>
      <c r="P2655" s="553">
        <f>-'Progetto del paramento slu'!$G$47*'Progetto del paramento slu'!$G$41*IF(DATI!$G$218="dx",DATI!$E$61,DATI!$E$64*DATI!$E$63)*1000*C2655*sezione!$AD$5</f>
        <v>-1070102.5552290909</v>
      </c>
      <c r="Q2655" s="553">
        <f>'Foglio deposito bis'!$F$88*IF(ABS(K2655)&lt;'Progetto del paramento slu'!$G$58,ABS(K2655)*'Progetto del paramento slu'!$G$54,'Progetto del paramento slu'!$G$53)*IF(K2655&lt;0,-1,1)</f>
        <v>0</v>
      </c>
      <c r="R2655" s="553">
        <f>'Foglio deposito bis'!$F$89*IF(ABS(L2655)&lt;'Progetto del paramento slu'!$G$58,ABS(L2655)*'Progetto del paramento slu'!$G$54,'Progetto del paramento slu'!$G$53)*IF(L2655&lt;0,-1,1)</f>
        <v>153664.85805602249</v>
      </c>
      <c r="S2655" s="553">
        <f>'Foglio deposito bis'!$F$90*IF(ABS(M2655)&lt;'Progetto del paramento slu'!$G$58,ABS(M2655)*'Progetto del paramento slu'!$G$54,'Progetto del paramento slu'!$G$53)*IF(M2655&lt;0,-1,1)</f>
        <v>0</v>
      </c>
      <c r="T2655" s="553">
        <f>'Foglio deposito bis'!$F$91*IF(ABS(N2655)&lt;'Progetto del paramento slu'!$G$58,ABS(N2655)*'Progetto del paramento slu'!$G$54,'Progetto del paramento slu'!$G$53)*IF(N2655&lt;0,-1,1)</f>
        <v>892485.49558937876</v>
      </c>
      <c r="U2655" s="553">
        <f>'Foglio deposito bis'!$F$92*IF(ABS(O2655)&lt;'Progetto del paramento slu'!$G$58,ABS(O2655)*'Progetto del paramento slu'!$G$54,'Progetto del paramento slu'!$G$53)*IF(O2655&lt;0,-1,1)</f>
        <v>1662039.1047339395</v>
      </c>
      <c r="V2655" s="479">
        <f t="shared" si="195"/>
        <v>1638086.90315025</v>
      </c>
      <c r="W2655" s="559"/>
      <c r="X2655" s="559"/>
    </row>
    <row r="2656" spans="1:24" x14ac:dyDescent="0.25">
      <c r="A2656" s="553">
        <f t="shared" si="194"/>
        <v>1626641.9560355006</v>
      </c>
      <c r="B2656" s="3">
        <f t="shared" si="196"/>
        <v>18.899999999999956</v>
      </c>
      <c r="C2656" s="553">
        <f>'Foglio deposito bis'!$E$163/sezione!$B$247*B2656</f>
        <v>76.727861975642568</v>
      </c>
      <c r="D2656" s="611">
        <f>-'Progetto del paramento slu'!$G$47*'Progetto del paramento slu'!$G$41*IF(DATI!$G$218="dx",DATI!$E$61,DATI!$E$64*DATI!$E$63)*1000*C2656^2*sezione!$AD$5*(1-sezione!$AD$6)</f>
        <v>-48463139.248284459</v>
      </c>
      <c r="E2656" s="553">
        <f>-'Foglio deposito bis'!$F$88*(C2656-sezione!$AL$37)*IF(ABS(K2656)&lt;'Progetto del paramento slu'!$G$58,ABS(K2656)*'Progetto del paramento slu'!$G$54,'Progetto del paramento slu'!$G$53)</f>
        <v>0</v>
      </c>
      <c r="F2656" s="553">
        <f>-'Foglio deposito bis'!$F$89*(C2656-sezione!$AM$37)*IF(ABS(L2656)&lt;'Progetto del paramento slu'!$G$58,ABS(L2656)*'Progetto del paramento slu'!$G$54,'Progetto del paramento slu'!$G$53)</f>
        <v>11259352.688974174</v>
      </c>
      <c r="G2656" s="553">
        <f>-'Foglio deposito bis'!$F$90*(C2656-sezione!$AN$37)*IF(ABS(M2656)&lt;'Progetto del paramento slu'!$G$58,ABS(M2656)*'Progetto del paramento slu'!$G$54,'Progetto del paramento slu'!$G$53)</f>
        <v>0</v>
      </c>
      <c r="H2656" s="553">
        <f>-'Foglio deposito bis'!$F$91*(C2656-sezione!$AO$37)*IF(ABS(N2656)&lt;'Progetto del paramento slu'!$G$58,ABS(N2656)*'Progetto del paramento slu'!$G$54,'Progetto del paramento slu'!$G$53)</f>
        <v>234966564.57954398</v>
      </c>
      <c r="I2656" s="479">
        <f>-'Foglio deposito bis'!$F$92*(C2656-sezione!$AP$37)*IF(ABS(O2656)&lt;'Progetto del paramento slu'!$G$58,ABS(O2656)*'Progetto del paramento slu'!$G$54,'Progetto del paramento slu'!$G$53)</f>
        <v>304622080.595725</v>
      </c>
      <c r="J2656" s="479">
        <f t="shared" si="193"/>
        <v>502384858.61595869</v>
      </c>
      <c r="K2656" s="558">
        <f>'Progetto del paramento slu'!$G$60*(sezione!$AL$37-C2656)/C2656</f>
        <v>-1.6753694629932044E-3</v>
      </c>
      <c r="L2656" s="558">
        <f>'Progetto del paramento slu'!$G$60*(sezione!$AM$37-C2656)/C2656</f>
        <v>3.3423645137754844E-3</v>
      </c>
      <c r="M2656" s="559">
        <f>'Progetto del paramento slu'!$G$60*(sezione!$AN$37-C2656)/C2656</f>
        <v>8.3600984905441728E-3</v>
      </c>
      <c r="N2656" s="559">
        <f>'Progetto del paramento slu'!$G$60*(sezione!$AO$37-C2656)/C2656</f>
        <v>1.2009359564557764E-2</v>
      </c>
      <c r="O2656" s="559">
        <f>'Progetto del paramento slu'!$G$60*(sezione!$AP$37-C2656)/C2656</f>
        <v>8.3605546481784147E-3</v>
      </c>
      <c r="P2656" s="553">
        <f>-'Progetto del paramento slu'!$G$47*'Progetto del paramento slu'!$G$41*IF(DATI!$G$218="dx",DATI!$E$61,DATI!$E$64*DATI!$E$63)*1000*C2656*sezione!$AD$5</f>
        <v>-1081547.5023438402</v>
      </c>
      <c r="Q2656" s="553">
        <f>'Foglio deposito bis'!$F$88*IF(ABS(K2656)&lt;'Progetto del paramento slu'!$G$58,ABS(K2656)*'Progetto del paramento slu'!$G$54,'Progetto del paramento slu'!$G$53)*IF(K2656&lt;0,-1,1)</f>
        <v>0</v>
      </c>
      <c r="R2656" s="553">
        <f>'Foglio deposito bis'!$F$89*IF(ABS(L2656)&lt;'Progetto del paramento slu'!$G$58,ABS(L2656)*'Progetto del paramento slu'!$G$54,'Progetto del paramento slu'!$G$53)*IF(L2656&lt;0,-1,1)</f>
        <v>153664.85805602249</v>
      </c>
      <c r="S2656" s="553">
        <f>'Foglio deposito bis'!$F$90*IF(ABS(M2656)&lt;'Progetto del paramento slu'!$G$58,ABS(M2656)*'Progetto del paramento slu'!$G$54,'Progetto del paramento slu'!$G$53)*IF(M2656&lt;0,-1,1)</f>
        <v>0</v>
      </c>
      <c r="T2656" s="553">
        <f>'Foglio deposito bis'!$F$91*IF(ABS(N2656)&lt;'Progetto del paramento slu'!$G$58,ABS(N2656)*'Progetto del paramento slu'!$G$54,'Progetto del paramento slu'!$G$53)*IF(N2656&lt;0,-1,1)</f>
        <v>892485.49558937876</v>
      </c>
      <c r="U2656" s="553">
        <f>'Foglio deposito bis'!$F$92*IF(ABS(O2656)&lt;'Progetto del paramento slu'!$G$58,ABS(O2656)*'Progetto del paramento slu'!$G$54,'Progetto del paramento slu'!$G$53)*IF(O2656&lt;0,-1,1)</f>
        <v>1662039.1047339395</v>
      </c>
      <c r="V2656" s="479">
        <f t="shared" si="195"/>
        <v>1626641.9560355006</v>
      </c>
      <c r="W2656" s="559"/>
      <c r="X2656" s="559"/>
    </row>
    <row r="2657" spans="1:24" x14ac:dyDescent="0.25">
      <c r="A2657" s="553">
        <f t="shared" si="194"/>
        <v>1615197.0089207508</v>
      </c>
      <c r="B2657" s="3">
        <f t="shared" si="196"/>
        <v>19.099999999999955</v>
      </c>
      <c r="C2657" s="553">
        <f>'Foglio deposito bis'!$E$163/sezione!$B$247*B2657</f>
        <v>77.539797023003871</v>
      </c>
      <c r="D2657" s="611">
        <f>-'Progetto del paramento slu'!$G$47*'Progetto del paramento slu'!$G$41*IF(DATI!$G$218="dx",DATI!$E$61,DATI!$E$64*DATI!$E$63)*1000*C2657^2*sezione!$AD$5*(1-sezione!$AD$6)</f>
        <v>-49494241.004357815</v>
      </c>
      <c r="E2657" s="553">
        <f>-'Foglio deposito bis'!$F$88*(C2657-sezione!$AL$37)*IF(ABS(K2657)&lt;'Progetto del paramento slu'!$G$58,ABS(K2657)*'Progetto del paramento slu'!$G$54,'Progetto del paramento slu'!$G$53)</f>
        <v>0</v>
      </c>
      <c r="F2657" s="553">
        <f>-'Foglio deposito bis'!$F$89*(C2657-sezione!$AM$37)*IF(ABS(L2657)&lt;'Progetto del paramento slu'!$G$58,ABS(L2657)*'Progetto del paramento slu'!$G$54,'Progetto del paramento slu'!$G$53)</f>
        <v>11134586.805170689</v>
      </c>
      <c r="G2657" s="553">
        <f>-'Foglio deposito bis'!$F$90*(C2657-sezione!$AN$37)*IF(ABS(M2657)&lt;'Progetto del paramento slu'!$G$58,ABS(M2657)*'Progetto del paramento slu'!$G$54,'Progetto del paramento slu'!$G$53)</f>
        <v>0</v>
      </c>
      <c r="H2657" s="553">
        <f>-'Foglio deposito bis'!$F$91*(C2657-sezione!$AO$37)*IF(ABS(N2657)&lt;'Progetto del paramento slu'!$G$58,ABS(N2657)*'Progetto del paramento slu'!$G$54,'Progetto del paramento slu'!$G$53)</f>
        <v>234241924.32641333</v>
      </c>
      <c r="I2657" s="479">
        <f>-'Foglio deposito bis'!$F$92*(C2657-sezione!$AP$37)*IF(ABS(O2657)&lt;'Progetto del paramento slu'!$G$58,ABS(O2657)*'Progetto del paramento slu'!$G$54,'Progetto del paramento slu'!$G$53)</f>
        <v>303272612.79650646</v>
      </c>
      <c r="J2657" s="479">
        <f t="shared" si="193"/>
        <v>499154882.92373264</v>
      </c>
      <c r="K2657" s="558">
        <f>'Progetto del paramento slu'!$G$60*(sezione!$AL$37-C2657)/C2657</f>
        <v>-1.6944755419147416E-3</v>
      </c>
      <c r="L2657" s="558">
        <f>'Progetto del paramento slu'!$G$60*(sezione!$AM$37-C2657)/C2657</f>
        <v>3.2707167178197194E-3</v>
      </c>
      <c r="M2657" s="559">
        <f>'Progetto del paramento slu'!$G$60*(sezione!$AN$37-C2657)/C2657</f>
        <v>8.2359089775541801E-3</v>
      </c>
      <c r="N2657" s="559">
        <f>'Progetto del paramento slu'!$G$60*(sezione!$AO$37-C2657)/C2657</f>
        <v>1.1846957893724697E-2</v>
      </c>
      <c r="O2657" s="559">
        <f>'Progetto del paramento slu'!$G$60*(sezione!$AP$37-C2657)/C2657</f>
        <v>8.2363603586686901E-3</v>
      </c>
      <c r="P2657" s="553">
        <f>-'Progetto del paramento slu'!$G$47*'Progetto del paramento slu'!$G$41*IF(DATI!$G$218="dx",DATI!$E$61,DATI!$E$64*DATI!$E$63)*1000*C2657*sezione!$AD$5</f>
        <v>-1092992.44945859</v>
      </c>
      <c r="Q2657" s="553">
        <f>'Foglio deposito bis'!$F$88*IF(ABS(K2657)&lt;'Progetto del paramento slu'!$G$58,ABS(K2657)*'Progetto del paramento slu'!$G$54,'Progetto del paramento slu'!$G$53)*IF(K2657&lt;0,-1,1)</f>
        <v>0</v>
      </c>
      <c r="R2657" s="553">
        <f>'Foglio deposito bis'!$F$89*IF(ABS(L2657)&lt;'Progetto del paramento slu'!$G$58,ABS(L2657)*'Progetto del paramento slu'!$G$54,'Progetto del paramento slu'!$G$53)*IF(L2657&lt;0,-1,1)</f>
        <v>153664.85805602249</v>
      </c>
      <c r="S2657" s="553">
        <f>'Foglio deposito bis'!$F$90*IF(ABS(M2657)&lt;'Progetto del paramento slu'!$G$58,ABS(M2657)*'Progetto del paramento slu'!$G$54,'Progetto del paramento slu'!$G$53)*IF(M2657&lt;0,-1,1)</f>
        <v>0</v>
      </c>
      <c r="T2657" s="553">
        <f>'Foglio deposito bis'!$F$91*IF(ABS(N2657)&lt;'Progetto del paramento slu'!$G$58,ABS(N2657)*'Progetto del paramento slu'!$G$54,'Progetto del paramento slu'!$G$53)*IF(N2657&lt;0,-1,1)</f>
        <v>892485.49558937876</v>
      </c>
      <c r="U2657" s="553">
        <f>'Foglio deposito bis'!$F$92*IF(ABS(O2657)&lt;'Progetto del paramento slu'!$G$58,ABS(O2657)*'Progetto del paramento slu'!$G$54,'Progetto del paramento slu'!$G$53)*IF(O2657&lt;0,-1,1)</f>
        <v>1662039.1047339395</v>
      </c>
      <c r="V2657" s="479">
        <f t="shared" si="195"/>
        <v>1615197.0089207508</v>
      </c>
      <c r="W2657" s="559"/>
      <c r="X2657" s="559"/>
    </row>
    <row r="2658" spans="1:24" x14ac:dyDescent="0.25">
      <c r="A2658" s="553">
        <f t="shared" si="194"/>
        <v>1603752.0618060012</v>
      </c>
      <c r="B2658" s="3">
        <f t="shared" si="196"/>
        <v>19.299999999999955</v>
      </c>
      <c r="C2658" s="553">
        <f>'Foglio deposito bis'!$E$163/sezione!$B$247*B2658</f>
        <v>78.351732070365159</v>
      </c>
      <c r="D2658" s="611">
        <f>-'Progetto del paramento slu'!$G$47*'Progetto del paramento slu'!$G$41*IF(DATI!$G$218="dx",DATI!$E$61,DATI!$E$64*DATI!$E$63)*1000*C2658^2*sezione!$AD$5*(1-sezione!$AD$6)</f>
        <v>-50536196.463126667</v>
      </c>
      <c r="E2658" s="553">
        <f>-'Foglio deposito bis'!$F$88*(C2658-sezione!$AL$37)*IF(ABS(K2658)&lt;'Progetto del paramento slu'!$G$58,ABS(K2658)*'Progetto del paramento slu'!$G$54,'Progetto del paramento slu'!$G$53)</f>
        <v>0</v>
      </c>
      <c r="F2658" s="553">
        <f>-'Foglio deposito bis'!$F$89*(C2658-sezione!$AM$37)*IF(ABS(L2658)&lt;'Progetto del paramento slu'!$G$58,ABS(L2658)*'Progetto del paramento slu'!$G$54,'Progetto del paramento slu'!$G$53)</f>
        <v>11009820.921367208</v>
      </c>
      <c r="G2658" s="553">
        <f>-'Foglio deposito bis'!$F$90*(C2658-sezione!$AN$37)*IF(ABS(M2658)&lt;'Progetto del paramento slu'!$G$58,ABS(M2658)*'Progetto del paramento slu'!$G$54,'Progetto del paramento slu'!$G$53)</f>
        <v>0</v>
      </c>
      <c r="H2658" s="553">
        <f>-'Foglio deposito bis'!$F$91*(C2658-sezione!$AO$37)*IF(ABS(N2658)&lt;'Progetto del paramento slu'!$G$58,ABS(N2658)*'Progetto del paramento slu'!$G$54,'Progetto del paramento slu'!$G$53)</f>
        <v>233517284.07328269</v>
      </c>
      <c r="I2658" s="479">
        <f>-'Foglio deposito bis'!$F$92*(C2658-sezione!$AP$37)*IF(ABS(O2658)&lt;'Progetto del paramento slu'!$G$58,ABS(O2658)*'Progetto del paramento slu'!$G$54,'Progetto del paramento slu'!$G$53)</f>
        <v>301923144.99728799</v>
      </c>
      <c r="J2658" s="479">
        <f t="shared" si="193"/>
        <v>495914053.52881122</v>
      </c>
      <c r="K2658" s="558">
        <f>'Progetto del paramento slu'!$G$60*(sezione!$AL$37-C2658)/C2658</f>
        <v>-1.7131856399259877E-3</v>
      </c>
      <c r="L2658" s="558">
        <f>'Progetto del paramento slu'!$G$60*(sezione!$AM$37-C2658)/C2658</f>
        <v>3.2005538502775468E-3</v>
      </c>
      <c r="M2658" s="559">
        <f>'Progetto del paramento slu'!$G$60*(sezione!$AN$37-C2658)/C2658</f>
        <v>8.1142933404810824E-3</v>
      </c>
      <c r="N2658" s="559">
        <f>'Progetto del paramento slu'!$G$60*(sezione!$AO$37-C2658)/C2658</f>
        <v>1.1687922060629104E-2</v>
      </c>
      <c r="O2658" s="559">
        <f>'Progetto del paramento slu'!$G$60*(sezione!$AP$37-C2658)/C2658</f>
        <v>8.1147400440710893E-3</v>
      </c>
      <c r="P2658" s="553">
        <f>-'Progetto del paramento slu'!$G$47*'Progetto del paramento slu'!$G$41*IF(DATI!$G$218="dx",DATI!$E$61,DATI!$E$64*DATI!$E$63)*1000*C2658*sezione!$AD$5</f>
        <v>-1104437.3965733396</v>
      </c>
      <c r="Q2658" s="553">
        <f>'Foglio deposito bis'!$F$88*IF(ABS(K2658)&lt;'Progetto del paramento slu'!$G$58,ABS(K2658)*'Progetto del paramento slu'!$G$54,'Progetto del paramento slu'!$G$53)*IF(K2658&lt;0,-1,1)</f>
        <v>0</v>
      </c>
      <c r="R2658" s="553">
        <f>'Foglio deposito bis'!$F$89*IF(ABS(L2658)&lt;'Progetto del paramento slu'!$G$58,ABS(L2658)*'Progetto del paramento slu'!$G$54,'Progetto del paramento slu'!$G$53)*IF(L2658&lt;0,-1,1)</f>
        <v>153664.85805602249</v>
      </c>
      <c r="S2658" s="553">
        <f>'Foglio deposito bis'!$F$90*IF(ABS(M2658)&lt;'Progetto del paramento slu'!$G$58,ABS(M2658)*'Progetto del paramento slu'!$G$54,'Progetto del paramento slu'!$G$53)*IF(M2658&lt;0,-1,1)</f>
        <v>0</v>
      </c>
      <c r="T2658" s="553">
        <f>'Foglio deposito bis'!$F$91*IF(ABS(N2658)&lt;'Progetto del paramento slu'!$G$58,ABS(N2658)*'Progetto del paramento slu'!$G$54,'Progetto del paramento slu'!$G$53)*IF(N2658&lt;0,-1,1)</f>
        <v>892485.49558937876</v>
      </c>
      <c r="U2658" s="553">
        <f>'Foglio deposito bis'!$F$92*IF(ABS(O2658)&lt;'Progetto del paramento slu'!$G$58,ABS(O2658)*'Progetto del paramento slu'!$G$54,'Progetto del paramento slu'!$G$53)*IF(O2658&lt;0,-1,1)</f>
        <v>1662039.1047339395</v>
      </c>
      <c r="V2658" s="479">
        <f t="shared" si="195"/>
        <v>1603752.0618060012</v>
      </c>
      <c r="W2658" s="559"/>
      <c r="X2658" s="559"/>
    </row>
    <row r="2659" spans="1:24" x14ac:dyDescent="0.25">
      <c r="A2659" s="553">
        <f t="shared" si="194"/>
        <v>1592307.1146912514</v>
      </c>
      <c r="B2659" s="3">
        <f t="shared" si="196"/>
        <v>19.499999999999954</v>
      </c>
      <c r="C2659" s="553">
        <f>'Foglio deposito bis'!$E$163/sezione!$B$247*B2659</f>
        <v>79.163667117726462</v>
      </c>
      <c r="D2659" s="611">
        <f>-'Progetto del paramento slu'!$G$47*'Progetto del paramento slu'!$G$41*IF(DATI!$G$218="dx",DATI!$E$61,DATI!$E$64*DATI!$E$63)*1000*C2659^2*sezione!$AD$5*(1-sezione!$AD$6)</f>
        <v>-51589005.624591053</v>
      </c>
      <c r="E2659" s="553">
        <f>-'Foglio deposito bis'!$F$88*(C2659-sezione!$AL$37)*IF(ABS(K2659)&lt;'Progetto del paramento slu'!$G$58,ABS(K2659)*'Progetto del paramento slu'!$G$54,'Progetto del paramento slu'!$G$53)</f>
        <v>0</v>
      </c>
      <c r="F2659" s="553">
        <f>-'Foglio deposito bis'!$F$89*(C2659-sezione!$AM$37)*IF(ABS(L2659)&lt;'Progetto del paramento slu'!$G$58,ABS(L2659)*'Progetto del paramento slu'!$G$54,'Progetto del paramento slu'!$G$53)</f>
        <v>10885055.037563723</v>
      </c>
      <c r="G2659" s="553">
        <f>-'Foglio deposito bis'!$F$90*(C2659-sezione!$AN$37)*IF(ABS(M2659)&lt;'Progetto del paramento slu'!$G$58,ABS(M2659)*'Progetto del paramento slu'!$G$54,'Progetto del paramento slu'!$G$53)</f>
        <v>0</v>
      </c>
      <c r="H2659" s="553">
        <f>-'Foglio deposito bis'!$F$91*(C2659-sezione!$AO$37)*IF(ABS(N2659)&lt;'Progetto del paramento slu'!$G$58,ABS(N2659)*'Progetto del paramento slu'!$G$54,'Progetto del paramento slu'!$G$53)</f>
        <v>232792643.82015207</v>
      </c>
      <c r="I2659" s="479">
        <f>-'Foglio deposito bis'!$F$92*(C2659-sezione!$AP$37)*IF(ABS(O2659)&lt;'Progetto del paramento slu'!$G$58,ABS(O2659)*'Progetto del paramento slu'!$G$54,'Progetto del paramento slu'!$G$53)</f>
        <v>300573677.19806951</v>
      </c>
      <c r="J2659" s="479">
        <f t="shared" si="193"/>
        <v>492662370.43119425</v>
      </c>
      <c r="K2659" s="558">
        <f>'Progetto del paramento slu'!$G$60*(sezione!$AL$37-C2659)/C2659</f>
        <v>-1.7315119410549519E-3</v>
      </c>
      <c r="L2659" s="558">
        <f>'Progetto del paramento slu'!$G$60*(sezione!$AM$37-C2659)/C2659</f>
        <v>3.1318302210439305E-3</v>
      </c>
      <c r="M2659" s="559">
        <f>'Progetto del paramento slu'!$G$60*(sezione!$AN$37-C2659)/C2659</f>
        <v>7.9951723831428127E-3</v>
      </c>
      <c r="N2659" s="559">
        <f>'Progetto del paramento slu'!$G$60*(sezione!$AO$37-C2659)/C2659</f>
        <v>1.153214850103291E-2</v>
      </c>
      <c r="O2659" s="559">
        <f>'Progetto del paramento slu'!$G$60*(sezione!$AP$37-C2659)/C2659</f>
        <v>7.9956145051575389E-3</v>
      </c>
      <c r="P2659" s="553">
        <f>-'Progetto del paramento slu'!$G$47*'Progetto del paramento slu'!$G$41*IF(DATI!$G$218="dx",DATI!$E$61,DATI!$E$64*DATI!$E$63)*1000*C2659*sezione!$AD$5</f>
        <v>-1115882.3436880894</v>
      </c>
      <c r="Q2659" s="553">
        <f>'Foglio deposito bis'!$F$88*IF(ABS(K2659)&lt;'Progetto del paramento slu'!$G$58,ABS(K2659)*'Progetto del paramento slu'!$G$54,'Progetto del paramento slu'!$G$53)*IF(K2659&lt;0,-1,1)</f>
        <v>0</v>
      </c>
      <c r="R2659" s="553">
        <f>'Foglio deposito bis'!$F$89*IF(ABS(L2659)&lt;'Progetto del paramento slu'!$G$58,ABS(L2659)*'Progetto del paramento slu'!$G$54,'Progetto del paramento slu'!$G$53)*IF(L2659&lt;0,-1,1)</f>
        <v>153664.85805602249</v>
      </c>
      <c r="S2659" s="553">
        <f>'Foglio deposito bis'!$F$90*IF(ABS(M2659)&lt;'Progetto del paramento slu'!$G$58,ABS(M2659)*'Progetto del paramento slu'!$G$54,'Progetto del paramento slu'!$G$53)*IF(M2659&lt;0,-1,1)</f>
        <v>0</v>
      </c>
      <c r="T2659" s="553">
        <f>'Foglio deposito bis'!$F$91*IF(ABS(N2659)&lt;'Progetto del paramento slu'!$G$58,ABS(N2659)*'Progetto del paramento slu'!$G$54,'Progetto del paramento slu'!$G$53)*IF(N2659&lt;0,-1,1)</f>
        <v>892485.49558937876</v>
      </c>
      <c r="U2659" s="553">
        <f>'Foglio deposito bis'!$F$92*IF(ABS(O2659)&lt;'Progetto del paramento slu'!$G$58,ABS(O2659)*'Progetto del paramento slu'!$G$54,'Progetto del paramento slu'!$G$53)*IF(O2659&lt;0,-1,1)</f>
        <v>1662039.1047339395</v>
      </c>
      <c r="V2659" s="479">
        <f t="shared" si="195"/>
        <v>1592307.1146912514</v>
      </c>
      <c r="W2659" s="559"/>
      <c r="X2659" s="559"/>
    </row>
    <row r="2660" spans="1:24" x14ac:dyDescent="0.25">
      <c r="A2660" s="553">
        <f t="shared" si="194"/>
        <v>1580862.1675765021</v>
      </c>
      <c r="B2660" s="3">
        <f t="shared" si="196"/>
        <v>19.699999999999953</v>
      </c>
      <c r="C2660" s="553">
        <f>'Foglio deposito bis'!$E$163/sezione!$B$247*B2660</f>
        <v>79.97560216508775</v>
      </c>
      <c r="D2660" s="611">
        <f>-'Progetto del paramento slu'!$G$47*'Progetto del paramento slu'!$G$41*IF(DATI!$G$218="dx",DATI!$E$61,DATI!$E$64*DATI!$E$63)*1000*C2660^2*sezione!$AD$5*(1-sezione!$AD$6)</f>
        <v>-52652668.488750912</v>
      </c>
      <c r="E2660" s="553">
        <f>-'Foglio deposito bis'!$F$88*(C2660-sezione!$AL$37)*IF(ABS(K2660)&lt;'Progetto del paramento slu'!$G$58,ABS(K2660)*'Progetto del paramento slu'!$G$54,'Progetto del paramento slu'!$G$53)</f>
        <v>0</v>
      </c>
      <c r="F2660" s="553">
        <f>-'Foglio deposito bis'!$F$89*(C2660-sezione!$AM$37)*IF(ABS(L2660)&lt;'Progetto del paramento slu'!$G$58,ABS(L2660)*'Progetto del paramento slu'!$G$54,'Progetto del paramento slu'!$G$53)</f>
        <v>10760289.153760239</v>
      </c>
      <c r="G2660" s="553">
        <f>-'Foglio deposito bis'!$F$90*(C2660-sezione!$AN$37)*IF(ABS(M2660)&lt;'Progetto del paramento slu'!$G$58,ABS(M2660)*'Progetto del paramento slu'!$G$54,'Progetto del paramento slu'!$G$53)</f>
        <v>0</v>
      </c>
      <c r="H2660" s="553">
        <f>-'Foglio deposito bis'!$F$91*(C2660-sezione!$AO$37)*IF(ABS(N2660)&lt;'Progetto del paramento slu'!$G$58,ABS(N2660)*'Progetto del paramento slu'!$G$54,'Progetto del paramento slu'!$G$53)</f>
        <v>232068003.56702146</v>
      </c>
      <c r="I2660" s="479">
        <f>-'Foglio deposito bis'!$F$92*(C2660-sezione!$AP$37)*IF(ABS(O2660)&lt;'Progetto del paramento slu'!$G$58,ABS(O2660)*'Progetto del paramento slu'!$G$54,'Progetto del paramento slu'!$G$53)</f>
        <v>299224209.39885104</v>
      </c>
      <c r="J2660" s="479">
        <f t="shared" si="193"/>
        <v>489399833.63088179</v>
      </c>
      <c r="K2660" s="558">
        <f>'Progetto del paramento slu'!$G$60*(sezione!$AL$37-C2660)/C2660</f>
        <v>-1.7494661345467796E-3</v>
      </c>
      <c r="L2660" s="558">
        <f>'Progetto del paramento slu'!$G$60*(sezione!$AM$37-C2660)/C2660</f>
        <v>3.0645019954495764E-3</v>
      </c>
      <c r="M2660" s="559">
        <f>'Progetto del paramento slu'!$G$60*(sezione!$AN$37-C2660)/C2660</f>
        <v>7.8784701254459317E-3</v>
      </c>
      <c r="N2660" s="559">
        <f>'Progetto del paramento slu'!$G$60*(sezione!$AO$37-C2660)/C2660</f>
        <v>1.1379537856352373E-2</v>
      </c>
      <c r="O2660" s="559">
        <f>'Progetto del paramento slu'!$G$60*(sezione!$AP$37-C2660)/C2660</f>
        <v>7.8789077589122847E-3</v>
      </c>
      <c r="P2660" s="553">
        <f>-'Progetto del paramento slu'!$G$47*'Progetto del paramento slu'!$G$41*IF(DATI!$G$218="dx",DATI!$E$61,DATI!$E$64*DATI!$E$63)*1000*C2660*sezione!$AD$5</f>
        <v>-1127327.2908028387</v>
      </c>
      <c r="Q2660" s="553">
        <f>'Foglio deposito bis'!$F$88*IF(ABS(K2660)&lt;'Progetto del paramento slu'!$G$58,ABS(K2660)*'Progetto del paramento slu'!$G$54,'Progetto del paramento slu'!$G$53)*IF(K2660&lt;0,-1,1)</f>
        <v>0</v>
      </c>
      <c r="R2660" s="553">
        <f>'Foglio deposito bis'!$F$89*IF(ABS(L2660)&lt;'Progetto del paramento slu'!$G$58,ABS(L2660)*'Progetto del paramento slu'!$G$54,'Progetto del paramento slu'!$G$53)*IF(L2660&lt;0,-1,1)</f>
        <v>153664.85805602249</v>
      </c>
      <c r="S2660" s="553">
        <f>'Foglio deposito bis'!$F$90*IF(ABS(M2660)&lt;'Progetto del paramento slu'!$G$58,ABS(M2660)*'Progetto del paramento slu'!$G$54,'Progetto del paramento slu'!$G$53)*IF(M2660&lt;0,-1,1)</f>
        <v>0</v>
      </c>
      <c r="T2660" s="553">
        <f>'Foglio deposito bis'!$F$91*IF(ABS(N2660)&lt;'Progetto del paramento slu'!$G$58,ABS(N2660)*'Progetto del paramento slu'!$G$54,'Progetto del paramento slu'!$G$53)*IF(N2660&lt;0,-1,1)</f>
        <v>892485.49558937876</v>
      </c>
      <c r="U2660" s="553">
        <f>'Foglio deposito bis'!$F$92*IF(ABS(O2660)&lt;'Progetto del paramento slu'!$G$58,ABS(O2660)*'Progetto del paramento slu'!$G$54,'Progetto del paramento slu'!$G$53)*IF(O2660&lt;0,-1,1)</f>
        <v>1662039.1047339395</v>
      </c>
      <c r="V2660" s="479">
        <f t="shared" si="195"/>
        <v>1580862.1675765021</v>
      </c>
      <c r="W2660" s="559"/>
      <c r="X2660" s="559"/>
    </row>
    <row r="2661" spans="1:24" x14ac:dyDescent="0.25">
      <c r="A2661" s="553">
        <f t="shared" si="194"/>
        <v>1569417.2204617523</v>
      </c>
      <c r="B2661" s="3">
        <f t="shared" si="196"/>
        <v>19.899999999999952</v>
      </c>
      <c r="C2661" s="553">
        <f>'Foglio deposito bis'!$E$163/sezione!$B$247*B2661</f>
        <v>80.787537212449053</v>
      </c>
      <c r="D2661" s="611">
        <f>-'Progetto del paramento slu'!$G$47*'Progetto del paramento slu'!$G$41*IF(DATI!$G$218="dx",DATI!$E$61,DATI!$E$64*DATI!$E$63)*1000*C2661^2*sezione!$AD$5*(1-sezione!$AD$6)</f>
        <v>-53727185.055606306</v>
      </c>
      <c r="E2661" s="553">
        <f>-'Foglio deposito bis'!$F$88*(C2661-sezione!$AL$37)*IF(ABS(K2661)&lt;'Progetto del paramento slu'!$G$58,ABS(K2661)*'Progetto del paramento slu'!$G$54,'Progetto del paramento slu'!$G$53)</f>
        <v>0</v>
      </c>
      <c r="F2661" s="553">
        <f>-'Foglio deposito bis'!$F$89*(C2661-sezione!$AM$37)*IF(ABS(L2661)&lt;'Progetto del paramento slu'!$G$58,ABS(L2661)*'Progetto del paramento slu'!$G$54,'Progetto del paramento slu'!$G$53)</f>
        <v>10635523.269956755</v>
      </c>
      <c r="G2661" s="553">
        <f>-'Foglio deposito bis'!$F$90*(C2661-sezione!$AN$37)*IF(ABS(M2661)&lt;'Progetto del paramento slu'!$G$58,ABS(M2661)*'Progetto del paramento slu'!$G$54,'Progetto del paramento slu'!$G$53)</f>
        <v>0</v>
      </c>
      <c r="H2661" s="553">
        <f>-'Foglio deposito bis'!$F$91*(C2661-sezione!$AO$37)*IF(ABS(N2661)&lt;'Progetto del paramento slu'!$G$58,ABS(N2661)*'Progetto del paramento slu'!$G$54,'Progetto del paramento slu'!$G$53)</f>
        <v>231343363.31389081</v>
      </c>
      <c r="I2661" s="479">
        <f>-'Foglio deposito bis'!$F$92*(C2661-sezione!$AP$37)*IF(ABS(O2661)&lt;'Progetto del paramento slu'!$G$58,ABS(O2661)*'Progetto del paramento slu'!$G$54,'Progetto del paramento slu'!$G$53)</f>
        <v>297874741.59963256</v>
      </c>
      <c r="J2661" s="479">
        <f t="shared" si="193"/>
        <v>486126443.12787384</v>
      </c>
      <c r="K2661" s="558">
        <f>'Progetto del paramento slu'!$G$60*(sezione!$AL$37-C2661)/C2661</f>
        <v>-1.7670594397272141E-3</v>
      </c>
      <c r="L2661" s="558">
        <f>'Progetto del paramento slu'!$G$60*(sezione!$AM$37-C2661)/C2661</f>
        <v>2.9985271010229473E-3</v>
      </c>
      <c r="M2661" s="559">
        <f>'Progetto del paramento slu'!$G$60*(sezione!$AN$37-C2661)/C2661</f>
        <v>7.7641136417731082E-3</v>
      </c>
      <c r="N2661" s="559">
        <f>'Progetto del paramento slu'!$G$60*(sezione!$AO$37-C2661)/C2661</f>
        <v>1.122999476231868E-2</v>
      </c>
      <c r="O2661" s="559">
        <f>'Progetto del paramento slu'!$G$60*(sezione!$AP$37-C2661)/C2661</f>
        <v>7.7645468769131669E-3</v>
      </c>
      <c r="P2661" s="553">
        <f>-'Progetto del paramento slu'!$G$47*'Progetto del paramento slu'!$G$41*IF(DATI!$G$218="dx",DATI!$E$61,DATI!$E$64*DATI!$E$63)*1000*C2661*sezione!$AD$5</f>
        <v>-1138772.2379175886</v>
      </c>
      <c r="Q2661" s="553">
        <f>'Foglio deposito bis'!$F$88*IF(ABS(K2661)&lt;'Progetto del paramento slu'!$G$58,ABS(K2661)*'Progetto del paramento slu'!$G$54,'Progetto del paramento slu'!$G$53)*IF(K2661&lt;0,-1,1)</f>
        <v>0</v>
      </c>
      <c r="R2661" s="553">
        <f>'Foglio deposito bis'!$F$89*IF(ABS(L2661)&lt;'Progetto del paramento slu'!$G$58,ABS(L2661)*'Progetto del paramento slu'!$G$54,'Progetto del paramento slu'!$G$53)*IF(L2661&lt;0,-1,1)</f>
        <v>153664.85805602249</v>
      </c>
      <c r="S2661" s="553">
        <f>'Foglio deposito bis'!$F$90*IF(ABS(M2661)&lt;'Progetto del paramento slu'!$G$58,ABS(M2661)*'Progetto del paramento slu'!$G$54,'Progetto del paramento slu'!$G$53)*IF(M2661&lt;0,-1,1)</f>
        <v>0</v>
      </c>
      <c r="T2661" s="553">
        <f>'Foglio deposito bis'!$F$91*IF(ABS(N2661)&lt;'Progetto del paramento slu'!$G$58,ABS(N2661)*'Progetto del paramento slu'!$G$54,'Progetto del paramento slu'!$G$53)*IF(N2661&lt;0,-1,1)</f>
        <v>892485.49558937876</v>
      </c>
      <c r="U2661" s="553">
        <f>'Foglio deposito bis'!$F$92*IF(ABS(O2661)&lt;'Progetto del paramento slu'!$G$58,ABS(O2661)*'Progetto del paramento slu'!$G$54,'Progetto del paramento slu'!$G$53)*IF(O2661&lt;0,-1,1)</f>
        <v>1662039.1047339395</v>
      </c>
      <c r="V2661" s="479">
        <f t="shared" si="195"/>
        <v>1569417.2204617523</v>
      </c>
      <c r="W2661" s="559"/>
      <c r="X2661" s="559"/>
    </row>
    <row r="2662" spans="1:24" x14ac:dyDescent="0.25">
      <c r="A2662" s="553">
        <f t="shared" si="194"/>
        <v>1557972.2733470025</v>
      </c>
      <c r="B2662" s="3">
        <f t="shared" si="196"/>
        <v>20.099999999999952</v>
      </c>
      <c r="C2662" s="553">
        <f>'Foglio deposito bis'!$E$163/sezione!$B$247*B2662</f>
        <v>81.599472259810355</v>
      </c>
      <c r="D2662" s="611">
        <f>-'Progetto del paramento slu'!$G$47*'Progetto del paramento slu'!$G$41*IF(DATI!$G$218="dx",DATI!$E$61,DATI!$E$64*DATI!$E$63)*1000*C2662^2*sezione!$AD$5*(1-sezione!$AD$6)</f>
        <v>-54812555.32515721</v>
      </c>
      <c r="E2662" s="553">
        <f>-'Foglio deposito bis'!$F$88*(C2662-sezione!$AL$37)*IF(ABS(K2662)&lt;'Progetto del paramento slu'!$G$58,ABS(K2662)*'Progetto del paramento slu'!$G$54,'Progetto del paramento slu'!$G$53)</f>
        <v>0</v>
      </c>
      <c r="F2662" s="553">
        <f>-'Foglio deposito bis'!$F$89*(C2662-sezione!$AM$37)*IF(ABS(L2662)&lt;'Progetto del paramento slu'!$G$58,ABS(L2662)*'Progetto del paramento slu'!$G$54,'Progetto del paramento slu'!$G$53)</f>
        <v>10510757.386153271</v>
      </c>
      <c r="G2662" s="553">
        <f>-'Foglio deposito bis'!$F$90*(C2662-sezione!$AN$37)*IF(ABS(M2662)&lt;'Progetto del paramento slu'!$G$58,ABS(M2662)*'Progetto del paramento slu'!$G$54,'Progetto del paramento slu'!$G$53)</f>
        <v>0</v>
      </c>
      <c r="H2662" s="553">
        <f>-'Foglio deposito bis'!$F$91*(C2662-sezione!$AO$37)*IF(ABS(N2662)&lt;'Progetto del paramento slu'!$G$58,ABS(N2662)*'Progetto del paramento slu'!$G$54,'Progetto del paramento slu'!$G$53)</f>
        <v>230618723.0607602</v>
      </c>
      <c r="I2662" s="479">
        <f>-'Foglio deposito bis'!$F$92*(C2662-sezione!$AP$37)*IF(ABS(O2662)&lt;'Progetto del paramento slu'!$G$58,ABS(O2662)*'Progetto del paramento slu'!$G$54,'Progetto del paramento slu'!$G$53)</f>
        <v>296525273.80041409</v>
      </c>
      <c r="J2662" s="479">
        <f t="shared" si="193"/>
        <v>482842198.92217034</v>
      </c>
      <c r="K2662" s="558">
        <f>'Progetto del paramento slu'!$G$60*(sezione!$AL$37-C2662)/C2662</f>
        <v>-1.78430262938167E-3</v>
      </c>
      <c r="L2662" s="558">
        <f>'Progetto del paramento slu'!$G$60*(sezione!$AM$37-C2662)/C2662</f>
        <v>2.9338651398187381E-3</v>
      </c>
      <c r="M2662" s="559">
        <f>'Progetto del paramento slu'!$G$60*(sezione!$AN$37-C2662)/C2662</f>
        <v>7.6520329090191469E-3</v>
      </c>
      <c r="N2662" s="559">
        <f>'Progetto del paramento slu'!$G$60*(sezione!$AO$37-C2662)/C2662</f>
        <v>1.1083427650255807E-2</v>
      </c>
      <c r="O2662" s="559">
        <f>'Progetto del paramento slu'!$G$60*(sezione!$AP$37-C2662)/C2662</f>
        <v>7.6524618333617912E-3</v>
      </c>
      <c r="P2662" s="553">
        <f>-'Progetto del paramento slu'!$G$47*'Progetto del paramento slu'!$G$41*IF(DATI!$G$218="dx",DATI!$E$61,DATI!$E$64*DATI!$E$63)*1000*C2662*sezione!$AD$5</f>
        <v>-1150217.1850323384</v>
      </c>
      <c r="Q2662" s="553">
        <f>'Foglio deposito bis'!$F$88*IF(ABS(K2662)&lt;'Progetto del paramento slu'!$G$58,ABS(K2662)*'Progetto del paramento slu'!$G$54,'Progetto del paramento slu'!$G$53)*IF(K2662&lt;0,-1,1)</f>
        <v>0</v>
      </c>
      <c r="R2662" s="553">
        <f>'Foglio deposito bis'!$F$89*IF(ABS(L2662)&lt;'Progetto del paramento slu'!$G$58,ABS(L2662)*'Progetto del paramento slu'!$G$54,'Progetto del paramento slu'!$G$53)*IF(L2662&lt;0,-1,1)</f>
        <v>153664.85805602249</v>
      </c>
      <c r="S2662" s="553">
        <f>'Foglio deposito bis'!$F$90*IF(ABS(M2662)&lt;'Progetto del paramento slu'!$G$58,ABS(M2662)*'Progetto del paramento slu'!$G$54,'Progetto del paramento slu'!$G$53)*IF(M2662&lt;0,-1,1)</f>
        <v>0</v>
      </c>
      <c r="T2662" s="553">
        <f>'Foglio deposito bis'!$F$91*IF(ABS(N2662)&lt;'Progetto del paramento slu'!$G$58,ABS(N2662)*'Progetto del paramento slu'!$G$54,'Progetto del paramento slu'!$G$53)*IF(N2662&lt;0,-1,1)</f>
        <v>892485.49558937876</v>
      </c>
      <c r="U2662" s="553">
        <f>'Foglio deposito bis'!$F$92*IF(ABS(O2662)&lt;'Progetto del paramento slu'!$G$58,ABS(O2662)*'Progetto del paramento slu'!$G$54,'Progetto del paramento slu'!$G$53)*IF(O2662&lt;0,-1,1)</f>
        <v>1662039.1047339395</v>
      </c>
      <c r="V2662" s="479">
        <f t="shared" si="195"/>
        <v>1557972.2733470025</v>
      </c>
      <c r="W2662" s="559"/>
      <c r="X2662" s="559"/>
    </row>
    <row r="2663" spans="1:24" x14ac:dyDescent="0.25">
      <c r="A2663" s="553">
        <f t="shared" si="194"/>
        <v>1546527.3262322531</v>
      </c>
      <c r="B2663" s="3">
        <f t="shared" si="196"/>
        <v>20.299999999999951</v>
      </c>
      <c r="C2663" s="553">
        <f>'Foglio deposito bis'!$E$163/sezione!$B$247*B2663</f>
        <v>82.411407307171643</v>
      </c>
      <c r="D2663" s="611">
        <f>-'Progetto del paramento slu'!$G$47*'Progetto del paramento slu'!$G$41*IF(DATI!$G$218="dx",DATI!$E$61,DATI!$E$64*DATI!$E$63)*1000*C2663^2*sezione!$AD$5*(1-sezione!$AD$6)</f>
        <v>-55908779.297403604</v>
      </c>
      <c r="E2663" s="553">
        <f>-'Foglio deposito bis'!$F$88*(C2663-sezione!$AL$37)*IF(ABS(K2663)&lt;'Progetto del paramento slu'!$G$58,ABS(K2663)*'Progetto del paramento slu'!$G$54,'Progetto del paramento slu'!$G$53)</f>
        <v>0</v>
      </c>
      <c r="F2663" s="553">
        <f>-'Foglio deposito bis'!$F$89*(C2663-sezione!$AM$37)*IF(ABS(L2663)&lt;'Progetto del paramento slu'!$G$58,ABS(L2663)*'Progetto del paramento slu'!$G$54,'Progetto del paramento slu'!$G$53)</f>
        <v>10385991.502349788</v>
      </c>
      <c r="G2663" s="553">
        <f>-'Foglio deposito bis'!$F$90*(C2663-sezione!$AN$37)*IF(ABS(M2663)&lt;'Progetto del paramento slu'!$G$58,ABS(M2663)*'Progetto del paramento slu'!$G$54,'Progetto del paramento slu'!$G$53)</f>
        <v>0</v>
      </c>
      <c r="H2663" s="553">
        <f>-'Foglio deposito bis'!$F$91*(C2663-sezione!$AO$37)*IF(ABS(N2663)&lt;'Progetto del paramento slu'!$G$58,ABS(N2663)*'Progetto del paramento slu'!$G$54,'Progetto del paramento slu'!$G$53)</f>
        <v>229894082.80762953</v>
      </c>
      <c r="I2663" s="479">
        <f>-'Foglio deposito bis'!$F$92*(C2663-sezione!$AP$37)*IF(ABS(O2663)&lt;'Progetto del paramento slu'!$G$58,ABS(O2663)*'Progetto del paramento slu'!$G$54,'Progetto del paramento slu'!$G$53)</f>
        <v>295175806.00119561</v>
      </c>
      <c r="J2663" s="479">
        <f t="shared" si="193"/>
        <v>479547101.0137713</v>
      </c>
      <c r="K2663" s="558">
        <f>'Progetto del paramento slu'!$G$60*(sezione!$AL$37-C2663)/C2663</f>
        <v>-1.8012060517522935E-3</v>
      </c>
      <c r="L2663" s="558">
        <f>'Progetto del paramento slu'!$G$60*(sezione!$AM$37-C2663)/C2663</f>
        <v>2.8704773059288992E-3</v>
      </c>
      <c r="M2663" s="559">
        <f>'Progetto del paramento slu'!$G$60*(sezione!$AN$37-C2663)/C2663</f>
        <v>7.5421606636100914E-3</v>
      </c>
      <c r="N2663" s="559">
        <f>'Progetto del paramento slu'!$G$60*(sezione!$AO$37-C2663)/C2663</f>
        <v>1.0939748560105505E-2</v>
      </c>
      <c r="O2663" s="559">
        <f>'Progetto del paramento slu'!$G$60*(sezione!$AP$37-C2663)/C2663</f>
        <v>7.5425853620971432E-3</v>
      </c>
      <c r="P2663" s="553">
        <f>-'Progetto del paramento slu'!$G$47*'Progetto del paramento slu'!$G$41*IF(DATI!$G$218="dx",DATI!$E$61,DATI!$E$64*DATI!$E$63)*1000*C2663*sezione!$AD$5</f>
        <v>-1161662.1321470877</v>
      </c>
      <c r="Q2663" s="553">
        <f>'Foglio deposito bis'!$F$88*IF(ABS(K2663)&lt;'Progetto del paramento slu'!$G$58,ABS(K2663)*'Progetto del paramento slu'!$G$54,'Progetto del paramento slu'!$G$53)*IF(K2663&lt;0,-1,1)</f>
        <v>0</v>
      </c>
      <c r="R2663" s="553">
        <f>'Foglio deposito bis'!$F$89*IF(ABS(L2663)&lt;'Progetto del paramento slu'!$G$58,ABS(L2663)*'Progetto del paramento slu'!$G$54,'Progetto del paramento slu'!$G$53)*IF(L2663&lt;0,-1,1)</f>
        <v>153664.85805602249</v>
      </c>
      <c r="S2663" s="553">
        <f>'Foglio deposito bis'!$F$90*IF(ABS(M2663)&lt;'Progetto del paramento slu'!$G$58,ABS(M2663)*'Progetto del paramento slu'!$G$54,'Progetto del paramento slu'!$G$53)*IF(M2663&lt;0,-1,1)</f>
        <v>0</v>
      </c>
      <c r="T2663" s="553">
        <f>'Foglio deposito bis'!$F$91*IF(ABS(N2663)&lt;'Progetto del paramento slu'!$G$58,ABS(N2663)*'Progetto del paramento slu'!$G$54,'Progetto del paramento slu'!$G$53)*IF(N2663&lt;0,-1,1)</f>
        <v>892485.49558937876</v>
      </c>
      <c r="U2663" s="553">
        <f>'Foglio deposito bis'!$F$92*IF(ABS(O2663)&lt;'Progetto del paramento slu'!$G$58,ABS(O2663)*'Progetto del paramento slu'!$G$54,'Progetto del paramento slu'!$G$53)*IF(O2663&lt;0,-1,1)</f>
        <v>1662039.1047339395</v>
      </c>
      <c r="V2663" s="479">
        <f t="shared" si="195"/>
        <v>1546527.3262322531</v>
      </c>
      <c r="W2663" s="559"/>
      <c r="X2663" s="559"/>
    </row>
    <row r="2664" spans="1:24" x14ac:dyDescent="0.25">
      <c r="A2664" s="553">
        <f t="shared" si="194"/>
        <v>1535082.3791175033</v>
      </c>
      <c r="B2664" s="3">
        <f t="shared" si="196"/>
        <v>20.49999999999995</v>
      </c>
      <c r="C2664" s="553">
        <f>'Foglio deposito bis'!$E$163/sezione!$B$247*B2664</f>
        <v>83.223342354532946</v>
      </c>
      <c r="D2664" s="611">
        <f>-'Progetto del paramento slu'!$G$47*'Progetto del paramento slu'!$G$41*IF(DATI!$G$218="dx",DATI!$E$61,DATI!$E$64*DATI!$E$63)*1000*C2664^2*sezione!$AD$5*(1-sezione!$AD$6)</f>
        <v>-57015856.972345531</v>
      </c>
      <c r="E2664" s="553">
        <f>-'Foglio deposito bis'!$F$88*(C2664-sezione!$AL$37)*IF(ABS(K2664)&lt;'Progetto del paramento slu'!$G$58,ABS(K2664)*'Progetto del paramento slu'!$G$54,'Progetto del paramento slu'!$G$53)</f>
        <v>0</v>
      </c>
      <c r="F2664" s="553">
        <f>-'Foglio deposito bis'!$F$89*(C2664-sezione!$AM$37)*IF(ABS(L2664)&lt;'Progetto del paramento slu'!$G$58,ABS(L2664)*'Progetto del paramento slu'!$G$54,'Progetto del paramento slu'!$G$53)</f>
        <v>10261225.618546303</v>
      </c>
      <c r="G2664" s="553">
        <f>-'Foglio deposito bis'!$F$90*(C2664-sezione!$AN$37)*IF(ABS(M2664)&lt;'Progetto del paramento slu'!$G$58,ABS(M2664)*'Progetto del paramento slu'!$G$54,'Progetto del paramento slu'!$G$53)</f>
        <v>0</v>
      </c>
      <c r="H2664" s="553">
        <f>-'Foglio deposito bis'!$F$91*(C2664-sezione!$AO$37)*IF(ABS(N2664)&lt;'Progetto del paramento slu'!$G$58,ABS(N2664)*'Progetto del paramento slu'!$G$54,'Progetto del paramento slu'!$G$53)</f>
        <v>229169442.55449891</v>
      </c>
      <c r="I2664" s="479">
        <f>-'Foglio deposito bis'!$F$92*(C2664-sezione!$AP$37)*IF(ABS(O2664)&lt;'Progetto del paramento slu'!$G$58,ABS(O2664)*'Progetto del paramento slu'!$G$54,'Progetto del paramento slu'!$G$53)</f>
        <v>293826338.20197713</v>
      </c>
      <c r="J2664" s="479">
        <f t="shared" si="193"/>
        <v>476241149.40267682</v>
      </c>
      <c r="K2664" s="558">
        <f>'Progetto del paramento slu'!$G$60*(sezione!$AL$37-C2664)/C2664</f>
        <v>-1.8177796512473933E-3</v>
      </c>
      <c r="L2664" s="558">
        <f>'Progetto del paramento slu'!$G$60*(sezione!$AM$37-C2664)/C2664</f>
        <v>2.8083263078222754E-3</v>
      </c>
      <c r="M2664" s="559">
        <f>'Progetto del paramento slu'!$G$60*(sezione!$AN$37-C2664)/C2664</f>
        <v>7.4344322668919438E-3</v>
      </c>
      <c r="N2664" s="559">
        <f>'Progetto del paramento slu'!$G$60*(sezione!$AO$37-C2664)/C2664</f>
        <v>1.0798872964397157E-2</v>
      </c>
      <c r="O2664" s="559">
        <f>'Progetto del paramento slu'!$G$60*(sezione!$AP$37-C2664)/C2664</f>
        <v>7.4348528219791224E-3</v>
      </c>
      <c r="P2664" s="553">
        <f>-'Progetto del paramento slu'!$G$47*'Progetto del paramento slu'!$G$41*IF(DATI!$G$218="dx",DATI!$E$61,DATI!$E$64*DATI!$E$63)*1000*C2664*sezione!$AD$5</f>
        <v>-1173107.0792618375</v>
      </c>
      <c r="Q2664" s="553">
        <f>'Foglio deposito bis'!$F$88*IF(ABS(K2664)&lt;'Progetto del paramento slu'!$G$58,ABS(K2664)*'Progetto del paramento slu'!$G$54,'Progetto del paramento slu'!$G$53)*IF(K2664&lt;0,-1,1)</f>
        <v>0</v>
      </c>
      <c r="R2664" s="553">
        <f>'Foglio deposito bis'!$F$89*IF(ABS(L2664)&lt;'Progetto del paramento slu'!$G$58,ABS(L2664)*'Progetto del paramento slu'!$G$54,'Progetto del paramento slu'!$G$53)*IF(L2664&lt;0,-1,1)</f>
        <v>153664.85805602249</v>
      </c>
      <c r="S2664" s="553">
        <f>'Foglio deposito bis'!$F$90*IF(ABS(M2664)&lt;'Progetto del paramento slu'!$G$58,ABS(M2664)*'Progetto del paramento slu'!$G$54,'Progetto del paramento slu'!$G$53)*IF(M2664&lt;0,-1,1)</f>
        <v>0</v>
      </c>
      <c r="T2664" s="553">
        <f>'Foglio deposito bis'!$F$91*IF(ABS(N2664)&lt;'Progetto del paramento slu'!$G$58,ABS(N2664)*'Progetto del paramento slu'!$G$54,'Progetto del paramento slu'!$G$53)*IF(N2664&lt;0,-1,1)</f>
        <v>892485.49558937876</v>
      </c>
      <c r="U2664" s="553">
        <f>'Foglio deposito bis'!$F$92*IF(ABS(O2664)&lt;'Progetto del paramento slu'!$G$58,ABS(O2664)*'Progetto del paramento slu'!$G$54,'Progetto del paramento slu'!$G$53)*IF(O2664&lt;0,-1,1)</f>
        <v>1662039.1047339395</v>
      </c>
      <c r="V2664" s="479">
        <f t="shared" si="195"/>
        <v>1535082.3791175033</v>
      </c>
      <c r="W2664" s="559"/>
      <c r="X2664" s="559"/>
    </row>
    <row r="2665" spans="1:24" x14ac:dyDescent="0.25">
      <c r="A2665" s="553">
        <f t="shared" si="194"/>
        <v>1523637.4320027537</v>
      </c>
      <c r="B2665" s="3">
        <f t="shared" si="196"/>
        <v>20.69999999999995</v>
      </c>
      <c r="C2665" s="553">
        <f>'Foglio deposito bis'!$E$163/sezione!$B$247*B2665</f>
        <v>84.035277401894234</v>
      </c>
      <c r="D2665" s="611">
        <f>-'Progetto del paramento slu'!$G$47*'Progetto del paramento slu'!$G$41*IF(DATI!$G$218="dx",DATI!$E$61,DATI!$E$64*DATI!$E$63)*1000*C2665^2*sezione!$AD$5*(1-sezione!$AD$6)</f>
        <v>-58133788.349982947</v>
      </c>
      <c r="E2665" s="553">
        <f>-'Foglio deposito bis'!$F$88*(C2665-sezione!$AL$37)*IF(ABS(K2665)&lt;'Progetto del paramento slu'!$G$58,ABS(K2665)*'Progetto del paramento slu'!$G$54,'Progetto del paramento slu'!$G$53)</f>
        <v>0</v>
      </c>
      <c r="F2665" s="553">
        <f>-'Foglio deposito bis'!$F$89*(C2665-sezione!$AM$37)*IF(ABS(L2665)&lt;'Progetto del paramento slu'!$G$58,ABS(L2665)*'Progetto del paramento slu'!$G$54,'Progetto del paramento slu'!$G$53)</f>
        <v>10136459.734742822</v>
      </c>
      <c r="G2665" s="553">
        <f>-'Foglio deposito bis'!$F$90*(C2665-sezione!$AN$37)*IF(ABS(M2665)&lt;'Progetto del paramento slu'!$G$58,ABS(M2665)*'Progetto del paramento slu'!$G$54,'Progetto del paramento slu'!$G$53)</f>
        <v>0</v>
      </c>
      <c r="H2665" s="553">
        <f>-'Foglio deposito bis'!$F$91*(C2665-sezione!$AO$37)*IF(ABS(N2665)&lt;'Progetto del paramento slu'!$G$58,ABS(N2665)*'Progetto del paramento slu'!$G$54,'Progetto del paramento slu'!$G$53)</f>
        <v>228444802.30136827</v>
      </c>
      <c r="I2665" s="479">
        <f>-'Foglio deposito bis'!$F$92*(C2665-sezione!$AP$37)*IF(ABS(O2665)&lt;'Progetto del paramento slu'!$G$58,ABS(O2665)*'Progetto del paramento slu'!$G$54,'Progetto del paramento slu'!$G$53)</f>
        <v>292476870.40275866</v>
      </c>
      <c r="J2665" s="479">
        <f t="shared" si="193"/>
        <v>472924344.0888868</v>
      </c>
      <c r="K2665" s="558">
        <f>'Progetto del paramento slu'!$G$60*(sezione!$AL$37-C2665)/C2665</f>
        <v>-1.8340329879503168E-3</v>
      </c>
      <c r="L2665" s="558">
        <f>'Progetto del paramento slu'!$G$60*(sezione!$AM$37-C2665)/C2665</f>
        <v>2.7473762951863122E-3</v>
      </c>
      <c r="M2665" s="559">
        <f>'Progetto del paramento slu'!$G$60*(sezione!$AN$37-C2665)/C2665</f>
        <v>7.3287855783229407E-3</v>
      </c>
      <c r="N2665" s="559">
        <f>'Progetto del paramento slu'!$G$60*(sezione!$AO$37-C2665)/C2665</f>
        <v>1.0660719602422307E-2</v>
      </c>
      <c r="O2665" s="559">
        <f>'Progetto del paramento slu'!$G$60*(sezione!$AP$37-C2665)/C2665</f>
        <v>7.3292020700759433E-3</v>
      </c>
      <c r="P2665" s="553">
        <f>-'Progetto del paramento slu'!$G$47*'Progetto del paramento slu'!$G$41*IF(DATI!$G$218="dx",DATI!$E$61,DATI!$E$64*DATI!$E$63)*1000*C2665*sezione!$AD$5</f>
        <v>-1184552.0263765871</v>
      </c>
      <c r="Q2665" s="553">
        <f>'Foglio deposito bis'!$F$88*IF(ABS(K2665)&lt;'Progetto del paramento slu'!$G$58,ABS(K2665)*'Progetto del paramento slu'!$G$54,'Progetto del paramento slu'!$G$53)*IF(K2665&lt;0,-1,1)</f>
        <v>0</v>
      </c>
      <c r="R2665" s="553">
        <f>'Foglio deposito bis'!$F$89*IF(ABS(L2665)&lt;'Progetto del paramento slu'!$G$58,ABS(L2665)*'Progetto del paramento slu'!$G$54,'Progetto del paramento slu'!$G$53)*IF(L2665&lt;0,-1,1)</f>
        <v>153664.85805602249</v>
      </c>
      <c r="S2665" s="553">
        <f>'Foglio deposito bis'!$F$90*IF(ABS(M2665)&lt;'Progetto del paramento slu'!$G$58,ABS(M2665)*'Progetto del paramento slu'!$G$54,'Progetto del paramento slu'!$G$53)*IF(M2665&lt;0,-1,1)</f>
        <v>0</v>
      </c>
      <c r="T2665" s="553">
        <f>'Foglio deposito bis'!$F$91*IF(ABS(N2665)&lt;'Progetto del paramento slu'!$G$58,ABS(N2665)*'Progetto del paramento slu'!$G$54,'Progetto del paramento slu'!$G$53)*IF(N2665&lt;0,-1,1)</f>
        <v>892485.49558937876</v>
      </c>
      <c r="U2665" s="553">
        <f>'Foglio deposito bis'!$F$92*IF(ABS(O2665)&lt;'Progetto del paramento slu'!$G$58,ABS(O2665)*'Progetto del paramento slu'!$G$54,'Progetto del paramento slu'!$G$53)*IF(O2665&lt;0,-1,1)</f>
        <v>1662039.1047339395</v>
      </c>
      <c r="V2665" s="479">
        <f t="shared" si="195"/>
        <v>1523637.4320027537</v>
      </c>
      <c r="W2665" s="559"/>
      <c r="X2665" s="559"/>
    </row>
    <row r="2666" spans="1:24" x14ac:dyDescent="0.25">
      <c r="A2666" s="553">
        <f t="shared" si="194"/>
        <v>1512192.4848880044</v>
      </c>
      <c r="B2666" s="3">
        <f t="shared" si="196"/>
        <v>20.899999999999949</v>
      </c>
      <c r="C2666" s="553">
        <f>'Foglio deposito bis'!$E$163/sezione!$B$247*B2666</f>
        <v>84.847212449255537</v>
      </c>
      <c r="D2666" s="611">
        <f>-'Progetto del paramento slu'!$G$47*'Progetto del paramento slu'!$G$41*IF(DATI!$G$218="dx",DATI!$E$61,DATI!$E$64*DATI!$E$63)*1000*C2666^2*sezione!$AD$5*(1-sezione!$AD$6)</f>
        <v>-59262573.430315882</v>
      </c>
      <c r="E2666" s="553">
        <f>-'Foglio deposito bis'!$F$88*(C2666-sezione!$AL$37)*IF(ABS(K2666)&lt;'Progetto del paramento slu'!$G$58,ABS(K2666)*'Progetto del paramento slu'!$G$54,'Progetto del paramento slu'!$G$53)</f>
        <v>0</v>
      </c>
      <c r="F2666" s="553">
        <f>-'Foglio deposito bis'!$F$89*(C2666-sezione!$AM$37)*IF(ABS(L2666)&lt;'Progetto del paramento slu'!$G$58,ABS(L2666)*'Progetto del paramento slu'!$G$54,'Progetto del paramento slu'!$G$53)</f>
        <v>10011693.850939337</v>
      </c>
      <c r="G2666" s="553">
        <f>-'Foglio deposito bis'!$F$90*(C2666-sezione!$AN$37)*IF(ABS(M2666)&lt;'Progetto del paramento slu'!$G$58,ABS(M2666)*'Progetto del paramento slu'!$G$54,'Progetto del paramento slu'!$G$53)</f>
        <v>0</v>
      </c>
      <c r="H2666" s="553">
        <f>-'Foglio deposito bis'!$F$91*(C2666-sezione!$AO$37)*IF(ABS(N2666)&lt;'Progetto del paramento slu'!$G$58,ABS(N2666)*'Progetto del paramento slu'!$G$54,'Progetto del paramento slu'!$G$53)</f>
        <v>227720162.04823765</v>
      </c>
      <c r="I2666" s="479">
        <f>-'Foglio deposito bis'!$F$92*(C2666-sezione!$AP$37)*IF(ABS(O2666)&lt;'Progetto del paramento slu'!$G$58,ABS(O2666)*'Progetto del paramento slu'!$G$54,'Progetto del paramento slu'!$G$53)</f>
        <v>291127402.60354012</v>
      </c>
      <c r="J2666" s="479">
        <f t="shared" si="193"/>
        <v>469596685.07240123</v>
      </c>
      <c r="K2666" s="558">
        <f>'Progetto del paramento slu'!$G$60*(sezione!$AL$37-C2666)/C2666</f>
        <v>-1.8499752560082088E-3</v>
      </c>
      <c r="L2666" s="558">
        <f>'Progetto del paramento slu'!$G$60*(sezione!$AM$37-C2666)/C2666</f>
        <v>2.6875927899692176E-3</v>
      </c>
      <c r="M2666" s="559">
        <f>'Progetto del paramento slu'!$G$60*(sezione!$AN$37-C2666)/C2666</f>
        <v>7.2251608359466439E-3</v>
      </c>
      <c r="N2666" s="559">
        <f>'Progetto del paramento slu'!$G$60*(sezione!$AO$37-C2666)/C2666</f>
        <v>1.0525210323930227E-2</v>
      </c>
      <c r="O2666" s="559">
        <f>'Progetto del paramento slu'!$G$60*(sezione!$AP$37-C2666)/C2666</f>
        <v>7.2255733421326311E-3</v>
      </c>
      <c r="P2666" s="553">
        <f>-'Progetto del paramento slu'!$G$47*'Progetto del paramento slu'!$G$41*IF(DATI!$G$218="dx",DATI!$E$61,DATI!$E$64*DATI!$E$63)*1000*C2666*sezione!$AD$5</f>
        <v>-1195996.9734913365</v>
      </c>
      <c r="Q2666" s="553">
        <f>'Foglio deposito bis'!$F$88*IF(ABS(K2666)&lt;'Progetto del paramento slu'!$G$58,ABS(K2666)*'Progetto del paramento slu'!$G$54,'Progetto del paramento slu'!$G$53)*IF(K2666&lt;0,-1,1)</f>
        <v>0</v>
      </c>
      <c r="R2666" s="553">
        <f>'Foglio deposito bis'!$F$89*IF(ABS(L2666)&lt;'Progetto del paramento slu'!$G$58,ABS(L2666)*'Progetto del paramento slu'!$G$54,'Progetto del paramento slu'!$G$53)*IF(L2666&lt;0,-1,1)</f>
        <v>153664.85805602249</v>
      </c>
      <c r="S2666" s="553">
        <f>'Foglio deposito bis'!$F$90*IF(ABS(M2666)&lt;'Progetto del paramento slu'!$G$58,ABS(M2666)*'Progetto del paramento slu'!$G$54,'Progetto del paramento slu'!$G$53)*IF(M2666&lt;0,-1,1)</f>
        <v>0</v>
      </c>
      <c r="T2666" s="553">
        <f>'Foglio deposito bis'!$F$91*IF(ABS(N2666)&lt;'Progetto del paramento slu'!$G$58,ABS(N2666)*'Progetto del paramento slu'!$G$54,'Progetto del paramento slu'!$G$53)*IF(N2666&lt;0,-1,1)</f>
        <v>892485.49558937876</v>
      </c>
      <c r="U2666" s="553">
        <f>'Foglio deposito bis'!$F$92*IF(ABS(O2666)&lt;'Progetto del paramento slu'!$G$58,ABS(O2666)*'Progetto del paramento slu'!$G$54,'Progetto del paramento slu'!$G$53)*IF(O2666&lt;0,-1,1)</f>
        <v>1662039.1047339395</v>
      </c>
      <c r="V2666" s="479">
        <f t="shared" si="195"/>
        <v>1512192.4848880044</v>
      </c>
      <c r="W2666" s="559"/>
      <c r="X2666" s="559"/>
    </row>
    <row r="2667" spans="1:24" x14ac:dyDescent="0.25">
      <c r="A2667" s="553">
        <f t="shared" si="194"/>
        <v>1500747.5377732548</v>
      </c>
      <c r="B2667" s="3">
        <f t="shared" si="196"/>
        <v>21.099999999999948</v>
      </c>
      <c r="C2667" s="553">
        <f>'Foglio deposito bis'!$E$163/sezione!$B$247*B2667</f>
        <v>85.659147496616825</v>
      </c>
      <c r="D2667" s="611">
        <f>-'Progetto del paramento slu'!$G$47*'Progetto del paramento slu'!$G$41*IF(DATI!$G$218="dx",DATI!$E$61,DATI!$E$64*DATI!$E$63)*1000*C2667^2*sezione!$AD$5*(1-sezione!$AD$6)</f>
        <v>-60402212.213344306</v>
      </c>
      <c r="E2667" s="553">
        <f>-'Foglio deposito bis'!$F$88*(C2667-sezione!$AL$37)*IF(ABS(K2667)&lt;'Progetto del paramento slu'!$G$58,ABS(K2667)*'Progetto del paramento slu'!$G$54,'Progetto del paramento slu'!$G$53)</f>
        <v>0</v>
      </c>
      <c r="F2667" s="553">
        <f>-'Foglio deposito bis'!$F$89*(C2667-sezione!$AM$37)*IF(ABS(L2667)&lt;'Progetto del paramento slu'!$G$58,ABS(L2667)*'Progetto del paramento slu'!$G$54,'Progetto del paramento slu'!$G$53)</f>
        <v>9886927.9671358541</v>
      </c>
      <c r="G2667" s="553">
        <f>-'Foglio deposito bis'!$F$90*(C2667-sezione!$AN$37)*IF(ABS(M2667)&lt;'Progetto del paramento slu'!$G$58,ABS(M2667)*'Progetto del paramento slu'!$G$54,'Progetto del paramento slu'!$G$53)</f>
        <v>0</v>
      </c>
      <c r="H2667" s="553">
        <f>-'Foglio deposito bis'!$F$91*(C2667-sezione!$AO$37)*IF(ABS(N2667)&lt;'Progetto del paramento slu'!$G$58,ABS(N2667)*'Progetto del paramento slu'!$G$54,'Progetto del paramento slu'!$G$53)</f>
        <v>226995521.79510704</v>
      </c>
      <c r="I2667" s="479">
        <f>-'Foglio deposito bis'!$F$92*(C2667-sezione!$AP$37)*IF(ABS(O2667)&lt;'Progetto del paramento slu'!$G$58,ABS(O2667)*'Progetto del paramento slu'!$G$54,'Progetto del paramento slu'!$G$53)</f>
        <v>289777934.80432171</v>
      </c>
      <c r="J2667" s="479">
        <f t="shared" si="193"/>
        <v>466258172.35322028</v>
      </c>
      <c r="K2667" s="558">
        <f>'Progetto del paramento slu'!$G$60*(sezione!$AL$37-C2667)/C2667</f>
        <v>-1.8656153009749552E-3</v>
      </c>
      <c r="L2667" s="558">
        <f>'Progetto del paramento slu'!$G$60*(sezione!$AM$37-C2667)/C2667</f>
        <v>2.6289426213439177E-3</v>
      </c>
      <c r="M2667" s="559">
        <f>'Progetto del paramento slu'!$G$60*(sezione!$AN$37-C2667)/C2667</f>
        <v>7.1235005436627915E-3</v>
      </c>
      <c r="N2667" s="559">
        <f>'Progetto del paramento slu'!$G$60*(sezione!$AO$37-C2667)/C2667</f>
        <v>1.039226994171288E-2</v>
      </c>
      <c r="O2667" s="559">
        <f>'Progetto del paramento slu'!$G$60*(sezione!$AP$37-C2667)/C2667</f>
        <v>7.1239091398375386E-3</v>
      </c>
      <c r="P2667" s="553">
        <f>-'Progetto del paramento slu'!$G$47*'Progetto del paramento slu'!$G$41*IF(DATI!$G$218="dx",DATI!$E$61,DATI!$E$64*DATI!$E$63)*1000*C2667*sezione!$AD$5</f>
        <v>-1207441.920606086</v>
      </c>
      <c r="Q2667" s="553">
        <f>'Foglio deposito bis'!$F$88*IF(ABS(K2667)&lt;'Progetto del paramento slu'!$G$58,ABS(K2667)*'Progetto del paramento slu'!$G$54,'Progetto del paramento slu'!$G$53)*IF(K2667&lt;0,-1,1)</f>
        <v>0</v>
      </c>
      <c r="R2667" s="553">
        <f>'Foglio deposito bis'!$F$89*IF(ABS(L2667)&lt;'Progetto del paramento slu'!$G$58,ABS(L2667)*'Progetto del paramento slu'!$G$54,'Progetto del paramento slu'!$G$53)*IF(L2667&lt;0,-1,1)</f>
        <v>153664.85805602249</v>
      </c>
      <c r="S2667" s="553">
        <f>'Foglio deposito bis'!$F$90*IF(ABS(M2667)&lt;'Progetto del paramento slu'!$G$58,ABS(M2667)*'Progetto del paramento slu'!$G$54,'Progetto del paramento slu'!$G$53)*IF(M2667&lt;0,-1,1)</f>
        <v>0</v>
      </c>
      <c r="T2667" s="553">
        <f>'Foglio deposito bis'!$F$91*IF(ABS(N2667)&lt;'Progetto del paramento slu'!$G$58,ABS(N2667)*'Progetto del paramento slu'!$G$54,'Progetto del paramento slu'!$G$53)*IF(N2667&lt;0,-1,1)</f>
        <v>892485.49558937876</v>
      </c>
      <c r="U2667" s="553">
        <f>'Foglio deposito bis'!$F$92*IF(ABS(O2667)&lt;'Progetto del paramento slu'!$G$58,ABS(O2667)*'Progetto del paramento slu'!$G$54,'Progetto del paramento slu'!$G$53)*IF(O2667&lt;0,-1,1)</f>
        <v>1662039.1047339395</v>
      </c>
      <c r="V2667" s="479">
        <f t="shared" si="195"/>
        <v>1500747.5377732548</v>
      </c>
      <c r="W2667" s="559"/>
      <c r="X2667" s="559"/>
    </row>
    <row r="2668" spans="1:24" x14ac:dyDescent="0.25">
      <c r="A2668" s="553">
        <f t="shared" si="194"/>
        <v>1489302.590658505</v>
      </c>
      <c r="B2668" s="3">
        <f t="shared" si="196"/>
        <v>21.299999999999947</v>
      </c>
      <c r="C2668" s="553">
        <f>'Foglio deposito bis'!$E$163/sezione!$B$247*B2668</f>
        <v>86.471082543978127</v>
      </c>
      <c r="D2668" s="611">
        <f>-'Progetto del paramento slu'!$G$47*'Progetto del paramento slu'!$G$41*IF(DATI!$G$218="dx",DATI!$E$61,DATI!$E$64*DATI!$E$63)*1000*C2668^2*sezione!$AD$5*(1-sezione!$AD$6)</f>
        <v>-61552704.699068263</v>
      </c>
      <c r="E2668" s="553">
        <f>-'Foglio deposito bis'!$F$88*(C2668-sezione!$AL$37)*IF(ABS(K2668)&lt;'Progetto del paramento slu'!$G$58,ABS(K2668)*'Progetto del paramento slu'!$G$54,'Progetto del paramento slu'!$G$53)</f>
        <v>0</v>
      </c>
      <c r="F2668" s="553">
        <f>-'Foglio deposito bis'!$F$89*(C2668-sezione!$AM$37)*IF(ABS(L2668)&lt;'Progetto del paramento slu'!$G$58,ABS(L2668)*'Progetto del paramento slu'!$G$54,'Progetto del paramento slu'!$G$53)</f>
        <v>9762162.083332371</v>
      </c>
      <c r="G2668" s="553">
        <f>-'Foglio deposito bis'!$F$90*(C2668-sezione!$AN$37)*IF(ABS(M2668)&lt;'Progetto del paramento slu'!$G$58,ABS(M2668)*'Progetto del paramento slu'!$G$54,'Progetto del paramento slu'!$G$53)</f>
        <v>0</v>
      </c>
      <c r="H2668" s="553">
        <f>-'Foglio deposito bis'!$F$91*(C2668-sezione!$AO$37)*IF(ABS(N2668)&lt;'Progetto del paramento slu'!$G$58,ABS(N2668)*'Progetto del paramento slu'!$G$54,'Progetto del paramento slu'!$G$53)</f>
        <v>226270881.54197639</v>
      </c>
      <c r="I2668" s="479">
        <f>-'Foglio deposito bis'!$F$92*(C2668-sezione!$AP$37)*IF(ABS(O2668)&lt;'Progetto del paramento slu'!$G$58,ABS(O2668)*'Progetto del paramento slu'!$G$54,'Progetto del paramento slu'!$G$53)</f>
        <v>288428467.00510323</v>
      </c>
      <c r="J2668" s="479">
        <f t="shared" si="193"/>
        <v>462908805.93134373</v>
      </c>
      <c r="K2668" s="558">
        <f>'Progetto del paramento slu'!$G$60*(sezione!$AL$37-C2668)/C2668</f>
        <v>-1.8809616361770685E-3</v>
      </c>
      <c r="L2668" s="558">
        <f>'Progetto del paramento slu'!$G$60*(sezione!$AM$37-C2668)/C2668</f>
        <v>2.5713938643359929E-3</v>
      </c>
      <c r="M2668" s="559">
        <f>'Progetto del paramento slu'!$G$60*(sezione!$AN$37-C2668)/C2668</f>
        <v>7.0237493648490548E-3</v>
      </c>
      <c r="N2668" s="559">
        <f>'Progetto del paramento slu'!$G$60*(sezione!$AO$37-C2668)/C2668</f>
        <v>1.0261826092494918E-2</v>
      </c>
      <c r="O2668" s="559">
        <f>'Progetto del paramento slu'!$G$60*(sezione!$AP$37-C2668)/C2668</f>
        <v>7.0241541244400003E-3</v>
      </c>
      <c r="P2668" s="553">
        <f>-'Progetto del paramento slu'!$G$47*'Progetto del paramento slu'!$G$41*IF(DATI!$G$218="dx",DATI!$E$61,DATI!$E$64*DATI!$E$63)*1000*C2668*sezione!$AD$5</f>
        <v>-1218886.8677208358</v>
      </c>
      <c r="Q2668" s="553">
        <f>'Foglio deposito bis'!$F$88*IF(ABS(K2668)&lt;'Progetto del paramento slu'!$G$58,ABS(K2668)*'Progetto del paramento slu'!$G$54,'Progetto del paramento slu'!$G$53)*IF(K2668&lt;0,-1,1)</f>
        <v>0</v>
      </c>
      <c r="R2668" s="553">
        <f>'Foglio deposito bis'!$F$89*IF(ABS(L2668)&lt;'Progetto del paramento slu'!$G$58,ABS(L2668)*'Progetto del paramento slu'!$G$54,'Progetto del paramento slu'!$G$53)*IF(L2668&lt;0,-1,1)</f>
        <v>153664.85805602249</v>
      </c>
      <c r="S2668" s="553">
        <f>'Foglio deposito bis'!$F$90*IF(ABS(M2668)&lt;'Progetto del paramento slu'!$G$58,ABS(M2668)*'Progetto del paramento slu'!$G$54,'Progetto del paramento slu'!$G$53)*IF(M2668&lt;0,-1,1)</f>
        <v>0</v>
      </c>
      <c r="T2668" s="553">
        <f>'Foglio deposito bis'!$F$91*IF(ABS(N2668)&lt;'Progetto del paramento slu'!$G$58,ABS(N2668)*'Progetto del paramento slu'!$G$54,'Progetto del paramento slu'!$G$53)*IF(N2668&lt;0,-1,1)</f>
        <v>892485.49558937876</v>
      </c>
      <c r="U2668" s="553">
        <f>'Foglio deposito bis'!$F$92*IF(ABS(O2668)&lt;'Progetto del paramento slu'!$G$58,ABS(O2668)*'Progetto del paramento slu'!$G$54,'Progetto del paramento slu'!$G$53)*IF(O2668&lt;0,-1,1)</f>
        <v>1662039.1047339395</v>
      </c>
      <c r="V2668" s="479">
        <f t="shared" si="195"/>
        <v>1489302.590658505</v>
      </c>
      <c r="W2668" s="559"/>
      <c r="X2668" s="559"/>
    </row>
    <row r="2669" spans="1:24" x14ac:dyDescent="0.25">
      <c r="A2669" s="553">
        <f t="shared" si="194"/>
        <v>1477857.6435437556</v>
      </c>
      <c r="B2669" s="3">
        <f t="shared" si="196"/>
        <v>21.499999999999947</v>
      </c>
      <c r="C2669" s="553">
        <f>'Foglio deposito bis'!$E$163/sezione!$B$247*B2669</f>
        <v>87.283017591339416</v>
      </c>
      <c r="D2669" s="611">
        <f>-'Progetto del paramento slu'!$G$47*'Progetto del paramento slu'!$G$41*IF(DATI!$G$218="dx",DATI!$E$61,DATI!$E$64*DATI!$E$63)*1000*C2669^2*sezione!$AD$5*(1-sezione!$AD$6)</f>
        <v>-62714050.88748771</v>
      </c>
      <c r="E2669" s="553">
        <f>-'Foglio deposito bis'!$F$88*(C2669-sezione!$AL$37)*IF(ABS(K2669)&lt;'Progetto del paramento slu'!$G$58,ABS(K2669)*'Progetto del paramento slu'!$G$54,'Progetto del paramento slu'!$G$53)</f>
        <v>0</v>
      </c>
      <c r="F2669" s="553">
        <f>-'Foglio deposito bis'!$F$89*(C2669-sezione!$AM$37)*IF(ABS(L2669)&lt;'Progetto del paramento slu'!$G$58,ABS(L2669)*'Progetto del paramento slu'!$G$54,'Progetto del paramento slu'!$G$53)</f>
        <v>9637396.1995288879</v>
      </c>
      <c r="G2669" s="553">
        <f>-'Foglio deposito bis'!$F$90*(C2669-sezione!$AN$37)*IF(ABS(M2669)&lt;'Progetto del paramento slu'!$G$58,ABS(M2669)*'Progetto del paramento slu'!$G$54,'Progetto del paramento slu'!$G$53)</f>
        <v>0</v>
      </c>
      <c r="H2669" s="553">
        <f>-'Foglio deposito bis'!$F$91*(C2669-sezione!$AO$37)*IF(ABS(N2669)&lt;'Progetto del paramento slu'!$G$58,ABS(N2669)*'Progetto del paramento slu'!$G$54,'Progetto del paramento slu'!$G$53)</f>
        <v>225546241.28884578</v>
      </c>
      <c r="I2669" s="479">
        <f>-'Foglio deposito bis'!$F$92*(C2669-sezione!$AP$37)*IF(ABS(O2669)&lt;'Progetto del paramento slu'!$G$58,ABS(O2669)*'Progetto del paramento slu'!$G$54,'Progetto del paramento slu'!$G$53)</f>
        <v>287078999.20588475</v>
      </c>
      <c r="J2669" s="479">
        <f t="shared" si="193"/>
        <v>459548585.8067717</v>
      </c>
      <c r="K2669" s="558">
        <f>'Progetto del paramento slu'!$G$60*(sezione!$AL$37-C2669)/C2669</f>
        <v>-1.896022458166119E-3</v>
      </c>
      <c r="L2669" s="558">
        <f>'Progetto del paramento slu'!$G$60*(sezione!$AM$37-C2669)/C2669</f>
        <v>2.5149157818770539E-3</v>
      </c>
      <c r="M2669" s="559">
        <f>'Progetto del paramento slu'!$G$60*(sezione!$AN$37-C2669)/C2669</f>
        <v>6.9258540219202273E-3</v>
      </c>
      <c r="N2669" s="559">
        <f>'Progetto del paramento slu'!$G$60*(sezione!$AO$37-C2669)/C2669</f>
        <v>1.013380910558799E-2</v>
      </c>
      <c r="O2669" s="559">
        <f>'Progetto del paramento slu'!$G$60*(sezione!$AP$37-C2669)/C2669</f>
        <v>6.9262550163056765E-3</v>
      </c>
      <c r="P2669" s="553">
        <f>-'Progetto del paramento slu'!$G$47*'Progetto del paramento slu'!$G$41*IF(DATI!$G$218="dx",DATI!$E$61,DATI!$E$64*DATI!$E$63)*1000*C2669*sezione!$AD$5</f>
        <v>-1230331.8148355852</v>
      </c>
      <c r="Q2669" s="553">
        <f>'Foglio deposito bis'!$F$88*IF(ABS(K2669)&lt;'Progetto del paramento slu'!$G$58,ABS(K2669)*'Progetto del paramento slu'!$G$54,'Progetto del paramento slu'!$G$53)*IF(K2669&lt;0,-1,1)</f>
        <v>0</v>
      </c>
      <c r="R2669" s="553">
        <f>'Foglio deposito bis'!$F$89*IF(ABS(L2669)&lt;'Progetto del paramento slu'!$G$58,ABS(L2669)*'Progetto del paramento slu'!$G$54,'Progetto del paramento slu'!$G$53)*IF(L2669&lt;0,-1,1)</f>
        <v>153664.85805602249</v>
      </c>
      <c r="S2669" s="553">
        <f>'Foglio deposito bis'!$F$90*IF(ABS(M2669)&lt;'Progetto del paramento slu'!$G$58,ABS(M2669)*'Progetto del paramento slu'!$G$54,'Progetto del paramento slu'!$G$53)*IF(M2669&lt;0,-1,1)</f>
        <v>0</v>
      </c>
      <c r="T2669" s="553">
        <f>'Foglio deposito bis'!$F$91*IF(ABS(N2669)&lt;'Progetto del paramento slu'!$G$58,ABS(N2669)*'Progetto del paramento slu'!$G$54,'Progetto del paramento slu'!$G$53)*IF(N2669&lt;0,-1,1)</f>
        <v>892485.49558937876</v>
      </c>
      <c r="U2669" s="553">
        <f>'Foglio deposito bis'!$F$92*IF(ABS(O2669)&lt;'Progetto del paramento slu'!$G$58,ABS(O2669)*'Progetto del paramento slu'!$G$54,'Progetto del paramento slu'!$G$53)*IF(O2669&lt;0,-1,1)</f>
        <v>1662039.1047339395</v>
      </c>
      <c r="V2669" s="479">
        <f t="shared" si="195"/>
        <v>1477857.6435437556</v>
      </c>
      <c r="W2669" s="559"/>
      <c r="X2669" s="559"/>
    </row>
    <row r="2670" spans="1:24" x14ac:dyDescent="0.25">
      <c r="A2670" s="553">
        <f t="shared" si="194"/>
        <v>1466412.6964290058</v>
      </c>
      <c r="B2670" s="3">
        <f t="shared" si="196"/>
        <v>21.699999999999946</v>
      </c>
      <c r="C2670" s="553">
        <f>'Foglio deposito bis'!$E$163/sezione!$B$247*B2670</f>
        <v>88.094952638700718</v>
      </c>
      <c r="D2670" s="611">
        <f>-'Progetto del paramento slu'!$G$47*'Progetto del paramento slu'!$G$41*IF(DATI!$G$218="dx",DATI!$E$61,DATI!$E$64*DATI!$E$63)*1000*C2670^2*sezione!$AD$5*(1-sezione!$AD$6)</f>
        <v>-63886250.778602697</v>
      </c>
      <c r="E2670" s="553">
        <f>-'Foglio deposito bis'!$F$88*(C2670-sezione!$AL$37)*IF(ABS(K2670)&lt;'Progetto del paramento slu'!$G$58,ABS(K2670)*'Progetto del paramento slu'!$G$54,'Progetto del paramento slu'!$G$53)</f>
        <v>0</v>
      </c>
      <c r="F2670" s="553">
        <f>-'Foglio deposito bis'!$F$89*(C2670-sezione!$AM$37)*IF(ABS(L2670)&lt;'Progetto del paramento slu'!$G$58,ABS(L2670)*'Progetto del paramento slu'!$G$54,'Progetto del paramento slu'!$G$53)</f>
        <v>9512630.3157254048</v>
      </c>
      <c r="G2670" s="553">
        <f>-'Foglio deposito bis'!$F$90*(C2670-sezione!$AN$37)*IF(ABS(M2670)&lt;'Progetto del paramento slu'!$G$58,ABS(M2670)*'Progetto del paramento slu'!$G$54,'Progetto del paramento slu'!$G$53)</f>
        <v>0</v>
      </c>
      <c r="H2670" s="553">
        <f>-'Foglio deposito bis'!$F$91*(C2670-sezione!$AO$37)*IF(ABS(N2670)&lt;'Progetto del paramento slu'!$G$58,ABS(N2670)*'Progetto del paramento slu'!$G$54,'Progetto del paramento slu'!$G$53)</f>
        <v>224821601.03571516</v>
      </c>
      <c r="I2670" s="479">
        <f>-'Foglio deposito bis'!$F$92*(C2670-sezione!$AP$37)*IF(ABS(O2670)&lt;'Progetto del paramento slu'!$G$58,ABS(O2670)*'Progetto del paramento slu'!$G$54,'Progetto del paramento slu'!$G$53)</f>
        <v>285729531.40666628</v>
      </c>
      <c r="J2670" s="479">
        <f t="shared" si="193"/>
        <v>456177511.97950417</v>
      </c>
      <c r="K2670" s="558">
        <f>'Progetto del paramento slu'!$G$60*(sezione!$AL$37-C2670)/C2670</f>
        <v>-1.9108056613166618E-3</v>
      </c>
      <c r="L2670" s="558">
        <f>'Progetto del paramento slu'!$G$60*(sezione!$AM$37-C2670)/C2670</f>
        <v>2.4594787700625187E-3</v>
      </c>
      <c r="M2670" s="559">
        <f>'Progetto del paramento slu'!$G$60*(sezione!$AN$37-C2670)/C2670</f>
        <v>6.8297632014417001E-3</v>
      </c>
      <c r="N2670" s="559">
        <f>'Progetto del paramento slu'!$G$60*(sezione!$AO$37-C2670)/C2670</f>
        <v>1.0008151878808377E-2</v>
      </c>
      <c r="O2670" s="559">
        <f>'Progetto del paramento slu'!$G$60*(sezione!$AP$37-C2670)/C2670</f>
        <v>6.8301605000263606E-3</v>
      </c>
      <c r="P2670" s="553">
        <f>-'Progetto del paramento slu'!$G$47*'Progetto del paramento slu'!$G$41*IF(DATI!$G$218="dx",DATI!$E$61,DATI!$E$64*DATI!$E$63)*1000*C2670*sezione!$AD$5</f>
        <v>-1241776.761950335</v>
      </c>
      <c r="Q2670" s="553">
        <f>'Foglio deposito bis'!$F$88*IF(ABS(K2670)&lt;'Progetto del paramento slu'!$G$58,ABS(K2670)*'Progetto del paramento slu'!$G$54,'Progetto del paramento slu'!$G$53)*IF(K2670&lt;0,-1,1)</f>
        <v>0</v>
      </c>
      <c r="R2670" s="553">
        <f>'Foglio deposito bis'!$F$89*IF(ABS(L2670)&lt;'Progetto del paramento slu'!$G$58,ABS(L2670)*'Progetto del paramento slu'!$G$54,'Progetto del paramento slu'!$G$53)*IF(L2670&lt;0,-1,1)</f>
        <v>153664.85805602249</v>
      </c>
      <c r="S2670" s="553">
        <f>'Foglio deposito bis'!$F$90*IF(ABS(M2670)&lt;'Progetto del paramento slu'!$G$58,ABS(M2670)*'Progetto del paramento slu'!$G$54,'Progetto del paramento slu'!$G$53)*IF(M2670&lt;0,-1,1)</f>
        <v>0</v>
      </c>
      <c r="T2670" s="553">
        <f>'Foglio deposito bis'!$F$91*IF(ABS(N2670)&lt;'Progetto del paramento slu'!$G$58,ABS(N2670)*'Progetto del paramento slu'!$G$54,'Progetto del paramento slu'!$G$53)*IF(N2670&lt;0,-1,1)</f>
        <v>892485.49558937876</v>
      </c>
      <c r="U2670" s="553">
        <f>'Foglio deposito bis'!$F$92*IF(ABS(O2670)&lt;'Progetto del paramento slu'!$G$58,ABS(O2670)*'Progetto del paramento slu'!$G$54,'Progetto del paramento slu'!$G$53)*IF(O2670&lt;0,-1,1)</f>
        <v>1662039.1047339395</v>
      </c>
      <c r="V2670" s="479">
        <f t="shared" si="195"/>
        <v>1466412.6964290058</v>
      </c>
      <c r="W2670" s="559"/>
      <c r="X2670" s="559"/>
    </row>
    <row r="2671" spans="1:24" x14ac:dyDescent="0.25">
      <c r="A2671" s="553">
        <f t="shared" si="194"/>
        <v>1454967.7493142562</v>
      </c>
      <c r="B2671" s="3">
        <f t="shared" si="196"/>
        <v>21.899999999999945</v>
      </c>
      <c r="C2671" s="553">
        <f>'Foglio deposito bis'!$E$163/sezione!$B$247*B2671</f>
        <v>88.906887686062007</v>
      </c>
      <c r="D2671" s="611">
        <f>-'Progetto del paramento slu'!$G$47*'Progetto del paramento slu'!$G$41*IF(DATI!$G$218="dx",DATI!$E$61,DATI!$E$64*DATI!$E$63)*1000*C2671^2*sezione!$AD$5*(1-sezione!$AD$6)</f>
        <v>-65069304.372413144</v>
      </c>
      <c r="E2671" s="553">
        <f>-'Foglio deposito bis'!$F$88*(C2671-sezione!$AL$37)*IF(ABS(K2671)&lt;'Progetto del paramento slu'!$G$58,ABS(K2671)*'Progetto del paramento slu'!$G$54,'Progetto del paramento slu'!$G$53)</f>
        <v>0</v>
      </c>
      <c r="F2671" s="553">
        <f>-'Foglio deposito bis'!$F$89*(C2671-sezione!$AM$37)*IF(ABS(L2671)&lt;'Progetto del paramento slu'!$G$58,ABS(L2671)*'Progetto del paramento slu'!$G$54,'Progetto del paramento slu'!$G$53)</f>
        <v>9387864.4319219217</v>
      </c>
      <c r="G2671" s="553">
        <f>-'Foglio deposito bis'!$F$90*(C2671-sezione!$AN$37)*IF(ABS(M2671)&lt;'Progetto del paramento slu'!$G$58,ABS(M2671)*'Progetto del paramento slu'!$G$54,'Progetto del paramento slu'!$G$53)</f>
        <v>0</v>
      </c>
      <c r="H2671" s="553">
        <f>-'Foglio deposito bis'!$F$91*(C2671-sezione!$AO$37)*IF(ABS(N2671)&lt;'Progetto del paramento slu'!$G$58,ABS(N2671)*'Progetto del paramento slu'!$G$54,'Progetto del paramento slu'!$G$53)</f>
        <v>224096960.78258449</v>
      </c>
      <c r="I2671" s="479">
        <f>-'Foglio deposito bis'!$F$92*(C2671-sezione!$AP$37)*IF(ABS(O2671)&lt;'Progetto del paramento slu'!$G$58,ABS(O2671)*'Progetto del paramento slu'!$G$54,'Progetto del paramento slu'!$G$53)</f>
        <v>284380063.6074478</v>
      </c>
      <c r="J2671" s="479">
        <f t="shared" si="193"/>
        <v>452795584.44954109</v>
      </c>
      <c r="K2671" s="558">
        <f>'Progetto del paramento slu'!$G$60*(sezione!$AL$37-C2671)/C2671</f>
        <v>-1.9253188516242721E-3</v>
      </c>
      <c r="L2671" s="558">
        <f>'Progetto del paramento slu'!$G$60*(sezione!$AM$37-C2671)/C2671</f>
        <v>2.4050543064089804E-3</v>
      </c>
      <c r="M2671" s="559">
        <f>'Progetto del paramento slu'!$G$60*(sezione!$AN$37-C2671)/C2671</f>
        <v>6.7354274644422325E-3</v>
      </c>
      <c r="N2671" s="559">
        <f>'Progetto del paramento slu'!$G$60*(sezione!$AO$37-C2671)/C2671</f>
        <v>9.8847897611936877E-3</v>
      </c>
      <c r="O2671" s="559">
        <f>'Progetto del paramento slu'!$G$60*(sezione!$AP$37-C2671)/C2671</f>
        <v>6.7358211347293166E-3</v>
      </c>
      <c r="P2671" s="553">
        <f>-'Progetto del paramento slu'!$G$47*'Progetto del paramento slu'!$G$41*IF(DATI!$G$218="dx",DATI!$E$61,DATI!$E$64*DATI!$E$63)*1000*C2671*sezione!$AD$5</f>
        <v>-1253221.7090650846</v>
      </c>
      <c r="Q2671" s="553">
        <f>'Foglio deposito bis'!$F$88*IF(ABS(K2671)&lt;'Progetto del paramento slu'!$G$58,ABS(K2671)*'Progetto del paramento slu'!$G$54,'Progetto del paramento slu'!$G$53)*IF(K2671&lt;0,-1,1)</f>
        <v>0</v>
      </c>
      <c r="R2671" s="553">
        <f>'Foglio deposito bis'!$F$89*IF(ABS(L2671)&lt;'Progetto del paramento slu'!$G$58,ABS(L2671)*'Progetto del paramento slu'!$G$54,'Progetto del paramento slu'!$G$53)*IF(L2671&lt;0,-1,1)</f>
        <v>153664.85805602249</v>
      </c>
      <c r="S2671" s="553">
        <f>'Foglio deposito bis'!$F$90*IF(ABS(M2671)&lt;'Progetto del paramento slu'!$G$58,ABS(M2671)*'Progetto del paramento slu'!$G$54,'Progetto del paramento slu'!$G$53)*IF(M2671&lt;0,-1,1)</f>
        <v>0</v>
      </c>
      <c r="T2671" s="553">
        <f>'Foglio deposito bis'!$F$91*IF(ABS(N2671)&lt;'Progetto del paramento slu'!$G$58,ABS(N2671)*'Progetto del paramento slu'!$G$54,'Progetto del paramento slu'!$G$53)*IF(N2671&lt;0,-1,1)</f>
        <v>892485.49558937876</v>
      </c>
      <c r="U2671" s="553">
        <f>'Foglio deposito bis'!$F$92*IF(ABS(O2671)&lt;'Progetto del paramento slu'!$G$58,ABS(O2671)*'Progetto del paramento slu'!$G$54,'Progetto del paramento slu'!$G$53)*IF(O2671&lt;0,-1,1)</f>
        <v>1662039.1047339395</v>
      </c>
      <c r="V2671" s="479">
        <f t="shared" si="195"/>
        <v>1454967.7493142562</v>
      </c>
      <c r="W2671" s="559"/>
      <c r="X2671" s="559"/>
    </row>
    <row r="2672" spans="1:24" x14ac:dyDescent="0.25">
      <c r="A2672" s="553">
        <f t="shared" si="194"/>
        <v>1443522.8021995067</v>
      </c>
      <c r="B2672" s="3">
        <f t="shared" si="196"/>
        <v>22.099999999999945</v>
      </c>
      <c r="C2672" s="553">
        <f>'Foglio deposito bis'!$E$163/sezione!$B$247*B2672</f>
        <v>89.718822733423309</v>
      </c>
      <c r="D2672" s="611">
        <f>-'Progetto del paramento slu'!$G$47*'Progetto del paramento slu'!$G$41*IF(DATI!$G$218="dx",DATI!$E$61,DATI!$E$64*DATI!$E$63)*1000*C2672^2*sezione!$AD$5*(1-sezione!$AD$6)</f>
        <v>-66263211.668919146</v>
      </c>
      <c r="E2672" s="553">
        <f>-'Foglio deposito bis'!$F$88*(C2672-sezione!$AL$37)*IF(ABS(K2672)&lt;'Progetto del paramento slu'!$G$58,ABS(K2672)*'Progetto del paramento slu'!$G$54,'Progetto del paramento slu'!$G$53)</f>
        <v>0</v>
      </c>
      <c r="F2672" s="553">
        <f>-'Foglio deposito bis'!$F$89*(C2672-sezione!$AM$37)*IF(ABS(L2672)&lt;'Progetto del paramento slu'!$G$58,ABS(L2672)*'Progetto del paramento slu'!$G$54,'Progetto del paramento slu'!$G$53)</f>
        <v>9263098.5481184367</v>
      </c>
      <c r="G2672" s="553">
        <f>-'Foglio deposito bis'!$F$90*(C2672-sezione!$AN$37)*IF(ABS(M2672)&lt;'Progetto del paramento slu'!$G$58,ABS(M2672)*'Progetto del paramento slu'!$G$54,'Progetto del paramento slu'!$G$53)</f>
        <v>0</v>
      </c>
      <c r="H2672" s="553">
        <f>-'Foglio deposito bis'!$F$91*(C2672-sezione!$AO$37)*IF(ABS(N2672)&lt;'Progetto del paramento slu'!$G$58,ABS(N2672)*'Progetto del paramento slu'!$G$54,'Progetto del paramento slu'!$G$53)</f>
        <v>223372320.52945384</v>
      </c>
      <c r="I2672" s="479">
        <f>-'Foglio deposito bis'!$F$92*(C2672-sezione!$AP$37)*IF(ABS(O2672)&lt;'Progetto del paramento slu'!$G$58,ABS(O2672)*'Progetto del paramento slu'!$G$54,'Progetto del paramento slu'!$G$53)</f>
        <v>283030595.80822933</v>
      </c>
      <c r="J2672" s="479">
        <f t="shared" si="193"/>
        <v>449402803.21688247</v>
      </c>
      <c r="K2672" s="558">
        <f>'Progetto del paramento slu'!$G$60*(sezione!$AL$37-C2672)/C2672</f>
        <v>-1.939569359754369E-3</v>
      </c>
      <c r="L2672" s="558">
        <f>'Progetto del paramento slu'!$G$60*(sezione!$AM$37-C2672)/C2672</f>
        <v>2.3516149009211161E-3</v>
      </c>
      <c r="M2672" s="559">
        <f>'Progetto del paramento slu'!$G$60*(sezione!$AN$37-C2672)/C2672</f>
        <v>6.6427991615966011E-3</v>
      </c>
      <c r="N2672" s="559">
        <f>'Progetto del paramento slu'!$G$60*(sezione!$AO$37-C2672)/C2672</f>
        <v>9.7636604420878632E-3</v>
      </c>
      <c r="O2672" s="559">
        <f>'Progetto del paramento slu'!$G$60*(sezione!$AP$37-C2672)/C2672</f>
        <v>6.6431892692566533E-3</v>
      </c>
      <c r="P2672" s="553">
        <f>-'Progetto del paramento slu'!$G$47*'Progetto del paramento slu'!$G$41*IF(DATI!$G$218="dx",DATI!$E$61,DATI!$E$64*DATI!$E$63)*1000*C2672*sezione!$AD$5</f>
        <v>-1264666.6561798342</v>
      </c>
      <c r="Q2672" s="553">
        <f>'Foglio deposito bis'!$F$88*IF(ABS(K2672)&lt;'Progetto del paramento slu'!$G$58,ABS(K2672)*'Progetto del paramento slu'!$G$54,'Progetto del paramento slu'!$G$53)*IF(K2672&lt;0,-1,1)</f>
        <v>0</v>
      </c>
      <c r="R2672" s="553">
        <f>'Foglio deposito bis'!$F$89*IF(ABS(L2672)&lt;'Progetto del paramento slu'!$G$58,ABS(L2672)*'Progetto del paramento slu'!$G$54,'Progetto del paramento slu'!$G$53)*IF(L2672&lt;0,-1,1)</f>
        <v>153664.85805602249</v>
      </c>
      <c r="S2672" s="553">
        <f>'Foglio deposito bis'!$F$90*IF(ABS(M2672)&lt;'Progetto del paramento slu'!$G$58,ABS(M2672)*'Progetto del paramento slu'!$G$54,'Progetto del paramento slu'!$G$53)*IF(M2672&lt;0,-1,1)</f>
        <v>0</v>
      </c>
      <c r="T2672" s="553">
        <f>'Foglio deposito bis'!$F$91*IF(ABS(N2672)&lt;'Progetto del paramento slu'!$G$58,ABS(N2672)*'Progetto del paramento slu'!$G$54,'Progetto del paramento slu'!$G$53)*IF(N2672&lt;0,-1,1)</f>
        <v>892485.49558937876</v>
      </c>
      <c r="U2672" s="553">
        <f>'Foglio deposito bis'!$F$92*IF(ABS(O2672)&lt;'Progetto del paramento slu'!$G$58,ABS(O2672)*'Progetto del paramento slu'!$G$54,'Progetto del paramento slu'!$G$53)*IF(O2672&lt;0,-1,1)</f>
        <v>1662039.1047339395</v>
      </c>
      <c r="V2672" s="479">
        <f t="shared" si="195"/>
        <v>1443522.8021995067</v>
      </c>
      <c r="W2672" s="559"/>
      <c r="X2672" s="559"/>
    </row>
    <row r="2673" spans="1:24" x14ac:dyDescent="0.25">
      <c r="A2673" s="553">
        <f t="shared" si="194"/>
        <v>1432077.8550847569</v>
      </c>
      <c r="B2673" s="3">
        <f t="shared" si="196"/>
        <v>22.299999999999944</v>
      </c>
      <c r="C2673" s="553">
        <f>'Foglio deposito bis'!$E$163/sezione!$B$247*B2673</f>
        <v>90.530757780784612</v>
      </c>
      <c r="D2673" s="611">
        <f>-'Progetto del paramento slu'!$G$47*'Progetto del paramento slu'!$G$41*IF(DATI!$G$218="dx",DATI!$E$61,DATI!$E$64*DATI!$E$63)*1000*C2673^2*sezione!$AD$5*(1-sezione!$AD$6)</f>
        <v>-67467972.668120652</v>
      </c>
      <c r="E2673" s="553">
        <f>-'Foglio deposito bis'!$F$88*(C2673-sezione!$AL$37)*IF(ABS(K2673)&lt;'Progetto del paramento slu'!$G$58,ABS(K2673)*'Progetto del paramento slu'!$G$54,'Progetto del paramento slu'!$G$53)</f>
        <v>0</v>
      </c>
      <c r="F2673" s="553">
        <f>-'Foglio deposito bis'!$F$89*(C2673-sezione!$AM$37)*IF(ABS(L2673)&lt;'Progetto del paramento slu'!$G$58,ABS(L2673)*'Progetto del paramento slu'!$G$54,'Progetto del paramento slu'!$G$53)</f>
        <v>9138332.6643149536</v>
      </c>
      <c r="G2673" s="553">
        <f>-'Foglio deposito bis'!$F$90*(C2673-sezione!$AN$37)*IF(ABS(M2673)&lt;'Progetto del paramento slu'!$G$58,ABS(M2673)*'Progetto del paramento slu'!$G$54,'Progetto del paramento slu'!$G$53)</f>
        <v>0</v>
      </c>
      <c r="H2673" s="553">
        <f>-'Foglio deposito bis'!$F$91*(C2673-sezione!$AO$37)*IF(ABS(N2673)&lt;'Progetto del paramento slu'!$G$58,ABS(N2673)*'Progetto del paramento slu'!$G$54,'Progetto del paramento slu'!$G$53)</f>
        <v>222647680.27632323</v>
      </c>
      <c r="I2673" s="479">
        <f>-'Foglio deposito bis'!$F$92*(C2673-sezione!$AP$37)*IF(ABS(O2673)&lt;'Progetto del paramento slu'!$G$58,ABS(O2673)*'Progetto del paramento slu'!$G$54,'Progetto del paramento slu'!$G$53)</f>
        <v>281681128.00901085</v>
      </c>
      <c r="J2673" s="479">
        <f t="shared" si="193"/>
        <v>445999168.28152835</v>
      </c>
      <c r="K2673" s="558">
        <f>'Progetto del paramento slu'!$G$60*(sezione!$AL$37-C2673)/C2673</f>
        <v>-1.953564253388859E-3</v>
      </c>
      <c r="L2673" s="558">
        <f>'Progetto del paramento slu'!$G$60*(sezione!$AM$37-C2673)/C2673</f>
        <v>2.2991340497917783E-3</v>
      </c>
      <c r="M2673" s="559">
        <f>'Progetto del paramento slu'!$G$60*(sezione!$AN$37-C2673)/C2673</f>
        <v>6.5518323529724165E-3</v>
      </c>
      <c r="N2673" s="559">
        <f>'Progetto del paramento slu'!$G$60*(sezione!$AO$37-C2673)/C2673</f>
        <v>9.6447038461946986E-3</v>
      </c>
      <c r="O2673" s="559">
        <f>'Progetto del paramento slu'!$G$60*(sezione!$AP$37-C2673)/C2673</f>
        <v>6.5522189619090596E-3</v>
      </c>
      <c r="P2673" s="553">
        <f>-'Progetto del paramento slu'!$G$47*'Progetto del paramento slu'!$G$41*IF(DATI!$G$218="dx",DATI!$E$61,DATI!$E$64*DATI!$E$63)*1000*C2673*sezione!$AD$5</f>
        <v>-1276111.603294584</v>
      </c>
      <c r="Q2673" s="553">
        <f>'Foglio deposito bis'!$F$88*IF(ABS(K2673)&lt;'Progetto del paramento slu'!$G$58,ABS(K2673)*'Progetto del paramento slu'!$G$54,'Progetto del paramento slu'!$G$53)*IF(K2673&lt;0,-1,1)</f>
        <v>0</v>
      </c>
      <c r="R2673" s="553">
        <f>'Foglio deposito bis'!$F$89*IF(ABS(L2673)&lt;'Progetto del paramento slu'!$G$58,ABS(L2673)*'Progetto del paramento slu'!$G$54,'Progetto del paramento slu'!$G$53)*IF(L2673&lt;0,-1,1)</f>
        <v>153664.85805602249</v>
      </c>
      <c r="S2673" s="553">
        <f>'Foglio deposito bis'!$F$90*IF(ABS(M2673)&lt;'Progetto del paramento slu'!$G$58,ABS(M2673)*'Progetto del paramento slu'!$G$54,'Progetto del paramento slu'!$G$53)*IF(M2673&lt;0,-1,1)</f>
        <v>0</v>
      </c>
      <c r="T2673" s="553">
        <f>'Foglio deposito bis'!$F$91*IF(ABS(N2673)&lt;'Progetto del paramento slu'!$G$58,ABS(N2673)*'Progetto del paramento slu'!$G$54,'Progetto del paramento slu'!$G$53)*IF(N2673&lt;0,-1,1)</f>
        <v>892485.49558937876</v>
      </c>
      <c r="U2673" s="553">
        <f>'Foglio deposito bis'!$F$92*IF(ABS(O2673)&lt;'Progetto del paramento slu'!$G$58,ABS(O2673)*'Progetto del paramento slu'!$G$54,'Progetto del paramento slu'!$G$53)*IF(O2673&lt;0,-1,1)</f>
        <v>1662039.1047339395</v>
      </c>
      <c r="V2673" s="479">
        <f t="shared" si="195"/>
        <v>1432077.8550847569</v>
      </c>
      <c r="W2673" s="559"/>
      <c r="X2673" s="559"/>
    </row>
    <row r="2674" spans="1:24" x14ac:dyDescent="0.25">
      <c r="A2674" s="553">
        <f t="shared" si="194"/>
        <v>1420632.9079700073</v>
      </c>
      <c r="B2674" s="3">
        <f t="shared" si="196"/>
        <v>22.499999999999943</v>
      </c>
      <c r="C2674" s="553">
        <f>'Foglio deposito bis'!$E$163/sezione!$B$247*B2674</f>
        <v>91.3426928281459</v>
      </c>
      <c r="D2674" s="611">
        <f>-'Progetto del paramento slu'!$G$47*'Progetto del paramento slu'!$G$41*IF(DATI!$G$218="dx",DATI!$E$61,DATI!$E$64*DATI!$E$63)*1000*C2674^2*sezione!$AD$5*(1-sezione!$AD$6)</f>
        <v>-68683587.370017648</v>
      </c>
      <c r="E2674" s="553">
        <f>-'Foglio deposito bis'!$F$88*(C2674-sezione!$AL$37)*IF(ABS(K2674)&lt;'Progetto del paramento slu'!$G$58,ABS(K2674)*'Progetto del paramento slu'!$G$54,'Progetto del paramento slu'!$G$53)</f>
        <v>0</v>
      </c>
      <c r="F2674" s="553">
        <f>-'Foglio deposito bis'!$F$89*(C2674-sezione!$AM$37)*IF(ABS(L2674)&lt;'Progetto del paramento slu'!$G$58,ABS(L2674)*'Progetto del paramento slu'!$G$54,'Progetto del paramento slu'!$G$53)</f>
        <v>9013566.7805114705</v>
      </c>
      <c r="G2674" s="553">
        <f>-'Foglio deposito bis'!$F$90*(C2674-sezione!$AN$37)*IF(ABS(M2674)&lt;'Progetto del paramento slu'!$G$58,ABS(M2674)*'Progetto del paramento slu'!$G$54,'Progetto del paramento slu'!$G$53)</f>
        <v>0</v>
      </c>
      <c r="H2674" s="553">
        <f>-'Foglio deposito bis'!$F$91*(C2674-sezione!$AO$37)*IF(ABS(N2674)&lt;'Progetto del paramento slu'!$G$58,ABS(N2674)*'Progetto del paramento slu'!$G$54,'Progetto del paramento slu'!$G$53)</f>
        <v>221923040.02319261</v>
      </c>
      <c r="I2674" s="479">
        <f>-'Foglio deposito bis'!$F$92*(C2674-sezione!$AP$37)*IF(ABS(O2674)&lt;'Progetto del paramento slu'!$G$58,ABS(O2674)*'Progetto del paramento slu'!$G$54,'Progetto del paramento slu'!$G$53)</f>
        <v>280331660.20979232</v>
      </c>
      <c r="J2674" s="479">
        <f t="shared" si="193"/>
        <v>442584679.64347875</v>
      </c>
      <c r="K2674" s="558">
        <f>'Progetto del paramento slu'!$G$60*(sezione!$AL$37-C2674)/C2674</f>
        <v>-1.9673103489142914E-3</v>
      </c>
      <c r="L2674" s="558">
        <f>'Progetto del paramento slu'!$G$60*(sezione!$AM$37-C2674)/C2674</f>
        <v>2.2475861915714074E-3</v>
      </c>
      <c r="M2674" s="559">
        <f>'Progetto del paramento slu'!$G$60*(sezione!$AN$37-C2674)/C2674</f>
        <v>6.4624827320571062E-3</v>
      </c>
      <c r="N2674" s="559">
        <f>'Progetto del paramento slu'!$G$60*(sezione!$AO$37-C2674)/C2674</f>
        <v>9.5278620342285226E-3</v>
      </c>
      <c r="O2674" s="559">
        <f>'Progetto del paramento slu'!$G$60*(sezione!$AP$37-C2674)/C2674</f>
        <v>6.4628659044698679E-3</v>
      </c>
      <c r="P2674" s="553">
        <f>-'Progetto del paramento slu'!$G$47*'Progetto del paramento slu'!$G$41*IF(DATI!$G$218="dx",DATI!$E$61,DATI!$E$64*DATI!$E$63)*1000*C2674*sezione!$AD$5</f>
        <v>-1287556.5504093335</v>
      </c>
      <c r="Q2674" s="553">
        <f>'Foglio deposito bis'!$F$88*IF(ABS(K2674)&lt;'Progetto del paramento slu'!$G$58,ABS(K2674)*'Progetto del paramento slu'!$G$54,'Progetto del paramento slu'!$G$53)*IF(K2674&lt;0,-1,1)</f>
        <v>0</v>
      </c>
      <c r="R2674" s="553">
        <f>'Foglio deposito bis'!$F$89*IF(ABS(L2674)&lt;'Progetto del paramento slu'!$G$58,ABS(L2674)*'Progetto del paramento slu'!$G$54,'Progetto del paramento slu'!$G$53)*IF(L2674&lt;0,-1,1)</f>
        <v>153664.85805602249</v>
      </c>
      <c r="S2674" s="553">
        <f>'Foglio deposito bis'!$F$90*IF(ABS(M2674)&lt;'Progetto del paramento slu'!$G$58,ABS(M2674)*'Progetto del paramento slu'!$G$54,'Progetto del paramento slu'!$G$53)*IF(M2674&lt;0,-1,1)</f>
        <v>0</v>
      </c>
      <c r="T2674" s="553">
        <f>'Foglio deposito bis'!$F$91*IF(ABS(N2674)&lt;'Progetto del paramento slu'!$G$58,ABS(N2674)*'Progetto del paramento slu'!$G$54,'Progetto del paramento slu'!$G$53)*IF(N2674&lt;0,-1,1)</f>
        <v>892485.49558937876</v>
      </c>
      <c r="U2674" s="553">
        <f>'Foglio deposito bis'!$F$92*IF(ABS(O2674)&lt;'Progetto del paramento slu'!$G$58,ABS(O2674)*'Progetto del paramento slu'!$G$54,'Progetto del paramento slu'!$G$53)*IF(O2674&lt;0,-1,1)</f>
        <v>1662039.1047339395</v>
      </c>
      <c r="V2674" s="479">
        <f t="shared" si="195"/>
        <v>1420632.9079700073</v>
      </c>
      <c r="W2674" s="559"/>
      <c r="X2674" s="559"/>
    </row>
    <row r="2675" spans="1:24" x14ac:dyDescent="0.25">
      <c r="A2675" s="553">
        <f t="shared" si="194"/>
        <v>1409187.9608552577</v>
      </c>
      <c r="B2675" s="3">
        <f t="shared" si="196"/>
        <v>22.699999999999942</v>
      </c>
      <c r="C2675" s="553">
        <f>'Foglio deposito bis'!$E$163/sezione!$B$247*B2675</f>
        <v>92.154627875507202</v>
      </c>
      <c r="D2675" s="611">
        <f>-'Progetto del paramento slu'!$G$47*'Progetto del paramento slu'!$G$41*IF(DATI!$G$218="dx",DATI!$E$61,DATI!$E$64*DATI!$E$63)*1000*C2675^2*sezione!$AD$5*(1-sezione!$AD$6)</f>
        <v>-69910055.774610162</v>
      </c>
      <c r="E2675" s="553">
        <f>-'Foglio deposito bis'!$F$88*(C2675-sezione!$AL$37)*IF(ABS(K2675)&lt;'Progetto del paramento slu'!$G$58,ABS(K2675)*'Progetto del paramento slu'!$G$54,'Progetto del paramento slu'!$G$53)</f>
        <v>0</v>
      </c>
      <c r="F2675" s="553">
        <f>-'Foglio deposito bis'!$F$89*(C2675-sezione!$AM$37)*IF(ABS(L2675)&lt;'Progetto del paramento slu'!$G$58,ABS(L2675)*'Progetto del paramento slu'!$G$54,'Progetto del paramento slu'!$G$53)</f>
        <v>8888800.8967079874</v>
      </c>
      <c r="G2675" s="553">
        <f>-'Foglio deposito bis'!$F$90*(C2675-sezione!$AN$37)*IF(ABS(M2675)&lt;'Progetto del paramento slu'!$G$58,ABS(M2675)*'Progetto del paramento slu'!$G$54,'Progetto del paramento slu'!$G$53)</f>
        <v>0</v>
      </c>
      <c r="H2675" s="553">
        <f>-'Foglio deposito bis'!$F$91*(C2675-sezione!$AO$37)*IF(ABS(N2675)&lt;'Progetto del paramento slu'!$G$58,ABS(N2675)*'Progetto del paramento slu'!$G$54,'Progetto del paramento slu'!$G$53)</f>
        <v>221198399.77006197</v>
      </c>
      <c r="I2675" s="479">
        <f>-'Foglio deposito bis'!$F$92*(C2675-sezione!$AP$37)*IF(ABS(O2675)&lt;'Progetto del paramento slu'!$G$58,ABS(O2675)*'Progetto del paramento slu'!$G$54,'Progetto del paramento slu'!$G$53)</f>
        <v>278982192.4105739</v>
      </c>
      <c r="J2675" s="479">
        <f t="shared" si="193"/>
        <v>439159337.30273366</v>
      </c>
      <c r="K2675" s="558">
        <f>'Progetto del paramento slu'!$G$60*(sezione!$AL$37-C2675)/C2675</f>
        <v>-1.9808142224921389E-3</v>
      </c>
      <c r="L2675" s="558">
        <f>'Progetto del paramento slu'!$G$60*(sezione!$AM$37-C2675)/C2675</f>
        <v>2.1969466656544781E-3</v>
      </c>
      <c r="M2675" s="559">
        <f>'Progetto del paramento slu'!$G$60*(sezione!$AN$37-C2675)/C2675</f>
        <v>6.3747075538010955E-3</v>
      </c>
      <c r="N2675" s="559">
        <f>'Progetto del paramento slu'!$G$60*(sezione!$AO$37-C2675)/C2675</f>
        <v>9.4130791088168179E-3</v>
      </c>
      <c r="O2675" s="559">
        <f>'Progetto del paramento slu'!$G$60*(sezione!$AP$37-C2675)/C2675</f>
        <v>6.3750873502454643E-3</v>
      </c>
      <c r="P2675" s="553">
        <f>-'Progetto del paramento slu'!$G$47*'Progetto del paramento slu'!$G$41*IF(DATI!$G$218="dx",DATI!$E$61,DATI!$E$64*DATI!$E$63)*1000*C2675*sezione!$AD$5</f>
        <v>-1299001.4975240831</v>
      </c>
      <c r="Q2675" s="553">
        <f>'Foglio deposito bis'!$F$88*IF(ABS(K2675)&lt;'Progetto del paramento slu'!$G$58,ABS(K2675)*'Progetto del paramento slu'!$G$54,'Progetto del paramento slu'!$G$53)*IF(K2675&lt;0,-1,1)</f>
        <v>0</v>
      </c>
      <c r="R2675" s="553">
        <f>'Foglio deposito bis'!$F$89*IF(ABS(L2675)&lt;'Progetto del paramento slu'!$G$58,ABS(L2675)*'Progetto del paramento slu'!$G$54,'Progetto del paramento slu'!$G$53)*IF(L2675&lt;0,-1,1)</f>
        <v>153664.85805602249</v>
      </c>
      <c r="S2675" s="553">
        <f>'Foglio deposito bis'!$F$90*IF(ABS(M2675)&lt;'Progetto del paramento slu'!$G$58,ABS(M2675)*'Progetto del paramento slu'!$G$54,'Progetto del paramento slu'!$G$53)*IF(M2675&lt;0,-1,1)</f>
        <v>0</v>
      </c>
      <c r="T2675" s="553">
        <f>'Foglio deposito bis'!$F$91*IF(ABS(N2675)&lt;'Progetto del paramento slu'!$G$58,ABS(N2675)*'Progetto del paramento slu'!$G$54,'Progetto del paramento slu'!$G$53)*IF(N2675&lt;0,-1,1)</f>
        <v>892485.49558937876</v>
      </c>
      <c r="U2675" s="553">
        <f>'Foglio deposito bis'!$F$92*IF(ABS(O2675)&lt;'Progetto del paramento slu'!$G$58,ABS(O2675)*'Progetto del paramento slu'!$G$54,'Progetto del paramento slu'!$G$53)*IF(O2675&lt;0,-1,1)</f>
        <v>1662039.1047339395</v>
      </c>
      <c r="V2675" s="479">
        <f t="shared" si="195"/>
        <v>1409187.9608552577</v>
      </c>
      <c r="W2675" s="559"/>
      <c r="X2675" s="559"/>
    </row>
    <row r="2676" spans="1:24" x14ac:dyDescent="0.25">
      <c r="A2676" s="553">
        <f t="shared" si="194"/>
        <v>1397743.0137405081</v>
      </c>
      <c r="B2676" s="3">
        <f t="shared" si="196"/>
        <v>22.899999999999942</v>
      </c>
      <c r="C2676" s="553">
        <f>'Foglio deposito bis'!$E$163/sezione!$B$247*B2676</f>
        <v>92.966562922868491</v>
      </c>
      <c r="D2676" s="611">
        <f>-'Progetto del paramento slu'!$G$47*'Progetto del paramento slu'!$G$41*IF(DATI!$G$218="dx",DATI!$E$61,DATI!$E$64*DATI!$E$63)*1000*C2676^2*sezione!$AD$5*(1-sezione!$AD$6)</f>
        <v>-71147377.881898165</v>
      </c>
      <c r="E2676" s="553">
        <f>-'Foglio deposito bis'!$F$88*(C2676-sezione!$AL$37)*IF(ABS(K2676)&lt;'Progetto del paramento slu'!$G$58,ABS(K2676)*'Progetto del paramento slu'!$G$54,'Progetto del paramento slu'!$G$53)</f>
        <v>0</v>
      </c>
      <c r="F2676" s="553">
        <f>-'Foglio deposito bis'!$F$89*(C2676-sezione!$AM$37)*IF(ABS(L2676)&lt;'Progetto del paramento slu'!$G$58,ABS(L2676)*'Progetto del paramento slu'!$G$54,'Progetto del paramento slu'!$G$53)</f>
        <v>8764035.0129045043</v>
      </c>
      <c r="G2676" s="553">
        <f>-'Foglio deposito bis'!$F$90*(C2676-sezione!$AN$37)*IF(ABS(M2676)&lt;'Progetto del paramento slu'!$G$58,ABS(M2676)*'Progetto del paramento slu'!$G$54,'Progetto del paramento slu'!$G$53)</f>
        <v>0</v>
      </c>
      <c r="H2676" s="553">
        <f>-'Foglio deposito bis'!$F$91*(C2676-sezione!$AO$37)*IF(ABS(N2676)&lt;'Progetto del paramento slu'!$G$58,ABS(N2676)*'Progetto del paramento slu'!$G$54,'Progetto del paramento slu'!$G$53)</f>
        <v>220473759.51693135</v>
      </c>
      <c r="I2676" s="479">
        <f>-'Foglio deposito bis'!$F$92*(C2676-sezione!$AP$37)*IF(ABS(O2676)&lt;'Progetto del paramento slu'!$G$58,ABS(O2676)*'Progetto del paramento slu'!$G$54,'Progetto del paramento slu'!$G$53)</f>
        <v>277632724.61135542</v>
      </c>
      <c r="J2676" s="479">
        <f t="shared" si="193"/>
        <v>435723141.25929308</v>
      </c>
      <c r="K2676" s="558">
        <f>'Progetto del paramento slu'!$G$60*(sezione!$AL$37-C2676)/C2676</f>
        <v>-1.9940822205489761E-3</v>
      </c>
      <c r="L2676" s="558">
        <f>'Progetto del paramento slu'!$G$60*(sezione!$AM$37-C2676)/C2676</f>
        <v>2.1471916729413395E-3</v>
      </c>
      <c r="M2676" s="559">
        <f>'Progetto del paramento slu'!$G$60*(sezione!$AN$37-C2676)/C2676</f>
        <v>6.2884655664316551E-3</v>
      </c>
      <c r="N2676" s="559">
        <f>'Progetto del paramento slu'!$G$60*(sezione!$AO$37-C2676)/C2676</f>
        <v>9.3003011253337039E-3</v>
      </c>
      <c r="O2676" s="559">
        <f>'Progetto del paramento slu'!$G$60*(sezione!$AP$37-C2676)/C2676</f>
        <v>6.2888420458765085E-3</v>
      </c>
      <c r="P2676" s="553">
        <f>-'Progetto del paramento slu'!$G$47*'Progetto del paramento slu'!$G$41*IF(DATI!$G$218="dx",DATI!$E$61,DATI!$E$64*DATI!$E$63)*1000*C2676*sezione!$AD$5</f>
        <v>-1310446.4446388327</v>
      </c>
      <c r="Q2676" s="553">
        <f>'Foglio deposito bis'!$F$88*IF(ABS(K2676)&lt;'Progetto del paramento slu'!$G$58,ABS(K2676)*'Progetto del paramento slu'!$G$54,'Progetto del paramento slu'!$G$53)*IF(K2676&lt;0,-1,1)</f>
        <v>0</v>
      </c>
      <c r="R2676" s="553">
        <f>'Foglio deposito bis'!$F$89*IF(ABS(L2676)&lt;'Progetto del paramento slu'!$G$58,ABS(L2676)*'Progetto del paramento slu'!$G$54,'Progetto del paramento slu'!$G$53)*IF(L2676&lt;0,-1,1)</f>
        <v>153664.85805602249</v>
      </c>
      <c r="S2676" s="553">
        <f>'Foglio deposito bis'!$F$90*IF(ABS(M2676)&lt;'Progetto del paramento slu'!$G$58,ABS(M2676)*'Progetto del paramento slu'!$G$54,'Progetto del paramento slu'!$G$53)*IF(M2676&lt;0,-1,1)</f>
        <v>0</v>
      </c>
      <c r="T2676" s="553">
        <f>'Foglio deposito bis'!$F$91*IF(ABS(N2676)&lt;'Progetto del paramento slu'!$G$58,ABS(N2676)*'Progetto del paramento slu'!$G$54,'Progetto del paramento slu'!$G$53)*IF(N2676&lt;0,-1,1)</f>
        <v>892485.49558937876</v>
      </c>
      <c r="U2676" s="553">
        <f>'Foglio deposito bis'!$F$92*IF(ABS(O2676)&lt;'Progetto del paramento slu'!$G$58,ABS(O2676)*'Progetto del paramento slu'!$G$54,'Progetto del paramento slu'!$G$53)*IF(O2676&lt;0,-1,1)</f>
        <v>1662039.1047339395</v>
      </c>
      <c r="V2676" s="479">
        <f t="shared" si="195"/>
        <v>1397743.0137405081</v>
      </c>
      <c r="W2676" s="559"/>
      <c r="X2676" s="559"/>
    </row>
    <row r="2677" spans="1:24" x14ac:dyDescent="0.25">
      <c r="A2677" s="553">
        <f t="shared" si="194"/>
        <v>1340518.2781667598</v>
      </c>
      <c r="B2677" s="3">
        <f t="shared" ref="B2677:B2727" si="197">B2676+1</f>
        <v>23.899999999999942</v>
      </c>
      <c r="C2677" s="553">
        <f>'Foglio deposito bis'!$E$163/sezione!$B$247*B2677</f>
        <v>97.026238159674989</v>
      </c>
      <c r="D2677" s="611">
        <f>-'Progetto del paramento slu'!$G$47*'Progetto del paramento slu'!$G$41*IF(DATI!$G$218="dx",DATI!$E$61,DATI!$E$64*DATI!$E$63)*1000*C2677^2*sezione!$AD$5*(1-sezione!$AD$6)</f>
        <v>-77496793.958770931</v>
      </c>
      <c r="E2677" s="553">
        <f>-'Foglio deposito bis'!$F$88*(C2677-sezione!$AL$37)*IF(ABS(K2677)&lt;'Progetto del paramento slu'!$G$58,ABS(K2677)*'Progetto del paramento slu'!$G$54,'Progetto del paramento slu'!$G$53)</f>
        <v>0</v>
      </c>
      <c r="F2677" s="553">
        <f>-'Foglio deposito bis'!$F$89*(C2677-sezione!$AM$37)*IF(ABS(L2677)&lt;'Progetto del paramento slu'!$G$58,ABS(L2677)*'Progetto del paramento slu'!$G$54,'Progetto del paramento slu'!$G$53)</f>
        <v>8140205.5938870832</v>
      </c>
      <c r="G2677" s="553">
        <f>-'Foglio deposito bis'!$F$90*(C2677-sezione!$AN$37)*IF(ABS(M2677)&lt;'Progetto del paramento slu'!$G$58,ABS(M2677)*'Progetto del paramento slu'!$G$54,'Progetto del paramento slu'!$G$53)</f>
        <v>0</v>
      </c>
      <c r="H2677" s="553">
        <f>-'Foglio deposito bis'!$F$91*(C2677-sezione!$AO$37)*IF(ABS(N2677)&lt;'Progetto del paramento slu'!$G$58,ABS(N2677)*'Progetto del paramento slu'!$G$54,'Progetto del paramento slu'!$G$53)</f>
        <v>216850558.25127819</v>
      </c>
      <c r="I2677" s="479">
        <f>-'Foglio deposito bis'!$F$92*(C2677-sezione!$AP$37)*IF(ABS(O2677)&lt;'Progetto del paramento slu'!$G$58,ABS(O2677)*'Progetto del paramento slu'!$G$54,'Progetto del paramento slu'!$G$53)</f>
        <v>270885385.61526299</v>
      </c>
      <c r="J2677" s="479">
        <f t="shared" ref="J2677:J2727" si="198">D2677+E2677+F2677+G2677+H2677+I2677</f>
        <v>418379355.50165737</v>
      </c>
      <c r="K2677" s="558">
        <f>'Progetto del paramento slu'!$G$60*(sezione!$AL$37-C2677)/C2677</f>
        <v>-2.0570913326598979E-3</v>
      </c>
      <c r="L2677" s="558">
        <f>'Progetto del paramento slu'!$G$60*(sezione!$AM$37-C2677)/C2677</f>
        <v>1.9109075025253827E-3</v>
      </c>
      <c r="M2677" s="559">
        <f>'Progetto del paramento slu'!$G$60*(sezione!$AN$37-C2677)/C2677</f>
        <v>5.8789063377106638E-3</v>
      </c>
      <c r="N2677" s="559">
        <f>'Progetto del paramento slu'!$G$60*(sezione!$AO$37-C2677)/C2677</f>
        <v>8.764723672390869E-3</v>
      </c>
      <c r="O2677" s="559">
        <f>'Progetto del paramento slu'!$G$60*(sezione!$AP$37-C2677)/C2677</f>
        <v>5.8792670648774902E-3</v>
      </c>
      <c r="P2677" s="553">
        <f>-'Progetto del paramento slu'!$G$47*'Progetto del paramento slu'!$G$41*IF(DATI!$G$218="dx",DATI!$E$61,DATI!$E$64*DATI!$E$63)*1000*C2677*sezione!$AD$5</f>
        <v>-1367671.1802125811</v>
      </c>
      <c r="Q2677" s="553">
        <f>'Foglio deposito bis'!$F$88*IF(ABS(K2677)&lt;'Progetto del paramento slu'!$G$58,ABS(K2677)*'Progetto del paramento slu'!$G$54,'Progetto del paramento slu'!$G$53)*IF(K2677&lt;0,-1,1)</f>
        <v>0</v>
      </c>
      <c r="R2677" s="553">
        <f>'Foglio deposito bis'!$F$89*IF(ABS(L2677)&lt;'Progetto del paramento slu'!$G$58,ABS(L2677)*'Progetto del paramento slu'!$G$54,'Progetto del paramento slu'!$G$53)*IF(L2677&lt;0,-1,1)</f>
        <v>153664.85805602249</v>
      </c>
      <c r="S2677" s="553">
        <f>'Foglio deposito bis'!$F$90*IF(ABS(M2677)&lt;'Progetto del paramento slu'!$G$58,ABS(M2677)*'Progetto del paramento slu'!$G$54,'Progetto del paramento slu'!$G$53)*IF(M2677&lt;0,-1,1)</f>
        <v>0</v>
      </c>
      <c r="T2677" s="553">
        <f>'Foglio deposito bis'!$F$91*IF(ABS(N2677)&lt;'Progetto del paramento slu'!$G$58,ABS(N2677)*'Progetto del paramento slu'!$G$54,'Progetto del paramento slu'!$G$53)*IF(N2677&lt;0,-1,1)</f>
        <v>892485.49558937876</v>
      </c>
      <c r="U2677" s="553">
        <f>'Foglio deposito bis'!$F$92*IF(ABS(O2677)&lt;'Progetto del paramento slu'!$G$58,ABS(O2677)*'Progetto del paramento slu'!$G$54,'Progetto del paramento slu'!$G$53)*IF(O2677&lt;0,-1,1)</f>
        <v>1662039.1047339395</v>
      </c>
      <c r="V2677" s="479">
        <f t="shared" si="195"/>
        <v>1340518.2781667598</v>
      </c>
      <c r="W2677" s="559"/>
      <c r="X2677" s="559"/>
    </row>
    <row r="2678" spans="1:24" x14ac:dyDescent="0.25">
      <c r="A2678" s="553">
        <f t="shared" ref="A2678:A2727" si="199">ABS(V2678)</f>
        <v>1266634.3286798212</v>
      </c>
      <c r="B2678" s="3">
        <f t="shared" si="197"/>
        <v>24.899999999999942</v>
      </c>
      <c r="C2678" s="553">
        <f>'Foglio deposito bis'!$E$163/sezione!$B$247*B2678</f>
        <v>101.08591339648149</v>
      </c>
      <c r="D2678" s="611">
        <f>-'Progetto del paramento slu'!$G$47*'Progetto del paramento slu'!$G$41*IF(DATI!$G$218="dx",DATI!$E$61,DATI!$E$64*DATI!$E$63)*1000*C2678^2*sezione!$AD$5*(1-sezione!$AD$6)</f>
        <v>-84117552.603031427</v>
      </c>
      <c r="E2678" s="553">
        <f>-'Foglio deposito bis'!$F$88*(C2678-sezione!$AL$37)*IF(ABS(K2678)&lt;'Progetto del paramento slu'!$G$58,ABS(K2678)*'Progetto del paramento slu'!$G$54,'Progetto del paramento slu'!$G$53)</f>
        <v>0</v>
      </c>
      <c r="F2678" s="553">
        <f>-'Foglio deposito bis'!$F$89*(C2678-sezione!$AM$37)*IF(ABS(L2678)&lt;'Progetto del paramento slu'!$G$58,ABS(L2678)*'Progetto del paramento slu'!$G$54,'Progetto del paramento slu'!$G$53)</f>
        <v>6701505.9427733412</v>
      </c>
      <c r="G2678" s="553">
        <f>-'Foglio deposito bis'!$F$90*(C2678-sezione!$AN$37)*IF(ABS(M2678)&lt;'Progetto del paramento slu'!$G$58,ABS(M2678)*'Progetto del paramento slu'!$G$54,'Progetto del paramento slu'!$G$53)</f>
        <v>0</v>
      </c>
      <c r="H2678" s="553">
        <f>-'Foglio deposito bis'!$F$91*(C2678-sezione!$AO$37)*IF(ABS(N2678)&lt;'Progetto del paramento slu'!$G$58,ABS(N2678)*'Progetto del paramento slu'!$G$54,'Progetto del paramento slu'!$G$53)</f>
        <v>213227356.98562497</v>
      </c>
      <c r="I2678" s="479">
        <f>-'Foglio deposito bis'!$F$92*(C2678-sezione!$AP$37)*IF(ABS(O2678)&lt;'Progetto del paramento slu'!$G$58,ABS(O2678)*'Progetto del paramento slu'!$G$54,'Progetto del paramento slu'!$G$53)</f>
        <v>264138046.61917058</v>
      </c>
      <c r="J2678" s="479">
        <f t="shared" si="198"/>
        <v>399949356.94453746</v>
      </c>
      <c r="K2678" s="558">
        <f>'Progetto del paramento slu'!$G$60*(sezione!$AL$37-C2678)/C2678</f>
        <v>-2.1150394719105046E-3</v>
      </c>
      <c r="L2678" s="558">
        <f>'Progetto del paramento slu'!$G$60*(sezione!$AM$37-C2678)/C2678</f>
        <v>1.6936019803356077E-3</v>
      </c>
      <c r="M2678" s="559">
        <f>'Progetto del paramento slu'!$G$60*(sezione!$AN$37-C2678)/C2678</f>
        <v>5.50224343258172E-3</v>
      </c>
      <c r="N2678" s="559">
        <f>'Progetto del paramento slu'!$G$60*(sezione!$AO$37-C2678)/C2678</f>
        <v>8.272164488760711E-3</v>
      </c>
      <c r="O2678" s="559">
        <f>'Progetto del paramento slu'!$G$60*(sezione!$AP$37-C2678)/C2678</f>
        <v>5.502589672713735E-3</v>
      </c>
      <c r="P2678" s="553">
        <f>-'Progetto del paramento slu'!$G$47*'Progetto del paramento slu'!$G$41*IF(DATI!$G$218="dx",DATI!$E$61,DATI!$E$64*DATI!$E$63)*1000*C2678*sezione!$AD$5</f>
        <v>-1424895.9157863294</v>
      </c>
      <c r="Q2678" s="553">
        <f>'Foglio deposito bis'!$F$88*IF(ABS(K2678)&lt;'Progetto del paramento slu'!$G$58,ABS(K2678)*'Progetto del paramento slu'!$G$54,'Progetto del paramento slu'!$G$53)*IF(K2678&lt;0,-1,1)</f>
        <v>0</v>
      </c>
      <c r="R2678" s="553">
        <f>'Foglio deposito bis'!$F$89*IF(ABS(L2678)&lt;'Progetto del paramento slu'!$G$58,ABS(L2678)*'Progetto del paramento slu'!$G$54,'Progetto del paramento slu'!$G$53)*IF(L2678&lt;0,-1,1)</f>
        <v>137005.64414283235</v>
      </c>
      <c r="S2678" s="553">
        <f>'Foglio deposito bis'!$F$90*IF(ABS(M2678)&lt;'Progetto del paramento slu'!$G$58,ABS(M2678)*'Progetto del paramento slu'!$G$54,'Progetto del paramento slu'!$G$53)*IF(M2678&lt;0,-1,1)</f>
        <v>0</v>
      </c>
      <c r="T2678" s="553">
        <f>'Foglio deposito bis'!$F$91*IF(ABS(N2678)&lt;'Progetto del paramento slu'!$G$58,ABS(N2678)*'Progetto del paramento slu'!$G$54,'Progetto del paramento slu'!$G$53)*IF(N2678&lt;0,-1,1)</f>
        <v>892485.49558937876</v>
      </c>
      <c r="U2678" s="553">
        <f>'Foglio deposito bis'!$F$92*IF(ABS(O2678)&lt;'Progetto del paramento slu'!$G$58,ABS(O2678)*'Progetto del paramento slu'!$G$54,'Progetto del paramento slu'!$G$53)*IF(O2678&lt;0,-1,1)</f>
        <v>1662039.1047339395</v>
      </c>
      <c r="V2678" s="479">
        <f t="shared" ref="V2678:V2727" si="200">P2678+Q2678+R2678+S2678+T2678+U2678</f>
        <v>1266634.3286798212</v>
      </c>
      <c r="W2678" s="559"/>
      <c r="X2678" s="559"/>
    </row>
    <row r="2679" spans="1:24" x14ac:dyDescent="0.25">
      <c r="A2679" s="553">
        <f t="shared" si="199"/>
        <v>1193187.9065405282</v>
      </c>
      <c r="B2679" s="3">
        <f t="shared" si="197"/>
        <v>25.899999999999942</v>
      </c>
      <c r="C2679" s="553">
        <f>'Foglio deposito bis'!$E$163/sezione!$B$247*B2679</f>
        <v>105.14558863328797</v>
      </c>
      <c r="D2679" s="611">
        <f>-'Progetto del paramento slu'!$G$47*'Progetto del paramento slu'!$G$41*IF(DATI!$G$218="dx",DATI!$E$61,DATI!$E$64*DATI!$E$63)*1000*C2679^2*sezione!$AD$5*(1-sezione!$AD$6)</f>
        <v>-91009653.814679623</v>
      </c>
      <c r="E2679" s="553">
        <f>-'Foglio deposito bis'!$F$88*(C2679-sezione!$AL$37)*IF(ABS(K2679)&lt;'Progetto del paramento slu'!$G$58,ABS(K2679)*'Progetto del paramento slu'!$G$54,'Progetto del paramento slu'!$G$53)</f>
        <v>0</v>
      </c>
      <c r="F2679" s="553">
        <f>-'Foglio deposito bis'!$F$89*(C2679-sezione!$AM$37)*IF(ABS(L2679)&lt;'Progetto del paramento slu'!$G$58,ABS(L2679)*'Progetto del paramento slu'!$G$54,'Progetto del paramento slu'!$G$53)</f>
        <v>5417693.3196711484</v>
      </c>
      <c r="G2679" s="553">
        <f>-'Foglio deposito bis'!$F$90*(C2679-sezione!$AN$37)*IF(ABS(M2679)&lt;'Progetto del paramento slu'!$G$58,ABS(M2679)*'Progetto del paramento slu'!$G$54,'Progetto del paramento slu'!$G$53)</f>
        <v>0</v>
      </c>
      <c r="H2679" s="553">
        <f>-'Foglio deposito bis'!$F$91*(C2679-sezione!$AO$37)*IF(ABS(N2679)&lt;'Progetto del paramento slu'!$G$58,ABS(N2679)*'Progetto del paramento slu'!$G$54,'Progetto del paramento slu'!$G$53)</f>
        <v>209604155.71997184</v>
      </c>
      <c r="I2679" s="479">
        <f>-'Foglio deposito bis'!$F$92*(C2679-sezione!$AP$37)*IF(ABS(O2679)&lt;'Progetto del paramento slu'!$G$58,ABS(O2679)*'Progetto del paramento slu'!$G$54,'Progetto del paramento slu'!$G$53)</f>
        <v>257390707.62307823</v>
      </c>
      <c r="J2679" s="479">
        <f t="shared" si="198"/>
        <v>381402902.84804159</v>
      </c>
      <c r="K2679" s="558">
        <f>'Progetto del paramento slu'!$G$60*(sezione!$AL$37-C2679)/C2679</f>
        <v>-2.1685128513734193E-3</v>
      </c>
      <c r="L2679" s="558">
        <f>'Progetto del paramento slu'!$G$60*(sezione!$AM$37-C2679)/C2679</f>
        <v>1.4930768073496772E-3</v>
      </c>
      <c r="M2679" s="559">
        <f>'Progetto del paramento slu'!$G$60*(sezione!$AN$37-C2679)/C2679</f>
        <v>5.1546664660727737E-3</v>
      </c>
      <c r="N2679" s="559">
        <f>'Progetto del paramento slu'!$G$60*(sezione!$AO$37-C2679)/C2679</f>
        <v>7.8176407633259361E-3</v>
      </c>
      <c r="O2679" s="559">
        <f>'Progetto del paramento slu'!$G$60*(sezione!$AP$37-C2679)/C2679</f>
        <v>5.1549993378599236E-3</v>
      </c>
      <c r="P2679" s="553">
        <f>-'Progetto del paramento slu'!$G$47*'Progetto del paramento slu'!$G$41*IF(DATI!$G$218="dx",DATI!$E$61,DATI!$E$64*DATI!$E$63)*1000*C2679*sezione!$AD$5</f>
        <v>-1482120.6513600776</v>
      </c>
      <c r="Q2679" s="553">
        <f>'Foglio deposito bis'!$F$88*IF(ABS(K2679)&lt;'Progetto del paramento slu'!$G$58,ABS(K2679)*'Progetto del paramento slu'!$G$54,'Progetto del paramento slu'!$G$53)*IF(K2679&lt;0,-1,1)</f>
        <v>0</v>
      </c>
      <c r="R2679" s="553">
        <f>'Foglio deposito bis'!$F$89*IF(ABS(L2679)&lt;'Progetto del paramento slu'!$G$58,ABS(L2679)*'Progetto del paramento slu'!$G$54,'Progetto del paramento slu'!$G$53)*IF(L2679&lt;0,-1,1)</f>
        <v>120783.95757728751</v>
      </c>
      <c r="S2679" s="553">
        <f>'Foglio deposito bis'!$F$90*IF(ABS(M2679)&lt;'Progetto del paramento slu'!$G$58,ABS(M2679)*'Progetto del paramento slu'!$G$54,'Progetto del paramento slu'!$G$53)*IF(M2679&lt;0,-1,1)</f>
        <v>0</v>
      </c>
      <c r="T2679" s="553">
        <f>'Foglio deposito bis'!$F$91*IF(ABS(N2679)&lt;'Progetto del paramento slu'!$G$58,ABS(N2679)*'Progetto del paramento slu'!$G$54,'Progetto del paramento slu'!$G$53)*IF(N2679&lt;0,-1,1)</f>
        <v>892485.49558937876</v>
      </c>
      <c r="U2679" s="553">
        <f>'Foglio deposito bis'!$F$92*IF(ABS(O2679)&lt;'Progetto del paramento slu'!$G$58,ABS(O2679)*'Progetto del paramento slu'!$G$54,'Progetto del paramento slu'!$G$53)*IF(O2679&lt;0,-1,1)</f>
        <v>1662039.1047339395</v>
      </c>
      <c r="V2679" s="479">
        <f t="shared" si="200"/>
        <v>1193187.9065405282</v>
      </c>
      <c r="W2679" s="559"/>
      <c r="X2679" s="559"/>
    </row>
    <row r="2680" spans="1:24" x14ac:dyDescent="0.25">
      <c r="A2680" s="553">
        <f t="shared" si="199"/>
        <v>1120947.557751833</v>
      </c>
      <c r="B2680" s="3">
        <f t="shared" si="197"/>
        <v>26.899999999999942</v>
      </c>
      <c r="C2680" s="553">
        <f>'Foglio deposito bis'!$E$163/sezione!$B$247*B2680</f>
        <v>109.20526387009447</v>
      </c>
      <c r="D2680" s="611">
        <f>-'Progetto del paramento slu'!$G$47*'Progetto del paramento slu'!$G$41*IF(DATI!$G$218="dx",DATI!$E$61,DATI!$E$64*DATI!$E$63)*1000*C2680^2*sezione!$AD$5*(1-sezione!$AD$6)</f>
        <v>-98173097.593715549</v>
      </c>
      <c r="E2680" s="553">
        <f>-'Foglio deposito bis'!$F$88*(C2680-sezione!$AL$37)*IF(ABS(K2680)&lt;'Progetto del paramento slu'!$G$58,ABS(K2680)*'Progetto del paramento slu'!$G$54,'Progetto del paramento slu'!$G$53)</f>
        <v>0</v>
      </c>
      <c r="F2680" s="553">
        <f>-'Foglio deposito bis'!$F$89*(C2680-sezione!$AM$37)*IF(ABS(L2680)&lt;'Progetto del paramento slu'!$G$58,ABS(L2680)*'Progetto del paramento slu'!$G$54,'Progetto del paramento slu'!$G$53)</f>
        <v>4314791.6991586694</v>
      </c>
      <c r="G2680" s="553">
        <f>-'Foglio deposito bis'!$F$90*(C2680-sezione!$AN$37)*IF(ABS(M2680)&lt;'Progetto del paramento slu'!$G$58,ABS(M2680)*'Progetto del paramento slu'!$G$54,'Progetto del paramento slu'!$G$53)</f>
        <v>0</v>
      </c>
      <c r="H2680" s="553">
        <f>-'Foglio deposito bis'!$F$91*(C2680-sezione!$AO$37)*IF(ABS(N2680)&lt;'Progetto del paramento slu'!$G$58,ABS(N2680)*'Progetto del paramento slu'!$G$54,'Progetto del paramento slu'!$G$53)</f>
        <v>205980954.45431861</v>
      </c>
      <c r="I2680" s="479">
        <f>-'Foglio deposito bis'!$F$92*(C2680-sezione!$AP$37)*IF(ABS(O2680)&lt;'Progetto del paramento slu'!$G$58,ABS(O2680)*'Progetto del paramento slu'!$G$54,'Progetto del paramento slu'!$G$53)</f>
        <v>250643368.62698573</v>
      </c>
      <c r="J2680" s="479">
        <f t="shared" si="198"/>
        <v>362766017.18674743</v>
      </c>
      <c r="K2680" s="558">
        <f>'Progetto del paramento slu'!$G$60*(sezione!$AL$37-C2680)/C2680</f>
        <v>-2.2180105148911365E-3</v>
      </c>
      <c r="L2680" s="558">
        <f>'Progetto del paramento slu'!$G$60*(sezione!$AM$37-C2680)/C2680</f>
        <v>1.3074605691582386E-3</v>
      </c>
      <c r="M2680" s="559">
        <f>'Progetto del paramento slu'!$G$60*(sezione!$AN$37-C2680)/C2680</f>
        <v>4.8329316532076134E-3</v>
      </c>
      <c r="N2680" s="559">
        <f>'Progetto del paramento slu'!$G$60*(sezione!$AO$37-C2680)/C2680</f>
        <v>7.3969106234253405E-3</v>
      </c>
      <c r="O2680" s="559">
        <f>'Progetto del paramento slu'!$G$60*(sezione!$AP$37-C2680)/C2680</f>
        <v>4.8332521505788833E-3</v>
      </c>
      <c r="P2680" s="553">
        <f>-'Progetto del paramento slu'!$G$47*'Progetto del paramento slu'!$G$41*IF(DATI!$G$218="dx",DATI!$E$61,DATI!$E$64*DATI!$E$63)*1000*C2680*sezione!$AD$5</f>
        <v>-1539345.3869338259</v>
      </c>
      <c r="Q2680" s="553">
        <f>'Foglio deposito bis'!$F$88*IF(ABS(K2680)&lt;'Progetto del paramento slu'!$G$58,ABS(K2680)*'Progetto del paramento slu'!$G$54,'Progetto del paramento slu'!$G$53)*IF(K2680&lt;0,-1,1)</f>
        <v>0</v>
      </c>
      <c r="R2680" s="553">
        <f>'Foglio deposito bis'!$F$89*IF(ABS(L2680)&lt;'Progetto del paramento slu'!$G$58,ABS(L2680)*'Progetto del paramento slu'!$G$54,'Progetto del paramento slu'!$G$53)*IF(L2680&lt;0,-1,1)</f>
        <v>105768.34436234069</v>
      </c>
      <c r="S2680" s="553">
        <f>'Foglio deposito bis'!$F$90*IF(ABS(M2680)&lt;'Progetto del paramento slu'!$G$58,ABS(M2680)*'Progetto del paramento slu'!$G$54,'Progetto del paramento slu'!$G$53)*IF(M2680&lt;0,-1,1)</f>
        <v>0</v>
      </c>
      <c r="T2680" s="553">
        <f>'Foglio deposito bis'!$F$91*IF(ABS(N2680)&lt;'Progetto del paramento slu'!$G$58,ABS(N2680)*'Progetto del paramento slu'!$G$54,'Progetto del paramento slu'!$G$53)*IF(N2680&lt;0,-1,1)</f>
        <v>892485.49558937876</v>
      </c>
      <c r="U2680" s="553">
        <f>'Foglio deposito bis'!$F$92*IF(ABS(O2680)&lt;'Progetto del paramento slu'!$G$58,ABS(O2680)*'Progetto del paramento slu'!$G$54,'Progetto del paramento slu'!$G$53)*IF(O2680&lt;0,-1,1)</f>
        <v>1662039.1047339395</v>
      </c>
      <c r="V2680" s="479">
        <f t="shared" si="200"/>
        <v>1120947.557751833</v>
      </c>
      <c r="W2680" s="559"/>
      <c r="X2680" s="559"/>
    </row>
    <row r="2681" spans="1:24" x14ac:dyDescent="0.25">
      <c r="A2681" s="553">
        <f t="shared" si="199"/>
        <v>1049783.5970072201</v>
      </c>
      <c r="B2681" s="3">
        <f t="shared" si="197"/>
        <v>27.899999999999942</v>
      </c>
      <c r="C2681" s="553">
        <f>'Foglio deposito bis'!$E$163/sezione!$B$247*B2681</f>
        <v>113.26493910690097</v>
      </c>
      <c r="D2681" s="611">
        <f>-'Progetto del paramento slu'!$G$47*'Progetto del paramento slu'!$G$41*IF(DATI!$G$218="dx",DATI!$E$61,DATI!$E$64*DATI!$E$63)*1000*C2681^2*sezione!$AD$5*(1-sezione!$AD$6)</f>
        <v>-105607883.9401392</v>
      </c>
      <c r="E2681" s="553">
        <f>-'Foglio deposito bis'!$F$88*(C2681-sezione!$AL$37)*IF(ABS(K2681)&lt;'Progetto del paramento slu'!$G$58,ABS(K2681)*'Progetto del paramento slu'!$G$54,'Progetto del paramento slu'!$G$53)</f>
        <v>0</v>
      </c>
      <c r="F2681" s="553">
        <f>-'Foglio deposito bis'!$F$89*(C2681-sezione!$AM$37)*IF(ABS(L2681)&lt;'Progetto del paramento slu'!$G$58,ABS(L2681)*'Progetto del paramento slu'!$G$54,'Progetto del paramento slu'!$G$53)</f>
        <v>3373348.2852585237</v>
      </c>
      <c r="G2681" s="553">
        <f>-'Foglio deposito bis'!$F$90*(C2681-sezione!$AN$37)*IF(ABS(M2681)&lt;'Progetto del paramento slu'!$G$58,ABS(M2681)*'Progetto del paramento slu'!$G$54,'Progetto del paramento slu'!$G$53)</f>
        <v>0</v>
      </c>
      <c r="H2681" s="553">
        <f>-'Foglio deposito bis'!$F$91*(C2681-sezione!$AO$37)*IF(ABS(N2681)&lt;'Progetto del paramento slu'!$G$58,ABS(N2681)*'Progetto del paramento slu'!$G$54,'Progetto del paramento slu'!$G$53)</f>
        <v>202357753.18866548</v>
      </c>
      <c r="I2681" s="479">
        <f>-'Foglio deposito bis'!$F$92*(C2681-sezione!$AP$37)*IF(ABS(O2681)&lt;'Progetto del paramento slu'!$G$58,ABS(O2681)*'Progetto del paramento slu'!$G$54,'Progetto del paramento slu'!$G$53)</f>
        <v>243896029.63089338</v>
      </c>
      <c r="J2681" s="479">
        <f t="shared" si="198"/>
        <v>344019247.16467816</v>
      </c>
      <c r="K2681" s="558">
        <f>'Progetto del paramento slu'!$G$60*(sezione!$AL$37-C2681)/C2681</f>
        <v>-2.2639599588018485E-3</v>
      </c>
      <c r="L2681" s="558">
        <f>'Progetto del paramento slu'!$G$60*(sezione!$AM$37-C2681)/C2681</f>
        <v>1.1351501544930684E-3</v>
      </c>
      <c r="M2681" s="559">
        <f>'Progetto del paramento slu'!$G$60*(sezione!$AN$37-C2681)/C2681</f>
        <v>4.5342602677879854E-3</v>
      </c>
      <c r="N2681" s="559">
        <f>'Progetto del paramento slu'!$G$60*(sezione!$AO$37-C2681)/C2681</f>
        <v>7.0063403501842885E-3</v>
      </c>
      <c r="O2681" s="559">
        <f>'Progetto del paramento slu'!$G$60*(sezione!$AP$37-C2681)/C2681</f>
        <v>4.5345692777982779E-3</v>
      </c>
      <c r="P2681" s="553">
        <f>-'Progetto del paramento slu'!$G$47*'Progetto del paramento slu'!$G$41*IF(DATI!$G$218="dx",DATI!$E$61,DATI!$E$64*DATI!$E$63)*1000*C2681*sezione!$AD$5</f>
        <v>-1596570.1225075743</v>
      </c>
      <c r="Q2681" s="553">
        <f>'Foglio deposito bis'!$F$88*IF(ABS(K2681)&lt;'Progetto del paramento slu'!$G$58,ABS(K2681)*'Progetto del paramento slu'!$G$54,'Progetto del paramento slu'!$G$53)*IF(K2681&lt;0,-1,1)</f>
        <v>0</v>
      </c>
      <c r="R2681" s="553">
        <f>'Foglio deposito bis'!$F$89*IF(ABS(L2681)&lt;'Progetto del paramento slu'!$G$58,ABS(L2681)*'Progetto del paramento slu'!$G$54,'Progetto del paramento slu'!$G$53)*IF(L2681&lt;0,-1,1)</f>
        <v>91829.119191476115</v>
      </c>
      <c r="S2681" s="553">
        <f>'Foglio deposito bis'!$F$90*IF(ABS(M2681)&lt;'Progetto del paramento slu'!$G$58,ABS(M2681)*'Progetto del paramento slu'!$G$54,'Progetto del paramento slu'!$G$53)*IF(M2681&lt;0,-1,1)</f>
        <v>0</v>
      </c>
      <c r="T2681" s="553">
        <f>'Foglio deposito bis'!$F$91*IF(ABS(N2681)&lt;'Progetto del paramento slu'!$G$58,ABS(N2681)*'Progetto del paramento slu'!$G$54,'Progetto del paramento slu'!$G$53)*IF(N2681&lt;0,-1,1)</f>
        <v>892485.49558937876</v>
      </c>
      <c r="U2681" s="553">
        <f>'Foglio deposito bis'!$F$92*IF(ABS(O2681)&lt;'Progetto del paramento slu'!$G$58,ABS(O2681)*'Progetto del paramento slu'!$G$54,'Progetto del paramento slu'!$G$53)*IF(O2681&lt;0,-1,1)</f>
        <v>1662039.1047339395</v>
      </c>
      <c r="V2681" s="479">
        <f t="shared" si="200"/>
        <v>1049783.5970072201</v>
      </c>
      <c r="W2681" s="559"/>
      <c r="X2681" s="559"/>
    </row>
    <row r="2682" spans="1:24" x14ac:dyDescent="0.25">
      <c r="A2682" s="553">
        <f t="shared" si="199"/>
        <v>979584.28852356668</v>
      </c>
      <c r="B2682" s="3">
        <f t="shared" si="197"/>
        <v>28.899999999999942</v>
      </c>
      <c r="C2682" s="553">
        <f>'Foglio deposito bis'!$E$163/sezione!$B$247*B2682</f>
        <v>117.32461434370747</v>
      </c>
      <c r="D2682" s="611">
        <f>-'Progetto del paramento slu'!$G$47*'Progetto del paramento slu'!$G$41*IF(DATI!$G$218="dx",DATI!$E$61,DATI!$E$64*DATI!$E$63)*1000*C2682^2*sezione!$AD$5*(1-sezione!$AD$6)</f>
        <v>-113314012.8539506</v>
      </c>
      <c r="E2682" s="553">
        <f>-'Foglio deposito bis'!$F$88*(C2682-sezione!$AL$37)*IF(ABS(K2682)&lt;'Progetto del paramento slu'!$G$58,ABS(K2682)*'Progetto del paramento slu'!$G$54,'Progetto del paramento slu'!$G$53)</f>
        <v>0</v>
      </c>
      <c r="F2682" s="553">
        <f>-'Foglio deposito bis'!$F$89*(C2682-sezione!$AM$37)*IF(ABS(L2682)&lt;'Progetto del paramento slu'!$G$58,ABS(L2682)*'Progetto del paramento slu'!$G$54,'Progetto del paramento slu'!$G$53)</f>
        <v>2576602.7105023013</v>
      </c>
      <c r="G2682" s="553">
        <f>-'Foglio deposito bis'!$F$90*(C2682-sezione!$AN$37)*IF(ABS(M2682)&lt;'Progetto del paramento slu'!$G$58,ABS(M2682)*'Progetto del paramento slu'!$G$54,'Progetto del paramento slu'!$G$53)</f>
        <v>0</v>
      </c>
      <c r="H2682" s="553">
        <f>-'Foglio deposito bis'!$F$91*(C2682-sezione!$AO$37)*IF(ABS(N2682)&lt;'Progetto del paramento slu'!$G$58,ABS(N2682)*'Progetto del paramento slu'!$G$54,'Progetto del paramento slu'!$G$53)</f>
        <v>198734551.92301229</v>
      </c>
      <c r="I2682" s="479">
        <f>-'Foglio deposito bis'!$F$92*(C2682-sezione!$AP$37)*IF(ABS(O2682)&lt;'Progetto del paramento slu'!$G$58,ABS(O2682)*'Progetto del paramento slu'!$G$54,'Progetto del paramento slu'!$G$53)</f>
        <v>237148690.63480088</v>
      </c>
      <c r="J2682" s="479">
        <f t="shared" si="198"/>
        <v>325145832.41436487</v>
      </c>
      <c r="K2682" s="558">
        <f>'Progetto del paramento slu'!$G$60*(sezione!$AL$37-C2682)/C2682</f>
        <v>-2.3067295104004007E-3</v>
      </c>
      <c r="L2682" s="558">
        <f>'Progetto del paramento slu'!$G$60*(sezione!$AM$37-C2682)/C2682</f>
        <v>9.7476433599849805E-4</v>
      </c>
      <c r="M2682" s="559">
        <f>'Progetto del paramento slu'!$G$60*(sezione!$AN$37-C2682)/C2682</f>
        <v>4.2562581823973964E-3</v>
      </c>
      <c r="N2682" s="559">
        <f>'Progetto del paramento slu'!$G$60*(sezione!$AO$37-C2682)/C2682</f>
        <v>6.6427991615965959E-3</v>
      </c>
      <c r="O2682" s="559">
        <f>'Progetto del paramento slu'!$G$60*(sezione!$AP$37-C2682)/C2682</f>
        <v>4.2565565000197893E-3</v>
      </c>
      <c r="P2682" s="553">
        <f>-'Progetto del paramento slu'!$G$47*'Progetto del paramento slu'!$G$41*IF(DATI!$G$218="dx",DATI!$E$61,DATI!$E$64*DATI!$E$63)*1000*C2682*sezione!$AD$5</f>
        <v>-1653794.8580813226</v>
      </c>
      <c r="Q2682" s="553">
        <f>'Foglio deposito bis'!$F$88*IF(ABS(K2682)&lt;'Progetto del paramento slu'!$G$58,ABS(K2682)*'Progetto del paramento slu'!$G$54,'Progetto del paramento slu'!$G$53)*IF(K2682&lt;0,-1,1)</f>
        <v>0</v>
      </c>
      <c r="R2682" s="553">
        <f>'Foglio deposito bis'!$F$89*IF(ABS(L2682)&lt;'Progetto del paramento slu'!$G$58,ABS(L2682)*'Progetto del paramento slu'!$G$54,'Progetto del paramento slu'!$G$53)*IF(L2682&lt;0,-1,1)</f>
        <v>78854.546281571005</v>
      </c>
      <c r="S2682" s="553">
        <f>'Foglio deposito bis'!$F$90*IF(ABS(M2682)&lt;'Progetto del paramento slu'!$G$58,ABS(M2682)*'Progetto del paramento slu'!$G$54,'Progetto del paramento slu'!$G$53)*IF(M2682&lt;0,-1,1)</f>
        <v>0</v>
      </c>
      <c r="T2682" s="553">
        <f>'Foglio deposito bis'!$F$91*IF(ABS(N2682)&lt;'Progetto del paramento slu'!$G$58,ABS(N2682)*'Progetto del paramento slu'!$G$54,'Progetto del paramento slu'!$G$53)*IF(N2682&lt;0,-1,1)</f>
        <v>892485.49558937876</v>
      </c>
      <c r="U2682" s="553">
        <f>'Foglio deposito bis'!$F$92*IF(ABS(O2682)&lt;'Progetto del paramento slu'!$G$58,ABS(O2682)*'Progetto del paramento slu'!$G$54,'Progetto del paramento slu'!$G$53)*IF(O2682&lt;0,-1,1)</f>
        <v>1662039.1047339395</v>
      </c>
      <c r="V2682" s="479">
        <f t="shared" si="200"/>
        <v>979584.28852356668</v>
      </c>
      <c r="W2682" s="559"/>
      <c r="X2682" s="559"/>
    </row>
    <row r="2683" spans="1:24" x14ac:dyDescent="0.25">
      <c r="A2683" s="553">
        <f t="shared" si="199"/>
        <v>910252.84444860276</v>
      </c>
      <c r="B2683" s="3">
        <f t="shared" si="197"/>
        <v>29.899999999999942</v>
      </c>
      <c r="C2683" s="553">
        <f>'Foglio deposito bis'!$E$163/sezione!$B$247*B2683</f>
        <v>121.38428958051395</v>
      </c>
      <c r="D2683" s="611">
        <f>-'Progetto del paramento slu'!$G$47*'Progetto del paramento slu'!$G$41*IF(DATI!$G$218="dx",DATI!$E$61,DATI!$E$64*DATI!$E$63)*1000*C2683^2*sezione!$AD$5*(1-sezione!$AD$6)</f>
        <v>-121291484.33514971</v>
      </c>
      <c r="E2683" s="553">
        <f>-'Foglio deposito bis'!$F$88*(C2683-sezione!$AL$37)*IF(ABS(K2683)&lt;'Progetto del paramento slu'!$G$58,ABS(K2683)*'Progetto del paramento slu'!$G$54,'Progetto del paramento slu'!$G$53)</f>
        <v>0</v>
      </c>
      <c r="F2683" s="553">
        <f>-'Foglio deposito bis'!$F$89*(C2683-sezione!$AM$37)*IF(ABS(L2683)&lt;'Progetto del paramento slu'!$G$58,ABS(L2683)*'Progetto del paramento slu'!$G$54,'Progetto del paramento slu'!$G$53)</f>
        <v>1910036.7970494763</v>
      </c>
      <c r="G2683" s="553">
        <f>-'Foglio deposito bis'!$F$90*(C2683-sezione!$AN$37)*IF(ABS(M2683)&lt;'Progetto del paramento slu'!$G$58,ABS(M2683)*'Progetto del paramento slu'!$G$54,'Progetto del paramento slu'!$G$53)</f>
        <v>0</v>
      </c>
      <c r="H2683" s="553">
        <f>-'Foglio deposito bis'!$F$91*(C2683-sezione!$AO$37)*IF(ABS(N2683)&lt;'Progetto del paramento slu'!$G$58,ABS(N2683)*'Progetto del paramento slu'!$G$54,'Progetto del paramento slu'!$G$53)</f>
        <v>195111350.65735912</v>
      </c>
      <c r="I2683" s="479">
        <f>-'Foglio deposito bis'!$F$92*(C2683-sezione!$AP$37)*IF(ABS(O2683)&lt;'Progetto del paramento slu'!$G$58,ABS(O2683)*'Progetto del paramento slu'!$G$54,'Progetto del paramento slu'!$G$53)</f>
        <v>230401351.63870853</v>
      </c>
      <c r="J2683" s="479">
        <f t="shared" si="198"/>
        <v>306131254.75796741</v>
      </c>
      <c r="K2683" s="558">
        <f>'Progetto del paramento slu'!$G$60*(sezione!$AL$37-C2683)/C2683</f>
        <v>-2.346638222427143E-3</v>
      </c>
      <c r="L2683" s="558">
        <f>'Progetto del paramento slu'!$G$60*(sezione!$AM$37-C2683)/C2683</f>
        <v>8.2510666589821389E-4</v>
      </c>
      <c r="M2683" s="559">
        <f>'Progetto del paramento slu'!$G$60*(sezione!$AN$37-C2683)/C2683</f>
        <v>3.9968515542235707E-3</v>
      </c>
      <c r="N2683" s="559">
        <f>'Progetto del paramento slu'!$G$60*(sezione!$AO$37-C2683)/C2683</f>
        <v>6.3035751093692858E-3</v>
      </c>
      <c r="O2683" s="559">
        <f>'Progetto del paramento slu'!$G$60*(sezione!$AP$37-C2683)/C2683</f>
        <v>3.9971398946679572E-3</v>
      </c>
      <c r="P2683" s="553">
        <f>-'Progetto del paramento slu'!$G$47*'Progetto del paramento slu'!$G$41*IF(DATI!$G$218="dx",DATI!$E$61,DATI!$E$64*DATI!$E$63)*1000*C2683*sezione!$AD$5</f>
        <v>-1711019.5936550708</v>
      </c>
      <c r="Q2683" s="553">
        <f>'Foglio deposito bis'!$F$88*IF(ABS(K2683)&lt;'Progetto del paramento slu'!$G$58,ABS(K2683)*'Progetto del paramento slu'!$G$54,'Progetto del paramento slu'!$G$53)*IF(K2683&lt;0,-1,1)</f>
        <v>0</v>
      </c>
      <c r="R2683" s="553">
        <f>'Foglio deposito bis'!$F$89*IF(ABS(L2683)&lt;'Progetto del paramento slu'!$G$58,ABS(L2683)*'Progetto del paramento slu'!$G$54,'Progetto del paramento slu'!$G$53)*IF(L2683&lt;0,-1,1)</f>
        <v>66747.837780355258</v>
      </c>
      <c r="S2683" s="553">
        <f>'Foglio deposito bis'!$F$90*IF(ABS(M2683)&lt;'Progetto del paramento slu'!$G$58,ABS(M2683)*'Progetto del paramento slu'!$G$54,'Progetto del paramento slu'!$G$53)*IF(M2683&lt;0,-1,1)</f>
        <v>0</v>
      </c>
      <c r="T2683" s="553">
        <f>'Foglio deposito bis'!$F$91*IF(ABS(N2683)&lt;'Progetto del paramento slu'!$G$58,ABS(N2683)*'Progetto del paramento slu'!$G$54,'Progetto del paramento slu'!$G$53)*IF(N2683&lt;0,-1,1)</f>
        <v>892485.49558937876</v>
      </c>
      <c r="U2683" s="553">
        <f>'Foglio deposito bis'!$F$92*IF(ABS(O2683)&lt;'Progetto del paramento slu'!$G$58,ABS(O2683)*'Progetto del paramento slu'!$G$54,'Progetto del paramento slu'!$G$53)*IF(O2683&lt;0,-1,1)</f>
        <v>1662039.1047339395</v>
      </c>
      <c r="V2683" s="479">
        <f t="shared" si="200"/>
        <v>910252.84444860276</v>
      </c>
      <c r="W2683" s="559"/>
      <c r="X2683" s="559"/>
    </row>
    <row r="2684" spans="1:24" x14ac:dyDescent="0.25">
      <c r="A2684" s="553">
        <f t="shared" si="199"/>
        <v>841705.00610187277</v>
      </c>
      <c r="B2684" s="3">
        <f t="shared" si="197"/>
        <v>30.899999999999942</v>
      </c>
      <c r="C2684" s="553">
        <f>'Foglio deposito bis'!$E$163/sezione!$B$247*B2684</f>
        <v>125.44396481732045</v>
      </c>
      <c r="D2684" s="611">
        <f>-'Progetto del paramento slu'!$G$47*'Progetto del paramento slu'!$G$41*IF(DATI!$G$218="dx",DATI!$E$61,DATI!$E$64*DATI!$E$63)*1000*C2684^2*sezione!$AD$5*(1-sezione!$AD$6)</f>
        <v>-129540298.38373655</v>
      </c>
      <c r="E2684" s="553">
        <f>-'Foglio deposito bis'!$F$88*(C2684-sezione!$AL$37)*IF(ABS(K2684)&lt;'Progetto del paramento slu'!$G$58,ABS(K2684)*'Progetto del paramento slu'!$G$54,'Progetto del paramento slu'!$G$53)</f>
        <v>0</v>
      </c>
      <c r="F2684" s="553">
        <f>-'Foglio deposito bis'!$F$89*(C2684-sezione!$AM$37)*IF(ABS(L2684)&lt;'Progetto del paramento slu'!$G$58,ABS(L2684)*'Progetto del paramento slu'!$G$54,'Progetto del paramento slu'!$G$53)</f>
        <v>1361011.7428317547</v>
      </c>
      <c r="G2684" s="553">
        <f>-'Foglio deposito bis'!$F$90*(C2684-sezione!$AN$37)*IF(ABS(M2684)&lt;'Progetto del paramento slu'!$G$58,ABS(M2684)*'Progetto del paramento slu'!$G$54,'Progetto del paramento slu'!$G$53)</f>
        <v>0</v>
      </c>
      <c r="H2684" s="553">
        <f>-'Foglio deposito bis'!$F$91*(C2684-sezione!$AO$37)*IF(ABS(N2684)&lt;'Progetto del paramento slu'!$G$58,ABS(N2684)*'Progetto del paramento slu'!$G$54,'Progetto del paramento slu'!$G$53)</f>
        <v>191488149.39170593</v>
      </c>
      <c r="I2684" s="479">
        <f>-'Foglio deposito bis'!$F$92*(C2684-sezione!$AP$37)*IF(ABS(O2684)&lt;'Progetto del paramento slu'!$G$58,ABS(O2684)*'Progetto del paramento slu'!$G$54,'Progetto del paramento slu'!$G$53)</f>
        <v>223654012.64261615</v>
      </c>
      <c r="J2684" s="479">
        <f t="shared" si="198"/>
        <v>286962875.3934173</v>
      </c>
      <c r="K2684" s="558">
        <f>'Progetto del paramento slu'!$G$60*(sezione!$AL$37-C2684)/C2684</f>
        <v>-2.383963846296815E-3</v>
      </c>
      <c r="L2684" s="558">
        <f>'Progetto del paramento slu'!$G$60*(sezione!$AM$37-C2684)/C2684</f>
        <v>6.8513557638694449E-4</v>
      </c>
      <c r="M2684" s="559">
        <f>'Progetto del paramento slu'!$G$60*(sezione!$AN$37-C2684)/C2684</f>
        <v>3.7542349990707037E-3</v>
      </c>
      <c r="N2684" s="559">
        <f>'Progetto del paramento slu'!$G$60*(sezione!$AO$37-C2684)/C2684</f>
        <v>5.9863073064770744E-3</v>
      </c>
      <c r="O2684" s="559">
        <f>'Progetto del paramento slu'!$G$60*(sezione!$AP$37-C2684)/C2684</f>
        <v>3.7545140081091232E-3</v>
      </c>
      <c r="P2684" s="553">
        <f>-'Progetto del paramento slu'!$G$47*'Progetto del paramento slu'!$G$41*IF(DATI!$G$218="dx",DATI!$E$61,DATI!$E$64*DATI!$E$63)*1000*C2684*sezione!$AD$5</f>
        <v>-1768244.3292288191</v>
      </c>
      <c r="Q2684" s="553">
        <f>'Foglio deposito bis'!$F$88*IF(ABS(K2684)&lt;'Progetto del paramento slu'!$G$58,ABS(K2684)*'Progetto del paramento slu'!$G$54,'Progetto del paramento slu'!$G$53)*IF(K2684&lt;0,-1,1)</f>
        <v>0</v>
      </c>
      <c r="R2684" s="553">
        <f>'Foglio deposito bis'!$F$89*IF(ABS(L2684)&lt;'Progetto del paramento slu'!$G$58,ABS(L2684)*'Progetto del paramento slu'!$G$54,'Progetto del paramento slu'!$G$53)*IF(L2684&lt;0,-1,1)</f>
        <v>55424.735007373507</v>
      </c>
      <c r="S2684" s="553">
        <f>'Foglio deposito bis'!$F$90*IF(ABS(M2684)&lt;'Progetto del paramento slu'!$G$58,ABS(M2684)*'Progetto del paramento slu'!$G$54,'Progetto del paramento slu'!$G$53)*IF(M2684&lt;0,-1,1)</f>
        <v>0</v>
      </c>
      <c r="T2684" s="553">
        <f>'Foglio deposito bis'!$F$91*IF(ABS(N2684)&lt;'Progetto del paramento slu'!$G$58,ABS(N2684)*'Progetto del paramento slu'!$G$54,'Progetto del paramento slu'!$G$53)*IF(N2684&lt;0,-1,1)</f>
        <v>892485.49558937876</v>
      </c>
      <c r="U2684" s="553">
        <f>'Foglio deposito bis'!$F$92*IF(ABS(O2684)&lt;'Progetto del paramento slu'!$G$58,ABS(O2684)*'Progetto del paramento slu'!$G$54,'Progetto del paramento slu'!$G$53)*IF(O2684&lt;0,-1,1)</f>
        <v>1662039.1047339395</v>
      </c>
      <c r="V2684" s="479">
        <f t="shared" si="200"/>
        <v>841705.00610187277</v>
      </c>
      <c r="W2684" s="559"/>
      <c r="X2684" s="559"/>
    </row>
    <row r="2685" spans="1:24" x14ac:dyDescent="0.25">
      <c r="A2685" s="553">
        <f t="shared" si="199"/>
        <v>773867.0801547023</v>
      </c>
      <c r="B2685" s="3">
        <f t="shared" si="197"/>
        <v>31.899999999999942</v>
      </c>
      <c r="C2685" s="553">
        <f>'Foglio deposito bis'!$E$163/sezione!$B$247*B2685</f>
        <v>129.50364005412695</v>
      </c>
      <c r="D2685" s="611">
        <f>-'Progetto del paramento slu'!$G$47*'Progetto del paramento slu'!$G$41*IF(DATI!$G$218="dx",DATI!$E$61,DATI!$E$64*DATI!$E$63)*1000*C2685^2*sezione!$AD$5*(1-sezione!$AD$6)</f>
        <v>-138060454.9997111</v>
      </c>
      <c r="E2685" s="553">
        <f>-'Foglio deposito bis'!$F$88*(C2685-sezione!$AL$37)*IF(ABS(K2685)&lt;'Progetto del paramento slu'!$G$58,ABS(K2685)*'Progetto del paramento slu'!$G$54,'Progetto del paramento slu'!$G$53)</f>
        <v>0</v>
      </c>
      <c r="F2685" s="553">
        <f>-'Foglio deposito bis'!$F$89*(C2685-sezione!$AM$37)*IF(ABS(L2685)&lt;'Progetto del paramento slu'!$G$58,ABS(L2685)*'Progetto del paramento slu'!$G$54,'Progetto del paramento slu'!$G$53)</f>
        <v>918473.5485480309</v>
      </c>
      <c r="G2685" s="553">
        <f>-'Foglio deposito bis'!$F$90*(C2685-sezione!$AN$37)*IF(ABS(M2685)&lt;'Progetto del paramento slu'!$G$58,ABS(M2685)*'Progetto del paramento slu'!$G$54,'Progetto del paramento slu'!$G$53)</f>
        <v>0</v>
      </c>
      <c r="H2685" s="553">
        <f>-'Foglio deposito bis'!$F$91*(C2685-sezione!$AO$37)*IF(ABS(N2685)&lt;'Progetto del paramento slu'!$G$58,ABS(N2685)*'Progetto del paramento slu'!$G$54,'Progetto del paramento slu'!$G$53)</f>
        <v>187864948.12605277</v>
      </c>
      <c r="I2685" s="479">
        <f>-'Foglio deposito bis'!$F$92*(C2685-sezione!$AP$37)*IF(ABS(O2685)&lt;'Progetto del paramento slu'!$G$58,ABS(O2685)*'Progetto del paramento slu'!$G$54,'Progetto del paramento slu'!$G$53)</f>
        <v>216906673.64652368</v>
      </c>
      <c r="J2685" s="479">
        <f t="shared" si="198"/>
        <v>267629640.3214134</v>
      </c>
      <c r="K2685" s="558">
        <f>'Progetto del paramento slu'!$G$60*(sezione!$AL$37-C2685)/C2685</f>
        <v>-2.4189493056605512E-3</v>
      </c>
      <c r="L2685" s="558">
        <f>'Progetto del paramento slu'!$G$60*(sezione!$AM$37-C2685)/C2685</f>
        <v>5.5394010377293333E-4</v>
      </c>
      <c r="M2685" s="559">
        <f>'Progetto del paramento slu'!$G$60*(sezione!$AN$37-C2685)/C2685</f>
        <v>3.5268295132064179E-3</v>
      </c>
      <c r="N2685" s="559">
        <f>'Progetto del paramento slu'!$G$60*(sezione!$AO$37-C2685)/C2685</f>
        <v>5.6889309018853156E-3</v>
      </c>
      <c r="O2685" s="559">
        <f>'Progetto del paramento slu'!$G$60*(sezione!$AP$37-C2685)/C2685</f>
        <v>3.5270997758799962E-3</v>
      </c>
      <c r="P2685" s="553">
        <f>-'Progetto del paramento slu'!$G$47*'Progetto del paramento slu'!$G$41*IF(DATI!$G$218="dx",DATI!$E$61,DATI!$E$64*DATI!$E$63)*1000*C2685*sezione!$AD$5</f>
        <v>-1825469.0648025677</v>
      </c>
      <c r="Q2685" s="553">
        <f>'Foglio deposito bis'!$F$88*IF(ABS(K2685)&lt;'Progetto del paramento slu'!$G$58,ABS(K2685)*'Progetto del paramento slu'!$G$54,'Progetto del paramento slu'!$G$53)*IF(K2685&lt;0,-1,1)</f>
        <v>0</v>
      </c>
      <c r="R2685" s="553">
        <f>'Foglio deposito bis'!$F$89*IF(ABS(L2685)&lt;'Progetto del paramento slu'!$G$58,ABS(L2685)*'Progetto del paramento slu'!$G$54,'Progetto del paramento slu'!$G$53)*IF(L2685&lt;0,-1,1)</f>
        <v>44811.544633951737</v>
      </c>
      <c r="S2685" s="553">
        <f>'Foglio deposito bis'!$F$90*IF(ABS(M2685)&lt;'Progetto del paramento slu'!$G$58,ABS(M2685)*'Progetto del paramento slu'!$G$54,'Progetto del paramento slu'!$G$53)*IF(M2685&lt;0,-1,1)</f>
        <v>0</v>
      </c>
      <c r="T2685" s="553">
        <f>'Foglio deposito bis'!$F$91*IF(ABS(N2685)&lt;'Progetto del paramento slu'!$G$58,ABS(N2685)*'Progetto del paramento slu'!$G$54,'Progetto del paramento slu'!$G$53)*IF(N2685&lt;0,-1,1)</f>
        <v>892485.49558937876</v>
      </c>
      <c r="U2685" s="553">
        <f>'Foglio deposito bis'!$F$92*IF(ABS(O2685)&lt;'Progetto del paramento slu'!$G$58,ABS(O2685)*'Progetto del paramento slu'!$G$54,'Progetto del paramento slu'!$G$53)*IF(O2685&lt;0,-1,1)</f>
        <v>1662039.1047339395</v>
      </c>
      <c r="V2685" s="479">
        <f t="shared" si="200"/>
        <v>773867.0801547023</v>
      </c>
      <c r="W2685" s="559"/>
      <c r="X2685" s="559"/>
    </row>
    <row r="2686" spans="1:24" x14ac:dyDescent="0.25">
      <c r="A2686" s="553">
        <f t="shared" si="199"/>
        <v>706674.332953637</v>
      </c>
      <c r="B2686" s="3">
        <f t="shared" si="197"/>
        <v>32.899999999999942</v>
      </c>
      <c r="C2686" s="553">
        <f>'Foglio deposito bis'!$E$163/sezione!$B$247*B2686</f>
        <v>133.56331529093345</v>
      </c>
      <c r="D2686" s="611">
        <f>-'Progetto del paramento slu'!$G$47*'Progetto del paramento slu'!$G$41*IF(DATI!$G$218="dx",DATI!$E$61,DATI!$E$64*DATI!$E$63)*1000*C2686^2*sezione!$AD$5*(1-sezione!$AD$6)</f>
        <v>-146851954.1830734</v>
      </c>
      <c r="E2686" s="553">
        <f>-'Foglio deposito bis'!$F$88*(C2686-sezione!$AL$37)*IF(ABS(K2686)&lt;'Progetto del paramento slu'!$G$58,ABS(K2686)*'Progetto del paramento slu'!$G$54,'Progetto del paramento slu'!$G$53)</f>
        <v>0</v>
      </c>
      <c r="F2686" s="553">
        <f>-'Foglio deposito bis'!$F$89*(C2686-sezione!$AM$37)*IF(ABS(L2686)&lt;'Progetto del paramento slu'!$G$58,ABS(L2686)*'Progetto del paramento slu'!$G$54,'Progetto del paramento slu'!$G$53)</f>
        <v>572712.16618000728</v>
      </c>
      <c r="G2686" s="553">
        <f>-'Foglio deposito bis'!$F$90*(C2686-sezione!$AN$37)*IF(ABS(M2686)&lt;'Progetto del paramento slu'!$G$58,ABS(M2686)*'Progetto del paramento slu'!$G$54,'Progetto del paramento slu'!$G$53)</f>
        <v>0</v>
      </c>
      <c r="H2686" s="553">
        <f>-'Foglio deposito bis'!$F$91*(C2686-sezione!$AO$37)*IF(ABS(N2686)&lt;'Progetto del paramento slu'!$G$58,ABS(N2686)*'Progetto del paramento slu'!$G$54,'Progetto del paramento slu'!$G$53)</f>
        <v>184241746.8603996</v>
      </c>
      <c r="I2686" s="479">
        <f>-'Foglio deposito bis'!$F$92*(C2686-sezione!$AP$37)*IF(ABS(O2686)&lt;'Progetto del paramento slu'!$G$58,ABS(O2686)*'Progetto del paramento slu'!$G$54,'Progetto del paramento slu'!$G$53)</f>
        <v>210159334.65043131</v>
      </c>
      <c r="J2686" s="479">
        <f t="shared" si="198"/>
        <v>248121839.49393752</v>
      </c>
      <c r="K2686" s="558">
        <f>'Progetto del paramento slu'!$G$60*(sezione!$AL$37-C2686)/C2686</f>
        <v>-2.4518079893790755E-3</v>
      </c>
      <c r="L2686" s="558">
        <f>'Progetto del paramento slu'!$G$60*(sezione!$AM$37-C2686)/C2686</f>
        <v>4.3072003982846696E-4</v>
      </c>
      <c r="M2686" s="559">
        <f>'Progetto del paramento slu'!$G$60*(sezione!$AN$37-C2686)/C2686</f>
        <v>3.3132480690360095E-3</v>
      </c>
      <c r="N2686" s="559">
        <f>'Progetto del paramento slu'!$G$60*(sezione!$AO$37-C2686)/C2686</f>
        <v>5.4096320902778583E-3</v>
      </c>
      <c r="O2686" s="559">
        <f>'Progetto del paramento slu'!$G$60*(sezione!$AP$37-C2686)/C2686</f>
        <v>3.3135101170386583E-3</v>
      </c>
      <c r="P2686" s="553">
        <f>-'Progetto del paramento slu'!$G$47*'Progetto del paramento slu'!$G$41*IF(DATI!$G$218="dx",DATI!$E$61,DATI!$E$64*DATI!$E$63)*1000*C2686*sezione!$AD$5</f>
        <v>-1882693.8003763158</v>
      </c>
      <c r="Q2686" s="553">
        <f>'Foglio deposito bis'!$F$88*IF(ABS(K2686)&lt;'Progetto del paramento slu'!$G$58,ABS(K2686)*'Progetto del paramento slu'!$G$54,'Progetto del paramento slu'!$G$53)*IF(K2686&lt;0,-1,1)</f>
        <v>0</v>
      </c>
      <c r="R2686" s="553">
        <f>'Foglio deposito bis'!$F$89*IF(ABS(L2686)&lt;'Progetto del paramento slu'!$G$58,ABS(L2686)*'Progetto del paramento slu'!$G$54,'Progetto del paramento slu'!$G$53)*IF(L2686&lt;0,-1,1)</f>
        <v>34843.533006634629</v>
      </c>
      <c r="S2686" s="553">
        <f>'Foglio deposito bis'!$F$90*IF(ABS(M2686)&lt;'Progetto del paramento slu'!$G$58,ABS(M2686)*'Progetto del paramento slu'!$G$54,'Progetto del paramento slu'!$G$53)*IF(M2686&lt;0,-1,1)</f>
        <v>0</v>
      </c>
      <c r="T2686" s="553">
        <f>'Foglio deposito bis'!$F$91*IF(ABS(N2686)&lt;'Progetto del paramento slu'!$G$58,ABS(N2686)*'Progetto del paramento slu'!$G$54,'Progetto del paramento slu'!$G$53)*IF(N2686&lt;0,-1,1)</f>
        <v>892485.49558937876</v>
      </c>
      <c r="U2686" s="553">
        <f>'Foglio deposito bis'!$F$92*IF(ABS(O2686)&lt;'Progetto del paramento slu'!$G$58,ABS(O2686)*'Progetto del paramento slu'!$G$54,'Progetto del paramento slu'!$G$53)*IF(O2686&lt;0,-1,1)</f>
        <v>1662039.1047339395</v>
      </c>
      <c r="V2686" s="479">
        <f t="shared" si="200"/>
        <v>706674.332953637</v>
      </c>
      <c r="W2686" s="559"/>
      <c r="X2686" s="559"/>
    </row>
    <row r="2687" spans="1:24" x14ac:dyDescent="0.25">
      <c r="A2687" s="553">
        <f t="shared" si="199"/>
        <v>640069.66903441912</v>
      </c>
      <c r="B2687" s="3">
        <f t="shared" si="197"/>
        <v>33.899999999999942</v>
      </c>
      <c r="C2687" s="553">
        <f>'Foglio deposito bis'!$E$163/sezione!$B$247*B2687</f>
        <v>137.62299052773994</v>
      </c>
      <c r="D2687" s="611">
        <f>-'Progetto del paramento slu'!$G$47*'Progetto del paramento slu'!$G$41*IF(DATI!$G$218="dx",DATI!$E$61,DATI!$E$64*DATI!$E$63)*1000*C2687^2*sezione!$AD$5*(1-sezione!$AD$6)</f>
        <v>-155914795.93382344</v>
      </c>
      <c r="E2687" s="553">
        <f>-'Foglio deposito bis'!$F$88*(C2687-sezione!$AL$37)*IF(ABS(K2687)&lt;'Progetto del paramento slu'!$G$58,ABS(K2687)*'Progetto del paramento slu'!$G$54,'Progetto del paramento slu'!$G$53)</f>
        <v>0</v>
      </c>
      <c r="F2687" s="553">
        <f>-'Foglio deposito bis'!$F$89*(C2687-sezione!$AM$37)*IF(ABS(L2687)&lt;'Progetto del paramento slu'!$G$58,ABS(L2687)*'Progetto del paramento slu'!$G$54,'Progetto del paramento slu'!$G$53)</f>
        <v>315163.2760891263</v>
      </c>
      <c r="G2687" s="553">
        <f>-'Foglio deposito bis'!$F$90*(C2687-sezione!$AN$37)*IF(ABS(M2687)&lt;'Progetto del paramento slu'!$G$58,ABS(M2687)*'Progetto del paramento slu'!$G$54,'Progetto del paramento slu'!$G$53)</f>
        <v>0</v>
      </c>
      <c r="H2687" s="553">
        <f>-'Foglio deposito bis'!$F$91*(C2687-sezione!$AO$37)*IF(ABS(N2687)&lt;'Progetto del paramento slu'!$G$58,ABS(N2687)*'Progetto del paramento slu'!$G$54,'Progetto del paramento slu'!$G$53)</f>
        <v>180618545.59474644</v>
      </c>
      <c r="I2687" s="479">
        <f>-'Foglio deposito bis'!$F$92*(C2687-sezione!$AP$37)*IF(ABS(O2687)&lt;'Progetto del paramento slu'!$G$58,ABS(O2687)*'Progetto del paramento slu'!$G$54,'Progetto del paramento slu'!$G$53)</f>
        <v>203411995.65433887</v>
      </c>
      <c r="J2687" s="479">
        <f t="shared" si="198"/>
        <v>228430908.591351</v>
      </c>
      <c r="K2687" s="558">
        <f>'Progetto del paramento slu'!$G$60*(sezione!$AL$37-C2687)/C2687</f>
        <v>-2.4827281076864774E-3</v>
      </c>
      <c r="L2687" s="558">
        <f>'Progetto del paramento slu'!$G$60*(sezione!$AM$37-C2687)/C2687</f>
        <v>3.147695961757095E-4</v>
      </c>
      <c r="M2687" s="559">
        <f>'Progetto del paramento slu'!$G$60*(sezione!$AN$37-C2687)/C2687</f>
        <v>3.1122673000378966E-3</v>
      </c>
      <c r="N2687" s="559">
        <f>'Progetto del paramento slu'!$G$60*(sezione!$AO$37-C2687)/C2687</f>
        <v>5.1468110846649411E-3</v>
      </c>
      <c r="O2687" s="559">
        <f>'Progetto del paramento slu'!$G$60*(sezione!$AP$37-C2687)/C2687</f>
        <v>3.1125216180109688E-3</v>
      </c>
      <c r="P2687" s="553">
        <f>-'Progetto del paramento slu'!$G$47*'Progetto del paramento slu'!$G$41*IF(DATI!$G$218="dx",DATI!$E$61,DATI!$E$64*DATI!$E$63)*1000*C2687*sezione!$AD$5</f>
        <v>-1939918.5359500642</v>
      </c>
      <c r="Q2687" s="553">
        <f>'Foglio deposito bis'!$F$88*IF(ABS(K2687)&lt;'Progetto del paramento slu'!$G$58,ABS(K2687)*'Progetto del paramento slu'!$G$54,'Progetto del paramento slu'!$G$53)*IF(K2687&lt;0,-1,1)</f>
        <v>0</v>
      </c>
      <c r="R2687" s="553">
        <f>'Foglio deposito bis'!$F$89*IF(ABS(L2687)&lt;'Progetto del paramento slu'!$G$58,ABS(L2687)*'Progetto del paramento slu'!$G$54,'Progetto del paramento slu'!$G$53)*IF(L2687&lt;0,-1,1)</f>
        <v>25463.604661165144</v>
      </c>
      <c r="S2687" s="553">
        <f>'Foglio deposito bis'!$F$90*IF(ABS(M2687)&lt;'Progetto del paramento slu'!$G$58,ABS(M2687)*'Progetto del paramento slu'!$G$54,'Progetto del paramento slu'!$G$53)*IF(M2687&lt;0,-1,1)</f>
        <v>0</v>
      </c>
      <c r="T2687" s="553">
        <f>'Foglio deposito bis'!$F$91*IF(ABS(N2687)&lt;'Progetto del paramento slu'!$G$58,ABS(N2687)*'Progetto del paramento slu'!$G$54,'Progetto del paramento slu'!$G$53)*IF(N2687&lt;0,-1,1)</f>
        <v>892485.49558937876</v>
      </c>
      <c r="U2687" s="553">
        <f>'Foglio deposito bis'!$F$92*IF(ABS(O2687)&lt;'Progetto del paramento slu'!$G$58,ABS(O2687)*'Progetto del paramento slu'!$G$54,'Progetto del paramento slu'!$G$53)*IF(O2687&lt;0,-1,1)</f>
        <v>1662039.1047339395</v>
      </c>
      <c r="V2687" s="479">
        <f t="shared" si="200"/>
        <v>640069.66903441912</v>
      </c>
      <c r="W2687" s="559"/>
      <c r="X2687" s="559"/>
    </row>
    <row r="2688" spans="1:24" x14ac:dyDescent="0.25">
      <c r="A2688" s="553">
        <f t="shared" si="199"/>
        <v>574002.5368255435</v>
      </c>
      <c r="B2688" s="3">
        <f t="shared" si="197"/>
        <v>34.899999999999942</v>
      </c>
      <c r="C2688" s="553">
        <f>'Foglio deposito bis'!$E$163/sezione!$B$247*B2688</f>
        <v>141.68266576454644</v>
      </c>
      <c r="D2688" s="611">
        <f>-'Progetto del paramento slu'!$G$47*'Progetto del paramento slu'!$G$41*IF(DATI!$G$218="dx",DATI!$E$61,DATI!$E$64*DATI!$E$63)*1000*C2688^2*sezione!$AD$5*(1-sezione!$AD$6)</f>
        <v>-165248980.25196117</v>
      </c>
      <c r="E2688" s="553">
        <f>-'Foglio deposito bis'!$F$88*(C2688-sezione!$AL$37)*IF(ABS(K2688)&lt;'Progetto del paramento slu'!$G$58,ABS(K2688)*'Progetto del paramento slu'!$G$54,'Progetto del paramento slu'!$G$53)</f>
        <v>0</v>
      </c>
      <c r="F2688" s="553">
        <f>-'Foglio deposito bis'!$F$89*(C2688-sezione!$AM$37)*IF(ABS(L2688)&lt;'Progetto del paramento slu'!$G$58,ABS(L2688)*'Progetto del paramento slu'!$G$54,'Progetto del paramento slu'!$G$53)</f>
        <v>138244.14254955924</v>
      </c>
      <c r="G2688" s="553">
        <f>-'Foglio deposito bis'!$F$90*(C2688-sezione!$AN$37)*IF(ABS(M2688)&lt;'Progetto del paramento slu'!$G$58,ABS(M2688)*'Progetto del paramento slu'!$G$54,'Progetto del paramento slu'!$G$53)</f>
        <v>0</v>
      </c>
      <c r="H2688" s="553">
        <f>-'Foglio deposito bis'!$F$91*(C2688-sezione!$AO$37)*IF(ABS(N2688)&lt;'Progetto del paramento slu'!$G$58,ABS(N2688)*'Progetto del paramento slu'!$G$54,'Progetto del paramento slu'!$G$53)</f>
        <v>176995344.32909325</v>
      </c>
      <c r="I2688" s="479">
        <f>-'Foglio deposito bis'!$F$92*(C2688-sezione!$AP$37)*IF(ABS(O2688)&lt;'Progetto del paramento slu'!$G$58,ABS(O2688)*'Progetto del paramento slu'!$G$54,'Progetto del paramento slu'!$G$53)</f>
        <v>196664656.65824649</v>
      </c>
      <c r="J2688" s="479">
        <f t="shared" si="198"/>
        <v>208549264.87792811</v>
      </c>
      <c r="K2688" s="558">
        <f>'Progetto del paramento slu'!$G$60*(sezione!$AL$37-C2688)/C2688</f>
        <v>-2.5118762994433123E-3</v>
      </c>
      <c r="L2688" s="558">
        <f>'Progetto del paramento slu'!$G$60*(sezione!$AM$37-C2688)/C2688</f>
        <v>2.0546387708758002E-4</v>
      </c>
      <c r="M2688" s="559">
        <f>'Progetto del paramento slu'!$G$60*(sezione!$AN$37-C2688)/C2688</f>
        <v>2.9228040536184718E-3</v>
      </c>
      <c r="N2688" s="559">
        <f>'Progetto del paramento slu'!$G$60*(sezione!$AO$37-C2688)/C2688</f>
        <v>4.8990514547318474E-3</v>
      </c>
      <c r="O2688" s="559">
        <f>'Progetto del paramento slu'!$G$60*(sezione!$AP$37-C2688)/C2688</f>
        <v>2.9230510845436055E-3</v>
      </c>
      <c r="P2688" s="553">
        <f>-'Progetto del paramento slu'!$G$47*'Progetto del paramento slu'!$G$41*IF(DATI!$G$218="dx",DATI!$E$61,DATI!$E$64*DATI!$E$63)*1000*C2688*sezione!$AD$5</f>
        <v>-1997143.2715238126</v>
      </c>
      <c r="Q2688" s="553">
        <f>'Foglio deposito bis'!$F$88*IF(ABS(K2688)&lt;'Progetto del paramento slu'!$G$58,ABS(K2688)*'Progetto del paramento slu'!$G$54,'Progetto del paramento slu'!$G$53)*IF(K2688&lt;0,-1,1)</f>
        <v>0</v>
      </c>
      <c r="R2688" s="553">
        <f>'Foglio deposito bis'!$F$89*IF(ABS(L2688)&lt;'Progetto del paramento slu'!$G$58,ABS(L2688)*'Progetto del paramento slu'!$G$54,'Progetto del paramento slu'!$G$53)*IF(L2688&lt;0,-1,1)</f>
        <v>16621.208026037752</v>
      </c>
      <c r="S2688" s="553">
        <f>'Foglio deposito bis'!$F$90*IF(ABS(M2688)&lt;'Progetto del paramento slu'!$G$58,ABS(M2688)*'Progetto del paramento slu'!$G$54,'Progetto del paramento slu'!$G$53)*IF(M2688&lt;0,-1,1)</f>
        <v>0</v>
      </c>
      <c r="T2688" s="553">
        <f>'Foglio deposito bis'!$F$91*IF(ABS(N2688)&lt;'Progetto del paramento slu'!$G$58,ABS(N2688)*'Progetto del paramento slu'!$G$54,'Progetto del paramento slu'!$G$53)*IF(N2688&lt;0,-1,1)</f>
        <v>892485.49558937876</v>
      </c>
      <c r="U2688" s="553">
        <f>'Foglio deposito bis'!$F$92*IF(ABS(O2688)&lt;'Progetto del paramento slu'!$G$58,ABS(O2688)*'Progetto del paramento slu'!$G$54,'Progetto del paramento slu'!$G$53)*IF(O2688&lt;0,-1,1)</f>
        <v>1662039.1047339395</v>
      </c>
      <c r="V2688" s="479">
        <f t="shared" si="200"/>
        <v>574002.5368255435</v>
      </c>
      <c r="W2688" s="559"/>
      <c r="X2688" s="559"/>
    </row>
    <row r="2689" spans="1:24" x14ac:dyDescent="0.25">
      <c r="A2689" s="553">
        <f t="shared" si="199"/>
        <v>508428.01724258089</v>
      </c>
      <c r="B2689" s="3">
        <f t="shared" si="197"/>
        <v>35.899999999999942</v>
      </c>
      <c r="C2689" s="553">
        <f>'Foglio deposito bis'!$E$163/sezione!$B$247*B2689</f>
        <v>145.74234100135291</v>
      </c>
      <c r="D2689" s="611">
        <f>-'Progetto del paramento slu'!$G$47*'Progetto del paramento slu'!$G$41*IF(DATI!$G$218="dx",DATI!$E$61,DATI!$E$64*DATI!$E$63)*1000*C2689^2*sezione!$AD$5*(1-sezione!$AD$6)</f>
        <v>-174854507.13748658</v>
      </c>
      <c r="E2689" s="553">
        <f>-'Foglio deposito bis'!$F$88*(C2689-sezione!$AL$37)*IF(ABS(K2689)&lt;'Progetto del paramento slu'!$G$58,ABS(K2689)*'Progetto del paramento slu'!$G$54,'Progetto del paramento slu'!$G$53)</f>
        <v>0</v>
      </c>
      <c r="F2689" s="553">
        <f>-'Foglio deposito bis'!$F$89*(C2689-sezione!$AM$37)*IF(ABS(L2689)&lt;'Progetto del paramento slu'!$G$58,ABS(L2689)*'Progetto del paramento slu'!$G$54,'Progetto del paramento slu'!$G$53)</f>
        <v>35216.902896851272</v>
      </c>
      <c r="G2689" s="553">
        <f>-'Foglio deposito bis'!$F$90*(C2689-sezione!$AN$37)*IF(ABS(M2689)&lt;'Progetto del paramento slu'!$G$58,ABS(M2689)*'Progetto del paramento slu'!$G$54,'Progetto del paramento slu'!$G$53)</f>
        <v>0</v>
      </c>
      <c r="H2689" s="553">
        <f>-'Foglio deposito bis'!$F$91*(C2689-sezione!$AO$37)*IF(ABS(N2689)&lt;'Progetto del paramento slu'!$G$58,ABS(N2689)*'Progetto del paramento slu'!$G$54,'Progetto del paramento slu'!$G$53)</f>
        <v>173372143.06344008</v>
      </c>
      <c r="I2689" s="479">
        <f>-'Foglio deposito bis'!$F$92*(C2689-sezione!$AP$37)*IF(ABS(O2689)&lt;'Progetto del paramento slu'!$G$58,ABS(O2689)*'Progetto del paramento slu'!$G$54,'Progetto del paramento slu'!$G$53)</f>
        <v>189917317.66215411</v>
      </c>
      <c r="J2689" s="479">
        <f t="shared" si="198"/>
        <v>188470170.49100447</v>
      </c>
      <c r="K2689" s="558">
        <f>'Progetto del paramento slu'!$G$60*(sezione!$AL$37-C2689)/C2689</f>
        <v>-2.5394006365061722E-3</v>
      </c>
      <c r="L2689" s="558">
        <f>'Progetto del paramento slu'!$G$60*(sezione!$AM$37-C2689)/C2689</f>
        <v>1.0224761310185402E-4</v>
      </c>
      <c r="M2689" s="559">
        <f>'Progetto del paramento slu'!$G$60*(sezione!$AN$37-C2689)/C2689</f>
        <v>2.7438958627098802E-3</v>
      </c>
      <c r="N2689" s="559">
        <f>'Progetto del paramento slu'!$G$60*(sezione!$AO$37-C2689)/C2689</f>
        <v>4.6650945896975354E-3</v>
      </c>
      <c r="O2689" s="559">
        <f>'Progetto del paramento slu'!$G$60*(sezione!$AP$37-C2689)/C2689</f>
        <v>2.7441360125507481E-3</v>
      </c>
      <c r="P2689" s="553">
        <f>-'Progetto del paramento slu'!$G$47*'Progetto del paramento slu'!$G$41*IF(DATI!$G$218="dx",DATI!$E$61,DATI!$E$64*DATI!$E$63)*1000*C2689*sezione!$AD$5</f>
        <v>-2054368.0070975602</v>
      </c>
      <c r="Q2689" s="553">
        <f>'Foglio deposito bis'!$F$88*IF(ABS(K2689)&lt;'Progetto del paramento slu'!$G$58,ABS(K2689)*'Progetto del paramento slu'!$G$54,'Progetto del paramento slu'!$G$53)*IF(K2689&lt;0,-1,1)</f>
        <v>0</v>
      </c>
      <c r="R2689" s="553">
        <f>'Foglio deposito bis'!$F$89*IF(ABS(L2689)&lt;'Progetto del paramento slu'!$G$58,ABS(L2689)*'Progetto del paramento slu'!$G$54,'Progetto del paramento slu'!$G$53)*IF(L2689&lt;0,-1,1)</f>
        <v>8271.424016822808</v>
      </c>
      <c r="S2689" s="553">
        <f>'Foglio deposito bis'!$F$90*IF(ABS(M2689)&lt;'Progetto del paramento slu'!$G$58,ABS(M2689)*'Progetto del paramento slu'!$G$54,'Progetto del paramento slu'!$G$53)*IF(M2689&lt;0,-1,1)</f>
        <v>0</v>
      </c>
      <c r="T2689" s="553">
        <f>'Foglio deposito bis'!$F$91*IF(ABS(N2689)&lt;'Progetto del paramento slu'!$G$58,ABS(N2689)*'Progetto del paramento slu'!$G$54,'Progetto del paramento slu'!$G$53)*IF(N2689&lt;0,-1,1)</f>
        <v>892485.49558937876</v>
      </c>
      <c r="U2689" s="553">
        <f>'Foglio deposito bis'!$F$92*IF(ABS(O2689)&lt;'Progetto del paramento slu'!$G$58,ABS(O2689)*'Progetto del paramento slu'!$G$54,'Progetto del paramento slu'!$G$53)*IF(O2689&lt;0,-1,1)</f>
        <v>1662039.1047339395</v>
      </c>
      <c r="V2689" s="479">
        <f t="shared" si="200"/>
        <v>508428.01724258089</v>
      </c>
      <c r="W2689" s="559"/>
      <c r="X2689" s="559"/>
    </row>
    <row r="2690" spans="1:24" x14ac:dyDescent="0.25">
      <c r="A2690" s="553">
        <f t="shared" si="199"/>
        <v>443306.06047854503</v>
      </c>
      <c r="B2690" s="3">
        <f t="shared" si="197"/>
        <v>36.899999999999942</v>
      </c>
      <c r="C2690" s="553">
        <f>'Foglio deposito bis'!$E$163/sezione!$B$247*B2690</f>
        <v>149.80201623815941</v>
      </c>
      <c r="D2690" s="611">
        <f>-'Progetto del paramento slu'!$G$47*'Progetto del paramento slu'!$G$41*IF(DATI!$G$218="dx",DATI!$E$61,DATI!$E$64*DATI!$E$63)*1000*C2690^2*sezione!$AD$5*(1-sezione!$AD$6)</f>
        <v>-184731376.59039977</v>
      </c>
      <c r="E2690" s="553">
        <f>-'Foglio deposito bis'!$F$88*(C2690-sezione!$AL$37)*IF(ABS(K2690)&lt;'Progetto del paramento slu'!$G$58,ABS(K2690)*'Progetto del paramento slu'!$G$54,'Progetto del paramento slu'!$G$53)</f>
        <v>0</v>
      </c>
      <c r="F2690" s="553">
        <f>-'Foglio deposito bis'!$F$89*(C2690-sezione!$AM$37)*IF(ABS(L2690)&lt;'Progetto del paramento slu'!$G$58,ABS(L2690)*'Progetto del paramento slu'!$G$54,'Progetto del paramento slu'!$G$53)</f>
        <v>74.08608328886929</v>
      </c>
      <c r="G2690" s="553">
        <f>-'Foglio deposito bis'!$F$90*(C2690-sezione!$AN$37)*IF(ABS(M2690)&lt;'Progetto del paramento slu'!$G$58,ABS(M2690)*'Progetto del paramento slu'!$G$54,'Progetto del paramento slu'!$G$53)</f>
        <v>0</v>
      </c>
      <c r="H2690" s="553">
        <f>-'Foglio deposito bis'!$F$91*(C2690-sezione!$AO$37)*IF(ABS(N2690)&lt;'Progetto del paramento slu'!$G$58,ABS(N2690)*'Progetto del paramento slu'!$G$54,'Progetto del paramento slu'!$G$53)</f>
        <v>169748941.79778692</v>
      </c>
      <c r="I2690" s="479">
        <f>-'Foglio deposito bis'!$F$92*(C2690-sezione!$AP$37)*IF(ABS(O2690)&lt;'Progetto del paramento slu'!$G$58,ABS(O2690)*'Progetto del paramento slu'!$G$54,'Progetto del paramento slu'!$G$53)</f>
        <v>183169978.66606167</v>
      </c>
      <c r="J2690" s="479">
        <f t="shared" si="198"/>
        <v>168187617.95953211</v>
      </c>
      <c r="K2690" s="558">
        <f>'Progetto del paramento slu'!$G$60*(sezione!$AL$37-C2690)/C2690</f>
        <v>-2.5654331395818858E-3</v>
      </c>
      <c r="L2690" s="558">
        <f>'Progetto del paramento slu'!$G$60*(sezione!$AM$37-C2690)/C2690</f>
        <v>4.6257265679281854E-6</v>
      </c>
      <c r="M2690" s="559">
        <f>'Progetto del paramento slu'!$G$60*(sezione!$AN$37-C2690)/C2690</f>
        <v>2.5746845927177423E-3</v>
      </c>
      <c r="N2690" s="559">
        <f>'Progetto del paramento slu'!$G$60*(sezione!$AO$37-C2690)/C2690</f>
        <v>4.4438183135539705E-3</v>
      </c>
      <c r="O2690" s="559">
        <f>'Progetto del paramento slu'!$G$60*(sezione!$AP$37-C2690)/C2690</f>
        <v>2.5749182344328415E-3</v>
      </c>
      <c r="P2690" s="553">
        <f>-'Progetto del paramento slu'!$G$47*'Progetto del paramento slu'!$G$41*IF(DATI!$G$218="dx",DATI!$E$61,DATI!$E$64*DATI!$E$63)*1000*C2690*sezione!$AD$5</f>
        <v>-2111592.7426713086</v>
      </c>
      <c r="Q2690" s="553">
        <f>'Foglio deposito bis'!$F$88*IF(ABS(K2690)&lt;'Progetto del paramento slu'!$G$58,ABS(K2690)*'Progetto del paramento slu'!$G$54,'Progetto del paramento slu'!$G$53)*IF(K2690&lt;0,-1,1)</f>
        <v>0</v>
      </c>
      <c r="R2690" s="553">
        <f>'Foglio deposito bis'!$F$89*IF(ABS(L2690)&lt;'Progetto del paramento slu'!$G$58,ABS(L2690)*'Progetto del paramento slu'!$G$54,'Progetto del paramento slu'!$G$53)*IF(L2690&lt;0,-1,1)</f>
        <v>374.2028265354466</v>
      </c>
      <c r="S2690" s="553">
        <f>'Foglio deposito bis'!$F$90*IF(ABS(M2690)&lt;'Progetto del paramento slu'!$G$58,ABS(M2690)*'Progetto del paramento slu'!$G$54,'Progetto del paramento slu'!$G$53)*IF(M2690&lt;0,-1,1)</f>
        <v>0</v>
      </c>
      <c r="T2690" s="553">
        <f>'Foglio deposito bis'!$F$91*IF(ABS(N2690)&lt;'Progetto del paramento slu'!$G$58,ABS(N2690)*'Progetto del paramento slu'!$G$54,'Progetto del paramento slu'!$G$53)*IF(N2690&lt;0,-1,1)</f>
        <v>892485.49558937876</v>
      </c>
      <c r="U2690" s="553">
        <f>'Foglio deposito bis'!$F$92*IF(ABS(O2690)&lt;'Progetto del paramento slu'!$G$58,ABS(O2690)*'Progetto del paramento slu'!$G$54,'Progetto del paramento slu'!$G$53)*IF(O2690&lt;0,-1,1)</f>
        <v>1662039.1047339395</v>
      </c>
      <c r="V2690" s="479">
        <f t="shared" si="200"/>
        <v>443306.06047854503</v>
      </c>
      <c r="W2690" s="559"/>
      <c r="X2690" s="559"/>
    </row>
    <row r="2691" spans="1:24" x14ac:dyDescent="0.25">
      <c r="A2691" s="553">
        <f t="shared" si="199"/>
        <v>378600.84361900971</v>
      </c>
      <c r="B2691" s="3">
        <f t="shared" si="197"/>
        <v>37.899999999999942</v>
      </c>
      <c r="C2691" s="553">
        <f>'Foglio deposito bis'!$E$163/sezione!$B$247*B2691</f>
        <v>153.86169147496591</v>
      </c>
      <c r="D2691" s="611">
        <f>-'Progetto del paramento slu'!$G$47*'Progetto del paramento slu'!$G$41*IF(DATI!$G$218="dx",DATI!$E$61,DATI!$E$64*DATI!$E$63)*1000*C2691^2*sezione!$AD$5*(1-sezione!$AD$6)</f>
        <v>-194879588.6107007</v>
      </c>
      <c r="E2691" s="553">
        <f>-'Foglio deposito bis'!$F$88*(C2691-sezione!$AL$37)*IF(ABS(K2691)&lt;'Progetto del paramento slu'!$G$58,ABS(K2691)*'Progetto del paramento slu'!$G$54,'Progetto del paramento slu'!$G$53)</f>
        <v>0</v>
      </c>
      <c r="F2691" s="553">
        <f>-'Foglio deposito bis'!$F$89*(C2691-sezione!$AM$37)*IF(ABS(L2691)&lt;'Progetto del paramento slu'!$G$58,ABS(L2691)*'Progetto del paramento slu'!$G$54,'Progetto del paramento slu'!$G$53)</f>
        <v>-27442.254944824468</v>
      </c>
      <c r="G2691" s="553">
        <f>-'Foglio deposito bis'!$F$90*(C2691-sezione!$AN$37)*IF(ABS(M2691)&lt;'Progetto del paramento slu'!$G$58,ABS(M2691)*'Progetto del paramento slu'!$G$54,'Progetto del paramento slu'!$G$53)</f>
        <v>0</v>
      </c>
      <c r="H2691" s="553">
        <f>-'Foglio deposito bis'!$F$91*(C2691-sezione!$AO$37)*IF(ABS(N2691)&lt;'Progetto del paramento slu'!$G$58,ABS(N2691)*'Progetto del paramento slu'!$G$54,'Progetto del paramento slu'!$G$53)</f>
        <v>166125740.53213376</v>
      </c>
      <c r="I2691" s="479">
        <f>-'Foglio deposito bis'!$F$92*(C2691-sezione!$AP$37)*IF(ABS(O2691)&lt;'Progetto del paramento slu'!$G$58,ABS(O2691)*'Progetto del paramento slu'!$G$54,'Progetto del paramento slu'!$G$53)</f>
        <v>176422639.66996926</v>
      </c>
      <c r="J2691" s="479">
        <f t="shared" si="198"/>
        <v>147641349.33645749</v>
      </c>
      <c r="K2691" s="558">
        <f>'Progetto del paramento slu'!$G$60*(sezione!$AL$37-C2691)/C2691</f>
        <v>-2.5900918957934456E-3</v>
      </c>
      <c r="L2691" s="558">
        <f>'Progetto del paramento slu'!$G$60*(sezione!$AM$37-C2691)/C2691</f>
        <v>-8.7844609225421068E-5</v>
      </c>
      <c r="M2691" s="559">
        <f>'Progetto del paramento slu'!$G$60*(sezione!$AN$37-C2691)/C2691</f>
        <v>2.4144026773426034E-3</v>
      </c>
      <c r="N2691" s="559">
        <f>'Progetto del paramento slu'!$G$60*(sezione!$AO$37-C2691)/C2691</f>
        <v>4.2342188857557124E-3</v>
      </c>
      <c r="O2691" s="559">
        <f>'Progetto del paramento slu'!$G$60*(sezione!$AP$37-C2691)/C2691</f>
        <v>2.4146301543686499E-3</v>
      </c>
      <c r="P2691" s="553">
        <f>-'Progetto del paramento slu'!$G$47*'Progetto del paramento slu'!$G$41*IF(DATI!$G$218="dx",DATI!$E$61,DATI!$E$64*DATI!$E$63)*1000*C2691*sezione!$AD$5</f>
        <v>-2168817.4782450572</v>
      </c>
      <c r="Q2691" s="553">
        <f>'Foglio deposito bis'!$F$88*IF(ABS(K2691)&lt;'Progetto del paramento slu'!$G$58,ABS(K2691)*'Progetto del paramento slu'!$G$54,'Progetto del paramento slu'!$G$53)*IF(K2691&lt;0,-1,1)</f>
        <v>0</v>
      </c>
      <c r="R2691" s="553">
        <f>'Foglio deposito bis'!$F$89*IF(ABS(L2691)&lt;'Progetto del paramento slu'!$G$58,ABS(L2691)*'Progetto del paramento slu'!$G$54,'Progetto del paramento slu'!$G$53)*IF(L2691&lt;0,-1,1)</f>
        <v>-7106.2784592512617</v>
      </c>
      <c r="S2691" s="553">
        <f>'Foglio deposito bis'!$F$90*IF(ABS(M2691)&lt;'Progetto del paramento slu'!$G$58,ABS(M2691)*'Progetto del paramento slu'!$G$54,'Progetto del paramento slu'!$G$53)*IF(M2691&lt;0,-1,1)</f>
        <v>0</v>
      </c>
      <c r="T2691" s="553">
        <f>'Foglio deposito bis'!$F$91*IF(ABS(N2691)&lt;'Progetto del paramento slu'!$G$58,ABS(N2691)*'Progetto del paramento slu'!$G$54,'Progetto del paramento slu'!$G$53)*IF(N2691&lt;0,-1,1)</f>
        <v>892485.49558937876</v>
      </c>
      <c r="U2691" s="553">
        <f>'Foglio deposito bis'!$F$92*IF(ABS(O2691)&lt;'Progetto del paramento slu'!$G$58,ABS(O2691)*'Progetto del paramento slu'!$G$54,'Progetto del paramento slu'!$G$53)*IF(O2691&lt;0,-1,1)</f>
        <v>1662039.1047339395</v>
      </c>
      <c r="V2691" s="479">
        <f t="shared" si="200"/>
        <v>378600.84361900971</v>
      </c>
      <c r="W2691" s="559"/>
      <c r="X2691" s="559"/>
    </row>
    <row r="2692" spans="1:24" x14ac:dyDescent="0.25">
      <c r="A2692" s="553">
        <f t="shared" si="199"/>
        <v>314280.22733972059</v>
      </c>
      <c r="B2692" s="3">
        <f t="shared" si="197"/>
        <v>38.899999999999942</v>
      </c>
      <c r="C2692" s="553">
        <f>'Foglio deposito bis'!$E$163/sezione!$B$247*B2692</f>
        <v>157.92136671177241</v>
      </c>
      <c r="D2692" s="611">
        <f>-'Progetto del paramento slu'!$G$47*'Progetto del paramento slu'!$G$41*IF(DATI!$G$218="dx",DATI!$E$61,DATI!$E$64*DATI!$E$63)*1000*C2692^2*sezione!$AD$5*(1-sezione!$AD$6)</f>
        <v>-205299143.19838932</v>
      </c>
      <c r="E2692" s="553">
        <f>-'Foglio deposito bis'!$F$88*(C2692-sezione!$AL$37)*IF(ABS(K2692)&lt;'Progetto del paramento slu'!$G$58,ABS(K2692)*'Progetto del paramento slu'!$G$54,'Progetto del paramento slu'!$G$53)</f>
        <v>0</v>
      </c>
      <c r="F2692" s="553">
        <f>-'Foglio deposito bis'!$F$89*(C2692-sezione!$AM$37)*IF(ABS(L2692)&lt;'Progetto del paramento slu'!$G$58,ABS(L2692)*'Progetto del paramento slu'!$G$54,'Progetto del paramento slu'!$G$53)</f>
        <v>-112500.5108432757</v>
      </c>
      <c r="G2692" s="553">
        <f>-'Foglio deposito bis'!$F$90*(C2692-sezione!$AN$37)*IF(ABS(M2692)&lt;'Progetto del paramento slu'!$G$58,ABS(M2692)*'Progetto del paramento slu'!$G$54,'Progetto del paramento slu'!$G$53)</f>
        <v>0</v>
      </c>
      <c r="H2692" s="553">
        <f>-'Foglio deposito bis'!$F$91*(C2692-sezione!$AO$37)*IF(ABS(N2692)&lt;'Progetto del paramento slu'!$G$58,ABS(N2692)*'Progetto del paramento slu'!$G$54,'Progetto del paramento slu'!$G$53)</f>
        <v>162502539.26648057</v>
      </c>
      <c r="I2692" s="479">
        <f>-'Foglio deposito bis'!$F$92*(C2692-sezione!$AP$37)*IF(ABS(O2692)&lt;'Progetto del paramento slu'!$G$58,ABS(O2692)*'Progetto del paramento slu'!$G$54,'Progetto del paramento slu'!$G$53)</f>
        <v>169675300.67387685</v>
      </c>
      <c r="J2692" s="479">
        <f t="shared" si="198"/>
        <v>126766196.23112482</v>
      </c>
      <c r="K2692" s="558">
        <f>'Progetto del paramento slu'!$G$60*(sezione!$AL$37-C2692)/C2692</f>
        <v>-2.61348284962909E-3</v>
      </c>
      <c r="L2692" s="558">
        <f>'Progetto del paramento slu'!$G$60*(sezione!$AM$37-C2692)/C2692</f>
        <v>-1.7556068610908654E-4</v>
      </c>
      <c r="M2692" s="559">
        <f>'Progetto del paramento slu'!$G$60*(sezione!$AN$37-C2692)/C2692</f>
        <v>2.2623614774109164E-3</v>
      </c>
      <c r="N2692" s="559">
        <f>'Progetto del paramento slu'!$G$60*(sezione!$AO$37-C2692)/C2692</f>
        <v>4.0353957781527373E-3</v>
      </c>
      <c r="O2692" s="559">
        <f>'Progetto del paramento slu'!$G$60*(sezione!$AP$37-C2692)/C2692</f>
        <v>2.2625831066985041E-3</v>
      </c>
      <c r="P2692" s="553">
        <f>-'Progetto del paramento slu'!$G$47*'Progetto del paramento slu'!$G$41*IF(DATI!$G$218="dx",DATI!$E$61,DATI!$E$64*DATI!$E$63)*1000*C2692*sezione!$AD$5</f>
        <v>-2226042.2138188058</v>
      </c>
      <c r="Q2692" s="553">
        <f>'Foglio deposito bis'!$F$88*IF(ABS(K2692)&lt;'Progetto del paramento slu'!$G$58,ABS(K2692)*'Progetto del paramento slu'!$G$54,'Progetto del paramento slu'!$G$53)*IF(K2692&lt;0,-1,1)</f>
        <v>0</v>
      </c>
      <c r="R2692" s="553">
        <f>'Foglio deposito bis'!$F$89*IF(ABS(L2692)&lt;'Progetto del paramento slu'!$G$58,ABS(L2692)*'Progetto del paramento slu'!$G$54,'Progetto del paramento slu'!$G$53)*IF(L2692&lt;0,-1,1)</f>
        <v>-14202.159164791865</v>
      </c>
      <c r="S2692" s="553">
        <f>'Foglio deposito bis'!$F$90*IF(ABS(M2692)&lt;'Progetto del paramento slu'!$G$58,ABS(M2692)*'Progetto del paramento slu'!$G$54,'Progetto del paramento slu'!$G$53)*IF(M2692&lt;0,-1,1)</f>
        <v>0</v>
      </c>
      <c r="T2692" s="553">
        <f>'Foglio deposito bis'!$F$91*IF(ABS(N2692)&lt;'Progetto del paramento slu'!$G$58,ABS(N2692)*'Progetto del paramento slu'!$G$54,'Progetto del paramento slu'!$G$53)*IF(N2692&lt;0,-1,1)</f>
        <v>892485.49558937876</v>
      </c>
      <c r="U2692" s="553">
        <f>'Foglio deposito bis'!$F$92*IF(ABS(O2692)&lt;'Progetto del paramento slu'!$G$58,ABS(O2692)*'Progetto del paramento slu'!$G$54,'Progetto del paramento slu'!$G$53)*IF(O2692&lt;0,-1,1)</f>
        <v>1662039.1047339395</v>
      </c>
      <c r="V2692" s="479">
        <f t="shared" si="200"/>
        <v>314280.22733972059</v>
      </c>
      <c r="W2692" s="559"/>
      <c r="X2692" s="559"/>
    </row>
    <row r="2693" spans="1:24" x14ac:dyDescent="0.25">
      <c r="A2693" s="553">
        <f t="shared" si="199"/>
        <v>250315.29430381744</v>
      </c>
      <c r="B2693" s="3">
        <f t="shared" si="197"/>
        <v>39.899999999999942</v>
      </c>
      <c r="C2693" s="553">
        <f>'Foglio deposito bis'!$E$163/sezione!$B$247*B2693</f>
        <v>161.98104194857891</v>
      </c>
      <c r="D2693" s="611">
        <f>-'Progetto del paramento slu'!$G$47*'Progetto del paramento slu'!$G$41*IF(DATI!$G$218="dx",DATI!$E$61,DATI!$E$64*DATI!$E$63)*1000*C2693^2*sezione!$AD$5*(1-sezione!$AD$6)</f>
        <v>-215990040.35346571</v>
      </c>
      <c r="E2693" s="553">
        <f>-'Foglio deposito bis'!$F$88*(C2693-sezione!$AL$37)*IF(ABS(K2693)&lt;'Progetto del paramento slu'!$G$58,ABS(K2693)*'Progetto del paramento slu'!$G$54,'Progetto del paramento slu'!$G$53)</f>
        <v>0</v>
      </c>
      <c r="F2693" s="553">
        <f>-'Foglio deposito bis'!$F$89*(C2693-sezione!$AM$37)*IF(ABS(L2693)&lt;'Progetto del paramento slu'!$G$58,ABS(L2693)*'Progetto del paramento slu'!$G$54,'Progetto del paramento slu'!$G$53)</f>
        <v>-250911.2532495512</v>
      </c>
      <c r="G2693" s="553">
        <f>-'Foglio deposito bis'!$F$90*(C2693-sezione!$AN$37)*IF(ABS(M2693)&lt;'Progetto del paramento slu'!$G$58,ABS(M2693)*'Progetto del paramento slu'!$G$54,'Progetto del paramento slu'!$G$53)</f>
        <v>0</v>
      </c>
      <c r="H2693" s="553">
        <f>-'Foglio deposito bis'!$F$91*(C2693-sezione!$AO$37)*IF(ABS(N2693)&lt;'Progetto del paramento slu'!$G$58,ABS(N2693)*'Progetto del paramento slu'!$G$54,'Progetto del paramento slu'!$G$53)</f>
        <v>158879338.00082737</v>
      </c>
      <c r="I2693" s="479">
        <f>-'Foglio deposito bis'!$F$92*(C2693-sezione!$AP$37)*IF(ABS(O2693)&lt;'Progetto del paramento slu'!$G$58,ABS(O2693)*'Progetto del paramento slu'!$G$54,'Progetto del paramento slu'!$G$53)</f>
        <v>162927961.67778441</v>
      </c>
      <c r="J2693" s="479">
        <f t="shared" si="198"/>
        <v>105566348.07189652</v>
      </c>
      <c r="K2693" s="558">
        <f>'Progetto del paramento slu'!$G$60*(sezione!$AL$37-C2693)/C2693</f>
        <v>-2.635701324575729E-3</v>
      </c>
      <c r="L2693" s="558">
        <f>'Progetto del paramento slu'!$G$60*(sezione!$AM$37-C2693)/C2693</f>
        <v>-2.5887996715898436E-4</v>
      </c>
      <c r="M2693" s="559">
        <f>'Progetto del paramento slu'!$G$60*(sezione!$AN$37-C2693)/C2693</f>
        <v>2.1179413902577605E-3</v>
      </c>
      <c r="N2693" s="559">
        <f>'Progetto del paramento slu'!$G$60*(sezione!$AO$37-C2693)/C2693</f>
        <v>3.8465387411063022E-3</v>
      </c>
      <c r="O2693" s="559">
        <f>'Progetto del paramento slu'!$G$60*(sezione!$AP$37-C2693)/C2693</f>
        <v>2.1181574649266118E-3</v>
      </c>
      <c r="P2693" s="553">
        <f>-'Progetto del paramento slu'!$G$47*'Progetto del paramento slu'!$G$41*IF(DATI!$G$218="dx",DATI!$E$61,DATI!$E$64*DATI!$E$63)*1000*C2693*sezione!$AD$5</f>
        <v>-2283266.9493925539</v>
      </c>
      <c r="Q2693" s="553">
        <f>'Foglio deposito bis'!$F$88*IF(ABS(K2693)&lt;'Progetto del paramento slu'!$G$58,ABS(K2693)*'Progetto del paramento slu'!$G$54,'Progetto del paramento slu'!$G$53)*IF(K2693&lt;0,-1,1)</f>
        <v>0</v>
      </c>
      <c r="R2693" s="553">
        <f>'Foglio deposito bis'!$F$89*IF(ABS(L2693)&lt;'Progetto del paramento slu'!$G$58,ABS(L2693)*'Progetto del paramento slu'!$G$54,'Progetto del paramento slu'!$G$53)*IF(L2693&lt;0,-1,1)</f>
        <v>-20942.356626946977</v>
      </c>
      <c r="S2693" s="553">
        <f>'Foglio deposito bis'!$F$90*IF(ABS(M2693)&lt;'Progetto del paramento slu'!$G$58,ABS(M2693)*'Progetto del paramento slu'!$G$54,'Progetto del paramento slu'!$G$53)*IF(M2693&lt;0,-1,1)</f>
        <v>0</v>
      </c>
      <c r="T2693" s="553">
        <f>'Foglio deposito bis'!$F$91*IF(ABS(N2693)&lt;'Progetto del paramento slu'!$G$58,ABS(N2693)*'Progetto del paramento slu'!$G$54,'Progetto del paramento slu'!$G$53)*IF(N2693&lt;0,-1,1)</f>
        <v>892485.49558937876</v>
      </c>
      <c r="U2693" s="553">
        <f>'Foglio deposito bis'!$F$92*IF(ABS(O2693)&lt;'Progetto del paramento slu'!$G$58,ABS(O2693)*'Progetto del paramento slu'!$G$54,'Progetto del paramento slu'!$G$53)*IF(O2693&lt;0,-1,1)</f>
        <v>1662039.1047339395</v>
      </c>
      <c r="V2693" s="479">
        <f t="shared" si="200"/>
        <v>250315.29430381744</v>
      </c>
      <c r="W2693" s="559"/>
      <c r="X2693" s="559"/>
    </row>
    <row r="2694" spans="1:24" x14ac:dyDescent="0.25">
      <c r="A2694" s="553">
        <f t="shared" si="199"/>
        <v>186679.95527584362</v>
      </c>
      <c r="B2694" s="3">
        <f t="shared" si="197"/>
        <v>40.899999999999942</v>
      </c>
      <c r="C2694" s="553">
        <f>'Foglio deposito bis'!$E$163/sezione!$B$247*B2694</f>
        <v>166.0407171853854</v>
      </c>
      <c r="D2694" s="611">
        <f>-'Progetto del paramento slu'!$G$47*'Progetto del paramento slu'!$G$41*IF(DATI!$G$218="dx",DATI!$E$61,DATI!$E$64*DATI!$E$63)*1000*C2694^2*sezione!$AD$5*(1-sezione!$AD$6)</f>
        <v>-226952280.07592982</v>
      </c>
      <c r="E2694" s="553">
        <f>-'Foglio deposito bis'!$F$88*(C2694-sezione!$AL$37)*IF(ABS(K2694)&lt;'Progetto del paramento slu'!$G$58,ABS(K2694)*'Progetto del paramento slu'!$G$54,'Progetto del paramento slu'!$G$53)</f>
        <v>0</v>
      </c>
      <c r="F2694" s="553">
        <f>-'Foglio deposito bis'!$F$89*(C2694-sezione!$AM$37)*IF(ABS(L2694)&lt;'Progetto del paramento slu'!$G$58,ABS(L2694)*'Progetto del paramento slu'!$G$54,'Progetto del paramento slu'!$G$53)</f>
        <v>-438761.09684522846</v>
      </c>
      <c r="G2694" s="553">
        <f>-'Foglio deposito bis'!$F$90*(C2694-sezione!$AN$37)*IF(ABS(M2694)&lt;'Progetto del paramento slu'!$G$58,ABS(M2694)*'Progetto del paramento slu'!$G$54,'Progetto del paramento slu'!$G$53)</f>
        <v>0</v>
      </c>
      <c r="H2694" s="553">
        <f>-'Foglio deposito bis'!$F$91*(C2694-sezione!$AO$37)*IF(ABS(N2694)&lt;'Progetto del paramento slu'!$G$58,ABS(N2694)*'Progetto del paramento slu'!$G$54,'Progetto del paramento slu'!$G$53)</f>
        <v>155256136.73517421</v>
      </c>
      <c r="I2694" s="479">
        <f>-'Foglio deposito bis'!$F$92*(C2694-sezione!$AP$37)*IF(ABS(O2694)&lt;'Progetto del paramento slu'!$G$58,ABS(O2694)*'Progetto del paramento slu'!$G$54,'Progetto del paramento slu'!$G$53)</f>
        <v>156180622.681692</v>
      </c>
      <c r="J2694" s="479">
        <f t="shared" si="198"/>
        <v>84045718.244091153</v>
      </c>
      <c r="K2694" s="558">
        <f>'Progetto del paramento slu'!$G$60*(sezione!$AL$37-C2694)/C2694</f>
        <v>-2.6568333215298678E-3</v>
      </c>
      <c r="L2694" s="558">
        <f>'Progetto del paramento slu'!$G$60*(sezione!$AM$37-C2694)/C2694</f>
        <v>-3.3812495573700443E-4</v>
      </c>
      <c r="M2694" s="559">
        <f>'Progetto del paramento slu'!$G$60*(sezione!$AN$37-C2694)/C2694</f>
        <v>1.9805834100558592E-3</v>
      </c>
      <c r="N2694" s="559">
        <f>'Progetto del paramento slu'!$G$60*(sezione!$AO$37-C2694)/C2694</f>
        <v>3.666916766996123E-3</v>
      </c>
      <c r="O2694" s="559">
        <f>'Progetto del paramento slu'!$G$60*(sezione!$AP$37-C2694)/C2694</f>
        <v>1.9807942017254715E-3</v>
      </c>
      <c r="P2694" s="553">
        <f>-'Progetto del paramento slu'!$G$47*'Progetto del paramento slu'!$G$41*IF(DATI!$G$218="dx",DATI!$E$61,DATI!$E$64*DATI!$E$63)*1000*C2694*sezione!$AD$5</f>
        <v>-2340491.684966302</v>
      </c>
      <c r="Q2694" s="553">
        <f>'Foglio deposito bis'!$F$88*IF(ABS(K2694)&lt;'Progetto del paramento slu'!$G$58,ABS(K2694)*'Progetto del paramento slu'!$G$54,'Progetto del paramento slu'!$G$53)*IF(K2694&lt;0,-1,1)</f>
        <v>0</v>
      </c>
      <c r="R2694" s="553">
        <f>'Foglio deposito bis'!$F$89*IF(ABS(L2694)&lt;'Progetto del paramento slu'!$G$58,ABS(L2694)*'Progetto del paramento slu'!$G$54,'Progetto del paramento slu'!$G$53)*IF(L2694&lt;0,-1,1)</f>
        <v>-27352.960081172736</v>
      </c>
      <c r="S2694" s="553">
        <f>'Foglio deposito bis'!$F$90*IF(ABS(M2694)&lt;'Progetto del paramento slu'!$G$58,ABS(M2694)*'Progetto del paramento slu'!$G$54,'Progetto del paramento slu'!$G$53)*IF(M2694&lt;0,-1,1)</f>
        <v>0</v>
      </c>
      <c r="T2694" s="553">
        <f>'Foglio deposito bis'!$F$91*IF(ABS(N2694)&lt;'Progetto del paramento slu'!$G$58,ABS(N2694)*'Progetto del paramento slu'!$G$54,'Progetto del paramento slu'!$G$53)*IF(N2694&lt;0,-1,1)</f>
        <v>892485.49558937876</v>
      </c>
      <c r="U2694" s="553">
        <f>'Foglio deposito bis'!$F$92*IF(ABS(O2694)&lt;'Progetto del paramento slu'!$G$58,ABS(O2694)*'Progetto del paramento slu'!$G$54,'Progetto del paramento slu'!$G$53)*IF(O2694&lt;0,-1,1)</f>
        <v>1662039.1047339395</v>
      </c>
      <c r="V2694" s="479">
        <f t="shared" si="200"/>
        <v>186679.95527584362</v>
      </c>
      <c r="W2694" s="559"/>
      <c r="X2694" s="559"/>
    </row>
    <row r="2695" spans="1:24" x14ac:dyDescent="0.25">
      <c r="A2695" s="553">
        <f t="shared" si="199"/>
        <v>79997.525903160451</v>
      </c>
      <c r="B2695" s="3">
        <f t="shared" si="197"/>
        <v>41.899999999999942</v>
      </c>
      <c r="C2695" s="553">
        <f>'Foglio deposito bis'!$E$163/sezione!$B$247*B2695</f>
        <v>170.1003924221919</v>
      </c>
      <c r="D2695" s="611">
        <f>-'Progetto del paramento slu'!$G$47*'Progetto del paramento slu'!$G$41*IF(DATI!$G$218="dx",DATI!$E$61,DATI!$E$64*DATI!$E$63)*1000*C2695^2*sezione!$AD$5*(1-sezione!$AD$6)</f>
        <v>-238185862.36578166</v>
      </c>
      <c r="E2695" s="553">
        <f>-'Foglio deposito bis'!$F$88*(C2695-sezione!$AL$37)*IF(ABS(K2695)&lt;'Progetto del paramento slu'!$G$58,ABS(K2695)*'Progetto del paramento slu'!$G$54,'Progetto del paramento slu'!$G$53)</f>
        <v>0</v>
      </c>
      <c r="F2695" s="553">
        <f>-'Foglio deposito bis'!$F$89*(C2695-sezione!$AM$37)*IF(ABS(L2695)&lt;'Progetto del paramento slu'!$G$58,ABS(L2695)*'Progetto del paramento slu'!$G$54,'Progetto del paramento slu'!$G$53)</f>
        <v>-672510.24918237911</v>
      </c>
      <c r="G2695" s="553">
        <f>-'Foglio deposito bis'!$F$90*(C2695-sezione!$AN$37)*IF(ABS(M2695)&lt;'Progetto del paramento slu'!$G$58,ABS(M2695)*'Progetto del paramento slu'!$G$54,'Progetto del paramento slu'!$G$53)</f>
        <v>0</v>
      </c>
      <c r="H2695" s="553">
        <f>-'Foglio deposito bis'!$F$91*(C2695-sezione!$AO$37)*IF(ABS(N2695)&lt;'Progetto del paramento slu'!$G$58,ABS(N2695)*'Progetto del paramento slu'!$G$54,'Progetto del paramento slu'!$G$53)</f>
        <v>151632935.46952105</v>
      </c>
      <c r="I2695" s="479">
        <f>-'Foglio deposito bis'!$F$92*(C2695-sezione!$AP$37)*IF(ABS(O2695)&lt;'Progetto del paramento slu'!$G$58,ABS(O2695)*'Progetto del paramento slu'!$G$54,'Progetto del paramento slu'!$G$53)</f>
        <v>145535424.75976014</v>
      </c>
      <c r="J2695" s="479">
        <f t="shared" si="198"/>
        <v>58309987.614317149</v>
      </c>
      <c r="K2695" s="558">
        <f>'Progetto del paramento slu'!$G$60*(sezione!$AL$37-C2695)/C2695</f>
        <v>-2.6769566312785584E-3</v>
      </c>
      <c r="L2695" s="558">
        <f>'Progetto del paramento slu'!$G$60*(sezione!$AM$37-C2695)/C2695</f>
        <v>-4.1358736729459403E-4</v>
      </c>
      <c r="M2695" s="559">
        <f>'Progetto del paramento slu'!$G$60*(sezione!$AN$37-C2695)/C2695</f>
        <v>1.8497818966893703E-3</v>
      </c>
      <c r="N2695" s="559">
        <f>'Progetto del paramento slu'!$G$60*(sezione!$AO$37-C2695)/C2695</f>
        <v>3.4958686341322533E-3</v>
      </c>
      <c r="O2695" s="559">
        <f>'Progetto del paramento slu'!$G$60*(sezione!$AP$37-C2695)/C2695</f>
        <v>1.8499876575315459E-3</v>
      </c>
      <c r="P2695" s="553">
        <f>-'Progetto del paramento slu'!$G$47*'Progetto del paramento slu'!$G$41*IF(DATI!$G$218="dx",DATI!$E$61,DATI!$E$64*DATI!$E$63)*1000*C2695*sezione!$AD$5</f>
        <v>-2397716.4205400506</v>
      </c>
      <c r="Q2695" s="553">
        <f>'Foglio deposito bis'!$F$88*IF(ABS(K2695)&lt;'Progetto del paramento slu'!$G$58,ABS(K2695)*'Progetto del paramento slu'!$G$54,'Progetto del paramento slu'!$G$53)*IF(K2695&lt;0,-1,1)</f>
        <v>0</v>
      </c>
      <c r="R2695" s="553">
        <f>'Foglio deposito bis'!$F$89*IF(ABS(L2695)&lt;'Progetto del paramento slu'!$G$58,ABS(L2695)*'Progetto del paramento slu'!$G$54,'Progetto del paramento slu'!$G$53)*IF(L2695&lt;0,-1,1)</f>
        <v>-33457.568143788681</v>
      </c>
      <c r="S2695" s="553">
        <f>'Foglio deposito bis'!$F$90*IF(ABS(M2695)&lt;'Progetto del paramento slu'!$G$58,ABS(M2695)*'Progetto del paramento slu'!$G$54,'Progetto del paramento slu'!$G$53)*IF(M2695&lt;0,-1,1)</f>
        <v>0</v>
      </c>
      <c r="T2695" s="553">
        <f>'Foglio deposito bis'!$F$91*IF(ABS(N2695)&lt;'Progetto del paramento slu'!$G$58,ABS(N2695)*'Progetto del paramento slu'!$G$54,'Progetto del paramento slu'!$G$53)*IF(N2695&lt;0,-1,1)</f>
        <v>892485.49558937876</v>
      </c>
      <c r="U2695" s="553">
        <f>'Foglio deposito bis'!$F$92*IF(ABS(O2695)&lt;'Progetto del paramento slu'!$G$58,ABS(O2695)*'Progetto del paramento slu'!$G$54,'Progetto del paramento slu'!$G$53)*IF(O2695&lt;0,-1,1)</f>
        <v>1618686.018997621</v>
      </c>
      <c r="V2695" s="479">
        <f t="shared" si="200"/>
        <v>79997.525903160451</v>
      </c>
      <c r="W2695" s="559"/>
      <c r="X2695" s="559"/>
    </row>
    <row r="2696" spans="1:24" x14ac:dyDescent="0.25">
      <c r="A2696" s="553">
        <f t="shared" si="199"/>
        <v>92163.430526921991</v>
      </c>
      <c r="B2696" s="3">
        <f t="shared" si="197"/>
        <v>42.899999999999942</v>
      </c>
      <c r="C2696" s="553">
        <f>'Foglio deposito bis'!$E$163/sezione!$B$247*B2696</f>
        <v>174.1600676589984</v>
      </c>
      <c r="D2696" s="611">
        <f>-'Progetto del paramento slu'!$G$47*'Progetto del paramento slu'!$G$41*IF(DATI!$G$218="dx",DATI!$E$61,DATI!$E$64*DATI!$E$63)*1000*C2696^2*sezione!$AD$5*(1-sezione!$AD$6)</f>
        <v>-249690787.22302118</v>
      </c>
      <c r="E2696" s="553">
        <f>-'Foglio deposito bis'!$F$88*(C2696-sezione!$AL$37)*IF(ABS(K2696)&lt;'Progetto del paramento slu'!$G$58,ABS(K2696)*'Progetto del paramento slu'!$G$54,'Progetto del paramento slu'!$G$53)</f>
        <v>0</v>
      </c>
      <c r="F2696" s="553">
        <f>-'Foglio deposito bis'!$F$89*(C2696-sezione!$AM$37)*IF(ABS(L2696)&lt;'Progetto del paramento slu'!$G$58,ABS(L2696)*'Progetto del paramento slu'!$G$54,'Progetto del paramento slu'!$G$53)</f>
        <v>-948948.96839097026</v>
      </c>
      <c r="G2696" s="553">
        <f>-'Foglio deposito bis'!$F$90*(C2696-sezione!$AN$37)*IF(ABS(M2696)&lt;'Progetto del paramento slu'!$G$58,ABS(M2696)*'Progetto del paramento slu'!$G$54,'Progetto del paramento slu'!$G$53)</f>
        <v>0</v>
      </c>
      <c r="H2696" s="553">
        <f>-'Foglio deposito bis'!$F$91*(C2696-sezione!$AO$37)*IF(ABS(N2696)&lt;'Progetto del paramento slu'!$G$58,ABS(N2696)*'Progetto del paramento slu'!$G$54,'Progetto del paramento slu'!$G$53)</f>
        <v>148009734.20386785</v>
      </c>
      <c r="I2696" s="479">
        <f>-'Foglio deposito bis'!$F$92*(C2696-sezione!$AP$37)*IF(ABS(O2696)&lt;'Progetto del paramento slu'!$G$58,ABS(O2696)*'Progetto del paramento slu'!$G$54,'Progetto del paramento slu'!$G$53)</f>
        <v>129596465.97451735</v>
      </c>
      <c r="J2696" s="479">
        <f t="shared" si="198"/>
        <v>26966463.986973047</v>
      </c>
      <c r="K2696" s="558">
        <f>'Progetto del paramento slu'!$G$60*(sezione!$AL$37-C2696)/C2696</f>
        <v>-2.6961417913886152E-3</v>
      </c>
      <c r="L2696" s="558">
        <f>'Progetto del paramento slu'!$G$60*(sezione!$AM$37-C2696)/C2696</f>
        <v>-4.8553171770730763E-4</v>
      </c>
      <c r="M2696" s="559">
        <f>'Progetto del paramento slu'!$G$60*(sezione!$AN$37-C2696)/C2696</f>
        <v>1.7250783559740004E-3</v>
      </c>
      <c r="N2696" s="559">
        <f>'Progetto del paramento slu'!$G$60*(sezione!$AO$37-C2696)/C2696</f>
        <v>3.3327947731967697E-3</v>
      </c>
      <c r="O2696" s="559">
        <f>'Progetto del paramento slu'!$G$60*(sezione!$AP$37-C2696)/C2696</f>
        <v>1.7252793205261485E-3</v>
      </c>
      <c r="P2696" s="553">
        <f>-'Progetto del paramento slu'!$G$47*'Progetto del paramento slu'!$G$41*IF(DATI!$G$218="dx",DATI!$E$61,DATI!$E$64*DATI!$E$63)*1000*C2696*sezione!$AD$5</f>
        <v>-2454941.1561137992</v>
      </c>
      <c r="Q2696" s="553">
        <f>'Foglio deposito bis'!$F$88*IF(ABS(K2696)&lt;'Progetto del paramento slu'!$G$58,ABS(K2696)*'Progetto del paramento slu'!$G$54,'Progetto del paramento slu'!$G$53)*IF(K2696&lt;0,-1,1)</f>
        <v>0</v>
      </c>
      <c r="R2696" s="553">
        <f>'Foglio deposito bis'!$F$89*IF(ABS(L2696)&lt;'Progetto del paramento slu'!$G$58,ABS(L2696)*'Progetto del paramento slu'!$G$54,'Progetto del paramento slu'!$G$53)*IF(L2696&lt;0,-1,1)</f>
        <v>-39277.579093928354</v>
      </c>
      <c r="S2696" s="553">
        <f>'Foglio deposito bis'!$F$90*IF(ABS(M2696)&lt;'Progetto del paramento slu'!$G$58,ABS(M2696)*'Progetto del paramento slu'!$G$54,'Progetto del paramento slu'!$G$53)*IF(M2696&lt;0,-1,1)</f>
        <v>0</v>
      </c>
      <c r="T2696" s="553">
        <f>'Foglio deposito bis'!$F$91*IF(ABS(N2696)&lt;'Progetto del paramento slu'!$G$58,ABS(N2696)*'Progetto del paramento slu'!$G$54,'Progetto del paramento slu'!$G$53)*IF(N2696&lt;0,-1,1)</f>
        <v>892485.49558937876</v>
      </c>
      <c r="U2696" s="553">
        <f>'Foglio deposito bis'!$F$92*IF(ABS(O2696)&lt;'Progetto del paramento slu'!$G$58,ABS(O2696)*'Progetto del paramento slu'!$G$54,'Progetto del paramento slu'!$G$53)*IF(O2696&lt;0,-1,1)</f>
        <v>1509569.8090914269</v>
      </c>
      <c r="V2696" s="479">
        <f t="shared" si="200"/>
        <v>-92163.430526921991</v>
      </c>
      <c r="W2696" s="559"/>
      <c r="X2696" s="559"/>
    </row>
    <row r="2697" spans="1:24" x14ac:dyDescent="0.25">
      <c r="A2697" s="553">
        <f t="shared" si="199"/>
        <v>259088.11265830905</v>
      </c>
      <c r="B2697" s="3">
        <f t="shared" si="197"/>
        <v>43.899999999999942</v>
      </c>
      <c r="C2697" s="553">
        <f>'Foglio deposito bis'!$E$163/sezione!$B$247*B2697</f>
        <v>178.21974289580487</v>
      </c>
      <c r="D2697" s="611">
        <f>-'Progetto del paramento slu'!$G$47*'Progetto del paramento slu'!$G$41*IF(DATI!$G$218="dx",DATI!$E$61,DATI!$E$64*DATI!$E$63)*1000*C2697^2*sezione!$AD$5*(1-sezione!$AD$6)</f>
        <v>-261467054.64764842</v>
      </c>
      <c r="E2697" s="553">
        <f>-'Foglio deposito bis'!$F$88*(C2697-sezione!$AL$37)*IF(ABS(K2697)&lt;'Progetto del paramento slu'!$G$58,ABS(K2697)*'Progetto del paramento slu'!$G$54,'Progetto del paramento slu'!$G$53)</f>
        <v>0</v>
      </c>
      <c r="F2697" s="553">
        <f>-'Foglio deposito bis'!$F$89*(C2697-sezione!$AM$37)*IF(ABS(L2697)&lt;'Progetto del paramento slu'!$G$58,ABS(L2697)*'Progetto del paramento slu'!$G$54,'Progetto del paramento slu'!$G$53)</f>
        <v>-1265159.9719968685</v>
      </c>
      <c r="G2697" s="553">
        <f>-'Foglio deposito bis'!$F$90*(C2697-sezione!$AN$37)*IF(ABS(M2697)&lt;'Progetto del paramento slu'!$G$58,ABS(M2697)*'Progetto del paramento slu'!$G$54,'Progetto del paramento slu'!$G$53)</f>
        <v>0</v>
      </c>
      <c r="H2697" s="553">
        <f>-'Foglio deposito bis'!$F$91*(C2697-sezione!$AO$37)*IF(ABS(N2697)&lt;'Progetto del paramento slu'!$G$58,ABS(N2697)*'Progetto del paramento slu'!$G$54,'Progetto del paramento slu'!$G$53)</f>
        <v>144386532.93821469</v>
      </c>
      <c r="I2697" s="479">
        <f>-'Foglio deposito bis'!$F$92*(C2697-sezione!$AP$37)*IF(ABS(O2697)&lt;'Progetto del paramento slu'!$G$58,ABS(O2697)*'Progetto del paramento slu'!$G$54,'Progetto del paramento slu'!$G$53)</f>
        <v>114950049.59190373</v>
      </c>
      <c r="J2697" s="479">
        <f t="shared" si="198"/>
        <v>-3395632.0895268768</v>
      </c>
      <c r="K2697" s="558">
        <f>'Progetto del paramento slu'!$G$60*(sezione!$AL$37-C2697)/C2697</f>
        <v>-2.7144529123137038E-3</v>
      </c>
      <c r="L2697" s="558">
        <f>'Progetto del paramento slu'!$G$60*(sezione!$AM$37-C2697)/C2697</f>
        <v>-5.5419842117638912E-4</v>
      </c>
      <c r="M2697" s="559">
        <f>'Progetto del paramento slu'!$G$60*(sezione!$AN$37-C2697)/C2697</f>
        <v>1.6060560699609257E-3</v>
      </c>
      <c r="N2697" s="559">
        <f>'Progetto del paramento slu'!$G$60*(sezione!$AO$37-C2697)/C2697</f>
        <v>3.1771502453335184E-3</v>
      </c>
      <c r="O2697" s="559">
        <f>'Progetto del paramento slu'!$G$60*(sezione!$AP$37-C2697)/C2697</f>
        <v>1.6062524567328426E-3</v>
      </c>
      <c r="P2697" s="553">
        <f>-'Progetto del paramento slu'!$G$47*'Progetto del paramento slu'!$G$41*IF(DATI!$G$218="dx",DATI!$E$61,DATI!$E$64*DATI!$E$63)*1000*C2697*sezione!$AD$5</f>
        <v>-2512165.8916875469</v>
      </c>
      <c r="Q2697" s="553">
        <f>'Foglio deposito bis'!$F$88*IF(ABS(K2697)&lt;'Progetto del paramento slu'!$G$58,ABS(K2697)*'Progetto del paramento slu'!$G$54,'Progetto del paramento slu'!$G$53)*IF(K2697&lt;0,-1,1)</f>
        <v>0</v>
      </c>
      <c r="R2697" s="553">
        <f>'Foglio deposito bis'!$F$89*IF(ABS(L2697)&lt;'Progetto del paramento slu'!$G$58,ABS(L2697)*'Progetto del paramento slu'!$G$54,'Progetto del paramento slu'!$G$53)*IF(L2697&lt;0,-1,1)</f>
        <v>-44832.44148141925</v>
      </c>
      <c r="S2697" s="553">
        <f>'Foglio deposito bis'!$F$90*IF(ABS(M2697)&lt;'Progetto del paramento slu'!$G$58,ABS(M2697)*'Progetto del paramento slu'!$G$54,'Progetto del paramento slu'!$G$53)*IF(M2697&lt;0,-1,1)</f>
        <v>0</v>
      </c>
      <c r="T2697" s="553">
        <f>'Foglio deposito bis'!$F$91*IF(ABS(N2697)&lt;'Progetto del paramento slu'!$G$58,ABS(N2697)*'Progetto del paramento slu'!$G$54,'Progetto del paramento slu'!$G$53)*IF(N2697&lt;0,-1,1)</f>
        <v>892485.49558937876</v>
      </c>
      <c r="U2697" s="553">
        <f>'Foglio deposito bis'!$F$92*IF(ABS(O2697)&lt;'Progetto del paramento slu'!$G$58,ABS(O2697)*'Progetto del paramento slu'!$G$54,'Progetto del paramento slu'!$G$53)*IF(O2697&lt;0,-1,1)</f>
        <v>1405424.7249212784</v>
      </c>
      <c r="V2697" s="479">
        <f t="shared" si="200"/>
        <v>-259088.11265830905</v>
      </c>
      <c r="W2697" s="559"/>
      <c r="X2697" s="559"/>
    </row>
    <row r="2698" spans="1:24" x14ac:dyDescent="0.25">
      <c r="A2698" s="553">
        <f t="shared" si="199"/>
        <v>421126.38291630591</v>
      </c>
      <c r="B2698" s="3">
        <f t="shared" si="197"/>
        <v>44.899999999999942</v>
      </c>
      <c r="C2698" s="553">
        <f>'Foglio deposito bis'!$E$163/sezione!$B$247*B2698</f>
        <v>182.27941813261137</v>
      </c>
      <c r="D2698" s="611">
        <f>-'Progetto del paramento slu'!$G$47*'Progetto del paramento slu'!$G$41*IF(DATI!$G$218="dx",DATI!$E$61,DATI!$E$64*DATI!$E$63)*1000*C2698^2*sezione!$AD$5*(1-sezione!$AD$6)</f>
        <v>-273514664.6396634</v>
      </c>
      <c r="E2698" s="553">
        <f>-'Foglio deposito bis'!$F$88*(C2698-sezione!$AL$37)*IF(ABS(K2698)&lt;'Progetto del paramento slu'!$G$58,ABS(K2698)*'Progetto del paramento slu'!$G$54,'Progetto del paramento slu'!$G$53)</f>
        <v>0</v>
      </c>
      <c r="F2698" s="553">
        <f>-'Foglio deposito bis'!$F$89*(C2698-sezione!$AM$37)*IF(ABS(L2698)&lt;'Progetto del paramento slu'!$G$58,ABS(L2698)*'Progetto del paramento slu'!$G$54,'Progetto del paramento slu'!$G$53)</f>
        <v>-1618485.8690603923</v>
      </c>
      <c r="G2698" s="553">
        <f>-'Foglio deposito bis'!$F$90*(C2698-sezione!$AN$37)*IF(ABS(M2698)&lt;'Progetto del paramento slu'!$G$58,ABS(M2698)*'Progetto del paramento slu'!$G$54,'Progetto del paramento slu'!$G$53)</f>
        <v>0</v>
      </c>
      <c r="H2698" s="553">
        <f>-'Foglio deposito bis'!$F$91*(C2698-sezione!$AO$37)*IF(ABS(N2698)&lt;'Progetto del paramento slu'!$G$58,ABS(N2698)*'Progetto del paramento slu'!$G$54,'Progetto del paramento slu'!$G$53)</f>
        <v>140763331.67256153</v>
      </c>
      <c r="I2698" s="479">
        <f>-'Foglio deposito bis'!$F$92*(C2698-sezione!$AP$37)*IF(ABS(O2698)&lt;'Progetto del paramento slu'!$G$58,ABS(O2698)*'Progetto del paramento slu'!$G$54,'Progetto del paramento slu'!$G$53)</f>
        <v>101509814.20417115</v>
      </c>
      <c r="J2698" s="479">
        <f t="shared" si="198"/>
        <v>-32860004.631991118</v>
      </c>
      <c r="K2698" s="558">
        <f>'Progetto del paramento slu'!$G$60*(sezione!$AL$37-C2698)/C2698</f>
        <v>-2.731948393108499E-3</v>
      </c>
      <c r="L2698" s="558">
        <f>'Progetto del paramento slu'!$G$60*(sezione!$AM$37-C2698)/C2698</f>
        <v>-6.1980647415687054E-4</v>
      </c>
      <c r="M2698" s="559">
        <f>'Progetto del paramento slu'!$G$60*(sezione!$AN$37-C2698)/C2698</f>
        <v>1.4923354447947577E-3</v>
      </c>
      <c r="N2698" s="559">
        <f>'Progetto del paramento slu'!$G$60*(sezione!$AO$37-C2698)/C2698</f>
        <v>3.0284386585777601E-3</v>
      </c>
      <c r="O2698" s="559">
        <f>'Progetto del paramento slu'!$G$60*(sezione!$AP$37-C2698)/C2698</f>
        <v>1.492527457696476E-3</v>
      </c>
      <c r="P2698" s="553">
        <f>-'Progetto del paramento slu'!$G$47*'Progetto del paramento slu'!$G$41*IF(DATI!$G$218="dx",DATI!$E$61,DATI!$E$64*DATI!$E$63)*1000*C2698*sezione!$AD$5</f>
        <v>-2569390.6272612954</v>
      </c>
      <c r="Q2698" s="553">
        <f>'Foglio deposito bis'!$F$88*IF(ABS(K2698)&lt;'Progetto del paramento slu'!$G$58,ABS(K2698)*'Progetto del paramento slu'!$G$54,'Progetto del paramento slu'!$G$53)*IF(K2698&lt;0,-1,1)</f>
        <v>0</v>
      </c>
      <c r="R2698" s="553">
        <f>'Foglio deposito bis'!$F$89*IF(ABS(L2698)&lt;'Progetto del paramento slu'!$G$58,ABS(L2698)*'Progetto del paramento slu'!$G$54,'Progetto del paramento slu'!$G$53)*IF(L2698&lt;0,-1,1)</f>
        <v>-50139.871245859373</v>
      </c>
      <c r="S2698" s="553">
        <f>'Foglio deposito bis'!$F$90*IF(ABS(M2698)&lt;'Progetto del paramento slu'!$G$58,ABS(M2698)*'Progetto del paramento slu'!$G$54,'Progetto del paramento slu'!$G$53)*IF(M2698&lt;0,-1,1)</f>
        <v>0</v>
      </c>
      <c r="T2698" s="553">
        <f>'Foglio deposito bis'!$F$91*IF(ABS(N2698)&lt;'Progetto del paramento slu'!$G$58,ABS(N2698)*'Progetto del paramento slu'!$G$54,'Progetto del paramento slu'!$G$53)*IF(N2698&lt;0,-1,1)</f>
        <v>892485.49558937876</v>
      </c>
      <c r="U2698" s="553">
        <f>'Foglio deposito bis'!$F$92*IF(ABS(O2698)&lt;'Progetto del paramento slu'!$G$58,ABS(O2698)*'Progetto del paramento slu'!$G$54,'Progetto del paramento slu'!$G$53)*IF(O2698&lt;0,-1,1)</f>
        <v>1305918.62000147</v>
      </c>
      <c r="V2698" s="479">
        <f t="shared" si="200"/>
        <v>-421126.38291630591</v>
      </c>
      <c r="W2698" s="559"/>
      <c r="X2698" s="559"/>
    </row>
    <row r="2699" spans="1:24" x14ac:dyDescent="0.25">
      <c r="A2699" s="553">
        <f t="shared" si="199"/>
        <v>578597.61462596944</v>
      </c>
      <c r="B2699" s="3">
        <f t="shared" si="197"/>
        <v>45.899999999999942</v>
      </c>
      <c r="C2699" s="553">
        <f>'Foglio deposito bis'!$E$163/sezione!$B$247*B2699</f>
        <v>186.33909336941787</v>
      </c>
      <c r="D2699" s="611">
        <f>-'Progetto del paramento slu'!$G$47*'Progetto del paramento slu'!$G$41*IF(DATI!$G$218="dx",DATI!$E$61,DATI!$E$64*DATI!$E$63)*1000*C2699^2*sezione!$AD$5*(1-sezione!$AD$6)</f>
        <v>-285833617.19906616</v>
      </c>
      <c r="E2699" s="553">
        <f>-'Foglio deposito bis'!$F$88*(C2699-sezione!$AL$37)*IF(ABS(K2699)&lt;'Progetto del paramento slu'!$G$58,ABS(K2699)*'Progetto del paramento slu'!$G$54,'Progetto del paramento slu'!$G$53)</f>
        <v>0</v>
      </c>
      <c r="F2699" s="553">
        <f>-'Foglio deposito bis'!$F$89*(C2699-sezione!$AM$37)*IF(ABS(L2699)&lt;'Progetto del paramento slu'!$G$58,ABS(L2699)*'Progetto del paramento slu'!$G$54,'Progetto del paramento slu'!$G$53)</f>
        <v>-2006500.8495516295</v>
      </c>
      <c r="G2699" s="553">
        <f>-'Foglio deposito bis'!$F$90*(C2699-sezione!$AN$37)*IF(ABS(M2699)&lt;'Progetto del paramento slu'!$G$58,ABS(M2699)*'Progetto del paramento slu'!$G$54,'Progetto del paramento slu'!$G$53)</f>
        <v>0</v>
      </c>
      <c r="H2699" s="553">
        <f>-'Foglio deposito bis'!$F$91*(C2699-sezione!$AO$37)*IF(ABS(N2699)&lt;'Progetto del paramento slu'!$G$58,ABS(N2699)*'Progetto del paramento slu'!$G$54,'Progetto del paramento slu'!$G$53)</f>
        <v>137140130.40690836</v>
      </c>
      <c r="I2699" s="479">
        <f>-'Foglio deposito bis'!$F$92*(C2699-sezione!$AP$37)*IF(ABS(O2699)&lt;'Progetto del paramento slu'!$G$58,ABS(O2699)*'Progetto del paramento slu'!$G$54,'Progetto del paramento slu'!$G$53)</f>
        <v>89196924.452177078</v>
      </c>
      <c r="J2699" s="479">
        <f t="shared" si="198"/>
        <v>-61503063.18953234</v>
      </c>
      <c r="K2699" s="558">
        <f>'Progetto del paramento slu'!$G$60*(sezione!$AL$37-C2699)/C2699</f>
        <v>-2.7486815435854382E-3</v>
      </c>
      <c r="L2699" s="558">
        <f>'Progetto del paramento slu'!$G$60*(sezione!$AM$37-C2699)/C2699</f>
        <v>-6.8255578844539204E-4</v>
      </c>
      <c r="M2699" s="559">
        <f>'Progetto del paramento slu'!$G$60*(sezione!$AN$37-C2699)/C2699</f>
        <v>1.3835699666946537E-3</v>
      </c>
      <c r="N2699" s="559">
        <f>'Progetto del paramento slu'!$G$60*(sezione!$AO$37-C2699)/C2699</f>
        <v>2.8862068795237781E-3</v>
      </c>
      <c r="O2699" s="559">
        <f>'Progetto del paramento slu'!$G$60*(sezione!$AP$37-C2699)/C2699</f>
        <v>1.3837577963087529E-3</v>
      </c>
      <c r="P2699" s="553">
        <f>-'Progetto del paramento slu'!$G$47*'Progetto del paramento slu'!$G$41*IF(DATI!$G$218="dx",DATI!$E$61,DATI!$E$64*DATI!$E$63)*1000*C2699*sezione!$AD$5</f>
        <v>-2626615.3628350436</v>
      </c>
      <c r="Q2699" s="553">
        <f>'Foglio deposito bis'!$F$88*IF(ABS(K2699)&lt;'Progetto del paramento slu'!$G$58,ABS(K2699)*'Progetto del paramento slu'!$G$54,'Progetto del paramento slu'!$G$53)*IF(K2699&lt;0,-1,1)</f>
        <v>0</v>
      </c>
      <c r="R2699" s="553">
        <f>'Foglio deposito bis'!$F$89*IF(ABS(L2699)&lt;'Progetto del paramento slu'!$G$58,ABS(L2699)*'Progetto del paramento slu'!$G$54,'Progetto del paramento slu'!$G$53)*IF(L2699&lt;0,-1,1)</f>
        <v>-55216.040454114736</v>
      </c>
      <c r="S2699" s="553">
        <f>'Foglio deposito bis'!$F$90*IF(ABS(M2699)&lt;'Progetto del paramento slu'!$G$58,ABS(M2699)*'Progetto del paramento slu'!$G$54,'Progetto del paramento slu'!$G$53)*IF(M2699&lt;0,-1,1)</f>
        <v>0</v>
      </c>
      <c r="T2699" s="553">
        <f>'Foglio deposito bis'!$F$91*IF(ABS(N2699)&lt;'Progetto del paramento slu'!$G$58,ABS(N2699)*'Progetto del paramento slu'!$G$54,'Progetto del paramento slu'!$G$53)*IF(N2699&lt;0,-1,1)</f>
        <v>892485.49558937876</v>
      </c>
      <c r="U2699" s="553">
        <f>'Foglio deposito bis'!$F$92*IF(ABS(O2699)&lt;'Progetto del paramento slu'!$G$58,ABS(O2699)*'Progetto del paramento slu'!$G$54,'Progetto del paramento slu'!$G$53)*IF(O2699&lt;0,-1,1)</f>
        <v>1210748.2930738102</v>
      </c>
      <c r="V2699" s="479">
        <f t="shared" si="200"/>
        <v>-578597.61462596944</v>
      </c>
      <c r="W2699" s="559"/>
      <c r="X2699" s="559"/>
    </row>
    <row r="2700" spans="1:24" x14ac:dyDescent="0.25">
      <c r="A2700" s="553">
        <f t="shared" si="199"/>
        <v>731793.94244923955</v>
      </c>
      <c r="B2700" s="3">
        <f t="shared" si="197"/>
        <v>46.899999999999942</v>
      </c>
      <c r="C2700" s="553">
        <f>'Foglio deposito bis'!$E$163/sezione!$B$247*B2700</f>
        <v>190.39876860622437</v>
      </c>
      <c r="D2700" s="611">
        <f>-'Progetto del paramento slu'!$G$47*'Progetto del paramento slu'!$G$41*IF(DATI!$G$218="dx",DATI!$E$61,DATI!$E$64*DATI!$E$63)*1000*C2700^2*sezione!$AD$5*(1-sezione!$AD$6)</f>
        <v>-298423912.32585657</v>
      </c>
      <c r="E2700" s="553">
        <f>-'Foglio deposito bis'!$F$88*(C2700-sezione!$AL$37)*IF(ABS(K2700)&lt;'Progetto del paramento slu'!$G$58,ABS(K2700)*'Progetto del paramento slu'!$G$54,'Progetto del paramento slu'!$G$53)</f>
        <v>0</v>
      </c>
      <c r="F2700" s="553">
        <f>-'Foglio deposito bis'!$F$89*(C2700-sezione!$AM$37)*IF(ABS(L2700)&lt;'Progetto del paramento slu'!$G$58,ABS(L2700)*'Progetto del paramento slu'!$G$54,'Progetto del paramento slu'!$G$53)</f>
        <v>-2426985.9955540951</v>
      </c>
      <c r="G2700" s="553">
        <f>-'Foglio deposito bis'!$F$90*(C2700-sezione!$AN$37)*IF(ABS(M2700)&lt;'Progetto del paramento slu'!$G$58,ABS(M2700)*'Progetto del paramento slu'!$G$54,'Progetto del paramento slu'!$G$53)</f>
        <v>0</v>
      </c>
      <c r="H2700" s="553">
        <f>-'Foglio deposito bis'!$F$91*(C2700-sezione!$AO$37)*IF(ABS(N2700)&lt;'Progetto del paramento slu'!$G$58,ABS(N2700)*'Progetto del paramento slu'!$G$54,'Progetto del paramento slu'!$G$53)</f>
        <v>133516929.14125517</v>
      </c>
      <c r="I2700" s="479">
        <f>-'Foglio deposito bis'!$F$92*(C2700-sezione!$AP$37)*IF(ABS(O2700)&lt;'Progetto del paramento slu'!$G$58,ABS(O2700)*'Progetto del paramento slu'!$G$54,'Progetto del paramento slu'!$G$53)</f>
        <v>77939268.674786896</v>
      </c>
      <c r="J2700" s="479">
        <f t="shared" si="198"/>
        <v>-89394700.50536859</v>
      </c>
      <c r="K2700" s="558">
        <f>'Progetto del paramento slu'!$G$60*(sezione!$AL$37-C2700)/C2700</f>
        <v>-2.7647011268778594E-3</v>
      </c>
      <c r="L2700" s="558">
        <f>'Progetto del paramento slu'!$G$60*(sezione!$AM$37-C2700)/C2700</f>
        <v>-7.4262922579197233E-4</v>
      </c>
      <c r="M2700" s="559">
        <f>'Progetto del paramento slu'!$G$60*(sezione!$AN$37-C2700)/C2700</f>
        <v>1.2794426752939147E-3</v>
      </c>
      <c r="N2700" s="559">
        <f>'Progetto del paramento slu'!$G$60*(sezione!$AO$37-C2700)/C2700</f>
        <v>2.7500404215381963E-3</v>
      </c>
      <c r="O2700" s="559">
        <f>'Progetto del paramento slu'!$G$60*(sezione!$AP$37-C2700)/C2700</f>
        <v>1.2796265000121908E-3</v>
      </c>
      <c r="P2700" s="553">
        <f>-'Progetto del paramento slu'!$G$47*'Progetto del paramento slu'!$G$41*IF(DATI!$G$218="dx",DATI!$E$61,DATI!$E$64*DATI!$E$63)*1000*C2700*sezione!$AD$5</f>
        <v>-2683840.0984087917</v>
      </c>
      <c r="Q2700" s="553">
        <f>'Foglio deposito bis'!$F$88*IF(ABS(K2700)&lt;'Progetto del paramento slu'!$G$58,ABS(K2700)*'Progetto del paramento slu'!$G$54,'Progetto del paramento slu'!$G$53)*IF(K2700&lt;0,-1,1)</f>
        <v>0</v>
      </c>
      <c r="R2700" s="553">
        <f>'Foglio deposito bis'!$F$89*IF(ABS(L2700)&lt;'Progetto del paramento slu'!$G$58,ABS(L2700)*'Progetto del paramento slu'!$G$54,'Progetto del paramento slu'!$G$53)*IF(L2700&lt;0,-1,1)</f>
        <v>-60075.741892295249</v>
      </c>
      <c r="S2700" s="553">
        <f>'Foglio deposito bis'!$F$90*IF(ABS(M2700)&lt;'Progetto del paramento slu'!$G$58,ABS(M2700)*'Progetto del paramento slu'!$G$54,'Progetto del paramento slu'!$G$53)*IF(M2700&lt;0,-1,1)</f>
        <v>0</v>
      </c>
      <c r="T2700" s="553">
        <f>'Foglio deposito bis'!$F$91*IF(ABS(N2700)&lt;'Progetto del paramento slu'!$G$58,ABS(N2700)*'Progetto del paramento slu'!$G$54,'Progetto del paramento slu'!$G$53)*IF(N2700&lt;0,-1,1)</f>
        <v>892485.49558937876</v>
      </c>
      <c r="U2700" s="553">
        <f>'Foglio deposito bis'!$F$92*IF(ABS(O2700)&lt;'Progetto del paramento slu'!$G$58,ABS(O2700)*'Progetto del paramento slu'!$G$54,'Progetto del paramento slu'!$G$53)*IF(O2700&lt;0,-1,1)</f>
        <v>1119636.4022624688</v>
      </c>
      <c r="V2700" s="479">
        <f t="shared" si="200"/>
        <v>-731793.94244923955</v>
      </c>
      <c r="W2700" s="559"/>
      <c r="X2700" s="559"/>
    </row>
    <row r="2701" spans="1:24" x14ac:dyDescent="0.25">
      <c r="A2701" s="553">
        <f t="shared" si="199"/>
        <v>880983.10566918983</v>
      </c>
      <c r="B2701" s="3">
        <f t="shared" si="197"/>
        <v>47.899999999999942</v>
      </c>
      <c r="C2701" s="553">
        <f>'Foglio deposito bis'!$E$163/sezione!$B$247*B2701</f>
        <v>194.45844384303086</v>
      </c>
      <c r="D2701" s="611">
        <f>-'Progetto del paramento slu'!$G$47*'Progetto del paramento slu'!$G$41*IF(DATI!$G$218="dx",DATI!$E$61,DATI!$E$64*DATI!$E$63)*1000*C2701^2*sezione!$AD$5*(1-sezione!$AD$6)</f>
        <v>-311285550.02003473</v>
      </c>
      <c r="E2701" s="553">
        <f>-'Foglio deposito bis'!$F$88*(C2701-sezione!$AL$37)*IF(ABS(K2701)&lt;'Progetto del paramento slu'!$G$58,ABS(K2701)*'Progetto del paramento slu'!$G$54,'Progetto del paramento slu'!$G$53)</f>
        <v>0</v>
      </c>
      <c r="F2701" s="553">
        <f>-'Foglio deposito bis'!$F$89*(C2701-sezione!$AM$37)*IF(ABS(L2701)&lt;'Progetto del paramento slu'!$G$58,ABS(L2701)*'Progetto del paramento slu'!$G$54,'Progetto del paramento slu'!$G$53)</f>
        <v>-2877907.6850107186</v>
      </c>
      <c r="G2701" s="553">
        <f>-'Foglio deposito bis'!$F$90*(C2701-sezione!$AN$37)*IF(ABS(M2701)&lt;'Progetto del paramento slu'!$G$58,ABS(M2701)*'Progetto del paramento slu'!$G$54,'Progetto del paramento slu'!$G$53)</f>
        <v>0</v>
      </c>
      <c r="H2701" s="553">
        <f>-'Foglio deposito bis'!$F$91*(C2701-sezione!$AO$37)*IF(ABS(N2701)&lt;'Progetto del paramento slu'!$G$58,ABS(N2701)*'Progetto del paramento slu'!$G$54,'Progetto del paramento slu'!$G$53)</f>
        <v>129893727.87560199</v>
      </c>
      <c r="I2701" s="479">
        <f>-'Foglio deposito bis'!$F$92*(C2701-sezione!$AP$37)*IF(ABS(O2701)&lt;'Progetto del paramento slu'!$G$58,ABS(O2701)*'Progetto del paramento slu'!$G$54,'Progetto del paramento slu'!$G$53)</f>
        <v>67670757.061482608</v>
      </c>
      <c r="J2701" s="479">
        <f t="shared" si="198"/>
        <v>-116598972.76796085</v>
      </c>
      <c r="K2701" s="558">
        <f>'Progetto del paramento slu'!$G$60*(sezione!$AL$37-C2701)/C2701</f>
        <v>-2.7800518340411608E-3</v>
      </c>
      <c r="L2701" s="558">
        <f>'Progetto del paramento slu'!$G$60*(sezione!$AM$37-C2701)/C2701</f>
        <v>-8.0019437765435294E-4</v>
      </c>
      <c r="M2701" s="559">
        <f>'Progetto del paramento slu'!$G$60*(sezione!$AN$37-C2701)/C2701</f>
        <v>1.1796630787324549E-3</v>
      </c>
      <c r="N2701" s="559">
        <f>'Progetto del paramento slu'!$G$60*(sezione!$AO$37-C2701)/C2701</f>
        <v>2.6195594106501333E-3</v>
      </c>
      <c r="O2701" s="559">
        <f>'Progetto del paramento slu'!$G$60*(sezione!$AP$37-C2701)/C2701</f>
        <v>1.1798430657739404E-3</v>
      </c>
      <c r="P2701" s="553">
        <f>-'Progetto del paramento slu'!$G$47*'Progetto del paramento slu'!$G$41*IF(DATI!$G$218="dx",DATI!$E$61,DATI!$E$64*DATI!$E$63)*1000*C2701*sezione!$AD$5</f>
        <v>-2741064.8339825403</v>
      </c>
      <c r="Q2701" s="553">
        <f>'Foglio deposito bis'!$F$88*IF(ABS(K2701)&lt;'Progetto del paramento slu'!$G$58,ABS(K2701)*'Progetto del paramento slu'!$G$54,'Progetto del paramento slu'!$G$53)*IF(K2701&lt;0,-1,1)</f>
        <v>0</v>
      </c>
      <c r="R2701" s="553">
        <f>'Foglio deposito bis'!$F$89*IF(ABS(L2701)&lt;'Progetto del paramento slu'!$G$58,ABS(L2701)*'Progetto del paramento slu'!$G$54,'Progetto del paramento slu'!$G$53)*IF(L2701&lt;0,-1,1)</f>
        <v>-64732.533040781367</v>
      </c>
      <c r="S2701" s="553">
        <f>'Foglio deposito bis'!$F$90*IF(ABS(M2701)&lt;'Progetto del paramento slu'!$G$58,ABS(M2701)*'Progetto del paramento slu'!$G$54,'Progetto del paramento slu'!$G$53)*IF(M2701&lt;0,-1,1)</f>
        <v>0</v>
      </c>
      <c r="T2701" s="553">
        <f>'Foglio deposito bis'!$F$91*IF(ABS(N2701)&lt;'Progetto del paramento slu'!$G$58,ABS(N2701)*'Progetto del paramento slu'!$G$54,'Progetto del paramento slu'!$G$53)*IF(N2701&lt;0,-1,1)</f>
        <v>892485.49558937876</v>
      </c>
      <c r="U2701" s="553">
        <f>'Foglio deposito bis'!$F$92*IF(ABS(O2701)&lt;'Progetto del paramento slu'!$G$58,ABS(O2701)*'Progetto del paramento slu'!$G$54,'Progetto del paramento slu'!$G$53)*IF(O2701&lt;0,-1,1)</f>
        <v>1032328.7657647532</v>
      </c>
      <c r="V2701" s="479">
        <f t="shared" si="200"/>
        <v>-880983.10566918983</v>
      </c>
      <c r="W2701" s="559"/>
      <c r="X2701" s="559"/>
    </row>
    <row r="2702" spans="1:24" x14ac:dyDescent="0.25">
      <c r="A2702" s="553">
        <f t="shared" si="199"/>
        <v>1026410.9426050419</v>
      </c>
      <c r="B2702" s="3">
        <f t="shared" si="197"/>
        <v>48.899999999999942</v>
      </c>
      <c r="C2702" s="553">
        <f>'Foglio deposito bis'!$E$163/sezione!$B$247*B2702</f>
        <v>198.51811907983736</v>
      </c>
      <c r="D2702" s="611">
        <f>-'Progetto del paramento slu'!$G$47*'Progetto del paramento slu'!$G$41*IF(DATI!$G$218="dx",DATI!$E$61,DATI!$E$64*DATI!$E$63)*1000*C2702^2*sezione!$AD$5*(1-sezione!$AD$6)</f>
        <v>-324418530.28160065</v>
      </c>
      <c r="E2702" s="553">
        <f>-'Foglio deposito bis'!$F$88*(C2702-sezione!$AL$37)*IF(ABS(K2702)&lt;'Progetto del paramento slu'!$G$58,ABS(K2702)*'Progetto del paramento slu'!$G$54,'Progetto del paramento slu'!$G$53)</f>
        <v>0</v>
      </c>
      <c r="F2702" s="553">
        <f>-'Foglio deposito bis'!$F$89*(C2702-sezione!$AM$37)*IF(ABS(L2702)&lt;'Progetto del paramento slu'!$G$58,ABS(L2702)*'Progetto del paramento slu'!$G$54,'Progetto del paramento slu'!$G$53)</f>
        <v>-3357398.64531695</v>
      </c>
      <c r="G2702" s="553">
        <f>-'Foglio deposito bis'!$F$90*(C2702-sezione!$AN$37)*IF(ABS(M2702)&lt;'Progetto del paramento slu'!$G$58,ABS(M2702)*'Progetto del paramento slu'!$G$54,'Progetto del paramento slu'!$G$53)</f>
        <v>0</v>
      </c>
      <c r="H2702" s="553">
        <f>-'Foglio deposito bis'!$F$91*(C2702-sezione!$AO$37)*IF(ABS(N2702)&lt;'Progetto del paramento slu'!$G$58,ABS(N2702)*'Progetto del paramento slu'!$G$54,'Progetto del paramento slu'!$G$53)</f>
        <v>126270526.60994883</v>
      </c>
      <c r="I2702" s="479">
        <f>-'Foglio deposito bis'!$F$92*(C2702-sezione!$AP$37)*IF(ABS(O2702)&lt;'Progetto del paramento slu'!$G$58,ABS(O2702)*'Progetto del paramento slu'!$G$54,'Progetto del paramento slu'!$G$53)</f>
        <v>58330705.921215989</v>
      </c>
      <c r="J2702" s="479">
        <f t="shared" si="198"/>
        <v>-143174696.39575282</v>
      </c>
      <c r="K2702" s="558">
        <f>'Progetto del paramento slu'!$G$60*(sezione!$AL$37-C2702)/C2702</f>
        <v>-2.794774700420687E-3</v>
      </c>
      <c r="L2702" s="558">
        <f>'Progetto del paramento slu'!$G$60*(sezione!$AM$37-C2702)/C2702</f>
        <v>-8.5540512657757692E-4</v>
      </c>
      <c r="M2702" s="559">
        <f>'Progetto del paramento slu'!$G$60*(sezione!$AN$37-C2702)/C2702</f>
        <v>1.0839644472655334E-3</v>
      </c>
      <c r="N2702" s="559">
        <f>'Progetto del paramento slu'!$G$60*(sezione!$AO$37-C2702)/C2702</f>
        <v>2.494415046424159E-3</v>
      </c>
      <c r="O2702" s="559">
        <f>'Progetto del paramento slu'!$G$60*(sezione!$AP$37-C2702)/C2702</f>
        <v>1.0841407535904242E-3</v>
      </c>
      <c r="P2702" s="553">
        <f>-'Progetto del paramento slu'!$G$47*'Progetto del paramento slu'!$G$41*IF(DATI!$G$218="dx",DATI!$E$61,DATI!$E$64*DATI!$E$63)*1000*C2702*sezione!$AD$5</f>
        <v>-2798289.5695562889</v>
      </c>
      <c r="Q2702" s="553">
        <f>'Foglio deposito bis'!$F$88*IF(ABS(K2702)&lt;'Progetto del paramento slu'!$G$58,ABS(K2702)*'Progetto del paramento slu'!$G$54,'Progetto del paramento slu'!$G$53)*IF(K2702&lt;0,-1,1)</f>
        <v>0</v>
      </c>
      <c r="R2702" s="553">
        <f>'Foglio deposito bis'!$F$89*IF(ABS(L2702)&lt;'Progetto del paramento slu'!$G$58,ABS(L2702)*'Progetto del paramento slu'!$G$54,'Progetto del paramento slu'!$G$53)*IF(L2702&lt;0,-1,1)</f>
        <v>-69198.862383603439</v>
      </c>
      <c r="S2702" s="553">
        <f>'Foglio deposito bis'!$F$90*IF(ABS(M2702)&lt;'Progetto del paramento slu'!$G$58,ABS(M2702)*'Progetto del paramento slu'!$G$54,'Progetto del paramento slu'!$G$53)*IF(M2702&lt;0,-1,1)</f>
        <v>0</v>
      </c>
      <c r="T2702" s="553">
        <f>'Foglio deposito bis'!$F$91*IF(ABS(N2702)&lt;'Progetto del paramento slu'!$G$58,ABS(N2702)*'Progetto del paramento slu'!$G$54,'Progetto del paramento slu'!$G$53)*IF(N2702&lt;0,-1,1)</f>
        <v>892485.49558937876</v>
      </c>
      <c r="U2702" s="553">
        <f>'Foglio deposito bis'!$F$92*IF(ABS(O2702)&lt;'Progetto del paramento slu'!$G$58,ABS(O2702)*'Progetto del paramento slu'!$G$54,'Progetto del paramento slu'!$G$53)*IF(O2702&lt;0,-1,1)</f>
        <v>948591.99374547182</v>
      </c>
      <c r="V2702" s="479">
        <f t="shared" si="200"/>
        <v>-1026410.9426050419</v>
      </c>
      <c r="W2702" s="559"/>
      <c r="X2702" s="559"/>
    </row>
    <row r="2703" spans="1:24" x14ac:dyDescent="0.25">
      <c r="A2703" s="553">
        <f t="shared" si="199"/>
        <v>1168303.5850975227</v>
      </c>
      <c r="B2703" s="3">
        <f t="shared" si="197"/>
        <v>49.899999999999942</v>
      </c>
      <c r="C2703" s="553">
        <f>'Foglio deposito bis'!$E$163/sezione!$B$247*B2703</f>
        <v>202.57779431664386</v>
      </c>
      <c r="D2703" s="611">
        <f>-'Progetto del paramento slu'!$G$47*'Progetto del paramento slu'!$G$41*IF(DATI!$G$218="dx",DATI!$E$61,DATI!$E$64*DATI!$E$63)*1000*C2703^2*sezione!$AD$5*(1-sezione!$AD$6)</f>
        <v>-337822853.11055434</v>
      </c>
      <c r="E2703" s="553">
        <f>-'Foglio deposito bis'!$F$88*(C2703-sezione!$AL$37)*IF(ABS(K2703)&lt;'Progetto del paramento slu'!$G$58,ABS(K2703)*'Progetto del paramento slu'!$G$54,'Progetto del paramento slu'!$G$53)</f>
        <v>0</v>
      </c>
      <c r="F2703" s="553">
        <f>-'Foglio deposito bis'!$F$89*(C2703-sezione!$AM$37)*IF(ABS(L2703)&lt;'Progetto del paramento slu'!$G$58,ABS(L2703)*'Progetto del paramento slu'!$G$54,'Progetto del paramento slu'!$G$53)</f>
        <v>-3863741.2850389453</v>
      </c>
      <c r="G2703" s="553">
        <f>-'Foglio deposito bis'!$F$90*(C2703-sezione!$AN$37)*IF(ABS(M2703)&lt;'Progetto del paramento slu'!$G$58,ABS(M2703)*'Progetto del paramento slu'!$G$54,'Progetto del paramento slu'!$G$53)</f>
        <v>0</v>
      </c>
      <c r="H2703" s="553">
        <f>-'Foglio deposito bis'!$F$91*(C2703-sezione!$AO$37)*IF(ABS(N2703)&lt;'Progetto del paramento slu'!$G$58,ABS(N2703)*'Progetto del paramento slu'!$G$54,'Progetto del paramento slu'!$G$53)</f>
        <v>122647325.34429567</v>
      </c>
      <c r="I2703" s="479">
        <f>-'Foglio deposito bis'!$F$92*(C2703-sezione!$AP$37)*IF(ABS(O2703)&lt;'Progetto del paramento slu'!$G$58,ABS(O2703)*'Progetto del paramento slu'!$G$54,'Progetto del paramento slu'!$G$53)</f>
        <v>49863295.987070933</v>
      </c>
      <c r="J2703" s="479">
        <f t="shared" si="198"/>
        <v>-169175973.06422669</v>
      </c>
      <c r="K2703" s="558">
        <f>'Progetto del paramento slu'!$G$60*(sezione!$AL$37-C2703)/C2703</f>
        <v>-2.8089074719553427E-3</v>
      </c>
      <c r="L2703" s="558">
        <f>'Progetto del paramento slu'!$G$60*(sezione!$AM$37-C2703)/C2703</f>
        <v>-9.0840301983253547E-4</v>
      </c>
      <c r="M2703" s="559">
        <f>'Progetto del paramento slu'!$G$60*(sezione!$AN$37-C2703)/C2703</f>
        <v>9.9210143229027195E-4</v>
      </c>
      <c r="N2703" s="559">
        <f>'Progetto del paramento slu'!$G$60*(sezione!$AO$37-C2703)/C2703</f>
        <v>2.3742864883795865E-3</v>
      </c>
      <c r="O2703" s="559">
        <f>'Progetto del paramento slu'!$G$60*(sezione!$AP$37-C2703)/C2703</f>
        <v>9.9227420542227903E-4</v>
      </c>
      <c r="P2703" s="553">
        <f>-'Progetto del paramento slu'!$G$47*'Progetto del paramento slu'!$G$41*IF(DATI!$G$218="dx",DATI!$E$61,DATI!$E$64*DATI!$E$63)*1000*C2703*sezione!$AD$5</f>
        <v>-2855514.305130037</v>
      </c>
      <c r="Q2703" s="553">
        <f>'Foglio deposito bis'!$F$88*IF(ABS(K2703)&lt;'Progetto del paramento slu'!$G$58,ABS(K2703)*'Progetto del paramento slu'!$G$54,'Progetto del paramento slu'!$G$53)*IF(K2703&lt;0,-1,1)</f>
        <v>0</v>
      </c>
      <c r="R2703" s="553">
        <f>'Foglio deposito bis'!$F$89*IF(ABS(L2703)&lt;'Progetto del paramento slu'!$G$58,ABS(L2703)*'Progetto del paramento slu'!$G$54,'Progetto del paramento slu'!$G$53)*IF(L2703&lt;0,-1,1)</f>
        <v>-73486.180530320416</v>
      </c>
      <c r="S2703" s="553">
        <f>'Foglio deposito bis'!$F$90*IF(ABS(M2703)&lt;'Progetto del paramento slu'!$G$58,ABS(M2703)*'Progetto del paramento slu'!$G$54,'Progetto del paramento slu'!$G$53)*IF(M2703&lt;0,-1,1)</f>
        <v>0</v>
      </c>
      <c r="T2703" s="553">
        <f>'Foglio deposito bis'!$F$91*IF(ABS(N2703)&lt;'Progetto del paramento slu'!$G$58,ABS(N2703)*'Progetto del paramento slu'!$G$54,'Progetto del paramento slu'!$G$53)*IF(N2703&lt;0,-1,1)</f>
        <v>892485.49558937876</v>
      </c>
      <c r="U2703" s="553">
        <f>'Foglio deposito bis'!$F$92*IF(ABS(O2703)&lt;'Progetto del paramento slu'!$G$58,ABS(O2703)*'Progetto del paramento slu'!$G$54,'Progetto del paramento slu'!$G$53)*IF(O2703&lt;0,-1,1)</f>
        <v>868211.40497345594</v>
      </c>
      <c r="V2703" s="479">
        <f t="shared" si="200"/>
        <v>-1168303.5850975227</v>
      </c>
      <c r="W2703" s="559"/>
      <c r="X2703" s="559"/>
    </row>
    <row r="2704" spans="1:24" x14ac:dyDescent="0.25">
      <c r="A2704" s="553">
        <f t="shared" si="199"/>
        <v>1306869.3943122537</v>
      </c>
      <c r="B2704" s="3">
        <f t="shared" si="197"/>
        <v>50.899999999999942</v>
      </c>
      <c r="C2704" s="553">
        <f>'Foglio deposito bis'!$E$163/sezione!$B$247*B2704</f>
        <v>206.63746955345036</v>
      </c>
      <c r="D2704" s="611">
        <f>-'Progetto del paramento slu'!$G$47*'Progetto del paramento slu'!$G$41*IF(DATI!$G$218="dx",DATI!$E$61,DATI!$E$64*DATI!$E$63)*1000*C2704^2*sezione!$AD$5*(1-sezione!$AD$6)</f>
        <v>-351498518.5068956</v>
      </c>
      <c r="E2704" s="553">
        <f>-'Foglio deposito bis'!$F$88*(C2704-sezione!$AL$37)*IF(ABS(K2704)&lt;'Progetto del paramento slu'!$G$58,ABS(K2704)*'Progetto del paramento slu'!$G$54,'Progetto del paramento slu'!$G$53)</f>
        <v>0</v>
      </c>
      <c r="F2704" s="553">
        <f>-'Foglio deposito bis'!$F$89*(C2704-sezione!$AM$37)*IF(ABS(L2704)&lt;'Progetto del paramento slu'!$G$58,ABS(L2704)*'Progetto del paramento slu'!$G$54,'Progetto del paramento slu'!$G$53)</f>
        <v>-4395352.9904586831</v>
      </c>
      <c r="G2704" s="553">
        <f>-'Foglio deposito bis'!$F$90*(C2704-sezione!$AN$37)*IF(ABS(M2704)&lt;'Progetto del paramento slu'!$G$58,ABS(M2704)*'Progetto del paramento slu'!$G$54,'Progetto del paramento slu'!$G$53)</f>
        <v>0</v>
      </c>
      <c r="H2704" s="553">
        <f>-'Foglio deposito bis'!$F$91*(C2704-sezione!$AO$37)*IF(ABS(N2704)&lt;'Progetto del paramento slu'!$G$58,ABS(N2704)*'Progetto del paramento slu'!$G$54,'Progetto del paramento slu'!$G$53)</f>
        <v>119024124.07864246</v>
      </c>
      <c r="I2704" s="479">
        <f>-'Foglio deposito bis'!$F$92*(C2704-sezione!$AP$37)*IF(ABS(O2704)&lt;'Progetto del paramento slu'!$G$58,ABS(O2704)*'Progetto del paramento slu'!$G$54,'Progetto del paramento slu'!$G$53)</f>
        <v>42217094.574993156</v>
      </c>
      <c r="J2704" s="479">
        <f t="shared" si="198"/>
        <v>-194652652.84371865</v>
      </c>
      <c r="K2704" s="558">
        <f>'Progetto del paramento slu'!$G$60*(sezione!$AL$37-C2704)/C2704</f>
        <v>-2.8224849283019961E-3</v>
      </c>
      <c r="L2704" s="558">
        <f>'Progetto del paramento slu'!$G$60*(sezione!$AM$37-C2704)/C2704</f>
        <v>-9.5931848113248576E-4</v>
      </c>
      <c r="M2704" s="559">
        <f>'Progetto del paramento slu'!$G$60*(sezione!$AN$37-C2704)/C2704</f>
        <v>9.0384796603702484E-4</v>
      </c>
      <c r="N2704" s="559">
        <f>'Progetto del paramento slu'!$G$60*(sezione!$AO$37-C2704)/C2704</f>
        <v>2.2588781094330327E-3</v>
      </c>
      <c r="O2704" s="559">
        <f>'Progetto del paramento slu'!$G$60*(sezione!$AP$37-C2704)/C2704</f>
        <v>9.0401734480494535E-4</v>
      </c>
      <c r="P2704" s="553">
        <f>-'Progetto del paramento slu'!$G$47*'Progetto del paramento slu'!$G$41*IF(DATI!$G$218="dx",DATI!$E$61,DATI!$E$64*DATI!$E$63)*1000*C2704*sezione!$AD$5</f>
        <v>-2912739.0407037851</v>
      </c>
      <c r="Q2704" s="553">
        <f>'Foglio deposito bis'!$F$88*IF(ABS(K2704)&lt;'Progetto del paramento slu'!$G$58,ABS(K2704)*'Progetto del paramento slu'!$G$54,'Progetto del paramento slu'!$G$53)*IF(K2704&lt;0,-1,1)</f>
        <v>0</v>
      </c>
      <c r="R2704" s="553">
        <f>'Foglio deposito bis'!$F$89*IF(ABS(L2704)&lt;'Progetto del paramento slu'!$G$58,ABS(L2704)*'Progetto del paramento slu'!$G$54,'Progetto del paramento slu'!$G$53)*IF(L2704&lt;0,-1,1)</f>
        <v>-77605.038239052446</v>
      </c>
      <c r="S2704" s="553">
        <f>'Foglio deposito bis'!$F$90*IF(ABS(M2704)&lt;'Progetto del paramento slu'!$G$58,ABS(M2704)*'Progetto del paramento slu'!$G$54,'Progetto del paramento slu'!$G$53)*IF(M2704&lt;0,-1,1)</f>
        <v>0</v>
      </c>
      <c r="T2704" s="553">
        <f>'Foglio deposito bis'!$F$91*IF(ABS(N2704)&lt;'Progetto del paramento slu'!$G$58,ABS(N2704)*'Progetto del paramento slu'!$G$54,'Progetto del paramento slu'!$G$53)*IF(N2704&lt;0,-1,1)</f>
        <v>892485.49558937876</v>
      </c>
      <c r="U2704" s="553">
        <f>'Foglio deposito bis'!$F$92*IF(ABS(O2704)&lt;'Progetto del paramento slu'!$G$58,ABS(O2704)*'Progetto del paramento slu'!$G$54,'Progetto del paramento slu'!$G$53)*IF(O2704&lt;0,-1,1)</f>
        <v>790989.18904120533</v>
      </c>
      <c r="V2704" s="479">
        <f t="shared" si="200"/>
        <v>-1306869.3943122537</v>
      </c>
      <c r="W2704" s="559"/>
      <c r="X2704" s="559"/>
    </row>
    <row r="2705" spans="1:24" x14ac:dyDescent="0.25">
      <c r="A2705" s="553">
        <f t="shared" si="199"/>
        <v>1442300.6727508381</v>
      </c>
      <c r="B2705" s="3">
        <f t="shared" si="197"/>
        <v>51.899999999999942</v>
      </c>
      <c r="C2705" s="553">
        <f>'Foglio deposito bis'!$E$163/sezione!$B$247*B2705</f>
        <v>210.69714479025683</v>
      </c>
      <c r="D2705" s="611">
        <f>-'Progetto del paramento slu'!$G$47*'Progetto del paramento slu'!$G$41*IF(DATI!$G$218="dx",DATI!$E$61,DATI!$E$64*DATI!$E$63)*1000*C2705^2*sezione!$AD$5*(1-sezione!$AD$6)</f>
        <v>-365445526.47062463</v>
      </c>
      <c r="E2705" s="553">
        <f>-'Foglio deposito bis'!$F$88*(C2705-sezione!$AL$37)*IF(ABS(K2705)&lt;'Progetto del paramento slu'!$G$58,ABS(K2705)*'Progetto del paramento slu'!$G$54,'Progetto del paramento slu'!$G$53)</f>
        <v>0</v>
      </c>
      <c r="F2705" s="553">
        <f>-'Foglio deposito bis'!$F$89*(C2705-sezione!$AM$37)*IF(ABS(L2705)&lt;'Progetto del paramento slu'!$G$58,ABS(L2705)*'Progetto del paramento slu'!$G$54,'Progetto del paramento slu'!$G$53)</f>
        <v>-4950773.1219404517</v>
      </c>
      <c r="G2705" s="553">
        <f>-'Foglio deposito bis'!$F$90*(C2705-sezione!$AN$37)*IF(ABS(M2705)&lt;'Progetto del paramento slu'!$G$58,ABS(M2705)*'Progetto del paramento slu'!$G$54,'Progetto del paramento slu'!$G$53)</f>
        <v>0</v>
      </c>
      <c r="H2705" s="553">
        <f>-'Foglio deposito bis'!$F$91*(C2705-sezione!$AO$37)*IF(ABS(N2705)&lt;'Progetto del paramento slu'!$G$58,ABS(N2705)*'Progetto del paramento slu'!$G$54,'Progetto del paramento slu'!$G$53)</f>
        <v>115400922.81298932</v>
      </c>
      <c r="I2705" s="479">
        <f>-'Foglio deposito bis'!$F$92*(C2705-sezione!$AP$37)*IF(ABS(O2705)&lt;'Progetto del paramento slu'!$G$58,ABS(O2705)*'Progetto del paramento slu'!$G$54,'Progetto del paramento slu'!$G$53)</f>
        <v>35344632.984285146</v>
      </c>
      <c r="J2705" s="479">
        <f t="shared" si="198"/>
        <v>-219650743.79529059</v>
      </c>
      <c r="K2705" s="558">
        <f>'Progetto del paramento slu'!$G$60*(sezione!$AL$37-C2705)/C2705</f>
        <v>-2.8355391686044626E-3</v>
      </c>
      <c r="L2705" s="558">
        <f>'Progetto del paramento slu'!$G$60*(sezione!$AM$37-C2705)/C2705</f>
        <v>-1.0082718822667343E-3</v>
      </c>
      <c r="M2705" s="559">
        <f>'Progetto del paramento slu'!$G$60*(sezione!$AN$37-C2705)/C2705</f>
        <v>8.1899540407099388E-4</v>
      </c>
      <c r="N2705" s="559">
        <f>'Progetto del paramento slu'!$G$60*(sezione!$AO$37-C2705)/C2705</f>
        <v>2.1479170668620689E-3</v>
      </c>
      <c r="O2705" s="559">
        <f>'Progetto del paramento slu'!$G$60*(sezione!$AP$37-C2705)/C2705</f>
        <v>8.1916151927883889E-4</v>
      </c>
      <c r="P2705" s="553">
        <f>-'Progetto del paramento slu'!$G$47*'Progetto del paramento slu'!$G$41*IF(DATI!$G$218="dx",DATI!$E$61,DATI!$E$64*DATI!$E$63)*1000*C2705*sezione!$AD$5</f>
        <v>-2969963.7762775333</v>
      </c>
      <c r="Q2705" s="553">
        <f>'Foglio deposito bis'!$F$88*IF(ABS(K2705)&lt;'Progetto del paramento slu'!$G$58,ABS(K2705)*'Progetto del paramento slu'!$G$54,'Progetto del paramento slu'!$G$53)*IF(K2705&lt;0,-1,1)</f>
        <v>0</v>
      </c>
      <c r="R2705" s="553">
        <f>'Foglio deposito bis'!$F$89*IF(ABS(L2705)&lt;'Progetto del paramento slu'!$G$58,ABS(L2705)*'Progetto del paramento slu'!$G$54,'Progetto del paramento slu'!$G$53)*IF(L2705&lt;0,-1,1)</f>
        <v>-81565.173107370865</v>
      </c>
      <c r="S2705" s="553">
        <f>'Foglio deposito bis'!$F$90*IF(ABS(M2705)&lt;'Progetto del paramento slu'!$G$58,ABS(M2705)*'Progetto del paramento slu'!$G$54,'Progetto del paramento slu'!$G$53)*IF(M2705&lt;0,-1,1)</f>
        <v>0</v>
      </c>
      <c r="T2705" s="553">
        <f>'Foglio deposito bis'!$F$91*IF(ABS(N2705)&lt;'Progetto del paramento slu'!$G$58,ABS(N2705)*'Progetto del paramento slu'!$G$54,'Progetto del paramento slu'!$G$53)*IF(N2705&lt;0,-1,1)</f>
        <v>892485.49558937876</v>
      </c>
      <c r="U2705" s="553">
        <f>'Foglio deposito bis'!$F$92*IF(ABS(O2705)&lt;'Progetto del paramento slu'!$G$58,ABS(O2705)*'Progetto del paramento slu'!$G$54,'Progetto del paramento slu'!$G$53)*IF(O2705&lt;0,-1,1)</f>
        <v>716742.78104468726</v>
      </c>
      <c r="V2705" s="479">
        <f t="shared" si="200"/>
        <v>-1442300.6727508381</v>
      </c>
      <c r="W2705" s="559"/>
      <c r="X2705" s="559"/>
    </row>
    <row r="2706" spans="1:24" x14ac:dyDescent="0.25">
      <c r="A2706" s="553">
        <f t="shared" si="199"/>
        <v>1574775.1820830028</v>
      </c>
      <c r="B2706" s="3">
        <f t="shared" si="197"/>
        <v>52.899999999999942</v>
      </c>
      <c r="C2706" s="553">
        <f>'Foglio deposito bis'!$E$163/sezione!$B$247*B2706</f>
        <v>214.75682002706333</v>
      </c>
      <c r="D2706" s="611">
        <f>-'Progetto del paramento slu'!$G$47*'Progetto del paramento slu'!$G$41*IF(DATI!$G$218="dx",DATI!$E$61,DATI!$E$64*DATI!$E$63)*1000*C2706^2*sezione!$AD$5*(1-sezione!$AD$6)</f>
        <v>-379663877.00174141</v>
      </c>
      <c r="E2706" s="553">
        <f>-'Foglio deposito bis'!$F$88*(C2706-sezione!$AL$37)*IF(ABS(K2706)&lt;'Progetto del paramento slu'!$G$58,ABS(K2706)*'Progetto del paramento slu'!$G$54,'Progetto del paramento slu'!$G$53)</f>
        <v>0</v>
      </c>
      <c r="F2706" s="553">
        <f>-'Foglio deposito bis'!$F$89*(C2706-sezione!$AM$37)*IF(ABS(L2706)&lt;'Progetto del paramento slu'!$G$58,ABS(L2706)*'Progetto del paramento slu'!$G$54,'Progetto del paramento slu'!$G$53)</f>
        <v>-5528651.485189626</v>
      </c>
      <c r="G2706" s="553">
        <f>-'Foglio deposito bis'!$F$90*(C2706-sezione!$AN$37)*IF(ABS(M2706)&lt;'Progetto del paramento slu'!$G$58,ABS(M2706)*'Progetto del paramento slu'!$G$54,'Progetto del paramento slu'!$G$53)</f>
        <v>0</v>
      </c>
      <c r="H2706" s="553">
        <f>-'Foglio deposito bis'!$F$91*(C2706-sezione!$AO$37)*IF(ABS(N2706)&lt;'Progetto del paramento slu'!$G$58,ABS(N2706)*'Progetto del paramento slu'!$G$54,'Progetto del paramento slu'!$G$53)</f>
        <v>111777721.54733615</v>
      </c>
      <c r="I2706" s="479">
        <f>-'Foglio deposito bis'!$F$92*(C2706-sezione!$AP$37)*IF(ABS(O2706)&lt;'Progetto del paramento slu'!$G$58,ABS(O2706)*'Progetto del paramento slu'!$G$54,'Progetto del paramento slu'!$G$53)</f>
        <v>29202031.829992011</v>
      </c>
      <c r="J2706" s="479">
        <f t="shared" si="198"/>
        <v>-244212775.10960287</v>
      </c>
      <c r="K2706" s="558">
        <f>'Progetto del paramento slu'!$G$60*(sezione!$AL$37-C2706)/C2706</f>
        <v>-2.8480998648501249E-3</v>
      </c>
      <c r="L2706" s="558">
        <f>'Progetto del paramento slu'!$G$60*(sezione!$AM$37-C2706)/C2706</f>
        <v>-1.0553744931879681E-3</v>
      </c>
      <c r="M2706" s="559">
        <f>'Progetto del paramento slu'!$G$60*(sezione!$AN$37-C2706)/C2706</f>
        <v>7.3735087847418858E-4</v>
      </c>
      <c r="N2706" s="559">
        <f>'Progetto del paramento slu'!$G$60*(sezione!$AO$37-C2706)/C2706</f>
        <v>2.0411511487739391E-3</v>
      </c>
      <c r="O2706" s="559">
        <f>'Progetto del paramento slu'!$G$60*(sezione!$AP$37-C2706)/C2706</f>
        <v>7.3751385350797217E-4</v>
      </c>
      <c r="P2706" s="553">
        <f>-'Progetto del paramento slu'!$G$47*'Progetto del paramento slu'!$G$41*IF(DATI!$G$218="dx",DATI!$E$61,DATI!$E$64*DATI!$E$63)*1000*C2706*sezione!$AD$5</f>
        <v>-3027188.5118512819</v>
      </c>
      <c r="Q2706" s="553">
        <f>'Foglio deposito bis'!$F$88*IF(ABS(K2706)&lt;'Progetto del paramento slu'!$G$58,ABS(K2706)*'Progetto del paramento slu'!$G$54,'Progetto del paramento slu'!$G$53)*IF(K2706&lt;0,-1,1)</f>
        <v>0</v>
      </c>
      <c r="R2706" s="553">
        <f>'Foglio deposito bis'!$F$89*IF(ABS(L2706)&lt;'Progetto del paramento slu'!$G$58,ABS(L2706)*'Progetto del paramento slu'!$G$54,'Progetto del paramento slu'!$G$53)*IF(L2706&lt;0,-1,1)</f>
        <v>-85375.586430573312</v>
      </c>
      <c r="S2706" s="553">
        <f>'Foglio deposito bis'!$F$90*IF(ABS(M2706)&lt;'Progetto del paramento slu'!$G$58,ABS(M2706)*'Progetto del paramento slu'!$G$54,'Progetto del paramento slu'!$G$53)*IF(M2706&lt;0,-1,1)</f>
        <v>0</v>
      </c>
      <c r="T2706" s="553">
        <f>'Foglio deposito bis'!$F$91*IF(ABS(N2706)&lt;'Progetto del paramento slu'!$G$58,ABS(N2706)*'Progetto del paramento slu'!$G$54,'Progetto del paramento slu'!$G$53)*IF(N2706&lt;0,-1,1)</f>
        <v>892485.49558937876</v>
      </c>
      <c r="U2706" s="553">
        <f>'Foglio deposito bis'!$F$92*IF(ABS(O2706)&lt;'Progetto del paramento slu'!$G$58,ABS(O2706)*'Progetto del paramento slu'!$G$54,'Progetto del paramento slu'!$G$53)*IF(O2706&lt;0,-1,1)</f>
        <v>645303.4206094736</v>
      </c>
      <c r="V2706" s="479">
        <f t="shared" si="200"/>
        <v>-1574775.1820830028</v>
      </c>
      <c r="W2706" s="559"/>
      <c r="X2706" s="559"/>
    </row>
    <row r="2707" spans="1:24" x14ac:dyDescent="0.25">
      <c r="A2707" s="553">
        <f t="shared" si="199"/>
        <v>1704457.4920178228</v>
      </c>
      <c r="B2707" s="3">
        <f t="shared" si="197"/>
        <v>53.899999999999942</v>
      </c>
      <c r="C2707" s="553">
        <f>'Foglio deposito bis'!$E$163/sezione!$B$247*B2707</f>
        <v>218.81649526386983</v>
      </c>
      <c r="D2707" s="611">
        <f>-'Progetto del paramento slu'!$G$47*'Progetto del paramento slu'!$G$41*IF(DATI!$G$218="dx",DATI!$E$61,DATI!$E$64*DATI!$E$63)*1000*C2707^2*sezione!$AD$5*(1-sezione!$AD$6)</f>
        <v>-394153570.10024601</v>
      </c>
      <c r="E2707" s="553">
        <f>-'Foglio deposito bis'!$F$88*(C2707-sezione!$AL$37)*IF(ABS(K2707)&lt;'Progetto del paramento slu'!$G$58,ABS(K2707)*'Progetto del paramento slu'!$G$54,'Progetto del paramento slu'!$G$53)</f>
        <v>0</v>
      </c>
      <c r="F2707" s="553">
        <f>-'Foglio deposito bis'!$F$89*(C2707-sezione!$AM$37)*IF(ABS(L2707)&lt;'Progetto del paramento slu'!$G$58,ABS(L2707)*'Progetto del paramento slu'!$G$54,'Progetto del paramento slu'!$G$53)</f>
        <v>-6127738.0858592214</v>
      </c>
      <c r="G2707" s="553">
        <f>-'Foglio deposito bis'!$F$90*(C2707-sezione!$AN$37)*IF(ABS(M2707)&lt;'Progetto del paramento slu'!$G$58,ABS(M2707)*'Progetto del paramento slu'!$G$54,'Progetto del paramento slu'!$G$53)</f>
        <v>0</v>
      </c>
      <c r="H2707" s="553">
        <f>-'Foglio deposito bis'!$F$91*(C2707-sezione!$AO$37)*IF(ABS(N2707)&lt;'Progetto del paramento slu'!$G$58,ABS(N2707)*'Progetto del paramento slu'!$G$54,'Progetto del paramento slu'!$G$53)</f>
        <v>108154520.28168298</v>
      </c>
      <c r="I2707" s="479">
        <f>-'Foglio deposito bis'!$F$92*(C2707-sezione!$AP$37)*IF(ABS(O2707)&lt;'Progetto del paramento slu'!$G$58,ABS(O2707)*'Progetto del paramento slu'!$G$54,'Progetto del paramento slu'!$G$53)</f>
        <v>23748668.082257688</v>
      </c>
      <c r="J2707" s="479">
        <f t="shared" si="198"/>
        <v>-268378119.8221646</v>
      </c>
      <c r="K2707" s="558">
        <f>'Progetto del paramento slu'!$G$60*(sezione!$AL$37-C2707)/C2707</f>
        <v>-2.8601944870235924E-3</v>
      </c>
      <c r="L2707" s="558">
        <f>'Progetto del paramento slu'!$G$60*(sezione!$AM$37-C2707)/C2707</f>
        <v>-1.1007293263384696E-3</v>
      </c>
      <c r="M2707" s="559">
        <f>'Progetto del paramento slu'!$G$60*(sezione!$AN$37-C2707)/C2707</f>
        <v>6.5873583434665245E-4</v>
      </c>
      <c r="N2707" s="559">
        <f>'Progetto del paramento slu'!$G$60*(sezione!$AO$37-C2707)/C2707</f>
        <v>1.9383468602994685E-3</v>
      </c>
      <c r="O2707" s="559">
        <f>'Progetto del paramento slu'!$G$60*(sezione!$AP$37-C2707)/C2707</f>
        <v>6.5889578572489286E-4</v>
      </c>
      <c r="P2707" s="553">
        <f>-'Progetto del paramento slu'!$G$47*'Progetto del paramento slu'!$G$41*IF(DATI!$G$218="dx",DATI!$E$61,DATI!$E$64*DATI!$E$63)*1000*C2707*sezione!$AD$5</f>
        <v>-3084413.24742503</v>
      </c>
      <c r="Q2707" s="553">
        <f>'Foglio deposito bis'!$F$88*IF(ABS(K2707)&lt;'Progetto del paramento slu'!$G$58,ABS(K2707)*'Progetto del paramento slu'!$G$54,'Progetto del paramento slu'!$G$53)*IF(K2707&lt;0,-1,1)</f>
        <v>0</v>
      </c>
      <c r="R2707" s="553">
        <f>'Foglio deposito bis'!$F$89*IF(ABS(L2707)&lt;'Progetto del paramento slu'!$G$58,ABS(L2707)*'Progetto del paramento slu'!$G$54,'Progetto del paramento slu'!$G$53)*IF(L2707&lt;0,-1,1)</f>
        <v>-89044.611504306289</v>
      </c>
      <c r="S2707" s="553">
        <f>'Foglio deposito bis'!$F$90*IF(ABS(M2707)&lt;'Progetto del paramento slu'!$G$58,ABS(M2707)*'Progetto del paramento slu'!$G$54,'Progetto del paramento slu'!$G$53)*IF(M2707&lt;0,-1,1)</f>
        <v>0</v>
      </c>
      <c r="T2707" s="553">
        <f>'Foglio deposito bis'!$F$91*IF(ABS(N2707)&lt;'Progetto del paramento slu'!$G$58,ABS(N2707)*'Progetto del paramento slu'!$G$54,'Progetto del paramento slu'!$G$53)*IF(N2707&lt;0,-1,1)</f>
        <v>892485.49558937876</v>
      </c>
      <c r="U2707" s="553">
        <f>'Foglio deposito bis'!$F$92*IF(ABS(O2707)&lt;'Progetto del paramento slu'!$G$58,ABS(O2707)*'Progetto del paramento slu'!$G$54,'Progetto del paramento slu'!$G$53)*IF(O2707&lt;0,-1,1)</f>
        <v>576514.87132213451</v>
      </c>
      <c r="V2707" s="479">
        <f t="shared" si="200"/>
        <v>-1704457.4920178228</v>
      </c>
      <c r="W2707" s="559"/>
      <c r="X2707" s="559"/>
    </row>
    <row r="2708" spans="1:24" x14ac:dyDescent="0.25">
      <c r="A2708" s="553">
        <f t="shared" si="199"/>
        <v>1859807.3214917073</v>
      </c>
      <c r="B2708" s="3">
        <f t="shared" si="197"/>
        <v>54.899999999999942</v>
      </c>
      <c r="C2708" s="553">
        <f>'Foglio deposito bis'!$E$163/sezione!$B$247*B2708</f>
        <v>222.87617050067632</v>
      </c>
      <c r="D2708" s="611">
        <f>-'Progetto del paramento slu'!$G$47*'Progetto del paramento slu'!$G$41*IF(DATI!$G$218="dx",DATI!$E$61,DATI!$E$64*DATI!$E$63)*1000*C2708^2*sezione!$AD$5*(1-sezione!$AD$6)</f>
        <v>-408914605.76613826</v>
      </c>
      <c r="E2708" s="553">
        <f>-'Foglio deposito bis'!$F$88*(C2708-sezione!$AL$37)*IF(ABS(K2708)&lt;'Progetto del paramento slu'!$G$58,ABS(K2708)*'Progetto del paramento slu'!$G$54,'Progetto del paramento slu'!$G$53)</f>
        <v>0</v>
      </c>
      <c r="F2708" s="553">
        <f>-'Foglio deposito bis'!$F$89*(C2708-sezione!$AM$37)*IF(ABS(L2708)&lt;'Progetto del paramento slu'!$G$58,ABS(L2708)*'Progetto del paramento slu'!$G$54,'Progetto del paramento slu'!$G$53)</f>
        <v>-6746874.0038716225</v>
      </c>
      <c r="G2708" s="553">
        <f>-'Foglio deposito bis'!$F$90*(C2708-sezione!$AN$37)*IF(ABS(M2708)&lt;'Progetto del paramento slu'!$G$58,ABS(M2708)*'Progetto del paramento slu'!$G$54,'Progetto del paramento slu'!$G$53)</f>
        <v>0</v>
      </c>
      <c r="H2708" s="553">
        <f>-'Foglio deposito bis'!$F$91*(C2708-sezione!$AO$37)*IF(ABS(N2708)&lt;'Progetto del paramento slu'!$G$58,ABS(N2708)*'Progetto del paramento slu'!$G$54,'Progetto del paramento slu'!$G$53)</f>
        <v>101215878.40816829</v>
      </c>
      <c r="I2708" s="479">
        <f>-'Foglio deposito bis'!$F$92*(C2708-sezione!$AP$37)*IF(ABS(O2708)&lt;'Progetto del paramento slu'!$G$58,ABS(O2708)*'Progetto del paramento slu'!$G$54,'Progetto del paramento slu'!$G$53)</f>
        <v>18946878.494822126</v>
      </c>
      <c r="J2708" s="479">
        <f t="shared" si="198"/>
        <v>-295498722.86701941</v>
      </c>
      <c r="K2708" s="558">
        <f>'Progetto del paramento slu'!$G$60*(sezione!$AL$37-C2708)/C2708</f>
        <v>-2.8718485036533987E-3</v>
      </c>
      <c r="L2708" s="558">
        <f>'Progetto del paramento slu'!$G$60*(sezione!$AM$37-C2708)/C2708</f>
        <v>-1.1444318887002464E-3</v>
      </c>
      <c r="M2708" s="559">
        <f>'Progetto del paramento slu'!$G$60*(sezione!$AN$37-C2708)/C2708</f>
        <v>5.8298472625290627E-4</v>
      </c>
      <c r="N2708" s="559">
        <f>'Progetto del paramento slu'!$G$60*(sezione!$AO$37-C2708)/C2708</f>
        <v>1.8392877189461084E-3</v>
      </c>
      <c r="O2708" s="559">
        <f>'Progetto del paramento slu'!$G$60*(sezione!$AP$37-C2708)/C2708</f>
        <v>5.8314176412698924E-4</v>
      </c>
      <c r="P2708" s="553">
        <f>-'Progetto del paramento slu'!$G$47*'Progetto del paramento slu'!$G$41*IF(DATI!$G$218="dx",DATI!$E$61,DATI!$E$64*DATI!$E$63)*1000*C2708*sezione!$AD$5</f>
        <v>-3141637.9829987781</v>
      </c>
      <c r="Q2708" s="553">
        <f>'Foglio deposito bis'!$F$88*IF(ABS(K2708)&lt;'Progetto del paramento slu'!$G$58,ABS(K2708)*'Progetto del paramento slu'!$G$54,'Progetto del paramento slu'!$G$53)*IF(K2708&lt;0,-1,1)</f>
        <v>0</v>
      </c>
      <c r="R2708" s="553">
        <f>'Foglio deposito bis'!$F$89*IF(ABS(L2708)&lt;'Progetto del paramento slu'!$G$58,ABS(L2708)*'Progetto del paramento slu'!$G$54,'Progetto del paramento slu'!$G$53)*IF(L2708&lt;0,-1,1)</f>
        <v>-92579.974462420592</v>
      </c>
      <c r="S2708" s="553">
        <f>'Foglio deposito bis'!$F$90*IF(ABS(M2708)&lt;'Progetto del paramento slu'!$G$58,ABS(M2708)*'Progetto del paramento slu'!$G$54,'Progetto del paramento slu'!$G$53)*IF(M2708&lt;0,-1,1)</f>
        <v>0</v>
      </c>
      <c r="T2708" s="553">
        <f>'Foglio deposito bis'!$F$91*IF(ABS(N2708)&lt;'Progetto del paramento slu'!$G$58,ABS(N2708)*'Progetto del paramento slu'!$G$54,'Progetto del paramento slu'!$G$53)*IF(N2708&lt;0,-1,1)</f>
        <v>864178.35585501196</v>
      </c>
      <c r="U2708" s="553">
        <f>'Foglio deposito bis'!$F$92*IF(ABS(O2708)&lt;'Progetto del paramento slu'!$G$58,ABS(O2708)*'Progetto del paramento slu'!$G$54,'Progetto del paramento slu'!$G$53)*IF(O2708&lt;0,-1,1)</f>
        <v>510232.28011447965</v>
      </c>
      <c r="V2708" s="479">
        <f t="shared" si="200"/>
        <v>-1859807.3214917073</v>
      </c>
      <c r="W2708" s="559"/>
      <c r="X2708" s="559"/>
    </row>
    <row r="2709" spans="1:24" x14ac:dyDescent="0.25">
      <c r="A2709" s="553">
        <f t="shared" si="199"/>
        <v>2029229.1982737011</v>
      </c>
      <c r="B2709" s="3">
        <f t="shared" si="197"/>
        <v>55.899999999999942</v>
      </c>
      <c r="C2709" s="553">
        <f>'Foglio deposito bis'!$E$163/sezione!$B$247*B2709</f>
        <v>226.93584573748282</v>
      </c>
      <c r="D2709" s="611">
        <f>-'Progetto del paramento slu'!$G$47*'Progetto del paramento slu'!$G$41*IF(DATI!$G$218="dx",DATI!$E$61,DATI!$E$64*DATI!$E$63)*1000*C2709^2*sezione!$AD$5*(1-sezione!$AD$6)</f>
        <v>-423946983.9994182</v>
      </c>
      <c r="E2709" s="553">
        <f>-'Foglio deposito bis'!$F$88*(C2709-sezione!$AL$37)*IF(ABS(K2709)&lt;'Progetto del paramento slu'!$G$58,ABS(K2709)*'Progetto del paramento slu'!$G$54,'Progetto del paramento slu'!$G$53)</f>
        <v>0</v>
      </c>
      <c r="F2709" s="553">
        <f>-'Foglio deposito bis'!$F$89*(C2709-sezione!$AM$37)*IF(ABS(L2709)&lt;'Progetto del paramento slu'!$G$58,ABS(L2709)*'Progetto del paramento slu'!$G$54,'Progetto del paramento slu'!$G$53)</f>
        <v>-7384983.2472406272</v>
      </c>
      <c r="G2709" s="553">
        <f>-'Foglio deposito bis'!$F$90*(C2709-sezione!$AN$37)*IF(ABS(M2709)&lt;'Progetto del paramento slu'!$G$58,ABS(M2709)*'Progetto del paramento slu'!$G$54,'Progetto del paramento slu'!$G$53)</f>
        <v>0</v>
      </c>
      <c r="H2709" s="553">
        <f>-'Foglio deposito bis'!$F$91*(C2709-sezione!$AO$37)*IF(ABS(N2709)&lt;'Progetto del paramento slu'!$G$58,ABS(N2709)*'Progetto del paramento slu'!$G$54,'Progetto del paramento slu'!$G$53)</f>
        <v>92633598.373243138</v>
      </c>
      <c r="I2709" s="479">
        <f>-'Foglio deposito bis'!$F$92*(C2709-sezione!$AP$37)*IF(ABS(O2709)&lt;'Progetto del paramento slu'!$G$58,ABS(O2709)*'Progetto del paramento slu'!$G$54,'Progetto del paramento slu'!$G$53)</f>
        <v>14761694.865880391</v>
      </c>
      <c r="J2709" s="479">
        <f t="shared" si="198"/>
        <v>-323936674.00753528</v>
      </c>
      <c r="K2709" s="558">
        <f>'Progetto del paramento slu'!$G$60*(sezione!$AL$37-C2709)/C2709</f>
        <v>-2.8830855608331235E-3</v>
      </c>
      <c r="L2709" s="558">
        <f>'Progetto del paramento slu'!$G$60*(sezione!$AM$37-C2709)/C2709</f>
        <v>-1.1865708531242135E-3</v>
      </c>
      <c r="M2709" s="559">
        <f>'Progetto del paramento slu'!$G$60*(sezione!$AN$37-C2709)/C2709</f>
        <v>5.0994385458469685E-4</v>
      </c>
      <c r="N2709" s="559">
        <f>'Progetto del paramento slu'!$G$60*(sezione!$AO$37-C2709)/C2709</f>
        <v>1.7437727329184497E-3</v>
      </c>
      <c r="O2709" s="559">
        <f>'Progetto del paramento slu'!$G$60*(sezione!$AP$37-C2709)/C2709</f>
        <v>5.1009808319448489E-4</v>
      </c>
      <c r="P2709" s="553">
        <f>-'Progetto del paramento slu'!$G$47*'Progetto del paramento slu'!$G$41*IF(DATI!$G$218="dx",DATI!$E$61,DATI!$E$64*DATI!$E$63)*1000*C2709*sezione!$AD$5</f>
        <v>-3198862.7185725267</v>
      </c>
      <c r="Q2709" s="553">
        <f>'Foglio deposito bis'!$F$88*IF(ABS(K2709)&lt;'Progetto del paramento slu'!$G$58,ABS(K2709)*'Progetto del paramento slu'!$G$54,'Progetto del paramento slu'!$G$53)*IF(K2709&lt;0,-1,1)</f>
        <v>0</v>
      </c>
      <c r="R2709" s="553">
        <f>'Foglio deposito bis'!$F$89*IF(ABS(L2709)&lt;'Progetto del paramento slu'!$G$58,ABS(L2709)*'Progetto del paramento slu'!$G$54,'Progetto del paramento slu'!$G$53)*IF(L2709&lt;0,-1,1)</f>
        <v>-95988.848584824154</v>
      </c>
      <c r="S2709" s="553">
        <f>'Foglio deposito bis'!$F$90*IF(ABS(M2709)&lt;'Progetto del paramento slu'!$G$58,ABS(M2709)*'Progetto del paramento slu'!$G$54,'Progetto del paramento slu'!$G$53)*IF(M2709&lt;0,-1,1)</f>
        <v>0</v>
      </c>
      <c r="T2709" s="553">
        <f>'Foglio deposito bis'!$F$91*IF(ABS(N2709)&lt;'Progetto del paramento slu'!$G$58,ABS(N2709)*'Progetto del paramento slu'!$G$54,'Progetto del paramento slu'!$G$53)*IF(N2709&lt;0,-1,1)</f>
        <v>819301.20980839327</v>
      </c>
      <c r="U2709" s="553">
        <f>'Foglio deposito bis'!$F$92*IF(ABS(O2709)&lt;'Progetto del paramento slu'!$G$58,ABS(O2709)*'Progetto del paramento slu'!$G$54,'Progetto del paramento slu'!$G$53)*IF(O2709&lt;0,-1,1)</f>
        <v>446321.15907525632</v>
      </c>
      <c r="V2709" s="479">
        <f t="shared" si="200"/>
        <v>-2029229.1982737011</v>
      </c>
      <c r="W2709" s="559"/>
      <c r="X2709" s="559"/>
    </row>
    <row r="2710" spans="1:24" x14ac:dyDescent="0.25">
      <c r="A2710" s="553">
        <f t="shared" si="199"/>
        <v>2194707.4145562844</v>
      </c>
      <c r="B2710" s="3">
        <f t="shared" si="197"/>
        <v>56.899999999999942</v>
      </c>
      <c r="C2710" s="553">
        <f>'Foglio deposito bis'!$E$163/sezione!$B$247*B2710</f>
        <v>230.99552097428932</v>
      </c>
      <c r="D2710" s="611">
        <f>-'Progetto del paramento slu'!$G$47*'Progetto del paramento slu'!$G$41*IF(DATI!$G$218="dx",DATI!$E$61,DATI!$E$64*DATI!$E$63)*1000*C2710^2*sezione!$AD$5*(1-sezione!$AD$6)</f>
        <v>-439250704.8000859</v>
      </c>
      <c r="E2710" s="553">
        <f>-'Foglio deposito bis'!$F$88*(C2710-sezione!$AL$37)*IF(ABS(K2710)&lt;'Progetto del paramento slu'!$G$58,ABS(K2710)*'Progetto del paramento slu'!$G$54,'Progetto del paramento slu'!$G$53)</f>
        <v>0</v>
      </c>
      <c r="F2710" s="553">
        <f>-'Foglio deposito bis'!$F$89*(C2710-sezione!$AM$37)*IF(ABS(L2710)&lt;'Progetto del paramento slu'!$G$58,ABS(L2710)*'Progetto del paramento slu'!$G$54,'Progetto del paramento slu'!$G$53)</f>
        <v>-8041065.4648929564</v>
      </c>
      <c r="G2710" s="553">
        <f>-'Foglio deposito bis'!$F$90*(C2710-sezione!$AN$37)*IF(ABS(M2710)&lt;'Progetto del paramento slu'!$G$58,ABS(M2710)*'Progetto del paramento slu'!$G$54,'Progetto del paramento slu'!$G$53)</f>
        <v>0</v>
      </c>
      <c r="H2710" s="553">
        <f>-'Foglio deposito bis'!$F$91*(C2710-sezione!$AO$37)*IF(ABS(N2710)&lt;'Progetto del paramento slu'!$G$58,ABS(N2710)*'Progetto del paramento slu'!$G$54,'Progetto del paramento slu'!$G$53)</f>
        <v>84587635.725166857</v>
      </c>
      <c r="I2710" s="479">
        <f>-'Foglio deposito bis'!$F$92*(C2710-sezione!$AP$37)*IF(ABS(O2710)&lt;'Progetto del paramento slu'!$G$58,ABS(O2710)*'Progetto del paramento slu'!$G$54,'Progetto del paramento slu'!$G$53)</f>
        <v>11160607.215195544</v>
      </c>
      <c r="J2710" s="479">
        <f t="shared" si="198"/>
        <v>-351543527.32461649</v>
      </c>
      <c r="K2710" s="558">
        <f>'Progetto del paramento slu'!$G$60*(sezione!$AL$37-C2710)/C2710</f>
        <v>-2.8939276423650545E-3</v>
      </c>
      <c r="L2710" s="558">
        <f>'Progetto del paramento slu'!$G$60*(sezione!$AM$37-C2710)/C2710</f>
        <v>-1.227228658868955E-3</v>
      </c>
      <c r="M2710" s="559">
        <f>'Progetto del paramento slu'!$G$60*(sezione!$AN$37-C2710)/C2710</f>
        <v>4.3947032462714485E-4</v>
      </c>
      <c r="N2710" s="559">
        <f>'Progetto del paramento slu'!$G$60*(sezione!$AO$37-C2710)/C2710</f>
        <v>1.6516150398970355E-3</v>
      </c>
      <c r="O2710" s="559">
        <f>'Progetto del paramento slu'!$G$60*(sezione!$AP$37-C2710)/C2710</f>
        <v>4.3962184271655004E-4</v>
      </c>
      <c r="P2710" s="553">
        <f>-'Progetto del paramento slu'!$G$47*'Progetto del paramento slu'!$G$41*IF(DATI!$G$218="dx",DATI!$E$61,DATI!$E$64*DATI!$E$63)*1000*C2710*sezione!$AD$5</f>
        <v>-3256087.4541462753</v>
      </c>
      <c r="Q2710" s="553">
        <f>'Foglio deposito bis'!$F$88*IF(ABS(K2710)&lt;'Progetto del paramento slu'!$G$58,ABS(K2710)*'Progetto del paramento slu'!$G$54,'Progetto del paramento slu'!$G$53)*IF(K2710&lt;0,-1,1)</f>
        <v>0</v>
      </c>
      <c r="R2710" s="553">
        <f>'Foglio deposito bis'!$F$89*IF(ABS(L2710)&lt;'Progetto del paramento slu'!$G$58,ABS(L2710)*'Progetto del paramento slu'!$G$54,'Progetto del paramento slu'!$G$53)*IF(L2710&lt;0,-1,1)</f>
        <v>-99277.902878672248</v>
      </c>
      <c r="S2710" s="553">
        <f>'Foglio deposito bis'!$F$90*IF(ABS(M2710)&lt;'Progetto del paramento slu'!$G$58,ABS(M2710)*'Progetto del paramento slu'!$G$54,'Progetto del paramento slu'!$G$53)*IF(M2710&lt;0,-1,1)</f>
        <v>0</v>
      </c>
      <c r="T2710" s="553">
        <f>'Foglio deposito bis'!$F$91*IF(ABS(N2710)&lt;'Progetto del paramento slu'!$G$58,ABS(N2710)*'Progetto del paramento slu'!$G$54,'Progetto del paramento slu'!$G$53)*IF(N2710&lt;0,-1,1)</f>
        <v>776001.46784074197</v>
      </c>
      <c r="U2710" s="553">
        <f>'Foglio deposito bis'!$F$92*IF(ABS(O2710)&lt;'Progetto del paramento slu'!$G$58,ABS(O2710)*'Progetto del paramento slu'!$G$54,'Progetto del paramento slu'!$G$53)*IF(O2710&lt;0,-1,1)</f>
        <v>384656.4746279213</v>
      </c>
      <c r="V2710" s="479">
        <f t="shared" si="200"/>
        <v>-2194707.4145562844</v>
      </c>
      <c r="W2710" s="559"/>
      <c r="X2710" s="559"/>
    </row>
    <row r="2711" spans="1:24" x14ac:dyDescent="0.25">
      <c r="A2711" s="553">
        <f t="shared" si="199"/>
        <v>2356446.3050803579</v>
      </c>
      <c r="B2711" s="3">
        <f t="shared" si="197"/>
        <v>57.899999999999942</v>
      </c>
      <c r="C2711" s="553">
        <f>'Foglio deposito bis'!$E$163/sezione!$B$247*B2711</f>
        <v>235.05519621109582</v>
      </c>
      <c r="D2711" s="611">
        <f>-'Progetto del paramento slu'!$G$47*'Progetto del paramento slu'!$G$41*IF(DATI!$G$218="dx",DATI!$E$61,DATI!$E$64*DATI!$E$63)*1000*C2711^2*sezione!$AD$5*(1-sezione!$AD$6)</f>
        <v>-454825768.16814137</v>
      </c>
      <c r="E2711" s="553">
        <f>-'Foglio deposito bis'!$F$88*(C2711-sezione!$AL$37)*IF(ABS(K2711)&lt;'Progetto del paramento slu'!$G$58,ABS(K2711)*'Progetto del paramento slu'!$G$54,'Progetto del paramento slu'!$G$53)</f>
        <v>0</v>
      </c>
      <c r="F2711" s="553">
        <f>-'Foglio deposito bis'!$F$89*(C2711-sezione!$AM$37)*IF(ABS(L2711)&lt;'Progetto del paramento slu'!$G$58,ABS(L2711)*'Progetto del paramento slu'!$G$54,'Progetto del paramento slu'!$G$53)</f>
        <v>-8714189.4146377631</v>
      </c>
      <c r="G2711" s="553">
        <f>-'Foglio deposito bis'!$F$90*(C2711-sezione!$AN$37)*IF(ABS(M2711)&lt;'Progetto del paramento slu'!$G$58,ABS(M2711)*'Progetto del paramento slu'!$G$54,'Progetto del paramento slu'!$G$53)</f>
        <v>0</v>
      </c>
      <c r="H2711" s="553">
        <f>-'Foglio deposito bis'!$F$91*(C2711-sezione!$AO$37)*IF(ABS(N2711)&lt;'Progetto del paramento slu'!$G$58,ABS(N2711)*'Progetto del paramento slu'!$G$54,'Progetto del paramento slu'!$G$53)</f>
        <v>77050201.998299628</v>
      </c>
      <c r="I2711" s="479">
        <f>-'Foglio deposito bis'!$F$92*(C2711-sezione!$AP$37)*IF(ABS(O2711)&lt;'Progetto del paramento slu'!$G$58,ABS(O2711)*'Progetto del paramento slu'!$G$54,'Progetto del paramento slu'!$G$53)</f>
        <v>8113351.5024433918</v>
      </c>
      <c r="J2711" s="479">
        <f t="shared" si="198"/>
        <v>-378376404.08203608</v>
      </c>
      <c r="K2711" s="558">
        <f>'Progetto del paramento slu'!$G$60*(sezione!$AL$37-C2711)/C2711</f>
        <v>-2.9043952133086634E-3</v>
      </c>
      <c r="L2711" s="558">
        <f>'Progetto del paramento slu'!$G$60*(sezione!$AM$37-C2711)/C2711</f>
        <v>-1.2664820499074878E-3</v>
      </c>
      <c r="M2711" s="559">
        <f>'Progetto del paramento slu'!$G$60*(sezione!$AN$37-C2711)/C2711</f>
        <v>3.7143111349368806E-4</v>
      </c>
      <c r="N2711" s="559">
        <f>'Progetto del paramento slu'!$G$60*(sezione!$AO$37-C2711)/C2711</f>
        <v>1.5626406868763613E-3</v>
      </c>
      <c r="O2711" s="559">
        <f>'Progetto del paramento slu'!$G$60*(sezione!$AP$37-C2711)/C2711</f>
        <v>3.7158001469035732E-4</v>
      </c>
      <c r="P2711" s="553">
        <f>-'Progetto del paramento slu'!$G$47*'Progetto del paramento slu'!$G$41*IF(DATI!$G$218="dx",DATI!$E$61,DATI!$E$64*DATI!$E$63)*1000*C2711*sezione!$AD$5</f>
        <v>-3313312.1897200234</v>
      </c>
      <c r="Q2711" s="553">
        <f>'Foglio deposito bis'!$F$88*IF(ABS(K2711)&lt;'Progetto del paramento slu'!$G$58,ABS(K2711)*'Progetto del paramento slu'!$G$54,'Progetto del paramento slu'!$G$53)*IF(K2711&lt;0,-1,1)</f>
        <v>0</v>
      </c>
      <c r="R2711" s="553">
        <f>'Foglio deposito bis'!$F$89*IF(ABS(L2711)&lt;'Progetto del paramento slu'!$G$58,ABS(L2711)*'Progetto del paramento slu'!$G$54,'Progetto del paramento slu'!$G$53)*IF(L2711&lt;0,-1,1)</f>
        <v>-102453.34562523715</v>
      </c>
      <c r="S2711" s="553">
        <f>'Foglio deposito bis'!$F$90*IF(ABS(M2711)&lt;'Progetto del paramento slu'!$G$58,ABS(M2711)*'Progetto del paramento slu'!$G$54,'Progetto del paramento slu'!$G$53)*IF(M2711&lt;0,-1,1)</f>
        <v>0</v>
      </c>
      <c r="T2711" s="553">
        <f>'Foglio deposito bis'!$F$91*IF(ABS(N2711)&lt;'Progetto del paramento slu'!$G$58,ABS(N2711)*'Progetto del paramento slu'!$G$54,'Progetto del paramento slu'!$G$53)*IF(N2711&lt;0,-1,1)</f>
        <v>734197.39917076426</v>
      </c>
      <c r="U2711" s="553">
        <f>'Foglio deposito bis'!$F$92*IF(ABS(O2711)&lt;'Progetto del paramento slu'!$G$58,ABS(O2711)*'Progetto del paramento slu'!$G$54,'Progetto del paramento slu'!$G$53)*IF(O2711&lt;0,-1,1)</f>
        <v>325121.83109413832</v>
      </c>
      <c r="V2711" s="479">
        <f t="shared" si="200"/>
        <v>-2356446.3050803579</v>
      </c>
      <c r="W2711" s="559"/>
      <c r="X2711" s="559"/>
    </row>
    <row r="2712" spans="1:24" x14ac:dyDescent="0.25">
      <c r="A2712" s="553">
        <f t="shared" si="199"/>
        <v>2514636.3278641826</v>
      </c>
      <c r="B2712" s="3">
        <f t="shared" si="197"/>
        <v>58.899999999999942</v>
      </c>
      <c r="C2712" s="553">
        <f>'Foglio deposito bis'!$E$163/sezione!$B$247*B2712</f>
        <v>239.11487144790232</v>
      </c>
      <c r="D2712" s="611">
        <f>-'Progetto del paramento slu'!$G$47*'Progetto del paramento slu'!$G$41*IF(DATI!$G$218="dx",DATI!$E$61,DATI!$E$64*DATI!$E$63)*1000*C2712^2*sezione!$AD$5*(1-sezione!$AD$6)</f>
        <v>-470672174.10358459</v>
      </c>
      <c r="E2712" s="553">
        <f>-'Foglio deposito bis'!$F$88*(C2712-sezione!$AL$37)*IF(ABS(K2712)&lt;'Progetto del paramento slu'!$G$58,ABS(K2712)*'Progetto del paramento slu'!$G$54,'Progetto del paramento slu'!$G$53)</f>
        <v>0</v>
      </c>
      <c r="F2712" s="553">
        <f>-'Foglio deposito bis'!$F$89*(C2712-sezione!$AM$37)*IF(ABS(L2712)&lt;'Progetto del paramento slu'!$G$58,ABS(L2712)*'Progetto del paramento slu'!$G$54,'Progetto del paramento slu'!$G$53)</f>
        <v>-9403487.0965382475</v>
      </c>
      <c r="G2712" s="553">
        <f>-'Foglio deposito bis'!$F$90*(C2712-sezione!$AN$37)*IF(ABS(M2712)&lt;'Progetto del paramento slu'!$G$58,ABS(M2712)*'Progetto del paramento slu'!$G$54,'Progetto del paramento slu'!$G$53)</f>
        <v>0</v>
      </c>
      <c r="H2712" s="553">
        <f>-'Foglio deposito bis'!$F$91*(C2712-sezione!$AO$37)*IF(ABS(N2712)&lt;'Progetto del paramento slu'!$G$58,ABS(N2712)*'Progetto del paramento slu'!$G$54,'Progetto del paramento slu'!$G$53)</f>
        <v>69995395.88935402</v>
      </c>
      <c r="I2712" s="479">
        <f>-'Foglio deposito bis'!$F$92*(C2712-sezione!$AP$37)*IF(ABS(O2712)&lt;'Progetto del paramento slu'!$G$58,ABS(O2712)*'Progetto del paramento slu'!$G$54,'Progetto del paramento slu'!$G$53)</f>
        <v>5591718.9701740574</v>
      </c>
      <c r="J2712" s="479">
        <f t="shared" si="198"/>
        <v>-404488546.34059477</v>
      </c>
      <c r="K2712" s="558">
        <f>'Progetto del paramento slu'!$G$60*(sezione!$AL$37-C2712)/C2712</f>
        <v>-2.9145073489061394E-3</v>
      </c>
      <c r="L2712" s="558">
        <f>'Progetto del paramento slu'!$G$60*(sezione!$AM$37-C2712)/C2712</f>
        <v>-1.304402558398023E-3</v>
      </c>
      <c r="M2712" s="559">
        <f>'Progetto del paramento slu'!$G$60*(sezione!$AN$37-C2712)/C2712</f>
        <v>3.0570223211009388E-4</v>
      </c>
      <c r="N2712" s="559">
        <f>'Progetto del paramento slu'!$G$60*(sezione!$AO$37-C2712)/C2712</f>
        <v>1.4766875342978152E-3</v>
      </c>
      <c r="O2712" s="559">
        <f>'Progetto del paramento slu'!$G$60*(sezione!$AP$37-C2712)/C2712</f>
        <v>3.058486052728639E-4</v>
      </c>
      <c r="P2712" s="553">
        <f>-'Progetto del paramento slu'!$G$47*'Progetto del paramento slu'!$G$41*IF(DATI!$G$218="dx",DATI!$E$61,DATI!$E$64*DATI!$E$63)*1000*C2712*sezione!$AD$5</f>
        <v>-3370536.9252937716</v>
      </c>
      <c r="Q2712" s="553">
        <f>'Foglio deposito bis'!$F$88*IF(ABS(K2712)&lt;'Progetto del paramento slu'!$G$58,ABS(K2712)*'Progetto del paramento slu'!$G$54,'Progetto del paramento slu'!$G$53)*IF(K2712&lt;0,-1,1)</f>
        <v>0</v>
      </c>
      <c r="R2712" s="553">
        <f>'Foglio deposito bis'!$F$89*IF(ABS(L2712)&lt;'Progetto del paramento slu'!$G$58,ABS(L2712)*'Progetto del paramento slu'!$G$54,'Progetto del paramento slu'!$G$53)*IF(L2712&lt;0,-1,1)</f>
        <v>-105520.96349076422</v>
      </c>
      <c r="S2712" s="553">
        <f>'Foglio deposito bis'!$F$90*IF(ABS(M2712)&lt;'Progetto del paramento slu'!$G$58,ABS(M2712)*'Progetto del paramento slu'!$G$54,'Progetto del paramento slu'!$G$53)*IF(M2712&lt;0,-1,1)</f>
        <v>0</v>
      </c>
      <c r="T2712" s="553">
        <f>'Foglio deposito bis'!$F$91*IF(ABS(N2712)&lt;'Progetto del paramento slu'!$G$58,ABS(N2712)*'Progetto del paramento slu'!$G$54,'Progetto del paramento slu'!$G$53)*IF(N2712&lt;0,-1,1)</f>
        <v>693812.82349467382</v>
      </c>
      <c r="U2712" s="553">
        <f>'Foglio deposito bis'!$F$92*IF(ABS(O2712)&lt;'Progetto del paramento slu'!$G$58,ABS(O2712)*'Progetto del paramento slu'!$G$54,'Progetto del paramento slu'!$G$53)*IF(O2712&lt;0,-1,1)</f>
        <v>267608.73742567917</v>
      </c>
      <c r="V2712" s="479">
        <f t="shared" si="200"/>
        <v>-2514636.3278641826</v>
      </c>
      <c r="W2712" s="559"/>
      <c r="X2712" s="559"/>
    </row>
    <row r="2713" spans="1:24" x14ac:dyDescent="0.25">
      <c r="A2713" s="553">
        <f t="shared" si="199"/>
        <v>2669455.2225274704</v>
      </c>
      <c r="B2713" s="3">
        <f t="shared" si="197"/>
        <v>59.899999999999942</v>
      </c>
      <c r="C2713" s="553">
        <f>'Foglio deposito bis'!$E$163/sezione!$B$247*B2713</f>
        <v>243.17454668470879</v>
      </c>
      <c r="D2713" s="611">
        <f>-'Progetto del paramento slu'!$G$47*'Progetto del paramento slu'!$G$41*IF(DATI!$G$218="dx",DATI!$E$61,DATI!$E$64*DATI!$E$63)*1000*C2713^2*sezione!$AD$5*(1-sezione!$AD$6)</f>
        <v>-486789922.60641521</v>
      </c>
      <c r="E2713" s="553">
        <f>-'Foglio deposito bis'!$F$88*(C2713-sezione!$AL$37)*IF(ABS(K2713)&lt;'Progetto del paramento slu'!$G$58,ABS(K2713)*'Progetto del paramento slu'!$G$54,'Progetto del paramento slu'!$G$53)</f>
        <v>0</v>
      </c>
      <c r="F2713" s="553">
        <f>-'Foglio deposito bis'!$F$89*(C2713-sezione!$AM$37)*IF(ABS(L2713)&lt;'Progetto del paramento slu'!$G$58,ABS(L2713)*'Progetto del paramento slu'!$G$54,'Progetto del paramento slu'!$G$53)</f>
        <v>-10108148.473925503</v>
      </c>
      <c r="G2713" s="553">
        <f>-'Foglio deposito bis'!$F$90*(C2713-sezione!$AN$37)*IF(ABS(M2713)&lt;'Progetto del paramento slu'!$G$58,ABS(M2713)*'Progetto del paramento slu'!$G$54,'Progetto del paramento slu'!$G$53)</f>
        <v>0</v>
      </c>
      <c r="H2713" s="553">
        <f>-'Foglio deposito bis'!$F$91*(C2713-sezione!$AO$37)*IF(ABS(N2713)&lt;'Progetto del paramento slu'!$G$58,ABS(N2713)*'Progetto del paramento slu'!$G$54,'Progetto del paramento slu'!$G$53)</f>
        <v>63399045.731322348</v>
      </c>
      <c r="I2713" s="479">
        <f>-'Foglio deposito bis'!$F$92*(C2713-sezione!$AP$37)*IF(ABS(O2713)&lt;'Progetto del paramento slu'!$G$58,ABS(O2713)*'Progetto del paramento slu'!$G$54,'Progetto del paramento slu'!$G$53)</f>
        <v>3569384.584306608</v>
      </c>
      <c r="J2713" s="479">
        <f t="shared" si="198"/>
        <v>-429929640.7647118</v>
      </c>
      <c r="K2713" s="558">
        <f>'Progetto del paramento slu'!$G$60*(sezione!$AL$37-C2713)/C2713</f>
        <v>-2.9242818505938501E-3</v>
      </c>
      <c r="L2713" s="558">
        <f>'Progetto del paramento slu'!$G$60*(sezione!$AM$37-C2713)/C2713</f>
        <v>-1.3410569397269371E-3</v>
      </c>
      <c r="M2713" s="559">
        <f>'Progetto del paramento slu'!$G$60*(sezione!$AN$37-C2713)/C2713</f>
        <v>2.4216797113997578E-4</v>
      </c>
      <c r="N2713" s="559">
        <f>'Progetto del paramento slu'!$G$60*(sezione!$AO$37-C2713)/C2713</f>
        <v>1.3936042699522759E-3</v>
      </c>
      <c r="O2713" s="559">
        <f>'Progetto del paramento slu'!$G$60*(sezione!$AP$37-C2713)/C2713</f>
        <v>2.4231190067732389E-4</v>
      </c>
      <c r="P2713" s="553">
        <f>-'Progetto del paramento slu'!$G$47*'Progetto del paramento slu'!$G$41*IF(DATI!$G$218="dx",DATI!$E$61,DATI!$E$64*DATI!$E$63)*1000*C2713*sezione!$AD$5</f>
        <v>-3427761.6608675197</v>
      </c>
      <c r="Q2713" s="553">
        <f>'Foglio deposito bis'!$F$88*IF(ABS(K2713)&lt;'Progetto del paramento slu'!$G$58,ABS(K2713)*'Progetto del paramento slu'!$G$54,'Progetto del paramento slu'!$G$53)*IF(K2713&lt;0,-1,1)</f>
        <v>0</v>
      </c>
      <c r="R2713" s="553">
        <f>'Foglio deposito bis'!$F$89*IF(ABS(L2713)&lt;'Progetto del paramento slu'!$G$58,ABS(L2713)*'Progetto del paramento slu'!$G$54,'Progetto del paramento slu'!$G$53)*IF(L2713&lt;0,-1,1)</f>
        <v>-108486.1567197127</v>
      </c>
      <c r="S2713" s="553">
        <f>'Foglio deposito bis'!$F$90*IF(ABS(M2713)&lt;'Progetto del paramento slu'!$G$58,ABS(M2713)*'Progetto del paramento slu'!$G$54,'Progetto del paramento slu'!$G$53)*IF(M2713&lt;0,-1,1)</f>
        <v>0</v>
      </c>
      <c r="T2713" s="553">
        <f>'Foglio deposito bis'!$F$91*IF(ABS(N2713)&lt;'Progetto del paramento slu'!$G$58,ABS(N2713)*'Progetto del paramento slu'!$G$54,'Progetto del paramento slu'!$G$53)*IF(N2713&lt;0,-1,1)</f>
        <v>654776.64767421247</v>
      </c>
      <c r="U2713" s="553">
        <f>'Foglio deposito bis'!$F$92*IF(ABS(O2713)&lt;'Progetto del paramento slu'!$G$58,ABS(O2713)*'Progetto del paramento slu'!$G$54,'Progetto del paramento slu'!$G$53)*IF(O2713&lt;0,-1,1)</f>
        <v>212015.94738554957</v>
      </c>
      <c r="V2713" s="479">
        <f t="shared" si="200"/>
        <v>-2669455.2225274704</v>
      </c>
      <c r="W2713" s="559"/>
      <c r="X2713" s="559"/>
    </row>
    <row r="2714" spans="1:24" x14ac:dyDescent="0.25">
      <c r="A2714" s="553">
        <f t="shared" si="199"/>
        <v>2821069.0544948783</v>
      </c>
      <c r="B2714" s="3">
        <f t="shared" si="197"/>
        <v>60.899999999999942</v>
      </c>
      <c r="C2714" s="553">
        <f>'Foglio deposito bis'!$E$163/sezione!$B$247*B2714</f>
        <v>247.23422192151529</v>
      </c>
      <c r="D2714" s="611">
        <f>-'Progetto del paramento slu'!$G$47*'Progetto del paramento slu'!$G$41*IF(DATI!$G$218="dx",DATI!$E$61,DATI!$E$64*DATI!$E$63)*1000*C2714^2*sezione!$AD$5*(1-sezione!$AD$6)</f>
        <v>-503179013.67663395</v>
      </c>
      <c r="E2714" s="553">
        <f>-'Foglio deposito bis'!$F$88*(C2714-sezione!$AL$37)*IF(ABS(K2714)&lt;'Progetto del paramento slu'!$G$58,ABS(K2714)*'Progetto del paramento slu'!$G$54,'Progetto del paramento slu'!$G$53)</f>
        <v>0</v>
      </c>
      <c r="F2714" s="553">
        <f>-'Foglio deposito bis'!$F$89*(C2714-sezione!$AM$37)*IF(ABS(L2714)&lt;'Progetto del paramento slu'!$G$58,ABS(L2714)*'Progetto del paramento slu'!$G$54,'Progetto del paramento slu'!$G$53)</f>
        <v>-10827416.71450956</v>
      </c>
      <c r="G2714" s="553">
        <f>-'Foglio deposito bis'!$F$90*(C2714-sezione!$AN$37)*IF(ABS(M2714)&lt;'Progetto del paramento slu'!$G$58,ABS(M2714)*'Progetto del paramento slu'!$G$54,'Progetto del paramento slu'!$G$53)</f>
        <v>0</v>
      </c>
      <c r="H2714" s="553">
        <f>-'Foglio deposito bis'!$F$91*(C2714-sezione!$AO$37)*IF(ABS(N2714)&lt;'Progetto del paramento slu'!$G$58,ABS(N2714)*'Progetto del paramento slu'!$G$54,'Progetto del paramento slu'!$G$53)</f>
        <v>57238567.487213694</v>
      </c>
      <c r="I2714" s="479">
        <f>-'Foglio deposito bis'!$F$92*(C2714-sezione!$AP$37)*IF(ABS(O2714)&lt;'Progetto del paramento slu'!$G$58,ABS(O2714)*'Progetto del paramento slu'!$G$54,'Progetto del paramento slu'!$G$53)</f>
        <v>2021752.3770379669</v>
      </c>
      <c r="J2714" s="479">
        <f t="shared" si="198"/>
        <v>-454746110.52689189</v>
      </c>
      <c r="K2714" s="558">
        <f>'Progetto del paramento slu'!$G$60*(sezione!$AL$37-C2714)/C2714</f>
        <v>-2.9337353505840989E-3</v>
      </c>
      <c r="L2714" s="558">
        <f>'Progetto del paramento slu'!$G$60*(sezione!$AM$37-C2714)/C2714</f>
        <v>-1.3765075646903701E-3</v>
      </c>
      <c r="M2714" s="559">
        <f>'Progetto del paramento slu'!$G$60*(sezione!$AN$37-C2714)/C2714</f>
        <v>1.8072022120335863E-4</v>
      </c>
      <c r="N2714" s="559">
        <f>'Progetto del paramento slu'!$G$60*(sezione!$AO$37-C2714)/C2714</f>
        <v>1.3132495200351615E-3</v>
      </c>
      <c r="O2714" s="559">
        <f>'Progetto del paramento slu'!$G$60*(sezione!$AP$37-C2714)/C2714</f>
        <v>1.8086178736570927E-4</v>
      </c>
      <c r="P2714" s="553">
        <f>-'Progetto del paramento slu'!$G$47*'Progetto del paramento slu'!$G$41*IF(DATI!$G$218="dx",DATI!$E$61,DATI!$E$64*DATI!$E$63)*1000*C2714*sezione!$AD$5</f>
        <v>-3484986.3964412678</v>
      </c>
      <c r="Q2714" s="553">
        <f>'Foglio deposito bis'!$F$88*IF(ABS(K2714)&lt;'Progetto del paramento slu'!$G$58,ABS(K2714)*'Progetto del paramento slu'!$G$54,'Progetto del paramento slu'!$G$53)*IF(K2714&lt;0,-1,1)</f>
        <v>0</v>
      </c>
      <c r="R2714" s="553">
        <f>'Foglio deposito bis'!$F$89*IF(ABS(L2714)&lt;'Progetto del paramento slu'!$G$58,ABS(L2714)*'Progetto del paramento slu'!$G$54,'Progetto del paramento slu'!$G$53)*IF(L2714&lt;0,-1,1)</f>
        <v>-111353.97086068263</v>
      </c>
      <c r="S2714" s="553">
        <f>'Foglio deposito bis'!$F$90*IF(ABS(M2714)&lt;'Progetto del paramento slu'!$G$58,ABS(M2714)*'Progetto del paramento slu'!$G$54,'Progetto del paramento slu'!$G$53)*IF(M2714&lt;0,-1,1)</f>
        <v>0</v>
      </c>
      <c r="T2714" s="553">
        <f>'Foglio deposito bis'!$F$91*IF(ABS(N2714)&lt;'Progetto del paramento slu'!$G$58,ABS(N2714)*'Progetto del paramento slu'!$G$54,'Progetto del paramento slu'!$G$53)*IF(N2714&lt;0,-1,1)</f>
        <v>617022.44807117188</v>
      </c>
      <c r="U2714" s="553">
        <f>'Foglio deposito bis'!$F$92*IF(ABS(O2714)&lt;'Progetto del paramento slu'!$G$58,ABS(O2714)*'Progetto del paramento slu'!$G$54,'Progetto del paramento slu'!$G$53)*IF(O2714&lt;0,-1,1)</f>
        <v>158248.86473590002</v>
      </c>
      <c r="V2714" s="479">
        <f t="shared" si="200"/>
        <v>-2821069.0544948783</v>
      </c>
      <c r="W2714" s="559"/>
      <c r="X2714" s="559"/>
    </row>
    <row r="2715" spans="1:24" x14ac:dyDescent="0.25">
      <c r="A2715" s="553">
        <f t="shared" si="199"/>
        <v>2969633.1579843019</v>
      </c>
      <c r="B2715" s="3">
        <f t="shared" si="197"/>
        <v>61.899999999999942</v>
      </c>
      <c r="C2715" s="553">
        <f>'Foglio deposito bis'!$E$163/sezione!$B$247*B2715</f>
        <v>251.29389715832178</v>
      </c>
      <c r="D2715" s="611">
        <f>-'Progetto del paramento slu'!$G$47*'Progetto del paramento slu'!$G$41*IF(DATI!$G$218="dx",DATI!$E$61,DATI!$E$64*DATI!$E$63)*1000*C2715^2*sezione!$AD$5*(1-sezione!$AD$6)</f>
        <v>-519839447.31424028</v>
      </c>
      <c r="E2715" s="553">
        <f>-'Foglio deposito bis'!$F$88*(C2715-sezione!$AL$37)*IF(ABS(K2715)&lt;'Progetto del paramento slu'!$G$58,ABS(K2715)*'Progetto del paramento slu'!$G$54,'Progetto del paramento slu'!$G$53)</f>
        <v>0</v>
      </c>
      <c r="F2715" s="553">
        <f>-'Foglio deposito bis'!$F$89*(C2715-sezione!$AM$37)*IF(ABS(L2715)&lt;'Progetto del paramento slu'!$G$58,ABS(L2715)*'Progetto del paramento slu'!$G$54,'Progetto del paramento slu'!$G$53)</f>
        <v>-11560583.892771982</v>
      </c>
      <c r="G2715" s="553">
        <f>-'Foglio deposito bis'!$F$90*(C2715-sezione!$AN$37)*IF(ABS(M2715)&lt;'Progetto del paramento slu'!$G$58,ABS(M2715)*'Progetto del paramento slu'!$G$54,'Progetto del paramento slu'!$G$53)</f>
        <v>0</v>
      </c>
      <c r="H2715" s="553">
        <f>-'Foglio deposito bis'!$F$91*(C2715-sezione!$AO$37)*IF(ABS(N2715)&lt;'Progetto del paramento slu'!$G$58,ABS(N2715)*'Progetto del paramento slu'!$G$54,'Progetto del paramento slu'!$G$53)</f>
        <v>51492836.50853423</v>
      </c>
      <c r="I2715" s="479">
        <f>-'Foglio deposito bis'!$F$92*(C2715-sezione!$AP$37)*IF(ABS(O2715)&lt;'Progetto del paramento slu'!$G$58,ABS(O2715)*'Progetto del paramento slu'!$G$54,'Progetto del paramento slu'!$G$53)</f>
        <v>925815.78074623703</v>
      </c>
      <c r="J2715" s="479">
        <f t="shared" si="198"/>
        <v>-478981378.91773176</v>
      </c>
      <c r="K2715" s="558">
        <f>'Progetto del paramento slu'!$G$60*(sezione!$AL$37-C2715)/C2715</f>
        <v>-2.9428834063097188E-3</v>
      </c>
      <c r="L2715" s="558">
        <f>'Progetto del paramento slu'!$G$60*(sezione!$AM$37-C2715)/C2715</f>
        <v>-1.4108127736614465E-3</v>
      </c>
      <c r="M2715" s="559">
        <f>'Progetto del paramento slu'!$G$60*(sezione!$AN$37-C2715)/C2715</f>
        <v>1.2125785898682608E-4</v>
      </c>
      <c r="N2715" s="559">
        <f>'Progetto del paramento slu'!$G$60*(sezione!$AO$37-C2715)/C2715</f>
        <v>1.235491046367388E-3</v>
      </c>
      <c r="O2715" s="559">
        <f>'Progetto del paramento slu'!$G$60*(sezione!$AP$37-C2715)/C2715</f>
        <v>1.2139713813524537E-4</v>
      </c>
      <c r="P2715" s="553">
        <f>-'Progetto del paramento slu'!$G$47*'Progetto del paramento slu'!$G$41*IF(DATI!$G$218="dx",DATI!$E$61,DATI!$E$64*DATI!$E$63)*1000*C2715*sezione!$AD$5</f>
        <v>-3542211.1320150169</v>
      </c>
      <c r="Q2715" s="553">
        <f>'Foglio deposito bis'!$F$88*IF(ABS(K2715)&lt;'Progetto del paramento slu'!$G$58,ABS(K2715)*'Progetto del paramento slu'!$G$54,'Progetto del paramento slu'!$G$53)*IF(K2715&lt;0,-1,1)</f>
        <v>0</v>
      </c>
      <c r="R2715" s="553">
        <f>'Foglio deposito bis'!$F$89*IF(ABS(L2715)&lt;'Progetto del paramento slu'!$G$58,ABS(L2715)*'Progetto del paramento slu'!$G$54,'Progetto del paramento slu'!$G$53)*IF(L2715&lt;0,-1,1)</f>
        <v>-114129.12541713007</v>
      </c>
      <c r="S2715" s="553">
        <f>'Foglio deposito bis'!$F$90*IF(ABS(M2715)&lt;'Progetto del paramento slu'!$G$58,ABS(M2715)*'Progetto del paramento slu'!$G$54,'Progetto del paramento slu'!$G$53)*IF(M2715&lt;0,-1,1)</f>
        <v>0</v>
      </c>
      <c r="T2715" s="553">
        <f>'Foglio deposito bis'!$F$91*IF(ABS(N2715)&lt;'Progetto del paramento slu'!$G$58,ABS(N2715)*'Progetto del paramento slu'!$G$54,'Progetto del paramento slu'!$G$53)*IF(N2715&lt;0,-1,1)</f>
        <v>580488.09336645226</v>
      </c>
      <c r="U2715" s="553">
        <f>'Foglio deposito bis'!$F$92*IF(ABS(O2715)&lt;'Progetto del paramento slu'!$G$58,ABS(O2715)*'Progetto del paramento slu'!$G$54,'Progetto del paramento slu'!$G$53)*IF(O2715&lt;0,-1,1)</f>
        <v>106219.00608139264</v>
      </c>
      <c r="V2715" s="479">
        <f t="shared" si="200"/>
        <v>-2969633.1579843019</v>
      </c>
      <c r="W2715" s="559"/>
      <c r="X2715" s="559"/>
    </row>
    <row r="2716" spans="1:24" x14ac:dyDescent="0.25">
      <c r="A2716" s="553">
        <f t="shared" si="199"/>
        <v>3115292.9890439729</v>
      </c>
      <c r="B2716" s="3">
        <f t="shared" si="197"/>
        <v>62.899999999999942</v>
      </c>
      <c r="C2716" s="553">
        <f>'Foglio deposito bis'!$E$163/sezione!$B$247*B2716</f>
        <v>255.35357239512828</v>
      </c>
      <c r="D2716" s="611">
        <f>-'Progetto del paramento slu'!$G$47*'Progetto del paramento slu'!$G$41*IF(DATI!$G$218="dx",DATI!$E$61,DATI!$E$64*DATI!$E$63)*1000*C2716^2*sezione!$AD$5*(1-sezione!$AD$6)</f>
        <v>-536771223.5192343</v>
      </c>
      <c r="E2716" s="553">
        <f>-'Foglio deposito bis'!$F$88*(C2716-sezione!$AL$37)*IF(ABS(K2716)&lt;'Progetto del paramento slu'!$G$58,ABS(K2716)*'Progetto del paramento slu'!$G$54,'Progetto del paramento slu'!$G$53)</f>
        <v>0</v>
      </c>
      <c r="F2716" s="553">
        <f>-'Foglio deposito bis'!$F$89*(C2716-sezione!$AM$37)*IF(ABS(L2716)&lt;'Progetto del paramento slu'!$G$58,ABS(L2716)*'Progetto del paramento slu'!$G$54,'Progetto del paramento slu'!$G$53)</f>
        <v>-12306987.10230522</v>
      </c>
      <c r="G2716" s="553">
        <f>-'Foglio deposito bis'!$F$90*(C2716-sezione!$AN$37)*IF(ABS(M2716)&lt;'Progetto del paramento slu'!$G$58,ABS(M2716)*'Progetto del paramento slu'!$G$54,'Progetto del paramento slu'!$G$53)</f>
        <v>0</v>
      </c>
      <c r="H2716" s="553">
        <f>-'Foglio deposito bis'!$F$91*(C2716-sezione!$AO$37)*IF(ABS(N2716)&lt;'Progetto del paramento slu'!$G$58,ABS(N2716)*'Progetto del paramento slu'!$G$54,'Progetto del paramento slu'!$G$53)</f>
        <v>46142071.526662536</v>
      </c>
      <c r="I2716" s="479">
        <f>-'Foglio deposito bis'!$F$92*(C2716-sezione!$AP$37)*IF(ABS(O2716)&lt;'Progetto del paramento slu'!$G$58,ABS(O2716)*'Progetto del paramento slu'!$G$54,'Progetto del paramento slu'!$G$53)</f>
        <v>260031.28457401344</v>
      </c>
      <c r="J2716" s="479">
        <f t="shared" si="198"/>
        <v>-502676107.81030291</v>
      </c>
      <c r="K2716" s="558">
        <f>'Progetto del paramento slu'!$G$60*(sezione!$AL$37-C2716)/C2716</f>
        <v>-2.9517405858596442E-3</v>
      </c>
      <c r="L2716" s="558">
        <f>'Progetto del paramento slu'!$G$60*(sezione!$AM$37-C2716)/C2716</f>
        <v>-1.4440271969736651E-3</v>
      </c>
      <c r="M2716" s="559">
        <f>'Progetto del paramento slu'!$G$60*(sezione!$AN$37-C2716)/C2716</f>
        <v>6.3686191912313636E-5</v>
      </c>
      <c r="N2716" s="559">
        <f>'Progetto del paramento slu'!$G$60*(sezione!$AO$37-C2716)/C2716</f>
        <v>1.1602050201930255E-3</v>
      </c>
      <c r="O2716" s="559">
        <f>'Progetto del paramento slu'!$G$60*(sezione!$AP$37-C2716)/C2716</f>
        <v>6.3823256765845485E-5</v>
      </c>
      <c r="P2716" s="553">
        <f>-'Progetto del paramento slu'!$G$47*'Progetto del paramento slu'!$G$41*IF(DATI!$G$218="dx",DATI!$E$61,DATI!$E$64*DATI!$E$63)*1000*C2716*sezione!$AD$5</f>
        <v>-3599435.8675887645</v>
      </c>
      <c r="Q2716" s="553">
        <f>'Foglio deposito bis'!$F$88*IF(ABS(K2716)&lt;'Progetto del paramento slu'!$G$58,ABS(K2716)*'Progetto del paramento slu'!$G$54,'Progetto del paramento slu'!$G$53)*IF(K2716&lt;0,-1,1)</f>
        <v>0</v>
      </c>
      <c r="R2716" s="553">
        <f>'Foglio deposito bis'!$F$89*IF(ABS(L2716)&lt;'Progetto del paramento slu'!$G$58,ABS(L2716)*'Progetto del paramento slu'!$G$54,'Progetto del paramento slu'!$G$53)*IF(L2716&lt;0,-1,1)</f>
        <v>-116816.03976510544</v>
      </c>
      <c r="S2716" s="553">
        <f>'Foglio deposito bis'!$F$90*IF(ABS(M2716)&lt;'Progetto del paramento slu'!$G$58,ABS(M2716)*'Progetto del paramento slu'!$G$54,'Progetto del paramento slu'!$G$53)*IF(M2716&lt;0,-1,1)</f>
        <v>0</v>
      </c>
      <c r="T2716" s="553">
        <f>'Foglio deposito bis'!$F$91*IF(ABS(N2716)&lt;'Progetto del paramento slu'!$G$58,ABS(N2716)*'Progetto del paramento slu'!$G$54,'Progetto del paramento slu'!$G$53)*IF(N2716&lt;0,-1,1)</f>
        <v>545115.40335822618</v>
      </c>
      <c r="U2716" s="553">
        <f>'Foglio deposito bis'!$F$92*IF(ABS(O2716)&lt;'Progetto del paramento slu'!$G$58,ABS(O2716)*'Progetto del paramento slu'!$G$54,'Progetto del paramento slu'!$G$53)*IF(O2716&lt;0,-1,1)</f>
        <v>55843.514951670841</v>
      </c>
      <c r="V2716" s="479">
        <f t="shared" si="200"/>
        <v>-3115292.9890439729</v>
      </c>
      <c r="W2716" s="559"/>
      <c r="X2716" s="559"/>
    </row>
    <row r="2717" spans="1:24" x14ac:dyDescent="0.25">
      <c r="A2717" s="553">
        <f t="shared" si="199"/>
        <v>3258184.8984921915</v>
      </c>
      <c r="B2717" s="3">
        <f t="shared" si="197"/>
        <v>63.899999999999942</v>
      </c>
      <c r="C2717" s="553">
        <f>'Foglio deposito bis'!$E$163/sezione!$B$247*B2717</f>
        <v>259.41324763193478</v>
      </c>
      <c r="D2717" s="611">
        <f>-'Progetto del paramento slu'!$G$47*'Progetto del paramento slu'!$G$41*IF(DATI!$G$218="dx",DATI!$E$61,DATI!$E$64*DATI!$E$63)*1000*C2717^2*sezione!$AD$5*(1-sezione!$AD$6)</f>
        <v>-553974342.29161608</v>
      </c>
      <c r="E2717" s="553">
        <f>-'Foglio deposito bis'!$F$88*(C2717-sezione!$AL$37)*IF(ABS(K2717)&lt;'Progetto del paramento slu'!$G$58,ABS(K2717)*'Progetto del paramento slu'!$G$54,'Progetto del paramento slu'!$G$53)</f>
        <v>0</v>
      </c>
      <c r="F2717" s="553">
        <f>-'Foglio deposito bis'!$F$89*(C2717-sezione!$AM$37)*IF(ABS(L2717)&lt;'Progetto del paramento slu'!$G$58,ABS(L2717)*'Progetto del paramento slu'!$G$54,'Progetto del paramento slu'!$G$53)</f>
        <v>-13066004.933190454</v>
      </c>
      <c r="G2717" s="553">
        <f>-'Foglio deposito bis'!$F$90*(C2717-sezione!$AN$37)*IF(ABS(M2717)&lt;'Progetto del paramento slu'!$G$58,ABS(M2717)*'Progetto del paramento slu'!$G$54,'Progetto del paramento slu'!$G$53)</f>
        <v>0</v>
      </c>
      <c r="H2717" s="553">
        <f>-'Foglio deposito bis'!$F$91*(C2717-sezione!$AO$37)*IF(ABS(N2717)&lt;'Progetto del paramento slu'!$G$58,ABS(N2717)*'Progetto del paramento slu'!$G$54,'Progetto del paramento slu'!$G$53)</f>
        <v>41167729.537053682</v>
      </c>
      <c r="I2717" s="479">
        <f>-'Foglio deposito bis'!$F$92*(C2717-sezione!$AP$37)*IF(ABS(O2717)&lt;'Progetto del paramento slu'!$G$58,ABS(O2717)*'Progetto del paramento slu'!$G$54,'Progetto del paramento slu'!$G$53)</f>
        <v>4203.9542433853458</v>
      </c>
      <c r="J2717" s="479">
        <f t="shared" si="198"/>
        <v>-525868413.73350948</v>
      </c>
      <c r="K2717" s="558">
        <f>'Progetto del paramento slu'!$G$60*(sezione!$AL$37-C2717)/C2717</f>
        <v>-2.9603205453923569E-3</v>
      </c>
      <c r="L2717" s="558">
        <f>'Progetto del paramento slu'!$G$60*(sezione!$AM$37-C2717)/C2717</f>
        <v>-1.4762020452213389E-3</v>
      </c>
      <c r="M2717" s="559">
        <f>'Progetto del paramento slu'!$G$60*(sezione!$AN$37-C2717)/C2717</f>
        <v>7.9164549496795206E-6</v>
      </c>
      <c r="N2717" s="559">
        <f>'Progetto del paramento slu'!$G$60*(sezione!$AO$37-C2717)/C2717</f>
        <v>1.0872753641649657E-3</v>
      </c>
      <c r="O2717" s="559">
        <f>'Progetto del paramento slu'!$G$60*(sezione!$AP$37-C2717)/C2717</f>
        <v>8.0513748133282419E-6</v>
      </c>
      <c r="P2717" s="553">
        <f>-'Progetto del paramento slu'!$G$47*'Progetto del paramento slu'!$G$41*IF(DATI!$G$218="dx",DATI!$E$61,DATI!$E$64*DATI!$E$63)*1000*C2717*sezione!$AD$5</f>
        <v>-3656660.6031625126</v>
      </c>
      <c r="Q2717" s="553">
        <f>'Foglio deposito bis'!$F$88*IF(ABS(K2717)&lt;'Progetto del paramento slu'!$G$58,ABS(K2717)*'Progetto del paramento slu'!$G$54,'Progetto del paramento slu'!$G$53)*IF(K2717&lt;0,-1,1)</f>
        <v>0</v>
      </c>
      <c r="R2717" s="553">
        <f>'Foglio deposito bis'!$F$89*IF(ABS(L2717)&lt;'Progetto del paramento slu'!$G$58,ABS(L2717)*'Progetto del paramento slu'!$G$54,'Progetto del paramento slu'!$G$53)*IF(L2717&lt;0,-1,1)</f>
        <v>-119418.85663740082</v>
      </c>
      <c r="S2717" s="553">
        <f>'Foglio deposito bis'!$F$90*IF(ABS(M2717)&lt;'Progetto del paramento slu'!$G$58,ABS(M2717)*'Progetto del paramento slu'!$G$54,'Progetto del paramento slu'!$G$53)*IF(M2717&lt;0,-1,1)</f>
        <v>0</v>
      </c>
      <c r="T2717" s="553">
        <f>'Foglio deposito bis'!$F$91*IF(ABS(N2717)&lt;'Progetto del paramento slu'!$G$58,ABS(N2717)*'Progetto del paramento slu'!$G$54,'Progetto del paramento slu'!$G$53)*IF(N2717&lt;0,-1,1)</f>
        <v>510849.83979783201</v>
      </c>
      <c r="U2717" s="553">
        <f>'Foglio deposito bis'!$F$92*IF(ABS(O2717)&lt;'Progetto del paramento slu'!$G$58,ABS(O2717)*'Progetto del paramento slu'!$G$54,'Progetto del paramento slu'!$G$53)*IF(O2717&lt;0,-1,1)</f>
        <v>7044.7215098902743</v>
      </c>
      <c r="V2717" s="479">
        <f t="shared" si="200"/>
        <v>-3258184.8984921915</v>
      </c>
      <c r="W2717" s="559"/>
      <c r="X2717" s="559"/>
    </row>
    <row r="2718" spans="1:24" x14ac:dyDescent="0.25">
      <c r="A2718" s="553">
        <f t="shared" si="199"/>
        <v>3398436.833398825</v>
      </c>
      <c r="B2718" s="3">
        <f t="shared" si="197"/>
        <v>64.899999999999949</v>
      </c>
      <c r="C2718" s="553">
        <f>'Foglio deposito bis'!$E$163/sezione!$B$247*B2718</f>
        <v>263.47292286874131</v>
      </c>
      <c r="D2718" s="611">
        <f>-'Progetto del paramento slu'!$G$47*'Progetto del paramento slu'!$G$41*IF(DATI!$G$218="dx",DATI!$E$61,DATI!$E$64*DATI!$E$63)*1000*C2718^2*sezione!$AD$5*(1-sezione!$AD$6)</f>
        <v>-571448803.63138568</v>
      </c>
      <c r="E2718" s="553">
        <f>-'Foglio deposito bis'!$F$88*(C2718-sezione!$AL$37)*IF(ABS(K2718)&lt;'Progetto del paramento slu'!$G$58,ABS(K2718)*'Progetto del paramento slu'!$G$54,'Progetto del paramento slu'!$G$53)</f>
        <v>0</v>
      </c>
      <c r="F2718" s="553">
        <f>-'Foglio deposito bis'!$F$89*(C2718-sezione!$AM$37)*IF(ABS(L2718)&lt;'Progetto del paramento slu'!$G$58,ABS(L2718)*'Progetto del paramento slu'!$G$54,'Progetto del paramento slu'!$G$53)</f>
        <v>-13837054.275041621</v>
      </c>
      <c r="G2718" s="553">
        <f>-'Foglio deposito bis'!$F$90*(C2718-sezione!$AN$37)*IF(ABS(M2718)&lt;'Progetto del paramento slu'!$G$58,ABS(M2718)*'Progetto del paramento slu'!$G$54,'Progetto del paramento slu'!$G$53)</f>
        <v>0</v>
      </c>
      <c r="H2718" s="553">
        <f>-'Foglio deposito bis'!$F$91*(C2718-sezione!$AO$37)*IF(ABS(N2718)&lt;'Progetto del paramento slu'!$G$58,ABS(N2718)*'Progetto del paramento slu'!$G$54,'Progetto del paramento slu'!$G$53)</f>
        <v>36552410.401390351</v>
      </c>
      <c r="I2718" s="479">
        <f>-'Foglio deposito bis'!$F$92*(C2718-sezione!$AP$37)*IF(ABS(O2718)&lt;'Progetto del paramento slu'!$G$58,ABS(O2718)*'Progetto del paramento slu'!$G$54,'Progetto del paramento slu'!$G$53)</f>
        <v>-139383.53555520563</v>
      </c>
      <c r="J2718" s="479">
        <f t="shared" si="198"/>
        <v>-548872831.04059219</v>
      </c>
      <c r="K2718" s="558">
        <f>'Progetto del paramento slu'!$G$60*(sezione!$AL$37-C2718)/C2718</f>
        <v>-2.9686360993924749E-3</v>
      </c>
      <c r="L2718" s="558">
        <f>'Progetto del paramento slu'!$G$60*(sezione!$AM$37-C2718)/C2718</f>
        <v>-1.5073853727217807E-3</v>
      </c>
      <c r="M2718" s="559">
        <f>'Progetto del paramento slu'!$G$60*(sezione!$AN$37-C2718)/C2718</f>
        <v>-4.6134646051086423E-5</v>
      </c>
      <c r="N2718" s="559">
        <f>'Progetto del paramento slu'!$G$60*(sezione!$AO$37-C2718)/C2718</f>
        <v>1.0165931551639638E-3</v>
      </c>
      <c r="O2718" s="559">
        <f>'Progetto del paramento slu'!$G$60*(sezione!$AP$37-C2718)/C2718</f>
        <v>-4.6001805075937687E-5</v>
      </c>
      <c r="P2718" s="553">
        <f>-'Progetto del paramento slu'!$G$47*'Progetto del paramento slu'!$G$41*IF(DATI!$G$218="dx",DATI!$E$61,DATI!$E$64*DATI!$E$63)*1000*C2718*sezione!$AD$5</f>
        <v>-3713885.3387362617</v>
      </c>
      <c r="Q2718" s="553">
        <f>'Foglio deposito bis'!$F$88*IF(ABS(K2718)&lt;'Progetto del paramento slu'!$G$58,ABS(K2718)*'Progetto del paramento slu'!$G$54,'Progetto del paramento slu'!$G$53)*IF(K2718&lt;0,-1,1)</f>
        <v>0</v>
      </c>
      <c r="R2718" s="553">
        <f>'Foglio deposito bis'!$F$89*IF(ABS(L2718)&lt;'Progetto del paramento slu'!$G$58,ABS(L2718)*'Progetto del paramento slu'!$G$54,'Progetto del paramento slu'!$G$53)*IF(L2718&lt;0,-1,1)</f>
        <v>-121941.46343659006</v>
      </c>
      <c r="S2718" s="553">
        <f>'Foglio deposito bis'!$F$90*IF(ABS(M2718)&lt;'Progetto del paramento slu'!$G$58,ABS(M2718)*'Progetto del paramento slu'!$G$54,'Progetto del paramento slu'!$G$53)*IF(M2718&lt;0,-1,1)</f>
        <v>0</v>
      </c>
      <c r="T2718" s="553">
        <f>'Foglio deposito bis'!$F$91*IF(ABS(N2718)&lt;'Progetto del paramento slu'!$G$58,ABS(N2718)*'Progetto del paramento slu'!$G$54,'Progetto del paramento slu'!$G$53)*IF(N2718&lt;0,-1,1)</f>
        <v>477640.22580786562</v>
      </c>
      <c r="U2718" s="553">
        <f>'Foglio deposito bis'!$F$92*IF(ABS(O2718)&lt;'Progetto del paramento slu'!$G$58,ABS(O2718)*'Progetto del paramento slu'!$G$54,'Progetto del paramento slu'!$G$53)*IF(O2718&lt;0,-1,1)</f>
        <v>-40250.257033838825</v>
      </c>
      <c r="V2718" s="479">
        <f t="shared" si="200"/>
        <v>-3398436.833398825</v>
      </c>
      <c r="W2718" s="559"/>
      <c r="X2718" s="559"/>
    </row>
    <row r="2719" spans="1:24" x14ac:dyDescent="0.25">
      <c r="A2719" s="553">
        <f t="shared" si="199"/>
        <v>3536168.9746989962</v>
      </c>
      <c r="B2719" s="3">
        <f t="shared" si="197"/>
        <v>65.899999999999949</v>
      </c>
      <c r="C2719" s="553">
        <f>'Foglio deposito bis'!$E$163/sezione!$B$247*B2719</f>
        <v>267.53259810554778</v>
      </c>
      <c r="D2719" s="611">
        <f>-'Progetto del paramento slu'!$G$47*'Progetto del paramento slu'!$G$41*IF(DATI!$G$218="dx",DATI!$E$61,DATI!$E$64*DATI!$E$63)*1000*C2719^2*sezione!$AD$5*(1-sezione!$AD$6)</f>
        <v>-589194607.53854287</v>
      </c>
      <c r="E2719" s="553">
        <f>-'Foglio deposito bis'!$F$88*(C2719-sezione!$AL$37)*IF(ABS(K2719)&lt;'Progetto del paramento slu'!$G$58,ABS(K2719)*'Progetto del paramento slu'!$G$54,'Progetto del paramento slu'!$G$53)</f>
        <v>0</v>
      </c>
      <c r="F2719" s="553">
        <f>-'Foglio deposito bis'!$F$89*(C2719-sezione!$AM$37)*IF(ABS(L2719)&lt;'Progetto del paramento slu'!$G$58,ABS(L2719)*'Progetto del paramento slu'!$G$54,'Progetto del paramento slu'!$G$53)</f>
        <v>-14619587.411122771</v>
      </c>
      <c r="G2719" s="553">
        <f>-'Foglio deposito bis'!$F$90*(C2719-sezione!$AN$37)*IF(ABS(M2719)&lt;'Progetto del paramento slu'!$G$58,ABS(M2719)*'Progetto del paramento slu'!$G$54,'Progetto del paramento slu'!$G$53)</f>
        <v>0</v>
      </c>
      <c r="H2719" s="553">
        <f>-'Foglio deposito bis'!$F$91*(C2719-sezione!$AO$37)*IF(ABS(N2719)&lt;'Progetto del paramento slu'!$G$58,ABS(N2719)*'Progetto del paramento slu'!$G$54,'Progetto del paramento slu'!$G$53)</f>
        <v>32279770.135426294</v>
      </c>
      <c r="I2719" s="479">
        <f>-'Foglio deposito bis'!$F$92*(C2719-sezione!$AP$37)*IF(ABS(O2719)&lt;'Progetto del paramento slu'!$G$58,ABS(O2719)*'Progetto del paramento slu'!$G$54,'Progetto del paramento slu'!$G$53)</f>
        <v>-647770.01735730749</v>
      </c>
      <c r="J2719" s="479">
        <f t="shared" si="198"/>
        <v>-572182194.83159673</v>
      </c>
      <c r="K2719" s="558">
        <f>'Progetto del paramento slu'!$G$60*(sezione!$AL$37-C2719)/C2719</f>
        <v>-2.976699284530677E-3</v>
      </c>
      <c r="L2719" s="558">
        <f>'Progetto del paramento slu'!$G$60*(sezione!$AM$37-C2719)/C2719</f>
        <v>-1.5376223169900386E-3</v>
      </c>
      <c r="M2719" s="559">
        <f>'Progetto del paramento slu'!$G$60*(sezione!$AN$37-C2719)/C2719</f>
        <v>-9.8545349449400473E-5</v>
      </c>
      <c r="N2719" s="559">
        <f>'Progetto del paramento slu'!$G$60*(sezione!$AO$37-C2719)/C2719</f>
        <v>9.4805608148924555E-4</v>
      </c>
      <c r="O2719" s="559">
        <f>'Progetto del paramento slu'!$G$60*(sezione!$AP$37-C2719)/C2719</f>
        <v>-9.8414524270536228E-5</v>
      </c>
      <c r="P2719" s="553">
        <f>-'Progetto del paramento slu'!$G$47*'Progetto del paramento slu'!$G$41*IF(DATI!$G$218="dx",DATI!$E$61,DATI!$E$64*DATI!$E$63)*1000*C2719*sezione!$AD$5</f>
        <v>-3771110.0743100098</v>
      </c>
      <c r="Q2719" s="553">
        <f>'Foglio deposito bis'!$F$88*IF(ABS(K2719)&lt;'Progetto del paramento slu'!$G$58,ABS(K2719)*'Progetto del paramento slu'!$G$54,'Progetto del paramento slu'!$G$53)*IF(K2719&lt;0,-1,1)</f>
        <v>0</v>
      </c>
      <c r="R2719" s="553">
        <f>'Foglio deposito bis'!$F$89*IF(ABS(L2719)&lt;'Progetto del paramento slu'!$G$58,ABS(L2719)*'Progetto del paramento slu'!$G$54,'Progetto del paramento slu'!$G$53)*IF(L2719&lt;0,-1,1)</f>
        <v>-124387.51160757925</v>
      </c>
      <c r="S2719" s="553">
        <f>'Foglio deposito bis'!$F$90*IF(ABS(M2719)&lt;'Progetto del paramento slu'!$G$58,ABS(M2719)*'Progetto del paramento slu'!$G$54,'Progetto del paramento slu'!$G$53)*IF(M2719&lt;0,-1,1)</f>
        <v>0</v>
      </c>
      <c r="T2719" s="553">
        <f>'Foglio deposito bis'!$F$91*IF(ABS(N2719)&lt;'Progetto del paramento slu'!$G$58,ABS(N2719)*'Progetto del paramento slu'!$G$54,'Progetto del paramento slu'!$G$53)*IF(N2719&lt;0,-1,1)</f>
        <v>445438.49084642681</v>
      </c>
      <c r="U2719" s="553">
        <f>'Foglio deposito bis'!$F$92*IF(ABS(O2719)&lt;'Progetto del paramento slu'!$G$58,ABS(O2719)*'Progetto del paramento slu'!$G$54,'Progetto del paramento slu'!$G$53)*IF(O2719&lt;0,-1,1)</f>
        <v>-86109.879627833478</v>
      </c>
      <c r="V2719" s="479">
        <f t="shared" si="200"/>
        <v>-3536168.9746989962</v>
      </c>
      <c r="W2719" s="559"/>
      <c r="X2719" s="559"/>
    </row>
    <row r="2720" spans="1:24" x14ac:dyDescent="0.25">
      <c r="A2720" s="553">
        <f t="shared" si="199"/>
        <v>3671494.3176216963</v>
      </c>
      <c r="B2720" s="3">
        <f t="shared" si="197"/>
        <v>66.899999999999949</v>
      </c>
      <c r="C2720" s="553">
        <f>'Foglio deposito bis'!$E$163/sezione!$B$247*B2720</f>
        <v>271.5922733423543</v>
      </c>
      <c r="D2720" s="611">
        <f>-'Progetto del paramento slu'!$G$47*'Progetto del paramento slu'!$G$41*IF(DATI!$G$218="dx",DATI!$E$61,DATI!$E$64*DATI!$E$63)*1000*C2720^2*sezione!$AD$5*(1-sezione!$AD$6)</f>
        <v>-607211754.01308799</v>
      </c>
      <c r="E2720" s="553">
        <f>-'Foglio deposito bis'!$F$88*(C2720-sezione!$AL$37)*IF(ABS(K2720)&lt;'Progetto del paramento slu'!$G$58,ABS(K2720)*'Progetto del paramento slu'!$G$54,'Progetto del paramento slu'!$G$53)</f>
        <v>0</v>
      </c>
      <c r="F2720" s="553">
        <f>-'Foglio deposito bis'!$F$89*(C2720-sezione!$AM$37)*IF(ABS(L2720)&lt;'Progetto del paramento slu'!$G$58,ABS(L2720)*'Progetto del paramento slu'!$G$54,'Progetto del paramento slu'!$G$53)</f>
        <v>-15413089.373082811</v>
      </c>
      <c r="G2720" s="553">
        <f>-'Foglio deposito bis'!$F$90*(C2720-sezione!$AN$37)*IF(ABS(M2720)&lt;'Progetto del paramento slu'!$G$58,ABS(M2720)*'Progetto del paramento slu'!$G$54,'Progetto del paramento slu'!$G$53)</f>
        <v>0</v>
      </c>
      <c r="H2720" s="553">
        <f>-'Foglio deposito bis'!$F$91*(C2720-sezione!$AO$37)*IF(ABS(N2720)&lt;'Progetto del paramento slu'!$G$58,ABS(N2720)*'Progetto del paramento slu'!$G$54,'Progetto del paramento slu'!$G$53)</f>
        <v>28334441.973704007</v>
      </c>
      <c r="I2720" s="479">
        <f>-'Foglio deposito bis'!$F$92*(C2720-sezione!$AP$37)*IF(ABS(O2720)&lt;'Progetto del paramento slu'!$G$58,ABS(O2720)*'Progetto del paramento slu'!$G$54,'Progetto del paramento slu'!$G$53)</f>
        <v>-1512627.6642017099</v>
      </c>
      <c r="J2720" s="479">
        <f t="shared" si="198"/>
        <v>-595803029.0766685</v>
      </c>
      <c r="K2720" s="558">
        <f>'Progetto del paramento slu'!$G$60*(sezione!$AL$37-C2720)/C2720</f>
        <v>-2.9845214177962871E-3</v>
      </c>
      <c r="L2720" s="558">
        <f>'Progetto del paramento slu'!$G$60*(sezione!$AM$37-C2720)/C2720</f>
        <v>-1.5669553167360773E-3</v>
      </c>
      <c r="M2720" s="559">
        <f>'Progetto del paramento slu'!$G$60*(sezione!$AN$37-C2720)/C2720</f>
        <v>-1.4938921567586726E-4</v>
      </c>
      <c r="N2720" s="559">
        <f>'Progetto del paramento slu'!$G$60*(sezione!$AO$37-C2720)/C2720</f>
        <v>8.8156794873155814E-4</v>
      </c>
      <c r="O2720" s="559">
        <f>'Progetto del paramento slu'!$G$60*(sezione!$AP$37-C2720)/C2720</f>
        <v>-1.4926034603031938E-4</v>
      </c>
      <c r="P2720" s="553">
        <f>-'Progetto del paramento slu'!$G$47*'Progetto del paramento slu'!$G$41*IF(DATI!$G$218="dx",DATI!$E$61,DATI!$E$64*DATI!$E$63)*1000*C2720*sezione!$AD$5</f>
        <v>-3828334.8098837584</v>
      </c>
      <c r="Q2720" s="553">
        <f>'Foglio deposito bis'!$F$88*IF(ABS(K2720)&lt;'Progetto del paramento slu'!$G$58,ABS(K2720)*'Progetto del paramento slu'!$G$54,'Progetto del paramento slu'!$G$53)*IF(K2720&lt;0,-1,1)</f>
        <v>0</v>
      </c>
      <c r="R2720" s="553">
        <f>'Foglio deposito bis'!$F$89*IF(ABS(L2720)&lt;'Progetto del paramento slu'!$G$58,ABS(L2720)*'Progetto del paramento slu'!$G$54,'Progetto del paramento slu'!$G$53)*IF(L2720&lt;0,-1,1)</f>
        <v>-126760.43427270935</v>
      </c>
      <c r="S2720" s="553">
        <f>'Foglio deposito bis'!$F$90*IF(ABS(M2720)&lt;'Progetto del paramento slu'!$G$58,ABS(M2720)*'Progetto del paramento slu'!$G$54,'Progetto del paramento slu'!$G$53)*IF(M2720&lt;0,-1,1)</f>
        <v>0</v>
      </c>
      <c r="T2720" s="553">
        <f>'Foglio deposito bis'!$F$91*IF(ABS(N2720)&lt;'Progetto del paramento slu'!$G$58,ABS(N2720)*'Progetto del paramento slu'!$G$54,'Progetto del paramento slu'!$G$53)*IF(N2720&lt;0,-1,1)</f>
        <v>414199.43854452239</v>
      </c>
      <c r="U2720" s="553">
        <f>'Foglio deposito bis'!$F$92*IF(ABS(O2720)&lt;'Progetto del paramento slu'!$G$58,ABS(O2720)*'Progetto del paramento slu'!$G$54,'Progetto del paramento slu'!$G$53)*IF(O2720&lt;0,-1,1)</f>
        <v>-130598.51200975115</v>
      </c>
      <c r="V2720" s="479">
        <f t="shared" si="200"/>
        <v>-3671494.3176216963</v>
      </c>
      <c r="W2720" s="559"/>
      <c r="X2720" s="559"/>
    </row>
    <row r="2721" spans="1:24" x14ac:dyDescent="0.25">
      <c r="A2721" s="553">
        <f t="shared" si="199"/>
        <v>3804519.2008286682</v>
      </c>
      <c r="B2721" s="3">
        <f t="shared" si="197"/>
        <v>67.899999999999949</v>
      </c>
      <c r="C2721" s="553">
        <f>'Foglio deposito bis'!$E$163/sezione!$B$247*B2721</f>
        <v>275.65194857916077</v>
      </c>
      <c r="D2721" s="611">
        <f>-'Progetto del paramento slu'!$G$47*'Progetto del paramento slu'!$G$41*IF(DATI!$G$218="dx",DATI!$E$61,DATI!$E$64*DATI!$E$63)*1000*C2721^2*sezione!$AD$5*(1-sezione!$AD$6)</f>
        <v>-625500243.05502045</v>
      </c>
      <c r="E2721" s="553">
        <f>-'Foglio deposito bis'!$F$88*(C2721-sezione!$AL$37)*IF(ABS(K2721)&lt;'Progetto del paramento slu'!$G$58,ABS(K2721)*'Progetto del paramento slu'!$G$54,'Progetto del paramento slu'!$G$53)</f>
        <v>0</v>
      </c>
      <c r="F2721" s="553">
        <f>-'Foglio deposito bis'!$F$89*(C2721-sezione!$AM$37)*IF(ABS(L2721)&lt;'Progetto del paramento slu'!$G$58,ABS(L2721)*'Progetto del paramento slu'!$G$54,'Progetto del paramento slu'!$G$53)</f>
        <v>-16217075.529439582</v>
      </c>
      <c r="G2721" s="553">
        <f>-'Foglio deposito bis'!$F$90*(C2721-sezione!$AN$37)*IF(ABS(M2721)&lt;'Progetto del paramento slu'!$G$58,ABS(M2721)*'Progetto del paramento slu'!$G$54,'Progetto del paramento slu'!$G$53)</f>
        <v>0</v>
      </c>
      <c r="H2721" s="553">
        <f>-'Foglio deposito bis'!$F$91*(C2721-sezione!$AO$37)*IF(ABS(N2721)&lt;'Progetto del paramento slu'!$G$58,ABS(N2721)*'Progetto del paramento slu'!$G$54,'Progetto del paramento slu'!$G$53)</f>
        <v>24701964.409408797</v>
      </c>
      <c r="I2721" s="479">
        <f>-'Foglio deposito bis'!$F$92*(C2721-sezione!$AP$37)*IF(ABS(O2721)&lt;'Progetto del paramento slu'!$G$58,ABS(O2721)*'Progetto del paramento slu'!$G$54,'Progetto del paramento slu'!$G$53)</f>
        <v>-2718206.6455268743</v>
      </c>
      <c r="J2721" s="479">
        <f t="shared" si="198"/>
        <v>-619733560.8205781</v>
      </c>
      <c r="K2721" s="558">
        <f>'Progetto del paramento slu'!$G$60*(sezione!$AL$37-C2721)/C2721</f>
        <v>-2.9921131494929543E-3</v>
      </c>
      <c r="L2721" s="558">
        <f>'Progetto del paramento slu'!$G$60*(sezione!$AM$37-C2721)/C2721</f>
        <v>-1.5954243105985796E-3</v>
      </c>
      <c r="M2721" s="559">
        <f>'Progetto del paramento slu'!$G$60*(sezione!$AN$37-C2721)/C2721</f>
        <v>-1.9873547170420474E-4</v>
      </c>
      <c r="N2721" s="559">
        <f>'Progetto del paramento slu'!$G$60*(sezione!$AO$37-C2721)/C2721</f>
        <v>8.1703822930988615E-4</v>
      </c>
      <c r="O2721" s="559">
        <f>'Progetto del paramento slu'!$G$60*(sezione!$AP$37-C2721)/C2721</f>
        <v>-1.9860849999158098E-4</v>
      </c>
      <c r="P2721" s="553">
        <f>-'Progetto del paramento slu'!$G$47*'Progetto del paramento slu'!$G$41*IF(DATI!$G$218="dx",DATI!$E$61,DATI!$E$64*DATI!$E$63)*1000*C2721*sezione!$AD$5</f>
        <v>-3885559.5454575066</v>
      </c>
      <c r="Q2721" s="553">
        <f>'Foglio deposito bis'!$F$88*IF(ABS(K2721)&lt;'Progetto del paramento slu'!$G$58,ABS(K2721)*'Progetto del paramento slu'!$G$54,'Progetto del paramento slu'!$G$53)*IF(K2721&lt;0,-1,1)</f>
        <v>0</v>
      </c>
      <c r="R2721" s="553">
        <f>'Foglio deposito bis'!$F$89*IF(ABS(L2721)&lt;'Progetto del paramento slu'!$G$58,ABS(L2721)*'Progetto del paramento slu'!$G$54,'Progetto del paramento slu'!$G$53)*IF(L2721&lt;0,-1,1)</f>
        <v>-129063.46230852773</v>
      </c>
      <c r="S2721" s="553">
        <f>'Foglio deposito bis'!$F$90*IF(ABS(M2721)&lt;'Progetto del paramento slu'!$G$58,ABS(M2721)*'Progetto del paramento slu'!$G$54,'Progetto del paramento slu'!$G$53)*IF(M2721&lt;0,-1,1)</f>
        <v>0</v>
      </c>
      <c r="T2721" s="553">
        <f>'Foglio deposito bis'!$F$91*IF(ABS(N2721)&lt;'Progetto del paramento slu'!$G$58,ABS(N2721)*'Progetto del paramento slu'!$G$54,'Progetto del paramento slu'!$G$53)*IF(N2721&lt;0,-1,1)</f>
        <v>383880.53505858022</v>
      </c>
      <c r="U2721" s="553">
        <f>'Foglio deposito bis'!$F$92*IF(ABS(O2721)&lt;'Progetto del paramento slu'!$G$58,ABS(O2721)*'Progetto del paramento slu'!$G$54,'Progetto del paramento slu'!$G$53)*IF(O2721&lt;0,-1,1)</f>
        <v>-173776.72812121414</v>
      </c>
      <c r="V2721" s="479">
        <f t="shared" si="200"/>
        <v>-3804519.2008286682</v>
      </c>
      <c r="W2721" s="559"/>
      <c r="X2721" s="559"/>
    </row>
    <row r="2722" spans="1:24" x14ac:dyDescent="0.25">
      <c r="A2722" s="553">
        <f t="shared" si="199"/>
        <v>3935343.7894744459</v>
      </c>
      <c r="B2722" s="3">
        <f t="shared" si="197"/>
        <v>68.899999999999949</v>
      </c>
      <c r="C2722" s="553">
        <f>'Foglio deposito bis'!$E$163/sezione!$B$247*B2722</f>
        <v>279.7116238159673</v>
      </c>
      <c r="D2722" s="611">
        <f>-'Progetto del paramento slu'!$G$47*'Progetto del paramento slu'!$G$41*IF(DATI!$G$218="dx",DATI!$E$61,DATI!$E$64*DATI!$E$63)*1000*C2722^2*sezione!$AD$5*(1-sezione!$AD$6)</f>
        <v>-644060074.66434097</v>
      </c>
      <c r="E2722" s="553">
        <f>-'Foglio deposito bis'!$F$88*(C2722-sezione!$AL$37)*IF(ABS(K2722)&lt;'Progetto del paramento slu'!$G$58,ABS(K2722)*'Progetto del paramento slu'!$G$54,'Progetto del paramento slu'!$G$53)</f>
        <v>0</v>
      </c>
      <c r="F2722" s="553">
        <f>-'Foglio deposito bis'!$F$89*(C2722-sezione!$AM$37)*IF(ABS(L2722)&lt;'Progetto del paramento slu'!$G$58,ABS(L2722)*'Progetto del paramento slu'!$G$54,'Progetto del paramento slu'!$G$53)</f>
        <v>-17031089.384065531</v>
      </c>
      <c r="G2722" s="553">
        <f>-'Foglio deposito bis'!$F$90*(C2722-sezione!$AN$37)*IF(ABS(M2722)&lt;'Progetto del paramento slu'!$G$58,ABS(M2722)*'Progetto del paramento slu'!$G$54,'Progetto del paramento slu'!$G$53)</f>
        <v>0</v>
      </c>
      <c r="H2722" s="553">
        <f>-'Foglio deposito bis'!$F$91*(C2722-sezione!$AO$37)*IF(ABS(N2722)&lt;'Progetto del paramento slu'!$G$58,ABS(N2722)*'Progetto del paramento slu'!$G$54,'Progetto del paramento slu'!$G$53)</f>
        <v>21368715.500707746</v>
      </c>
      <c r="I2722" s="479">
        <f>-'Foglio deposito bis'!$F$92*(C2722-sezione!$AP$37)*IF(ABS(O2722)&lt;'Progetto del paramento slu'!$G$58,ABS(O2722)*'Progetto del paramento slu'!$G$54,'Progetto del paramento slu'!$G$53)</f>
        <v>-4249671.4895847589</v>
      </c>
      <c r="J2722" s="479">
        <f t="shared" si="198"/>
        <v>-643972120.03728354</v>
      </c>
      <c r="K2722" s="558">
        <f>'Progetto del paramento slu'!$G$60*(sezione!$AL$37-C2722)/C2722</f>
        <v>-2.9994845116193269E-3</v>
      </c>
      <c r="L2722" s="558">
        <f>'Progetto del paramento slu'!$G$60*(sezione!$AM$37-C2722)/C2722</f>
        <v>-1.6230669185724757E-3</v>
      </c>
      <c r="M2722" s="559">
        <f>'Progetto del paramento slu'!$G$60*(sezione!$AN$37-C2722)/C2722</f>
        <v>-2.4664932552562457E-4</v>
      </c>
      <c r="N2722" s="559">
        <f>'Progetto del paramento slu'!$G$60*(sezione!$AO$37-C2722)/C2722</f>
        <v>7.5438165123572175E-4</v>
      </c>
      <c r="O2722" s="559">
        <f>'Progetto del paramento slu'!$G$60*(sezione!$AP$37-C2722)/C2722</f>
        <v>-2.4652419665353235E-4</v>
      </c>
      <c r="P2722" s="553">
        <f>-'Progetto del paramento slu'!$G$47*'Progetto del paramento slu'!$G$41*IF(DATI!$G$218="dx",DATI!$E$61,DATI!$E$64*DATI!$E$63)*1000*C2722*sezione!$AD$5</f>
        <v>-3942784.2810312556</v>
      </c>
      <c r="Q2722" s="553">
        <f>'Foglio deposito bis'!$F$88*IF(ABS(K2722)&lt;'Progetto del paramento slu'!$G$58,ABS(K2722)*'Progetto del paramento slu'!$G$54,'Progetto del paramento slu'!$G$53)*IF(K2722&lt;0,-1,1)</f>
        <v>0</v>
      </c>
      <c r="R2722" s="553">
        <f>'Foglio deposito bis'!$F$89*IF(ABS(L2722)&lt;'Progetto del paramento slu'!$G$58,ABS(L2722)*'Progetto del paramento slu'!$G$54,'Progetto del paramento slu'!$G$53)*IF(L2722&lt;0,-1,1)</f>
        <v>-131299.63902255174</v>
      </c>
      <c r="S2722" s="553">
        <f>'Foglio deposito bis'!$F$90*IF(ABS(M2722)&lt;'Progetto del paramento slu'!$G$58,ABS(M2722)*'Progetto del paramento slu'!$G$54,'Progetto del paramento slu'!$G$53)*IF(M2722&lt;0,-1,1)</f>
        <v>0</v>
      </c>
      <c r="T2722" s="553">
        <f>'Foglio deposito bis'!$F$91*IF(ABS(N2722)&lt;'Progetto del paramento slu'!$G$58,ABS(N2722)*'Progetto del paramento slu'!$G$54,'Progetto del paramento slu'!$G$53)*IF(N2722&lt;0,-1,1)</f>
        <v>354441.71585379704</v>
      </c>
      <c r="U2722" s="553">
        <f>'Foglio deposito bis'!$F$92*IF(ABS(O2722)&lt;'Progetto del paramento slu'!$G$58,ABS(O2722)*'Progetto del paramento slu'!$G$54,'Progetto del paramento slu'!$G$53)*IF(O2722&lt;0,-1,1)</f>
        <v>-215701.58527443491</v>
      </c>
      <c r="V2722" s="479">
        <f t="shared" si="200"/>
        <v>-3935343.7894744459</v>
      </c>
      <c r="W2722" s="559"/>
      <c r="X2722" s="559"/>
    </row>
    <row r="2723" spans="1:24" x14ac:dyDescent="0.25">
      <c r="A2723" s="553">
        <f t="shared" si="199"/>
        <v>4064062.5168019938</v>
      </c>
      <c r="B2723" s="3">
        <f t="shared" si="197"/>
        <v>69.899999999999949</v>
      </c>
      <c r="C2723" s="553">
        <f>'Foglio deposito bis'!$E$163/sezione!$B$247*B2723</f>
        <v>283.77129905277377</v>
      </c>
      <c r="D2723" s="611">
        <f>-'Progetto del paramento slu'!$G$47*'Progetto del paramento slu'!$G$41*IF(DATI!$G$218="dx",DATI!$E$61,DATI!$E$64*DATI!$E$63)*1000*C2723^2*sezione!$AD$5*(1-sezione!$AD$6)</f>
        <v>-662891248.84104908</v>
      </c>
      <c r="E2723" s="553">
        <f>-'Foglio deposito bis'!$F$88*(C2723-sezione!$AL$37)*IF(ABS(K2723)&lt;'Progetto del paramento slu'!$G$58,ABS(K2723)*'Progetto del paramento slu'!$G$54,'Progetto del paramento slu'!$G$53)</f>
        <v>0</v>
      </c>
      <c r="F2723" s="553">
        <f>-'Foglio deposito bis'!$F$89*(C2723-sezione!$AM$37)*IF(ABS(L2723)&lt;'Progetto del paramento slu'!$G$58,ABS(L2723)*'Progetto del paramento slu'!$G$54,'Progetto del paramento slu'!$G$53)</f>
        <v>-17854700.563644364</v>
      </c>
      <c r="G2723" s="553">
        <f>-'Foglio deposito bis'!$F$90*(C2723-sezione!$AN$37)*IF(ABS(M2723)&lt;'Progetto del paramento slu'!$G$58,ABS(M2723)*'Progetto del paramento slu'!$G$54,'Progetto del paramento slu'!$G$53)</f>
        <v>0</v>
      </c>
      <c r="H2723" s="553">
        <f>-'Foglio deposito bis'!$F$91*(C2723-sezione!$AO$37)*IF(ABS(N2723)&lt;'Progetto del paramento slu'!$G$58,ABS(N2723)*'Progetto del paramento slu'!$G$54,'Progetto del paramento slu'!$G$53)</f>
        <v>18321852.816030376</v>
      </c>
      <c r="I2723" s="479">
        <f>-'Foglio deposito bis'!$F$92*(C2723-sezione!$AP$37)*IF(ABS(O2723)&lt;'Progetto del paramento slu'!$G$58,ABS(O2723)*'Progetto del paramento slu'!$G$54,'Progetto del paramento slu'!$G$53)</f>
        <v>-6093035.6786614731</v>
      </c>
      <c r="J2723" s="479">
        <f t="shared" si="198"/>
        <v>-668517132.26732457</v>
      </c>
      <c r="K2723" s="558">
        <f>'Progetto del paramento slu'!$G$60*(sezione!$AL$37-C2723)/C2723</f>
        <v>-3.0066449620968758E-3</v>
      </c>
      <c r="L2723" s="558">
        <f>'Progetto del paramento slu'!$G$60*(sezione!$AM$37-C2723)/C2723</f>
        <v>-1.6499186078632842E-3</v>
      </c>
      <c r="M2723" s="559">
        <f>'Progetto del paramento slu'!$G$60*(sezione!$AN$37-C2723)/C2723</f>
        <v>-2.9319225362969261E-4</v>
      </c>
      <c r="N2723" s="559">
        <f>'Progetto del paramento slu'!$G$60*(sezione!$AO$37-C2723)/C2723</f>
        <v>6.9351782217655583E-4</v>
      </c>
      <c r="O2723" s="559">
        <f>'Progetto del paramento slu'!$G$60*(sezione!$AP$37-C2723)/C2723</f>
        <v>-2.9306891487021979E-4</v>
      </c>
      <c r="P2723" s="553">
        <f>-'Progetto del paramento slu'!$G$47*'Progetto del paramento slu'!$G$41*IF(DATI!$G$218="dx",DATI!$E$61,DATI!$E$64*DATI!$E$63)*1000*C2723*sezione!$AD$5</f>
        <v>-4000009.0166050037</v>
      </c>
      <c r="Q2723" s="553">
        <f>'Foglio deposito bis'!$F$88*IF(ABS(K2723)&lt;'Progetto del paramento slu'!$G$58,ABS(K2723)*'Progetto del paramento slu'!$G$54,'Progetto del paramento slu'!$G$53)*IF(K2723&lt;0,-1,1)</f>
        <v>0</v>
      </c>
      <c r="R2723" s="553">
        <f>'Foglio deposito bis'!$F$89*IF(ABS(L2723)&lt;'Progetto del paramento slu'!$G$58,ABS(L2723)*'Progetto del paramento slu'!$G$54,'Progetto del paramento slu'!$G$53)*IF(L2723&lt;0,-1,1)</f>
        <v>-133471.8335702231</v>
      </c>
      <c r="S2723" s="553">
        <f>'Foglio deposito bis'!$F$90*IF(ABS(M2723)&lt;'Progetto del paramento slu'!$G$58,ABS(M2723)*'Progetto del paramento slu'!$G$54,'Progetto del paramento slu'!$G$53)*IF(M2723&lt;0,-1,1)</f>
        <v>0</v>
      </c>
      <c r="T2723" s="553">
        <f>'Foglio deposito bis'!$F$91*IF(ABS(N2723)&lt;'Progetto del paramento slu'!$G$58,ABS(N2723)*'Progetto del paramento slu'!$G$54,'Progetto del paramento slu'!$G$53)*IF(N2723&lt;0,-1,1)</f>
        <v>325845.20907261322</v>
      </c>
      <c r="U2723" s="553">
        <f>'Foglio deposito bis'!$F$92*IF(ABS(O2723)&lt;'Progetto del paramento slu'!$G$58,ABS(O2723)*'Progetto del paramento slu'!$G$54,'Progetto del paramento slu'!$G$53)*IF(O2723&lt;0,-1,1)</f>
        <v>-256426.87569937989</v>
      </c>
      <c r="V2723" s="479">
        <f t="shared" si="200"/>
        <v>-4064062.5168019938</v>
      </c>
      <c r="W2723" s="559"/>
      <c r="X2723" s="559"/>
    </row>
    <row r="2724" spans="1:24" x14ac:dyDescent="0.25">
      <c r="A2724" s="553">
        <f t="shared" si="199"/>
        <v>4190764.4883677997</v>
      </c>
      <c r="B2724" s="3">
        <f t="shared" si="197"/>
        <v>70.899999999999949</v>
      </c>
      <c r="C2724" s="553">
        <f>'Foglio deposito bis'!$E$163/sezione!$B$247*B2724</f>
        <v>287.8309742895803</v>
      </c>
      <c r="D2724" s="611">
        <f>-'Progetto del paramento slu'!$G$47*'Progetto del paramento slu'!$G$41*IF(DATI!$G$218="dx",DATI!$E$61,DATI!$E$64*DATI!$E$63)*1000*C2724^2*sezione!$AD$5*(1-sezione!$AD$6)</f>
        <v>-681993765.585145</v>
      </c>
      <c r="E2724" s="553">
        <f>-'Foglio deposito bis'!$F$88*(C2724-sezione!$AL$37)*IF(ABS(K2724)&lt;'Progetto del paramento slu'!$G$58,ABS(K2724)*'Progetto del paramento slu'!$G$54,'Progetto del paramento slu'!$G$53)</f>
        <v>0</v>
      </c>
      <c r="F2724" s="553">
        <f>-'Foglio deposito bis'!$F$89*(C2724-sezione!$AM$37)*IF(ABS(L2724)&lt;'Progetto del paramento slu'!$G$58,ABS(L2724)*'Progetto del paramento slu'!$G$54,'Progetto del paramento slu'!$G$53)</f>
        <v>-18687502.975441843</v>
      </c>
      <c r="G2724" s="553">
        <f>-'Foglio deposito bis'!$F$90*(C2724-sezione!$AN$37)*IF(ABS(M2724)&lt;'Progetto del paramento slu'!$G$58,ABS(M2724)*'Progetto del paramento slu'!$G$54,'Progetto del paramento slu'!$G$53)</f>
        <v>0</v>
      </c>
      <c r="H2724" s="553">
        <f>-'Foglio deposito bis'!$F$91*(C2724-sezione!$AO$37)*IF(ABS(N2724)&lt;'Progetto del paramento slu'!$G$58,ABS(N2724)*'Progetto del paramento slu'!$G$54,'Progetto del paramento slu'!$G$53)</f>
        <v>15549258.461553326</v>
      </c>
      <c r="I2724" s="479">
        <f>-'Foglio deposito bis'!$F$92*(C2724-sezione!$AP$37)*IF(ABS(O2724)&lt;'Progetto del paramento slu'!$G$58,ABS(O2724)*'Progetto del paramento slu'!$G$54,'Progetto del paramento slu'!$G$53)</f>
        <v>-8235101.7792583825</v>
      </c>
      <c r="J2724" s="479">
        <f t="shared" si="198"/>
        <v>-693367111.87829185</v>
      </c>
      <c r="K2724" s="558">
        <f>'Progetto del paramento slu'!$G$60*(sezione!$AL$37-C2724)/C2724</f>
        <v>-3.0136034252548891E-3</v>
      </c>
      <c r="L2724" s="558">
        <f>'Progetto del paramento slu'!$G$60*(sezione!$AM$37-C2724)/C2724</f>
        <v>-1.6760128447058334E-3</v>
      </c>
      <c r="M2724" s="559">
        <f>'Progetto del paramento slu'!$G$60*(sezione!$AN$37-C2724)/C2724</f>
        <v>-3.3842226415677773E-4</v>
      </c>
      <c r="N2724" s="559">
        <f>'Progetto del paramento slu'!$G$60*(sezione!$AO$37-C2724)/C2724</f>
        <v>6.3437088533344456E-4</v>
      </c>
      <c r="O2724" s="559">
        <f>'Progetto del paramento slu'!$G$60*(sezione!$AP$37-C2724)/C2724</f>
        <v>-3.3830066501309433E-4</v>
      </c>
      <c r="P2724" s="553">
        <f>-'Progetto del paramento slu'!$G$47*'Progetto del paramento slu'!$G$41*IF(DATI!$G$218="dx",DATI!$E$61,DATI!$E$64*DATI!$E$63)*1000*C2724*sezione!$AD$5</f>
        <v>-4057233.7521787523</v>
      </c>
      <c r="Q2724" s="553">
        <f>'Foglio deposito bis'!$F$88*IF(ABS(K2724)&lt;'Progetto del paramento slu'!$G$58,ABS(K2724)*'Progetto del paramento slu'!$G$54,'Progetto del paramento slu'!$G$53)*IF(K2724&lt;0,-1,1)</f>
        <v>0</v>
      </c>
      <c r="R2724" s="553">
        <f>'Foglio deposito bis'!$F$89*IF(ABS(L2724)&lt;'Progetto del paramento slu'!$G$58,ABS(L2724)*'Progetto del paramento slu'!$G$54,'Progetto del paramento slu'!$G$53)*IF(L2724&lt;0,-1,1)</f>
        <v>-135582.7532364369</v>
      </c>
      <c r="S2724" s="553">
        <f>'Foglio deposito bis'!$F$90*IF(ABS(M2724)&lt;'Progetto del paramento slu'!$G$58,ABS(M2724)*'Progetto del paramento slu'!$G$54,'Progetto del paramento slu'!$G$53)*IF(M2724&lt;0,-1,1)</f>
        <v>0</v>
      </c>
      <c r="T2724" s="553">
        <f>'Foglio deposito bis'!$F$91*IF(ABS(N2724)&lt;'Progetto del paramento slu'!$G$58,ABS(N2724)*'Progetto del paramento slu'!$G$54,'Progetto del paramento slu'!$G$53)*IF(N2724&lt;0,-1,1)</f>
        <v>298055.37385084183</v>
      </c>
      <c r="U2724" s="553">
        <f>'Foglio deposito bis'!$F$92*IF(ABS(O2724)&lt;'Progetto del paramento slu'!$G$58,ABS(O2724)*'Progetto del paramento slu'!$G$54,'Progetto del paramento slu'!$G$53)*IF(O2724&lt;0,-1,1)</f>
        <v>-296003.35680345242</v>
      </c>
      <c r="V2724" s="479">
        <f t="shared" si="200"/>
        <v>-4190764.4883677997</v>
      </c>
      <c r="W2724" s="559"/>
      <c r="X2724" s="559"/>
    </row>
    <row r="2725" spans="1:24" x14ac:dyDescent="0.25">
      <c r="A2725" s="553">
        <f t="shared" si="199"/>
        <v>4315533.8525346592</v>
      </c>
      <c r="B2725" s="3">
        <f t="shared" si="197"/>
        <v>71.899999999999949</v>
      </c>
      <c r="C2725" s="553">
        <f>'Foglio deposito bis'!$E$163/sezione!$B$247*B2725</f>
        <v>291.89064952638677</v>
      </c>
      <c r="D2725" s="611">
        <f>-'Progetto del paramento slu'!$G$47*'Progetto del paramento slu'!$G$41*IF(DATI!$G$218="dx",DATI!$E$61,DATI!$E$64*DATI!$E$63)*1000*C2725^2*sezione!$AD$5*(1-sezione!$AD$6)</f>
        <v>-701367624.89662862</v>
      </c>
      <c r="E2725" s="553">
        <f>-'Foglio deposito bis'!$F$88*(C2725-sezione!$AL$37)*IF(ABS(K2725)&lt;'Progetto del paramento slu'!$G$58,ABS(K2725)*'Progetto del paramento slu'!$G$54,'Progetto del paramento slu'!$G$53)</f>
        <v>0</v>
      </c>
      <c r="F2725" s="553">
        <f>-'Foglio deposito bis'!$F$89*(C2725-sezione!$AM$37)*IF(ABS(L2725)&lt;'Progetto del paramento slu'!$G$58,ABS(L2725)*'Progetto del paramento slu'!$G$54,'Progetto del paramento slu'!$G$53)</f>
        <v>-19529113.118809048</v>
      </c>
      <c r="G2725" s="553">
        <f>-'Foglio deposito bis'!$F$90*(C2725-sezione!$AN$37)*IF(ABS(M2725)&lt;'Progetto del paramento slu'!$G$58,ABS(M2725)*'Progetto del paramento slu'!$G$54,'Progetto del paramento slu'!$G$53)</f>
        <v>0</v>
      </c>
      <c r="H2725" s="553">
        <f>-'Foglio deposito bis'!$F$91*(C2725-sezione!$AO$37)*IF(ABS(N2725)&lt;'Progetto del paramento slu'!$G$58,ABS(N2725)*'Progetto del paramento slu'!$G$54,'Progetto del paramento slu'!$G$53)</f>
        <v>13039488.696100013</v>
      </c>
      <c r="I2725" s="479">
        <f>-'Foglio deposito bis'!$F$92*(C2725-sezione!$AP$37)*IF(ABS(O2725)&lt;'Progetto del paramento slu'!$G$58,ABS(O2725)*'Progetto del paramento slu'!$G$54,'Progetto del paramento slu'!$G$53)</f>
        <v>-10663406.568363464</v>
      </c>
      <c r="J2725" s="479">
        <f t="shared" si="198"/>
        <v>-718520655.88770115</v>
      </c>
      <c r="K2725" s="558">
        <f>'Progetto del paramento slu'!$G$60*(sezione!$AL$37-C2725)/C2725</f>
        <v>-3.0203683289370185E-3</v>
      </c>
      <c r="L2725" s="558">
        <f>'Progetto del paramento slu'!$G$60*(sezione!$AM$37-C2725)/C2725</f>
        <v>-1.7013812335138188E-3</v>
      </c>
      <c r="M2725" s="559">
        <f>'Progetto del paramento slu'!$G$60*(sezione!$AN$37-C2725)/C2725</f>
        <v>-3.8239413809061927E-4</v>
      </c>
      <c r="N2725" s="559">
        <f>'Progetto del paramento slu'!$G$60*(sezione!$AO$37-C2725)/C2725</f>
        <v>5.768692040353441E-4</v>
      </c>
      <c r="O2725" s="559">
        <f>'Progetto del paramento slu'!$G$60*(sezione!$AP$37-C2725)/C2725</f>
        <v>-3.8227423017285635E-4</v>
      </c>
      <c r="P2725" s="553">
        <f>-'Progetto del paramento slu'!$G$47*'Progetto del paramento slu'!$G$41*IF(DATI!$G$218="dx",DATI!$E$61,DATI!$E$64*DATI!$E$63)*1000*C2725*sezione!$AD$5</f>
        <v>-4114458.4877524995</v>
      </c>
      <c r="Q2725" s="553">
        <f>'Foglio deposito bis'!$F$88*IF(ABS(K2725)&lt;'Progetto del paramento slu'!$G$58,ABS(K2725)*'Progetto del paramento slu'!$G$54,'Progetto del paramento slu'!$G$53)*IF(K2725&lt;0,-1,1)</f>
        <v>0</v>
      </c>
      <c r="R2725" s="553">
        <f>'Foglio deposito bis'!$F$89*IF(ABS(L2725)&lt;'Progetto del paramento slu'!$G$58,ABS(L2725)*'Progetto del paramento slu'!$G$54,'Progetto del paramento slu'!$G$53)*IF(L2725&lt;0,-1,1)</f>
        <v>-137634.95469218574</v>
      </c>
      <c r="S2725" s="553">
        <f>'Foglio deposito bis'!$F$90*IF(ABS(M2725)&lt;'Progetto del paramento slu'!$G$58,ABS(M2725)*'Progetto del paramento slu'!$G$54,'Progetto del paramento slu'!$G$53)*IF(M2725&lt;0,-1,1)</f>
        <v>0</v>
      </c>
      <c r="T2725" s="553">
        <f>'Foglio deposito bis'!$F$91*IF(ABS(N2725)&lt;'Progetto del paramento slu'!$G$58,ABS(N2725)*'Progetto del paramento slu'!$G$54,'Progetto del paramento slu'!$G$53)*IF(N2725&lt;0,-1,1)</f>
        <v>271038.55212619936</v>
      </c>
      <c r="U2725" s="553">
        <f>'Foglio deposito bis'!$F$92*IF(ABS(O2725)&lt;'Progetto del paramento slu'!$G$58,ABS(O2725)*'Progetto del paramento slu'!$G$54,'Progetto del paramento slu'!$G$53)*IF(O2725&lt;0,-1,1)</f>
        <v>-334478.96221617342</v>
      </c>
      <c r="V2725" s="479">
        <f t="shared" si="200"/>
        <v>-4315533.8525346592</v>
      </c>
      <c r="W2725" s="559"/>
      <c r="X2725" s="559"/>
    </row>
    <row r="2726" spans="1:24" x14ac:dyDescent="0.25">
      <c r="A2726" s="553">
        <f t="shared" si="199"/>
        <v>4438450.1404712563</v>
      </c>
      <c r="B2726" s="3">
        <f t="shared" si="197"/>
        <v>72.899999999999949</v>
      </c>
      <c r="C2726" s="553">
        <f>'Foglio deposito bis'!$E$163/sezione!$B$247*B2726</f>
        <v>295.95032476319324</v>
      </c>
      <c r="D2726" s="611">
        <f>-'Progetto del paramento slu'!$G$47*'Progetto del paramento slu'!$G$41*IF(DATI!$G$218="dx",DATI!$E$61,DATI!$E$64*DATI!$E$63)*1000*C2726^2*sezione!$AD$5*(1-sezione!$AD$6)</f>
        <v>-721012826.7754997</v>
      </c>
      <c r="E2726" s="553">
        <f>-'Foglio deposito bis'!$F$88*(C2726-sezione!$AL$37)*IF(ABS(K2726)&lt;'Progetto del paramento slu'!$G$58,ABS(K2726)*'Progetto del paramento slu'!$G$54,'Progetto del paramento slu'!$G$53)</f>
        <v>0</v>
      </c>
      <c r="F2726" s="553">
        <f>-'Foglio deposito bis'!$F$89*(C2726-sezione!$AM$37)*IF(ABS(L2726)&lt;'Progetto del paramento slu'!$G$58,ABS(L2726)*'Progetto del paramento slu'!$G$54,'Progetto del paramento slu'!$G$53)</f>
        <v>-20379168.535656702</v>
      </c>
      <c r="G2726" s="553">
        <f>-'Foglio deposito bis'!$F$90*(C2726-sezione!$AN$37)*IF(ABS(M2726)&lt;'Progetto del paramento slu'!$G$58,ABS(M2726)*'Progetto del paramento slu'!$G$54,'Progetto del paramento slu'!$G$53)</f>
        <v>0</v>
      </c>
      <c r="H2726" s="553">
        <f>-'Foglio deposito bis'!$F$91*(C2726-sezione!$AO$37)*IF(ABS(N2726)&lt;'Progetto del paramento slu'!$G$58,ABS(N2726)*'Progetto del paramento slu'!$G$54,'Progetto del paramento slu'!$G$53)</f>
        <v>10781727.692961611</v>
      </c>
      <c r="I2726" s="479">
        <f>-'Foglio deposito bis'!$F$92*(C2726-sezione!$AP$37)*IF(ABS(O2726)&lt;'Progetto del paramento slu'!$G$58,ABS(O2726)*'Progetto del paramento slu'!$G$54,'Progetto del paramento slu'!$G$53)</f>
        <v>-13366170.676079286</v>
      </c>
      <c r="J2726" s="479">
        <f t="shared" si="198"/>
        <v>-743976438.29427409</v>
      </c>
      <c r="K2726" s="558">
        <f>'Progetto del paramento slu'!$G$60*(sezione!$AL$37-C2726)/C2726</f>
        <v>-3.0269476385537948E-3</v>
      </c>
      <c r="L2726" s="558">
        <f>'Progetto del paramento slu'!$G$60*(sezione!$AM$37-C2726)/C2726</f>
        <v>-1.7260536445767294E-3</v>
      </c>
      <c r="M2726" s="559">
        <f>'Progetto del paramento slu'!$G$60*(sezione!$AN$37-C2726)/C2726</f>
        <v>-4.2515965059966408E-4</v>
      </c>
      <c r="N2726" s="559">
        <f>'Progetto del paramento slu'!$G$60*(sezione!$AO$37-C2726)/C2726</f>
        <v>5.2094507229274707E-4</v>
      </c>
      <c r="O2726" s="559">
        <f>'Progetto del paramento slu'!$G$60*(sezione!$AP$37-C2726)/C2726</f>
        <v>-4.2504138750930527E-4</v>
      </c>
      <c r="P2726" s="553">
        <f>-'Progetto del paramento slu'!$G$47*'Progetto del paramento slu'!$G$41*IF(DATI!$G$218="dx",DATI!$E$61,DATI!$E$64*DATI!$E$63)*1000*C2726*sezione!$AD$5</f>
        <v>-4171683.2233262477</v>
      </c>
      <c r="Q2726" s="553">
        <f>'Foglio deposito bis'!$F$88*IF(ABS(K2726)&lt;'Progetto del paramento slu'!$G$58,ABS(K2726)*'Progetto del paramento slu'!$G$54,'Progetto del paramento slu'!$G$53)*IF(K2726&lt;0,-1,1)</f>
        <v>0</v>
      </c>
      <c r="R2726" s="553">
        <f>'Foglio deposito bis'!$F$89*IF(ABS(L2726)&lt;'Progetto del paramento slu'!$G$58,ABS(L2726)*'Progetto del paramento slu'!$G$54,'Progetto del paramento slu'!$G$53)*IF(L2726&lt;0,-1,1)</f>
        <v>-139630.8543247316</v>
      </c>
      <c r="S2726" s="553">
        <f>'Foglio deposito bis'!$F$90*IF(ABS(M2726)&lt;'Progetto del paramento slu'!$G$58,ABS(M2726)*'Progetto del paramento slu'!$G$54,'Progetto del paramento slu'!$G$53)*IF(M2726&lt;0,-1,1)</f>
        <v>0</v>
      </c>
      <c r="T2726" s="553">
        <f>'Foglio deposito bis'!$F$91*IF(ABS(N2726)&lt;'Progetto del paramento slu'!$G$58,ABS(N2726)*'Progetto del paramento slu'!$G$54,'Progetto del paramento slu'!$G$53)*IF(N2726&lt;0,-1,1)</f>
        <v>244762.9326436595</v>
      </c>
      <c r="U2726" s="553">
        <f>'Foglio deposito bis'!$F$92*IF(ABS(O2726)&lt;'Progetto del paramento slu'!$G$58,ABS(O2726)*'Progetto del paramento slu'!$G$54,'Progetto del paramento slu'!$G$53)*IF(O2726&lt;0,-1,1)</f>
        <v>-371898.99546393624</v>
      </c>
      <c r="V2726" s="479">
        <f t="shared" si="200"/>
        <v>-4438450.1404712563</v>
      </c>
      <c r="W2726" s="559"/>
      <c r="X2726" s="559"/>
    </row>
    <row r="2727" spans="1:24" x14ac:dyDescent="0.25">
      <c r="A2727" s="553">
        <f t="shared" si="199"/>
        <v>4559588.5785468835</v>
      </c>
      <c r="B2727" s="3">
        <f t="shared" si="197"/>
        <v>73.899999999999949</v>
      </c>
      <c r="C2727" s="553">
        <f>'Foglio deposito bis'!$E$163/sezione!$B$247*B2727</f>
        <v>300.00999999999976</v>
      </c>
      <c r="D2727" s="611">
        <f>-'Progetto del paramento slu'!$G$47*'Progetto del paramento slu'!$G$41*IF(DATI!$G$218="dx",DATI!$E$61,DATI!$E$64*DATI!$E$63)*1000*C2727^2*sezione!$AD$5*(1-sezione!$AD$6)</f>
        <v>-740929371.22175896</v>
      </c>
      <c r="E2727" s="553">
        <f>-'Foglio deposito bis'!$F$88*(C2727-sezione!$AL$37)*IF(ABS(K2727)&lt;'Progetto del paramento slu'!$G$58,ABS(K2727)*'Progetto del paramento slu'!$G$54,'Progetto del paramento slu'!$G$53)</f>
        <v>0</v>
      </c>
      <c r="F2727" s="553">
        <f>-'Foglio deposito bis'!$F$89*(C2727-sezione!$AM$37)*IF(ABS(L2727)&lt;'Progetto del paramento slu'!$G$58,ABS(L2727)*'Progetto del paramento slu'!$G$54,'Progetto del paramento slu'!$G$53)</f>
        <v>-21237326.386736624</v>
      </c>
      <c r="G2727" s="553">
        <f>-'Foglio deposito bis'!$F$90*(C2727-sezione!$AN$37)*IF(ABS(M2727)&lt;'Progetto del paramento slu'!$G$58,ABS(M2727)*'Progetto del paramento slu'!$G$54,'Progetto del paramento slu'!$G$53)</f>
        <v>0</v>
      </c>
      <c r="H2727" s="553">
        <f>-'Foglio deposito bis'!$F$91*(C2727-sezione!$AO$37)*IF(ABS(N2727)&lt;'Progetto del paramento slu'!$G$58,ABS(N2727)*'Progetto del paramento slu'!$G$54,'Progetto del paramento slu'!$G$53)</f>
        <v>8765745.0558330193</v>
      </c>
      <c r="I2727" s="479">
        <f>-'Foglio deposito bis'!$F$92*(C2727-sezione!$AP$37)*IF(ABS(O2727)&lt;'Progetto del paramento slu'!$G$58,ABS(O2727)*'Progetto del paramento slu'!$G$54,'Progetto del paramento slu'!$G$53)</f>
        <v>-16332252.316805996</v>
      </c>
      <c r="J2727" s="479">
        <f t="shared" si="198"/>
        <v>-769733204.86946857</v>
      </c>
      <c r="K2727" s="558">
        <f>'Progetto del paramento slu'!$G$60*(sezione!$AL$37-C2727)/C2727</f>
        <v>-3.0333488883703872E-3</v>
      </c>
      <c r="L2727" s="558">
        <f>'Progetto del paramento slu'!$G$60*(sezione!$AM$37-C2727)/C2727</f>
        <v>-1.7500583313889522E-3</v>
      </c>
      <c r="M2727" s="559">
        <f>'Progetto del paramento slu'!$G$60*(sezione!$AN$37-C2727)/C2727</f>
        <v>-4.6676777440751743E-4</v>
      </c>
      <c r="N2727" s="559">
        <f>'Progetto del paramento slu'!$G$60*(sezione!$AO$37-C2727)/C2727</f>
        <v>4.6653444885170808E-4</v>
      </c>
      <c r="O2727" s="559">
        <f>'Progetto del paramento slu'!$G$60*(sezione!$AP$37-C2727)/C2727</f>
        <v>-4.6665111162961278E-4</v>
      </c>
      <c r="P2727" s="553">
        <f>-'Progetto del paramento slu'!$G$47*'Progetto del paramento slu'!$G$41*IF(DATI!$G$218="dx",DATI!$E$61,DATI!$E$64*DATI!$E$63)*1000*C2727*sezione!$AD$5</f>
        <v>-4228907.9588999962</v>
      </c>
      <c r="Q2727" s="553">
        <f>'Foglio deposito bis'!$F$88*IF(ABS(K2727)&lt;'Progetto del paramento slu'!$G$58,ABS(K2727)*'Progetto del paramento slu'!$G$54,'Progetto del paramento slu'!$G$53)*IF(K2727&lt;0,-1,1)</f>
        <v>0</v>
      </c>
      <c r="R2727" s="553">
        <f>'Foglio deposito bis'!$F$89*IF(ABS(L2727)&lt;'Progetto del paramento slu'!$G$58,ABS(L2727)*'Progetto del paramento slu'!$G$54,'Progetto del paramento slu'!$G$53)*IF(L2727&lt;0,-1,1)</f>
        <v>-141572.73772906244</v>
      </c>
      <c r="S2727" s="553">
        <f>'Foglio deposito bis'!$F$90*IF(ABS(M2727)&lt;'Progetto del paramento slu'!$G$58,ABS(M2727)*'Progetto del paramento slu'!$G$54,'Progetto del paramento slu'!$G$53)*IF(M2727&lt;0,-1,1)</f>
        <v>0</v>
      </c>
      <c r="T2727" s="553">
        <f>'Foglio deposito bis'!$F$91*IF(ABS(N2727)&lt;'Progetto del paramento slu'!$G$58,ABS(N2727)*'Progetto del paramento slu'!$G$54,'Progetto del paramento slu'!$G$53)*IF(N2727&lt;0,-1,1)</f>
        <v>219198.42600232476</v>
      </c>
      <c r="U2727" s="553">
        <f>'Foglio deposito bis'!$F$92*IF(ABS(O2727)&lt;'Progetto del paramento slu'!$G$58,ABS(O2727)*'Progetto del paramento slu'!$G$54,'Progetto del paramento slu'!$G$53)*IF(O2727&lt;0,-1,1)</f>
        <v>-408306.30792014993</v>
      </c>
      <c r="V2727" s="479">
        <f t="shared" si="200"/>
        <v>-4559588.5785468835</v>
      </c>
      <c r="W2727" s="559"/>
      <c r="X2727" s="559"/>
    </row>
    <row r="2728" spans="1:24" x14ac:dyDescent="0.25">
      <c r="P2728" s="553"/>
      <c r="Q2728" s="553"/>
      <c r="R2728" s="553"/>
      <c r="S2728" s="553"/>
      <c r="T2728" s="553"/>
      <c r="U2728" s="553"/>
      <c r="V2728" s="479"/>
    </row>
    <row r="2729" spans="1:24" x14ac:dyDescent="0.25">
      <c r="P2729" s="553"/>
      <c r="Q2729" s="553"/>
      <c r="R2729" s="553"/>
      <c r="S2729" s="553"/>
      <c r="T2729" s="553"/>
      <c r="U2729" s="553"/>
      <c r="V2729" s="479"/>
    </row>
    <row r="2730" spans="1:24" x14ac:dyDescent="0.25">
      <c r="P2730" s="553"/>
      <c r="Q2730" s="553"/>
      <c r="R2730" s="553"/>
      <c r="S2730" s="553"/>
      <c r="T2730" s="553"/>
      <c r="U2730" s="553"/>
      <c r="V2730" s="479"/>
    </row>
    <row r="2731" spans="1:24" x14ac:dyDescent="0.25">
      <c r="P2731" s="553"/>
      <c r="Q2731" s="553"/>
      <c r="R2731" s="553"/>
      <c r="S2731" s="553"/>
      <c r="T2731" s="553"/>
      <c r="U2731" s="553"/>
      <c r="V2731" s="479"/>
    </row>
    <row r="2732" spans="1:24" x14ac:dyDescent="0.25">
      <c r="P2732" s="553"/>
      <c r="Q2732" s="553"/>
      <c r="R2732" s="553"/>
      <c r="S2732" s="553"/>
      <c r="T2732" s="553"/>
      <c r="U2732" s="553"/>
      <c r="V2732" s="479"/>
    </row>
    <row r="2733" spans="1:24" x14ac:dyDescent="0.25">
      <c r="P2733" s="553"/>
      <c r="Q2733" s="553"/>
      <c r="R2733" s="553"/>
      <c r="S2733" s="553"/>
      <c r="T2733" s="553"/>
      <c r="U2733" s="553"/>
      <c r="V2733" s="479"/>
    </row>
    <row r="2734" spans="1:24" x14ac:dyDescent="0.25">
      <c r="P2734" s="553"/>
      <c r="Q2734" s="553"/>
      <c r="R2734" s="553"/>
      <c r="S2734" s="553"/>
      <c r="T2734" s="553"/>
      <c r="U2734" s="553"/>
      <c r="V2734" s="479"/>
    </row>
    <row r="2735" spans="1:24" x14ac:dyDescent="0.25">
      <c r="P2735" s="553"/>
      <c r="Q2735" s="553"/>
      <c r="R2735" s="553"/>
      <c r="S2735" s="553"/>
      <c r="T2735" s="553"/>
      <c r="U2735" s="553"/>
      <c r="V2735" s="479"/>
    </row>
    <row r="2736" spans="1:24" x14ac:dyDescent="0.25">
      <c r="P2736" s="553"/>
      <c r="Q2736" s="553"/>
      <c r="R2736" s="553"/>
      <c r="S2736" s="553"/>
      <c r="T2736" s="553"/>
      <c r="U2736" s="553"/>
      <c r="V2736" s="479"/>
    </row>
    <row r="2737" spans="16:22" x14ac:dyDescent="0.25">
      <c r="P2737" s="553"/>
      <c r="Q2737" s="553"/>
      <c r="R2737" s="553"/>
      <c r="S2737" s="553"/>
      <c r="T2737" s="553"/>
      <c r="U2737" s="553"/>
      <c r="V2737" s="479"/>
    </row>
    <row r="2738" spans="16:22" x14ac:dyDescent="0.25">
      <c r="P2738" s="553"/>
      <c r="Q2738" s="553"/>
      <c r="R2738" s="553"/>
      <c r="S2738" s="553"/>
      <c r="T2738" s="553"/>
      <c r="U2738" s="553"/>
      <c r="V2738" s="479"/>
    </row>
    <row r="2739" spans="16:22" x14ac:dyDescent="0.25">
      <c r="P2739" s="553"/>
      <c r="Q2739" s="553"/>
      <c r="R2739" s="553"/>
      <c r="S2739" s="553"/>
      <c r="T2739" s="553"/>
      <c r="U2739" s="553"/>
      <c r="V2739" s="479"/>
    </row>
  </sheetData>
  <customSheetViews>
    <customSheetView guid="{5E8F20A8-8220-4169-B947-2AB764A2AA7B}" scale="44" state="hidden" topLeftCell="J1">
      <selection activeCell="AG48" sqref="AG48"/>
      <pageMargins left="0.7" right="0.7" top="0.75" bottom="0.75" header="0.3" footer="0.3"/>
    </customSheetView>
    <customSheetView guid="{9F540994-A66B-4083-BD64-035E71878618}" state="hidden" topLeftCell="V33">
      <selection activeCell="Z18" sqref="Z18"/>
      <pageMargins left="0.7" right="0.7" top="0.75" bottom="0.75" header="0.3" footer="0.3"/>
    </customSheetView>
  </customSheetViews>
  <mergeCells count="55">
    <mergeCell ref="Z45:Z46"/>
    <mergeCell ref="AA45:AA46"/>
    <mergeCell ref="AB45:AD45"/>
    <mergeCell ref="AG45:AG46"/>
    <mergeCell ref="AN5:AN6"/>
    <mergeCell ref="Z25:AA25"/>
    <mergeCell ref="Z29:AA29"/>
    <mergeCell ref="Z34:AA34"/>
    <mergeCell ref="AC34:AD34"/>
    <mergeCell ref="AC39:AD39"/>
    <mergeCell ref="AI25:AI26"/>
    <mergeCell ref="AJ25:AJ26"/>
    <mergeCell ref="AH2:AN4"/>
    <mergeCell ref="AP5:AP6"/>
    <mergeCell ref="AQ5:AQ6"/>
    <mergeCell ref="AP2:AV4"/>
    <mergeCell ref="AR5:AR6"/>
    <mergeCell ref="AS5:AS6"/>
    <mergeCell ref="AT5:AT6"/>
    <mergeCell ref="AU5:AU6"/>
    <mergeCell ref="AV5:AV6"/>
    <mergeCell ref="AH5:AH6"/>
    <mergeCell ref="AI5:AI6"/>
    <mergeCell ref="AJ5:AJ6"/>
    <mergeCell ref="AK5:AK6"/>
    <mergeCell ref="AL5:AL6"/>
    <mergeCell ref="AM5:AM6"/>
    <mergeCell ref="AB2:AB3"/>
    <mergeCell ref="AC17:AD17"/>
    <mergeCell ref="AC21:AD21"/>
    <mergeCell ref="AC25:AD25"/>
    <mergeCell ref="AC29:AD29"/>
    <mergeCell ref="A1738:O1738"/>
    <mergeCell ref="A1986:O1986"/>
    <mergeCell ref="A2482:O2482"/>
    <mergeCell ref="A2234:O2234"/>
    <mergeCell ref="AA2:AA3"/>
    <mergeCell ref="Z2:Z3"/>
    <mergeCell ref="A1242:O1242"/>
    <mergeCell ref="A1490:O1490"/>
    <mergeCell ref="A2:O2"/>
    <mergeCell ref="A250:O250"/>
    <mergeCell ref="A498:O498"/>
    <mergeCell ref="A746:O746"/>
    <mergeCell ref="A994:O994"/>
    <mergeCell ref="Z39:AA39"/>
    <mergeCell ref="Z17:AA17"/>
    <mergeCell ref="Z21:AA21"/>
    <mergeCell ref="AO25:AO26"/>
    <mergeCell ref="AP25:AP26"/>
    <mergeCell ref="AH25:AH26"/>
    <mergeCell ref="AK25:AK26"/>
    <mergeCell ref="AL25:AL26"/>
    <mergeCell ref="AM25:AM26"/>
    <mergeCell ref="AN25:AN26"/>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S325"/>
  <sheetViews>
    <sheetView showGridLines="0" showRowColHeaders="0" zoomScale="85" zoomScaleNormal="85" workbookViewId="0">
      <selection activeCell="K158" sqref="K158"/>
    </sheetView>
  </sheetViews>
  <sheetFormatPr defaultRowHeight="15" x14ac:dyDescent="0.25"/>
  <cols>
    <col min="1" max="1" width="3.42578125" customWidth="1"/>
    <col min="2" max="4" width="15.42578125" customWidth="1"/>
    <col min="5" max="5" width="14.140625" customWidth="1"/>
    <col min="6" max="6" width="15.42578125" customWidth="1"/>
    <col min="7" max="7" width="15.28515625" customWidth="1"/>
    <col min="8" max="8" width="15.7109375" customWidth="1"/>
    <col min="9" max="9" width="11.140625" customWidth="1"/>
    <col min="10" max="12" width="15.42578125" customWidth="1"/>
    <col min="14" max="14" width="17.140625" customWidth="1"/>
    <col min="20" max="20" width="12.5703125" customWidth="1"/>
    <col min="27" max="27" width="14.140625" customWidth="1"/>
  </cols>
  <sheetData>
    <row r="2" spans="2:14" ht="21" x14ac:dyDescent="0.35">
      <c r="B2" s="364" t="s">
        <v>552</v>
      </c>
      <c r="C2" s="636"/>
      <c r="D2" s="637"/>
      <c r="E2" s="637"/>
      <c r="F2" s="637"/>
      <c r="G2" s="640"/>
      <c r="H2" s="640"/>
      <c r="I2" s="429"/>
      <c r="J2" s="429"/>
      <c r="K2" s="429"/>
      <c r="L2" s="429"/>
      <c r="M2" s="429"/>
      <c r="N2" s="429"/>
    </row>
    <row r="3" spans="2:14" ht="12" customHeight="1" x14ac:dyDescent="0.3">
      <c r="B3" s="436"/>
      <c r="C3" s="636"/>
      <c r="D3" s="637"/>
      <c r="E3" s="637"/>
      <c r="F3" s="637"/>
      <c r="G3" s="640"/>
      <c r="H3" s="640"/>
      <c r="I3" s="429"/>
      <c r="J3" s="429"/>
      <c r="K3" s="429"/>
      <c r="L3" s="429"/>
      <c r="M3" s="429"/>
      <c r="N3" s="429"/>
    </row>
    <row r="4" spans="2:14" ht="15.75" x14ac:dyDescent="0.25">
      <c r="B4" s="15" t="s">
        <v>788</v>
      </c>
      <c r="C4" s="636"/>
      <c r="D4" s="637"/>
      <c r="E4" s="637"/>
      <c r="F4" s="637"/>
      <c r="G4" s="640"/>
      <c r="H4" s="640"/>
      <c r="I4" s="429"/>
      <c r="J4" s="429"/>
      <c r="K4" s="429"/>
      <c r="L4" s="429"/>
      <c r="M4" s="429"/>
      <c r="N4" s="429"/>
    </row>
    <row r="5" spans="2:14" x14ac:dyDescent="0.25">
      <c r="B5" s="636"/>
      <c r="C5" s="636"/>
      <c r="D5" s="637"/>
      <c r="E5" s="637"/>
      <c r="F5" s="637"/>
      <c r="G5" s="640"/>
      <c r="H5" s="640"/>
      <c r="I5" s="429"/>
      <c r="J5" s="429"/>
      <c r="K5" s="429"/>
      <c r="L5" s="429"/>
      <c r="M5" s="429"/>
      <c r="N5" s="429"/>
    </row>
    <row r="6" spans="2:14" x14ac:dyDescent="0.25">
      <c r="B6" s="898" t="s">
        <v>326</v>
      </c>
      <c r="C6" s="898"/>
      <c r="D6" s="899" t="str">
        <f>IF('FOGLIO DEPOSITO'!I72='FOGLIO DEPOSITO'!I73,"SISMICA",'FOGLIO DEPOSITO'!B222)</f>
        <v>SISMICA</v>
      </c>
      <c r="E6" s="907"/>
      <c r="F6" s="24"/>
      <c r="G6" s="429"/>
      <c r="H6" s="429"/>
      <c r="I6" s="429"/>
      <c r="J6" s="429"/>
      <c r="K6" s="429"/>
      <c r="L6" s="429"/>
      <c r="M6" s="429"/>
      <c r="N6" s="429"/>
    </row>
    <row r="7" spans="2:14" ht="15" customHeight="1" x14ac:dyDescent="0.25">
      <c r="B7" s="898" t="s">
        <v>469</v>
      </c>
      <c r="C7" s="898"/>
      <c r="D7" s="432" t="str">
        <f>DATI!C268</f>
        <v xml:space="preserve"> APPROCCIO 2 --- Combinazione (A1+M1+R3)</v>
      </c>
      <c r="E7" s="322"/>
      <c r="F7" s="24"/>
      <c r="G7" s="429"/>
      <c r="H7" s="429"/>
      <c r="I7" s="429"/>
      <c r="J7" s="429"/>
      <c r="K7" s="429"/>
      <c r="L7" s="429"/>
      <c r="M7" s="429"/>
      <c r="N7" s="429"/>
    </row>
    <row r="8" spans="2:14" x14ac:dyDescent="0.25">
      <c r="B8" s="429"/>
      <c r="C8" s="429"/>
      <c r="D8" s="429"/>
      <c r="E8" s="429"/>
      <c r="F8" s="429"/>
      <c r="G8" s="429"/>
      <c r="H8" s="429"/>
      <c r="I8" s="429"/>
      <c r="J8" s="429"/>
      <c r="K8" s="429"/>
      <c r="L8" s="429"/>
      <c r="M8" s="429"/>
      <c r="N8" s="429"/>
    </row>
    <row r="9" spans="2:14" x14ac:dyDescent="0.25">
      <c r="B9" s="429"/>
      <c r="C9" s="429"/>
      <c r="D9" s="429"/>
      <c r="E9" s="445" t="s">
        <v>463</v>
      </c>
      <c r="F9" s="631" t="s">
        <v>25</v>
      </c>
      <c r="G9" s="429"/>
      <c r="H9" s="429"/>
      <c r="I9" s="429"/>
      <c r="J9" s="429"/>
      <c r="K9" s="429"/>
      <c r="L9" s="429"/>
      <c r="M9" s="429"/>
      <c r="N9" s="429"/>
    </row>
    <row r="10" spans="2:14" x14ac:dyDescent="0.25">
      <c r="B10" s="429"/>
      <c r="C10" s="429"/>
      <c r="D10" s="429"/>
      <c r="E10" s="631" t="s">
        <v>535</v>
      </c>
      <c r="F10" s="633">
        <f>DATI!E272</f>
        <v>1</v>
      </c>
      <c r="G10" s="429"/>
      <c r="H10" s="429"/>
      <c r="I10" s="429"/>
      <c r="J10" s="429"/>
      <c r="K10" s="429"/>
      <c r="L10" s="429"/>
      <c r="M10" s="429"/>
      <c r="N10" s="429"/>
    </row>
    <row r="11" spans="2:14" x14ac:dyDescent="0.25">
      <c r="B11" s="429"/>
      <c r="C11" s="24"/>
      <c r="D11" s="24"/>
      <c r="E11" s="631" t="s">
        <v>553</v>
      </c>
      <c r="F11" s="633">
        <f>DATI!E273</f>
        <v>1</v>
      </c>
      <c r="G11" s="429"/>
      <c r="H11" s="429"/>
      <c r="I11" s="429"/>
      <c r="J11" s="429"/>
      <c r="K11" s="429"/>
      <c r="L11" s="429"/>
      <c r="M11" s="429"/>
      <c r="N11" s="429"/>
    </row>
    <row r="12" spans="2:14" x14ac:dyDescent="0.25">
      <c r="B12" s="429"/>
      <c r="C12" s="24"/>
      <c r="D12" s="24"/>
      <c r="E12" s="631" t="s">
        <v>554</v>
      </c>
      <c r="F12" s="633">
        <f>DATI!E274</f>
        <v>1</v>
      </c>
      <c r="G12" s="429"/>
      <c r="H12" s="429"/>
      <c r="I12" s="429"/>
      <c r="J12" s="429"/>
      <c r="K12" s="429"/>
      <c r="L12" s="429"/>
      <c r="M12" s="429"/>
      <c r="N12" s="429"/>
    </row>
    <row r="13" spans="2:14" x14ac:dyDescent="0.25">
      <c r="B13" s="429"/>
      <c r="C13" s="24"/>
      <c r="D13" s="24"/>
      <c r="E13" s="636"/>
      <c r="F13" s="636"/>
      <c r="G13" s="429"/>
      <c r="H13" s="429"/>
      <c r="I13" s="429"/>
      <c r="J13" s="429"/>
      <c r="K13" s="429"/>
      <c r="L13" s="429"/>
      <c r="M13" s="429"/>
      <c r="N13" s="429"/>
    </row>
    <row r="14" spans="2:14" x14ac:dyDescent="0.25">
      <c r="B14" s="429"/>
      <c r="C14" s="24"/>
      <c r="D14" s="24"/>
      <c r="E14" s="445" t="s">
        <v>464</v>
      </c>
      <c r="F14" s="631" t="s">
        <v>465</v>
      </c>
      <c r="G14" s="429"/>
      <c r="H14" s="429"/>
      <c r="I14" s="429"/>
      <c r="J14" s="429"/>
      <c r="K14" s="429"/>
      <c r="L14" s="429"/>
      <c r="M14" s="429"/>
      <c r="N14" s="429"/>
    </row>
    <row r="15" spans="2:14" x14ac:dyDescent="0.25">
      <c r="B15" s="429"/>
      <c r="C15" s="24"/>
      <c r="D15" s="24"/>
      <c r="E15" s="631" t="s">
        <v>198</v>
      </c>
      <c r="F15" s="633">
        <f>DATI!E277</f>
        <v>1</v>
      </c>
      <c r="G15" s="429"/>
      <c r="H15" s="429"/>
      <c r="I15" s="429"/>
      <c r="J15" s="429"/>
      <c r="K15" s="429"/>
      <c r="L15" s="429"/>
      <c r="M15" s="429"/>
      <c r="N15" s="429"/>
    </row>
    <row r="16" spans="2:14" x14ac:dyDescent="0.25">
      <c r="B16" s="429"/>
      <c r="C16" s="24"/>
      <c r="D16" s="24"/>
      <c r="E16" s="631" t="s">
        <v>199</v>
      </c>
      <c r="F16" s="633">
        <f>DATI!E278</f>
        <v>1</v>
      </c>
      <c r="G16" s="429"/>
      <c r="H16" s="648"/>
      <c r="I16" s="429"/>
      <c r="J16" s="429"/>
      <c r="K16" s="429"/>
      <c r="L16" s="429"/>
      <c r="M16" s="429"/>
      <c r="N16" s="429"/>
    </row>
    <row r="17" spans="2:14" s="428" customFormat="1" x14ac:dyDescent="0.25">
      <c r="B17" s="429"/>
      <c r="C17" s="24"/>
      <c r="D17" s="24"/>
      <c r="E17" s="631" t="s">
        <v>201</v>
      </c>
      <c r="F17" s="633">
        <f>DATI!E279</f>
        <v>1</v>
      </c>
      <c r="G17" s="429"/>
      <c r="H17" s="648"/>
      <c r="I17" s="429"/>
      <c r="J17" s="429"/>
      <c r="K17" s="429"/>
      <c r="L17" s="429"/>
      <c r="M17" s="429"/>
      <c r="N17" s="429"/>
    </row>
    <row r="18" spans="2:14" s="428" customFormat="1" x14ac:dyDescent="0.25">
      <c r="B18" s="429"/>
      <c r="C18" s="24"/>
      <c r="D18" s="24"/>
      <c r="E18" s="644" t="s">
        <v>202</v>
      </c>
      <c r="F18" s="633">
        <f>DATI!E280</f>
        <v>1</v>
      </c>
      <c r="G18" s="429"/>
      <c r="H18" s="648"/>
      <c r="I18" s="429"/>
      <c r="J18" s="429"/>
      <c r="K18" s="429"/>
      <c r="L18" s="429"/>
      <c r="M18" s="429"/>
      <c r="N18" s="429"/>
    </row>
    <row r="19" spans="2:14" x14ac:dyDescent="0.25">
      <c r="B19" s="24"/>
      <c r="C19" s="24"/>
      <c r="D19" s="648"/>
      <c r="E19" s="429"/>
      <c r="F19" s="640"/>
      <c r="G19" s="429"/>
      <c r="H19" s="640"/>
      <c r="I19" s="429"/>
      <c r="J19" s="429"/>
      <c r="K19" s="429"/>
      <c r="L19" s="429"/>
      <c r="M19" s="429"/>
      <c r="N19" s="429"/>
    </row>
    <row r="20" spans="2:14" s="428" customFormat="1" ht="18" x14ac:dyDescent="0.25">
      <c r="B20" s="429" t="s">
        <v>358</v>
      </c>
      <c r="C20" s="429"/>
      <c r="D20" s="429"/>
      <c r="E20" s="632" t="s">
        <v>359</v>
      </c>
      <c r="F20" s="654">
        <f>'ANALISI DELLE SPINTE'!D21</f>
        <v>1.6579999999999999</v>
      </c>
      <c r="G20" s="429"/>
      <c r="H20" s="429"/>
      <c r="I20" s="429"/>
      <c r="J20" s="429"/>
      <c r="K20" s="429"/>
      <c r="L20" s="429"/>
      <c r="M20" s="429"/>
      <c r="N20" s="429"/>
    </row>
    <row r="21" spans="2:14" s="428" customFormat="1" ht="18" x14ac:dyDescent="0.25">
      <c r="B21" s="429" t="s">
        <v>360</v>
      </c>
      <c r="C21" s="429"/>
      <c r="D21" s="429"/>
      <c r="E21" s="632" t="s">
        <v>361</v>
      </c>
      <c r="F21" s="651">
        <f>'ANALISI DELLE SPINTE'!D22</f>
        <v>2.4769999999999999</v>
      </c>
      <c r="G21" s="429"/>
      <c r="H21" s="429"/>
      <c r="I21" s="429"/>
      <c r="J21" s="429"/>
      <c r="K21" s="429"/>
      <c r="L21" s="429"/>
      <c r="M21" s="429"/>
      <c r="N21" s="429"/>
    </row>
    <row r="22" spans="2:14" s="428" customFormat="1" ht="18" x14ac:dyDescent="0.25">
      <c r="B22" s="429" t="s">
        <v>362</v>
      </c>
      <c r="C22" s="429"/>
      <c r="D22" s="429"/>
      <c r="E22" s="632" t="s">
        <v>363</v>
      </c>
      <c r="F22" s="655">
        <f>'ANALISI DELLE SPINTE'!D23</f>
        <v>0.29599999999999999</v>
      </c>
      <c r="G22" s="429"/>
      <c r="H22" s="429"/>
      <c r="I22" s="429"/>
      <c r="J22" s="429"/>
      <c r="K22" s="429"/>
      <c r="L22" s="429"/>
      <c r="M22" s="429"/>
      <c r="N22" s="429"/>
    </row>
    <row r="23" spans="2:14" s="428" customFormat="1" x14ac:dyDescent="0.25">
      <c r="B23" s="429" t="s">
        <v>364</v>
      </c>
      <c r="C23" s="429"/>
      <c r="D23" s="429"/>
      <c r="E23" s="429"/>
      <c r="F23" s="651" t="str">
        <f>'ANALISI DELLE SPINTE'!D24</f>
        <v>B</v>
      </c>
      <c r="G23" s="429"/>
      <c r="H23" s="429"/>
      <c r="I23" s="429"/>
      <c r="J23" s="429"/>
      <c r="K23" s="429"/>
      <c r="L23" s="429"/>
      <c r="M23" s="429"/>
      <c r="N23" s="429"/>
    </row>
    <row r="24" spans="2:14" s="428" customFormat="1" x14ac:dyDescent="0.25">
      <c r="B24" s="429" t="s">
        <v>365</v>
      </c>
      <c r="C24" s="429"/>
      <c r="D24" s="429"/>
      <c r="E24" s="429"/>
      <c r="F24" s="651" t="str">
        <f>'ANALISI DELLE SPINTE'!D25</f>
        <v>T1</v>
      </c>
      <c r="G24" s="429"/>
      <c r="H24" s="429"/>
      <c r="I24" s="429"/>
      <c r="J24" s="429"/>
      <c r="K24" s="429"/>
      <c r="L24" s="429"/>
      <c r="M24" s="429"/>
      <c r="N24" s="429"/>
    </row>
    <row r="25" spans="2:14" s="428" customFormat="1" x14ac:dyDescent="0.25">
      <c r="B25" s="429" t="s">
        <v>782</v>
      </c>
      <c r="C25" s="429"/>
      <c r="D25" s="429"/>
      <c r="E25" s="383" t="s">
        <v>390</v>
      </c>
      <c r="F25" s="646">
        <f>'ANALISI DELLE SPINTE'!D26</f>
        <v>0.38</v>
      </c>
      <c r="G25" s="429"/>
      <c r="H25" s="429"/>
      <c r="I25" s="429"/>
      <c r="J25" s="429"/>
      <c r="K25" s="429"/>
      <c r="L25" s="429"/>
      <c r="M25" s="429"/>
      <c r="N25" s="429"/>
    </row>
    <row r="26" spans="2:14" s="428" customFormat="1" x14ac:dyDescent="0.25">
      <c r="B26" s="429" t="s">
        <v>391</v>
      </c>
      <c r="C26" s="429"/>
      <c r="D26" s="429"/>
      <c r="E26" s="629" t="s">
        <v>278</v>
      </c>
      <c r="F26" s="646">
        <f>'ANALISI DELLE SPINTE'!D27</f>
        <v>7.7100550683255151E-2</v>
      </c>
      <c r="G26" s="429"/>
      <c r="H26" s="429"/>
      <c r="I26" s="429"/>
      <c r="J26" s="429"/>
      <c r="K26" s="429"/>
      <c r="L26" s="429"/>
      <c r="M26" s="429"/>
      <c r="N26" s="429"/>
    </row>
    <row r="27" spans="2:14" s="428" customFormat="1" x14ac:dyDescent="0.25">
      <c r="B27" s="429" t="s">
        <v>392</v>
      </c>
      <c r="C27" s="429"/>
      <c r="D27" s="429"/>
      <c r="E27" s="629" t="s">
        <v>279</v>
      </c>
      <c r="F27" s="646">
        <f>'ANALISI DELLE SPINTE'!D28</f>
        <v>3.8550275341627575E-2</v>
      </c>
      <c r="G27" s="429"/>
      <c r="H27" s="429"/>
      <c r="I27" s="429"/>
      <c r="J27" s="429"/>
      <c r="K27" s="429"/>
      <c r="L27" s="429"/>
      <c r="M27" s="429"/>
      <c r="N27" s="429"/>
    </row>
    <row r="28" spans="2:14" s="428" customFormat="1" x14ac:dyDescent="0.25">
      <c r="B28" s="429"/>
      <c r="C28" s="429"/>
      <c r="D28" s="429"/>
      <c r="E28" s="429"/>
      <c r="F28" s="628"/>
      <c r="G28" s="306"/>
      <c r="H28" s="429"/>
      <c r="I28" s="429"/>
      <c r="J28" s="429"/>
      <c r="K28" s="429"/>
      <c r="L28" s="429"/>
      <c r="M28" s="429"/>
      <c r="N28" s="429"/>
    </row>
    <row r="29" spans="2:14" s="428" customFormat="1" x14ac:dyDescent="0.25">
      <c r="B29" s="429"/>
      <c r="C29" s="429"/>
      <c r="D29" s="429"/>
      <c r="E29" s="429"/>
      <c r="F29" s="628"/>
      <c r="G29" s="306"/>
      <c r="H29" s="429"/>
      <c r="I29" s="429"/>
      <c r="J29" s="429"/>
      <c r="K29" s="429"/>
      <c r="L29" s="429"/>
      <c r="M29" s="429"/>
      <c r="N29" s="429"/>
    </row>
    <row r="30" spans="2:14" s="428" customFormat="1" ht="15.75" x14ac:dyDescent="0.25">
      <c r="B30" s="15" t="s">
        <v>888</v>
      </c>
      <c r="C30" s="429"/>
      <c r="D30" s="429"/>
      <c r="E30" s="429"/>
      <c r="F30" s="429"/>
      <c r="G30" s="429"/>
      <c r="H30" s="429"/>
      <c r="I30" s="429"/>
      <c r="J30" s="429"/>
      <c r="K30" s="429"/>
      <c r="L30" s="429"/>
      <c r="M30" s="429"/>
      <c r="N30" s="429"/>
    </row>
    <row r="31" spans="2:14" s="428" customFormat="1" x14ac:dyDescent="0.25">
      <c r="B31" s="1" t="s">
        <v>330</v>
      </c>
      <c r="C31" s="429"/>
      <c r="D31" s="429"/>
      <c r="E31" s="429"/>
      <c r="F31" s="429"/>
      <c r="G31" s="429"/>
      <c r="H31" s="429"/>
      <c r="I31" s="429"/>
      <c r="J31" s="429"/>
      <c r="K31" s="429"/>
      <c r="L31" s="429"/>
      <c r="M31" s="429"/>
      <c r="N31" s="429"/>
    </row>
    <row r="32" spans="2:14" s="428" customFormat="1" x14ac:dyDescent="0.25">
      <c r="B32" s="1"/>
      <c r="C32" s="429"/>
      <c r="D32" s="429"/>
      <c r="E32" s="429"/>
      <c r="F32" s="429"/>
      <c r="G32" s="429"/>
      <c r="H32" s="429"/>
      <c r="I32" s="429"/>
      <c r="J32" s="429"/>
      <c r="K32" s="429"/>
      <c r="L32" s="429"/>
      <c r="M32" s="429"/>
      <c r="N32" s="429"/>
    </row>
    <row r="33" spans="2:14" s="428" customFormat="1" x14ac:dyDescent="0.25">
      <c r="B33" s="429" t="s">
        <v>331</v>
      </c>
      <c r="C33" s="429"/>
      <c r="D33" s="429"/>
      <c r="E33" s="429"/>
      <c r="F33" s="651" t="str">
        <f>'Progetto del paramento slu'!G34</f>
        <v>C30/37</v>
      </c>
      <c r="G33" s="429"/>
      <c r="H33" s="429"/>
      <c r="I33" s="429"/>
      <c r="J33" s="429"/>
      <c r="K33" s="429"/>
      <c r="L33" s="429"/>
      <c r="M33" s="429"/>
      <c r="N33" s="429"/>
    </row>
    <row r="34" spans="2:14" s="428" customFormat="1" ht="18" x14ac:dyDescent="0.25">
      <c r="B34" s="429" t="s">
        <v>332</v>
      </c>
      <c r="C34" s="429"/>
      <c r="D34" s="429"/>
      <c r="E34" s="68" t="s">
        <v>333</v>
      </c>
      <c r="F34" s="656">
        <f>'Progetto del paramento slu'!G35</f>
        <v>25</v>
      </c>
      <c r="G34" s="429"/>
      <c r="H34" s="429"/>
      <c r="I34" s="429"/>
      <c r="J34" s="429"/>
      <c r="K34" s="429"/>
      <c r="L34" s="429"/>
      <c r="M34" s="429"/>
      <c r="N34" s="429"/>
    </row>
    <row r="35" spans="2:14" s="428" customFormat="1" x14ac:dyDescent="0.25">
      <c r="B35" s="429" t="s">
        <v>334</v>
      </c>
      <c r="C35" s="429"/>
      <c r="D35" s="429"/>
      <c r="E35" s="632" t="s">
        <v>335</v>
      </c>
      <c r="F35" s="543">
        <f>'Progetto del paramento slu'!G36</f>
        <v>0.1</v>
      </c>
      <c r="G35" s="429"/>
      <c r="H35" s="429"/>
      <c r="I35" s="429"/>
      <c r="J35" s="429"/>
      <c r="K35" s="429"/>
      <c r="L35" s="429"/>
      <c r="M35" s="429"/>
      <c r="N35" s="429"/>
    </row>
    <row r="36" spans="2:14" s="428" customFormat="1" x14ac:dyDescent="0.25">
      <c r="B36" s="429"/>
      <c r="C36" s="429"/>
      <c r="D36" s="429"/>
      <c r="E36" s="632"/>
      <c r="F36" s="657"/>
      <c r="G36" s="429"/>
      <c r="H36" s="429"/>
      <c r="I36" s="429"/>
      <c r="J36" s="429"/>
      <c r="K36" s="429"/>
      <c r="L36" s="429"/>
      <c r="M36" s="429"/>
      <c r="N36" s="429"/>
    </row>
    <row r="37" spans="2:14" s="428" customFormat="1" x14ac:dyDescent="0.25">
      <c r="B37" s="429" t="s">
        <v>336</v>
      </c>
      <c r="C37" s="429"/>
      <c r="D37" s="429"/>
      <c r="E37" s="629" t="s">
        <v>337</v>
      </c>
      <c r="F37" s="379">
        <f>'Progetto del paramento slu'!G38</f>
        <v>37</v>
      </c>
      <c r="G37" s="429"/>
      <c r="H37" s="429"/>
      <c r="I37" s="429"/>
      <c r="J37" s="429"/>
      <c r="K37" s="429"/>
      <c r="L37" s="429"/>
      <c r="M37" s="429"/>
      <c r="N37" s="429"/>
    </row>
    <row r="38" spans="2:14" s="428" customFormat="1" x14ac:dyDescent="0.25">
      <c r="B38" s="429" t="s">
        <v>338</v>
      </c>
      <c r="C38" s="429"/>
      <c r="D38" s="429"/>
      <c r="E38" s="629" t="s">
        <v>339</v>
      </c>
      <c r="F38" s="379">
        <f>'Progetto del paramento slu'!G39</f>
        <v>38.709999999999994</v>
      </c>
      <c r="G38" s="429"/>
      <c r="H38" s="429"/>
      <c r="I38" s="429"/>
      <c r="J38" s="429"/>
      <c r="K38" s="429"/>
      <c r="L38" s="429"/>
      <c r="M38" s="429"/>
      <c r="N38" s="429"/>
    </row>
    <row r="39" spans="2:14" s="428" customFormat="1" x14ac:dyDescent="0.25">
      <c r="B39" s="429" t="s">
        <v>340</v>
      </c>
      <c r="C39" s="429"/>
      <c r="D39" s="429"/>
      <c r="E39" s="629" t="s">
        <v>341</v>
      </c>
      <c r="F39" s="379">
        <f>'Progetto del paramento slu'!G40</f>
        <v>30.709999999999997</v>
      </c>
      <c r="G39" s="429"/>
      <c r="H39" s="429"/>
      <c r="I39" s="429"/>
      <c r="J39" s="429"/>
      <c r="K39" s="429"/>
      <c r="L39" s="429"/>
      <c r="M39" s="429"/>
      <c r="N39" s="429"/>
    </row>
    <row r="40" spans="2:14" s="428" customFormat="1" x14ac:dyDescent="0.25">
      <c r="B40" s="429" t="s">
        <v>342</v>
      </c>
      <c r="C40" s="429"/>
      <c r="D40" s="429"/>
      <c r="E40" s="629" t="s">
        <v>343</v>
      </c>
      <c r="F40" s="379">
        <f>'Progetto del paramento slu'!G41</f>
        <v>20.473333333333333</v>
      </c>
      <c r="G40" s="429"/>
      <c r="H40" s="429"/>
      <c r="I40" s="429"/>
      <c r="J40" s="429"/>
      <c r="K40" s="429"/>
      <c r="L40" s="429"/>
      <c r="M40" s="429"/>
      <c r="N40" s="429"/>
    </row>
    <row r="41" spans="2:14" s="428" customFormat="1" x14ac:dyDescent="0.25">
      <c r="B41" s="429" t="s">
        <v>344</v>
      </c>
      <c r="C41" s="429"/>
      <c r="D41" s="429"/>
      <c r="E41" s="81" t="s">
        <v>345</v>
      </c>
      <c r="F41" s="379">
        <f>'Progetto del paramento slu'!G42</f>
        <v>2.941989594546778</v>
      </c>
      <c r="G41" s="429"/>
      <c r="H41" s="429"/>
      <c r="I41" s="429"/>
      <c r="J41" s="429"/>
      <c r="K41" s="429"/>
      <c r="L41" s="429"/>
      <c r="M41" s="429"/>
      <c r="N41" s="429"/>
    </row>
    <row r="42" spans="2:14" s="428" customFormat="1" x14ac:dyDescent="0.25">
      <c r="B42" s="429" t="s">
        <v>346</v>
      </c>
      <c r="C42" s="429"/>
      <c r="D42" s="429"/>
      <c r="E42" s="629" t="s">
        <v>347</v>
      </c>
      <c r="F42" s="379">
        <f>'Progetto del paramento slu'!G43</f>
        <v>2.0593927161827446</v>
      </c>
      <c r="G42" s="429"/>
      <c r="H42" s="429"/>
      <c r="I42" s="429"/>
      <c r="J42" s="429"/>
      <c r="K42" s="429"/>
      <c r="L42" s="429"/>
      <c r="M42" s="429"/>
      <c r="N42" s="429"/>
    </row>
    <row r="43" spans="2:14" s="428" customFormat="1" x14ac:dyDescent="0.25">
      <c r="B43" s="429" t="s">
        <v>348</v>
      </c>
      <c r="C43" s="429"/>
      <c r="D43" s="429"/>
      <c r="E43" s="629" t="s">
        <v>349</v>
      </c>
      <c r="F43" s="379">
        <f>'Progetto del paramento slu'!G44</f>
        <v>1.3729284774551631</v>
      </c>
      <c r="G43" s="429"/>
      <c r="H43" s="429"/>
      <c r="I43" s="429"/>
      <c r="J43" s="429"/>
      <c r="K43" s="429"/>
      <c r="L43" s="429"/>
      <c r="M43" s="429"/>
      <c r="N43" s="429"/>
    </row>
    <row r="44" spans="2:14" s="428" customFormat="1" x14ac:dyDescent="0.25">
      <c r="B44" s="429" t="s">
        <v>350</v>
      </c>
      <c r="C44" s="429"/>
      <c r="D44" s="429"/>
      <c r="E44" s="629" t="s">
        <v>351</v>
      </c>
      <c r="F44" s="379">
        <f>'Progetto del paramento slu'!G45</f>
        <v>3.0890890742741171</v>
      </c>
      <c r="G44" s="429"/>
      <c r="H44" s="429"/>
      <c r="I44" s="429"/>
      <c r="J44" s="429"/>
      <c r="K44" s="429"/>
      <c r="L44" s="429"/>
      <c r="M44" s="429"/>
      <c r="N44" s="429"/>
    </row>
    <row r="45" spans="2:14" s="428" customFormat="1" x14ac:dyDescent="0.25">
      <c r="B45" s="429" t="s">
        <v>352</v>
      </c>
      <c r="C45" s="429"/>
      <c r="D45" s="429"/>
      <c r="E45" s="629" t="s">
        <v>353</v>
      </c>
      <c r="F45" s="380">
        <f>'Progetto del paramento slu'!G46</f>
        <v>33019.434581752503</v>
      </c>
      <c r="G45" s="429"/>
      <c r="H45" s="429"/>
      <c r="I45" s="429"/>
      <c r="J45" s="429"/>
      <c r="K45" s="429"/>
      <c r="L45" s="429"/>
      <c r="M45" s="429"/>
      <c r="N45" s="429"/>
    </row>
    <row r="46" spans="2:14" s="428" customFormat="1" x14ac:dyDescent="0.25">
      <c r="B46" s="429"/>
      <c r="C46" s="429"/>
      <c r="D46" s="429"/>
      <c r="E46" s="429"/>
      <c r="F46" s="429"/>
      <c r="G46" s="429"/>
      <c r="H46" s="429"/>
      <c r="I46" s="429"/>
      <c r="J46" s="429"/>
      <c r="K46" s="429"/>
      <c r="L46" s="429"/>
      <c r="M46" s="429"/>
      <c r="N46" s="429"/>
    </row>
    <row r="47" spans="2:14" s="428" customFormat="1" x14ac:dyDescent="0.25">
      <c r="B47" s="1" t="s">
        <v>354</v>
      </c>
      <c r="C47" s="429"/>
      <c r="D47" s="429"/>
      <c r="E47" s="632"/>
      <c r="F47" s="657"/>
      <c r="G47" s="429"/>
      <c r="H47" s="306"/>
      <c r="I47" s="429"/>
      <c r="J47" s="429"/>
      <c r="K47" s="429"/>
      <c r="L47" s="429"/>
      <c r="M47" s="429"/>
      <c r="N47" s="429"/>
    </row>
    <row r="48" spans="2:14" s="428" customFormat="1" x14ac:dyDescent="0.25">
      <c r="B48" s="429"/>
      <c r="C48" s="429"/>
      <c r="D48" s="429"/>
      <c r="E48" s="632"/>
      <c r="F48" s="657"/>
      <c r="G48" s="429"/>
      <c r="H48" s="306"/>
      <c r="I48" s="429"/>
      <c r="J48" s="429"/>
      <c r="K48" s="429"/>
      <c r="L48" s="429"/>
      <c r="M48" s="429"/>
      <c r="N48" s="429"/>
    </row>
    <row r="49" spans="2:14" s="428" customFormat="1" x14ac:dyDescent="0.25">
      <c r="B49" s="429" t="s">
        <v>355</v>
      </c>
      <c r="C49" s="429"/>
      <c r="D49" s="429"/>
      <c r="E49" s="429"/>
      <c r="F49" s="651" t="str">
        <f>'Progetto del paramento slu'!G51</f>
        <v>Fe B450C</v>
      </c>
      <c r="G49" s="429"/>
      <c r="H49" s="306"/>
      <c r="I49" s="429"/>
      <c r="J49" s="429"/>
      <c r="K49" s="429"/>
      <c r="L49" s="429"/>
      <c r="M49" s="429"/>
      <c r="N49" s="429"/>
    </row>
    <row r="50" spans="2:14" s="428" customFormat="1" x14ac:dyDescent="0.25">
      <c r="B50" s="429"/>
      <c r="C50" s="429"/>
      <c r="D50" s="429"/>
      <c r="E50" s="632"/>
      <c r="F50" s="657"/>
      <c r="G50" s="429"/>
      <c r="H50" s="640"/>
      <c r="I50" s="429"/>
      <c r="J50" s="429"/>
      <c r="K50" s="429"/>
      <c r="L50" s="429"/>
      <c r="M50" s="429"/>
      <c r="N50" s="429"/>
    </row>
    <row r="51" spans="2:14" s="428" customFormat="1" x14ac:dyDescent="0.25">
      <c r="B51" s="429" t="s">
        <v>348</v>
      </c>
      <c r="C51" s="429"/>
      <c r="D51" s="429"/>
      <c r="E51" s="629" t="s">
        <v>356</v>
      </c>
      <c r="F51" s="378">
        <f>'Progetto del paramento slu'!G53</f>
        <v>391.304347826087</v>
      </c>
      <c r="G51" s="429"/>
      <c r="H51" s="640"/>
      <c r="I51" s="429"/>
      <c r="J51" s="429"/>
      <c r="K51" s="429"/>
      <c r="L51" s="429"/>
      <c r="M51" s="429"/>
      <c r="N51" s="429"/>
    </row>
    <row r="52" spans="2:14" x14ac:dyDescent="0.25">
      <c r="B52" s="429" t="s">
        <v>352</v>
      </c>
      <c r="C52" s="429"/>
      <c r="D52" s="429"/>
      <c r="E52" s="629" t="s">
        <v>353</v>
      </c>
      <c r="F52" s="380">
        <f>'Progetto del paramento slu'!G54</f>
        <v>206000</v>
      </c>
      <c r="G52" s="429"/>
      <c r="H52" s="640"/>
      <c r="I52" s="429"/>
      <c r="J52" s="429"/>
      <c r="K52" s="429"/>
      <c r="L52" s="429"/>
      <c r="M52" s="429"/>
      <c r="N52" s="429"/>
    </row>
    <row r="53" spans="2:14" s="428" customFormat="1" x14ac:dyDescent="0.25">
      <c r="B53" s="429"/>
      <c r="C53" s="429"/>
      <c r="D53" s="429"/>
      <c r="E53" s="429"/>
      <c r="F53" s="628"/>
      <c r="G53" s="538"/>
      <c r="H53" s="640"/>
      <c r="I53" s="429"/>
      <c r="J53" s="429"/>
      <c r="K53" s="429"/>
      <c r="L53" s="429"/>
      <c r="M53" s="429"/>
      <c r="N53" s="429"/>
    </row>
    <row r="54" spans="2:14" s="428" customFormat="1" x14ac:dyDescent="0.25">
      <c r="B54" s="429"/>
      <c r="C54" s="429"/>
      <c r="D54" s="429"/>
      <c r="E54" s="429"/>
      <c r="F54" s="628"/>
      <c r="G54" s="538"/>
      <c r="H54" s="640"/>
      <c r="I54" s="429"/>
      <c r="J54" s="429"/>
      <c r="K54" s="429"/>
      <c r="L54" s="429"/>
      <c r="M54" s="429"/>
      <c r="N54" s="429"/>
    </row>
    <row r="55" spans="2:14" ht="15.75" x14ac:dyDescent="0.25">
      <c r="B55" s="15" t="s">
        <v>555</v>
      </c>
      <c r="C55" s="648"/>
      <c r="D55" s="648"/>
      <c r="E55" s="94"/>
      <c r="F55" s="640"/>
      <c r="G55" s="640"/>
      <c r="H55" s="640"/>
      <c r="I55" s="429"/>
      <c r="J55" s="429"/>
      <c r="K55" s="429"/>
      <c r="L55" s="429"/>
      <c r="M55" s="429"/>
      <c r="N55" s="429"/>
    </row>
    <row r="56" spans="2:14" x14ac:dyDescent="0.25">
      <c r="B56" s="361"/>
      <c r="C56" s="59"/>
      <c r="D56" s="648"/>
      <c r="E56" s="94"/>
      <c r="F56" s="640"/>
      <c r="G56" s="640"/>
      <c r="H56" s="640"/>
      <c r="I56" s="429"/>
      <c r="J56" s="429"/>
      <c r="K56" s="429"/>
      <c r="L56" s="429"/>
      <c r="M56" s="429"/>
      <c r="N56" s="429"/>
    </row>
    <row r="57" spans="2:14" x14ac:dyDescent="0.25">
      <c r="B57" s="889" t="s">
        <v>556</v>
      </c>
      <c r="C57" s="889"/>
      <c r="D57" s="429"/>
      <c r="E57" s="429"/>
      <c r="F57" s="444"/>
      <c r="G57" s="429"/>
      <c r="H57" s="429"/>
      <c r="I57" s="429"/>
      <c r="J57" s="429"/>
      <c r="K57" s="429"/>
      <c r="L57" s="429"/>
      <c r="M57" s="429"/>
      <c r="N57" s="429"/>
    </row>
    <row r="58" spans="2:14" x14ac:dyDescent="0.25">
      <c r="B58" s="429"/>
      <c r="C58" s="429"/>
      <c r="D58" s="429"/>
      <c r="E58" s="429"/>
      <c r="F58" s="205"/>
      <c r="G58" s="429"/>
      <c r="H58" s="429"/>
      <c r="I58" s="429"/>
      <c r="J58" s="429"/>
      <c r="K58" s="429"/>
      <c r="L58" s="429"/>
      <c r="M58" s="429"/>
      <c r="N58" s="429"/>
    </row>
    <row r="59" spans="2:14" x14ac:dyDescent="0.25">
      <c r="B59" s="429"/>
      <c r="C59" s="429"/>
      <c r="D59" s="328"/>
      <c r="E59" s="327"/>
      <c r="F59" s="357" t="s">
        <v>557</v>
      </c>
      <c r="G59" s="327" t="s">
        <v>558</v>
      </c>
      <c r="H59" s="429"/>
      <c r="I59" s="429"/>
      <c r="J59" s="429"/>
      <c r="K59" s="429"/>
      <c r="L59" s="429"/>
      <c r="M59" s="429"/>
      <c r="N59" s="429"/>
    </row>
    <row r="60" spans="2:14" x14ac:dyDescent="0.25">
      <c r="B60" s="354" t="s">
        <v>559</v>
      </c>
      <c r="C60" s="354"/>
      <c r="D60" s="59"/>
      <c r="E60" s="355"/>
      <c r="F60" s="658">
        <f>MAXA('ANALISI DELLE SPINTE'!AB99,'ANALISI DELLE SPINTE'!AB116)</f>
        <v>54.684656336963357</v>
      </c>
      <c r="G60" s="355">
        <f>MAXA('ANALISI DELLE SPINTE'!AB100,'ANALISI DELLE SPINTE'!AB117)</f>
        <v>67.626126685694729</v>
      </c>
      <c r="H60" s="96"/>
      <c r="I60" s="429"/>
      <c r="J60" s="999"/>
      <c r="K60" s="1048"/>
      <c r="L60" s="1048"/>
      <c r="M60" s="429"/>
      <c r="N60" s="429"/>
    </row>
    <row r="61" spans="2:14" x14ac:dyDescent="0.25">
      <c r="B61" s="53"/>
      <c r="C61" s="53"/>
      <c r="D61" s="53"/>
      <c r="E61" s="53"/>
      <c r="F61" s="71" t="s">
        <v>538</v>
      </c>
      <c r="G61" s="97">
        <f>SUM(G60:G60)</f>
        <v>67.626126685694729</v>
      </c>
      <c r="H61" s="429"/>
      <c r="I61" s="640"/>
      <c r="J61" s="999"/>
      <c r="K61" s="1048"/>
      <c r="L61" s="1048"/>
      <c r="M61" s="429"/>
      <c r="N61" s="429"/>
    </row>
    <row r="62" spans="2:14" x14ac:dyDescent="0.25">
      <c r="B62" s="24"/>
      <c r="C62" s="24"/>
      <c r="D62" s="24"/>
      <c r="E62" s="429"/>
      <c r="F62" s="71"/>
      <c r="G62" s="648"/>
      <c r="H62" s="429"/>
      <c r="I62" s="640"/>
      <c r="J62" s="640"/>
      <c r="K62" s="640"/>
      <c r="L62" s="640"/>
      <c r="M62" s="429"/>
      <c r="N62" s="429"/>
    </row>
    <row r="63" spans="2:14" x14ac:dyDescent="0.25">
      <c r="B63" s="880" t="s">
        <v>560</v>
      </c>
      <c r="C63" s="880"/>
      <c r="D63" s="24"/>
      <c r="E63" s="24"/>
      <c r="F63" s="71"/>
      <c r="G63" s="648"/>
      <c r="H63" s="429"/>
      <c r="I63" s="640"/>
      <c r="J63" s="640"/>
      <c r="K63" s="640"/>
      <c r="L63" s="640"/>
      <c r="M63" s="429"/>
      <c r="N63" s="429"/>
    </row>
    <row r="64" spans="2:14" x14ac:dyDescent="0.25">
      <c r="B64" s="429"/>
      <c r="C64" s="429"/>
      <c r="D64" s="429"/>
      <c r="E64" s="429"/>
      <c r="F64" s="207"/>
      <c r="G64" s="640"/>
      <c r="H64" s="640"/>
      <c r="I64" s="640"/>
      <c r="J64" s="640"/>
      <c r="K64" s="640"/>
      <c r="L64" s="640"/>
      <c r="M64" s="429"/>
      <c r="N64" s="429"/>
    </row>
    <row r="65" spans="2:14" x14ac:dyDescent="0.25">
      <c r="B65" s="429"/>
      <c r="C65" s="632" t="s">
        <v>540</v>
      </c>
      <c r="D65" s="642" t="s">
        <v>541</v>
      </c>
      <c r="E65" s="642" t="s">
        <v>542</v>
      </c>
      <c r="F65" s="63" t="s">
        <v>543</v>
      </c>
      <c r="G65" s="642" t="s">
        <v>544</v>
      </c>
      <c r="H65" s="640"/>
      <c r="I65" s="640"/>
      <c r="J65" s="640"/>
      <c r="K65" s="640"/>
      <c r="L65" s="640"/>
      <c r="M65" s="429"/>
      <c r="N65" s="429"/>
    </row>
    <row r="66" spans="2:14" x14ac:dyDescent="0.25">
      <c r="B66" s="95" t="s">
        <v>545</v>
      </c>
      <c r="C66" s="659">
        <f>'VER. EQU COND. NON DRENATE'!C47</f>
        <v>49.000356249999989</v>
      </c>
      <c r="D66" s="3">
        <f>DATI!E272</f>
        <v>1</v>
      </c>
      <c r="E66" s="659">
        <f>C66*D66</f>
        <v>49.000356249999989</v>
      </c>
      <c r="F66" s="206">
        <f>'VER. EQU COND. NON DRENATE'!C49</f>
        <v>0.77959125809799579</v>
      </c>
      <c r="G66" s="355">
        <f>E66*F66</f>
        <v>38.200249376187479</v>
      </c>
      <c r="H66" s="637"/>
      <c r="I66" s="640"/>
      <c r="J66" s="640"/>
      <c r="K66" s="640"/>
      <c r="L66" s="640"/>
      <c r="M66" s="429"/>
      <c r="N66" s="429"/>
    </row>
    <row r="67" spans="2:14" x14ac:dyDescent="0.25">
      <c r="B67" s="95" t="s">
        <v>546</v>
      </c>
      <c r="C67" s="659">
        <f>'VER. EQU COND. NON DRENATE'!C71</f>
        <v>79.04568839167807</v>
      </c>
      <c r="D67" s="648">
        <f>DATI!E272</f>
        <v>1</v>
      </c>
      <c r="E67" s="659">
        <f>C67*D67</f>
        <v>79.04568839167807</v>
      </c>
      <c r="F67" s="365">
        <f>'VER. EQU COND. NON DRENATE'!C73</f>
        <v>1.3139238557823383</v>
      </c>
      <c r="G67" s="366">
        <f>E67*F67</f>
        <v>103.86001567456287</v>
      </c>
      <c r="H67" s="637"/>
      <c r="I67" s="640"/>
      <c r="J67" s="429"/>
      <c r="K67" s="429"/>
      <c r="L67" s="640"/>
      <c r="M67" s="429"/>
      <c r="N67" s="429"/>
    </row>
    <row r="68" spans="2:14" x14ac:dyDescent="0.25">
      <c r="B68" s="95" t="s">
        <v>547</v>
      </c>
      <c r="C68" s="659">
        <f>DATI!E161*DATI!E61*IF(DATI!G218="SX",DATI!E75,'FOGLIO DEPOSITO'!D212)</f>
        <v>0</v>
      </c>
      <c r="D68" s="3">
        <f>DATI!E273</f>
        <v>1</v>
      </c>
      <c r="E68" s="659">
        <f>C68*D68</f>
        <v>0</v>
      </c>
      <c r="F68" s="206">
        <f>IF(DATI!G218="dx",'FOGLIO DEPOSITO'!D212+'FOGLIO DEPOSITO'!D211+DATI!E75/2,DATI!E75/2+'FOGLIO DEPOSITO'!D211+'FOGLIO DEPOSITO'!D212)</f>
        <v>1.7999999999999996</v>
      </c>
      <c r="G68" s="355">
        <f>E68*F68</f>
        <v>0</v>
      </c>
      <c r="H68" s="637"/>
      <c r="I68" s="640"/>
      <c r="J68" s="429"/>
      <c r="K68" s="429"/>
      <c r="L68" s="640"/>
      <c r="M68" s="429"/>
      <c r="N68" s="429"/>
    </row>
    <row r="69" spans="2:14" x14ac:dyDescent="0.25">
      <c r="B69" s="95" t="s">
        <v>548</v>
      </c>
      <c r="C69" s="659">
        <f>DATI!E162*DATI!E61*IF(DATI!G218="SX",DATI!E75,'FOGLIO DEPOSITO'!D212)</f>
        <v>6.4999500000000001</v>
      </c>
      <c r="D69" s="648">
        <f>DATI!E274</f>
        <v>1</v>
      </c>
      <c r="E69" s="659">
        <f>C69*D69</f>
        <v>6.4999500000000001</v>
      </c>
      <c r="F69" s="365">
        <f>IF(DATI!G218="dx",'FOGLIO DEPOSITO'!D212+'FOGLIO DEPOSITO'!D211+DATI!E75/2,DATI!E75/2+'FOGLIO DEPOSITO'!D211+'FOGLIO DEPOSITO'!D212)</f>
        <v>1.7999999999999996</v>
      </c>
      <c r="G69" s="366">
        <f>E69*F69</f>
        <v>11.699909999999997</v>
      </c>
      <c r="H69" s="637"/>
      <c r="I69" s="640"/>
      <c r="J69" s="429"/>
      <c r="K69" s="429"/>
      <c r="L69" s="640"/>
      <c r="M69" s="429"/>
      <c r="N69" s="429"/>
    </row>
    <row r="70" spans="2:14" x14ac:dyDescent="0.25">
      <c r="B70" s="98" t="s">
        <v>894</v>
      </c>
      <c r="C70" s="659">
        <f>MAXA('ANALISI DELLE SPINTE'!AA97,'ANALISI DELLE SPINTE'!AA114)</f>
        <v>1.5723591502204846E-4</v>
      </c>
      <c r="D70" s="648">
        <v>1</v>
      </c>
      <c r="E70" s="660">
        <f>C70*D70</f>
        <v>1.5723591502204846E-4</v>
      </c>
      <c r="F70" s="365">
        <f>IF(DATI!G218="sx",DATI!E75,'FOGLIO DEPOSITO'!D212+'FOGLIO DEPOSITO'!D210)</f>
        <v>1.3</v>
      </c>
      <c r="G70" s="366">
        <f>E70*F70</f>
        <v>2.04406689528663E-4</v>
      </c>
      <c r="H70" s="637"/>
      <c r="I70" s="640"/>
      <c r="J70" s="429"/>
      <c r="K70" s="429"/>
      <c r="L70" s="640"/>
      <c r="M70" s="429"/>
      <c r="N70" s="429"/>
    </row>
    <row r="71" spans="2:14" x14ac:dyDescent="0.25">
      <c r="B71" s="539" t="str">
        <f>IF('ANALISI DELLE SPINTE'!C76='FOGLIO DEPOSITO'!N184," Kv x Wtot  ",IF('ANALISI DELLE SPINTE'!C76='FOGLIO DEPOSITO'!N181," Kv x Wtot  ",IF('ANALISI DELLE SPINTE'!C76='FOGLIO DEPOSITO'!N182,"Kv x Wtot  ","")))</f>
        <v xml:space="preserve"> Kv x Wtot  </v>
      </c>
      <c r="C71" s="658">
        <f>IF('ANALISI DELLE SPINTE'!C76='FOGLIO DEPOSITO'!N184,'ANALISI DELLE SPINTE'!AE97/DATI!E272,IF('ANALISI DELLE SPINTE'!C76='FOGLIO DEPOSITO'!N181,'ANALISI DELLE SPINTE'!AE97/DATI!E272,IF('ANALISI DELLE SPINTE'!C76='FOGLIO DEPOSITO'!N182,'ANALISI DELLE SPINTE'!AE97/DATI!E272,"")))</f>
        <v>4.9362102773430259</v>
      </c>
      <c r="D71" s="59">
        <f>IF('ANALISI DELLE SPINTE'!C76='FOGLIO DEPOSITO'!N184,DATI!E272,IF('ANALISI DELLE SPINTE'!C76='FOGLIO DEPOSITO'!N181,DATI!E272,IF('ANALISI DELLE SPINTE'!C76='FOGLIO DEPOSITO'!N182,DATI!E272,"")))</f>
        <v>1</v>
      </c>
      <c r="E71" s="661">
        <f>IF('ANALISI DELLE SPINTE'!C76='FOGLIO DEPOSITO'!N184,'VER. EQU COND. NON DRENATE'!C121*'VER. EQU COND. NON DRENATE'!D121,IF('ANALISI DELLE SPINTE'!C76='FOGLIO DEPOSITO'!N181,'VER. EQU COND. NON DRENATE'!C121*'VER. EQU COND. NON DRENATE'!D121,IF('ANALISI DELLE SPINTE'!C76='FOGLIO DEPOSITO'!N182,'VER. EQU COND. NON DRENATE'!C121*'VER. EQU COND. NON DRENATE'!D121,"")))</f>
        <v>4.9362102773430259</v>
      </c>
      <c r="F71" s="427">
        <f>IF('ANALISI DELLE SPINTE'!C76='FOGLIO DEPOSITO'!N184,'VER. EQU COND. NON DRENATE'!C79,IF('ANALISI DELLE SPINTE'!C76='FOGLIO DEPOSITO'!N181,'VER. EQU COND. NON DRENATE'!C79,IF('ANALISI DELLE SPINTE'!C76='FOGLIO DEPOSITO'!N182,'VER. EQU COND. NON DRENATE'!C79,"")))</f>
        <v>1.1094467263576118</v>
      </c>
      <c r="G71" s="356">
        <f>IF('ANALISI DELLE SPINTE'!C76='FOGLIO DEPOSITO'!N184,'VER. EQU COND. NON DRENATE'!E121*'VER. EQU COND. NON DRENATE'!F121,IF('ANALISI DELLE SPINTE'!C76='FOGLIO DEPOSITO'!N181,'VER. EQU COND. NON DRENATE'!E121*'VER. EQU COND. NON DRENATE'!F121,IF('ANALISI DELLE SPINTE'!C76='FOGLIO DEPOSITO'!N182,'VER. EQU COND. NON DRENATE'!E121*'VER. EQU COND. NON DRENATE'!F121,"")))</f>
        <v>5.4764623328110194</v>
      </c>
      <c r="H71" s="637"/>
      <c r="I71" s="640"/>
      <c r="J71" s="429"/>
      <c r="K71" s="429"/>
      <c r="L71" s="640"/>
      <c r="M71" s="429"/>
      <c r="N71" s="429"/>
    </row>
    <row r="72" spans="2:14" x14ac:dyDescent="0.25">
      <c r="B72" s="24"/>
      <c r="C72" s="659">
        <f>SUM(C66:C71)</f>
        <v>139.48236215493614</v>
      </c>
      <c r="D72" s="24"/>
      <c r="E72" s="659">
        <f>SUM(E66:E71)</f>
        <v>139.48236215493614</v>
      </c>
      <c r="F72" s="71"/>
      <c r="G72" s="355">
        <f>SUM(G66:G71)</f>
        <v>159.23684179025091</v>
      </c>
      <c r="H72" s="429"/>
      <c r="I72" s="429"/>
      <c r="J72" s="429"/>
      <c r="K72" s="429"/>
      <c r="L72" s="429"/>
      <c r="M72" s="429"/>
      <c r="N72" s="429"/>
    </row>
    <row r="73" spans="2:14" x14ac:dyDescent="0.25">
      <c r="B73" s="24"/>
      <c r="C73" s="659"/>
      <c r="D73" s="24"/>
      <c r="E73" s="659"/>
      <c r="F73" s="429"/>
      <c r="G73" s="429"/>
      <c r="H73" s="429"/>
      <c r="I73" s="429"/>
      <c r="J73" s="429"/>
      <c r="K73" s="429"/>
      <c r="L73" s="429"/>
      <c r="M73" s="429"/>
      <c r="N73" s="429"/>
    </row>
    <row r="74" spans="2:14" x14ac:dyDescent="0.25">
      <c r="B74" s="429"/>
      <c r="C74" s="429"/>
      <c r="D74" s="429"/>
      <c r="E74" s="429"/>
      <c r="F74" s="640"/>
      <c r="G74" s="429"/>
      <c r="H74" s="429"/>
      <c r="I74" s="640"/>
      <c r="J74" s="640"/>
      <c r="K74" s="640"/>
      <c r="L74" s="640"/>
      <c r="M74" s="429"/>
      <c r="N74" s="429"/>
    </row>
    <row r="75" spans="2:14" x14ac:dyDescent="0.25">
      <c r="B75" s="358" t="s">
        <v>561</v>
      </c>
      <c r="C75" s="358" t="s">
        <v>536</v>
      </c>
      <c r="D75" s="446" t="s">
        <v>544</v>
      </c>
      <c r="E75" s="362"/>
      <c r="F75" s="429"/>
      <c r="G75" s="429"/>
      <c r="H75" s="429"/>
      <c r="I75" s="640"/>
      <c r="J75" s="640"/>
      <c r="K75" s="640"/>
      <c r="L75" s="640"/>
      <c r="M75" s="429"/>
      <c r="N75" s="429"/>
    </row>
    <row r="76" spans="2:14" x14ac:dyDescent="0.25">
      <c r="B76" s="359">
        <f>F60</f>
        <v>54.684656336963357</v>
      </c>
      <c r="C76" s="360">
        <f>G61</f>
        <v>67.626126685694729</v>
      </c>
      <c r="D76" s="360">
        <f>G72/DATI!E283</f>
        <v>132.69736815854242</v>
      </c>
      <c r="E76" s="363"/>
      <c r="F76" s="429"/>
      <c r="G76" s="429"/>
      <c r="H76" s="429"/>
      <c r="I76" s="640"/>
      <c r="J76" s="640"/>
      <c r="K76" s="640"/>
      <c r="L76" s="640"/>
      <c r="M76" s="429"/>
      <c r="N76" s="429"/>
    </row>
    <row r="77" spans="2:14" x14ac:dyDescent="0.25">
      <c r="B77" s="429"/>
      <c r="C77" s="429"/>
      <c r="D77" s="429"/>
      <c r="E77" s="429"/>
      <c r="F77" s="640"/>
      <c r="G77" s="640"/>
      <c r="H77" s="640"/>
      <c r="I77" s="640"/>
      <c r="J77" s="640"/>
      <c r="K77" s="640"/>
      <c r="L77" s="640"/>
      <c r="M77" s="429"/>
      <c r="N77" s="429"/>
    </row>
    <row r="78" spans="2:14" ht="15.75" x14ac:dyDescent="0.25">
      <c r="B78" s="15" t="s">
        <v>562</v>
      </c>
      <c r="C78" s="429"/>
      <c r="D78" s="429"/>
      <c r="E78" s="429"/>
      <c r="F78" s="429"/>
      <c r="G78" s="640"/>
      <c r="H78" s="640"/>
      <c r="I78" s="640"/>
      <c r="J78" s="640"/>
      <c r="K78" s="640"/>
      <c r="L78" s="640"/>
      <c r="M78" s="429"/>
      <c r="N78" s="429"/>
    </row>
    <row r="79" spans="2:14" x14ac:dyDescent="0.25">
      <c r="B79" s="429"/>
      <c r="C79" s="429"/>
      <c r="D79" s="429"/>
      <c r="E79" s="24"/>
      <c r="F79" s="24"/>
      <c r="G79" s="20"/>
      <c r="H79" s="640"/>
      <c r="I79" s="640"/>
      <c r="J79" s="640"/>
      <c r="K79" s="640"/>
      <c r="L79" s="640"/>
      <c r="M79" s="429"/>
      <c r="N79" s="429"/>
    </row>
    <row r="80" spans="2:14" x14ac:dyDescent="0.25">
      <c r="B80" s="429"/>
      <c r="C80" s="429"/>
      <c r="D80" s="429"/>
      <c r="E80" s="24"/>
      <c r="F80" s="24"/>
      <c r="G80" s="24"/>
      <c r="H80" s="429"/>
      <c r="I80" s="429"/>
      <c r="J80" s="640"/>
      <c r="K80" s="640"/>
      <c r="L80" s="640"/>
      <c r="M80" s="429"/>
      <c r="N80" s="429"/>
    </row>
    <row r="81" spans="2:14" x14ac:dyDescent="0.25">
      <c r="B81" s="429"/>
      <c r="C81" s="429"/>
      <c r="D81" s="429"/>
      <c r="E81" s="24"/>
      <c r="F81" s="24"/>
      <c r="G81" s="24"/>
      <c r="H81" s="429"/>
      <c r="I81" s="429"/>
      <c r="J81" s="640"/>
      <c r="K81" s="640"/>
      <c r="L81" s="640"/>
      <c r="M81" s="429"/>
      <c r="N81" s="429"/>
    </row>
    <row r="82" spans="2:14" x14ac:dyDescent="0.25">
      <c r="B82" s="429"/>
      <c r="C82" s="128"/>
      <c r="D82" s="429"/>
      <c r="E82" s="24"/>
      <c r="F82" s="24"/>
      <c r="G82" s="24"/>
      <c r="H82" s="429"/>
      <c r="I82" s="429"/>
      <c r="J82" s="640"/>
      <c r="K82" s="429"/>
      <c r="L82" s="429"/>
      <c r="M82" s="429"/>
      <c r="N82" s="429"/>
    </row>
    <row r="83" spans="2:14" x14ac:dyDescent="0.25">
      <c r="B83" s="429"/>
      <c r="C83" s="429"/>
      <c r="D83" s="429"/>
      <c r="E83" s="24"/>
      <c r="F83" s="24"/>
      <c r="G83" s="20"/>
      <c r="H83" s="429"/>
      <c r="I83" s="429"/>
      <c r="J83" s="640"/>
      <c r="K83" s="429"/>
      <c r="L83" s="429"/>
      <c r="M83" s="429"/>
      <c r="N83" s="429"/>
    </row>
    <row r="84" spans="2:14" x14ac:dyDescent="0.25">
      <c r="B84" s="429"/>
      <c r="C84" s="429"/>
      <c r="D84" s="643"/>
      <c r="E84" s="24"/>
      <c r="F84" s="24"/>
      <c r="G84" s="20"/>
      <c r="H84" s="429"/>
      <c r="I84" s="429"/>
      <c r="J84" s="640"/>
      <c r="K84" s="429"/>
      <c r="L84" s="429"/>
      <c r="M84" s="429"/>
      <c r="N84" s="429"/>
    </row>
    <row r="85" spans="2:14" x14ac:dyDescent="0.25">
      <c r="B85" s="429"/>
      <c r="C85" s="429"/>
      <c r="D85" s="643"/>
      <c r="E85" s="24"/>
      <c r="F85" s="20"/>
      <c r="G85" s="20"/>
      <c r="H85" s="640"/>
      <c r="I85" s="640"/>
      <c r="J85" s="640"/>
      <c r="K85" s="429"/>
      <c r="L85" s="429"/>
      <c r="M85" s="429"/>
      <c r="N85" s="429"/>
    </row>
    <row r="86" spans="2:14" x14ac:dyDescent="0.25">
      <c r="B86" s="429"/>
      <c r="C86" s="429"/>
      <c r="D86" s="430"/>
      <c r="E86" s="24"/>
      <c r="F86" s="24"/>
      <c r="G86" s="24"/>
      <c r="H86" s="430"/>
      <c r="I86" s="640"/>
      <c r="J86" s="640"/>
      <c r="K86" s="429"/>
      <c r="L86" s="429"/>
      <c r="M86" s="429"/>
      <c r="N86" s="429"/>
    </row>
    <row r="87" spans="2:14" x14ac:dyDescent="0.25">
      <c r="B87" s="429"/>
      <c r="C87" s="429"/>
      <c r="D87" s="429"/>
      <c r="E87" s="24"/>
      <c r="F87" s="24"/>
      <c r="G87" s="24"/>
      <c r="H87" s="640"/>
      <c r="I87" s="640"/>
      <c r="J87" s="640"/>
      <c r="K87" s="429"/>
      <c r="L87" s="429"/>
      <c r="M87" s="429"/>
      <c r="N87" s="429"/>
    </row>
    <row r="88" spans="2:14" x14ac:dyDescent="0.25">
      <c r="B88" s="429"/>
      <c r="C88" s="429"/>
      <c r="D88" s="429"/>
      <c r="E88" s="24"/>
      <c r="F88" s="20"/>
      <c r="G88" s="20"/>
      <c r="H88" s="640"/>
      <c r="I88" s="640"/>
      <c r="J88" s="429"/>
      <c r="K88" s="429"/>
      <c r="L88" s="429"/>
      <c r="M88" s="429"/>
      <c r="N88" s="429"/>
    </row>
    <row r="89" spans="2:14" x14ac:dyDescent="0.25">
      <c r="B89" s="429"/>
      <c r="C89" s="429"/>
      <c r="D89" s="429"/>
      <c r="E89" s="24"/>
      <c r="F89" s="24"/>
      <c r="G89" s="24"/>
      <c r="H89" s="429"/>
      <c r="I89" s="429"/>
      <c r="J89" s="640"/>
      <c r="K89" s="640"/>
      <c r="L89" s="640"/>
      <c r="M89" s="429"/>
      <c r="N89" s="429"/>
    </row>
    <row r="90" spans="2:14" x14ac:dyDescent="0.25">
      <c r="B90" s="429"/>
      <c r="C90" s="429"/>
      <c r="D90" s="429"/>
      <c r="E90" s="24"/>
      <c r="F90" s="24"/>
      <c r="G90" s="24"/>
      <c r="H90" s="429"/>
      <c r="I90" s="429"/>
      <c r="J90" s="640"/>
      <c r="K90" s="640"/>
      <c r="L90" s="640"/>
      <c r="M90" s="429"/>
      <c r="N90" s="429"/>
    </row>
    <row r="91" spans="2:14" x14ac:dyDescent="0.25">
      <c r="B91" s="429"/>
      <c r="C91" s="429"/>
      <c r="D91" s="429"/>
      <c r="E91" s="429"/>
      <c r="F91" s="429"/>
      <c r="G91" s="429"/>
      <c r="H91" s="429"/>
      <c r="I91" s="429"/>
      <c r="J91" s="640"/>
      <c r="K91" s="640"/>
      <c r="L91" s="640"/>
      <c r="M91" s="429"/>
      <c r="N91" s="429"/>
    </row>
    <row r="92" spans="2:14" x14ac:dyDescent="0.25">
      <c r="B92" s="429"/>
      <c r="C92" s="429"/>
      <c r="D92" s="429"/>
      <c r="E92" s="429"/>
      <c r="F92" s="429"/>
      <c r="G92" s="429"/>
      <c r="H92" s="429"/>
      <c r="I92" s="429"/>
      <c r="J92" s="640"/>
      <c r="K92" s="640"/>
      <c r="L92" s="640"/>
      <c r="M92" s="429"/>
      <c r="N92" s="429"/>
    </row>
    <row r="93" spans="2:14" x14ac:dyDescent="0.25">
      <c r="B93" s="429"/>
      <c r="C93" s="429"/>
      <c r="D93" s="429"/>
      <c r="E93" s="429"/>
      <c r="F93" s="76"/>
      <c r="G93" s="429"/>
      <c r="H93" s="176"/>
      <c r="I93" s="176"/>
      <c r="J93" s="640"/>
      <c r="K93" s="640"/>
      <c r="L93" s="640"/>
      <c r="M93" s="429"/>
      <c r="N93" s="429"/>
    </row>
    <row r="94" spans="2:14" x14ac:dyDescent="0.25">
      <c r="B94" s="429"/>
      <c r="C94" s="429"/>
      <c r="D94" s="429"/>
      <c r="E94" s="429"/>
      <c r="F94" s="76"/>
      <c r="G94" s="429"/>
      <c r="H94" s="176"/>
      <c r="I94" s="176"/>
      <c r="J94" s="640"/>
      <c r="K94" s="640"/>
      <c r="L94" s="640"/>
      <c r="M94" s="429"/>
      <c r="N94" s="429"/>
    </row>
    <row r="95" spans="2:14" x14ac:dyDescent="0.25">
      <c r="B95" s="429"/>
      <c r="C95" s="429"/>
      <c r="D95" s="429"/>
      <c r="E95" s="429"/>
      <c r="F95" s="76"/>
      <c r="G95" s="429"/>
      <c r="H95" s="429"/>
      <c r="I95" s="429"/>
      <c r="J95" s="640"/>
      <c r="K95" s="640"/>
      <c r="L95" s="640"/>
      <c r="M95" s="429"/>
      <c r="N95" s="429"/>
    </row>
    <row r="96" spans="2:14" x14ac:dyDescent="0.25">
      <c r="B96" s="429"/>
      <c r="C96" s="429"/>
      <c r="D96" s="429"/>
      <c r="E96" s="429"/>
      <c r="F96" s="429"/>
      <c r="G96" s="429"/>
      <c r="H96" s="429"/>
      <c r="I96" s="429"/>
      <c r="J96" s="640"/>
      <c r="K96" s="640"/>
      <c r="L96" s="640"/>
      <c r="M96" s="429"/>
      <c r="N96" s="429"/>
    </row>
    <row r="97" spans="2:14" x14ac:dyDescent="0.25">
      <c r="B97" s="429"/>
      <c r="C97" s="429"/>
      <c r="D97" s="429"/>
      <c r="E97" s="429"/>
      <c r="F97" s="429"/>
      <c r="G97" s="429"/>
      <c r="H97" s="429"/>
      <c r="I97" s="429"/>
      <c r="J97" s="640"/>
      <c r="K97" s="640"/>
      <c r="L97" s="640"/>
      <c r="M97" s="429"/>
      <c r="N97" s="429"/>
    </row>
    <row r="98" spans="2:14" x14ac:dyDescent="0.25">
      <c r="B98" s="429"/>
      <c r="C98" s="429"/>
      <c r="D98" s="429"/>
      <c r="E98" s="429"/>
      <c r="F98" s="429"/>
      <c r="G98" s="429"/>
      <c r="H98" s="429"/>
      <c r="I98" s="429"/>
      <c r="J98" s="640"/>
      <c r="K98" s="640"/>
      <c r="L98" s="640"/>
      <c r="M98" s="429"/>
      <c r="N98" s="429"/>
    </row>
    <row r="99" spans="2:14" x14ac:dyDescent="0.25">
      <c r="B99" s="429"/>
      <c r="C99" s="429"/>
      <c r="D99" s="429"/>
      <c r="E99" s="429"/>
      <c r="F99" s="429"/>
      <c r="G99" s="429"/>
      <c r="H99" s="429"/>
      <c r="I99" s="429"/>
      <c r="J99" s="640"/>
      <c r="K99" s="640"/>
      <c r="L99" s="640"/>
      <c r="M99" s="429"/>
      <c r="N99" s="429"/>
    </row>
    <row r="100" spans="2:14" x14ac:dyDescent="0.25">
      <c r="B100" s="429"/>
      <c r="C100" s="429"/>
      <c r="D100" s="429"/>
      <c r="E100" s="429"/>
      <c r="F100" s="429"/>
      <c r="G100" s="429"/>
      <c r="H100" s="429"/>
      <c r="I100" s="429"/>
      <c r="J100" s="640"/>
      <c r="K100" s="640"/>
      <c r="L100" s="640"/>
      <c r="M100" s="429"/>
      <c r="N100" s="429"/>
    </row>
    <row r="101" spans="2:14" x14ac:dyDescent="0.25">
      <c r="B101" s="429"/>
      <c r="C101" s="68"/>
      <c r="D101" s="429"/>
      <c r="E101" s="429"/>
      <c r="F101" s="429"/>
      <c r="G101" s="429"/>
      <c r="H101" s="429"/>
      <c r="I101" s="429"/>
      <c r="J101" s="640"/>
      <c r="K101" s="640"/>
      <c r="L101" s="640"/>
      <c r="M101" s="429"/>
      <c r="N101" s="429"/>
    </row>
    <row r="102" spans="2:14" x14ac:dyDescent="0.25">
      <c r="B102" s="429"/>
      <c r="C102" s="429"/>
      <c r="D102" s="429"/>
      <c r="E102" s="429"/>
      <c r="F102" s="429"/>
      <c r="G102" s="429"/>
      <c r="H102" s="429"/>
      <c r="I102" s="429"/>
      <c r="J102" s="640"/>
      <c r="K102" s="640"/>
      <c r="L102" s="640"/>
      <c r="M102" s="429"/>
      <c r="N102" s="429"/>
    </row>
    <row r="103" spans="2:14" x14ac:dyDescent="0.25">
      <c r="B103" s="429"/>
      <c r="C103" s="429"/>
      <c r="D103" s="429"/>
      <c r="E103" s="429"/>
      <c r="F103" s="429"/>
      <c r="G103" s="640"/>
      <c r="H103" s="640"/>
      <c r="I103" s="640"/>
      <c r="J103" s="640"/>
      <c r="K103" s="640"/>
      <c r="L103" s="640"/>
      <c r="M103" s="429"/>
      <c r="N103" s="429"/>
    </row>
    <row r="104" spans="2:14" x14ac:dyDescent="0.25">
      <c r="B104" s="429"/>
      <c r="C104" s="429"/>
      <c r="D104" s="429"/>
      <c r="E104" s="429"/>
      <c r="F104" s="429"/>
      <c r="G104" s="640"/>
      <c r="H104" s="640"/>
      <c r="I104" s="640"/>
      <c r="J104" s="640"/>
      <c r="K104" s="640"/>
      <c r="L104" s="640"/>
      <c r="M104" s="429"/>
      <c r="N104" s="429"/>
    </row>
    <row r="105" spans="2:14" x14ac:dyDescent="0.25">
      <c r="B105" s="429"/>
      <c r="C105" s="429"/>
      <c r="D105" s="429"/>
      <c r="E105" s="429"/>
      <c r="F105" s="429"/>
      <c r="G105" s="640"/>
      <c r="H105" s="640"/>
      <c r="I105" s="640"/>
      <c r="J105" s="640"/>
      <c r="K105" s="640"/>
      <c r="L105" s="640"/>
      <c r="M105" s="429"/>
      <c r="N105" s="429"/>
    </row>
    <row r="106" spans="2:14" x14ac:dyDescent="0.25">
      <c r="B106" s="429"/>
      <c r="C106" s="429"/>
      <c r="D106" s="429"/>
      <c r="E106" s="429"/>
      <c r="F106" s="429"/>
      <c r="G106" s="640"/>
      <c r="H106" s="640"/>
      <c r="I106" s="640"/>
      <c r="J106" s="640"/>
      <c r="K106" s="640"/>
      <c r="L106" s="640"/>
      <c r="M106" s="429"/>
      <c r="N106" s="429"/>
    </row>
    <row r="107" spans="2:14" x14ac:dyDescent="0.25">
      <c r="B107" s="429"/>
      <c r="C107" s="429"/>
      <c r="D107" s="429"/>
      <c r="E107" s="429"/>
      <c r="F107" s="429"/>
      <c r="G107" s="640"/>
      <c r="H107" s="640"/>
      <c r="I107" s="640"/>
      <c r="J107" s="640"/>
      <c r="K107" s="640"/>
      <c r="L107" s="640"/>
      <c r="M107" s="429"/>
      <c r="N107" s="429"/>
    </row>
    <row r="108" spans="2:14" x14ac:dyDescent="0.25">
      <c r="B108" s="429"/>
      <c r="C108" s="429"/>
      <c r="D108" s="429"/>
      <c r="E108" s="429"/>
      <c r="F108" s="429"/>
      <c r="G108" s="640"/>
      <c r="H108" s="640"/>
      <c r="I108" s="640"/>
      <c r="J108" s="640"/>
      <c r="K108" s="640"/>
      <c r="L108" s="640"/>
      <c r="M108" s="429"/>
      <c r="N108" s="429"/>
    </row>
    <row r="109" spans="2:14" x14ac:dyDescent="0.25">
      <c r="B109" s="431" t="s">
        <v>563</v>
      </c>
      <c r="C109" s="429"/>
      <c r="D109" s="429"/>
      <c r="E109" s="429"/>
      <c r="F109" s="429"/>
      <c r="G109" s="640"/>
      <c r="H109" s="5"/>
      <c r="I109" s="640"/>
      <c r="J109" s="640"/>
      <c r="K109" s="640"/>
      <c r="L109" s="640"/>
      <c r="M109" s="429"/>
      <c r="N109" s="429"/>
    </row>
    <row r="110" spans="2:14" x14ac:dyDescent="0.25">
      <c r="B110" s="429"/>
      <c r="C110" s="429"/>
      <c r="D110" s="429"/>
      <c r="E110" s="429"/>
      <c r="F110" s="640"/>
      <c r="G110" s="642" t="s">
        <v>541</v>
      </c>
      <c r="H110" s="640"/>
      <c r="I110" s="640"/>
      <c r="J110" s="640"/>
      <c r="K110" s="640"/>
      <c r="L110" s="640"/>
      <c r="M110" s="429"/>
      <c r="N110" s="429"/>
    </row>
    <row r="111" spans="2:14" ht="18.75" x14ac:dyDescent="0.25">
      <c r="B111" s="370" t="s">
        <v>564</v>
      </c>
      <c r="C111" s="370"/>
      <c r="D111" s="429"/>
      <c r="E111" s="369" t="s">
        <v>565</v>
      </c>
      <c r="F111" s="368">
        <f>DATI!E162</f>
        <v>5</v>
      </c>
      <c r="G111" s="3">
        <f>F12</f>
        <v>1</v>
      </c>
      <c r="H111" s="368">
        <f>DATI!E162*G111</f>
        <v>5</v>
      </c>
      <c r="I111" s="640"/>
      <c r="J111" s="429"/>
      <c r="K111" s="640"/>
      <c r="L111" s="640"/>
      <c r="M111" s="429"/>
      <c r="N111" s="429"/>
    </row>
    <row r="112" spans="2:14" ht="18.75" x14ac:dyDescent="0.25">
      <c r="B112" s="370" t="s">
        <v>566</v>
      </c>
      <c r="C112" s="370"/>
      <c r="D112" s="429"/>
      <c r="E112" s="369" t="s">
        <v>567</v>
      </c>
      <c r="F112" s="368">
        <f>DATI!E161</f>
        <v>0</v>
      </c>
      <c r="G112" s="3">
        <f>F11</f>
        <v>1</v>
      </c>
      <c r="H112" s="368">
        <f>DATI!E161*G112</f>
        <v>0</v>
      </c>
      <c r="I112" s="429"/>
      <c r="J112" s="429"/>
      <c r="K112" s="640"/>
      <c r="L112" s="640"/>
      <c r="M112" s="429"/>
      <c r="N112" s="429"/>
    </row>
    <row r="113" spans="2:14" ht="18.75" x14ac:dyDescent="0.25">
      <c r="B113" s="370" t="s">
        <v>568</v>
      </c>
      <c r="C113" s="370"/>
      <c r="D113" s="429"/>
      <c r="E113" s="369" t="s">
        <v>867</v>
      </c>
      <c r="F113" s="368">
        <f>('VER. EQU COND. NON DRENATE'!C71-'geom masse muro+tensioni'!H21*'geom masse muro+tensioni'!Q32)/('FOGLIO DEPOSITO'!D120*DATI!E61)</f>
        <v>43.751893953757339</v>
      </c>
      <c r="G113" s="3">
        <f>F10</f>
        <v>1</v>
      </c>
      <c r="H113" s="368">
        <f>'VER. EQU COND. NON DRENATE'!C71/('FOGLIO DEPOSITO'!D120*DATI!E61)*G113</f>
        <v>45.168964795244619</v>
      </c>
      <c r="I113" s="429"/>
      <c r="J113" s="640"/>
      <c r="K113" s="640"/>
      <c r="L113" s="640"/>
      <c r="M113" s="429"/>
      <c r="N113" s="429"/>
    </row>
    <row r="114" spans="2:14" s="428" customFormat="1" ht="18.75" x14ac:dyDescent="0.25">
      <c r="B114" s="370" t="s">
        <v>866</v>
      </c>
      <c r="C114" s="370"/>
      <c r="D114" s="429"/>
      <c r="E114" s="369" t="s">
        <v>868</v>
      </c>
      <c r="F114" s="368">
        <f>('geom masse muro+tensioni'!H21*'geom masse muro+tensioni'!Q32)/('FOGLIO DEPOSITO'!D120*DATI!E61)</f>
        <v>1.4170708414872801</v>
      </c>
      <c r="G114" s="3">
        <f>F10</f>
        <v>1</v>
      </c>
      <c r="H114" s="368">
        <f>F114*G114</f>
        <v>1.4170708414872801</v>
      </c>
      <c r="I114" s="429"/>
      <c r="J114" s="640"/>
      <c r="K114" s="640"/>
      <c r="L114" s="640"/>
      <c r="M114" s="429"/>
      <c r="N114" s="429"/>
    </row>
    <row r="115" spans="2:14" ht="18.75" x14ac:dyDescent="0.25">
      <c r="B115" s="370" t="s">
        <v>569</v>
      </c>
      <c r="C115" s="370"/>
      <c r="D115" s="429"/>
      <c r="E115" s="369" t="s">
        <v>570</v>
      </c>
      <c r="F115" s="368">
        <f>'VER. EQU COND. NON DRENATE'!F63/(('FOGLIO DEPOSITO'!D119+'FOGLIO DEPOSITO'!D120)*DATI!E61)+'VER. EQU COND. NON DRENATE'!F62/(('FOGLIO DEPOSITO'!D119+'FOGLIO DEPOSITO'!D120)*DATI!E61)</f>
        <v>20.163198369565215</v>
      </c>
      <c r="G115" s="3">
        <f>F10</f>
        <v>1</v>
      </c>
      <c r="H115" s="375">
        <f>('VER. EQU COND. NON DRENATE'!F63/(('FOGLIO DEPOSITO'!D119+'FOGLIO DEPOSITO'!D120)*DATI!E61)+'VER. EQU COND. NON DRENATE'!F62/(('FOGLIO DEPOSITO'!D119+'FOGLIO DEPOSITO'!D120)*DATI!E61))*G115</f>
        <v>20.163198369565215</v>
      </c>
      <c r="I115" s="429"/>
      <c r="J115" s="640"/>
      <c r="K115" s="640"/>
      <c r="L115" s="640"/>
      <c r="M115" s="429"/>
      <c r="N115" s="429"/>
    </row>
    <row r="116" spans="2:14" x14ac:dyDescent="0.25">
      <c r="B116" s="429"/>
      <c r="C116" s="429"/>
      <c r="D116" s="429"/>
      <c r="E116" s="429"/>
      <c r="F116" s="429"/>
      <c r="G116" s="429"/>
      <c r="H116" s="429"/>
      <c r="I116" s="429"/>
      <c r="J116" s="640"/>
      <c r="K116" s="640"/>
      <c r="L116" s="640"/>
      <c r="M116" s="429"/>
      <c r="N116" s="429"/>
    </row>
    <row r="117" spans="2:14" x14ac:dyDescent="0.25">
      <c r="B117" s="431" t="s">
        <v>571</v>
      </c>
      <c r="C117" s="429"/>
      <c r="D117" s="429"/>
      <c r="E117" s="429"/>
      <c r="F117" s="429"/>
      <c r="G117" s="429"/>
      <c r="H117" s="429"/>
      <c r="I117" s="429"/>
      <c r="J117" s="429"/>
      <c r="K117" s="640"/>
      <c r="L117" s="640"/>
      <c r="M117" s="429"/>
      <c r="N117" s="429"/>
    </row>
    <row r="118" spans="2:14" s="428" customFormat="1" x14ac:dyDescent="0.25">
      <c r="B118" s="431"/>
      <c r="C118" s="429"/>
      <c r="D118" s="429"/>
      <c r="E118" s="429"/>
      <c r="F118" s="429"/>
      <c r="G118" s="429"/>
      <c r="H118" s="429"/>
      <c r="I118" s="429"/>
      <c r="J118" s="429"/>
      <c r="K118" s="640"/>
      <c r="L118" s="640"/>
      <c r="M118" s="429"/>
      <c r="N118" s="429"/>
    </row>
    <row r="119" spans="2:14" s="428" customFormat="1" x14ac:dyDescent="0.25">
      <c r="B119" s="429" t="s">
        <v>235</v>
      </c>
      <c r="C119" s="429"/>
      <c r="D119" s="429"/>
      <c r="E119" s="429"/>
      <c r="F119" s="430" t="s">
        <v>236</v>
      </c>
      <c r="G119" s="368">
        <f>E72/G131</f>
        <v>69.74118107746807</v>
      </c>
      <c r="H119" s="429"/>
      <c r="I119" s="429"/>
      <c r="J119" s="429"/>
      <c r="K119" s="640"/>
      <c r="L119" s="640"/>
      <c r="M119" s="429"/>
      <c r="N119" s="429"/>
    </row>
    <row r="120" spans="2:14" s="428" customFormat="1" x14ac:dyDescent="0.25">
      <c r="B120" s="429" t="s">
        <v>237</v>
      </c>
      <c r="C120" s="429"/>
      <c r="D120" s="429"/>
      <c r="E120" s="429"/>
      <c r="F120" s="430" t="s">
        <v>240</v>
      </c>
      <c r="G120" s="368">
        <f>(1+6*G126/G129)*G119</f>
        <v>181.3578621006007</v>
      </c>
      <c r="H120" s="429"/>
      <c r="I120" s="429"/>
      <c r="J120" s="429"/>
      <c r="K120" s="640"/>
      <c r="L120" s="640"/>
      <c r="M120" s="429"/>
      <c r="N120" s="429"/>
    </row>
    <row r="121" spans="2:14" s="428" customFormat="1" x14ac:dyDescent="0.25">
      <c r="B121" s="429" t="s">
        <v>239</v>
      </c>
      <c r="C121" s="429"/>
      <c r="D121" s="429"/>
      <c r="E121" s="429"/>
      <c r="F121" s="430" t="s">
        <v>238</v>
      </c>
      <c r="G121" s="368">
        <f>(1-6*G126/G129)*G119</f>
        <v>-41.875499945664579</v>
      </c>
      <c r="H121" s="429"/>
      <c r="I121" s="429"/>
      <c r="J121" s="429"/>
      <c r="K121" s="640"/>
      <c r="L121" s="640"/>
      <c r="M121" s="429"/>
      <c r="N121" s="429"/>
    </row>
    <row r="122" spans="2:14" s="428" customFormat="1" x14ac:dyDescent="0.25">
      <c r="B122" s="429" t="s">
        <v>834</v>
      </c>
      <c r="C122" s="429"/>
      <c r="D122" s="429"/>
      <c r="E122" s="429"/>
      <c r="F122" s="430" t="s">
        <v>833</v>
      </c>
      <c r="G122" s="368">
        <f>'FOGLIO DEPOSITO'!D129</f>
        <v>119.9686875378778</v>
      </c>
      <c r="H122" s="429"/>
      <c r="I122" s="429"/>
      <c r="J122" s="429"/>
      <c r="K122" s="640"/>
      <c r="L122" s="640"/>
      <c r="M122" s="429"/>
      <c r="N122" s="429"/>
    </row>
    <row r="123" spans="2:14" s="428" customFormat="1" x14ac:dyDescent="0.25">
      <c r="B123" s="429" t="str">
        <f>IF(ABS(G126)&gt;G127,"L'asse neutro taglia la sezione","L'asse neutro cade fuori dalla sezione")</f>
        <v>L'asse neutro taglia la sezione</v>
      </c>
      <c r="C123" s="429"/>
      <c r="D123" s="429"/>
      <c r="E123" s="429"/>
      <c r="F123" s="430"/>
      <c r="G123" s="368"/>
      <c r="H123" s="429"/>
      <c r="I123" s="429"/>
      <c r="J123" s="429"/>
      <c r="K123" s="640"/>
      <c r="L123" s="640"/>
      <c r="M123" s="429"/>
      <c r="N123" s="429"/>
    </row>
    <row r="124" spans="2:14" s="428" customFormat="1" x14ac:dyDescent="0.25">
      <c r="B124" s="429" t="s">
        <v>798</v>
      </c>
      <c r="C124" s="429"/>
      <c r="D124" s="429"/>
      <c r="E124" s="429"/>
      <c r="F124" s="632" t="s">
        <v>799</v>
      </c>
      <c r="G124" s="326">
        <f>'FOGLIO DEPOSITO'!I140</f>
        <v>-1.6248275834596273</v>
      </c>
      <c r="H124" s="429"/>
      <c r="I124" s="429"/>
      <c r="J124" s="429"/>
      <c r="K124" s="640"/>
      <c r="L124" s="640"/>
      <c r="M124" s="429"/>
      <c r="N124" s="429"/>
    </row>
    <row r="125" spans="2:14" s="428" customFormat="1" x14ac:dyDescent="0.25">
      <c r="B125" s="429" t="s">
        <v>572</v>
      </c>
      <c r="C125" s="429"/>
      <c r="D125" s="429"/>
      <c r="E125" s="429"/>
      <c r="F125" s="439" t="s">
        <v>573</v>
      </c>
      <c r="G125" s="326">
        <f>(D76-C76)/E72</f>
        <v>0.46651949728645231</v>
      </c>
      <c r="H125" s="808" t="s">
        <v>1104</v>
      </c>
      <c r="I125" s="429"/>
      <c r="J125" s="429"/>
      <c r="K125" s="640"/>
      <c r="L125" s="640"/>
      <c r="M125" s="429"/>
      <c r="N125" s="429"/>
    </row>
    <row r="126" spans="2:14" s="428" customFormat="1" x14ac:dyDescent="0.25">
      <c r="B126" s="429" t="s">
        <v>574</v>
      </c>
      <c r="C126" s="429"/>
      <c r="D126" s="429"/>
      <c r="E126" s="429"/>
      <c r="F126" s="68" t="s">
        <v>575</v>
      </c>
      <c r="G126" s="326">
        <f>G129/2-G125</f>
        <v>0.53348050271354741</v>
      </c>
      <c r="H126" s="808" t="s">
        <v>1105</v>
      </c>
      <c r="I126" s="429"/>
      <c r="J126" s="429"/>
      <c r="K126" s="640"/>
      <c r="L126" s="640"/>
      <c r="M126" s="429"/>
      <c r="N126" s="429"/>
    </row>
    <row r="127" spans="2:14" x14ac:dyDescent="0.25">
      <c r="B127" s="429" t="s">
        <v>576</v>
      </c>
      <c r="C127" s="429"/>
      <c r="D127" s="429"/>
      <c r="E127" s="429"/>
      <c r="F127" s="632" t="s">
        <v>577</v>
      </c>
      <c r="G127" s="181">
        <f>G129/6</f>
        <v>0.33333333333333326</v>
      </c>
      <c r="H127" s="429"/>
      <c r="I127" s="429"/>
      <c r="J127" s="429"/>
      <c r="K127" s="640"/>
      <c r="L127" s="640"/>
      <c r="M127" s="429"/>
      <c r="N127" s="429"/>
    </row>
    <row r="128" spans="2:14" x14ac:dyDescent="0.25">
      <c r="B128" s="429"/>
      <c r="C128" s="429"/>
      <c r="D128" s="429"/>
      <c r="E128" s="429"/>
      <c r="F128" s="632"/>
      <c r="G128" s="181"/>
      <c r="H128" s="640"/>
      <c r="I128" s="640"/>
      <c r="J128" s="429"/>
      <c r="K128" s="640"/>
      <c r="L128" s="640"/>
      <c r="M128" s="429"/>
      <c r="N128" s="429"/>
    </row>
    <row r="129" spans="2:14" x14ac:dyDescent="0.25">
      <c r="B129" s="429" t="s">
        <v>578</v>
      </c>
      <c r="C129" s="429"/>
      <c r="D129" s="429"/>
      <c r="E129" s="429"/>
      <c r="F129" s="632" t="s">
        <v>579</v>
      </c>
      <c r="G129" s="326">
        <f>'FOGLIO DEPOSITO'!D211+'FOGLIO DEPOSITO'!D212+'geom masse muro+tensioni'!S58</f>
        <v>1.9999999999999996</v>
      </c>
      <c r="H129" s="640"/>
      <c r="I129" s="429"/>
      <c r="J129" s="429"/>
      <c r="K129" s="429"/>
      <c r="L129" s="429"/>
      <c r="M129" s="429"/>
      <c r="N129" s="429"/>
    </row>
    <row r="130" spans="2:14" x14ac:dyDescent="0.25">
      <c r="B130" s="429" t="s">
        <v>580</v>
      </c>
      <c r="C130" s="429"/>
      <c r="D130" s="429"/>
      <c r="E130" s="429"/>
      <c r="F130" s="632" t="s">
        <v>581</v>
      </c>
      <c r="G130" s="326">
        <f>DATI!E61</f>
        <v>1</v>
      </c>
      <c r="H130" s="640"/>
      <c r="I130" s="429"/>
      <c r="J130" s="429"/>
      <c r="K130" s="429"/>
      <c r="L130" s="429"/>
      <c r="M130" s="429"/>
      <c r="N130" s="429"/>
    </row>
    <row r="131" spans="2:14" x14ac:dyDescent="0.25">
      <c r="B131" s="429" t="s">
        <v>582</v>
      </c>
      <c r="C131" s="429"/>
      <c r="D131" s="429"/>
      <c r="E131" s="429"/>
      <c r="F131" s="632" t="s">
        <v>583</v>
      </c>
      <c r="G131" s="640">
        <f>(DATI!E75+'FOGLIO DEPOSITO'!D212+'FOGLIO DEPOSITO'!D211)*DATI!E61</f>
        <v>2</v>
      </c>
      <c r="H131" s="429"/>
      <c r="I131" s="429"/>
      <c r="J131" s="429"/>
      <c r="K131" s="429"/>
      <c r="L131" s="429"/>
      <c r="M131" s="429"/>
      <c r="N131" s="429"/>
    </row>
    <row r="132" spans="2:14" x14ac:dyDescent="0.25">
      <c r="B132" s="429"/>
      <c r="C132" s="429"/>
      <c r="D132" s="429"/>
      <c r="E132" s="429"/>
      <c r="F132" s="429"/>
      <c r="G132" s="429"/>
      <c r="H132" s="640"/>
      <c r="I132" s="429"/>
      <c r="J132" s="429"/>
      <c r="K132" s="429"/>
      <c r="L132" s="429"/>
      <c r="M132" s="429"/>
      <c r="N132" s="429"/>
    </row>
    <row r="133" spans="2:14" x14ac:dyDescent="0.25">
      <c r="B133" s="429"/>
      <c r="C133" s="429"/>
      <c r="D133" s="429"/>
      <c r="E133" s="429"/>
      <c r="F133" s="429"/>
      <c r="G133" s="429"/>
      <c r="H133" s="429"/>
      <c r="I133" s="429"/>
      <c r="J133" s="429"/>
      <c r="K133" s="429"/>
      <c r="L133" s="429"/>
      <c r="M133" s="429"/>
      <c r="N133" s="429"/>
    </row>
    <row r="134" spans="2:14" ht="15.75" x14ac:dyDescent="0.25">
      <c r="B134" s="15" t="s">
        <v>1106</v>
      </c>
      <c r="C134" s="429"/>
      <c r="D134" s="429"/>
      <c r="E134" s="429"/>
      <c r="F134" s="429"/>
      <c r="G134" s="429"/>
      <c r="H134" s="429"/>
      <c r="I134" s="429"/>
      <c r="J134" s="429"/>
      <c r="K134" s="429"/>
      <c r="L134" s="429"/>
      <c r="M134" s="429"/>
      <c r="N134" s="429"/>
    </row>
    <row r="135" spans="2:14" x14ac:dyDescent="0.25">
      <c r="B135" s="429"/>
      <c r="C135" s="429"/>
      <c r="D135" s="429"/>
      <c r="E135" s="429"/>
      <c r="F135" s="429"/>
      <c r="G135" s="429"/>
      <c r="H135" s="429"/>
      <c r="I135" s="429"/>
      <c r="J135" s="429"/>
      <c r="K135" s="429"/>
      <c r="L135" s="429"/>
      <c r="M135" s="429"/>
      <c r="N135" s="429"/>
    </row>
    <row r="136" spans="2:14" x14ac:dyDescent="0.25">
      <c r="B136" s="429"/>
      <c r="C136" s="429"/>
      <c r="D136" s="429"/>
      <c r="E136" s="429"/>
      <c r="F136" s="429"/>
      <c r="G136" s="429"/>
      <c r="H136" s="429"/>
      <c r="I136" s="429"/>
      <c r="J136" s="429"/>
      <c r="K136" s="429"/>
      <c r="L136" s="429"/>
      <c r="M136" s="429"/>
      <c r="N136" s="429"/>
    </row>
    <row r="137" spans="2:14" x14ac:dyDescent="0.25">
      <c r="B137" s="429"/>
      <c r="C137" s="429"/>
      <c r="D137" s="429"/>
      <c r="E137" s="429"/>
      <c r="F137" s="429"/>
      <c r="G137" s="429"/>
      <c r="H137" s="429"/>
      <c r="I137" s="429"/>
      <c r="J137" s="429"/>
      <c r="K137" s="429"/>
      <c r="L137" s="429"/>
      <c r="M137" s="429"/>
      <c r="N137" s="429"/>
    </row>
    <row r="138" spans="2:14" x14ac:dyDescent="0.25">
      <c r="B138" s="429"/>
      <c r="C138" s="429"/>
      <c r="D138" s="429"/>
      <c r="E138" s="429"/>
      <c r="F138" s="429"/>
      <c r="G138" s="429"/>
      <c r="H138" s="429"/>
      <c r="I138" s="429"/>
      <c r="J138" s="429"/>
      <c r="K138" s="429"/>
      <c r="L138" s="429"/>
      <c r="M138" s="429"/>
      <c r="N138" s="429"/>
    </row>
    <row r="139" spans="2:14" x14ac:dyDescent="0.25">
      <c r="B139" s="429"/>
      <c r="C139" s="429"/>
      <c r="D139" s="429"/>
      <c r="E139" s="429"/>
      <c r="F139" s="429"/>
      <c r="G139" s="429"/>
      <c r="H139" s="429"/>
      <c r="I139" s="429"/>
      <c r="J139" s="429"/>
      <c r="K139" s="429"/>
      <c r="L139" s="429"/>
      <c r="M139" s="429"/>
      <c r="N139" s="429"/>
    </row>
    <row r="140" spans="2:14" x14ac:dyDescent="0.25">
      <c r="B140" s="429"/>
      <c r="C140" s="429"/>
      <c r="D140" s="429"/>
      <c r="E140" s="429"/>
      <c r="F140" s="429"/>
      <c r="G140" s="429"/>
      <c r="H140" s="429"/>
      <c r="I140" s="429"/>
      <c r="J140" s="429"/>
      <c r="K140" s="429"/>
      <c r="L140" s="429"/>
      <c r="M140" s="429"/>
      <c r="N140" s="429"/>
    </row>
    <row r="141" spans="2:14" x14ac:dyDescent="0.25">
      <c r="B141" s="429"/>
      <c r="C141" s="429"/>
      <c r="D141" s="429"/>
      <c r="E141" s="429"/>
      <c r="F141" s="24"/>
      <c r="G141" s="24"/>
      <c r="H141" s="429"/>
      <c r="I141" s="429"/>
      <c r="J141" s="429"/>
      <c r="K141" s="429"/>
      <c r="L141" s="429"/>
      <c r="M141" s="429"/>
      <c r="N141" s="429"/>
    </row>
    <row r="142" spans="2:14" x14ac:dyDescent="0.25">
      <c r="B142" s="429"/>
      <c r="C142" s="429"/>
      <c r="D142" s="429"/>
      <c r="E142" s="24"/>
      <c r="F142" s="648"/>
      <c r="G142" s="24"/>
      <c r="H142" s="429"/>
      <c r="I142" s="640"/>
      <c r="J142" s="429"/>
      <c r="K142" s="429"/>
      <c r="L142" s="429"/>
      <c r="M142" s="429"/>
      <c r="N142" s="429"/>
    </row>
    <row r="143" spans="2:14" x14ac:dyDescent="0.25">
      <c r="B143" s="429"/>
      <c r="C143" s="429"/>
      <c r="D143" s="429"/>
      <c r="E143" s="24"/>
      <c r="F143" s="648"/>
      <c r="G143" s="24"/>
      <c r="H143" s="429"/>
      <c r="I143" s="640"/>
      <c r="J143" s="640"/>
      <c r="K143" s="640"/>
      <c r="L143" s="640"/>
      <c r="M143" s="429"/>
      <c r="N143" s="429"/>
    </row>
    <row r="144" spans="2:14" x14ac:dyDescent="0.25">
      <c r="B144" s="429"/>
      <c r="C144" s="429"/>
      <c r="D144" s="429"/>
      <c r="E144" s="429"/>
      <c r="F144" s="24"/>
      <c r="G144" s="24"/>
      <c r="H144" s="429"/>
      <c r="I144" s="429"/>
      <c r="J144" s="640"/>
      <c r="K144" s="640"/>
      <c r="L144" s="640"/>
      <c r="M144" s="429"/>
      <c r="N144" s="429"/>
    </row>
    <row r="145" spans="1:18" x14ac:dyDescent="0.25">
      <c r="B145" s="429"/>
      <c r="C145" s="429"/>
      <c r="D145" s="429"/>
      <c r="E145" s="429"/>
      <c r="F145" s="24"/>
      <c r="G145" s="24"/>
      <c r="H145" s="429"/>
      <c r="I145" s="429"/>
      <c r="J145" s="640"/>
      <c r="K145" s="640"/>
      <c r="L145" s="640"/>
      <c r="M145" s="429"/>
      <c r="N145" s="429"/>
    </row>
    <row r="146" spans="1:18" x14ac:dyDescent="0.25">
      <c r="A146" s="2"/>
      <c r="B146" s="429"/>
      <c r="C146" s="429"/>
      <c r="D146" s="429"/>
      <c r="E146" s="429"/>
      <c r="F146" s="429"/>
      <c r="G146" s="429"/>
      <c r="H146" s="429"/>
      <c r="I146" s="429"/>
      <c r="J146" s="640"/>
      <c r="K146" s="640"/>
      <c r="L146" s="640"/>
      <c r="M146" s="429"/>
      <c r="N146" s="429"/>
      <c r="O146" s="2"/>
      <c r="P146" s="2"/>
      <c r="Q146" s="2"/>
      <c r="R146" s="2"/>
    </row>
    <row r="147" spans="1:18" x14ac:dyDescent="0.25">
      <c r="A147" s="2"/>
      <c r="B147" s="429"/>
      <c r="C147" s="429"/>
      <c r="D147" s="429"/>
      <c r="E147" s="429"/>
      <c r="F147" s="429"/>
      <c r="G147" s="429"/>
      <c r="H147" s="429"/>
      <c r="I147" s="429"/>
      <c r="J147" s="640"/>
      <c r="K147" s="640"/>
      <c r="L147" s="640"/>
      <c r="M147" s="429"/>
      <c r="N147" s="429"/>
      <c r="O147" s="2"/>
      <c r="P147" s="2"/>
      <c r="Q147" s="2"/>
      <c r="R147" s="2"/>
    </row>
    <row r="148" spans="1:18" x14ac:dyDescent="0.25">
      <c r="A148" s="2"/>
      <c r="B148" s="429"/>
      <c r="C148" s="429"/>
      <c r="D148" s="429"/>
      <c r="E148" s="429"/>
      <c r="F148" s="429"/>
      <c r="G148" s="429"/>
      <c r="H148" s="429"/>
      <c r="I148" s="429"/>
      <c r="J148" s="429"/>
      <c r="K148" s="640"/>
      <c r="L148" s="640"/>
      <c r="M148" s="429"/>
      <c r="N148" s="429"/>
      <c r="O148" s="2"/>
      <c r="P148" s="2"/>
      <c r="Q148" s="2"/>
      <c r="R148" s="2"/>
    </row>
    <row r="149" spans="1:18" x14ac:dyDescent="0.25">
      <c r="A149" s="2"/>
      <c r="B149" s="429"/>
      <c r="C149" s="429"/>
      <c r="D149" s="429"/>
      <c r="E149" s="429"/>
      <c r="F149" s="429"/>
      <c r="G149" s="429"/>
      <c r="H149" s="429"/>
      <c r="I149" s="429"/>
      <c r="J149" s="640"/>
      <c r="K149" s="640"/>
      <c r="L149" s="640"/>
      <c r="M149" s="429"/>
      <c r="N149" s="429"/>
      <c r="O149" s="2"/>
      <c r="P149" s="2"/>
      <c r="Q149" s="2"/>
      <c r="R149" s="2"/>
    </row>
    <row r="150" spans="1:18" x14ac:dyDescent="0.25">
      <c r="A150" s="2"/>
      <c r="B150" s="429"/>
      <c r="C150" s="429"/>
      <c r="D150" s="429"/>
      <c r="E150" s="429"/>
      <c r="F150" s="429"/>
      <c r="G150" s="429"/>
      <c r="H150" s="429"/>
      <c r="I150" s="429"/>
      <c r="J150" s="640"/>
      <c r="K150" s="640"/>
      <c r="L150" s="640"/>
      <c r="M150" s="429"/>
      <c r="N150" s="429"/>
      <c r="O150" s="2"/>
      <c r="P150" s="2"/>
      <c r="Q150" s="2"/>
      <c r="R150" s="2"/>
    </row>
    <row r="151" spans="1:18" x14ac:dyDescent="0.25">
      <c r="A151" s="2"/>
      <c r="B151" s="429"/>
      <c r="C151" s="429"/>
      <c r="D151" s="429"/>
      <c r="E151" s="429"/>
      <c r="F151" s="429"/>
      <c r="G151" s="429"/>
      <c r="H151" s="429"/>
      <c r="I151" s="429"/>
      <c r="J151" s="640"/>
      <c r="K151" s="640"/>
      <c r="L151" s="640"/>
      <c r="M151" s="429"/>
      <c r="N151" s="429"/>
      <c r="O151" s="2"/>
      <c r="P151" s="2"/>
      <c r="Q151" s="2"/>
      <c r="R151" s="2"/>
    </row>
    <row r="152" spans="1:18" x14ac:dyDescent="0.25">
      <c r="A152" s="2"/>
      <c r="B152" s="429"/>
      <c r="C152" s="429"/>
      <c r="D152" s="429"/>
      <c r="E152" s="429"/>
      <c r="F152" s="429"/>
      <c r="G152" s="429"/>
      <c r="H152" s="429"/>
      <c r="I152" s="429"/>
      <c r="J152" s="429"/>
      <c r="K152" s="640"/>
      <c r="L152" s="640"/>
      <c r="M152" s="429"/>
      <c r="N152" s="429"/>
      <c r="O152" s="2"/>
      <c r="P152" s="2"/>
      <c r="Q152" s="2"/>
      <c r="R152" s="2"/>
    </row>
    <row r="153" spans="1:18" x14ac:dyDescent="0.25">
      <c r="A153" s="2"/>
      <c r="B153" s="429"/>
      <c r="C153" s="429"/>
      <c r="D153" s="429"/>
      <c r="E153" s="429"/>
      <c r="F153" s="429"/>
      <c r="G153" s="429"/>
      <c r="H153" s="429"/>
      <c r="I153" s="429"/>
      <c r="J153" s="640"/>
      <c r="K153" s="640"/>
      <c r="L153" s="640"/>
      <c r="M153" s="429"/>
      <c r="N153" s="429"/>
      <c r="O153" s="2"/>
      <c r="P153" s="2"/>
      <c r="Q153" s="2"/>
      <c r="R153" s="2"/>
    </row>
    <row r="154" spans="1:18" x14ac:dyDescent="0.25">
      <c r="A154" s="2"/>
      <c r="B154" s="429"/>
      <c r="C154" s="429"/>
      <c r="D154" s="429"/>
      <c r="E154" s="429"/>
      <c r="F154" s="429"/>
      <c r="G154" s="429"/>
      <c r="H154" s="429"/>
      <c r="I154" s="429"/>
      <c r="J154" s="640"/>
      <c r="K154" s="429"/>
      <c r="L154" s="640"/>
      <c r="M154" s="429"/>
      <c r="N154" s="429"/>
      <c r="O154" s="2"/>
      <c r="P154" s="2"/>
      <c r="Q154" s="2"/>
      <c r="R154" s="2"/>
    </row>
    <row r="155" spans="1:18" x14ac:dyDescent="0.25">
      <c r="A155" s="2"/>
      <c r="B155" s="429"/>
      <c r="C155" s="429"/>
      <c r="D155" s="429"/>
      <c r="E155" s="429"/>
      <c r="F155" s="429"/>
      <c r="G155" s="429"/>
      <c r="H155" s="429"/>
      <c r="I155" s="429"/>
      <c r="J155" s="640"/>
      <c r="K155" s="640"/>
      <c r="L155" s="640"/>
      <c r="M155" s="429"/>
      <c r="N155" s="429"/>
      <c r="O155" s="2"/>
      <c r="P155" s="2"/>
      <c r="Q155" s="2"/>
      <c r="R155" s="2"/>
    </row>
    <row r="156" spans="1:18" x14ac:dyDescent="0.25">
      <c r="A156" s="2"/>
      <c r="B156" s="429"/>
      <c r="C156" s="429"/>
      <c r="D156" s="429"/>
      <c r="E156" s="429"/>
      <c r="F156" s="429"/>
      <c r="G156" s="429"/>
      <c r="H156" s="429"/>
      <c r="I156" s="429"/>
      <c r="J156" s="640"/>
      <c r="K156" s="640"/>
      <c r="L156" s="640"/>
      <c r="M156" s="429"/>
      <c r="N156" s="429"/>
      <c r="O156" s="2"/>
      <c r="P156" s="2"/>
      <c r="Q156" s="2"/>
      <c r="R156" s="2"/>
    </row>
    <row r="157" spans="1:18" x14ac:dyDescent="0.25">
      <c r="A157" s="2"/>
      <c r="B157" s="429"/>
      <c r="C157" s="429"/>
      <c r="D157" s="429"/>
      <c r="E157" s="429"/>
      <c r="F157" s="429"/>
      <c r="G157" s="429"/>
      <c r="H157" s="429"/>
      <c r="I157" s="429"/>
      <c r="J157" s="640"/>
      <c r="K157" s="640"/>
      <c r="L157" s="640"/>
      <c r="M157" s="429"/>
      <c r="N157" s="429"/>
      <c r="O157" s="2"/>
      <c r="P157" s="2"/>
      <c r="Q157" s="2"/>
      <c r="R157" s="2"/>
    </row>
    <row r="158" spans="1:18" x14ac:dyDescent="0.25">
      <c r="A158" s="2"/>
      <c r="B158" s="429"/>
      <c r="C158" s="429"/>
      <c r="D158" s="429"/>
      <c r="E158" s="429"/>
      <c r="F158" s="429"/>
      <c r="G158" s="429"/>
      <c r="H158" s="429"/>
      <c r="I158" s="429"/>
      <c r="J158" s="640"/>
      <c r="K158" s="640"/>
      <c r="L158" s="640"/>
      <c r="M158" s="429"/>
      <c r="N158" s="429"/>
      <c r="O158" s="2"/>
      <c r="P158" s="2"/>
      <c r="Q158" s="2"/>
      <c r="R158" s="2"/>
    </row>
    <row r="159" spans="1:18" x14ac:dyDescent="0.25">
      <c r="A159" s="2"/>
      <c r="B159" s="429"/>
      <c r="C159" s="429"/>
      <c r="D159" s="429"/>
      <c r="E159" s="429"/>
      <c r="F159" s="429"/>
      <c r="G159" s="429"/>
      <c r="H159" s="429"/>
      <c r="I159" s="429"/>
      <c r="J159" s="640"/>
      <c r="K159" s="640"/>
      <c r="L159" s="640"/>
      <c r="M159" s="429"/>
      <c r="N159" s="429"/>
      <c r="O159" s="2"/>
      <c r="P159" s="2"/>
      <c r="Q159" s="2"/>
      <c r="R159" s="2"/>
    </row>
    <row r="160" spans="1:18" x14ac:dyDescent="0.25">
      <c r="A160" s="2"/>
      <c r="B160" s="429"/>
      <c r="C160" s="429"/>
      <c r="D160" s="429"/>
      <c r="E160" s="429"/>
      <c r="F160" s="429"/>
      <c r="G160" s="429"/>
      <c r="H160" s="429"/>
      <c r="I160" s="429"/>
      <c r="J160" s="640"/>
      <c r="K160" s="640"/>
      <c r="L160" s="640"/>
      <c r="M160" s="429"/>
      <c r="N160" s="429"/>
      <c r="O160" s="2"/>
      <c r="P160" s="2"/>
      <c r="Q160" s="2"/>
      <c r="R160" s="2"/>
    </row>
    <row r="161" spans="1:19" x14ac:dyDescent="0.25">
      <c r="A161" s="2"/>
      <c r="B161" s="429"/>
      <c r="C161" s="429"/>
      <c r="D161" s="429"/>
      <c r="E161" s="429"/>
      <c r="F161" s="429"/>
      <c r="G161" s="429"/>
      <c r="H161" s="429"/>
      <c r="I161" s="429"/>
      <c r="J161" s="640"/>
      <c r="K161" s="640"/>
      <c r="L161" s="640"/>
      <c r="M161" s="429"/>
      <c r="N161" s="429"/>
      <c r="O161" s="2"/>
      <c r="P161" s="2"/>
      <c r="Q161" s="2"/>
      <c r="R161" s="2"/>
    </row>
    <row r="162" spans="1:19" x14ac:dyDescent="0.25">
      <c r="A162" s="2"/>
      <c r="B162" s="429"/>
      <c r="C162" s="429"/>
      <c r="D162" s="429"/>
      <c r="E162" s="429"/>
      <c r="F162" s="429"/>
      <c r="G162" s="429"/>
      <c r="H162" s="429"/>
      <c r="I162" s="429"/>
      <c r="J162" s="640"/>
      <c r="K162" s="640"/>
      <c r="L162" s="640"/>
      <c r="M162" s="429"/>
      <c r="N162" s="429"/>
      <c r="O162" s="2"/>
      <c r="P162" s="2"/>
      <c r="Q162" s="2"/>
      <c r="R162" s="2"/>
    </row>
    <row r="163" spans="1:19" x14ac:dyDescent="0.25">
      <c r="A163" s="2"/>
      <c r="B163" s="429"/>
      <c r="C163" s="429"/>
      <c r="D163" s="429"/>
      <c r="E163" s="429"/>
      <c r="F163" s="429"/>
      <c r="G163" s="429"/>
      <c r="H163" s="429"/>
      <c r="I163" s="429"/>
      <c r="J163" s="640"/>
      <c r="K163" s="640"/>
      <c r="L163" s="640"/>
      <c r="M163" s="429"/>
      <c r="N163" s="429"/>
      <c r="O163" s="2"/>
      <c r="P163" s="2"/>
      <c r="Q163" s="2"/>
      <c r="R163" s="2"/>
    </row>
    <row r="164" spans="1:19" x14ac:dyDescent="0.25">
      <c r="A164" s="2"/>
      <c r="B164" s="429"/>
      <c r="C164" s="429"/>
      <c r="D164" s="429"/>
      <c r="E164" s="429"/>
      <c r="F164" s="429"/>
      <c r="G164" s="429"/>
      <c r="H164" s="429"/>
      <c r="I164" s="429"/>
      <c r="J164" s="640"/>
      <c r="K164" s="640"/>
      <c r="L164" s="640"/>
      <c r="M164" s="429"/>
      <c r="N164" s="429"/>
      <c r="O164" s="2"/>
      <c r="P164" s="2"/>
      <c r="Q164" s="2"/>
      <c r="R164" s="2"/>
    </row>
    <row r="165" spans="1:19" x14ac:dyDescent="0.25">
      <c r="A165" s="2"/>
      <c r="B165" s="845" t="str">
        <f>IF(DATI!G218="DX","LATO TERRENO","LATO VALLE")</f>
        <v>LATO TERRENO</v>
      </c>
      <c r="C165" s="631" t="s">
        <v>584</v>
      </c>
      <c r="D165" s="374">
        <f>'FOGLIO DEPOSITO'!E152</f>
        <v>-49.636524373067971</v>
      </c>
      <c r="E165" s="430"/>
      <c r="F165" s="429"/>
      <c r="G165" s="429"/>
      <c r="H165" s="429"/>
      <c r="J165" s="640"/>
      <c r="K165" s="640"/>
      <c r="L165" s="640"/>
      <c r="M165" s="429"/>
      <c r="N165" s="429"/>
      <c r="O165" s="2"/>
      <c r="P165" s="2"/>
      <c r="Q165" s="2"/>
      <c r="R165" s="2"/>
    </row>
    <row r="166" spans="1:19" x14ac:dyDescent="0.25">
      <c r="A166" s="2"/>
      <c r="B166" s="845"/>
      <c r="C166" s="631" t="s">
        <v>585</v>
      </c>
      <c r="D166" s="374">
        <f>'FOGLIO DEPOSITO'!C159</f>
        <v>-70.332163164809828</v>
      </c>
      <c r="E166" s="430"/>
      <c r="F166" s="429"/>
      <c r="G166" s="429"/>
      <c r="H166" s="429"/>
      <c r="I166" s="429"/>
      <c r="J166" s="640"/>
      <c r="K166" s="640"/>
      <c r="L166" s="640"/>
      <c r="M166" s="429"/>
      <c r="N166" s="429"/>
      <c r="O166" s="2"/>
      <c r="P166" s="2"/>
      <c r="Q166" s="2"/>
      <c r="R166" s="2"/>
      <c r="S166" s="2"/>
    </row>
    <row r="167" spans="1:19" x14ac:dyDescent="0.25">
      <c r="A167" s="2"/>
      <c r="B167" s="11"/>
      <c r="C167" s="640"/>
      <c r="D167" s="640"/>
      <c r="E167" s="429"/>
      <c r="F167" s="18"/>
      <c r="G167" s="429"/>
      <c r="H167" s="429"/>
      <c r="I167" s="429"/>
      <c r="J167" s="640"/>
      <c r="K167" s="640"/>
      <c r="L167" s="640"/>
      <c r="M167" s="429"/>
      <c r="N167" s="429"/>
      <c r="O167" s="2"/>
      <c r="P167" s="2"/>
      <c r="Q167" s="2"/>
      <c r="R167" s="2"/>
      <c r="S167" s="2"/>
    </row>
    <row r="168" spans="1:19" x14ac:dyDescent="0.25">
      <c r="A168" s="2"/>
      <c r="B168" s="845" t="str">
        <f>IF(DATI!G218="SX","LATO TERRENO","LATO VALLE")</f>
        <v>LATO VALLE</v>
      </c>
      <c r="C168" s="631" t="s">
        <v>584</v>
      </c>
      <c r="D168" s="374">
        <f>'FOGLIO DEPOSITO'!F157</f>
        <v>-99.80548916831259</v>
      </c>
      <c r="E168" s="430"/>
      <c r="F168" s="429"/>
      <c r="G168" s="429"/>
      <c r="H168" s="429"/>
      <c r="I168" s="429"/>
      <c r="J168" s="640"/>
      <c r="K168" s="640"/>
      <c r="L168" s="640"/>
      <c r="M168" s="429"/>
      <c r="N168" s="429"/>
      <c r="O168" s="2"/>
      <c r="P168" s="2"/>
      <c r="Q168" s="2"/>
      <c r="R168" s="2"/>
      <c r="S168" s="2"/>
    </row>
    <row r="169" spans="1:19" x14ac:dyDescent="0.25">
      <c r="A169" s="2"/>
      <c r="B169" s="845"/>
      <c r="C169" s="631" t="s">
        <v>585</v>
      </c>
      <c r="D169" s="374">
        <f>'FOGLIO DEPOSITO'!G150</f>
        <v>159.77759288954826</v>
      </c>
      <c r="E169" s="430"/>
      <c r="F169" s="429"/>
      <c r="G169" s="640"/>
      <c r="H169" s="640"/>
      <c r="I169" s="640"/>
      <c r="J169" s="640"/>
      <c r="K169" s="640"/>
      <c r="L169" s="640"/>
      <c r="M169" s="429"/>
      <c r="N169" s="429"/>
      <c r="O169" s="2"/>
      <c r="P169" s="2"/>
      <c r="Q169" s="2"/>
      <c r="R169" s="2"/>
      <c r="S169" s="2"/>
    </row>
    <row r="170" spans="1:19" x14ac:dyDescent="0.25">
      <c r="A170" s="2"/>
      <c r="B170" s="429"/>
      <c r="C170" s="429"/>
      <c r="D170" s="429"/>
      <c r="E170" s="429"/>
      <c r="F170" s="640"/>
      <c r="G170" s="640"/>
      <c r="H170" s="640"/>
      <c r="I170" s="640"/>
      <c r="J170" s="640"/>
      <c r="K170" s="640"/>
      <c r="L170" s="640"/>
      <c r="M170" s="429"/>
      <c r="N170" s="429"/>
      <c r="O170" s="2"/>
      <c r="P170" s="2"/>
      <c r="Q170" s="2"/>
      <c r="R170" s="2"/>
      <c r="S170" s="2"/>
    </row>
    <row r="171" spans="1:19" x14ac:dyDescent="0.25">
      <c r="A171" s="2"/>
      <c r="B171" s="429"/>
      <c r="C171" s="429"/>
      <c r="D171" s="429"/>
      <c r="E171" s="429"/>
      <c r="F171" s="429"/>
      <c r="G171" s="429"/>
      <c r="H171" s="429"/>
      <c r="I171" s="429"/>
      <c r="J171" s="429"/>
      <c r="K171" s="640"/>
      <c r="L171" s="640"/>
      <c r="M171" s="429"/>
      <c r="N171" s="429"/>
      <c r="O171" s="2"/>
      <c r="P171" s="2"/>
      <c r="Q171" s="2"/>
      <c r="R171" s="2"/>
      <c r="S171" s="2"/>
    </row>
    <row r="172" spans="1:19" x14ac:dyDescent="0.25">
      <c r="A172" s="2"/>
      <c r="B172" s="429"/>
      <c r="C172" s="429"/>
      <c r="D172" s="429"/>
      <c r="E172" s="429"/>
      <c r="F172" s="429"/>
      <c r="G172" s="429"/>
      <c r="H172" s="429"/>
      <c r="I172" s="429"/>
      <c r="J172" s="429"/>
      <c r="K172" s="429"/>
      <c r="L172" s="429"/>
      <c r="M172" s="429"/>
      <c r="N172" s="429"/>
      <c r="O172" s="2"/>
      <c r="P172" s="2"/>
      <c r="Q172" s="2"/>
      <c r="R172" s="2"/>
      <c r="S172" s="2"/>
    </row>
    <row r="173" spans="1:19" x14ac:dyDescent="0.25">
      <c r="A173" s="2"/>
      <c r="B173" s="429"/>
      <c r="C173" s="429"/>
      <c r="D173" s="429"/>
      <c r="E173" s="429"/>
      <c r="F173" s="429"/>
      <c r="G173" s="429"/>
      <c r="H173" s="429"/>
      <c r="I173" s="429"/>
      <c r="J173" s="429"/>
      <c r="K173" s="429"/>
      <c r="L173" s="429"/>
      <c r="M173" s="429"/>
      <c r="N173" s="429"/>
      <c r="O173" s="2"/>
      <c r="P173" s="2"/>
      <c r="Q173" s="2"/>
      <c r="R173" s="2"/>
      <c r="S173" s="2"/>
    </row>
    <row r="174" spans="1:19" x14ac:dyDescent="0.25">
      <c r="A174" s="2"/>
      <c r="B174" s="429"/>
      <c r="C174" s="429"/>
      <c r="D174" s="429"/>
      <c r="E174" s="429"/>
      <c r="F174" s="429"/>
      <c r="G174" s="429"/>
      <c r="H174" s="429"/>
      <c r="I174" s="429"/>
      <c r="J174" s="429"/>
      <c r="K174" s="429"/>
      <c r="L174" s="429"/>
      <c r="M174" s="429"/>
      <c r="N174" s="429"/>
      <c r="O174" s="24"/>
      <c r="P174" s="2"/>
      <c r="Q174" s="2"/>
      <c r="R174" s="2"/>
      <c r="S174" s="2"/>
    </row>
    <row r="175" spans="1:19" x14ac:dyDescent="0.25">
      <c r="A175" s="2"/>
      <c r="B175" s="429"/>
      <c r="C175" s="429"/>
      <c r="D175" s="429"/>
      <c r="E175" s="429"/>
      <c r="F175" s="429"/>
      <c r="G175" s="429"/>
      <c r="H175" s="429"/>
      <c r="I175" s="429"/>
      <c r="J175" s="429"/>
      <c r="K175" s="429"/>
      <c r="L175" s="429"/>
      <c r="M175" s="429"/>
      <c r="N175" s="429"/>
      <c r="O175" s="24"/>
      <c r="P175" s="2"/>
      <c r="Q175" s="2"/>
      <c r="R175" s="2"/>
      <c r="S175" s="2"/>
    </row>
    <row r="176" spans="1:19" x14ac:dyDescent="0.25">
      <c r="A176" s="2"/>
      <c r="B176" s="429"/>
      <c r="C176" s="429"/>
      <c r="D176" s="429"/>
      <c r="E176" s="429"/>
      <c r="F176" s="429"/>
      <c r="G176" s="429"/>
      <c r="H176" s="429"/>
      <c r="I176" s="429"/>
      <c r="J176" s="429"/>
      <c r="K176" s="429"/>
      <c r="L176" s="429"/>
      <c r="M176" s="429"/>
      <c r="N176" s="429"/>
      <c r="O176" s="24"/>
      <c r="P176" s="2"/>
      <c r="Q176" s="2"/>
      <c r="R176" s="2"/>
    </row>
    <row r="177" spans="1:18" x14ac:dyDescent="0.25">
      <c r="A177" s="2"/>
      <c r="B177" s="429"/>
      <c r="C177" s="429"/>
      <c r="D177" s="429"/>
      <c r="E177" s="429"/>
      <c r="F177" s="429"/>
      <c r="G177" s="429"/>
      <c r="H177" s="429"/>
      <c r="I177" s="429"/>
      <c r="J177" s="429"/>
      <c r="K177" s="429"/>
      <c r="L177" s="429"/>
      <c r="M177" s="429"/>
      <c r="N177" s="429"/>
      <c r="O177" s="24"/>
      <c r="P177" s="2"/>
      <c r="Q177" s="2"/>
      <c r="R177" s="2"/>
    </row>
    <row r="178" spans="1:18" x14ac:dyDescent="0.25">
      <c r="A178" s="2"/>
      <c r="B178" s="429"/>
      <c r="C178" s="429"/>
      <c r="D178" s="429"/>
      <c r="E178" s="429"/>
      <c r="F178" s="429"/>
      <c r="G178" s="429"/>
      <c r="H178" s="429"/>
      <c r="I178" s="429"/>
      <c r="J178" s="429"/>
      <c r="K178" s="429"/>
      <c r="L178" s="429"/>
      <c r="M178" s="429"/>
      <c r="N178" s="429"/>
      <c r="O178" s="24"/>
      <c r="R178" s="2"/>
    </row>
    <row r="179" spans="1:18" x14ac:dyDescent="0.25">
      <c r="A179" s="2"/>
      <c r="B179" s="429"/>
      <c r="C179" s="429"/>
      <c r="D179" s="429"/>
      <c r="E179" s="429"/>
      <c r="F179" s="429"/>
      <c r="G179" s="429"/>
      <c r="H179" s="429"/>
      <c r="I179" s="429"/>
      <c r="J179" s="429"/>
      <c r="K179" s="429"/>
      <c r="L179" s="429"/>
      <c r="M179" s="429"/>
      <c r="N179" s="429"/>
      <c r="O179" s="24"/>
      <c r="R179" s="2"/>
    </row>
    <row r="180" spans="1:18" x14ac:dyDescent="0.25">
      <c r="A180" s="2"/>
      <c r="B180" s="429"/>
      <c r="C180" s="429"/>
      <c r="D180" s="429"/>
      <c r="E180" s="429"/>
      <c r="F180" s="429"/>
      <c r="G180" s="429"/>
      <c r="H180" s="429"/>
      <c r="I180" s="429"/>
      <c r="J180" s="429"/>
      <c r="K180" s="429"/>
      <c r="L180" s="429"/>
      <c r="M180" s="429"/>
      <c r="N180" s="429"/>
      <c r="O180" s="24"/>
      <c r="R180" s="2"/>
    </row>
    <row r="181" spans="1:18" x14ac:dyDescent="0.25">
      <c r="A181" s="2"/>
      <c r="B181" s="429"/>
      <c r="C181" s="429"/>
      <c r="D181" s="429"/>
      <c r="E181" s="429"/>
      <c r="F181" s="429"/>
      <c r="G181" s="429"/>
      <c r="H181" s="429"/>
      <c r="I181" s="429"/>
      <c r="J181" s="429"/>
      <c r="K181" s="429"/>
      <c r="L181" s="429"/>
      <c r="M181" s="429"/>
      <c r="N181" s="429"/>
      <c r="O181" s="24"/>
      <c r="P181" s="2"/>
      <c r="Q181" s="2"/>
      <c r="R181" s="2"/>
    </row>
    <row r="182" spans="1:18" x14ac:dyDescent="0.25">
      <c r="A182" s="2"/>
      <c r="B182" s="429"/>
      <c r="C182" s="429"/>
      <c r="D182" s="429"/>
      <c r="E182" s="429"/>
      <c r="F182" s="429"/>
      <c r="G182" s="429"/>
      <c r="H182" s="429"/>
      <c r="I182" s="429"/>
      <c r="J182" s="429"/>
      <c r="K182" s="429"/>
      <c r="L182" s="429"/>
      <c r="M182" s="429"/>
      <c r="N182" s="429"/>
      <c r="O182" s="24"/>
      <c r="P182" s="2"/>
      <c r="Q182" s="2"/>
      <c r="R182" s="2"/>
    </row>
    <row r="183" spans="1:18" x14ac:dyDescent="0.25">
      <c r="A183" s="2"/>
      <c r="B183" s="429"/>
      <c r="C183" s="429"/>
      <c r="D183" s="429"/>
      <c r="E183" s="429"/>
      <c r="F183" s="429"/>
      <c r="G183" s="429"/>
      <c r="H183" s="429"/>
      <c r="I183" s="429"/>
      <c r="J183" s="429"/>
      <c r="K183" s="429"/>
      <c r="L183" s="429"/>
      <c r="M183" s="429"/>
      <c r="N183" s="429"/>
      <c r="O183" s="24"/>
      <c r="P183" s="2"/>
      <c r="Q183" s="2"/>
      <c r="R183" s="2"/>
    </row>
    <row r="184" spans="1:18" x14ac:dyDescent="0.25">
      <c r="A184" s="2"/>
      <c r="B184" s="429"/>
      <c r="C184" s="429"/>
      <c r="D184" s="429"/>
      <c r="E184" s="429"/>
      <c r="F184" s="429"/>
      <c r="G184" s="429"/>
      <c r="H184" s="429"/>
      <c r="I184" s="429"/>
      <c r="J184" s="429"/>
      <c r="K184" s="429"/>
      <c r="L184" s="429"/>
      <c r="M184" s="429"/>
      <c r="N184" s="429"/>
      <c r="O184" s="24"/>
      <c r="P184" s="2"/>
      <c r="Q184" s="2"/>
      <c r="R184" s="2"/>
    </row>
    <row r="185" spans="1:18" x14ac:dyDescent="0.25">
      <c r="A185" s="2"/>
      <c r="B185" s="429"/>
      <c r="C185" s="429"/>
      <c r="D185" s="429"/>
      <c r="E185" s="429"/>
      <c r="F185" s="429"/>
      <c r="G185" s="429"/>
      <c r="H185" s="429"/>
      <c r="I185" s="429"/>
      <c r="J185" s="429"/>
      <c r="K185" s="429"/>
      <c r="L185" s="429"/>
      <c r="M185" s="429"/>
      <c r="N185" s="429"/>
      <c r="O185" s="24"/>
      <c r="P185" s="2"/>
      <c r="Q185" s="2"/>
      <c r="R185" s="2"/>
    </row>
    <row r="186" spans="1:18" x14ac:dyDescent="0.25">
      <c r="A186" s="2"/>
      <c r="B186" s="429"/>
      <c r="C186" s="429"/>
      <c r="D186" s="429"/>
      <c r="E186" s="429"/>
      <c r="F186" s="429"/>
      <c r="G186" s="429"/>
      <c r="H186" s="429"/>
      <c r="I186" s="429"/>
      <c r="J186" s="429"/>
      <c r="K186" s="429"/>
      <c r="L186" s="429"/>
      <c r="M186" s="429"/>
      <c r="N186" s="429"/>
      <c r="O186" s="24"/>
      <c r="P186" s="2"/>
      <c r="Q186" s="2"/>
      <c r="R186" s="2"/>
    </row>
    <row r="187" spans="1:18" x14ac:dyDescent="0.25">
      <c r="A187" s="2"/>
      <c r="B187" s="429"/>
      <c r="C187" s="429"/>
      <c r="D187" s="429"/>
      <c r="E187" s="429"/>
      <c r="F187" s="429"/>
      <c r="G187" s="429"/>
      <c r="H187" s="429"/>
      <c r="I187" s="429"/>
      <c r="J187" s="429"/>
      <c r="K187" s="429"/>
      <c r="L187" s="429"/>
      <c r="M187" s="429"/>
      <c r="N187" s="429"/>
      <c r="O187" s="24"/>
      <c r="P187" s="2"/>
      <c r="Q187" s="2"/>
      <c r="R187" s="2"/>
    </row>
    <row r="188" spans="1:18" x14ac:dyDescent="0.25">
      <c r="A188" s="2"/>
      <c r="B188" s="429"/>
      <c r="C188" s="429"/>
      <c r="D188" s="429"/>
      <c r="E188" s="429"/>
      <c r="F188" s="429"/>
      <c r="G188" s="429"/>
      <c r="H188" s="429"/>
      <c r="I188" s="429"/>
      <c r="J188" s="429"/>
      <c r="K188" s="429"/>
      <c r="L188" s="429"/>
      <c r="M188" s="429"/>
      <c r="N188" s="429"/>
      <c r="O188" s="24"/>
      <c r="P188" s="2"/>
      <c r="Q188" s="2"/>
      <c r="R188" s="2"/>
    </row>
    <row r="189" spans="1:18" x14ac:dyDescent="0.25">
      <c r="A189" s="2"/>
      <c r="B189" s="429"/>
      <c r="C189" s="429"/>
      <c r="D189" s="429"/>
      <c r="E189" s="429"/>
      <c r="F189" s="429"/>
      <c r="G189" s="429"/>
      <c r="H189" s="429"/>
      <c r="I189" s="429"/>
      <c r="J189" s="429"/>
      <c r="K189" s="429"/>
      <c r="L189" s="429"/>
      <c r="M189" s="429"/>
      <c r="N189" s="429"/>
      <c r="O189" s="24"/>
      <c r="P189" s="2"/>
      <c r="Q189" s="2"/>
      <c r="R189" s="2"/>
    </row>
    <row r="190" spans="1:18" x14ac:dyDescent="0.25">
      <c r="A190" s="2"/>
      <c r="B190" s="429"/>
      <c r="C190" s="429"/>
      <c r="D190" s="429"/>
      <c r="E190" s="429"/>
      <c r="F190" s="429"/>
      <c r="G190" s="429"/>
      <c r="H190" s="429"/>
      <c r="I190" s="429"/>
      <c r="J190" s="429"/>
      <c r="K190" s="429"/>
      <c r="L190" s="429"/>
      <c r="M190" s="429"/>
      <c r="N190" s="429"/>
      <c r="O190" s="24"/>
      <c r="P190" s="2"/>
      <c r="Q190" s="2"/>
      <c r="R190" s="2"/>
    </row>
    <row r="191" spans="1:18" x14ac:dyDescent="0.25">
      <c r="A191" s="2"/>
      <c r="B191" s="429"/>
      <c r="C191" s="429"/>
      <c r="D191" s="429"/>
      <c r="E191" s="429"/>
      <c r="F191" s="429"/>
      <c r="G191" s="429"/>
      <c r="H191" s="429"/>
      <c r="I191" s="429"/>
      <c r="J191" s="429"/>
      <c r="K191" s="429"/>
      <c r="L191" s="429"/>
      <c r="M191" s="429"/>
      <c r="N191" s="429"/>
      <c r="O191" s="24"/>
      <c r="P191" s="2"/>
      <c r="Q191" s="2"/>
      <c r="R191" s="2"/>
    </row>
    <row r="192" spans="1:18" x14ac:dyDescent="0.25">
      <c r="A192" s="2"/>
      <c r="B192" s="429"/>
      <c r="C192" s="429"/>
      <c r="D192" s="429"/>
      <c r="E192" s="429"/>
      <c r="F192" s="429"/>
      <c r="G192" s="429"/>
      <c r="H192" s="429"/>
      <c r="I192" s="429"/>
      <c r="J192" s="429"/>
      <c r="K192" s="429"/>
      <c r="L192" s="429"/>
      <c r="M192" s="429"/>
      <c r="N192" s="429"/>
      <c r="O192" s="24"/>
      <c r="P192" s="2"/>
      <c r="Q192" s="2"/>
      <c r="R192" s="2"/>
    </row>
    <row r="193" spans="1:18" x14ac:dyDescent="0.25">
      <c r="A193" s="2"/>
      <c r="B193" s="429"/>
      <c r="C193" s="429"/>
      <c r="D193" s="429"/>
      <c r="E193" s="429"/>
      <c r="F193" s="429"/>
      <c r="G193" s="429"/>
      <c r="H193" s="429"/>
      <c r="I193" s="429"/>
      <c r="J193" s="429"/>
      <c r="K193" s="429"/>
      <c r="L193" s="429"/>
      <c r="M193" s="429"/>
      <c r="N193" s="429"/>
      <c r="O193" s="24"/>
      <c r="P193" s="2"/>
      <c r="Q193" s="2"/>
      <c r="R193" s="2"/>
    </row>
    <row r="194" spans="1:18" x14ac:dyDescent="0.25">
      <c r="A194" s="2"/>
      <c r="B194" s="429"/>
      <c r="C194" s="429"/>
      <c r="D194" s="429"/>
      <c r="E194" s="429"/>
      <c r="F194" s="429"/>
      <c r="G194" s="429"/>
      <c r="H194" s="429"/>
      <c r="I194" s="429"/>
      <c r="J194" s="429"/>
      <c r="K194" s="429"/>
      <c r="L194" s="429"/>
      <c r="M194" s="429"/>
      <c r="N194" s="429"/>
      <c r="O194" s="24"/>
      <c r="P194" s="2"/>
      <c r="Q194" s="2"/>
      <c r="R194" s="2"/>
    </row>
    <row r="195" spans="1:18" x14ac:dyDescent="0.25">
      <c r="A195" s="2"/>
      <c r="B195" s="429"/>
      <c r="C195" s="429"/>
      <c r="D195" s="429"/>
      <c r="E195" s="429"/>
      <c r="F195" s="429"/>
      <c r="G195" s="429"/>
      <c r="H195" s="429"/>
      <c r="I195" s="429"/>
      <c r="J195" s="429"/>
      <c r="K195" s="429"/>
      <c r="L195" s="429"/>
      <c r="M195" s="429"/>
      <c r="N195" s="429"/>
      <c r="O195" s="24"/>
      <c r="P195" s="2"/>
      <c r="Q195" s="2"/>
      <c r="R195" s="2"/>
    </row>
    <row r="196" spans="1:18" x14ac:dyDescent="0.25">
      <c r="A196" s="2"/>
      <c r="B196" s="429"/>
      <c r="C196" s="429"/>
      <c r="D196" s="429"/>
      <c r="E196" s="429"/>
      <c r="F196" s="429"/>
      <c r="G196" s="429"/>
      <c r="H196" s="429"/>
      <c r="I196" s="429"/>
      <c r="J196" s="429"/>
      <c r="K196" s="429"/>
      <c r="L196" s="429"/>
      <c r="M196" s="429"/>
      <c r="N196" s="429"/>
      <c r="O196" s="2"/>
      <c r="P196" s="2"/>
      <c r="Q196" s="2"/>
      <c r="R196" s="2"/>
    </row>
    <row r="197" spans="1:18" x14ac:dyDescent="0.25">
      <c r="A197" s="2"/>
      <c r="B197" s="429"/>
      <c r="C197" s="429"/>
      <c r="D197" s="429"/>
      <c r="E197" s="429"/>
      <c r="F197" s="429"/>
      <c r="G197" s="429"/>
      <c r="H197" s="429"/>
      <c r="I197" s="429"/>
      <c r="J197" s="429"/>
      <c r="K197" s="429"/>
      <c r="L197" s="429"/>
      <c r="M197" s="429"/>
      <c r="N197" s="429"/>
      <c r="O197" s="2"/>
      <c r="P197" s="2"/>
      <c r="Q197" s="2"/>
      <c r="R197" s="2"/>
    </row>
    <row r="198" spans="1:18" x14ac:dyDescent="0.25">
      <c r="A198" s="2"/>
      <c r="B198" s="429"/>
      <c r="C198" s="429"/>
      <c r="D198" s="429"/>
      <c r="E198" s="429"/>
      <c r="F198" s="429"/>
      <c r="G198" s="429"/>
      <c r="H198" s="429"/>
      <c r="I198" s="429"/>
      <c r="J198" s="429"/>
      <c r="K198" s="429"/>
      <c r="L198" s="429"/>
      <c r="M198" s="429"/>
      <c r="N198" s="429"/>
      <c r="O198" s="2"/>
      <c r="P198" s="2"/>
      <c r="Q198" s="2"/>
      <c r="R198" s="2"/>
    </row>
    <row r="199" spans="1:18" x14ac:dyDescent="0.25">
      <c r="A199" s="2"/>
      <c r="B199" s="429"/>
      <c r="C199" s="429"/>
      <c r="D199" s="429"/>
      <c r="E199" s="429"/>
      <c r="F199" s="429"/>
      <c r="G199" s="429"/>
      <c r="H199" s="429"/>
      <c r="I199" s="429"/>
      <c r="J199" s="429"/>
      <c r="K199" s="429"/>
      <c r="L199" s="429"/>
      <c r="M199" s="429"/>
      <c r="N199" s="429"/>
      <c r="O199" s="2"/>
      <c r="P199" s="2"/>
      <c r="Q199" s="2"/>
      <c r="R199" s="2"/>
    </row>
    <row r="200" spans="1:18" x14ac:dyDescent="0.25">
      <c r="A200" s="2"/>
      <c r="B200" s="429"/>
      <c r="C200" s="429"/>
      <c r="D200" s="429"/>
      <c r="E200" s="429"/>
      <c r="F200" s="429"/>
      <c r="G200" s="429"/>
      <c r="H200" s="429"/>
      <c r="I200" s="429"/>
      <c r="J200" s="429"/>
      <c r="K200" s="429"/>
      <c r="L200" s="429"/>
      <c r="M200" s="429"/>
      <c r="N200" s="429"/>
      <c r="O200" s="24"/>
      <c r="P200" s="2"/>
      <c r="Q200" s="2"/>
      <c r="R200" s="2"/>
    </row>
    <row r="201" spans="1:18" x14ac:dyDescent="0.25">
      <c r="A201" s="2"/>
      <c r="B201" s="429"/>
      <c r="C201" s="429"/>
      <c r="D201" s="429"/>
      <c r="E201" s="429"/>
      <c r="F201" s="429"/>
      <c r="G201" s="429"/>
      <c r="H201" s="429"/>
      <c r="I201" s="429"/>
      <c r="J201" s="429"/>
      <c r="K201" s="429"/>
      <c r="L201" s="429"/>
      <c r="M201" s="429"/>
      <c r="N201" s="429"/>
      <c r="O201" s="24"/>
      <c r="P201" s="2"/>
      <c r="Q201" s="2"/>
      <c r="R201" s="2"/>
    </row>
    <row r="202" spans="1:18" x14ac:dyDescent="0.25">
      <c r="A202" s="2"/>
      <c r="B202" s="429"/>
      <c r="C202" s="429"/>
      <c r="D202" s="429"/>
      <c r="E202" s="429"/>
      <c r="F202" s="429"/>
      <c r="G202" s="429"/>
      <c r="H202" s="429"/>
      <c r="I202" s="429"/>
      <c r="J202" s="429"/>
      <c r="K202" s="429"/>
      <c r="L202" s="429"/>
      <c r="M202" s="429"/>
      <c r="N202" s="429"/>
      <c r="O202" s="24"/>
      <c r="P202" s="2"/>
      <c r="Q202" s="2"/>
      <c r="R202" s="2"/>
    </row>
    <row r="203" spans="1:18" x14ac:dyDescent="0.25">
      <c r="A203" s="2"/>
      <c r="B203" s="429"/>
      <c r="C203" s="429"/>
      <c r="D203" s="429"/>
      <c r="E203" s="429"/>
      <c r="F203" s="429"/>
      <c r="G203" s="429"/>
      <c r="H203" s="429"/>
      <c r="I203" s="429"/>
      <c r="J203" s="429"/>
      <c r="K203" s="429"/>
      <c r="L203" s="429"/>
      <c r="M203" s="429"/>
      <c r="N203" s="429"/>
      <c r="O203" s="24"/>
      <c r="P203" s="2"/>
      <c r="Q203" s="2"/>
      <c r="R203" s="2"/>
    </row>
    <row r="204" spans="1:18" x14ac:dyDescent="0.25">
      <c r="A204" s="2"/>
      <c r="B204" s="429"/>
      <c r="C204" s="429"/>
      <c r="D204" s="429"/>
      <c r="E204" s="429"/>
      <c r="F204" s="429"/>
      <c r="G204" s="429"/>
      <c r="H204" s="429"/>
      <c r="I204" s="429"/>
      <c r="J204" s="429"/>
      <c r="K204" s="429"/>
      <c r="L204" s="429"/>
      <c r="M204" s="429"/>
      <c r="N204" s="429"/>
      <c r="O204" s="24"/>
      <c r="P204" s="2"/>
      <c r="Q204" s="2"/>
      <c r="R204" s="2"/>
    </row>
    <row r="205" spans="1:18" x14ac:dyDescent="0.25">
      <c r="A205" s="2"/>
      <c r="M205" s="2"/>
      <c r="N205" s="2"/>
      <c r="O205" s="24"/>
      <c r="P205" s="2"/>
      <c r="Q205" s="2"/>
      <c r="R205" s="2"/>
    </row>
    <row r="206" spans="1:18" x14ac:dyDescent="0.25">
      <c r="A206" s="2"/>
      <c r="M206" s="2"/>
      <c r="N206" s="2"/>
      <c r="O206" s="2"/>
      <c r="P206" s="2"/>
      <c r="Q206" s="2"/>
      <c r="R206" s="2"/>
    </row>
    <row r="207" spans="1:18" x14ac:dyDescent="0.25">
      <c r="A207" s="2"/>
      <c r="M207" s="2"/>
      <c r="N207" s="2"/>
      <c r="O207" s="2"/>
      <c r="P207" s="2"/>
      <c r="Q207" s="2"/>
      <c r="R207" s="2"/>
    </row>
    <row r="208" spans="1:18" x14ac:dyDescent="0.25">
      <c r="A208" s="2"/>
      <c r="M208" s="2"/>
      <c r="N208" s="2"/>
      <c r="O208" s="2"/>
      <c r="P208" s="2"/>
      <c r="Q208" s="2"/>
      <c r="R208" s="2"/>
    </row>
    <row r="209" spans="1:18" x14ac:dyDescent="0.25">
      <c r="A209" s="2"/>
      <c r="M209" s="2"/>
      <c r="N209" s="2"/>
      <c r="O209" s="2"/>
      <c r="P209" s="2"/>
      <c r="Q209" s="2"/>
      <c r="R209" s="2"/>
    </row>
    <row r="210" spans="1:18" x14ac:dyDescent="0.25">
      <c r="A210" s="2"/>
      <c r="M210" s="2"/>
      <c r="N210" s="2"/>
      <c r="O210" s="2"/>
      <c r="P210" s="2"/>
      <c r="Q210" s="2"/>
      <c r="R210" s="2"/>
    </row>
    <row r="211" spans="1:18" x14ac:dyDescent="0.25">
      <c r="A211" s="2"/>
      <c r="M211" s="2"/>
      <c r="N211" s="2"/>
      <c r="O211" s="2"/>
      <c r="P211" s="2"/>
      <c r="Q211" s="2"/>
      <c r="R211" s="2"/>
    </row>
    <row r="212" spans="1:18" x14ac:dyDescent="0.25">
      <c r="A212" s="2"/>
      <c r="M212" s="2"/>
      <c r="N212" s="2"/>
      <c r="O212" s="2"/>
      <c r="P212" s="2"/>
      <c r="Q212" s="2"/>
      <c r="R212" s="2"/>
    </row>
    <row r="213" spans="1:18" x14ac:dyDescent="0.25">
      <c r="A213" s="2"/>
      <c r="M213" s="2"/>
      <c r="N213" s="2"/>
      <c r="O213" s="2"/>
      <c r="P213" s="2"/>
      <c r="Q213" s="2"/>
      <c r="R213" s="2"/>
    </row>
    <row r="214" spans="1:18" x14ac:dyDescent="0.25">
      <c r="A214" s="2"/>
      <c r="M214" s="2"/>
      <c r="N214" s="2"/>
      <c r="O214" s="2"/>
      <c r="P214" s="2"/>
      <c r="Q214" s="2"/>
      <c r="R214" s="2"/>
    </row>
    <row r="215" spans="1:18" x14ac:dyDescent="0.25">
      <c r="A215" s="2"/>
      <c r="M215" s="2"/>
      <c r="N215" s="2"/>
      <c r="O215" s="2"/>
      <c r="P215" s="2"/>
      <c r="Q215" s="2"/>
      <c r="R215" s="2"/>
    </row>
    <row r="216" spans="1:18" x14ac:dyDescent="0.25">
      <c r="A216" s="2"/>
      <c r="M216" s="2"/>
      <c r="N216" s="2"/>
      <c r="O216" s="2"/>
      <c r="P216" s="2"/>
      <c r="Q216" s="2"/>
      <c r="R216" s="2"/>
    </row>
    <row r="217" spans="1:18" x14ac:dyDescent="0.25">
      <c r="A217" s="2"/>
      <c r="M217" s="2"/>
      <c r="N217" s="2"/>
      <c r="O217" s="2"/>
      <c r="P217" s="2"/>
      <c r="Q217" s="2"/>
      <c r="R217" s="2"/>
    </row>
    <row r="218" spans="1:18" x14ac:dyDescent="0.25">
      <c r="A218" s="2"/>
      <c r="M218" s="2"/>
      <c r="N218" s="2"/>
      <c r="O218" s="2"/>
      <c r="P218" s="2"/>
      <c r="Q218" s="2"/>
      <c r="R218" s="2"/>
    </row>
    <row r="219" spans="1:18" x14ac:dyDescent="0.25">
      <c r="A219" s="2"/>
      <c r="M219" s="2"/>
      <c r="N219" s="2"/>
      <c r="O219" s="2"/>
      <c r="P219" s="2"/>
      <c r="Q219" s="2"/>
      <c r="R219" s="2"/>
    </row>
    <row r="220" spans="1:18" x14ac:dyDescent="0.25">
      <c r="A220" s="2"/>
      <c r="M220" s="2"/>
      <c r="N220" s="2"/>
      <c r="O220" s="2"/>
      <c r="P220" s="2"/>
      <c r="Q220" s="2"/>
      <c r="R220" s="2"/>
    </row>
    <row r="221" spans="1:18" x14ac:dyDescent="0.25">
      <c r="A221" s="2"/>
      <c r="M221" s="2"/>
      <c r="N221" s="2"/>
      <c r="O221" s="2"/>
      <c r="P221" s="2"/>
      <c r="Q221" s="2"/>
      <c r="R221" s="2"/>
    </row>
    <row r="222" spans="1:18" x14ac:dyDescent="0.25">
      <c r="A222" s="2"/>
      <c r="M222" s="2"/>
      <c r="N222" s="2"/>
      <c r="O222" s="2"/>
      <c r="P222" s="2"/>
      <c r="Q222" s="2"/>
      <c r="R222" s="2"/>
    </row>
    <row r="223" spans="1:18" x14ac:dyDescent="0.25">
      <c r="A223" s="2"/>
      <c r="M223" s="2"/>
      <c r="N223" s="2"/>
      <c r="O223" s="2"/>
      <c r="P223" s="2"/>
      <c r="Q223" s="2"/>
      <c r="R223" s="2"/>
    </row>
    <row r="224" spans="1:18" x14ac:dyDescent="0.25">
      <c r="A224" s="2"/>
      <c r="M224" s="2"/>
      <c r="N224" s="2"/>
      <c r="O224" s="2"/>
      <c r="P224" s="2"/>
      <c r="Q224" s="2"/>
      <c r="R224" s="2"/>
    </row>
    <row r="225" spans="1:18" x14ac:dyDescent="0.25">
      <c r="A225" s="2"/>
      <c r="M225" s="2"/>
      <c r="N225" s="2"/>
      <c r="O225" s="2"/>
      <c r="P225" s="2"/>
      <c r="Q225" s="2"/>
      <c r="R225" s="2"/>
    </row>
    <row r="226" spans="1:18" x14ac:dyDescent="0.25">
      <c r="A226" s="2"/>
      <c r="M226" s="2"/>
      <c r="N226" s="2"/>
      <c r="O226" s="2"/>
      <c r="P226" s="2"/>
      <c r="Q226" s="2"/>
      <c r="R226" s="2"/>
    </row>
    <row r="227" spans="1:18" x14ac:dyDescent="0.25">
      <c r="A227" s="2"/>
      <c r="M227" s="2"/>
      <c r="N227" s="2"/>
      <c r="O227" s="2"/>
      <c r="P227" s="2"/>
      <c r="Q227" s="2"/>
      <c r="R227" s="2"/>
    </row>
    <row r="228" spans="1:18" x14ac:dyDescent="0.25">
      <c r="A228" s="2"/>
      <c r="M228" s="2"/>
      <c r="N228" s="2"/>
      <c r="O228" s="2"/>
      <c r="P228" s="2"/>
      <c r="Q228" s="2"/>
      <c r="R228" s="2"/>
    </row>
    <row r="229" spans="1:18" x14ac:dyDescent="0.25">
      <c r="A229" s="2"/>
      <c r="M229" s="2"/>
      <c r="N229" s="2"/>
      <c r="O229" s="2"/>
      <c r="P229" s="2"/>
      <c r="Q229" s="2"/>
      <c r="R229" s="2"/>
    </row>
    <row r="230" spans="1:18" x14ac:dyDescent="0.25">
      <c r="A230" s="2"/>
      <c r="M230" s="2"/>
      <c r="N230" s="2"/>
      <c r="O230" s="2"/>
      <c r="P230" s="2"/>
      <c r="Q230" s="2"/>
      <c r="R230" s="2"/>
    </row>
    <row r="231" spans="1:18" x14ac:dyDescent="0.25">
      <c r="A231" s="2"/>
      <c r="M231" s="2"/>
      <c r="N231" s="2"/>
      <c r="O231" s="2"/>
      <c r="P231" s="2"/>
      <c r="Q231" s="2"/>
      <c r="R231" s="2"/>
    </row>
    <row r="232" spans="1:18" x14ac:dyDescent="0.25">
      <c r="A232" s="2"/>
      <c r="M232" s="2"/>
      <c r="N232" s="2"/>
      <c r="O232" s="2"/>
      <c r="P232" s="2"/>
      <c r="Q232" s="2"/>
      <c r="R232" s="2"/>
    </row>
    <row r="233" spans="1:18" x14ac:dyDescent="0.25">
      <c r="A233" s="2"/>
      <c r="M233" s="2"/>
      <c r="N233" s="2"/>
      <c r="O233" s="2"/>
      <c r="P233" s="2"/>
      <c r="Q233" s="2"/>
      <c r="R233" s="2"/>
    </row>
    <row r="234" spans="1:18" x14ac:dyDescent="0.25">
      <c r="A234" s="2"/>
      <c r="M234" s="2"/>
      <c r="N234" s="2"/>
      <c r="O234" s="2"/>
      <c r="P234" s="2"/>
      <c r="Q234" s="2"/>
      <c r="R234" s="2"/>
    </row>
    <row r="235" spans="1:18" x14ac:dyDescent="0.25">
      <c r="A235" s="2"/>
      <c r="M235" s="2"/>
      <c r="N235" s="2"/>
      <c r="O235" s="2"/>
      <c r="P235" s="2"/>
      <c r="Q235" s="2"/>
      <c r="R235" s="2"/>
    </row>
    <row r="236" spans="1:18" x14ac:dyDescent="0.25">
      <c r="A236" s="2"/>
      <c r="M236" s="2"/>
      <c r="N236" s="2"/>
      <c r="O236" s="2"/>
      <c r="P236" s="2"/>
      <c r="Q236" s="2"/>
      <c r="R236" s="2"/>
    </row>
    <row r="237" spans="1:18" x14ac:dyDescent="0.25">
      <c r="A237" s="2"/>
      <c r="M237" s="2"/>
      <c r="N237" s="2"/>
      <c r="O237" s="2"/>
      <c r="P237" s="2"/>
      <c r="Q237" s="2"/>
      <c r="R237" s="2"/>
    </row>
    <row r="238" spans="1:18" x14ac:dyDescent="0.25">
      <c r="A238" s="2"/>
      <c r="M238" s="2"/>
      <c r="N238" s="2"/>
      <c r="O238" s="2"/>
      <c r="P238" s="2"/>
      <c r="Q238" s="2"/>
      <c r="R238" s="2"/>
    </row>
    <row r="239" spans="1:18" x14ac:dyDescent="0.25">
      <c r="A239" s="2"/>
      <c r="M239" s="2"/>
      <c r="N239" s="2"/>
      <c r="O239" s="2"/>
      <c r="P239" s="2"/>
      <c r="Q239" s="2"/>
      <c r="R239" s="2"/>
    </row>
    <row r="240" spans="1:18" x14ac:dyDescent="0.25">
      <c r="A240" s="2"/>
      <c r="M240" s="2"/>
      <c r="N240" s="2"/>
      <c r="O240" s="2"/>
      <c r="P240" s="2"/>
      <c r="Q240" s="2"/>
      <c r="R240" s="2"/>
    </row>
    <row r="241" spans="1:18" x14ac:dyDescent="0.25">
      <c r="A241" s="2"/>
      <c r="M241" s="2"/>
      <c r="N241" s="2"/>
      <c r="O241" s="2"/>
      <c r="P241" s="2"/>
      <c r="Q241" s="2"/>
      <c r="R241" s="2"/>
    </row>
    <row r="242" spans="1:18" x14ac:dyDescent="0.25">
      <c r="A242" s="2"/>
      <c r="M242" s="2"/>
      <c r="N242" s="2"/>
      <c r="O242" s="2"/>
      <c r="P242" s="2"/>
      <c r="Q242" s="2"/>
      <c r="R242" s="2"/>
    </row>
    <row r="243" spans="1:18" ht="16.5" customHeight="1" x14ac:dyDescent="0.25">
      <c r="A243" s="2"/>
      <c r="M243" s="24"/>
      <c r="N243" s="24"/>
      <c r="O243" s="24"/>
      <c r="P243" s="2"/>
      <c r="Q243" s="2"/>
      <c r="R243" s="2"/>
    </row>
    <row r="244" spans="1:18" x14ac:dyDescent="0.25">
      <c r="A244" s="2"/>
      <c r="M244" s="24"/>
      <c r="N244" s="24"/>
      <c r="O244" s="24"/>
      <c r="P244" s="2"/>
      <c r="Q244" s="2"/>
      <c r="R244" s="2"/>
    </row>
    <row r="245" spans="1:18" x14ac:dyDescent="0.25">
      <c r="A245" s="2"/>
      <c r="M245" s="24"/>
      <c r="N245" s="24"/>
      <c r="O245" s="24"/>
      <c r="P245" s="2"/>
      <c r="Q245" s="2"/>
      <c r="R245" s="2"/>
    </row>
    <row r="246" spans="1:18" x14ac:dyDescent="0.25">
      <c r="A246" s="2"/>
      <c r="M246" s="24"/>
      <c r="N246" s="24"/>
      <c r="O246" s="24"/>
      <c r="P246" s="2"/>
      <c r="Q246" s="2"/>
      <c r="R246" s="2"/>
    </row>
    <row r="247" spans="1:18" x14ac:dyDescent="0.25">
      <c r="A247" s="2"/>
      <c r="M247" s="24"/>
      <c r="N247" s="24"/>
      <c r="O247" s="24"/>
      <c r="P247" s="2"/>
      <c r="Q247" s="2"/>
      <c r="R247" s="2"/>
    </row>
    <row r="248" spans="1:18" x14ac:dyDescent="0.25">
      <c r="A248" s="2"/>
      <c r="M248" s="2"/>
      <c r="N248" s="2"/>
      <c r="O248" s="24"/>
      <c r="P248" s="2"/>
      <c r="Q248" s="2"/>
      <c r="R248" s="2"/>
    </row>
    <row r="249" spans="1:18" x14ac:dyDescent="0.25">
      <c r="A249" s="2"/>
      <c r="M249" s="2"/>
      <c r="N249" s="2"/>
      <c r="O249" s="24"/>
      <c r="P249" s="2"/>
      <c r="Q249" s="2"/>
      <c r="R249" s="2"/>
    </row>
    <row r="250" spans="1:18" x14ac:dyDescent="0.25">
      <c r="A250" s="2"/>
      <c r="M250" s="2"/>
      <c r="N250" s="2"/>
      <c r="O250" s="2"/>
      <c r="P250" s="2"/>
      <c r="Q250" s="2"/>
      <c r="R250" s="2"/>
    </row>
    <row r="251" spans="1:18" x14ac:dyDescent="0.25">
      <c r="A251" s="2"/>
      <c r="M251" s="2"/>
      <c r="N251" s="2"/>
      <c r="O251" s="2"/>
      <c r="P251" s="2"/>
      <c r="Q251" s="2"/>
      <c r="R251" s="2"/>
    </row>
    <row r="252" spans="1:18" x14ac:dyDescent="0.25">
      <c r="A252" s="2"/>
      <c r="M252" s="2"/>
      <c r="N252" s="2"/>
      <c r="O252" s="2"/>
      <c r="P252" s="2"/>
      <c r="Q252" s="2"/>
      <c r="R252" s="2"/>
    </row>
    <row r="253" spans="1:18" x14ac:dyDescent="0.25">
      <c r="A253" s="2"/>
      <c r="M253" s="2"/>
      <c r="N253" s="2"/>
      <c r="O253" s="2"/>
      <c r="P253" s="2"/>
      <c r="Q253" s="2"/>
      <c r="R253" s="2"/>
    </row>
    <row r="254" spans="1:18" x14ac:dyDescent="0.25">
      <c r="A254" s="2"/>
      <c r="M254" s="2"/>
      <c r="N254" s="2"/>
      <c r="O254" s="2"/>
      <c r="P254" s="2"/>
      <c r="Q254" s="2"/>
      <c r="R254" s="2"/>
    </row>
    <row r="255" spans="1:18" x14ac:dyDescent="0.25">
      <c r="A255" s="2"/>
      <c r="M255" s="2"/>
      <c r="N255" s="2"/>
      <c r="O255" s="2"/>
      <c r="P255" s="2"/>
      <c r="Q255" s="2"/>
      <c r="R255" s="2"/>
    </row>
    <row r="256" spans="1:18" x14ac:dyDescent="0.25">
      <c r="A256" s="2"/>
      <c r="M256" s="2"/>
      <c r="N256" s="2"/>
      <c r="O256" s="2"/>
      <c r="P256" s="2"/>
      <c r="Q256" s="2"/>
      <c r="R256" s="2"/>
    </row>
    <row r="257" spans="1:18" x14ac:dyDescent="0.25">
      <c r="A257" s="2"/>
      <c r="M257" s="2"/>
      <c r="N257" s="2"/>
      <c r="O257" s="2"/>
      <c r="P257" s="2"/>
      <c r="Q257" s="2"/>
      <c r="R257" s="2"/>
    </row>
    <row r="258" spans="1:18" x14ac:dyDescent="0.25">
      <c r="A258" s="2"/>
      <c r="M258" s="2"/>
      <c r="N258" s="2"/>
      <c r="O258" s="2"/>
      <c r="P258" s="2"/>
      <c r="Q258" s="2"/>
      <c r="R258" s="2"/>
    </row>
    <row r="259" spans="1:18" x14ac:dyDescent="0.25">
      <c r="A259" s="2"/>
      <c r="M259" s="2"/>
      <c r="N259" s="2"/>
      <c r="O259" s="2"/>
      <c r="P259" s="2"/>
      <c r="Q259" s="2"/>
      <c r="R259" s="2"/>
    </row>
    <row r="260" spans="1:18" x14ac:dyDescent="0.25">
      <c r="A260" s="2"/>
      <c r="M260" s="2"/>
      <c r="N260" s="2"/>
      <c r="O260" s="2"/>
      <c r="P260" s="2"/>
      <c r="Q260" s="2"/>
      <c r="R260" s="2"/>
    </row>
    <row r="261" spans="1:18" x14ac:dyDescent="0.25">
      <c r="A261" s="2"/>
      <c r="M261" s="2"/>
      <c r="N261" s="2"/>
      <c r="O261" s="2"/>
      <c r="P261" s="2"/>
      <c r="Q261" s="2"/>
      <c r="R261" s="2"/>
    </row>
    <row r="262" spans="1:18" x14ac:dyDescent="0.25">
      <c r="A262" s="2"/>
      <c r="M262" s="2"/>
      <c r="N262" s="2"/>
      <c r="O262" s="2"/>
      <c r="P262" s="2"/>
      <c r="Q262" s="2"/>
      <c r="R262" s="2"/>
    </row>
    <row r="263" spans="1:18" x14ac:dyDescent="0.25">
      <c r="A263" s="2"/>
      <c r="M263" s="2"/>
      <c r="N263" s="2"/>
      <c r="O263" s="2"/>
      <c r="P263" s="2"/>
      <c r="Q263" s="2"/>
      <c r="R263" s="2"/>
    </row>
    <row r="264" spans="1:18" x14ac:dyDescent="0.25">
      <c r="A264" s="2"/>
      <c r="M264" s="2"/>
      <c r="N264" s="2"/>
      <c r="O264" s="2"/>
      <c r="P264" s="2"/>
      <c r="Q264" s="2"/>
      <c r="R264" s="2"/>
    </row>
    <row r="265" spans="1:18" x14ac:dyDescent="0.25">
      <c r="A265" s="2"/>
      <c r="M265" s="2"/>
      <c r="N265" s="2"/>
      <c r="O265" s="2"/>
      <c r="P265" s="2"/>
      <c r="Q265" s="2"/>
      <c r="R265" s="2"/>
    </row>
    <row r="266" spans="1:18" x14ac:dyDescent="0.25">
      <c r="A266" s="2"/>
      <c r="M266" s="2"/>
      <c r="N266" s="2"/>
      <c r="O266" s="2"/>
      <c r="P266" s="2"/>
      <c r="Q266" s="2"/>
      <c r="R266" s="2"/>
    </row>
    <row r="267" spans="1:18" x14ac:dyDescent="0.25">
      <c r="A267" s="2"/>
      <c r="M267" s="2"/>
      <c r="N267" s="24"/>
      <c r="O267" s="2"/>
      <c r="P267" s="2"/>
      <c r="Q267" s="2"/>
      <c r="R267" s="2"/>
    </row>
    <row r="268" spans="1:18" x14ac:dyDescent="0.25">
      <c r="A268" s="2"/>
      <c r="M268" s="24"/>
      <c r="N268" s="24"/>
      <c r="O268" s="2"/>
      <c r="P268" s="2"/>
      <c r="Q268" s="2"/>
      <c r="R268" s="2"/>
    </row>
    <row r="269" spans="1:18" x14ac:dyDescent="0.25">
      <c r="A269" s="2"/>
      <c r="B269" s="2"/>
      <c r="C269" s="2"/>
      <c r="D269" s="2"/>
      <c r="E269" s="2"/>
      <c r="F269" s="2"/>
      <c r="G269" s="2"/>
      <c r="H269" s="2"/>
      <c r="I269" s="2"/>
      <c r="J269" s="2"/>
      <c r="K269" s="2"/>
      <c r="L269" s="2"/>
      <c r="M269" s="2"/>
      <c r="N269" s="2"/>
      <c r="O269" s="2"/>
      <c r="P269" s="2"/>
      <c r="Q269" s="2"/>
      <c r="R269" s="2"/>
    </row>
    <row r="270" spans="1:18" x14ac:dyDescent="0.25">
      <c r="A270" s="2"/>
      <c r="B270" s="2"/>
      <c r="C270" s="2"/>
      <c r="D270" s="2"/>
      <c r="E270" s="2"/>
      <c r="F270" s="2"/>
      <c r="G270" s="2"/>
      <c r="H270" s="2"/>
      <c r="I270" s="2"/>
      <c r="J270" s="2"/>
      <c r="K270" s="2"/>
      <c r="L270" s="2"/>
      <c r="M270" s="2"/>
      <c r="N270" s="2"/>
      <c r="O270" s="2"/>
      <c r="P270" s="2"/>
      <c r="Q270" s="2"/>
      <c r="R270" s="2"/>
    </row>
    <row r="271" spans="1:18" x14ac:dyDescent="0.25">
      <c r="A271" s="2"/>
      <c r="B271" s="2"/>
      <c r="C271" s="2"/>
      <c r="D271" s="2"/>
      <c r="E271" s="2"/>
      <c r="F271" s="2"/>
      <c r="G271" s="2"/>
      <c r="H271" s="2"/>
      <c r="I271" s="2"/>
      <c r="J271" s="2"/>
      <c r="K271" s="2"/>
      <c r="L271" s="2"/>
      <c r="M271" s="2"/>
      <c r="N271" s="2"/>
      <c r="O271" s="2"/>
      <c r="P271" s="2"/>
      <c r="Q271" s="2"/>
      <c r="R271" s="2"/>
    </row>
    <row r="272" spans="1:18" x14ac:dyDescent="0.25">
      <c r="A272" s="2"/>
      <c r="B272" s="2"/>
      <c r="C272" s="2"/>
      <c r="D272" s="2"/>
      <c r="E272" s="2"/>
      <c r="F272" s="2"/>
      <c r="G272" s="2"/>
      <c r="H272" s="2"/>
      <c r="I272" s="2"/>
      <c r="J272" s="2"/>
      <c r="K272" s="2"/>
      <c r="L272" s="2"/>
      <c r="M272" s="2"/>
      <c r="N272" s="2"/>
      <c r="O272" s="2"/>
      <c r="P272" s="2"/>
      <c r="Q272" s="2"/>
      <c r="R272" s="2"/>
    </row>
    <row r="273" spans="1:18" x14ac:dyDescent="0.25">
      <c r="A273" s="2"/>
      <c r="B273" s="2"/>
      <c r="C273" s="2"/>
      <c r="D273" s="2"/>
      <c r="E273" s="2"/>
      <c r="F273" s="2"/>
      <c r="G273" s="2"/>
      <c r="H273" s="2"/>
      <c r="I273" s="2"/>
      <c r="J273" s="2"/>
      <c r="K273" s="2"/>
      <c r="L273" s="2"/>
      <c r="M273" s="2"/>
      <c r="N273" s="2"/>
      <c r="O273" s="2"/>
      <c r="P273" s="2"/>
      <c r="Q273" s="2"/>
      <c r="R273" s="2"/>
    </row>
    <row r="274" spans="1:18" x14ac:dyDescent="0.25">
      <c r="A274" s="2"/>
      <c r="B274" s="2"/>
      <c r="C274" s="2"/>
      <c r="D274" s="2"/>
      <c r="E274" s="2"/>
      <c r="F274" s="2"/>
      <c r="G274" s="2"/>
      <c r="H274" s="2"/>
      <c r="I274" s="2"/>
      <c r="J274" s="2"/>
      <c r="K274" s="2"/>
      <c r="L274" s="2"/>
      <c r="M274" s="2"/>
      <c r="N274" s="2"/>
      <c r="O274" s="2"/>
      <c r="P274" s="2"/>
      <c r="Q274" s="2"/>
      <c r="R274" s="2"/>
    </row>
    <row r="275" spans="1:18" x14ac:dyDescent="0.25">
      <c r="A275" s="2"/>
      <c r="B275" s="2"/>
      <c r="C275" s="2"/>
      <c r="D275" s="2"/>
      <c r="E275" s="2"/>
      <c r="F275" s="2"/>
      <c r="G275" s="2"/>
      <c r="H275" s="2"/>
      <c r="I275" s="2"/>
      <c r="J275" s="2"/>
      <c r="K275" s="2"/>
      <c r="L275" s="2"/>
      <c r="M275" s="2"/>
      <c r="N275" s="2"/>
      <c r="O275" s="2"/>
      <c r="P275" s="2"/>
      <c r="Q275" s="2"/>
      <c r="R275" s="2"/>
    </row>
    <row r="276" spans="1:18" x14ac:dyDescent="0.25">
      <c r="A276" s="2"/>
      <c r="B276" s="2"/>
      <c r="C276" s="2"/>
      <c r="D276" s="2"/>
      <c r="E276" s="2"/>
      <c r="F276" s="2"/>
      <c r="G276" s="2"/>
      <c r="H276" s="2"/>
      <c r="I276" s="2"/>
      <c r="J276" s="2"/>
      <c r="K276" s="2"/>
      <c r="L276" s="2"/>
      <c r="M276" s="2"/>
      <c r="N276" s="2"/>
      <c r="O276" s="2"/>
      <c r="P276" s="2"/>
      <c r="Q276" s="2"/>
      <c r="R276" s="2"/>
    </row>
    <row r="277" spans="1:18" x14ac:dyDescent="0.25">
      <c r="A277" s="2"/>
      <c r="B277" s="2"/>
      <c r="C277" s="2"/>
      <c r="D277" s="2"/>
      <c r="E277" s="2"/>
      <c r="F277" s="2"/>
      <c r="G277" s="2"/>
      <c r="H277" s="2"/>
      <c r="I277" s="2"/>
      <c r="J277" s="2"/>
      <c r="K277" s="2"/>
      <c r="L277" s="2"/>
      <c r="M277" s="2"/>
      <c r="N277" s="2"/>
      <c r="O277" s="2"/>
      <c r="P277" s="2"/>
      <c r="Q277" s="2"/>
      <c r="R277" s="2"/>
    </row>
    <row r="278" spans="1:18" x14ac:dyDescent="0.25">
      <c r="A278" s="2"/>
      <c r="B278" s="2"/>
      <c r="C278" s="2"/>
      <c r="D278" s="2"/>
      <c r="E278" s="2"/>
      <c r="F278" s="2"/>
      <c r="G278" s="2"/>
      <c r="H278" s="2"/>
      <c r="I278" s="2"/>
      <c r="J278" s="2"/>
      <c r="K278" s="2"/>
      <c r="L278" s="2"/>
      <c r="M278" s="2"/>
      <c r="N278" s="2"/>
      <c r="O278" s="2"/>
      <c r="P278" s="2"/>
      <c r="Q278" s="2"/>
      <c r="R278" s="2"/>
    </row>
    <row r="279" spans="1:18" x14ac:dyDescent="0.25">
      <c r="A279" s="2"/>
      <c r="B279" s="2"/>
      <c r="C279" s="2"/>
      <c r="D279" s="2"/>
      <c r="E279" s="2"/>
      <c r="F279" s="2"/>
      <c r="G279" s="2"/>
      <c r="H279" s="2"/>
      <c r="I279" s="2"/>
      <c r="J279" s="2"/>
      <c r="K279" s="2"/>
      <c r="L279" s="2"/>
      <c r="M279" s="2"/>
      <c r="N279" s="2"/>
      <c r="O279" s="2"/>
      <c r="P279" s="2"/>
      <c r="Q279" s="2"/>
      <c r="R279" s="2"/>
    </row>
    <row r="280" spans="1:18" x14ac:dyDescent="0.25">
      <c r="A280" s="2"/>
      <c r="B280" s="2"/>
      <c r="C280" s="2"/>
      <c r="D280" s="2"/>
      <c r="E280" s="2"/>
      <c r="F280" s="2"/>
      <c r="G280" s="2"/>
      <c r="H280" s="2"/>
      <c r="I280" s="2"/>
      <c r="J280" s="2"/>
      <c r="K280" s="2"/>
      <c r="L280" s="2"/>
      <c r="M280" s="2"/>
      <c r="N280" s="2"/>
      <c r="O280" s="2"/>
      <c r="P280" s="2"/>
      <c r="Q280" s="2"/>
      <c r="R280" s="2"/>
    </row>
    <row r="281" spans="1:18" x14ac:dyDescent="0.25">
      <c r="A281" s="2"/>
      <c r="B281" s="2"/>
      <c r="C281" s="2"/>
      <c r="D281" s="2"/>
      <c r="E281" s="2"/>
      <c r="F281" s="2"/>
      <c r="G281" s="2"/>
      <c r="H281" s="2"/>
      <c r="I281" s="2"/>
      <c r="J281" s="2"/>
      <c r="K281" s="2"/>
      <c r="L281" s="2"/>
      <c r="M281" s="2"/>
      <c r="N281" s="2"/>
      <c r="O281" s="2"/>
      <c r="P281" s="2"/>
      <c r="Q281" s="2"/>
      <c r="R281" s="2"/>
    </row>
    <row r="282" spans="1:18" x14ac:dyDescent="0.25">
      <c r="A282" s="2"/>
      <c r="B282" s="2"/>
      <c r="C282" s="2"/>
      <c r="D282" s="2"/>
      <c r="E282" s="2"/>
      <c r="F282" s="2"/>
      <c r="G282" s="2"/>
      <c r="H282" s="2"/>
      <c r="I282" s="2"/>
      <c r="J282" s="2"/>
      <c r="K282" s="2"/>
      <c r="L282" s="2"/>
      <c r="M282" s="2"/>
      <c r="N282" s="2"/>
      <c r="O282" s="2"/>
      <c r="P282" s="2"/>
      <c r="Q282" s="2"/>
      <c r="R282" s="2"/>
    </row>
    <row r="283" spans="1:18" x14ac:dyDescent="0.25">
      <c r="A283" s="2"/>
      <c r="B283" s="2"/>
      <c r="C283" s="2"/>
      <c r="D283" s="2"/>
      <c r="E283" s="2"/>
      <c r="F283" s="2"/>
      <c r="G283" s="2"/>
      <c r="H283" s="2"/>
      <c r="I283" s="2"/>
      <c r="J283" s="2"/>
      <c r="K283" s="2"/>
      <c r="L283" s="2"/>
      <c r="M283" s="2"/>
      <c r="N283" s="2"/>
      <c r="O283" s="2"/>
      <c r="P283" s="2"/>
      <c r="Q283" s="2"/>
      <c r="R283" s="2"/>
    </row>
    <row r="284" spans="1:18" x14ac:dyDescent="0.25">
      <c r="A284" s="2"/>
      <c r="B284" s="2"/>
      <c r="C284" s="2"/>
      <c r="D284" s="2"/>
      <c r="E284" s="2"/>
      <c r="F284" s="2"/>
      <c r="G284" s="2"/>
      <c r="H284" s="2"/>
      <c r="I284" s="2"/>
      <c r="J284" s="2"/>
      <c r="K284" s="2"/>
      <c r="L284" s="2"/>
      <c r="M284" s="2"/>
      <c r="N284" s="2"/>
      <c r="O284" s="2"/>
      <c r="P284" s="2"/>
      <c r="Q284" s="2"/>
      <c r="R284" s="2"/>
    </row>
    <row r="285" spans="1:18" x14ac:dyDescent="0.25">
      <c r="A285" s="2"/>
      <c r="B285" s="2"/>
      <c r="C285" s="2"/>
      <c r="D285" s="2"/>
      <c r="E285" s="2"/>
      <c r="F285" s="2"/>
      <c r="G285" s="2"/>
      <c r="H285" s="2"/>
      <c r="I285" s="2"/>
      <c r="J285" s="2"/>
      <c r="K285" s="2"/>
      <c r="L285" s="2"/>
      <c r="M285" s="2"/>
      <c r="N285" s="2"/>
      <c r="O285" s="2"/>
      <c r="P285" s="2"/>
      <c r="Q285" s="2"/>
      <c r="R285" s="2"/>
    </row>
    <row r="286" spans="1:18" x14ac:dyDescent="0.25">
      <c r="A286" s="2"/>
      <c r="B286" s="2"/>
      <c r="C286" s="2"/>
      <c r="D286" s="2"/>
      <c r="E286" s="2"/>
      <c r="F286" s="2"/>
      <c r="G286" s="2"/>
      <c r="H286" s="2"/>
      <c r="I286" s="2"/>
      <c r="J286" s="2"/>
      <c r="K286" s="2"/>
      <c r="L286" s="2"/>
      <c r="M286" s="2"/>
      <c r="N286" s="2"/>
      <c r="O286" s="2"/>
      <c r="P286" s="2"/>
      <c r="Q286" s="2"/>
      <c r="R286" s="2"/>
    </row>
    <row r="287" spans="1:18" x14ac:dyDescent="0.25">
      <c r="A287" s="2"/>
      <c r="B287" s="2"/>
      <c r="C287" s="2"/>
      <c r="D287" s="2"/>
      <c r="E287" s="2"/>
      <c r="F287" s="2"/>
      <c r="G287" s="2"/>
      <c r="H287" s="2"/>
      <c r="I287" s="2"/>
      <c r="J287" s="2"/>
      <c r="K287" s="2"/>
      <c r="L287" s="2"/>
      <c r="M287" s="2"/>
      <c r="N287" s="2"/>
      <c r="O287" s="2"/>
      <c r="P287" s="2"/>
      <c r="Q287" s="2"/>
      <c r="R287" s="2"/>
    </row>
    <row r="288" spans="1:18" x14ac:dyDescent="0.25">
      <c r="A288" s="2"/>
      <c r="B288" s="2"/>
      <c r="C288" s="2"/>
      <c r="D288" s="2"/>
      <c r="E288" s="2"/>
      <c r="F288" s="2"/>
      <c r="G288" s="2"/>
      <c r="H288" s="2"/>
      <c r="I288" s="2"/>
      <c r="J288" s="2"/>
      <c r="K288" s="2"/>
      <c r="L288" s="2"/>
      <c r="M288" s="2"/>
      <c r="N288" s="2"/>
      <c r="O288" s="2"/>
      <c r="P288" s="2"/>
      <c r="Q288" s="2"/>
      <c r="R288" s="2"/>
    </row>
    <row r="289" spans="1:18" x14ac:dyDescent="0.25">
      <c r="A289" s="2"/>
      <c r="B289" s="2"/>
      <c r="C289" s="2"/>
      <c r="D289" s="2"/>
      <c r="E289" s="2"/>
      <c r="F289" s="2"/>
      <c r="G289" s="2"/>
      <c r="H289" s="2"/>
      <c r="I289" s="2"/>
      <c r="J289" s="2"/>
      <c r="K289" s="2"/>
      <c r="L289" s="2"/>
      <c r="M289" s="2"/>
      <c r="N289" s="2"/>
      <c r="O289" s="2"/>
      <c r="P289" s="2"/>
      <c r="Q289" s="2"/>
      <c r="R289" s="2"/>
    </row>
    <row r="290" spans="1:18" x14ac:dyDescent="0.25">
      <c r="A290" s="2"/>
      <c r="B290" s="2"/>
      <c r="C290" s="2"/>
      <c r="D290" s="2"/>
      <c r="E290" s="2"/>
      <c r="F290" s="2"/>
      <c r="G290" s="2"/>
      <c r="H290" s="2"/>
      <c r="I290" s="2"/>
      <c r="J290" s="2"/>
      <c r="K290" s="2"/>
      <c r="L290" s="2"/>
      <c r="M290" s="2"/>
      <c r="N290" s="2"/>
      <c r="O290" s="2"/>
      <c r="P290" s="2"/>
      <c r="Q290" s="2"/>
      <c r="R290" s="2"/>
    </row>
    <row r="291" spans="1:18" x14ac:dyDescent="0.25">
      <c r="A291" s="2"/>
      <c r="B291" s="2"/>
      <c r="C291" s="2"/>
      <c r="D291" s="2"/>
      <c r="E291" s="2"/>
      <c r="F291" s="2"/>
      <c r="G291" s="2"/>
      <c r="H291" s="2"/>
      <c r="I291" s="2"/>
      <c r="J291" s="2"/>
      <c r="K291" s="2"/>
      <c r="L291" s="2"/>
      <c r="M291" s="2"/>
      <c r="N291" s="2"/>
      <c r="O291" s="2"/>
      <c r="P291" s="2"/>
      <c r="Q291" s="2"/>
      <c r="R291" s="2"/>
    </row>
    <row r="292" spans="1:18" x14ac:dyDescent="0.25">
      <c r="A292" s="2"/>
      <c r="B292" s="2"/>
      <c r="C292" s="2"/>
      <c r="D292" s="2"/>
      <c r="E292" s="2"/>
      <c r="F292" s="2"/>
      <c r="G292" s="2"/>
      <c r="H292" s="2"/>
      <c r="I292" s="2"/>
      <c r="J292" s="2"/>
      <c r="K292" s="2"/>
      <c r="L292" s="2"/>
      <c r="M292" s="2"/>
      <c r="N292" s="2"/>
      <c r="O292" s="2"/>
      <c r="P292" s="2"/>
      <c r="Q292" s="2"/>
      <c r="R292" s="2"/>
    </row>
    <row r="293" spans="1:18" x14ac:dyDescent="0.25">
      <c r="A293" s="2"/>
      <c r="B293" s="2"/>
      <c r="C293" s="2"/>
      <c r="D293" s="2"/>
      <c r="E293" s="2"/>
      <c r="F293" s="2"/>
      <c r="G293" s="2"/>
      <c r="H293" s="2"/>
      <c r="I293" s="2"/>
      <c r="J293" s="2"/>
      <c r="K293" s="2"/>
      <c r="L293" s="2"/>
      <c r="M293" s="2"/>
      <c r="N293" s="2"/>
      <c r="O293" s="2"/>
      <c r="P293" s="2"/>
      <c r="Q293" s="2"/>
      <c r="R293" s="2"/>
    </row>
    <row r="294" spans="1:18" x14ac:dyDescent="0.25">
      <c r="A294" s="2"/>
      <c r="B294" s="2"/>
      <c r="C294" s="2"/>
      <c r="D294" s="2"/>
      <c r="E294" s="2"/>
      <c r="F294" s="2"/>
      <c r="G294" s="2"/>
      <c r="H294" s="2"/>
      <c r="I294" s="2"/>
      <c r="J294" s="2"/>
      <c r="K294" s="2"/>
      <c r="L294" s="2"/>
      <c r="M294" s="2"/>
      <c r="N294" s="2"/>
      <c r="O294" s="2"/>
      <c r="P294" s="2"/>
      <c r="Q294" s="2"/>
      <c r="R294" s="2"/>
    </row>
    <row r="295" spans="1:18" x14ac:dyDescent="0.25">
      <c r="A295" s="2"/>
      <c r="B295" s="2"/>
      <c r="C295" s="2"/>
      <c r="D295" s="2"/>
      <c r="E295" s="2"/>
      <c r="F295" s="2"/>
      <c r="G295" s="2"/>
      <c r="H295" s="2"/>
      <c r="I295" s="2"/>
      <c r="J295" s="2"/>
      <c r="K295" s="2"/>
      <c r="L295" s="2"/>
      <c r="M295" s="2"/>
      <c r="N295" s="2"/>
      <c r="O295" s="2"/>
      <c r="P295" s="2"/>
      <c r="Q295" s="2"/>
      <c r="R295" s="2"/>
    </row>
    <row r="296" spans="1:18" x14ac:dyDescent="0.25">
      <c r="A296" s="2"/>
      <c r="B296" s="2"/>
      <c r="C296" s="2"/>
      <c r="D296" s="2"/>
      <c r="E296" s="2"/>
      <c r="F296" s="2"/>
      <c r="G296" s="2"/>
      <c r="H296" s="2"/>
      <c r="I296" s="2"/>
      <c r="J296" s="2"/>
      <c r="K296" s="2"/>
      <c r="L296" s="2"/>
      <c r="M296" s="2"/>
      <c r="N296" s="2"/>
      <c r="O296" s="2"/>
      <c r="P296" s="2"/>
      <c r="Q296" s="2"/>
      <c r="R296" s="2"/>
    </row>
    <row r="297" spans="1:18" x14ac:dyDescent="0.25">
      <c r="A297" s="2"/>
      <c r="B297" s="2"/>
      <c r="C297" s="2"/>
      <c r="D297" s="2"/>
      <c r="E297" s="2"/>
      <c r="F297" s="2"/>
      <c r="G297" s="2"/>
      <c r="H297" s="2"/>
      <c r="I297" s="2"/>
      <c r="J297" s="2"/>
      <c r="K297" s="2"/>
      <c r="L297" s="2"/>
      <c r="M297" s="2"/>
      <c r="N297" s="2"/>
      <c r="O297" s="2"/>
      <c r="P297" s="2"/>
      <c r="Q297" s="2"/>
      <c r="R297" s="2"/>
    </row>
    <row r="298" spans="1:18" x14ac:dyDescent="0.25">
      <c r="A298" s="2"/>
      <c r="B298" s="2"/>
      <c r="C298" s="2"/>
      <c r="D298" s="2"/>
      <c r="E298" s="2"/>
      <c r="F298" s="2"/>
      <c r="G298" s="2"/>
      <c r="H298" s="2"/>
      <c r="I298" s="2"/>
      <c r="J298" s="2"/>
      <c r="K298" s="2"/>
      <c r="L298" s="2"/>
      <c r="M298" s="2"/>
      <c r="N298" s="2"/>
      <c r="O298" s="2"/>
      <c r="P298" s="2"/>
      <c r="Q298" s="2"/>
      <c r="R298" s="2"/>
    </row>
    <row r="299" spans="1:18" x14ac:dyDescent="0.25">
      <c r="A299" s="2"/>
      <c r="B299" s="2"/>
      <c r="C299" s="2"/>
      <c r="D299" s="2"/>
      <c r="E299" s="2"/>
      <c r="F299" s="2"/>
      <c r="G299" s="2"/>
      <c r="H299" s="2"/>
      <c r="I299" s="2"/>
      <c r="J299" s="2"/>
      <c r="K299" s="2"/>
      <c r="L299" s="2"/>
      <c r="M299" s="2"/>
      <c r="N299" s="2"/>
      <c r="O299" s="2"/>
      <c r="P299" s="2"/>
      <c r="Q299" s="2"/>
      <c r="R299" s="2"/>
    </row>
    <row r="300" spans="1:18" x14ac:dyDescent="0.25">
      <c r="A300" s="2"/>
      <c r="B300" s="2"/>
      <c r="C300" s="2"/>
      <c r="D300" s="2"/>
      <c r="E300" s="2"/>
      <c r="F300" s="2"/>
      <c r="G300" s="2"/>
      <c r="H300" s="2"/>
      <c r="I300" s="2"/>
      <c r="J300" s="2"/>
      <c r="K300" s="2"/>
      <c r="L300" s="2"/>
      <c r="M300" s="2"/>
      <c r="N300" s="2"/>
      <c r="O300" s="2"/>
      <c r="P300" s="2"/>
      <c r="Q300" s="2"/>
      <c r="R300" s="2"/>
    </row>
    <row r="301" spans="1:18" x14ac:dyDescent="0.25">
      <c r="A301" s="2"/>
      <c r="B301" s="2"/>
      <c r="C301" s="2"/>
      <c r="D301" s="2"/>
      <c r="E301" s="2"/>
      <c r="F301" s="2"/>
      <c r="G301" s="2"/>
      <c r="H301" s="2"/>
      <c r="I301" s="2"/>
      <c r="J301" s="2"/>
      <c r="K301" s="2"/>
      <c r="L301" s="2"/>
      <c r="M301" s="2"/>
      <c r="N301" s="2"/>
      <c r="O301" s="2"/>
      <c r="P301" s="2"/>
      <c r="Q301" s="2"/>
      <c r="R301" s="2"/>
    </row>
    <row r="302" spans="1:18" x14ac:dyDescent="0.25">
      <c r="A302" s="2"/>
      <c r="B302" s="2"/>
      <c r="C302" s="2"/>
      <c r="D302" s="2"/>
      <c r="E302" s="2"/>
      <c r="F302" s="2"/>
      <c r="G302" s="2"/>
      <c r="H302" s="2"/>
      <c r="I302" s="2"/>
      <c r="J302" s="2"/>
      <c r="K302" s="2"/>
      <c r="L302" s="2"/>
      <c r="M302" s="2"/>
      <c r="N302" s="2"/>
      <c r="O302" s="2"/>
      <c r="P302" s="2"/>
      <c r="Q302" s="2"/>
      <c r="R302" s="2"/>
    </row>
    <row r="303" spans="1:18" x14ac:dyDescent="0.25">
      <c r="A303" s="2"/>
      <c r="B303" s="2"/>
      <c r="C303" s="2"/>
      <c r="D303" s="2"/>
      <c r="E303" s="2"/>
      <c r="F303" s="2"/>
      <c r="G303" s="2"/>
      <c r="H303" s="2"/>
      <c r="I303" s="2"/>
      <c r="J303" s="2"/>
      <c r="K303" s="2"/>
      <c r="L303" s="2"/>
      <c r="M303" s="2"/>
      <c r="N303" s="2"/>
      <c r="O303" s="2"/>
      <c r="P303" s="2"/>
      <c r="Q303" s="2"/>
      <c r="R303" s="2"/>
    </row>
    <row r="304" spans="1:18" x14ac:dyDescent="0.25">
      <c r="A304" s="2"/>
      <c r="B304" s="2"/>
      <c r="C304" s="2"/>
      <c r="D304" s="2"/>
      <c r="E304" s="2"/>
      <c r="F304" s="2"/>
      <c r="G304" s="2"/>
      <c r="H304" s="2"/>
      <c r="I304" s="2"/>
      <c r="J304" s="2"/>
      <c r="K304" s="2"/>
      <c r="L304" s="2"/>
      <c r="M304" s="2"/>
      <c r="N304" s="2"/>
      <c r="O304" s="2"/>
      <c r="P304" s="2"/>
      <c r="Q304" s="2"/>
      <c r="R304" s="2"/>
    </row>
    <row r="305" spans="1:18" x14ac:dyDescent="0.25">
      <c r="A305" s="2"/>
      <c r="B305" s="2"/>
      <c r="C305" s="2"/>
      <c r="D305" s="2"/>
      <c r="E305" s="2"/>
      <c r="F305" s="2"/>
      <c r="G305" s="2"/>
      <c r="H305" s="2"/>
      <c r="I305" s="2"/>
      <c r="J305" s="2"/>
      <c r="K305" s="2"/>
      <c r="L305" s="2"/>
      <c r="M305" s="2"/>
      <c r="N305" s="2"/>
      <c r="O305" s="2"/>
      <c r="P305" s="2"/>
      <c r="Q305" s="2"/>
      <c r="R305" s="2"/>
    </row>
    <row r="306" spans="1:18" x14ac:dyDescent="0.25">
      <c r="A306" s="2"/>
      <c r="B306" s="2"/>
      <c r="C306" s="2"/>
      <c r="D306" s="2"/>
      <c r="E306" s="2"/>
      <c r="F306" s="2"/>
      <c r="G306" s="2"/>
      <c r="H306" s="2"/>
      <c r="I306" s="2"/>
      <c r="J306" s="2"/>
      <c r="K306" s="2"/>
      <c r="L306" s="2"/>
      <c r="M306" s="2"/>
      <c r="N306" s="2"/>
      <c r="O306" s="2"/>
      <c r="P306" s="2"/>
      <c r="Q306" s="2"/>
      <c r="R306" s="2"/>
    </row>
    <row r="307" spans="1:18" x14ac:dyDescent="0.25">
      <c r="A307" s="2"/>
      <c r="B307" s="2"/>
      <c r="C307" s="2"/>
      <c r="D307" s="2"/>
      <c r="E307" s="2"/>
      <c r="F307" s="2"/>
      <c r="G307" s="2"/>
      <c r="H307" s="2"/>
      <c r="I307" s="2"/>
      <c r="J307" s="2"/>
      <c r="K307" s="2"/>
      <c r="L307" s="2"/>
      <c r="M307" s="2"/>
      <c r="N307" s="2"/>
      <c r="O307" s="2"/>
      <c r="P307" s="2"/>
      <c r="Q307" s="2"/>
      <c r="R307" s="2"/>
    </row>
    <row r="308" spans="1:18" x14ac:dyDescent="0.25">
      <c r="A308" s="2"/>
      <c r="B308" s="2"/>
      <c r="C308" s="2"/>
      <c r="D308" s="2"/>
      <c r="E308" s="2"/>
      <c r="F308" s="2"/>
      <c r="G308" s="2"/>
      <c r="H308" s="2"/>
      <c r="I308" s="2"/>
      <c r="J308" s="2"/>
      <c r="K308" s="2"/>
      <c r="L308" s="2"/>
      <c r="M308" s="2"/>
      <c r="N308" s="2"/>
      <c r="O308" s="2"/>
      <c r="P308" s="2"/>
      <c r="Q308" s="2"/>
      <c r="R308" s="2"/>
    </row>
    <row r="309" spans="1:18" x14ac:dyDescent="0.25">
      <c r="A309" s="2"/>
      <c r="B309" s="2"/>
      <c r="C309" s="2"/>
      <c r="D309" s="2"/>
      <c r="E309" s="2"/>
      <c r="F309" s="2"/>
      <c r="G309" s="2"/>
      <c r="H309" s="2"/>
      <c r="I309" s="2"/>
      <c r="J309" s="2"/>
      <c r="K309" s="2"/>
      <c r="L309" s="2"/>
      <c r="M309" s="2"/>
      <c r="N309" s="2"/>
      <c r="O309" s="2"/>
      <c r="P309" s="2"/>
      <c r="Q309" s="2"/>
      <c r="R309" s="2"/>
    </row>
    <row r="310" spans="1:18" x14ac:dyDescent="0.25">
      <c r="A310" s="2"/>
      <c r="B310" s="2"/>
      <c r="C310" s="2"/>
      <c r="D310" s="2"/>
      <c r="E310" s="2"/>
      <c r="F310" s="2"/>
      <c r="G310" s="2"/>
      <c r="H310" s="2"/>
      <c r="I310" s="2"/>
      <c r="J310" s="2"/>
      <c r="K310" s="2"/>
      <c r="L310" s="2"/>
      <c r="M310" s="2"/>
      <c r="N310" s="2"/>
      <c r="O310" s="2"/>
      <c r="P310" s="2"/>
      <c r="Q310" s="2"/>
      <c r="R310" s="2"/>
    </row>
    <row r="311" spans="1:18" x14ac:dyDescent="0.25">
      <c r="A311" s="2"/>
      <c r="B311" s="2"/>
      <c r="C311" s="2"/>
      <c r="D311" s="2"/>
      <c r="E311" s="2"/>
      <c r="F311" s="2"/>
      <c r="G311" s="2"/>
      <c r="H311" s="2"/>
      <c r="I311" s="2"/>
      <c r="J311" s="2"/>
      <c r="K311" s="2"/>
      <c r="L311" s="2"/>
      <c r="M311" s="2"/>
      <c r="N311" s="2"/>
      <c r="O311" s="2"/>
      <c r="P311" s="2"/>
      <c r="Q311" s="2"/>
      <c r="R311" s="2"/>
    </row>
    <row r="312" spans="1:18" x14ac:dyDescent="0.25">
      <c r="A312" s="2"/>
      <c r="B312" s="2"/>
      <c r="C312" s="2"/>
      <c r="D312" s="2"/>
      <c r="E312" s="2"/>
      <c r="F312" s="2"/>
      <c r="G312" s="2"/>
      <c r="H312" s="2"/>
      <c r="I312" s="2"/>
      <c r="J312" s="2"/>
      <c r="K312" s="2"/>
      <c r="L312" s="2"/>
      <c r="M312" s="2"/>
      <c r="N312" s="2"/>
      <c r="O312" s="2"/>
      <c r="P312" s="2"/>
      <c r="Q312" s="2"/>
      <c r="R312" s="2"/>
    </row>
    <row r="313" spans="1:18" x14ac:dyDescent="0.25">
      <c r="A313" s="2"/>
      <c r="B313" s="2"/>
      <c r="C313" s="2"/>
      <c r="D313" s="2"/>
      <c r="E313" s="2"/>
      <c r="F313" s="2"/>
      <c r="G313" s="2"/>
      <c r="H313" s="2"/>
      <c r="I313" s="2"/>
      <c r="J313" s="2"/>
      <c r="K313" s="2"/>
      <c r="L313" s="2"/>
      <c r="M313" s="2"/>
      <c r="N313" s="2"/>
      <c r="O313" s="2"/>
      <c r="P313" s="2"/>
      <c r="Q313" s="2"/>
      <c r="R313" s="2"/>
    </row>
    <row r="314" spans="1:18" x14ac:dyDescent="0.25">
      <c r="A314" s="2"/>
      <c r="B314" s="2"/>
      <c r="C314" s="2"/>
      <c r="D314" s="2"/>
      <c r="E314" s="2"/>
      <c r="F314" s="2"/>
      <c r="G314" s="2"/>
      <c r="H314" s="2"/>
      <c r="I314" s="2"/>
      <c r="J314" s="2"/>
      <c r="K314" s="2"/>
      <c r="L314" s="2"/>
      <c r="M314" s="2"/>
      <c r="N314" s="2"/>
      <c r="O314" s="2"/>
      <c r="P314" s="2"/>
      <c r="Q314" s="2"/>
      <c r="R314" s="2"/>
    </row>
    <row r="315" spans="1:18" x14ac:dyDescent="0.25">
      <c r="A315" s="2"/>
      <c r="B315" s="2"/>
      <c r="C315" s="2"/>
      <c r="D315" s="2"/>
      <c r="E315" s="2"/>
      <c r="F315" s="2"/>
      <c r="G315" s="2"/>
      <c r="H315" s="2"/>
      <c r="I315" s="2"/>
      <c r="J315" s="2"/>
      <c r="K315" s="2"/>
      <c r="L315" s="2"/>
      <c r="M315" s="2"/>
      <c r="N315" s="2"/>
      <c r="O315" s="2"/>
      <c r="P315" s="2"/>
      <c r="Q315" s="2"/>
      <c r="R315" s="2"/>
    </row>
    <row r="316" spans="1:18" x14ac:dyDescent="0.25">
      <c r="A316" s="2"/>
      <c r="B316" s="2"/>
      <c r="C316" s="2"/>
      <c r="D316" s="2"/>
      <c r="E316" s="2"/>
      <c r="F316" s="2"/>
      <c r="G316" s="2"/>
      <c r="H316" s="2"/>
      <c r="I316" s="2"/>
      <c r="J316" s="2"/>
      <c r="K316" s="2"/>
      <c r="L316" s="2"/>
      <c r="M316" s="2"/>
      <c r="N316" s="2"/>
      <c r="O316" s="2"/>
      <c r="P316" s="2"/>
      <c r="Q316" s="2"/>
      <c r="R316" s="2"/>
    </row>
    <row r="317" spans="1:18" x14ac:dyDescent="0.25">
      <c r="A317" s="2"/>
      <c r="B317" s="2"/>
      <c r="C317" s="2"/>
      <c r="D317" s="2"/>
      <c r="E317" s="2"/>
      <c r="F317" s="2"/>
      <c r="G317" s="2"/>
      <c r="H317" s="2"/>
      <c r="I317" s="2"/>
      <c r="J317" s="2"/>
      <c r="K317" s="2"/>
      <c r="L317" s="2"/>
      <c r="M317" s="2"/>
      <c r="N317" s="2"/>
      <c r="O317" s="2"/>
      <c r="P317" s="2"/>
      <c r="Q317" s="2"/>
      <c r="R317" s="2"/>
    </row>
    <row r="318" spans="1:18" x14ac:dyDescent="0.25">
      <c r="A318" s="2"/>
      <c r="B318" s="2"/>
      <c r="C318" s="2"/>
      <c r="D318" s="2"/>
      <c r="E318" s="2"/>
      <c r="F318" s="2"/>
      <c r="G318" s="2"/>
      <c r="H318" s="2"/>
      <c r="I318" s="2"/>
      <c r="J318" s="2"/>
      <c r="K318" s="2"/>
      <c r="L318" s="2"/>
      <c r="M318" s="2"/>
      <c r="N318" s="2"/>
      <c r="O318" s="2"/>
      <c r="P318" s="2"/>
      <c r="Q318" s="2"/>
      <c r="R318" s="2"/>
    </row>
    <row r="319" spans="1:18" x14ac:dyDescent="0.25">
      <c r="A319" s="2"/>
      <c r="B319" s="2"/>
      <c r="C319" s="2"/>
      <c r="D319" s="2"/>
      <c r="E319" s="2"/>
      <c r="F319" s="2"/>
      <c r="G319" s="2"/>
      <c r="H319" s="2"/>
      <c r="I319" s="2"/>
      <c r="J319" s="2"/>
      <c r="K319" s="2"/>
      <c r="L319" s="2"/>
      <c r="M319" s="2"/>
      <c r="N319" s="2"/>
      <c r="O319" s="2"/>
      <c r="P319" s="2"/>
      <c r="Q319" s="2"/>
      <c r="R319" s="2"/>
    </row>
    <row r="320" spans="1:18" x14ac:dyDescent="0.25">
      <c r="A320" s="2"/>
      <c r="B320" s="2"/>
      <c r="C320" s="2"/>
      <c r="D320" s="2"/>
      <c r="E320" s="2"/>
      <c r="F320" s="2"/>
      <c r="G320" s="2"/>
      <c r="H320" s="2"/>
      <c r="I320" s="2"/>
      <c r="J320" s="2"/>
      <c r="K320" s="2"/>
      <c r="L320" s="2"/>
      <c r="M320" s="2"/>
      <c r="N320" s="2"/>
      <c r="O320" s="2"/>
      <c r="P320" s="2"/>
      <c r="Q320" s="2"/>
      <c r="R320" s="2"/>
    </row>
    <row r="321" spans="1:18" x14ac:dyDescent="0.25">
      <c r="A321" s="2"/>
      <c r="B321" s="2"/>
      <c r="C321" s="2"/>
      <c r="D321" s="2"/>
      <c r="E321" s="2"/>
      <c r="F321" s="2"/>
      <c r="G321" s="2"/>
      <c r="H321" s="2"/>
      <c r="I321" s="2"/>
      <c r="J321" s="2"/>
      <c r="K321" s="2"/>
      <c r="L321" s="2"/>
      <c r="M321" s="2"/>
      <c r="N321" s="2"/>
      <c r="O321" s="2"/>
      <c r="P321" s="2"/>
      <c r="Q321" s="2"/>
      <c r="R321" s="2"/>
    </row>
    <row r="322" spans="1:18" x14ac:dyDescent="0.25">
      <c r="A322" s="2"/>
      <c r="B322" s="2"/>
      <c r="C322" s="2"/>
      <c r="D322" s="2"/>
      <c r="E322" s="2"/>
      <c r="F322" s="2"/>
      <c r="G322" s="2"/>
      <c r="H322" s="2"/>
      <c r="I322" s="2"/>
      <c r="J322" s="2"/>
      <c r="K322" s="2"/>
      <c r="L322" s="2"/>
      <c r="M322" s="2"/>
      <c r="N322" s="2"/>
      <c r="O322" s="2"/>
      <c r="P322" s="2"/>
      <c r="Q322" s="2"/>
      <c r="R322" s="2"/>
    </row>
    <row r="323" spans="1:18" x14ac:dyDescent="0.25">
      <c r="A323" s="2"/>
      <c r="B323" s="2"/>
      <c r="C323" s="2"/>
      <c r="D323" s="2"/>
      <c r="E323" s="2"/>
      <c r="F323" s="2"/>
      <c r="G323" s="2"/>
      <c r="H323" s="2"/>
      <c r="I323" s="2"/>
      <c r="J323" s="2"/>
      <c r="K323" s="2"/>
      <c r="L323" s="2"/>
      <c r="M323" s="2"/>
      <c r="N323" s="2"/>
      <c r="O323" s="2"/>
      <c r="P323" s="2"/>
      <c r="Q323" s="2"/>
      <c r="R323" s="2"/>
    </row>
    <row r="324" spans="1:18" x14ac:dyDescent="0.25">
      <c r="A324" s="2"/>
      <c r="B324" s="2"/>
      <c r="C324" s="2"/>
      <c r="D324" s="2"/>
      <c r="E324" s="2"/>
      <c r="F324" s="2"/>
      <c r="G324" s="2"/>
      <c r="H324" s="2"/>
      <c r="I324" s="2"/>
      <c r="J324" s="2"/>
      <c r="K324" s="2"/>
      <c r="L324" s="2"/>
      <c r="M324" s="2"/>
      <c r="N324" s="2"/>
      <c r="O324" s="2"/>
      <c r="P324" s="2"/>
      <c r="Q324" s="2"/>
      <c r="R324" s="2"/>
    </row>
    <row r="325" spans="1:18" x14ac:dyDescent="0.25">
      <c r="A325" s="2"/>
      <c r="B325" s="2"/>
      <c r="C325" s="2"/>
      <c r="D325" s="2"/>
      <c r="E325" s="2"/>
      <c r="F325" s="2"/>
      <c r="G325" s="2"/>
      <c r="H325" s="2"/>
      <c r="I325" s="2"/>
      <c r="J325" s="2"/>
      <c r="K325" s="2"/>
      <c r="L325" s="2"/>
      <c r="M325" s="2"/>
      <c r="N325" s="2"/>
      <c r="O325" s="2"/>
      <c r="P325" s="2"/>
      <c r="Q325" s="2"/>
      <c r="R325" s="2"/>
    </row>
  </sheetData>
  <sheetProtection algorithmName="SHA-512" hashValue="b5N1jOnA9dJgwIqTJybM5dVmBoF+ShVQldZipHEG4IDhqxqC6w4J2pMagh8MbDNLhRP49vDoVMMOA1DRjHx3/g==" saltValue="OAJPXv7OMYQB1z4x3PsuGw==" spinCount="100000" sheet="1" selectLockedCells="1" selectUnlockedCells="1"/>
  <protectedRanges>
    <protectedRange sqref="F47:F48 F50 F35:F36" name="Intervallo1_5_1"/>
  </protectedRanges>
  <customSheetViews>
    <customSheetView guid="{5E8F20A8-8220-4169-B947-2AB764A2AA7B}" scale="85" showGridLines="0" showRowCol="0">
      <selection activeCell="K158" sqref="K158"/>
      <pageMargins left="0.7" right="0.7" top="0.75" bottom="0.75" header="0.3" footer="0.3"/>
    </customSheetView>
    <customSheetView guid="{9F540994-A66B-4083-BD64-035E71878618}" scale="85" showGridLines="0" showRowCol="0" topLeftCell="A89">
      <selection activeCell="N105" sqref="N105"/>
      <pageMargins left="0.7" right="0.7" top="0.75" bottom="0.75" header="0.3" footer="0.3"/>
    </customSheetView>
  </customSheetViews>
  <mergeCells count="9">
    <mergeCell ref="J60:J61"/>
    <mergeCell ref="K60:L61"/>
    <mergeCell ref="D6:E6"/>
    <mergeCell ref="B165:B166"/>
    <mergeCell ref="B168:B169"/>
    <mergeCell ref="B7:C7"/>
    <mergeCell ref="B57:C57"/>
    <mergeCell ref="B63:C63"/>
    <mergeCell ref="B6:C6"/>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1"/>
  <sheetViews>
    <sheetView showGridLines="0" showRowColHeaders="0" workbookViewId="0">
      <selection activeCell="P13" sqref="P13"/>
    </sheetView>
  </sheetViews>
  <sheetFormatPr defaultRowHeight="15" x14ac:dyDescent="0.25"/>
  <cols>
    <col min="7" max="7" width="11.140625" customWidth="1"/>
    <col min="8" max="8" width="17.5703125" customWidth="1"/>
    <col min="9" max="9" width="10.5703125" customWidth="1"/>
  </cols>
  <sheetData>
    <row r="1" spans="1:19" x14ac:dyDescent="0.25">
      <c r="A1" s="429"/>
      <c r="B1" s="429"/>
      <c r="C1" s="429"/>
      <c r="D1" s="429"/>
      <c r="E1" s="429"/>
      <c r="F1" s="429"/>
      <c r="G1" s="429"/>
      <c r="H1" s="429"/>
      <c r="I1" s="429"/>
      <c r="J1" s="429"/>
      <c r="K1" s="429"/>
      <c r="L1" s="429"/>
      <c r="M1" s="429"/>
      <c r="N1" s="429"/>
      <c r="O1" s="429"/>
      <c r="P1" s="429"/>
      <c r="Q1" s="429"/>
      <c r="R1" s="429"/>
      <c r="S1" s="429"/>
    </row>
    <row r="2" spans="1:19" x14ac:dyDescent="0.25">
      <c r="A2" s="429"/>
      <c r="B2" s="1051" t="s">
        <v>702</v>
      </c>
      <c r="C2" s="1051"/>
      <c r="D2" s="649"/>
      <c r="E2" s="429"/>
      <c r="F2" s="429"/>
      <c r="G2" s="429"/>
      <c r="H2" s="429"/>
      <c r="I2" s="429"/>
      <c r="J2" s="429"/>
      <c r="K2" s="429"/>
      <c r="L2" s="429"/>
      <c r="M2" s="429"/>
      <c r="N2" s="429"/>
      <c r="O2" s="429"/>
      <c r="P2" s="429"/>
      <c r="Q2" s="429"/>
      <c r="R2" s="429"/>
      <c r="S2" s="429"/>
    </row>
    <row r="3" spans="1:19" x14ac:dyDescent="0.25">
      <c r="A3" s="429"/>
      <c r="B3" s="305" t="s">
        <v>703</v>
      </c>
      <c r="C3" s="631" t="s">
        <v>704</v>
      </c>
      <c r="D3" s="20"/>
      <c r="E3" s="429"/>
      <c r="F3" s="429"/>
      <c r="G3" s="429"/>
      <c r="H3" s="429"/>
      <c r="I3" s="429"/>
      <c r="J3" s="429"/>
      <c r="K3" s="429"/>
      <c r="L3" s="429"/>
      <c r="M3" s="429"/>
      <c r="N3" s="429"/>
      <c r="O3" s="429"/>
      <c r="P3" s="429"/>
      <c r="Q3" s="429"/>
      <c r="R3" s="429"/>
      <c r="S3" s="429"/>
    </row>
    <row r="4" spans="1:19" x14ac:dyDescent="0.25">
      <c r="A4" s="429"/>
      <c r="B4" s="305" t="s">
        <v>705</v>
      </c>
      <c r="C4" s="631" t="s">
        <v>706</v>
      </c>
      <c r="D4" s="20"/>
      <c r="E4" s="429"/>
      <c r="F4" s="429"/>
      <c r="G4" s="429"/>
      <c r="H4" s="429"/>
      <c r="I4" s="429"/>
      <c r="J4" s="429"/>
      <c r="K4" s="429"/>
      <c r="L4" s="429"/>
      <c r="M4" s="429"/>
      <c r="N4" s="429"/>
      <c r="O4" s="429"/>
      <c r="P4" s="429"/>
      <c r="Q4" s="429"/>
      <c r="R4" s="429"/>
      <c r="S4" s="429"/>
    </row>
    <row r="5" spans="1:19" x14ac:dyDescent="0.25">
      <c r="A5" s="429"/>
      <c r="B5" s="633">
        <v>0</v>
      </c>
      <c r="C5" s="646">
        <f>1/DATI!$E$38*IF(B5&lt;DATI!$E$45,DATI!$E$32*DATI!$E$42*DATI!$E$49*DATI!$E$33*(B5/DATI!$E$45+1/(DATI!$E$49*DATI!$E$33)*(1-B5/DATI!$E$45)),IF(B5&lt;DATI!$E$46,DATI!$E$32*DATI!$E$42*DATI!$E$49*DATI!$E$33,IF(B5&lt;DATI!$E$47,DATI!$E$32*DATI!$E$42*DATI!$E$49*DATI!$E$33*(DATI!$E$46/B5),DATI!$E$32*DATI!$E$42*DATI!$E$49*DATI!$E$33*((DATI!$E$46*DATI!$E$47)/B5^2))))</f>
        <v>0.20289618600856621</v>
      </c>
      <c r="D5" s="306"/>
      <c r="E5" s="429"/>
      <c r="F5" s="429"/>
      <c r="G5" s="429"/>
      <c r="H5" s="429"/>
      <c r="I5" s="429"/>
      <c r="J5" s="429"/>
      <c r="K5" s="429"/>
      <c r="L5" s="429"/>
      <c r="M5" s="429"/>
      <c r="N5" s="429"/>
      <c r="O5" s="429"/>
      <c r="P5" s="429"/>
      <c r="Q5" s="429"/>
      <c r="R5" s="429"/>
      <c r="S5" s="429"/>
    </row>
    <row r="6" spans="1:19" x14ac:dyDescent="0.25">
      <c r="A6" s="429"/>
      <c r="B6" s="633">
        <f t="shared" ref="B6:B69" si="0">0.01+B5</f>
        <v>0.01</v>
      </c>
      <c r="C6" s="646">
        <f>1/DATI!$E$38*IF(B6&lt;DATI!$E$45,DATI!$E$32*DATI!$E$42*DATI!$E$49*DATI!$E$33*(B6/DATI!$E$45+1/(DATI!$E$49*DATI!$E$33)*(1-B6/DATI!$E$45)),IF(B6&lt;DATI!$E$46,DATI!$E$32*DATI!$E$42*DATI!$E$49*DATI!$E$33,IF(B6&lt;DATI!$E$47,DATI!$E$32*DATI!$E$42*DATI!$E$49*DATI!$E$33*(DATI!$E$46/B6),DATI!$E$32*DATI!$E$42*DATI!$E$49*DATI!$E$33*((DATI!$E$46*DATI!$E$47)/B6^2))))</f>
        <v>0.22454078675978195</v>
      </c>
      <c r="D6" s="306"/>
      <c r="E6" s="429"/>
      <c r="F6" s="429"/>
      <c r="G6" s="429"/>
      <c r="H6" s="429"/>
      <c r="I6" s="429"/>
      <c r="J6" s="429"/>
      <c r="K6" s="429"/>
      <c r="L6" s="429"/>
      <c r="M6" s="429"/>
      <c r="N6" s="429"/>
      <c r="O6" s="429"/>
      <c r="P6" s="429"/>
      <c r="Q6" s="429"/>
      <c r="R6" s="429"/>
      <c r="S6" s="429"/>
    </row>
    <row r="7" spans="1:19" x14ac:dyDescent="0.25">
      <c r="A7" s="429"/>
      <c r="B7" s="633">
        <f t="shared" si="0"/>
        <v>0.02</v>
      </c>
      <c r="C7" s="646">
        <f>1/DATI!$E$38*IF(B7&lt;DATI!$E$45,DATI!$E$32*DATI!$E$42*DATI!$E$49*DATI!$E$33*(B7/DATI!$E$45+1/(DATI!$E$49*DATI!$E$33)*(1-B7/DATI!$E$45)),IF(B7&lt;DATI!$E$46,DATI!$E$32*DATI!$E$42*DATI!$E$49*DATI!$E$33,IF(B7&lt;DATI!$E$47,DATI!$E$32*DATI!$E$42*DATI!$E$49*DATI!$E$33*(DATI!$E$46/B7),DATI!$E$32*DATI!$E$42*DATI!$E$49*DATI!$E$33*((DATI!$E$46*DATI!$E$47)/B7^2))))</f>
        <v>0.24618538751099775</v>
      </c>
      <c r="D7" s="306"/>
      <c r="E7" s="429"/>
      <c r="F7" s="429"/>
      <c r="G7" s="429"/>
      <c r="H7" s="429"/>
      <c r="I7" s="429"/>
      <c r="J7" s="429"/>
      <c r="K7" s="429"/>
      <c r="L7" s="429"/>
      <c r="M7" s="429"/>
      <c r="N7" s="429"/>
      <c r="O7" s="429"/>
      <c r="P7" s="429"/>
      <c r="Q7" s="429"/>
      <c r="R7" s="429"/>
      <c r="S7" s="429"/>
    </row>
    <row r="8" spans="1:19" x14ac:dyDescent="0.25">
      <c r="A8" s="429"/>
      <c r="B8" s="633">
        <f t="shared" si="0"/>
        <v>0.03</v>
      </c>
      <c r="C8" s="646">
        <f>1/DATI!$E$38*IF(B8&lt;DATI!$E$45,DATI!$E$32*DATI!$E$42*DATI!$E$49*DATI!$E$33*(B8/DATI!$E$45+1/(DATI!$E$49*DATI!$E$33)*(1-B8/DATI!$E$45)),IF(B8&lt;DATI!$E$46,DATI!$E$32*DATI!$E$42*DATI!$E$49*DATI!$E$33,IF(B8&lt;DATI!$E$47,DATI!$E$32*DATI!$E$42*DATI!$E$49*DATI!$E$33*(DATI!$E$46/B8),DATI!$E$32*DATI!$E$42*DATI!$E$49*DATI!$E$33*((DATI!$E$46*DATI!$E$47)/B8^2))))</f>
        <v>0.26782998826221355</v>
      </c>
      <c r="D8" s="306"/>
      <c r="E8" s="24"/>
      <c r="F8" s="429"/>
      <c r="G8" s="429"/>
      <c r="H8" s="429"/>
      <c r="I8" s="429"/>
      <c r="J8" s="429"/>
      <c r="K8" s="429"/>
      <c r="L8" s="429"/>
      <c r="M8" s="429"/>
      <c r="N8" s="429"/>
      <c r="O8" s="429"/>
      <c r="P8" s="429"/>
      <c r="Q8" s="429"/>
      <c r="R8" s="429"/>
      <c r="S8" s="429"/>
    </row>
    <row r="9" spans="1:19" x14ac:dyDescent="0.25">
      <c r="A9" s="429"/>
      <c r="B9" s="633">
        <f t="shared" si="0"/>
        <v>0.04</v>
      </c>
      <c r="C9" s="646">
        <f>1/DATI!$E$38*IF(B9&lt;DATI!$E$45,DATI!$E$32*DATI!$E$42*DATI!$E$49*DATI!$E$33*(B9/DATI!$E$45+1/(DATI!$E$49*DATI!$E$33)*(1-B9/DATI!$E$45)),IF(B9&lt;DATI!$E$46,DATI!$E$32*DATI!$E$42*DATI!$E$49*DATI!$E$33,IF(B9&lt;DATI!$E$47,DATI!$E$32*DATI!$E$42*DATI!$E$49*DATI!$E$33*(DATI!$E$46/B9),DATI!$E$32*DATI!$E$42*DATI!$E$49*DATI!$E$33*((DATI!$E$46*DATI!$E$47)/B9^2))))</f>
        <v>0.28947458901342932</v>
      </c>
      <c r="D9" s="306"/>
      <c r="E9" s="429"/>
      <c r="F9" s="429"/>
      <c r="G9" s="429"/>
      <c r="H9" s="429"/>
      <c r="I9" s="429"/>
      <c r="J9" s="429"/>
      <c r="K9" s="429"/>
      <c r="L9" s="429"/>
      <c r="M9" s="429"/>
      <c r="N9" s="429"/>
      <c r="O9" s="429"/>
      <c r="P9" s="429"/>
      <c r="Q9" s="429"/>
      <c r="R9" s="429"/>
      <c r="S9" s="429"/>
    </row>
    <row r="10" spans="1:19" x14ac:dyDescent="0.25">
      <c r="A10" s="429"/>
      <c r="B10" s="633">
        <f t="shared" si="0"/>
        <v>0.05</v>
      </c>
      <c r="C10" s="646">
        <f>1/DATI!$E$38*IF(B10&lt;DATI!$E$45,DATI!$E$32*DATI!$E$42*DATI!$E$49*DATI!$E$33*(B10/DATI!$E$45+1/(DATI!$E$49*DATI!$E$33)*(1-B10/DATI!$E$45)),IF(B10&lt;DATI!$E$46,DATI!$E$32*DATI!$E$42*DATI!$E$49*DATI!$E$33,IF(B10&lt;DATI!$E$47,DATI!$E$32*DATI!$E$42*DATI!$E$49*DATI!$E$33*(DATI!$E$46/B10),DATI!$E$32*DATI!$E$42*DATI!$E$49*DATI!$E$33*((DATI!$E$46*DATI!$E$47)/B10^2))))</f>
        <v>0.31111918976464509</v>
      </c>
      <c r="D10" s="306"/>
      <c r="E10" s="429"/>
      <c r="F10" s="429"/>
      <c r="G10" s="429"/>
      <c r="H10" s="429"/>
      <c r="I10" s="429"/>
      <c r="J10" s="429"/>
      <c r="K10" s="429"/>
      <c r="L10" s="429"/>
      <c r="M10" s="429"/>
      <c r="N10" s="429"/>
      <c r="O10" s="429"/>
      <c r="P10" s="429"/>
      <c r="Q10" s="429"/>
      <c r="R10" s="429"/>
      <c r="S10" s="429"/>
    </row>
    <row r="11" spans="1:19" x14ac:dyDescent="0.25">
      <c r="A11" s="429"/>
      <c r="B11" s="633">
        <f t="shared" si="0"/>
        <v>6.0000000000000005E-2</v>
      </c>
      <c r="C11" s="646">
        <f>1/DATI!$E$38*IF(B11&lt;DATI!$E$45,DATI!$E$32*DATI!$E$42*DATI!$E$49*DATI!$E$33*(B11/DATI!$E$45+1/(DATI!$E$49*DATI!$E$33)*(1-B11/DATI!$E$45)),IF(B11&lt;DATI!$E$46,DATI!$E$32*DATI!$E$42*DATI!$E$49*DATI!$E$33,IF(B11&lt;DATI!$E$47,DATI!$E$32*DATI!$E$42*DATI!$E$49*DATI!$E$33*(DATI!$E$46/B11),DATI!$E$32*DATI!$E$42*DATI!$E$49*DATI!$E$33*((DATI!$E$46*DATI!$E$47)/B11^2))))</f>
        <v>0.33276379051586086</v>
      </c>
      <c r="D11" s="306"/>
      <c r="E11" s="429"/>
      <c r="F11" s="429"/>
      <c r="G11" s="429"/>
      <c r="H11" s="429"/>
      <c r="I11" s="429"/>
      <c r="J11" s="429"/>
      <c r="K11" s="429"/>
      <c r="L11" s="429"/>
      <c r="M11" s="429"/>
      <c r="N11" s="429"/>
      <c r="O11" s="429"/>
      <c r="P11" s="429"/>
      <c r="Q11" s="429"/>
      <c r="R11" s="429"/>
      <c r="S11" s="429"/>
    </row>
    <row r="12" spans="1:19" x14ac:dyDescent="0.25">
      <c r="A12" s="429"/>
      <c r="B12" s="633">
        <f t="shared" si="0"/>
        <v>7.0000000000000007E-2</v>
      </c>
      <c r="C12" s="646">
        <f>1/DATI!$E$38*IF(B12&lt;DATI!$E$45,DATI!$E$32*DATI!$E$42*DATI!$E$49*DATI!$E$33*(B12/DATI!$E$45+1/(DATI!$E$49*DATI!$E$33)*(1-B12/DATI!$E$45)),IF(B12&lt;DATI!$E$46,DATI!$E$32*DATI!$E$42*DATI!$E$49*DATI!$E$33,IF(B12&lt;DATI!$E$47,DATI!$E$32*DATI!$E$42*DATI!$E$49*DATI!$E$33*(DATI!$E$46/B12),DATI!$E$32*DATI!$E$42*DATI!$E$49*DATI!$E$33*((DATI!$E$46*DATI!$E$47)/B12^2))))</f>
        <v>0.35440839126707674</v>
      </c>
      <c r="D12" s="306"/>
      <c r="E12" s="429"/>
      <c r="F12" s="429"/>
      <c r="G12" s="429"/>
      <c r="H12" s="429"/>
      <c r="I12" s="429"/>
      <c r="J12" s="429"/>
      <c r="K12" s="429"/>
      <c r="L12" s="429"/>
      <c r="M12" s="429"/>
      <c r="N12" s="429"/>
      <c r="O12" s="429"/>
      <c r="P12" s="429"/>
      <c r="Q12" s="429"/>
      <c r="R12" s="429"/>
      <c r="S12" s="429"/>
    </row>
    <row r="13" spans="1:19" x14ac:dyDescent="0.25">
      <c r="A13" s="429"/>
      <c r="B13" s="633">
        <f t="shared" si="0"/>
        <v>0.08</v>
      </c>
      <c r="C13" s="646">
        <f>1/DATI!$E$38*IF(B13&lt;DATI!$E$45,DATI!$E$32*DATI!$E$42*DATI!$E$49*DATI!$E$33*(B13/DATI!$E$45+1/(DATI!$E$49*DATI!$E$33)*(1-B13/DATI!$E$45)),IF(B13&lt;DATI!$E$46,DATI!$E$32*DATI!$E$42*DATI!$E$49*DATI!$E$33,IF(B13&lt;DATI!$E$47,DATI!$E$32*DATI!$E$42*DATI!$E$49*DATI!$E$33*(DATI!$E$46/B13),DATI!$E$32*DATI!$E$42*DATI!$E$49*DATI!$E$33*((DATI!$E$46*DATI!$E$47)/B13^2))))</f>
        <v>0.37605299201829245</v>
      </c>
      <c r="D13" s="306"/>
      <c r="E13" s="429"/>
      <c r="F13" s="429"/>
      <c r="G13" s="429"/>
      <c r="H13" s="429"/>
      <c r="I13" s="429"/>
      <c r="J13" s="429"/>
      <c r="K13" s="429"/>
      <c r="L13" s="429"/>
      <c r="M13" s="429"/>
      <c r="N13" s="429"/>
      <c r="O13" s="429"/>
      <c r="P13" s="429"/>
      <c r="Q13" s="429"/>
      <c r="R13" s="429"/>
      <c r="S13" s="429"/>
    </row>
    <row r="14" spans="1:19" x14ac:dyDescent="0.25">
      <c r="A14" s="429"/>
      <c r="B14" s="633">
        <f t="shared" si="0"/>
        <v>0.09</v>
      </c>
      <c r="C14" s="646">
        <f>1/DATI!$E$38*IF(B14&lt;DATI!$E$45,DATI!$E$32*DATI!$E$42*DATI!$E$49*DATI!$E$33*(B14/DATI!$E$45+1/(DATI!$E$49*DATI!$E$33)*(1-B14/DATI!$E$45)),IF(B14&lt;DATI!$E$46,DATI!$E$32*DATI!$E$42*DATI!$E$49*DATI!$E$33,IF(B14&lt;DATI!$E$47,DATI!$E$32*DATI!$E$42*DATI!$E$49*DATI!$E$33*(DATI!$E$46/B14),DATI!$E$32*DATI!$E$42*DATI!$E$49*DATI!$E$33*((DATI!$E$46*DATI!$E$47)/B14^2))))</f>
        <v>0.39769759276950828</v>
      </c>
      <c r="D14" s="306"/>
      <c r="E14" s="429"/>
      <c r="F14" s="429"/>
      <c r="G14" s="429"/>
      <c r="H14" s="429"/>
      <c r="I14" s="429"/>
      <c r="J14" s="429"/>
      <c r="K14" s="429"/>
      <c r="L14" s="429"/>
      <c r="M14" s="429"/>
      <c r="N14" s="429"/>
      <c r="O14" s="429"/>
      <c r="P14" s="429"/>
      <c r="Q14" s="429"/>
      <c r="R14" s="429"/>
      <c r="S14" s="429"/>
    </row>
    <row r="15" spans="1:19" x14ac:dyDescent="0.25">
      <c r="A15" s="429"/>
      <c r="B15" s="633">
        <f t="shared" si="0"/>
        <v>9.9999999999999992E-2</v>
      </c>
      <c r="C15" s="646">
        <f>1/DATI!$E$38*IF(B15&lt;DATI!$E$45,DATI!$E$32*DATI!$E$42*DATI!$E$49*DATI!$E$33*(B15/DATI!$E$45+1/(DATI!$E$49*DATI!$E$33)*(1-B15/DATI!$E$45)),IF(B15&lt;DATI!$E$46,DATI!$E$32*DATI!$E$42*DATI!$E$49*DATI!$E$33,IF(B15&lt;DATI!$E$47,DATI!$E$32*DATI!$E$42*DATI!$E$49*DATI!$E$33*(DATI!$E$46/B15),DATI!$E$32*DATI!$E$42*DATI!$E$49*DATI!$E$33*((DATI!$E$46*DATI!$E$47)/B15^2))))</f>
        <v>0.4193421935207241</v>
      </c>
      <c r="D15" s="306"/>
      <c r="E15" s="429"/>
      <c r="F15" s="429"/>
      <c r="G15" s="429"/>
      <c r="H15" s="429"/>
      <c r="I15" s="429"/>
      <c r="J15" s="429"/>
      <c r="K15" s="429"/>
      <c r="L15" s="429"/>
      <c r="M15" s="429"/>
      <c r="N15" s="429"/>
      <c r="O15" s="429"/>
      <c r="P15" s="429"/>
      <c r="Q15" s="429"/>
      <c r="R15" s="429"/>
      <c r="S15" s="429"/>
    </row>
    <row r="16" spans="1:19" x14ac:dyDescent="0.25">
      <c r="A16" s="429"/>
      <c r="B16" s="633">
        <f t="shared" si="0"/>
        <v>0.10999999999999999</v>
      </c>
      <c r="C16" s="646">
        <f>1/DATI!$E$38*IF(B16&lt;DATI!$E$45,DATI!$E$32*DATI!$E$42*DATI!$E$49*DATI!$E$33*(B16/DATI!$E$45+1/(DATI!$E$49*DATI!$E$33)*(1-B16/DATI!$E$45)),IF(B16&lt;DATI!$E$46,DATI!$E$32*DATI!$E$42*DATI!$E$49*DATI!$E$33,IF(B16&lt;DATI!$E$47,DATI!$E$32*DATI!$E$42*DATI!$E$49*DATI!$E$33*(DATI!$E$46/B16),DATI!$E$32*DATI!$E$42*DATI!$E$49*DATI!$E$33*((DATI!$E$46*DATI!$E$47)/B16^2))))</f>
        <v>0.44098679427193976</v>
      </c>
      <c r="D16" s="306"/>
      <c r="E16" s="429"/>
      <c r="F16" s="429"/>
      <c r="G16" s="429"/>
      <c r="H16" s="429"/>
      <c r="I16" s="429"/>
      <c r="J16" s="429"/>
      <c r="K16" s="429"/>
      <c r="L16" s="429"/>
      <c r="M16" s="429"/>
      <c r="N16" s="429"/>
      <c r="O16" s="429"/>
      <c r="P16" s="429"/>
      <c r="Q16" s="429"/>
      <c r="R16" s="429"/>
      <c r="S16" s="429"/>
    </row>
    <row r="17" spans="1:19" x14ac:dyDescent="0.25">
      <c r="A17" s="429"/>
      <c r="B17" s="633">
        <f t="shared" si="0"/>
        <v>0.11999999999999998</v>
      </c>
      <c r="C17" s="646">
        <f>1/DATI!$E$38*IF(B17&lt;DATI!$E$45,DATI!$E$32*DATI!$E$42*DATI!$E$49*DATI!$E$33*(B17/DATI!$E$45+1/(DATI!$E$49*DATI!$E$33)*(1-B17/DATI!$E$45)),IF(B17&lt;DATI!$E$46,DATI!$E$32*DATI!$E$42*DATI!$E$49*DATI!$E$33,IF(B17&lt;DATI!$E$47,DATI!$E$32*DATI!$E$42*DATI!$E$49*DATI!$E$33*(DATI!$E$46/B17),DATI!$E$32*DATI!$E$42*DATI!$E$49*DATI!$E$33*((DATI!$E$46*DATI!$E$47)/B17^2))))</f>
        <v>0.46263139502315564</v>
      </c>
      <c r="D17" s="306"/>
      <c r="E17" s="429"/>
      <c r="F17" s="429"/>
      <c r="G17" s="429"/>
      <c r="H17" s="429"/>
      <c r="I17" s="429"/>
      <c r="J17" s="429"/>
      <c r="K17" s="429"/>
      <c r="L17" s="429"/>
      <c r="M17" s="429"/>
      <c r="N17" s="429"/>
      <c r="O17" s="429"/>
      <c r="P17" s="429"/>
      <c r="Q17" s="429"/>
      <c r="R17" s="429"/>
      <c r="S17" s="429"/>
    </row>
    <row r="18" spans="1:19" x14ac:dyDescent="0.25">
      <c r="A18" s="429"/>
      <c r="B18" s="633">
        <f t="shared" si="0"/>
        <v>0.12999999999999998</v>
      </c>
      <c r="C18" s="646">
        <f>1/DATI!$E$38*IF(B18&lt;DATI!$E$45,DATI!$E$32*DATI!$E$42*DATI!$E$49*DATI!$E$33*(B18/DATI!$E$45+1/(DATI!$E$49*DATI!$E$33)*(1-B18/DATI!$E$45)),IF(B18&lt;DATI!$E$46,DATI!$E$32*DATI!$E$42*DATI!$E$49*DATI!$E$33,IF(B18&lt;DATI!$E$47,DATI!$E$32*DATI!$E$42*DATI!$E$49*DATI!$E$33*(DATI!$E$46/B18),DATI!$E$32*DATI!$E$42*DATI!$E$49*DATI!$E$33*((DATI!$E$46*DATI!$E$47)/B18^2))))</f>
        <v>0.48427599577437141</v>
      </c>
      <c r="D18" s="306"/>
      <c r="E18" s="429"/>
      <c r="F18" s="429"/>
      <c r="G18" s="429"/>
      <c r="H18" s="429"/>
      <c r="I18" s="429"/>
      <c r="J18" s="429"/>
      <c r="K18" s="429"/>
      <c r="L18" s="429"/>
      <c r="M18" s="429"/>
      <c r="N18" s="429"/>
      <c r="O18" s="429"/>
      <c r="P18" s="429"/>
      <c r="Q18" s="429"/>
      <c r="R18" s="429"/>
      <c r="S18" s="429"/>
    </row>
    <row r="19" spans="1:19" x14ac:dyDescent="0.25">
      <c r="A19" s="429"/>
      <c r="B19" s="633">
        <f t="shared" si="0"/>
        <v>0.13999999999999999</v>
      </c>
      <c r="C19" s="646">
        <f>1/DATI!$E$38*IF(B19&lt;DATI!$E$45,DATI!$E$32*DATI!$E$42*DATI!$E$49*DATI!$E$33*(B19/DATI!$E$45+1/(DATI!$E$49*DATI!$E$33)*(1-B19/DATI!$E$45)),IF(B19&lt;DATI!$E$46,DATI!$E$32*DATI!$E$42*DATI!$E$49*DATI!$E$33,IF(B19&lt;DATI!$E$47,DATI!$E$32*DATI!$E$42*DATI!$E$49*DATI!$E$33*(DATI!$E$46/B19),DATI!$E$32*DATI!$E$42*DATI!$E$49*DATI!$E$33*((DATI!$E$46*DATI!$E$47)/B19^2))))</f>
        <v>0.50257385274321842</v>
      </c>
      <c r="D19" s="306"/>
      <c r="E19" s="429"/>
      <c r="F19" s="429"/>
      <c r="G19" s="429"/>
      <c r="H19" s="429"/>
      <c r="I19" s="429"/>
      <c r="J19" s="429"/>
      <c r="K19" s="429"/>
      <c r="L19" s="429"/>
      <c r="M19" s="429"/>
      <c r="N19" s="429"/>
      <c r="O19" s="429"/>
      <c r="P19" s="429"/>
      <c r="Q19" s="429"/>
      <c r="R19" s="429"/>
      <c r="S19" s="429"/>
    </row>
    <row r="20" spans="1:19" x14ac:dyDescent="0.25">
      <c r="A20" s="429"/>
      <c r="B20" s="633">
        <f t="shared" si="0"/>
        <v>0.15</v>
      </c>
      <c r="C20" s="646">
        <f>1/DATI!$E$38*IF(B20&lt;DATI!$E$45,DATI!$E$32*DATI!$E$42*DATI!$E$49*DATI!$E$33*(B20/DATI!$E$45+1/(DATI!$E$49*DATI!$E$33)*(1-B20/DATI!$E$45)),IF(B20&lt;DATI!$E$46,DATI!$E$32*DATI!$E$42*DATI!$E$49*DATI!$E$33,IF(B20&lt;DATI!$E$47,DATI!$E$32*DATI!$E$42*DATI!$E$49*DATI!$E$33*(DATI!$E$46/B20),DATI!$E$32*DATI!$E$42*DATI!$E$49*DATI!$E$33*((DATI!$E$46*DATI!$E$47)/B20^2))))</f>
        <v>0.50257385274321842</v>
      </c>
      <c r="D20" s="306"/>
      <c r="E20" s="429"/>
      <c r="F20" s="429"/>
      <c r="G20" s="429"/>
      <c r="H20" s="429"/>
      <c r="I20" s="429"/>
      <c r="J20" s="429"/>
      <c r="K20" s="429"/>
      <c r="L20" s="429"/>
      <c r="M20" s="429"/>
      <c r="N20" s="429"/>
      <c r="O20" s="429"/>
      <c r="P20" s="429"/>
      <c r="Q20" s="429"/>
      <c r="R20" s="429"/>
      <c r="S20" s="429"/>
    </row>
    <row r="21" spans="1:19" x14ac:dyDescent="0.25">
      <c r="A21" s="429"/>
      <c r="B21" s="633">
        <f t="shared" si="0"/>
        <v>0.16</v>
      </c>
      <c r="C21" s="646">
        <f>1/DATI!$E$38*IF(B21&lt;DATI!$E$45,DATI!$E$32*DATI!$E$42*DATI!$E$49*DATI!$E$33*(B21/DATI!$E$45+1/(DATI!$E$49*DATI!$E$33)*(1-B21/DATI!$E$45)),IF(B21&lt;DATI!$E$46,DATI!$E$32*DATI!$E$42*DATI!$E$49*DATI!$E$33,IF(B21&lt;DATI!$E$47,DATI!$E$32*DATI!$E$42*DATI!$E$49*DATI!$E$33*(DATI!$E$46/B21),DATI!$E$32*DATI!$E$42*DATI!$E$49*DATI!$E$33*((DATI!$E$46*DATI!$E$47)/B21^2))))</f>
        <v>0.50257385274321842</v>
      </c>
      <c r="D21" s="306"/>
      <c r="E21" s="429"/>
      <c r="F21" s="429"/>
      <c r="G21" s="429"/>
      <c r="H21" s="429"/>
      <c r="I21" s="429"/>
      <c r="J21" s="429"/>
      <c r="K21" s="429"/>
      <c r="L21" s="429"/>
      <c r="M21" s="429"/>
      <c r="N21" s="429"/>
      <c r="O21" s="429"/>
      <c r="P21" s="429"/>
      <c r="Q21" s="429"/>
      <c r="R21" s="429"/>
      <c r="S21" s="429"/>
    </row>
    <row r="22" spans="1:19" x14ac:dyDescent="0.25">
      <c r="A22" s="429"/>
      <c r="B22" s="633">
        <f t="shared" si="0"/>
        <v>0.17</v>
      </c>
      <c r="C22" s="646">
        <f>1/DATI!$E$38*IF(B22&lt;DATI!$E$45,DATI!$E$32*DATI!$E$42*DATI!$E$49*DATI!$E$33*(B22/DATI!$E$45+1/(DATI!$E$49*DATI!$E$33)*(1-B22/DATI!$E$45)),IF(B22&lt;DATI!$E$46,DATI!$E$32*DATI!$E$42*DATI!$E$49*DATI!$E$33,IF(B22&lt;DATI!$E$47,DATI!$E$32*DATI!$E$42*DATI!$E$49*DATI!$E$33*(DATI!$E$46/B22),DATI!$E$32*DATI!$E$42*DATI!$E$49*DATI!$E$33*((DATI!$E$46*DATI!$E$47)/B22^2))))</f>
        <v>0.50257385274321842</v>
      </c>
      <c r="D22" s="306"/>
      <c r="E22" s="429"/>
      <c r="F22" s="429"/>
      <c r="G22" s="429"/>
      <c r="H22" s="429"/>
      <c r="I22" s="429"/>
      <c r="J22" s="429"/>
      <c r="K22" s="429"/>
      <c r="L22" s="429"/>
      <c r="M22" s="429"/>
      <c r="N22" s="429"/>
      <c r="O22" s="429"/>
      <c r="P22" s="429"/>
      <c r="Q22" s="429"/>
      <c r="R22" s="429"/>
      <c r="S22" s="429"/>
    </row>
    <row r="23" spans="1:19" x14ac:dyDescent="0.25">
      <c r="A23" s="429"/>
      <c r="B23" s="633">
        <f t="shared" si="0"/>
        <v>0.18000000000000002</v>
      </c>
      <c r="C23" s="646">
        <f>1/DATI!$E$38*IF(B23&lt;DATI!$E$45,DATI!$E$32*DATI!$E$42*DATI!$E$49*DATI!$E$33*(B23/DATI!$E$45+1/(DATI!$E$49*DATI!$E$33)*(1-B23/DATI!$E$45)),IF(B23&lt;DATI!$E$46,DATI!$E$32*DATI!$E$42*DATI!$E$49*DATI!$E$33,IF(B23&lt;DATI!$E$47,DATI!$E$32*DATI!$E$42*DATI!$E$49*DATI!$E$33*(DATI!$E$46/B23),DATI!$E$32*DATI!$E$42*DATI!$E$49*DATI!$E$33*((DATI!$E$46*DATI!$E$47)/B23^2))))</f>
        <v>0.50257385274321842</v>
      </c>
      <c r="D23" s="306"/>
      <c r="E23" s="429"/>
      <c r="F23" s="429"/>
      <c r="G23" s="429"/>
      <c r="H23" s="429"/>
      <c r="I23" s="429"/>
      <c r="J23" s="429"/>
      <c r="K23" s="429"/>
      <c r="L23" s="429"/>
      <c r="M23" s="429"/>
      <c r="N23" s="429"/>
      <c r="O23" s="429"/>
      <c r="P23" s="429"/>
      <c r="Q23" s="429"/>
      <c r="R23" s="429"/>
      <c r="S23" s="429"/>
    </row>
    <row r="24" spans="1:19" x14ac:dyDescent="0.25">
      <c r="A24" s="429"/>
      <c r="B24" s="633">
        <f t="shared" si="0"/>
        <v>0.19000000000000003</v>
      </c>
      <c r="C24" s="646">
        <f>1/DATI!$E$38*IF(B24&lt;DATI!$E$45,DATI!$E$32*DATI!$E$42*DATI!$E$49*DATI!$E$33*(B24/DATI!$E$45+1/(DATI!$E$49*DATI!$E$33)*(1-B24/DATI!$E$45)),IF(B24&lt;DATI!$E$46,DATI!$E$32*DATI!$E$42*DATI!$E$49*DATI!$E$33,IF(B24&lt;DATI!$E$47,DATI!$E$32*DATI!$E$42*DATI!$E$49*DATI!$E$33*(DATI!$E$46/B24),DATI!$E$32*DATI!$E$42*DATI!$E$49*DATI!$E$33*((DATI!$E$46*DATI!$E$47)/B24^2))))</f>
        <v>0.50257385274321842</v>
      </c>
      <c r="D24" s="306"/>
      <c r="E24" s="429"/>
      <c r="F24" s="429"/>
      <c r="G24" s="429"/>
      <c r="H24" s="429"/>
      <c r="I24" s="429"/>
      <c r="J24" s="429"/>
      <c r="K24" s="429"/>
      <c r="L24" s="429"/>
      <c r="M24" s="429"/>
      <c r="N24" s="429"/>
      <c r="O24" s="429"/>
      <c r="P24" s="429"/>
      <c r="Q24" s="429"/>
      <c r="R24" s="429"/>
      <c r="S24" s="429"/>
    </row>
    <row r="25" spans="1:19" x14ac:dyDescent="0.25">
      <c r="A25" s="429"/>
      <c r="B25" s="633">
        <f t="shared" si="0"/>
        <v>0.20000000000000004</v>
      </c>
      <c r="C25" s="646">
        <f>1/DATI!$E$38*IF(B25&lt;DATI!$E$45,DATI!$E$32*DATI!$E$42*DATI!$E$49*DATI!$E$33*(B25/DATI!$E$45+1/(DATI!$E$49*DATI!$E$33)*(1-B25/DATI!$E$45)),IF(B25&lt;DATI!$E$46,DATI!$E$32*DATI!$E$42*DATI!$E$49*DATI!$E$33,IF(B25&lt;DATI!$E$47,DATI!$E$32*DATI!$E$42*DATI!$E$49*DATI!$E$33*(DATI!$E$46/B25),DATI!$E$32*DATI!$E$42*DATI!$E$49*DATI!$E$33*((DATI!$E$46*DATI!$E$47)/B25^2))))</f>
        <v>0.50257385274321842</v>
      </c>
      <c r="D25" s="306"/>
      <c r="E25" s="429"/>
      <c r="F25" s="429"/>
      <c r="G25" s="429"/>
      <c r="H25" s="429"/>
      <c r="I25" s="429"/>
      <c r="J25" s="429"/>
      <c r="K25" s="429"/>
      <c r="L25" s="429"/>
      <c r="M25" s="429"/>
      <c r="N25" s="429"/>
      <c r="O25" s="429"/>
      <c r="P25" s="429"/>
      <c r="Q25" s="429"/>
      <c r="R25" s="429"/>
      <c r="S25" s="429"/>
    </row>
    <row r="26" spans="1:19" x14ac:dyDescent="0.25">
      <c r="A26" s="429"/>
      <c r="B26" s="633">
        <f t="shared" si="0"/>
        <v>0.21000000000000005</v>
      </c>
      <c r="C26" s="646">
        <f>1/DATI!$E$38*IF(B26&lt;DATI!$E$45,DATI!$E$32*DATI!$E$42*DATI!$E$49*DATI!$E$33*(B26/DATI!$E$45+1/(DATI!$E$49*DATI!$E$33)*(1-B26/DATI!$E$45)),IF(B26&lt;DATI!$E$46,DATI!$E$32*DATI!$E$42*DATI!$E$49*DATI!$E$33,IF(B26&lt;DATI!$E$47,DATI!$E$32*DATI!$E$42*DATI!$E$49*DATI!$E$33*(DATI!$E$46/B26),DATI!$E$32*DATI!$E$42*DATI!$E$49*DATI!$E$33*((DATI!$E$46*DATI!$E$47)/B26^2))))</f>
        <v>0.50257385274321842</v>
      </c>
      <c r="D26" s="306"/>
      <c r="E26" s="429"/>
      <c r="F26" s="429"/>
      <c r="G26" s="429"/>
      <c r="H26" s="429"/>
      <c r="I26" s="429"/>
      <c r="J26" s="429"/>
      <c r="K26" s="429"/>
      <c r="L26" s="429"/>
      <c r="M26" s="429"/>
      <c r="N26" s="429"/>
      <c r="O26" s="429"/>
      <c r="P26" s="429"/>
      <c r="Q26" s="429"/>
      <c r="R26" s="429"/>
      <c r="S26" s="429"/>
    </row>
    <row r="27" spans="1:19" x14ac:dyDescent="0.25">
      <c r="A27" s="429"/>
      <c r="B27" s="633">
        <f t="shared" si="0"/>
        <v>0.22000000000000006</v>
      </c>
      <c r="C27" s="646">
        <f>1/DATI!$E$38*IF(B27&lt;DATI!$E$45,DATI!$E$32*DATI!$E$42*DATI!$E$49*DATI!$E$33*(B27/DATI!$E$45+1/(DATI!$E$49*DATI!$E$33)*(1-B27/DATI!$E$45)),IF(B27&lt;DATI!$E$46,DATI!$E$32*DATI!$E$42*DATI!$E$49*DATI!$E$33,IF(B27&lt;DATI!$E$47,DATI!$E$32*DATI!$E$42*DATI!$E$49*DATI!$E$33*(DATI!$E$46/B27),DATI!$E$32*DATI!$E$42*DATI!$E$49*DATI!$E$33*((DATI!$E$46*DATI!$E$47)/B27^2))))</f>
        <v>0.50257385274321842</v>
      </c>
      <c r="D27" s="306"/>
      <c r="E27" s="429"/>
      <c r="F27" s="429"/>
      <c r="G27" s="429"/>
      <c r="H27" s="429"/>
      <c r="I27" s="429"/>
      <c r="J27" s="429"/>
      <c r="K27" s="429"/>
      <c r="L27" s="429"/>
      <c r="M27" s="429"/>
      <c r="N27" s="429"/>
      <c r="O27" s="429"/>
      <c r="P27" s="429"/>
      <c r="Q27" s="429"/>
      <c r="R27" s="429"/>
      <c r="S27" s="429"/>
    </row>
    <row r="28" spans="1:19" x14ac:dyDescent="0.25">
      <c r="A28" s="429"/>
      <c r="B28" s="633">
        <f t="shared" si="0"/>
        <v>0.23000000000000007</v>
      </c>
      <c r="C28" s="646">
        <f>1/DATI!$E$38*IF(B28&lt;DATI!$E$45,DATI!$E$32*DATI!$E$42*DATI!$E$49*DATI!$E$33*(B28/DATI!$E$45+1/(DATI!$E$49*DATI!$E$33)*(1-B28/DATI!$E$45)),IF(B28&lt;DATI!$E$46,DATI!$E$32*DATI!$E$42*DATI!$E$49*DATI!$E$33,IF(B28&lt;DATI!$E$47,DATI!$E$32*DATI!$E$42*DATI!$E$49*DATI!$E$33*(DATI!$E$46/B28),DATI!$E$32*DATI!$E$42*DATI!$E$49*DATI!$E$33*((DATI!$E$46*DATI!$E$47)/B28^2))))</f>
        <v>0.50257385274321842</v>
      </c>
      <c r="D28" s="306"/>
      <c r="E28" s="429"/>
      <c r="F28" s="429"/>
      <c r="G28" s="429"/>
      <c r="H28" s="429"/>
      <c r="I28" s="429"/>
      <c r="J28" s="429"/>
      <c r="K28" s="429"/>
      <c r="L28" s="429"/>
      <c r="M28" s="429"/>
      <c r="N28" s="429"/>
      <c r="O28" s="429"/>
      <c r="P28" s="429"/>
      <c r="Q28" s="429"/>
      <c r="R28" s="429"/>
      <c r="S28" s="429"/>
    </row>
    <row r="29" spans="1:19" x14ac:dyDescent="0.25">
      <c r="A29" s="429"/>
      <c r="B29" s="633">
        <f t="shared" si="0"/>
        <v>0.24000000000000007</v>
      </c>
      <c r="C29" s="646">
        <f>1/DATI!$E$38*IF(B29&lt;DATI!$E$45,DATI!$E$32*DATI!$E$42*DATI!$E$49*DATI!$E$33*(B29/DATI!$E$45+1/(DATI!$E$49*DATI!$E$33)*(1-B29/DATI!$E$45)),IF(B29&lt;DATI!$E$46,DATI!$E$32*DATI!$E$42*DATI!$E$49*DATI!$E$33,IF(B29&lt;DATI!$E$47,DATI!$E$32*DATI!$E$42*DATI!$E$49*DATI!$E$33*(DATI!$E$46/B29),DATI!$E$32*DATI!$E$42*DATI!$E$49*DATI!$E$33*((DATI!$E$46*DATI!$E$47)/B29^2))))</f>
        <v>0.50257385274321842</v>
      </c>
      <c r="D29" s="306"/>
      <c r="E29" s="429"/>
      <c r="F29" s="429"/>
      <c r="G29" s="429"/>
      <c r="H29" s="429"/>
      <c r="I29" s="429"/>
      <c r="J29" s="429"/>
      <c r="K29" s="429"/>
      <c r="L29" s="429"/>
      <c r="M29" s="429"/>
      <c r="N29" s="429"/>
      <c r="O29" s="429"/>
      <c r="P29" s="429"/>
      <c r="Q29" s="429"/>
      <c r="R29" s="429"/>
      <c r="S29" s="429"/>
    </row>
    <row r="30" spans="1:19" x14ac:dyDescent="0.25">
      <c r="A30" s="429"/>
      <c r="B30" s="633">
        <f t="shared" si="0"/>
        <v>0.25000000000000006</v>
      </c>
      <c r="C30" s="646">
        <f>1/DATI!$E$38*IF(B30&lt;DATI!$E$45,DATI!$E$32*DATI!$E$42*DATI!$E$49*DATI!$E$33*(B30/DATI!$E$45+1/(DATI!$E$49*DATI!$E$33)*(1-B30/DATI!$E$45)),IF(B30&lt;DATI!$E$46,DATI!$E$32*DATI!$E$42*DATI!$E$49*DATI!$E$33,IF(B30&lt;DATI!$E$47,DATI!$E$32*DATI!$E$42*DATI!$E$49*DATI!$E$33*(DATI!$E$46/B30),DATI!$E$32*DATI!$E$42*DATI!$E$49*DATI!$E$33*((DATI!$E$46*DATI!$E$47)/B30^2))))</f>
        <v>0.50257385274321842</v>
      </c>
      <c r="D30" s="306"/>
      <c r="E30" s="1051" t="s">
        <v>707</v>
      </c>
      <c r="F30" s="1051"/>
      <c r="G30" s="1052"/>
      <c r="H30" s="429"/>
      <c r="I30" s="1051" t="s">
        <v>708</v>
      </c>
      <c r="J30" s="1052"/>
      <c r="K30" s="429"/>
      <c r="L30" s="429"/>
      <c r="M30" s="429"/>
      <c r="N30" s="429"/>
      <c r="O30" s="429"/>
      <c r="P30" s="429"/>
      <c r="Q30" s="429"/>
      <c r="R30" s="429"/>
      <c r="S30" s="429"/>
    </row>
    <row r="31" spans="1:19" ht="18" x14ac:dyDescent="0.25">
      <c r="A31" s="429"/>
      <c r="B31" s="633">
        <f t="shared" si="0"/>
        <v>0.26000000000000006</v>
      </c>
      <c r="C31" s="646">
        <f>1/DATI!$E$38*IF(B31&lt;DATI!$E$45,DATI!$E$32*DATI!$E$42*DATI!$E$49*DATI!$E$33*(B31/DATI!$E$45+1/(DATI!$E$49*DATI!$E$33)*(1-B31/DATI!$E$45)),IF(B31&lt;DATI!$E$46,DATI!$E$32*DATI!$E$42*DATI!$E$49*DATI!$E$33,IF(B31&lt;DATI!$E$47,DATI!$E$32*DATI!$E$42*DATI!$E$49*DATI!$E$33*(DATI!$E$46/B31),DATI!$E$32*DATI!$E$42*DATI!$E$49*DATI!$E$33*((DATI!$E$46*DATI!$E$47)/B31^2))))</f>
        <v>0.50257385274321842</v>
      </c>
      <c r="D31" s="306"/>
      <c r="E31" s="1049" t="s">
        <v>709</v>
      </c>
      <c r="F31" s="1050"/>
      <c r="G31" s="654">
        <f>1/DATI!$E$38*IF(J31&lt;DATI!$E$45,DATI!$E$32*DATI!$E$42*DATI!$E$49*DATI!$E$33*(J31/DATI!$E$45+1/(DATI!$E$49*DATI!$E$33)*(1-J31/DATI!$E$45)),IF(J31&lt;DATI!$E$46,DATI!$E$32*DATI!$E$42*DATI!$E$49*DATI!$E$33,IF(J31&lt;DATI!$E$47,DATI!$E$32*DATI!$E$42*DATI!$E$49*DATI!$E$33*(DATI!$E$46/J31),DATI!$E$32*DATI!$E$42*DATI!$E$49*DATI!$E$33*((DATI!$E$46*DATI!$E$47)/J31^2))))</f>
        <v>0.20289618600856621</v>
      </c>
      <c r="H31" s="429"/>
      <c r="I31" s="630" t="s">
        <v>710</v>
      </c>
      <c r="J31" s="655">
        <v>0</v>
      </c>
      <c r="K31" s="429"/>
      <c r="L31" s="429"/>
      <c r="M31" s="429"/>
      <c r="N31" s="429"/>
      <c r="O31" s="429"/>
      <c r="P31" s="429"/>
      <c r="Q31" s="429"/>
      <c r="R31" s="429"/>
      <c r="S31" s="429"/>
    </row>
    <row r="32" spans="1:19" ht="18" x14ac:dyDescent="0.25">
      <c r="A32" s="429"/>
      <c r="B32" s="633">
        <f t="shared" si="0"/>
        <v>0.27000000000000007</v>
      </c>
      <c r="C32" s="646">
        <f>1/DATI!$E$38*IF(B32&lt;DATI!$E$45,DATI!$E$32*DATI!$E$42*DATI!$E$49*DATI!$E$33*(B32/DATI!$E$45+1/(DATI!$E$49*DATI!$E$33)*(1-B32/DATI!$E$45)),IF(B32&lt;DATI!$E$46,DATI!$E$32*DATI!$E$42*DATI!$E$49*DATI!$E$33,IF(B32&lt;DATI!$E$47,DATI!$E$32*DATI!$E$42*DATI!$E$49*DATI!$E$33*(DATI!$E$46/B32),DATI!$E$32*DATI!$E$42*DATI!$E$49*DATI!$E$33*((DATI!$E$46*DATI!$E$47)/B32^2))))</f>
        <v>0.50257385274321842</v>
      </c>
      <c r="D32" s="306"/>
      <c r="E32" s="1049" t="s">
        <v>711</v>
      </c>
      <c r="F32" s="1050"/>
      <c r="G32" s="654">
        <f>1/DATI!$E$38*IF(J32&lt;DATI!$E$45,DATI!$E$32*DATI!$E$42*DATI!$E$49*DATI!$E$33*(J32/DATI!$E$45+1/(DATI!$E$49*DATI!$E$33)*(1-J32/DATI!$E$45)),IF(J32&lt;DATI!$E$46,DATI!$E$32*DATI!$E$42*DATI!$E$49*DATI!$E$33,IF(J32&lt;DATI!$E$47,DATI!$E$32*DATI!$E$42*DATI!$E$49*DATI!$E$33*(DATI!$E$46/J32),DATI!$E$32*DATI!$E$42*DATI!$E$49*DATI!$E$33*((DATI!$E$46*DATI!$E$47)/J32^2))))</f>
        <v>0.50257385274321842</v>
      </c>
      <c r="H32" s="429"/>
      <c r="I32" s="630" t="s">
        <v>381</v>
      </c>
      <c r="J32" s="655">
        <f>DATI!E45</f>
        <v>0.13845377430573266</v>
      </c>
      <c r="K32" s="429"/>
      <c r="L32" s="429"/>
      <c r="M32" s="429"/>
      <c r="N32" s="429"/>
      <c r="O32" s="429"/>
      <c r="P32" s="429"/>
      <c r="Q32" s="429"/>
      <c r="R32" s="429"/>
      <c r="S32" s="429"/>
    </row>
    <row r="33" spans="1:19" ht="18" x14ac:dyDescent="0.25">
      <c r="A33" s="429"/>
      <c r="B33" s="633">
        <f t="shared" si="0"/>
        <v>0.28000000000000008</v>
      </c>
      <c r="C33" s="646">
        <f>1/DATI!$E$38*IF(B33&lt;DATI!$E$45,DATI!$E$32*DATI!$E$42*DATI!$E$49*DATI!$E$33*(B33/DATI!$E$45+1/(DATI!$E$49*DATI!$E$33)*(1-B33/DATI!$E$45)),IF(B33&lt;DATI!$E$46,DATI!$E$32*DATI!$E$42*DATI!$E$49*DATI!$E$33,IF(B33&lt;DATI!$E$47,DATI!$E$32*DATI!$E$42*DATI!$E$49*DATI!$E$33*(DATI!$E$46/B33),DATI!$E$32*DATI!$E$42*DATI!$E$49*DATI!$E$33*((DATI!$E$46*DATI!$E$47)/B33^2))))</f>
        <v>0.50257385274321842</v>
      </c>
      <c r="D33" s="306"/>
      <c r="E33" s="1049" t="s">
        <v>712</v>
      </c>
      <c r="F33" s="1050"/>
      <c r="G33" s="654">
        <f>1/DATI!$E$38*IF(J33&lt;DATI!$E$45,DATI!$E$32*DATI!$E$42*DATI!$E$49*DATI!$E$33*(J33/DATI!$E$45+1/(DATI!$E$49*DATI!$E$33)*(1-J33/DATI!$E$45)),IF(J33&lt;DATI!$E$46,DATI!$E$32*DATI!$E$42*DATI!$E$49*DATI!$E$33,IF(J33&lt;DATI!$E$47,DATI!$E$32*DATI!$E$42*DATI!$E$49*DATI!$E$33*(DATI!$E$46/J33),DATI!$E$32*DATI!$E$42*DATI!$E$49*DATI!$E$33*((DATI!$E$46*DATI!$E$47)/J33^2))))</f>
        <v>0.50257385274321842</v>
      </c>
      <c r="H33" s="429"/>
      <c r="I33" s="630" t="s">
        <v>383</v>
      </c>
      <c r="J33" s="655">
        <f>DATI!E46</f>
        <v>0.41536132291719802</v>
      </c>
      <c r="K33" s="429"/>
      <c r="L33" s="429"/>
      <c r="M33" s="429"/>
      <c r="N33" s="429"/>
      <c r="O33" s="429"/>
      <c r="P33" s="429"/>
      <c r="Q33" s="429"/>
      <c r="R33" s="429"/>
      <c r="S33" s="429"/>
    </row>
    <row r="34" spans="1:19" ht="18" x14ac:dyDescent="0.25">
      <c r="A34" s="429"/>
      <c r="B34" s="633">
        <f t="shared" si="0"/>
        <v>0.29000000000000009</v>
      </c>
      <c r="C34" s="646">
        <f>1/DATI!$E$38*IF(B34&lt;DATI!$E$45,DATI!$E$32*DATI!$E$42*DATI!$E$49*DATI!$E$33*(B34/DATI!$E$45+1/(DATI!$E$49*DATI!$E$33)*(1-B34/DATI!$E$45)),IF(B34&lt;DATI!$E$46,DATI!$E$32*DATI!$E$42*DATI!$E$49*DATI!$E$33,IF(B34&lt;DATI!$E$47,DATI!$E$32*DATI!$E$42*DATI!$E$49*DATI!$E$33*(DATI!$E$46/B34),DATI!$E$32*DATI!$E$42*DATI!$E$49*DATI!$E$33*((DATI!$E$46*DATI!$E$47)/B34^2))))</f>
        <v>0.50257385274321842</v>
      </c>
      <c r="D34" s="306"/>
      <c r="E34" s="1049" t="s">
        <v>713</v>
      </c>
      <c r="F34" s="1050"/>
      <c r="G34" s="654">
        <f>1/DATI!$E$38*IF(J34&lt;DATI!$E$45,DATI!$E$32*DATI!$E$42*DATI!$E$49*DATI!$E$33*(J34/DATI!$E$45+1/(DATI!$E$49*DATI!$E$33)*(1-J34/DATI!$E$45)),IF(J34&lt;DATI!$E$46,DATI!$E$32*DATI!$E$42*DATI!$E$49*DATI!$E$33,IF(J34&lt;DATI!$E$47,DATI!$E$32*DATI!$E$42*DATI!$E$49*DATI!$E$33*(DATI!$E$46/J34),DATI!$E$32*DATI!$E$42*DATI!$E$49*DATI!$E$33*((DATI!$E$46*DATI!$E$47)/J34^2))))</f>
        <v>9.1704893635061707E-2</v>
      </c>
      <c r="H34" s="429"/>
      <c r="I34" s="630" t="s">
        <v>385</v>
      </c>
      <c r="J34" s="655">
        <f>DATI!E47</f>
        <v>2.276320620028554</v>
      </c>
      <c r="K34" s="429"/>
      <c r="L34" s="429"/>
      <c r="M34" s="429"/>
      <c r="N34" s="429"/>
      <c r="O34" s="429"/>
      <c r="P34" s="429"/>
      <c r="Q34" s="429"/>
      <c r="R34" s="429"/>
      <c r="S34" s="429"/>
    </row>
    <row r="35" spans="1:19" x14ac:dyDescent="0.25">
      <c r="A35" s="429"/>
      <c r="B35" s="633">
        <f t="shared" si="0"/>
        <v>0.3000000000000001</v>
      </c>
      <c r="C35" s="646">
        <f>1/DATI!$E$38*IF(B35&lt;DATI!$E$45,DATI!$E$32*DATI!$E$42*DATI!$E$49*DATI!$E$33*(B35/DATI!$E$45+1/(DATI!$E$49*DATI!$E$33)*(1-B35/DATI!$E$45)),IF(B35&lt;DATI!$E$46,DATI!$E$32*DATI!$E$42*DATI!$E$49*DATI!$E$33,IF(B35&lt;DATI!$E$47,DATI!$E$32*DATI!$E$42*DATI!$E$49*DATI!$E$33*(DATI!$E$46/B35),DATI!$E$32*DATI!$E$42*DATI!$E$49*DATI!$E$33*((DATI!$E$46*DATI!$E$47)/B35^2))))</f>
        <v>0.50257385274321842</v>
      </c>
      <c r="D35" s="306"/>
      <c r="E35" s="429"/>
      <c r="F35" s="429"/>
      <c r="G35" s="429"/>
      <c r="H35" s="429"/>
      <c r="I35" s="429"/>
      <c r="J35" s="429"/>
      <c r="K35" s="429"/>
      <c r="L35" s="429"/>
      <c r="M35" s="429"/>
      <c r="N35" s="429"/>
      <c r="O35" s="429"/>
      <c r="P35" s="429"/>
      <c r="Q35" s="429"/>
      <c r="R35" s="429"/>
      <c r="S35" s="429"/>
    </row>
    <row r="36" spans="1:19" x14ac:dyDescent="0.25">
      <c r="A36" s="429"/>
      <c r="B36" s="633">
        <f t="shared" si="0"/>
        <v>0.31000000000000011</v>
      </c>
      <c r="C36" s="646">
        <f>1/DATI!$E$38*IF(B36&lt;DATI!$E$45,DATI!$E$32*DATI!$E$42*DATI!$E$49*DATI!$E$33*(B36/DATI!$E$45+1/(DATI!$E$49*DATI!$E$33)*(1-B36/DATI!$E$45)),IF(B36&lt;DATI!$E$46,DATI!$E$32*DATI!$E$42*DATI!$E$49*DATI!$E$33,IF(B36&lt;DATI!$E$47,DATI!$E$32*DATI!$E$42*DATI!$E$49*DATI!$E$33*(DATI!$E$46/B36),DATI!$E$32*DATI!$E$42*DATI!$E$49*DATI!$E$33*((DATI!$E$46*DATI!$E$47)/B36^2))))</f>
        <v>0.50257385274321842</v>
      </c>
      <c r="D36" s="306"/>
      <c r="E36" s="429"/>
      <c r="F36" s="429"/>
      <c r="G36" s="429"/>
      <c r="H36" s="429"/>
      <c r="I36" s="429"/>
      <c r="J36" s="429"/>
      <c r="K36" s="429"/>
      <c r="L36" s="429"/>
      <c r="M36" s="429"/>
      <c r="N36" s="429"/>
      <c r="O36" s="429"/>
      <c r="P36" s="429"/>
      <c r="Q36" s="429"/>
      <c r="R36" s="429"/>
      <c r="S36" s="429"/>
    </row>
    <row r="37" spans="1:19" x14ac:dyDescent="0.25">
      <c r="A37" s="429"/>
      <c r="B37" s="633">
        <f t="shared" si="0"/>
        <v>0.32000000000000012</v>
      </c>
      <c r="C37" s="646">
        <f>1/DATI!$E$38*IF(B37&lt;DATI!$E$45,DATI!$E$32*DATI!$E$42*DATI!$E$49*DATI!$E$33*(B37/DATI!$E$45+1/(DATI!$E$49*DATI!$E$33)*(1-B37/DATI!$E$45)),IF(B37&lt;DATI!$E$46,DATI!$E$32*DATI!$E$42*DATI!$E$49*DATI!$E$33,IF(B37&lt;DATI!$E$47,DATI!$E$32*DATI!$E$42*DATI!$E$49*DATI!$E$33*(DATI!$E$46/B37),DATI!$E$32*DATI!$E$42*DATI!$E$49*DATI!$E$33*((DATI!$E$46*DATI!$E$47)/B37^2))))</f>
        <v>0.50257385274321842</v>
      </c>
      <c r="D37" s="306"/>
      <c r="E37" s="429"/>
      <c r="F37" s="429"/>
      <c r="G37" s="429"/>
      <c r="H37" s="429"/>
      <c r="I37" s="429"/>
      <c r="J37" s="429"/>
      <c r="K37" s="429"/>
      <c r="L37" s="429"/>
      <c r="M37" s="429"/>
      <c r="N37" s="429"/>
      <c r="O37" s="429"/>
      <c r="P37" s="429"/>
      <c r="Q37" s="429"/>
      <c r="R37" s="429"/>
      <c r="S37" s="429"/>
    </row>
    <row r="38" spans="1:19" x14ac:dyDescent="0.25">
      <c r="A38" s="429"/>
      <c r="B38" s="633">
        <f t="shared" si="0"/>
        <v>0.33000000000000013</v>
      </c>
      <c r="C38" s="646">
        <f>1/DATI!$E$38*IF(B38&lt;DATI!$E$45,DATI!$E$32*DATI!$E$42*DATI!$E$49*DATI!$E$33*(B38/DATI!$E$45+1/(DATI!$E$49*DATI!$E$33)*(1-B38/DATI!$E$45)),IF(B38&lt;DATI!$E$46,DATI!$E$32*DATI!$E$42*DATI!$E$49*DATI!$E$33,IF(B38&lt;DATI!$E$47,DATI!$E$32*DATI!$E$42*DATI!$E$49*DATI!$E$33*(DATI!$E$46/B38),DATI!$E$32*DATI!$E$42*DATI!$E$49*DATI!$E$33*((DATI!$E$46*DATI!$E$47)/B38^2))))</f>
        <v>0.50257385274321842</v>
      </c>
      <c r="D38" s="306"/>
      <c r="E38" s="429"/>
      <c r="F38" s="429"/>
      <c r="G38" s="429"/>
      <c r="H38" s="429"/>
      <c r="I38" s="429"/>
      <c r="J38" s="429"/>
      <c r="K38" s="429"/>
      <c r="L38" s="429"/>
      <c r="M38" s="429"/>
      <c r="N38" s="429"/>
      <c r="O38" s="429"/>
      <c r="P38" s="429"/>
      <c r="Q38" s="429"/>
      <c r="R38" s="429"/>
      <c r="S38" s="429"/>
    </row>
    <row r="39" spans="1:19" x14ac:dyDescent="0.25">
      <c r="A39" s="429"/>
      <c r="B39" s="633">
        <f t="shared" si="0"/>
        <v>0.34000000000000014</v>
      </c>
      <c r="C39" s="646">
        <f>1/DATI!$E$38*IF(B39&lt;DATI!$E$45,DATI!$E$32*DATI!$E$42*DATI!$E$49*DATI!$E$33*(B39/DATI!$E$45+1/(DATI!$E$49*DATI!$E$33)*(1-B39/DATI!$E$45)),IF(B39&lt;DATI!$E$46,DATI!$E$32*DATI!$E$42*DATI!$E$49*DATI!$E$33,IF(B39&lt;DATI!$E$47,DATI!$E$32*DATI!$E$42*DATI!$E$49*DATI!$E$33*(DATI!$E$46/B39),DATI!$E$32*DATI!$E$42*DATI!$E$49*DATI!$E$33*((DATI!$E$46*DATI!$E$47)/B39^2))))</f>
        <v>0.50257385274321842</v>
      </c>
      <c r="D39" s="306"/>
      <c r="E39" s="429"/>
      <c r="F39" s="429"/>
      <c r="G39" s="429"/>
      <c r="H39" s="429"/>
      <c r="I39" s="429"/>
      <c r="J39" s="429"/>
      <c r="K39" s="429"/>
      <c r="L39" s="429"/>
      <c r="M39" s="429"/>
      <c r="N39" s="429"/>
      <c r="O39" s="429"/>
      <c r="P39" s="429"/>
      <c r="Q39" s="429"/>
      <c r="R39" s="429"/>
      <c r="S39" s="429"/>
    </row>
    <row r="40" spans="1:19" x14ac:dyDescent="0.25">
      <c r="A40" s="429"/>
      <c r="B40" s="633">
        <f t="shared" si="0"/>
        <v>0.35000000000000014</v>
      </c>
      <c r="C40" s="646">
        <f>1/DATI!$E$38*IF(B40&lt;DATI!$E$45,DATI!$E$32*DATI!$E$42*DATI!$E$49*DATI!$E$33*(B40/DATI!$E$45+1/(DATI!$E$49*DATI!$E$33)*(1-B40/DATI!$E$45)),IF(B40&lt;DATI!$E$46,DATI!$E$32*DATI!$E$42*DATI!$E$49*DATI!$E$33,IF(B40&lt;DATI!$E$47,DATI!$E$32*DATI!$E$42*DATI!$E$49*DATI!$E$33*(DATI!$E$46/B40),DATI!$E$32*DATI!$E$42*DATI!$E$49*DATI!$E$33*((DATI!$E$46*DATI!$E$47)/B40^2))))</f>
        <v>0.50257385274321842</v>
      </c>
      <c r="D40" s="306"/>
      <c r="E40" s="429"/>
      <c r="F40" s="429"/>
      <c r="G40" s="429"/>
      <c r="H40" s="429"/>
      <c r="I40" s="429"/>
      <c r="J40" s="429"/>
      <c r="K40" s="429"/>
      <c r="L40" s="429"/>
      <c r="M40" s="429"/>
      <c r="N40" s="429"/>
      <c r="O40" s="429"/>
      <c r="P40" s="429"/>
      <c r="Q40" s="429"/>
      <c r="R40" s="429"/>
      <c r="S40" s="429"/>
    </row>
    <row r="41" spans="1:19" x14ac:dyDescent="0.25">
      <c r="A41" s="429"/>
      <c r="B41" s="633">
        <f t="shared" si="0"/>
        <v>0.36000000000000015</v>
      </c>
      <c r="C41" s="646">
        <f>1/DATI!$E$38*IF(B41&lt;DATI!$E$45,DATI!$E$32*DATI!$E$42*DATI!$E$49*DATI!$E$33*(B41/DATI!$E$45+1/(DATI!$E$49*DATI!$E$33)*(1-B41/DATI!$E$45)),IF(B41&lt;DATI!$E$46,DATI!$E$32*DATI!$E$42*DATI!$E$49*DATI!$E$33,IF(B41&lt;DATI!$E$47,DATI!$E$32*DATI!$E$42*DATI!$E$49*DATI!$E$33*(DATI!$E$46/B41),DATI!$E$32*DATI!$E$42*DATI!$E$49*DATI!$E$33*((DATI!$E$46*DATI!$E$47)/B41^2))))</f>
        <v>0.50257385274321842</v>
      </c>
      <c r="D41" s="306"/>
      <c r="E41" s="429"/>
      <c r="F41" s="429"/>
      <c r="G41" s="429"/>
      <c r="H41" s="429"/>
      <c r="I41" s="429"/>
      <c r="J41" s="429"/>
      <c r="K41" s="429"/>
      <c r="L41" s="429"/>
      <c r="M41" s="429"/>
      <c r="N41" s="429"/>
      <c r="O41" s="429"/>
      <c r="P41" s="429"/>
      <c r="Q41" s="429"/>
      <c r="R41" s="429"/>
      <c r="S41" s="429"/>
    </row>
    <row r="42" spans="1:19" x14ac:dyDescent="0.25">
      <c r="A42" s="429"/>
      <c r="B42" s="633">
        <f t="shared" si="0"/>
        <v>0.37000000000000016</v>
      </c>
      <c r="C42" s="646">
        <f>1/DATI!$E$38*IF(B42&lt;DATI!$E$45,DATI!$E$32*DATI!$E$42*DATI!$E$49*DATI!$E$33*(B42/DATI!$E$45+1/(DATI!$E$49*DATI!$E$33)*(1-B42/DATI!$E$45)),IF(B42&lt;DATI!$E$46,DATI!$E$32*DATI!$E$42*DATI!$E$49*DATI!$E$33,IF(B42&lt;DATI!$E$47,DATI!$E$32*DATI!$E$42*DATI!$E$49*DATI!$E$33*(DATI!$E$46/B42),DATI!$E$32*DATI!$E$42*DATI!$E$49*DATI!$E$33*((DATI!$E$46*DATI!$E$47)/B42^2))))</f>
        <v>0.50257385274321842</v>
      </c>
      <c r="D42" s="306"/>
      <c r="E42" s="429"/>
      <c r="F42" s="429"/>
      <c r="G42" s="429"/>
      <c r="H42" s="429"/>
      <c r="I42" s="429"/>
      <c r="J42" s="429"/>
      <c r="K42" s="429"/>
      <c r="L42" s="429"/>
      <c r="M42" s="429"/>
      <c r="N42" s="429"/>
      <c r="O42" s="429"/>
      <c r="P42" s="429"/>
      <c r="Q42" s="429"/>
      <c r="R42" s="429"/>
      <c r="S42" s="429"/>
    </row>
    <row r="43" spans="1:19" x14ac:dyDescent="0.25">
      <c r="A43" s="429"/>
      <c r="B43" s="633">
        <f t="shared" si="0"/>
        <v>0.38000000000000017</v>
      </c>
      <c r="C43" s="646">
        <f>1/DATI!$E$38*IF(B43&lt;DATI!$E$45,DATI!$E$32*DATI!$E$42*DATI!$E$49*DATI!$E$33*(B43/DATI!$E$45+1/(DATI!$E$49*DATI!$E$33)*(1-B43/DATI!$E$45)),IF(B43&lt;DATI!$E$46,DATI!$E$32*DATI!$E$42*DATI!$E$49*DATI!$E$33,IF(B43&lt;DATI!$E$47,DATI!$E$32*DATI!$E$42*DATI!$E$49*DATI!$E$33*(DATI!$E$46/B43),DATI!$E$32*DATI!$E$42*DATI!$E$49*DATI!$E$33*((DATI!$E$46*DATI!$E$47)/B43^2))))</f>
        <v>0.50257385274321842</v>
      </c>
      <c r="D43" s="306"/>
      <c r="E43" s="429"/>
      <c r="F43" s="429"/>
      <c r="G43" s="429"/>
      <c r="H43" s="429"/>
      <c r="I43" s="429"/>
      <c r="J43" s="429"/>
      <c r="K43" s="429"/>
      <c r="L43" s="429"/>
      <c r="M43" s="429"/>
      <c r="N43" s="429"/>
      <c r="O43" s="429"/>
      <c r="P43" s="429"/>
      <c r="Q43" s="429"/>
      <c r="R43" s="429"/>
      <c r="S43" s="429"/>
    </row>
    <row r="44" spans="1:19" x14ac:dyDescent="0.25">
      <c r="A44" s="429"/>
      <c r="B44" s="633">
        <f t="shared" si="0"/>
        <v>0.39000000000000018</v>
      </c>
      <c r="C44" s="646">
        <f>1/DATI!$E$38*IF(B44&lt;DATI!$E$45,DATI!$E$32*DATI!$E$42*DATI!$E$49*DATI!$E$33*(B44/DATI!$E$45+1/(DATI!$E$49*DATI!$E$33)*(1-B44/DATI!$E$45)),IF(B44&lt;DATI!$E$46,DATI!$E$32*DATI!$E$42*DATI!$E$49*DATI!$E$33,IF(B44&lt;DATI!$E$47,DATI!$E$32*DATI!$E$42*DATI!$E$49*DATI!$E$33*(DATI!$E$46/B44),DATI!$E$32*DATI!$E$42*DATI!$E$49*DATI!$E$33*((DATI!$E$46*DATI!$E$47)/B44^2))))</f>
        <v>0.50257385274321842</v>
      </c>
      <c r="D44" s="306"/>
      <c r="E44" s="429"/>
      <c r="F44" s="429"/>
      <c r="G44" s="429"/>
      <c r="H44" s="429"/>
      <c r="I44" s="429"/>
      <c r="J44" s="429"/>
      <c r="K44" s="429"/>
      <c r="L44" s="429"/>
      <c r="M44" s="429"/>
      <c r="N44" s="429"/>
      <c r="O44" s="429"/>
      <c r="P44" s="429"/>
      <c r="Q44" s="429"/>
      <c r="R44" s="429"/>
      <c r="S44" s="429"/>
    </row>
    <row r="45" spans="1:19" x14ac:dyDescent="0.25">
      <c r="A45" s="429"/>
      <c r="B45" s="633">
        <f t="shared" si="0"/>
        <v>0.40000000000000019</v>
      </c>
      <c r="C45" s="646">
        <f>1/DATI!$E$38*IF(B45&lt;DATI!$E$45,DATI!$E$32*DATI!$E$42*DATI!$E$49*DATI!$E$33*(B45/DATI!$E$45+1/(DATI!$E$49*DATI!$E$33)*(1-B45/DATI!$E$45)),IF(B45&lt;DATI!$E$46,DATI!$E$32*DATI!$E$42*DATI!$E$49*DATI!$E$33,IF(B45&lt;DATI!$E$47,DATI!$E$32*DATI!$E$42*DATI!$E$49*DATI!$E$33*(DATI!$E$46/B45),DATI!$E$32*DATI!$E$42*DATI!$E$49*DATI!$E$33*((DATI!$E$46*DATI!$E$47)/B45^2))))</f>
        <v>0.50257385274321842</v>
      </c>
      <c r="D45" s="306"/>
      <c r="E45" s="429"/>
      <c r="F45" s="429"/>
      <c r="G45" s="429"/>
      <c r="H45" s="429"/>
      <c r="I45" s="429"/>
      <c r="J45" s="429"/>
      <c r="K45" s="429"/>
      <c r="L45" s="429"/>
      <c r="M45" s="429"/>
      <c r="N45" s="429"/>
      <c r="O45" s="429"/>
      <c r="P45" s="429"/>
      <c r="Q45" s="429"/>
      <c r="R45" s="429"/>
      <c r="S45" s="429"/>
    </row>
    <row r="46" spans="1:19" x14ac:dyDescent="0.25">
      <c r="A46" s="429"/>
      <c r="B46" s="633">
        <f t="shared" si="0"/>
        <v>0.4100000000000002</v>
      </c>
      <c r="C46" s="646">
        <f>1/DATI!$E$38*IF(B46&lt;DATI!$E$45,DATI!$E$32*DATI!$E$42*DATI!$E$49*DATI!$E$33*(B46/DATI!$E$45+1/(DATI!$E$49*DATI!$E$33)*(1-B46/DATI!$E$45)),IF(B46&lt;DATI!$E$46,DATI!$E$32*DATI!$E$42*DATI!$E$49*DATI!$E$33,IF(B46&lt;DATI!$E$47,DATI!$E$32*DATI!$E$42*DATI!$E$49*DATI!$E$33*(DATI!$E$46/B46),DATI!$E$32*DATI!$E$42*DATI!$E$49*DATI!$E$33*((DATI!$E$46*DATI!$E$47)/B46^2))))</f>
        <v>0.50257385274321842</v>
      </c>
      <c r="D46" s="306"/>
      <c r="E46" s="429"/>
      <c r="F46" s="429"/>
      <c r="G46" s="429"/>
      <c r="H46" s="429"/>
      <c r="I46" s="429"/>
      <c r="J46" s="429"/>
      <c r="K46" s="429"/>
      <c r="L46" s="429"/>
      <c r="M46" s="429"/>
      <c r="N46" s="429"/>
      <c r="O46" s="429"/>
      <c r="P46" s="429"/>
      <c r="Q46" s="429"/>
      <c r="R46" s="429"/>
      <c r="S46" s="429"/>
    </row>
    <row r="47" spans="1:19" x14ac:dyDescent="0.25">
      <c r="A47" s="429"/>
      <c r="B47" s="633">
        <f t="shared" si="0"/>
        <v>0.42000000000000021</v>
      </c>
      <c r="C47" s="646">
        <f>1/DATI!$E$38*IF(B47&lt;DATI!$E$45,DATI!$E$32*DATI!$E$42*DATI!$E$49*DATI!$E$33*(B47/DATI!$E$45+1/(DATI!$E$49*DATI!$E$33)*(1-B47/DATI!$E$45)),IF(B47&lt;DATI!$E$46,DATI!$E$32*DATI!$E$42*DATI!$E$49*DATI!$E$33,IF(B47&lt;DATI!$E$47,DATI!$E$32*DATI!$E$42*DATI!$E$49*DATI!$E$33*(DATI!$E$46/B47),DATI!$E$32*DATI!$E$42*DATI!$E$49*DATI!$E$33*((DATI!$E$46*DATI!$E$47)/B47^2))))</f>
        <v>0.49702319128337186</v>
      </c>
      <c r="D47" s="306"/>
      <c r="E47" s="429"/>
      <c r="F47" s="429"/>
      <c r="G47" s="429"/>
      <c r="H47" s="429"/>
      <c r="I47" s="429"/>
      <c r="J47" s="429"/>
      <c r="K47" s="429"/>
      <c r="L47" s="429"/>
      <c r="M47" s="429"/>
      <c r="N47" s="429"/>
      <c r="O47" s="429"/>
      <c r="P47" s="429"/>
      <c r="Q47" s="429"/>
      <c r="R47" s="429"/>
      <c r="S47" s="429"/>
    </row>
    <row r="48" spans="1:19" x14ac:dyDescent="0.25">
      <c r="A48" s="429"/>
      <c r="B48" s="633">
        <f t="shared" si="0"/>
        <v>0.43000000000000022</v>
      </c>
      <c r="C48" s="646">
        <f>1/DATI!$E$38*IF(B48&lt;DATI!$E$45,DATI!$E$32*DATI!$E$42*DATI!$E$49*DATI!$E$33*(B48/DATI!$E$45+1/(DATI!$E$49*DATI!$E$33)*(1-B48/DATI!$E$45)),IF(B48&lt;DATI!$E$46,DATI!$E$32*DATI!$E$42*DATI!$E$49*DATI!$E$33,IF(B48&lt;DATI!$E$47,DATI!$E$32*DATI!$E$42*DATI!$E$49*DATI!$E$33*(DATI!$E$46/B48),DATI!$E$32*DATI!$E$42*DATI!$E$49*DATI!$E$33*((DATI!$E$46*DATI!$E$47)/B48^2))))</f>
        <v>0.48546451241631666</v>
      </c>
      <c r="D48" s="306"/>
      <c r="E48" s="429"/>
      <c r="F48" s="429"/>
      <c r="G48" s="429"/>
      <c r="H48" s="429"/>
      <c r="I48" s="429"/>
      <c r="J48" s="429"/>
      <c r="K48" s="429"/>
      <c r="L48" s="429"/>
      <c r="M48" s="429"/>
      <c r="N48" s="429"/>
      <c r="O48" s="429"/>
      <c r="P48" s="429"/>
      <c r="Q48" s="429"/>
      <c r="R48" s="429"/>
      <c r="S48" s="429"/>
    </row>
    <row r="49" spans="1:19" x14ac:dyDescent="0.25">
      <c r="A49" s="429"/>
      <c r="B49" s="633">
        <f t="shared" si="0"/>
        <v>0.44000000000000022</v>
      </c>
      <c r="C49" s="646">
        <f>1/DATI!$E$38*IF(B49&lt;DATI!$E$45,DATI!$E$32*DATI!$E$42*DATI!$E$49*DATI!$E$33*(B49/DATI!$E$45+1/(DATI!$E$49*DATI!$E$33)*(1-B49/DATI!$E$45)),IF(B49&lt;DATI!$E$46,DATI!$E$32*DATI!$E$42*DATI!$E$49*DATI!$E$33,IF(B49&lt;DATI!$E$47,DATI!$E$32*DATI!$E$42*DATI!$E$49*DATI!$E$33*(DATI!$E$46/B49),DATI!$E$32*DATI!$E$42*DATI!$E$49*DATI!$E$33*((DATI!$E$46*DATI!$E$47)/B49^2))))</f>
        <v>0.47443122804321858</v>
      </c>
      <c r="D49" s="306"/>
      <c r="E49" s="429"/>
      <c r="F49" s="429"/>
      <c r="G49" s="429"/>
      <c r="H49" s="429"/>
      <c r="I49" s="429"/>
      <c r="J49" s="429"/>
      <c r="K49" s="429"/>
      <c r="L49" s="429"/>
      <c r="M49" s="429"/>
      <c r="N49" s="429"/>
      <c r="O49" s="429"/>
      <c r="P49" s="429"/>
      <c r="Q49" s="429"/>
      <c r="R49" s="429"/>
      <c r="S49" s="429"/>
    </row>
    <row r="50" spans="1:19" x14ac:dyDescent="0.25">
      <c r="A50" s="429"/>
      <c r="B50" s="633">
        <f t="shared" si="0"/>
        <v>0.45000000000000023</v>
      </c>
      <c r="C50" s="646">
        <f>1/DATI!$E$38*IF(B50&lt;DATI!$E$45,DATI!$E$32*DATI!$E$42*DATI!$E$49*DATI!$E$33*(B50/DATI!$E$45+1/(DATI!$E$49*DATI!$E$33)*(1-B50/DATI!$E$45)),IF(B50&lt;DATI!$E$46,DATI!$E$32*DATI!$E$42*DATI!$E$49*DATI!$E$33,IF(B50&lt;DATI!$E$47,DATI!$E$32*DATI!$E$42*DATI!$E$49*DATI!$E$33*(DATI!$E$46/B50),DATI!$E$32*DATI!$E$42*DATI!$E$49*DATI!$E$33*((DATI!$E$46*DATI!$E$47)/B50^2))))</f>
        <v>0.46388831186448043</v>
      </c>
      <c r="D50" s="306"/>
      <c r="E50" s="429"/>
      <c r="F50" s="429"/>
      <c r="G50" s="429"/>
      <c r="H50" s="429"/>
      <c r="I50" s="429"/>
      <c r="J50" s="429"/>
      <c r="K50" s="429"/>
      <c r="L50" s="429"/>
      <c r="M50" s="429"/>
      <c r="N50" s="429"/>
      <c r="O50" s="429"/>
      <c r="P50" s="429"/>
      <c r="Q50" s="429"/>
      <c r="R50" s="429"/>
      <c r="S50" s="429"/>
    </row>
    <row r="51" spans="1:19" x14ac:dyDescent="0.25">
      <c r="A51" s="429"/>
      <c r="B51" s="633">
        <f t="shared" si="0"/>
        <v>0.46000000000000024</v>
      </c>
      <c r="C51" s="646">
        <f>1/DATI!$E$38*IF(B51&lt;DATI!$E$45,DATI!$E$32*DATI!$E$42*DATI!$E$49*DATI!$E$33*(B51/DATI!$E$45+1/(DATI!$E$49*DATI!$E$33)*(1-B51/DATI!$E$45)),IF(B51&lt;DATI!$E$46,DATI!$E$32*DATI!$E$42*DATI!$E$49*DATI!$E$33,IF(B51&lt;DATI!$E$47,DATI!$E$32*DATI!$E$42*DATI!$E$49*DATI!$E$33*(DATI!$E$46/B51),DATI!$E$32*DATI!$E$42*DATI!$E$49*DATI!$E$33*((DATI!$E$46*DATI!$E$47)/B51^2))))</f>
        <v>0.45380378334568727</v>
      </c>
      <c r="D51" s="306"/>
      <c r="E51" s="429"/>
      <c r="F51" s="429"/>
      <c r="G51" s="429"/>
      <c r="H51" s="429"/>
      <c r="I51" s="429"/>
      <c r="J51" s="429"/>
      <c r="K51" s="429"/>
      <c r="L51" s="429"/>
      <c r="M51" s="429"/>
      <c r="N51" s="429"/>
      <c r="O51" s="429"/>
      <c r="P51" s="429"/>
      <c r="Q51" s="429"/>
      <c r="R51" s="429"/>
      <c r="S51" s="429"/>
    </row>
    <row r="52" spans="1:19" x14ac:dyDescent="0.25">
      <c r="A52" s="429"/>
      <c r="B52" s="633">
        <f t="shared" si="0"/>
        <v>0.47000000000000025</v>
      </c>
      <c r="C52" s="646">
        <f>1/DATI!$E$38*IF(B52&lt;DATI!$E$45,DATI!$E$32*DATI!$E$42*DATI!$E$49*DATI!$E$33*(B52/DATI!$E$45+1/(DATI!$E$49*DATI!$E$33)*(1-B52/DATI!$E$45)),IF(B52&lt;DATI!$E$46,DATI!$E$32*DATI!$E$42*DATI!$E$49*DATI!$E$33,IF(B52&lt;DATI!$E$47,DATI!$E$32*DATI!$E$42*DATI!$E$49*DATI!$E$33*(DATI!$E$46/B52),DATI!$E$32*DATI!$E$42*DATI!$E$49*DATI!$E$33*((DATI!$E$46*DATI!$E$47)/B52^2))))</f>
        <v>0.4441483837000344</v>
      </c>
      <c r="D52" s="306"/>
      <c r="E52" s="429"/>
      <c r="F52" s="429"/>
      <c r="G52" s="429"/>
      <c r="H52" s="429"/>
      <c r="I52" s="429"/>
      <c r="J52" s="429"/>
      <c r="K52" s="429"/>
      <c r="L52" s="429"/>
      <c r="M52" s="429"/>
      <c r="N52" s="429"/>
      <c r="O52" s="429"/>
      <c r="P52" s="429"/>
      <c r="Q52" s="429"/>
      <c r="R52" s="429"/>
      <c r="S52" s="429"/>
    </row>
    <row r="53" spans="1:19" x14ac:dyDescent="0.25">
      <c r="A53" s="429"/>
      <c r="B53" s="633">
        <f t="shared" si="0"/>
        <v>0.48000000000000026</v>
      </c>
      <c r="C53" s="646">
        <f>1/DATI!$E$38*IF(B53&lt;DATI!$E$45,DATI!$E$32*DATI!$E$42*DATI!$E$49*DATI!$E$33*(B53/DATI!$E$45+1/(DATI!$E$49*DATI!$E$33)*(1-B53/DATI!$E$45)),IF(B53&lt;DATI!$E$46,DATI!$E$32*DATI!$E$42*DATI!$E$49*DATI!$E$33,IF(B53&lt;DATI!$E$47,DATI!$E$32*DATI!$E$42*DATI!$E$49*DATI!$E$33*(DATI!$E$46/B53),DATI!$E$32*DATI!$E$42*DATI!$E$49*DATI!$E$33*((DATI!$E$46*DATI!$E$47)/B53^2))))</f>
        <v>0.43489529237295027</v>
      </c>
      <c r="D53" s="306"/>
      <c r="E53" s="429"/>
      <c r="F53" s="429"/>
      <c r="G53" s="429"/>
      <c r="H53" s="429"/>
      <c r="I53" s="429"/>
      <c r="J53" s="429"/>
      <c r="K53" s="429"/>
      <c r="L53" s="429"/>
      <c r="M53" s="429"/>
      <c r="N53" s="429"/>
      <c r="O53" s="429"/>
      <c r="P53" s="429"/>
      <c r="Q53" s="429"/>
      <c r="R53" s="429"/>
      <c r="S53" s="429"/>
    </row>
    <row r="54" spans="1:19" x14ac:dyDescent="0.25">
      <c r="A54" s="429"/>
      <c r="B54" s="633">
        <f t="shared" si="0"/>
        <v>0.49000000000000027</v>
      </c>
      <c r="C54" s="646">
        <f>1/DATI!$E$38*IF(B54&lt;DATI!$E$45,DATI!$E$32*DATI!$E$42*DATI!$E$49*DATI!$E$33*(B54/DATI!$E$45+1/(DATI!$E$49*DATI!$E$33)*(1-B54/DATI!$E$45)),IF(B54&lt;DATI!$E$46,DATI!$E$32*DATI!$E$42*DATI!$E$49*DATI!$E$33,IF(B54&lt;DATI!$E$47,DATI!$E$32*DATI!$E$42*DATI!$E$49*DATI!$E$33*(DATI!$E$46/B54),DATI!$E$32*DATI!$E$42*DATI!$E$49*DATI!$E$33*((DATI!$E$46*DATI!$E$47)/B54^2))))</f>
        <v>0.42601987824289012</v>
      </c>
      <c r="D54" s="306"/>
      <c r="E54" s="429"/>
      <c r="F54" s="429"/>
      <c r="G54" s="429"/>
      <c r="H54" s="429"/>
      <c r="I54" s="429"/>
      <c r="J54" s="429"/>
      <c r="K54" s="429"/>
      <c r="L54" s="429"/>
      <c r="M54" s="429"/>
      <c r="N54" s="429"/>
      <c r="O54" s="429"/>
      <c r="P54" s="429"/>
      <c r="Q54" s="429"/>
      <c r="R54" s="429"/>
      <c r="S54" s="429"/>
    </row>
    <row r="55" spans="1:19" x14ac:dyDescent="0.25">
      <c r="A55" s="429"/>
      <c r="B55" s="633">
        <f t="shared" si="0"/>
        <v>0.50000000000000022</v>
      </c>
      <c r="C55" s="646">
        <f>1/DATI!$E$38*IF(B55&lt;DATI!$E$45,DATI!$E$32*DATI!$E$42*DATI!$E$49*DATI!$E$33*(B55/DATI!$E$45+1/(DATI!$E$49*DATI!$E$33)*(1-B55/DATI!$E$45)),IF(B55&lt;DATI!$E$46,DATI!$E$32*DATI!$E$42*DATI!$E$49*DATI!$E$33,IF(B55&lt;DATI!$E$47,DATI!$E$32*DATI!$E$42*DATI!$E$49*DATI!$E$33*(DATI!$E$46/B55),DATI!$E$32*DATI!$E$42*DATI!$E$49*DATI!$E$33*((DATI!$E$46*DATI!$E$47)/B55^2))))</f>
        <v>0.41749948067803233</v>
      </c>
      <c r="D55" s="306"/>
      <c r="E55" s="429"/>
      <c r="F55" s="429"/>
      <c r="G55" s="429"/>
      <c r="H55" s="429"/>
      <c r="I55" s="429"/>
      <c r="J55" s="429"/>
      <c r="K55" s="429"/>
      <c r="L55" s="429"/>
      <c r="M55" s="429"/>
      <c r="N55" s="429"/>
      <c r="O55" s="429"/>
      <c r="P55" s="429"/>
      <c r="Q55" s="429"/>
      <c r="R55" s="429"/>
      <c r="S55" s="429"/>
    </row>
    <row r="56" spans="1:19" x14ac:dyDescent="0.25">
      <c r="A56" s="429"/>
      <c r="B56" s="633">
        <f t="shared" si="0"/>
        <v>0.51000000000000023</v>
      </c>
      <c r="C56" s="646">
        <f>1/DATI!$E$38*IF(B56&lt;DATI!$E$45,DATI!$E$32*DATI!$E$42*DATI!$E$49*DATI!$E$33*(B56/DATI!$E$45+1/(DATI!$E$49*DATI!$E$33)*(1-B56/DATI!$E$45)),IF(B56&lt;DATI!$E$46,DATI!$E$32*DATI!$E$42*DATI!$E$49*DATI!$E$33,IF(B56&lt;DATI!$E$47,DATI!$E$32*DATI!$E$42*DATI!$E$49*DATI!$E$33*(DATI!$E$46/B56),DATI!$E$32*DATI!$E$42*DATI!$E$49*DATI!$E$33*((DATI!$E$46*DATI!$E$47)/B56^2))))</f>
        <v>0.40931321635101209</v>
      </c>
      <c r="D56" s="306"/>
      <c r="E56" s="429"/>
      <c r="F56" s="429"/>
      <c r="G56" s="429"/>
      <c r="H56" s="429"/>
      <c r="I56" s="429"/>
      <c r="J56" s="429"/>
      <c r="K56" s="429"/>
      <c r="L56" s="429"/>
      <c r="M56" s="429"/>
      <c r="N56" s="429"/>
      <c r="O56" s="429"/>
      <c r="P56" s="429"/>
      <c r="Q56" s="429"/>
      <c r="R56" s="429"/>
      <c r="S56" s="429"/>
    </row>
    <row r="57" spans="1:19" x14ac:dyDescent="0.25">
      <c r="A57" s="429"/>
      <c r="B57" s="633">
        <f t="shared" si="0"/>
        <v>0.52000000000000024</v>
      </c>
      <c r="C57" s="646">
        <f>1/DATI!$E$38*IF(B57&lt;DATI!$E$45,DATI!$E$32*DATI!$E$42*DATI!$E$49*DATI!$E$33*(B57/DATI!$E$45+1/(DATI!$E$49*DATI!$E$33)*(1-B57/DATI!$E$45)),IF(B57&lt;DATI!$E$46,DATI!$E$32*DATI!$E$42*DATI!$E$49*DATI!$E$33,IF(B57&lt;DATI!$E$47,DATI!$E$32*DATI!$E$42*DATI!$E$49*DATI!$E$33*(DATI!$E$46/B57),DATI!$E$32*DATI!$E$42*DATI!$E$49*DATI!$E$33*((DATI!$E$46*DATI!$E$47)/B57^2))))</f>
        <v>0.40144180834426185</v>
      </c>
      <c r="D57" s="306"/>
      <c r="E57" s="429"/>
      <c r="F57" s="429"/>
      <c r="G57" s="429"/>
      <c r="H57" s="429"/>
      <c r="I57" s="429"/>
      <c r="J57" s="429"/>
      <c r="K57" s="429"/>
      <c r="L57" s="429"/>
      <c r="M57" s="429"/>
      <c r="N57" s="429"/>
      <c r="O57" s="429"/>
      <c r="P57" s="429"/>
      <c r="Q57" s="429"/>
      <c r="R57" s="429"/>
      <c r="S57" s="429"/>
    </row>
    <row r="58" spans="1:19" x14ac:dyDescent="0.25">
      <c r="A58" s="429"/>
      <c r="B58" s="633">
        <f t="shared" si="0"/>
        <v>0.53000000000000025</v>
      </c>
      <c r="C58" s="646">
        <f>1/DATI!$E$38*IF(B58&lt;DATI!$E$45,DATI!$E$32*DATI!$E$42*DATI!$E$49*DATI!$E$33*(B58/DATI!$E$45+1/(DATI!$E$49*DATI!$E$33)*(1-B58/DATI!$E$45)),IF(B58&lt;DATI!$E$46,DATI!$E$32*DATI!$E$42*DATI!$E$49*DATI!$E$33,IF(B58&lt;DATI!$E$47,DATI!$E$32*DATI!$E$42*DATI!$E$49*DATI!$E$33*(DATI!$E$46/B58),DATI!$E$32*DATI!$E$42*DATI!$E$49*DATI!$E$33*((DATI!$E$46*DATI!$E$47)/B58^2))))</f>
        <v>0.39386743460191731</v>
      </c>
      <c r="D58" s="306"/>
      <c r="E58" s="429"/>
      <c r="F58" s="429"/>
      <c r="G58" s="429"/>
      <c r="H58" s="429"/>
      <c r="I58" s="429"/>
      <c r="J58" s="429"/>
      <c r="K58" s="429"/>
      <c r="L58" s="429"/>
      <c r="M58" s="429"/>
      <c r="N58" s="429"/>
      <c r="O58" s="429"/>
      <c r="P58" s="429"/>
      <c r="Q58" s="429"/>
      <c r="R58" s="429"/>
      <c r="S58" s="429"/>
    </row>
    <row r="59" spans="1:19" x14ac:dyDescent="0.25">
      <c r="A59" s="429"/>
      <c r="B59" s="633">
        <f t="shared" si="0"/>
        <v>0.54000000000000026</v>
      </c>
      <c r="C59" s="646">
        <f>1/DATI!$E$38*IF(B59&lt;DATI!$E$45,DATI!$E$32*DATI!$E$42*DATI!$E$49*DATI!$E$33*(B59/DATI!$E$45+1/(DATI!$E$49*DATI!$E$33)*(1-B59/DATI!$E$45)),IF(B59&lt;DATI!$E$46,DATI!$E$32*DATI!$E$42*DATI!$E$49*DATI!$E$33,IF(B59&lt;DATI!$E$47,DATI!$E$32*DATI!$E$42*DATI!$E$49*DATI!$E$33*(DATI!$E$46/B59),DATI!$E$32*DATI!$E$42*DATI!$E$49*DATI!$E$33*((DATI!$E$46*DATI!$E$47)/B59^2))))</f>
        <v>0.3865735932204003</v>
      </c>
      <c r="D59" s="306"/>
      <c r="E59" s="429"/>
      <c r="F59" s="429"/>
      <c r="G59" s="429"/>
      <c r="H59" s="429"/>
      <c r="I59" s="429"/>
      <c r="J59" s="429"/>
      <c r="K59" s="429"/>
      <c r="L59" s="429"/>
      <c r="M59" s="429"/>
      <c r="N59" s="429"/>
      <c r="O59" s="429"/>
      <c r="P59" s="429"/>
      <c r="Q59" s="429"/>
      <c r="R59" s="429"/>
      <c r="S59" s="429"/>
    </row>
    <row r="60" spans="1:19" x14ac:dyDescent="0.25">
      <c r="A60" s="429"/>
      <c r="B60" s="633">
        <f t="shared" si="0"/>
        <v>0.55000000000000027</v>
      </c>
      <c r="C60" s="646">
        <f>1/DATI!$E$38*IF(B60&lt;DATI!$E$45,DATI!$E$32*DATI!$E$42*DATI!$E$49*DATI!$E$33*(B60/DATI!$E$45+1/(DATI!$E$49*DATI!$E$33)*(1-B60/DATI!$E$45)),IF(B60&lt;DATI!$E$46,DATI!$E$32*DATI!$E$42*DATI!$E$49*DATI!$E$33,IF(B60&lt;DATI!$E$47,DATI!$E$32*DATI!$E$42*DATI!$E$49*DATI!$E$33*(DATI!$E$46/B60),DATI!$E$32*DATI!$E$42*DATI!$E$49*DATI!$E$33*((DATI!$E$46*DATI!$E$47)/B60^2))))</f>
        <v>0.37954498243457485</v>
      </c>
      <c r="D60" s="306"/>
      <c r="E60" s="429"/>
      <c r="F60" s="429"/>
      <c r="G60" s="429"/>
      <c r="H60" s="429"/>
      <c r="I60" s="429"/>
      <c r="J60" s="429"/>
      <c r="K60" s="429"/>
      <c r="L60" s="429"/>
      <c r="M60" s="429"/>
      <c r="N60" s="429"/>
      <c r="O60" s="429"/>
      <c r="P60" s="429"/>
      <c r="Q60" s="429"/>
      <c r="R60" s="429"/>
      <c r="S60" s="429"/>
    </row>
    <row r="61" spans="1:19" x14ac:dyDescent="0.25">
      <c r="A61" s="429"/>
      <c r="B61" s="633">
        <f t="shared" si="0"/>
        <v>0.56000000000000028</v>
      </c>
      <c r="C61" s="646">
        <f>1/DATI!$E$38*IF(B61&lt;DATI!$E$45,DATI!$E$32*DATI!$E$42*DATI!$E$49*DATI!$E$33*(B61/DATI!$E$45+1/(DATI!$E$49*DATI!$E$33)*(1-B61/DATI!$E$45)),IF(B61&lt;DATI!$E$46,DATI!$E$32*DATI!$E$42*DATI!$E$49*DATI!$E$33,IF(B61&lt;DATI!$E$47,DATI!$E$32*DATI!$E$42*DATI!$E$49*DATI!$E$33*(DATI!$E$46/B61),DATI!$E$32*DATI!$E$42*DATI!$E$49*DATI!$E$33*((DATI!$E$46*DATI!$E$47)/B61^2))))</f>
        <v>0.37276739346252885</v>
      </c>
      <c r="D61" s="306"/>
      <c r="E61" s="429"/>
      <c r="F61" s="429"/>
      <c r="G61" s="429"/>
      <c r="H61" s="429"/>
      <c r="I61" s="429"/>
      <c r="J61" s="429"/>
      <c r="K61" s="429"/>
      <c r="L61" s="429"/>
      <c r="M61" s="429"/>
      <c r="N61" s="429"/>
      <c r="O61" s="429"/>
      <c r="P61" s="429"/>
      <c r="Q61" s="429"/>
      <c r="R61" s="429"/>
      <c r="S61" s="429"/>
    </row>
    <row r="62" spans="1:19" x14ac:dyDescent="0.25">
      <c r="A62" s="429"/>
      <c r="B62" s="633">
        <f t="shared" si="0"/>
        <v>0.57000000000000028</v>
      </c>
      <c r="C62" s="646">
        <f>1/DATI!$E$38*IF(B62&lt;DATI!$E$45,DATI!$E$32*DATI!$E$42*DATI!$E$49*DATI!$E$33*(B62/DATI!$E$45+1/(DATI!$E$49*DATI!$E$33)*(1-B62/DATI!$E$45)),IF(B62&lt;DATI!$E$46,DATI!$E$32*DATI!$E$42*DATI!$E$49*DATI!$E$33,IF(B62&lt;DATI!$E$47,DATI!$E$32*DATI!$E$42*DATI!$E$49*DATI!$E$33*(DATI!$E$46/B62),DATI!$E$32*DATI!$E$42*DATI!$E$49*DATI!$E$33*((DATI!$E$46*DATI!$E$47)/B62^2))))</f>
        <v>0.36622761462985287</v>
      </c>
      <c r="D62" s="306"/>
      <c r="E62" s="429"/>
      <c r="F62" s="429"/>
      <c r="G62" s="429"/>
      <c r="H62" s="429"/>
      <c r="I62" s="429"/>
      <c r="J62" s="429"/>
      <c r="K62" s="429"/>
      <c r="L62" s="429"/>
      <c r="M62" s="429"/>
      <c r="N62" s="429"/>
      <c r="O62" s="429"/>
      <c r="P62" s="429"/>
      <c r="Q62" s="429"/>
      <c r="R62" s="429"/>
      <c r="S62" s="429"/>
    </row>
    <row r="63" spans="1:19" x14ac:dyDescent="0.25">
      <c r="A63" s="429"/>
      <c r="B63" s="633">
        <f t="shared" si="0"/>
        <v>0.58000000000000029</v>
      </c>
      <c r="C63" s="646">
        <f>1/DATI!$E$38*IF(B63&lt;DATI!$E$45,DATI!$E$32*DATI!$E$42*DATI!$E$49*DATI!$E$33*(B63/DATI!$E$45+1/(DATI!$E$49*DATI!$E$33)*(1-B63/DATI!$E$45)),IF(B63&lt;DATI!$E$46,DATI!$E$32*DATI!$E$42*DATI!$E$49*DATI!$E$33,IF(B63&lt;DATI!$E$47,DATI!$E$32*DATI!$E$42*DATI!$E$49*DATI!$E$33*(DATI!$E$46/B63),DATI!$E$32*DATI!$E$42*DATI!$E$49*DATI!$E$33*((DATI!$E$46*DATI!$E$47)/B63^2))))</f>
        <v>0.35991334541209685</v>
      </c>
      <c r="D63" s="306"/>
      <c r="E63" s="429"/>
      <c r="F63" s="429"/>
      <c r="G63" s="429"/>
      <c r="H63" s="429"/>
      <c r="I63" s="429"/>
      <c r="J63" s="429"/>
      <c r="K63" s="429"/>
      <c r="L63" s="429"/>
      <c r="M63" s="429"/>
      <c r="N63" s="429"/>
      <c r="O63" s="429"/>
      <c r="P63" s="429"/>
      <c r="Q63" s="429"/>
      <c r="R63" s="429"/>
      <c r="S63" s="429"/>
    </row>
    <row r="64" spans="1:19" x14ac:dyDescent="0.25">
      <c r="A64" s="429"/>
      <c r="B64" s="633">
        <f t="shared" si="0"/>
        <v>0.5900000000000003</v>
      </c>
      <c r="C64" s="646">
        <f>1/DATI!$E$38*IF(B64&lt;DATI!$E$45,DATI!$E$32*DATI!$E$42*DATI!$E$49*DATI!$E$33*(B64/DATI!$E$45+1/(DATI!$E$49*DATI!$E$33)*(1-B64/DATI!$E$45)),IF(B64&lt;DATI!$E$46,DATI!$E$32*DATI!$E$42*DATI!$E$49*DATI!$E$33,IF(B64&lt;DATI!$E$47,DATI!$E$32*DATI!$E$42*DATI!$E$49*DATI!$E$33*(DATI!$E$46/B64),DATI!$E$32*DATI!$E$42*DATI!$E$49*DATI!$E$33*((DATI!$E$46*DATI!$E$47)/B64^2))))</f>
        <v>0.35381311921867142</v>
      </c>
      <c r="D64" s="306"/>
      <c r="E64" s="429"/>
      <c r="F64" s="429"/>
      <c r="G64" s="429"/>
      <c r="H64" s="429"/>
      <c r="I64" s="429"/>
      <c r="J64" s="429"/>
      <c r="K64" s="429"/>
      <c r="L64" s="429"/>
      <c r="M64" s="429"/>
      <c r="N64" s="429"/>
      <c r="O64" s="429"/>
      <c r="P64" s="429"/>
      <c r="Q64" s="429"/>
      <c r="R64" s="429"/>
      <c r="S64" s="429"/>
    </row>
    <row r="65" spans="1:19" x14ac:dyDescent="0.25">
      <c r="A65" s="429"/>
      <c r="B65" s="633">
        <f t="shared" si="0"/>
        <v>0.60000000000000031</v>
      </c>
      <c r="C65" s="646">
        <f>1/DATI!$E$38*IF(B65&lt;DATI!$E$45,DATI!$E$32*DATI!$E$42*DATI!$E$49*DATI!$E$33*(B65/DATI!$E$45+1/(DATI!$E$49*DATI!$E$33)*(1-B65/DATI!$E$45)),IF(B65&lt;DATI!$E$46,DATI!$E$32*DATI!$E$42*DATI!$E$49*DATI!$E$33,IF(B65&lt;DATI!$E$47,DATI!$E$32*DATI!$E$42*DATI!$E$49*DATI!$E$33*(DATI!$E$46/B65),DATI!$E$32*DATI!$E$42*DATI!$E$49*DATI!$E$33*((DATI!$E$46*DATI!$E$47)/B65^2))))</f>
        <v>0.34791623389836029</v>
      </c>
      <c r="D65" s="306"/>
      <c r="E65" s="429"/>
      <c r="F65" s="429"/>
      <c r="G65" s="429"/>
      <c r="H65" s="429"/>
      <c r="I65" s="429"/>
      <c r="J65" s="429"/>
      <c r="K65" s="429"/>
      <c r="L65" s="429"/>
      <c r="M65" s="429"/>
      <c r="N65" s="429"/>
      <c r="O65" s="429"/>
      <c r="P65" s="429"/>
      <c r="Q65" s="429"/>
      <c r="R65" s="429"/>
      <c r="S65" s="429"/>
    </row>
    <row r="66" spans="1:19" x14ac:dyDescent="0.25">
      <c r="A66" s="429"/>
      <c r="B66" s="633">
        <f t="shared" si="0"/>
        <v>0.61000000000000032</v>
      </c>
      <c r="C66" s="646">
        <f>1/DATI!$E$38*IF(B66&lt;DATI!$E$45,DATI!$E$32*DATI!$E$42*DATI!$E$49*DATI!$E$33*(B66/DATI!$E$45+1/(DATI!$E$49*DATI!$E$33)*(1-B66/DATI!$E$45)),IF(B66&lt;DATI!$E$46,DATI!$E$32*DATI!$E$42*DATI!$E$49*DATI!$E$33,IF(B66&lt;DATI!$E$47,DATI!$E$32*DATI!$E$42*DATI!$E$49*DATI!$E$33*(DATI!$E$46/B66),DATI!$E$32*DATI!$E$42*DATI!$E$49*DATI!$E$33*((DATI!$E$46*DATI!$E$47)/B66^2))))</f>
        <v>0.34221268908035435</v>
      </c>
      <c r="D66" s="306"/>
      <c r="E66" s="429"/>
      <c r="F66" s="429"/>
      <c r="G66" s="429"/>
      <c r="H66" s="429"/>
      <c r="I66" s="429"/>
      <c r="J66" s="429"/>
      <c r="K66" s="429"/>
      <c r="L66" s="429"/>
      <c r="M66" s="429"/>
      <c r="N66" s="429"/>
      <c r="O66" s="429"/>
      <c r="P66" s="429"/>
      <c r="Q66" s="429"/>
      <c r="R66" s="429"/>
      <c r="S66" s="429"/>
    </row>
    <row r="67" spans="1:19" x14ac:dyDescent="0.25">
      <c r="A67" s="429"/>
      <c r="B67" s="633">
        <f t="shared" si="0"/>
        <v>0.62000000000000033</v>
      </c>
      <c r="C67" s="646">
        <f>1/DATI!$E$38*IF(B67&lt;DATI!$E$45,DATI!$E$32*DATI!$E$42*DATI!$E$49*DATI!$E$33*(B67/DATI!$E$45+1/(DATI!$E$49*DATI!$E$33)*(1-B67/DATI!$E$45)),IF(B67&lt;DATI!$E$46,DATI!$E$32*DATI!$E$42*DATI!$E$49*DATI!$E$33,IF(B67&lt;DATI!$E$47,DATI!$E$32*DATI!$E$42*DATI!$E$49*DATI!$E$33*(DATI!$E$46/B67),DATI!$E$32*DATI!$E$42*DATI!$E$49*DATI!$E$33*((DATI!$E$46*DATI!$E$47)/B67^2))))</f>
        <v>0.33669312957905834</v>
      </c>
      <c r="D67" s="306"/>
      <c r="E67" s="429"/>
      <c r="F67" s="429"/>
      <c r="G67" s="429"/>
      <c r="H67" s="429"/>
      <c r="I67" s="429"/>
      <c r="J67" s="429"/>
      <c r="K67" s="429"/>
      <c r="L67" s="429"/>
      <c r="M67" s="429"/>
      <c r="N67" s="429"/>
      <c r="O67" s="429"/>
      <c r="P67" s="429"/>
      <c r="Q67" s="429"/>
      <c r="R67" s="429"/>
      <c r="S67" s="429"/>
    </row>
    <row r="68" spans="1:19" x14ac:dyDescent="0.25">
      <c r="A68" s="429"/>
      <c r="B68" s="633">
        <f t="shared" si="0"/>
        <v>0.63000000000000034</v>
      </c>
      <c r="C68" s="646">
        <f>1/DATI!$E$38*IF(B68&lt;DATI!$E$45,DATI!$E$32*DATI!$E$42*DATI!$E$49*DATI!$E$33*(B68/DATI!$E$45+1/(DATI!$E$49*DATI!$E$33)*(1-B68/DATI!$E$45)),IF(B68&lt;DATI!$E$46,DATI!$E$32*DATI!$E$42*DATI!$E$49*DATI!$E$33,IF(B68&lt;DATI!$E$47,DATI!$E$32*DATI!$E$42*DATI!$E$49*DATI!$E$33*(DATI!$E$46/B68),DATI!$E$32*DATI!$E$42*DATI!$E$49*DATI!$E$33*((DATI!$E$46*DATI!$E$47)/B68^2))))</f>
        <v>0.3313487941889145</v>
      </c>
      <c r="D68" s="306"/>
      <c r="E68" s="429"/>
      <c r="F68" s="429"/>
      <c r="G68" s="429"/>
      <c r="H68" s="429"/>
      <c r="I68" s="429"/>
      <c r="J68" s="429"/>
      <c r="K68" s="429"/>
      <c r="L68" s="429"/>
      <c r="M68" s="429"/>
      <c r="N68" s="429"/>
      <c r="O68" s="429"/>
      <c r="P68" s="429"/>
      <c r="Q68" s="429"/>
      <c r="R68" s="429"/>
      <c r="S68" s="429"/>
    </row>
    <row r="69" spans="1:19" x14ac:dyDescent="0.25">
      <c r="A69" s="429"/>
      <c r="B69" s="633">
        <f t="shared" si="0"/>
        <v>0.64000000000000035</v>
      </c>
      <c r="C69" s="646">
        <f>1/DATI!$E$38*IF(B69&lt;DATI!$E$45,DATI!$E$32*DATI!$E$42*DATI!$E$49*DATI!$E$33*(B69/DATI!$E$45+1/(DATI!$E$49*DATI!$E$33)*(1-B69/DATI!$E$45)),IF(B69&lt;DATI!$E$46,DATI!$E$32*DATI!$E$42*DATI!$E$49*DATI!$E$33,IF(B69&lt;DATI!$E$47,DATI!$E$32*DATI!$E$42*DATI!$E$49*DATI!$E$33*(DATI!$E$46/B69),DATI!$E$32*DATI!$E$42*DATI!$E$49*DATI!$E$33*((DATI!$E$46*DATI!$E$47)/B69^2))))</f>
        <v>0.32617146927971274</v>
      </c>
      <c r="D69" s="306"/>
      <c r="E69" s="429"/>
      <c r="F69" s="429"/>
      <c r="G69" s="429"/>
      <c r="H69" s="429"/>
      <c r="I69" s="429"/>
      <c r="J69" s="429"/>
      <c r="K69" s="429"/>
      <c r="L69" s="429"/>
      <c r="M69" s="429"/>
      <c r="N69" s="429"/>
      <c r="O69" s="429"/>
      <c r="P69" s="429"/>
      <c r="Q69" s="429"/>
      <c r="R69" s="429"/>
      <c r="S69" s="429"/>
    </row>
    <row r="70" spans="1:19" x14ac:dyDescent="0.25">
      <c r="A70" s="429"/>
      <c r="B70" s="633">
        <f t="shared" ref="B70:B133" si="1">0.01+B69</f>
        <v>0.65000000000000036</v>
      </c>
      <c r="C70" s="646">
        <f>1/DATI!$E$38*IF(B70&lt;DATI!$E$45,DATI!$E$32*DATI!$E$42*DATI!$E$49*DATI!$E$33*(B70/DATI!$E$45+1/(DATI!$E$49*DATI!$E$33)*(1-B70/DATI!$E$45)),IF(B70&lt;DATI!$E$46,DATI!$E$32*DATI!$E$42*DATI!$E$49*DATI!$E$33,IF(B70&lt;DATI!$E$47,DATI!$E$32*DATI!$E$42*DATI!$E$49*DATI!$E$33*(DATI!$E$46/B70),DATI!$E$32*DATI!$E$42*DATI!$E$49*DATI!$E$33*((DATI!$E$46*DATI!$E$47)/B70^2))))</f>
        <v>0.32115344667540946</v>
      </c>
      <c r="D70" s="306"/>
      <c r="E70" s="429"/>
      <c r="F70" s="429"/>
      <c r="G70" s="429"/>
      <c r="H70" s="429"/>
      <c r="I70" s="429"/>
      <c r="J70" s="429"/>
      <c r="K70" s="429"/>
      <c r="L70" s="429"/>
      <c r="M70" s="429"/>
      <c r="N70" s="429"/>
      <c r="O70" s="429"/>
      <c r="P70" s="429"/>
      <c r="Q70" s="429"/>
      <c r="R70" s="429"/>
      <c r="S70" s="429"/>
    </row>
    <row r="71" spans="1:19" x14ac:dyDescent="0.25">
      <c r="A71" s="429"/>
      <c r="B71" s="633">
        <f t="shared" si="1"/>
        <v>0.66000000000000036</v>
      </c>
      <c r="C71" s="646">
        <f>1/DATI!$E$38*IF(B71&lt;DATI!$E$45,DATI!$E$32*DATI!$E$42*DATI!$E$49*DATI!$E$33*(B71/DATI!$E$45+1/(DATI!$E$49*DATI!$E$33)*(1-B71/DATI!$E$45)),IF(B71&lt;DATI!$E$46,DATI!$E$32*DATI!$E$42*DATI!$E$49*DATI!$E$33,IF(B71&lt;DATI!$E$47,DATI!$E$32*DATI!$E$42*DATI!$E$49*DATI!$E$33*(DATI!$E$46/B71),DATI!$E$32*DATI!$E$42*DATI!$E$49*DATI!$E$33*((DATI!$E$46*DATI!$E$47)/B71^2))))</f>
        <v>0.31628748536214568</v>
      </c>
      <c r="D71" s="306"/>
      <c r="E71" s="429"/>
      <c r="F71" s="429"/>
      <c r="G71" s="429"/>
      <c r="H71" s="429"/>
      <c r="I71" s="429"/>
      <c r="J71" s="429"/>
      <c r="K71" s="429"/>
      <c r="L71" s="429"/>
      <c r="M71" s="429"/>
      <c r="N71" s="429"/>
      <c r="O71" s="429"/>
      <c r="P71" s="429"/>
      <c r="Q71" s="429"/>
      <c r="R71" s="429"/>
      <c r="S71" s="429"/>
    </row>
    <row r="72" spans="1:19" x14ac:dyDescent="0.25">
      <c r="A72" s="429"/>
      <c r="B72" s="633">
        <f t="shared" si="1"/>
        <v>0.67000000000000037</v>
      </c>
      <c r="C72" s="646">
        <f>1/DATI!$E$38*IF(B72&lt;DATI!$E$45,DATI!$E$32*DATI!$E$42*DATI!$E$49*DATI!$E$33*(B72/DATI!$E$45+1/(DATI!$E$49*DATI!$E$33)*(1-B72/DATI!$E$45)),IF(B72&lt;DATI!$E$46,DATI!$E$32*DATI!$E$42*DATI!$E$49*DATI!$E$33,IF(B72&lt;DATI!$E$47,DATI!$E$32*DATI!$E$42*DATI!$E$49*DATI!$E$33*(DATI!$E$46/B72),DATI!$E$32*DATI!$E$42*DATI!$E$49*DATI!$E$33*((DATI!$E$46*DATI!$E$47)/B72^2))))</f>
        <v>0.31156677662539728</v>
      </c>
      <c r="D72" s="306"/>
      <c r="E72" s="429"/>
      <c r="F72" s="429"/>
      <c r="G72" s="429"/>
      <c r="H72" s="429"/>
      <c r="I72" s="429"/>
      <c r="J72" s="429"/>
      <c r="K72" s="429"/>
      <c r="L72" s="429"/>
      <c r="M72" s="429"/>
      <c r="N72" s="429"/>
      <c r="O72" s="429"/>
      <c r="P72" s="429"/>
      <c r="Q72" s="429"/>
      <c r="R72" s="429"/>
      <c r="S72" s="429"/>
    </row>
    <row r="73" spans="1:19" x14ac:dyDescent="0.25">
      <c r="A73" s="429"/>
      <c r="B73" s="633">
        <f t="shared" si="1"/>
        <v>0.68000000000000038</v>
      </c>
      <c r="C73" s="646">
        <f>1/DATI!$E$38*IF(B73&lt;DATI!$E$45,DATI!$E$32*DATI!$E$42*DATI!$E$49*DATI!$E$33*(B73/DATI!$E$45+1/(DATI!$E$49*DATI!$E$33)*(1-B73/DATI!$E$45)),IF(B73&lt;DATI!$E$46,DATI!$E$32*DATI!$E$42*DATI!$E$49*DATI!$E$33,IF(B73&lt;DATI!$E$47,DATI!$E$32*DATI!$E$42*DATI!$E$49*DATI!$E$33*(DATI!$E$46/B73),DATI!$E$32*DATI!$E$42*DATI!$E$49*DATI!$E$33*((DATI!$E$46*DATI!$E$47)/B73^2))))</f>
        <v>0.30698491226325902</v>
      </c>
      <c r="D73" s="306"/>
      <c r="E73" s="429"/>
      <c r="F73" s="429"/>
      <c r="G73" s="429"/>
      <c r="H73" s="429"/>
      <c r="I73" s="429"/>
      <c r="J73" s="429"/>
      <c r="K73" s="429"/>
      <c r="L73" s="429"/>
      <c r="M73" s="429"/>
      <c r="N73" s="429"/>
      <c r="O73" s="429"/>
      <c r="P73" s="429"/>
      <c r="Q73" s="429"/>
      <c r="R73" s="429"/>
      <c r="S73" s="429"/>
    </row>
    <row r="74" spans="1:19" x14ac:dyDescent="0.25">
      <c r="A74" s="429"/>
      <c r="B74" s="633">
        <f t="shared" si="1"/>
        <v>0.69000000000000039</v>
      </c>
      <c r="C74" s="646">
        <f>1/DATI!$E$38*IF(B74&lt;DATI!$E$45,DATI!$E$32*DATI!$E$42*DATI!$E$49*DATI!$E$33*(B74/DATI!$E$45+1/(DATI!$E$49*DATI!$E$33)*(1-B74/DATI!$E$45)),IF(B74&lt;DATI!$E$46,DATI!$E$32*DATI!$E$42*DATI!$E$49*DATI!$E$33,IF(B74&lt;DATI!$E$47,DATI!$E$32*DATI!$E$42*DATI!$E$49*DATI!$E$33*(DATI!$E$46/B74),DATI!$E$32*DATI!$E$42*DATI!$E$49*DATI!$E$33*((DATI!$E$46*DATI!$E$47)/B74^2))))</f>
        <v>0.30253585556379153</v>
      </c>
      <c r="D74" s="306"/>
      <c r="E74" s="429"/>
      <c r="F74" s="429"/>
      <c r="G74" s="429"/>
      <c r="H74" s="429"/>
      <c r="I74" s="429"/>
      <c r="J74" s="429"/>
      <c r="K74" s="429"/>
      <c r="L74" s="429"/>
      <c r="M74" s="429"/>
      <c r="N74" s="429"/>
      <c r="O74" s="429"/>
      <c r="P74" s="429"/>
      <c r="Q74" s="429"/>
      <c r="R74" s="429"/>
      <c r="S74" s="429"/>
    </row>
    <row r="75" spans="1:19" x14ac:dyDescent="0.25">
      <c r="A75" s="429"/>
      <c r="B75" s="633">
        <f t="shared" si="1"/>
        <v>0.7000000000000004</v>
      </c>
      <c r="C75" s="646">
        <f>1/DATI!$E$38*IF(B75&lt;DATI!$E$45,DATI!$E$32*DATI!$E$42*DATI!$E$49*DATI!$E$33*(B75/DATI!$E$45+1/(DATI!$E$49*DATI!$E$33)*(1-B75/DATI!$E$45)),IF(B75&lt;DATI!$E$46,DATI!$E$32*DATI!$E$42*DATI!$E$49*DATI!$E$33,IF(B75&lt;DATI!$E$47,DATI!$E$32*DATI!$E$42*DATI!$E$49*DATI!$E$33*(DATI!$E$46/B75),DATI!$E$32*DATI!$E$42*DATI!$E$49*DATI!$E$33*((DATI!$E$46*DATI!$E$47)/B75^2))))</f>
        <v>0.29821391477002307</v>
      </c>
      <c r="D75" s="306"/>
      <c r="E75" s="429"/>
      <c r="F75" s="429"/>
      <c r="G75" s="429"/>
      <c r="H75" s="429"/>
      <c r="I75" s="429"/>
      <c r="J75" s="429"/>
      <c r="K75" s="429"/>
      <c r="L75" s="429"/>
      <c r="M75" s="429"/>
      <c r="N75" s="429"/>
      <c r="O75" s="429"/>
      <c r="P75" s="429"/>
      <c r="Q75" s="429"/>
      <c r="R75" s="429"/>
      <c r="S75" s="429"/>
    </row>
    <row r="76" spans="1:19" x14ac:dyDescent="0.25">
      <c r="A76" s="429"/>
      <c r="B76" s="633">
        <f t="shared" si="1"/>
        <v>0.71000000000000041</v>
      </c>
      <c r="C76" s="646">
        <f>1/DATI!$E$38*IF(B76&lt;DATI!$E$45,DATI!$E$32*DATI!$E$42*DATI!$E$49*DATI!$E$33*(B76/DATI!$E$45+1/(DATI!$E$49*DATI!$E$33)*(1-B76/DATI!$E$45)),IF(B76&lt;DATI!$E$46,DATI!$E$32*DATI!$E$42*DATI!$E$49*DATI!$E$33,IF(B76&lt;DATI!$E$47,DATI!$E$32*DATI!$E$42*DATI!$E$49*DATI!$E$33*(DATI!$E$46/B76),DATI!$E$32*DATI!$E$42*DATI!$E$49*DATI!$E$33*((DATI!$E$46*DATI!$E$47)/B76^2))))</f>
        <v>0.29401371878734672</v>
      </c>
      <c r="D76" s="306"/>
      <c r="E76" s="429"/>
      <c r="F76" s="429"/>
      <c r="G76" s="429"/>
      <c r="H76" s="429"/>
      <c r="I76" s="429"/>
      <c r="J76" s="429"/>
      <c r="K76" s="429"/>
      <c r="L76" s="429"/>
      <c r="M76" s="429"/>
      <c r="N76" s="429"/>
      <c r="O76" s="429"/>
      <c r="P76" s="429"/>
      <c r="Q76" s="429"/>
      <c r="R76" s="429"/>
      <c r="S76" s="429"/>
    </row>
    <row r="77" spans="1:19" x14ac:dyDescent="0.25">
      <c r="A77" s="429"/>
      <c r="B77" s="633">
        <f t="shared" si="1"/>
        <v>0.72000000000000042</v>
      </c>
      <c r="C77" s="646">
        <f>1/DATI!$E$38*IF(B77&lt;DATI!$E$45,DATI!$E$32*DATI!$E$42*DATI!$E$49*DATI!$E$33*(B77/DATI!$E$45+1/(DATI!$E$49*DATI!$E$33)*(1-B77/DATI!$E$45)),IF(B77&lt;DATI!$E$46,DATI!$E$32*DATI!$E$42*DATI!$E$49*DATI!$E$33,IF(B77&lt;DATI!$E$47,DATI!$E$32*DATI!$E$42*DATI!$E$49*DATI!$E$33*(DATI!$E$46/B77),DATI!$E$32*DATI!$E$42*DATI!$E$49*DATI!$E$33*((DATI!$E$46*DATI!$E$47)/B77^2))))</f>
        <v>0.2899301949153002</v>
      </c>
      <c r="D77" s="306"/>
      <c r="E77" s="429"/>
      <c r="F77" s="429"/>
      <c r="G77" s="429"/>
      <c r="H77" s="429"/>
      <c r="I77" s="429"/>
      <c r="J77" s="429"/>
      <c r="K77" s="429"/>
      <c r="L77" s="429"/>
      <c r="M77" s="429"/>
      <c r="N77" s="429"/>
      <c r="O77" s="429"/>
      <c r="P77" s="429"/>
      <c r="Q77" s="429"/>
      <c r="R77" s="429"/>
      <c r="S77" s="429"/>
    </row>
    <row r="78" spans="1:19" x14ac:dyDescent="0.25">
      <c r="A78" s="429"/>
      <c r="B78" s="633">
        <f t="shared" si="1"/>
        <v>0.73000000000000043</v>
      </c>
      <c r="C78" s="646">
        <f>1/DATI!$E$38*IF(B78&lt;DATI!$E$45,DATI!$E$32*DATI!$E$42*DATI!$E$49*DATI!$E$33*(B78/DATI!$E$45+1/(DATI!$E$49*DATI!$E$33)*(1-B78/DATI!$E$45)),IF(B78&lt;DATI!$E$46,DATI!$E$32*DATI!$E$42*DATI!$E$49*DATI!$E$33,IF(B78&lt;DATI!$E$47,DATI!$E$32*DATI!$E$42*DATI!$E$49*DATI!$E$33*(DATI!$E$46/B78),DATI!$E$32*DATI!$E$42*DATI!$E$49*DATI!$E$33*((DATI!$E$46*DATI!$E$47)/B78^2))))</f>
        <v>0.2859585484096111</v>
      </c>
      <c r="D78" s="306"/>
      <c r="E78" s="429"/>
      <c r="F78" s="429"/>
      <c r="G78" s="429"/>
      <c r="H78" s="429"/>
      <c r="I78" s="429"/>
      <c r="J78" s="429"/>
      <c r="K78" s="429"/>
      <c r="L78" s="429"/>
      <c r="M78" s="429"/>
      <c r="N78" s="429"/>
      <c r="O78" s="429"/>
      <c r="P78" s="429"/>
      <c r="Q78" s="429"/>
      <c r="R78" s="429"/>
      <c r="S78" s="429"/>
    </row>
    <row r="79" spans="1:19" x14ac:dyDescent="0.25">
      <c r="A79" s="429"/>
      <c r="B79" s="633">
        <f t="shared" si="1"/>
        <v>0.74000000000000044</v>
      </c>
      <c r="C79" s="646">
        <f>1/DATI!$E$38*IF(B79&lt;DATI!$E$45,DATI!$E$32*DATI!$E$42*DATI!$E$49*DATI!$E$33*(B79/DATI!$E$45+1/(DATI!$E$49*DATI!$E$33)*(1-B79/DATI!$E$45)),IF(B79&lt;DATI!$E$46,DATI!$E$32*DATI!$E$42*DATI!$E$49*DATI!$E$33,IF(B79&lt;DATI!$E$47,DATI!$E$32*DATI!$E$42*DATI!$E$49*DATI!$E$33*(DATI!$E$46/B79),DATI!$E$32*DATI!$E$42*DATI!$E$49*DATI!$E$33*((DATI!$E$46*DATI!$E$47)/B79^2))))</f>
        <v>0.2820942437013732</v>
      </c>
      <c r="D79" s="306"/>
      <c r="E79" s="429"/>
      <c r="F79" s="429"/>
      <c r="G79" s="429"/>
      <c r="H79" s="429"/>
      <c r="I79" s="429"/>
      <c r="J79" s="429"/>
      <c r="K79" s="429"/>
      <c r="L79" s="429"/>
      <c r="M79" s="429"/>
      <c r="N79" s="429"/>
      <c r="O79" s="429"/>
      <c r="P79" s="429"/>
      <c r="Q79" s="429"/>
      <c r="R79" s="429"/>
      <c r="S79" s="429"/>
    </row>
    <row r="80" spans="1:19" x14ac:dyDescent="0.25">
      <c r="A80" s="429"/>
      <c r="B80" s="633">
        <f t="shared" si="1"/>
        <v>0.75000000000000044</v>
      </c>
      <c r="C80" s="646">
        <f>1/DATI!$E$38*IF(B80&lt;DATI!$E$45,DATI!$E$32*DATI!$E$42*DATI!$E$49*DATI!$E$33*(B80/DATI!$E$45+1/(DATI!$E$49*DATI!$E$33)*(1-B80/DATI!$E$45)),IF(B80&lt;DATI!$E$46,DATI!$E$32*DATI!$E$42*DATI!$E$49*DATI!$E$33,IF(B80&lt;DATI!$E$47,DATI!$E$32*DATI!$E$42*DATI!$E$49*DATI!$E$33*(DATI!$E$46/B80),DATI!$E$32*DATI!$E$42*DATI!$E$49*DATI!$E$33*((DATI!$E$46*DATI!$E$47)/B80^2))))</f>
        <v>0.2783329871186882</v>
      </c>
      <c r="D80" s="306"/>
      <c r="E80" s="429"/>
      <c r="F80" s="429"/>
      <c r="G80" s="429"/>
      <c r="H80" s="429"/>
      <c r="I80" s="429"/>
      <c r="J80" s="429"/>
      <c r="K80" s="429"/>
      <c r="L80" s="429"/>
      <c r="M80" s="429"/>
      <c r="N80" s="429"/>
      <c r="O80" s="429"/>
      <c r="P80" s="429"/>
      <c r="Q80" s="429"/>
      <c r="R80" s="429"/>
      <c r="S80" s="429"/>
    </row>
    <row r="81" spans="1:19" x14ac:dyDescent="0.25">
      <c r="A81" s="429"/>
      <c r="B81" s="633">
        <f t="shared" si="1"/>
        <v>0.76000000000000045</v>
      </c>
      <c r="C81" s="646">
        <f>1/DATI!$E$38*IF(B81&lt;DATI!$E$45,DATI!$E$32*DATI!$E$42*DATI!$E$49*DATI!$E$33*(B81/DATI!$E$45+1/(DATI!$E$49*DATI!$E$33)*(1-B81/DATI!$E$45)),IF(B81&lt;DATI!$E$46,DATI!$E$32*DATI!$E$42*DATI!$E$49*DATI!$E$33,IF(B81&lt;DATI!$E$47,DATI!$E$32*DATI!$E$42*DATI!$E$49*DATI!$E$33*(DATI!$E$46/B81),DATI!$E$32*DATI!$E$42*DATI!$E$49*DATI!$E$33*((DATI!$E$46*DATI!$E$47)/B81^2))))</f>
        <v>0.27467071097238965</v>
      </c>
      <c r="D81" s="306"/>
      <c r="E81" s="429"/>
      <c r="F81" s="429"/>
      <c r="G81" s="429"/>
      <c r="H81" s="429"/>
      <c r="I81" s="429"/>
      <c r="J81" s="429"/>
      <c r="K81" s="429"/>
      <c r="L81" s="429"/>
      <c r="M81" s="429"/>
      <c r="N81" s="429"/>
      <c r="O81" s="429"/>
      <c r="P81" s="429"/>
      <c r="Q81" s="429"/>
      <c r="R81" s="429"/>
      <c r="S81" s="429"/>
    </row>
    <row r="82" spans="1:19" x14ac:dyDescent="0.25">
      <c r="A82" s="429"/>
      <c r="B82" s="633">
        <f t="shared" si="1"/>
        <v>0.77000000000000046</v>
      </c>
      <c r="C82" s="646">
        <f>1/DATI!$E$38*IF(B82&lt;DATI!$E$45,DATI!$E$32*DATI!$E$42*DATI!$E$49*DATI!$E$33*(B82/DATI!$E$45+1/(DATI!$E$49*DATI!$E$33)*(1-B82/DATI!$E$45)),IF(B82&lt;DATI!$E$46,DATI!$E$32*DATI!$E$42*DATI!$E$49*DATI!$E$33,IF(B82&lt;DATI!$E$47,DATI!$E$32*DATI!$E$42*DATI!$E$49*DATI!$E$33*(DATI!$E$46/B82),DATI!$E$32*DATI!$E$42*DATI!$E$49*DATI!$E$33*((DATI!$E$46*DATI!$E$47)/B82^2))))</f>
        <v>0.27110355888183912</v>
      </c>
      <c r="D82" s="306"/>
      <c r="E82" s="429"/>
      <c r="F82" s="429"/>
      <c r="G82" s="429"/>
      <c r="H82" s="429"/>
      <c r="I82" s="429"/>
      <c r="J82" s="429"/>
      <c r="K82" s="429"/>
      <c r="L82" s="429"/>
      <c r="M82" s="429"/>
      <c r="N82" s="429"/>
      <c r="O82" s="429"/>
      <c r="P82" s="429"/>
      <c r="Q82" s="429"/>
      <c r="R82" s="429"/>
      <c r="S82" s="429"/>
    </row>
    <row r="83" spans="1:19" x14ac:dyDescent="0.25">
      <c r="A83" s="429"/>
      <c r="B83" s="633">
        <f t="shared" si="1"/>
        <v>0.78000000000000047</v>
      </c>
      <c r="C83" s="646">
        <f>1/DATI!$E$38*IF(B83&lt;DATI!$E$45,DATI!$E$32*DATI!$E$42*DATI!$E$49*DATI!$E$33*(B83/DATI!$E$45+1/(DATI!$E$49*DATI!$E$33)*(1-B83/DATI!$E$45)),IF(B83&lt;DATI!$E$46,DATI!$E$32*DATI!$E$42*DATI!$E$49*DATI!$E$33,IF(B83&lt;DATI!$E$47,DATI!$E$32*DATI!$E$42*DATI!$E$49*DATI!$E$33*(DATI!$E$46/B83),DATI!$E$32*DATI!$E$42*DATI!$E$49*DATI!$E$33*((DATI!$E$46*DATI!$E$47)/B83^2))))</f>
        <v>0.2676278722295079</v>
      </c>
      <c r="D83" s="306"/>
      <c r="E83" s="429"/>
      <c r="F83" s="429"/>
      <c r="G83" s="429"/>
      <c r="H83" s="429"/>
      <c r="I83" s="429"/>
      <c r="J83" s="429"/>
      <c r="K83" s="429"/>
      <c r="L83" s="429"/>
      <c r="M83" s="429"/>
      <c r="N83" s="429"/>
      <c r="O83" s="429"/>
      <c r="P83" s="429"/>
      <c r="Q83" s="429"/>
      <c r="R83" s="429"/>
      <c r="S83" s="429"/>
    </row>
    <row r="84" spans="1:19" x14ac:dyDescent="0.25">
      <c r="A84" s="429"/>
      <c r="B84" s="633">
        <f t="shared" si="1"/>
        <v>0.79000000000000048</v>
      </c>
      <c r="C84" s="646">
        <f>1/DATI!$E$38*IF(B84&lt;DATI!$E$45,DATI!$E$32*DATI!$E$42*DATI!$E$49*DATI!$E$33*(B84/DATI!$E$45+1/(DATI!$E$49*DATI!$E$33)*(1-B84/DATI!$E$45)),IF(B84&lt;DATI!$E$46,DATI!$E$32*DATI!$E$42*DATI!$E$49*DATI!$E$33,IF(B84&lt;DATI!$E$47,DATI!$E$32*DATI!$E$42*DATI!$E$49*DATI!$E$33*(DATI!$E$46/B84),DATI!$E$32*DATI!$E$42*DATI!$E$49*DATI!$E$33*((DATI!$E$46*DATI!$E$47)/B84^2))))</f>
        <v>0.26424017764432423</v>
      </c>
      <c r="D84" s="306"/>
      <c r="E84" s="429"/>
      <c r="F84" s="429"/>
      <c r="G84" s="429"/>
      <c r="H84" s="429"/>
      <c r="I84" s="429"/>
      <c r="J84" s="429"/>
      <c r="K84" s="429"/>
      <c r="L84" s="429"/>
      <c r="M84" s="429"/>
      <c r="N84" s="429"/>
      <c r="O84" s="429"/>
      <c r="P84" s="429"/>
      <c r="Q84" s="429"/>
      <c r="R84" s="429"/>
      <c r="S84" s="429"/>
    </row>
    <row r="85" spans="1:19" x14ac:dyDescent="0.25">
      <c r="A85" s="429"/>
      <c r="B85" s="633">
        <f t="shared" si="1"/>
        <v>0.80000000000000049</v>
      </c>
      <c r="C85" s="646">
        <f>1/DATI!$E$38*IF(B85&lt;DATI!$E$45,DATI!$E$32*DATI!$E$42*DATI!$E$49*DATI!$E$33*(B85/DATI!$E$45+1/(DATI!$E$49*DATI!$E$33)*(1-B85/DATI!$E$45)),IF(B85&lt;DATI!$E$46,DATI!$E$32*DATI!$E$42*DATI!$E$49*DATI!$E$33,IF(B85&lt;DATI!$E$47,DATI!$E$32*DATI!$E$42*DATI!$E$49*DATI!$E$33*(DATI!$E$46/B85),DATI!$E$32*DATI!$E$42*DATI!$E$49*DATI!$E$33*((DATI!$E$46*DATI!$E$47)/B85^2))))</f>
        <v>0.26093717542377015</v>
      </c>
      <c r="D85" s="306"/>
      <c r="E85" s="429"/>
      <c r="F85" s="429"/>
      <c r="G85" s="429"/>
      <c r="H85" s="429"/>
      <c r="I85" s="429"/>
      <c r="J85" s="429"/>
      <c r="K85" s="429"/>
      <c r="L85" s="429"/>
      <c r="M85" s="429"/>
      <c r="N85" s="429"/>
      <c r="O85" s="429"/>
      <c r="P85" s="429"/>
      <c r="Q85" s="429"/>
      <c r="R85" s="429"/>
      <c r="S85" s="429"/>
    </row>
    <row r="86" spans="1:19" x14ac:dyDescent="0.25">
      <c r="A86" s="429"/>
      <c r="B86" s="633">
        <f t="shared" si="1"/>
        <v>0.8100000000000005</v>
      </c>
      <c r="C86" s="646">
        <f>1/DATI!$E$38*IF(B86&lt;DATI!$E$45,DATI!$E$32*DATI!$E$42*DATI!$E$49*DATI!$E$33*(B86/DATI!$E$45+1/(DATI!$E$49*DATI!$E$33)*(1-B86/DATI!$E$45)),IF(B86&lt;DATI!$E$46,DATI!$E$32*DATI!$E$42*DATI!$E$49*DATI!$E$33,IF(B86&lt;DATI!$E$47,DATI!$E$32*DATI!$E$42*DATI!$E$49*DATI!$E$33*(DATI!$E$46/B86),DATI!$E$32*DATI!$E$42*DATI!$E$49*DATI!$E$33*((DATI!$E$46*DATI!$E$47)/B86^2))))</f>
        <v>0.25771572881360016</v>
      </c>
      <c r="D86" s="306"/>
      <c r="E86" s="429"/>
      <c r="F86" s="429"/>
      <c r="G86" s="429"/>
      <c r="H86" s="429"/>
      <c r="I86" s="429"/>
      <c r="J86" s="429"/>
      <c r="K86" s="429"/>
      <c r="L86" s="429"/>
      <c r="M86" s="429"/>
      <c r="N86" s="429"/>
      <c r="O86" s="429"/>
      <c r="P86" s="429"/>
      <c r="Q86" s="429"/>
      <c r="R86" s="429"/>
      <c r="S86" s="429"/>
    </row>
    <row r="87" spans="1:19" x14ac:dyDescent="0.25">
      <c r="A87" s="429"/>
      <c r="B87" s="633">
        <f t="shared" si="1"/>
        <v>0.82000000000000051</v>
      </c>
      <c r="C87" s="646">
        <f>1/DATI!$E$38*IF(B87&lt;DATI!$E$45,DATI!$E$32*DATI!$E$42*DATI!$E$49*DATI!$E$33*(B87/DATI!$E$45+1/(DATI!$E$49*DATI!$E$33)*(1-B87/DATI!$E$45)),IF(B87&lt;DATI!$E$46,DATI!$E$32*DATI!$E$42*DATI!$E$49*DATI!$E$33,IF(B87&lt;DATI!$E$47,DATI!$E$32*DATI!$E$42*DATI!$E$49*DATI!$E$33*(DATI!$E$46/B87),DATI!$E$32*DATI!$E$42*DATI!$E$49*DATI!$E$33*((DATI!$E$46*DATI!$E$47)/B87^2))))</f>
        <v>0.25457285407197089</v>
      </c>
      <c r="D87" s="306"/>
      <c r="E87" s="429"/>
      <c r="F87" s="429"/>
      <c r="G87" s="429"/>
      <c r="H87" s="429"/>
      <c r="I87" s="429"/>
      <c r="J87" s="429"/>
      <c r="K87" s="429"/>
      <c r="L87" s="429"/>
      <c r="M87" s="429"/>
      <c r="N87" s="429"/>
      <c r="O87" s="429"/>
      <c r="P87" s="429"/>
      <c r="Q87" s="429"/>
      <c r="R87" s="429"/>
      <c r="S87" s="429"/>
    </row>
    <row r="88" spans="1:19" x14ac:dyDescent="0.25">
      <c r="A88" s="429"/>
      <c r="B88" s="633">
        <f t="shared" si="1"/>
        <v>0.83000000000000052</v>
      </c>
      <c r="C88" s="646">
        <f>1/DATI!$E$38*IF(B88&lt;DATI!$E$45,DATI!$E$32*DATI!$E$42*DATI!$E$49*DATI!$E$33*(B88/DATI!$E$45+1/(DATI!$E$49*DATI!$E$33)*(1-B88/DATI!$E$45)),IF(B88&lt;DATI!$E$46,DATI!$E$32*DATI!$E$42*DATI!$E$49*DATI!$E$33,IF(B88&lt;DATI!$E$47,DATI!$E$32*DATI!$E$42*DATI!$E$49*DATI!$E$33*(DATI!$E$46/B88),DATI!$E$32*DATI!$E$42*DATI!$E$49*DATI!$E$33*((DATI!$E$46*DATI!$E$47)/B88^2))))</f>
        <v>0.25150571125182664</v>
      </c>
      <c r="D88" s="306"/>
      <c r="E88" s="429"/>
      <c r="F88" s="429"/>
      <c r="G88" s="429"/>
      <c r="H88" s="429"/>
      <c r="I88" s="429"/>
      <c r="J88" s="429"/>
      <c r="K88" s="429"/>
      <c r="L88" s="429"/>
      <c r="M88" s="429"/>
      <c r="N88" s="429"/>
      <c r="O88" s="429"/>
      <c r="P88" s="429"/>
      <c r="Q88" s="429"/>
      <c r="R88" s="429"/>
      <c r="S88" s="429"/>
    </row>
    <row r="89" spans="1:19" x14ac:dyDescent="0.25">
      <c r="A89" s="429"/>
      <c r="B89" s="633">
        <f t="shared" si="1"/>
        <v>0.84000000000000052</v>
      </c>
      <c r="C89" s="646">
        <f>1/DATI!$E$38*IF(B89&lt;DATI!$E$45,DATI!$E$32*DATI!$E$42*DATI!$E$49*DATI!$E$33*(B89/DATI!$E$45+1/(DATI!$E$49*DATI!$E$33)*(1-B89/DATI!$E$45)),IF(B89&lt;DATI!$E$46,DATI!$E$32*DATI!$E$42*DATI!$E$49*DATI!$E$33,IF(B89&lt;DATI!$E$47,DATI!$E$32*DATI!$E$42*DATI!$E$49*DATI!$E$33*(DATI!$E$46/B89),DATI!$E$32*DATI!$E$42*DATI!$E$49*DATI!$E$33*((DATI!$E$46*DATI!$E$47)/B89^2))))</f>
        <v>0.24851159564168587</v>
      </c>
      <c r="D89" s="306"/>
      <c r="E89" s="429"/>
      <c r="F89" s="429"/>
      <c r="G89" s="429"/>
      <c r="H89" s="429"/>
      <c r="I89" s="429"/>
      <c r="J89" s="429"/>
      <c r="K89" s="429"/>
      <c r="L89" s="429"/>
      <c r="M89" s="429"/>
      <c r="N89" s="429"/>
      <c r="O89" s="429"/>
      <c r="P89" s="429"/>
      <c r="Q89" s="429"/>
      <c r="R89" s="429"/>
      <c r="S89" s="429"/>
    </row>
    <row r="90" spans="1:19" x14ac:dyDescent="0.25">
      <c r="A90" s="429"/>
      <c r="B90" s="633">
        <f t="shared" si="1"/>
        <v>0.85000000000000053</v>
      </c>
      <c r="C90" s="646">
        <f>1/DATI!$E$38*IF(B90&lt;DATI!$E$45,DATI!$E$32*DATI!$E$42*DATI!$E$49*DATI!$E$33*(B90/DATI!$E$45+1/(DATI!$E$49*DATI!$E$33)*(1-B90/DATI!$E$45)),IF(B90&lt;DATI!$E$46,DATI!$E$32*DATI!$E$42*DATI!$E$49*DATI!$E$33,IF(B90&lt;DATI!$E$47,DATI!$E$32*DATI!$E$42*DATI!$E$49*DATI!$E$33*(DATI!$E$46/B90),DATI!$E$32*DATI!$E$42*DATI!$E$49*DATI!$E$33*((DATI!$E$46*DATI!$E$47)/B90^2))))</f>
        <v>0.2455879298106072</v>
      </c>
      <c r="D90" s="306"/>
      <c r="E90" s="429"/>
      <c r="F90" s="429"/>
      <c r="G90" s="429"/>
      <c r="H90" s="429"/>
      <c r="I90" s="429"/>
      <c r="J90" s="429"/>
      <c r="K90" s="429"/>
      <c r="L90" s="429"/>
      <c r="M90" s="429"/>
      <c r="N90" s="429"/>
      <c r="O90" s="429"/>
      <c r="P90" s="429"/>
      <c r="Q90" s="429"/>
      <c r="R90" s="429"/>
      <c r="S90" s="429"/>
    </row>
    <row r="91" spans="1:19" x14ac:dyDescent="0.25">
      <c r="A91" s="429"/>
      <c r="B91" s="633">
        <f t="shared" si="1"/>
        <v>0.86000000000000054</v>
      </c>
      <c r="C91" s="646">
        <f>1/DATI!$E$38*IF(B91&lt;DATI!$E$45,DATI!$E$32*DATI!$E$42*DATI!$E$49*DATI!$E$33*(B91/DATI!$E$45+1/(DATI!$E$49*DATI!$E$33)*(1-B91/DATI!$E$45)),IF(B91&lt;DATI!$E$46,DATI!$E$32*DATI!$E$42*DATI!$E$49*DATI!$E$33,IF(B91&lt;DATI!$E$47,DATI!$E$32*DATI!$E$42*DATI!$E$49*DATI!$E$33*(DATI!$E$46/B91),DATI!$E$32*DATI!$E$42*DATI!$E$49*DATI!$E$33*((DATI!$E$46*DATI!$E$47)/B91^2))))</f>
        <v>0.24273225620815828</v>
      </c>
      <c r="D91" s="306"/>
      <c r="E91" s="429"/>
      <c r="F91" s="429"/>
      <c r="G91" s="429"/>
      <c r="H91" s="429"/>
      <c r="I91" s="429"/>
      <c r="J91" s="429"/>
      <c r="K91" s="429"/>
      <c r="L91" s="429"/>
      <c r="M91" s="429"/>
      <c r="N91" s="429"/>
      <c r="O91" s="429"/>
      <c r="P91" s="429"/>
      <c r="Q91" s="429"/>
      <c r="R91" s="429"/>
      <c r="S91" s="429"/>
    </row>
    <row r="92" spans="1:19" x14ac:dyDescent="0.25">
      <c r="A92" s="429"/>
      <c r="B92" s="633">
        <f t="shared" si="1"/>
        <v>0.87000000000000055</v>
      </c>
      <c r="C92" s="646">
        <f>1/DATI!$E$38*IF(B92&lt;DATI!$E$45,DATI!$E$32*DATI!$E$42*DATI!$E$49*DATI!$E$33*(B92/DATI!$E$45+1/(DATI!$E$49*DATI!$E$33)*(1-B92/DATI!$E$45)),IF(B92&lt;DATI!$E$46,DATI!$E$32*DATI!$E$42*DATI!$E$49*DATI!$E$33,IF(B92&lt;DATI!$E$47,DATI!$E$32*DATI!$E$42*DATI!$E$49*DATI!$E$33*(DATI!$E$46/B92),DATI!$E$32*DATI!$E$42*DATI!$E$49*DATI!$E$33*((DATI!$E$46*DATI!$E$47)/B92^2))))</f>
        <v>0.23994223027473119</v>
      </c>
      <c r="D92" s="306"/>
      <c r="E92" s="429"/>
      <c r="F92" s="429"/>
      <c r="G92" s="429"/>
      <c r="H92" s="429"/>
      <c r="I92" s="429"/>
      <c r="J92" s="429"/>
      <c r="K92" s="429"/>
      <c r="L92" s="429"/>
      <c r="M92" s="429"/>
      <c r="N92" s="429"/>
      <c r="O92" s="429"/>
      <c r="P92" s="429"/>
      <c r="Q92" s="429"/>
      <c r="R92" s="429"/>
      <c r="S92" s="429"/>
    </row>
    <row r="93" spans="1:19" x14ac:dyDescent="0.25">
      <c r="A93" s="429"/>
      <c r="B93" s="633">
        <f t="shared" si="1"/>
        <v>0.88000000000000056</v>
      </c>
      <c r="C93" s="646">
        <f>1/DATI!$E$38*IF(B93&lt;DATI!$E$45,DATI!$E$32*DATI!$E$42*DATI!$E$49*DATI!$E$33*(B93/DATI!$E$45+1/(DATI!$E$49*DATI!$E$33)*(1-B93/DATI!$E$45)),IF(B93&lt;DATI!$E$46,DATI!$E$32*DATI!$E$42*DATI!$E$49*DATI!$E$33,IF(B93&lt;DATI!$E$47,DATI!$E$32*DATI!$E$42*DATI!$E$49*DATI!$E$33*(DATI!$E$46/B93),DATI!$E$32*DATI!$E$42*DATI!$E$49*DATI!$E$33*((DATI!$E$46*DATI!$E$47)/B93^2))))</f>
        <v>0.23721561402160926</v>
      </c>
      <c r="D93" s="306"/>
      <c r="E93" s="429"/>
      <c r="F93" s="429"/>
      <c r="G93" s="429"/>
      <c r="H93" s="429"/>
      <c r="I93" s="429"/>
      <c r="J93" s="429"/>
      <c r="K93" s="429"/>
      <c r="L93" s="429"/>
      <c r="M93" s="429"/>
      <c r="N93" s="429"/>
      <c r="O93" s="429"/>
      <c r="P93" s="429"/>
      <c r="Q93" s="429"/>
      <c r="R93" s="429"/>
      <c r="S93" s="429"/>
    </row>
    <row r="94" spans="1:19" x14ac:dyDescent="0.25">
      <c r="A94" s="429"/>
      <c r="B94" s="633">
        <f t="shared" si="1"/>
        <v>0.89000000000000057</v>
      </c>
      <c r="C94" s="646">
        <f>1/DATI!$E$38*IF(B94&lt;DATI!$E$45,DATI!$E$32*DATI!$E$42*DATI!$E$49*DATI!$E$33*(B94/DATI!$E$45+1/(DATI!$E$49*DATI!$E$33)*(1-B94/DATI!$E$45)),IF(B94&lt;DATI!$E$46,DATI!$E$32*DATI!$E$42*DATI!$E$49*DATI!$E$33,IF(B94&lt;DATI!$E$47,DATI!$E$32*DATI!$E$42*DATI!$E$49*DATI!$E$33*(DATI!$E$46/B94),DATI!$E$32*DATI!$E$42*DATI!$E$49*DATI!$E$33*((DATI!$E$46*DATI!$E$47)/B94^2))))</f>
        <v>0.23455027004383835</v>
      </c>
      <c r="D94" s="306"/>
      <c r="E94" s="429"/>
      <c r="F94" s="429"/>
      <c r="G94" s="429"/>
      <c r="H94" s="429"/>
      <c r="I94" s="429"/>
      <c r="J94" s="429"/>
      <c r="K94" s="429"/>
      <c r="L94" s="429"/>
      <c r="M94" s="429"/>
      <c r="N94" s="429"/>
      <c r="O94" s="429"/>
      <c r="P94" s="429"/>
      <c r="Q94" s="429"/>
      <c r="R94" s="429"/>
      <c r="S94" s="429"/>
    </row>
    <row r="95" spans="1:19" x14ac:dyDescent="0.25">
      <c r="A95" s="429"/>
      <c r="B95" s="633">
        <f t="shared" si="1"/>
        <v>0.90000000000000058</v>
      </c>
      <c r="C95" s="646">
        <f>1/DATI!$E$38*IF(B95&lt;DATI!$E$45,DATI!$E$32*DATI!$E$42*DATI!$E$49*DATI!$E$33*(B95/DATI!$E$45+1/(DATI!$E$49*DATI!$E$33)*(1-B95/DATI!$E$45)),IF(B95&lt;DATI!$E$46,DATI!$E$32*DATI!$E$42*DATI!$E$49*DATI!$E$33,IF(B95&lt;DATI!$E$47,DATI!$E$32*DATI!$E$42*DATI!$E$49*DATI!$E$33*(DATI!$E$46/B95),DATI!$E$32*DATI!$E$42*DATI!$E$49*DATI!$E$33*((DATI!$E$46*DATI!$E$47)/B95^2))))</f>
        <v>0.23194415593224016</v>
      </c>
      <c r="D95" s="306"/>
      <c r="E95" s="429"/>
      <c r="F95" s="429"/>
      <c r="G95" s="429"/>
      <c r="H95" s="429"/>
      <c r="I95" s="429"/>
      <c r="J95" s="429"/>
      <c r="K95" s="429"/>
      <c r="L95" s="429"/>
      <c r="M95" s="429"/>
      <c r="N95" s="429"/>
      <c r="O95" s="429"/>
      <c r="P95" s="429"/>
      <c r="Q95" s="429"/>
      <c r="R95" s="429"/>
      <c r="S95" s="429"/>
    </row>
    <row r="96" spans="1:19" x14ac:dyDescent="0.25">
      <c r="A96" s="429"/>
      <c r="B96" s="633">
        <f t="shared" si="1"/>
        <v>0.91000000000000059</v>
      </c>
      <c r="C96" s="646">
        <f>1/DATI!$E$38*IF(B96&lt;DATI!$E$45,DATI!$E$32*DATI!$E$42*DATI!$E$49*DATI!$E$33*(B96/DATI!$E$45+1/(DATI!$E$49*DATI!$E$33)*(1-B96/DATI!$E$45)),IF(B96&lt;DATI!$E$46,DATI!$E$32*DATI!$E$42*DATI!$E$49*DATI!$E$33,IF(B96&lt;DATI!$E$47,DATI!$E$32*DATI!$E$42*DATI!$E$49*DATI!$E$33*(DATI!$E$46/B96),DATI!$E$32*DATI!$E$42*DATI!$E$49*DATI!$E$33*((DATI!$E$46*DATI!$E$47)/B96^2))))</f>
        <v>0.2293953190538639</v>
      </c>
      <c r="D96" s="306"/>
      <c r="E96" s="429"/>
      <c r="F96" s="429"/>
      <c r="G96" s="429"/>
      <c r="H96" s="429"/>
      <c r="I96" s="429"/>
      <c r="J96" s="429"/>
      <c r="K96" s="429"/>
      <c r="L96" s="429"/>
      <c r="M96" s="429"/>
      <c r="N96" s="429"/>
      <c r="O96" s="429"/>
      <c r="P96" s="429"/>
      <c r="Q96" s="429"/>
      <c r="R96" s="429"/>
      <c r="S96" s="429"/>
    </row>
    <row r="97" spans="1:19" x14ac:dyDescent="0.25">
      <c r="A97" s="429"/>
      <c r="B97" s="633">
        <f t="shared" si="1"/>
        <v>0.9200000000000006</v>
      </c>
      <c r="C97" s="646">
        <f>1/DATI!$E$38*IF(B97&lt;DATI!$E$45,DATI!$E$32*DATI!$E$42*DATI!$E$49*DATI!$E$33*(B97/DATI!$E$45+1/(DATI!$E$49*DATI!$E$33)*(1-B97/DATI!$E$45)),IF(B97&lt;DATI!$E$46,DATI!$E$32*DATI!$E$42*DATI!$E$49*DATI!$E$33,IF(B97&lt;DATI!$E$47,DATI!$E$32*DATI!$E$42*DATI!$E$49*DATI!$E$33*(DATI!$E$46/B97),DATI!$E$32*DATI!$E$42*DATI!$E$49*DATI!$E$33*((DATI!$E$46*DATI!$E$47)/B97^2))))</f>
        <v>0.22690189167284364</v>
      </c>
      <c r="D97" s="306"/>
      <c r="E97" s="429"/>
      <c r="F97" s="429"/>
      <c r="G97" s="429"/>
      <c r="H97" s="429"/>
      <c r="I97" s="429"/>
      <c r="J97" s="429"/>
      <c r="K97" s="429"/>
      <c r="L97" s="429"/>
      <c r="M97" s="429"/>
      <c r="N97" s="429"/>
      <c r="O97" s="429"/>
      <c r="P97" s="429"/>
      <c r="Q97" s="429"/>
      <c r="R97" s="429"/>
      <c r="S97" s="429"/>
    </row>
    <row r="98" spans="1:19" x14ac:dyDescent="0.25">
      <c r="A98" s="429"/>
      <c r="B98" s="633">
        <f t="shared" si="1"/>
        <v>0.9300000000000006</v>
      </c>
      <c r="C98" s="646">
        <f>1/DATI!$E$38*IF(B98&lt;DATI!$E$45,DATI!$E$32*DATI!$E$42*DATI!$E$49*DATI!$E$33*(B98/DATI!$E$45+1/(DATI!$E$49*DATI!$E$33)*(1-B98/DATI!$E$45)),IF(B98&lt;DATI!$E$46,DATI!$E$32*DATI!$E$42*DATI!$E$49*DATI!$E$33,IF(B98&lt;DATI!$E$47,DATI!$E$32*DATI!$E$42*DATI!$E$49*DATI!$E$33*(DATI!$E$46/B98),DATI!$E$32*DATI!$E$42*DATI!$E$49*DATI!$E$33*((DATI!$E$46*DATI!$E$47)/B98^2))))</f>
        <v>0.22446208638603887</v>
      </c>
      <c r="D98" s="306"/>
      <c r="E98" s="429"/>
      <c r="F98" s="429"/>
      <c r="G98" s="429"/>
      <c r="H98" s="429"/>
      <c r="I98" s="429"/>
      <c r="J98" s="429"/>
      <c r="K98" s="429"/>
      <c r="L98" s="429"/>
      <c r="M98" s="429"/>
      <c r="N98" s="429"/>
      <c r="O98" s="429"/>
      <c r="P98" s="429"/>
      <c r="Q98" s="429"/>
      <c r="R98" s="429"/>
      <c r="S98" s="429"/>
    </row>
    <row r="99" spans="1:19" x14ac:dyDescent="0.25">
      <c r="A99" s="429"/>
      <c r="B99" s="633">
        <f t="shared" si="1"/>
        <v>0.94000000000000061</v>
      </c>
      <c r="C99" s="646">
        <f>1/DATI!$E$38*IF(B99&lt;DATI!$E$45,DATI!$E$32*DATI!$E$42*DATI!$E$49*DATI!$E$33*(B99/DATI!$E$45+1/(DATI!$E$49*DATI!$E$33)*(1-B99/DATI!$E$45)),IF(B99&lt;DATI!$E$46,DATI!$E$32*DATI!$E$42*DATI!$E$49*DATI!$E$33,IF(B99&lt;DATI!$E$47,DATI!$E$32*DATI!$E$42*DATI!$E$49*DATI!$E$33*(DATI!$E$46/B99),DATI!$E$32*DATI!$E$42*DATI!$E$49*DATI!$E$33*((DATI!$E$46*DATI!$E$47)/B99^2))))</f>
        <v>0.22207419185001717</v>
      </c>
      <c r="D99" s="306"/>
      <c r="E99" s="429"/>
      <c r="F99" s="429"/>
      <c r="G99" s="429"/>
      <c r="H99" s="429"/>
      <c r="I99" s="429"/>
      <c r="J99" s="429"/>
      <c r="K99" s="429"/>
      <c r="L99" s="429"/>
      <c r="M99" s="429"/>
      <c r="N99" s="429"/>
      <c r="O99" s="429"/>
      <c r="P99" s="429"/>
      <c r="Q99" s="429"/>
      <c r="R99" s="429"/>
      <c r="S99" s="429"/>
    </row>
    <row r="100" spans="1:19" x14ac:dyDescent="0.25">
      <c r="A100" s="429"/>
      <c r="B100" s="633">
        <f t="shared" si="1"/>
        <v>0.95000000000000062</v>
      </c>
      <c r="C100" s="646">
        <f>1/DATI!$E$38*IF(B100&lt;DATI!$E$45,DATI!$E$32*DATI!$E$42*DATI!$E$49*DATI!$E$33*(B100/DATI!$E$45+1/(DATI!$E$49*DATI!$E$33)*(1-B100/DATI!$E$45)),IF(B100&lt;DATI!$E$46,DATI!$E$32*DATI!$E$42*DATI!$E$49*DATI!$E$33,IF(B100&lt;DATI!$E$47,DATI!$E$32*DATI!$E$42*DATI!$E$49*DATI!$E$33*(DATI!$E$46/B100),DATI!$E$32*DATI!$E$42*DATI!$E$49*DATI!$E$33*((DATI!$E$46*DATI!$E$47)/B100^2))))</f>
        <v>0.2197365687779117</v>
      </c>
      <c r="D100" s="306"/>
      <c r="E100" s="429"/>
      <c r="F100" s="429"/>
      <c r="G100" s="429"/>
      <c r="H100" s="429"/>
      <c r="I100" s="429"/>
      <c r="J100" s="429"/>
      <c r="K100" s="429"/>
      <c r="L100" s="429"/>
      <c r="M100" s="429"/>
      <c r="N100" s="429"/>
      <c r="O100" s="429"/>
      <c r="P100" s="429"/>
      <c r="Q100" s="429"/>
      <c r="R100" s="429"/>
      <c r="S100" s="429"/>
    </row>
    <row r="101" spans="1:19" x14ac:dyDescent="0.25">
      <c r="A101" s="429"/>
      <c r="B101" s="633">
        <f t="shared" si="1"/>
        <v>0.96000000000000063</v>
      </c>
      <c r="C101" s="646">
        <f>1/DATI!$E$38*IF(B101&lt;DATI!$E$45,DATI!$E$32*DATI!$E$42*DATI!$E$49*DATI!$E$33*(B101/DATI!$E$45+1/(DATI!$E$49*DATI!$E$33)*(1-B101/DATI!$E$45)),IF(B101&lt;DATI!$E$46,DATI!$E$32*DATI!$E$42*DATI!$E$49*DATI!$E$33,IF(B101&lt;DATI!$E$47,DATI!$E$32*DATI!$E$42*DATI!$E$49*DATI!$E$33*(DATI!$E$46/B101),DATI!$E$32*DATI!$E$42*DATI!$E$49*DATI!$E$33*((DATI!$E$46*DATI!$E$47)/B101^2))))</f>
        <v>0.21744764618647514</v>
      </c>
      <c r="D101" s="306"/>
      <c r="E101" s="429"/>
      <c r="F101" s="429"/>
      <c r="G101" s="429"/>
      <c r="H101" s="429"/>
      <c r="I101" s="429"/>
      <c r="J101" s="429"/>
      <c r="K101" s="429"/>
      <c r="L101" s="429"/>
      <c r="M101" s="429"/>
      <c r="N101" s="429"/>
      <c r="O101" s="429"/>
      <c r="P101" s="429"/>
      <c r="Q101" s="429"/>
      <c r="R101" s="429"/>
      <c r="S101" s="429"/>
    </row>
    <row r="102" spans="1:19" x14ac:dyDescent="0.25">
      <c r="A102" s="429"/>
      <c r="B102" s="633">
        <f t="shared" si="1"/>
        <v>0.97000000000000064</v>
      </c>
      <c r="C102" s="646">
        <f>1/DATI!$E$38*IF(B102&lt;DATI!$E$45,DATI!$E$32*DATI!$E$42*DATI!$E$49*DATI!$E$33*(B102/DATI!$E$45+1/(DATI!$E$49*DATI!$E$33)*(1-B102/DATI!$E$45)),IF(B102&lt;DATI!$E$46,DATI!$E$32*DATI!$E$42*DATI!$E$49*DATI!$E$33,IF(B102&lt;DATI!$E$47,DATI!$E$32*DATI!$E$42*DATI!$E$49*DATI!$E$33*(DATI!$E$46/B102),DATI!$E$32*DATI!$E$42*DATI!$E$49*DATI!$E$33*((DATI!$E$46*DATI!$E$47)/B102^2))))</f>
        <v>0.21520591787527435</v>
      </c>
      <c r="D102" s="306"/>
      <c r="E102" s="429"/>
      <c r="F102" s="429"/>
      <c r="G102" s="429"/>
      <c r="H102" s="429"/>
      <c r="I102" s="429"/>
      <c r="J102" s="429"/>
      <c r="K102" s="429"/>
      <c r="L102" s="429"/>
      <c r="M102" s="429"/>
      <c r="N102" s="429"/>
      <c r="O102" s="429"/>
      <c r="P102" s="429"/>
      <c r="Q102" s="429"/>
      <c r="R102" s="429"/>
      <c r="S102" s="429"/>
    </row>
    <row r="103" spans="1:19" x14ac:dyDescent="0.25">
      <c r="A103" s="429"/>
      <c r="B103" s="633">
        <f t="shared" si="1"/>
        <v>0.98000000000000065</v>
      </c>
      <c r="C103" s="646">
        <f>1/DATI!$E$38*IF(B103&lt;DATI!$E$45,DATI!$E$32*DATI!$E$42*DATI!$E$49*DATI!$E$33*(B103/DATI!$E$45+1/(DATI!$E$49*DATI!$E$33)*(1-B103/DATI!$E$45)),IF(B103&lt;DATI!$E$46,DATI!$E$32*DATI!$E$42*DATI!$E$49*DATI!$E$33,IF(B103&lt;DATI!$E$47,DATI!$E$32*DATI!$E$42*DATI!$E$49*DATI!$E$33*(DATI!$E$46/B103),DATI!$E$32*DATI!$E$42*DATI!$E$49*DATI!$E$33*((DATI!$E$46*DATI!$E$47)/B103^2))))</f>
        <v>0.213009939121445</v>
      </c>
      <c r="D103" s="306"/>
      <c r="E103" s="429"/>
      <c r="F103" s="429"/>
      <c r="G103" s="429"/>
      <c r="H103" s="429"/>
      <c r="I103" s="429"/>
      <c r="J103" s="429"/>
      <c r="K103" s="429"/>
      <c r="L103" s="429"/>
      <c r="M103" s="429"/>
      <c r="N103" s="429"/>
      <c r="O103" s="429"/>
      <c r="P103" s="429"/>
      <c r="Q103" s="429"/>
      <c r="R103" s="429"/>
      <c r="S103" s="429"/>
    </row>
    <row r="104" spans="1:19" x14ac:dyDescent="0.25">
      <c r="A104" s="429"/>
      <c r="B104" s="633">
        <f t="shared" si="1"/>
        <v>0.99000000000000066</v>
      </c>
      <c r="C104" s="646">
        <f>1/DATI!$E$38*IF(B104&lt;DATI!$E$45,DATI!$E$32*DATI!$E$42*DATI!$E$49*DATI!$E$33*(B104/DATI!$E$45+1/(DATI!$E$49*DATI!$E$33)*(1-B104/DATI!$E$45)),IF(B104&lt;DATI!$E$46,DATI!$E$32*DATI!$E$42*DATI!$E$49*DATI!$E$33,IF(B104&lt;DATI!$E$47,DATI!$E$32*DATI!$E$42*DATI!$E$49*DATI!$E$33*(DATI!$E$46/B104),DATI!$E$32*DATI!$E$42*DATI!$E$49*DATI!$E$33*((DATI!$E$46*DATI!$E$47)/B104^2))))</f>
        <v>0.21085832357476378</v>
      </c>
      <c r="D104" s="306"/>
      <c r="E104" s="429"/>
      <c r="F104" s="429"/>
      <c r="G104" s="429"/>
      <c r="H104" s="429"/>
      <c r="I104" s="429"/>
      <c r="J104" s="429"/>
      <c r="K104" s="429"/>
      <c r="L104" s="429"/>
      <c r="M104" s="429"/>
      <c r="N104" s="429"/>
      <c r="O104" s="429"/>
      <c r="P104" s="429"/>
      <c r="Q104" s="429"/>
      <c r="R104" s="429"/>
      <c r="S104" s="429"/>
    </row>
    <row r="105" spans="1:19" x14ac:dyDescent="0.25">
      <c r="A105" s="429"/>
      <c r="B105" s="633">
        <f t="shared" si="1"/>
        <v>1.0000000000000007</v>
      </c>
      <c r="C105" s="646">
        <f>1/DATI!$E$38*IF(B105&lt;DATI!$E$45,DATI!$E$32*DATI!$E$42*DATI!$E$49*DATI!$E$33*(B105/DATI!$E$45+1/(DATI!$E$49*DATI!$E$33)*(1-B105/DATI!$E$45)),IF(B105&lt;DATI!$E$46,DATI!$E$32*DATI!$E$42*DATI!$E$49*DATI!$E$33,IF(B105&lt;DATI!$E$47,DATI!$E$32*DATI!$E$42*DATI!$E$49*DATI!$E$33*(DATI!$E$46/B105),DATI!$E$32*DATI!$E$42*DATI!$E$49*DATI!$E$33*((DATI!$E$46*DATI!$E$47)/B105^2))))</f>
        <v>0.20874974033901614</v>
      </c>
      <c r="D105" s="306"/>
      <c r="E105" s="429"/>
      <c r="F105" s="429"/>
      <c r="G105" s="429"/>
      <c r="H105" s="429"/>
      <c r="I105" s="429"/>
      <c r="J105" s="429"/>
      <c r="K105" s="429"/>
      <c r="L105" s="429"/>
      <c r="M105" s="429"/>
      <c r="N105" s="429"/>
      <c r="O105" s="429"/>
      <c r="P105" s="429"/>
      <c r="Q105" s="429"/>
      <c r="R105" s="429"/>
      <c r="S105" s="429"/>
    </row>
    <row r="106" spans="1:19" x14ac:dyDescent="0.25">
      <c r="A106" s="429"/>
      <c r="B106" s="633">
        <f t="shared" si="1"/>
        <v>1.0100000000000007</v>
      </c>
      <c r="C106" s="646">
        <f>1/DATI!$E$38*IF(B106&lt;DATI!$E$45,DATI!$E$32*DATI!$E$42*DATI!$E$49*DATI!$E$33*(B106/DATI!$E$45+1/(DATI!$E$49*DATI!$E$33)*(1-B106/DATI!$E$45)),IF(B106&lt;DATI!$E$46,DATI!$E$32*DATI!$E$42*DATI!$E$49*DATI!$E$33,IF(B106&lt;DATI!$E$47,DATI!$E$32*DATI!$E$42*DATI!$E$49*DATI!$E$33*(DATI!$E$46/B106),DATI!$E$32*DATI!$E$42*DATI!$E$49*DATI!$E$33*((DATI!$E$46*DATI!$E$47)/B106^2))))</f>
        <v>0.20668291122674867</v>
      </c>
      <c r="D106" s="306"/>
      <c r="E106" s="429"/>
      <c r="F106" s="429"/>
      <c r="G106" s="429"/>
      <c r="H106" s="429"/>
      <c r="I106" s="429"/>
      <c r="J106" s="429"/>
      <c r="K106" s="429"/>
      <c r="L106" s="429"/>
      <c r="M106" s="429"/>
      <c r="N106" s="429"/>
      <c r="O106" s="429"/>
      <c r="P106" s="429"/>
      <c r="Q106" s="429"/>
      <c r="R106" s="429"/>
      <c r="S106" s="429"/>
    </row>
    <row r="107" spans="1:19" x14ac:dyDescent="0.25">
      <c r="A107" s="429"/>
      <c r="B107" s="633">
        <f t="shared" si="1"/>
        <v>1.0200000000000007</v>
      </c>
      <c r="C107" s="646">
        <f>1/DATI!$E$38*IF(B107&lt;DATI!$E$45,DATI!$E$32*DATI!$E$42*DATI!$E$49*DATI!$E$33*(B107/DATI!$E$45+1/(DATI!$E$49*DATI!$E$33)*(1-B107/DATI!$E$45)),IF(B107&lt;DATI!$E$46,DATI!$E$32*DATI!$E$42*DATI!$E$49*DATI!$E$33,IF(B107&lt;DATI!$E$47,DATI!$E$32*DATI!$E$42*DATI!$E$49*DATI!$E$33*(DATI!$E$46/B107),DATI!$E$32*DATI!$E$42*DATI!$E$49*DATI!$E$33*((DATI!$E$46*DATI!$E$47)/B107^2))))</f>
        <v>0.20465660817550604</v>
      </c>
      <c r="D107" s="306"/>
      <c r="E107" s="429"/>
      <c r="F107" s="429"/>
      <c r="G107" s="429"/>
      <c r="H107" s="429"/>
      <c r="I107" s="429"/>
      <c r="J107" s="429"/>
      <c r="K107" s="429"/>
      <c r="L107" s="429"/>
      <c r="M107" s="429"/>
      <c r="N107" s="429"/>
      <c r="O107" s="429"/>
      <c r="P107" s="429"/>
      <c r="Q107" s="429"/>
      <c r="R107" s="429"/>
      <c r="S107" s="429"/>
    </row>
    <row r="108" spans="1:19" x14ac:dyDescent="0.25">
      <c r="A108" s="429"/>
      <c r="B108" s="633">
        <f t="shared" si="1"/>
        <v>1.0300000000000007</v>
      </c>
      <c r="C108" s="646">
        <f>1/DATI!$E$38*IF(B108&lt;DATI!$E$45,DATI!$E$32*DATI!$E$42*DATI!$E$49*DATI!$E$33*(B108/DATI!$E$45+1/(DATI!$E$49*DATI!$E$33)*(1-B108/DATI!$E$45)),IF(B108&lt;DATI!$E$46,DATI!$E$32*DATI!$E$42*DATI!$E$49*DATI!$E$33,IF(B108&lt;DATI!$E$47,DATI!$E$32*DATI!$E$42*DATI!$E$49*DATI!$E$33*(DATI!$E$46/B108),DATI!$E$32*DATI!$E$42*DATI!$E$49*DATI!$E$33*((DATI!$E$46*DATI!$E$47)/B108^2))))</f>
        <v>0.20266965081457877</v>
      </c>
      <c r="D108" s="306"/>
      <c r="E108" s="429"/>
      <c r="F108" s="429"/>
      <c r="G108" s="429"/>
      <c r="H108" s="429"/>
      <c r="I108" s="429"/>
      <c r="J108" s="429"/>
      <c r="K108" s="429"/>
      <c r="L108" s="429"/>
      <c r="M108" s="429"/>
      <c r="N108" s="429"/>
      <c r="O108" s="429"/>
      <c r="P108" s="429"/>
      <c r="Q108" s="429"/>
      <c r="R108" s="429"/>
      <c r="S108" s="429"/>
    </row>
    <row r="109" spans="1:19" x14ac:dyDescent="0.25">
      <c r="A109" s="429"/>
      <c r="B109" s="633">
        <f t="shared" si="1"/>
        <v>1.0400000000000007</v>
      </c>
      <c r="C109" s="646">
        <f>1/DATI!$E$38*IF(B109&lt;DATI!$E$45,DATI!$E$32*DATI!$E$42*DATI!$E$49*DATI!$E$33*(B109/DATI!$E$45+1/(DATI!$E$49*DATI!$E$33)*(1-B109/DATI!$E$45)),IF(B109&lt;DATI!$E$46,DATI!$E$32*DATI!$E$42*DATI!$E$49*DATI!$E$33,IF(B109&lt;DATI!$E$47,DATI!$E$32*DATI!$E$42*DATI!$E$49*DATI!$E$33*(DATI!$E$46/B109),DATI!$E$32*DATI!$E$42*DATI!$E$49*DATI!$E$33*((DATI!$E$46*DATI!$E$47)/B109^2))))</f>
        <v>0.2007209041721309</v>
      </c>
      <c r="D109" s="306"/>
      <c r="E109" s="429"/>
      <c r="F109" s="429"/>
      <c r="G109" s="429"/>
      <c r="H109" s="429"/>
      <c r="I109" s="429"/>
      <c r="J109" s="429"/>
      <c r="K109" s="429"/>
      <c r="L109" s="429"/>
      <c r="M109" s="429"/>
      <c r="N109" s="429"/>
      <c r="O109" s="429"/>
      <c r="P109" s="429"/>
      <c r="Q109" s="429"/>
      <c r="R109" s="429"/>
      <c r="S109" s="429"/>
    </row>
    <row r="110" spans="1:19" x14ac:dyDescent="0.25">
      <c r="A110" s="429"/>
      <c r="B110" s="633">
        <f t="shared" si="1"/>
        <v>1.0500000000000007</v>
      </c>
      <c r="C110" s="646">
        <f>1/DATI!$E$38*IF(B110&lt;DATI!$E$45,DATI!$E$32*DATI!$E$42*DATI!$E$49*DATI!$E$33*(B110/DATI!$E$45+1/(DATI!$E$49*DATI!$E$33)*(1-B110/DATI!$E$45)),IF(B110&lt;DATI!$E$46,DATI!$E$32*DATI!$E$42*DATI!$E$49*DATI!$E$33,IF(B110&lt;DATI!$E$47,DATI!$E$32*DATI!$E$42*DATI!$E$49*DATI!$E$33*(DATI!$E$46/B110),DATI!$E$32*DATI!$E$42*DATI!$E$49*DATI!$E$33*((DATI!$E$46*DATI!$E$47)/B110^2))))</f>
        <v>0.19880927651334868</v>
      </c>
      <c r="D110" s="306"/>
      <c r="E110" s="429"/>
      <c r="F110" s="429"/>
      <c r="G110" s="429"/>
      <c r="H110" s="429"/>
      <c r="I110" s="429"/>
      <c r="J110" s="429"/>
      <c r="K110" s="429"/>
      <c r="L110" s="429"/>
      <c r="M110" s="429"/>
      <c r="N110" s="429"/>
      <c r="O110" s="429"/>
      <c r="P110" s="429"/>
      <c r="Q110" s="429"/>
      <c r="R110" s="429"/>
      <c r="S110" s="429"/>
    </row>
    <row r="111" spans="1:19" x14ac:dyDescent="0.25">
      <c r="A111" s="429"/>
      <c r="B111" s="633">
        <f t="shared" si="1"/>
        <v>1.0600000000000007</v>
      </c>
      <c r="C111" s="646">
        <f>1/DATI!$E$38*IF(B111&lt;DATI!$E$45,DATI!$E$32*DATI!$E$42*DATI!$E$49*DATI!$E$33*(B111/DATI!$E$45+1/(DATI!$E$49*DATI!$E$33)*(1-B111/DATI!$E$45)),IF(B111&lt;DATI!$E$46,DATI!$E$32*DATI!$E$42*DATI!$E$49*DATI!$E$33,IF(B111&lt;DATI!$E$47,DATI!$E$32*DATI!$E$42*DATI!$E$49*DATI!$E$33*(DATI!$E$46/B111),DATI!$E$32*DATI!$E$42*DATI!$E$49*DATI!$E$33*((DATI!$E$46*DATI!$E$47)/B111^2))))</f>
        <v>0.1969337173009586</v>
      </c>
      <c r="D111" s="306"/>
      <c r="E111" s="429"/>
      <c r="F111" s="429"/>
      <c r="G111" s="429"/>
      <c r="H111" s="429"/>
      <c r="I111" s="429"/>
      <c r="J111" s="429"/>
      <c r="K111" s="429"/>
      <c r="L111" s="429"/>
      <c r="M111" s="429"/>
      <c r="N111" s="429"/>
      <c r="O111" s="429"/>
      <c r="P111" s="429"/>
      <c r="Q111" s="429"/>
      <c r="R111" s="429"/>
      <c r="S111" s="429"/>
    </row>
    <row r="112" spans="1:19" x14ac:dyDescent="0.25">
      <c r="A112" s="429"/>
      <c r="B112" s="633">
        <f t="shared" si="1"/>
        <v>1.0700000000000007</v>
      </c>
      <c r="C112" s="646">
        <f>1/DATI!$E$38*IF(B112&lt;DATI!$E$45,DATI!$E$32*DATI!$E$42*DATI!$E$49*DATI!$E$33*(B112/DATI!$E$45+1/(DATI!$E$49*DATI!$E$33)*(1-B112/DATI!$E$45)),IF(B112&lt;DATI!$E$46,DATI!$E$32*DATI!$E$42*DATI!$E$49*DATI!$E$33,IF(B112&lt;DATI!$E$47,DATI!$E$32*DATI!$E$42*DATI!$E$49*DATI!$E$33*(DATI!$E$46/B112),DATI!$E$32*DATI!$E$42*DATI!$E$49*DATI!$E$33*((DATI!$E$46*DATI!$E$47)/B112^2))))</f>
        <v>0.19509321527010851</v>
      </c>
      <c r="D112" s="306"/>
      <c r="E112" s="429"/>
      <c r="F112" s="429"/>
      <c r="G112" s="429"/>
      <c r="H112" s="429"/>
      <c r="I112" s="429"/>
      <c r="J112" s="429"/>
      <c r="K112" s="429"/>
      <c r="L112" s="429"/>
      <c r="M112" s="429"/>
      <c r="N112" s="429"/>
      <c r="O112" s="429"/>
      <c r="P112" s="429"/>
      <c r="Q112" s="429"/>
      <c r="R112" s="429"/>
      <c r="S112" s="429"/>
    </row>
    <row r="113" spans="1:19" x14ac:dyDescent="0.25">
      <c r="A113" s="429"/>
      <c r="B113" s="633">
        <f t="shared" si="1"/>
        <v>1.0800000000000007</v>
      </c>
      <c r="C113" s="646">
        <f>1/DATI!$E$38*IF(B113&lt;DATI!$E$45,DATI!$E$32*DATI!$E$42*DATI!$E$49*DATI!$E$33*(B113/DATI!$E$45+1/(DATI!$E$49*DATI!$E$33)*(1-B113/DATI!$E$45)),IF(B113&lt;DATI!$E$46,DATI!$E$32*DATI!$E$42*DATI!$E$49*DATI!$E$33,IF(B113&lt;DATI!$E$47,DATI!$E$32*DATI!$E$42*DATI!$E$49*DATI!$E$33*(DATI!$E$46/B113),DATI!$E$32*DATI!$E$42*DATI!$E$49*DATI!$E$33*((DATI!$E$46*DATI!$E$47)/B113^2))))</f>
        <v>0.19328679661020012</v>
      </c>
      <c r="D113" s="306"/>
      <c r="E113" s="429"/>
      <c r="F113" s="429"/>
      <c r="G113" s="429"/>
      <c r="H113" s="429"/>
      <c r="I113" s="429"/>
      <c r="J113" s="429"/>
      <c r="K113" s="429"/>
      <c r="L113" s="429"/>
      <c r="M113" s="429"/>
      <c r="N113" s="429"/>
      <c r="O113" s="429"/>
      <c r="P113" s="429"/>
      <c r="Q113" s="429"/>
      <c r="R113" s="429"/>
      <c r="S113" s="429"/>
    </row>
    <row r="114" spans="1:19" x14ac:dyDescent="0.25">
      <c r="A114" s="429"/>
      <c r="B114" s="633">
        <f t="shared" si="1"/>
        <v>1.0900000000000007</v>
      </c>
      <c r="C114" s="646">
        <f>1/DATI!$E$38*IF(B114&lt;DATI!$E$45,DATI!$E$32*DATI!$E$42*DATI!$E$49*DATI!$E$33*(B114/DATI!$E$45+1/(DATI!$E$49*DATI!$E$33)*(1-B114/DATI!$E$45)),IF(B114&lt;DATI!$E$46,DATI!$E$32*DATI!$E$42*DATI!$E$49*DATI!$E$33,IF(B114&lt;DATI!$E$47,DATI!$E$32*DATI!$E$42*DATI!$E$49*DATI!$E$33*(DATI!$E$46/B114),DATI!$E$32*DATI!$E$42*DATI!$E$49*DATI!$E$33*((DATI!$E$46*DATI!$E$47)/B114^2))))</f>
        <v>0.19151352324680376</v>
      </c>
      <c r="D114" s="306"/>
      <c r="E114" s="429"/>
      <c r="F114" s="429"/>
      <c r="G114" s="429"/>
      <c r="H114" s="429"/>
      <c r="I114" s="429"/>
      <c r="J114" s="429"/>
      <c r="K114" s="429"/>
      <c r="L114" s="429"/>
      <c r="M114" s="429"/>
      <c r="N114" s="429"/>
      <c r="O114" s="429"/>
      <c r="P114" s="429"/>
      <c r="Q114" s="429"/>
      <c r="R114" s="429"/>
      <c r="S114" s="429"/>
    </row>
    <row r="115" spans="1:19" x14ac:dyDescent="0.25">
      <c r="A115" s="429"/>
      <c r="B115" s="633">
        <f t="shared" si="1"/>
        <v>1.1000000000000008</v>
      </c>
      <c r="C115" s="646">
        <f>1/DATI!$E$38*IF(B115&lt;DATI!$E$45,DATI!$E$32*DATI!$E$42*DATI!$E$49*DATI!$E$33*(B115/DATI!$E$45+1/(DATI!$E$49*DATI!$E$33)*(1-B115/DATI!$E$45)),IF(B115&lt;DATI!$E$46,DATI!$E$32*DATI!$E$42*DATI!$E$49*DATI!$E$33,IF(B115&lt;DATI!$E$47,DATI!$E$32*DATI!$E$42*DATI!$E$49*DATI!$E$33*(DATI!$E$46/B115),DATI!$E$32*DATI!$E$42*DATI!$E$49*DATI!$E$33*((DATI!$E$46*DATI!$E$47)/B115^2))))</f>
        <v>0.1897724912172874</v>
      </c>
      <c r="D115" s="306"/>
      <c r="E115" s="429"/>
      <c r="F115" s="429"/>
      <c r="G115" s="429"/>
      <c r="H115" s="429"/>
      <c r="I115" s="429"/>
      <c r="J115" s="429"/>
      <c r="K115" s="429"/>
      <c r="L115" s="429"/>
      <c r="M115" s="429"/>
      <c r="N115" s="429"/>
      <c r="O115" s="429"/>
      <c r="P115" s="429"/>
      <c r="Q115" s="429"/>
      <c r="R115" s="429"/>
      <c r="S115" s="429"/>
    </row>
    <row r="116" spans="1:19" x14ac:dyDescent="0.25">
      <c r="A116" s="429"/>
      <c r="B116" s="633">
        <f t="shared" si="1"/>
        <v>1.1100000000000008</v>
      </c>
      <c r="C116" s="646">
        <f>1/DATI!$E$38*IF(B116&lt;DATI!$E$45,DATI!$E$32*DATI!$E$42*DATI!$E$49*DATI!$E$33*(B116/DATI!$E$45+1/(DATI!$E$49*DATI!$E$33)*(1-B116/DATI!$E$45)),IF(B116&lt;DATI!$E$46,DATI!$E$32*DATI!$E$42*DATI!$E$49*DATI!$E$33,IF(B116&lt;DATI!$E$47,DATI!$E$32*DATI!$E$42*DATI!$E$49*DATI!$E$33*(DATI!$E$46/B116),DATI!$E$32*DATI!$E$42*DATI!$E$49*DATI!$E$33*((DATI!$E$46*DATI!$E$47)/B116^2))))</f>
        <v>0.18806282913424877</v>
      </c>
      <c r="D116" s="306"/>
      <c r="E116" s="429"/>
      <c r="F116" s="429"/>
      <c r="G116" s="429"/>
      <c r="H116" s="429"/>
      <c r="I116" s="429"/>
      <c r="J116" s="429"/>
      <c r="K116" s="429"/>
      <c r="L116" s="429"/>
      <c r="M116" s="429"/>
      <c r="N116" s="429"/>
      <c r="O116" s="429"/>
      <c r="P116" s="429"/>
      <c r="Q116" s="429"/>
      <c r="R116" s="429"/>
      <c r="S116" s="429"/>
    </row>
    <row r="117" spans="1:19" x14ac:dyDescent="0.25">
      <c r="A117" s="429"/>
      <c r="B117" s="633">
        <f t="shared" si="1"/>
        <v>1.1200000000000008</v>
      </c>
      <c r="C117" s="646">
        <f>1/DATI!$E$38*IF(B117&lt;DATI!$E$45,DATI!$E$32*DATI!$E$42*DATI!$E$49*DATI!$E$33*(B117/DATI!$E$45+1/(DATI!$E$49*DATI!$E$33)*(1-B117/DATI!$E$45)),IF(B117&lt;DATI!$E$46,DATI!$E$32*DATI!$E$42*DATI!$E$49*DATI!$E$33,IF(B117&lt;DATI!$E$47,DATI!$E$32*DATI!$E$42*DATI!$E$49*DATI!$E$33*(DATI!$E$46/B117),DATI!$E$32*DATI!$E$42*DATI!$E$49*DATI!$E$33*((DATI!$E$46*DATI!$E$47)/B117^2))))</f>
        <v>0.1863836967312644</v>
      </c>
      <c r="D117" s="306"/>
      <c r="E117" s="429"/>
      <c r="F117" s="429"/>
      <c r="G117" s="429"/>
      <c r="H117" s="429"/>
      <c r="I117" s="429"/>
      <c r="J117" s="429"/>
      <c r="K117" s="429"/>
      <c r="L117" s="429"/>
      <c r="M117" s="429"/>
      <c r="N117" s="429"/>
      <c r="O117" s="429"/>
      <c r="P117" s="429"/>
      <c r="Q117" s="429"/>
      <c r="R117" s="429"/>
      <c r="S117" s="429"/>
    </row>
    <row r="118" spans="1:19" x14ac:dyDescent="0.25">
      <c r="A118" s="429"/>
      <c r="B118" s="633">
        <f t="shared" si="1"/>
        <v>1.1300000000000008</v>
      </c>
      <c r="C118" s="646">
        <f>1/DATI!$E$38*IF(B118&lt;DATI!$E$45,DATI!$E$32*DATI!$E$42*DATI!$E$49*DATI!$E$33*(B118/DATI!$E$45+1/(DATI!$E$49*DATI!$E$33)*(1-B118/DATI!$E$45)),IF(B118&lt;DATI!$E$46,DATI!$E$32*DATI!$E$42*DATI!$E$49*DATI!$E$33,IF(B118&lt;DATI!$E$47,DATI!$E$32*DATI!$E$42*DATI!$E$49*DATI!$E$33*(DATI!$E$46/B118),DATI!$E$32*DATI!$E$42*DATI!$E$49*DATI!$E$33*((DATI!$E$46*DATI!$E$47)/B118^2))))</f>
        <v>0.18473428348585497</v>
      </c>
      <c r="D118" s="306"/>
      <c r="E118" s="429"/>
      <c r="F118" s="429"/>
      <c r="G118" s="429"/>
      <c r="H118" s="429"/>
      <c r="I118" s="429"/>
      <c r="J118" s="429"/>
      <c r="K118" s="429"/>
      <c r="L118" s="429"/>
      <c r="M118" s="429"/>
      <c r="N118" s="429"/>
      <c r="O118" s="429"/>
      <c r="P118" s="429"/>
      <c r="Q118" s="429"/>
      <c r="R118" s="429"/>
      <c r="S118" s="429"/>
    </row>
    <row r="119" spans="1:19" x14ac:dyDescent="0.25">
      <c r="A119" s="429"/>
      <c r="B119" s="633">
        <f t="shared" si="1"/>
        <v>1.1400000000000008</v>
      </c>
      <c r="C119" s="646">
        <f>1/DATI!$E$38*IF(B119&lt;DATI!$E$45,DATI!$E$32*DATI!$E$42*DATI!$E$49*DATI!$E$33*(B119/DATI!$E$45+1/(DATI!$E$49*DATI!$E$33)*(1-B119/DATI!$E$45)),IF(B119&lt;DATI!$E$46,DATI!$E$32*DATI!$E$42*DATI!$E$49*DATI!$E$33,IF(B119&lt;DATI!$E$47,DATI!$E$32*DATI!$E$42*DATI!$E$49*DATI!$E$33*(DATI!$E$46/B119),DATI!$E$32*DATI!$E$42*DATI!$E$49*DATI!$E$33*((DATI!$E$46*DATI!$E$47)/B119^2))))</f>
        <v>0.18311380731492644</v>
      </c>
      <c r="D119" s="306"/>
      <c r="E119" s="429"/>
      <c r="F119" s="429"/>
      <c r="G119" s="429"/>
      <c r="H119" s="429"/>
      <c r="I119" s="429"/>
      <c r="J119" s="429"/>
      <c r="K119" s="429"/>
      <c r="L119" s="429"/>
      <c r="M119" s="429"/>
      <c r="N119" s="429"/>
      <c r="O119" s="429"/>
      <c r="P119" s="429"/>
      <c r="Q119" s="429"/>
      <c r="R119" s="429"/>
      <c r="S119" s="429"/>
    </row>
    <row r="120" spans="1:19" x14ac:dyDescent="0.25">
      <c r="A120" s="429"/>
      <c r="B120" s="633">
        <f t="shared" si="1"/>
        <v>1.1500000000000008</v>
      </c>
      <c r="C120" s="646">
        <f>1/DATI!$E$38*IF(B120&lt;DATI!$E$45,DATI!$E$32*DATI!$E$42*DATI!$E$49*DATI!$E$33*(B120/DATI!$E$45+1/(DATI!$E$49*DATI!$E$33)*(1-B120/DATI!$E$45)),IF(B120&lt;DATI!$E$46,DATI!$E$32*DATI!$E$42*DATI!$E$49*DATI!$E$33,IF(B120&lt;DATI!$E$47,DATI!$E$32*DATI!$E$42*DATI!$E$49*DATI!$E$33*(DATI!$E$46/B120),DATI!$E$32*DATI!$E$42*DATI!$E$49*DATI!$E$33*((DATI!$E$46*DATI!$E$47)/B120^2))))</f>
        <v>0.1815215133382749</v>
      </c>
      <c r="D120" s="306"/>
      <c r="E120" s="429"/>
      <c r="F120" s="429"/>
      <c r="G120" s="429"/>
      <c r="H120" s="429"/>
      <c r="I120" s="429"/>
      <c r="J120" s="429"/>
      <c r="K120" s="429"/>
      <c r="L120" s="429"/>
      <c r="M120" s="429"/>
      <c r="N120" s="429"/>
      <c r="O120" s="429"/>
      <c r="P120" s="429"/>
      <c r="Q120" s="429"/>
      <c r="R120" s="429"/>
      <c r="S120" s="429"/>
    </row>
    <row r="121" spans="1:19" x14ac:dyDescent="0.25">
      <c r="A121" s="429"/>
      <c r="B121" s="633">
        <f t="shared" si="1"/>
        <v>1.1600000000000008</v>
      </c>
      <c r="C121" s="646">
        <f>1/DATI!$E$38*IF(B121&lt;DATI!$E$45,DATI!$E$32*DATI!$E$42*DATI!$E$49*DATI!$E$33*(B121/DATI!$E$45+1/(DATI!$E$49*DATI!$E$33)*(1-B121/DATI!$E$45)),IF(B121&lt;DATI!$E$46,DATI!$E$32*DATI!$E$42*DATI!$E$49*DATI!$E$33,IF(B121&lt;DATI!$E$47,DATI!$E$32*DATI!$E$42*DATI!$E$49*DATI!$E$33*(DATI!$E$46/B121),DATI!$E$32*DATI!$E$42*DATI!$E$49*DATI!$E$33*((DATI!$E$46*DATI!$E$47)/B121^2))))</f>
        <v>0.1799566727060484</v>
      </c>
      <c r="D121" s="306"/>
      <c r="E121" s="429"/>
      <c r="F121" s="429"/>
      <c r="G121" s="429"/>
      <c r="H121" s="429"/>
      <c r="I121" s="429"/>
      <c r="J121" s="429"/>
      <c r="K121" s="429"/>
      <c r="L121" s="429"/>
      <c r="M121" s="429"/>
      <c r="N121" s="429"/>
      <c r="O121" s="429"/>
      <c r="P121" s="429"/>
      <c r="Q121" s="429"/>
      <c r="R121" s="429"/>
      <c r="S121" s="429"/>
    </row>
    <row r="122" spans="1:19" x14ac:dyDescent="0.25">
      <c r="A122" s="429"/>
      <c r="B122" s="633">
        <f t="shared" si="1"/>
        <v>1.1700000000000008</v>
      </c>
      <c r="C122" s="646">
        <f>1/DATI!$E$38*IF(B122&lt;DATI!$E$45,DATI!$E$32*DATI!$E$42*DATI!$E$49*DATI!$E$33*(B122/DATI!$E$45+1/(DATI!$E$49*DATI!$E$33)*(1-B122/DATI!$E$45)),IF(B122&lt;DATI!$E$46,DATI!$E$32*DATI!$E$42*DATI!$E$49*DATI!$E$33,IF(B122&lt;DATI!$E$47,DATI!$E$32*DATI!$E$42*DATI!$E$49*DATI!$E$33*(DATI!$E$46/B122),DATI!$E$32*DATI!$E$42*DATI!$E$49*DATI!$E$33*((DATI!$E$46*DATI!$E$47)/B122^2))))</f>
        <v>0.17841858148633855</v>
      </c>
      <c r="D122" s="306"/>
      <c r="E122" s="429"/>
      <c r="F122" s="429"/>
      <c r="G122" s="429"/>
      <c r="H122" s="429"/>
      <c r="I122" s="429"/>
      <c r="J122" s="429"/>
      <c r="K122" s="429"/>
      <c r="L122" s="429"/>
      <c r="M122" s="429"/>
      <c r="N122" s="429"/>
      <c r="O122" s="429"/>
      <c r="P122" s="429"/>
      <c r="Q122" s="429"/>
      <c r="R122" s="429"/>
      <c r="S122" s="429"/>
    </row>
    <row r="123" spans="1:19" x14ac:dyDescent="0.25">
      <c r="A123" s="429"/>
      <c r="B123" s="633">
        <f t="shared" si="1"/>
        <v>1.1800000000000008</v>
      </c>
      <c r="C123" s="646">
        <f>1/DATI!$E$38*IF(B123&lt;DATI!$E$45,DATI!$E$32*DATI!$E$42*DATI!$E$49*DATI!$E$33*(B123/DATI!$E$45+1/(DATI!$E$49*DATI!$E$33)*(1-B123/DATI!$E$45)),IF(B123&lt;DATI!$E$46,DATI!$E$32*DATI!$E$42*DATI!$E$49*DATI!$E$33,IF(B123&lt;DATI!$E$47,DATI!$E$32*DATI!$E$42*DATI!$E$49*DATI!$E$33*(DATI!$E$46/B123),DATI!$E$32*DATI!$E$42*DATI!$E$49*DATI!$E$33*((DATI!$E$46*DATI!$E$47)/B123^2))))</f>
        <v>0.17690655960933571</v>
      </c>
      <c r="D123" s="306"/>
      <c r="E123" s="429"/>
      <c r="F123" s="429"/>
      <c r="G123" s="429"/>
      <c r="H123" s="429"/>
      <c r="I123" s="429"/>
      <c r="J123" s="429"/>
      <c r="K123" s="429"/>
      <c r="L123" s="429"/>
      <c r="M123" s="429"/>
      <c r="N123" s="429"/>
      <c r="O123" s="429"/>
      <c r="P123" s="429"/>
      <c r="Q123" s="429"/>
      <c r="R123" s="429"/>
      <c r="S123" s="429"/>
    </row>
    <row r="124" spans="1:19" x14ac:dyDescent="0.25">
      <c r="A124" s="429"/>
      <c r="B124" s="633">
        <f t="shared" si="1"/>
        <v>1.1900000000000008</v>
      </c>
      <c r="C124" s="646">
        <f>1/DATI!$E$38*IF(B124&lt;DATI!$E$45,DATI!$E$32*DATI!$E$42*DATI!$E$49*DATI!$E$33*(B124/DATI!$E$45+1/(DATI!$E$49*DATI!$E$33)*(1-B124/DATI!$E$45)),IF(B124&lt;DATI!$E$46,DATI!$E$32*DATI!$E$42*DATI!$E$49*DATI!$E$33,IF(B124&lt;DATI!$E$47,DATI!$E$32*DATI!$E$42*DATI!$E$49*DATI!$E$33*(DATI!$E$46/B124),DATI!$E$32*DATI!$E$42*DATI!$E$49*DATI!$E$33*((DATI!$E$46*DATI!$E$47)/B124^2))))</f>
        <v>0.17541994986471943</v>
      </c>
      <c r="D124" s="306"/>
      <c r="E124" s="429"/>
      <c r="F124" s="429"/>
      <c r="G124" s="429"/>
      <c r="H124" s="429"/>
      <c r="I124" s="429"/>
      <c r="J124" s="429"/>
      <c r="K124" s="429"/>
      <c r="L124" s="429"/>
      <c r="M124" s="429"/>
      <c r="N124" s="429"/>
      <c r="O124" s="429"/>
      <c r="P124" s="429"/>
      <c r="Q124" s="429"/>
      <c r="R124" s="429"/>
      <c r="S124" s="429"/>
    </row>
    <row r="125" spans="1:19" x14ac:dyDescent="0.25">
      <c r="A125" s="429"/>
      <c r="B125" s="633">
        <f t="shared" si="1"/>
        <v>1.2000000000000008</v>
      </c>
      <c r="C125" s="646">
        <f>1/DATI!$E$38*IF(B125&lt;DATI!$E$45,DATI!$E$32*DATI!$E$42*DATI!$E$49*DATI!$E$33*(B125/DATI!$E$45+1/(DATI!$E$49*DATI!$E$33)*(1-B125/DATI!$E$45)),IF(B125&lt;DATI!$E$46,DATI!$E$32*DATI!$E$42*DATI!$E$49*DATI!$E$33,IF(B125&lt;DATI!$E$47,DATI!$E$32*DATI!$E$42*DATI!$E$49*DATI!$E$33*(DATI!$E$46/B125),DATI!$E$32*DATI!$E$42*DATI!$E$49*DATI!$E$33*((DATI!$E$46*DATI!$E$47)/B125^2))))</f>
        <v>0.17395811694918009</v>
      </c>
      <c r="D125" s="306"/>
      <c r="E125" s="429"/>
      <c r="F125" s="429"/>
      <c r="G125" s="429"/>
      <c r="H125" s="429"/>
      <c r="I125" s="429"/>
      <c r="J125" s="429"/>
      <c r="K125" s="429"/>
      <c r="L125" s="429"/>
      <c r="M125" s="429"/>
      <c r="N125" s="429"/>
      <c r="O125" s="429"/>
      <c r="P125" s="429"/>
      <c r="Q125" s="429"/>
      <c r="R125" s="429"/>
      <c r="S125" s="429"/>
    </row>
    <row r="126" spans="1:19" x14ac:dyDescent="0.25">
      <c r="A126" s="429"/>
      <c r="B126" s="633">
        <f t="shared" si="1"/>
        <v>1.2100000000000009</v>
      </c>
      <c r="C126" s="646">
        <f>1/DATI!$E$38*IF(B126&lt;DATI!$E$45,DATI!$E$32*DATI!$E$42*DATI!$E$49*DATI!$E$33*(B126/DATI!$E$45+1/(DATI!$E$49*DATI!$E$33)*(1-B126/DATI!$E$45)),IF(B126&lt;DATI!$E$46,DATI!$E$32*DATI!$E$42*DATI!$E$49*DATI!$E$33,IF(B126&lt;DATI!$E$47,DATI!$E$32*DATI!$E$42*DATI!$E$49*DATI!$E$33*(DATI!$E$46/B126),DATI!$E$32*DATI!$E$42*DATI!$E$49*DATI!$E$33*((DATI!$E$46*DATI!$E$47)/B126^2))))</f>
        <v>0.17252044656117035</v>
      </c>
      <c r="D126" s="306"/>
      <c r="E126" s="429"/>
      <c r="F126" s="429"/>
      <c r="G126" s="429"/>
      <c r="H126" s="429"/>
      <c r="I126" s="429"/>
      <c r="J126" s="429"/>
      <c r="K126" s="429"/>
      <c r="L126" s="429"/>
      <c r="M126" s="429"/>
      <c r="N126" s="429"/>
      <c r="O126" s="429"/>
      <c r="P126" s="429"/>
      <c r="Q126" s="429"/>
      <c r="R126" s="429"/>
      <c r="S126" s="429"/>
    </row>
    <row r="127" spans="1:19" x14ac:dyDescent="0.25">
      <c r="A127" s="429"/>
      <c r="B127" s="633">
        <f t="shared" si="1"/>
        <v>1.2200000000000009</v>
      </c>
      <c r="C127" s="646">
        <f>1/DATI!$E$38*IF(B127&lt;DATI!$E$45,DATI!$E$32*DATI!$E$42*DATI!$E$49*DATI!$E$33*(B127/DATI!$E$45+1/(DATI!$E$49*DATI!$E$33)*(1-B127/DATI!$E$45)),IF(B127&lt;DATI!$E$46,DATI!$E$32*DATI!$E$42*DATI!$E$49*DATI!$E$33,IF(B127&lt;DATI!$E$47,DATI!$E$32*DATI!$E$42*DATI!$E$49*DATI!$E$33*(DATI!$E$46/B127),DATI!$E$32*DATI!$E$42*DATI!$E$49*DATI!$E$33*((DATI!$E$46*DATI!$E$47)/B127^2))))</f>
        <v>0.17110634454017715</v>
      </c>
      <c r="D127" s="306"/>
      <c r="E127" s="429"/>
      <c r="F127" s="429"/>
      <c r="G127" s="429"/>
      <c r="H127" s="429"/>
      <c r="I127" s="429"/>
      <c r="J127" s="429"/>
      <c r="K127" s="429"/>
      <c r="L127" s="429"/>
      <c r="M127" s="429"/>
      <c r="N127" s="429"/>
      <c r="O127" s="429"/>
      <c r="P127" s="429"/>
      <c r="Q127" s="429"/>
      <c r="R127" s="429"/>
      <c r="S127" s="429"/>
    </row>
    <row r="128" spans="1:19" x14ac:dyDescent="0.25">
      <c r="A128" s="429"/>
      <c r="B128" s="633">
        <f t="shared" si="1"/>
        <v>1.2300000000000009</v>
      </c>
      <c r="C128" s="646">
        <f>1/DATI!$E$38*IF(B128&lt;DATI!$E$45,DATI!$E$32*DATI!$E$42*DATI!$E$49*DATI!$E$33*(B128/DATI!$E$45+1/(DATI!$E$49*DATI!$E$33)*(1-B128/DATI!$E$45)),IF(B128&lt;DATI!$E$46,DATI!$E$32*DATI!$E$42*DATI!$E$49*DATI!$E$33,IF(B128&lt;DATI!$E$47,DATI!$E$32*DATI!$E$42*DATI!$E$49*DATI!$E$33*(DATI!$E$46/B128),DATI!$E$32*DATI!$E$42*DATI!$E$49*DATI!$E$33*((DATI!$E$46*DATI!$E$47)/B128^2))))</f>
        <v>0.16971523604798058</v>
      </c>
      <c r="D128" s="306"/>
      <c r="E128" s="429"/>
      <c r="F128" s="429"/>
      <c r="G128" s="429"/>
      <c r="H128" s="429"/>
      <c r="I128" s="429"/>
      <c r="J128" s="429"/>
      <c r="K128" s="429"/>
      <c r="L128" s="429"/>
      <c r="M128" s="429"/>
      <c r="N128" s="429"/>
      <c r="O128" s="429"/>
      <c r="P128" s="429"/>
      <c r="Q128" s="429"/>
      <c r="R128" s="429"/>
      <c r="S128" s="429"/>
    </row>
    <row r="129" spans="1:19" x14ac:dyDescent="0.25">
      <c r="A129" s="429"/>
      <c r="B129" s="633">
        <f t="shared" si="1"/>
        <v>1.2400000000000009</v>
      </c>
      <c r="C129" s="646">
        <f>1/DATI!$E$38*IF(B129&lt;DATI!$E$45,DATI!$E$32*DATI!$E$42*DATI!$E$49*DATI!$E$33*(B129/DATI!$E$45+1/(DATI!$E$49*DATI!$E$33)*(1-B129/DATI!$E$45)),IF(B129&lt;DATI!$E$46,DATI!$E$32*DATI!$E$42*DATI!$E$49*DATI!$E$33,IF(B129&lt;DATI!$E$47,DATI!$E$32*DATI!$E$42*DATI!$E$49*DATI!$E$33*(DATI!$E$46/B129),DATI!$E$32*DATI!$E$42*DATI!$E$49*DATI!$E$33*((DATI!$E$46*DATI!$E$47)/B129^2))))</f>
        <v>0.16834656478952914</v>
      </c>
      <c r="D129" s="306"/>
      <c r="E129" s="429"/>
      <c r="F129" s="429"/>
      <c r="G129" s="429"/>
      <c r="H129" s="429"/>
      <c r="I129" s="429"/>
      <c r="J129" s="429"/>
      <c r="K129" s="429"/>
      <c r="L129" s="429"/>
      <c r="M129" s="429"/>
      <c r="N129" s="429"/>
      <c r="O129" s="429"/>
      <c r="P129" s="429"/>
      <c r="Q129" s="429"/>
      <c r="R129" s="429"/>
      <c r="S129" s="429"/>
    </row>
    <row r="130" spans="1:19" x14ac:dyDescent="0.25">
      <c r="A130" s="429"/>
      <c r="B130" s="633">
        <f t="shared" si="1"/>
        <v>1.2500000000000009</v>
      </c>
      <c r="C130" s="646">
        <f>1/DATI!$E$38*IF(B130&lt;DATI!$E$45,DATI!$E$32*DATI!$E$42*DATI!$E$49*DATI!$E$33*(B130/DATI!$E$45+1/(DATI!$E$49*DATI!$E$33)*(1-B130/DATI!$E$45)),IF(B130&lt;DATI!$E$46,DATI!$E$32*DATI!$E$42*DATI!$E$49*DATI!$E$33,IF(B130&lt;DATI!$E$47,DATI!$E$32*DATI!$E$42*DATI!$E$49*DATI!$E$33*(DATI!$E$46/B130),DATI!$E$32*DATI!$E$42*DATI!$E$49*DATI!$E$33*((DATI!$E$46*DATI!$E$47)/B130^2))))</f>
        <v>0.16699979227121289</v>
      </c>
      <c r="D130" s="306"/>
      <c r="E130" s="429"/>
      <c r="F130" s="429"/>
      <c r="G130" s="429"/>
      <c r="H130" s="429"/>
      <c r="I130" s="429"/>
      <c r="J130" s="429"/>
      <c r="K130" s="429"/>
      <c r="L130" s="429"/>
      <c r="M130" s="429"/>
      <c r="N130" s="429"/>
      <c r="O130" s="429"/>
      <c r="P130" s="429"/>
      <c r="Q130" s="429"/>
      <c r="R130" s="429"/>
      <c r="S130" s="429"/>
    </row>
    <row r="131" spans="1:19" x14ac:dyDescent="0.25">
      <c r="A131" s="429"/>
      <c r="B131" s="633">
        <f t="shared" si="1"/>
        <v>1.2600000000000009</v>
      </c>
      <c r="C131" s="646">
        <f>1/DATI!$E$38*IF(B131&lt;DATI!$E$45,DATI!$E$32*DATI!$E$42*DATI!$E$49*DATI!$E$33*(B131/DATI!$E$45+1/(DATI!$E$49*DATI!$E$33)*(1-B131/DATI!$E$45)),IF(B131&lt;DATI!$E$46,DATI!$E$32*DATI!$E$42*DATI!$E$49*DATI!$E$33,IF(B131&lt;DATI!$E$47,DATI!$E$32*DATI!$E$42*DATI!$E$49*DATI!$E$33*(DATI!$E$46/B131),DATI!$E$32*DATI!$E$42*DATI!$E$49*DATI!$E$33*((DATI!$E$46*DATI!$E$47)/B131^2))))</f>
        <v>0.16567439709445725</v>
      </c>
      <c r="D131" s="306"/>
      <c r="E131" s="429"/>
      <c r="F131" s="429"/>
      <c r="G131" s="429"/>
      <c r="H131" s="429"/>
      <c r="I131" s="429"/>
      <c r="J131" s="429"/>
      <c r="K131" s="429"/>
      <c r="L131" s="429"/>
      <c r="M131" s="429"/>
      <c r="N131" s="429"/>
      <c r="O131" s="429"/>
      <c r="P131" s="429"/>
      <c r="Q131" s="429"/>
      <c r="R131" s="429"/>
      <c r="S131" s="429"/>
    </row>
    <row r="132" spans="1:19" x14ac:dyDescent="0.25">
      <c r="A132" s="429"/>
      <c r="B132" s="633">
        <f t="shared" si="1"/>
        <v>1.2700000000000009</v>
      </c>
      <c r="C132" s="646">
        <f>1/DATI!$E$38*IF(B132&lt;DATI!$E$45,DATI!$E$32*DATI!$E$42*DATI!$E$49*DATI!$E$33*(B132/DATI!$E$45+1/(DATI!$E$49*DATI!$E$33)*(1-B132/DATI!$E$45)),IF(B132&lt;DATI!$E$46,DATI!$E$32*DATI!$E$42*DATI!$E$49*DATI!$E$33,IF(B132&lt;DATI!$E$47,DATI!$E$32*DATI!$E$42*DATI!$E$49*DATI!$E$33*(DATI!$E$46/B132),DATI!$E$32*DATI!$E$42*DATI!$E$49*DATI!$E$33*((DATI!$E$46*DATI!$E$47)/B132^2))))</f>
        <v>0.16436987428268987</v>
      </c>
      <c r="D132" s="306"/>
      <c r="E132" s="429"/>
      <c r="F132" s="429"/>
      <c r="G132" s="429"/>
      <c r="H132" s="429"/>
      <c r="I132" s="429"/>
      <c r="J132" s="429"/>
      <c r="K132" s="429"/>
      <c r="L132" s="429"/>
      <c r="M132" s="429"/>
      <c r="N132" s="429"/>
      <c r="O132" s="429"/>
      <c r="P132" s="429"/>
      <c r="Q132" s="429"/>
      <c r="R132" s="429"/>
      <c r="S132" s="429"/>
    </row>
    <row r="133" spans="1:19" x14ac:dyDescent="0.25">
      <c r="A133" s="429"/>
      <c r="B133" s="633">
        <f t="shared" si="1"/>
        <v>1.2800000000000009</v>
      </c>
      <c r="C133" s="646">
        <f>1/DATI!$E$38*IF(B133&lt;DATI!$E$45,DATI!$E$32*DATI!$E$42*DATI!$E$49*DATI!$E$33*(B133/DATI!$E$45+1/(DATI!$E$49*DATI!$E$33)*(1-B133/DATI!$E$45)),IF(B133&lt;DATI!$E$46,DATI!$E$32*DATI!$E$42*DATI!$E$49*DATI!$E$33,IF(B133&lt;DATI!$E$47,DATI!$E$32*DATI!$E$42*DATI!$E$49*DATI!$E$33*(DATI!$E$46/B133),DATI!$E$32*DATI!$E$42*DATI!$E$49*DATI!$E$33*((DATI!$E$46*DATI!$E$47)/B133^2))))</f>
        <v>0.16308573463985634</v>
      </c>
      <c r="D133" s="306"/>
      <c r="E133" s="429"/>
      <c r="F133" s="429"/>
      <c r="G133" s="429"/>
      <c r="H133" s="429"/>
      <c r="I133" s="429"/>
      <c r="J133" s="429"/>
      <c r="K133" s="429"/>
      <c r="L133" s="429"/>
      <c r="M133" s="429"/>
      <c r="N133" s="429"/>
      <c r="O133" s="429"/>
      <c r="P133" s="429"/>
      <c r="Q133" s="429"/>
      <c r="R133" s="429"/>
      <c r="S133" s="429"/>
    </row>
    <row r="134" spans="1:19" x14ac:dyDescent="0.25">
      <c r="A134" s="429"/>
      <c r="B134" s="633">
        <f t="shared" ref="B134:B197" si="2">0.01+B133</f>
        <v>1.2900000000000009</v>
      </c>
      <c r="C134" s="646">
        <f>1/DATI!$E$38*IF(B134&lt;DATI!$E$45,DATI!$E$32*DATI!$E$42*DATI!$E$49*DATI!$E$33*(B134/DATI!$E$45+1/(DATI!$E$49*DATI!$E$33)*(1-B134/DATI!$E$45)),IF(B134&lt;DATI!$E$46,DATI!$E$32*DATI!$E$42*DATI!$E$49*DATI!$E$33,IF(B134&lt;DATI!$E$47,DATI!$E$32*DATI!$E$42*DATI!$E$49*DATI!$E$33*(DATI!$E$46/B134),DATI!$E$32*DATI!$E$42*DATI!$E$49*DATI!$E$33*((DATI!$E$46*DATI!$E$47)/B134^2))))</f>
        <v>0.16182150413877219</v>
      </c>
      <c r="D134" s="306"/>
      <c r="E134" s="429"/>
      <c r="F134" s="429"/>
      <c r="G134" s="429"/>
      <c r="H134" s="429"/>
      <c r="I134" s="429"/>
      <c r="J134" s="429"/>
      <c r="K134" s="429"/>
      <c r="L134" s="429"/>
      <c r="M134" s="429"/>
      <c r="N134" s="429"/>
      <c r="O134" s="429"/>
      <c r="P134" s="429"/>
      <c r="Q134" s="429"/>
      <c r="R134" s="429"/>
      <c r="S134" s="429"/>
    </row>
    <row r="135" spans="1:19" x14ac:dyDescent="0.25">
      <c r="A135" s="429"/>
      <c r="B135" s="633">
        <f t="shared" si="2"/>
        <v>1.3000000000000009</v>
      </c>
      <c r="C135" s="646">
        <f>1/DATI!$E$38*IF(B135&lt;DATI!$E$45,DATI!$E$32*DATI!$E$42*DATI!$E$49*DATI!$E$33*(B135/DATI!$E$45+1/(DATI!$E$49*DATI!$E$33)*(1-B135/DATI!$E$45)),IF(B135&lt;DATI!$E$46,DATI!$E$32*DATI!$E$42*DATI!$E$49*DATI!$E$33,IF(B135&lt;DATI!$E$47,DATI!$E$32*DATI!$E$42*DATI!$E$49*DATI!$E$33*(DATI!$E$46/B135),DATI!$E$32*DATI!$E$42*DATI!$E$49*DATI!$E$33*((DATI!$E$46*DATI!$E$47)/B135^2))))</f>
        <v>0.1605767233377047</v>
      </c>
      <c r="D135" s="306"/>
      <c r="E135" s="429"/>
      <c r="F135" s="429"/>
      <c r="G135" s="429"/>
      <c r="H135" s="429"/>
      <c r="I135" s="429"/>
      <c r="J135" s="429"/>
      <c r="K135" s="429"/>
      <c r="L135" s="429"/>
      <c r="M135" s="429"/>
      <c r="N135" s="429"/>
      <c r="O135" s="429"/>
      <c r="P135" s="429"/>
      <c r="Q135" s="429"/>
      <c r="R135" s="429"/>
      <c r="S135" s="429"/>
    </row>
    <row r="136" spans="1:19" x14ac:dyDescent="0.25">
      <c r="A136" s="429"/>
      <c r="B136" s="633">
        <f t="shared" si="2"/>
        <v>1.3100000000000009</v>
      </c>
      <c r="C136" s="646">
        <f>1/DATI!$E$38*IF(B136&lt;DATI!$E$45,DATI!$E$32*DATI!$E$42*DATI!$E$49*DATI!$E$33*(B136/DATI!$E$45+1/(DATI!$E$49*DATI!$E$33)*(1-B136/DATI!$E$45)),IF(B136&lt;DATI!$E$46,DATI!$E$32*DATI!$E$42*DATI!$E$49*DATI!$E$33,IF(B136&lt;DATI!$E$47,DATI!$E$32*DATI!$E$42*DATI!$E$49*DATI!$E$33*(DATI!$E$46/B136),DATI!$E$32*DATI!$E$42*DATI!$E$49*DATI!$E$33*((DATI!$E$46*DATI!$E$47)/B136^2))))</f>
        <v>0.15935094682367643</v>
      </c>
      <c r="D136" s="306"/>
      <c r="E136" s="429"/>
      <c r="F136" s="429"/>
      <c r="G136" s="429"/>
      <c r="H136" s="429"/>
      <c r="I136" s="429"/>
      <c r="J136" s="429"/>
      <c r="K136" s="429"/>
      <c r="L136" s="429"/>
      <c r="M136" s="429"/>
      <c r="N136" s="429"/>
      <c r="O136" s="429"/>
      <c r="P136" s="429"/>
      <c r="Q136" s="429"/>
      <c r="R136" s="429"/>
      <c r="S136" s="429"/>
    </row>
    <row r="137" spans="1:19" x14ac:dyDescent="0.25">
      <c r="A137" s="429"/>
      <c r="B137" s="633">
        <f t="shared" si="2"/>
        <v>1.320000000000001</v>
      </c>
      <c r="C137" s="646">
        <f>1/DATI!$E$38*IF(B137&lt;DATI!$E$45,DATI!$E$32*DATI!$E$42*DATI!$E$49*DATI!$E$33*(B137/DATI!$E$45+1/(DATI!$E$49*DATI!$E$33)*(1-B137/DATI!$E$45)),IF(B137&lt;DATI!$E$46,DATI!$E$32*DATI!$E$42*DATI!$E$49*DATI!$E$33,IF(B137&lt;DATI!$E$47,DATI!$E$32*DATI!$E$42*DATI!$E$49*DATI!$E$33*(DATI!$E$46/B137),DATI!$E$32*DATI!$E$42*DATI!$E$49*DATI!$E$33*((DATI!$E$46*DATI!$E$47)/B137^2))))</f>
        <v>0.15814374268107281</v>
      </c>
      <c r="D137" s="306"/>
      <c r="E137" s="429"/>
      <c r="F137" s="429"/>
      <c r="G137" s="429"/>
      <c r="H137" s="429"/>
      <c r="I137" s="429"/>
      <c r="J137" s="429"/>
      <c r="K137" s="429"/>
      <c r="L137" s="429"/>
      <c r="M137" s="429"/>
      <c r="N137" s="429"/>
      <c r="O137" s="429"/>
      <c r="P137" s="429"/>
      <c r="Q137" s="429"/>
      <c r="R137" s="429"/>
      <c r="S137" s="429"/>
    </row>
    <row r="138" spans="1:19" x14ac:dyDescent="0.25">
      <c r="A138" s="429"/>
      <c r="B138" s="633">
        <f t="shared" si="2"/>
        <v>1.330000000000001</v>
      </c>
      <c r="C138" s="646">
        <f>1/DATI!$E$38*IF(B138&lt;DATI!$E$45,DATI!$E$32*DATI!$E$42*DATI!$E$49*DATI!$E$33*(B138/DATI!$E$45+1/(DATI!$E$49*DATI!$E$33)*(1-B138/DATI!$E$45)),IF(B138&lt;DATI!$E$46,DATI!$E$32*DATI!$E$42*DATI!$E$49*DATI!$E$33,IF(B138&lt;DATI!$E$47,DATI!$E$32*DATI!$E$42*DATI!$E$49*DATI!$E$33*(DATI!$E$46/B138),DATI!$E$32*DATI!$E$42*DATI!$E$49*DATI!$E$33*((DATI!$E$46*DATI!$E$47)/B138^2))))</f>
        <v>0.15695469198422266</v>
      </c>
      <c r="D138" s="306"/>
      <c r="E138" s="429"/>
      <c r="F138" s="429"/>
      <c r="G138" s="429"/>
      <c r="H138" s="429"/>
      <c r="I138" s="429"/>
      <c r="J138" s="429"/>
      <c r="K138" s="429"/>
      <c r="L138" s="429"/>
      <c r="M138" s="429"/>
      <c r="N138" s="429"/>
      <c r="O138" s="429"/>
      <c r="P138" s="429"/>
      <c r="Q138" s="429"/>
      <c r="R138" s="429"/>
      <c r="S138" s="429"/>
    </row>
    <row r="139" spans="1:19" x14ac:dyDescent="0.25">
      <c r="A139" s="429"/>
      <c r="B139" s="633">
        <f t="shared" si="2"/>
        <v>1.340000000000001</v>
      </c>
      <c r="C139" s="646">
        <f>1/DATI!$E$38*IF(B139&lt;DATI!$E$45,DATI!$E$32*DATI!$E$42*DATI!$E$49*DATI!$E$33*(B139/DATI!$E$45+1/(DATI!$E$49*DATI!$E$33)*(1-B139/DATI!$E$45)),IF(B139&lt;DATI!$E$46,DATI!$E$32*DATI!$E$42*DATI!$E$49*DATI!$E$33,IF(B139&lt;DATI!$E$47,DATI!$E$32*DATI!$E$42*DATI!$E$49*DATI!$E$33*(DATI!$E$46/B139),DATI!$E$32*DATI!$E$42*DATI!$E$49*DATI!$E$33*((DATI!$E$46*DATI!$E$47)/B139^2))))</f>
        <v>0.15578338831269858</v>
      </c>
      <c r="D139" s="306"/>
      <c r="E139" s="429"/>
      <c r="F139" s="429"/>
      <c r="G139" s="429"/>
      <c r="H139" s="429"/>
      <c r="I139" s="429"/>
      <c r="J139" s="429"/>
      <c r="K139" s="429"/>
      <c r="L139" s="429"/>
      <c r="M139" s="429"/>
      <c r="N139" s="429"/>
      <c r="O139" s="429"/>
      <c r="P139" s="429"/>
      <c r="Q139" s="429"/>
      <c r="R139" s="429"/>
      <c r="S139" s="429"/>
    </row>
    <row r="140" spans="1:19" x14ac:dyDescent="0.25">
      <c r="A140" s="429"/>
      <c r="B140" s="633">
        <f t="shared" si="2"/>
        <v>1.350000000000001</v>
      </c>
      <c r="C140" s="646">
        <f>1/DATI!$E$38*IF(B140&lt;DATI!$E$45,DATI!$E$32*DATI!$E$42*DATI!$E$49*DATI!$E$33*(B140/DATI!$E$45+1/(DATI!$E$49*DATI!$E$33)*(1-B140/DATI!$E$45)),IF(B140&lt;DATI!$E$46,DATI!$E$32*DATI!$E$42*DATI!$E$49*DATI!$E$33,IF(B140&lt;DATI!$E$47,DATI!$E$32*DATI!$E$42*DATI!$E$49*DATI!$E$33*(DATI!$E$46/B140),DATI!$E$32*DATI!$E$42*DATI!$E$49*DATI!$E$33*((DATI!$E$46*DATI!$E$47)/B140^2))))</f>
        <v>0.15462943728816009</v>
      </c>
      <c r="D140" s="306"/>
      <c r="E140" s="429"/>
      <c r="F140" s="429"/>
      <c r="G140" s="429"/>
      <c r="H140" s="429"/>
      <c r="I140" s="429"/>
      <c r="J140" s="429"/>
      <c r="K140" s="429"/>
      <c r="L140" s="429"/>
      <c r="M140" s="429"/>
      <c r="N140" s="429"/>
      <c r="O140" s="429"/>
      <c r="P140" s="429"/>
      <c r="Q140" s="429"/>
      <c r="R140" s="429"/>
      <c r="S140" s="429"/>
    </row>
    <row r="141" spans="1:19" x14ac:dyDescent="0.25">
      <c r="A141" s="429"/>
      <c r="B141" s="633">
        <f t="shared" si="2"/>
        <v>1.360000000000001</v>
      </c>
      <c r="C141" s="646">
        <f>1/DATI!$E$38*IF(B141&lt;DATI!$E$45,DATI!$E$32*DATI!$E$42*DATI!$E$49*DATI!$E$33*(B141/DATI!$E$45+1/(DATI!$E$49*DATI!$E$33)*(1-B141/DATI!$E$45)),IF(B141&lt;DATI!$E$46,DATI!$E$32*DATI!$E$42*DATI!$E$49*DATI!$E$33,IF(B141&lt;DATI!$E$47,DATI!$E$32*DATI!$E$42*DATI!$E$49*DATI!$E$33*(DATI!$E$46/B141),DATI!$E$32*DATI!$E$42*DATI!$E$49*DATI!$E$33*((DATI!$E$46*DATI!$E$47)/B141^2))))</f>
        <v>0.15349245613162948</v>
      </c>
      <c r="D141" s="306"/>
      <c r="E141" s="429"/>
      <c r="F141" s="429"/>
      <c r="G141" s="429"/>
      <c r="H141" s="429"/>
      <c r="I141" s="429"/>
      <c r="J141" s="429"/>
      <c r="K141" s="429"/>
      <c r="L141" s="429"/>
      <c r="M141" s="429"/>
      <c r="N141" s="429"/>
      <c r="O141" s="429"/>
      <c r="P141" s="429"/>
      <c r="Q141" s="429"/>
      <c r="R141" s="429"/>
      <c r="S141" s="429"/>
    </row>
    <row r="142" spans="1:19" x14ac:dyDescent="0.25">
      <c r="A142" s="429"/>
      <c r="B142" s="633">
        <f t="shared" si="2"/>
        <v>1.370000000000001</v>
      </c>
      <c r="C142" s="646">
        <f>1/DATI!$E$38*IF(B142&lt;DATI!$E$45,DATI!$E$32*DATI!$E$42*DATI!$E$49*DATI!$E$33*(B142/DATI!$E$45+1/(DATI!$E$49*DATI!$E$33)*(1-B142/DATI!$E$45)),IF(B142&lt;DATI!$E$46,DATI!$E$32*DATI!$E$42*DATI!$E$49*DATI!$E$33,IF(B142&lt;DATI!$E$47,DATI!$E$32*DATI!$E$42*DATI!$E$49*DATI!$E$33*(DATI!$E$46/B142),DATI!$E$32*DATI!$E$42*DATI!$E$49*DATI!$E$33*((DATI!$E$46*DATI!$E$47)/B142^2))))</f>
        <v>0.15237207324015775</v>
      </c>
      <c r="D142" s="306"/>
      <c r="E142" s="429"/>
      <c r="F142" s="429"/>
      <c r="G142" s="429"/>
      <c r="H142" s="429"/>
      <c r="I142" s="429"/>
      <c r="J142" s="429"/>
      <c r="K142" s="429"/>
      <c r="L142" s="429"/>
      <c r="M142" s="429"/>
      <c r="N142" s="429"/>
      <c r="O142" s="429"/>
      <c r="P142" s="429"/>
      <c r="Q142" s="429"/>
      <c r="R142" s="429"/>
      <c r="S142" s="429"/>
    </row>
    <row r="143" spans="1:19" x14ac:dyDescent="0.25">
      <c r="A143" s="429"/>
      <c r="B143" s="633">
        <f t="shared" si="2"/>
        <v>1.380000000000001</v>
      </c>
      <c r="C143" s="646">
        <f>1/DATI!$E$38*IF(B143&lt;DATI!$E$45,DATI!$E$32*DATI!$E$42*DATI!$E$49*DATI!$E$33*(B143/DATI!$E$45+1/(DATI!$E$49*DATI!$E$33)*(1-B143/DATI!$E$45)),IF(B143&lt;DATI!$E$46,DATI!$E$32*DATI!$E$42*DATI!$E$49*DATI!$E$33,IF(B143&lt;DATI!$E$47,DATI!$E$32*DATI!$E$42*DATI!$E$49*DATI!$E$33*(DATI!$E$46/B143),DATI!$E$32*DATI!$E$42*DATI!$E$49*DATI!$E$33*((DATI!$E$46*DATI!$E$47)/B143^2))))</f>
        <v>0.15126792778189574</v>
      </c>
      <c r="D143" s="306"/>
      <c r="E143" s="429"/>
      <c r="F143" s="429"/>
      <c r="G143" s="429"/>
      <c r="H143" s="429"/>
      <c r="I143" s="429"/>
      <c r="J143" s="429"/>
      <c r="K143" s="429"/>
      <c r="L143" s="429"/>
      <c r="M143" s="429"/>
      <c r="N143" s="429"/>
      <c r="O143" s="429"/>
      <c r="P143" s="429"/>
      <c r="Q143" s="429"/>
      <c r="R143" s="429"/>
      <c r="S143" s="429"/>
    </row>
    <row r="144" spans="1:19" x14ac:dyDescent="0.25">
      <c r="A144" s="429"/>
      <c r="B144" s="633">
        <f t="shared" si="2"/>
        <v>1.390000000000001</v>
      </c>
      <c r="C144" s="646">
        <f>1/DATI!$E$38*IF(B144&lt;DATI!$E$45,DATI!$E$32*DATI!$E$42*DATI!$E$49*DATI!$E$33*(B144/DATI!$E$45+1/(DATI!$E$49*DATI!$E$33)*(1-B144/DATI!$E$45)),IF(B144&lt;DATI!$E$46,DATI!$E$32*DATI!$E$42*DATI!$E$49*DATI!$E$33,IF(B144&lt;DATI!$E$47,DATI!$E$32*DATI!$E$42*DATI!$E$49*DATI!$E$33*(DATI!$E$46/B144),DATI!$E$32*DATI!$E$42*DATI!$E$49*DATI!$E$33*((DATI!$E$46*DATI!$E$47)/B144^2))))</f>
        <v>0.15017966930864471</v>
      </c>
      <c r="D144" s="306"/>
      <c r="E144" s="429"/>
      <c r="F144" s="429"/>
      <c r="G144" s="429"/>
      <c r="H144" s="429"/>
      <c r="I144" s="429"/>
      <c r="J144" s="429"/>
      <c r="K144" s="429"/>
      <c r="L144" s="429"/>
      <c r="M144" s="429"/>
      <c r="N144" s="429"/>
      <c r="O144" s="429"/>
      <c r="P144" s="429"/>
      <c r="Q144" s="429"/>
      <c r="R144" s="429"/>
      <c r="S144" s="429"/>
    </row>
    <row r="145" spans="1:19" x14ac:dyDescent="0.25">
      <c r="A145" s="429"/>
      <c r="B145" s="633">
        <f t="shared" si="2"/>
        <v>1.400000000000001</v>
      </c>
      <c r="C145" s="646">
        <f>1/DATI!$E$38*IF(B145&lt;DATI!$E$45,DATI!$E$32*DATI!$E$42*DATI!$E$49*DATI!$E$33*(B145/DATI!$E$45+1/(DATI!$E$49*DATI!$E$33)*(1-B145/DATI!$E$45)),IF(B145&lt;DATI!$E$46,DATI!$E$32*DATI!$E$42*DATI!$E$49*DATI!$E$33,IF(B145&lt;DATI!$E$47,DATI!$E$32*DATI!$E$42*DATI!$E$49*DATI!$E$33*(DATI!$E$46/B145),DATI!$E$32*DATI!$E$42*DATI!$E$49*DATI!$E$33*((DATI!$E$46*DATI!$E$47)/B145^2))))</f>
        <v>0.14910695738501151</v>
      </c>
      <c r="D145" s="306"/>
      <c r="E145" s="429"/>
      <c r="F145" s="429"/>
      <c r="G145" s="429"/>
      <c r="H145" s="429"/>
      <c r="I145" s="429"/>
      <c r="J145" s="429"/>
      <c r="K145" s="429"/>
      <c r="L145" s="429"/>
      <c r="M145" s="429"/>
      <c r="N145" s="429"/>
      <c r="O145" s="429"/>
      <c r="P145" s="429"/>
      <c r="Q145" s="429"/>
      <c r="R145" s="429"/>
      <c r="S145" s="429"/>
    </row>
    <row r="146" spans="1:19" x14ac:dyDescent="0.25">
      <c r="A146" s="429"/>
      <c r="B146" s="633">
        <f t="shared" si="2"/>
        <v>1.410000000000001</v>
      </c>
      <c r="C146" s="646">
        <f>1/DATI!$E$38*IF(B146&lt;DATI!$E$45,DATI!$E$32*DATI!$E$42*DATI!$E$49*DATI!$E$33*(B146/DATI!$E$45+1/(DATI!$E$49*DATI!$E$33)*(1-B146/DATI!$E$45)),IF(B146&lt;DATI!$E$46,DATI!$E$32*DATI!$E$42*DATI!$E$49*DATI!$E$33,IF(B146&lt;DATI!$E$47,DATI!$E$32*DATI!$E$42*DATI!$E$49*DATI!$E$33*(DATI!$E$46/B146),DATI!$E$32*DATI!$E$42*DATI!$E$49*DATI!$E$33*((DATI!$E$46*DATI!$E$47)/B146^2))))</f>
        <v>0.14804946123334475</v>
      </c>
      <c r="D146" s="306"/>
      <c r="E146" s="429"/>
      <c r="F146" s="429"/>
      <c r="G146" s="429"/>
      <c r="H146" s="429"/>
      <c r="I146" s="429"/>
      <c r="J146" s="429"/>
      <c r="K146" s="429"/>
      <c r="L146" s="429"/>
      <c r="M146" s="429"/>
      <c r="N146" s="429"/>
      <c r="O146" s="429"/>
      <c r="P146" s="429"/>
      <c r="Q146" s="429"/>
      <c r="R146" s="429"/>
      <c r="S146" s="429"/>
    </row>
    <row r="147" spans="1:19" x14ac:dyDescent="0.25">
      <c r="A147" s="429"/>
      <c r="B147" s="633">
        <f t="shared" si="2"/>
        <v>1.420000000000001</v>
      </c>
      <c r="C147" s="646">
        <f>1/DATI!$E$38*IF(B147&lt;DATI!$E$45,DATI!$E$32*DATI!$E$42*DATI!$E$49*DATI!$E$33*(B147/DATI!$E$45+1/(DATI!$E$49*DATI!$E$33)*(1-B147/DATI!$E$45)),IF(B147&lt;DATI!$E$46,DATI!$E$32*DATI!$E$42*DATI!$E$49*DATI!$E$33,IF(B147&lt;DATI!$E$47,DATI!$E$32*DATI!$E$42*DATI!$E$49*DATI!$E$33*(DATI!$E$46/B147),DATI!$E$32*DATI!$E$42*DATI!$E$49*DATI!$E$33*((DATI!$E$46*DATI!$E$47)/B147^2))))</f>
        <v>0.14700685939367331</v>
      </c>
      <c r="D147" s="306"/>
      <c r="E147" s="429"/>
      <c r="F147" s="429"/>
      <c r="G147" s="429"/>
      <c r="H147" s="429"/>
      <c r="I147" s="429"/>
      <c r="J147" s="429"/>
      <c r="K147" s="429"/>
      <c r="L147" s="429"/>
      <c r="M147" s="429"/>
      <c r="N147" s="429"/>
      <c r="O147" s="429"/>
      <c r="P147" s="429"/>
      <c r="Q147" s="429"/>
      <c r="R147" s="429"/>
      <c r="S147" s="429"/>
    </row>
    <row r="148" spans="1:19" x14ac:dyDescent="0.25">
      <c r="A148" s="429"/>
      <c r="B148" s="633">
        <f t="shared" si="2"/>
        <v>1.430000000000001</v>
      </c>
      <c r="C148" s="646">
        <f>1/DATI!$E$38*IF(B148&lt;DATI!$E$45,DATI!$E$32*DATI!$E$42*DATI!$E$49*DATI!$E$33*(B148/DATI!$E$45+1/(DATI!$E$49*DATI!$E$33)*(1-B148/DATI!$E$45)),IF(B148&lt;DATI!$E$46,DATI!$E$32*DATI!$E$42*DATI!$E$49*DATI!$E$33,IF(B148&lt;DATI!$E$47,DATI!$E$32*DATI!$E$42*DATI!$E$49*DATI!$E$33*(DATI!$E$46/B148),DATI!$E$32*DATI!$E$42*DATI!$E$49*DATI!$E$33*((DATI!$E$46*DATI!$E$47)/B148^2))))</f>
        <v>0.14597883939791337</v>
      </c>
      <c r="D148" s="306"/>
      <c r="E148" s="429"/>
      <c r="F148" s="429"/>
      <c r="G148" s="429"/>
      <c r="H148" s="429"/>
      <c r="I148" s="429"/>
      <c r="J148" s="429"/>
      <c r="K148" s="429"/>
      <c r="L148" s="429"/>
      <c r="M148" s="429"/>
      <c r="N148" s="429"/>
      <c r="O148" s="429"/>
      <c r="P148" s="429"/>
      <c r="Q148" s="429"/>
      <c r="R148" s="429"/>
      <c r="S148" s="429"/>
    </row>
    <row r="149" spans="1:19" x14ac:dyDescent="0.25">
      <c r="A149" s="429"/>
      <c r="B149" s="633">
        <f t="shared" si="2"/>
        <v>1.4400000000000011</v>
      </c>
      <c r="C149" s="646">
        <f>1/DATI!$E$38*IF(B149&lt;DATI!$E$45,DATI!$E$32*DATI!$E$42*DATI!$E$49*DATI!$E$33*(B149/DATI!$E$45+1/(DATI!$E$49*DATI!$E$33)*(1-B149/DATI!$E$45)),IF(B149&lt;DATI!$E$46,DATI!$E$32*DATI!$E$42*DATI!$E$49*DATI!$E$33,IF(B149&lt;DATI!$E$47,DATI!$E$32*DATI!$E$42*DATI!$E$49*DATI!$E$33*(DATI!$E$46/B149),DATI!$E$32*DATI!$E$42*DATI!$E$49*DATI!$E$33*((DATI!$E$46*DATI!$E$47)/B149^2))))</f>
        <v>0.1449650974576501</v>
      </c>
      <c r="D149" s="306"/>
      <c r="E149" s="429"/>
      <c r="F149" s="429"/>
      <c r="G149" s="429"/>
      <c r="H149" s="429"/>
      <c r="I149" s="429"/>
      <c r="J149" s="429"/>
      <c r="K149" s="429"/>
      <c r="L149" s="429"/>
      <c r="M149" s="429"/>
      <c r="N149" s="429"/>
      <c r="O149" s="429"/>
      <c r="P149" s="429"/>
      <c r="Q149" s="429"/>
      <c r="R149" s="429"/>
      <c r="S149" s="429"/>
    </row>
    <row r="150" spans="1:19" x14ac:dyDescent="0.25">
      <c r="A150" s="429"/>
      <c r="B150" s="633">
        <f t="shared" si="2"/>
        <v>1.4500000000000011</v>
      </c>
      <c r="C150" s="646">
        <f>1/DATI!$E$38*IF(B150&lt;DATI!$E$45,DATI!$E$32*DATI!$E$42*DATI!$E$49*DATI!$E$33*(B150/DATI!$E$45+1/(DATI!$E$49*DATI!$E$33)*(1-B150/DATI!$E$45)),IF(B150&lt;DATI!$E$46,DATI!$E$32*DATI!$E$42*DATI!$E$49*DATI!$E$33,IF(B150&lt;DATI!$E$47,DATI!$E$32*DATI!$E$42*DATI!$E$49*DATI!$E$33*(DATI!$E$46/B150),DATI!$E$32*DATI!$E$42*DATI!$E$49*DATI!$E$33*((DATI!$E$46*DATI!$E$47)/B150^2))))</f>
        <v>0.1439653381648387</v>
      </c>
      <c r="D150" s="306"/>
      <c r="E150" s="429"/>
      <c r="F150" s="429"/>
      <c r="G150" s="429"/>
      <c r="H150" s="429"/>
      <c r="I150" s="429"/>
      <c r="J150" s="429"/>
      <c r="K150" s="429"/>
      <c r="L150" s="429"/>
      <c r="M150" s="429"/>
      <c r="N150" s="429"/>
      <c r="O150" s="429"/>
      <c r="P150" s="429"/>
      <c r="Q150" s="429"/>
      <c r="R150" s="429"/>
      <c r="S150" s="429"/>
    </row>
    <row r="151" spans="1:19" x14ac:dyDescent="0.25">
      <c r="A151" s="429"/>
      <c r="B151" s="633">
        <f t="shared" si="2"/>
        <v>1.4600000000000011</v>
      </c>
      <c r="C151" s="646">
        <f>1/DATI!$E$38*IF(B151&lt;DATI!$E$45,DATI!$E$32*DATI!$E$42*DATI!$E$49*DATI!$E$33*(B151/DATI!$E$45+1/(DATI!$E$49*DATI!$E$33)*(1-B151/DATI!$E$45)),IF(B151&lt;DATI!$E$46,DATI!$E$32*DATI!$E$42*DATI!$E$49*DATI!$E$33,IF(B151&lt;DATI!$E$47,DATI!$E$32*DATI!$E$42*DATI!$E$49*DATI!$E$33*(DATI!$E$46/B151),DATI!$E$32*DATI!$E$42*DATI!$E$49*DATI!$E$33*((DATI!$E$46*DATI!$E$47)/B151^2))))</f>
        <v>0.14297927420480555</v>
      </c>
      <c r="D151" s="306"/>
      <c r="E151" s="429"/>
      <c r="F151" s="429"/>
      <c r="G151" s="429"/>
      <c r="H151" s="429"/>
      <c r="I151" s="429"/>
      <c r="J151" s="429"/>
      <c r="K151" s="429"/>
      <c r="L151" s="429"/>
      <c r="M151" s="429"/>
      <c r="N151" s="429"/>
      <c r="O151" s="429"/>
      <c r="P151" s="429"/>
      <c r="Q151" s="429"/>
      <c r="R151" s="429"/>
      <c r="S151" s="429"/>
    </row>
    <row r="152" spans="1:19" x14ac:dyDescent="0.25">
      <c r="A152" s="429"/>
      <c r="B152" s="633">
        <f t="shared" si="2"/>
        <v>1.4700000000000011</v>
      </c>
      <c r="C152" s="646">
        <f>1/DATI!$E$38*IF(B152&lt;DATI!$E$45,DATI!$E$32*DATI!$E$42*DATI!$E$49*DATI!$E$33*(B152/DATI!$E$45+1/(DATI!$E$49*DATI!$E$33)*(1-B152/DATI!$E$45)),IF(B152&lt;DATI!$E$46,DATI!$E$32*DATI!$E$42*DATI!$E$49*DATI!$E$33,IF(B152&lt;DATI!$E$47,DATI!$E$32*DATI!$E$42*DATI!$E$49*DATI!$E$33*(DATI!$E$46/B152),DATI!$E$32*DATI!$E$42*DATI!$E$49*DATI!$E$33*((DATI!$E$46*DATI!$E$47)/B152^2))))</f>
        <v>0.14200662608096334</v>
      </c>
      <c r="D152" s="306"/>
      <c r="E152" s="429"/>
      <c r="F152" s="429"/>
      <c r="G152" s="429"/>
      <c r="H152" s="429"/>
      <c r="I152" s="429"/>
      <c r="J152" s="429"/>
      <c r="K152" s="429"/>
      <c r="L152" s="429"/>
      <c r="M152" s="429"/>
      <c r="N152" s="429"/>
      <c r="O152" s="429"/>
      <c r="P152" s="429"/>
      <c r="Q152" s="429"/>
      <c r="R152" s="429"/>
      <c r="S152" s="429"/>
    </row>
    <row r="153" spans="1:19" x14ac:dyDescent="0.25">
      <c r="A153" s="429"/>
      <c r="B153" s="633">
        <f t="shared" si="2"/>
        <v>1.4800000000000011</v>
      </c>
      <c r="C153" s="646">
        <f>1/DATI!$E$38*IF(B153&lt;DATI!$E$45,DATI!$E$32*DATI!$E$42*DATI!$E$49*DATI!$E$33*(B153/DATI!$E$45+1/(DATI!$E$49*DATI!$E$33)*(1-B153/DATI!$E$45)),IF(B153&lt;DATI!$E$46,DATI!$E$32*DATI!$E$42*DATI!$E$49*DATI!$E$33,IF(B153&lt;DATI!$E$47,DATI!$E$32*DATI!$E$42*DATI!$E$49*DATI!$E$33*(DATI!$E$46/B153),DATI!$E$32*DATI!$E$42*DATI!$E$49*DATI!$E$33*((DATI!$E$46*DATI!$E$47)/B153^2))))</f>
        <v>0.14104712185068655</v>
      </c>
      <c r="D153" s="306"/>
      <c r="E153" s="429"/>
      <c r="F153" s="429"/>
      <c r="G153" s="429"/>
      <c r="H153" s="429"/>
      <c r="I153" s="429"/>
      <c r="J153" s="429"/>
      <c r="K153" s="429"/>
      <c r="L153" s="429"/>
      <c r="M153" s="429"/>
      <c r="N153" s="429"/>
      <c r="O153" s="429"/>
      <c r="P153" s="429"/>
      <c r="Q153" s="429"/>
      <c r="R153" s="429"/>
      <c r="S153" s="429"/>
    </row>
    <row r="154" spans="1:19" x14ac:dyDescent="0.25">
      <c r="A154" s="429"/>
      <c r="B154" s="633">
        <f t="shared" si="2"/>
        <v>1.4900000000000011</v>
      </c>
      <c r="C154" s="646">
        <f>1/DATI!$E$38*IF(B154&lt;DATI!$E$45,DATI!$E$32*DATI!$E$42*DATI!$E$49*DATI!$E$33*(B154/DATI!$E$45+1/(DATI!$E$49*DATI!$E$33)*(1-B154/DATI!$E$45)),IF(B154&lt;DATI!$E$46,DATI!$E$32*DATI!$E$42*DATI!$E$49*DATI!$E$33,IF(B154&lt;DATI!$E$47,DATI!$E$32*DATI!$E$42*DATI!$E$49*DATI!$E$33*(DATI!$E$46/B154),DATI!$E$32*DATI!$E$42*DATI!$E$49*DATI!$E$33*((DATI!$E$46*DATI!$E$47)/B154^2))))</f>
        <v>0.14010049687182291</v>
      </c>
      <c r="D154" s="306"/>
      <c r="E154" s="429"/>
      <c r="F154" s="429"/>
      <c r="G154" s="429"/>
      <c r="H154" s="429"/>
      <c r="I154" s="429"/>
      <c r="J154" s="429"/>
      <c r="K154" s="429"/>
      <c r="L154" s="429"/>
      <c r="M154" s="429"/>
      <c r="N154" s="429"/>
      <c r="O154" s="429"/>
      <c r="P154" s="429"/>
      <c r="Q154" s="429"/>
      <c r="R154" s="429"/>
      <c r="S154" s="429"/>
    </row>
    <row r="155" spans="1:19" x14ac:dyDescent="0.25">
      <c r="A155" s="429"/>
      <c r="B155" s="633">
        <f t="shared" si="2"/>
        <v>1.5000000000000011</v>
      </c>
      <c r="C155" s="646">
        <f>1/DATI!$E$38*IF(B155&lt;DATI!$E$45,DATI!$E$32*DATI!$E$42*DATI!$E$49*DATI!$E$33*(B155/DATI!$E$45+1/(DATI!$E$49*DATI!$E$33)*(1-B155/DATI!$E$45)),IF(B155&lt;DATI!$E$46,DATI!$E$32*DATI!$E$42*DATI!$E$49*DATI!$E$33,IF(B155&lt;DATI!$E$47,DATI!$E$32*DATI!$E$42*DATI!$E$49*DATI!$E$33*(DATI!$E$46/B155),DATI!$E$32*DATI!$E$42*DATI!$E$49*DATI!$E$33*((DATI!$E$46*DATI!$E$47)/B155^2))))</f>
        <v>0.1391664935593441</v>
      </c>
      <c r="D155" s="306"/>
      <c r="E155" s="429"/>
      <c r="F155" s="429"/>
      <c r="G155" s="429"/>
      <c r="H155" s="429"/>
      <c r="I155" s="429"/>
      <c r="J155" s="429"/>
      <c r="K155" s="429"/>
      <c r="L155" s="429"/>
      <c r="M155" s="429"/>
      <c r="N155" s="429"/>
      <c r="O155" s="429"/>
      <c r="P155" s="429"/>
      <c r="Q155" s="429"/>
      <c r="R155" s="429"/>
      <c r="S155" s="429"/>
    </row>
    <row r="156" spans="1:19" x14ac:dyDescent="0.25">
      <c r="A156" s="429"/>
      <c r="B156" s="633">
        <f t="shared" si="2"/>
        <v>1.5100000000000011</v>
      </c>
      <c r="C156" s="646">
        <f>1/DATI!$E$38*IF(B156&lt;DATI!$E$45,DATI!$E$32*DATI!$E$42*DATI!$E$49*DATI!$E$33*(B156/DATI!$E$45+1/(DATI!$E$49*DATI!$E$33)*(1-B156/DATI!$E$45)),IF(B156&lt;DATI!$E$46,DATI!$E$32*DATI!$E$42*DATI!$E$49*DATI!$E$33,IF(B156&lt;DATI!$E$47,DATI!$E$32*DATI!$E$42*DATI!$E$49*DATI!$E$33*(DATI!$E$46/B156),DATI!$E$32*DATI!$E$42*DATI!$E$49*DATI!$E$33*((DATI!$E$46*DATI!$E$47)/B156^2))))</f>
        <v>0.13824486115166629</v>
      </c>
      <c r="D156" s="306"/>
      <c r="E156" s="429"/>
      <c r="F156" s="429"/>
      <c r="G156" s="429"/>
      <c r="H156" s="429"/>
      <c r="I156" s="429"/>
      <c r="J156" s="429"/>
      <c r="K156" s="429"/>
      <c r="L156" s="429"/>
      <c r="M156" s="429"/>
      <c r="N156" s="429"/>
      <c r="O156" s="429"/>
      <c r="P156" s="429"/>
      <c r="Q156" s="429"/>
      <c r="R156" s="429"/>
      <c r="S156" s="429"/>
    </row>
    <row r="157" spans="1:19" x14ac:dyDescent="0.25">
      <c r="A157" s="429"/>
      <c r="B157" s="633">
        <f t="shared" si="2"/>
        <v>1.5200000000000011</v>
      </c>
      <c r="C157" s="646">
        <f>1/DATI!$E$38*IF(B157&lt;DATI!$E$45,DATI!$E$32*DATI!$E$42*DATI!$E$49*DATI!$E$33*(B157/DATI!$E$45+1/(DATI!$E$49*DATI!$E$33)*(1-B157/DATI!$E$45)),IF(B157&lt;DATI!$E$46,DATI!$E$32*DATI!$E$42*DATI!$E$49*DATI!$E$33,IF(B157&lt;DATI!$E$47,DATI!$E$32*DATI!$E$42*DATI!$E$49*DATI!$E$33*(DATI!$E$46/B157),DATI!$E$32*DATI!$E$42*DATI!$E$49*DATI!$E$33*((DATI!$E$46*DATI!$E$47)/B157^2))))</f>
        <v>0.13733535548619483</v>
      </c>
      <c r="D157" s="306"/>
      <c r="E157" s="429"/>
      <c r="F157" s="429"/>
      <c r="G157" s="429"/>
      <c r="H157" s="429"/>
      <c r="I157" s="429"/>
      <c r="J157" s="429"/>
      <c r="K157" s="429"/>
      <c r="L157" s="429"/>
      <c r="M157" s="429"/>
      <c r="N157" s="429"/>
      <c r="O157" s="429"/>
      <c r="P157" s="429"/>
      <c r="Q157" s="429"/>
      <c r="R157" s="429"/>
      <c r="S157" s="429"/>
    </row>
    <row r="158" spans="1:19" x14ac:dyDescent="0.25">
      <c r="A158" s="429"/>
      <c r="B158" s="633">
        <f t="shared" si="2"/>
        <v>1.5300000000000011</v>
      </c>
      <c r="C158" s="646">
        <f>1/DATI!$E$38*IF(B158&lt;DATI!$E$45,DATI!$E$32*DATI!$E$42*DATI!$E$49*DATI!$E$33*(B158/DATI!$E$45+1/(DATI!$E$49*DATI!$E$33)*(1-B158/DATI!$E$45)),IF(B158&lt;DATI!$E$46,DATI!$E$32*DATI!$E$42*DATI!$E$49*DATI!$E$33,IF(B158&lt;DATI!$E$47,DATI!$E$32*DATI!$E$42*DATI!$E$49*DATI!$E$33*(DATI!$E$46/B158),DATI!$E$32*DATI!$E$42*DATI!$E$49*DATI!$E$33*((DATI!$E$46*DATI!$E$47)/B158^2))))</f>
        <v>0.13643773878367066</v>
      </c>
      <c r="D158" s="306"/>
      <c r="E158" s="429"/>
      <c r="F158" s="429"/>
      <c r="G158" s="429"/>
      <c r="H158" s="429"/>
      <c r="I158" s="429"/>
      <c r="J158" s="429"/>
      <c r="K158" s="429"/>
      <c r="L158" s="429"/>
      <c r="M158" s="429"/>
      <c r="N158" s="429"/>
      <c r="O158" s="429"/>
      <c r="P158" s="429"/>
      <c r="Q158" s="429"/>
      <c r="R158" s="429"/>
      <c r="S158" s="429"/>
    </row>
    <row r="159" spans="1:19" x14ac:dyDescent="0.25">
      <c r="A159" s="429"/>
      <c r="B159" s="633">
        <f t="shared" si="2"/>
        <v>1.5400000000000011</v>
      </c>
      <c r="C159" s="646">
        <f>1/DATI!$E$38*IF(B159&lt;DATI!$E$45,DATI!$E$32*DATI!$E$42*DATI!$E$49*DATI!$E$33*(B159/DATI!$E$45+1/(DATI!$E$49*DATI!$E$33)*(1-B159/DATI!$E$45)),IF(B159&lt;DATI!$E$46,DATI!$E$32*DATI!$E$42*DATI!$E$49*DATI!$E$33,IF(B159&lt;DATI!$E$47,DATI!$E$32*DATI!$E$42*DATI!$E$49*DATI!$E$33*(DATI!$E$46/B159),DATI!$E$32*DATI!$E$42*DATI!$E$49*DATI!$E$33*((DATI!$E$46*DATI!$E$47)/B159^2))))</f>
        <v>0.13555177944091956</v>
      </c>
      <c r="D159" s="306"/>
      <c r="E159" s="429"/>
      <c r="F159" s="429"/>
      <c r="G159" s="429"/>
      <c r="H159" s="429"/>
      <c r="I159" s="429"/>
      <c r="J159" s="429"/>
      <c r="K159" s="429"/>
      <c r="L159" s="429"/>
      <c r="M159" s="429"/>
      <c r="N159" s="429"/>
      <c r="O159" s="429"/>
      <c r="P159" s="429"/>
      <c r="Q159" s="429"/>
      <c r="R159" s="429"/>
      <c r="S159" s="429"/>
    </row>
    <row r="160" spans="1:19" x14ac:dyDescent="0.25">
      <c r="A160" s="429"/>
      <c r="B160" s="633">
        <f t="shared" si="2"/>
        <v>1.5500000000000012</v>
      </c>
      <c r="C160" s="646">
        <f>1/DATI!$E$38*IF(B160&lt;DATI!$E$45,DATI!$E$32*DATI!$E$42*DATI!$E$49*DATI!$E$33*(B160/DATI!$E$45+1/(DATI!$E$49*DATI!$E$33)*(1-B160/DATI!$E$45)),IF(B160&lt;DATI!$E$46,DATI!$E$32*DATI!$E$42*DATI!$E$49*DATI!$E$33,IF(B160&lt;DATI!$E$47,DATI!$E$32*DATI!$E$42*DATI!$E$49*DATI!$E$33*(DATI!$E$46/B160),DATI!$E$32*DATI!$E$42*DATI!$E$49*DATI!$E$33*((DATI!$E$46*DATI!$E$47)/B160^2))))</f>
        <v>0.1346772518316233</v>
      </c>
      <c r="D160" s="306"/>
      <c r="E160" s="429"/>
      <c r="F160" s="429"/>
      <c r="G160" s="429"/>
      <c r="H160" s="429"/>
      <c r="I160" s="429"/>
      <c r="J160" s="429"/>
      <c r="K160" s="429"/>
      <c r="L160" s="429"/>
      <c r="M160" s="429"/>
      <c r="N160" s="429"/>
      <c r="O160" s="429"/>
      <c r="P160" s="429"/>
      <c r="Q160" s="429"/>
      <c r="R160" s="429"/>
      <c r="S160" s="429"/>
    </row>
    <row r="161" spans="1:19" x14ac:dyDescent="0.25">
      <c r="A161" s="429"/>
      <c r="B161" s="633">
        <f t="shared" si="2"/>
        <v>1.5600000000000012</v>
      </c>
      <c r="C161" s="646">
        <f>1/DATI!$E$38*IF(B161&lt;DATI!$E$45,DATI!$E$32*DATI!$E$42*DATI!$E$49*DATI!$E$33*(B161/DATI!$E$45+1/(DATI!$E$49*DATI!$E$33)*(1-B161/DATI!$E$45)),IF(B161&lt;DATI!$E$46,DATI!$E$32*DATI!$E$42*DATI!$E$49*DATI!$E$33,IF(B161&lt;DATI!$E$47,DATI!$E$32*DATI!$E$42*DATI!$E$49*DATI!$E$33*(DATI!$E$46/B161),DATI!$E$32*DATI!$E$42*DATI!$E$49*DATI!$E$33*((DATI!$E$46*DATI!$E$47)/B161^2))))</f>
        <v>0.1338139361147539</v>
      </c>
      <c r="D161" s="306"/>
      <c r="E161" s="429"/>
      <c r="F161" s="429"/>
      <c r="G161" s="429"/>
      <c r="H161" s="429"/>
      <c r="I161" s="429"/>
      <c r="J161" s="429"/>
      <c r="K161" s="429"/>
      <c r="L161" s="429"/>
      <c r="M161" s="429"/>
      <c r="N161" s="429"/>
      <c r="O161" s="429"/>
      <c r="P161" s="429"/>
      <c r="Q161" s="429"/>
      <c r="R161" s="429"/>
      <c r="S161" s="429"/>
    </row>
    <row r="162" spans="1:19" x14ac:dyDescent="0.25">
      <c r="A162" s="429"/>
      <c r="B162" s="633">
        <f t="shared" si="2"/>
        <v>1.5700000000000012</v>
      </c>
      <c r="C162" s="646">
        <f>1/DATI!$E$38*IF(B162&lt;DATI!$E$45,DATI!$E$32*DATI!$E$42*DATI!$E$49*DATI!$E$33*(B162/DATI!$E$45+1/(DATI!$E$49*DATI!$E$33)*(1-B162/DATI!$E$45)),IF(B162&lt;DATI!$E$46,DATI!$E$32*DATI!$E$42*DATI!$E$49*DATI!$E$33,IF(B162&lt;DATI!$E$47,DATI!$E$32*DATI!$E$42*DATI!$E$49*DATI!$E$33*(DATI!$E$46/B162),DATI!$E$32*DATI!$E$42*DATI!$E$49*DATI!$E$33*((DATI!$E$46*DATI!$E$47)/B162^2))))</f>
        <v>0.13296161805032874</v>
      </c>
      <c r="D162" s="306"/>
      <c r="E162" s="429"/>
      <c r="F162" s="429"/>
      <c r="G162" s="429"/>
      <c r="H162" s="429"/>
      <c r="I162" s="429"/>
      <c r="J162" s="429"/>
      <c r="K162" s="429"/>
      <c r="L162" s="429"/>
      <c r="M162" s="429"/>
      <c r="N162" s="429"/>
      <c r="O162" s="429"/>
      <c r="P162" s="429"/>
      <c r="Q162" s="429"/>
      <c r="R162" s="429"/>
      <c r="S162" s="429"/>
    </row>
    <row r="163" spans="1:19" x14ac:dyDescent="0.25">
      <c r="A163" s="429"/>
      <c r="B163" s="633">
        <f t="shared" si="2"/>
        <v>1.5800000000000012</v>
      </c>
      <c r="C163" s="646">
        <f>1/DATI!$E$38*IF(B163&lt;DATI!$E$45,DATI!$E$32*DATI!$E$42*DATI!$E$49*DATI!$E$33*(B163/DATI!$E$45+1/(DATI!$E$49*DATI!$E$33)*(1-B163/DATI!$E$45)),IF(B163&lt;DATI!$E$46,DATI!$E$32*DATI!$E$42*DATI!$E$49*DATI!$E$33,IF(B163&lt;DATI!$E$47,DATI!$E$32*DATI!$E$42*DATI!$E$49*DATI!$E$33*(DATI!$E$46/B163),DATI!$E$32*DATI!$E$42*DATI!$E$49*DATI!$E$33*((DATI!$E$46*DATI!$E$47)/B163^2))))</f>
        <v>0.13212008882216209</v>
      </c>
      <c r="D163" s="306"/>
      <c r="E163" s="429"/>
      <c r="F163" s="429"/>
      <c r="G163" s="429"/>
      <c r="H163" s="429"/>
      <c r="I163" s="429"/>
      <c r="J163" s="429"/>
      <c r="K163" s="429"/>
      <c r="L163" s="429"/>
      <c r="M163" s="429"/>
      <c r="N163" s="429"/>
      <c r="O163" s="429"/>
      <c r="P163" s="429"/>
      <c r="Q163" s="429"/>
      <c r="R163" s="429"/>
      <c r="S163" s="429"/>
    </row>
    <row r="164" spans="1:19" x14ac:dyDescent="0.25">
      <c r="A164" s="429"/>
      <c r="B164" s="633">
        <f t="shared" si="2"/>
        <v>1.5900000000000012</v>
      </c>
      <c r="C164" s="646">
        <f>1/DATI!$E$38*IF(B164&lt;DATI!$E$45,DATI!$E$32*DATI!$E$42*DATI!$E$49*DATI!$E$33*(B164/DATI!$E$45+1/(DATI!$E$49*DATI!$E$33)*(1-B164/DATI!$E$45)),IF(B164&lt;DATI!$E$46,DATI!$E$32*DATI!$E$42*DATI!$E$49*DATI!$E$33,IF(B164&lt;DATI!$E$47,DATI!$E$32*DATI!$E$42*DATI!$E$49*DATI!$E$33*(DATI!$E$46/B164),DATI!$E$32*DATI!$E$42*DATI!$E$49*DATI!$E$33*((DATI!$E$46*DATI!$E$47)/B164^2))))</f>
        <v>0.13128914486730575</v>
      </c>
      <c r="D164" s="306"/>
      <c r="E164" s="429"/>
      <c r="F164" s="429"/>
      <c r="G164" s="429"/>
      <c r="H164" s="429"/>
      <c r="I164" s="429"/>
      <c r="J164" s="429"/>
      <c r="K164" s="429"/>
      <c r="L164" s="429"/>
      <c r="M164" s="429"/>
      <c r="N164" s="429"/>
      <c r="O164" s="429"/>
      <c r="P164" s="429"/>
      <c r="Q164" s="429"/>
      <c r="R164" s="429"/>
      <c r="S164" s="429"/>
    </row>
    <row r="165" spans="1:19" x14ac:dyDescent="0.25">
      <c r="A165" s="429"/>
      <c r="B165" s="633">
        <f t="shared" si="2"/>
        <v>1.6000000000000012</v>
      </c>
      <c r="C165" s="646">
        <f>1/DATI!$E$38*IF(B165&lt;DATI!$E$45,DATI!$E$32*DATI!$E$42*DATI!$E$49*DATI!$E$33*(B165/DATI!$E$45+1/(DATI!$E$49*DATI!$E$33)*(1-B165/DATI!$E$45)),IF(B165&lt;DATI!$E$46,DATI!$E$32*DATI!$E$42*DATI!$E$49*DATI!$E$33,IF(B165&lt;DATI!$E$47,DATI!$E$32*DATI!$E$42*DATI!$E$49*DATI!$E$33*(DATI!$E$46/B165),DATI!$E$32*DATI!$E$42*DATI!$E$49*DATI!$E$33*((DATI!$E$46*DATI!$E$47)/B165^2))))</f>
        <v>0.13046858771188508</v>
      </c>
      <c r="D165" s="306"/>
      <c r="E165" s="429"/>
      <c r="F165" s="429"/>
      <c r="G165" s="429"/>
      <c r="H165" s="429"/>
      <c r="I165" s="429"/>
      <c r="J165" s="429"/>
      <c r="K165" s="429"/>
      <c r="L165" s="429"/>
      <c r="M165" s="429"/>
      <c r="N165" s="429"/>
      <c r="O165" s="429"/>
      <c r="P165" s="429"/>
      <c r="Q165" s="429"/>
      <c r="R165" s="429"/>
      <c r="S165" s="429"/>
    </row>
    <row r="166" spans="1:19" x14ac:dyDescent="0.25">
      <c r="A166" s="429"/>
      <c r="B166" s="633">
        <f t="shared" si="2"/>
        <v>1.6100000000000012</v>
      </c>
      <c r="C166" s="646">
        <f>1/DATI!$E$38*IF(B166&lt;DATI!$E$45,DATI!$E$32*DATI!$E$42*DATI!$E$49*DATI!$E$33*(B166/DATI!$E$45+1/(DATI!$E$49*DATI!$E$33)*(1-B166/DATI!$E$45)),IF(B166&lt;DATI!$E$46,DATI!$E$32*DATI!$E$42*DATI!$E$49*DATI!$E$33,IF(B166&lt;DATI!$E$47,DATI!$E$32*DATI!$E$42*DATI!$E$49*DATI!$E$33*(DATI!$E$46/B166),DATI!$E$32*DATI!$E$42*DATI!$E$49*DATI!$E$33*((DATI!$E$46*DATI!$E$47)/B166^2))))</f>
        <v>0.12965822381305347</v>
      </c>
      <c r="D166" s="306"/>
      <c r="E166" s="429"/>
      <c r="F166" s="429"/>
      <c r="G166" s="429"/>
      <c r="H166" s="429"/>
      <c r="I166" s="429"/>
      <c r="J166" s="429"/>
      <c r="K166" s="429"/>
      <c r="L166" s="429"/>
      <c r="M166" s="429"/>
      <c r="N166" s="429"/>
      <c r="O166" s="429"/>
      <c r="P166" s="429"/>
      <c r="Q166" s="429"/>
      <c r="R166" s="429"/>
      <c r="S166" s="429"/>
    </row>
    <row r="167" spans="1:19" x14ac:dyDescent="0.25">
      <c r="A167" s="429"/>
      <c r="B167" s="633">
        <f t="shared" si="2"/>
        <v>1.6200000000000012</v>
      </c>
      <c r="C167" s="646">
        <f>1/DATI!$E$38*IF(B167&lt;DATI!$E$45,DATI!$E$32*DATI!$E$42*DATI!$E$49*DATI!$E$33*(B167/DATI!$E$45+1/(DATI!$E$49*DATI!$E$33)*(1-B167/DATI!$E$45)),IF(B167&lt;DATI!$E$46,DATI!$E$32*DATI!$E$42*DATI!$E$49*DATI!$E$33,IF(B167&lt;DATI!$E$47,DATI!$E$32*DATI!$E$42*DATI!$E$49*DATI!$E$33*(DATI!$E$46/B167),DATI!$E$32*DATI!$E$42*DATI!$E$49*DATI!$E$33*((DATI!$E$46*DATI!$E$47)/B167^2))))</f>
        <v>0.12885786440680008</v>
      </c>
      <c r="D167" s="306"/>
      <c r="E167" s="429"/>
      <c r="F167" s="429"/>
      <c r="G167" s="429"/>
      <c r="H167" s="429"/>
      <c r="I167" s="429"/>
      <c r="J167" s="429"/>
      <c r="K167" s="429"/>
      <c r="L167" s="429"/>
      <c r="M167" s="429"/>
      <c r="N167" s="429"/>
      <c r="O167" s="429"/>
      <c r="P167" s="429"/>
      <c r="Q167" s="429"/>
      <c r="R167" s="429"/>
      <c r="S167" s="429"/>
    </row>
    <row r="168" spans="1:19" x14ac:dyDescent="0.25">
      <c r="A168" s="429"/>
      <c r="B168" s="633">
        <f t="shared" si="2"/>
        <v>1.6300000000000012</v>
      </c>
      <c r="C168" s="646">
        <f>1/DATI!$E$38*IF(B168&lt;DATI!$E$45,DATI!$E$32*DATI!$E$42*DATI!$E$49*DATI!$E$33*(B168/DATI!$E$45+1/(DATI!$E$49*DATI!$E$33)*(1-B168/DATI!$E$45)),IF(B168&lt;DATI!$E$46,DATI!$E$32*DATI!$E$42*DATI!$E$49*DATI!$E$33,IF(B168&lt;DATI!$E$47,DATI!$E$32*DATI!$E$42*DATI!$E$49*DATI!$E$33*(DATI!$E$46/B168),DATI!$E$32*DATI!$E$42*DATI!$E$49*DATI!$E$33*((DATI!$E$46*DATI!$E$47)/B168^2))))</f>
        <v>0.12806732536135956</v>
      </c>
      <c r="D168" s="306"/>
      <c r="E168" s="429"/>
      <c r="F168" s="429"/>
      <c r="G168" s="429"/>
      <c r="H168" s="429"/>
      <c r="I168" s="429"/>
      <c r="J168" s="429"/>
      <c r="K168" s="429"/>
      <c r="L168" s="429"/>
      <c r="M168" s="429"/>
      <c r="N168" s="429"/>
      <c r="O168" s="429"/>
      <c r="P168" s="429"/>
      <c r="Q168" s="429"/>
      <c r="R168" s="429"/>
      <c r="S168" s="429"/>
    </row>
    <row r="169" spans="1:19" x14ac:dyDescent="0.25">
      <c r="A169" s="429"/>
      <c r="B169" s="633">
        <f t="shared" si="2"/>
        <v>1.6400000000000012</v>
      </c>
      <c r="C169" s="646">
        <f>1/DATI!$E$38*IF(B169&lt;DATI!$E$45,DATI!$E$32*DATI!$E$42*DATI!$E$49*DATI!$E$33*(B169/DATI!$E$45+1/(DATI!$E$49*DATI!$E$33)*(1-B169/DATI!$E$45)),IF(B169&lt;DATI!$E$46,DATI!$E$32*DATI!$E$42*DATI!$E$49*DATI!$E$33,IF(B169&lt;DATI!$E$47,DATI!$E$32*DATI!$E$42*DATI!$E$49*DATI!$E$33*(DATI!$E$46/B169),DATI!$E$32*DATI!$E$42*DATI!$E$49*DATI!$E$33*((DATI!$E$46*DATI!$E$47)/B169^2))))</f>
        <v>0.12728642703598544</v>
      </c>
      <c r="D169" s="306"/>
      <c r="E169" s="429"/>
      <c r="F169" s="429"/>
      <c r="G169" s="429"/>
      <c r="H169" s="429"/>
      <c r="I169" s="429"/>
      <c r="J169" s="429"/>
      <c r="K169" s="429"/>
      <c r="L169" s="429"/>
      <c r="M169" s="429"/>
      <c r="N169" s="429"/>
      <c r="O169" s="429"/>
      <c r="P169" s="429"/>
      <c r="Q169" s="429"/>
      <c r="R169" s="429"/>
      <c r="S169" s="429"/>
    </row>
    <row r="170" spans="1:19" x14ac:dyDescent="0.25">
      <c r="A170" s="429"/>
      <c r="B170" s="633">
        <f t="shared" si="2"/>
        <v>1.6500000000000012</v>
      </c>
      <c r="C170" s="646">
        <f>1/DATI!$E$38*IF(B170&lt;DATI!$E$45,DATI!$E$32*DATI!$E$42*DATI!$E$49*DATI!$E$33*(B170/DATI!$E$45+1/(DATI!$E$49*DATI!$E$33)*(1-B170/DATI!$E$45)),IF(B170&lt;DATI!$E$46,DATI!$E$32*DATI!$E$42*DATI!$E$49*DATI!$E$33,IF(B170&lt;DATI!$E$47,DATI!$E$32*DATI!$E$42*DATI!$E$49*DATI!$E$33*(DATI!$E$46/B170),DATI!$E$32*DATI!$E$42*DATI!$E$49*DATI!$E$33*((DATI!$E$46*DATI!$E$47)/B170^2))))</f>
        <v>0.12651499414485828</v>
      </c>
      <c r="D170" s="306"/>
      <c r="E170" s="429"/>
      <c r="F170" s="429"/>
      <c r="G170" s="429"/>
      <c r="H170" s="429"/>
      <c r="I170" s="429"/>
      <c r="J170" s="429"/>
      <c r="K170" s="429"/>
      <c r="L170" s="429"/>
      <c r="M170" s="429"/>
      <c r="N170" s="429"/>
      <c r="O170" s="429"/>
      <c r="P170" s="429"/>
      <c r="Q170" s="429"/>
      <c r="R170" s="429"/>
      <c r="S170" s="429"/>
    </row>
    <row r="171" spans="1:19" x14ac:dyDescent="0.25">
      <c r="A171" s="429"/>
      <c r="B171" s="633">
        <f t="shared" si="2"/>
        <v>1.6600000000000013</v>
      </c>
      <c r="C171" s="646">
        <f>1/DATI!$E$38*IF(B171&lt;DATI!$E$45,DATI!$E$32*DATI!$E$42*DATI!$E$49*DATI!$E$33*(B171/DATI!$E$45+1/(DATI!$E$49*DATI!$E$33)*(1-B171/DATI!$E$45)),IF(B171&lt;DATI!$E$46,DATI!$E$32*DATI!$E$42*DATI!$E$49*DATI!$E$33,IF(B171&lt;DATI!$E$47,DATI!$E$32*DATI!$E$42*DATI!$E$49*DATI!$E$33*(DATI!$E$46/B171),DATI!$E$32*DATI!$E$42*DATI!$E$49*DATI!$E$33*((DATI!$E$46*DATI!$E$47)/B171^2))))</f>
        <v>0.12575285562591332</v>
      </c>
      <c r="D171" s="306"/>
      <c r="E171" s="429"/>
      <c r="F171" s="429"/>
      <c r="G171" s="429"/>
      <c r="H171" s="429"/>
      <c r="I171" s="429"/>
      <c r="J171" s="429"/>
      <c r="K171" s="429"/>
      <c r="L171" s="429"/>
      <c r="M171" s="429"/>
      <c r="N171" s="429"/>
      <c r="O171" s="429"/>
      <c r="P171" s="429"/>
      <c r="Q171" s="429"/>
      <c r="R171" s="429"/>
      <c r="S171" s="429"/>
    </row>
    <row r="172" spans="1:19" x14ac:dyDescent="0.25">
      <c r="A172" s="429"/>
      <c r="B172" s="633">
        <f t="shared" si="2"/>
        <v>1.6700000000000013</v>
      </c>
      <c r="C172" s="646">
        <f>1/DATI!$E$38*IF(B172&lt;DATI!$E$45,DATI!$E$32*DATI!$E$42*DATI!$E$49*DATI!$E$33*(B172/DATI!$E$45+1/(DATI!$E$49*DATI!$E$33)*(1-B172/DATI!$E$45)),IF(B172&lt;DATI!$E$46,DATI!$E$32*DATI!$E$42*DATI!$E$49*DATI!$E$33,IF(B172&lt;DATI!$E$47,DATI!$E$32*DATI!$E$42*DATI!$E$49*DATI!$E$33*(DATI!$E$46/B172),DATI!$E$32*DATI!$E$42*DATI!$E$49*DATI!$E$33*((DATI!$E$46*DATI!$E$47)/B172^2))))</f>
        <v>0.1249998445143809</v>
      </c>
      <c r="D172" s="306"/>
      <c r="E172" s="429"/>
      <c r="F172" s="429"/>
      <c r="G172" s="429"/>
      <c r="H172" s="429"/>
      <c r="I172" s="429"/>
      <c r="J172" s="429"/>
      <c r="K172" s="429"/>
      <c r="L172" s="429"/>
      <c r="M172" s="429"/>
      <c r="N172" s="429"/>
      <c r="O172" s="429"/>
      <c r="P172" s="429"/>
      <c r="Q172" s="429"/>
      <c r="R172" s="429"/>
      <c r="S172" s="429"/>
    </row>
    <row r="173" spans="1:19" x14ac:dyDescent="0.25">
      <c r="A173" s="429"/>
      <c r="B173" s="633">
        <f t="shared" si="2"/>
        <v>1.6800000000000013</v>
      </c>
      <c r="C173" s="646">
        <f>1/DATI!$E$38*IF(B173&lt;DATI!$E$45,DATI!$E$32*DATI!$E$42*DATI!$E$49*DATI!$E$33*(B173/DATI!$E$45+1/(DATI!$E$49*DATI!$E$33)*(1-B173/DATI!$E$45)),IF(B173&lt;DATI!$E$46,DATI!$E$32*DATI!$E$42*DATI!$E$49*DATI!$E$33,IF(B173&lt;DATI!$E$47,DATI!$E$32*DATI!$E$42*DATI!$E$49*DATI!$E$33*(DATI!$E$46/B173),DATI!$E$32*DATI!$E$42*DATI!$E$49*DATI!$E$33*((DATI!$E$46*DATI!$E$47)/B173^2))))</f>
        <v>0.12425579782084294</v>
      </c>
      <c r="D173" s="306"/>
      <c r="E173" s="429"/>
      <c r="F173" s="429"/>
      <c r="G173" s="429"/>
      <c r="H173" s="429"/>
      <c r="I173" s="429"/>
      <c r="J173" s="429"/>
      <c r="K173" s="429"/>
      <c r="L173" s="429"/>
      <c r="M173" s="429"/>
      <c r="N173" s="429"/>
      <c r="O173" s="429"/>
      <c r="P173" s="429"/>
      <c r="Q173" s="429"/>
      <c r="R173" s="429"/>
      <c r="S173" s="429"/>
    </row>
    <row r="174" spans="1:19" x14ac:dyDescent="0.25">
      <c r="A174" s="429"/>
      <c r="B174" s="633">
        <f t="shared" si="2"/>
        <v>1.6900000000000013</v>
      </c>
      <c r="C174" s="646">
        <f>1/DATI!$E$38*IF(B174&lt;DATI!$E$45,DATI!$E$32*DATI!$E$42*DATI!$E$49*DATI!$E$33*(B174/DATI!$E$45+1/(DATI!$E$49*DATI!$E$33)*(1-B174/DATI!$E$45)),IF(B174&lt;DATI!$E$46,DATI!$E$32*DATI!$E$42*DATI!$E$49*DATI!$E$33,IF(B174&lt;DATI!$E$47,DATI!$E$32*DATI!$E$42*DATI!$E$49*DATI!$E$33*(DATI!$E$46/B174),DATI!$E$32*DATI!$E$42*DATI!$E$49*DATI!$E$33*((DATI!$E$46*DATI!$E$47)/B174^2))))</f>
        <v>0.123520556413619</v>
      </c>
      <c r="D174" s="306"/>
      <c r="E174" s="429"/>
      <c r="F174" s="429"/>
      <c r="G174" s="429"/>
      <c r="H174" s="429"/>
      <c r="I174" s="429"/>
      <c r="J174" s="429"/>
      <c r="K174" s="429"/>
      <c r="L174" s="429"/>
      <c r="M174" s="429"/>
      <c r="N174" s="429"/>
      <c r="O174" s="429"/>
      <c r="P174" s="429"/>
      <c r="Q174" s="429"/>
      <c r="R174" s="429"/>
      <c r="S174" s="429"/>
    </row>
    <row r="175" spans="1:19" x14ac:dyDescent="0.25">
      <c r="A175" s="429"/>
      <c r="B175" s="633">
        <f t="shared" si="2"/>
        <v>1.7000000000000013</v>
      </c>
      <c r="C175" s="646">
        <f>1/DATI!$E$38*IF(B175&lt;DATI!$E$45,DATI!$E$32*DATI!$E$42*DATI!$E$49*DATI!$E$33*(B175/DATI!$E$45+1/(DATI!$E$49*DATI!$E$33)*(1-B175/DATI!$E$45)),IF(B175&lt;DATI!$E$46,DATI!$E$32*DATI!$E$42*DATI!$E$49*DATI!$E$33,IF(B175&lt;DATI!$E$47,DATI!$E$32*DATI!$E$42*DATI!$E$49*DATI!$E$33*(DATI!$E$46/B175),DATI!$E$32*DATI!$E$42*DATI!$E$49*DATI!$E$33*((DATI!$E$46*DATI!$E$47)/B175^2))))</f>
        <v>0.1227939649053036</v>
      </c>
      <c r="D175" s="306"/>
      <c r="E175" s="429"/>
      <c r="F175" s="429"/>
      <c r="G175" s="429"/>
      <c r="H175" s="429"/>
      <c r="I175" s="429"/>
      <c r="J175" s="429"/>
      <c r="K175" s="429"/>
      <c r="L175" s="429"/>
      <c r="M175" s="429"/>
      <c r="N175" s="429"/>
      <c r="O175" s="429"/>
      <c r="P175" s="429"/>
      <c r="Q175" s="429"/>
      <c r="R175" s="429"/>
      <c r="S175" s="429"/>
    </row>
    <row r="176" spans="1:19" x14ac:dyDescent="0.25">
      <c r="A176" s="429"/>
      <c r="B176" s="633">
        <f t="shared" si="2"/>
        <v>1.7100000000000013</v>
      </c>
      <c r="C176" s="646">
        <f>1/DATI!$E$38*IF(B176&lt;DATI!$E$45,DATI!$E$32*DATI!$E$42*DATI!$E$49*DATI!$E$33*(B176/DATI!$E$45+1/(DATI!$E$49*DATI!$E$33)*(1-B176/DATI!$E$45)),IF(B176&lt;DATI!$E$46,DATI!$E$32*DATI!$E$42*DATI!$E$49*DATI!$E$33,IF(B176&lt;DATI!$E$47,DATI!$E$32*DATI!$E$42*DATI!$E$49*DATI!$E$33*(DATI!$E$46/B176),DATI!$E$32*DATI!$E$42*DATI!$E$49*DATI!$E$33*((DATI!$E$46*DATI!$E$47)/B176^2))))</f>
        <v>0.12207587154328427</v>
      </c>
      <c r="D176" s="306"/>
      <c r="E176" s="429"/>
      <c r="F176" s="429"/>
      <c r="G176" s="429"/>
      <c r="H176" s="429"/>
      <c r="I176" s="429"/>
      <c r="J176" s="429"/>
      <c r="K176" s="429"/>
      <c r="L176" s="429"/>
      <c r="M176" s="429"/>
      <c r="N176" s="429"/>
      <c r="O176" s="429"/>
      <c r="P176" s="429"/>
      <c r="Q176" s="429"/>
      <c r="R176" s="429"/>
      <c r="S176" s="429"/>
    </row>
    <row r="177" spans="1:19" x14ac:dyDescent="0.25">
      <c r="A177" s="429"/>
      <c r="B177" s="633">
        <f t="shared" si="2"/>
        <v>1.7200000000000013</v>
      </c>
      <c r="C177" s="646">
        <f>1/DATI!$E$38*IF(B177&lt;DATI!$E$45,DATI!$E$32*DATI!$E$42*DATI!$E$49*DATI!$E$33*(B177/DATI!$E$45+1/(DATI!$E$49*DATI!$E$33)*(1-B177/DATI!$E$45)),IF(B177&lt;DATI!$E$46,DATI!$E$32*DATI!$E$42*DATI!$E$49*DATI!$E$33,IF(B177&lt;DATI!$E$47,DATI!$E$32*DATI!$E$42*DATI!$E$49*DATI!$E$33*(DATI!$E$46/B177),DATI!$E$32*DATI!$E$42*DATI!$E$49*DATI!$E$33*((DATI!$E$46*DATI!$E$47)/B177^2))))</f>
        <v>0.12136612810407914</v>
      </c>
      <c r="D177" s="306"/>
      <c r="E177" s="429"/>
      <c r="F177" s="429"/>
      <c r="G177" s="429"/>
      <c r="H177" s="429"/>
      <c r="I177" s="429"/>
      <c r="J177" s="429"/>
      <c r="K177" s="429"/>
      <c r="L177" s="429"/>
      <c r="M177" s="429"/>
      <c r="N177" s="429"/>
      <c r="O177" s="429"/>
      <c r="P177" s="429"/>
      <c r="Q177" s="429"/>
      <c r="R177" s="429"/>
      <c r="S177" s="429"/>
    </row>
    <row r="178" spans="1:19" x14ac:dyDescent="0.25">
      <c r="A178" s="429"/>
      <c r="B178" s="633">
        <f t="shared" si="2"/>
        <v>1.7300000000000013</v>
      </c>
      <c r="C178" s="646">
        <f>1/DATI!$E$38*IF(B178&lt;DATI!$E$45,DATI!$E$32*DATI!$E$42*DATI!$E$49*DATI!$E$33*(B178/DATI!$E$45+1/(DATI!$E$49*DATI!$E$33)*(1-B178/DATI!$E$45)),IF(B178&lt;DATI!$E$46,DATI!$E$32*DATI!$E$42*DATI!$E$49*DATI!$E$33,IF(B178&lt;DATI!$E$47,DATI!$E$32*DATI!$E$42*DATI!$E$49*DATI!$E$33*(DATI!$E$46/B178),DATI!$E$32*DATI!$E$42*DATI!$E$49*DATI!$E$33*((DATI!$E$46*DATI!$E$47)/B178^2))))</f>
        <v>0.12066458979133879</v>
      </c>
      <c r="D178" s="306"/>
      <c r="E178" s="429"/>
      <c r="F178" s="429"/>
      <c r="G178" s="429"/>
      <c r="H178" s="429"/>
      <c r="I178" s="429"/>
      <c r="J178" s="429"/>
      <c r="K178" s="429"/>
      <c r="L178" s="429"/>
      <c r="M178" s="429"/>
      <c r="N178" s="429"/>
      <c r="O178" s="429"/>
      <c r="P178" s="429"/>
      <c r="Q178" s="429"/>
      <c r="R178" s="429"/>
      <c r="S178" s="429"/>
    </row>
    <row r="179" spans="1:19" x14ac:dyDescent="0.25">
      <c r="A179" s="429"/>
      <c r="B179" s="633">
        <f t="shared" si="2"/>
        <v>1.7400000000000013</v>
      </c>
      <c r="C179" s="646">
        <f>1/DATI!$E$38*IF(B179&lt;DATI!$E$45,DATI!$E$32*DATI!$E$42*DATI!$E$49*DATI!$E$33*(B179/DATI!$E$45+1/(DATI!$E$49*DATI!$E$33)*(1-B179/DATI!$E$45)),IF(B179&lt;DATI!$E$46,DATI!$E$32*DATI!$E$42*DATI!$E$49*DATI!$E$33,IF(B179&lt;DATI!$E$47,DATI!$E$32*DATI!$E$42*DATI!$E$49*DATI!$E$33*(DATI!$E$46/B179),DATI!$E$32*DATI!$E$42*DATI!$E$49*DATI!$E$33*((DATI!$E$46*DATI!$E$47)/B179^2))))</f>
        <v>0.11997111513736558</v>
      </c>
      <c r="D179" s="306"/>
      <c r="E179" s="429"/>
      <c r="F179" s="429"/>
      <c r="G179" s="429"/>
      <c r="H179" s="429"/>
      <c r="I179" s="429"/>
      <c r="J179" s="429"/>
      <c r="K179" s="429"/>
      <c r="L179" s="429"/>
      <c r="M179" s="429"/>
      <c r="N179" s="429"/>
      <c r="O179" s="429"/>
      <c r="P179" s="429"/>
      <c r="Q179" s="429"/>
      <c r="R179" s="429"/>
      <c r="S179" s="429"/>
    </row>
    <row r="180" spans="1:19" x14ac:dyDescent="0.25">
      <c r="A180" s="429"/>
      <c r="B180" s="633">
        <f t="shared" si="2"/>
        <v>1.7500000000000013</v>
      </c>
      <c r="C180" s="646">
        <f>1/DATI!$E$38*IF(B180&lt;DATI!$E$45,DATI!$E$32*DATI!$E$42*DATI!$E$49*DATI!$E$33*(B180/DATI!$E$45+1/(DATI!$E$49*DATI!$E$33)*(1-B180/DATI!$E$45)),IF(B180&lt;DATI!$E$46,DATI!$E$32*DATI!$E$42*DATI!$E$49*DATI!$E$33,IF(B180&lt;DATI!$E$47,DATI!$E$32*DATI!$E$42*DATI!$E$49*DATI!$E$33*(DATI!$E$46/B180),DATI!$E$32*DATI!$E$42*DATI!$E$49*DATI!$E$33*((DATI!$E$46*DATI!$E$47)/B180^2))))</f>
        <v>0.11928556590800922</v>
      </c>
      <c r="D180" s="306"/>
      <c r="E180" s="429"/>
      <c r="F180" s="429"/>
      <c r="G180" s="429"/>
      <c r="H180" s="429"/>
      <c r="I180" s="429"/>
      <c r="J180" s="429"/>
      <c r="K180" s="429"/>
      <c r="L180" s="429"/>
      <c r="M180" s="429"/>
      <c r="N180" s="429"/>
      <c r="O180" s="429"/>
      <c r="P180" s="429"/>
      <c r="Q180" s="429"/>
      <c r="R180" s="429"/>
      <c r="S180" s="429"/>
    </row>
    <row r="181" spans="1:19" x14ac:dyDescent="0.25">
      <c r="A181" s="429"/>
      <c r="B181" s="633">
        <f t="shared" si="2"/>
        <v>1.7600000000000013</v>
      </c>
      <c r="C181" s="646">
        <f>1/DATI!$E$38*IF(B181&lt;DATI!$E$45,DATI!$E$32*DATI!$E$42*DATI!$E$49*DATI!$E$33*(B181/DATI!$E$45+1/(DATI!$E$49*DATI!$E$33)*(1-B181/DATI!$E$45)),IF(B181&lt;DATI!$E$46,DATI!$E$32*DATI!$E$42*DATI!$E$49*DATI!$E$33,IF(B181&lt;DATI!$E$47,DATI!$E$32*DATI!$E$42*DATI!$E$49*DATI!$E$33*(DATI!$E$46/B181),DATI!$E$32*DATI!$E$42*DATI!$E$49*DATI!$E$33*((DATI!$E$46*DATI!$E$47)/B181^2))))</f>
        <v>0.1186078070108046</v>
      </c>
      <c r="D181" s="306"/>
      <c r="E181" s="429"/>
      <c r="F181" s="429"/>
      <c r="G181" s="429"/>
      <c r="H181" s="429"/>
      <c r="I181" s="429"/>
      <c r="J181" s="429"/>
      <c r="K181" s="429"/>
      <c r="L181" s="429"/>
      <c r="M181" s="429"/>
      <c r="N181" s="429"/>
      <c r="O181" s="429"/>
      <c r="P181" s="429"/>
      <c r="Q181" s="429"/>
      <c r="R181" s="429"/>
      <c r="S181" s="429"/>
    </row>
    <row r="182" spans="1:19" x14ac:dyDescent="0.25">
      <c r="A182" s="429"/>
      <c r="B182" s="633">
        <f t="shared" si="2"/>
        <v>1.7700000000000014</v>
      </c>
      <c r="C182" s="646">
        <f>1/DATI!$E$38*IF(B182&lt;DATI!$E$45,DATI!$E$32*DATI!$E$42*DATI!$E$49*DATI!$E$33*(B182/DATI!$E$45+1/(DATI!$E$49*DATI!$E$33)*(1-B182/DATI!$E$45)),IF(B182&lt;DATI!$E$46,DATI!$E$32*DATI!$E$42*DATI!$E$49*DATI!$E$33,IF(B182&lt;DATI!$E$47,DATI!$E$32*DATI!$E$42*DATI!$E$49*DATI!$E$33*(DATI!$E$46/B182),DATI!$E$32*DATI!$E$42*DATI!$E$49*DATI!$E$33*((DATI!$E$46*DATI!$E$47)/B182^2))))</f>
        <v>0.11793770640622378</v>
      </c>
      <c r="D182" s="306"/>
      <c r="E182" s="429"/>
      <c r="F182" s="429"/>
      <c r="G182" s="429"/>
      <c r="H182" s="429"/>
      <c r="I182" s="429"/>
      <c r="J182" s="429"/>
      <c r="K182" s="429"/>
      <c r="L182" s="429"/>
      <c r="M182" s="429"/>
      <c r="N182" s="429"/>
      <c r="O182" s="429"/>
      <c r="P182" s="429"/>
      <c r="Q182" s="429"/>
      <c r="R182" s="429"/>
      <c r="S182" s="429"/>
    </row>
    <row r="183" spans="1:19" x14ac:dyDescent="0.25">
      <c r="A183" s="429"/>
      <c r="B183" s="633">
        <f t="shared" si="2"/>
        <v>1.7800000000000014</v>
      </c>
      <c r="C183" s="646">
        <f>1/DATI!$E$38*IF(B183&lt;DATI!$E$45,DATI!$E$32*DATI!$E$42*DATI!$E$49*DATI!$E$33*(B183/DATI!$E$45+1/(DATI!$E$49*DATI!$E$33)*(1-B183/DATI!$E$45)),IF(B183&lt;DATI!$E$46,DATI!$E$32*DATI!$E$42*DATI!$E$49*DATI!$E$33,IF(B183&lt;DATI!$E$47,DATI!$E$32*DATI!$E$42*DATI!$E$49*DATI!$E$33*(DATI!$E$46/B183),DATI!$E$32*DATI!$E$42*DATI!$E$49*DATI!$E$33*((DATI!$E$46*DATI!$E$47)/B183^2))))</f>
        <v>0.11727513502191916</v>
      </c>
      <c r="D183" s="306"/>
      <c r="E183" s="429"/>
      <c r="F183" s="429"/>
      <c r="G183" s="429"/>
      <c r="H183" s="429"/>
      <c r="I183" s="429"/>
      <c r="J183" s="429"/>
      <c r="K183" s="429"/>
      <c r="L183" s="429"/>
      <c r="M183" s="429"/>
      <c r="N183" s="429"/>
      <c r="O183" s="429"/>
      <c r="P183" s="429"/>
      <c r="Q183" s="429"/>
      <c r="R183" s="429"/>
      <c r="S183" s="429"/>
    </row>
    <row r="184" spans="1:19" x14ac:dyDescent="0.25">
      <c r="A184" s="429"/>
      <c r="B184" s="633">
        <f t="shared" si="2"/>
        <v>1.7900000000000014</v>
      </c>
      <c r="C184" s="646">
        <f>1/DATI!$E$38*IF(B184&lt;DATI!$E$45,DATI!$E$32*DATI!$E$42*DATI!$E$49*DATI!$E$33*(B184/DATI!$E$45+1/(DATI!$E$49*DATI!$E$33)*(1-B184/DATI!$E$45)),IF(B184&lt;DATI!$E$46,DATI!$E$32*DATI!$E$42*DATI!$E$49*DATI!$E$33,IF(B184&lt;DATI!$E$47,DATI!$E$32*DATI!$E$42*DATI!$E$49*DATI!$E$33*(DATI!$E$46/B184),DATI!$E$32*DATI!$E$42*DATI!$E$49*DATI!$E$33*((DATI!$E$46*DATI!$E$47)/B184^2))))</f>
        <v>0.11661996666984141</v>
      </c>
      <c r="D184" s="306"/>
      <c r="E184" s="429"/>
      <c r="F184" s="429"/>
      <c r="G184" s="429"/>
      <c r="H184" s="429"/>
      <c r="I184" s="429"/>
      <c r="J184" s="429"/>
      <c r="K184" s="429"/>
      <c r="L184" s="429"/>
      <c r="M184" s="429"/>
      <c r="N184" s="429"/>
      <c r="O184" s="429"/>
      <c r="P184" s="429"/>
      <c r="Q184" s="429"/>
      <c r="R184" s="429"/>
      <c r="S184" s="429"/>
    </row>
    <row r="185" spans="1:19" x14ac:dyDescent="0.25">
      <c r="A185" s="429"/>
      <c r="B185" s="633">
        <f t="shared" si="2"/>
        <v>1.8000000000000014</v>
      </c>
      <c r="C185" s="646">
        <f>1/DATI!$E$38*IF(B185&lt;DATI!$E$45,DATI!$E$32*DATI!$E$42*DATI!$E$49*DATI!$E$33*(B185/DATI!$E$45+1/(DATI!$E$49*DATI!$E$33)*(1-B185/DATI!$E$45)),IF(B185&lt;DATI!$E$46,DATI!$E$32*DATI!$E$42*DATI!$E$49*DATI!$E$33,IF(B185&lt;DATI!$E$47,DATI!$E$32*DATI!$E$42*DATI!$E$49*DATI!$E$33*(DATI!$E$46/B185),DATI!$E$32*DATI!$E$42*DATI!$E$49*DATI!$E$33*((DATI!$E$46*DATI!$E$47)/B185^2))))</f>
        <v>0.11597207796612005</v>
      </c>
      <c r="D185" s="306"/>
      <c r="E185" s="429"/>
      <c r="F185" s="429"/>
      <c r="G185" s="429"/>
      <c r="H185" s="429"/>
      <c r="I185" s="429"/>
      <c r="J185" s="429"/>
      <c r="K185" s="429"/>
      <c r="L185" s="429"/>
      <c r="M185" s="429"/>
      <c r="N185" s="429"/>
      <c r="O185" s="429"/>
      <c r="P185" s="429"/>
      <c r="Q185" s="429"/>
      <c r="R185" s="429"/>
      <c r="S185" s="429"/>
    </row>
    <row r="186" spans="1:19" x14ac:dyDescent="0.25">
      <c r="A186" s="429"/>
      <c r="B186" s="633">
        <f t="shared" si="2"/>
        <v>1.8100000000000014</v>
      </c>
      <c r="C186" s="646">
        <f>1/DATI!$E$38*IF(B186&lt;DATI!$E$45,DATI!$E$32*DATI!$E$42*DATI!$E$49*DATI!$E$33*(B186/DATI!$E$45+1/(DATI!$E$49*DATI!$E$33)*(1-B186/DATI!$E$45)),IF(B186&lt;DATI!$E$46,DATI!$E$32*DATI!$E$42*DATI!$E$49*DATI!$E$33,IF(B186&lt;DATI!$E$47,DATI!$E$32*DATI!$E$42*DATI!$E$49*DATI!$E$33*(DATI!$E$46/B186),DATI!$E$32*DATI!$E$42*DATI!$E$49*DATI!$E$33*((DATI!$E$46*DATI!$E$47)/B186^2))))</f>
        <v>0.11533134825360006</v>
      </c>
      <c r="D186" s="306"/>
      <c r="E186" s="429"/>
      <c r="F186" s="429"/>
      <c r="G186" s="429"/>
      <c r="H186" s="429"/>
      <c r="I186" s="429"/>
      <c r="J186" s="429"/>
      <c r="K186" s="429"/>
      <c r="L186" s="429"/>
      <c r="M186" s="429"/>
      <c r="N186" s="429"/>
      <c r="O186" s="429"/>
      <c r="P186" s="429"/>
      <c r="Q186" s="429"/>
      <c r="R186" s="429"/>
      <c r="S186" s="429"/>
    </row>
    <row r="187" spans="1:19" x14ac:dyDescent="0.25">
      <c r="A187" s="429"/>
      <c r="B187" s="633">
        <f t="shared" si="2"/>
        <v>1.8200000000000014</v>
      </c>
      <c r="C187" s="646">
        <f>1/DATI!$E$38*IF(B187&lt;DATI!$E$45,DATI!$E$32*DATI!$E$42*DATI!$E$49*DATI!$E$33*(B187/DATI!$E$45+1/(DATI!$E$49*DATI!$E$33)*(1-B187/DATI!$E$45)),IF(B187&lt;DATI!$E$46,DATI!$E$32*DATI!$E$42*DATI!$E$49*DATI!$E$33,IF(B187&lt;DATI!$E$47,DATI!$E$32*DATI!$E$42*DATI!$E$49*DATI!$E$33*(DATI!$E$46/B187),DATI!$E$32*DATI!$E$42*DATI!$E$49*DATI!$E$33*((DATI!$E$46*DATI!$E$47)/B187^2))))</f>
        <v>0.11469765952693194</v>
      </c>
      <c r="D187" s="306"/>
      <c r="E187" s="429"/>
      <c r="F187" s="429"/>
      <c r="G187" s="429"/>
      <c r="H187" s="429"/>
      <c r="I187" s="429"/>
      <c r="J187" s="429"/>
      <c r="K187" s="429"/>
      <c r="L187" s="429"/>
      <c r="M187" s="429"/>
      <c r="N187" s="429"/>
      <c r="O187" s="429"/>
      <c r="P187" s="429"/>
      <c r="Q187" s="429"/>
      <c r="R187" s="429"/>
      <c r="S187" s="429"/>
    </row>
    <row r="188" spans="1:19" x14ac:dyDescent="0.25">
      <c r="A188" s="429"/>
      <c r="B188" s="633">
        <f t="shared" si="2"/>
        <v>1.8300000000000014</v>
      </c>
      <c r="C188" s="646">
        <f>1/DATI!$E$38*IF(B188&lt;DATI!$E$45,DATI!$E$32*DATI!$E$42*DATI!$E$49*DATI!$E$33*(B188/DATI!$E$45+1/(DATI!$E$49*DATI!$E$33)*(1-B188/DATI!$E$45)),IF(B188&lt;DATI!$E$46,DATI!$E$32*DATI!$E$42*DATI!$E$49*DATI!$E$33,IF(B188&lt;DATI!$E$47,DATI!$E$32*DATI!$E$42*DATI!$E$49*DATI!$E$33*(DATI!$E$46/B188),DATI!$E$32*DATI!$E$42*DATI!$E$49*DATI!$E$33*((DATI!$E$46*DATI!$E$47)/B188^2))))</f>
        <v>0.11407089636011809</v>
      </c>
      <c r="D188" s="306"/>
      <c r="E188" s="429"/>
      <c r="F188" s="429"/>
      <c r="G188" s="429"/>
      <c r="H188" s="429"/>
      <c r="I188" s="429"/>
      <c r="J188" s="429"/>
      <c r="K188" s="429"/>
      <c r="L188" s="429"/>
      <c r="M188" s="429"/>
      <c r="N188" s="429"/>
      <c r="O188" s="429"/>
      <c r="P188" s="429"/>
      <c r="Q188" s="429"/>
      <c r="R188" s="429"/>
      <c r="S188" s="429"/>
    </row>
    <row r="189" spans="1:19" x14ac:dyDescent="0.25">
      <c r="A189" s="429"/>
      <c r="B189" s="633">
        <f t="shared" si="2"/>
        <v>1.8400000000000014</v>
      </c>
      <c r="C189" s="646">
        <f>1/DATI!$E$38*IF(B189&lt;DATI!$E$45,DATI!$E$32*DATI!$E$42*DATI!$E$49*DATI!$E$33*(B189/DATI!$E$45+1/(DATI!$E$49*DATI!$E$33)*(1-B189/DATI!$E$45)),IF(B189&lt;DATI!$E$46,DATI!$E$32*DATI!$E$42*DATI!$E$49*DATI!$E$33,IF(B189&lt;DATI!$E$47,DATI!$E$32*DATI!$E$42*DATI!$E$49*DATI!$E$33*(DATI!$E$46/B189),DATI!$E$32*DATI!$E$42*DATI!$E$49*DATI!$E$33*((DATI!$E$46*DATI!$E$47)/B189^2))))</f>
        <v>0.11345094583642179</v>
      </c>
      <c r="D189" s="306"/>
      <c r="E189" s="429"/>
      <c r="F189" s="429"/>
      <c r="G189" s="429"/>
      <c r="H189" s="429"/>
      <c r="I189" s="429"/>
      <c r="J189" s="429"/>
      <c r="K189" s="429"/>
      <c r="L189" s="429"/>
      <c r="M189" s="429"/>
      <c r="N189" s="429"/>
      <c r="O189" s="429"/>
      <c r="P189" s="429"/>
      <c r="Q189" s="429"/>
      <c r="R189" s="429"/>
      <c r="S189" s="429"/>
    </row>
    <row r="190" spans="1:19" x14ac:dyDescent="0.25">
      <c r="A190" s="429"/>
      <c r="B190" s="633">
        <f t="shared" si="2"/>
        <v>1.8500000000000014</v>
      </c>
      <c r="C190" s="646">
        <f>1/DATI!$E$38*IF(B190&lt;DATI!$E$45,DATI!$E$32*DATI!$E$42*DATI!$E$49*DATI!$E$33*(B190/DATI!$E$45+1/(DATI!$E$49*DATI!$E$33)*(1-B190/DATI!$E$45)),IF(B190&lt;DATI!$E$46,DATI!$E$32*DATI!$E$42*DATI!$E$49*DATI!$E$33,IF(B190&lt;DATI!$E$47,DATI!$E$32*DATI!$E$42*DATI!$E$49*DATI!$E$33*(DATI!$E$46/B190),DATI!$E$32*DATI!$E$42*DATI!$E$49*DATI!$E$33*((DATI!$E$46*DATI!$E$47)/B190^2))))</f>
        <v>0.11283769748054924</v>
      </c>
      <c r="D190" s="306"/>
      <c r="E190" s="429"/>
      <c r="F190" s="429"/>
      <c r="G190" s="429"/>
      <c r="H190" s="429"/>
      <c r="I190" s="429"/>
      <c r="J190" s="429"/>
      <c r="K190" s="429"/>
      <c r="L190" s="429"/>
      <c r="M190" s="429"/>
      <c r="N190" s="429"/>
      <c r="O190" s="429"/>
      <c r="P190" s="429"/>
      <c r="Q190" s="429"/>
      <c r="R190" s="429"/>
      <c r="S190" s="429"/>
    </row>
    <row r="191" spans="1:19" x14ac:dyDescent="0.25">
      <c r="A191" s="429"/>
      <c r="B191" s="633">
        <f t="shared" si="2"/>
        <v>1.8600000000000014</v>
      </c>
      <c r="C191" s="646">
        <f>1/DATI!$E$38*IF(B191&lt;DATI!$E$45,DATI!$E$32*DATI!$E$42*DATI!$E$49*DATI!$E$33*(B191/DATI!$E$45+1/(DATI!$E$49*DATI!$E$33)*(1-B191/DATI!$E$45)),IF(B191&lt;DATI!$E$46,DATI!$E$32*DATI!$E$42*DATI!$E$49*DATI!$E$33,IF(B191&lt;DATI!$E$47,DATI!$E$32*DATI!$E$42*DATI!$E$49*DATI!$E$33*(DATI!$E$46/B191),DATI!$E$32*DATI!$E$42*DATI!$E$49*DATI!$E$33*((DATI!$E$46*DATI!$E$47)/B191^2))))</f>
        <v>0.11223104319301941</v>
      </c>
      <c r="D191" s="306"/>
      <c r="E191" s="429"/>
      <c r="F191" s="429"/>
      <c r="G191" s="429"/>
      <c r="H191" s="429"/>
      <c r="I191" s="429"/>
      <c r="J191" s="429"/>
      <c r="K191" s="429"/>
      <c r="L191" s="429"/>
      <c r="M191" s="429"/>
      <c r="N191" s="429"/>
      <c r="O191" s="429"/>
      <c r="P191" s="429"/>
      <c r="Q191" s="429"/>
      <c r="R191" s="429"/>
      <c r="S191" s="429"/>
    </row>
    <row r="192" spans="1:19" x14ac:dyDescent="0.25">
      <c r="A192" s="429"/>
      <c r="B192" s="633">
        <f t="shared" si="2"/>
        <v>1.8700000000000014</v>
      </c>
      <c r="C192" s="646">
        <f>1/DATI!$E$38*IF(B192&lt;DATI!$E$45,DATI!$E$32*DATI!$E$42*DATI!$E$49*DATI!$E$33*(B192/DATI!$E$45+1/(DATI!$E$49*DATI!$E$33)*(1-B192/DATI!$E$45)),IF(B192&lt;DATI!$E$46,DATI!$E$32*DATI!$E$42*DATI!$E$49*DATI!$E$33,IF(B192&lt;DATI!$E$47,DATI!$E$32*DATI!$E$42*DATI!$E$49*DATI!$E$33*(DATI!$E$46/B192),DATI!$E$32*DATI!$E$42*DATI!$E$49*DATI!$E$33*((DATI!$E$46*DATI!$E$47)/B192^2))))</f>
        <v>0.11163087718663962</v>
      </c>
      <c r="D192" s="306"/>
      <c r="E192" s="429"/>
      <c r="F192" s="429"/>
      <c r="G192" s="429"/>
      <c r="H192" s="429"/>
      <c r="I192" s="429"/>
      <c r="J192" s="429"/>
      <c r="K192" s="429"/>
      <c r="L192" s="429"/>
      <c r="M192" s="429"/>
      <c r="N192" s="429"/>
      <c r="O192" s="429"/>
      <c r="P192" s="429"/>
      <c r="Q192" s="429"/>
      <c r="R192" s="429"/>
      <c r="S192" s="429"/>
    </row>
    <row r="193" spans="1:19" x14ac:dyDescent="0.25">
      <c r="A193" s="429"/>
      <c r="B193" s="633">
        <f t="shared" si="2"/>
        <v>1.8800000000000014</v>
      </c>
      <c r="C193" s="646">
        <f>1/DATI!$E$38*IF(B193&lt;DATI!$E$45,DATI!$E$32*DATI!$E$42*DATI!$E$49*DATI!$E$33*(B193/DATI!$E$45+1/(DATI!$E$49*DATI!$E$33)*(1-B193/DATI!$E$45)),IF(B193&lt;DATI!$E$46,DATI!$E$32*DATI!$E$42*DATI!$E$49*DATI!$E$33,IF(B193&lt;DATI!$E$47,DATI!$E$32*DATI!$E$42*DATI!$E$49*DATI!$E$33*(DATI!$E$46/B193),DATI!$E$32*DATI!$E$42*DATI!$E$49*DATI!$E$33*((DATI!$E$46*DATI!$E$47)/B193^2))))</f>
        <v>0.11103709592500856</v>
      </c>
      <c r="D193" s="306"/>
      <c r="E193" s="429"/>
      <c r="F193" s="429"/>
      <c r="G193" s="429"/>
      <c r="H193" s="429"/>
      <c r="I193" s="429"/>
      <c r="J193" s="429"/>
      <c r="K193" s="429"/>
      <c r="L193" s="429"/>
      <c r="M193" s="429"/>
      <c r="N193" s="429"/>
      <c r="O193" s="429"/>
      <c r="P193" s="429"/>
      <c r="Q193" s="429"/>
      <c r="R193" s="429"/>
      <c r="S193" s="429"/>
    </row>
    <row r="194" spans="1:19" x14ac:dyDescent="0.25">
      <c r="A194" s="429"/>
      <c r="B194" s="633">
        <f t="shared" si="2"/>
        <v>1.8900000000000015</v>
      </c>
      <c r="C194" s="646">
        <f>1/DATI!$E$38*IF(B194&lt;DATI!$E$45,DATI!$E$32*DATI!$E$42*DATI!$E$49*DATI!$E$33*(B194/DATI!$E$45+1/(DATI!$E$49*DATI!$E$33)*(1-B194/DATI!$E$45)),IF(B194&lt;DATI!$E$46,DATI!$E$32*DATI!$E$42*DATI!$E$49*DATI!$E$33,IF(B194&lt;DATI!$E$47,DATI!$E$32*DATI!$E$42*DATI!$E$49*DATI!$E$33*(DATI!$E$46/B194),DATI!$E$32*DATI!$E$42*DATI!$E$49*DATI!$E$33*((DATI!$E$46*DATI!$E$47)/B194^2))))</f>
        <v>0.11044959806297149</v>
      </c>
      <c r="D194" s="306"/>
      <c r="E194" s="429"/>
      <c r="F194" s="429"/>
      <c r="G194" s="429"/>
      <c r="H194" s="429"/>
      <c r="I194" s="429"/>
      <c r="J194" s="429"/>
      <c r="K194" s="429"/>
      <c r="L194" s="429"/>
      <c r="M194" s="429"/>
      <c r="N194" s="429"/>
      <c r="O194" s="429"/>
      <c r="P194" s="429"/>
      <c r="Q194" s="429"/>
      <c r="R194" s="429"/>
      <c r="S194" s="429"/>
    </row>
    <row r="195" spans="1:19" x14ac:dyDescent="0.25">
      <c r="A195" s="429"/>
      <c r="B195" s="633">
        <f t="shared" si="2"/>
        <v>1.9000000000000015</v>
      </c>
      <c r="C195" s="646">
        <f>1/DATI!$E$38*IF(B195&lt;DATI!$E$45,DATI!$E$32*DATI!$E$42*DATI!$E$49*DATI!$E$33*(B195/DATI!$E$45+1/(DATI!$E$49*DATI!$E$33)*(1-B195/DATI!$E$45)),IF(B195&lt;DATI!$E$46,DATI!$E$32*DATI!$E$42*DATI!$E$49*DATI!$E$33,IF(B195&lt;DATI!$E$47,DATI!$E$32*DATI!$E$42*DATI!$E$49*DATI!$E$33*(DATI!$E$46/B195),DATI!$E$32*DATI!$E$42*DATI!$E$49*DATI!$E$33*((DATI!$E$46*DATI!$E$47)/B195^2))))</f>
        <v>0.10986828438895585</v>
      </c>
      <c r="D195" s="306"/>
      <c r="E195" s="429"/>
      <c r="F195" s="429"/>
      <c r="G195" s="429"/>
      <c r="H195" s="429"/>
      <c r="I195" s="429"/>
      <c r="J195" s="429"/>
      <c r="K195" s="429"/>
      <c r="L195" s="429"/>
      <c r="M195" s="429"/>
      <c r="N195" s="429"/>
      <c r="O195" s="429"/>
      <c r="P195" s="429"/>
      <c r="Q195" s="429"/>
      <c r="R195" s="429"/>
      <c r="S195" s="429"/>
    </row>
    <row r="196" spans="1:19" x14ac:dyDescent="0.25">
      <c r="A196" s="429"/>
      <c r="B196" s="633">
        <f t="shared" si="2"/>
        <v>1.9100000000000015</v>
      </c>
      <c r="C196" s="646">
        <f>1/DATI!$E$38*IF(B196&lt;DATI!$E$45,DATI!$E$32*DATI!$E$42*DATI!$E$49*DATI!$E$33*(B196/DATI!$E$45+1/(DATI!$E$49*DATI!$E$33)*(1-B196/DATI!$E$45)),IF(B196&lt;DATI!$E$46,DATI!$E$32*DATI!$E$42*DATI!$E$49*DATI!$E$33,IF(B196&lt;DATI!$E$47,DATI!$E$32*DATI!$E$42*DATI!$E$49*DATI!$E$33*(DATI!$E$46/B196),DATI!$E$32*DATI!$E$42*DATI!$E$49*DATI!$E$33*((DATI!$E$46*DATI!$E$47)/B196^2))))</f>
        <v>0.10929305776911839</v>
      </c>
      <c r="D196" s="306"/>
      <c r="E196" s="429"/>
      <c r="F196" s="429"/>
      <c r="G196" s="429"/>
      <c r="H196" s="429"/>
      <c r="I196" s="429"/>
      <c r="J196" s="429"/>
      <c r="K196" s="429"/>
      <c r="L196" s="429"/>
      <c r="M196" s="429"/>
      <c r="N196" s="429"/>
      <c r="O196" s="429"/>
      <c r="P196" s="429"/>
      <c r="Q196" s="429"/>
      <c r="R196" s="429"/>
      <c r="S196" s="429"/>
    </row>
    <row r="197" spans="1:19" x14ac:dyDescent="0.25">
      <c r="A197" s="429"/>
      <c r="B197" s="633">
        <f t="shared" si="2"/>
        <v>1.9200000000000015</v>
      </c>
      <c r="C197" s="646">
        <f>1/DATI!$E$38*IF(B197&lt;DATI!$E$45,DATI!$E$32*DATI!$E$42*DATI!$E$49*DATI!$E$33*(B197/DATI!$E$45+1/(DATI!$E$49*DATI!$E$33)*(1-B197/DATI!$E$45)),IF(B197&lt;DATI!$E$46,DATI!$E$32*DATI!$E$42*DATI!$E$49*DATI!$E$33,IF(B197&lt;DATI!$E$47,DATI!$E$32*DATI!$E$42*DATI!$E$49*DATI!$E$33*(DATI!$E$46/B197),DATI!$E$32*DATI!$E$42*DATI!$E$49*DATI!$E$33*((DATI!$E$46*DATI!$E$47)/B197^2))))</f>
        <v>0.10872382309323755</v>
      </c>
      <c r="D197" s="306"/>
      <c r="E197" s="429"/>
      <c r="F197" s="429"/>
      <c r="G197" s="429"/>
      <c r="H197" s="429"/>
      <c r="I197" s="429"/>
      <c r="J197" s="429"/>
      <c r="K197" s="429"/>
      <c r="L197" s="429"/>
      <c r="M197" s="429"/>
      <c r="N197" s="429"/>
      <c r="O197" s="429"/>
      <c r="P197" s="429"/>
      <c r="Q197" s="429"/>
      <c r="R197" s="429"/>
      <c r="S197" s="429"/>
    </row>
    <row r="198" spans="1:19" x14ac:dyDescent="0.25">
      <c r="A198" s="429"/>
      <c r="B198" s="633">
        <f t="shared" ref="B198:B261" si="3">0.01+B197</f>
        <v>1.9300000000000015</v>
      </c>
      <c r="C198" s="646">
        <f>1/DATI!$E$38*IF(B198&lt;DATI!$E$45,DATI!$E$32*DATI!$E$42*DATI!$E$49*DATI!$E$33*(B198/DATI!$E$45+1/(DATI!$E$49*DATI!$E$33)*(1-B198/DATI!$E$45)),IF(B198&lt;DATI!$E$46,DATI!$E$32*DATI!$E$42*DATI!$E$49*DATI!$E$33,IF(B198&lt;DATI!$E$47,DATI!$E$32*DATI!$E$42*DATI!$E$49*DATI!$E$33*(DATI!$E$46/B198),DATI!$E$32*DATI!$E$42*DATI!$E$49*DATI!$E$33*((DATI!$E$46*DATI!$E$47)/B198^2))))</f>
        <v>0.10816048722228813</v>
      </c>
      <c r="D198" s="306"/>
      <c r="E198" s="429"/>
      <c r="F198" s="429"/>
      <c r="G198" s="429"/>
      <c r="H198" s="429"/>
      <c r="I198" s="429"/>
      <c r="J198" s="429"/>
      <c r="K198" s="429"/>
      <c r="L198" s="429"/>
      <c r="M198" s="429"/>
      <c r="N198" s="429"/>
      <c r="O198" s="429"/>
      <c r="P198" s="429"/>
      <c r="Q198" s="429"/>
      <c r="R198" s="429"/>
      <c r="S198" s="429"/>
    </row>
    <row r="199" spans="1:19" x14ac:dyDescent="0.25">
      <c r="A199" s="429"/>
      <c r="B199" s="633">
        <f t="shared" si="3"/>
        <v>1.9400000000000015</v>
      </c>
      <c r="C199" s="646">
        <f>1/DATI!$E$38*IF(B199&lt;DATI!$E$45,DATI!$E$32*DATI!$E$42*DATI!$E$49*DATI!$E$33*(B199/DATI!$E$45+1/(DATI!$E$49*DATI!$E$33)*(1-B199/DATI!$E$45)),IF(B199&lt;DATI!$E$46,DATI!$E$32*DATI!$E$42*DATI!$E$49*DATI!$E$33,IF(B199&lt;DATI!$E$47,DATI!$E$32*DATI!$E$42*DATI!$E$49*DATI!$E$33*(DATI!$E$46/B199),DATI!$E$32*DATI!$E$42*DATI!$E$49*DATI!$E$33*((DATI!$E$46*DATI!$E$47)/B199^2))))</f>
        <v>0.10760295893763717</v>
      </c>
      <c r="D199" s="306"/>
      <c r="E199" s="429"/>
      <c r="F199" s="429"/>
      <c r="G199" s="429"/>
      <c r="H199" s="429"/>
      <c r="I199" s="429"/>
      <c r="J199" s="429"/>
      <c r="K199" s="429"/>
      <c r="L199" s="429"/>
      <c r="M199" s="429"/>
      <c r="N199" s="429"/>
      <c r="O199" s="429"/>
      <c r="P199" s="429"/>
      <c r="Q199" s="429"/>
      <c r="R199" s="429"/>
      <c r="S199" s="429"/>
    </row>
    <row r="200" spans="1:19" x14ac:dyDescent="0.25">
      <c r="A200" s="429"/>
      <c r="B200" s="633">
        <f t="shared" si="3"/>
        <v>1.9500000000000015</v>
      </c>
      <c r="C200" s="646">
        <f>1/DATI!$E$38*IF(B200&lt;DATI!$E$45,DATI!$E$32*DATI!$E$42*DATI!$E$49*DATI!$E$33*(B200/DATI!$E$45+1/(DATI!$E$49*DATI!$E$33)*(1-B200/DATI!$E$45)),IF(B200&lt;DATI!$E$46,DATI!$E$32*DATI!$E$42*DATI!$E$49*DATI!$E$33,IF(B200&lt;DATI!$E$47,DATI!$E$32*DATI!$E$42*DATI!$E$49*DATI!$E$33*(DATI!$E$46/B200),DATI!$E$32*DATI!$E$42*DATI!$E$49*DATI!$E$33*((DATI!$E$46*DATI!$E$47)/B200^2))))</f>
        <v>0.10705114889180313</v>
      </c>
      <c r="D200" s="306"/>
      <c r="E200" s="429"/>
      <c r="F200" s="429"/>
      <c r="G200" s="429"/>
      <c r="H200" s="429"/>
      <c r="I200" s="429"/>
      <c r="J200" s="429"/>
      <c r="K200" s="429"/>
      <c r="L200" s="429"/>
      <c r="M200" s="429"/>
      <c r="N200" s="429"/>
      <c r="O200" s="429"/>
      <c r="P200" s="429"/>
      <c r="Q200" s="429"/>
      <c r="R200" s="429"/>
      <c r="S200" s="429"/>
    </row>
    <row r="201" spans="1:19" x14ac:dyDescent="0.25">
      <c r="A201" s="429"/>
      <c r="B201" s="633">
        <f t="shared" si="3"/>
        <v>1.9600000000000015</v>
      </c>
      <c r="C201" s="646">
        <f>1/DATI!$E$38*IF(B201&lt;DATI!$E$45,DATI!$E$32*DATI!$E$42*DATI!$E$49*DATI!$E$33*(B201/DATI!$E$45+1/(DATI!$E$49*DATI!$E$33)*(1-B201/DATI!$E$45)),IF(B201&lt;DATI!$E$46,DATI!$E$32*DATI!$E$42*DATI!$E$49*DATI!$E$33,IF(B201&lt;DATI!$E$47,DATI!$E$32*DATI!$E$42*DATI!$E$49*DATI!$E$33*(DATI!$E$46/B201),DATI!$E$32*DATI!$E$42*DATI!$E$49*DATI!$E$33*((DATI!$E$46*DATI!$E$47)/B201^2))))</f>
        <v>0.1065049695607225</v>
      </c>
      <c r="D201" s="306"/>
      <c r="E201" s="429"/>
      <c r="F201" s="429"/>
      <c r="G201" s="429"/>
      <c r="H201" s="429"/>
      <c r="I201" s="429"/>
      <c r="J201" s="429"/>
      <c r="K201" s="429"/>
      <c r="L201" s="429"/>
      <c r="M201" s="429"/>
      <c r="N201" s="429"/>
      <c r="O201" s="429"/>
      <c r="P201" s="429"/>
      <c r="Q201" s="429"/>
      <c r="R201" s="429"/>
      <c r="S201" s="429"/>
    </row>
    <row r="202" spans="1:19" x14ac:dyDescent="0.25">
      <c r="A202" s="429"/>
      <c r="B202" s="633">
        <f t="shared" si="3"/>
        <v>1.9700000000000015</v>
      </c>
      <c r="C202" s="646">
        <f>1/DATI!$E$38*IF(B202&lt;DATI!$E$45,DATI!$E$32*DATI!$E$42*DATI!$E$49*DATI!$E$33*(B202/DATI!$E$45+1/(DATI!$E$49*DATI!$E$33)*(1-B202/DATI!$E$45)),IF(B202&lt;DATI!$E$46,DATI!$E$32*DATI!$E$42*DATI!$E$49*DATI!$E$33,IF(B202&lt;DATI!$E$47,DATI!$E$32*DATI!$E$42*DATI!$E$49*DATI!$E$33*(DATI!$E$46/B202),DATI!$E$32*DATI!$E$42*DATI!$E$49*DATI!$E$33*((DATI!$E$46*DATI!$E$47)/B202^2))))</f>
        <v>0.1059643351974701</v>
      </c>
      <c r="D202" s="306"/>
      <c r="E202" s="429"/>
      <c r="F202" s="429"/>
      <c r="G202" s="429"/>
      <c r="H202" s="429"/>
      <c r="I202" s="429"/>
      <c r="J202" s="429"/>
      <c r="K202" s="429"/>
      <c r="L202" s="429"/>
      <c r="M202" s="429"/>
      <c r="N202" s="429"/>
      <c r="O202" s="429"/>
      <c r="P202" s="429"/>
      <c r="Q202" s="429"/>
      <c r="R202" s="429"/>
      <c r="S202" s="429"/>
    </row>
    <row r="203" spans="1:19" x14ac:dyDescent="0.25">
      <c r="A203" s="429"/>
      <c r="B203" s="633">
        <f t="shared" si="3"/>
        <v>1.9800000000000015</v>
      </c>
      <c r="C203" s="646">
        <f>1/DATI!$E$38*IF(B203&lt;DATI!$E$45,DATI!$E$32*DATI!$E$42*DATI!$E$49*DATI!$E$33*(B203/DATI!$E$45+1/(DATI!$E$49*DATI!$E$33)*(1-B203/DATI!$E$45)),IF(B203&lt;DATI!$E$46,DATI!$E$32*DATI!$E$42*DATI!$E$49*DATI!$E$33,IF(B203&lt;DATI!$E$47,DATI!$E$32*DATI!$E$42*DATI!$E$49*DATI!$E$33*(DATI!$E$46/B203),DATI!$E$32*DATI!$E$42*DATI!$E$49*DATI!$E$33*((DATI!$E$46*DATI!$E$47)/B203^2))))</f>
        <v>0.10542916178738186</v>
      </c>
      <c r="D203" s="306"/>
      <c r="E203" s="429"/>
      <c r="F203" s="429"/>
      <c r="G203" s="429"/>
      <c r="H203" s="429"/>
      <c r="I203" s="429"/>
      <c r="J203" s="429"/>
      <c r="K203" s="429"/>
      <c r="L203" s="429"/>
      <c r="M203" s="429"/>
      <c r="N203" s="429"/>
      <c r="O203" s="429"/>
      <c r="P203" s="429"/>
      <c r="Q203" s="429"/>
      <c r="R203" s="429"/>
      <c r="S203" s="429"/>
    </row>
    <row r="204" spans="1:19" x14ac:dyDescent="0.25">
      <c r="A204" s="429"/>
      <c r="B204" s="633">
        <f t="shared" si="3"/>
        <v>1.9900000000000015</v>
      </c>
      <c r="C204" s="646">
        <f>1/DATI!$E$38*IF(B204&lt;DATI!$E$45,DATI!$E$32*DATI!$E$42*DATI!$E$49*DATI!$E$33*(B204/DATI!$E$45+1/(DATI!$E$49*DATI!$E$33)*(1-B204/DATI!$E$45)),IF(B204&lt;DATI!$E$46,DATI!$E$32*DATI!$E$42*DATI!$E$49*DATI!$E$33,IF(B204&lt;DATI!$E$47,DATI!$E$32*DATI!$E$42*DATI!$E$49*DATI!$E$33*(DATI!$E$46/B204),DATI!$E$32*DATI!$E$42*DATI!$E$49*DATI!$E$33*((DATI!$E$46*DATI!$E$47)/B204^2))))</f>
        <v>0.1048993670045307</v>
      </c>
      <c r="D204" s="306"/>
      <c r="E204" s="429"/>
      <c r="F204" s="429"/>
      <c r="G204" s="429"/>
      <c r="H204" s="429"/>
      <c r="I204" s="429"/>
      <c r="J204" s="429"/>
      <c r="K204" s="429"/>
      <c r="L204" s="429"/>
      <c r="M204" s="429"/>
      <c r="N204" s="429"/>
      <c r="O204" s="429"/>
      <c r="P204" s="429"/>
      <c r="Q204" s="429"/>
      <c r="R204" s="429"/>
      <c r="S204" s="429"/>
    </row>
    <row r="205" spans="1:19" x14ac:dyDescent="0.25">
      <c r="A205" s="429"/>
      <c r="B205" s="633">
        <f t="shared" si="3"/>
        <v>2.0000000000000013</v>
      </c>
      <c r="C205" s="646">
        <f>1/DATI!$E$38*IF(B205&lt;DATI!$E$45,DATI!$E$32*DATI!$E$42*DATI!$E$49*DATI!$E$33*(B205/DATI!$E$45+1/(DATI!$E$49*DATI!$E$33)*(1-B205/DATI!$E$45)),IF(B205&lt;DATI!$E$46,DATI!$E$32*DATI!$E$42*DATI!$E$49*DATI!$E$33,IF(B205&lt;DATI!$E$47,DATI!$E$32*DATI!$E$42*DATI!$E$49*DATI!$E$33*(DATI!$E$46/B205),DATI!$E$32*DATI!$E$42*DATI!$E$49*DATI!$E$33*((DATI!$E$46*DATI!$E$47)/B205^2))))</f>
        <v>0.10437487016950807</v>
      </c>
      <c r="D205" s="306"/>
      <c r="E205" s="429"/>
      <c r="F205" s="429"/>
      <c r="G205" s="429"/>
      <c r="H205" s="429"/>
      <c r="I205" s="429"/>
      <c r="J205" s="429"/>
      <c r="K205" s="429"/>
      <c r="L205" s="429"/>
      <c r="M205" s="429"/>
      <c r="N205" s="429"/>
      <c r="O205" s="429"/>
      <c r="P205" s="429"/>
      <c r="Q205" s="429"/>
      <c r="R205" s="429"/>
      <c r="S205" s="429"/>
    </row>
    <row r="206" spans="1:19" x14ac:dyDescent="0.25">
      <c r="A206" s="429"/>
      <c r="B206" s="633">
        <f t="shared" si="3"/>
        <v>2.0100000000000011</v>
      </c>
      <c r="C206" s="646">
        <f>1/DATI!$E$38*IF(B206&lt;DATI!$E$45,DATI!$E$32*DATI!$E$42*DATI!$E$49*DATI!$E$33*(B206/DATI!$E$45+1/(DATI!$E$49*DATI!$E$33)*(1-B206/DATI!$E$45)),IF(B206&lt;DATI!$E$46,DATI!$E$32*DATI!$E$42*DATI!$E$49*DATI!$E$33,IF(B206&lt;DATI!$E$47,DATI!$E$32*DATI!$E$42*DATI!$E$49*DATI!$E$33*(DATI!$E$46/B206),DATI!$E$32*DATI!$E$42*DATI!$E$49*DATI!$E$33*((DATI!$E$46*DATI!$E$47)/B206^2))))</f>
        <v>0.10385559220846576</v>
      </c>
      <c r="D206" s="306"/>
      <c r="E206" s="429"/>
      <c r="F206" s="429"/>
      <c r="G206" s="429"/>
      <c r="H206" s="429"/>
      <c r="I206" s="429"/>
      <c r="J206" s="429"/>
      <c r="K206" s="429"/>
      <c r="L206" s="429"/>
      <c r="M206" s="429"/>
      <c r="N206" s="429"/>
      <c r="O206" s="429"/>
      <c r="P206" s="429"/>
      <c r="Q206" s="429"/>
      <c r="R206" s="429"/>
      <c r="S206" s="429"/>
    </row>
    <row r="207" spans="1:19" x14ac:dyDescent="0.25">
      <c r="A207" s="429"/>
      <c r="B207" s="633">
        <f t="shared" si="3"/>
        <v>2.0200000000000009</v>
      </c>
      <c r="C207" s="646">
        <f>1/DATI!$E$38*IF(B207&lt;DATI!$E$45,DATI!$E$32*DATI!$E$42*DATI!$E$49*DATI!$E$33*(B207/DATI!$E$45+1/(DATI!$E$49*DATI!$E$33)*(1-B207/DATI!$E$45)),IF(B207&lt;DATI!$E$46,DATI!$E$32*DATI!$E$42*DATI!$E$49*DATI!$E$33,IF(B207&lt;DATI!$E$47,DATI!$E$32*DATI!$E$42*DATI!$E$49*DATI!$E$33*(DATI!$E$46/B207),DATI!$E$32*DATI!$E$42*DATI!$E$49*DATI!$E$33*((DATI!$E$46*DATI!$E$47)/B207^2))))</f>
        <v>0.10334145561337434</v>
      </c>
      <c r="D207" s="306"/>
      <c r="E207" s="429"/>
      <c r="F207" s="429"/>
      <c r="G207" s="429"/>
      <c r="H207" s="429"/>
      <c r="I207" s="429"/>
      <c r="J207" s="429"/>
      <c r="K207" s="429"/>
      <c r="L207" s="429"/>
      <c r="M207" s="429"/>
      <c r="N207" s="429"/>
      <c r="O207" s="429"/>
      <c r="P207" s="429"/>
      <c r="Q207" s="429"/>
      <c r="R207" s="429"/>
      <c r="S207" s="429"/>
    </row>
    <row r="208" spans="1:19" x14ac:dyDescent="0.25">
      <c r="A208" s="429"/>
      <c r="B208" s="633">
        <f t="shared" si="3"/>
        <v>2.0300000000000007</v>
      </c>
      <c r="C208" s="646">
        <f>1/DATI!$E$38*IF(B208&lt;DATI!$E$45,DATI!$E$32*DATI!$E$42*DATI!$E$49*DATI!$E$33*(B208/DATI!$E$45+1/(DATI!$E$49*DATI!$E$33)*(1-B208/DATI!$E$45)),IF(B208&lt;DATI!$E$46,DATI!$E$32*DATI!$E$42*DATI!$E$49*DATI!$E$33,IF(B208&lt;DATI!$E$47,DATI!$E$32*DATI!$E$42*DATI!$E$49*DATI!$E$33*(DATI!$E$46/B208),DATI!$E$32*DATI!$E$42*DATI!$E$49*DATI!$E$33*((DATI!$E$46*DATI!$E$47)/B208^2))))</f>
        <v>0.10283238440345627</v>
      </c>
      <c r="D208" s="306"/>
      <c r="E208" s="429"/>
      <c r="F208" s="429"/>
      <c r="G208" s="429"/>
      <c r="H208" s="429"/>
      <c r="I208" s="429"/>
      <c r="J208" s="429"/>
      <c r="K208" s="429"/>
      <c r="L208" s="429"/>
      <c r="M208" s="429"/>
      <c r="N208" s="429"/>
      <c r="O208" s="429"/>
      <c r="P208" s="429"/>
      <c r="Q208" s="429"/>
      <c r="R208" s="429"/>
      <c r="S208" s="429"/>
    </row>
    <row r="209" spans="1:19" x14ac:dyDescent="0.25">
      <c r="A209" s="429"/>
      <c r="B209" s="633">
        <f t="shared" si="3"/>
        <v>2.0400000000000005</v>
      </c>
      <c r="C209" s="646">
        <f>1/DATI!$E$38*IF(B209&lt;DATI!$E$45,DATI!$E$32*DATI!$E$42*DATI!$E$49*DATI!$E$33*(B209/DATI!$E$45+1/(DATI!$E$49*DATI!$E$33)*(1-B209/DATI!$E$45)),IF(B209&lt;DATI!$E$46,DATI!$E$32*DATI!$E$42*DATI!$E$49*DATI!$E$33,IF(B209&lt;DATI!$E$47,DATI!$E$32*DATI!$E$42*DATI!$E$49*DATI!$E$33*(DATI!$E$46/B209),DATI!$E$32*DATI!$E$42*DATI!$E$49*DATI!$E$33*((DATI!$E$46*DATI!$E$47)/B209^2))))</f>
        <v>0.10232830408775304</v>
      </c>
      <c r="D209" s="306"/>
      <c r="E209" s="429"/>
      <c r="F209" s="429"/>
      <c r="G209" s="429"/>
      <c r="H209" s="429"/>
      <c r="I209" s="429"/>
      <c r="J209" s="429"/>
      <c r="K209" s="429"/>
      <c r="L209" s="429"/>
      <c r="M209" s="429"/>
      <c r="N209" s="429"/>
      <c r="O209" s="429"/>
      <c r="P209" s="429"/>
      <c r="Q209" s="429"/>
      <c r="R209" s="429"/>
      <c r="S209" s="429"/>
    </row>
    <row r="210" spans="1:19" x14ac:dyDescent="0.25">
      <c r="A210" s="429"/>
      <c r="B210" s="633">
        <f t="shared" si="3"/>
        <v>2.0500000000000003</v>
      </c>
      <c r="C210" s="646">
        <f>1/DATI!$E$38*IF(B210&lt;DATI!$E$45,DATI!$E$32*DATI!$E$42*DATI!$E$49*DATI!$E$33*(B210/DATI!$E$45+1/(DATI!$E$49*DATI!$E$33)*(1-B210/DATI!$E$45)),IF(B210&lt;DATI!$E$46,DATI!$E$32*DATI!$E$42*DATI!$E$49*DATI!$E$33,IF(B210&lt;DATI!$E$47,DATI!$E$32*DATI!$E$42*DATI!$E$49*DATI!$E$33*(DATI!$E$46/B210),DATI!$E$32*DATI!$E$42*DATI!$E$49*DATI!$E$33*((DATI!$E$46*DATI!$E$47)/B210^2))))</f>
        <v>0.10182914162878841</v>
      </c>
      <c r="D210" s="306"/>
      <c r="E210" s="429"/>
      <c r="F210" s="429"/>
      <c r="G210" s="429"/>
      <c r="H210" s="429"/>
      <c r="I210" s="429"/>
      <c r="J210" s="429"/>
      <c r="K210" s="429"/>
      <c r="L210" s="429"/>
      <c r="M210" s="429"/>
      <c r="N210" s="429"/>
      <c r="O210" s="429"/>
      <c r="P210" s="429"/>
      <c r="Q210" s="429"/>
      <c r="R210" s="429"/>
      <c r="S210" s="429"/>
    </row>
    <row r="211" spans="1:19" x14ac:dyDescent="0.25">
      <c r="A211" s="429"/>
      <c r="B211" s="633">
        <f t="shared" si="3"/>
        <v>2.06</v>
      </c>
      <c r="C211" s="646">
        <f>1/DATI!$E$38*IF(B211&lt;DATI!$E$45,DATI!$E$32*DATI!$E$42*DATI!$E$49*DATI!$E$33*(B211/DATI!$E$45+1/(DATI!$E$49*DATI!$E$33)*(1-B211/DATI!$E$45)),IF(B211&lt;DATI!$E$46,DATI!$E$32*DATI!$E$42*DATI!$E$49*DATI!$E$33,IF(B211&lt;DATI!$E$47,DATI!$E$32*DATI!$E$42*DATI!$E$49*DATI!$E$33*(DATI!$E$46/B211),DATI!$E$32*DATI!$E$42*DATI!$E$49*DATI!$E$33*((DATI!$E$46*DATI!$E$47)/B211^2))))</f>
        <v>0.10133482540728946</v>
      </c>
      <c r="D211" s="306"/>
      <c r="E211" s="429"/>
      <c r="F211" s="429"/>
      <c r="G211" s="429"/>
      <c r="H211" s="429"/>
      <c r="I211" s="429"/>
      <c r="J211" s="429"/>
      <c r="K211" s="429"/>
      <c r="L211" s="429"/>
      <c r="M211" s="429"/>
      <c r="N211" s="429"/>
      <c r="O211" s="429"/>
      <c r="P211" s="429"/>
      <c r="Q211" s="429"/>
      <c r="R211" s="429"/>
      <c r="S211" s="429"/>
    </row>
    <row r="212" spans="1:19" x14ac:dyDescent="0.25">
      <c r="A212" s="429"/>
      <c r="B212" s="633">
        <f t="shared" si="3"/>
        <v>2.0699999999999998</v>
      </c>
      <c r="C212" s="646">
        <f>1/DATI!$E$38*IF(B212&lt;DATI!$E$45,DATI!$E$32*DATI!$E$42*DATI!$E$49*DATI!$E$33*(B212/DATI!$E$45+1/(DATI!$E$49*DATI!$E$33)*(1-B212/DATI!$E$45)),IF(B212&lt;DATI!$E$46,DATI!$E$32*DATI!$E$42*DATI!$E$49*DATI!$E$33,IF(B212&lt;DATI!$E$47,DATI!$E$32*DATI!$E$42*DATI!$E$49*DATI!$E$33*(DATI!$E$46/B212),DATI!$E$32*DATI!$E$42*DATI!$E$49*DATI!$E$33*((DATI!$E$46*DATI!$E$47)/B212^2))))</f>
        <v>0.10084528518793058</v>
      </c>
      <c r="D212" s="306"/>
      <c r="E212" s="429"/>
      <c r="F212" s="429"/>
      <c r="G212" s="429"/>
      <c r="H212" s="429"/>
      <c r="I212" s="429"/>
      <c r="J212" s="429"/>
      <c r="K212" s="429"/>
      <c r="L212" s="429"/>
      <c r="M212" s="429"/>
      <c r="N212" s="429"/>
      <c r="O212" s="429"/>
      <c r="P212" s="429"/>
      <c r="Q212" s="429"/>
      <c r="R212" s="429"/>
      <c r="S212" s="429"/>
    </row>
    <row r="213" spans="1:19" x14ac:dyDescent="0.25">
      <c r="A213" s="429"/>
      <c r="B213" s="633">
        <f t="shared" si="3"/>
        <v>2.0799999999999996</v>
      </c>
      <c r="C213" s="646">
        <f>1/DATI!$E$38*IF(B213&lt;DATI!$E$45,DATI!$E$32*DATI!$E$42*DATI!$E$49*DATI!$E$33*(B213/DATI!$E$45+1/(DATI!$E$49*DATI!$E$33)*(1-B213/DATI!$E$45)),IF(B213&lt;DATI!$E$46,DATI!$E$32*DATI!$E$42*DATI!$E$49*DATI!$E$33,IF(B213&lt;DATI!$E$47,DATI!$E$32*DATI!$E$42*DATI!$E$49*DATI!$E$33*(DATI!$E$46/B213),DATI!$E$32*DATI!$E$42*DATI!$E$49*DATI!$E$33*((DATI!$E$46*DATI!$E$47)/B213^2))))</f>
        <v>0.10036045208606553</v>
      </c>
      <c r="D213" s="306"/>
      <c r="E213" s="429"/>
      <c r="F213" s="429"/>
      <c r="G213" s="429"/>
      <c r="H213" s="429"/>
      <c r="I213" s="429"/>
      <c r="J213" s="429"/>
      <c r="K213" s="429"/>
      <c r="L213" s="429"/>
      <c r="M213" s="429"/>
      <c r="N213" s="429"/>
      <c r="O213" s="429"/>
      <c r="P213" s="429"/>
      <c r="Q213" s="429"/>
      <c r="R213" s="429"/>
      <c r="S213" s="429"/>
    </row>
    <row r="214" spans="1:19" x14ac:dyDescent="0.25">
      <c r="A214" s="429"/>
      <c r="B214" s="633">
        <f t="shared" si="3"/>
        <v>2.0899999999999994</v>
      </c>
      <c r="C214" s="646">
        <f>1/DATI!$E$38*IF(B214&lt;DATI!$E$45,DATI!$E$32*DATI!$E$42*DATI!$E$49*DATI!$E$33*(B214/DATI!$E$45+1/(DATI!$E$49*DATI!$E$33)*(1-B214/DATI!$E$45)),IF(B214&lt;DATI!$E$46,DATI!$E$32*DATI!$E$42*DATI!$E$49*DATI!$E$33,IF(B214&lt;DATI!$E$47,DATI!$E$32*DATI!$E$42*DATI!$E$49*DATI!$E$33*(DATI!$E$46/B214),DATI!$E$32*DATI!$E$42*DATI!$E$49*DATI!$E$33*((DATI!$E$46*DATI!$E$47)/B214^2))))</f>
        <v>9.9880258535414518E-2</v>
      </c>
      <c r="D214" s="306"/>
      <c r="E214" s="429"/>
      <c r="F214" s="429"/>
      <c r="G214" s="429"/>
      <c r="H214" s="429"/>
      <c r="I214" s="429"/>
      <c r="J214" s="429"/>
      <c r="K214" s="429"/>
      <c r="L214" s="429"/>
      <c r="M214" s="429"/>
      <c r="N214" s="429"/>
      <c r="O214" s="429"/>
      <c r="P214" s="429"/>
      <c r="Q214" s="429"/>
      <c r="R214" s="429"/>
      <c r="S214" s="429"/>
    </row>
    <row r="215" spans="1:19" x14ac:dyDescent="0.25">
      <c r="A215" s="429"/>
      <c r="B215" s="633">
        <f t="shared" si="3"/>
        <v>2.0999999999999992</v>
      </c>
      <c r="C215" s="646">
        <f>1/DATI!$E$38*IF(B215&lt;DATI!$E$45,DATI!$E$32*DATI!$E$42*DATI!$E$49*DATI!$E$33*(B215/DATI!$E$45+1/(DATI!$E$49*DATI!$E$33)*(1-B215/DATI!$E$45)),IF(B215&lt;DATI!$E$46,DATI!$E$32*DATI!$E$42*DATI!$E$49*DATI!$E$33,IF(B215&lt;DATI!$E$47,DATI!$E$32*DATI!$E$42*DATI!$E$49*DATI!$E$33*(DATI!$E$46/B215),DATI!$E$32*DATI!$E$42*DATI!$E$49*DATI!$E$33*((DATI!$E$46*DATI!$E$47)/B215^2))))</f>
        <v>9.9404638256674449E-2</v>
      </c>
      <c r="D215" s="306"/>
      <c r="E215" s="429"/>
      <c r="F215" s="429"/>
      <c r="G215" s="429"/>
      <c r="H215" s="429"/>
      <c r="I215" s="429"/>
      <c r="J215" s="429"/>
      <c r="K215" s="429"/>
      <c r="L215" s="429"/>
      <c r="M215" s="429"/>
      <c r="N215" s="429"/>
      <c r="O215" s="429"/>
      <c r="P215" s="429"/>
      <c r="Q215" s="429"/>
      <c r="R215" s="429"/>
      <c r="S215" s="429"/>
    </row>
    <row r="216" spans="1:19" x14ac:dyDescent="0.25">
      <c r="A216" s="429"/>
      <c r="B216" s="633">
        <f t="shared" si="3"/>
        <v>2.109999999999999</v>
      </c>
      <c r="C216" s="646">
        <f>1/DATI!$E$38*IF(B216&lt;DATI!$E$45,DATI!$E$32*DATI!$E$42*DATI!$E$49*DATI!$E$33*(B216/DATI!$E$45+1/(DATI!$E$49*DATI!$E$33)*(1-B216/DATI!$E$45)),IF(B216&lt;DATI!$E$46,DATI!$E$32*DATI!$E$42*DATI!$E$49*DATI!$E$33,IF(B216&lt;DATI!$E$47,DATI!$E$32*DATI!$E$42*DATI!$E$49*DATI!$E$33*(DATI!$E$46/B216),DATI!$E$32*DATI!$E$42*DATI!$E$49*DATI!$E$33*((DATI!$E$46*DATI!$E$47)/B216^2))))</f>
        <v>9.8933526227021965E-2</v>
      </c>
      <c r="D216" s="306"/>
      <c r="E216" s="429"/>
      <c r="F216" s="429"/>
      <c r="G216" s="429"/>
      <c r="H216" s="429"/>
      <c r="I216" s="429"/>
      <c r="J216" s="429"/>
      <c r="K216" s="429"/>
      <c r="L216" s="429"/>
      <c r="M216" s="429"/>
      <c r="N216" s="429"/>
      <c r="O216" s="429"/>
      <c r="P216" s="429"/>
      <c r="Q216" s="429"/>
      <c r="R216" s="429"/>
      <c r="S216" s="429"/>
    </row>
    <row r="217" spans="1:19" x14ac:dyDescent="0.25">
      <c r="A217" s="429"/>
      <c r="B217" s="633">
        <f t="shared" si="3"/>
        <v>2.1199999999999988</v>
      </c>
      <c r="C217" s="646">
        <f>1/DATI!$E$38*IF(B217&lt;DATI!$E$45,DATI!$E$32*DATI!$E$42*DATI!$E$49*DATI!$E$33*(B217/DATI!$E$45+1/(DATI!$E$49*DATI!$E$33)*(1-B217/DATI!$E$45)),IF(B217&lt;DATI!$E$46,DATI!$E$32*DATI!$E$42*DATI!$E$49*DATI!$E$33,IF(B217&lt;DATI!$E$47,DATI!$E$32*DATI!$E$42*DATI!$E$49*DATI!$E$33*(DATI!$E$46/B217),DATI!$E$32*DATI!$E$42*DATI!$E$49*DATI!$E$33*((DATI!$E$46*DATI!$E$47)/B217^2))))</f>
        <v>9.8466858650479425E-2</v>
      </c>
      <c r="D217" s="306"/>
      <c r="E217" s="429"/>
      <c r="F217" s="429"/>
      <c r="G217" s="429"/>
      <c r="H217" s="429"/>
      <c r="I217" s="429"/>
      <c r="J217" s="429"/>
      <c r="K217" s="429"/>
      <c r="L217" s="429"/>
      <c r="M217" s="429"/>
      <c r="N217" s="429"/>
      <c r="O217" s="429"/>
      <c r="P217" s="429"/>
      <c r="Q217" s="429"/>
      <c r="R217" s="429"/>
      <c r="S217" s="429"/>
    </row>
    <row r="218" spans="1:19" x14ac:dyDescent="0.25">
      <c r="A218" s="429"/>
      <c r="B218" s="633">
        <f t="shared" si="3"/>
        <v>2.1299999999999986</v>
      </c>
      <c r="C218" s="646">
        <f>1/DATI!$E$38*IF(B218&lt;DATI!$E$45,DATI!$E$32*DATI!$E$42*DATI!$E$49*DATI!$E$33*(B218/DATI!$E$45+1/(DATI!$E$49*DATI!$E$33)*(1-B218/DATI!$E$45)),IF(B218&lt;DATI!$E$46,DATI!$E$32*DATI!$E$42*DATI!$E$49*DATI!$E$33,IF(B218&lt;DATI!$E$47,DATI!$E$32*DATI!$E$42*DATI!$E$49*DATI!$E$33*(DATI!$E$46/B218),DATI!$E$32*DATI!$E$42*DATI!$E$49*DATI!$E$33*((DATI!$E$46*DATI!$E$47)/B218^2))))</f>
        <v>9.8004572929115685E-2</v>
      </c>
      <c r="D218" s="306"/>
      <c r="E218" s="429"/>
      <c r="F218" s="429"/>
      <c r="G218" s="429"/>
      <c r="H218" s="429"/>
      <c r="I218" s="429"/>
      <c r="J218" s="429"/>
      <c r="K218" s="429"/>
      <c r="L218" s="429"/>
      <c r="M218" s="429"/>
      <c r="N218" s="429"/>
      <c r="O218" s="429"/>
      <c r="P218" s="429"/>
      <c r="Q218" s="429"/>
      <c r="R218" s="429"/>
      <c r="S218" s="429"/>
    </row>
    <row r="219" spans="1:19" x14ac:dyDescent="0.25">
      <c r="A219" s="429"/>
      <c r="B219" s="633">
        <f t="shared" si="3"/>
        <v>2.1399999999999983</v>
      </c>
      <c r="C219" s="646">
        <f>1/DATI!$E$38*IF(B219&lt;DATI!$E$45,DATI!$E$32*DATI!$E$42*DATI!$E$49*DATI!$E$33*(B219/DATI!$E$45+1/(DATI!$E$49*DATI!$E$33)*(1-B219/DATI!$E$45)),IF(B219&lt;DATI!$E$46,DATI!$E$32*DATI!$E$42*DATI!$E$49*DATI!$E$33,IF(B219&lt;DATI!$E$47,DATI!$E$32*DATI!$E$42*DATI!$E$49*DATI!$E$33*(DATI!$E$46/B219),DATI!$E$32*DATI!$E$42*DATI!$E$49*DATI!$E$33*((DATI!$E$46*DATI!$E$47)/B219^2))))</f>
        <v>9.7546607635054419E-2</v>
      </c>
      <c r="D219" s="306"/>
      <c r="E219" s="429"/>
      <c r="F219" s="429"/>
      <c r="G219" s="429"/>
      <c r="H219" s="429"/>
      <c r="I219" s="429"/>
      <c r="J219" s="429"/>
      <c r="K219" s="429"/>
      <c r="L219" s="429"/>
      <c r="M219" s="429"/>
      <c r="N219" s="429"/>
      <c r="O219" s="429"/>
      <c r="P219" s="429"/>
      <c r="Q219" s="429"/>
      <c r="R219" s="429"/>
      <c r="S219" s="429"/>
    </row>
    <row r="220" spans="1:19" x14ac:dyDescent="0.25">
      <c r="A220" s="429"/>
      <c r="B220" s="633">
        <f t="shared" si="3"/>
        <v>2.1499999999999981</v>
      </c>
      <c r="C220" s="646">
        <f>1/DATI!$E$38*IF(B220&lt;DATI!$E$45,DATI!$E$32*DATI!$E$42*DATI!$E$49*DATI!$E$33*(B220/DATI!$E$45+1/(DATI!$E$49*DATI!$E$33)*(1-B220/DATI!$E$45)),IF(B220&lt;DATI!$E$46,DATI!$E$32*DATI!$E$42*DATI!$E$49*DATI!$E$33,IF(B220&lt;DATI!$E$47,DATI!$E$32*DATI!$E$42*DATI!$E$49*DATI!$E$33*(DATI!$E$46/B220),DATI!$E$32*DATI!$E$42*DATI!$E$49*DATI!$E$33*((DATI!$E$46*DATI!$E$47)/B220^2))))</f>
        <v>9.7092902483263466E-2</v>
      </c>
      <c r="D220" s="306"/>
      <c r="E220" s="429"/>
      <c r="F220" s="429"/>
      <c r="G220" s="429"/>
      <c r="H220" s="429"/>
      <c r="I220" s="429"/>
      <c r="J220" s="429"/>
      <c r="K220" s="429"/>
      <c r="L220" s="429"/>
      <c r="M220" s="429"/>
      <c r="N220" s="429"/>
      <c r="O220" s="429"/>
      <c r="P220" s="429"/>
      <c r="Q220" s="429"/>
      <c r="R220" s="429"/>
      <c r="S220" s="429"/>
    </row>
    <row r="221" spans="1:19" x14ac:dyDescent="0.25">
      <c r="A221" s="429"/>
      <c r="B221" s="633">
        <f t="shared" si="3"/>
        <v>2.1599999999999979</v>
      </c>
      <c r="C221" s="646">
        <f>1/DATI!$E$38*IF(B221&lt;DATI!$E$45,DATI!$E$32*DATI!$E$42*DATI!$E$49*DATI!$E$33*(B221/DATI!$E$45+1/(DATI!$E$49*DATI!$E$33)*(1-B221/DATI!$E$45)),IF(B221&lt;DATI!$E$46,DATI!$E$32*DATI!$E$42*DATI!$E$49*DATI!$E$33,IF(B221&lt;DATI!$E$47,DATI!$E$32*DATI!$E$42*DATI!$E$49*DATI!$E$33*(DATI!$E$46/B221),DATI!$E$32*DATI!$E$42*DATI!$E$49*DATI!$E$33*((DATI!$E$46*DATI!$E$47)/B221^2))))</f>
        <v>9.6643398305100228E-2</v>
      </c>
      <c r="D221" s="306"/>
      <c r="E221" s="429"/>
      <c r="F221" s="429"/>
      <c r="G221" s="429"/>
      <c r="H221" s="429"/>
      <c r="I221" s="429"/>
      <c r="J221" s="429"/>
      <c r="K221" s="429"/>
      <c r="L221" s="429"/>
      <c r="M221" s="429"/>
      <c r="N221" s="429"/>
      <c r="O221" s="429"/>
      <c r="P221" s="429"/>
      <c r="Q221" s="429"/>
      <c r="R221" s="429"/>
      <c r="S221" s="429"/>
    </row>
    <row r="222" spans="1:19" x14ac:dyDescent="0.25">
      <c r="A222" s="429"/>
      <c r="B222" s="633">
        <f t="shared" si="3"/>
        <v>2.1699999999999977</v>
      </c>
      <c r="C222" s="646">
        <f>1/DATI!$E$38*IF(B222&lt;DATI!$E$45,DATI!$E$32*DATI!$E$42*DATI!$E$49*DATI!$E$33*(B222/DATI!$E$45+1/(DATI!$E$49*DATI!$E$33)*(1-B222/DATI!$E$45)),IF(B222&lt;DATI!$E$46,DATI!$E$32*DATI!$E$42*DATI!$E$49*DATI!$E$33,IF(B222&lt;DATI!$E$47,DATI!$E$32*DATI!$E$42*DATI!$E$49*DATI!$E$33*(DATI!$E$46/B222),DATI!$E$32*DATI!$E$42*DATI!$E$49*DATI!$E$33*((DATI!$E$46*DATI!$E$47)/B222^2))))</f>
        <v>9.6198037022588251E-2</v>
      </c>
      <c r="D222" s="306"/>
      <c r="E222" s="429"/>
      <c r="F222" s="429"/>
      <c r="G222" s="429"/>
      <c r="H222" s="429"/>
      <c r="I222" s="429"/>
      <c r="J222" s="429"/>
      <c r="K222" s="429"/>
      <c r="L222" s="429"/>
      <c r="M222" s="429"/>
      <c r="N222" s="429"/>
      <c r="O222" s="429"/>
      <c r="P222" s="429"/>
      <c r="Q222" s="429"/>
      <c r="R222" s="429"/>
      <c r="S222" s="429"/>
    </row>
    <row r="223" spans="1:19" x14ac:dyDescent="0.25">
      <c r="A223" s="429"/>
      <c r="B223" s="633">
        <f t="shared" si="3"/>
        <v>2.1799999999999975</v>
      </c>
      <c r="C223" s="646">
        <f>1/DATI!$E$38*IF(B223&lt;DATI!$E$45,DATI!$E$32*DATI!$E$42*DATI!$E$49*DATI!$E$33*(B223/DATI!$E$45+1/(DATI!$E$49*DATI!$E$33)*(1-B223/DATI!$E$45)),IF(B223&lt;DATI!$E$46,DATI!$E$32*DATI!$E$42*DATI!$E$49*DATI!$E$33,IF(B223&lt;DATI!$E$47,DATI!$E$32*DATI!$E$42*DATI!$E$49*DATI!$E$33*(DATI!$E$46/B223),DATI!$E$32*DATI!$E$42*DATI!$E$49*DATI!$E$33*((DATI!$E$46*DATI!$E$47)/B223^2))))</f>
        <v>9.5756761623402062E-2</v>
      </c>
      <c r="D223" s="306"/>
      <c r="E223" s="429"/>
      <c r="F223" s="429"/>
      <c r="G223" s="429"/>
      <c r="H223" s="429"/>
      <c r="I223" s="429"/>
      <c r="J223" s="429"/>
      <c r="K223" s="429"/>
      <c r="L223" s="429"/>
      <c r="M223" s="429"/>
      <c r="N223" s="429"/>
      <c r="O223" s="429"/>
      <c r="P223" s="429"/>
      <c r="Q223" s="429"/>
      <c r="R223" s="429"/>
      <c r="S223" s="429"/>
    </row>
    <row r="224" spans="1:19" x14ac:dyDescent="0.25">
      <c r="A224" s="429"/>
      <c r="B224" s="633">
        <f t="shared" si="3"/>
        <v>2.1899999999999973</v>
      </c>
      <c r="C224" s="646">
        <f>1/DATI!$E$38*IF(B224&lt;DATI!$E$45,DATI!$E$32*DATI!$E$42*DATI!$E$49*DATI!$E$33*(B224/DATI!$E$45+1/(DATI!$E$49*DATI!$E$33)*(1-B224/DATI!$E$45)),IF(B224&lt;DATI!$E$46,DATI!$E$32*DATI!$E$42*DATI!$E$49*DATI!$E$33,IF(B224&lt;DATI!$E$47,DATI!$E$32*DATI!$E$42*DATI!$E$49*DATI!$E$33*(DATI!$E$46/B224),DATI!$E$32*DATI!$E$42*DATI!$E$49*DATI!$E$33*((DATI!$E$46*DATI!$E$47)/B224^2))))</f>
        <v>9.5319516136537219E-2</v>
      </c>
      <c r="D224" s="306"/>
      <c r="E224" s="429"/>
      <c r="F224" s="429"/>
      <c r="G224" s="429"/>
      <c r="H224" s="429"/>
      <c r="I224" s="429"/>
      <c r="J224" s="429"/>
      <c r="K224" s="429"/>
      <c r="L224" s="429"/>
      <c r="M224" s="429"/>
      <c r="N224" s="429"/>
      <c r="O224" s="429"/>
      <c r="P224" s="429"/>
      <c r="Q224" s="429"/>
      <c r="R224" s="429"/>
      <c r="S224" s="429"/>
    </row>
    <row r="225" spans="1:19" x14ac:dyDescent="0.25">
      <c r="A225" s="429"/>
      <c r="B225" s="633">
        <f t="shared" si="3"/>
        <v>2.1999999999999971</v>
      </c>
      <c r="C225" s="646">
        <f>1/DATI!$E$38*IF(B225&lt;DATI!$E$45,DATI!$E$32*DATI!$E$42*DATI!$E$49*DATI!$E$33*(B225/DATI!$E$45+1/(DATI!$E$49*DATI!$E$33)*(1-B225/DATI!$E$45)),IF(B225&lt;DATI!$E$46,DATI!$E$32*DATI!$E$42*DATI!$E$49*DATI!$E$33,IF(B225&lt;DATI!$E$47,DATI!$E$32*DATI!$E$42*DATI!$E$49*DATI!$E$33*(DATI!$E$46/B225),DATI!$E$32*DATI!$E$42*DATI!$E$49*DATI!$E$33*((DATI!$E$46*DATI!$E$47)/B225^2))))</f>
        <v>9.4886245608643879E-2</v>
      </c>
      <c r="D225" s="306"/>
      <c r="E225" s="429"/>
      <c r="F225" s="429"/>
      <c r="G225" s="429"/>
      <c r="H225" s="429"/>
      <c r="I225" s="429"/>
      <c r="J225" s="429"/>
      <c r="K225" s="429"/>
      <c r="L225" s="429"/>
      <c r="M225" s="429"/>
      <c r="N225" s="429"/>
      <c r="O225" s="429"/>
      <c r="P225" s="429"/>
      <c r="Q225" s="429"/>
      <c r="R225" s="429"/>
      <c r="S225" s="429"/>
    </row>
    <row r="226" spans="1:19" x14ac:dyDescent="0.25">
      <c r="A226" s="429"/>
      <c r="B226" s="633">
        <f t="shared" si="3"/>
        <v>2.2099999999999969</v>
      </c>
      <c r="C226" s="646">
        <f>1/DATI!$E$38*IF(B226&lt;DATI!$E$45,DATI!$E$32*DATI!$E$42*DATI!$E$49*DATI!$E$33*(B226/DATI!$E$45+1/(DATI!$E$49*DATI!$E$33)*(1-B226/DATI!$E$45)),IF(B226&lt;DATI!$E$46,DATI!$E$32*DATI!$E$42*DATI!$E$49*DATI!$E$33,IF(B226&lt;DATI!$E$47,DATI!$E$32*DATI!$E$42*DATI!$E$49*DATI!$E$33*(DATI!$E$46/B226),DATI!$E$32*DATI!$E$42*DATI!$E$49*DATI!$E$33*((DATI!$E$46*DATI!$E$47)/B226^2))))</f>
        <v>9.4456896081002981E-2</v>
      </c>
      <c r="D226" s="306"/>
      <c r="E226" s="429"/>
      <c r="F226" s="429"/>
      <c r="G226" s="429"/>
      <c r="H226" s="429"/>
      <c r="I226" s="429"/>
      <c r="J226" s="429"/>
      <c r="K226" s="429"/>
      <c r="L226" s="429"/>
      <c r="M226" s="429"/>
      <c r="N226" s="429"/>
      <c r="O226" s="429"/>
      <c r="P226" s="429"/>
      <c r="Q226" s="429"/>
      <c r="R226" s="429"/>
      <c r="S226" s="429"/>
    </row>
    <row r="227" spans="1:19" x14ac:dyDescent="0.25">
      <c r="A227" s="429"/>
      <c r="B227" s="633">
        <f t="shared" si="3"/>
        <v>2.2199999999999966</v>
      </c>
      <c r="C227" s="646">
        <f>1/DATI!$E$38*IF(B227&lt;DATI!$E$45,DATI!$E$32*DATI!$E$42*DATI!$E$49*DATI!$E$33*(B227/DATI!$E$45+1/(DATI!$E$49*DATI!$E$33)*(1-B227/DATI!$E$45)),IF(B227&lt;DATI!$E$46,DATI!$E$32*DATI!$E$42*DATI!$E$49*DATI!$E$33,IF(B227&lt;DATI!$E$47,DATI!$E$32*DATI!$E$42*DATI!$E$49*DATI!$E$33*(DATI!$E$46/B227),DATI!$E$32*DATI!$E$42*DATI!$E$49*DATI!$E$33*((DATI!$E$46*DATI!$E$47)/B227^2))))</f>
        <v>9.4031414567124591E-2</v>
      </c>
      <c r="D227" s="306"/>
      <c r="E227" s="429"/>
      <c r="F227" s="429"/>
      <c r="G227" s="429"/>
      <c r="H227" s="429"/>
      <c r="I227" s="429"/>
      <c r="J227" s="429"/>
      <c r="K227" s="429"/>
      <c r="L227" s="429"/>
      <c r="M227" s="429"/>
      <c r="N227" s="429"/>
      <c r="O227" s="429"/>
      <c r="P227" s="429"/>
      <c r="Q227" s="429"/>
      <c r="R227" s="429"/>
      <c r="S227" s="429"/>
    </row>
    <row r="228" spans="1:19" x14ac:dyDescent="0.25">
      <c r="A228" s="429"/>
      <c r="B228" s="633">
        <f t="shared" si="3"/>
        <v>2.2299999999999964</v>
      </c>
      <c r="C228" s="646">
        <f>1/DATI!$E$38*IF(B228&lt;DATI!$E$45,DATI!$E$32*DATI!$E$42*DATI!$E$49*DATI!$E$33*(B228/DATI!$E$45+1/(DATI!$E$49*DATI!$E$33)*(1-B228/DATI!$E$45)),IF(B228&lt;DATI!$E$46,DATI!$E$32*DATI!$E$42*DATI!$E$49*DATI!$E$33,IF(B228&lt;DATI!$E$47,DATI!$E$32*DATI!$E$42*DATI!$E$49*DATI!$E$33*(DATI!$E$46/B228),DATI!$E$32*DATI!$E$42*DATI!$E$49*DATI!$E$33*((DATI!$E$46*DATI!$E$47)/B228^2))))</f>
        <v>9.3609749030949138E-2</v>
      </c>
      <c r="D228" s="306"/>
      <c r="E228" s="429"/>
      <c r="F228" s="429"/>
      <c r="G228" s="429"/>
      <c r="H228" s="429"/>
      <c r="I228" s="429"/>
      <c r="J228" s="429"/>
      <c r="K228" s="429"/>
      <c r="L228" s="429"/>
      <c r="M228" s="429"/>
      <c r="N228" s="429"/>
      <c r="O228" s="429"/>
      <c r="P228" s="429"/>
      <c r="Q228" s="429"/>
      <c r="R228" s="429"/>
      <c r="S228" s="429"/>
    </row>
    <row r="229" spans="1:19" x14ac:dyDescent="0.25">
      <c r="A229" s="429"/>
      <c r="B229" s="633">
        <f t="shared" si="3"/>
        <v>2.2399999999999962</v>
      </c>
      <c r="C229" s="646">
        <f>1/DATI!$E$38*IF(B229&lt;DATI!$E$45,DATI!$E$32*DATI!$E$42*DATI!$E$49*DATI!$E$33*(B229/DATI!$E$45+1/(DATI!$E$49*DATI!$E$33)*(1-B229/DATI!$E$45)),IF(B229&lt;DATI!$E$46,DATI!$E$32*DATI!$E$42*DATI!$E$49*DATI!$E$33,IF(B229&lt;DATI!$E$47,DATI!$E$32*DATI!$E$42*DATI!$E$49*DATI!$E$33*(DATI!$E$46/B229),DATI!$E$32*DATI!$E$42*DATI!$E$49*DATI!$E$33*((DATI!$E$46*DATI!$E$47)/B229^2))))</f>
        <v>9.3191848365632407E-2</v>
      </c>
      <c r="D229" s="306"/>
      <c r="E229" s="429"/>
      <c r="F229" s="429"/>
      <c r="G229" s="429"/>
      <c r="H229" s="429"/>
      <c r="I229" s="429"/>
      <c r="J229" s="429"/>
      <c r="K229" s="429"/>
      <c r="L229" s="429"/>
      <c r="M229" s="429"/>
      <c r="N229" s="429"/>
      <c r="O229" s="429"/>
      <c r="P229" s="429"/>
      <c r="Q229" s="429"/>
      <c r="R229" s="429"/>
      <c r="S229" s="429"/>
    </row>
    <row r="230" spans="1:19" x14ac:dyDescent="0.25">
      <c r="A230" s="429"/>
      <c r="B230" s="633">
        <f t="shared" si="3"/>
        <v>2.249999999999996</v>
      </c>
      <c r="C230" s="646">
        <f>1/DATI!$E$38*IF(B230&lt;DATI!$E$45,DATI!$E$32*DATI!$E$42*DATI!$E$49*DATI!$E$33*(B230/DATI!$E$45+1/(DATI!$E$49*DATI!$E$33)*(1-B230/DATI!$E$45)),IF(B230&lt;DATI!$E$46,DATI!$E$32*DATI!$E$42*DATI!$E$49*DATI!$E$33,IF(B230&lt;DATI!$E$47,DATI!$E$32*DATI!$E$42*DATI!$E$49*DATI!$E$33*(DATI!$E$46/B230),DATI!$E$32*DATI!$E$42*DATI!$E$49*DATI!$E$33*((DATI!$E$46*DATI!$E$47)/B230^2))))</f>
        <v>9.277766237289628E-2</v>
      </c>
      <c r="D230" s="306"/>
      <c r="E230" s="429"/>
      <c r="F230" s="429"/>
      <c r="G230" s="429"/>
      <c r="H230" s="429"/>
      <c r="I230" s="429"/>
      <c r="J230" s="429"/>
      <c r="K230" s="429"/>
      <c r="L230" s="429"/>
      <c r="M230" s="429"/>
      <c r="N230" s="429"/>
      <c r="O230" s="429"/>
      <c r="P230" s="429"/>
      <c r="Q230" s="429"/>
      <c r="R230" s="429"/>
      <c r="S230" s="429"/>
    </row>
    <row r="231" spans="1:19" x14ac:dyDescent="0.25">
      <c r="A231" s="429"/>
      <c r="B231" s="633">
        <f t="shared" si="3"/>
        <v>2.2599999999999958</v>
      </c>
      <c r="C231" s="646">
        <f>1/DATI!$E$38*IF(B231&lt;DATI!$E$45,DATI!$E$32*DATI!$E$42*DATI!$E$49*DATI!$E$33*(B231/DATI!$E$45+1/(DATI!$E$49*DATI!$E$33)*(1-B231/DATI!$E$45)),IF(B231&lt;DATI!$E$46,DATI!$E$32*DATI!$E$42*DATI!$E$49*DATI!$E$33,IF(B231&lt;DATI!$E$47,DATI!$E$32*DATI!$E$42*DATI!$E$49*DATI!$E$33*(DATI!$E$46/B231),DATI!$E$32*DATI!$E$42*DATI!$E$49*DATI!$E$33*((DATI!$E$46*DATI!$E$47)/B231^2))))</f>
        <v>9.2367141742927733E-2</v>
      </c>
      <c r="D231" s="306"/>
      <c r="E231" s="429"/>
      <c r="F231" s="429"/>
      <c r="G231" s="429"/>
      <c r="H231" s="429"/>
      <c r="I231" s="429"/>
      <c r="J231" s="429"/>
      <c r="K231" s="429"/>
      <c r="L231" s="429"/>
      <c r="M231" s="429"/>
      <c r="N231" s="429"/>
      <c r="O231" s="429"/>
      <c r="P231" s="429"/>
      <c r="Q231" s="429"/>
      <c r="R231" s="429"/>
      <c r="S231" s="429"/>
    </row>
    <row r="232" spans="1:19" x14ac:dyDescent="0.25">
      <c r="A232" s="429"/>
      <c r="B232" s="633">
        <f t="shared" si="3"/>
        <v>2.2699999999999956</v>
      </c>
      <c r="C232" s="646">
        <f>1/DATI!$E$38*IF(B232&lt;DATI!$E$45,DATI!$E$32*DATI!$E$42*DATI!$E$49*DATI!$E$33*(B232/DATI!$E$45+1/(DATI!$E$49*DATI!$E$33)*(1-B232/DATI!$E$45)),IF(B232&lt;DATI!$E$46,DATI!$E$32*DATI!$E$42*DATI!$E$49*DATI!$E$33,IF(B232&lt;DATI!$E$47,DATI!$E$32*DATI!$E$42*DATI!$E$49*DATI!$E$33*(DATI!$E$46/B232),DATI!$E$32*DATI!$E$42*DATI!$E$49*DATI!$E$33*((DATI!$E$46*DATI!$E$47)/B232^2))))</f>
        <v>9.19602380348091E-2</v>
      </c>
      <c r="D232" s="306"/>
      <c r="E232" s="429"/>
      <c r="F232" s="429"/>
      <c r="G232" s="429"/>
      <c r="H232" s="429"/>
      <c r="I232" s="429"/>
      <c r="J232" s="429"/>
      <c r="K232" s="429"/>
      <c r="L232" s="429"/>
      <c r="M232" s="429"/>
      <c r="N232" s="429"/>
      <c r="O232" s="429"/>
      <c r="P232" s="429"/>
      <c r="Q232" s="429"/>
      <c r="R232" s="429"/>
      <c r="S232" s="429"/>
    </row>
    <row r="233" spans="1:19" x14ac:dyDescent="0.25">
      <c r="A233" s="429"/>
      <c r="B233" s="633">
        <f t="shared" si="3"/>
        <v>2.2799999999999954</v>
      </c>
      <c r="C233" s="646">
        <f>1/DATI!$E$38*IF(B233&lt;DATI!$E$45,DATI!$E$32*DATI!$E$42*DATI!$E$49*DATI!$E$33*(B233/DATI!$E$45+1/(DATI!$E$49*DATI!$E$33)*(1-B233/DATI!$E$45)),IF(B233&lt;DATI!$E$46,DATI!$E$32*DATI!$E$42*DATI!$E$49*DATI!$E$33,IF(B233&lt;DATI!$E$47,DATI!$E$32*DATI!$E$42*DATI!$E$49*DATI!$E$33*(DATI!$E$46/B233),DATI!$E$32*DATI!$E$42*DATI!$E$49*DATI!$E$33*((DATI!$E$46*DATI!$E$47)/B233^2))))</f>
        <v>9.1409152500636942E-2</v>
      </c>
      <c r="D233" s="306"/>
      <c r="E233" s="429"/>
      <c r="F233" s="429"/>
      <c r="G233" s="429"/>
      <c r="H233" s="429"/>
      <c r="I233" s="429"/>
      <c r="J233" s="429"/>
      <c r="K233" s="429"/>
      <c r="L233" s="429"/>
      <c r="M233" s="429"/>
      <c r="N233" s="429"/>
      <c r="O233" s="429"/>
      <c r="P233" s="429"/>
      <c r="Q233" s="429"/>
      <c r="R233" s="429"/>
      <c r="S233" s="429"/>
    </row>
    <row r="234" spans="1:19" x14ac:dyDescent="0.25">
      <c r="A234" s="429"/>
      <c r="B234" s="633">
        <f t="shared" si="3"/>
        <v>2.2899999999999952</v>
      </c>
      <c r="C234" s="646">
        <f>1/DATI!$E$38*IF(B234&lt;DATI!$E$45,DATI!$E$32*DATI!$E$42*DATI!$E$49*DATI!$E$33*(B234/DATI!$E$45+1/(DATI!$E$49*DATI!$E$33)*(1-B234/DATI!$E$45)),IF(B234&lt;DATI!$E$46,DATI!$E$32*DATI!$E$42*DATI!$E$49*DATI!$E$33,IF(B234&lt;DATI!$E$47,DATI!$E$32*DATI!$E$42*DATI!$E$49*DATI!$E$33*(DATI!$E$46/B234),DATI!$E$32*DATI!$E$42*DATI!$E$49*DATI!$E$33*((DATI!$E$46*DATI!$E$47)/B234^2))))</f>
        <v>9.0612562376634911E-2</v>
      </c>
      <c r="D234" s="306"/>
      <c r="E234" s="429"/>
      <c r="F234" s="429"/>
      <c r="G234" s="429"/>
      <c r="H234" s="429"/>
      <c r="I234" s="429"/>
      <c r="J234" s="429"/>
      <c r="K234" s="429"/>
      <c r="L234" s="429"/>
      <c r="M234" s="429"/>
      <c r="N234" s="429"/>
      <c r="O234" s="429"/>
      <c r="P234" s="429"/>
      <c r="Q234" s="429"/>
      <c r="R234" s="429"/>
      <c r="S234" s="429"/>
    </row>
    <row r="235" spans="1:19" x14ac:dyDescent="0.25">
      <c r="A235" s="429"/>
      <c r="B235" s="633">
        <f t="shared" si="3"/>
        <v>2.2999999999999949</v>
      </c>
      <c r="C235" s="646">
        <f>1/DATI!$E$38*IF(B235&lt;DATI!$E$45,DATI!$E$32*DATI!$E$42*DATI!$E$49*DATI!$E$33*(B235/DATI!$E$45+1/(DATI!$E$49*DATI!$E$33)*(1-B235/DATI!$E$45)),IF(B235&lt;DATI!$E$46,DATI!$E$32*DATI!$E$42*DATI!$E$49*DATI!$E$33,IF(B235&lt;DATI!$E$47,DATI!$E$32*DATI!$E$42*DATI!$E$49*DATI!$E$33*(DATI!$E$46/B235),DATI!$E$32*DATI!$E$42*DATI!$E$49*DATI!$E$33*((DATI!$E$46*DATI!$E$47)/B235^2))))</f>
        <v>8.9826339954501178E-2</v>
      </c>
      <c r="D235" s="306"/>
      <c r="E235" s="429"/>
      <c r="F235" s="429"/>
      <c r="G235" s="429"/>
      <c r="H235" s="429"/>
      <c r="I235" s="429"/>
      <c r="J235" s="429"/>
      <c r="K235" s="429"/>
      <c r="L235" s="429"/>
      <c r="M235" s="429"/>
      <c r="N235" s="429"/>
      <c r="O235" s="429"/>
      <c r="P235" s="429"/>
      <c r="Q235" s="429"/>
      <c r="R235" s="429"/>
      <c r="S235" s="429"/>
    </row>
    <row r="236" spans="1:19" x14ac:dyDescent="0.25">
      <c r="A236" s="429"/>
      <c r="B236" s="633">
        <f t="shared" si="3"/>
        <v>2.3099999999999947</v>
      </c>
      <c r="C236" s="646">
        <f>1/DATI!$E$38*IF(B236&lt;DATI!$E$45,DATI!$E$32*DATI!$E$42*DATI!$E$49*DATI!$E$33*(B236/DATI!$E$45+1/(DATI!$E$49*DATI!$E$33)*(1-B236/DATI!$E$45)),IF(B236&lt;DATI!$E$46,DATI!$E$32*DATI!$E$42*DATI!$E$49*DATI!$E$33,IF(B236&lt;DATI!$E$47,DATI!$E$32*DATI!$E$42*DATI!$E$49*DATI!$E$33*(DATI!$E$46/B236),DATI!$E$32*DATI!$E$42*DATI!$E$49*DATI!$E$33*((DATI!$E$46*DATI!$E$47)/B236^2))))</f>
        <v>8.905030609608354E-2</v>
      </c>
      <c r="D236" s="306"/>
      <c r="E236" s="429"/>
      <c r="F236" s="429"/>
      <c r="G236" s="429"/>
      <c r="H236" s="429"/>
      <c r="I236" s="429"/>
      <c r="J236" s="429"/>
      <c r="K236" s="429"/>
      <c r="L236" s="429"/>
      <c r="M236" s="429"/>
      <c r="N236" s="429"/>
      <c r="O236" s="429"/>
      <c r="P236" s="429"/>
      <c r="Q236" s="429"/>
      <c r="R236" s="429"/>
      <c r="S236" s="429"/>
    </row>
    <row r="237" spans="1:19" x14ac:dyDescent="0.25">
      <c r="A237" s="429"/>
      <c r="B237" s="633">
        <f t="shared" si="3"/>
        <v>2.3199999999999945</v>
      </c>
      <c r="C237" s="646">
        <f>1/DATI!$E$38*IF(B237&lt;DATI!$E$45,DATI!$E$32*DATI!$E$42*DATI!$E$49*DATI!$E$33*(B237/DATI!$E$45+1/(DATI!$E$49*DATI!$E$33)*(1-B237/DATI!$E$45)),IF(B237&lt;DATI!$E$46,DATI!$E$32*DATI!$E$42*DATI!$E$49*DATI!$E$33,IF(B237&lt;DATI!$E$47,DATI!$E$32*DATI!$E$42*DATI!$E$49*DATI!$E$33*(DATI!$E$46/B237),DATI!$E$32*DATI!$E$42*DATI!$E$49*DATI!$E$33*((DATI!$E$46*DATI!$E$47)/B237^2))))</f>
        <v>8.8284285515627114E-2</v>
      </c>
      <c r="D237" s="306"/>
      <c r="E237" s="429"/>
      <c r="F237" s="429"/>
      <c r="G237" s="429"/>
      <c r="H237" s="429"/>
      <c r="I237" s="429"/>
      <c r="J237" s="429"/>
      <c r="K237" s="429"/>
      <c r="L237" s="429"/>
      <c r="M237" s="429"/>
      <c r="N237" s="429"/>
      <c r="O237" s="429"/>
      <c r="P237" s="429"/>
      <c r="Q237" s="429"/>
      <c r="R237" s="429"/>
      <c r="S237" s="429"/>
    </row>
    <row r="238" spans="1:19" x14ac:dyDescent="0.25">
      <c r="A238" s="429"/>
      <c r="B238" s="633">
        <f t="shared" si="3"/>
        <v>2.3299999999999943</v>
      </c>
      <c r="C238" s="646">
        <f>1/DATI!$E$38*IF(B238&lt;DATI!$E$45,DATI!$E$32*DATI!$E$42*DATI!$E$49*DATI!$E$33*(B238/DATI!$E$45+1/(DATI!$E$49*DATI!$E$33)*(1-B238/DATI!$E$45)),IF(B238&lt;DATI!$E$46,DATI!$E$32*DATI!$E$42*DATI!$E$49*DATI!$E$33,IF(B238&lt;DATI!$E$47,DATI!$E$32*DATI!$E$42*DATI!$E$49*DATI!$E$33*(DATI!$E$46/B238),DATI!$E$32*DATI!$E$42*DATI!$E$49*DATI!$E$33*((DATI!$E$46*DATI!$E$47)/B238^2))))</f>
        <v>8.7528106680784576E-2</v>
      </c>
      <c r="D238" s="306"/>
      <c r="E238" s="429"/>
      <c r="F238" s="429"/>
      <c r="G238" s="429"/>
      <c r="H238" s="429"/>
      <c r="I238" s="429"/>
      <c r="J238" s="429"/>
      <c r="K238" s="429"/>
      <c r="L238" s="429"/>
      <c r="M238" s="429"/>
      <c r="N238" s="429"/>
      <c r="O238" s="429"/>
      <c r="P238" s="429"/>
      <c r="Q238" s="429"/>
      <c r="R238" s="429"/>
      <c r="S238" s="429"/>
    </row>
    <row r="239" spans="1:19" x14ac:dyDescent="0.25">
      <c r="A239" s="429"/>
      <c r="B239" s="633">
        <f t="shared" si="3"/>
        <v>2.3399999999999941</v>
      </c>
      <c r="C239" s="646">
        <f>1/DATI!$E$38*IF(B239&lt;DATI!$E$45,DATI!$E$32*DATI!$E$42*DATI!$E$49*DATI!$E$33*(B239/DATI!$E$45+1/(DATI!$E$49*DATI!$E$33)*(1-B239/DATI!$E$45)),IF(B239&lt;DATI!$E$46,DATI!$E$32*DATI!$E$42*DATI!$E$49*DATI!$E$33,IF(B239&lt;DATI!$E$47,DATI!$E$32*DATI!$E$42*DATI!$E$49*DATI!$E$33*(DATI!$E$46/B239),DATI!$E$32*DATI!$E$42*DATI!$E$49*DATI!$E$33*((DATI!$E$46*DATI!$E$47)/B239^2))))</f>
        <v>8.6781601716581114E-2</v>
      </c>
      <c r="D239" s="306"/>
      <c r="E239" s="429"/>
      <c r="F239" s="429"/>
      <c r="G239" s="429"/>
      <c r="H239" s="429"/>
      <c r="I239" s="429"/>
      <c r="J239" s="429"/>
      <c r="K239" s="429"/>
      <c r="L239" s="429"/>
      <c r="M239" s="429"/>
      <c r="N239" s="429"/>
      <c r="O239" s="429"/>
      <c r="P239" s="429"/>
      <c r="Q239" s="429"/>
      <c r="R239" s="429"/>
      <c r="S239" s="429"/>
    </row>
    <row r="240" spans="1:19" x14ac:dyDescent="0.25">
      <c r="A240" s="429"/>
      <c r="B240" s="633">
        <f t="shared" si="3"/>
        <v>2.3499999999999939</v>
      </c>
      <c r="C240" s="646">
        <f>1/DATI!$E$38*IF(B240&lt;DATI!$E$45,DATI!$E$32*DATI!$E$42*DATI!$E$49*DATI!$E$33*(B240/DATI!$E$45+1/(DATI!$E$49*DATI!$E$33)*(1-B240/DATI!$E$45)),IF(B240&lt;DATI!$E$46,DATI!$E$32*DATI!$E$42*DATI!$E$49*DATI!$E$33,IF(B240&lt;DATI!$E$47,DATI!$E$32*DATI!$E$42*DATI!$E$49*DATI!$E$33*(DATI!$E$46/B240),DATI!$E$32*DATI!$E$42*DATI!$E$49*DATI!$E$33*((DATI!$E$46*DATI!$E$47)/B240^2))))</f>
        <v>8.6044606312233873E-2</v>
      </c>
      <c r="D240" s="306"/>
      <c r="E240" s="429"/>
      <c r="F240" s="429"/>
      <c r="G240" s="429"/>
      <c r="H240" s="429"/>
      <c r="I240" s="429"/>
      <c r="J240" s="429"/>
      <c r="K240" s="429"/>
      <c r="L240" s="429"/>
      <c r="M240" s="429"/>
      <c r="N240" s="429"/>
      <c r="O240" s="429"/>
      <c r="P240" s="429"/>
      <c r="Q240" s="429"/>
      <c r="R240" s="429"/>
      <c r="S240" s="429"/>
    </row>
    <row r="241" spans="1:19" x14ac:dyDescent="0.25">
      <c r="A241" s="429"/>
      <c r="B241" s="633">
        <f t="shared" si="3"/>
        <v>2.3599999999999937</v>
      </c>
      <c r="C241" s="646">
        <f>1/DATI!$E$38*IF(B241&lt;DATI!$E$45,DATI!$E$32*DATI!$E$42*DATI!$E$49*DATI!$E$33*(B241/DATI!$E$45+1/(DATI!$E$49*DATI!$E$33)*(1-B241/DATI!$E$45)),IF(B241&lt;DATI!$E$46,DATI!$E$32*DATI!$E$42*DATI!$E$49*DATI!$E$33,IF(B241&lt;DATI!$E$47,DATI!$E$32*DATI!$E$42*DATI!$E$49*DATI!$E$33*(DATI!$E$46/B241),DATI!$E$32*DATI!$E$42*DATI!$E$49*DATI!$E$33*((DATI!$E$46*DATI!$E$47)/B241^2))))</f>
        <v>8.5316959630729619E-2</v>
      </c>
      <c r="D241" s="306"/>
      <c r="E241" s="429"/>
      <c r="F241" s="429"/>
      <c r="G241" s="429"/>
      <c r="H241" s="429"/>
      <c r="I241" s="429"/>
      <c r="J241" s="429"/>
      <c r="K241" s="429"/>
      <c r="L241" s="429"/>
      <c r="M241" s="429"/>
      <c r="N241" s="429"/>
      <c r="O241" s="429"/>
      <c r="P241" s="429"/>
      <c r="Q241" s="429"/>
      <c r="R241" s="429"/>
      <c r="S241" s="429"/>
    </row>
    <row r="242" spans="1:19" x14ac:dyDescent="0.25">
      <c r="A242" s="429"/>
      <c r="B242" s="633">
        <f t="shared" si="3"/>
        <v>2.3699999999999934</v>
      </c>
      <c r="C242" s="646">
        <f>1/DATI!$E$38*IF(B242&lt;DATI!$E$45,DATI!$E$32*DATI!$E$42*DATI!$E$49*DATI!$E$33*(B242/DATI!$E$45+1/(DATI!$E$49*DATI!$E$33)*(1-B242/DATI!$E$45)),IF(B242&lt;DATI!$E$46,DATI!$E$32*DATI!$E$42*DATI!$E$49*DATI!$E$33,IF(B242&lt;DATI!$E$47,DATI!$E$32*DATI!$E$42*DATI!$E$49*DATI!$E$33*(DATI!$E$46/B242),DATI!$E$32*DATI!$E$42*DATI!$E$49*DATI!$E$33*((DATI!$E$46*DATI!$E$47)/B242^2))))</f>
        <v>8.4598504221067086E-2</v>
      </c>
      <c r="D242" s="306"/>
      <c r="E242" s="429"/>
      <c r="F242" s="429"/>
      <c r="G242" s="429"/>
      <c r="H242" s="429"/>
      <c r="I242" s="429"/>
      <c r="J242" s="429"/>
      <c r="K242" s="429"/>
      <c r="L242" s="429"/>
      <c r="M242" s="429"/>
      <c r="N242" s="429"/>
      <c r="O242" s="429"/>
      <c r="P242" s="429"/>
      <c r="Q242" s="429"/>
      <c r="R242" s="429"/>
      <c r="S242" s="429"/>
    </row>
    <row r="243" spans="1:19" x14ac:dyDescent="0.25">
      <c r="A243" s="429"/>
      <c r="B243" s="633">
        <f t="shared" si="3"/>
        <v>2.3799999999999932</v>
      </c>
      <c r="C243" s="646">
        <f>1/DATI!$E$38*IF(B243&lt;DATI!$E$45,DATI!$E$32*DATI!$E$42*DATI!$E$49*DATI!$E$33*(B243/DATI!$E$45+1/(DATI!$E$49*DATI!$E$33)*(1-B243/DATI!$E$45)),IF(B243&lt;DATI!$E$46,DATI!$E$32*DATI!$E$42*DATI!$E$49*DATI!$E$33,IF(B243&lt;DATI!$E$47,DATI!$E$32*DATI!$E$42*DATI!$E$49*DATI!$E$33*(DATI!$E$46/B243),DATI!$E$32*DATI!$E$42*DATI!$E$49*DATI!$E$33*((DATI!$E$46*DATI!$E$47)/B243^2))))</f>
        <v>8.3889085933075327E-2</v>
      </c>
      <c r="D243" s="306"/>
      <c r="E243" s="429"/>
      <c r="F243" s="429"/>
      <c r="G243" s="429"/>
      <c r="H243" s="429"/>
      <c r="I243" s="429"/>
      <c r="J243" s="429"/>
      <c r="K243" s="429"/>
      <c r="L243" s="429"/>
      <c r="M243" s="429"/>
      <c r="N243" s="429"/>
      <c r="O243" s="429"/>
      <c r="P243" s="429"/>
      <c r="Q243" s="429"/>
      <c r="R243" s="429"/>
      <c r="S243" s="429"/>
    </row>
    <row r="244" spans="1:19" x14ac:dyDescent="0.25">
      <c r="A244" s="429"/>
      <c r="B244" s="633">
        <f t="shared" si="3"/>
        <v>2.389999999999993</v>
      </c>
      <c r="C244" s="646">
        <f>1/DATI!$E$38*IF(B244&lt;DATI!$E$45,DATI!$E$32*DATI!$E$42*DATI!$E$49*DATI!$E$33*(B244/DATI!$E$45+1/(DATI!$E$49*DATI!$E$33)*(1-B244/DATI!$E$45)),IF(B244&lt;DATI!$E$46,DATI!$E$32*DATI!$E$42*DATI!$E$49*DATI!$E$33,IF(B244&lt;DATI!$E$47,DATI!$E$32*DATI!$E$42*DATI!$E$49*DATI!$E$33*(DATI!$E$46/B244),DATI!$E$32*DATI!$E$42*DATI!$E$49*DATI!$E$33*((DATI!$E$46*DATI!$E$47)/B244^2))))</f>
        <v>8.318855383472136E-2</v>
      </c>
      <c r="D244" s="306"/>
      <c r="E244" s="429"/>
      <c r="F244" s="429"/>
      <c r="G244" s="429"/>
      <c r="H244" s="429"/>
      <c r="I244" s="429"/>
      <c r="J244" s="429"/>
      <c r="K244" s="429"/>
      <c r="L244" s="429"/>
      <c r="M244" s="429"/>
      <c r="N244" s="429"/>
      <c r="O244" s="429"/>
      <c r="P244" s="429"/>
      <c r="Q244" s="429"/>
      <c r="R244" s="429"/>
      <c r="S244" s="429"/>
    </row>
    <row r="245" spans="1:19" x14ac:dyDescent="0.25">
      <c r="A245" s="429"/>
      <c r="B245" s="633">
        <f t="shared" si="3"/>
        <v>2.3999999999999928</v>
      </c>
      <c r="C245" s="646">
        <f>1/DATI!$E$38*IF(B245&lt;DATI!$E$45,DATI!$E$32*DATI!$E$42*DATI!$E$49*DATI!$E$33*(B245/DATI!$E$45+1/(DATI!$E$49*DATI!$E$33)*(1-B245/DATI!$E$45)),IF(B245&lt;DATI!$E$46,DATI!$E$32*DATI!$E$42*DATI!$E$49*DATI!$E$33,IF(B245&lt;DATI!$E$47,DATI!$E$32*DATI!$E$42*DATI!$E$49*DATI!$E$33*(DATI!$E$46/B245),DATI!$E$32*DATI!$E$42*DATI!$E$49*DATI!$E$33*((DATI!$E$46*DATI!$E$47)/B245^2))))</f>
        <v>8.2496760131824998E-2</v>
      </c>
      <c r="D245" s="306"/>
      <c r="E245" s="429"/>
      <c r="F245" s="429"/>
      <c r="G245" s="429"/>
      <c r="H245" s="429"/>
      <c r="I245" s="429"/>
      <c r="J245" s="429"/>
      <c r="K245" s="429"/>
      <c r="L245" s="429"/>
      <c r="M245" s="429"/>
      <c r="N245" s="429"/>
      <c r="O245" s="429"/>
      <c r="P245" s="429"/>
      <c r="Q245" s="429"/>
      <c r="R245" s="429"/>
      <c r="S245" s="429"/>
    </row>
    <row r="246" spans="1:19" x14ac:dyDescent="0.25">
      <c r="A246" s="429"/>
      <c r="B246" s="633">
        <f t="shared" si="3"/>
        <v>2.4099999999999926</v>
      </c>
      <c r="C246" s="646">
        <f>1/DATI!$E$38*IF(B246&lt;DATI!$E$45,DATI!$E$32*DATI!$E$42*DATI!$E$49*DATI!$E$33*(B246/DATI!$E$45+1/(DATI!$E$49*DATI!$E$33)*(1-B246/DATI!$E$45)),IF(B246&lt;DATI!$E$46,DATI!$E$32*DATI!$E$42*DATI!$E$49*DATI!$E$33,IF(B246&lt;DATI!$E$47,DATI!$E$32*DATI!$E$42*DATI!$E$49*DATI!$E$33*(DATI!$E$46/B246),DATI!$E$32*DATI!$E$42*DATI!$E$49*DATI!$E$33*((DATI!$E$46*DATI!$E$47)/B246^2))))</f>
        <v>8.1813560090100393E-2</v>
      </c>
      <c r="D246" s="306"/>
      <c r="E246" s="429"/>
      <c r="F246" s="429"/>
      <c r="G246" s="429"/>
      <c r="H246" s="429"/>
      <c r="I246" s="429"/>
      <c r="J246" s="429"/>
      <c r="K246" s="429"/>
      <c r="L246" s="429"/>
      <c r="M246" s="429"/>
      <c r="N246" s="429"/>
      <c r="O246" s="429"/>
      <c r="P246" s="429"/>
      <c r="Q246" s="429"/>
      <c r="R246" s="429"/>
      <c r="S246" s="429"/>
    </row>
    <row r="247" spans="1:19" x14ac:dyDescent="0.25">
      <c r="A247" s="429"/>
      <c r="B247" s="633">
        <f t="shared" si="3"/>
        <v>2.4199999999999924</v>
      </c>
      <c r="C247" s="646">
        <f>1/DATI!$E$38*IF(B247&lt;DATI!$E$45,DATI!$E$32*DATI!$E$42*DATI!$E$49*DATI!$E$33*(B247/DATI!$E$45+1/(DATI!$E$49*DATI!$E$33)*(1-B247/DATI!$E$45)),IF(B247&lt;DATI!$E$46,DATI!$E$32*DATI!$E$42*DATI!$E$49*DATI!$E$33,IF(B247&lt;DATI!$E$47,DATI!$E$32*DATI!$E$42*DATI!$E$49*DATI!$E$33*(DATI!$E$46/B247),DATI!$E$32*DATI!$E$42*DATI!$E$49*DATI!$E$33*((DATI!$E$46*DATI!$E$47)/B247^2))))</f>
        <v>8.1138811959448151E-2</v>
      </c>
      <c r="D247" s="306"/>
      <c r="E247" s="429"/>
      <c r="F247" s="429"/>
      <c r="G247" s="429"/>
      <c r="H247" s="429"/>
      <c r="I247" s="429"/>
      <c r="J247" s="429"/>
      <c r="K247" s="429"/>
      <c r="L247" s="429"/>
      <c r="M247" s="429"/>
      <c r="N247" s="429"/>
      <c r="O247" s="429"/>
      <c r="P247" s="429"/>
      <c r="Q247" s="429"/>
      <c r="R247" s="429"/>
      <c r="S247" s="429"/>
    </row>
    <row r="248" spans="1:19" x14ac:dyDescent="0.25">
      <c r="A248" s="429"/>
      <c r="B248" s="633">
        <f t="shared" si="3"/>
        <v>2.4299999999999922</v>
      </c>
      <c r="C248" s="646">
        <f>1/DATI!$E$38*IF(B248&lt;DATI!$E$45,DATI!$E$32*DATI!$E$42*DATI!$E$49*DATI!$E$33*(B248/DATI!$E$45+1/(DATI!$E$49*DATI!$E$33)*(1-B248/DATI!$E$45)),IF(B248&lt;DATI!$E$46,DATI!$E$32*DATI!$E$42*DATI!$E$49*DATI!$E$33,IF(B248&lt;DATI!$E$47,DATI!$E$32*DATI!$E$42*DATI!$E$49*DATI!$E$33*(DATI!$E$46/B248),DATI!$E$32*DATI!$E$42*DATI!$E$49*DATI!$E$33*((DATI!$E$46*DATI!$E$47)/B248^2))))</f>
        <v>8.0472376900423748E-2</v>
      </c>
      <c r="D248" s="306"/>
      <c r="E248" s="429"/>
      <c r="F248" s="429"/>
      <c r="G248" s="429"/>
      <c r="H248" s="429"/>
      <c r="I248" s="429"/>
      <c r="J248" s="429"/>
      <c r="K248" s="429"/>
      <c r="L248" s="429"/>
      <c r="M248" s="429"/>
      <c r="N248" s="429"/>
      <c r="O248" s="429"/>
      <c r="P248" s="429"/>
      <c r="Q248" s="429"/>
      <c r="R248" s="429"/>
      <c r="S248" s="429"/>
    </row>
    <row r="249" spans="1:19" x14ac:dyDescent="0.25">
      <c r="A249" s="429"/>
      <c r="B249" s="633">
        <f t="shared" si="3"/>
        <v>2.439999999999992</v>
      </c>
      <c r="C249" s="646">
        <f>1/DATI!$E$38*IF(B249&lt;DATI!$E$45,DATI!$E$32*DATI!$E$42*DATI!$E$49*DATI!$E$33*(B249/DATI!$E$45+1/(DATI!$E$49*DATI!$E$33)*(1-B249/DATI!$E$45)),IF(B249&lt;DATI!$E$46,DATI!$E$32*DATI!$E$42*DATI!$E$49*DATI!$E$33,IF(B249&lt;DATI!$E$47,DATI!$E$32*DATI!$E$42*DATI!$E$49*DATI!$E$33*(DATI!$E$46/B249),DATI!$E$32*DATI!$E$42*DATI!$E$49*DATI!$E$33*((DATI!$E$46*DATI!$E$47)/B249^2))))</f>
        <v>7.9814118912811122E-2</v>
      </c>
      <c r="D249" s="306"/>
      <c r="E249" s="429"/>
      <c r="F249" s="429"/>
      <c r="G249" s="429"/>
      <c r="H249" s="429"/>
      <c r="I249" s="429"/>
      <c r="J249" s="429"/>
      <c r="K249" s="429"/>
      <c r="L249" s="429"/>
      <c r="M249" s="429"/>
      <c r="N249" s="429"/>
      <c r="O249" s="429"/>
      <c r="P249" s="429"/>
      <c r="Q249" s="429"/>
      <c r="R249" s="429"/>
      <c r="S249" s="429"/>
    </row>
    <row r="250" spans="1:19" x14ac:dyDescent="0.25">
      <c r="A250" s="429"/>
      <c r="B250" s="633">
        <f t="shared" si="3"/>
        <v>2.4499999999999917</v>
      </c>
      <c r="C250" s="646">
        <f>1/DATI!$E$38*IF(B250&lt;DATI!$E$45,DATI!$E$32*DATI!$E$42*DATI!$E$49*DATI!$E$33*(B250/DATI!$E$45+1/(DATI!$E$49*DATI!$E$33)*(1-B250/DATI!$E$45)),IF(B250&lt;DATI!$E$46,DATI!$E$32*DATI!$E$42*DATI!$E$49*DATI!$E$33,IF(B250&lt;DATI!$E$47,DATI!$E$32*DATI!$E$42*DATI!$E$49*DATI!$E$33*(DATI!$E$46/B250),DATI!$E$32*DATI!$E$42*DATI!$E$49*DATI!$E$33*((DATI!$E$46*DATI!$E$47)/B250^2))))</f>
        <v>7.9163904766232807E-2</v>
      </c>
      <c r="D250" s="306"/>
      <c r="E250" s="429"/>
      <c r="F250" s="429"/>
      <c r="G250" s="429"/>
      <c r="H250" s="429"/>
      <c r="I250" s="429"/>
      <c r="J250" s="429"/>
      <c r="K250" s="429"/>
      <c r="L250" s="429"/>
      <c r="M250" s="429"/>
      <c r="N250" s="429"/>
      <c r="O250" s="429"/>
      <c r="P250" s="429"/>
      <c r="Q250" s="429"/>
      <c r="R250" s="429"/>
      <c r="S250" s="429"/>
    </row>
    <row r="251" spans="1:19" x14ac:dyDescent="0.25">
      <c r="A251" s="429"/>
      <c r="B251" s="633">
        <f t="shared" si="3"/>
        <v>2.4599999999999915</v>
      </c>
      <c r="C251" s="646">
        <f>1/DATI!$E$38*IF(B251&lt;DATI!$E$45,DATI!$E$32*DATI!$E$42*DATI!$E$49*DATI!$E$33*(B251/DATI!$E$45+1/(DATI!$E$49*DATI!$E$33)*(1-B251/DATI!$E$45)),IF(B251&lt;DATI!$E$46,DATI!$E$32*DATI!$E$42*DATI!$E$49*DATI!$E$33,IF(B251&lt;DATI!$E$47,DATI!$E$32*DATI!$E$42*DATI!$E$49*DATI!$E$33*(DATI!$E$46/B251),DATI!$E$32*DATI!$E$42*DATI!$E$49*DATI!$E$33*((DATI!$E$46*DATI!$E$47)/B251^2))))</f>
        <v>7.8521603932730596E-2</v>
      </c>
      <c r="D251" s="306"/>
      <c r="E251" s="429"/>
      <c r="F251" s="429"/>
      <c r="G251" s="429"/>
      <c r="H251" s="429"/>
      <c r="I251" s="429"/>
      <c r="J251" s="429"/>
      <c r="K251" s="429"/>
      <c r="L251" s="429"/>
      <c r="M251" s="429"/>
      <c r="N251" s="429"/>
      <c r="O251" s="429"/>
      <c r="P251" s="429"/>
      <c r="Q251" s="429"/>
      <c r="R251" s="429"/>
      <c r="S251" s="429"/>
    </row>
    <row r="252" spans="1:19" x14ac:dyDescent="0.25">
      <c r="A252" s="429"/>
      <c r="B252" s="633">
        <f t="shared" si="3"/>
        <v>2.4699999999999913</v>
      </c>
      <c r="C252" s="646">
        <f>1/DATI!$E$38*IF(B252&lt;DATI!$E$45,DATI!$E$32*DATI!$E$42*DATI!$E$49*DATI!$E$33*(B252/DATI!$E$45+1/(DATI!$E$49*DATI!$E$33)*(1-B252/DATI!$E$45)),IF(B252&lt;DATI!$E$46,DATI!$E$32*DATI!$E$42*DATI!$E$49*DATI!$E$33,IF(B252&lt;DATI!$E$47,DATI!$E$32*DATI!$E$42*DATI!$E$49*DATI!$E$33*(DATI!$E$46/B252),DATI!$E$32*DATI!$E$42*DATI!$E$49*DATI!$E$33*((DATI!$E$46*DATI!$E$47)/B252^2))))</f>
        <v>7.788708852125302E-2</v>
      </c>
      <c r="D252" s="306"/>
      <c r="E252" s="429"/>
      <c r="F252" s="429"/>
      <c r="G252" s="429"/>
      <c r="H252" s="429"/>
      <c r="I252" s="429"/>
      <c r="J252" s="429"/>
      <c r="K252" s="429"/>
      <c r="L252" s="429"/>
      <c r="M252" s="429"/>
      <c r="N252" s="429"/>
      <c r="O252" s="429"/>
      <c r="P252" s="429"/>
      <c r="Q252" s="429"/>
      <c r="R252" s="429"/>
      <c r="S252" s="429"/>
    </row>
    <row r="253" spans="1:19" x14ac:dyDescent="0.25">
      <c r="A253" s="429"/>
      <c r="B253" s="633">
        <f t="shared" si="3"/>
        <v>2.4799999999999911</v>
      </c>
      <c r="C253" s="646">
        <f>1/DATI!$E$38*IF(B253&lt;DATI!$E$45,DATI!$E$32*DATI!$E$42*DATI!$E$49*DATI!$E$33*(B253/DATI!$E$45+1/(DATI!$E$49*DATI!$E$33)*(1-B253/DATI!$E$45)),IF(B253&lt;DATI!$E$46,DATI!$E$32*DATI!$E$42*DATI!$E$49*DATI!$E$33,IF(B253&lt;DATI!$E$47,DATI!$E$32*DATI!$E$42*DATI!$E$49*DATI!$E$33*(DATI!$E$46/B253),DATI!$E$32*DATI!$E$42*DATI!$E$49*DATI!$E$33*((DATI!$E$46*DATI!$E$47)/B253^2))))</f>
        <v>7.7260233213988116E-2</v>
      </c>
      <c r="D253" s="306"/>
      <c r="E253" s="429"/>
      <c r="F253" s="429"/>
      <c r="G253" s="429"/>
      <c r="H253" s="429"/>
      <c r="I253" s="429"/>
      <c r="J253" s="429"/>
      <c r="K253" s="429"/>
      <c r="L253" s="429"/>
      <c r="M253" s="429"/>
      <c r="N253" s="429"/>
      <c r="O253" s="429"/>
      <c r="P253" s="429"/>
      <c r="Q253" s="429"/>
      <c r="R253" s="429"/>
      <c r="S253" s="429"/>
    </row>
    <row r="254" spans="1:19" x14ac:dyDescent="0.25">
      <c r="A254" s="429"/>
      <c r="B254" s="633">
        <f t="shared" si="3"/>
        <v>2.4899999999999909</v>
      </c>
      <c r="C254" s="646">
        <f>1/DATI!$E$38*IF(B254&lt;DATI!$E$45,DATI!$E$32*DATI!$E$42*DATI!$E$49*DATI!$E$33*(B254/DATI!$E$45+1/(DATI!$E$49*DATI!$E$33)*(1-B254/DATI!$E$45)),IF(B254&lt;DATI!$E$46,DATI!$E$32*DATI!$E$42*DATI!$E$49*DATI!$E$33,IF(B254&lt;DATI!$E$47,DATI!$E$32*DATI!$E$42*DATI!$E$49*DATI!$E$33*(DATI!$E$46/B254),DATI!$E$32*DATI!$E$42*DATI!$E$49*DATI!$E$33*((DATI!$E$46*DATI!$E$47)/B254^2))))</f>
        <v>7.6640915204482601E-2</v>
      </c>
      <c r="D254" s="306"/>
      <c r="E254" s="429"/>
      <c r="F254" s="429"/>
      <c r="G254" s="429"/>
      <c r="H254" s="429"/>
      <c r="I254" s="429"/>
      <c r="J254" s="429"/>
      <c r="K254" s="429"/>
      <c r="L254" s="429"/>
      <c r="M254" s="429"/>
      <c r="N254" s="429"/>
      <c r="O254" s="429"/>
      <c r="P254" s="429"/>
      <c r="Q254" s="429"/>
      <c r="R254" s="429"/>
      <c r="S254" s="429"/>
    </row>
    <row r="255" spans="1:19" x14ac:dyDescent="0.25">
      <c r="A255" s="429"/>
      <c r="B255" s="633">
        <f t="shared" si="3"/>
        <v>2.4999999999999907</v>
      </c>
      <c r="C255" s="646">
        <f>1/DATI!$E$38*IF(B255&lt;DATI!$E$45,DATI!$E$32*DATI!$E$42*DATI!$E$49*DATI!$E$33*(B255/DATI!$E$45+1/(DATI!$E$49*DATI!$E$33)*(1-B255/DATI!$E$45)),IF(B255&lt;DATI!$E$46,DATI!$E$32*DATI!$E$42*DATI!$E$49*DATI!$E$33,IF(B255&lt;DATI!$E$47,DATI!$E$32*DATI!$E$42*DATI!$E$49*DATI!$E$33*(DATI!$E$46/B255),DATI!$E$32*DATI!$E$42*DATI!$E$49*DATI!$E$33*((DATI!$E$46*DATI!$E$47)/B255^2))))</f>
        <v>7.6029014137490025E-2</v>
      </c>
      <c r="D255" s="306"/>
      <c r="E255" s="429"/>
      <c r="F255" s="429"/>
      <c r="G255" s="429"/>
      <c r="H255" s="429"/>
      <c r="I255" s="429"/>
      <c r="J255" s="429"/>
      <c r="K255" s="429"/>
      <c r="L255" s="429"/>
      <c r="M255" s="429"/>
      <c r="N255" s="429"/>
      <c r="O255" s="429"/>
      <c r="P255" s="429"/>
      <c r="Q255" s="429"/>
      <c r="R255" s="429"/>
      <c r="S255" s="429"/>
    </row>
    <row r="256" spans="1:19" x14ac:dyDescent="0.25">
      <c r="A256" s="429"/>
      <c r="B256" s="633">
        <f t="shared" si="3"/>
        <v>2.5099999999999905</v>
      </c>
      <c r="C256" s="646">
        <f>1/DATI!$E$38*IF(B256&lt;DATI!$E$45,DATI!$E$32*DATI!$E$42*DATI!$E$49*DATI!$E$33*(B256/DATI!$E$45+1/(DATI!$E$49*DATI!$E$33)*(1-B256/DATI!$E$45)),IF(B256&lt;DATI!$E$46,DATI!$E$32*DATI!$E$42*DATI!$E$49*DATI!$E$33,IF(B256&lt;DATI!$E$47,DATI!$E$32*DATI!$E$42*DATI!$E$49*DATI!$E$33*(DATI!$E$46/B256),DATI!$E$32*DATI!$E$42*DATI!$E$49*DATI!$E$33*((DATI!$E$46*DATI!$E$47)/B256^2))))</f>
        <v>7.5424412050493272E-2</v>
      </c>
      <c r="D256" s="306"/>
      <c r="E256" s="429"/>
      <c r="F256" s="429"/>
      <c r="G256" s="429"/>
      <c r="H256" s="429"/>
      <c r="I256" s="429"/>
      <c r="J256" s="429"/>
      <c r="K256" s="429"/>
      <c r="L256" s="429"/>
      <c r="M256" s="429"/>
      <c r="N256" s="429"/>
      <c r="O256" s="429"/>
      <c r="P256" s="429"/>
      <c r="Q256" s="429"/>
      <c r="R256" s="429"/>
      <c r="S256" s="429"/>
    </row>
    <row r="257" spans="1:19" x14ac:dyDescent="0.25">
      <c r="A257" s="429"/>
      <c r="B257" s="633">
        <f t="shared" si="3"/>
        <v>2.5199999999999902</v>
      </c>
      <c r="C257" s="646">
        <f>1/DATI!$E$38*IF(B257&lt;DATI!$E$45,DATI!$E$32*DATI!$E$42*DATI!$E$49*DATI!$E$33*(B257/DATI!$E$45+1/(DATI!$E$49*DATI!$E$33)*(1-B257/DATI!$E$45)),IF(B257&lt;DATI!$E$46,DATI!$E$32*DATI!$E$42*DATI!$E$49*DATI!$E$33,IF(B257&lt;DATI!$E$47,DATI!$E$32*DATI!$E$42*DATI!$E$49*DATI!$E$33*(DATI!$E$46/B257),DATI!$E$32*DATI!$E$42*DATI!$E$49*DATI!$E$33*((DATI!$E$46*DATI!$E$47)/B257^2))))</f>
        <v>7.4826993316848195E-2</v>
      </c>
      <c r="D257" s="306"/>
      <c r="E257" s="429"/>
      <c r="F257" s="429"/>
      <c r="G257" s="429"/>
      <c r="H257" s="429"/>
      <c r="I257" s="429"/>
      <c r="J257" s="429"/>
      <c r="K257" s="429"/>
      <c r="L257" s="429"/>
      <c r="M257" s="429"/>
      <c r="N257" s="429"/>
      <c r="O257" s="429"/>
      <c r="P257" s="429"/>
      <c r="Q257" s="429"/>
      <c r="R257" s="429"/>
      <c r="S257" s="429"/>
    </row>
    <row r="258" spans="1:19" x14ac:dyDescent="0.25">
      <c r="A258" s="429"/>
      <c r="B258" s="633">
        <f t="shared" si="3"/>
        <v>2.52999999999999</v>
      </c>
      <c r="C258" s="646">
        <f>1/DATI!$E$38*IF(B258&lt;DATI!$E$45,DATI!$E$32*DATI!$E$42*DATI!$E$49*DATI!$E$33*(B258/DATI!$E$45+1/(DATI!$E$49*DATI!$E$33)*(1-B258/DATI!$E$45)),IF(B258&lt;DATI!$E$46,DATI!$E$32*DATI!$E$42*DATI!$E$49*DATI!$E$33,IF(B258&lt;DATI!$E$47,DATI!$E$32*DATI!$E$42*DATI!$E$49*DATI!$E$33*(DATI!$E$46/B258),DATI!$E$32*DATI!$E$42*DATI!$E$49*DATI!$E$33*((DATI!$E$46*DATI!$E$47)/B258^2))))</f>
        <v>7.42366445904971E-2</v>
      </c>
      <c r="D258" s="306"/>
      <c r="E258" s="429"/>
      <c r="F258" s="429"/>
      <c r="G258" s="429"/>
      <c r="H258" s="429"/>
      <c r="I258" s="429"/>
      <c r="J258" s="429"/>
      <c r="K258" s="429"/>
      <c r="L258" s="429"/>
      <c r="M258" s="429"/>
      <c r="N258" s="429"/>
      <c r="O258" s="429"/>
      <c r="P258" s="429"/>
      <c r="Q258" s="429"/>
      <c r="R258" s="429"/>
      <c r="S258" s="429"/>
    </row>
    <row r="259" spans="1:19" x14ac:dyDescent="0.25">
      <c r="A259" s="429"/>
      <c r="B259" s="633">
        <f t="shared" si="3"/>
        <v>2.5399999999999898</v>
      </c>
      <c r="C259" s="646">
        <f>1/DATI!$E$38*IF(B259&lt;DATI!$E$45,DATI!$E$32*DATI!$E$42*DATI!$E$49*DATI!$E$33*(B259/DATI!$E$45+1/(DATI!$E$49*DATI!$E$33)*(1-B259/DATI!$E$45)),IF(B259&lt;DATI!$E$46,DATI!$E$32*DATI!$E$42*DATI!$E$49*DATI!$E$33,IF(B259&lt;DATI!$E$47,DATI!$E$32*DATI!$E$42*DATI!$E$49*DATI!$E$33*(DATI!$E$46/B259),DATI!$E$32*DATI!$E$42*DATI!$E$49*DATI!$E$33*((DATI!$E$46*DATI!$E$47)/B259^2))))</f>
        <v>7.365325475220301E-2</v>
      </c>
      <c r="D259" s="306"/>
      <c r="E259" s="429"/>
      <c r="F259" s="429"/>
      <c r="G259" s="429"/>
      <c r="H259" s="429"/>
      <c r="I259" s="429"/>
      <c r="J259" s="429"/>
      <c r="K259" s="429"/>
      <c r="L259" s="429"/>
      <c r="M259" s="429"/>
      <c r="N259" s="429"/>
      <c r="O259" s="429"/>
      <c r="P259" s="429"/>
      <c r="Q259" s="429"/>
      <c r="R259" s="429"/>
      <c r="S259" s="429"/>
    </row>
    <row r="260" spans="1:19" x14ac:dyDescent="0.25">
      <c r="A260" s="429"/>
      <c r="B260" s="633">
        <f t="shared" si="3"/>
        <v>2.5499999999999896</v>
      </c>
      <c r="C260" s="646">
        <f>1/DATI!$E$38*IF(B260&lt;DATI!$E$45,DATI!$E$32*DATI!$E$42*DATI!$E$49*DATI!$E$33*(B260/DATI!$E$45+1/(DATI!$E$49*DATI!$E$33)*(1-B260/DATI!$E$45)),IF(B260&lt;DATI!$E$46,DATI!$E$32*DATI!$E$42*DATI!$E$49*DATI!$E$33,IF(B260&lt;DATI!$E$47,DATI!$E$32*DATI!$E$42*DATI!$E$49*DATI!$E$33*(DATI!$E$46/B260),DATI!$E$32*DATI!$E$42*DATI!$E$49*DATI!$E$33*((DATI!$E$46*DATI!$E$47)/B260^2))))</f>
        <v>7.3076714857256905E-2</v>
      </c>
      <c r="D260" s="306"/>
      <c r="E260" s="429"/>
      <c r="F260" s="429"/>
      <c r="G260" s="429"/>
      <c r="H260" s="429"/>
      <c r="I260" s="429"/>
      <c r="J260" s="429"/>
      <c r="K260" s="429"/>
      <c r="L260" s="429"/>
      <c r="M260" s="429"/>
      <c r="N260" s="429"/>
      <c r="O260" s="429"/>
      <c r="P260" s="429"/>
      <c r="Q260" s="429"/>
      <c r="R260" s="429"/>
      <c r="S260" s="429"/>
    </row>
    <row r="261" spans="1:19" x14ac:dyDescent="0.25">
      <c r="A261" s="429"/>
      <c r="B261" s="633">
        <f t="shared" si="3"/>
        <v>2.5599999999999894</v>
      </c>
      <c r="C261" s="646">
        <f>1/DATI!$E$38*IF(B261&lt;DATI!$E$45,DATI!$E$32*DATI!$E$42*DATI!$E$49*DATI!$E$33*(B261/DATI!$E$45+1/(DATI!$E$49*DATI!$E$33)*(1-B261/DATI!$E$45)),IF(B261&lt;DATI!$E$46,DATI!$E$32*DATI!$E$42*DATI!$E$49*DATI!$E$33,IF(B261&lt;DATI!$E$47,DATI!$E$32*DATI!$E$42*DATI!$E$49*DATI!$E$33*(DATI!$E$46/B261),DATI!$E$32*DATI!$E$42*DATI!$E$49*DATI!$E$33*((DATI!$E$46*DATI!$E$47)/B261^2))))</f>
        <v>7.2506918084611974E-2</v>
      </c>
      <c r="D261" s="306"/>
      <c r="E261" s="429"/>
      <c r="F261" s="429"/>
      <c r="G261" s="429"/>
      <c r="H261" s="429"/>
      <c r="I261" s="429"/>
      <c r="J261" s="429"/>
      <c r="K261" s="429"/>
      <c r="L261" s="429"/>
      <c r="M261" s="429"/>
      <c r="N261" s="429"/>
      <c r="O261" s="429"/>
      <c r="P261" s="429"/>
      <c r="Q261" s="429"/>
      <c r="R261" s="429"/>
      <c r="S261" s="429"/>
    </row>
    <row r="262" spans="1:19" x14ac:dyDescent="0.25">
      <c r="A262" s="429"/>
      <c r="B262" s="633">
        <f t="shared" ref="B262:B325" si="4">0.01+B261</f>
        <v>2.5699999999999892</v>
      </c>
      <c r="C262" s="646">
        <f>1/DATI!$E$38*IF(B262&lt;DATI!$E$45,DATI!$E$32*DATI!$E$42*DATI!$E$49*DATI!$E$33*(B262/DATI!$E$45+1/(DATI!$E$49*DATI!$E$33)*(1-B262/DATI!$E$45)),IF(B262&lt;DATI!$E$46,DATI!$E$32*DATI!$E$42*DATI!$E$49*DATI!$E$33,IF(B262&lt;DATI!$E$47,DATI!$E$32*DATI!$E$42*DATI!$E$49*DATI!$E$33*(DATI!$E$46/B262),DATI!$E$32*DATI!$E$42*DATI!$E$49*DATI!$E$33*((DATI!$E$46*DATI!$E$47)/B262^2))))</f>
        <v>7.194375968740073E-2</v>
      </c>
      <c r="D262" s="306"/>
      <c r="E262" s="429"/>
      <c r="F262" s="429"/>
      <c r="G262" s="429"/>
      <c r="H262" s="429"/>
      <c r="I262" s="429"/>
      <c r="J262" s="429"/>
      <c r="K262" s="429"/>
      <c r="L262" s="429"/>
      <c r="M262" s="429"/>
      <c r="N262" s="429"/>
      <c r="O262" s="429"/>
      <c r="P262" s="429"/>
      <c r="Q262" s="429"/>
      <c r="R262" s="429"/>
      <c r="S262" s="429"/>
    </row>
    <row r="263" spans="1:19" x14ac:dyDescent="0.25">
      <c r="A263" s="429"/>
      <c r="B263" s="633">
        <f t="shared" si="4"/>
        <v>2.579999999999989</v>
      </c>
      <c r="C263" s="646">
        <f>1/DATI!$E$38*IF(B263&lt;DATI!$E$45,DATI!$E$32*DATI!$E$42*DATI!$E$49*DATI!$E$33*(B263/DATI!$E$45+1/(DATI!$E$49*DATI!$E$33)*(1-B263/DATI!$E$45)),IF(B263&lt;DATI!$E$46,DATI!$E$32*DATI!$E$42*DATI!$E$49*DATI!$E$33,IF(B263&lt;DATI!$E$47,DATI!$E$32*DATI!$E$42*DATI!$E$49*DATI!$E$33*(DATI!$E$46/B263),DATI!$E$32*DATI!$E$42*DATI!$E$49*DATI!$E$33*((DATI!$E$46*DATI!$E$47)/B263^2))))</f>
        <v>7.1387136944791957E-2</v>
      </c>
      <c r="D263" s="306"/>
      <c r="E263" s="429"/>
      <c r="F263" s="429"/>
      <c r="G263" s="429"/>
      <c r="H263" s="429"/>
      <c r="I263" s="429"/>
      <c r="J263" s="429"/>
      <c r="K263" s="429"/>
      <c r="L263" s="429"/>
      <c r="M263" s="429"/>
      <c r="N263" s="429"/>
      <c r="O263" s="429"/>
      <c r="P263" s="429"/>
      <c r="Q263" s="429"/>
      <c r="R263" s="429"/>
      <c r="S263" s="429"/>
    </row>
    <row r="264" spans="1:19" x14ac:dyDescent="0.25">
      <c r="A264" s="429"/>
      <c r="B264" s="633">
        <f t="shared" si="4"/>
        <v>2.5899999999999888</v>
      </c>
      <c r="C264" s="646">
        <f>1/DATI!$E$38*IF(B264&lt;DATI!$E$45,DATI!$E$32*DATI!$E$42*DATI!$E$49*DATI!$E$33*(B264/DATI!$E$45+1/(DATI!$E$49*DATI!$E$33)*(1-B264/DATI!$E$45)),IF(B264&lt;DATI!$E$46,DATI!$E$32*DATI!$E$42*DATI!$E$49*DATI!$E$33,IF(B264&lt;DATI!$E$47,DATI!$E$32*DATI!$E$42*DATI!$E$49*DATI!$E$33*(DATI!$E$46/B264),DATI!$E$32*DATI!$E$42*DATI!$E$49*DATI!$E$33*((DATI!$E$46*DATI!$E$47)/B264^2))))</f>
        <v>7.0836949115146361E-2</v>
      </c>
      <c r="D264" s="306"/>
      <c r="E264" s="429"/>
      <c r="F264" s="429"/>
      <c r="G264" s="429"/>
      <c r="H264" s="429"/>
      <c r="I264" s="429"/>
      <c r="J264" s="429"/>
      <c r="K264" s="429"/>
      <c r="L264" s="429"/>
      <c r="M264" s="429"/>
      <c r="N264" s="429"/>
      <c r="O264" s="429"/>
      <c r="P264" s="429"/>
      <c r="Q264" s="429"/>
      <c r="R264" s="429"/>
      <c r="S264" s="429"/>
    </row>
    <row r="265" spans="1:19" x14ac:dyDescent="0.25">
      <c r="A265" s="429"/>
      <c r="B265" s="633">
        <f t="shared" si="4"/>
        <v>2.5999999999999885</v>
      </c>
      <c r="C265" s="646">
        <f>1/DATI!$E$38*IF(B265&lt;DATI!$E$45,DATI!$E$32*DATI!$E$42*DATI!$E$49*DATI!$E$33*(B265/DATI!$E$45+1/(DATI!$E$49*DATI!$E$33)*(1-B265/DATI!$E$45)),IF(B265&lt;DATI!$E$46,DATI!$E$32*DATI!$E$42*DATI!$E$49*DATI!$E$33,IF(B265&lt;DATI!$E$47,DATI!$E$32*DATI!$E$42*DATI!$E$49*DATI!$E$33*(DATI!$E$46/B265),DATI!$E$32*DATI!$E$42*DATI!$E$49*DATI!$E$33*((DATI!$E$46*DATI!$E$47)/B265^2))))</f>
        <v>7.0293097390430964E-2</v>
      </c>
      <c r="D265" s="306"/>
      <c r="E265" s="429"/>
      <c r="F265" s="429"/>
      <c r="G265" s="429"/>
      <c r="H265" s="429"/>
      <c r="I265" s="429"/>
      <c r="J265" s="429"/>
      <c r="K265" s="429"/>
      <c r="L265" s="429"/>
      <c r="M265" s="429"/>
      <c r="N265" s="429"/>
      <c r="O265" s="429"/>
      <c r="P265" s="429"/>
      <c r="Q265" s="429"/>
      <c r="R265" s="429"/>
      <c r="S265" s="429"/>
    </row>
    <row r="266" spans="1:19" x14ac:dyDescent="0.25">
      <c r="A266" s="429"/>
      <c r="B266" s="633">
        <f t="shared" si="4"/>
        <v>2.6099999999999883</v>
      </c>
      <c r="C266" s="646">
        <f>1/DATI!$E$38*IF(B266&lt;DATI!$E$45,DATI!$E$32*DATI!$E$42*DATI!$E$49*DATI!$E$33*(B266/DATI!$E$45+1/(DATI!$E$49*DATI!$E$33)*(1-B266/DATI!$E$45)),IF(B266&lt;DATI!$E$46,DATI!$E$32*DATI!$E$42*DATI!$E$49*DATI!$E$33,IF(B266&lt;DATI!$E$47,DATI!$E$32*DATI!$E$42*DATI!$E$49*DATI!$E$33*(DATI!$E$46/B266),DATI!$E$32*DATI!$E$42*DATI!$E$49*DATI!$E$33*((DATI!$E$46*DATI!$E$47)/B266^2))))</f>
        <v>6.9755484851853816E-2</v>
      </c>
      <c r="D266" s="306"/>
      <c r="E266" s="429"/>
      <c r="F266" s="429"/>
      <c r="G266" s="429"/>
      <c r="H266" s="429"/>
      <c r="I266" s="429"/>
      <c r="J266" s="429"/>
      <c r="K266" s="429"/>
      <c r="L266" s="429"/>
      <c r="M266" s="429"/>
      <c r="N266" s="429"/>
      <c r="O266" s="429"/>
      <c r="P266" s="429"/>
      <c r="Q266" s="429"/>
      <c r="R266" s="429"/>
      <c r="S266" s="429"/>
    </row>
    <row r="267" spans="1:19" x14ac:dyDescent="0.25">
      <c r="A267" s="429"/>
      <c r="B267" s="633">
        <f t="shared" si="4"/>
        <v>2.6199999999999881</v>
      </c>
      <c r="C267" s="646">
        <f>1/DATI!$E$38*IF(B267&lt;DATI!$E$45,DATI!$E$32*DATI!$E$42*DATI!$E$49*DATI!$E$33*(B267/DATI!$E$45+1/(DATI!$E$49*DATI!$E$33)*(1-B267/DATI!$E$45)),IF(B267&lt;DATI!$E$46,DATI!$E$32*DATI!$E$42*DATI!$E$49*DATI!$E$33,IF(B267&lt;DATI!$E$47,DATI!$E$32*DATI!$E$42*DATI!$E$49*DATI!$E$33*(DATI!$E$46/B267),DATI!$E$32*DATI!$E$42*DATI!$E$49*DATI!$E$33*((DATI!$E$46*DATI!$E$47)/B267^2))))</f>
        <v>6.9224016426681634E-2</v>
      </c>
      <c r="D267" s="306"/>
      <c r="E267" s="429"/>
      <c r="F267" s="429"/>
      <c r="G267" s="429"/>
      <c r="H267" s="429"/>
      <c r="I267" s="429"/>
      <c r="J267" s="429"/>
      <c r="K267" s="429"/>
      <c r="L267" s="429"/>
      <c r="M267" s="429"/>
      <c r="N267" s="429"/>
      <c r="O267" s="429"/>
      <c r="P267" s="429"/>
      <c r="Q267" s="429"/>
      <c r="R267" s="429"/>
      <c r="S267" s="429"/>
    </row>
    <row r="268" spans="1:19" x14ac:dyDescent="0.25">
      <c r="A268" s="429"/>
      <c r="B268" s="633">
        <f t="shared" si="4"/>
        <v>2.6299999999999879</v>
      </c>
      <c r="C268" s="646">
        <f>1/DATI!$E$38*IF(B268&lt;DATI!$E$45,DATI!$E$32*DATI!$E$42*DATI!$E$49*DATI!$E$33*(B268/DATI!$E$45+1/(DATI!$E$49*DATI!$E$33)*(1-B268/DATI!$E$45)),IF(B268&lt;DATI!$E$46,DATI!$E$32*DATI!$E$42*DATI!$E$49*DATI!$E$33,IF(B268&lt;DATI!$E$47,DATI!$E$32*DATI!$E$42*DATI!$E$49*DATI!$E$33*(DATI!$E$46/B268),DATI!$E$32*DATI!$E$42*DATI!$E$49*DATI!$E$33*((DATI!$E$46*DATI!$E$47)/B268^2))))</f>
        <v>6.8698598846204745E-2</v>
      </c>
      <c r="D268" s="306"/>
      <c r="E268" s="429"/>
      <c r="F268" s="429"/>
      <c r="G268" s="429"/>
      <c r="H268" s="429"/>
      <c r="I268" s="429"/>
      <c r="J268" s="429"/>
      <c r="K268" s="429"/>
      <c r="L268" s="429"/>
      <c r="M268" s="429"/>
      <c r="N268" s="429"/>
      <c r="O268" s="429"/>
      <c r="P268" s="429"/>
      <c r="Q268" s="429"/>
      <c r="R268" s="429"/>
      <c r="S268" s="429"/>
    </row>
    <row r="269" spans="1:19" x14ac:dyDescent="0.25">
      <c r="A269" s="429"/>
      <c r="B269" s="633">
        <f t="shared" si="4"/>
        <v>2.6399999999999877</v>
      </c>
      <c r="C269" s="646">
        <f>1/DATI!$E$38*IF(B269&lt;DATI!$E$45,DATI!$E$32*DATI!$E$42*DATI!$E$49*DATI!$E$33*(B269/DATI!$E$45+1/(DATI!$E$49*DATI!$E$33)*(1-B269/DATI!$E$45)),IF(B269&lt;DATI!$E$46,DATI!$E$32*DATI!$E$42*DATI!$E$49*DATI!$E$33,IF(B269&lt;DATI!$E$47,DATI!$E$32*DATI!$E$42*DATI!$E$49*DATI!$E$33*(DATI!$E$46/B269),DATI!$E$32*DATI!$E$42*DATI!$E$49*DATI!$E$33*((DATI!$E$46*DATI!$E$47)/B269^2))))</f>
        <v>6.8179140604814281E-2</v>
      </c>
      <c r="D269" s="306"/>
      <c r="E269" s="429"/>
      <c r="F269" s="429"/>
      <c r="G269" s="429"/>
      <c r="H269" s="429"/>
      <c r="I269" s="429"/>
      <c r="J269" s="429"/>
      <c r="K269" s="429"/>
      <c r="L269" s="429"/>
      <c r="M269" s="429"/>
      <c r="N269" s="429"/>
      <c r="O269" s="429"/>
      <c r="P269" s="429"/>
      <c r="Q269" s="429"/>
      <c r="R269" s="429"/>
      <c r="S269" s="429"/>
    </row>
    <row r="270" spans="1:19" x14ac:dyDescent="0.25">
      <c r="A270" s="429"/>
      <c r="B270" s="633">
        <f t="shared" si="4"/>
        <v>2.6499999999999875</v>
      </c>
      <c r="C270" s="646">
        <f>1/DATI!$E$38*IF(B270&lt;DATI!$E$45,DATI!$E$32*DATI!$E$42*DATI!$E$49*DATI!$E$33*(B270/DATI!$E$45+1/(DATI!$E$49*DATI!$E$33)*(1-B270/DATI!$E$45)),IF(B270&lt;DATI!$E$46,DATI!$E$32*DATI!$E$42*DATI!$E$49*DATI!$E$33,IF(B270&lt;DATI!$E$47,DATI!$E$32*DATI!$E$42*DATI!$E$49*DATI!$E$33*(DATI!$E$46/B270),DATI!$E$32*DATI!$E$42*DATI!$E$49*DATI!$E$33*((DATI!$E$46*DATI!$E$47)/B270^2))))</f>
        <v>6.7665551920158593E-2</v>
      </c>
      <c r="D270" s="306"/>
      <c r="E270" s="429"/>
      <c r="F270" s="429"/>
      <c r="G270" s="429"/>
      <c r="H270" s="429"/>
      <c r="I270" s="429"/>
      <c r="J270" s="429"/>
      <c r="K270" s="429"/>
      <c r="L270" s="429"/>
      <c r="M270" s="429"/>
      <c r="N270" s="429"/>
      <c r="O270" s="429"/>
      <c r="P270" s="429"/>
      <c r="Q270" s="429"/>
      <c r="R270" s="429"/>
      <c r="S270" s="429"/>
    </row>
    <row r="271" spans="1:19" x14ac:dyDescent="0.25">
      <c r="A271" s="429"/>
      <c r="B271" s="633">
        <f t="shared" si="4"/>
        <v>2.6599999999999873</v>
      </c>
      <c r="C271" s="646">
        <f>1/DATI!$E$38*IF(B271&lt;DATI!$E$45,DATI!$E$32*DATI!$E$42*DATI!$E$49*DATI!$E$33*(B271/DATI!$E$45+1/(DATI!$E$49*DATI!$E$33)*(1-B271/DATI!$E$45)),IF(B271&lt;DATI!$E$46,DATI!$E$32*DATI!$E$42*DATI!$E$49*DATI!$E$33,IF(B271&lt;DATI!$E$47,DATI!$E$32*DATI!$E$42*DATI!$E$49*DATI!$E$33*(DATI!$E$46/B271),DATI!$E$32*DATI!$E$42*DATI!$E$49*DATI!$E$33*((DATI!$E$46*DATI!$E$47)/B271^2))))</f>
        <v>6.7157744694345878E-2</v>
      </c>
      <c r="D271" s="306"/>
      <c r="E271" s="429"/>
      <c r="F271" s="429"/>
      <c r="G271" s="429"/>
      <c r="H271" s="429"/>
      <c r="I271" s="429"/>
      <c r="J271" s="429"/>
      <c r="K271" s="429"/>
      <c r="L271" s="429"/>
      <c r="M271" s="429"/>
      <c r="N271" s="429"/>
      <c r="O271" s="429"/>
      <c r="P271" s="429"/>
      <c r="Q271" s="429"/>
      <c r="R271" s="429"/>
      <c r="S271" s="429"/>
    </row>
    <row r="272" spans="1:19" x14ac:dyDescent="0.25">
      <c r="A272" s="429"/>
      <c r="B272" s="633">
        <f t="shared" si="4"/>
        <v>2.6699999999999871</v>
      </c>
      <c r="C272" s="646">
        <f>1/DATI!$E$38*IF(B272&lt;DATI!$E$45,DATI!$E$32*DATI!$E$42*DATI!$E$49*DATI!$E$33*(B272/DATI!$E$45+1/(DATI!$E$49*DATI!$E$33)*(1-B272/DATI!$E$45)),IF(B272&lt;DATI!$E$46,DATI!$E$32*DATI!$E$42*DATI!$E$49*DATI!$E$33,IF(B272&lt;DATI!$E$47,DATI!$E$32*DATI!$E$42*DATI!$E$49*DATI!$E$33*(DATI!$E$46/B272),DATI!$E$32*DATI!$E$42*DATI!$E$49*DATI!$E$33*((DATI!$E$46*DATI!$E$47)/B272^2))))</f>
        <v>6.6655632476162352E-2</v>
      </c>
      <c r="D272" s="306"/>
      <c r="E272" s="429"/>
      <c r="F272" s="429"/>
      <c r="G272" s="429"/>
      <c r="H272" s="429"/>
      <c r="I272" s="429"/>
      <c r="J272" s="429"/>
      <c r="K272" s="429"/>
      <c r="L272" s="429"/>
      <c r="M272" s="429"/>
      <c r="N272" s="429"/>
      <c r="O272" s="429"/>
      <c r="P272" s="429"/>
      <c r="Q272" s="429"/>
      <c r="R272" s="429"/>
      <c r="S272" s="429"/>
    </row>
    <row r="273" spans="1:19" x14ac:dyDescent="0.25">
      <c r="A273" s="429"/>
      <c r="B273" s="633">
        <f t="shared" si="4"/>
        <v>2.6799999999999868</v>
      </c>
      <c r="C273" s="646">
        <f>1/DATI!$E$38*IF(B273&lt;DATI!$E$45,DATI!$E$32*DATI!$E$42*DATI!$E$49*DATI!$E$33*(B273/DATI!$E$45+1/(DATI!$E$49*DATI!$E$33)*(1-B273/DATI!$E$45)),IF(B273&lt;DATI!$E$46,DATI!$E$32*DATI!$E$42*DATI!$E$49*DATI!$E$33,IF(B273&lt;DATI!$E$47,DATI!$E$32*DATI!$E$42*DATI!$E$49*DATI!$E$33*(DATI!$E$46/B273),DATI!$E$32*DATI!$E$42*DATI!$E$49*DATI!$E$33*((DATI!$E$46*DATI!$E$47)/B273^2))))</f>
        <v>6.6159130424275153E-2</v>
      </c>
      <c r="D273" s="306"/>
      <c r="E273" s="429"/>
      <c r="F273" s="429"/>
      <c r="G273" s="429"/>
      <c r="H273" s="429"/>
      <c r="I273" s="429"/>
      <c r="J273" s="429"/>
      <c r="K273" s="429"/>
      <c r="L273" s="429"/>
      <c r="M273" s="429"/>
      <c r="N273" s="429"/>
      <c r="O273" s="429"/>
      <c r="P273" s="429"/>
      <c r="Q273" s="429"/>
      <c r="R273" s="429"/>
      <c r="S273" s="429"/>
    </row>
    <row r="274" spans="1:19" x14ac:dyDescent="0.25">
      <c r="A274" s="429"/>
      <c r="B274" s="633">
        <f t="shared" si="4"/>
        <v>2.6899999999999866</v>
      </c>
      <c r="C274" s="646">
        <f>1/DATI!$E$38*IF(B274&lt;DATI!$E$45,DATI!$E$32*DATI!$E$42*DATI!$E$49*DATI!$E$33*(B274/DATI!$E$45+1/(DATI!$E$49*DATI!$E$33)*(1-B274/DATI!$E$45)),IF(B274&lt;DATI!$E$46,DATI!$E$32*DATI!$E$42*DATI!$E$49*DATI!$E$33,IF(B274&lt;DATI!$E$47,DATI!$E$32*DATI!$E$42*DATI!$E$49*DATI!$E$33*(DATI!$E$46/B274),DATI!$E$32*DATI!$E$42*DATI!$E$49*DATI!$E$33*((DATI!$E$46*DATI!$E$47)/B274^2))))</f>
        <v>6.5668155271391193E-2</v>
      </c>
      <c r="D274" s="306"/>
      <c r="E274" s="429"/>
      <c r="F274" s="429"/>
      <c r="G274" s="429"/>
      <c r="H274" s="429"/>
      <c r="I274" s="429"/>
      <c r="J274" s="429"/>
      <c r="K274" s="429"/>
      <c r="L274" s="429"/>
      <c r="M274" s="429"/>
      <c r="N274" s="429"/>
      <c r="O274" s="429"/>
      <c r="P274" s="429"/>
      <c r="Q274" s="429"/>
      <c r="R274" s="429"/>
      <c r="S274" s="429"/>
    </row>
    <row r="275" spans="1:19" x14ac:dyDescent="0.25">
      <c r="A275" s="429"/>
      <c r="B275" s="633">
        <f t="shared" si="4"/>
        <v>2.6999999999999864</v>
      </c>
      <c r="C275" s="646">
        <f>1/DATI!$E$38*IF(B275&lt;DATI!$E$45,DATI!$E$32*DATI!$E$42*DATI!$E$49*DATI!$E$33*(B275/DATI!$E$45+1/(DATI!$E$49*DATI!$E$33)*(1-B275/DATI!$E$45)),IF(B275&lt;DATI!$E$46,DATI!$E$32*DATI!$E$42*DATI!$E$49*DATI!$E$33,IF(B275&lt;DATI!$E$47,DATI!$E$32*DATI!$E$42*DATI!$E$49*DATI!$E$33*(DATI!$E$46/B275),DATI!$E$32*DATI!$E$42*DATI!$E$49*DATI!$E$33*((DATI!$E$46*DATI!$E$47)/B275^2))))</f>
        <v>6.5182625289343474E-2</v>
      </c>
      <c r="D275" s="306"/>
      <c r="E275" s="429"/>
      <c r="F275" s="429"/>
      <c r="G275" s="429"/>
      <c r="H275" s="429"/>
      <c r="I275" s="429"/>
      <c r="J275" s="429"/>
      <c r="K275" s="429"/>
      <c r="L275" s="429"/>
      <c r="M275" s="429"/>
      <c r="N275" s="429"/>
      <c r="O275" s="429"/>
      <c r="P275" s="429"/>
      <c r="Q275" s="429"/>
      <c r="R275" s="429"/>
      <c r="S275" s="429"/>
    </row>
    <row r="276" spans="1:19" x14ac:dyDescent="0.25">
      <c r="A276" s="429"/>
      <c r="B276" s="633">
        <f t="shared" si="4"/>
        <v>2.7099999999999862</v>
      </c>
      <c r="C276" s="646">
        <f>1/DATI!$E$38*IF(B276&lt;DATI!$E$45,DATI!$E$32*DATI!$E$42*DATI!$E$49*DATI!$E$33*(B276/DATI!$E$45+1/(DATI!$E$49*DATI!$E$33)*(1-B276/DATI!$E$45)),IF(B276&lt;DATI!$E$46,DATI!$E$32*DATI!$E$42*DATI!$E$49*DATI!$E$33,IF(B276&lt;DATI!$E$47,DATI!$E$32*DATI!$E$42*DATI!$E$49*DATI!$E$33*(DATI!$E$46/B276),DATI!$E$32*DATI!$E$42*DATI!$E$49*DATI!$E$33*((DATI!$E$46*DATI!$E$47)/B276^2))))</f>
        <v>6.4702460255077407E-2</v>
      </c>
      <c r="D276" s="306"/>
      <c r="E276" s="429"/>
      <c r="F276" s="429"/>
      <c r="G276" s="429"/>
      <c r="H276" s="429"/>
      <c r="I276" s="429"/>
      <c r="J276" s="429"/>
      <c r="K276" s="429"/>
      <c r="L276" s="429"/>
      <c r="M276" s="429"/>
      <c r="N276" s="429"/>
      <c r="O276" s="429"/>
      <c r="P276" s="429"/>
      <c r="Q276" s="429"/>
      <c r="R276" s="429"/>
      <c r="S276" s="429"/>
    </row>
    <row r="277" spans="1:19" x14ac:dyDescent="0.25">
      <c r="A277" s="429"/>
      <c r="B277" s="633">
        <f t="shared" si="4"/>
        <v>2.719999999999986</v>
      </c>
      <c r="C277" s="646">
        <f>1/DATI!$E$38*IF(B277&lt;DATI!$E$45,DATI!$E$32*DATI!$E$42*DATI!$E$49*DATI!$E$33*(B277/DATI!$E$45+1/(DATI!$E$49*DATI!$E$33)*(1-B277/DATI!$E$45)),IF(B277&lt;DATI!$E$46,DATI!$E$32*DATI!$E$42*DATI!$E$49*DATI!$E$33,IF(B277&lt;DATI!$E$47,DATI!$E$32*DATI!$E$42*DATI!$E$49*DATI!$E$33*(DATI!$E$46/B277),DATI!$E$32*DATI!$E$42*DATI!$E$49*DATI!$E$33*((DATI!$E$46*DATI!$E$47)/B277^2))))</f>
        <v>6.4227581417511087E-2</v>
      </c>
      <c r="D277" s="306"/>
      <c r="E277" s="429"/>
      <c r="F277" s="429"/>
      <c r="G277" s="429"/>
      <c r="H277" s="429"/>
      <c r="I277" s="429"/>
      <c r="J277" s="429"/>
      <c r="K277" s="429"/>
      <c r="L277" s="429"/>
      <c r="M277" s="429"/>
      <c r="N277" s="429"/>
      <c r="O277" s="429"/>
      <c r="P277" s="429"/>
      <c r="Q277" s="429"/>
      <c r="R277" s="429"/>
      <c r="S277" s="429"/>
    </row>
    <row r="278" spans="1:19" x14ac:dyDescent="0.25">
      <c r="A278" s="429"/>
      <c r="B278" s="633">
        <f t="shared" si="4"/>
        <v>2.7299999999999858</v>
      </c>
      <c r="C278" s="646">
        <f>1/DATI!$E$38*IF(B278&lt;DATI!$E$45,DATI!$E$32*DATI!$E$42*DATI!$E$49*DATI!$E$33*(B278/DATI!$E$45+1/(DATI!$E$49*DATI!$E$33)*(1-B278/DATI!$E$45)),IF(B278&lt;DATI!$E$46,DATI!$E$32*DATI!$E$42*DATI!$E$49*DATI!$E$33,IF(B278&lt;DATI!$E$47,DATI!$E$32*DATI!$E$42*DATI!$E$49*DATI!$E$33*(DATI!$E$46/B278),DATI!$E$32*DATI!$E$42*DATI!$E$49*DATI!$E$33*((DATI!$E$46*DATI!$E$47)/B278^2))))</f>
        <v>6.3757911465243594E-2</v>
      </c>
      <c r="D278" s="306"/>
      <c r="E278" s="429"/>
      <c r="F278" s="429"/>
      <c r="G278" s="429"/>
      <c r="H278" s="429"/>
      <c r="I278" s="429"/>
      <c r="J278" s="429"/>
      <c r="K278" s="429"/>
      <c r="L278" s="429"/>
      <c r="M278" s="429"/>
      <c r="N278" s="429"/>
      <c r="O278" s="429"/>
      <c r="P278" s="429"/>
      <c r="Q278" s="429"/>
      <c r="R278" s="429"/>
      <c r="S278" s="429"/>
    </row>
    <row r="279" spans="1:19" x14ac:dyDescent="0.25">
      <c r="A279" s="429"/>
      <c r="B279" s="633">
        <f t="shared" si="4"/>
        <v>2.7399999999999856</v>
      </c>
      <c r="C279" s="646">
        <f>1/DATI!$E$38*IF(B279&lt;DATI!$E$45,DATI!$E$32*DATI!$E$42*DATI!$E$49*DATI!$E$33*(B279/DATI!$E$45+1/(DATI!$E$49*DATI!$E$33)*(1-B279/DATI!$E$45)),IF(B279&lt;DATI!$E$46,DATI!$E$32*DATI!$E$42*DATI!$E$49*DATI!$E$33,IF(B279&lt;DATI!$E$47,DATI!$E$32*DATI!$E$42*DATI!$E$49*DATI!$E$33*(DATI!$E$46/B279),DATI!$E$32*DATI!$E$42*DATI!$E$49*DATI!$E$33*((DATI!$E$46*DATI!$E$47)/B279^2))))</f>
        <v>6.329337449508686E-2</v>
      </c>
      <c r="D279" s="306"/>
      <c r="E279" s="429"/>
      <c r="F279" s="429"/>
      <c r="G279" s="429"/>
      <c r="H279" s="429"/>
      <c r="I279" s="429"/>
      <c r="J279" s="429"/>
      <c r="K279" s="429"/>
      <c r="L279" s="429"/>
      <c r="M279" s="429"/>
      <c r="N279" s="429"/>
      <c r="O279" s="429"/>
      <c r="P279" s="429"/>
      <c r="Q279" s="429"/>
      <c r="R279" s="429"/>
      <c r="S279" s="429"/>
    </row>
    <row r="280" spans="1:19" x14ac:dyDescent="0.25">
      <c r="A280" s="429"/>
      <c r="B280" s="633">
        <f t="shared" si="4"/>
        <v>2.7499999999999853</v>
      </c>
      <c r="C280" s="646">
        <f>1/DATI!$E$38*IF(B280&lt;DATI!$E$45,DATI!$E$32*DATI!$E$42*DATI!$E$49*DATI!$E$33*(B280/DATI!$E$45+1/(DATI!$E$49*DATI!$E$33)*(1-B280/DATI!$E$45)),IF(B280&lt;DATI!$E$46,DATI!$E$32*DATI!$E$42*DATI!$E$49*DATI!$E$33,IF(B280&lt;DATI!$E$47,DATI!$E$32*DATI!$E$42*DATI!$E$49*DATI!$E$33*(DATI!$E$46/B280),DATI!$E$32*DATI!$E$42*DATI!$E$49*DATI!$E$33*((DATI!$E$46*DATI!$E$47)/B280^2))))</f>
        <v>6.2833895981396923E-2</v>
      </c>
      <c r="D280" s="306"/>
      <c r="E280" s="429"/>
      <c r="F280" s="429"/>
      <c r="G280" s="429"/>
      <c r="H280" s="429"/>
      <c r="I280" s="429"/>
      <c r="J280" s="429"/>
      <c r="K280" s="429"/>
      <c r="L280" s="429"/>
      <c r="M280" s="429"/>
      <c r="N280" s="429"/>
      <c r="O280" s="429"/>
      <c r="P280" s="429"/>
      <c r="Q280" s="429"/>
      <c r="R280" s="429"/>
      <c r="S280" s="429"/>
    </row>
    <row r="281" spans="1:19" x14ac:dyDescent="0.25">
      <c r="A281" s="429"/>
      <c r="B281" s="633">
        <f t="shared" si="4"/>
        <v>2.7599999999999851</v>
      </c>
      <c r="C281" s="646">
        <f>1/DATI!$E$38*IF(B281&lt;DATI!$E$45,DATI!$E$32*DATI!$E$42*DATI!$E$49*DATI!$E$33*(B281/DATI!$E$45+1/(DATI!$E$49*DATI!$E$33)*(1-B281/DATI!$E$45)),IF(B281&lt;DATI!$E$46,DATI!$E$32*DATI!$E$42*DATI!$E$49*DATI!$E$33,IF(B281&lt;DATI!$E$47,DATI!$E$32*DATI!$E$42*DATI!$E$49*DATI!$E$33*(DATI!$E$46/B281),DATI!$E$32*DATI!$E$42*DATI!$E$49*DATI!$E$33*((DATI!$E$46*DATI!$E$47)/B281^2))))</f>
        <v>6.237940274618177E-2</v>
      </c>
      <c r="D281" s="306"/>
      <c r="E281" s="429"/>
      <c r="F281" s="429"/>
      <c r="G281" s="429"/>
      <c r="H281" s="429"/>
      <c r="I281" s="429"/>
      <c r="J281" s="429"/>
      <c r="K281" s="429"/>
      <c r="L281" s="429"/>
      <c r="M281" s="429"/>
      <c r="N281" s="429"/>
      <c r="O281" s="429"/>
      <c r="P281" s="429"/>
      <c r="Q281" s="429"/>
      <c r="R281" s="429"/>
      <c r="S281" s="429"/>
    </row>
    <row r="282" spans="1:19" x14ac:dyDescent="0.25">
      <c r="A282" s="429"/>
      <c r="B282" s="633">
        <f t="shared" si="4"/>
        <v>2.7699999999999849</v>
      </c>
      <c r="C282" s="646">
        <f>1/DATI!$E$38*IF(B282&lt;DATI!$E$45,DATI!$E$32*DATI!$E$42*DATI!$E$49*DATI!$E$33*(B282/DATI!$E$45+1/(DATI!$E$49*DATI!$E$33)*(1-B282/DATI!$E$45)),IF(B282&lt;DATI!$E$46,DATI!$E$32*DATI!$E$42*DATI!$E$49*DATI!$E$33,IF(B282&lt;DATI!$E$47,DATI!$E$32*DATI!$E$42*DATI!$E$49*DATI!$E$33*(DATI!$E$46/B282),DATI!$E$32*DATI!$E$42*DATI!$E$49*DATI!$E$33*((DATI!$E$46*DATI!$E$47)/B282^2))))</f>
        <v>6.1929822929963158E-2</v>
      </c>
      <c r="D282" s="306"/>
      <c r="E282" s="429"/>
      <c r="F282" s="429"/>
      <c r="G282" s="429"/>
      <c r="H282" s="429"/>
      <c r="I282" s="429"/>
      <c r="J282" s="429"/>
      <c r="K282" s="429"/>
      <c r="L282" s="429"/>
      <c r="M282" s="429"/>
      <c r="N282" s="429"/>
      <c r="O282" s="429"/>
      <c r="P282" s="429"/>
      <c r="Q282" s="429"/>
      <c r="R282" s="429"/>
      <c r="S282" s="429"/>
    </row>
    <row r="283" spans="1:19" x14ac:dyDescent="0.25">
      <c r="A283" s="429"/>
      <c r="B283" s="633">
        <f t="shared" si="4"/>
        <v>2.7799999999999847</v>
      </c>
      <c r="C283" s="646">
        <f>1/DATI!$E$38*IF(B283&lt;DATI!$E$45,DATI!$E$32*DATI!$E$42*DATI!$E$49*DATI!$E$33*(B283/DATI!$E$45+1/(DATI!$E$49*DATI!$E$33)*(1-B283/DATI!$E$45)),IF(B283&lt;DATI!$E$46,DATI!$E$32*DATI!$E$42*DATI!$E$49*DATI!$E$33,IF(B283&lt;DATI!$E$47,DATI!$E$32*DATI!$E$42*DATI!$E$49*DATI!$E$33*(DATI!$E$46/B283),DATI!$E$32*DATI!$E$42*DATI!$E$49*DATI!$E$33*((DATI!$E$46*DATI!$E$47)/B283^2))))</f>
        <v>6.1485085963370725E-2</v>
      </c>
      <c r="D283" s="306"/>
      <c r="E283" s="429"/>
      <c r="F283" s="429"/>
      <c r="G283" s="429"/>
      <c r="H283" s="429"/>
      <c r="I283" s="429"/>
      <c r="J283" s="429"/>
      <c r="K283" s="429"/>
      <c r="L283" s="429"/>
      <c r="M283" s="429"/>
      <c r="N283" s="429"/>
      <c r="O283" s="429"/>
      <c r="P283" s="429"/>
      <c r="Q283" s="429"/>
      <c r="R283" s="429"/>
      <c r="S283" s="429"/>
    </row>
    <row r="284" spans="1:19" x14ac:dyDescent="0.25">
      <c r="A284" s="429"/>
      <c r="B284" s="633">
        <f t="shared" si="4"/>
        <v>2.7899999999999845</v>
      </c>
      <c r="C284" s="646">
        <f>1/DATI!$E$38*IF(B284&lt;DATI!$E$45,DATI!$E$32*DATI!$E$42*DATI!$E$49*DATI!$E$33*(B284/DATI!$E$45+1/(DATI!$E$49*DATI!$E$33)*(1-B284/DATI!$E$45)),IF(B284&lt;DATI!$E$46,DATI!$E$32*DATI!$E$42*DATI!$E$49*DATI!$E$33,IF(B284&lt;DATI!$E$47,DATI!$E$32*DATI!$E$42*DATI!$E$49*DATI!$E$33*(DATI!$E$46/B284),DATI!$E$32*DATI!$E$42*DATI!$E$49*DATI!$E$33*((DATI!$E$46*DATI!$E$47)/B284^2))))</f>
        <v>6.1045122539447653E-2</v>
      </c>
      <c r="D284" s="306"/>
      <c r="E284" s="429"/>
      <c r="F284" s="429"/>
      <c r="G284" s="429"/>
      <c r="H284" s="429"/>
      <c r="I284" s="429"/>
      <c r="J284" s="429"/>
      <c r="K284" s="429"/>
      <c r="L284" s="429"/>
      <c r="M284" s="429"/>
      <c r="N284" s="429"/>
      <c r="O284" s="429"/>
      <c r="P284" s="429"/>
      <c r="Q284" s="429"/>
      <c r="R284" s="429"/>
      <c r="S284" s="429"/>
    </row>
    <row r="285" spans="1:19" x14ac:dyDescent="0.25">
      <c r="A285" s="429"/>
      <c r="B285" s="633">
        <f t="shared" si="4"/>
        <v>2.7999999999999843</v>
      </c>
      <c r="C285" s="646">
        <f>1/DATI!$E$38*IF(B285&lt;DATI!$E$45,DATI!$E$32*DATI!$E$42*DATI!$E$49*DATI!$E$33*(B285/DATI!$E$45+1/(DATI!$E$49*DATI!$E$33)*(1-B285/DATI!$E$45)),IF(B285&lt;DATI!$E$46,DATI!$E$32*DATI!$E$42*DATI!$E$49*DATI!$E$33,IF(B285&lt;DATI!$E$47,DATI!$E$32*DATI!$E$42*DATI!$E$49*DATI!$E$33*(DATI!$E$46/B285),DATI!$E$32*DATI!$E$42*DATI!$E$49*DATI!$E$33*((DATI!$E$46*DATI!$E$47)/B285^2))))</f>
        <v>6.0609864586647258E-2</v>
      </c>
      <c r="D285" s="306"/>
      <c r="E285" s="429"/>
      <c r="F285" s="429"/>
      <c r="G285" s="429"/>
      <c r="H285" s="429"/>
      <c r="I285" s="429"/>
      <c r="J285" s="429"/>
      <c r="K285" s="429"/>
      <c r="L285" s="429"/>
      <c r="M285" s="429"/>
      <c r="N285" s="429"/>
      <c r="O285" s="429"/>
      <c r="P285" s="429"/>
      <c r="Q285" s="429"/>
      <c r="R285" s="429"/>
      <c r="S285" s="429"/>
    </row>
    <row r="286" spans="1:19" x14ac:dyDescent="0.25">
      <c r="A286" s="429"/>
      <c r="B286" s="633">
        <f t="shared" si="4"/>
        <v>2.8099999999999841</v>
      </c>
      <c r="C286" s="646">
        <f>1/DATI!$E$38*IF(B286&lt;DATI!$E$45,DATI!$E$32*DATI!$E$42*DATI!$E$49*DATI!$E$33*(B286/DATI!$E$45+1/(DATI!$E$49*DATI!$E$33)*(1-B286/DATI!$E$45)),IF(B286&lt;DATI!$E$46,DATI!$E$32*DATI!$E$42*DATI!$E$49*DATI!$E$33,IF(B286&lt;DATI!$E$47,DATI!$E$32*DATI!$E$42*DATI!$E$49*DATI!$E$33*(DATI!$E$46/B286),DATI!$E$32*DATI!$E$42*DATI!$E$49*DATI!$E$33*((DATI!$E$46*DATI!$E$47)/B286^2))))</f>
        <v>6.0179245242501296E-2</v>
      </c>
      <c r="D286" s="306"/>
      <c r="E286" s="429"/>
      <c r="F286" s="429"/>
      <c r="G286" s="429"/>
      <c r="H286" s="429"/>
      <c r="I286" s="429"/>
      <c r="J286" s="429"/>
      <c r="K286" s="429"/>
      <c r="L286" s="429"/>
      <c r="M286" s="429"/>
      <c r="N286" s="429"/>
      <c r="O286" s="429"/>
      <c r="P286" s="429"/>
      <c r="Q286" s="429"/>
      <c r="R286" s="429"/>
      <c r="S286" s="429"/>
    </row>
    <row r="287" spans="1:19" x14ac:dyDescent="0.25">
      <c r="A287" s="429"/>
      <c r="B287" s="633">
        <f t="shared" si="4"/>
        <v>2.8199999999999839</v>
      </c>
      <c r="C287" s="646">
        <f>1/DATI!$E$38*IF(B287&lt;DATI!$E$45,DATI!$E$32*DATI!$E$42*DATI!$E$49*DATI!$E$33*(B287/DATI!$E$45+1/(DATI!$E$49*DATI!$E$33)*(1-B287/DATI!$E$45)),IF(B287&lt;DATI!$E$46,DATI!$E$32*DATI!$E$42*DATI!$E$49*DATI!$E$33,IF(B287&lt;DATI!$E$47,DATI!$E$32*DATI!$E$42*DATI!$E$49*DATI!$E$33*(DATI!$E$46/B287),DATI!$E$32*DATI!$E$42*DATI!$E$49*DATI!$E$33*((DATI!$E$46*DATI!$E$47)/B287^2))))</f>
        <v>5.9753198827940564E-2</v>
      </c>
      <c r="D287" s="306"/>
      <c r="E287" s="429"/>
      <c r="F287" s="429"/>
      <c r="G287" s="429"/>
      <c r="H287" s="429"/>
      <c r="I287" s="429"/>
      <c r="J287" s="429"/>
      <c r="K287" s="429"/>
      <c r="L287" s="429"/>
      <c r="M287" s="429"/>
      <c r="N287" s="429"/>
      <c r="O287" s="429"/>
      <c r="P287" s="429"/>
      <c r="Q287" s="429"/>
      <c r="R287" s="429"/>
      <c r="S287" s="429"/>
    </row>
    <row r="288" spans="1:19" x14ac:dyDescent="0.25">
      <c r="A288" s="429"/>
      <c r="B288" s="633">
        <f t="shared" si="4"/>
        <v>2.8299999999999836</v>
      </c>
      <c r="C288" s="646">
        <f>1/DATI!$E$38*IF(B288&lt;DATI!$E$45,DATI!$E$32*DATI!$E$42*DATI!$E$49*DATI!$E$33*(B288/DATI!$E$45+1/(DATI!$E$49*DATI!$E$33)*(1-B288/DATI!$E$45)),IF(B288&lt;DATI!$E$46,DATI!$E$32*DATI!$E$42*DATI!$E$49*DATI!$E$33,IF(B288&lt;DATI!$E$47,DATI!$E$32*DATI!$E$42*DATI!$E$49*DATI!$E$33*(DATI!$E$46/B288),DATI!$E$32*DATI!$E$42*DATI!$E$49*DATI!$E$33*((DATI!$E$46*DATI!$E$47)/B288^2))))</f>
        <v>5.9331660822249575E-2</v>
      </c>
      <c r="D288" s="306"/>
      <c r="E288" s="429"/>
      <c r="F288" s="429"/>
      <c r="G288" s="429"/>
      <c r="H288" s="429"/>
      <c r="I288" s="429"/>
      <c r="J288" s="429"/>
      <c r="K288" s="429"/>
      <c r="L288" s="429"/>
      <c r="M288" s="429"/>
      <c r="N288" s="429"/>
      <c r="O288" s="429"/>
      <c r="P288" s="429"/>
      <c r="Q288" s="429"/>
      <c r="R288" s="429"/>
      <c r="S288" s="429"/>
    </row>
    <row r="289" spans="1:19" x14ac:dyDescent="0.25">
      <c r="A289" s="429"/>
      <c r="B289" s="633">
        <f t="shared" si="4"/>
        <v>2.8399999999999834</v>
      </c>
      <c r="C289" s="646">
        <f>1/DATI!$E$38*IF(B289&lt;DATI!$E$45,DATI!$E$32*DATI!$E$42*DATI!$E$49*DATI!$E$33*(B289/DATI!$E$45+1/(DATI!$E$49*DATI!$E$33)*(1-B289/DATI!$E$45)),IF(B289&lt;DATI!$E$46,DATI!$E$32*DATI!$E$42*DATI!$E$49*DATI!$E$33,IF(B289&lt;DATI!$E$47,DATI!$E$32*DATI!$E$42*DATI!$E$49*DATI!$E$33*(DATI!$E$46/B289),DATI!$E$32*DATI!$E$42*DATI!$E$49*DATI!$E$33*((DATI!$E$46*DATI!$E$47)/B289^2))))</f>
        <v>5.8914567838637508E-2</v>
      </c>
      <c r="D289" s="306"/>
      <c r="E289" s="429"/>
      <c r="F289" s="429"/>
      <c r="G289" s="429"/>
      <c r="H289" s="429"/>
      <c r="I289" s="429"/>
      <c r="J289" s="429"/>
      <c r="K289" s="429"/>
      <c r="L289" s="429"/>
      <c r="M289" s="429"/>
      <c r="N289" s="429"/>
      <c r="O289" s="429"/>
      <c r="P289" s="429"/>
      <c r="Q289" s="429"/>
      <c r="R289" s="429"/>
      <c r="S289" s="429"/>
    </row>
    <row r="290" spans="1:19" x14ac:dyDescent="0.25">
      <c r="A290" s="429"/>
      <c r="B290" s="633">
        <f t="shared" si="4"/>
        <v>2.8499999999999832</v>
      </c>
      <c r="C290" s="646">
        <f>1/DATI!$E$38*IF(B290&lt;DATI!$E$45,DATI!$E$32*DATI!$E$42*DATI!$E$49*DATI!$E$33*(B290/DATI!$E$45+1/(DATI!$E$49*DATI!$E$33)*(1-B290/DATI!$E$45)),IF(B290&lt;DATI!$E$46,DATI!$E$32*DATI!$E$42*DATI!$E$49*DATI!$E$33,IF(B290&lt;DATI!$E$47,DATI!$E$32*DATI!$E$42*DATI!$E$49*DATI!$E$33*(DATI!$E$46/B290),DATI!$E$32*DATI!$E$42*DATI!$E$49*DATI!$E$33*((DATI!$E$46*DATI!$E$47)/B290^2))))</f>
        <v>5.8501857600408096E-2</v>
      </c>
      <c r="D290" s="306"/>
      <c r="E290" s="429"/>
      <c r="F290" s="429"/>
      <c r="G290" s="429"/>
      <c r="H290" s="429"/>
      <c r="I290" s="429"/>
      <c r="J290" s="429"/>
      <c r="K290" s="429"/>
      <c r="L290" s="429"/>
      <c r="M290" s="429"/>
      <c r="N290" s="429"/>
      <c r="O290" s="429"/>
      <c r="P290" s="429"/>
      <c r="Q290" s="429"/>
      <c r="R290" s="429"/>
      <c r="S290" s="429"/>
    </row>
    <row r="291" spans="1:19" x14ac:dyDescent="0.25">
      <c r="A291" s="429"/>
      <c r="B291" s="633">
        <f t="shared" si="4"/>
        <v>2.859999999999983</v>
      </c>
      <c r="C291" s="646">
        <f>1/DATI!$E$38*IF(B291&lt;DATI!$E$45,DATI!$E$32*DATI!$E$42*DATI!$E$49*DATI!$E$33*(B291/DATI!$E$45+1/(DATI!$E$49*DATI!$E$33)*(1-B291/DATI!$E$45)),IF(B291&lt;DATI!$E$46,DATI!$E$32*DATI!$E$42*DATI!$E$49*DATI!$E$33,IF(B291&lt;DATI!$E$47,DATI!$E$32*DATI!$E$42*DATI!$E$49*DATI!$E$33*(DATI!$E$46/B291),DATI!$E$32*DATI!$E$42*DATI!$E$49*DATI!$E$33*((DATI!$E$46*DATI!$E$47)/B291^2))))</f>
        <v>5.8093468917711714E-2</v>
      </c>
      <c r="D291" s="306"/>
      <c r="E291" s="429"/>
      <c r="F291" s="429"/>
      <c r="G291" s="429"/>
      <c r="H291" s="429"/>
      <c r="I291" s="429"/>
      <c r="J291" s="429"/>
      <c r="K291" s="429"/>
      <c r="L291" s="429"/>
      <c r="M291" s="429"/>
      <c r="N291" s="429"/>
      <c r="O291" s="429"/>
      <c r="P291" s="429"/>
      <c r="Q291" s="429"/>
      <c r="R291" s="429"/>
      <c r="S291" s="429"/>
    </row>
    <row r="292" spans="1:19" x14ac:dyDescent="0.25">
      <c r="A292" s="429"/>
      <c r="B292" s="633">
        <f t="shared" si="4"/>
        <v>2.8699999999999828</v>
      </c>
      <c r="C292" s="646">
        <f>1/DATI!$E$38*IF(B292&lt;DATI!$E$45,DATI!$E$32*DATI!$E$42*DATI!$E$49*DATI!$E$33*(B292/DATI!$E$45+1/(DATI!$E$49*DATI!$E$33)*(1-B292/DATI!$E$45)),IF(B292&lt;DATI!$E$46,DATI!$E$32*DATI!$E$42*DATI!$E$49*DATI!$E$33,IF(B292&lt;DATI!$E$47,DATI!$E$32*DATI!$E$42*DATI!$E$49*DATI!$E$33*(DATI!$E$46/B292),DATI!$E$32*DATI!$E$42*DATI!$E$49*DATI!$E$33*((DATI!$E$46*DATI!$E$47)/B292^2))))</f>
        <v>5.7689341664863586E-2</v>
      </c>
      <c r="D292" s="306"/>
      <c r="E292" s="429"/>
      <c r="F292" s="429"/>
      <c r="G292" s="429"/>
      <c r="H292" s="429"/>
      <c r="I292" s="429"/>
      <c r="J292" s="429"/>
      <c r="K292" s="429"/>
      <c r="L292" s="429"/>
      <c r="M292" s="429"/>
      <c r="N292" s="429"/>
      <c r="O292" s="429"/>
      <c r="P292" s="429"/>
      <c r="Q292" s="429"/>
      <c r="R292" s="429"/>
      <c r="S292" s="429"/>
    </row>
    <row r="293" spans="1:19" x14ac:dyDescent="0.25">
      <c r="A293" s="429"/>
      <c r="B293" s="633">
        <f t="shared" si="4"/>
        <v>2.8799999999999826</v>
      </c>
      <c r="C293" s="646">
        <f>1/DATI!$E$38*IF(B293&lt;DATI!$E$45,DATI!$E$32*DATI!$E$42*DATI!$E$49*DATI!$E$33*(B293/DATI!$E$45+1/(DATI!$E$49*DATI!$E$33)*(1-B293/DATI!$E$45)),IF(B293&lt;DATI!$E$46,DATI!$E$32*DATI!$E$42*DATI!$E$49*DATI!$E$33,IF(B293&lt;DATI!$E$47,DATI!$E$32*DATI!$E$42*DATI!$E$49*DATI!$E$33*(DATI!$E$46/B293),DATI!$E$32*DATI!$E$42*DATI!$E$49*DATI!$E$33*((DATI!$E$46*DATI!$E$47)/B293^2))))</f>
        <v>5.7289416758212149E-2</v>
      </c>
      <c r="D293" s="306"/>
      <c r="E293" s="429"/>
      <c r="F293" s="429"/>
      <c r="G293" s="429"/>
      <c r="H293" s="429"/>
      <c r="I293" s="429"/>
      <c r="J293" s="429"/>
      <c r="K293" s="429"/>
      <c r="L293" s="429"/>
      <c r="M293" s="429"/>
      <c r="N293" s="429"/>
      <c r="O293" s="429"/>
      <c r="P293" s="429"/>
      <c r="Q293" s="429"/>
      <c r="R293" s="429"/>
      <c r="S293" s="429"/>
    </row>
    <row r="294" spans="1:19" x14ac:dyDescent="0.25">
      <c r="A294" s="429"/>
      <c r="B294" s="633">
        <f t="shared" si="4"/>
        <v>2.8899999999999824</v>
      </c>
      <c r="C294" s="646">
        <f>1/DATI!$E$38*IF(B294&lt;DATI!$E$45,DATI!$E$32*DATI!$E$42*DATI!$E$49*DATI!$E$33*(B294/DATI!$E$45+1/(DATI!$E$49*DATI!$E$33)*(1-B294/DATI!$E$45)),IF(B294&lt;DATI!$E$46,DATI!$E$32*DATI!$E$42*DATI!$E$49*DATI!$E$33,IF(B294&lt;DATI!$E$47,DATI!$E$32*DATI!$E$42*DATI!$E$49*DATI!$E$33*(DATI!$E$46/B294),DATI!$E$32*DATI!$E$42*DATI!$E$49*DATI!$E$33*((DATI!$E$46*DATI!$E$47)/B294^2))))</f>
        <v>5.6893636134542805E-2</v>
      </c>
      <c r="D294" s="306"/>
      <c r="E294" s="429"/>
      <c r="F294" s="429"/>
      <c r="G294" s="429"/>
      <c r="H294" s="429"/>
      <c r="I294" s="429"/>
      <c r="J294" s="429"/>
      <c r="K294" s="429"/>
      <c r="L294" s="429"/>
      <c r="M294" s="429"/>
      <c r="N294" s="429"/>
      <c r="O294" s="429"/>
      <c r="P294" s="429"/>
      <c r="Q294" s="429"/>
      <c r="R294" s="429"/>
      <c r="S294" s="429"/>
    </row>
    <row r="295" spans="1:19" x14ac:dyDescent="0.25">
      <c r="A295" s="429"/>
      <c r="B295" s="633">
        <f t="shared" si="4"/>
        <v>2.8999999999999821</v>
      </c>
      <c r="C295" s="646">
        <f>1/DATI!$E$38*IF(B295&lt;DATI!$E$45,DATI!$E$32*DATI!$E$42*DATI!$E$49*DATI!$E$33*(B295/DATI!$E$45+1/(DATI!$E$49*DATI!$E$33)*(1-B295/DATI!$E$45)),IF(B295&lt;DATI!$E$46,DATI!$E$32*DATI!$E$42*DATI!$E$49*DATI!$E$33,IF(B295&lt;DATI!$E$47,DATI!$E$32*DATI!$E$42*DATI!$E$49*DATI!$E$33*(DATI!$E$46/B295),DATI!$E$32*DATI!$E$42*DATI!$E$49*DATI!$E$33*((DATI!$E$46*DATI!$E$47)/B295^2))))</f>
        <v>5.6501942730001774E-2</v>
      </c>
      <c r="D295" s="306"/>
      <c r="E295" s="429"/>
      <c r="F295" s="429"/>
      <c r="G295" s="429"/>
      <c r="H295" s="429"/>
      <c r="I295" s="429"/>
      <c r="J295" s="429"/>
      <c r="K295" s="429"/>
      <c r="L295" s="429"/>
      <c r="M295" s="429"/>
      <c r="N295" s="429"/>
      <c r="O295" s="429"/>
      <c r="P295" s="429"/>
      <c r="Q295" s="429"/>
      <c r="R295" s="429"/>
      <c r="S295" s="429"/>
    </row>
    <row r="296" spans="1:19" x14ac:dyDescent="0.25">
      <c r="A296" s="429"/>
      <c r="B296" s="633">
        <f t="shared" si="4"/>
        <v>2.9099999999999819</v>
      </c>
      <c r="C296" s="646">
        <f>1/DATI!$E$38*IF(B296&lt;DATI!$E$45,DATI!$E$32*DATI!$E$42*DATI!$E$49*DATI!$E$33*(B296/DATI!$E$45+1/(DATI!$E$49*DATI!$E$33)*(1-B296/DATI!$E$45)),IF(B296&lt;DATI!$E$46,DATI!$E$32*DATI!$E$42*DATI!$E$49*DATI!$E$33,IF(B296&lt;DATI!$E$47,DATI!$E$32*DATI!$E$42*DATI!$E$49*DATI!$E$33*(DATI!$E$46/B296),DATI!$E$32*DATI!$E$42*DATI!$E$49*DATI!$E$33*((DATI!$E$46*DATI!$E$47)/B296^2))))</f>
        <v>5.6114280459526343E-2</v>
      </c>
      <c r="D296" s="306"/>
      <c r="E296" s="429"/>
      <c r="F296" s="429"/>
      <c r="G296" s="429"/>
      <c r="H296" s="429"/>
      <c r="I296" s="429"/>
      <c r="J296" s="429"/>
      <c r="K296" s="429"/>
      <c r="L296" s="429"/>
      <c r="M296" s="429"/>
      <c r="N296" s="429"/>
      <c r="O296" s="429"/>
      <c r="P296" s="429"/>
      <c r="Q296" s="429"/>
      <c r="R296" s="429"/>
      <c r="S296" s="429"/>
    </row>
    <row r="297" spans="1:19" x14ac:dyDescent="0.25">
      <c r="A297" s="429"/>
      <c r="B297" s="633">
        <f t="shared" si="4"/>
        <v>2.9199999999999817</v>
      </c>
      <c r="C297" s="646">
        <f>1/DATI!$E$38*IF(B297&lt;DATI!$E$45,DATI!$E$32*DATI!$E$42*DATI!$E$49*DATI!$E$33*(B297/DATI!$E$45+1/(DATI!$E$49*DATI!$E$33)*(1-B297/DATI!$E$45)),IF(B297&lt;DATI!$E$46,DATI!$E$32*DATI!$E$42*DATI!$E$49*DATI!$E$33,IF(B297&lt;DATI!$E$47,DATI!$E$32*DATI!$E$42*DATI!$E$49*DATI!$E$33*(DATI!$E$46/B297),DATI!$E$32*DATI!$E$42*DATI!$E$49*DATI!$E$33*((DATI!$E$46*DATI!$E$47)/B297^2))))</f>
        <v>5.5730594196767111E-2</v>
      </c>
      <c r="D297" s="306"/>
      <c r="E297" s="429"/>
      <c r="F297" s="429"/>
      <c r="G297" s="429"/>
      <c r="H297" s="429"/>
      <c r="I297" s="429"/>
      <c r="J297" s="429"/>
      <c r="K297" s="429"/>
      <c r="L297" s="429"/>
      <c r="M297" s="429"/>
      <c r="N297" s="429"/>
      <c r="O297" s="429"/>
      <c r="P297" s="429"/>
      <c r="Q297" s="429"/>
      <c r="R297" s="429"/>
      <c r="S297" s="429"/>
    </row>
    <row r="298" spans="1:19" x14ac:dyDescent="0.25">
      <c r="A298" s="429"/>
      <c r="B298" s="633">
        <f t="shared" si="4"/>
        <v>2.9299999999999815</v>
      </c>
      <c r="C298" s="646">
        <f>1/DATI!$E$38*IF(B298&lt;DATI!$E$45,DATI!$E$32*DATI!$E$42*DATI!$E$49*DATI!$E$33*(B298/DATI!$E$45+1/(DATI!$E$49*DATI!$E$33)*(1-B298/DATI!$E$45)),IF(B298&lt;DATI!$E$46,DATI!$E$32*DATI!$E$42*DATI!$E$49*DATI!$E$33,IF(B298&lt;DATI!$E$47,DATI!$E$32*DATI!$E$42*DATI!$E$49*DATI!$E$33*(DATI!$E$46/B298),DATI!$E$32*DATI!$E$42*DATI!$E$49*DATI!$E$33*((DATI!$E$46*DATI!$E$47)/B298^2))))</f>
        <v>5.5350829754489295E-2</v>
      </c>
      <c r="D298" s="306"/>
      <c r="E298" s="429"/>
      <c r="F298" s="429"/>
      <c r="G298" s="429"/>
      <c r="H298" s="429"/>
      <c r="I298" s="429"/>
      <c r="J298" s="429"/>
      <c r="K298" s="429"/>
      <c r="L298" s="429"/>
      <c r="M298" s="429"/>
      <c r="N298" s="429"/>
      <c r="O298" s="429"/>
      <c r="P298" s="429"/>
      <c r="Q298" s="429"/>
      <c r="R298" s="429"/>
      <c r="S298" s="429"/>
    </row>
    <row r="299" spans="1:19" x14ac:dyDescent="0.25">
      <c r="A299" s="429"/>
      <c r="B299" s="633">
        <f t="shared" si="4"/>
        <v>2.9399999999999813</v>
      </c>
      <c r="C299" s="646">
        <f>1/DATI!$E$38*IF(B299&lt;DATI!$E$45,DATI!$E$32*DATI!$E$42*DATI!$E$49*DATI!$E$33*(B299/DATI!$E$45+1/(DATI!$E$49*DATI!$E$33)*(1-B299/DATI!$E$45)),IF(B299&lt;DATI!$E$46,DATI!$E$32*DATI!$E$42*DATI!$E$49*DATI!$E$33,IF(B299&lt;DATI!$E$47,DATI!$E$32*DATI!$E$42*DATI!$E$49*DATI!$E$33*(DATI!$E$46/B299),DATI!$E$32*DATI!$E$42*DATI!$E$49*DATI!$E$33*((DATI!$E$46*DATI!$E$47)/B299^2))))</f>
        <v>5.4974933865439765E-2</v>
      </c>
      <c r="D299" s="306"/>
      <c r="E299" s="429"/>
      <c r="F299" s="429"/>
      <c r="G299" s="429"/>
      <c r="H299" s="429"/>
      <c r="I299" s="429"/>
      <c r="J299" s="429"/>
      <c r="K299" s="429"/>
      <c r="L299" s="429"/>
      <c r="M299" s="429"/>
      <c r="N299" s="429"/>
      <c r="O299" s="429"/>
      <c r="P299" s="429"/>
      <c r="Q299" s="429"/>
      <c r="R299" s="429"/>
      <c r="S299" s="429"/>
    </row>
    <row r="300" spans="1:19" x14ac:dyDescent="0.25">
      <c r="A300" s="429"/>
      <c r="B300" s="633">
        <f t="shared" si="4"/>
        <v>2.9499999999999811</v>
      </c>
      <c r="C300" s="646">
        <f>1/DATI!$E$38*IF(B300&lt;DATI!$E$45,DATI!$E$32*DATI!$E$42*DATI!$E$49*DATI!$E$33*(B300/DATI!$E$45+1/(DATI!$E$49*DATI!$E$33)*(1-B300/DATI!$E$45)),IF(B300&lt;DATI!$E$46,DATI!$E$32*DATI!$E$42*DATI!$E$49*DATI!$E$33,IF(B300&lt;DATI!$E$47,DATI!$E$32*DATI!$E$42*DATI!$E$49*DATI!$E$33*(DATI!$E$46/B300),DATI!$E$32*DATI!$E$42*DATI!$E$49*DATI!$E$33*((DATI!$E$46*DATI!$E$47)/B300^2))))</f>
        <v>5.4602854163667364E-2</v>
      </c>
      <c r="D300" s="306"/>
      <c r="E300" s="429"/>
      <c r="F300" s="429"/>
      <c r="G300" s="429"/>
      <c r="H300" s="429"/>
      <c r="I300" s="429"/>
      <c r="J300" s="429"/>
      <c r="K300" s="429"/>
      <c r="L300" s="429"/>
      <c r="M300" s="429"/>
      <c r="N300" s="429"/>
      <c r="O300" s="429"/>
      <c r="P300" s="429"/>
      <c r="Q300" s="429"/>
      <c r="R300" s="429"/>
      <c r="S300" s="429"/>
    </row>
    <row r="301" spans="1:19" x14ac:dyDescent="0.25">
      <c r="A301" s="429"/>
      <c r="B301" s="633">
        <f t="shared" si="4"/>
        <v>2.9599999999999809</v>
      </c>
      <c r="C301" s="646">
        <f>1/DATI!$E$38*IF(B301&lt;DATI!$E$45,DATI!$E$32*DATI!$E$42*DATI!$E$49*DATI!$E$33*(B301/DATI!$E$45+1/(DATI!$E$49*DATI!$E$33)*(1-B301/DATI!$E$45)),IF(B301&lt;DATI!$E$46,DATI!$E$32*DATI!$E$42*DATI!$E$49*DATI!$E$33,IF(B301&lt;DATI!$E$47,DATI!$E$32*DATI!$E$42*DATI!$E$49*DATI!$E$33*(DATI!$E$46/B301),DATI!$E$32*DATI!$E$42*DATI!$E$49*DATI!$E$33*((DATI!$E$46*DATI!$E$47)/B301^2))))</f>
        <v>5.4234539166284165E-2</v>
      </c>
      <c r="D301" s="306"/>
      <c r="E301" s="429"/>
      <c r="F301" s="429"/>
      <c r="G301" s="429"/>
      <c r="H301" s="429"/>
      <c r="I301" s="429"/>
      <c r="J301" s="429"/>
      <c r="K301" s="429"/>
      <c r="L301" s="429"/>
      <c r="M301" s="429"/>
      <c r="N301" s="429"/>
      <c r="O301" s="429"/>
      <c r="P301" s="429"/>
      <c r="Q301" s="429"/>
      <c r="R301" s="429"/>
      <c r="S301" s="429"/>
    </row>
    <row r="302" spans="1:19" x14ac:dyDescent="0.25">
      <c r="A302" s="429"/>
      <c r="B302" s="633">
        <f t="shared" si="4"/>
        <v>2.9699999999999807</v>
      </c>
      <c r="C302" s="646">
        <f>1/DATI!$E$38*IF(B302&lt;DATI!$E$45,DATI!$E$32*DATI!$E$42*DATI!$E$49*DATI!$E$33*(B302/DATI!$E$45+1/(DATI!$E$49*DATI!$E$33)*(1-B302/DATI!$E$45)),IF(B302&lt;DATI!$E$46,DATI!$E$32*DATI!$E$42*DATI!$E$49*DATI!$E$33,IF(B302&lt;DATI!$E$47,DATI!$E$32*DATI!$E$42*DATI!$E$49*DATI!$E$33*(DATI!$E$46/B302),DATI!$E$32*DATI!$E$42*DATI!$E$49*DATI!$E$33*((DATI!$E$46*DATI!$E$47)/B302^2))))</f>
        <v>5.3869938255655926E-2</v>
      </c>
      <c r="D302" s="306"/>
      <c r="E302" s="429"/>
      <c r="F302" s="429"/>
      <c r="G302" s="429"/>
      <c r="H302" s="429"/>
      <c r="I302" s="429"/>
      <c r="J302" s="429"/>
      <c r="K302" s="429"/>
      <c r="L302" s="429"/>
      <c r="M302" s="429"/>
      <c r="N302" s="429"/>
      <c r="O302" s="429"/>
      <c r="P302" s="429"/>
      <c r="Q302" s="429"/>
      <c r="R302" s="429"/>
      <c r="S302" s="429"/>
    </row>
    <row r="303" spans="1:19" x14ac:dyDescent="0.25">
      <c r="A303" s="429"/>
      <c r="B303" s="633">
        <f t="shared" si="4"/>
        <v>2.9799999999999804</v>
      </c>
      <c r="C303" s="646">
        <f>1/DATI!$E$38*IF(B303&lt;DATI!$E$45,DATI!$E$32*DATI!$E$42*DATI!$E$49*DATI!$E$33*(B303/DATI!$E$45+1/(DATI!$E$49*DATI!$E$33)*(1-B303/DATI!$E$45)),IF(B303&lt;DATI!$E$46,DATI!$E$32*DATI!$E$42*DATI!$E$49*DATI!$E$33,IF(B303&lt;DATI!$E$47,DATI!$E$32*DATI!$E$42*DATI!$E$49*DATI!$E$33*(DATI!$E$46/B303),DATI!$E$32*DATI!$E$42*DATI!$E$49*DATI!$E$33*((DATI!$E$46*DATI!$E$47)/B303^2))))</f>
        <v>5.3509001662010204E-2</v>
      </c>
      <c r="D303" s="306"/>
      <c r="E303" s="429"/>
      <c r="F303" s="429"/>
      <c r="G303" s="429"/>
      <c r="H303" s="429"/>
      <c r="I303" s="429"/>
      <c r="J303" s="429"/>
      <c r="K303" s="429"/>
      <c r="L303" s="429"/>
      <c r="M303" s="429"/>
      <c r="N303" s="429"/>
      <c r="O303" s="429"/>
      <c r="P303" s="429"/>
      <c r="Q303" s="429"/>
      <c r="R303" s="429"/>
      <c r="S303" s="429"/>
    </row>
    <row r="304" spans="1:19" x14ac:dyDescent="0.25">
      <c r="A304" s="429"/>
      <c r="B304" s="633">
        <f t="shared" si="4"/>
        <v>2.9899999999999802</v>
      </c>
      <c r="C304" s="646">
        <f>1/DATI!$E$38*IF(B304&lt;DATI!$E$45,DATI!$E$32*DATI!$E$42*DATI!$E$49*DATI!$E$33*(B304/DATI!$E$45+1/(DATI!$E$49*DATI!$E$33)*(1-B304/DATI!$E$45)),IF(B304&lt;DATI!$E$46,DATI!$E$32*DATI!$E$42*DATI!$E$49*DATI!$E$33,IF(B304&lt;DATI!$E$47,DATI!$E$32*DATI!$E$42*DATI!$E$49*DATI!$E$33*(DATI!$E$46/B304),DATI!$E$32*DATI!$E$42*DATI!$E$49*DATI!$E$33*((DATI!$E$46*DATI!$E$47)/B304^2))))</f>
        <v>5.3151680446450869E-2</v>
      </c>
      <c r="D304" s="306"/>
      <c r="E304" s="429"/>
      <c r="F304" s="429"/>
      <c r="G304" s="429"/>
      <c r="H304" s="429"/>
      <c r="I304" s="429"/>
      <c r="J304" s="429"/>
      <c r="K304" s="429"/>
      <c r="L304" s="429"/>
      <c r="M304" s="429"/>
      <c r="N304" s="429"/>
      <c r="O304" s="429"/>
      <c r="P304" s="429"/>
      <c r="Q304" s="429"/>
      <c r="R304" s="429"/>
      <c r="S304" s="429"/>
    </row>
    <row r="305" spans="1:19" x14ac:dyDescent="0.25">
      <c r="A305" s="429"/>
      <c r="B305" s="633">
        <f t="shared" si="4"/>
        <v>2.99999999999998</v>
      </c>
      <c r="C305" s="646">
        <f>1/DATI!$E$38*IF(B305&lt;DATI!$E$45,DATI!$E$32*DATI!$E$42*DATI!$E$49*DATI!$E$33*(B305/DATI!$E$45+1/(DATI!$E$49*DATI!$E$33)*(1-B305/DATI!$E$45)),IF(B305&lt;DATI!$E$46,DATI!$E$32*DATI!$E$42*DATI!$E$49*DATI!$E$33,IF(B305&lt;DATI!$E$47,DATI!$E$32*DATI!$E$42*DATI!$E$49*DATI!$E$33*(DATI!$E$46/B305),DATI!$E$32*DATI!$E$42*DATI!$E$49*DATI!$E$33*((DATI!$E$46*DATI!$E$47)/B305^2))))</f>
        <v>5.2797926484368395E-2</v>
      </c>
      <c r="D305" s="306"/>
      <c r="E305" s="429"/>
      <c r="F305" s="429"/>
      <c r="G305" s="429"/>
      <c r="H305" s="429"/>
      <c r="I305" s="429"/>
      <c r="J305" s="429"/>
      <c r="K305" s="429"/>
      <c r="L305" s="429"/>
      <c r="M305" s="429"/>
      <c r="N305" s="429"/>
      <c r="O305" s="429"/>
      <c r="P305" s="429"/>
      <c r="Q305" s="429"/>
      <c r="R305" s="429"/>
      <c r="S305" s="429"/>
    </row>
    <row r="306" spans="1:19" x14ac:dyDescent="0.25">
      <c r="A306" s="429"/>
      <c r="B306" s="633">
        <f t="shared" si="4"/>
        <v>3.0099999999999798</v>
      </c>
      <c r="C306" s="646">
        <f>1/DATI!$E$38*IF(B306&lt;DATI!$E$45,DATI!$E$32*DATI!$E$42*DATI!$E$49*DATI!$E$33*(B306/DATI!$E$45+1/(DATI!$E$49*DATI!$E$33)*(1-B306/DATI!$E$45)),IF(B306&lt;DATI!$E$46,DATI!$E$32*DATI!$E$42*DATI!$E$49*DATI!$E$33,IF(B306&lt;DATI!$E$47,DATI!$E$32*DATI!$E$42*DATI!$E$49*DATI!$E$33*(DATI!$E$46/B306),DATI!$E$32*DATI!$E$42*DATI!$E$49*DATI!$E$33*((DATI!$E$46*DATI!$E$47)/B306^2))))</f>
        <v>5.2447692449235167E-2</v>
      </c>
      <c r="D306" s="306"/>
      <c r="E306" s="429"/>
      <c r="F306" s="429"/>
      <c r="G306" s="429"/>
      <c r="H306" s="429"/>
      <c r="I306" s="429"/>
      <c r="J306" s="429"/>
      <c r="K306" s="429"/>
      <c r="L306" s="429"/>
      <c r="M306" s="429"/>
      <c r="N306" s="429"/>
      <c r="O306" s="429"/>
      <c r="P306" s="429"/>
      <c r="Q306" s="429"/>
      <c r="R306" s="429"/>
      <c r="S306" s="429"/>
    </row>
    <row r="307" spans="1:19" x14ac:dyDescent="0.25">
      <c r="A307" s="429"/>
      <c r="B307" s="633">
        <f t="shared" si="4"/>
        <v>3.0199999999999796</v>
      </c>
      <c r="C307" s="646">
        <f>1/DATI!$E$38*IF(B307&lt;DATI!$E$45,DATI!$E$32*DATI!$E$42*DATI!$E$49*DATI!$E$33*(B307/DATI!$E$45+1/(DATI!$E$49*DATI!$E$33)*(1-B307/DATI!$E$45)),IF(B307&lt;DATI!$E$46,DATI!$E$32*DATI!$E$42*DATI!$E$49*DATI!$E$33,IF(B307&lt;DATI!$E$47,DATI!$E$32*DATI!$E$42*DATI!$E$49*DATI!$E$33*(DATI!$E$46/B307),DATI!$E$32*DATI!$E$42*DATI!$E$49*DATI!$E$33*((DATI!$E$46*DATI!$E$47)/B307^2))))</f>
        <v>5.2100931796775968E-2</v>
      </c>
      <c r="D307" s="306"/>
      <c r="E307" s="429"/>
      <c r="F307" s="429"/>
      <c r="G307" s="429"/>
      <c r="H307" s="429"/>
      <c r="I307" s="429"/>
      <c r="J307" s="429"/>
      <c r="K307" s="429"/>
      <c r="L307" s="429"/>
      <c r="M307" s="429"/>
      <c r="N307" s="429"/>
      <c r="O307" s="429"/>
      <c r="P307" s="429"/>
      <c r="Q307" s="429"/>
      <c r="R307" s="429"/>
      <c r="S307" s="429"/>
    </row>
    <row r="308" spans="1:19" x14ac:dyDescent="0.25">
      <c r="A308" s="429"/>
      <c r="B308" s="633">
        <f t="shared" si="4"/>
        <v>3.0299999999999794</v>
      </c>
      <c r="C308" s="646">
        <f>1/DATI!$E$38*IF(B308&lt;DATI!$E$45,DATI!$E$32*DATI!$E$42*DATI!$E$49*DATI!$E$33*(B308/DATI!$E$45+1/(DATI!$E$49*DATI!$E$33)*(1-B308/DATI!$E$45)),IF(B308&lt;DATI!$E$46,DATI!$E$32*DATI!$E$42*DATI!$E$49*DATI!$E$33,IF(B308&lt;DATI!$E$47,DATI!$E$32*DATI!$E$42*DATI!$E$49*DATI!$E$33*(DATI!$E$46/B308),DATI!$E$32*DATI!$E$42*DATI!$E$49*DATI!$E$33*((DATI!$E$46*DATI!$E$47)/B308^2))))</f>
        <v>5.1757598749503378E-2</v>
      </c>
      <c r="D308" s="306"/>
      <c r="E308" s="429"/>
      <c r="F308" s="429"/>
      <c r="G308" s="429"/>
      <c r="H308" s="429"/>
      <c r="I308" s="429"/>
      <c r="J308" s="429"/>
      <c r="K308" s="429"/>
      <c r="L308" s="429"/>
      <c r="M308" s="429"/>
      <c r="N308" s="429"/>
      <c r="O308" s="429"/>
      <c r="P308" s="429"/>
      <c r="Q308" s="429"/>
      <c r="R308" s="429"/>
      <c r="S308" s="429"/>
    </row>
    <row r="309" spans="1:19" x14ac:dyDescent="0.25">
      <c r="A309" s="429"/>
      <c r="B309" s="633">
        <f t="shared" si="4"/>
        <v>3.0399999999999792</v>
      </c>
      <c r="C309" s="646">
        <f>1/DATI!$E$38*IF(B309&lt;DATI!$E$45,DATI!$E$32*DATI!$E$42*DATI!$E$49*DATI!$E$33*(B309/DATI!$E$45+1/(DATI!$E$49*DATI!$E$33)*(1-B309/DATI!$E$45)),IF(B309&lt;DATI!$E$46,DATI!$E$32*DATI!$E$42*DATI!$E$49*DATI!$E$33,IF(B309&lt;DATI!$E$47,DATI!$E$32*DATI!$E$42*DATI!$E$49*DATI!$E$33*(DATI!$E$46/B309),DATI!$E$32*DATI!$E$42*DATI!$E$49*DATI!$E$33*((DATI!$E$46*DATI!$E$47)/B309^2))))</f>
        <v>5.1417648281608774E-2</v>
      </c>
      <c r="D309" s="306"/>
      <c r="E309" s="429"/>
      <c r="F309" s="429"/>
      <c r="G309" s="429"/>
      <c r="H309" s="429"/>
      <c r="I309" s="429"/>
      <c r="J309" s="429"/>
      <c r="K309" s="429"/>
      <c r="L309" s="429"/>
      <c r="M309" s="429"/>
      <c r="N309" s="429"/>
      <c r="O309" s="429"/>
      <c r="P309" s="429"/>
      <c r="Q309" s="429"/>
      <c r="R309" s="429"/>
      <c r="S309" s="429"/>
    </row>
    <row r="310" spans="1:19" x14ac:dyDescent="0.25">
      <c r="A310" s="429"/>
      <c r="B310" s="633">
        <f t="shared" si="4"/>
        <v>3.049999999999979</v>
      </c>
      <c r="C310" s="646">
        <f>1/DATI!$E$38*IF(B310&lt;DATI!$E$45,DATI!$E$32*DATI!$E$42*DATI!$E$49*DATI!$E$33*(B310/DATI!$E$45+1/(DATI!$E$49*DATI!$E$33)*(1-B310/DATI!$E$45)),IF(B310&lt;DATI!$E$46,DATI!$E$32*DATI!$E$42*DATI!$E$49*DATI!$E$33,IF(B310&lt;DATI!$E$47,DATI!$E$32*DATI!$E$42*DATI!$E$49*DATI!$E$33*(DATI!$E$46/B310),DATI!$E$32*DATI!$E$42*DATI!$E$49*DATI!$E$33*((DATI!$E$46*DATI!$E$47)/B310^2))))</f>
        <v>5.1081036104199486E-2</v>
      </c>
      <c r="D310" s="306"/>
      <c r="E310" s="429"/>
      <c r="F310" s="429"/>
      <c r="G310" s="429"/>
      <c r="H310" s="429"/>
      <c r="I310" s="429"/>
      <c r="J310" s="429"/>
      <c r="K310" s="429"/>
      <c r="L310" s="429"/>
      <c r="M310" s="429"/>
      <c r="N310" s="429"/>
      <c r="O310" s="429"/>
      <c r="P310" s="429"/>
      <c r="Q310" s="429"/>
      <c r="R310" s="429"/>
      <c r="S310" s="429"/>
    </row>
    <row r="311" spans="1:19" x14ac:dyDescent="0.25">
      <c r="A311" s="429"/>
      <c r="B311" s="633">
        <f t="shared" si="4"/>
        <v>3.0599999999999787</v>
      </c>
      <c r="C311" s="646">
        <f>1/DATI!$E$38*IF(B311&lt;DATI!$E$45,DATI!$E$32*DATI!$E$42*DATI!$E$49*DATI!$E$33*(B311/DATI!$E$45+1/(DATI!$E$49*DATI!$E$33)*(1-B311/DATI!$E$45)),IF(B311&lt;DATI!$E$46,DATI!$E$32*DATI!$E$42*DATI!$E$49*DATI!$E$33,IF(B311&lt;DATI!$E$47,DATI!$E$32*DATI!$E$42*DATI!$E$49*DATI!$E$33*(DATI!$E$46/B311),DATI!$E$32*DATI!$E$42*DATI!$E$49*DATI!$E$33*((DATI!$E$46*DATI!$E$47)/B311^2))))</f>
        <v>5.0747718650873137E-2</v>
      </c>
      <c r="D311" s="306"/>
      <c r="E311" s="429"/>
      <c r="F311" s="429"/>
      <c r="G311" s="429"/>
      <c r="H311" s="429"/>
      <c r="I311" s="429"/>
      <c r="J311" s="429"/>
      <c r="K311" s="429"/>
      <c r="L311" s="429"/>
      <c r="M311" s="429"/>
      <c r="N311" s="429"/>
      <c r="O311" s="429"/>
      <c r="P311" s="429"/>
      <c r="Q311" s="429"/>
      <c r="R311" s="429"/>
      <c r="S311" s="429"/>
    </row>
    <row r="312" spans="1:19" x14ac:dyDescent="0.25">
      <c r="A312" s="429"/>
      <c r="B312" s="633">
        <f t="shared" si="4"/>
        <v>3.0699999999999785</v>
      </c>
      <c r="C312" s="646">
        <f>1/DATI!$E$38*IF(B312&lt;DATI!$E$45,DATI!$E$32*DATI!$E$42*DATI!$E$49*DATI!$E$33*(B312/DATI!$E$45+1/(DATI!$E$49*DATI!$E$33)*(1-B312/DATI!$E$45)),IF(B312&lt;DATI!$E$46,DATI!$E$32*DATI!$E$42*DATI!$E$49*DATI!$E$33,IF(B312&lt;DATI!$E$47,DATI!$E$32*DATI!$E$42*DATI!$E$49*DATI!$E$33*(DATI!$E$46/B312),DATI!$E$32*DATI!$E$42*DATI!$E$49*DATI!$E$33*((DATI!$E$46*DATI!$E$47)/B312^2))))</f>
        <v>5.0417653063620387E-2</v>
      </c>
      <c r="D312" s="306"/>
      <c r="E312" s="429"/>
      <c r="F312" s="429"/>
      <c r="G312" s="429"/>
      <c r="H312" s="429"/>
      <c r="I312" s="429"/>
      <c r="J312" s="429"/>
      <c r="K312" s="429"/>
      <c r="L312" s="429"/>
      <c r="M312" s="429"/>
      <c r="N312" s="429"/>
      <c r="O312" s="429"/>
      <c r="P312" s="429"/>
      <c r="Q312" s="429"/>
      <c r="R312" s="429"/>
      <c r="S312" s="429"/>
    </row>
    <row r="313" spans="1:19" x14ac:dyDescent="0.25">
      <c r="A313" s="429"/>
      <c r="B313" s="633">
        <f t="shared" si="4"/>
        <v>3.0799999999999783</v>
      </c>
      <c r="C313" s="646">
        <f>1/DATI!$E$38*IF(B313&lt;DATI!$E$45,DATI!$E$32*DATI!$E$42*DATI!$E$49*DATI!$E$33*(B313/DATI!$E$45+1/(DATI!$E$49*DATI!$E$33)*(1-B313/DATI!$E$45)),IF(B313&lt;DATI!$E$46,DATI!$E$32*DATI!$E$42*DATI!$E$49*DATI!$E$33,IF(B313&lt;DATI!$E$47,DATI!$E$32*DATI!$E$42*DATI!$E$49*DATI!$E$33*(DATI!$E$46/B313),DATI!$E$32*DATI!$E$42*DATI!$E$49*DATI!$E$33*((DATI!$E$46*DATI!$E$47)/B313^2))))</f>
        <v>5.0090797179047457E-2</v>
      </c>
      <c r="D313" s="306"/>
      <c r="E313" s="429"/>
      <c r="F313" s="429"/>
      <c r="G313" s="429"/>
      <c r="H313" s="429"/>
      <c r="I313" s="429"/>
      <c r="J313" s="429"/>
      <c r="K313" s="429"/>
      <c r="L313" s="429"/>
      <c r="M313" s="429"/>
      <c r="N313" s="429"/>
      <c r="O313" s="429"/>
      <c r="P313" s="429"/>
      <c r="Q313" s="429"/>
      <c r="R313" s="429"/>
      <c r="S313" s="429"/>
    </row>
    <row r="314" spans="1:19" x14ac:dyDescent="0.25">
      <c r="A314" s="429"/>
      <c r="B314" s="633">
        <f t="shared" si="4"/>
        <v>3.0899999999999781</v>
      </c>
      <c r="C314" s="646">
        <f>1/DATI!$E$38*IF(B314&lt;DATI!$E$45,DATI!$E$32*DATI!$E$42*DATI!$E$49*DATI!$E$33*(B314/DATI!$E$45+1/(DATI!$E$49*DATI!$E$33)*(1-B314/DATI!$E$45)),IF(B314&lt;DATI!$E$46,DATI!$E$32*DATI!$E$42*DATI!$E$49*DATI!$E$33,IF(B314&lt;DATI!$E$47,DATI!$E$32*DATI!$E$42*DATI!$E$49*DATI!$E$33*(DATI!$E$46/B314),DATI!$E$32*DATI!$E$42*DATI!$E$49*DATI!$E$33*((DATI!$E$46*DATI!$E$47)/B314^2))))</f>
        <v>4.9767109514910389E-2</v>
      </c>
      <c r="D314" s="306"/>
      <c r="E314" s="429"/>
      <c r="F314" s="429"/>
      <c r="G314" s="429"/>
      <c r="H314" s="429"/>
      <c r="I314" s="429"/>
      <c r="J314" s="429"/>
      <c r="K314" s="429"/>
      <c r="L314" s="429"/>
      <c r="M314" s="429"/>
      <c r="N314" s="429"/>
      <c r="O314" s="429"/>
      <c r="P314" s="429"/>
      <c r="Q314" s="429"/>
      <c r="R314" s="429"/>
      <c r="S314" s="429"/>
    </row>
    <row r="315" spans="1:19" x14ac:dyDescent="0.25">
      <c r="A315" s="429"/>
      <c r="B315" s="633">
        <f t="shared" si="4"/>
        <v>3.0999999999999779</v>
      </c>
      <c r="C315" s="646">
        <f>1/DATI!$E$38*IF(B315&lt;DATI!$E$45,DATI!$E$32*DATI!$E$42*DATI!$E$49*DATI!$E$33*(B315/DATI!$E$45+1/(DATI!$E$49*DATI!$E$33)*(1-B315/DATI!$E$45)),IF(B315&lt;DATI!$E$46,DATI!$E$32*DATI!$E$42*DATI!$E$49*DATI!$E$33,IF(B315&lt;DATI!$E$47,DATI!$E$32*DATI!$E$42*DATI!$E$49*DATI!$E$33*(DATI!$E$46/B315),DATI!$E$32*DATI!$E$42*DATI!$E$49*DATI!$E$33*((DATI!$E$46*DATI!$E$47)/B315^2))))</f>
        <v>4.944654925695275E-2</v>
      </c>
      <c r="D315" s="306"/>
      <c r="E315" s="429"/>
      <c r="F315" s="429"/>
      <c r="G315" s="429"/>
      <c r="H315" s="429"/>
      <c r="I315" s="429"/>
      <c r="J315" s="429"/>
      <c r="K315" s="429"/>
      <c r="L315" s="429"/>
      <c r="M315" s="429"/>
      <c r="N315" s="429"/>
      <c r="O315" s="429"/>
      <c r="P315" s="429"/>
      <c r="Q315" s="429"/>
      <c r="R315" s="429"/>
      <c r="S315" s="429"/>
    </row>
    <row r="316" spans="1:19" x14ac:dyDescent="0.25">
      <c r="A316" s="429"/>
      <c r="B316" s="633">
        <f t="shared" si="4"/>
        <v>3.1099999999999777</v>
      </c>
      <c r="C316" s="646">
        <f>1/DATI!$E$38*IF(B316&lt;DATI!$E$45,DATI!$E$32*DATI!$E$42*DATI!$E$49*DATI!$E$33*(B316/DATI!$E$45+1/(DATI!$E$49*DATI!$E$33)*(1-B316/DATI!$E$45)),IF(B316&lt;DATI!$E$46,DATI!$E$32*DATI!$E$42*DATI!$E$49*DATI!$E$33,IF(B316&lt;DATI!$E$47,DATI!$E$32*DATI!$E$42*DATI!$E$49*DATI!$E$33*(DATI!$E$46/B316),DATI!$E$32*DATI!$E$42*DATI!$E$49*DATI!$E$33*((DATI!$E$46*DATI!$E$47)/B316^2))))</f>
        <v>4.9129076246039217E-2</v>
      </c>
      <c r="D316" s="306"/>
      <c r="E316" s="429"/>
      <c r="F316" s="429"/>
      <c r="G316" s="429"/>
      <c r="H316" s="429"/>
      <c r="I316" s="429"/>
      <c r="J316" s="429"/>
      <c r="K316" s="429"/>
      <c r="L316" s="429"/>
      <c r="M316" s="429"/>
      <c r="N316" s="429"/>
      <c r="O316" s="429"/>
      <c r="P316" s="429"/>
      <c r="Q316" s="429"/>
      <c r="R316" s="429"/>
      <c r="S316" s="429"/>
    </row>
    <row r="317" spans="1:19" x14ac:dyDescent="0.25">
      <c r="A317" s="429"/>
      <c r="B317" s="633">
        <f t="shared" si="4"/>
        <v>3.1199999999999775</v>
      </c>
      <c r="C317" s="646">
        <f>1/DATI!$E$38*IF(B317&lt;DATI!$E$45,DATI!$E$32*DATI!$E$42*DATI!$E$49*DATI!$E$33*(B317/DATI!$E$45+1/(DATI!$E$49*DATI!$E$33)*(1-B317/DATI!$E$45)),IF(B317&lt;DATI!$E$46,DATI!$E$32*DATI!$E$42*DATI!$E$49*DATI!$E$33,IF(B317&lt;DATI!$E$47,DATI!$E$32*DATI!$E$42*DATI!$E$49*DATI!$E$33*(DATI!$E$46/B317),DATI!$E$32*DATI!$E$42*DATI!$E$49*DATI!$E$33*((DATI!$E$46*DATI!$E$47)/B317^2))))</f>
        <v>4.8814650965577334E-2</v>
      </c>
      <c r="D317" s="306"/>
      <c r="E317" s="429"/>
      <c r="F317" s="429"/>
      <c r="G317" s="429"/>
      <c r="H317" s="429"/>
      <c r="I317" s="429"/>
      <c r="J317" s="429"/>
      <c r="K317" s="429"/>
      <c r="L317" s="429"/>
      <c r="M317" s="429"/>
      <c r="N317" s="429"/>
      <c r="O317" s="429"/>
      <c r="P317" s="429"/>
      <c r="Q317" s="429"/>
      <c r="R317" s="429"/>
      <c r="S317" s="429"/>
    </row>
    <row r="318" spans="1:19" x14ac:dyDescent="0.25">
      <c r="A318" s="429"/>
      <c r="B318" s="633">
        <f t="shared" si="4"/>
        <v>3.1299999999999772</v>
      </c>
      <c r="C318" s="646">
        <f>1/DATI!$E$38*IF(B318&lt;DATI!$E$45,DATI!$E$32*DATI!$E$42*DATI!$E$49*DATI!$E$33*(B318/DATI!$E$45+1/(DATI!$E$49*DATI!$E$33)*(1-B318/DATI!$E$45)),IF(B318&lt;DATI!$E$46,DATI!$E$32*DATI!$E$42*DATI!$E$49*DATI!$E$33,IF(B318&lt;DATI!$E$47,DATI!$E$32*DATI!$E$42*DATI!$E$49*DATI!$E$33*(DATI!$E$46/B318),DATI!$E$32*DATI!$E$42*DATI!$E$49*DATI!$E$33*((DATI!$E$46*DATI!$E$47)/B318^2))))</f>
        <v>4.850323452922007E-2</v>
      </c>
      <c r="D318" s="306"/>
      <c r="E318" s="429"/>
      <c r="F318" s="429"/>
      <c r="G318" s="429"/>
      <c r="H318" s="429"/>
      <c r="I318" s="429"/>
      <c r="J318" s="429"/>
      <c r="K318" s="429"/>
      <c r="L318" s="429"/>
      <c r="M318" s="429"/>
      <c r="N318" s="429"/>
      <c r="O318" s="429"/>
      <c r="P318" s="429"/>
      <c r="Q318" s="429"/>
      <c r="R318" s="429"/>
      <c r="S318" s="429"/>
    </row>
    <row r="319" spans="1:19" x14ac:dyDescent="0.25">
      <c r="A319" s="429"/>
      <c r="B319" s="633">
        <f t="shared" si="4"/>
        <v>3.139999999999977</v>
      </c>
      <c r="C319" s="646">
        <f>1/DATI!$E$38*IF(B319&lt;DATI!$E$45,DATI!$E$32*DATI!$E$42*DATI!$E$49*DATI!$E$33*(B319/DATI!$E$45+1/(DATI!$E$49*DATI!$E$33)*(1-B319/DATI!$E$45)),IF(B319&lt;DATI!$E$46,DATI!$E$32*DATI!$E$42*DATI!$E$49*DATI!$E$33,IF(B319&lt;DATI!$E$47,DATI!$E$32*DATI!$E$42*DATI!$E$49*DATI!$E$33*(DATI!$E$46/B319),DATI!$E$32*DATI!$E$42*DATI!$E$49*DATI!$E$33*((DATI!$E$46*DATI!$E$47)/B319^2))))</f>
        <v>4.8194788668842151E-2</v>
      </c>
      <c r="D319" s="306"/>
      <c r="E319" s="429"/>
      <c r="F319" s="429"/>
      <c r="G319" s="429"/>
      <c r="H319" s="429"/>
      <c r="I319" s="429"/>
      <c r="J319" s="429"/>
      <c r="K319" s="429"/>
      <c r="L319" s="429"/>
      <c r="M319" s="429"/>
      <c r="N319" s="429"/>
      <c r="O319" s="429"/>
      <c r="P319" s="429"/>
      <c r="Q319" s="429"/>
      <c r="R319" s="429"/>
      <c r="S319" s="429"/>
    </row>
    <row r="320" spans="1:19" x14ac:dyDescent="0.25">
      <c r="A320" s="429"/>
      <c r="B320" s="633">
        <f t="shared" si="4"/>
        <v>3.1499999999999768</v>
      </c>
      <c r="C320" s="646">
        <f>1/DATI!$E$38*IF(B320&lt;DATI!$E$45,DATI!$E$32*DATI!$E$42*DATI!$E$49*DATI!$E$33*(B320/DATI!$E$45+1/(DATI!$E$49*DATI!$E$33)*(1-B320/DATI!$E$45)),IF(B320&lt;DATI!$E$46,DATI!$E$32*DATI!$E$42*DATI!$E$49*DATI!$E$33,IF(B320&lt;DATI!$E$47,DATI!$E$32*DATI!$E$42*DATI!$E$49*DATI!$E$33*(DATI!$E$46/B320),DATI!$E$32*DATI!$E$42*DATI!$E$49*DATI!$E$33*((DATI!$E$46*DATI!$E$47)/B320^2))))</f>
        <v>4.7889275722783183E-2</v>
      </c>
      <c r="D320" s="306"/>
      <c r="E320" s="429"/>
      <c r="F320" s="429"/>
      <c r="G320" s="429"/>
      <c r="H320" s="429"/>
      <c r="I320" s="429"/>
      <c r="J320" s="429"/>
      <c r="K320" s="429"/>
      <c r="L320" s="429"/>
      <c r="M320" s="429"/>
      <c r="N320" s="429"/>
      <c r="O320" s="429"/>
      <c r="P320" s="429"/>
      <c r="Q320" s="429"/>
      <c r="R320" s="429"/>
      <c r="S320" s="429"/>
    </row>
    <row r="321" spans="1:19" x14ac:dyDescent="0.25">
      <c r="A321" s="429"/>
      <c r="B321" s="633">
        <f t="shared" si="4"/>
        <v>3.1599999999999766</v>
      </c>
      <c r="C321" s="646">
        <f>1/DATI!$E$38*IF(B321&lt;DATI!$E$45,DATI!$E$32*DATI!$E$42*DATI!$E$49*DATI!$E$33*(B321/DATI!$E$45+1/(DATI!$E$49*DATI!$E$33)*(1-B321/DATI!$E$45)),IF(B321&lt;DATI!$E$46,DATI!$E$32*DATI!$E$42*DATI!$E$49*DATI!$E$33,IF(B321&lt;DATI!$E$47,DATI!$E$32*DATI!$E$42*DATI!$E$49*DATI!$E$33*(DATI!$E$46/B321),DATI!$E$32*DATI!$E$42*DATI!$E$49*DATI!$E$33*((DATI!$E$46*DATI!$E$47)/B321^2))))</f>
        <v>4.7586658624350686E-2</v>
      </c>
      <c r="D321" s="306"/>
      <c r="E321" s="429"/>
      <c r="F321" s="429"/>
      <c r="G321" s="429"/>
      <c r="H321" s="429"/>
      <c r="I321" s="429"/>
      <c r="J321" s="429"/>
      <c r="K321" s="429"/>
      <c r="L321" s="429"/>
      <c r="M321" s="429"/>
      <c r="N321" s="429"/>
      <c r="O321" s="429"/>
      <c r="P321" s="429"/>
      <c r="Q321" s="429"/>
      <c r="R321" s="429"/>
      <c r="S321" s="429"/>
    </row>
    <row r="322" spans="1:19" x14ac:dyDescent="0.25">
      <c r="A322" s="429"/>
      <c r="B322" s="633">
        <f t="shared" si="4"/>
        <v>3.1699999999999764</v>
      </c>
      <c r="C322" s="646">
        <f>1/DATI!$E$38*IF(B322&lt;DATI!$E$45,DATI!$E$32*DATI!$E$42*DATI!$E$49*DATI!$E$33*(B322/DATI!$E$45+1/(DATI!$E$49*DATI!$E$33)*(1-B322/DATI!$E$45)),IF(B322&lt;DATI!$E$46,DATI!$E$32*DATI!$E$42*DATI!$E$49*DATI!$E$33,IF(B322&lt;DATI!$E$47,DATI!$E$32*DATI!$E$42*DATI!$E$49*DATI!$E$33*(DATI!$E$46/B322),DATI!$E$32*DATI!$E$42*DATI!$E$49*DATI!$E$33*((DATI!$E$46*DATI!$E$47)/B322^2))))</f>
        <v>4.7286900890576702E-2</v>
      </c>
      <c r="D322" s="306"/>
      <c r="E322" s="429"/>
      <c r="F322" s="429"/>
      <c r="G322" s="429"/>
      <c r="H322" s="429"/>
      <c r="I322" s="429"/>
      <c r="J322" s="429"/>
      <c r="K322" s="429"/>
      <c r="L322" s="429"/>
      <c r="M322" s="429"/>
      <c r="N322" s="429"/>
      <c r="O322" s="429"/>
      <c r="P322" s="429"/>
      <c r="Q322" s="429"/>
      <c r="R322" s="429"/>
      <c r="S322" s="429"/>
    </row>
    <row r="323" spans="1:19" x14ac:dyDescent="0.25">
      <c r="A323" s="429"/>
      <c r="B323" s="633">
        <f t="shared" si="4"/>
        <v>3.1799999999999762</v>
      </c>
      <c r="C323" s="646">
        <f>1/DATI!$E$38*IF(B323&lt;DATI!$E$45,DATI!$E$32*DATI!$E$42*DATI!$E$49*DATI!$E$33*(B323/DATI!$E$45+1/(DATI!$E$49*DATI!$E$33)*(1-B323/DATI!$E$45)),IF(B323&lt;DATI!$E$46,DATI!$E$32*DATI!$E$42*DATI!$E$49*DATI!$E$33,IF(B323&lt;DATI!$E$47,DATI!$E$32*DATI!$E$42*DATI!$E$49*DATI!$E$33*(DATI!$E$46/B323),DATI!$E$32*DATI!$E$42*DATI!$E$49*DATI!$E$33*((DATI!$E$46*DATI!$E$47)/B323^2))))</f>
        <v>4.6989966611221498E-2</v>
      </c>
      <c r="D323" s="306"/>
      <c r="E323" s="429"/>
      <c r="F323" s="429"/>
      <c r="G323" s="429"/>
      <c r="H323" s="429"/>
      <c r="I323" s="429"/>
      <c r="J323" s="429"/>
      <c r="K323" s="429"/>
      <c r="L323" s="429"/>
      <c r="M323" s="429"/>
      <c r="N323" s="429"/>
      <c r="O323" s="429"/>
      <c r="P323" s="429"/>
      <c r="Q323" s="429"/>
      <c r="R323" s="429"/>
      <c r="S323" s="429"/>
    </row>
    <row r="324" spans="1:19" x14ac:dyDescent="0.25">
      <c r="A324" s="429"/>
      <c r="B324" s="633">
        <f t="shared" si="4"/>
        <v>3.189999999999976</v>
      </c>
      <c r="C324" s="646">
        <f>1/DATI!$E$38*IF(B324&lt;DATI!$E$45,DATI!$E$32*DATI!$E$42*DATI!$E$49*DATI!$E$33*(B324/DATI!$E$45+1/(DATI!$E$49*DATI!$E$33)*(1-B324/DATI!$E$45)),IF(B324&lt;DATI!$E$46,DATI!$E$32*DATI!$E$42*DATI!$E$49*DATI!$E$33,IF(B324&lt;DATI!$E$47,DATI!$E$32*DATI!$E$42*DATI!$E$49*DATI!$E$33*(DATI!$E$46/B324),DATI!$E$32*DATI!$E$42*DATI!$E$49*DATI!$E$33*((DATI!$E$46*DATI!$E$47)/B324^2))))</f>
        <v>4.6695820438018135E-2</v>
      </c>
      <c r="D324" s="306"/>
      <c r="E324" s="429"/>
      <c r="F324" s="429"/>
      <c r="G324" s="429"/>
      <c r="H324" s="429"/>
      <c r="I324" s="429"/>
      <c r="J324" s="429"/>
      <c r="K324" s="429"/>
      <c r="L324" s="429"/>
      <c r="M324" s="429"/>
      <c r="N324" s="429"/>
      <c r="O324" s="429"/>
      <c r="P324" s="429"/>
      <c r="Q324" s="429"/>
      <c r="R324" s="429"/>
      <c r="S324" s="429"/>
    </row>
    <row r="325" spans="1:19" x14ac:dyDescent="0.25">
      <c r="A325" s="429"/>
      <c r="B325" s="633">
        <f t="shared" si="4"/>
        <v>3.1999999999999758</v>
      </c>
      <c r="C325" s="646">
        <f>1/DATI!$E$38*IF(B325&lt;DATI!$E$45,DATI!$E$32*DATI!$E$42*DATI!$E$49*DATI!$E$33*(B325/DATI!$E$45+1/(DATI!$E$49*DATI!$E$33)*(1-B325/DATI!$E$45)),IF(B325&lt;DATI!$E$46,DATI!$E$32*DATI!$E$42*DATI!$E$49*DATI!$E$33,IF(B325&lt;DATI!$E$47,DATI!$E$32*DATI!$E$42*DATI!$E$49*DATI!$E$33*(DATI!$E$46/B325),DATI!$E$32*DATI!$E$42*DATI!$E$49*DATI!$E$33*((DATI!$E$46*DATI!$E$47)/B325^2))))</f>
        <v>4.6404427574151981E-2</v>
      </c>
      <c r="D325" s="306"/>
      <c r="E325" s="429"/>
      <c r="F325" s="429"/>
      <c r="G325" s="429"/>
      <c r="H325" s="429"/>
      <c r="I325" s="429"/>
      <c r="J325" s="429"/>
      <c r="K325" s="429"/>
      <c r="L325" s="429"/>
      <c r="M325" s="429"/>
      <c r="N325" s="429"/>
      <c r="O325" s="429"/>
      <c r="P325" s="429"/>
      <c r="Q325" s="429"/>
      <c r="R325" s="429"/>
      <c r="S325" s="429"/>
    </row>
    <row r="326" spans="1:19" x14ac:dyDescent="0.25">
      <c r="A326" s="429"/>
      <c r="B326" s="633">
        <f t="shared" ref="B326:B389" si="5">0.01+B325</f>
        <v>3.2099999999999755</v>
      </c>
      <c r="C326" s="646">
        <f>1/DATI!$E$38*IF(B326&lt;DATI!$E$45,DATI!$E$32*DATI!$E$42*DATI!$E$49*DATI!$E$33*(B326/DATI!$E$45+1/(DATI!$E$49*DATI!$E$33)*(1-B326/DATI!$E$45)),IF(B326&lt;DATI!$E$46,DATI!$E$32*DATI!$E$42*DATI!$E$49*DATI!$E$33,IF(B326&lt;DATI!$E$47,DATI!$E$32*DATI!$E$42*DATI!$E$49*DATI!$E$33*(DATI!$E$46/B326),DATI!$E$32*DATI!$E$42*DATI!$E$49*DATI!$E$33*((DATI!$E$46*DATI!$E$47)/B326^2))))</f>
        <v>4.6115753763969328E-2</v>
      </c>
      <c r="D326" s="306"/>
      <c r="E326" s="429"/>
      <c r="F326" s="429"/>
      <c r="G326" s="429"/>
      <c r="H326" s="429"/>
      <c r="I326" s="429"/>
      <c r="J326" s="429"/>
      <c r="K326" s="429"/>
      <c r="L326" s="429"/>
      <c r="M326" s="429"/>
      <c r="N326" s="429"/>
      <c r="O326" s="429"/>
      <c r="P326" s="429"/>
      <c r="Q326" s="429"/>
      <c r="R326" s="429"/>
      <c r="S326" s="429"/>
    </row>
    <row r="327" spans="1:19" x14ac:dyDescent="0.25">
      <c r="A327" s="429"/>
      <c r="B327" s="633">
        <f t="shared" si="5"/>
        <v>3.2199999999999753</v>
      </c>
      <c r="C327" s="646">
        <f>1/DATI!$E$38*IF(B327&lt;DATI!$E$45,DATI!$E$32*DATI!$E$42*DATI!$E$49*DATI!$E$33*(B327/DATI!$E$45+1/(DATI!$E$49*DATI!$E$33)*(1-B327/DATI!$E$45)),IF(B327&lt;DATI!$E$46,DATI!$E$32*DATI!$E$42*DATI!$E$49*DATI!$E$33,IF(B327&lt;DATI!$E$47,DATI!$E$32*DATI!$E$42*DATI!$E$49*DATI!$E$33*(DATI!$E$46/B327),DATI!$E$32*DATI!$E$42*DATI!$E$49*DATI!$E$33*((DATI!$E$46*DATI!$E$47)/B327^2))))</f>
        <v>4.5829765282909267E-2</v>
      </c>
      <c r="D327" s="306"/>
      <c r="E327" s="429"/>
      <c r="F327" s="429"/>
      <c r="G327" s="429"/>
      <c r="H327" s="429"/>
      <c r="I327" s="429"/>
      <c r="J327" s="429"/>
      <c r="K327" s="429"/>
      <c r="L327" s="429"/>
      <c r="M327" s="429"/>
      <c r="N327" s="429"/>
      <c r="O327" s="429"/>
      <c r="P327" s="429"/>
      <c r="Q327" s="429"/>
      <c r="R327" s="429"/>
      <c r="S327" s="429"/>
    </row>
    <row r="328" spans="1:19" x14ac:dyDescent="0.25">
      <c r="A328" s="429"/>
      <c r="B328" s="633">
        <f t="shared" si="5"/>
        <v>3.2299999999999751</v>
      </c>
      <c r="C328" s="646">
        <f>1/DATI!$E$38*IF(B328&lt;DATI!$E$45,DATI!$E$32*DATI!$E$42*DATI!$E$49*DATI!$E$33*(B328/DATI!$E$45+1/(DATI!$E$49*DATI!$E$33)*(1-B328/DATI!$E$45)),IF(B328&lt;DATI!$E$46,DATI!$E$32*DATI!$E$42*DATI!$E$49*DATI!$E$33,IF(B328&lt;DATI!$E$47,DATI!$E$32*DATI!$E$42*DATI!$E$49*DATI!$E$33*(DATI!$E$46/B328),DATI!$E$32*DATI!$E$42*DATI!$E$49*DATI!$E$33*((DATI!$E$46*DATI!$E$47)/B328^2))))</f>
        <v>4.554642892765353E-2</v>
      </c>
      <c r="D328" s="306"/>
      <c r="E328" s="429"/>
      <c r="F328" s="429"/>
      <c r="G328" s="429"/>
      <c r="H328" s="429"/>
      <c r="I328" s="429"/>
      <c r="J328" s="429"/>
      <c r="K328" s="429"/>
      <c r="L328" s="429"/>
      <c r="M328" s="429"/>
      <c r="N328" s="429"/>
      <c r="O328" s="429"/>
      <c r="P328" s="429"/>
      <c r="Q328" s="429"/>
      <c r="R328" s="429"/>
      <c r="S328" s="429"/>
    </row>
    <row r="329" spans="1:19" x14ac:dyDescent="0.25">
      <c r="A329" s="429"/>
      <c r="B329" s="633">
        <f t="shared" si="5"/>
        <v>3.2399999999999749</v>
      </c>
      <c r="C329" s="646">
        <f>1/DATI!$E$38*IF(B329&lt;DATI!$E$45,DATI!$E$32*DATI!$E$42*DATI!$E$49*DATI!$E$33*(B329/DATI!$E$45+1/(DATI!$E$49*DATI!$E$33)*(1-B329/DATI!$E$45)),IF(B329&lt;DATI!$E$46,DATI!$E$32*DATI!$E$42*DATI!$E$49*DATI!$E$33,IF(B329&lt;DATI!$E$47,DATI!$E$32*DATI!$E$42*DATI!$E$49*DATI!$E$33*(DATI!$E$46/B329),DATI!$E$32*DATI!$E$42*DATI!$E$49*DATI!$E$33*((DATI!$E$46*DATI!$E$47)/B329^2))))</f>
        <v>4.5265712006488767E-2</v>
      </c>
      <c r="D329" s="306"/>
      <c r="E329" s="429"/>
      <c r="F329" s="429"/>
      <c r="G329" s="429"/>
      <c r="H329" s="429"/>
      <c r="I329" s="429"/>
      <c r="J329" s="429"/>
      <c r="K329" s="429"/>
      <c r="L329" s="429"/>
      <c r="M329" s="429"/>
      <c r="N329" s="429"/>
      <c r="O329" s="429"/>
      <c r="P329" s="429"/>
      <c r="Q329" s="429"/>
      <c r="R329" s="429"/>
      <c r="S329" s="429"/>
    </row>
    <row r="330" spans="1:19" x14ac:dyDescent="0.25">
      <c r="A330" s="429"/>
      <c r="B330" s="633">
        <f t="shared" si="5"/>
        <v>3.2499999999999747</v>
      </c>
      <c r="C330" s="646">
        <f>1/DATI!$E$38*IF(B330&lt;DATI!$E$45,DATI!$E$32*DATI!$E$42*DATI!$E$49*DATI!$E$33*(B330/DATI!$E$45+1/(DATI!$E$49*DATI!$E$33)*(1-B330/DATI!$E$45)),IF(B330&lt;DATI!$E$46,DATI!$E$32*DATI!$E$42*DATI!$E$49*DATI!$E$33,IF(B330&lt;DATI!$E$47,DATI!$E$32*DATI!$E$42*DATI!$E$49*DATI!$E$33*(DATI!$E$46/B330),DATI!$E$32*DATI!$E$42*DATI!$E$49*DATI!$E$33*((DATI!$E$46*DATI!$E$47)/B330^2))))</f>
        <v>4.4987582329876125E-2</v>
      </c>
      <c r="D330" s="306"/>
      <c r="E330" s="429"/>
      <c r="F330" s="429"/>
      <c r="G330" s="429"/>
      <c r="H330" s="429"/>
      <c r="I330" s="429"/>
      <c r="J330" s="429"/>
      <c r="K330" s="429"/>
      <c r="L330" s="429"/>
      <c r="M330" s="429"/>
      <c r="N330" s="429"/>
      <c r="O330" s="429"/>
      <c r="P330" s="429"/>
      <c r="Q330" s="429"/>
      <c r="R330" s="429"/>
      <c r="S330" s="429"/>
    </row>
    <row r="331" spans="1:19" x14ac:dyDescent="0.25">
      <c r="A331" s="429"/>
      <c r="B331" s="633">
        <f t="shared" si="5"/>
        <v>3.2599999999999745</v>
      </c>
      <c r="C331" s="646">
        <f>1/DATI!$E$38*IF(B331&lt;DATI!$E$45,DATI!$E$32*DATI!$E$42*DATI!$E$49*DATI!$E$33*(B331/DATI!$E$45+1/(DATI!$E$49*DATI!$E$33)*(1-B331/DATI!$E$45)),IF(B331&lt;DATI!$E$46,DATI!$E$32*DATI!$E$42*DATI!$E$49*DATI!$E$33,IF(B331&lt;DATI!$E$47,DATI!$E$32*DATI!$E$42*DATI!$E$49*DATI!$E$33*(DATI!$E$46/B331),DATI!$E$32*DATI!$E$42*DATI!$E$49*DATI!$E$33*((DATI!$E$46*DATI!$E$47)/B331^2))))</f>
        <v>4.4712008201222911E-2</v>
      </c>
      <c r="D331" s="306"/>
      <c r="E331" s="429"/>
      <c r="F331" s="429"/>
      <c r="G331" s="429"/>
      <c r="H331" s="429"/>
      <c r="I331" s="429"/>
      <c r="J331" s="429"/>
      <c r="K331" s="429"/>
      <c r="L331" s="429"/>
      <c r="M331" s="429"/>
      <c r="N331" s="429"/>
      <c r="O331" s="429"/>
      <c r="P331" s="429"/>
      <c r="Q331" s="429"/>
      <c r="R331" s="429"/>
      <c r="S331" s="429"/>
    </row>
    <row r="332" spans="1:19" x14ac:dyDescent="0.25">
      <c r="A332" s="429"/>
      <c r="B332" s="633">
        <f t="shared" si="5"/>
        <v>3.2699999999999743</v>
      </c>
      <c r="C332" s="646">
        <f>1/DATI!$E$38*IF(B332&lt;DATI!$E$45,DATI!$E$32*DATI!$E$42*DATI!$E$49*DATI!$E$33*(B332/DATI!$E$45+1/(DATI!$E$49*DATI!$E$33)*(1-B332/DATI!$E$45)),IF(B332&lt;DATI!$E$46,DATI!$E$32*DATI!$E$42*DATI!$E$49*DATI!$E$33,IF(B332&lt;DATI!$E$47,DATI!$E$32*DATI!$E$42*DATI!$E$49*DATI!$E$33*(DATI!$E$46/B332),DATI!$E$32*DATI!$E$42*DATI!$E$49*DATI!$E$33*((DATI!$E$46*DATI!$E$47)/B332^2))))</f>
        <v>4.4438958407851621E-2</v>
      </c>
      <c r="D332" s="306"/>
      <c r="E332" s="429"/>
      <c r="F332" s="429"/>
      <c r="G332" s="429"/>
      <c r="H332" s="429"/>
      <c r="I332" s="429"/>
      <c r="J332" s="429"/>
      <c r="K332" s="429"/>
      <c r="L332" s="429"/>
      <c r="M332" s="429"/>
      <c r="N332" s="429"/>
      <c r="O332" s="429"/>
      <c r="P332" s="429"/>
      <c r="Q332" s="429"/>
      <c r="R332" s="429"/>
      <c r="S332" s="429"/>
    </row>
    <row r="333" spans="1:19" x14ac:dyDescent="0.25">
      <c r="A333" s="429"/>
      <c r="B333" s="633">
        <f t="shared" si="5"/>
        <v>3.279999999999974</v>
      </c>
      <c r="C333" s="646">
        <f>1/DATI!$E$38*IF(B333&lt;DATI!$E$45,DATI!$E$32*DATI!$E$42*DATI!$E$49*DATI!$E$33*(B333/DATI!$E$45+1/(DATI!$E$49*DATI!$E$33)*(1-B333/DATI!$E$45)),IF(B333&lt;DATI!$E$46,DATI!$E$32*DATI!$E$42*DATI!$E$49*DATI!$E$33,IF(B333&lt;DATI!$E$47,DATI!$E$32*DATI!$E$42*DATI!$E$49*DATI!$E$33*(DATI!$E$46/B333),DATI!$E$32*DATI!$E$42*DATI!$E$49*DATI!$E$33*((DATI!$E$46*DATI!$E$47)/B333^2))))</f>
        <v>4.4168402212161346E-2</v>
      </c>
      <c r="D333" s="306"/>
      <c r="E333" s="429"/>
      <c r="F333" s="429"/>
      <c r="G333" s="429"/>
      <c r="H333" s="429"/>
      <c r="I333" s="429"/>
      <c r="J333" s="429"/>
      <c r="K333" s="429"/>
      <c r="L333" s="429"/>
      <c r="M333" s="429"/>
      <c r="N333" s="429"/>
      <c r="O333" s="429"/>
      <c r="P333" s="429"/>
      <c r="Q333" s="429"/>
      <c r="R333" s="429"/>
      <c r="S333" s="429"/>
    </row>
    <row r="334" spans="1:19" x14ac:dyDescent="0.25">
      <c r="A334" s="429"/>
      <c r="B334" s="633">
        <f t="shared" si="5"/>
        <v>3.2899999999999738</v>
      </c>
      <c r="C334" s="646">
        <f>1/DATI!$E$38*IF(B334&lt;DATI!$E$45,DATI!$E$32*DATI!$E$42*DATI!$E$49*DATI!$E$33*(B334/DATI!$E$45+1/(DATI!$E$49*DATI!$E$33)*(1-B334/DATI!$E$45)),IF(B334&lt;DATI!$E$46,DATI!$E$32*DATI!$E$42*DATI!$E$49*DATI!$E$33,IF(B334&lt;DATI!$E$47,DATI!$E$32*DATI!$E$42*DATI!$E$49*DATI!$E$33*(DATI!$E$46/B334),DATI!$E$32*DATI!$E$42*DATI!$E$49*DATI!$E$33*((DATI!$E$46*DATI!$E$47)/B334^2))))</f>
        <v>4.3900309342976944E-2</v>
      </c>
      <c r="D334" s="306"/>
      <c r="E334" s="429"/>
      <c r="F334" s="429"/>
      <c r="G334" s="429"/>
      <c r="H334" s="429"/>
      <c r="I334" s="429"/>
      <c r="J334" s="429"/>
      <c r="K334" s="429"/>
      <c r="L334" s="429"/>
      <c r="M334" s="429"/>
      <c r="N334" s="429"/>
      <c r="O334" s="429"/>
      <c r="P334" s="429"/>
      <c r="Q334" s="429"/>
      <c r="R334" s="429"/>
      <c r="S334" s="429"/>
    </row>
    <row r="335" spans="1:19" x14ac:dyDescent="0.25">
      <c r="A335" s="429"/>
      <c r="B335" s="633">
        <f t="shared" si="5"/>
        <v>3.2999999999999736</v>
      </c>
      <c r="C335" s="646">
        <f>1/DATI!$E$38*IF(B335&lt;DATI!$E$45,DATI!$E$32*DATI!$E$42*DATI!$E$49*DATI!$E$33*(B335/DATI!$E$45+1/(DATI!$E$49*DATI!$E$33)*(1-B335/DATI!$E$45)),IF(B335&lt;DATI!$E$46,DATI!$E$32*DATI!$E$42*DATI!$E$49*DATI!$E$33,IF(B335&lt;DATI!$E$47,DATI!$E$32*DATI!$E$42*DATI!$E$49*DATI!$E$33*(DATI!$E$46/B335),DATI!$E$32*DATI!$E$42*DATI!$E$49*DATI!$E$33*((DATI!$E$46*DATI!$E$47)/B335^2))))</f>
        <v>4.3634649987081428E-2</v>
      </c>
      <c r="D335" s="306"/>
      <c r="E335" s="429"/>
      <c r="F335" s="429"/>
      <c r="G335" s="429"/>
      <c r="H335" s="429"/>
      <c r="I335" s="429"/>
      <c r="J335" s="429"/>
      <c r="K335" s="429"/>
      <c r="L335" s="429"/>
      <c r="M335" s="429"/>
      <c r="N335" s="429"/>
      <c r="O335" s="429"/>
      <c r="P335" s="429"/>
      <c r="Q335" s="429"/>
      <c r="R335" s="429"/>
      <c r="S335" s="429"/>
    </row>
    <row r="336" spans="1:19" x14ac:dyDescent="0.25">
      <c r="A336" s="429"/>
      <c r="B336" s="633">
        <f t="shared" si="5"/>
        <v>3.3099999999999734</v>
      </c>
      <c r="C336" s="646">
        <f>1/DATI!$E$38*IF(B336&lt;DATI!$E$45,DATI!$E$32*DATI!$E$42*DATI!$E$49*DATI!$E$33*(B336/DATI!$E$45+1/(DATI!$E$49*DATI!$E$33)*(1-B336/DATI!$E$45)),IF(B336&lt;DATI!$E$46,DATI!$E$32*DATI!$E$42*DATI!$E$49*DATI!$E$33,IF(B336&lt;DATI!$E$47,DATI!$E$32*DATI!$E$42*DATI!$E$49*DATI!$E$33*(DATI!$E$46/B336),DATI!$E$32*DATI!$E$42*DATI!$E$49*DATI!$E$33*((DATI!$E$46*DATI!$E$47)/B336^2))))</f>
        <v>4.3371394780927226E-2</v>
      </c>
      <c r="D336" s="306"/>
      <c r="E336" s="429"/>
      <c r="F336" s="429"/>
      <c r="G336" s="429"/>
      <c r="H336" s="429"/>
      <c r="I336" s="429"/>
      <c r="J336" s="429"/>
      <c r="K336" s="429"/>
      <c r="L336" s="429"/>
      <c r="M336" s="429"/>
      <c r="N336" s="429"/>
      <c r="O336" s="429"/>
      <c r="P336" s="429"/>
      <c r="Q336" s="429"/>
      <c r="R336" s="429"/>
      <c r="S336" s="429"/>
    </row>
    <row r="337" spans="1:19" x14ac:dyDescent="0.25">
      <c r="A337" s="429"/>
      <c r="B337" s="633">
        <f t="shared" si="5"/>
        <v>3.3199999999999732</v>
      </c>
      <c r="C337" s="646">
        <f>1/DATI!$E$38*IF(B337&lt;DATI!$E$45,DATI!$E$32*DATI!$E$42*DATI!$E$49*DATI!$E$33*(B337/DATI!$E$45+1/(DATI!$E$49*DATI!$E$33)*(1-B337/DATI!$E$45)),IF(B337&lt;DATI!$E$46,DATI!$E$32*DATI!$E$42*DATI!$E$49*DATI!$E$33,IF(B337&lt;DATI!$E$47,DATI!$E$32*DATI!$E$42*DATI!$E$49*DATI!$E$33*(DATI!$E$46/B337),DATI!$E$32*DATI!$E$42*DATI!$E$49*DATI!$E$33*((DATI!$E$46*DATI!$E$47)/B337^2))))</f>
        <v>4.3110514802521843E-2</v>
      </c>
      <c r="D337" s="306"/>
      <c r="E337" s="429"/>
      <c r="F337" s="429"/>
      <c r="G337" s="429"/>
      <c r="H337" s="429"/>
      <c r="I337" s="429"/>
      <c r="J337" s="429"/>
      <c r="K337" s="429"/>
      <c r="L337" s="429"/>
      <c r="M337" s="429"/>
      <c r="N337" s="429"/>
      <c r="O337" s="429"/>
      <c r="P337" s="429"/>
      <c r="Q337" s="429"/>
      <c r="R337" s="429"/>
      <c r="S337" s="429"/>
    </row>
    <row r="338" spans="1:19" x14ac:dyDescent="0.25">
      <c r="A338" s="429"/>
      <c r="B338" s="633">
        <f t="shared" si="5"/>
        <v>3.329999999999973</v>
      </c>
      <c r="C338" s="646">
        <f>1/DATI!$E$38*IF(B338&lt;DATI!$E$45,DATI!$E$32*DATI!$E$42*DATI!$E$49*DATI!$E$33*(B338/DATI!$E$45+1/(DATI!$E$49*DATI!$E$33)*(1-B338/DATI!$E$45)),IF(B338&lt;DATI!$E$46,DATI!$E$32*DATI!$E$42*DATI!$E$49*DATI!$E$33,IF(B338&lt;DATI!$E$47,DATI!$E$32*DATI!$E$42*DATI!$E$49*DATI!$E$33*(DATI!$E$46/B338),DATI!$E$32*DATI!$E$42*DATI!$E$49*DATI!$E$33*((DATI!$E$46*DATI!$E$47)/B338^2))))</f>
        <v>4.2851981563483924E-2</v>
      </c>
      <c r="D338" s="306"/>
      <c r="E338" s="429"/>
      <c r="F338" s="429"/>
      <c r="G338" s="429"/>
      <c r="H338" s="429"/>
      <c r="I338" s="429"/>
      <c r="J338" s="429"/>
      <c r="K338" s="429"/>
      <c r="L338" s="429"/>
      <c r="M338" s="429"/>
      <c r="N338" s="429"/>
      <c r="O338" s="429"/>
      <c r="P338" s="429"/>
      <c r="Q338" s="429"/>
      <c r="R338" s="429"/>
      <c r="S338" s="429"/>
    </row>
    <row r="339" spans="1:19" x14ac:dyDescent="0.25">
      <c r="A339" s="429"/>
      <c r="B339" s="633">
        <f t="shared" si="5"/>
        <v>3.3399999999999728</v>
      </c>
      <c r="C339" s="646">
        <f>1/DATI!$E$38*IF(B339&lt;DATI!$E$45,DATI!$E$32*DATI!$E$42*DATI!$E$49*DATI!$E$33*(B339/DATI!$E$45+1/(DATI!$E$49*DATI!$E$33)*(1-B339/DATI!$E$45)),IF(B339&lt;DATI!$E$46,DATI!$E$32*DATI!$E$42*DATI!$E$49*DATI!$E$33,IF(B339&lt;DATI!$E$47,DATI!$E$32*DATI!$E$42*DATI!$E$49*DATI!$E$33*(DATI!$E$46/B339),DATI!$E$32*DATI!$E$42*DATI!$E$49*DATI!$E$33*((DATI!$E$46*DATI!$E$47)/B339^2))))</f>
        <v>4.2595767001265446E-2</v>
      </c>
      <c r="D339" s="306"/>
      <c r="E339" s="429"/>
      <c r="F339" s="429"/>
      <c r="G339" s="429"/>
      <c r="H339" s="429"/>
      <c r="I339" s="429"/>
      <c r="J339" s="429"/>
      <c r="K339" s="429"/>
      <c r="L339" s="429"/>
      <c r="M339" s="429"/>
      <c r="N339" s="429"/>
      <c r="O339" s="429"/>
      <c r="P339" s="429"/>
      <c r="Q339" s="429"/>
      <c r="R339" s="429"/>
      <c r="S339" s="429"/>
    </row>
    <row r="340" spans="1:19" x14ac:dyDescent="0.25">
      <c r="A340" s="429"/>
      <c r="B340" s="633">
        <f t="shared" si="5"/>
        <v>3.3499999999999726</v>
      </c>
      <c r="C340" s="646">
        <f>1/DATI!$E$38*IF(B340&lt;DATI!$E$45,DATI!$E$32*DATI!$E$42*DATI!$E$49*DATI!$E$33*(B340/DATI!$E$45+1/(DATI!$E$49*DATI!$E$33)*(1-B340/DATI!$E$45)),IF(B340&lt;DATI!$E$46,DATI!$E$32*DATI!$E$42*DATI!$E$49*DATI!$E$33,IF(B340&lt;DATI!$E$47,DATI!$E$32*DATI!$E$42*DATI!$E$49*DATI!$E$33*(DATI!$E$46/B340),DATI!$E$32*DATI!$E$42*DATI!$E$49*DATI!$E$33*((DATI!$E$46*DATI!$E$47)/B340^2))))</f>
        <v>4.2341843471536376E-2</v>
      </c>
      <c r="D340" s="306"/>
      <c r="E340" s="429"/>
      <c r="F340" s="429"/>
      <c r="G340" s="429"/>
      <c r="H340" s="429"/>
      <c r="I340" s="429"/>
      <c r="J340" s="429"/>
      <c r="K340" s="429"/>
      <c r="L340" s="429"/>
      <c r="M340" s="429"/>
      <c r="N340" s="429"/>
      <c r="O340" s="429"/>
      <c r="P340" s="429"/>
      <c r="Q340" s="429"/>
      <c r="R340" s="429"/>
      <c r="S340" s="429"/>
    </row>
    <row r="341" spans="1:19" x14ac:dyDescent="0.25">
      <c r="A341" s="429"/>
      <c r="B341" s="633">
        <f t="shared" si="5"/>
        <v>3.3599999999999723</v>
      </c>
      <c r="C341" s="646">
        <f>1/DATI!$E$38*IF(B341&lt;DATI!$E$45,DATI!$E$32*DATI!$E$42*DATI!$E$49*DATI!$E$33*(B341/DATI!$E$45+1/(DATI!$E$49*DATI!$E$33)*(1-B341/DATI!$E$45)),IF(B341&lt;DATI!$E$46,DATI!$E$32*DATI!$E$42*DATI!$E$49*DATI!$E$33,IF(B341&lt;DATI!$E$47,DATI!$E$32*DATI!$E$42*DATI!$E$49*DATI!$E$33*(DATI!$E$46/B341),DATI!$E$32*DATI!$E$42*DATI!$E$49*DATI!$E$33*((DATI!$E$46*DATI!$E$47)/B341^2))))</f>
        <v>4.2090183740727483E-2</v>
      </c>
      <c r="D341" s="306"/>
      <c r="E341" s="429"/>
      <c r="F341" s="429"/>
      <c r="G341" s="429"/>
      <c r="H341" s="429"/>
      <c r="I341" s="429"/>
      <c r="J341" s="429"/>
      <c r="K341" s="429"/>
      <c r="L341" s="429"/>
      <c r="M341" s="429"/>
      <c r="N341" s="429"/>
      <c r="O341" s="429"/>
      <c r="P341" s="429"/>
      <c r="Q341" s="429"/>
      <c r="R341" s="429"/>
      <c r="S341" s="429"/>
    </row>
    <row r="342" spans="1:19" x14ac:dyDescent="0.25">
      <c r="A342" s="429"/>
      <c r="B342" s="633">
        <f t="shared" si="5"/>
        <v>3.3699999999999721</v>
      </c>
      <c r="C342" s="646">
        <f>1/DATI!$E$38*IF(B342&lt;DATI!$E$45,DATI!$E$32*DATI!$E$42*DATI!$E$49*DATI!$E$33*(B342/DATI!$E$45+1/(DATI!$E$49*DATI!$E$33)*(1-B342/DATI!$E$45)),IF(B342&lt;DATI!$E$46,DATI!$E$32*DATI!$E$42*DATI!$E$49*DATI!$E$33,IF(B342&lt;DATI!$E$47,DATI!$E$32*DATI!$E$42*DATI!$E$49*DATI!$E$33*(DATI!$E$46/B342),DATI!$E$32*DATI!$E$42*DATI!$E$49*DATI!$E$33*((DATI!$E$46*DATI!$E$47)/B342^2))))</f>
        <v>4.1840760978728082E-2</v>
      </c>
      <c r="D342" s="306"/>
      <c r="E342" s="429"/>
      <c r="F342" s="429"/>
      <c r="G342" s="429"/>
      <c r="H342" s="429"/>
      <c r="I342" s="429"/>
      <c r="J342" s="429"/>
      <c r="K342" s="429"/>
      <c r="L342" s="429"/>
      <c r="M342" s="429"/>
      <c r="N342" s="429"/>
      <c r="O342" s="429"/>
      <c r="P342" s="429"/>
      <c r="Q342" s="429"/>
      <c r="R342" s="429"/>
      <c r="S342" s="429"/>
    </row>
    <row r="343" spans="1:19" x14ac:dyDescent="0.25">
      <c r="A343" s="429"/>
      <c r="B343" s="633">
        <f t="shared" si="5"/>
        <v>3.3799999999999719</v>
      </c>
      <c r="C343" s="646">
        <f>1/DATI!$E$38*IF(B343&lt;DATI!$E$45,DATI!$E$32*DATI!$E$42*DATI!$E$49*DATI!$E$33*(B343/DATI!$E$45+1/(DATI!$E$49*DATI!$E$33)*(1-B343/DATI!$E$45)),IF(B343&lt;DATI!$E$46,DATI!$E$32*DATI!$E$42*DATI!$E$49*DATI!$E$33,IF(B343&lt;DATI!$E$47,DATI!$E$32*DATI!$E$42*DATI!$E$49*DATI!$E$33*(DATI!$E$46/B343),DATI!$E$32*DATI!$E$42*DATI!$E$49*DATI!$E$33*((DATI!$E$46*DATI!$E$47)/B343^2))))</f>
        <v>4.159354875173462E-2</v>
      </c>
      <c r="D343" s="306"/>
      <c r="E343" s="429"/>
      <c r="F343" s="429"/>
      <c r="G343" s="429"/>
      <c r="H343" s="429"/>
      <c r="I343" s="429"/>
      <c r="J343" s="429"/>
      <c r="K343" s="429"/>
      <c r="L343" s="429"/>
      <c r="M343" s="429"/>
      <c r="N343" s="429"/>
      <c r="O343" s="429"/>
      <c r="P343" s="429"/>
      <c r="Q343" s="429"/>
      <c r="R343" s="429"/>
      <c r="S343" s="429"/>
    </row>
    <row r="344" spans="1:19" x14ac:dyDescent="0.25">
      <c r="A344" s="429"/>
      <c r="B344" s="633">
        <f t="shared" si="5"/>
        <v>3.3899999999999717</v>
      </c>
      <c r="C344" s="646">
        <f>1/DATI!$E$38*IF(B344&lt;DATI!$E$45,DATI!$E$32*DATI!$E$42*DATI!$E$49*DATI!$E$33*(B344/DATI!$E$45+1/(DATI!$E$49*DATI!$E$33)*(1-B344/DATI!$E$45)),IF(B344&lt;DATI!$E$46,DATI!$E$32*DATI!$E$42*DATI!$E$49*DATI!$E$33,IF(B344&lt;DATI!$E$47,DATI!$E$32*DATI!$E$42*DATI!$E$49*DATI!$E$33*(DATI!$E$46/B344),DATI!$E$32*DATI!$E$42*DATI!$E$49*DATI!$E$33*((DATI!$E$46*DATI!$E$47)/B344^2))))</f>
        <v>4.1348521015246741E-2</v>
      </c>
      <c r="D344" s="306"/>
      <c r="E344" s="429"/>
      <c r="F344" s="429"/>
      <c r="G344" s="429"/>
      <c r="H344" s="429"/>
      <c r="I344" s="429"/>
      <c r="J344" s="429"/>
      <c r="K344" s="429"/>
      <c r="L344" s="429"/>
      <c r="M344" s="429"/>
      <c r="N344" s="429"/>
      <c r="O344" s="429"/>
      <c r="P344" s="429"/>
      <c r="Q344" s="429"/>
      <c r="R344" s="429"/>
      <c r="S344" s="429"/>
    </row>
    <row r="345" spans="1:19" x14ac:dyDescent="0.25">
      <c r="A345" s="429"/>
      <c r="B345" s="633">
        <f t="shared" si="5"/>
        <v>3.3999999999999715</v>
      </c>
      <c r="C345" s="646">
        <f>1/DATI!$E$38*IF(B345&lt;DATI!$E$45,DATI!$E$32*DATI!$E$42*DATI!$E$49*DATI!$E$33*(B345/DATI!$E$45+1/(DATI!$E$49*DATI!$E$33)*(1-B345/DATI!$E$45)),IF(B345&lt;DATI!$E$46,DATI!$E$32*DATI!$E$42*DATI!$E$49*DATI!$E$33,IF(B345&lt;DATI!$E$47,DATI!$E$32*DATI!$E$42*DATI!$E$49*DATI!$E$33*(DATI!$E$46/B345),DATI!$E$32*DATI!$E$42*DATI!$E$49*DATI!$E$33*((DATI!$E$46*DATI!$E$47)/B345^2))))</f>
        <v>4.1105652107207361E-2</v>
      </c>
      <c r="D345" s="306"/>
      <c r="E345" s="429"/>
      <c r="F345" s="429"/>
      <c r="G345" s="429"/>
      <c r="H345" s="429"/>
      <c r="I345" s="429"/>
      <c r="J345" s="429"/>
      <c r="K345" s="429"/>
      <c r="L345" s="429"/>
      <c r="M345" s="429"/>
      <c r="N345" s="429"/>
      <c r="O345" s="429"/>
      <c r="P345" s="429"/>
      <c r="Q345" s="429"/>
      <c r="R345" s="429"/>
      <c r="S345" s="429"/>
    </row>
    <row r="346" spans="1:19" x14ac:dyDescent="0.25">
      <c r="A346" s="429"/>
      <c r="B346" s="633">
        <f t="shared" si="5"/>
        <v>3.4099999999999713</v>
      </c>
      <c r="C346" s="646">
        <f>1/DATI!$E$38*IF(B346&lt;DATI!$E$45,DATI!$E$32*DATI!$E$42*DATI!$E$49*DATI!$E$33*(B346/DATI!$E$45+1/(DATI!$E$49*DATI!$E$33)*(1-B346/DATI!$E$45)),IF(B346&lt;DATI!$E$46,DATI!$E$32*DATI!$E$42*DATI!$E$49*DATI!$E$33,IF(B346&lt;DATI!$E$47,DATI!$E$32*DATI!$E$42*DATI!$E$49*DATI!$E$33*(DATI!$E$46/B346),DATI!$E$32*DATI!$E$42*DATI!$E$49*DATI!$E$33*((DATI!$E$46*DATI!$E$47)/B346^2))))</f>
        <v>4.0864916741283362E-2</v>
      </c>
      <c r="D346" s="306"/>
      <c r="E346" s="429"/>
      <c r="F346" s="429"/>
      <c r="G346" s="429"/>
      <c r="H346" s="429"/>
      <c r="I346" s="429"/>
      <c r="J346" s="429"/>
      <c r="K346" s="429"/>
      <c r="L346" s="429"/>
      <c r="M346" s="429"/>
      <c r="N346" s="429"/>
      <c r="O346" s="429"/>
      <c r="P346" s="429"/>
      <c r="Q346" s="429"/>
      <c r="R346" s="429"/>
      <c r="S346" s="429"/>
    </row>
    <row r="347" spans="1:19" x14ac:dyDescent="0.25">
      <c r="A347" s="429"/>
      <c r="B347" s="633">
        <f t="shared" si="5"/>
        <v>3.4199999999999711</v>
      </c>
      <c r="C347" s="646">
        <f>1/DATI!$E$38*IF(B347&lt;DATI!$E$45,DATI!$E$32*DATI!$E$42*DATI!$E$49*DATI!$E$33*(B347/DATI!$E$45+1/(DATI!$E$49*DATI!$E$33)*(1-B347/DATI!$E$45)),IF(B347&lt;DATI!$E$46,DATI!$E$32*DATI!$E$42*DATI!$E$49*DATI!$E$33,IF(B347&lt;DATI!$E$47,DATI!$E$32*DATI!$E$42*DATI!$E$49*DATI!$E$33*(DATI!$E$46/B347),DATI!$E$32*DATI!$E$42*DATI!$E$49*DATI!$E$33*((DATI!$E$46*DATI!$E$47)/B347^2))))</f>
        <v>4.0626290000283609E-2</v>
      </c>
      <c r="D347" s="306"/>
      <c r="E347" s="429"/>
      <c r="F347" s="429"/>
      <c r="G347" s="429"/>
      <c r="H347" s="429"/>
      <c r="I347" s="429"/>
      <c r="J347" s="429"/>
      <c r="K347" s="429"/>
      <c r="L347" s="429"/>
      <c r="M347" s="429"/>
      <c r="N347" s="429"/>
      <c r="O347" s="429"/>
      <c r="P347" s="429"/>
      <c r="Q347" s="429"/>
      <c r="R347" s="429"/>
      <c r="S347" s="429"/>
    </row>
    <row r="348" spans="1:19" x14ac:dyDescent="0.25">
      <c r="A348" s="429"/>
      <c r="B348" s="633">
        <f t="shared" si="5"/>
        <v>3.4299999999999708</v>
      </c>
      <c r="C348" s="646">
        <f>1/DATI!$E$38*IF(B348&lt;DATI!$E$45,DATI!$E$32*DATI!$E$42*DATI!$E$49*DATI!$E$33*(B348/DATI!$E$45+1/(DATI!$E$49*DATI!$E$33)*(1-B348/DATI!$E$45)),IF(B348&lt;DATI!$E$46,DATI!$E$32*DATI!$E$42*DATI!$E$49*DATI!$E$33,IF(B348&lt;DATI!$E$47,DATI!$E$32*DATI!$E$42*DATI!$E$49*DATI!$E$33*(DATI!$E$46/B348),DATI!$E$32*DATI!$E$42*DATI!$E$49*DATI!$E$33*((DATI!$E$46*DATI!$E$47)/B348^2))))</f>
        <v>4.0389747329711019E-2</v>
      </c>
      <c r="D348" s="306"/>
      <c r="E348" s="429"/>
      <c r="F348" s="429"/>
      <c r="G348" s="429"/>
      <c r="H348" s="429"/>
      <c r="I348" s="429"/>
      <c r="J348" s="429"/>
      <c r="K348" s="429"/>
      <c r="L348" s="429"/>
      <c r="M348" s="429"/>
      <c r="N348" s="429"/>
      <c r="O348" s="429"/>
      <c r="P348" s="429"/>
      <c r="Q348" s="429"/>
      <c r="R348" s="429"/>
      <c r="S348" s="429"/>
    </row>
    <row r="349" spans="1:19" x14ac:dyDescent="0.25">
      <c r="A349" s="429"/>
      <c r="B349" s="633">
        <f t="shared" si="5"/>
        <v>3.4399999999999706</v>
      </c>
      <c r="C349" s="646">
        <f>1/DATI!$E$38*IF(B349&lt;DATI!$E$45,DATI!$E$32*DATI!$E$42*DATI!$E$49*DATI!$E$33*(B349/DATI!$E$45+1/(DATI!$E$49*DATI!$E$33)*(1-B349/DATI!$E$45)),IF(B349&lt;DATI!$E$46,DATI!$E$32*DATI!$E$42*DATI!$E$49*DATI!$E$33,IF(B349&lt;DATI!$E$47,DATI!$E$32*DATI!$E$42*DATI!$E$49*DATI!$E$33*(DATI!$E$46/B349),DATI!$E$32*DATI!$E$42*DATI!$E$49*DATI!$E$33*((DATI!$E$46*DATI!$E$47)/B349^2))))</f>
        <v>4.0155264531445828E-2</v>
      </c>
      <c r="D349" s="306"/>
      <c r="E349" s="429"/>
      <c r="F349" s="429"/>
      <c r="G349" s="429"/>
      <c r="H349" s="429"/>
      <c r="I349" s="429"/>
      <c r="J349" s="429"/>
      <c r="K349" s="429"/>
      <c r="L349" s="429"/>
      <c r="M349" s="429"/>
      <c r="N349" s="429"/>
      <c r="O349" s="429"/>
      <c r="P349" s="429"/>
      <c r="Q349" s="429"/>
      <c r="R349" s="429"/>
      <c r="S349" s="429"/>
    </row>
    <row r="350" spans="1:19" x14ac:dyDescent="0.25">
      <c r="A350" s="429"/>
      <c r="B350" s="633">
        <f t="shared" si="5"/>
        <v>3.4499999999999704</v>
      </c>
      <c r="C350" s="646">
        <f>1/DATI!$E$38*IF(B350&lt;DATI!$E$45,DATI!$E$32*DATI!$E$42*DATI!$E$49*DATI!$E$33*(B350/DATI!$E$45+1/(DATI!$E$49*DATI!$E$33)*(1-B350/DATI!$E$45)),IF(B350&lt;DATI!$E$46,DATI!$E$32*DATI!$E$42*DATI!$E$49*DATI!$E$33,IF(B350&lt;DATI!$E$47,DATI!$E$32*DATI!$E$42*DATI!$E$49*DATI!$E$33*(DATI!$E$46/B350),DATI!$E$32*DATI!$E$42*DATI!$E$49*DATI!$E$33*((DATI!$E$46*DATI!$E$47)/B350^2))))</f>
        <v>3.9922817757556586E-2</v>
      </c>
      <c r="D350" s="306"/>
      <c r="E350" s="429"/>
      <c r="F350" s="429"/>
      <c r="G350" s="429"/>
      <c r="H350" s="429"/>
      <c r="I350" s="429"/>
      <c r="J350" s="429"/>
      <c r="K350" s="429"/>
      <c r="L350" s="429"/>
      <c r="M350" s="429"/>
      <c r="N350" s="429"/>
      <c r="O350" s="429"/>
      <c r="P350" s="429"/>
      <c r="Q350" s="429"/>
      <c r="R350" s="429"/>
      <c r="S350" s="429"/>
    </row>
    <row r="351" spans="1:19" x14ac:dyDescent="0.25">
      <c r="A351" s="429"/>
      <c r="B351" s="633">
        <f t="shared" si="5"/>
        <v>3.4599999999999702</v>
      </c>
      <c r="C351" s="646">
        <f>1/DATI!$E$38*IF(B351&lt;DATI!$E$45,DATI!$E$32*DATI!$E$42*DATI!$E$49*DATI!$E$33*(B351/DATI!$E$45+1/(DATI!$E$49*DATI!$E$33)*(1-B351/DATI!$E$45)),IF(B351&lt;DATI!$E$46,DATI!$E$32*DATI!$E$42*DATI!$E$49*DATI!$E$33,IF(B351&lt;DATI!$E$47,DATI!$E$32*DATI!$E$42*DATI!$E$49*DATI!$E$33*(DATI!$E$46/B351),DATI!$E$32*DATI!$E$42*DATI!$E$49*DATI!$E$33*((DATI!$E$46*DATI!$E$47)/B351^2))))</f>
        <v>3.969238350423647E-2</v>
      </c>
      <c r="D351" s="306"/>
      <c r="E351" s="429"/>
      <c r="F351" s="429"/>
      <c r="G351" s="429"/>
      <c r="H351" s="429"/>
      <c r="I351" s="429"/>
      <c r="J351" s="429"/>
      <c r="K351" s="429"/>
      <c r="L351" s="429"/>
      <c r="M351" s="429"/>
      <c r="N351" s="429"/>
      <c r="O351" s="429"/>
      <c r="P351" s="429"/>
      <c r="Q351" s="429"/>
      <c r="R351" s="429"/>
      <c r="S351" s="429"/>
    </row>
    <row r="352" spans="1:19" x14ac:dyDescent="0.25">
      <c r="A352" s="429"/>
      <c r="B352" s="633">
        <f t="shared" si="5"/>
        <v>3.46999999999997</v>
      </c>
      <c r="C352" s="646">
        <f>1/DATI!$E$38*IF(B352&lt;DATI!$E$45,DATI!$E$32*DATI!$E$42*DATI!$E$49*DATI!$E$33*(B352/DATI!$E$45+1/(DATI!$E$49*DATI!$E$33)*(1-B352/DATI!$E$45)),IF(B352&lt;DATI!$E$46,DATI!$E$32*DATI!$E$42*DATI!$E$49*DATI!$E$33,IF(B352&lt;DATI!$E$47,DATI!$E$32*DATI!$E$42*DATI!$E$49*DATI!$E$33*(DATI!$E$46/B352),DATI!$E$32*DATI!$E$42*DATI!$E$49*DATI!$E$33*((DATI!$E$46*DATI!$E$47)/B352^2))))</f>
        <v>3.9463938605861469E-2</v>
      </c>
      <c r="D352" s="306"/>
      <c r="E352" s="429"/>
      <c r="F352" s="429"/>
      <c r="G352" s="429"/>
      <c r="H352" s="429"/>
      <c r="I352" s="429"/>
      <c r="J352" s="429"/>
      <c r="K352" s="429"/>
      <c r="L352" s="429"/>
      <c r="M352" s="429"/>
      <c r="N352" s="429"/>
      <c r="O352" s="429"/>
      <c r="P352" s="429"/>
      <c r="Q352" s="429"/>
      <c r="R352" s="429"/>
      <c r="S352" s="429"/>
    </row>
    <row r="353" spans="1:19" x14ac:dyDescent="0.25">
      <c r="A353" s="429"/>
      <c r="B353" s="633">
        <f t="shared" si="5"/>
        <v>3.4799999999999698</v>
      </c>
      <c r="C353" s="646">
        <f>1/DATI!$E$38*IF(B353&lt;DATI!$E$45,DATI!$E$32*DATI!$E$42*DATI!$E$49*DATI!$E$33*(B353/DATI!$E$45+1/(DATI!$E$49*DATI!$E$33)*(1-B353/DATI!$E$45)),IF(B353&lt;DATI!$E$46,DATI!$E$32*DATI!$E$42*DATI!$E$49*DATI!$E$33,IF(B353&lt;DATI!$E$47,DATI!$E$32*DATI!$E$42*DATI!$E$49*DATI!$E$33*(DATI!$E$46/B353),DATI!$E$32*DATI!$E$42*DATI!$E$49*DATI!$E$33*((DATI!$E$46*DATI!$E$47)/B353^2))))</f>
        <v>3.9237460229168103E-2</v>
      </c>
      <c r="D353" s="306"/>
      <c r="E353" s="429"/>
      <c r="F353" s="429"/>
      <c r="G353" s="429"/>
      <c r="H353" s="429"/>
      <c r="I353" s="429"/>
      <c r="J353" s="429"/>
      <c r="K353" s="429"/>
      <c r="L353" s="429"/>
      <c r="M353" s="429"/>
      <c r="N353" s="429"/>
      <c r="O353" s="429"/>
      <c r="P353" s="429"/>
      <c r="Q353" s="429"/>
      <c r="R353" s="429"/>
      <c r="S353" s="429"/>
    </row>
    <row r="354" spans="1:19" x14ac:dyDescent="0.25">
      <c r="A354" s="429"/>
      <c r="B354" s="633">
        <f t="shared" si="5"/>
        <v>3.4899999999999696</v>
      </c>
      <c r="C354" s="646">
        <f>1/DATI!$E$38*IF(B354&lt;DATI!$E$45,DATI!$E$32*DATI!$E$42*DATI!$E$49*DATI!$E$33*(B354/DATI!$E$45+1/(DATI!$E$49*DATI!$E$33)*(1-B354/DATI!$E$45)),IF(B354&lt;DATI!$E$46,DATI!$E$32*DATI!$E$42*DATI!$E$49*DATI!$E$33,IF(B354&lt;DATI!$E$47,DATI!$E$32*DATI!$E$42*DATI!$E$49*DATI!$E$33*(DATI!$E$46/B354),DATI!$E$32*DATI!$E$42*DATI!$E$49*DATI!$E$33*((DATI!$E$46*DATI!$E$47)/B354^2))))</f>
        <v>3.9012925867547676E-2</v>
      </c>
      <c r="D354" s="306"/>
      <c r="E354" s="429"/>
      <c r="F354" s="429"/>
      <c r="G354" s="429"/>
      <c r="H354" s="429"/>
      <c r="I354" s="429"/>
      <c r="J354" s="429"/>
      <c r="K354" s="429"/>
      <c r="L354" s="429"/>
      <c r="M354" s="429"/>
      <c r="N354" s="429"/>
      <c r="O354" s="429"/>
      <c r="P354" s="429"/>
      <c r="Q354" s="429"/>
      <c r="R354" s="429"/>
      <c r="S354" s="429"/>
    </row>
    <row r="355" spans="1:19" x14ac:dyDescent="0.25">
      <c r="A355" s="429"/>
      <c r="B355" s="633">
        <f t="shared" si="5"/>
        <v>3.4999999999999694</v>
      </c>
      <c r="C355" s="646">
        <f>1/DATI!$E$38*IF(B355&lt;DATI!$E$45,DATI!$E$32*DATI!$E$42*DATI!$E$49*DATI!$E$33*(B355/DATI!$E$45+1/(DATI!$E$49*DATI!$E$33)*(1-B355/DATI!$E$45)),IF(B355&lt;DATI!$E$46,DATI!$E$32*DATI!$E$42*DATI!$E$49*DATI!$E$33,IF(B355&lt;DATI!$E$47,DATI!$E$32*DATI!$E$42*DATI!$E$49*DATI!$E$33*(DATI!$E$46/B355),DATI!$E$32*DATI!$E$42*DATI!$E$49*DATI!$E$33*((DATI!$E$46*DATI!$E$47)/B355^2))))</f>
        <v>3.879031333545449E-2</v>
      </c>
      <c r="D355" s="306"/>
      <c r="E355" s="429"/>
      <c r="F355" s="429"/>
      <c r="G355" s="429"/>
      <c r="H355" s="429"/>
      <c r="I355" s="429"/>
      <c r="J355" s="429"/>
      <c r="K355" s="429"/>
      <c r="L355" s="429"/>
      <c r="M355" s="429"/>
      <c r="N355" s="429"/>
      <c r="O355" s="429"/>
      <c r="P355" s="429"/>
      <c r="Q355" s="429"/>
      <c r="R355" s="429"/>
      <c r="S355" s="429"/>
    </row>
    <row r="356" spans="1:19" x14ac:dyDescent="0.25">
      <c r="A356" s="429"/>
      <c r="B356" s="633">
        <f t="shared" si="5"/>
        <v>3.5099999999999691</v>
      </c>
      <c r="C356" s="646">
        <f>1/DATI!$E$38*IF(B356&lt;DATI!$E$45,DATI!$E$32*DATI!$E$42*DATI!$E$49*DATI!$E$33*(B356/DATI!$E$45+1/(DATI!$E$49*DATI!$E$33)*(1-B356/DATI!$E$45)),IF(B356&lt;DATI!$E$46,DATI!$E$32*DATI!$E$42*DATI!$E$49*DATI!$E$33,IF(B356&lt;DATI!$E$47,DATI!$E$32*DATI!$E$42*DATI!$E$49*DATI!$E$33*(DATI!$E$46/B356),DATI!$E$32*DATI!$E$42*DATI!$E$49*DATI!$E$33*((DATI!$E$46*DATI!$E$47)/B356^2))))</f>
        <v>3.8569600762925427E-2</v>
      </c>
      <c r="D356" s="306"/>
      <c r="E356" s="429"/>
      <c r="F356" s="429"/>
      <c r="G356" s="429"/>
      <c r="H356" s="429"/>
      <c r="I356" s="429"/>
      <c r="J356" s="429"/>
      <c r="K356" s="429"/>
      <c r="L356" s="429"/>
      <c r="M356" s="429"/>
      <c r="N356" s="429"/>
      <c r="O356" s="429"/>
      <c r="P356" s="429"/>
      <c r="Q356" s="429"/>
      <c r="R356" s="429"/>
      <c r="S356" s="429"/>
    </row>
    <row r="357" spans="1:19" x14ac:dyDescent="0.25">
      <c r="A357" s="429"/>
      <c r="B357" s="633">
        <f t="shared" si="5"/>
        <v>3.5199999999999689</v>
      </c>
      <c r="C357" s="646">
        <f>1/DATI!$E$38*IF(B357&lt;DATI!$E$45,DATI!$E$32*DATI!$E$42*DATI!$E$49*DATI!$E$33*(B357/DATI!$E$45+1/(DATI!$E$49*DATI!$E$33)*(1-B357/DATI!$E$45)),IF(B357&lt;DATI!$E$46,DATI!$E$32*DATI!$E$42*DATI!$E$49*DATI!$E$33,IF(B357&lt;DATI!$E$47,DATI!$E$32*DATI!$E$42*DATI!$E$49*DATI!$E$33*(DATI!$E$46/B357),DATI!$E$32*DATI!$E$42*DATI!$E$49*DATI!$E$33*((DATI!$E$46*DATI!$E$47)/B357^2))))</f>
        <v>3.8350766590208349E-2</v>
      </c>
      <c r="D357" s="306"/>
      <c r="E357" s="429"/>
      <c r="F357" s="429"/>
      <c r="G357" s="429"/>
      <c r="H357" s="429"/>
      <c r="I357" s="429"/>
      <c r="J357" s="429"/>
      <c r="K357" s="429"/>
      <c r="L357" s="429"/>
      <c r="M357" s="429"/>
      <c r="N357" s="429"/>
      <c r="O357" s="429"/>
      <c r="P357" s="429"/>
      <c r="Q357" s="429"/>
      <c r="R357" s="429"/>
      <c r="S357" s="429"/>
    </row>
    <row r="358" spans="1:19" x14ac:dyDescent="0.25">
      <c r="A358" s="429"/>
      <c r="B358" s="633">
        <f t="shared" si="5"/>
        <v>3.5299999999999687</v>
      </c>
      <c r="C358" s="646">
        <f>1/DATI!$E$38*IF(B358&lt;DATI!$E$45,DATI!$E$32*DATI!$E$42*DATI!$E$49*DATI!$E$33*(B358/DATI!$E$45+1/(DATI!$E$49*DATI!$E$33)*(1-B358/DATI!$E$45)),IF(B358&lt;DATI!$E$46,DATI!$E$32*DATI!$E$42*DATI!$E$49*DATI!$E$33,IF(B358&lt;DATI!$E$47,DATI!$E$32*DATI!$E$42*DATI!$E$49*DATI!$E$33*(DATI!$E$46/B358),DATI!$E$32*DATI!$E$42*DATI!$E$49*DATI!$E$33*((DATI!$E$46*DATI!$E$47)/B358^2))))</f>
        <v>3.8133789562496898E-2</v>
      </c>
      <c r="D358" s="306"/>
      <c r="E358" s="429"/>
      <c r="F358" s="429"/>
      <c r="G358" s="429"/>
      <c r="H358" s="429"/>
      <c r="I358" s="429"/>
      <c r="J358" s="429"/>
      <c r="K358" s="429"/>
      <c r="L358" s="429"/>
      <c r="M358" s="429"/>
      <c r="N358" s="429"/>
      <c r="O358" s="429"/>
      <c r="P358" s="429"/>
      <c r="Q358" s="429"/>
      <c r="R358" s="429"/>
      <c r="S358" s="429"/>
    </row>
    <row r="359" spans="1:19" x14ac:dyDescent="0.25">
      <c r="A359" s="429"/>
      <c r="B359" s="633">
        <f t="shared" si="5"/>
        <v>3.5399999999999685</v>
      </c>
      <c r="C359" s="646">
        <f>1/DATI!$E$38*IF(B359&lt;DATI!$E$45,DATI!$E$32*DATI!$E$42*DATI!$E$49*DATI!$E$33*(B359/DATI!$E$45+1/(DATI!$E$49*DATI!$E$33)*(1-B359/DATI!$E$45)),IF(B359&lt;DATI!$E$46,DATI!$E$32*DATI!$E$42*DATI!$E$49*DATI!$E$33,IF(B359&lt;DATI!$E$47,DATI!$E$32*DATI!$E$42*DATI!$E$49*DATI!$E$33*(DATI!$E$46/B359),DATI!$E$32*DATI!$E$42*DATI!$E$49*DATI!$E$33*((DATI!$E$46*DATI!$E$47)/B359^2))))</f>
        <v>3.7918648724769195E-2</v>
      </c>
      <c r="D359" s="306"/>
      <c r="E359" s="429"/>
      <c r="F359" s="429"/>
      <c r="G359" s="429"/>
      <c r="H359" s="429"/>
      <c r="I359" s="429"/>
      <c r="J359" s="429"/>
      <c r="K359" s="429"/>
      <c r="L359" s="429"/>
      <c r="M359" s="429"/>
      <c r="N359" s="429"/>
      <c r="O359" s="429"/>
      <c r="P359" s="429"/>
      <c r="Q359" s="429"/>
      <c r="R359" s="429"/>
      <c r="S359" s="429"/>
    </row>
    <row r="360" spans="1:19" x14ac:dyDescent="0.25">
      <c r="A360" s="429"/>
      <c r="B360" s="633">
        <f t="shared" si="5"/>
        <v>3.5499999999999683</v>
      </c>
      <c r="C360" s="646">
        <f>1/DATI!$E$38*IF(B360&lt;DATI!$E$45,DATI!$E$32*DATI!$E$42*DATI!$E$49*DATI!$E$33*(B360/DATI!$E$45+1/(DATI!$E$49*DATI!$E$33)*(1-B360/DATI!$E$45)),IF(B360&lt;DATI!$E$46,DATI!$E$32*DATI!$E$42*DATI!$E$49*DATI!$E$33,IF(B360&lt;DATI!$E$47,DATI!$E$32*DATI!$E$42*DATI!$E$49*DATI!$E$33*(DATI!$E$46/B360),DATI!$E$32*DATI!$E$42*DATI!$E$49*DATI!$E$33*((DATI!$E$46*DATI!$E$47)/B360^2))))</f>
        <v>3.7705323416728234E-2</v>
      </c>
      <c r="D360" s="306"/>
      <c r="E360" s="429"/>
      <c r="F360" s="429"/>
      <c r="G360" s="429"/>
      <c r="H360" s="429"/>
      <c r="I360" s="429"/>
      <c r="J360" s="429"/>
      <c r="K360" s="429"/>
      <c r="L360" s="429"/>
      <c r="M360" s="429"/>
      <c r="N360" s="429"/>
      <c r="O360" s="429"/>
      <c r="P360" s="429"/>
      <c r="Q360" s="429"/>
      <c r="R360" s="429"/>
      <c r="S360" s="429"/>
    </row>
    <row r="361" spans="1:19" x14ac:dyDescent="0.25">
      <c r="A361" s="429"/>
      <c r="B361" s="633">
        <f t="shared" si="5"/>
        <v>3.5599999999999681</v>
      </c>
      <c r="C361" s="646">
        <f>1/DATI!$E$38*IF(B361&lt;DATI!$E$45,DATI!$E$32*DATI!$E$42*DATI!$E$49*DATI!$E$33*(B361/DATI!$E$45+1/(DATI!$E$49*DATI!$E$33)*(1-B361/DATI!$E$45)),IF(B361&lt;DATI!$E$46,DATI!$E$32*DATI!$E$42*DATI!$E$49*DATI!$E$33,IF(B361&lt;DATI!$E$47,DATI!$E$32*DATI!$E$42*DATI!$E$49*DATI!$E$33*(DATI!$E$46/B361),DATI!$E$32*DATI!$E$42*DATI!$E$49*DATI!$E$33*((DATI!$E$46*DATI!$E$47)/B361^2))))</f>
        <v>3.7493793267841628E-2</v>
      </c>
      <c r="D361" s="306"/>
      <c r="E361" s="429"/>
      <c r="F361" s="429"/>
      <c r="G361" s="429"/>
      <c r="H361" s="429"/>
      <c r="I361" s="429"/>
      <c r="J361" s="429"/>
      <c r="K361" s="429"/>
      <c r="L361" s="429"/>
      <c r="M361" s="429"/>
      <c r="N361" s="429"/>
      <c r="O361" s="429"/>
      <c r="P361" s="429"/>
      <c r="Q361" s="429"/>
      <c r="R361" s="429"/>
      <c r="S361" s="429"/>
    </row>
    <row r="362" spans="1:19" x14ac:dyDescent="0.25">
      <c r="A362" s="429"/>
      <c r="B362" s="633">
        <f t="shared" si="5"/>
        <v>3.5699999999999679</v>
      </c>
      <c r="C362" s="646">
        <f>1/DATI!$E$38*IF(B362&lt;DATI!$E$45,DATI!$E$32*DATI!$E$42*DATI!$E$49*DATI!$E$33*(B362/DATI!$E$45+1/(DATI!$E$49*DATI!$E$33)*(1-B362/DATI!$E$45)),IF(B362&lt;DATI!$E$46,DATI!$E$32*DATI!$E$42*DATI!$E$49*DATI!$E$33,IF(B362&lt;DATI!$E$47,DATI!$E$32*DATI!$E$42*DATI!$E$49*DATI!$E$33*(DATI!$E$46/B362),DATI!$E$32*DATI!$E$42*DATI!$E$49*DATI!$E$33*((DATI!$E$46*DATI!$E$47)/B362^2))))</f>
        <v>3.7284038192478379E-2</v>
      </c>
      <c r="D362" s="306"/>
      <c r="E362" s="429"/>
      <c r="F362" s="429"/>
      <c r="G362" s="429"/>
      <c r="H362" s="429"/>
      <c r="I362" s="429"/>
      <c r="J362" s="429"/>
      <c r="K362" s="429"/>
      <c r="L362" s="429"/>
      <c r="M362" s="429"/>
      <c r="N362" s="429"/>
      <c r="O362" s="429"/>
      <c r="P362" s="429"/>
      <c r="Q362" s="429"/>
      <c r="R362" s="429"/>
      <c r="S362" s="429"/>
    </row>
    <row r="363" spans="1:19" x14ac:dyDescent="0.25">
      <c r="A363" s="429"/>
      <c r="B363" s="633">
        <f t="shared" si="5"/>
        <v>3.5799999999999677</v>
      </c>
      <c r="C363" s="646">
        <f>1/DATI!$E$38*IF(B363&lt;DATI!$E$45,DATI!$E$32*DATI!$E$42*DATI!$E$49*DATI!$E$33*(B363/DATI!$E$45+1/(DATI!$E$49*DATI!$E$33)*(1-B363/DATI!$E$45)),IF(B363&lt;DATI!$E$46,DATI!$E$32*DATI!$E$42*DATI!$E$49*DATI!$E$33,IF(B363&lt;DATI!$E$47,DATI!$E$32*DATI!$E$42*DATI!$E$49*DATI!$E$33*(DATI!$E$46/B363),DATI!$E$32*DATI!$E$42*DATI!$E$49*DATI!$E$33*((DATI!$E$46*DATI!$E$47)/B363^2))))</f>
        <v>3.7076038385140737E-2</v>
      </c>
      <c r="D363" s="306"/>
      <c r="E363" s="429"/>
      <c r="F363" s="429"/>
      <c r="G363" s="429"/>
      <c r="H363" s="429"/>
      <c r="I363" s="429"/>
      <c r="J363" s="429"/>
      <c r="K363" s="429"/>
      <c r="L363" s="429"/>
      <c r="M363" s="429"/>
      <c r="N363" s="429"/>
      <c r="O363" s="429"/>
      <c r="P363" s="429"/>
      <c r="Q363" s="429"/>
      <c r="R363" s="429"/>
      <c r="S363" s="429"/>
    </row>
    <row r="364" spans="1:19" x14ac:dyDescent="0.25">
      <c r="A364" s="429"/>
      <c r="B364" s="633">
        <f t="shared" si="5"/>
        <v>3.5899999999999674</v>
      </c>
      <c r="C364" s="646">
        <f>1/DATI!$E$38*IF(B364&lt;DATI!$E$45,DATI!$E$32*DATI!$E$42*DATI!$E$49*DATI!$E$33*(B364/DATI!$E$45+1/(DATI!$E$49*DATI!$E$33)*(1-B364/DATI!$E$45)),IF(B364&lt;DATI!$E$46,DATI!$E$32*DATI!$E$42*DATI!$E$49*DATI!$E$33,IF(B364&lt;DATI!$E$47,DATI!$E$32*DATI!$E$42*DATI!$E$49*DATI!$E$33*(DATI!$E$46/B364),DATI!$E$32*DATI!$E$42*DATI!$E$49*DATI!$E$33*((DATI!$E$46*DATI!$E$47)/B364^2))))</f>
        <v>3.6869774315788806E-2</v>
      </c>
      <c r="D364" s="306"/>
      <c r="E364" s="429"/>
      <c r="F364" s="429"/>
      <c r="G364" s="429"/>
      <c r="H364" s="429"/>
      <c r="I364" s="429"/>
      <c r="J364" s="429"/>
      <c r="K364" s="429"/>
      <c r="L364" s="429"/>
      <c r="M364" s="429"/>
      <c r="N364" s="429"/>
      <c r="O364" s="429"/>
      <c r="P364" s="429"/>
      <c r="Q364" s="429"/>
      <c r="R364" s="429"/>
      <c r="S364" s="429"/>
    </row>
    <row r="365" spans="1:19" x14ac:dyDescent="0.25">
      <c r="A365" s="429"/>
      <c r="B365" s="633">
        <f t="shared" si="5"/>
        <v>3.5999999999999672</v>
      </c>
      <c r="C365" s="646">
        <f>1/DATI!$E$38*IF(B365&lt;DATI!$E$45,DATI!$E$32*DATI!$E$42*DATI!$E$49*DATI!$E$33*(B365/DATI!$E$45+1/(DATI!$E$49*DATI!$E$33)*(1-B365/DATI!$E$45)),IF(B365&lt;DATI!$E$46,DATI!$E$32*DATI!$E$42*DATI!$E$49*DATI!$E$33,IF(B365&lt;DATI!$E$47,DATI!$E$32*DATI!$E$42*DATI!$E$49*DATI!$E$33*(DATI!$E$46/B365),DATI!$E$32*DATI!$E$42*DATI!$E$49*DATI!$E$33*((DATI!$E$46*DATI!$E$47)/B365^2))))</f>
        <v>3.6665226725255996E-2</v>
      </c>
      <c r="D365" s="306"/>
      <c r="E365" s="429"/>
      <c r="F365" s="429"/>
      <c r="G365" s="429"/>
      <c r="H365" s="429"/>
      <c r="I365" s="429"/>
      <c r="J365" s="429"/>
      <c r="K365" s="429"/>
      <c r="L365" s="429"/>
      <c r="M365" s="429"/>
      <c r="N365" s="429"/>
      <c r="O365" s="429"/>
      <c r="P365" s="429"/>
      <c r="Q365" s="429"/>
      <c r="R365" s="429"/>
      <c r="S365" s="429"/>
    </row>
    <row r="366" spans="1:19" x14ac:dyDescent="0.25">
      <c r="A366" s="429"/>
      <c r="B366" s="633">
        <f t="shared" si="5"/>
        <v>3.609999999999967</v>
      </c>
      <c r="C366" s="646">
        <f>1/DATI!$E$38*IF(B366&lt;DATI!$E$45,DATI!$E$32*DATI!$E$42*DATI!$E$49*DATI!$E$33*(B366/DATI!$E$45+1/(DATI!$E$49*DATI!$E$33)*(1-B366/DATI!$E$45)),IF(B366&lt;DATI!$E$46,DATI!$E$32*DATI!$E$42*DATI!$E$49*DATI!$E$33,IF(B366&lt;DATI!$E$47,DATI!$E$32*DATI!$E$42*DATI!$E$49*DATI!$E$33*(DATI!$E$46/B366),DATI!$E$32*DATI!$E$42*DATI!$E$49*DATI!$E$33*((DATI!$E$46*DATI!$E$47)/B366^2))))</f>
        <v>3.6462376620753197E-2</v>
      </c>
      <c r="D366" s="306"/>
      <c r="E366" s="429"/>
      <c r="F366" s="429"/>
      <c r="G366" s="429"/>
      <c r="H366" s="429"/>
      <c r="I366" s="429"/>
      <c r="J366" s="429"/>
      <c r="K366" s="429"/>
      <c r="L366" s="429"/>
      <c r="M366" s="429"/>
      <c r="N366" s="429"/>
      <c r="O366" s="429"/>
      <c r="P366" s="429"/>
      <c r="Q366" s="429"/>
      <c r="R366" s="429"/>
      <c r="S366" s="429"/>
    </row>
    <row r="367" spans="1:19" x14ac:dyDescent="0.25">
      <c r="A367" s="429"/>
      <c r="B367" s="633">
        <f t="shared" si="5"/>
        <v>3.6199999999999668</v>
      </c>
      <c r="C367" s="646">
        <f>1/DATI!$E$38*IF(B367&lt;DATI!$E$45,DATI!$E$32*DATI!$E$42*DATI!$E$49*DATI!$E$33*(B367/DATI!$E$45+1/(DATI!$E$49*DATI!$E$33)*(1-B367/DATI!$E$45)),IF(B367&lt;DATI!$E$46,DATI!$E$32*DATI!$E$42*DATI!$E$49*DATI!$E$33,IF(B367&lt;DATI!$E$47,DATI!$E$32*DATI!$E$42*DATI!$E$49*DATI!$E$33*(DATI!$E$46/B367),DATI!$E$32*DATI!$E$42*DATI!$E$49*DATI!$E$33*((DATI!$E$46*DATI!$E$47)/B367^2))))</f>
        <v>3.6261205271459797E-2</v>
      </c>
      <c r="D367" s="306"/>
      <c r="E367" s="429"/>
      <c r="F367" s="429"/>
      <c r="G367" s="429"/>
      <c r="H367" s="429"/>
      <c r="I367" s="429"/>
      <c r="J367" s="429"/>
      <c r="K367" s="429"/>
      <c r="L367" s="429"/>
      <c r="M367" s="429"/>
      <c r="N367" s="429"/>
      <c r="O367" s="429"/>
      <c r="P367" s="429"/>
      <c r="Q367" s="429"/>
      <c r="R367" s="429"/>
      <c r="S367" s="429"/>
    </row>
    <row r="368" spans="1:19" x14ac:dyDescent="0.25">
      <c r="A368" s="429"/>
      <c r="B368" s="633">
        <f t="shared" si="5"/>
        <v>3.6299999999999666</v>
      </c>
      <c r="C368" s="646">
        <f>1/DATI!$E$38*IF(B368&lt;DATI!$E$45,DATI!$E$32*DATI!$E$42*DATI!$E$49*DATI!$E$33*(B368/DATI!$E$45+1/(DATI!$E$49*DATI!$E$33)*(1-B368/DATI!$E$45)),IF(B368&lt;DATI!$E$46,DATI!$E$32*DATI!$E$42*DATI!$E$49*DATI!$E$33,IF(B368&lt;DATI!$E$47,DATI!$E$32*DATI!$E$42*DATI!$E$49*DATI!$E$33*(DATI!$E$46/B368),DATI!$E$32*DATI!$E$42*DATI!$E$49*DATI!$E$33*((DATI!$E$46*DATI!$E$47)/B368^2))))</f>
        <v>3.6061694204199614E-2</v>
      </c>
      <c r="D368" s="306"/>
      <c r="E368" s="429"/>
      <c r="F368" s="429"/>
      <c r="G368" s="429"/>
      <c r="H368" s="429"/>
      <c r="I368" s="429"/>
      <c r="J368" s="429"/>
      <c r="K368" s="429"/>
      <c r="L368" s="429"/>
      <c r="M368" s="429"/>
      <c r="N368" s="429"/>
      <c r="O368" s="429"/>
      <c r="P368" s="429"/>
      <c r="Q368" s="429"/>
      <c r="R368" s="429"/>
      <c r="S368" s="429"/>
    </row>
    <row r="369" spans="1:19" x14ac:dyDescent="0.25">
      <c r="A369" s="429"/>
      <c r="B369" s="633">
        <f t="shared" si="5"/>
        <v>3.6399999999999664</v>
      </c>
      <c r="C369" s="646">
        <f>1/DATI!$E$38*IF(B369&lt;DATI!$E$45,DATI!$E$32*DATI!$E$42*DATI!$E$49*DATI!$E$33*(B369/DATI!$E$45+1/(DATI!$E$49*DATI!$E$33)*(1-B369/DATI!$E$45)),IF(B369&lt;DATI!$E$46,DATI!$E$32*DATI!$E$42*DATI!$E$49*DATI!$E$33,IF(B369&lt;DATI!$E$47,DATI!$E$32*DATI!$E$42*DATI!$E$49*DATI!$E$33*(DATI!$E$46/B369),DATI!$E$32*DATI!$E$42*DATI!$E$49*DATI!$E$33*((DATI!$E$46*DATI!$E$47)/B369^2))))</f>
        <v>3.5863825199199811E-2</v>
      </c>
      <c r="D369" s="306"/>
      <c r="E369" s="429"/>
      <c r="F369" s="429"/>
      <c r="G369" s="429"/>
      <c r="H369" s="429"/>
      <c r="I369" s="429"/>
      <c r="J369" s="429"/>
      <c r="K369" s="429"/>
      <c r="L369" s="429"/>
      <c r="M369" s="429"/>
      <c r="N369" s="429"/>
      <c r="O369" s="429"/>
      <c r="P369" s="429"/>
      <c r="Q369" s="429"/>
      <c r="R369" s="429"/>
      <c r="S369" s="429"/>
    </row>
    <row r="370" spans="1:19" x14ac:dyDescent="0.25">
      <c r="A370" s="429"/>
      <c r="B370" s="633">
        <f t="shared" si="5"/>
        <v>3.6499999999999662</v>
      </c>
      <c r="C370" s="646">
        <f>1/DATI!$E$38*IF(B370&lt;DATI!$E$45,DATI!$E$32*DATI!$E$42*DATI!$E$49*DATI!$E$33*(B370/DATI!$E$45+1/(DATI!$E$49*DATI!$E$33)*(1-B370/DATI!$E$45)),IF(B370&lt;DATI!$E$46,DATI!$E$32*DATI!$E$42*DATI!$E$49*DATI!$E$33,IF(B370&lt;DATI!$E$47,DATI!$E$32*DATI!$E$42*DATI!$E$49*DATI!$E$33*(DATI!$E$46/B370),DATI!$E$32*DATI!$E$42*DATI!$E$49*DATI!$E$33*((DATI!$E$46*DATI!$E$47)/B370^2))))</f>
        <v>3.5667580285931165E-2</v>
      </c>
      <c r="D370" s="306"/>
      <c r="E370" s="429"/>
      <c r="F370" s="429"/>
      <c r="G370" s="429"/>
      <c r="H370" s="429"/>
      <c r="I370" s="429"/>
      <c r="J370" s="429"/>
      <c r="K370" s="429"/>
      <c r="L370" s="429"/>
      <c r="M370" s="429"/>
      <c r="N370" s="429"/>
      <c r="O370" s="429"/>
      <c r="P370" s="429"/>
      <c r="Q370" s="429"/>
      <c r="R370" s="429"/>
      <c r="S370" s="429"/>
    </row>
    <row r="371" spans="1:19" x14ac:dyDescent="0.25">
      <c r="A371" s="429"/>
      <c r="B371" s="633">
        <f t="shared" si="5"/>
        <v>3.6599999999999659</v>
      </c>
      <c r="C371" s="646">
        <f>1/DATI!$E$38*IF(B371&lt;DATI!$E$45,DATI!$E$32*DATI!$E$42*DATI!$E$49*DATI!$E$33*(B371/DATI!$E$45+1/(DATI!$E$49*DATI!$E$33)*(1-B371/DATI!$E$45)),IF(B371&lt;DATI!$E$46,DATI!$E$32*DATI!$E$42*DATI!$E$49*DATI!$E$33,IF(B371&lt;DATI!$E$47,DATI!$E$32*DATI!$E$42*DATI!$E$49*DATI!$E$33*(DATI!$E$46/B371),DATI!$E$32*DATI!$E$42*DATI!$E$49*DATI!$E$33*((DATI!$E$46*DATI!$E$47)/B371^2))))</f>
        <v>3.547294173902759E-2</v>
      </c>
      <c r="D371" s="306"/>
      <c r="E371" s="429"/>
      <c r="F371" s="429"/>
      <c r="G371" s="429"/>
      <c r="H371" s="429"/>
      <c r="I371" s="429"/>
      <c r="J371" s="429"/>
      <c r="K371" s="429"/>
      <c r="L371" s="429"/>
      <c r="M371" s="429"/>
      <c r="N371" s="429"/>
      <c r="O371" s="429"/>
      <c r="P371" s="429"/>
      <c r="Q371" s="429"/>
      <c r="R371" s="429"/>
      <c r="S371" s="429"/>
    </row>
    <row r="372" spans="1:19" x14ac:dyDescent="0.25">
      <c r="A372" s="429"/>
      <c r="B372" s="633">
        <f t="shared" si="5"/>
        <v>3.6699999999999657</v>
      </c>
      <c r="C372" s="646">
        <f>1/DATI!$E$38*IF(B372&lt;DATI!$E$45,DATI!$E$32*DATI!$E$42*DATI!$E$49*DATI!$E$33*(B372/DATI!$E$45+1/(DATI!$E$49*DATI!$E$33)*(1-B372/DATI!$E$45)),IF(B372&lt;DATI!$E$46,DATI!$E$32*DATI!$E$42*DATI!$E$49*DATI!$E$33,IF(B372&lt;DATI!$E$47,DATI!$E$32*DATI!$E$42*DATI!$E$49*DATI!$E$33*(DATI!$E$46/B372),DATI!$E$32*DATI!$E$42*DATI!$E$49*DATI!$E$33*((DATI!$E$46*DATI!$E$47)/B372^2))))</f>
        <v>3.5279892074283566E-2</v>
      </c>
      <c r="D372" s="306"/>
      <c r="E372" s="429"/>
      <c r="F372" s="429"/>
      <c r="G372" s="429"/>
      <c r="H372" s="429"/>
      <c r="I372" s="429"/>
      <c r="J372" s="429"/>
      <c r="K372" s="429"/>
      <c r="L372" s="429"/>
      <c r="M372" s="429"/>
      <c r="N372" s="429"/>
      <c r="O372" s="429"/>
      <c r="P372" s="429"/>
      <c r="Q372" s="429"/>
      <c r="R372" s="429"/>
      <c r="S372" s="429"/>
    </row>
    <row r="373" spans="1:19" x14ac:dyDescent="0.25">
      <c r="A373" s="429"/>
      <c r="B373" s="633">
        <f t="shared" si="5"/>
        <v>3.6799999999999655</v>
      </c>
      <c r="C373" s="646">
        <f>1/DATI!$E$38*IF(B373&lt;DATI!$E$45,DATI!$E$32*DATI!$E$42*DATI!$E$49*DATI!$E$33*(B373/DATI!$E$45+1/(DATI!$E$49*DATI!$E$33)*(1-B373/DATI!$E$45)),IF(B373&lt;DATI!$E$46,DATI!$E$32*DATI!$E$42*DATI!$E$49*DATI!$E$33,IF(B373&lt;DATI!$E$47,DATI!$E$32*DATI!$E$42*DATI!$E$49*DATI!$E$33*(DATI!$E$46/B373),DATI!$E$32*DATI!$E$42*DATI!$E$49*DATI!$E$33*((DATI!$E$46*DATI!$E$47)/B373^2))))</f>
        <v>3.5088414044727526E-2</v>
      </c>
      <c r="D373" s="306"/>
      <c r="E373" s="429"/>
      <c r="F373" s="429"/>
      <c r="G373" s="429"/>
      <c r="H373" s="429"/>
      <c r="I373" s="429"/>
      <c r="J373" s="429"/>
      <c r="K373" s="429"/>
      <c r="L373" s="429"/>
      <c r="M373" s="429"/>
      <c r="N373" s="429"/>
      <c r="O373" s="429"/>
      <c r="P373" s="429"/>
      <c r="Q373" s="429"/>
      <c r="R373" s="429"/>
      <c r="S373" s="429"/>
    </row>
    <row r="374" spans="1:19" x14ac:dyDescent="0.25">
      <c r="A374" s="429"/>
      <c r="B374" s="633">
        <f t="shared" si="5"/>
        <v>3.6899999999999653</v>
      </c>
      <c r="C374" s="646">
        <f>1/DATI!$E$38*IF(B374&lt;DATI!$E$45,DATI!$E$32*DATI!$E$42*DATI!$E$49*DATI!$E$33*(B374/DATI!$E$45+1/(DATI!$E$49*DATI!$E$33)*(1-B374/DATI!$E$45)),IF(B374&lt;DATI!$E$46,DATI!$E$32*DATI!$E$42*DATI!$E$49*DATI!$E$33,IF(B374&lt;DATI!$E$47,DATI!$E$32*DATI!$E$42*DATI!$E$49*DATI!$E$33*(DATI!$E$46/B374),DATI!$E$32*DATI!$E$42*DATI!$E$49*DATI!$E$33*((DATI!$E$46*DATI!$E$47)/B374^2))))</f>
        <v>3.4898490636769565E-2</v>
      </c>
      <c r="D374" s="306"/>
      <c r="E374" s="429"/>
      <c r="F374" s="429"/>
      <c r="G374" s="429"/>
      <c r="H374" s="429"/>
      <c r="I374" s="429"/>
      <c r="J374" s="429"/>
      <c r="K374" s="429"/>
      <c r="L374" s="429"/>
      <c r="M374" s="429"/>
      <c r="N374" s="429"/>
      <c r="O374" s="429"/>
      <c r="P374" s="429"/>
      <c r="Q374" s="429"/>
      <c r="R374" s="429"/>
      <c r="S374" s="429"/>
    </row>
    <row r="375" spans="1:19" x14ac:dyDescent="0.25">
      <c r="A375" s="429"/>
      <c r="B375" s="633">
        <f t="shared" si="5"/>
        <v>3.6999999999999651</v>
      </c>
      <c r="C375" s="646">
        <f>1/DATI!$E$38*IF(B375&lt;DATI!$E$45,DATI!$E$32*DATI!$E$42*DATI!$E$49*DATI!$E$33*(B375/DATI!$E$45+1/(DATI!$E$49*DATI!$E$33)*(1-B375/DATI!$E$45)),IF(B375&lt;DATI!$E$46,DATI!$E$32*DATI!$E$42*DATI!$E$49*DATI!$E$33,IF(B375&lt;DATI!$E$47,DATI!$E$32*DATI!$E$42*DATI!$E$49*DATI!$E$33*(DATI!$E$46/B375),DATI!$E$32*DATI!$E$42*DATI!$E$49*DATI!$E$33*((DATI!$E$46*DATI!$E$47)/B375^2))))</f>
        <v>3.4710105066422067E-2</v>
      </c>
      <c r="D375" s="306"/>
      <c r="E375" s="429"/>
      <c r="F375" s="429"/>
      <c r="G375" s="429"/>
      <c r="H375" s="429"/>
      <c r="I375" s="429"/>
      <c r="J375" s="429"/>
      <c r="K375" s="429"/>
      <c r="L375" s="429"/>
      <c r="M375" s="429"/>
      <c r="N375" s="429"/>
      <c r="O375" s="429"/>
      <c r="P375" s="429"/>
      <c r="Q375" s="429"/>
      <c r="R375" s="429"/>
      <c r="S375" s="429"/>
    </row>
    <row r="376" spans="1:19" x14ac:dyDescent="0.25">
      <c r="A376" s="429"/>
      <c r="B376" s="633">
        <f t="shared" si="5"/>
        <v>3.7099999999999649</v>
      </c>
      <c r="C376" s="646">
        <f>1/DATI!$E$38*IF(B376&lt;DATI!$E$45,DATI!$E$32*DATI!$E$42*DATI!$E$49*DATI!$E$33*(B376/DATI!$E$45+1/(DATI!$E$49*DATI!$E$33)*(1-B376/DATI!$E$45)),IF(B376&lt;DATI!$E$46,DATI!$E$32*DATI!$E$42*DATI!$E$49*DATI!$E$33,IF(B376&lt;DATI!$E$47,DATI!$E$32*DATI!$E$42*DATI!$E$49*DATI!$E$33*(DATI!$E$46/B376),DATI!$E$32*DATI!$E$42*DATI!$E$49*DATI!$E$33*((DATI!$E$46*DATI!$E$47)/B376^2))))</f>
        <v>3.4523240775591435E-2</v>
      </c>
      <c r="D376" s="306"/>
      <c r="E376" s="429"/>
      <c r="F376" s="429"/>
      <c r="G376" s="429"/>
      <c r="H376" s="429"/>
      <c r="I376" s="429"/>
      <c r="J376" s="429"/>
      <c r="K376" s="429"/>
      <c r="L376" s="429"/>
      <c r="M376" s="429"/>
      <c r="N376" s="429"/>
      <c r="O376" s="429"/>
      <c r="P376" s="429"/>
      <c r="Q376" s="429"/>
      <c r="R376" s="429"/>
      <c r="S376" s="429"/>
    </row>
    <row r="377" spans="1:19" x14ac:dyDescent="0.25">
      <c r="A377" s="429"/>
      <c r="B377" s="633">
        <f t="shared" si="5"/>
        <v>3.7199999999999647</v>
      </c>
      <c r="C377" s="646">
        <f>1/DATI!$E$38*IF(B377&lt;DATI!$E$45,DATI!$E$32*DATI!$E$42*DATI!$E$49*DATI!$E$33*(B377/DATI!$E$45+1/(DATI!$E$49*DATI!$E$33)*(1-B377/DATI!$E$45)),IF(B377&lt;DATI!$E$46,DATI!$E$32*DATI!$E$42*DATI!$E$49*DATI!$E$33,IF(B377&lt;DATI!$E$47,DATI!$E$32*DATI!$E$42*DATI!$E$49*DATI!$E$33*(DATI!$E$46/B377),DATI!$E$32*DATI!$E$42*DATI!$E$49*DATI!$E$33*((DATI!$E$46*DATI!$E$47)/B377^2))))</f>
        <v>3.4337881428439569E-2</v>
      </c>
      <c r="D377" s="306"/>
      <c r="E377" s="429"/>
      <c r="F377" s="429"/>
      <c r="G377" s="429"/>
      <c r="H377" s="429"/>
      <c r="I377" s="429"/>
      <c r="J377" s="429"/>
      <c r="K377" s="429"/>
      <c r="L377" s="429"/>
      <c r="M377" s="429"/>
      <c r="N377" s="429"/>
      <c r="O377" s="429"/>
      <c r="P377" s="429"/>
      <c r="Q377" s="429"/>
      <c r="R377" s="429"/>
      <c r="S377" s="429"/>
    </row>
    <row r="378" spans="1:19" x14ac:dyDescent="0.25">
      <c r="A378" s="429"/>
      <c r="B378" s="633">
        <f t="shared" si="5"/>
        <v>3.7299999999999645</v>
      </c>
      <c r="C378" s="646">
        <f>1/DATI!$E$38*IF(B378&lt;DATI!$E$45,DATI!$E$32*DATI!$E$42*DATI!$E$49*DATI!$E$33*(B378/DATI!$E$45+1/(DATI!$E$49*DATI!$E$33)*(1-B378/DATI!$E$45)),IF(B378&lt;DATI!$E$46,DATI!$E$32*DATI!$E$42*DATI!$E$49*DATI!$E$33,IF(B378&lt;DATI!$E$47,DATI!$E$32*DATI!$E$42*DATI!$E$49*DATI!$E$33*(DATI!$E$46/B378),DATI!$E$32*DATI!$E$42*DATI!$E$49*DATI!$E$33*((DATI!$E$46*DATI!$E$47)/B378^2))))</f>
        <v>3.4154010907813483E-2</v>
      </c>
      <c r="D378" s="306"/>
      <c r="E378" s="429"/>
      <c r="F378" s="429"/>
      <c r="G378" s="429"/>
      <c r="H378" s="429"/>
      <c r="I378" s="429"/>
      <c r="J378" s="429"/>
      <c r="K378" s="429"/>
      <c r="L378" s="429"/>
      <c r="M378" s="429"/>
      <c r="N378" s="429"/>
      <c r="O378" s="429"/>
      <c r="P378" s="429"/>
      <c r="Q378" s="429"/>
      <c r="R378" s="429"/>
      <c r="S378" s="429"/>
    </row>
    <row r="379" spans="1:19" x14ac:dyDescent="0.25">
      <c r="A379" s="429"/>
      <c r="B379" s="633">
        <f t="shared" si="5"/>
        <v>3.7399999999999642</v>
      </c>
      <c r="C379" s="646">
        <f>1/DATI!$E$38*IF(B379&lt;DATI!$E$45,DATI!$E$32*DATI!$E$42*DATI!$E$49*DATI!$E$33*(B379/DATI!$E$45+1/(DATI!$E$49*DATI!$E$33)*(1-B379/DATI!$E$45)),IF(B379&lt;DATI!$E$46,DATI!$E$32*DATI!$E$42*DATI!$E$49*DATI!$E$33,IF(B379&lt;DATI!$E$47,DATI!$E$32*DATI!$E$42*DATI!$E$49*DATI!$E$33*(DATI!$E$46/B379),DATI!$E$32*DATI!$E$42*DATI!$E$49*DATI!$E$33*((DATI!$E$46*DATI!$E$47)/B379^2))))</f>
        <v>3.39716133117417E-2</v>
      </c>
      <c r="D379" s="306"/>
      <c r="E379" s="429"/>
      <c r="F379" s="429"/>
      <c r="G379" s="429"/>
      <c r="H379" s="429"/>
      <c r="I379" s="429"/>
      <c r="J379" s="429"/>
      <c r="K379" s="429"/>
      <c r="L379" s="429"/>
      <c r="M379" s="429"/>
      <c r="N379" s="429"/>
      <c r="O379" s="429"/>
      <c r="P379" s="429"/>
      <c r="Q379" s="429"/>
      <c r="R379" s="429"/>
      <c r="S379" s="429"/>
    </row>
    <row r="380" spans="1:19" x14ac:dyDescent="0.25">
      <c r="A380" s="429"/>
      <c r="B380" s="633">
        <f t="shared" si="5"/>
        <v>3.749999999999964</v>
      </c>
      <c r="C380" s="646">
        <f>1/DATI!$E$38*IF(B380&lt;DATI!$E$45,DATI!$E$32*DATI!$E$42*DATI!$E$49*DATI!$E$33*(B380/DATI!$E$45+1/(DATI!$E$49*DATI!$E$33)*(1-B380/DATI!$E$45)),IF(B380&lt;DATI!$E$46,DATI!$E$32*DATI!$E$42*DATI!$E$49*DATI!$E$33,IF(B380&lt;DATI!$E$47,DATI!$E$32*DATI!$E$42*DATI!$E$49*DATI!$E$33*(DATI!$E$46/B380),DATI!$E$32*DATI!$E$42*DATI!$E$49*DATI!$E$33*((DATI!$E$46*DATI!$E$47)/B380^2))))</f>
        <v>3.3790672949995965E-2</v>
      </c>
      <c r="D380" s="306"/>
      <c r="E380" s="429"/>
      <c r="F380" s="429"/>
      <c r="G380" s="429"/>
      <c r="H380" s="429"/>
      <c r="I380" s="429"/>
      <c r="J380" s="429"/>
      <c r="K380" s="429"/>
      <c r="L380" s="429"/>
      <c r="M380" s="429"/>
      <c r="N380" s="429"/>
      <c r="O380" s="429"/>
      <c r="P380" s="429"/>
      <c r="Q380" s="429"/>
      <c r="R380" s="429"/>
      <c r="S380" s="429"/>
    </row>
    <row r="381" spans="1:19" x14ac:dyDescent="0.25">
      <c r="A381" s="429"/>
      <c r="B381" s="633">
        <f t="shared" si="5"/>
        <v>3.7599999999999638</v>
      </c>
      <c r="C381" s="646">
        <f>1/DATI!$E$38*IF(B381&lt;DATI!$E$45,DATI!$E$32*DATI!$E$42*DATI!$E$49*DATI!$E$33*(B381/DATI!$E$45+1/(DATI!$E$49*DATI!$E$33)*(1-B381/DATI!$E$45)),IF(B381&lt;DATI!$E$46,DATI!$E$32*DATI!$E$42*DATI!$E$49*DATI!$E$33,IF(B381&lt;DATI!$E$47,DATI!$E$32*DATI!$E$42*DATI!$E$49*DATI!$E$33*(DATI!$E$46/B381),DATI!$E$32*DATI!$E$42*DATI!$E$49*DATI!$E$33*((DATI!$E$46*DATI!$E$47)/B381^2))))</f>
        <v>3.361117434071683E-2</v>
      </c>
      <c r="D381" s="306"/>
      <c r="E381" s="429"/>
      <c r="F381" s="429"/>
      <c r="G381" s="429"/>
      <c r="H381" s="429"/>
      <c r="I381" s="429"/>
      <c r="J381" s="429"/>
      <c r="K381" s="429"/>
      <c r="L381" s="429"/>
      <c r="M381" s="429"/>
      <c r="N381" s="429"/>
      <c r="O381" s="429"/>
      <c r="P381" s="429"/>
      <c r="Q381" s="429"/>
      <c r="R381" s="429"/>
      <c r="S381" s="429"/>
    </row>
    <row r="382" spans="1:19" x14ac:dyDescent="0.25">
      <c r="A382" s="429"/>
      <c r="B382" s="633">
        <f t="shared" si="5"/>
        <v>3.7699999999999636</v>
      </c>
      <c r="C382" s="646">
        <f>1/DATI!$E$38*IF(B382&lt;DATI!$E$45,DATI!$E$32*DATI!$E$42*DATI!$E$49*DATI!$E$33*(B382/DATI!$E$45+1/(DATI!$E$49*DATI!$E$33)*(1-B382/DATI!$E$45)),IF(B382&lt;DATI!$E$46,DATI!$E$32*DATI!$E$42*DATI!$E$49*DATI!$E$33,IF(B382&lt;DATI!$E$47,DATI!$E$32*DATI!$E$42*DATI!$E$49*DATI!$E$33*(DATI!$E$46/B382),DATI!$E$32*DATI!$E$42*DATI!$E$49*DATI!$E$33*((DATI!$E$46*DATI!$E$47)/B382^2))))</f>
        <v>3.3433102207101877E-2</v>
      </c>
      <c r="D382" s="306"/>
      <c r="E382" s="429"/>
      <c r="F382" s="429"/>
      <c r="G382" s="429"/>
      <c r="H382" s="429"/>
      <c r="I382" s="429"/>
      <c r="J382" s="429"/>
      <c r="K382" s="429"/>
      <c r="L382" s="429"/>
      <c r="M382" s="429"/>
      <c r="N382" s="429"/>
      <c r="O382" s="429"/>
      <c r="P382" s="429"/>
      <c r="Q382" s="429"/>
      <c r="R382" s="429"/>
      <c r="S382" s="429"/>
    </row>
    <row r="383" spans="1:19" x14ac:dyDescent="0.25">
      <c r="A383" s="429"/>
      <c r="B383" s="633">
        <f t="shared" si="5"/>
        <v>3.7799999999999634</v>
      </c>
      <c r="C383" s="646">
        <f>1/DATI!$E$38*IF(B383&lt;DATI!$E$45,DATI!$E$32*DATI!$E$42*DATI!$E$49*DATI!$E$33*(B383/DATI!$E$45+1/(DATI!$E$49*DATI!$E$33)*(1-B383/DATI!$E$45)),IF(B383&lt;DATI!$E$46,DATI!$E$32*DATI!$E$42*DATI!$E$49*DATI!$E$33,IF(B383&lt;DATI!$E$47,DATI!$E$32*DATI!$E$42*DATI!$E$49*DATI!$E$33*(DATI!$E$46/B383),DATI!$E$32*DATI!$E$42*DATI!$E$49*DATI!$E$33*((DATI!$E$46*DATI!$E$47)/B383^2))))</f>
        <v>3.3256441474155143E-2</v>
      </c>
      <c r="D383" s="306"/>
      <c r="E383" s="429"/>
      <c r="F383" s="429"/>
      <c r="G383" s="429"/>
      <c r="H383" s="429"/>
      <c r="I383" s="429"/>
      <c r="J383" s="429"/>
      <c r="K383" s="429"/>
      <c r="L383" s="429"/>
      <c r="M383" s="429"/>
      <c r="N383" s="429"/>
      <c r="O383" s="429"/>
      <c r="P383" s="429"/>
      <c r="Q383" s="429"/>
      <c r="R383" s="429"/>
      <c r="S383" s="429"/>
    </row>
    <row r="384" spans="1:19" x14ac:dyDescent="0.25">
      <c r="A384" s="429"/>
      <c r="B384" s="633">
        <f t="shared" si="5"/>
        <v>3.7899999999999632</v>
      </c>
      <c r="C384" s="646">
        <f>1/DATI!$E$38*IF(B384&lt;DATI!$E$45,DATI!$E$32*DATI!$E$42*DATI!$E$49*DATI!$E$33*(B384/DATI!$E$45+1/(DATI!$E$49*DATI!$E$33)*(1-B384/DATI!$E$45)),IF(B384&lt;DATI!$E$46,DATI!$E$32*DATI!$E$42*DATI!$E$49*DATI!$E$33,IF(B384&lt;DATI!$E$47,DATI!$E$32*DATI!$E$42*DATI!$E$49*DATI!$E$33*(DATI!$E$46/B384),DATI!$E$32*DATI!$E$42*DATI!$E$49*DATI!$E$33*((DATI!$E$46*DATI!$E$47)/B384^2))))</f>
        <v>3.3081177265496503E-2</v>
      </c>
      <c r="D384" s="306"/>
      <c r="E384" s="429"/>
      <c r="F384" s="429"/>
      <c r="G384" s="429"/>
      <c r="H384" s="429"/>
      <c r="I384" s="429"/>
      <c r="J384" s="429"/>
      <c r="K384" s="429"/>
      <c r="L384" s="429"/>
      <c r="M384" s="429"/>
      <c r="N384" s="429"/>
      <c r="O384" s="429"/>
      <c r="P384" s="429"/>
      <c r="Q384" s="429"/>
      <c r="R384" s="429"/>
      <c r="S384" s="429"/>
    </row>
    <row r="385" spans="1:19" x14ac:dyDescent="0.25">
      <c r="A385" s="429"/>
      <c r="B385" s="633">
        <f t="shared" si="5"/>
        <v>3.799999999999963</v>
      </c>
      <c r="C385" s="646">
        <f>1/DATI!$E$38*IF(B385&lt;DATI!$E$45,DATI!$E$32*DATI!$E$42*DATI!$E$49*DATI!$E$33*(B385/DATI!$E$45+1/(DATI!$E$49*DATI!$E$33)*(1-B385/DATI!$E$45)),IF(B385&lt;DATI!$E$46,DATI!$E$32*DATI!$E$42*DATI!$E$49*DATI!$E$33,IF(B385&lt;DATI!$E$47,DATI!$E$32*DATI!$E$42*DATI!$E$49*DATI!$E$33*(DATI!$E$46/B385),DATI!$E$32*DATI!$E$42*DATI!$E$49*DATI!$E$33*((DATI!$E$46*DATI!$E$47)/B385^2))))</f>
        <v>3.2907294900229811E-2</v>
      </c>
      <c r="D385" s="306"/>
      <c r="E385" s="429"/>
      <c r="F385" s="429"/>
      <c r="G385" s="429"/>
      <c r="H385" s="429"/>
      <c r="I385" s="429"/>
      <c r="J385" s="429"/>
      <c r="K385" s="429"/>
      <c r="L385" s="429"/>
      <c r="M385" s="429"/>
      <c r="N385" s="429"/>
      <c r="O385" s="429"/>
      <c r="P385" s="429"/>
      <c r="Q385" s="429"/>
      <c r="R385" s="429"/>
      <c r="S385" s="429"/>
    </row>
    <row r="386" spans="1:19" x14ac:dyDescent="0.25">
      <c r="A386" s="429"/>
      <c r="B386" s="633">
        <f t="shared" si="5"/>
        <v>3.8099999999999627</v>
      </c>
      <c r="C386" s="646">
        <f>1/DATI!$E$38*IF(B386&lt;DATI!$E$45,DATI!$E$32*DATI!$E$42*DATI!$E$49*DATI!$E$33*(B386/DATI!$E$45+1/(DATI!$E$49*DATI!$E$33)*(1-B386/DATI!$E$45)),IF(B386&lt;DATI!$E$46,DATI!$E$32*DATI!$E$42*DATI!$E$49*DATI!$E$33,IF(B386&lt;DATI!$E$47,DATI!$E$32*DATI!$E$42*DATI!$E$49*DATI!$E$33*(DATI!$E$46/B386),DATI!$E$32*DATI!$E$42*DATI!$E$49*DATI!$E$33*((DATI!$E$46*DATI!$E$47)/B386^2))))</f>
        <v>3.2734779889868386E-2</v>
      </c>
      <c r="D386" s="306"/>
      <c r="E386" s="429"/>
      <c r="F386" s="429"/>
      <c r="G386" s="429"/>
      <c r="H386" s="429"/>
      <c r="I386" s="429"/>
      <c r="J386" s="429"/>
      <c r="K386" s="429"/>
      <c r="L386" s="429"/>
      <c r="M386" s="429"/>
      <c r="N386" s="429"/>
      <c r="O386" s="429"/>
      <c r="P386" s="429"/>
      <c r="Q386" s="429"/>
      <c r="R386" s="429"/>
      <c r="S386" s="429"/>
    </row>
    <row r="387" spans="1:19" x14ac:dyDescent="0.25">
      <c r="A387" s="429"/>
      <c r="B387" s="633">
        <f t="shared" si="5"/>
        <v>3.8199999999999625</v>
      </c>
      <c r="C387" s="646">
        <f>1/DATI!$E$38*IF(B387&lt;DATI!$E$45,DATI!$E$32*DATI!$E$42*DATI!$E$49*DATI!$E$33*(B387/DATI!$E$45+1/(DATI!$E$49*DATI!$E$33)*(1-B387/DATI!$E$45)),IF(B387&lt;DATI!$E$46,DATI!$E$32*DATI!$E$42*DATI!$E$49*DATI!$E$33,IF(B387&lt;DATI!$E$47,DATI!$E$32*DATI!$E$42*DATI!$E$49*DATI!$E$33*(DATI!$E$46/B387),DATI!$E$32*DATI!$E$42*DATI!$E$49*DATI!$E$33*((DATI!$E$46*DATI!$E$47)/B387^2))))</f>
        <v>3.256361793531691E-2</v>
      </c>
      <c r="D387" s="306"/>
      <c r="E387" s="429"/>
      <c r="F387" s="429"/>
      <c r="G387" s="429"/>
      <c r="H387" s="429"/>
      <c r="I387" s="429"/>
      <c r="J387" s="429"/>
      <c r="K387" s="429"/>
      <c r="L387" s="429"/>
      <c r="M387" s="429"/>
      <c r="N387" s="429"/>
      <c r="O387" s="429"/>
      <c r="P387" s="429"/>
      <c r="Q387" s="429"/>
      <c r="R387" s="429"/>
      <c r="S387" s="429"/>
    </row>
    <row r="388" spans="1:19" x14ac:dyDescent="0.25">
      <c r="A388" s="429"/>
      <c r="B388" s="633">
        <f t="shared" si="5"/>
        <v>3.8299999999999623</v>
      </c>
      <c r="C388" s="646">
        <f>1/DATI!$E$38*IF(B388&lt;DATI!$E$45,DATI!$E$32*DATI!$E$42*DATI!$E$49*DATI!$E$33*(B388/DATI!$E$45+1/(DATI!$E$49*DATI!$E$33)*(1-B388/DATI!$E$45)),IF(B388&lt;DATI!$E$46,DATI!$E$32*DATI!$E$42*DATI!$E$49*DATI!$E$33,IF(B388&lt;DATI!$E$47,DATI!$E$32*DATI!$E$42*DATI!$E$49*DATI!$E$33*(DATI!$E$46/B388),DATI!$E$32*DATI!$E$42*DATI!$E$49*DATI!$E$33*((DATI!$E$46*DATI!$E$47)/B388^2))))</f>
        <v>3.2393794923908301E-2</v>
      </c>
      <c r="D388" s="306"/>
      <c r="E388" s="429"/>
      <c r="F388" s="429"/>
      <c r="G388" s="429"/>
      <c r="H388" s="429"/>
      <c r="I388" s="429"/>
      <c r="J388" s="429"/>
      <c r="K388" s="429"/>
      <c r="L388" s="429"/>
      <c r="M388" s="429"/>
      <c r="N388" s="429"/>
      <c r="O388" s="429"/>
      <c r="P388" s="429"/>
      <c r="Q388" s="429"/>
      <c r="R388" s="429"/>
      <c r="S388" s="429"/>
    </row>
    <row r="389" spans="1:19" x14ac:dyDescent="0.25">
      <c r="A389" s="429"/>
      <c r="B389" s="633">
        <f t="shared" si="5"/>
        <v>3.8399999999999621</v>
      </c>
      <c r="C389" s="646">
        <f>1/DATI!$E$38*IF(B389&lt;DATI!$E$45,DATI!$E$32*DATI!$E$42*DATI!$E$49*DATI!$E$33*(B389/DATI!$E$45+1/(DATI!$E$49*DATI!$E$33)*(1-B389/DATI!$E$45)),IF(B389&lt;DATI!$E$46,DATI!$E$32*DATI!$E$42*DATI!$E$49*DATI!$E$33,IF(B389&lt;DATI!$E$47,DATI!$E$32*DATI!$E$42*DATI!$E$49*DATI!$E$33*(DATI!$E$46/B389),DATI!$E$32*DATI!$E$42*DATI!$E$49*DATI!$E$33*((DATI!$E$46*DATI!$E$47)/B389^2))))</f>
        <v>3.222529692649459E-2</v>
      </c>
      <c r="D389" s="306"/>
      <c r="E389" s="429"/>
      <c r="F389" s="429"/>
      <c r="G389" s="429"/>
      <c r="H389" s="429"/>
      <c r="I389" s="429"/>
      <c r="J389" s="429"/>
      <c r="K389" s="429"/>
      <c r="L389" s="429"/>
      <c r="M389" s="429"/>
      <c r="N389" s="429"/>
      <c r="O389" s="429"/>
      <c r="P389" s="429"/>
      <c r="Q389" s="429"/>
      <c r="R389" s="429"/>
      <c r="S389" s="429"/>
    </row>
    <row r="390" spans="1:19" x14ac:dyDescent="0.25">
      <c r="A390" s="429"/>
      <c r="B390" s="633">
        <f t="shared" ref="B390:B453" si="6">0.01+B389</f>
        <v>3.8499999999999619</v>
      </c>
      <c r="C390" s="646">
        <f>1/DATI!$E$38*IF(B390&lt;DATI!$E$45,DATI!$E$32*DATI!$E$42*DATI!$E$49*DATI!$E$33*(B390/DATI!$E$45+1/(DATI!$E$49*DATI!$E$33)*(1-B390/DATI!$E$45)),IF(B390&lt;DATI!$E$46,DATI!$E$32*DATI!$E$42*DATI!$E$49*DATI!$E$33,IF(B390&lt;DATI!$E$47,DATI!$E$32*DATI!$E$42*DATI!$E$49*DATI!$E$33*(DATI!$E$46/B390),DATI!$E$32*DATI!$E$42*DATI!$E$49*DATI!$E$33*((DATI!$E$46*DATI!$E$47)/B390^2))))</f>
        <v>3.2058110194590553E-2</v>
      </c>
      <c r="D390" s="306"/>
      <c r="E390" s="429"/>
      <c r="F390" s="429"/>
      <c r="G390" s="429"/>
      <c r="H390" s="429"/>
      <c r="I390" s="429"/>
      <c r="J390" s="429"/>
      <c r="K390" s="429"/>
      <c r="L390" s="429"/>
      <c r="M390" s="429"/>
      <c r="N390" s="429"/>
      <c r="O390" s="429"/>
      <c r="P390" s="429"/>
      <c r="Q390" s="429"/>
      <c r="R390" s="429"/>
      <c r="S390" s="429"/>
    </row>
    <row r="391" spans="1:19" x14ac:dyDescent="0.25">
      <c r="A391" s="429"/>
      <c r="B391" s="633">
        <f t="shared" si="6"/>
        <v>3.8599999999999617</v>
      </c>
      <c r="C391" s="646">
        <f>1/DATI!$E$38*IF(B391&lt;DATI!$E$45,DATI!$E$32*DATI!$E$42*DATI!$E$49*DATI!$E$33*(B391/DATI!$E$45+1/(DATI!$E$49*DATI!$E$33)*(1-B391/DATI!$E$45)),IF(B391&lt;DATI!$E$46,DATI!$E$32*DATI!$E$42*DATI!$E$49*DATI!$E$33,IF(B391&lt;DATI!$E$47,DATI!$E$32*DATI!$E$42*DATI!$E$49*DATI!$E$33*(DATI!$E$46/B391),DATI!$E$32*DATI!$E$42*DATI!$E$49*DATI!$E$33*((DATI!$E$46*DATI!$E$47)/B391^2))))</f>
        <v>3.1892221157569234E-2</v>
      </c>
      <c r="D391" s="306"/>
      <c r="E391" s="429"/>
      <c r="F391" s="429"/>
      <c r="G391" s="429"/>
      <c r="H391" s="429"/>
      <c r="I391" s="429"/>
      <c r="J391" s="429"/>
      <c r="K391" s="429"/>
      <c r="L391" s="429"/>
      <c r="M391" s="429"/>
      <c r="N391" s="429"/>
      <c r="O391" s="429"/>
      <c r="P391" s="429"/>
      <c r="Q391" s="429"/>
      <c r="R391" s="429"/>
      <c r="S391" s="429"/>
    </row>
    <row r="392" spans="1:19" x14ac:dyDescent="0.25">
      <c r="A392" s="429"/>
      <c r="B392" s="633">
        <f t="shared" si="6"/>
        <v>3.8699999999999615</v>
      </c>
      <c r="C392" s="646">
        <f>1/DATI!$E$38*IF(B392&lt;DATI!$E$45,DATI!$E$32*DATI!$E$42*DATI!$E$49*DATI!$E$33*(B392/DATI!$E$45+1/(DATI!$E$49*DATI!$E$33)*(1-B392/DATI!$E$45)),IF(B392&lt;DATI!$E$46,DATI!$E$32*DATI!$E$42*DATI!$E$49*DATI!$E$33,IF(B392&lt;DATI!$E$47,DATI!$E$32*DATI!$E$42*DATI!$E$49*DATI!$E$33*(DATI!$E$46/B392),DATI!$E$32*DATI!$E$42*DATI!$E$49*DATI!$E$33*((DATI!$E$46*DATI!$E$47)/B392^2))))</f>
        <v>3.1727616419907893E-2</v>
      </c>
      <c r="D392" s="306"/>
      <c r="E392" s="429"/>
      <c r="F392" s="429"/>
      <c r="G392" s="429"/>
      <c r="H392" s="429"/>
      <c r="I392" s="429"/>
      <c r="J392" s="429"/>
      <c r="K392" s="429"/>
      <c r="L392" s="429"/>
      <c r="M392" s="429"/>
      <c r="N392" s="429"/>
      <c r="O392" s="429"/>
      <c r="P392" s="429"/>
      <c r="Q392" s="429"/>
      <c r="R392" s="429"/>
      <c r="S392" s="429"/>
    </row>
    <row r="393" spans="1:19" x14ac:dyDescent="0.25">
      <c r="A393" s="429"/>
      <c r="B393" s="633">
        <f t="shared" si="6"/>
        <v>3.8799999999999613</v>
      </c>
      <c r="C393" s="646">
        <f>1/DATI!$E$38*IF(B393&lt;DATI!$E$45,DATI!$E$32*DATI!$E$42*DATI!$E$49*DATI!$E$33*(B393/DATI!$E$45+1/(DATI!$E$49*DATI!$E$33)*(1-B393/DATI!$E$45)),IF(B393&lt;DATI!$E$46,DATI!$E$32*DATI!$E$42*DATI!$E$49*DATI!$E$33,IF(B393&lt;DATI!$E$47,DATI!$E$32*DATI!$E$42*DATI!$E$49*DATI!$E$33*(DATI!$E$46/B393),DATI!$E$32*DATI!$E$42*DATI!$E$49*DATI!$E$33*((DATI!$E$46*DATI!$E$47)/B393^2))))</f>
        <v>3.1564282758483803E-2</v>
      </c>
      <c r="D393" s="306"/>
      <c r="E393" s="429"/>
      <c r="F393" s="429"/>
      <c r="G393" s="429"/>
      <c r="H393" s="429"/>
      <c r="I393" s="429"/>
      <c r="J393" s="429"/>
      <c r="K393" s="429"/>
      <c r="L393" s="429"/>
      <c r="M393" s="429"/>
      <c r="N393" s="429"/>
      <c r="O393" s="429"/>
      <c r="P393" s="429"/>
      <c r="Q393" s="429"/>
      <c r="R393" s="429"/>
      <c r="S393" s="429"/>
    </row>
    <row r="394" spans="1:19" x14ac:dyDescent="0.25">
      <c r="A394" s="429"/>
      <c r="B394" s="633">
        <f t="shared" si="6"/>
        <v>3.889999999999961</v>
      </c>
      <c r="C394" s="646">
        <f>1/DATI!$E$38*IF(B394&lt;DATI!$E$45,DATI!$E$32*DATI!$E$42*DATI!$E$49*DATI!$E$33*(B394/DATI!$E$45+1/(DATI!$E$49*DATI!$E$33)*(1-B394/DATI!$E$45)),IF(B394&lt;DATI!$E$46,DATI!$E$32*DATI!$E$42*DATI!$E$49*DATI!$E$33,IF(B394&lt;DATI!$E$47,DATI!$E$32*DATI!$E$42*DATI!$E$49*DATI!$E$33*(DATI!$E$46/B394),DATI!$E$32*DATI!$E$42*DATI!$E$49*DATI!$E$33*((DATI!$E$46*DATI!$E$47)/B394^2))))</f>
        <v>3.1402207119918493E-2</v>
      </c>
      <c r="D394" s="306"/>
      <c r="E394" s="429"/>
      <c r="F394" s="429"/>
      <c r="G394" s="429"/>
      <c r="H394" s="429"/>
      <c r="I394" s="429"/>
      <c r="J394" s="429"/>
      <c r="K394" s="429"/>
      <c r="L394" s="429"/>
      <c r="M394" s="429"/>
      <c r="N394" s="429"/>
      <c r="O394" s="429"/>
      <c r="P394" s="429"/>
      <c r="Q394" s="429"/>
      <c r="R394" s="429"/>
      <c r="S394" s="429"/>
    </row>
    <row r="395" spans="1:19" x14ac:dyDescent="0.25">
      <c r="A395" s="429"/>
      <c r="B395" s="633">
        <f t="shared" si="6"/>
        <v>3.8999999999999608</v>
      </c>
      <c r="C395" s="646">
        <f>1/DATI!$E$38*IF(B395&lt;DATI!$E$45,DATI!$E$32*DATI!$E$42*DATI!$E$49*DATI!$E$33*(B395/DATI!$E$45+1/(DATI!$E$49*DATI!$E$33)*(1-B395/DATI!$E$45)),IF(B395&lt;DATI!$E$46,DATI!$E$32*DATI!$E$42*DATI!$E$49*DATI!$E$33,IF(B395&lt;DATI!$E$47,DATI!$E$32*DATI!$E$42*DATI!$E$49*DATI!$E$33*(DATI!$E$46/B395),DATI!$E$32*DATI!$E$42*DATI!$E$49*DATI!$E$33*((DATI!$E$46*DATI!$E$47)/B395^2))))</f>
        <v>3.1241376617969673E-2</v>
      </c>
      <c r="D395" s="306"/>
      <c r="E395" s="429"/>
      <c r="F395" s="429"/>
      <c r="G395" s="429"/>
      <c r="H395" s="429"/>
      <c r="I395" s="429"/>
      <c r="J395" s="429"/>
      <c r="K395" s="429"/>
      <c r="L395" s="429"/>
      <c r="M395" s="429"/>
      <c r="N395" s="429"/>
      <c r="O395" s="429"/>
      <c r="P395" s="429"/>
      <c r="Q395" s="429"/>
      <c r="R395" s="429"/>
      <c r="S395" s="429"/>
    </row>
    <row r="396" spans="1:19" x14ac:dyDescent="0.25">
      <c r="A396" s="429"/>
      <c r="B396" s="633">
        <f t="shared" si="6"/>
        <v>3.9099999999999606</v>
      </c>
      <c r="C396" s="646">
        <f>1/DATI!$E$38*IF(B396&lt;DATI!$E$45,DATI!$E$32*DATI!$E$42*DATI!$E$49*DATI!$E$33*(B396/DATI!$E$45+1/(DATI!$E$49*DATI!$E$33)*(1-B396/DATI!$E$45)),IF(B396&lt;DATI!$E$46,DATI!$E$32*DATI!$E$42*DATI!$E$49*DATI!$E$33,IF(B396&lt;DATI!$E$47,DATI!$E$32*DATI!$E$42*DATI!$E$49*DATI!$E$33*(DATI!$E$46/B396),DATI!$E$32*DATI!$E$42*DATI!$E$49*DATI!$E$33*((DATI!$E$46*DATI!$E$47)/B396^2))))</f>
        <v>3.1081778530969755E-2</v>
      </c>
      <c r="D396" s="306"/>
      <c r="E396" s="429"/>
      <c r="F396" s="429"/>
      <c r="G396" s="429"/>
      <c r="H396" s="429"/>
      <c r="I396" s="429"/>
      <c r="J396" s="429"/>
      <c r="K396" s="429"/>
      <c r="L396" s="429"/>
      <c r="M396" s="429"/>
      <c r="N396" s="429"/>
      <c r="O396" s="429"/>
      <c r="P396" s="429"/>
      <c r="Q396" s="429"/>
      <c r="R396" s="429"/>
      <c r="S396" s="429"/>
    </row>
    <row r="397" spans="1:19" x14ac:dyDescent="0.25">
      <c r="A397" s="429"/>
      <c r="B397" s="633">
        <f t="shared" si="6"/>
        <v>3.9199999999999604</v>
      </c>
      <c r="C397" s="646">
        <f>1/DATI!$E$38*IF(B397&lt;DATI!$E$45,DATI!$E$32*DATI!$E$42*DATI!$E$49*DATI!$E$33*(B397/DATI!$E$45+1/(DATI!$E$49*DATI!$E$33)*(1-B397/DATI!$E$45)),IF(B397&lt;DATI!$E$46,DATI!$E$32*DATI!$E$42*DATI!$E$49*DATI!$E$33,IF(B397&lt;DATI!$E$47,DATI!$E$32*DATI!$E$42*DATI!$E$49*DATI!$E$33*(DATI!$E$46/B397),DATI!$E$32*DATI!$E$42*DATI!$E$49*DATI!$E$33*((DATI!$E$46*DATI!$E$47)/B397^2))))</f>
        <v>3.0923400299310105E-2</v>
      </c>
      <c r="D397" s="306"/>
      <c r="E397" s="429"/>
      <c r="F397" s="429"/>
      <c r="G397" s="429"/>
      <c r="H397" s="429"/>
      <c r="I397" s="429"/>
      <c r="J397" s="429"/>
      <c r="K397" s="429"/>
      <c r="L397" s="429"/>
      <c r="M397" s="429"/>
      <c r="N397" s="429"/>
      <c r="O397" s="429"/>
      <c r="P397" s="429"/>
      <c r="Q397" s="429"/>
      <c r="R397" s="429"/>
      <c r="S397" s="429"/>
    </row>
    <row r="398" spans="1:19" x14ac:dyDescent="0.25">
      <c r="A398" s="429"/>
      <c r="B398" s="633">
        <f t="shared" si="6"/>
        <v>3.9299999999999602</v>
      </c>
      <c r="C398" s="646">
        <f>1/DATI!$E$38*IF(B398&lt;DATI!$E$45,DATI!$E$32*DATI!$E$42*DATI!$E$49*DATI!$E$33*(B398/DATI!$E$45+1/(DATI!$E$49*DATI!$E$33)*(1-B398/DATI!$E$45)),IF(B398&lt;DATI!$E$46,DATI!$E$32*DATI!$E$42*DATI!$E$49*DATI!$E$33,IF(B398&lt;DATI!$E$47,DATI!$E$32*DATI!$E$42*DATI!$E$49*DATI!$E$33*(DATI!$E$46/B398),DATI!$E$32*DATI!$E$42*DATI!$E$49*DATI!$E$33*((DATI!$E$46*DATI!$E$47)/B398^2))))</f>
        <v>3.0766229522969962E-2</v>
      </c>
      <c r="D398" s="306"/>
      <c r="E398" s="429"/>
      <c r="F398" s="429"/>
      <c r="G398" s="429"/>
      <c r="H398" s="429"/>
      <c r="I398" s="429"/>
      <c r="J398" s="429"/>
      <c r="K398" s="429"/>
      <c r="L398" s="429"/>
      <c r="M398" s="429"/>
      <c r="N398" s="429"/>
      <c r="O398" s="429"/>
      <c r="P398" s="429"/>
      <c r="Q398" s="429"/>
      <c r="R398" s="429"/>
      <c r="S398" s="429"/>
    </row>
    <row r="399" spans="1:19" x14ac:dyDescent="0.25">
      <c r="A399" s="429"/>
      <c r="B399" s="633">
        <f t="shared" si="6"/>
        <v>3.93999999999996</v>
      </c>
      <c r="C399" s="646">
        <f>1/DATI!$E$38*IF(B399&lt;DATI!$E$45,DATI!$E$32*DATI!$E$42*DATI!$E$49*DATI!$E$33*(B399/DATI!$E$45+1/(DATI!$E$49*DATI!$E$33)*(1-B399/DATI!$E$45)),IF(B399&lt;DATI!$E$46,DATI!$E$32*DATI!$E$42*DATI!$E$49*DATI!$E$33,IF(B399&lt;DATI!$E$47,DATI!$E$32*DATI!$E$42*DATI!$E$49*DATI!$E$33*(DATI!$E$46/B399),DATI!$E$32*DATI!$E$42*DATI!$E$49*DATI!$E$33*((DATI!$E$46*DATI!$E$47)/B399^2))))</f>
        <v>3.0610253959089315E-2</v>
      </c>
      <c r="D399" s="306"/>
      <c r="E399" s="429"/>
      <c r="F399" s="429"/>
      <c r="G399" s="429"/>
      <c r="H399" s="429"/>
      <c r="I399" s="429"/>
      <c r="J399" s="429"/>
      <c r="K399" s="429"/>
      <c r="L399" s="429"/>
      <c r="M399" s="429"/>
      <c r="N399" s="429"/>
      <c r="O399" s="429"/>
      <c r="P399" s="429"/>
      <c r="Q399" s="429"/>
      <c r="R399" s="429"/>
      <c r="S399" s="429"/>
    </row>
    <row r="400" spans="1:19" x14ac:dyDescent="0.25">
      <c r="A400" s="429"/>
      <c r="B400" s="633">
        <f t="shared" si="6"/>
        <v>3.9499999999999598</v>
      </c>
      <c r="C400" s="646">
        <f>1/DATI!$E$38*IF(B400&lt;DATI!$E$45,DATI!$E$32*DATI!$E$42*DATI!$E$49*DATI!$E$33*(B400/DATI!$E$45+1/(DATI!$E$49*DATI!$E$33)*(1-B400/DATI!$E$45)),IF(B400&lt;DATI!$E$46,DATI!$E$32*DATI!$E$42*DATI!$E$49*DATI!$E$33,IF(B400&lt;DATI!$E$47,DATI!$E$32*DATI!$E$42*DATI!$E$49*DATI!$E$33*(DATI!$E$46/B400),DATI!$E$32*DATI!$E$42*DATI!$E$49*DATI!$E$33*((DATI!$E$46*DATI!$E$47)/B400^2))))</f>
        <v>3.0455461519584601E-2</v>
      </c>
      <c r="D400" s="306"/>
      <c r="E400" s="429"/>
      <c r="F400" s="429"/>
      <c r="G400" s="429"/>
      <c r="H400" s="429"/>
      <c r="I400" s="429"/>
      <c r="J400" s="429"/>
      <c r="K400" s="429"/>
      <c r="L400" s="429"/>
      <c r="M400" s="429"/>
      <c r="N400" s="429"/>
      <c r="O400" s="429"/>
      <c r="P400" s="429"/>
      <c r="Q400" s="429"/>
      <c r="R400" s="429"/>
      <c r="S400" s="429"/>
    </row>
    <row r="401" spans="1:19" x14ac:dyDescent="0.25">
      <c r="A401" s="429"/>
      <c r="B401" s="633">
        <f t="shared" si="6"/>
        <v>3.9599999999999596</v>
      </c>
      <c r="C401" s="646">
        <f>1/DATI!$E$38*IF(B401&lt;DATI!$E$45,DATI!$E$32*DATI!$E$42*DATI!$E$49*DATI!$E$33*(B401/DATI!$E$45+1/(DATI!$E$49*DATI!$E$33)*(1-B401/DATI!$E$45)),IF(B401&lt;DATI!$E$46,DATI!$E$32*DATI!$E$42*DATI!$E$49*DATI!$E$33,IF(B401&lt;DATI!$E$47,DATI!$E$32*DATI!$E$42*DATI!$E$49*DATI!$E$33*(DATI!$E$46/B401),DATI!$E$32*DATI!$E$42*DATI!$E$49*DATI!$E$33*((DATI!$E$46*DATI!$E$47)/B401^2))))</f>
        <v>3.0301840268806682E-2</v>
      </c>
      <c r="D401" s="306"/>
      <c r="E401" s="429"/>
      <c r="F401" s="429"/>
      <c r="G401" s="429"/>
      <c r="H401" s="429"/>
      <c r="I401" s="429"/>
      <c r="J401" s="429"/>
      <c r="K401" s="429"/>
      <c r="L401" s="429"/>
      <c r="M401" s="429"/>
      <c r="N401" s="429"/>
      <c r="O401" s="429"/>
      <c r="P401" s="429"/>
      <c r="Q401" s="429"/>
      <c r="R401" s="429"/>
      <c r="S401" s="429"/>
    </row>
    <row r="402" spans="1:19" x14ac:dyDescent="0.25">
      <c r="A402" s="429"/>
      <c r="B402" s="633">
        <f t="shared" si="6"/>
        <v>3.9699999999999593</v>
      </c>
      <c r="C402" s="646">
        <f>1/DATI!$E$38*IF(B402&lt;DATI!$E$45,DATI!$E$32*DATI!$E$42*DATI!$E$49*DATI!$E$33*(B402/DATI!$E$45+1/(DATI!$E$49*DATI!$E$33)*(1-B402/DATI!$E$45)),IF(B402&lt;DATI!$E$46,DATI!$E$32*DATI!$E$42*DATI!$E$49*DATI!$E$33,IF(B402&lt;DATI!$E$47,DATI!$E$32*DATI!$E$42*DATI!$E$49*DATI!$E$33*(DATI!$E$46/B402),DATI!$E$32*DATI!$E$42*DATI!$E$49*DATI!$E$33*((DATI!$E$46*DATI!$E$47)/B402^2))))</f>
        <v>3.0149378421239829E-2</v>
      </c>
      <c r="D402" s="306"/>
      <c r="E402" s="429"/>
      <c r="F402" s="429"/>
      <c r="G402" s="429"/>
      <c r="H402" s="429"/>
      <c r="I402" s="429"/>
      <c r="J402" s="429"/>
      <c r="K402" s="429"/>
      <c r="L402" s="429"/>
      <c r="M402" s="429"/>
      <c r="N402" s="429"/>
      <c r="O402" s="429"/>
      <c r="P402" s="429"/>
      <c r="Q402" s="429"/>
      <c r="R402" s="429"/>
      <c r="S402" s="429"/>
    </row>
    <row r="403" spans="1:19" x14ac:dyDescent="0.25">
      <c r="A403" s="429"/>
      <c r="B403" s="633">
        <f t="shared" si="6"/>
        <v>3.9799999999999591</v>
      </c>
      <c r="C403" s="646">
        <f>1/DATI!$E$38*IF(B403&lt;DATI!$E$45,DATI!$E$32*DATI!$E$42*DATI!$E$49*DATI!$E$33*(B403/DATI!$E$45+1/(DATI!$E$49*DATI!$E$33)*(1-B403/DATI!$E$45)),IF(B403&lt;DATI!$E$46,DATI!$E$32*DATI!$E$42*DATI!$E$49*DATI!$E$33,IF(B403&lt;DATI!$E$47,DATI!$E$32*DATI!$E$42*DATI!$E$49*DATI!$E$33*(DATI!$E$46/B403),DATI!$E$32*DATI!$E$42*DATI!$E$49*DATI!$E$33*((DATI!$E$46*DATI!$E$47)/B403^2))))</f>
        <v>2.9998064339241366E-2</v>
      </c>
      <c r="D403" s="306"/>
      <c r="E403" s="429"/>
      <c r="F403" s="429"/>
      <c r="G403" s="429"/>
      <c r="H403" s="429"/>
      <c r="I403" s="429"/>
      <c r="J403" s="429"/>
      <c r="K403" s="429"/>
      <c r="L403" s="429"/>
      <c r="M403" s="429"/>
      <c r="N403" s="429"/>
      <c r="O403" s="429"/>
      <c r="P403" s="429"/>
      <c r="Q403" s="429"/>
      <c r="R403" s="429"/>
      <c r="S403" s="429"/>
    </row>
    <row r="404" spans="1:19" x14ac:dyDescent="0.25">
      <c r="A404" s="429"/>
      <c r="B404" s="633">
        <f t="shared" si="6"/>
        <v>3.9899999999999589</v>
      </c>
      <c r="C404" s="646">
        <f>1/DATI!$E$38*IF(B404&lt;DATI!$E$45,DATI!$E$32*DATI!$E$42*DATI!$E$49*DATI!$E$33*(B404/DATI!$E$45+1/(DATI!$E$49*DATI!$E$33)*(1-B404/DATI!$E$45)),IF(B404&lt;DATI!$E$46,DATI!$E$32*DATI!$E$42*DATI!$E$49*DATI!$E$33,IF(B404&lt;DATI!$E$47,DATI!$E$32*DATI!$E$42*DATI!$E$49*DATI!$E$33*(DATI!$E$46/B404),DATI!$E$32*DATI!$E$42*DATI!$E$49*DATI!$E$33*((DATI!$E$46*DATI!$E$47)/B404^2))))</f>
        <v>2.9847886530820718E-2</v>
      </c>
      <c r="D404" s="306"/>
      <c r="E404" s="429"/>
      <c r="F404" s="429"/>
      <c r="G404" s="429"/>
      <c r="H404" s="429"/>
      <c r="I404" s="429"/>
      <c r="J404" s="429"/>
      <c r="K404" s="429"/>
      <c r="L404" s="429"/>
      <c r="M404" s="429"/>
      <c r="N404" s="429"/>
      <c r="O404" s="429"/>
      <c r="P404" s="429"/>
      <c r="Q404" s="429"/>
      <c r="R404" s="429"/>
      <c r="S404" s="429"/>
    </row>
    <row r="405" spans="1:19" x14ac:dyDescent="0.25">
      <c r="A405" s="429"/>
      <c r="B405" s="633">
        <f t="shared" si="6"/>
        <v>3.9999999999999587</v>
      </c>
      <c r="C405" s="646">
        <f>1/DATI!$E$38*IF(B405&lt;DATI!$E$45,DATI!$E$32*DATI!$E$42*DATI!$E$49*DATI!$E$33*(B405/DATI!$E$45+1/(DATI!$E$49*DATI!$E$33)*(1-B405/DATI!$E$45)),IF(B405&lt;DATI!$E$46,DATI!$E$32*DATI!$E$42*DATI!$E$49*DATI!$E$33,IF(B405&lt;DATI!$E$47,DATI!$E$32*DATI!$E$42*DATI!$E$49*DATI!$E$33*(DATI!$E$46/B405),DATI!$E$32*DATI!$E$42*DATI!$E$49*DATI!$E$33*((DATI!$E$46*DATI!$E$47)/B405^2))))</f>
        <v>2.9698833647457436E-2</v>
      </c>
      <c r="D405" s="306"/>
      <c r="E405" s="429"/>
      <c r="F405" s="429"/>
      <c r="G405" s="429"/>
      <c r="H405" s="429"/>
      <c r="I405" s="429"/>
      <c r="J405" s="429"/>
      <c r="K405" s="429"/>
      <c r="L405" s="429"/>
      <c r="M405" s="429"/>
      <c r="N405" s="429"/>
      <c r="O405" s="429"/>
      <c r="P405" s="429"/>
      <c r="Q405" s="429"/>
      <c r="R405" s="429"/>
      <c r="S405" s="429"/>
    </row>
    <row r="406" spans="1:19" x14ac:dyDescent="0.25">
      <c r="A406" s="429"/>
      <c r="B406" s="633">
        <f t="shared" si="6"/>
        <v>4.0099999999999589</v>
      </c>
      <c r="C406" s="646">
        <f>1/DATI!$E$38*IF(B406&lt;DATI!$E$45,DATI!$E$32*DATI!$E$42*DATI!$E$49*DATI!$E$33*(B406/DATI!$E$45+1/(DATI!$E$49*DATI!$E$33)*(1-B406/DATI!$E$45)),IF(B406&lt;DATI!$E$46,DATI!$E$32*DATI!$E$42*DATI!$E$49*DATI!$E$33,IF(B406&lt;DATI!$E$47,DATI!$E$32*DATI!$E$42*DATI!$E$49*DATI!$E$33*(DATI!$E$46/B406),DATI!$E$32*DATI!$E$42*DATI!$E$49*DATI!$E$33*((DATI!$E$46*DATI!$E$47)/B406^2))))</f>
        <v>2.9550894481957132E-2</v>
      </c>
      <c r="D406" s="306"/>
      <c r="E406" s="429"/>
      <c r="F406" s="429"/>
      <c r="G406" s="429"/>
      <c r="H406" s="429"/>
      <c r="I406" s="429"/>
      <c r="J406" s="429"/>
      <c r="K406" s="429"/>
      <c r="L406" s="429"/>
      <c r="M406" s="429"/>
      <c r="N406" s="429"/>
      <c r="O406" s="429"/>
      <c r="P406" s="429"/>
      <c r="Q406" s="429"/>
      <c r="R406" s="429"/>
      <c r="S406" s="429"/>
    </row>
    <row r="407" spans="1:19" x14ac:dyDescent="0.25">
      <c r="A407" s="429"/>
      <c r="B407" s="633">
        <f t="shared" si="6"/>
        <v>4.0199999999999587</v>
      </c>
      <c r="C407" s="646">
        <f>1/DATI!$E$38*IF(B407&lt;DATI!$E$45,DATI!$E$32*DATI!$E$42*DATI!$E$49*DATI!$E$33*(B407/DATI!$E$45+1/(DATI!$E$49*DATI!$E$33)*(1-B407/DATI!$E$45)),IF(B407&lt;DATI!$E$46,DATI!$E$32*DATI!$E$42*DATI!$E$49*DATI!$E$33,IF(B407&lt;DATI!$E$47,DATI!$E$32*DATI!$E$42*DATI!$E$49*DATI!$E$33*(DATI!$E$46/B407),DATI!$E$32*DATI!$E$42*DATI!$E$49*DATI!$E$33*((DATI!$E$46*DATI!$E$47)/B407^2))))</f>
        <v>2.9404057966344824E-2</v>
      </c>
      <c r="D407" s="306"/>
      <c r="E407" s="429"/>
      <c r="F407" s="429"/>
      <c r="G407" s="429"/>
      <c r="H407" s="429"/>
      <c r="I407" s="429"/>
      <c r="J407" s="429"/>
      <c r="K407" s="429"/>
      <c r="L407" s="429"/>
      <c r="M407" s="429"/>
      <c r="N407" s="429"/>
      <c r="O407" s="429"/>
      <c r="P407" s="429"/>
      <c r="Q407" s="429"/>
      <c r="R407" s="429"/>
      <c r="S407" s="429"/>
    </row>
    <row r="408" spans="1:19" x14ac:dyDescent="0.25">
      <c r="A408" s="429"/>
      <c r="B408" s="633">
        <f t="shared" si="6"/>
        <v>4.0299999999999585</v>
      </c>
      <c r="C408" s="646">
        <f>1/DATI!$E$38*IF(B408&lt;DATI!$E$45,DATI!$E$32*DATI!$E$42*DATI!$E$49*DATI!$E$33*(B408/DATI!$E$45+1/(DATI!$E$49*DATI!$E$33)*(1-B408/DATI!$E$45)),IF(B408&lt;DATI!$E$46,DATI!$E$32*DATI!$E$42*DATI!$E$49*DATI!$E$33,IF(B408&lt;DATI!$E$47,DATI!$E$32*DATI!$E$42*DATI!$E$49*DATI!$E$33*(DATI!$E$46/B408),DATI!$E$32*DATI!$E$42*DATI!$E$49*DATI!$E$33*((DATI!$E$46*DATI!$E$47)/B408^2))))</f>
        <v>2.9258313169794711E-2</v>
      </c>
      <c r="D408" s="306"/>
      <c r="E408" s="429"/>
      <c r="F408" s="429"/>
      <c r="G408" s="429"/>
      <c r="H408" s="429"/>
      <c r="I408" s="429"/>
      <c r="J408" s="429"/>
      <c r="K408" s="429"/>
      <c r="L408" s="429"/>
      <c r="M408" s="429"/>
      <c r="N408" s="429"/>
      <c r="O408" s="429"/>
      <c r="P408" s="429"/>
      <c r="Q408" s="429"/>
      <c r="R408" s="429"/>
      <c r="S408" s="429"/>
    </row>
    <row r="409" spans="1:19" x14ac:dyDescent="0.25">
      <c r="A409" s="429"/>
      <c r="B409" s="633">
        <f t="shared" si="6"/>
        <v>4.0399999999999583</v>
      </c>
      <c r="C409" s="646">
        <f>1/DATI!$E$38*IF(B409&lt;DATI!$E$45,DATI!$E$32*DATI!$E$42*DATI!$E$49*DATI!$E$33*(B409/DATI!$E$45+1/(DATI!$E$49*DATI!$E$33)*(1-B409/DATI!$E$45)),IF(B409&lt;DATI!$E$46,DATI!$E$32*DATI!$E$42*DATI!$E$49*DATI!$E$33,IF(B409&lt;DATI!$E$47,DATI!$E$32*DATI!$E$42*DATI!$E$49*DATI!$E$33*(DATI!$E$46/B409),DATI!$E$32*DATI!$E$42*DATI!$E$49*DATI!$E$33*((DATI!$E$46*DATI!$E$47)/B409^2))))</f>
        <v>2.9113649296595861E-2</v>
      </c>
      <c r="D409" s="306"/>
      <c r="E409" s="429"/>
      <c r="F409" s="429"/>
      <c r="G409" s="429"/>
      <c r="H409" s="429"/>
      <c r="I409" s="429"/>
      <c r="J409" s="429"/>
      <c r="K409" s="429"/>
      <c r="L409" s="429"/>
      <c r="M409" s="429"/>
      <c r="N409" s="429"/>
      <c r="O409" s="429"/>
      <c r="P409" s="429"/>
      <c r="Q409" s="429"/>
      <c r="R409" s="429"/>
      <c r="S409" s="429"/>
    </row>
    <row r="410" spans="1:19" x14ac:dyDescent="0.25">
      <c r="A410" s="429"/>
      <c r="B410" s="633">
        <f t="shared" si="6"/>
        <v>4.0499999999999581</v>
      </c>
      <c r="C410" s="646">
        <f>1/DATI!$E$38*IF(B410&lt;DATI!$E$45,DATI!$E$32*DATI!$E$42*DATI!$E$49*DATI!$E$33*(B410/DATI!$E$45+1/(DATI!$E$49*DATI!$E$33)*(1-B410/DATI!$E$45)),IF(B410&lt;DATI!$E$46,DATI!$E$32*DATI!$E$42*DATI!$E$49*DATI!$E$33,IF(B410&lt;DATI!$E$47,DATI!$E$32*DATI!$E$42*DATI!$E$49*DATI!$E$33*(DATI!$E$46/B410),DATI!$E$32*DATI!$E$42*DATI!$E$49*DATI!$E$33*((DATI!$E$46*DATI!$E$47)/B410^2))))</f>
        <v>2.8970055684152965E-2</v>
      </c>
      <c r="D410" s="306"/>
      <c r="E410" s="429"/>
      <c r="F410" s="429"/>
      <c r="G410" s="429"/>
      <c r="H410" s="429"/>
      <c r="I410" s="429"/>
      <c r="J410" s="429"/>
      <c r="K410" s="429"/>
      <c r="L410" s="429"/>
      <c r="M410" s="429"/>
      <c r="N410" s="429"/>
      <c r="O410" s="429"/>
      <c r="P410" s="429"/>
      <c r="Q410" s="429"/>
      <c r="R410" s="429"/>
      <c r="S410" s="429"/>
    </row>
    <row r="411" spans="1:19" x14ac:dyDescent="0.25">
      <c r="A411" s="429"/>
      <c r="B411" s="633">
        <f t="shared" si="6"/>
        <v>4.0599999999999579</v>
      </c>
      <c r="C411" s="646">
        <f>1/DATI!$E$38*IF(B411&lt;DATI!$E$45,DATI!$E$32*DATI!$E$42*DATI!$E$49*DATI!$E$33*(B411/DATI!$E$45+1/(DATI!$E$49*DATI!$E$33)*(1-B411/DATI!$E$45)),IF(B411&lt;DATI!$E$46,DATI!$E$32*DATI!$E$42*DATI!$E$49*DATI!$E$33,IF(B411&lt;DATI!$E$47,DATI!$E$32*DATI!$E$42*DATI!$E$49*DATI!$E$33*(DATI!$E$46/B411),DATI!$E$32*DATI!$E$42*DATI!$E$49*DATI!$E$33*((DATI!$E$46*DATI!$E$47)/B411^2))))</f>
        <v>2.8827521801021563E-2</v>
      </c>
      <c r="D411" s="306"/>
      <c r="E411" s="429"/>
      <c r="F411" s="429"/>
      <c r="G411" s="429"/>
      <c r="H411" s="429"/>
      <c r="I411" s="429"/>
      <c r="J411" s="429"/>
      <c r="K411" s="429"/>
      <c r="L411" s="429"/>
      <c r="M411" s="429"/>
      <c r="N411" s="429"/>
      <c r="O411" s="429"/>
      <c r="P411" s="429"/>
      <c r="Q411" s="429"/>
      <c r="R411" s="429"/>
      <c r="S411" s="429"/>
    </row>
    <row r="412" spans="1:19" x14ac:dyDescent="0.25">
      <c r="A412" s="429"/>
      <c r="B412" s="633">
        <f t="shared" si="6"/>
        <v>4.0699999999999577</v>
      </c>
      <c r="C412" s="646">
        <f>1/DATI!$E$38*IF(B412&lt;DATI!$E$45,DATI!$E$32*DATI!$E$42*DATI!$E$49*DATI!$E$33*(B412/DATI!$E$45+1/(DATI!$E$49*DATI!$E$33)*(1-B412/DATI!$E$45)),IF(B412&lt;DATI!$E$46,DATI!$E$32*DATI!$E$42*DATI!$E$49*DATI!$E$33,IF(B412&lt;DATI!$E$47,DATI!$E$32*DATI!$E$42*DATI!$E$49*DATI!$E$33*(DATI!$E$46/B412),DATI!$E$32*DATI!$E$42*DATI!$E$49*DATI!$E$33*((DATI!$E$46*DATI!$E$47)/B412^2))))</f>
        <v>2.868603724497697E-2</v>
      </c>
      <c r="D412" s="306"/>
      <c r="E412" s="429"/>
      <c r="F412" s="429"/>
      <c r="G412" s="429"/>
      <c r="H412" s="429"/>
      <c r="I412" s="429"/>
      <c r="J412" s="429"/>
      <c r="K412" s="429"/>
      <c r="L412" s="429"/>
      <c r="M412" s="429"/>
      <c r="N412" s="429"/>
      <c r="O412" s="429"/>
      <c r="P412" s="429"/>
      <c r="Q412" s="429"/>
      <c r="R412" s="429"/>
      <c r="S412" s="429"/>
    </row>
    <row r="413" spans="1:19" x14ac:dyDescent="0.25">
      <c r="A413" s="429"/>
      <c r="B413" s="633">
        <f t="shared" si="6"/>
        <v>4.0799999999999574</v>
      </c>
      <c r="C413" s="646">
        <f>1/DATI!$E$38*IF(B413&lt;DATI!$E$45,DATI!$E$32*DATI!$E$42*DATI!$E$49*DATI!$E$33*(B413/DATI!$E$45+1/(DATI!$E$49*DATI!$E$33)*(1-B413/DATI!$E$45)),IF(B413&lt;DATI!$E$46,DATI!$E$32*DATI!$E$42*DATI!$E$49*DATI!$E$33,IF(B413&lt;DATI!$E$47,DATI!$E$32*DATI!$E$42*DATI!$E$49*DATI!$E$33*(DATI!$E$46/B413),DATI!$E$32*DATI!$E$42*DATI!$E$49*DATI!$E$33*((DATI!$E$46*DATI!$E$47)/B413^2))))</f>
        <v>2.8545591741116341E-2</v>
      </c>
      <c r="D413" s="306"/>
      <c r="E413" s="429"/>
      <c r="F413" s="429"/>
      <c r="G413" s="429"/>
      <c r="H413" s="429"/>
      <c r="I413" s="429"/>
      <c r="J413" s="429"/>
      <c r="K413" s="429"/>
      <c r="L413" s="429"/>
      <c r="M413" s="429"/>
      <c r="N413" s="429"/>
      <c r="O413" s="429"/>
      <c r="P413" s="429"/>
      <c r="Q413" s="429"/>
      <c r="R413" s="429"/>
      <c r="S413" s="429"/>
    </row>
    <row r="414" spans="1:19" x14ac:dyDescent="0.25">
      <c r="A414" s="429"/>
      <c r="B414" s="633">
        <f t="shared" si="6"/>
        <v>4.0899999999999572</v>
      </c>
      <c r="C414" s="646">
        <f>1/DATI!$E$38*IF(B414&lt;DATI!$E$45,DATI!$E$32*DATI!$E$42*DATI!$E$49*DATI!$E$33*(B414/DATI!$E$45+1/(DATI!$E$49*DATI!$E$33)*(1-B414/DATI!$E$45)),IF(B414&lt;DATI!$E$46,DATI!$E$32*DATI!$E$42*DATI!$E$49*DATI!$E$33,IF(B414&lt;DATI!$E$47,DATI!$E$32*DATI!$E$42*DATI!$E$49*DATI!$E$33*(DATI!$E$46/B414),DATI!$E$32*DATI!$E$42*DATI!$E$49*DATI!$E$33*((DATI!$E$46*DATI!$E$47)/B414^2))))</f>
        <v>2.8406175139993134E-2</v>
      </c>
      <c r="D414" s="306"/>
      <c r="E414" s="429"/>
      <c r="F414" s="429"/>
      <c r="G414" s="429"/>
      <c r="H414" s="429"/>
      <c r="I414" s="429"/>
      <c r="J414" s="429"/>
      <c r="K414" s="429"/>
      <c r="L414" s="429"/>
      <c r="M414" s="429"/>
      <c r="N414" s="429"/>
      <c r="O414" s="429"/>
      <c r="P414" s="429"/>
      <c r="Q414" s="429"/>
      <c r="R414" s="429"/>
      <c r="S414" s="429"/>
    </row>
    <row r="415" spans="1:19" x14ac:dyDescent="0.25">
      <c r="A415" s="429"/>
      <c r="B415" s="633">
        <f t="shared" si="6"/>
        <v>4.099999999999957</v>
      </c>
      <c r="C415" s="646">
        <f>1/DATI!$E$38*IF(B415&lt;DATI!$E$45,DATI!$E$32*DATI!$E$42*DATI!$E$49*DATI!$E$33*(B415/DATI!$E$45+1/(DATI!$E$49*DATI!$E$33)*(1-B415/DATI!$E$45)),IF(B415&lt;DATI!$E$46,DATI!$E$32*DATI!$E$42*DATI!$E$49*DATI!$E$33,IF(B415&lt;DATI!$E$47,DATI!$E$32*DATI!$E$42*DATI!$E$49*DATI!$E$33*(DATI!$E$46/B415),DATI!$E$32*DATI!$E$42*DATI!$E$49*DATI!$E$33*((DATI!$E$46*DATI!$E$47)/B415^2))))</f>
        <v>2.8267777415783409E-2</v>
      </c>
      <c r="D415" s="306"/>
      <c r="E415" s="429"/>
      <c r="F415" s="429"/>
      <c r="G415" s="429"/>
      <c r="H415" s="429"/>
      <c r="I415" s="429"/>
      <c r="J415" s="429"/>
      <c r="K415" s="429"/>
      <c r="L415" s="429"/>
      <c r="M415" s="429"/>
      <c r="N415" s="429"/>
      <c r="O415" s="429"/>
      <c r="P415" s="429"/>
      <c r="Q415" s="429"/>
      <c r="R415" s="429"/>
      <c r="S415" s="429"/>
    </row>
    <row r="416" spans="1:19" x14ac:dyDescent="0.25">
      <c r="A416" s="429"/>
      <c r="B416" s="633">
        <f t="shared" si="6"/>
        <v>4.1099999999999568</v>
      </c>
      <c r="C416" s="646">
        <f>1/DATI!$E$38*IF(B416&lt;DATI!$E$45,DATI!$E$32*DATI!$E$42*DATI!$E$49*DATI!$E$33*(B416/DATI!$E$45+1/(DATI!$E$49*DATI!$E$33)*(1-B416/DATI!$E$45)),IF(B416&lt;DATI!$E$46,DATI!$E$32*DATI!$E$42*DATI!$E$49*DATI!$E$33,IF(B416&lt;DATI!$E$47,DATI!$E$32*DATI!$E$42*DATI!$E$49*DATI!$E$33*(DATI!$E$46/B416),DATI!$E$32*DATI!$E$42*DATI!$E$49*DATI!$E$33*((DATI!$E$46*DATI!$E$47)/B416^2))))</f>
        <v>2.813038866448335E-2</v>
      </c>
      <c r="D416" s="306"/>
      <c r="E416" s="429"/>
      <c r="F416" s="429"/>
      <c r="G416" s="429"/>
      <c r="H416" s="429"/>
      <c r="I416" s="429"/>
      <c r="J416" s="429"/>
      <c r="K416" s="429"/>
      <c r="L416" s="429"/>
      <c r="M416" s="429"/>
      <c r="N416" s="429"/>
      <c r="O416" s="429"/>
      <c r="P416" s="429"/>
      <c r="Q416" s="429"/>
      <c r="R416" s="429"/>
      <c r="S416" s="429"/>
    </row>
    <row r="417" spans="1:19" x14ac:dyDescent="0.25">
      <c r="A417" s="429"/>
      <c r="B417" s="633">
        <f t="shared" si="6"/>
        <v>4.1199999999999566</v>
      </c>
      <c r="C417" s="646">
        <f>1/DATI!$E$38*IF(B417&lt;DATI!$E$45,DATI!$E$32*DATI!$E$42*DATI!$E$49*DATI!$E$33*(B417/DATI!$E$45+1/(DATI!$E$49*DATI!$E$33)*(1-B417/DATI!$E$45)),IF(B417&lt;DATI!$E$46,DATI!$E$32*DATI!$E$42*DATI!$E$49*DATI!$E$33,IF(B417&lt;DATI!$E$47,DATI!$E$32*DATI!$E$42*DATI!$E$49*DATI!$E$33*(DATI!$E$46/B417),DATI!$E$32*DATI!$E$42*DATI!$E$49*DATI!$E$33*((DATI!$E$46*DATI!$E$47)/B417^2))))</f>
        <v>2.7993999102137283E-2</v>
      </c>
      <c r="D417" s="306"/>
      <c r="E417" s="429"/>
      <c r="F417" s="429"/>
      <c r="G417" s="429"/>
      <c r="H417" s="429"/>
      <c r="I417" s="429"/>
      <c r="J417" s="429"/>
      <c r="K417" s="429"/>
      <c r="L417" s="429"/>
      <c r="M417" s="429"/>
      <c r="N417" s="429"/>
      <c r="O417" s="429"/>
      <c r="P417" s="429"/>
      <c r="Q417" s="429"/>
      <c r="R417" s="429"/>
      <c r="S417" s="429"/>
    </row>
    <row r="418" spans="1:19" x14ac:dyDescent="0.25">
      <c r="A418" s="429"/>
      <c r="B418" s="633">
        <f t="shared" si="6"/>
        <v>4.1299999999999564</v>
      </c>
      <c r="C418" s="646">
        <f>1/DATI!$E$38*IF(B418&lt;DATI!$E$45,DATI!$E$32*DATI!$E$42*DATI!$E$49*DATI!$E$33*(B418/DATI!$E$45+1/(DATI!$E$49*DATI!$E$33)*(1-B418/DATI!$E$45)),IF(B418&lt;DATI!$E$46,DATI!$E$32*DATI!$E$42*DATI!$E$49*DATI!$E$33,IF(B418&lt;DATI!$E$47,DATI!$E$32*DATI!$E$42*DATI!$E$49*DATI!$E$33*(DATI!$E$46/B418),DATI!$E$32*DATI!$E$42*DATI!$E$49*DATI!$E$33*((DATI!$E$46*DATI!$E$47)/B418^2))))</f>
        <v>2.7858599063095825E-2</v>
      </c>
      <c r="D418" s="306"/>
      <c r="E418" s="429"/>
      <c r="F418" s="429"/>
      <c r="G418" s="429"/>
      <c r="H418" s="429"/>
      <c r="I418" s="429"/>
      <c r="J418" s="429"/>
      <c r="K418" s="429"/>
      <c r="L418" s="429"/>
      <c r="M418" s="429"/>
      <c r="N418" s="429"/>
      <c r="O418" s="429"/>
      <c r="P418" s="429"/>
      <c r="Q418" s="429"/>
      <c r="R418" s="429"/>
      <c r="S418" s="429"/>
    </row>
    <row r="419" spans="1:19" x14ac:dyDescent="0.25">
      <c r="A419" s="429"/>
      <c r="B419" s="633">
        <f t="shared" si="6"/>
        <v>4.1399999999999562</v>
      </c>
      <c r="C419" s="646">
        <f>1/DATI!$E$38*IF(B419&lt;DATI!$E$45,DATI!$E$32*DATI!$E$42*DATI!$E$49*DATI!$E$33*(B419/DATI!$E$45+1/(DATI!$E$49*DATI!$E$33)*(1-B419/DATI!$E$45)),IF(B419&lt;DATI!$E$46,DATI!$E$32*DATI!$E$42*DATI!$E$49*DATI!$E$33,IF(B419&lt;DATI!$E$47,DATI!$E$32*DATI!$E$42*DATI!$E$49*DATI!$E$33*(DATI!$E$46/B419),DATI!$E$32*DATI!$E$42*DATI!$E$49*DATI!$E$33*((DATI!$E$46*DATI!$E$47)/B419^2))))</f>
        <v>2.77241789983033E-2</v>
      </c>
      <c r="D419" s="306"/>
      <c r="E419" s="429"/>
      <c r="F419" s="429"/>
      <c r="G419" s="429"/>
      <c r="H419" s="429"/>
      <c r="I419" s="429"/>
      <c r="J419" s="429"/>
      <c r="K419" s="429"/>
      <c r="L419" s="429"/>
      <c r="M419" s="429"/>
      <c r="N419" s="429"/>
      <c r="O419" s="429"/>
      <c r="P419" s="429"/>
      <c r="Q419" s="429"/>
      <c r="R419" s="429"/>
      <c r="S419" s="429"/>
    </row>
    <row r="420" spans="1:19" x14ac:dyDescent="0.25">
      <c r="A420" s="429"/>
      <c r="B420" s="633">
        <f t="shared" si="6"/>
        <v>4.1499999999999559</v>
      </c>
      <c r="C420" s="646">
        <f>1/DATI!$E$38*IF(B420&lt;DATI!$E$45,DATI!$E$32*DATI!$E$42*DATI!$E$49*DATI!$E$33*(B420/DATI!$E$45+1/(DATI!$E$49*DATI!$E$33)*(1-B420/DATI!$E$45)),IF(B420&lt;DATI!$E$46,DATI!$E$32*DATI!$E$42*DATI!$E$49*DATI!$E$33,IF(B420&lt;DATI!$E$47,DATI!$E$32*DATI!$E$42*DATI!$E$49*DATI!$E$33*(DATI!$E$46/B420),DATI!$E$32*DATI!$E$42*DATI!$E$49*DATI!$E$33*((DATI!$E$46*DATI!$E$47)/B420^2))))</f>
        <v>2.7590729473614125E-2</v>
      </c>
      <c r="D420" s="306"/>
      <c r="E420" s="429"/>
      <c r="F420" s="429"/>
      <c r="G420" s="429"/>
      <c r="H420" s="429"/>
      <c r="I420" s="429"/>
      <c r="J420" s="429"/>
      <c r="K420" s="429"/>
      <c r="L420" s="429"/>
      <c r="M420" s="429"/>
      <c r="N420" s="429"/>
      <c r="O420" s="429"/>
      <c r="P420" s="429"/>
      <c r="Q420" s="429"/>
      <c r="R420" s="429"/>
      <c r="S420" s="429"/>
    </row>
    <row r="421" spans="1:19" x14ac:dyDescent="0.25">
      <c r="A421" s="429"/>
      <c r="B421" s="633">
        <f t="shared" si="6"/>
        <v>4.1599999999999557</v>
      </c>
      <c r="C421" s="646">
        <f>1/DATI!$E$38*IF(B421&lt;DATI!$E$45,DATI!$E$32*DATI!$E$42*DATI!$E$49*DATI!$E$33*(B421/DATI!$E$45+1/(DATI!$E$49*DATI!$E$33)*(1-B421/DATI!$E$45)),IF(B421&lt;DATI!$E$46,DATI!$E$32*DATI!$E$42*DATI!$E$49*DATI!$E$33,IF(B421&lt;DATI!$E$47,DATI!$E$32*DATI!$E$42*DATI!$E$49*DATI!$E$33*(DATI!$E$46/B421),DATI!$E$32*DATI!$E$42*DATI!$E$49*DATI!$E$33*((DATI!$E$46*DATI!$E$47)/B421^2))))</f>
        <v>2.7458241168137439E-2</v>
      </c>
      <c r="D421" s="306"/>
      <c r="E421" s="429"/>
      <c r="F421" s="429"/>
      <c r="G421" s="429"/>
      <c r="H421" s="429"/>
      <c r="I421" s="429"/>
      <c r="J421" s="429"/>
      <c r="K421" s="429"/>
      <c r="L421" s="429"/>
      <c r="M421" s="429"/>
      <c r="N421" s="429"/>
      <c r="O421" s="429"/>
      <c r="P421" s="429"/>
      <c r="Q421" s="429"/>
      <c r="R421" s="429"/>
      <c r="S421" s="429"/>
    </row>
    <row r="422" spans="1:19" x14ac:dyDescent="0.25">
      <c r="A422" s="429"/>
      <c r="B422" s="633">
        <f t="shared" si="6"/>
        <v>4.1699999999999555</v>
      </c>
      <c r="C422" s="646">
        <f>1/DATI!$E$38*IF(B422&lt;DATI!$E$45,DATI!$E$32*DATI!$E$42*DATI!$E$49*DATI!$E$33*(B422/DATI!$E$45+1/(DATI!$E$49*DATI!$E$33)*(1-B422/DATI!$E$45)),IF(B422&lt;DATI!$E$46,DATI!$E$32*DATI!$E$42*DATI!$E$49*DATI!$E$33,IF(B422&lt;DATI!$E$47,DATI!$E$32*DATI!$E$42*DATI!$E$49*DATI!$E$33*(DATI!$E$46/B422),DATI!$E$32*DATI!$E$42*DATI!$E$49*DATI!$E$33*((DATI!$E$46*DATI!$E$47)/B422^2))))</f>
        <v>2.7326704872609495E-2</v>
      </c>
      <c r="D422" s="306"/>
      <c r="E422" s="429"/>
      <c r="F422" s="429"/>
      <c r="G422" s="429"/>
      <c r="H422" s="429"/>
      <c r="I422" s="429"/>
      <c r="J422" s="429"/>
      <c r="K422" s="429"/>
      <c r="L422" s="429"/>
      <c r="M422" s="429"/>
      <c r="N422" s="429"/>
      <c r="O422" s="429"/>
      <c r="P422" s="429"/>
      <c r="Q422" s="429"/>
      <c r="R422" s="429"/>
      <c r="S422" s="429"/>
    </row>
    <row r="423" spans="1:19" x14ac:dyDescent="0.25">
      <c r="A423" s="429"/>
      <c r="B423" s="633">
        <f t="shared" si="6"/>
        <v>4.1799999999999553</v>
      </c>
      <c r="C423" s="646">
        <f>1/DATI!$E$38*IF(B423&lt;DATI!$E$45,DATI!$E$32*DATI!$E$42*DATI!$E$49*DATI!$E$33*(B423/DATI!$E$45+1/(DATI!$E$49*DATI!$E$33)*(1-B423/DATI!$E$45)),IF(B423&lt;DATI!$E$46,DATI!$E$32*DATI!$E$42*DATI!$E$49*DATI!$E$33,IF(B423&lt;DATI!$E$47,DATI!$E$32*DATI!$E$42*DATI!$E$49*DATI!$E$33*(DATI!$E$46/B423),DATI!$E$32*DATI!$E$42*DATI!$E$49*DATI!$E$33*((DATI!$E$46*DATI!$E$47)/B423^2))))</f>
        <v>2.7196111487793277E-2</v>
      </c>
      <c r="D423" s="306"/>
      <c r="E423" s="429"/>
      <c r="F423" s="429"/>
      <c r="G423" s="429"/>
      <c r="H423" s="429"/>
      <c r="I423" s="429"/>
      <c r="J423" s="429"/>
      <c r="K423" s="429"/>
      <c r="L423" s="429"/>
      <c r="M423" s="429"/>
      <c r="N423" s="429"/>
      <c r="O423" s="429"/>
      <c r="P423" s="429"/>
      <c r="Q423" s="429"/>
      <c r="R423" s="429"/>
      <c r="S423" s="429"/>
    </row>
    <row r="424" spans="1:19" x14ac:dyDescent="0.25">
      <c r="A424" s="429"/>
      <c r="B424" s="633">
        <f t="shared" si="6"/>
        <v>4.1899999999999551</v>
      </c>
      <c r="C424" s="646">
        <f>1/DATI!$E$38*IF(B424&lt;DATI!$E$45,DATI!$E$32*DATI!$E$42*DATI!$E$49*DATI!$E$33*(B424/DATI!$E$45+1/(DATI!$E$49*DATI!$E$33)*(1-B424/DATI!$E$45)),IF(B424&lt;DATI!$E$46,DATI!$E$32*DATI!$E$42*DATI!$E$49*DATI!$E$33,IF(B424&lt;DATI!$E$47,DATI!$E$32*DATI!$E$42*DATI!$E$49*DATI!$E$33*(DATI!$E$46/B424),DATI!$E$32*DATI!$E$42*DATI!$E$49*DATI!$E$33*((DATI!$E$46*DATI!$E$47)/B424^2))))</f>
        <v>2.7066452022904818E-2</v>
      </c>
      <c r="D424" s="306"/>
      <c r="E424" s="429"/>
      <c r="F424" s="429"/>
      <c r="G424" s="429"/>
      <c r="H424" s="429"/>
      <c r="I424" s="429"/>
      <c r="J424" s="429"/>
      <c r="K424" s="429"/>
      <c r="L424" s="429"/>
      <c r="M424" s="429"/>
      <c r="N424" s="429"/>
      <c r="O424" s="429"/>
      <c r="P424" s="429"/>
      <c r="Q424" s="429"/>
      <c r="R424" s="429"/>
      <c r="S424" s="429"/>
    </row>
    <row r="425" spans="1:19" x14ac:dyDescent="0.25">
      <c r="A425" s="429"/>
      <c r="B425" s="633">
        <f t="shared" si="6"/>
        <v>4.1999999999999549</v>
      </c>
      <c r="C425" s="646">
        <f>1/DATI!$E$38*IF(B425&lt;DATI!$E$45,DATI!$E$32*DATI!$E$42*DATI!$E$49*DATI!$E$33*(B425/DATI!$E$45+1/(DATI!$E$49*DATI!$E$33)*(1-B425/DATI!$E$45)),IF(B425&lt;DATI!$E$46,DATI!$E$32*DATI!$E$42*DATI!$E$49*DATI!$E$33,IF(B425&lt;DATI!$E$47,DATI!$E$32*DATI!$E$42*DATI!$E$49*DATI!$E$33*(DATI!$E$46/B425),DATI!$E$32*DATI!$E$42*DATI!$E$49*DATI!$E$33*((DATI!$E$46*DATI!$E$47)/B425^2))))</f>
        <v>2.6937717594065724E-2</v>
      </c>
      <c r="D425" s="306"/>
      <c r="E425" s="429"/>
      <c r="F425" s="429"/>
      <c r="G425" s="429"/>
      <c r="H425" s="429"/>
      <c r="I425" s="429"/>
      <c r="J425" s="429"/>
      <c r="K425" s="429"/>
      <c r="L425" s="429"/>
      <c r="M425" s="429"/>
      <c r="N425" s="429"/>
      <c r="O425" s="429"/>
      <c r="P425" s="429"/>
      <c r="Q425" s="429"/>
      <c r="R425" s="429"/>
      <c r="S425" s="429"/>
    </row>
    <row r="426" spans="1:19" x14ac:dyDescent="0.25">
      <c r="A426" s="429"/>
      <c r="B426" s="633">
        <f t="shared" si="6"/>
        <v>4.2099999999999547</v>
      </c>
      <c r="C426" s="646">
        <f>1/DATI!$E$38*IF(B426&lt;DATI!$E$45,DATI!$E$32*DATI!$E$42*DATI!$E$49*DATI!$E$33*(B426/DATI!$E$45+1/(DATI!$E$49*DATI!$E$33)*(1-B426/DATI!$E$45)),IF(B426&lt;DATI!$E$46,DATI!$E$32*DATI!$E$42*DATI!$E$49*DATI!$E$33,IF(B426&lt;DATI!$E$47,DATI!$E$32*DATI!$E$42*DATI!$E$49*DATI!$E$33*(DATI!$E$46/B426),DATI!$E$32*DATI!$E$42*DATI!$E$49*DATI!$E$33*((DATI!$E$46*DATI!$E$47)/B426^2))))</f>
        <v>2.6809899422781374E-2</v>
      </c>
      <c r="D426" s="306"/>
      <c r="E426" s="429"/>
      <c r="F426" s="429"/>
      <c r="G426" s="429"/>
      <c r="H426" s="429"/>
      <c r="I426" s="429"/>
      <c r="J426" s="429"/>
      <c r="K426" s="429"/>
      <c r="L426" s="429"/>
      <c r="M426" s="429"/>
      <c r="N426" s="429"/>
      <c r="O426" s="429"/>
      <c r="P426" s="429"/>
      <c r="Q426" s="429"/>
      <c r="R426" s="429"/>
      <c r="S426" s="429"/>
    </row>
    <row r="427" spans="1:19" x14ac:dyDescent="0.25">
      <c r="A427" s="429"/>
      <c r="B427" s="633">
        <f t="shared" si="6"/>
        <v>4.2199999999999545</v>
      </c>
      <c r="C427" s="646">
        <f>1/DATI!$E$38*IF(B427&lt;DATI!$E$45,DATI!$E$32*DATI!$E$42*DATI!$E$49*DATI!$E$33*(B427/DATI!$E$45+1/(DATI!$E$49*DATI!$E$33)*(1-B427/DATI!$E$45)),IF(B427&lt;DATI!$E$46,DATI!$E$32*DATI!$E$42*DATI!$E$49*DATI!$E$33,IF(B427&lt;DATI!$E$47,DATI!$E$32*DATI!$E$42*DATI!$E$49*DATI!$E$33*(DATI!$E$46/B427),DATI!$E$32*DATI!$E$42*DATI!$E$49*DATI!$E$33*((DATI!$E$46*DATI!$E$47)/B427^2))))</f>
        <v>2.6682988834444386E-2</v>
      </c>
      <c r="D427" s="306"/>
      <c r="E427" s="429"/>
      <c r="F427" s="429"/>
      <c r="G427" s="429"/>
      <c r="H427" s="429"/>
      <c r="I427" s="429"/>
      <c r="J427" s="429"/>
      <c r="K427" s="429"/>
      <c r="L427" s="429"/>
      <c r="M427" s="429"/>
      <c r="N427" s="429"/>
      <c r="O427" s="429"/>
      <c r="P427" s="429"/>
      <c r="Q427" s="429"/>
      <c r="R427" s="429"/>
      <c r="S427" s="429"/>
    </row>
    <row r="428" spans="1:19" x14ac:dyDescent="0.25">
      <c r="A428" s="429"/>
      <c r="B428" s="633">
        <f t="shared" si="6"/>
        <v>4.2299999999999542</v>
      </c>
      <c r="C428" s="646">
        <f>1/DATI!$E$38*IF(B428&lt;DATI!$E$45,DATI!$E$32*DATI!$E$42*DATI!$E$49*DATI!$E$33*(B428/DATI!$E$45+1/(DATI!$E$49*DATI!$E$33)*(1-B428/DATI!$E$45)),IF(B428&lt;DATI!$E$46,DATI!$E$32*DATI!$E$42*DATI!$E$49*DATI!$E$33,IF(B428&lt;DATI!$E$47,DATI!$E$32*DATI!$E$42*DATI!$E$49*DATI!$E$33*(DATI!$E$46/B428),DATI!$E$32*DATI!$E$42*DATI!$E$49*DATI!$E$33*((DATI!$E$46*DATI!$E$47)/B428^2))))</f>
        <v>2.6556977256862749E-2</v>
      </c>
      <c r="D428" s="306"/>
      <c r="E428" s="429"/>
      <c r="F428" s="429"/>
      <c r="G428" s="429"/>
      <c r="H428" s="429"/>
      <c r="I428" s="429"/>
      <c r="J428" s="429"/>
      <c r="K428" s="429"/>
      <c r="L428" s="429"/>
      <c r="M428" s="429"/>
      <c r="N428" s="429"/>
      <c r="O428" s="429"/>
      <c r="P428" s="429"/>
      <c r="Q428" s="429"/>
      <c r="R428" s="429"/>
      <c r="S428" s="429"/>
    </row>
    <row r="429" spans="1:19" x14ac:dyDescent="0.25">
      <c r="A429" s="429"/>
      <c r="B429" s="633">
        <f t="shared" si="6"/>
        <v>4.239999999999954</v>
      </c>
      <c r="C429" s="646">
        <f>1/DATI!$E$38*IF(B429&lt;DATI!$E$45,DATI!$E$32*DATI!$E$42*DATI!$E$49*DATI!$E$33*(B429/DATI!$E$45+1/(DATI!$E$49*DATI!$E$33)*(1-B429/DATI!$E$45)),IF(B429&lt;DATI!$E$46,DATI!$E$32*DATI!$E$42*DATI!$E$49*DATI!$E$33,IF(B429&lt;DATI!$E$47,DATI!$E$32*DATI!$E$42*DATI!$E$49*DATI!$E$33*(DATI!$E$46/B429),DATI!$E$32*DATI!$E$42*DATI!$E$49*DATI!$E$33*((DATI!$E$46*DATI!$E$47)/B429^2))))</f>
        <v>2.6431856218812267E-2</v>
      </c>
      <c r="D429" s="306"/>
      <c r="E429" s="429"/>
      <c r="F429" s="429"/>
      <c r="G429" s="429"/>
      <c r="H429" s="429"/>
      <c r="I429" s="429"/>
      <c r="J429" s="429"/>
      <c r="K429" s="429"/>
      <c r="L429" s="429"/>
      <c r="M429" s="429"/>
      <c r="N429" s="429"/>
      <c r="O429" s="429"/>
      <c r="P429" s="429"/>
      <c r="Q429" s="429"/>
      <c r="R429" s="429"/>
      <c r="S429" s="429"/>
    </row>
    <row r="430" spans="1:19" x14ac:dyDescent="0.25">
      <c r="A430" s="429"/>
      <c r="B430" s="633">
        <f t="shared" si="6"/>
        <v>4.2499999999999538</v>
      </c>
      <c r="C430" s="646">
        <f>1/DATI!$E$38*IF(B430&lt;DATI!$E$45,DATI!$E$32*DATI!$E$42*DATI!$E$49*DATI!$E$33*(B430/DATI!$E$45+1/(DATI!$E$49*DATI!$E$33)*(1-B430/DATI!$E$45)),IF(B430&lt;DATI!$E$46,DATI!$E$32*DATI!$E$42*DATI!$E$49*DATI!$E$33,IF(B430&lt;DATI!$E$47,DATI!$E$32*DATI!$E$42*DATI!$E$49*DATI!$E$33*(DATI!$E$46/B430),DATI!$E$32*DATI!$E$42*DATI!$E$49*DATI!$E$33*((DATI!$E$46*DATI!$E$47)/B430^2))))</f>
        <v>2.6307617348612842E-2</v>
      </c>
      <c r="D430" s="306"/>
      <c r="E430" s="429"/>
      <c r="F430" s="429"/>
      <c r="G430" s="429"/>
      <c r="H430" s="429"/>
      <c r="I430" s="429"/>
      <c r="J430" s="429"/>
      <c r="K430" s="429"/>
      <c r="L430" s="429"/>
      <c r="M430" s="429"/>
      <c r="N430" s="429"/>
      <c r="O430" s="429"/>
      <c r="P430" s="429"/>
      <c r="Q430" s="429"/>
      <c r="R430" s="429"/>
      <c r="S430" s="429"/>
    </row>
    <row r="431" spans="1:19" x14ac:dyDescent="0.25">
      <c r="A431" s="429"/>
      <c r="B431" s="633">
        <f t="shared" si="6"/>
        <v>4.2599999999999536</v>
      </c>
      <c r="C431" s="646">
        <f>1/DATI!$E$38*IF(B431&lt;DATI!$E$45,DATI!$E$32*DATI!$E$42*DATI!$E$49*DATI!$E$33*(B431/DATI!$E$45+1/(DATI!$E$49*DATI!$E$33)*(1-B431/DATI!$E$45)),IF(B431&lt;DATI!$E$46,DATI!$E$32*DATI!$E$42*DATI!$E$49*DATI!$E$33,IF(B431&lt;DATI!$E$47,DATI!$E$32*DATI!$E$42*DATI!$E$49*DATI!$E$33*(DATI!$E$46/B431),DATI!$E$32*DATI!$E$42*DATI!$E$49*DATI!$E$33*((DATI!$E$46*DATI!$E$47)/B431^2))))</f>
        <v>2.6184252372728044E-2</v>
      </c>
      <c r="D431" s="306"/>
      <c r="E431" s="429"/>
      <c r="F431" s="429"/>
      <c r="G431" s="429"/>
      <c r="H431" s="429"/>
      <c r="I431" s="429"/>
      <c r="J431" s="429"/>
      <c r="K431" s="429"/>
      <c r="L431" s="429"/>
      <c r="M431" s="429"/>
      <c r="N431" s="429"/>
      <c r="O431" s="429"/>
      <c r="P431" s="429"/>
      <c r="Q431" s="429"/>
      <c r="R431" s="429"/>
      <c r="S431" s="429"/>
    </row>
    <row r="432" spans="1:19" x14ac:dyDescent="0.25">
      <c r="A432" s="429"/>
      <c r="B432" s="633">
        <f t="shared" si="6"/>
        <v>4.2699999999999534</v>
      </c>
      <c r="C432" s="646">
        <f>1/DATI!$E$38*IF(B432&lt;DATI!$E$45,DATI!$E$32*DATI!$E$42*DATI!$E$49*DATI!$E$33*(B432/DATI!$E$45+1/(DATI!$E$49*DATI!$E$33)*(1-B432/DATI!$E$45)),IF(B432&lt;DATI!$E$46,DATI!$E$32*DATI!$E$42*DATI!$E$49*DATI!$E$33,IF(B432&lt;DATI!$E$47,DATI!$E$32*DATI!$E$42*DATI!$E$49*DATI!$E$33*(DATI!$E$46/B432),DATI!$E$32*DATI!$E$42*DATI!$E$49*DATI!$E$33*((DATI!$E$46*DATI!$E$47)/B432^2))))</f>
        <v>2.6061753114387701E-2</v>
      </c>
      <c r="D432" s="306"/>
      <c r="E432" s="429"/>
      <c r="F432" s="429"/>
      <c r="G432" s="429"/>
      <c r="H432" s="429"/>
      <c r="I432" s="429"/>
      <c r="J432" s="429"/>
      <c r="K432" s="429"/>
      <c r="L432" s="429"/>
      <c r="M432" s="429"/>
      <c r="N432" s="429"/>
      <c r="O432" s="429"/>
      <c r="P432" s="429"/>
      <c r="Q432" s="429"/>
      <c r="R432" s="429"/>
      <c r="S432" s="429"/>
    </row>
    <row r="433" spans="1:19" x14ac:dyDescent="0.25">
      <c r="A433" s="429"/>
      <c r="B433" s="633">
        <f t="shared" si="6"/>
        <v>4.2799999999999532</v>
      </c>
      <c r="C433" s="646">
        <f>1/DATI!$E$38*IF(B433&lt;DATI!$E$45,DATI!$E$32*DATI!$E$42*DATI!$E$49*DATI!$E$33*(B433/DATI!$E$45+1/(DATI!$E$49*DATI!$E$33)*(1-B433/DATI!$E$45)),IF(B433&lt;DATI!$E$46,DATI!$E$32*DATI!$E$42*DATI!$E$49*DATI!$E$33,IF(B433&lt;DATI!$E$47,DATI!$E$32*DATI!$E$42*DATI!$E$49*DATI!$E$33*(DATI!$E$46/B433),DATI!$E$32*DATI!$E$42*DATI!$E$49*DATI!$E$33*((DATI!$E$46*DATI!$E$47)/B433^2))))</f>
        <v>2.5940111492232919E-2</v>
      </c>
      <c r="D433" s="306"/>
      <c r="E433" s="429"/>
      <c r="F433" s="429"/>
      <c r="G433" s="429"/>
      <c r="H433" s="429"/>
      <c r="I433" s="429"/>
      <c r="J433" s="429"/>
      <c r="K433" s="429"/>
      <c r="L433" s="429"/>
      <c r="M433" s="429"/>
      <c r="N433" s="429"/>
      <c r="O433" s="429"/>
      <c r="P433" s="429"/>
      <c r="Q433" s="429"/>
      <c r="R433" s="429"/>
      <c r="S433" s="429"/>
    </row>
    <row r="434" spans="1:19" x14ac:dyDescent="0.25">
      <c r="A434" s="429"/>
      <c r="B434" s="633">
        <f t="shared" si="6"/>
        <v>4.289999999999953</v>
      </c>
      <c r="C434" s="646">
        <f>1/DATI!$E$38*IF(B434&lt;DATI!$E$45,DATI!$E$32*DATI!$E$42*DATI!$E$49*DATI!$E$33*(B434/DATI!$E$45+1/(DATI!$E$49*DATI!$E$33)*(1-B434/DATI!$E$45)),IF(B434&lt;DATI!$E$46,DATI!$E$32*DATI!$E$42*DATI!$E$49*DATI!$E$33,IF(B434&lt;DATI!$E$47,DATI!$E$32*DATI!$E$42*DATI!$E$49*DATI!$E$33*(DATI!$E$46/B434),DATI!$E$32*DATI!$E$42*DATI!$E$49*DATI!$E$33*((DATI!$E$46*DATI!$E$47)/B434^2))))</f>
        <v>2.5819319518983246E-2</v>
      </c>
      <c r="D434" s="306"/>
      <c r="E434" s="429"/>
      <c r="F434" s="429"/>
      <c r="G434" s="429"/>
      <c r="H434" s="429"/>
      <c r="I434" s="429"/>
      <c r="J434" s="429"/>
      <c r="K434" s="429"/>
      <c r="L434" s="429"/>
      <c r="M434" s="429"/>
      <c r="N434" s="429"/>
      <c r="O434" s="429"/>
      <c r="P434" s="429"/>
      <c r="Q434" s="429"/>
      <c r="R434" s="429"/>
      <c r="S434" s="429"/>
    </row>
    <row r="435" spans="1:19" x14ac:dyDescent="0.25">
      <c r="A435" s="429"/>
      <c r="B435" s="633">
        <f t="shared" si="6"/>
        <v>4.2999999999999527</v>
      </c>
      <c r="C435" s="646">
        <f>1/DATI!$E$38*IF(B435&lt;DATI!$E$45,DATI!$E$32*DATI!$E$42*DATI!$E$49*DATI!$E$33*(B435/DATI!$E$45+1/(DATI!$E$49*DATI!$E$33)*(1-B435/DATI!$E$45)),IF(B435&lt;DATI!$E$46,DATI!$E$32*DATI!$E$42*DATI!$E$49*DATI!$E$33,IF(B435&lt;DATI!$E$47,DATI!$E$32*DATI!$E$42*DATI!$E$49*DATI!$E$33*(DATI!$E$46/B435),DATI!$E$32*DATI!$E$42*DATI!$E$49*DATI!$E$33*((DATI!$E$46*DATI!$E$47)/B435^2))))</f>
        <v>2.5699369300125452E-2</v>
      </c>
      <c r="D435" s="306"/>
      <c r="E435" s="429"/>
      <c r="F435" s="429"/>
      <c r="G435" s="429"/>
      <c r="H435" s="429"/>
      <c r="I435" s="429"/>
      <c r="J435" s="429"/>
      <c r="K435" s="429"/>
      <c r="L435" s="429"/>
      <c r="M435" s="429"/>
      <c r="N435" s="429"/>
      <c r="O435" s="429"/>
      <c r="P435" s="429"/>
      <c r="Q435" s="429"/>
      <c r="R435" s="429"/>
      <c r="S435" s="429"/>
    </row>
    <row r="436" spans="1:19" x14ac:dyDescent="0.25">
      <c r="A436" s="429"/>
      <c r="B436" s="633">
        <f t="shared" si="6"/>
        <v>4.3099999999999525</v>
      </c>
      <c r="C436" s="646">
        <f>1/DATI!$E$38*IF(B436&lt;DATI!$E$45,DATI!$E$32*DATI!$E$42*DATI!$E$49*DATI!$E$33*(B436/DATI!$E$45+1/(DATI!$E$49*DATI!$E$33)*(1-B436/DATI!$E$45)),IF(B436&lt;DATI!$E$46,DATI!$E$32*DATI!$E$42*DATI!$E$49*DATI!$E$33,IF(B436&lt;DATI!$E$47,DATI!$E$32*DATI!$E$42*DATI!$E$49*DATI!$E$33*(DATI!$E$46/B436),DATI!$E$32*DATI!$E$42*DATI!$E$49*DATI!$E$33*((DATI!$E$46*DATI!$E$47)/B436^2))))</f>
        <v>2.5580253032623613E-2</v>
      </c>
      <c r="D436" s="306"/>
      <c r="E436" s="429"/>
      <c r="F436" s="429"/>
      <c r="G436" s="429"/>
      <c r="H436" s="429"/>
      <c r="I436" s="429"/>
      <c r="J436" s="429"/>
      <c r="K436" s="429"/>
      <c r="L436" s="429"/>
      <c r="M436" s="429"/>
      <c r="N436" s="429"/>
      <c r="O436" s="429"/>
      <c r="P436" s="429"/>
      <c r="Q436" s="429"/>
      <c r="R436" s="429"/>
      <c r="S436" s="429"/>
    </row>
    <row r="437" spans="1:19" x14ac:dyDescent="0.25">
      <c r="A437" s="429"/>
      <c r="B437" s="633">
        <f t="shared" si="6"/>
        <v>4.3199999999999523</v>
      </c>
      <c r="C437" s="646">
        <f>1/DATI!$E$38*IF(B437&lt;DATI!$E$45,DATI!$E$32*DATI!$E$42*DATI!$E$49*DATI!$E$33*(B437/DATI!$E$45+1/(DATI!$E$49*DATI!$E$33)*(1-B437/DATI!$E$45)),IF(B437&lt;DATI!$E$46,DATI!$E$32*DATI!$E$42*DATI!$E$49*DATI!$E$33,IF(B437&lt;DATI!$E$47,DATI!$E$32*DATI!$E$42*DATI!$E$49*DATI!$E$33*(DATI!$E$46/B437),DATI!$E$32*DATI!$E$42*DATI!$E$49*DATI!$E$33*((DATI!$E$46*DATI!$E$47)/B437^2))))</f>
        <v>2.5461963003650098E-2</v>
      </c>
      <c r="D437" s="306"/>
      <c r="E437" s="429"/>
      <c r="F437" s="429"/>
      <c r="G437" s="429"/>
      <c r="H437" s="429"/>
      <c r="I437" s="429"/>
      <c r="J437" s="429"/>
      <c r="K437" s="429"/>
      <c r="L437" s="429"/>
      <c r="M437" s="429"/>
      <c r="N437" s="429"/>
      <c r="O437" s="429"/>
      <c r="P437" s="429"/>
      <c r="Q437" s="429"/>
      <c r="R437" s="429"/>
      <c r="S437" s="429"/>
    </row>
    <row r="438" spans="1:19" x14ac:dyDescent="0.25">
      <c r="A438" s="429"/>
      <c r="B438" s="633">
        <f t="shared" si="6"/>
        <v>4.3299999999999521</v>
      </c>
      <c r="C438" s="646">
        <f>1/DATI!$E$38*IF(B438&lt;DATI!$E$45,DATI!$E$32*DATI!$E$42*DATI!$E$49*DATI!$E$33*(B438/DATI!$E$45+1/(DATI!$E$49*DATI!$E$33)*(1-B438/DATI!$E$45)),IF(B438&lt;DATI!$E$46,DATI!$E$32*DATI!$E$42*DATI!$E$49*DATI!$E$33,IF(B438&lt;DATI!$E$47,DATI!$E$32*DATI!$E$42*DATI!$E$49*DATI!$E$33*(DATI!$E$46/B438),DATI!$E$32*DATI!$E$42*DATI!$E$49*DATI!$E$33*((DATI!$E$46*DATI!$E$47)/B438^2))))</f>
        <v>2.5344491589336954E-2</v>
      </c>
      <c r="D438" s="306"/>
      <c r="E438" s="429"/>
      <c r="F438" s="429"/>
      <c r="G438" s="429"/>
      <c r="H438" s="429"/>
      <c r="I438" s="429"/>
      <c r="J438" s="429"/>
      <c r="K438" s="429"/>
      <c r="L438" s="429"/>
      <c r="M438" s="429"/>
      <c r="N438" s="429"/>
      <c r="O438" s="429"/>
      <c r="P438" s="429"/>
      <c r="Q438" s="429"/>
      <c r="R438" s="429"/>
      <c r="S438" s="429"/>
    </row>
    <row r="439" spans="1:19" x14ac:dyDescent="0.25">
      <c r="A439" s="429"/>
      <c r="B439" s="633">
        <f t="shared" si="6"/>
        <v>4.3399999999999519</v>
      </c>
      <c r="C439" s="646">
        <f>1/DATI!$E$38*IF(B439&lt;DATI!$E$45,DATI!$E$32*DATI!$E$42*DATI!$E$49*DATI!$E$33*(B439/DATI!$E$45+1/(DATI!$E$49*DATI!$E$33)*(1-B439/DATI!$E$45)),IF(B439&lt;DATI!$E$46,DATI!$E$32*DATI!$E$42*DATI!$E$49*DATI!$E$33,IF(B439&lt;DATI!$E$47,DATI!$E$32*DATI!$E$42*DATI!$E$49*DATI!$E$33*(DATI!$E$46/B439),DATI!$E$32*DATI!$E$42*DATI!$E$49*DATI!$E$33*((DATI!$E$46*DATI!$E$47)/B439^2))))</f>
        <v>2.5227831253547519E-2</v>
      </c>
      <c r="D439" s="306"/>
      <c r="E439" s="429"/>
      <c r="F439" s="429"/>
      <c r="G439" s="429"/>
      <c r="H439" s="429"/>
      <c r="I439" s="429"/>
      <c r="J439" s="429"/>
      <c r="K439" s="429"/>
      <c r="L439" s="429"/>
      <c r="M439" s="429"/>
      <c r="N439" s="429"/>
      <c r="O439" s="429"/>
      <c r="P439" s="429"/>
      <c r="Q439" s="429"/>
      <c r="R439" s="429"/>
      <c r="S439" s="429"/>
    </row>
    <row r="440" spans="1:19" x14ac:dyDescent="0.25">
      <c r="A440" s="429"/>
      <c r="B440" s="633">
        <f t="shared" si="6"/>
        <v>4.3499999999999517</v>
      </c>
      <c r="C440" s="646">
        <f>1/DATI!$E$38*IF(B440&lt;DATI!$E$45,DATI!$E$32*DATI!$E$42*DATI!$E$49*DATI!$E$33*(B440/DATI!$E$45+1/(DATI!$E$49*DATI!$E$33)*(1-B440/DATI!$E$45)),IF(B440&lt;DATI!$E$46,DATI!$E$32*DATI!$E$42*DATI!$E$49*DATI!$E$33,IF(B440&lt;DATI!$E$47,DATI!$E$32*DATI!$E$42*DATI!$E$49*DATI!$E$33*(DATI!$E$46/B440),DATI!$E$32*DATI!$E$42*DATI!$E$49*DATI!$E$33*((DATI!$E$46*DATI!$E$47)/B440^2))))</f>
        <v>2.5111974546667706E-2</v>
      </c>
      <c r="D440" s="306"/>
      <c r="E440" s="429"/>
      <c r="F440" s="429"/>
      <c r="G440" s="429"/>
      <c r="H440" s="429"/>
      <c r="I440" s="429"/>
      <c r="J440" s="429"/>
      <c r="K440" s="429"/>
      <c r="L440" s="429"/>
      <c r="M440" s="429"/>
      <c r="N440" s="429"/>
      <c r="O440" s="429"/>
      <c r="P440" s="429"/>
      <c r="Q440" s="429"/>
      <c r="R440" s="429"/>
      <c r="S440" s="429"/>
    </row>
    <row r="441" spans="1:19" x14ac:dyDescent="0.25">
      <c r="A441" s="429"/>
      <c r="B441" s="633">
        <f t="shared" si="6"/>
        <v>4.3599999999999515</v>
      </c>
      <c r="C441" s="646">
        <f>1/DATI!$E$38*IF(B441&lt;DATI!$E$45,DATI!$E$32*DATI!$E$42*DATI!$E$49*DATI!$E$33*(B441/DATI!$E$45+1/(DATI!$E$49*DATI!$E$33)*(1-B441/DATI!$E$45)),IF(B441&lt;DATI!$E$46,DATI!$E$32*DATI!$E$42*DATI!$E$49*DATI!$E$33,IF(B441&lt;DATI!$E$47,DATI!$E$32*DATI!$E$42*DATI!$E$49*DATI!$E$33*(DATI!$E$46/B441),DATI!$E$32*DATI!$E$42*DATI!$E$49*DATI!$E$33*((DATI!$E$46*DATI!$E$47)/B441^2))))</f>
        <v>2.4996914104416703E-2</v>
      </c>
      <c r="D441" s="306"/>
      <c r="E441" s="429"/>
      <c r="F441" s="429"/>
      <c r="G441" s="429"/>
      <c r="H441" s="429"/>
      <c r="I441" s="429"/>
      <c r="J441" s="429"/>
      <c r="K441" s="429"/>
      <c r="L441" s="429"/>
      <c r="M441" s="429"/>
      <c r="N441" s="429"/>
      <c r="O441" s="429"/>
      <c r="P441" s="429"/>
      <c r="Q441" s="429"/>
      <c r="R441" s="429"/>
      <c r="S441" s="429"/>
    </row>
    <row r="442" spans="1:19" x14ac:dyDescent="0.25">
      <c r="A442" s="429"/>
      <c r="B442" s="633">
        <f t="shared" si="6"/>
        <v>4.3699999999999513</v>
      </c>
      <c r="C442" s="646">
        <f>1/DATI!$E$38*IF(B442&lt;DATI!$E$45,DATI!$E$32*DATI!$E$42*DATI!$E$49*DATI!$E$33*(B442/DATI!$E$45+1/(DATI!$E$49*DATI!$E$33)*(1-B442/DATI!$E$45)),IF(B442&lt;DATI!$E$46,DATI!$E$32*DATI!$E$42*DATI!$E$49*DATI!$E$33,IF(B442&lt;DATI!$E$47,DATI!$E$32*DATI!$E$42*DATI!$E$49*DATI!$E$33*(DATI!$E$46/B442),DATI!$E$32*DATI!$E$42*DATI!$E$49*DATI!$E$33*((DATI!$E$46*DATI!$E$47)/B442^2))))</f>
        <v>2.4882642646676671E-2</v>
      </c>
      <c r="D442" s="306"/>
      <c r="E442" s="429"/>
      <c r="F442" s="429"/>
      <c r="G442" s="429"/>
      <c r="H442" s="429"/>
      <c r="I442" s="429"/>
      <c r="J442" s="429"/>
      <c r="K442" s="429"/>
      <c r="L442" s="429"/>
      <c r="M442" s="429"/>
      <c r="N442" s="429"/>
      <c r="O442" s="429"/>
      <c r="P442" s="429"/>
      <c r="Q442" s="429"/>
      <c r="R442" s="429"/>
      <c r="S442" s="429"/>
    </row>
    <row r="443" spans="1:19" x14ac:dyDescent="0.25">
      <c r="A443" s="429"/>
      <c r="B443" s="633">
        <f t="shared" si="6"/>
        <v>4.379999999999951</v>
      </c>
      <c r="C443" s="646">
        <f>1/DATI!$E$38*IF(B443&lt;DATI!$E$45,DATI!$E$32*DATI!$E$42*DATI!$E$49*DATI!$E$33*(B443/DATI!$E$45+1/(DATI!$E$49*DATI!$E$33)*(1-B443/DATI!$E$45)),IF(B443&lt;DATI!$E$46,DATI!$E$32*DATI!$E$42*DATI!$E$49*DATI!$E$33,IF(B443&lt;DATI!$E$47,DATI!$E$32*DATI!$E$42*DATI!$E$49*DATI!$E$33*(DATI!$E$46/B443),DATI!$E$32*DATI!$E$42*DATI!$E$49*DATI!$E$33*((DATI!$E$46*DATI!$E$47)/B443^2))))</f>
        <v>2.4769152976341184E-2</v>
      </c>
      <c r="D443" s="306"/>
      <c r="E443" s="429"/>
      <c r="F443" s="429"/>
      <c r="G443" s="429"/>
      <c r="H443" s="429"/>
      <c r="I443" s="429"/>
      <c r="J443" s="429"/>
      <c r="K443" s="429"/>
      <c r="L443" s="429"/>
      <c r="M443" s="429"/>
      <c r="N443" s="429"/>
      <c r="O443" s="429"/>
      <c r="P443" s="429"/>
      <c r="Q443" s="429"/>
      <c r="R443" s="429"/>
      <c r="S443" s="429"/>
    </row>
    <row r="444" spans="1:19" x14ac:dyDescent="0.25">
      <c r="A444" s="429"/>
      <c r="B444" s="633">
        <f t="shared" si="6"/>
        <v>4.3899999999999508</v>
      </c>
      <c r="C444" s="646">
        <f>1/DATI!$E$38*IF(B444&lt;DATI!$E$45,DATI!$E$32*DATI!$E$42*DATI!$E$49*DATI!$E$33*(B444/DATI!$E$45+1/(DATI!$E$49*DATI!$E$33)*(1-B444/DATI!$E$45)),IF(B444&lt;DATI!$E$46,DATI!$E$32*DATI!$E$42*DATI!$E$49*DATI!$E$33,IF(B444&lt;DATI!$E$47,DATI!$E$32*DATI!$E$42*DATI!$E$49*DATI!$E$33*(DATI!$E$46/B444),DATI!$E$32*DATI!$E$42*DATI!$E$49*DATI!$E$33*((DATI!$E$46*DATI!$E$47)/B444^2))))</f>
        <v>2.4656437978181921E-2</v>
      </c>
      <c r="D444" s="306"/>
      <c r="E444" s="429"/>
      <c r="F444" s="429"/>
      <c r="G444" s="429"/>
      <c r="H444" s="429"/>
      <c r="I444" s="429"/>
      <c r="J444" s="429"/>
      <c r="K444" s="429"/>
      <c r="L444" s="429"/>
      <c r="M444" s="429"/>
      <c r="N444" s="429"/>
      <c r="O444" s="429"/>
      <c r="P444" s="429"/>
      <c r="Q444" s="429"/>
      <c r="R444" s="429"/>
      <c r="S444" s="429"/>
    </row>
    <row r="445" spans="1:19" x14ac:dyDescent="0.25">
      <c r="A445" s="429"/>
      <c r="B445" s="633">
        <f t="shared" si="6"/>
        <v>4.3999999999999506</v>
      </c>
      <c r="C445" s="646">
        <f>1/DATI!$E$38*IF(B445&lt;DATI!$E$45,DATI!$E$32*DATI!$E$42*DATI!$E$49*DATI!$E$33*(B445/DATI!$E$45+1/(DATI!$E$49*DATI!$E$33)*(1-B445/DATI!$E$45)),IF(B445&lt;DATI!$E$46,DATI!$E$32*DATI!$E$42*DATI!$E$49*DATI!$E$33,IF(B445&lt;DATI!$E$47,DATI!$E$32*DATI!$E$42*DATI!$E$49*DATI!$E$33*(DATI!$E$46/B445),DATI!$E$32*DATI!$E$42*DATI!$E$49*DATI!$E$33*((DATI!$E$46*DATI!$E$47)/B445^2))))</f>
        <v>2.4544490617733464E-2</v>
      </c>
      <c r="D445" s="306"/>
      <c r="E445" s="429"/>
      <c r="F445" s="429"/>
      <c r="G445" s="429"/>
      <c r="H445" s="429"/>
      <c r="I445" s="429"/>
      <c r="J445" s="429"/>
      <c r="K445" s="429"/>
      <c r="L445" s="429"/>
      <c r="M445" s="429"/>
      <c r="N445" s="429"/>
      <c r="O445" s="429"/>
      <c r="P445" s="429"/>
      <c r="Q445" s="429"/>
      <c r="R445" s="429"/>
      <c r="S445" s="429"/>
    </row>
    <row r="446" spans="1:19" x14ac:dyDescent="0.25">
      <c r="A446" s="429"/>
      <c r="B446" s="633">
        <f t="shared" si="6"/>
        <v>4.4099999999999504</v>
      </c>
      <c r="C446" s="646">
        <f>1/DATI!$E$38*IF(B446&lt;DATI!$E$45,DATI!$E$32*DATI!$E$42*DATI!$E$49*DATI!$E$33*(B446/DATI!$E$45+1/(DATI!$E$49*DATI!$E$33)*(1-B446/DATI!$E$45)),IF(B446&lt;DATI!$E$46,DATI!$E$32*DATI!$E$42*DATI!$E$49*DATI!$E$33,IF(B446&lt;DATI!$E$47,DATI!$E$32*DATI!$E$42*DATI!$E$49*DATI!$E$33*(DATI!$E$46/B446),DATI!$E$32*DATI!$E$42*DATI!$E$49*DATI!$E$33*((DATI!$E$46*DATI!$E$47)/B446^2))))</f>
        <v>2.4433303940195692E-2</v>
      </c>
      <c r="D446" s="306"/>
      <c r="E446" s="429"/>
      <c r="F446" s="429"/>
      <c r="G446" s="429"/>
      <c r="H446" s="429"/>
      <c r="I446" s="429"/>
      <c r="J446" s="429"/>
      <c r="K446" s="429"/>
      <c r="L446" s="429"/>
      <c r="M446" s="429"/>
      <c r="N446" s="429"/>
      <c r="O446" s="429"/>
      <c r="P446" s="429"/>
      <c r="Q446" s="429"/>
      <c r="R446" s="429"/>
      <c r="S446" s="429"/>
    </row>
    <row r="447" spans="1:19" x14ac:dyDescent="0.25">
      <c r="A447" s="429"/>
      <c r="B447" s="633">
        <f t="shared" si="6"/>
        <v>4.4199999999999502</v>
      </c>
      <c r="C447" s="646">
        <f>1/DATI!$E$38*IF(B447&lt;DATI!$E$45,DATI!$E$32*DATI!$E$42*DATI!$E$49*DATI!$E$33*(B447/DATI!$E$45+1/(DATI!$E$49*DATI!$E$33)*(1-B447/DATI!$E$45)),IF(B447&lt;DATI!$E$46,DATI!$E$32*DATI!$E$42*DATI!$E$49*DATI!$E$33,IF(B447&lt;DATI!$E$47,DATI!$E$32*DATI!$E$42*DATI!$E$49*DATI!$E$33*(DATI!$E$46/B447),DATI!$E$32*DATI!$E$42*DATI!$E$49*DATI!$E$33*((DATI!$E$46*DATI!$E$47)/B447^2))))</f>
        <v>2.4322871069353609E-2</v>
      </c>
      <c r="D447" s="306"/>
      <c r="E447" s="429"/>
      <c r="F447" s="429"/>
      <c r="G447" s="429"/>
      <c r="H447" s="429"/>
      <c r="I447" s="429"/>
      <c r="J447" s="429"/>
      <c r="K447" s="429"/>
      <c r="L447" s="429"/>
      <c r="M447" s="429"/>
      <c r="N447" s="429"/>
      <c r="O447" s="429"/>
      <c r="P447" s="429"/>
      <c r="Q447" s="429"/>
      <c r="R447" s="429"/>
      <c r="S447" s="429"/>
    </row>
    <row r="448" spans="1:19" x14ac:dyDescent="0.25">
      <c r="A448" s="429"/>
      <c r="B448" s="633">
        <f t="shared" si="6"/>
        <v>4.42999999999995</v>
      </c>
      <c r="C448" s="646">
        <f>1/DATI!$E$38*IF(B448&lt;DATI!$E$45,DATI!$E$32*DATI!$E$42*DATI!$E$49*DATI!$E$33*(B448/DATI!$E$45+1/(DATI!$E$49*DATI!$E$33)*(1-B448/DATI!$E$45)),IF(B448&lt;DATI!$E$46,DATI!$E$32*DATI!$E$42*DATI!$E$49*DATI!$E$33,IF(B448&lt;DATI!$E$47,DATI!$E$32*DATI!$E$42*DATI!$E$49*DATI!$E$33*(DATI!$E$46/B448),DATI!$E$32*DATI!$E$42*DATI!$E$49*DATI!$E$33*((DATI!$E$46*DATI!$E$47)/B448^2))))</f>
        <v>2.4213185206514165E-2</v>
      </c>
      <c r="D448" s="306"/>
      <c r="E448" s="429"/>
      <c r="F448" s="429"/>
      <c r="G448" s="429"/>
      <c r="H448" s="429"/>
      <c r="I448" s="429"/>
      <c r="J448" s="429"/>
      <c r="K448" s="429"/>
      <c r="L448" s="429"/>
      <c r="M448" s="429"/>
      <c r="N448" s="429"/>
      <c r="O448" s="429"/>
      <c r="P448" s="429"/>
      <c r="Q448" s="429"/>
      <c r="R448" s="429"/>
      <c r="S448" s="429"/>
    </row>
    <row r="449" spans="1:19" x14ac:dyDescent="0.25">
      <c r="A449" s="429"/>
      <c r="B449" s="633">
        <f t="shared" si="6"/>
        <v>4.4399999999999498</v>
      </c>
      <c r="C449" s="646">
        <f>1/DATI!$E$38*IF(B449&lt;DATI!$E$45,DATI!$E$32*DATI!$E$42*DATI!$E$49*DATI!$E$33*(B449/DATI!$E$45+1/(DATI!$E$49*DATI!$E$33)*(1-B449/DATI!$E$45)),IF(B449&lt;DATI!$E$46,DATI!$E$32*DATI!$E$42*DATI!$E$49*DATI!$E$33,IF(B449&lt;DATI!$E$47,DATI!$E$32*DATI!$E$42*DATI!$E$49*DATI!$E$33*(DATI!$E$46/B449),DATI!$E$32*DATI!$E$42*DATI!$E$49*DATI!$E$33*((DATI!$E$46*DATI!$E$47)/B449^2))))</f>
        <v>2.4104239629459859E-2</v>
      </c>
      <c r="D449" s="306"/>
      <c r="E449" s="429"/>
      <c r="F449" s="429"/>
      <c r="G449" s="429"/>
      <c r="H449" s="429"/>
      <c r="I449" s="429"/>
      <c r="J449" s="429"/>
      <c r="K449" s="429"/>
      <c r="L449" s="429"/>
      <c r="M449" s="429"/>
      <c r="N449" s="429"/>
      <c r="O449" s="429"/>
      <c r="P449" s="429"/>
      <c r="Q449" s="429"/>
      <c r="R449" s="429"/>
      <c r="S449" s="429"/>
    </row>
    <row r="450" spans="1:19" x14ac:dyDescent="0.25">
      <c r="A450" s="429"/>
      <c r="B450" s="633">
        <f t="shared" si="6"/>
        <v>4.4499999999999496</v>
      </c>
      <c r="C450" s="646">
        <f>1/DATI!$E$38*IF(B450&lt;DATI!$E$45,DATI!$E$32*DATI!$E$42*DATI!$E$49*DATI!$E$33*(B450/DATI!$E$45+1/(DATI!$E$49*DATI!$E$33)*(1-B450/DATI!$E$45)),IF(B450&lt;DATI!$E$46,DATI!$E$32*DATI!$E$42*DATI!$E$49*DATI!$E$33,IF(B450&lt;DATI!$E$47,DATI!$E$32*DATI!$E$42*DATI!$E$49*DATI!$E$33*(DATI!$E$46/B450),DATI!$E$32*DATI!$E$42*DATI!$E$49*DATI!$E$33*((DATI!$E$46*DATI!$E$47)/B450^2))))</f>
        <v>2.3996027691418755E-2</v>
      </c>
      <c r="D450" s="306"/>
      <c r="E450" s="429"/>
      <c r="F450" s="429"/>
      <c r="G450" s="429"/>
      <c r="H450" s="429"/>
      <c r="I450" s="429"/>
      <c r="J450" s="429"/>
      <c r="K450" s="429"/>
      <c r="L450" s="429"/>
      <c r="M450" s="429"/>
      <c r="N450" s="429"/>
      <c r="O450" s="429"/>
      <c r="P450" s="429"/>
      <c r="Q450" s="429"/>
      <c r="R450" s="429"/>
      <c r="S450" s="429"/>
    </row>
    <row r="451" spans="1:19" x14ac:dyDescent="0.25">
      <c r="A451" s="429"/>
      <c r="B451" s="633">
        <f t="shared" si="6"/>
        <v>4.4599999999999493</v>
      </c>
      <c r="C451" s="646">
        <f>1/DATI!$E$38*IF(B451&lt;DATI!$E$45,DATI!$E$32*DATI!$E$42*DATI!$E$49*DATI!$E$33*(B451/DATI!$E$45+1/(DATI!$E$49*DATI!$E$33)*(1-B451/DATI!$E$45)),IF(B451&lt;DATI!$E$46,DATI!$E$32*DATI!$E$42*DATI!$E$49*DATI!$E$33,IF(B451&lt;DATI!$E$47,DATI!$E$32*DATI!$E$42*DATI!$E$49*DATI!$E$33*(DATI!$E$46/B451),DATI!$E$32*DATI!$E$42*DATI!$E$49*DATI!$E$33*((DATI!$E$46*DATI!$E$47)/B451^2))))</f>
        <v>2.3888542820050668E-2</v>
      </c>
      <c r="D451" s="306"/>
      <c r="E451" s="429"/>
      <c r="F451" s="429"/>
      <c r="G451" s="429"/>
      <c r="H451" s="429"/>
      <c r="I451" s="429"/>
      <c r="J451" s="429"/>
      <c r="K451" s="429"/>
      <c r="L451" s="429"/>
      <c r="M451" s="429"/>
      <c r="N451" s="429"/>
      <c r="O451" s="429"/>
      <c r="P451" s="429"/>
      <c r="Q451" s="429"/>
      <c r="R451" s="429"/>
      <c r="S451" s="429"/>
    </row>
    <row r="452" spans="1:19" x14ac:dyDescent="0.25">
      <c r="A452" s="429"/>
      <c r="B452" s="633">
        <f t="shared" si="6"/>
        <v>4.4699999999999491</v>
      </c>
      <c r="C452" s="646">
        <f>1/DATI!$E$38*IF(B452&lt;DATI!$E$45,DATI!$E$32*DATI!$E$42*DATI!$E$49*DATI!$E$33*(B452/DATI!$E$45+1/(DATI!$E$49*DATI!$E$33)*(1-B452/DATI!$E$45)),IF(B452&lt;DATI!$E$46,DATI!$E$32*DATI!$E$42*DATI!$E$49*DATI!$E$33,IF(B452&lt;DATI!$E$47,DATI!$E$32*DATI!$E$42*DATI!$E$49*DATI!$E$33*(DATI!$E$46/B452),DATI!$E$32*DATI!$E$42*DATI!$E$49*DATI!$E$33*((DATI!$E$46*DATI!$E$47)/B452^2))))</f>
        <v>2.3781778516449206E-2</v>
      </c>
      <c r="D452" s="306"/>
      <c r="E452" s="429"/>
      <c r="F452" s="429"/>
      <c r="G452" s="429"/>
      <c r="H452" s="429"/>
      <c r="I452" s="429"/>
      <c r="J452" s="429"/>
      <c r="K452" s="429"/>
      <c r="L452" s="429"/>
      <c r="M452" s="429"/>
      <c r="N452" s="429"/>
      <c r="O452" s="429"/>
      <c r="P452" s="429"/>
      <c r="Q452" s="429"/>
      <c r="R452" s="429"/>
      <c r="S452" s="429"/>
    </row>
    <row r="453" spans="1:19" x14ac:dyDescent="0.25">
      <c r="A453" s="429"/>
      <c r="B453" s="633">
        <f t="shared" si="6"/>
        <v>4.4799999999999489</v>
      </c>
      <c r="C453" s="646">
        <f>1/DATI!$E$38*IF(B453&lt;DATI!$E$45,DATI!$E$32*DATI!$E$42*DATI!$E$49*DATI!$E$33*(B453/DATI!$E$45+1/(DATI!$E$49*DATI!$E$33)*(1-B453/DATI!$E$45)),IF(B453&lt;DATI!$E$46,DATI!$E$32*DATI!$E$42*DATI!$E$49*DATI!$E$33,IF(B453&lt;DATI!$E$47,DATI!$E$32*DATI!$E$42*DATI!$E$49*DATI!$E$33*(DATI!$E$46/B453),DATI!$E$32*DATI!$E$42*DATI!$E$49*DATI!$E$33*((DATI!$E$46*DATI!$E$47)/B453^2))))</f>
        <v>2.3675728354159362E-2</v>
      </c>
      <c r="D453" s="306"/>
      <c r="E453" s="429"/>
      <c r="F453" s="429"/>
      <c r="G453" s="429"/>
      <c r="H453" s="429"/>
      <c r="I453" s="429"/>
      <c r="J453" s="429"/>
      <c r="K453" s="429"/>
      <c r="L453" s="429"/>
      <c r="M453" s="429"/>
      <c r="N453" s="429"/>
      <c r="O453" s="429"/>
      <c r="P453" s="429"/>
      <c r="Q453" s="429"/>
      <c r="R453" s="429"/>
      <c r="S453" s="429"/>
    </row>
    <row r="454" spans="1:19" x14ac:dyDescent="0.25">
      <c r="A454" s="429"/>
      <c r="B454" s="633">
        <f t="shared" ref="B454:B505" si="7">0.01+B453</f>
        <v>4.4899999999999487</v>
      </c>
      <c r="C454" s="646">
        <f>1/DATI!$E$38*IF(B454&lt;DATI!$E$45,DATI!$E$32*DATI!$E$42*DATI!$E$49*DATI!$E$33*(B454/DATI!$E$45+1/(DATI!$E$49*DATI!$E$33)*(1-B454/DATI!$E$45)),IF(B454&lt;DATI!$E$46,DATI!$E$32*DATI!$E$42*DATI!$E$49*DATI!$E$33,IF(B454&lt;DATI!$E$47,DATI!$E$32*DATI!$E$42*DATI!$E$49*DATI!$E$33*(DATI!$E$46/B454),DATI!$E$32*DATI!$E$42*DATI!$E$49*DATI!$E$33*((DATI!$E$46*DATI!$E$47)/B454^2))))</f>
        <v>2.3570385978210429E-2</v>
      </c>
      <c r="D454" s="306"/>
      <c r="E454" s="429"/>
      <c r="F454" s="429"/>
      <c r="G454" s="429"/>
      <c r="H454" s="429"/>
      <c r="I454" s="429"/>
      <c r="J454" s="429"/>
      <c r="K454" s="429"/>
      <c r="L454" s="429"/>
      <c r="M454" s="429"/>
      <c r="N454" s="429"/>
      <c r="O454" s="429"/>
      <c r="P454" s="429"/>
      <c r="Q454" s="429"/>
      <c r="R454" s="429"/>
      <c r="S454" s="429"/>
    </row>
    <row r="455" spans="1:19" x14ac:dyDescent="0.25">
      <c r="A455" s="429"/>
      <c r="B455" s="633">
        <f t="shared" si="7"/>
        <v>4.4999999999999485</v>
      </c>
      <c r="C455" s="646">
        <f>1/DATI!$E$38*IF(B455&lt;DATI!$E$45,DATI!$E$32*DATI!$E$42*DATI!$E$49*DATI!$E$33*(B455/DATI!$E$45+1/(DATI!$E$49*DATI!$E$33)*(1-B455/DATI!$E$45)),IF(B455&lt;DATI!$E$46,DATI!$E$32*DATI!$E$42*DATI!$E$49*DATI!$E$33,IF(B455&lt;DATI!$E$47,DATI!$E$32*DATI!$E$42*DATI!$E$49*DATI!$E$33*(DATI!$E$46/B455),DATI!$E$32*DATI!$E$42*DATI!$E$49*DATI!$E$33*((DATI!$E$46*DATI!$E$47)/B455^2))))</f>
        <v>2.3465745104163951E-2</v>
      </c>
      <c r="D455" s="306"/>
      <c r="E455" s="429"/>
      <c r="F455" s="429"/>
      <c r="G455" s="429"/>
      <c r="H455" s="429"/>
      <c r="I455" s="429"/>
      <c r="J455" s="429"/>
      <c r="K455" s="429"/>
      <c r="L455" s="429"/>
      <c r="M455" s="429"/>
      <c r="N455" s="429"/>
      <c r="O455" s="429"/>
      <c r="P455" s="429"/>
      <c r="Q455" s="429"/>
      <c r="R455" s="429"/>
      <c r="S455" s="429"/>
    </row>
    <row r="456" spans="1:19" x14ac:dyDescent="0.25">
      <c r="A456" s="429"/>
      <c r="B456" s="633">
        <f t="shared" si="7"/>
        <v>4.5099999999999483</v>
      </c>
      <c r="C456" s="646">
        <f>1/DATI!$E$38*IF(B456&lt;DATI!$E$45,DATI!$E$32*DATI!$E$42*DATI!$E$49*DATI!$E$33*(B456/DATI!$E$45+1/(DATI!$E$49*DATI!$E$33)*(1-B456/DATI!$E$45)),IF(B456&lt;DATI!$E$46,DATI!$E$32*DATI!$E$42*DATI!$E$49*DATI!$E$33,IF(B456&lt;DATI!$E$47,DATI!$E$32*DATI!$E$42*DATI!$E$49*DATI!$E$33*(DATI!$E$46/B456),DATI!$E$32*DATI!$E$42*DATI!$E$49*DATI!$E$33*((DATI!$E$46*DATI!$E$47)/B456^2))))</f>
        <v>2.3361799517176415E-2</v>
      </c>
      <c r="D456" s="306"/>
      <c r="E456" s="429"/>
      <c r="F456" s="429"/>
      <c r="G456" s="429"/>
      <c r="H456" s="429"/>
      <c r="I456" s="429"/>
      <c r="J456" s="429"/>
      <c r="K456" s="429"/>
      <c r="L456" s="429"/>
      <c r="M456" s="429"/>
      <c r="N456" s="429"/>
      <c r="O456" s="429"/>
      <c r="P456" s="429"/>
      <c r="Q456" s="429"/>
      <c r="R456" s="429"/>
      <c r="S456" s="429"/>
    </row>
    <row r="457" spans="1:19" x14ac:dyDescent="0.25">
      <c r="A457" s="429"/>
      <c r="B457" s="633">
        <f t="shared" si="7"/>
        <v>4.5199999999999481</v>
      </c>
      <c r="C457" s="646">
        <f>1/DATI!$E$38*IF(B457&lt;DATI!$E$45,DATI!$E$32*DATI!$E$42*DATI!$E$49*DATI!$E$33*(B457/DATI!$E$45+1/(DATI!$E$49*DATI!$E$33)*(1-B457/DATI!$E$45)),IF(B457&lt;DATI!$E$46,DATI!$E$32*DATI!$E$42*DATI!$E$49*DATI!$E$33,IF(B457&lt;DATI!$E$47,DATI!$E$32*DATI!$E$42*DATI!$E$49*DATI!$E$33*(DATI!$E$46/B457),DATI!$E$32*DATI!$E$42*DATI!$E$49*DATI!$E$33*((DATI!$E$46*DATI!$E$47)/B457^2))))</f>
        <v>2.3258543071076439E-2</v>
      </c>
      <c r="D457" s="306"/>
      <c r="E457" s="429"/>
      <c r="F457" s="429"/>
      <c r="G457" s="429"/>
      <c r="H457" s="429"/>
      <c r="I457" s="429"/>
      <c r="J457" s="429"/>
      <c r="K457" s="429"/>
      <c r="L457" s="429"/>
      <c r="M457" s="429"/>
      <c r="N457" s="429"/>
      <c r="O457" s="429"/>
      <c r="P457" s="429"/>
      <c r="Q457" s="429"/>
      <c r="R457" s="429"/>
      <c r="S457" s="429"/>
    </row>
    <row r="458" spans="1:19" x14ac:dyDescent="0.25">
      <c r="A458" s="429"/>
      <c r="B458" s="633">
        <f t="shared" si="7"/>
        <v>4.5299999999999478</v>
      </c>
      <c r="C458" s="646">
        <f>1/DATI!$E$38*IF(B458&lt;DATI!$E$45,DATI!$E$32*DATI!$E$42*DATI!$E$49*DATI!$E$33*(B458/DATI!$E$45+1/(DATI!$E$49*DATI!$E$33)*(1-B458/DATI!$E$45)),IF(B458&lt;DATI!$E$46,DATI!$E$32*DATI!$E$42*DATI!$E$49*DATI!$E$33,IF(B458&lt;DATI!$E$47,DATI!$E$32*DATI!$E$42*DATI!$E$49*DATI!$E$33*(DATI!$E$46/B458),DATI!$E$32*DATI!$E$42*DATI!$E$49*DATI!$E$33*((DATI!$E$46*DATI!$E$47)/B458^2))))</f>
        <v>2.3155969687456205E-2</v>
      </c>
      <c r="D458" s="306"/>
      <c r="E458" s="429"/>
      <c r="F458" s="429"/>
      <c r="G458" s="429"/>
      <c r="H458" s="429"/>
      <c r="I458" s="429"/>
      <c r="J458" s="429"/>
      <c r="K458" s="429"/>
      <c r="L458" s="429"/>
      <c r="M458" s="429"/>
      <c r="N458" s="429"/>
      <c r="O458" s="429"/>
      <c r="P458" s="429"/>
      <c r="Q458" s="429"/>
      <c r="R458" s="429"/>
      <c r="S458" s="429"/>
    </row>
    <row r="459" spans="1:19" x14ac:dyDescent="0.25">
      <c r="A459" s="429"/>
      <c r="B459" s="633">
        <f t="shared" si="7"/>
        <v>4.5399999999999476</v>
      </c>
      <c r="C459" s="646">
        <f>1/DATI!$E$38*IF(B459&lt;DATI!$E$45,DATI!$E$32*DATI!$E$42*DATI!$E$49*DATI!$E$33*(B459/DATI!$E$45+1/(DATI!$E$49*DATI!$E$33)*(1-B459/DATI!$E$45)),IF(B459&lt;DATI!$E$46,DATI!$E$32*DATI!$E$42*DATI!$E$49*DATI!$E$33,IF(B459&lt;DATI!$E$47,DATI!$E$32*DATI!$E$42*DATI!$E$49*DATI!$E$33*(DATI!$E$46/B459),DATI!$E$32*DATI!$E$42*DATI!$E$49*DATI!$E$33*((DATI!$E$46*DATI!$E$47)/B459^2))))</f>
        <v>2.3054073354776928E-2</v>
      </c>
      <c r="D459" s="306"/>
      <c r="E459" s="429"/>
      <c r="F459" s="429"/>
      <c r="G459" s="429"/>
      <c r="H459" s="429"/>
      <c r="I459" s="429"/>
      <c r="J459" s="429"/>
      <c r="K459" s="429"/>
      <c r="L459" s="429"/>
      <c r="M459" s="429"/>
      <c r="N459" s="429"/>
      <c r="O459" s="429"/>
      <c r="P459" s="429"/>
      <c r="Q459" s="429"/>
      <c r="R459" s="429"/>
      <c r="S459" s="429"/>
    </row>
    <row r="460" spans="1:19" x14ac:dyDescent="0.25">
      <c r="A460" s="429"/>
      <c r="B460" s="633">
        <f t="shared" si="7"/>
        <v>4.5499999999999474</v>
      </c>
      <c r="C460" s="646">
        <f>1/DATI!$E$38*IF(B460&lt;DATI!$E$45,DATI!$E$32*DATI!$E$42*DATI!$E$49*DATI!$E$33*(B460/DATI!$E$45+1/(DATI!$E$49*DATI!$E$33)*(1-B460/DATI!$E$45)),IF(B460&lt;DATI!$E$46,DATI!$E$32*DATI!$E$42*DATI!$E$49*DATI!$E$33,IF(B460&lt;DATI!$E$47,DATI!$E$32*DATI!$E$42*DATI!$E$49*DATI!$E$33*(DATI!$E$46/B460),DATI!$E$32*DATI!$E$42*DATI!$E$49*DATI!$E$33*((DATI!$E$46*DATI!$E$47)/B460^2))))</f>
        <v>2.2952848127487994E-2</v>
      </c>
      <c r="D460" s="306"/>
      <c r="E460" s="429"/>
      <c r="F460" s="429"/>
      <c r="G460" s="429"/>
      <c r="H460" s="429"/>
      <c r="I460" s="429"/>
      <c r="J460" s="429"/>
      <c r="K460" s="429"/>
      <c r="L460" s="429"/>
      <c r="M460" s="429"/>
      <c r="N460" s="429"/>
      <c r="O460" s="429"/>
      <c r="P460" s="429"/>
      <c r="Q460" s="429"/>
      <c r="R460" s="429"/>
      <c r="S460" s="429"/>
    </row>
    <row r="461" spans="1:19" x14ac:dyDescent="0.25">
      <c r="A461" s="429"/>
      <c r="B461" s="633">
        <f t="shared" si="7"/>
        <v>4.5599999999999472</v>
      </c>
      <c r="C461" s="646">
        <f>1/DATI!$E$38*IF(B461&lt;DATI!$E$45,DATI!$E$32*DATI!$E$42*DATI!$E$49*DATI!$E$33*(B461/DATI!$E$45+1/(DATI!$E$49*DATI!$E$33)*(1-B461/DATI!$E$45)),IF(B461&lt;DATI!$E$46,DATI!$E$32*DATI!$E$42*DATI!$E$49*DATI!$E$33,IF(B461&lt;DATI!$E$47,DATI!$E$32*DATI!$E$42*DATI!$E$49*DATI!$E$33*(DATI!$E$46/B461),DATI!$E$32*DATI!$E$42*DATI!$E$49*DATI!$E$33*((DATI!$E$46*DATI!$E$47)/B461^2))))</f>
        <v>2.2852288125159673E-2</v>
      </c>
      <c r="D461" s="306"/>
      <c r="E461" s="429"/>
      <c r="F461" s="429"/>
      <c r="G461" s="429"/>
      <c r="H461" s="429"/>
      <c r="I461" s="429"/>
      <c r="J461" s="429"/>
      <c r="K461" s="429"/>
      <c r="L461" s="429"/>
      <c r="M461" s="429"/>
      <c r="N461" s="429"/>
      <c r="O461" s="429"/>
      <c r="P461" s="429"/>
      <c r="Q461" s="429"/>
      <c r="R461" s="429"/>
      <c r="S461" s="429"/>
    </row>
    <row r="462" spans="1:19" x14ac:dyDescent="0.25">
      <c r="A462" s="429"/>
      <c r="B462" s="633">
        <f t="shared" si="7"/>
        <v>4.569999999999947</v>
      </c>
      <c r="C462" s="646">
        <f>1/DATI!$E$38*IF(B462&lt;DATI!$E$45,DATI!$E$32*DATI!$E$42*DATI!$E$49*DATI!$E$33*(B462/DATI!$E$45+1/(DATI!$E$49*DATI!$E$33)*(1-B462/DATI!$E$45)),IF(B462&lt;DATI!$E$46,DATI!$E$32*DATI!$E$42*DATI!$E$49*DATI!$E$33,IF(B462&lt;DATI!$E$47,DATI!$E$32*DATI!$E$42*DATI!$E$49*DATI!$E$33*(DATI!$E$46/B462),DATI!$E$32*DATI!$E$42*DATI!$E$49*DATI!$E$33*((DATI!$E$46*DATI!$E$47)/B462^2))))</f>
        <v>2.275238753162908E-2</v>
      </c>
      <c r="D462" s="306"/>
      <c r="E462" s="429"/>
      <c r="F462" s="429"/>
      <c r="G462" s="429"/>
      <c r="H462" s="429"/>
      <c r="I462" s="429"/>
      <c r="J462" s="429"/>
      <c r="K462" s="429"/>
      <c r="L462" s="429"/>
      <c r="M462" s="429"/>
      <c r="N462" s="429"/>
      <c r="O462" s="429"/>
      <c r="P462" s="429"/>
      <c r="Q462" s="429"/>
      <c r="R462" s="429"/>
      <c r="S462" s="429"/>
    </row>
    <row r="463" spans="1:19" x14ac:dyDescent="0.25">
      <c r="A463" s="429"/>
      <c r="B463" s="633">
        <f t="shared" si="7"/>
        <v>4.5799999999999468</v>
      </c>
      <c r="C463" s="646">
        <f>1/DATI!$E$38*IF(B463&lt;DATI!$E$45,DATI!$E$32*DATI!$E$42*DATI!$E$49*DATI!$E$33*(B463/DATI!$E$45+1/(DATI!$E$49*DATI!$E$33)*(1-B463/DATI!$E$45)),IF(B463&lt;DATI!$E$46,DATI!$E$32*DATI!$E$42*DATI!$E$49*DATI!$E$33,IF(B463&lt;DATI!$E$47,DATI!$E$32*DATI!$E$42*DATI!$E$49*DATI!$E$33*(DATI!$E$46/B463),DATI!$E$32*DATI!$E$42*DATI!$E$49*DATI!$E$33*((DATI!$E$46*DATI!$E$47)/B463^2))))</f>
        <v>2.2653140594159158E-2</v>
      </c>
      <c r="D463" s="306"/>
      <c r="E463" s="429"/>
      <c r="F463" s="429"/>
      <c r="G463" s="429"/>
      <c r="H463" s="429"/>
      <c r="I463" s="429"/>
      <c r="J463" s="429"/>
      <c r="K463" s="429"/>
      <c r="L463" s="429"/>
      <c r="M463" s="429"/>
      <c r="N463" s="429"/>
      <c r="O463" s="429"/>
      <c r="P463" s="429"/>
      <c r="Q463" s="429"/>
      <c r="R463" s="429"/>
      <c r="S463" s="429"/>
    </row>
    <row r="464" spans="1:19" x14ac:dyDescent="0.25">
      <c r="A464" s="429"/>
      <c r="B464" s="633">
        <f t="shared" si="7"/>
        <v>4.5899999999999466</v>
      </c>
      <c r="C464" s="646">
        <f>1/DATI!$E$38*IF(B464&lt;DATI!$E$45,DATI!$E$32*DATI!$E$42*DATI!$E$49*DATI!$E$33*(B464/DATI!$E$45+1/(DATI!$E$49*DATI!$E$33)*(1-B464/DATI!$E$45)),IF(B464&lt;DATI!$E$46,DATI!$E$32*DATI!$E$42*DATI!$E$49*DATI!$E$33,IF(B464&lt;DATI!$E$47,DATI!$E$32*DATI!$E$42*DATI!$E$49*DATI!$E$33*(DATI!$E$46/B464),DATI!$E$32*DATI!$E$42*DATI!$E$49*DATI!$E$33*((DATI!$E$46*DATI!$E$47)/B464^2))))</f>
        <v>2.2554541622610495E-2</v>
      </c>
      <c r="D464" s="306"/>
      <c r="E464" s="429"/>
      <c r="F464" s="429"/>
      <c r="G464" s="429"/>
      <c r="H464" s="429"/>
      <c r="I464" s="429"/>
      <c r="J464" s="429"/>
      <c r="K464" s="429"/>
      <c r="L464" s="429"/>
      <c r="M464" s="429"/>
      <c r="N464" s="429"/>
      <c r="O464" s="429"/>
      <c r="P464" s="429"/>
      <c r="Q464" s="429"/>
      <c r="R464" s="429"/>
      <c r="S464" s="429"/>
    </row>
    <row r="465" spans="1:19" x14ac:dyDescent="0.25">
      <c r="A465" s="429"/>
      <c r="B465" s="633">
        <f t="shared" si="7"/>
        <v>4.5999999999999464</v>
      </c>
      <c r="C465" s="646">
        <f>1/DATI!$E$38*IF(B465&lt;DATI!$E$45,DATI!$E$32*DATI!$E$42*DATI!$E$49*DATI!$E$33*(B465/DATI!$E$45+1/(DATI!$E$49*DATI!$E$33)*(1-B465/DATI!$E$45)),IF(B465&lt;DATI!$E$46,DATI!$E$32*DATI!$E$42*DATI!$E$49*DATI!$E$33,IF(B465&lt;DATI!$E$47,DATI!$E$32*DATI!$E$42*DATI!$E$49*DATI!$E$33*(DATI!$E$46/B465),DATI!$E$32*DATI!$E$42*DATI!$E$49*DATI!$E$33*((DATI!$E$46*DATI!$E$47)/B465^2))))</f>
        <v>2.2456584988625718E-2</v>
      </c>
      <c r="D465" s="306"/>
      <c r="E465" s="429"/>
      <c r="F465" s="429"/>
      <c r="G465" s="429"/>
      <c r="H465" s="429"/>
      <c r="I465" s="429"/>
      <c r="J465" s="429"/>
      <c r="K465" s="429"/>
      <c r="L465" s="429"/>
      <c r="M465" s="429"/>
      <c r="N465" s="429"/>
      <c r="O465" s="429"/>
      <c r="P465" s="429"/>
      <c r="Q465" s="429"/>
      <c r="R465" s="429"/>
      <c r="S465" s="429"/>
    </row>
    <row r="466" spans="1:19" x14ac:dyDescent="0.25">
      <c r="A466" s="429"/>
      <c r="B466" s="633">
        <f t="shared" si="7"/>
        <v>4.6099999999999461</v>
      </c>
      <c r="C466" s="646">
        <f>1/DATI!$E$38*IF(B466&lt;DATI!$E$45,DATI!$E$32*DATI!$E$42*DATI!$E$49*DATI!$E$33*(B466/DATI!$E$45+1/(DATI!$E$49*DATI!$E$33)*(1-B466/DATI!$E$45)),IF(B466&lt;DATI!$E$46,DATI!$E$32*DATI!$E$42*DATI!$E$49*DATI!$E$33,IF(B466&lt;DATI!$E$47,DATI!$E$32*DATI!$E$42*DATI!$E$49*DATI!$E$33*(DATI!$E$46/B466),DATI!$E$32*DATI!$E$42*DATI!$E$49*DATI!$E$33*((DATI!$E$46*DATI!$E$47)/B466^2))))</f>
        <v>2.2359265124826264E-2</v>
      </c>
      <c r="D466" s="306"/>
      <c r="E466" s="429"/>
      <c r="F466" s="429"/>
      <c r="G466" s="429"/>
      <c r="H466" s="429"/>
      <c r="I466" s="429"/>
      <c r="J466" s="429"/>
      <c r="K466" s="429"/>
      <c r="L466" s="429"/>
      <c r="M466" s="429"/>
      <c r="N466" s="429"/>
      <c r="O466" s="429"/>
      <c r="P466" s="429"/>
      <c r="Q466" s="429"/>
      <c r="R466" s="429"/>
      <c r="S466" s="429"/>
    </row>
    <row r="467" spans="1:19" x14ac:dyDescent="0.25">
      <c r="A467" s="429"/>
      <c r="B467" s="633">
        <f t="shared" si="7"/>
        <v>4.6199999999999459</v>
      </c>
      <c r="C467" s="646">
        <f>1/DATI!$E$38*IF(B467&lt;DATI!$E$45,DATI!$E$32*DATI!$E$42*DATI!$E$49*DATI!$E$33*(B467/DATI!$E$45+1/(DATI!$E$49*DATI!$E$33)*(1-B467/DATI!$E$45)),IF(B467&lt;DATI!$E$46,DATI!$E$32*DATI!$E$42*DATI!$E$49*DATI!$E$33,IF(B467&lt;DATI!$E$47,DATI!$E$32*DATI!$E$42*DATI!$E$49*DATI!$E$33*(DATI!$E$46/B467),DATI!$E$32*DATI!$E$42*DATI!$E$49*DATI!$E$33*((DATI!$E$46*DATI!$E$47)/B467^2))))</f>
        <v>2.2262576524021301E-2</v>
      </c>
      <c r="D467" s="306"/>
      <c r="E467" s="429"/>
      <c r="F467" s="429"/>
      <c r="G467" s="429"/>
      <c r="H467" s="429"/>
      <c r="I467" s="429"/>
      <c r="J467" s="429"/>
      <c r="K467" s="429"/>
      <c r="L467" s="429"/>
      <c r="M467" s="429"/>
      <c r="N467" s="429"/>
      <c r="O467" s="429"/>
      <c r="P467" s="429"/>
      <c r="Q467" s="429"/>
      <c r="R467" s="429"/>
      <c r="S467" s="429"/>
    </row>
    <row r="468" spans="1:19" x14ac:dyDescent="0.25">
      <c r="A468" s="429"/>
      <c r="B468" s="633">
        <f t="shared" si="7"/>
        <v>4.6299999999999457</v>
      </c>
      <c r="C468" s="646">
        <f>1/DATI!$E$38*IF(B468&lt;DATI!$E$45,DATI!$E$32*DATI!$E$42*DATI!$E$49*DATI!$E$33*(B468/DATI!$E$45+1/(DATI!$E$49*DATI!$E$33)*(1-B468/DATI!$E$45)),IF(B468&lt;DATI!$E$46,DATI!$E$32*DATI!$E$42*DATI!$E$49*DATI!$E$33,IF(B468&lt;DATI!$E$47,DATI!$E$32*DATI!$E$42*DATI!$E$49*DATI!$E$33*(DATI!$E$46/B468),DATI!$E$32*DATI!$E$42*DATI!$E$49*DATI!$E$33*((DATI!$E$46*DATI!$E$47)/B468^2))))</f>
        <v>2.2166513738428609E-2</v>
      </c>
      <c r="D468" s="306"/>
      <c r="E468" s="429"/>
      <c r="F468" s="429"/>
      <c r="G468" s="429"/>
      <c r="H468" s="429"/>
      <c r="I468" s="429"/>
      <c r="J468" s="429"/>
      <c r="K468" s="429"/>
      <c r="L468" s="429"/>
      <c r="M468" s="429"/>
      <c r="N468" s="429"/>
      <c r="O468" s="429"/>
      <c r="P468" s="429"/>
      <c r="Q468" s="429"/>
      <c r="R468" s="429"/>
      <c r="S468" s="429"/>
    </row>
    <row r="469" spans="1:19" x14ac:dyDescent="0.25">
      <c r="A469" s="429"/>
      <c r="B469" s="633">
        <f t="shared" si="7"/>
        <v>4.6399999999999455</v>
      </c>
      <c r="C469" s="646">
        <f>1/DATI!$E$38*IF(B469&lt;DATI!$E$45,DATI!$E$32*DATI!$E$42*DATI!$E$49*DATI!$E$33*(B469/DATI!$E$45+1/(DATI!$E$49*DATI!$E$33)*(1-B469/DATI!$E$45)),IF(B469&lt;DATI!$E$46,DATI!$E$32*DATI!$E$42*DATI!$E$49*DATI!$E$33,IF(B469&lt;DATI!$E$47,DATI!$E$32*DATI!$E$42*DATI!$E$49*DATI!$E$33*(DATI!$E$46/B469),DATI!$E$32*DATI!$E$42*DATI!$E$49*DATI!$E$33*((DATI!$E$46*DATI!$E$47)/B469^2))))</f>
        <v>2.2071071378907195E-2</v>
      </c>
      <c r="D469" s="306"/>
      <c r="E469" s="429"/>
      <c r="F469" s="429"/>
      <c r="G469" s="429"/>
      <c r="H469" s="429"/>
      <c r="I469" s="429"/>
      <c r="J469" s="429"/>
      <c r="K469" s="429"/>
      <c r="L469" s="429"/>
      <c r="M469" s="429"/>
      <c r="N469" s="429"/>
      <c r="O469" s="429"/>
      <c r="P469" s="429"/>
      <c r="Q469" s="429"/>
      <c r="R469" s="429"/>
      <c r="S469" s="429"/>
    </row>
    <row r="470" spans="1:19" x14ac:dyDescent="0.25">
      <c r="A470" s="429"/>
      <c r="B470" s="633">
        <f t="shared" si="7"/>
        <v>4.6499999999999453</v>
      </c>
      <c r="C470" s="646">
        <f>1/DATI!$E$38*IF(B470&lt;DATI!$E$45,DATI!$E$32*DATI!$E$42*DATI!$E$49*DATI!$E$33*(B470/DATI!$E$45+1/(DATI!$E$49*DATI!$E$33)*(1-B470/DATI!$E$45)),IF(B470&lt;DATI!$E$46,DATI!$E$32*DATI!$E$42*DATI!$E$49*DATI!$E$33,IF(B470&lt;DATI!$E$47,DATI!$E$32*DATI!$E$42*DATI!$E$49*DATI!$E$33*(DATI!$E$46/B470),DATI!$E$32*DATI!$E$42*DATI!$E$49*DATI!$E$33*((DATI!$E$46*DATI!$E$47)/B470^2))))</f>
        <v>2.1976244114201425E-2</v>
      </c>
      <c r="D470" s="306"/>
      <c r="E470" s="429"/>
      <c r="F470" s="429"/>
      <c r="G470" s="429"/>
      <c r="H470" s="429"/>
      <c r="I470" s="429"/>
      <c r="J470" s="429"/>
      <c r="K470" s="429"/>
      <c r="L470" s="429"/>
      <c r="M470" s="429"/>
      <c r="N470" s="429"/>
      <c r="O470" s="429"/>
      <c r="P470" s="429"/>
      <c r="Q470" s="429"/>
      <c r="R470" s="429"/>
      <c r="S470" s="429"/>
    </row>
    <row r="471" spans="1:19" x14ac:dyDescent="0.25">
      <c r="A471" s="429"/>
      <c r="B471" s="633">
        <f t="shared" si="7"/>
        <v>4.6599999999999451</v>
      </c>
      <c r="C471" s="646">
        <f>1/DATI!$E$38*IF(B471&lt;DATI!$E$45,DATI!$E$32*DATI!$E$42*DATI!$E$49*DATI!$E$33*(B471/DATI!$E$45+1/(DATI!$E$49*DATI!$E$33)*(1-B471/DATI!$E$45)),IF(B471&lt;DATI!$E$46,DATI!$E$32*DATI!$E$42*DATI!$E$49*DATI!$E$33,IF(B471&lt;DATI!$E$47,DATI!$E$32*DATI!$E$42*DATI!$E$49*DATI!$E$33*(DATI!$E$46/B471),DATI!$E$32*DATI!$E$42*DATI!$E$49*DATI!$E$33*((DATI!$E$46*DATI!$E$47)/B471^2))))</f>
        <v>2.1882026670196557E-2</v>
      </c>
      <c r="D471" s="306"/>
      <c r="E471" s="429"/>
      <c r="F471" s="429"/>
      <c r="G471" s="429"/>
      <c r="H471" s="429"/>
      <c r="I471" s="429"/>
      <c r="J471" s="429"/>
      <c r="K471" s="429"/>
      <c r="L471" s="429"/>
      <c r="M471" s="429"/>
      <c r="N471" s="429"/>
      <c r="O471" s="429"/>
      <c r="P471" s="429"/>
      <c r="Q471" s="429"/>
      <c r="R471" s="429"/>
      <c r="S471" s="429"/>
    </row>
    <row r="472" spans="1:19" x14ac:dyDescent="0.25">
      <c r="A472" s="429"/>
      <c r="B472" s="633">
        <f t="shared" si="7"/>
        <v>4.6699999999999449</v>
      </c>
      <c r="C472" s="646">
        <f>1/DATI!$E$38*IF(B472&lt;DATI!$E$45,DATI!$E$32*DATI!$E$42*DATI!$E$49*DATI!$E$33*(B472/DATI!$E$45+1/(DATI!$E$49*DATI!$E$33)*(1-B472/DATI!$E$45)),IF(B472&lt;DATI!$E$46,DATI!$E$32*DATI!$E$42*DATI!$E$49*DATI!$E$33,IF(B472&lt;DATI!$E$47,DATI!$E$32*DATI!$E$42*DATI!$E$49*DATI!$E$33*(DATI!$E$46/B472),DATI!$E$32*DATI!$E$42*DATI!$E$49*DATI!$E$33*((DATI!$E$46*DATI!$E$47)/B472^2))))</f>
        <v>2.1788413829185348E-2</v>
      </c>
      <c r="D472" s="306"/>
      <c r="E472" s="429"/>
      <c r="F472" s="429"/>
      <c r="G472" s="429"/>
      <c r="H472" s="429"/>
      <c r="I472" s="429"/>
      <c r="J472" s="429"/>
      <c r="K472" s="429"/>
      <c r="L472" s="429"/>
      <c r="M472" s="429"/>
      <c r="N472" s="429"/>
      <c r="O472" s="429"/>
      <c r="P472" s="429"/>
      <c r="Q472" s="429"/>
      <c r="R472" s="429"/>
      <c r="S472" s="429"/>
    </row>
    <row r="473" spans="1:19" x14ac:dyDescent="0.25">
      <c r="A473" s="429"/>
      <c r="B473" s="633">
        <f t="shared" si="7"/>
        <v>4.6799999999999446</v>
      </c>
      <c r="C473" s="646">
        <f>1/DATI!$E$38*IF(B473&lt;DATI!$E$45,DATI!$E$32*DATI!$E$42*DATI!$E$49*DATI!$E$33*(B473/DATI!$E$45+1/(DATI!$E$49*DATI!$E$33)*(1-B473/DATI!$E$45)),IF(B473&lt;DATI!$E$46,DATI!$E$32*DATI!$E$42*DATI!$E$49*DATI!$E$33,IF(B473&lt;DATI!$E$47,DATI!$E$32*DATI!$E$42*DATI!$E$49*DATI!$E$33*(DATI!$E$46/B473),DATI!$E$32*DATI!$E$42*DATI!$E$49*DATI!$E$33*((DATI!$E$46*DATI!$E$47)/B473^2))))</f>
        <v>2.1695400429145681E-2</v>
      </c>
      <c r="D473" s="306"/>
      <c r="E473" s="429"/>
      <c r="F473" s="429"/>
      <c r="G473" s="429"/>
      <c r="H473" s="429"/>
      <c r="I473" s="429"/>
      <c r="J473" s="429"/>
      <c r="K473" s="429"/>
      <c r="L473" s="429"/>
      <c r="M473" s="429"/>
      <c r="N473" s="429"/>
      <c r="O473" s="429"/>
      <c r="P473" s="429"/>
      <c r="Q473" s="429"/>
      <c r="R473" s="429"/>
      <c r="S473" s="429"/>
    </row>
    <row r="474" spans="1:19" x14ac:dyDescent="0.25">
      <c r="A474" s="429"/>
      <c r="B474" s="633">
        <f t="shared" si="7"/>
        <v>4.6899999999999444</v>
      </c>
      <c r="C474" s="646">
        <f>1/DATI!$E$38*IF(B474&lt;DATI!$E$45,DATI!$E$32*DATI!$E$42*DATI!$E$49*DATI!$E$33*(B474/DATI!$E$45+1/(DATI!$E$49*DATI!$E$33)*(1-B474/DATI!$E$45)),IF(B474&lt;DATI!$E$46,DATI!$E$32*DATI!$E$42*DATI!$E$49*DATI!$E$33,IF(B474&lt;DATI!$E$47,DATI!$E$32*DATI!$E$42*DATI!$E$49*DATI!$E$33*(DATI!$E$46/B474),DATI!$E$32*DATI!$E$42*DATI!$E$49*DATI!$E$33*((DATI!$E$46*DATI!$E$47)/B474^2))))</f>
        <v>2.1602981363028916E-2</v>
      </c>
      <c r="D474" s="306"/>
      <c r="E474" s="429"/>
      <c r="F474" s="429"/>
      <c r="G474" s="429"/>
      <c r="H474" s="429"/>
      <c r="I474" s="429"/>
      <c r="J474" s="429"/>
      <c r="K474" s="429"/>
      <c r="L474" s="429"/>
      <c r="M474" s="429"/>
      <c r="N474" s="429"/>
      <c r="O474" s="429"/>
      <c r="P474" s="429"/>
      <c r="Q474" s="429"/>
      <c r="R474" s="429"/>
      <c r="S474" s="429"/>
    </row>
    <row r="475" spans="1:19" x14ac:dyDescent="0.25">
      <c r="A475" s="429"/>
      <c r="B475" s="633">
        <f t="shared" si="7"/>
        <v>4.6999999999999442</v>
      </c>
      <c r="C475" s="646">
        <f>1/DATI!$E$38*IF(B475&lt;DATI!$E$45,DATI!$E$32*DATI!$E$42*DATI!$E$49*DATI!$E$33*(B475/DATI!$E$45+1/(DATI!$E$49*DATI!$E$33)*(1-B475/DATI!$E$45)),IF(B475&lt;DATI!$E$46,DATI!$E$32*DATI!$E$42*DATI!$E$49*DATI!$E$33,IF(B475&lt;DATI!$E$47,DATI!$E$32*DATI!$E$42*DATI!$E$49*DATI!$E$33*(DATI!$E$46/B475),DATI!$E$32*DATI!$E$42*DATI!$E$49*DATI!$E$33*((DATI!$E$46*DATI!$E$47)/B475^2))))</f>
        <v>2.1511151578058871E-2</v>
      </c>
      <c r="D475" s="306"/>
      <c r="E475" s="429"/>
      <c r="F475" s="429"/>
      <c r="G475" s="429"/>
      <c r="H475" s="429"/>
      <c r="I475" s="429"/>
      <c r="J475" s="429"/>
      <c r="K475" s="429"/>
      <c r="L475" s="429"/>
      <c r="M475" s="429"/>
      <c r="N475" s="429"/>
      <c r="O475" s="429"/>
      <c r="P475" s="429"/>
      <c r="Q475" s="429"/>
      <c r="R475" s="429"/>
      <c r="S475" s="429"/>
    </row>
    <row r="476" spans="1:19" x14ac:dyDescent="0.25">
      <c r="A476" s="429"/>
      <c r="B476" s="633">
        <f t="shared" si="7"/>
        <v>4.709999999999944</v>
      </c>
      <c r="C476" s="646">
        <f>1/DATI!$E$38*IF(B476&lt;DATI!$E$45,DATI!$E$32*DATI!$E$42*DATI!$E$49*DATI!$E$33*(B476/DATI!$E$45+1/(DATI!$E$49*DATI!$E$33)*(1-B476/DATI!$E$45)),IF(B476&lt;DATI!$E$46,DATI!$E$32*DATI!$E$42*DATI!$E$49*DATI!$E$33,IF(B476&lt;DATI!$E$47,DATI!$E$32*DATI!$E$42*DATI!$E$49*DATI!$E$33*(DATI!$E$46/B476),DATI!$E$32*DATI!$E$42*DATI!$E$49*DATI!$E$33*((DATI!$E$46*DATI!$E$47)/B476^2))))</f>
        <v>2.1419906075041153E-2</v>
      </c>
      <c r="D476" s="306"/>
      <c r="E476" s="429"/>
      <c r="F476" s="429"/>
      <c r="G476" s="429"/>
      <c r="H476" s="429"/>
      <c r="I476" s="429"/>
      <c r="J476" s="429"/>
      <c r="K476" s="429"/>
      <c r="L476" s="429"/>
      <c r="M476" s="429"/>
      <c r="N476" s="429"/>
      <c r="O476" s="429"/>
      <c r="P476" s="429"/>
      <c r="Q476" s="429"/>
      <c r="R476" s="429"/>
      <c r="S476" s="429"/>
    </row>
    <row r="477" spans="1:19" x14ac:dyDescent="0.25">
      <c r="A477" s="429"/>
      <c r="B477" s="633">
        <f t="shared" si="7"/>
        <v>4.7199999999999438</v>
      </c>
      <c r="C477" s="646">
        <f>1/DATI!$E$38*IF(B477&lt;DATI!$E$45,DATI!$E$32*DATI!$E$42*DATI!$E$49*DATI!$E$33*(B477/DATI!$E$45+1/(DATI!$E$49*DATI!$E$33)*(1-B477/DATI!$E$45)),IF(B477&lt;DATI!$E$46,DATI!$E$32*DATI!$E$42*DATI!$E$49*DATI!$E$33,IF(B477&lt;DATI!$E$47,DATI!$E$32*DATI!$E$42*DATI!$E$49*DATI!$E$33*(DATI!$E$46/B477),DATI!$E$32*DATI!$E$42*DATI!$E$49*DATI!$E$33*((DATI!$E$46*DATI!$E$47)/B477^2))))</f>
        <v>2.13292399076828E-2</v>
      </c>
      <c r="D477" s="306"/>
      <c r="E477" s="429"/>
      <c r="F477" s="429"/>
      <c r="G477" s="429"/>
      <c r="H477" s="429"/>
      <c r="I477" s="429"/>
      <c r="J477" s="429"/>
      <c r="K477" s="429"/>
      <c r="L477" s="429"/>
      <c r="M477" s="429"/>
      <c r="N477" s="429"/>
      <c r="O477" s="429"/>
      <c r="P477" s="429"/>
      <c r="Q477" s="429"/>
      <c r="R477" s="429"/>
      <c r="S477" s="429"/>
    </row>
    <row r="478" spans="1:19" x14ac:dyDescent="0.25">
      <c r="A478" s="429"/>
      <c r="B478" s="633">
        <f t="shared" si="7"/>
        <v>4.7299999999999436</v>
      </c>
      <c r="C478" s="646">
        <f>1/DATI!$E$38*IF(B478&lt;DATI!$E$45,DATI!$E$32*DATI!$E$42*DATI!$E$49*DATI!$E$33*(B478/DATI!$E$45+1/(DATI!$E$49*DATI!$E$33)*(1-B478/DATI!$E$45)),IF(B478&lt;DATI!$E$46,DATI!$E$32*DATI!$E$42*DATI!$E$49*DATI!$E$33,IF(B478&lt;DATI!$E$47,DATI!$E$32*DATI!$E$42*DATI!$E$49*DATI!$E$33*(DATI!$E$46/B478),DATI!$E$32*DATI!$E$42*DATI!$E$49*DATI!$E$33*((DATI!$E$46*DATI!$E$47)/B478^2))))</f>
        <v>2.1239148181921904E-2</v>
      </c>
      <c r="D478" s="306"/>
      <c r="E478" s="429"/>
      <c r="F478" s="429"/>
      <c r="G478" s="429"/>
      <c r="H478" s="429"/>
      <c r="I478" s="429"/>
      <c r="J478" s="429"/>
      <c r="K478" s="429"/>
      <c r="L478" s="429"/>
      <c r="M478" s="429"/>
      <c r="N478" s="429"/>
      <c r="O478" s="429"/>
      <c r="P478" s="429"/>
      <c r="Q478" s="429"/>
      <c r="R478" s="429"/>
      <c r="S478" s="429"/>
    </row>
    <row r="479" spans="1:19" x14ac:dyDescent="0.25">
      <c r="A479" s="429"/>
      <c r="B479" s="633">
        <f t="shared" si="7"/>
        <v>4.7399999999999434</v>
      </c>
      <c r="C479" s="646">
        <f>1/DATI!$E$38*IF(B479&lt;DATI!$E$45,DATI!$E$32*DATI!$E$42*DATI!$E$49*DATI!$E$33*(B479/DATI!$E$45+1/(DATI!$E$49*DATI!$E$33)*(1-B479/DATI!$E$45)),IF(B479&lt;DATI!$E$46,DATI!$E$32*DATI!$E$42*DATI!$E$49*DATI!$E$33,IF(B479&lt;DATI!$E$47,DATI!$E$32*DATI!$E$42*DATI!$E$49*DATI!$E$33*(DATI!$E$46/B479),DATI!$E$32*DATI!$E$42*DATI!$E$49*DATI!$E$33*((DATI!$E$46*DATI!$E$47)/B479^2))))</f>
        <v>2.1149626055267164E-2</v>
      </c>
      <c r="D479" s="306"/>
      <c r="E479" s="429"/>
      <c r="F479" s="429"/>
      <c r="G479" s="429"/>
      <c r="H479" s="429"/>
      <c r="I479" s="429"/>
      <c r="J479" s="429"/>
      <c r="K479" s="429"/>
      <c r="L479" s="429"/>
      <c r="M479" s="429"/>
      <c r="N479" s="429"/>
      <c r="O479" s="429"/>
      <c r="P479" s="429"/>
      <c r="Q479" s="429"/>
      <c r="R479" s="429"/>
      <c r="S479" s="429"/>
    </row>
    <row r="480" spans="1:19" x14ac:dyDescent="0.25">
      <c r="A480" s="429"/>
      <c r="B480" s="633">
        <f t="shared" si="7"/>
        <v>4.7499999999999432</v>
      </c>
      <c r="C480" s="646">
        <f>1/DATI!$E$38*IF(B480&lt;DATI!$E$45,DATI!$E$32*DATI!$E$42*DATI!$E$49*DATI!$E$33*(B480/DATI!$E$45+1/(DATI!$E$49*DATI!$E$33)*(1-B480/DATI!$E$45)),IF(B480&lt;DATI!$E$46,DATI!$E$32*DATI!$E$42*DATI!$E$49*DATI!$E$33,IF(B480&lt;DATI!$E$47,DATI!$E$32*DATI!$E$42*DATI!$E$49*DATI!$E$33*(DATI!$E$46/B480),DATI!$E$32*DATI!$E$42*DATI!$E$49*DATI!$E$33*((DATI!$E$46*DATI!$E$47)/B480^2))))</f>
        <v>2.1060668736147169E-2</v>
      </c>
      <c r="D480" s="306"/>
      <c r="E480" s="429"/>
      <c r="F480" s="429"/>
      <c r="G480" s="429"/>
      <c r="H480" s="429"/>
      <c r="I480" s="429"/>
      <c r="J480" s="429"/>
      <c r="K480" s="429"/>
      <c r="L480" s="429"/>
      <c r="M480" s="429"/>
      <c r="N480" s="429"/>
      <c r="O480" s="429"/>
      <c r="P480" s="429"/>
      <c r="Q480" s="429"/>
      <c r="R480" s="429"/>
      <c r="S480" s="429"/>
    </row>
    <row r="481" spans="1:19" x14ac:dyDescent="0.25">
      <c r="A481" s="429"/>
      <c r="B481" s="633">
        <f t="shared" si="7"/>
        <v>4.7599999999999429</v>
      </c>
      <c r="C481" s="646">
        <f>1/DATI!$E$38*IF(B481&lt;DATI!$E$45,DATI!$E$32*DATI!$E$42*DATI!$E$49*DATI!$E$33*(B481/DATI!$E$45+1/(DATI!$E$49*DATI!$E$33)*(1-B481/DATI!$E$45)),IF(B481&lt;DATI!$E$46,DATI!$E$32*DATI!$E$42*DATI!$E$49*DATI!$E$33,IF(B481&lt;DATI!$E$47,DATI!$E$32*DATI!$E$42*DATI!$E$49*DATI!$E$33*(DATI!$E$46/B481),DATI!$E$32*DATI!$E$42*DATI!$E$49*DATI!$E$33*((DATI!$E$46*DATI!$E$47)/B481^2))))</f>
        <v>2.0972271483269217E-2</v>
      </c>
      <c r="D481" s="306"/>
      <c r="E481" s="429"/>
      <c r="F481" s="429"/>
      <c r="G481" s="429"/>
      <c r="H481" s="429"/>
      <c r="I481" s="429"/>
      <c r="J481" s="429"/>
      <c r="K481" s="429"/>
      <c r="L481" s="429"/>
      <c r="M481" s="429"/>
      <c r="N481" s="429"/>
      <c r="O481" s="429"/>
      <c r="P481" s="429"/>
      <c r="Q481" s="429"/>
      <c r="R481" s="429"/>
      <c r="S481" s="429"/>
    </row>
    <row r="482" spans="1:19" x14ac:dyDescent="0.25">
      <c r="A482" s="429"/>
      <c r="B482" s="633">
        <f t="shared" si="7"/>
        <v>4.7699999999999427</v>
      </c>
      <c r="C482" s="646">
        <f>1/DATI!$E$38*IF(B482&lt;DATI!$E$45,DATI!$E$32*DATI!$E$42*DATI!$E$49*DATI!$E$33*(B482/DATI!$E$45+1/(DATI!$E$49*DATI!$E$33)*(1-B482/DATI!$E$45)),IF(B482&lt;DATI!$E$46,DATI!$E$32*DATI!$E$42*DATI!$E$49*DATI!$E$33,IF(B482&lt;DATI!$E$47,DATI!$E$32*DATI!$E$42*DATI!$E$49*DATI!$E$33*(DATI!$E$46/B482),DATI!$E$32*DATI!$E$42*DATI!$E$49*DATI!$E$33*((DATI!$E$46*DATI!$E$47)/B482^2))))</f>
        <v>2.0884429604987521E-2</v>
      </c>
      <c r="D482" s="306"/>
      <c r="E482" s="429"/>
      <c r="F482" s="429"/>
      <c r="G482" s="429"/>
      <c r="H482" s="429"/>
      <c r="I482" s="429"/>
      <c r="J482" s="429"/>
      <c r="K482" s="429"/>
      <c r="L482" s="429"/>
      <c r="M482" s="429"/>
      <c r="N482" s="429"/>
      <c r="O482" s="429"/>
      <c r="P482" s="429"/>
      <c r="Q482" s="429"/>
      <c r="R482" s="429"/>
      <c r="S482" s="429"/>
    </row>
    <row r="483" spans="1:19" x14ac:dyDescent="0.25">
      <c r="A483" s="429"/>
      <c r="B483" s="633">
        <f t="shared" si="7"/>
        <v>4.7799999999999425</v>
      </c>
      <c r="C483" s="646">
        <f>1/DATI!$E$38*IF(B483&lt;DATI!$E$45,DATI!$E$32*DATI!$E$42*DATI!$E$49*DATI!$E$33*(B483/DATI!$E$45+1/(DATI!$E$49*DATI!$E$33)*(1-B483/DATI!$E$45)),IF(B483&lt;DATI!$E$46,DATI!$E$32*DATI!$E$42*DATI!$E$49*DATI!$E$33,IF(B483&lt;DATI!$E$47,DATI!$E$32*DATI!$E$42*DATI!$E$49*DATI!$E$33*(DATI!$E$46/B483),DATI!$E$32*DATI!$E$42*DATI!$E$49*DATI!$E$33*((DATI!$E$46*DATI!$E$47)/B483^2))))</f>
        <v>2.0797138458680722E-2</v>
      </c>
      <c r="D483" s="306"/>
      <c r="E483" s="429"/>
      <c r="F483" s="429"/>
      <c r="G483" s="429"/>
      <c r="H483" s="429"/>
      <c r="I483" s="429"/>
      <c r="J483" s="429"/>
      <c r="K483" s="429"/>
      <c r="L483" s="429"/>
      <c r="M483" s="429"/>
      <c r="N483" s="429"/>
      <c r="O483" s="429"/>
      <c r="P483" s="429"/>
      <c r="Q483" s="429"/>
      <c r="R483" s="429"/>
      <c r="S483" s="429"/>
    </row>
    <row r="484" spans="1:19" x14ac:dyDescent="0.25">
      <c r="A484" s="429"/>
      <c r="B484" s="633">
        <f t="shared" si="7"/>
        <v>4.7899999999999423</v>
      </c>
      <c r="C484" s="646">
        <f>1/DATI!$E$38*IF(B484&lt;DATI!$E$45,DATI!$E$32*DATI!$E$42*DATI!$E$49*DATI!$E$33*(B484/DATI!$E$45+1/(DATI!$E$49*DATI!$E$33)*(1-B484/DATI!$E$45)),IF(B484&lt;DATI!$E$46,DATI!$E$32*DATI!$E$42*DATI!$E$49*DATI!$E$33,IF(B484&lt;DATI!$E$47,DATI!$E$32*DATI!$E$42*DATI!$E$49*DATI!$E$33*(DATI!$E$46/B484),DATI!$E$32*DATI!$E$42*DATI!$E$49*DATI!$E$33*((DATI!$E$46*DATI!$E$47)/B484^2))))</f>
        <v>2.0710393450138403E-2</v>
      </c>
      <c r="D484" s="306"/>
      <c r="E484" s="429"/>
      <c r="F484" s="429"/>
      <c r="G484" s="429"/>
      <c r="H484" s="429"/>
      <c r="I484" s="429"/>
      <c r="J484" s="429"/>
      <c r="K484" s="429"/>
      <c r="L484" s="429"/>
      <c r="M484" s="429"/>
      <c r="N484" s="429"/>
      <c r="O484" s="429"/>
      <c r="P484" s="429"/>
      <c r="Q484" s="429"/>
      <c r="R484" s="429"/>
      <c r="S484" s="429"/>
    </row>
    <row r="485" spans="1:19" x14ac:dyDescent="0.25">
      <c r="A485" s="429"/>
      <c r="B485" s="633">
        <f t="shared" si="7"/>
        <v>4.7999999999999421</v>
      </c>
      <c r="C485" s="646">
        <f>1/DATI!$E$38*IF(B485&lt;DATI!$E$45,DATI!$E$32*DATI!$E$42*DATI!$E$49*DATI!$E$33*(B485/DATI!$E$45+1/(DATI!$E$49*DATI!$E$33)*(1-B485/DATI!$E$45)),IF(B485&lt;DATI!$E$46,DATI!$E$32*DATI!$E$42*DATI!$E$49*DATI!$E$33,IF(B485&lt;DATI!$E$47,DATI!$E$32*DATI!$E$42*DATI!$E$49*DATI!$E$33*(DATI!$E$46/B485),DATI!$E$32*DATI!$E$42*DATI!$E$49*DATI!$E$33*((DATI!$E$46*DATI!$E$47)/B485^2))))</f>
        <v>2.0624190032956624E-2</v>
      </c>
      <c r="D485" s="306"/>
      <c r="E485" s="429"/>
      <c r="F485" s="429"/>
      <c r="G485" s="429"/>
      <c r="H485" s="429"/>
      <c r="I485" s="429"/>
      <c r="J485" s="429"/>
      <c r="K485" s="429"/>
      <c r="L485" s="429"/>
      <c r="M485" s="429"/>
      <c r="N485" s="429"/>
      <c r="O485" s="429"/>
      <c r="P485" s="429"/>
      <c r="Q485" s="429"/>
      <c r="R485" s="429"/>
      <c r="S485" s="429"/>
    </row>
    <row r="486" spans="1:19" x14ac:dyDescent="0.25">
      <c r="A486" s="429"/>
      <c r="B486" s="633">
        <f t="shared" si="7"/>
        <v>4.8099999999999419</v>
      </c>
      <c r="C486" s="646">
        <f>1/DATI!$E$38*IF(B486&lt;DATI!$E$45,DATI!$E$32*DATI!$E$42*DATI!$E$49*DATI!$E$33*(B486/DATI!$E$45+1/(DATI!$E$49*DATI!$E$33)*(1-B486/DATI!$E$45)),IF(B486&lt;DATI!$E$46,DATI!$E$32*DATI!$E$42*DATI!$E$49*DATI!$E$33,IF(B486&lt;DATI!$E$47,DATI!$E$32*DATI!$E$42*DATI!$E$49*DATI!$E$33*(DATI!$E$46/B486),DATI!$E$32*DATI!$E$42*DATI!$E$49*DATI!$E$33*((DATI!$E$46*DATI!$E$47)/B486^2))))</f>
        <v>2.0538523707942163E-2</v>
      </c>
      <c r="D486" s="306"/>
      <c r="E486" s="429"/>
      <c r="F486" s="429"/>
      <c r="G486" s="429"/>
      <c r="H486" s="429"/>
      <c r="I486" s="429"/>
      <c r="J486" s="429"/>
      <c r="K486" s="429"/>
      <c r="L486" s="429"/>
      <c r="M486" s="429"/>
      <c r="N486" s="429"/>
      <c r="O486" s="429"/>
      <c r="P486" s="429"/>
      <c r="Q486" s="429"/>
      <c r="R486" s="429"/>
      <c r="S486" s="429"/>
    </row>
    <row r="487" spans="1:19" x14ac:dyDescent="0.25">
      <c r="A487" s="429"/>
      <c r="B487" s="633">
        <f t="shared" si="7"/>
        <v>4.8199999999999417</v>
      </c>
      <c r="C487" s="646">
        <f>1/DATI!$E$38*IF(B487&lt;DATI!$E$45,DATI!$E$32*DATI!$E$42*DATI!$E$49*DATI!$E$33*(B487/DATI!$E$45+1/(DATI!$E$49*DATI!$E$33)*(1-B487/DATI!$E$45)),IF(B487&lt;DATI!$E$46,DATI!$E$32*DATI!$E$42*DATI!$E$49*DATI!$E$33,IF(B487&lt;DATI!$E$47,DATI!$E$32*DATI!$E$42*DATI!$E$49*DATI!$E$33*(DATI!$E$46/B487),DATI!$E$32*DATI!$E$42*DATI!$E$49*DATI!$E$33*((DATI!$E$46*DATI!$E$47)/B487^2))))</f>
        <v>2.0453390022525466E-2</v>
      </c>
      <c r="D487" s="306"/>
      <c r="E487" s="429"/>
      <c r="F487" s="429"/>
      <c r="G487" s="429"/>
      <c r="H487" s="429"/>
      <c r="I487" s="429"/>
      <c r="J487" s="429"/>
      <c r="K487" s="429"/>
      <c r="L487" s="429"/>
      <c r="M487" s="429"/>
      <c r="N487" s="429"/>
      <c r="O487" s="429"/>
      <c r="P487" s="429"/>
      <c r="Q487" s="429"/>
      <c r="R487" s="429"/>
      <c r="S487" s="429"/>
    </row>
    <row r="488" spans="1:19" x14ac:dyDescent="0.25">
      <c r="A488" s="429"/>
      <c r="B488" s="633">
        <f t="shared" si="7"/>
        <v>4.8299999999999415</v>
      </c>
      <c r="C488" s="646">
        <f>1/DATI!$E$38*IF(B488&lt;DATI!$E$45,DATI!$E$32*DATI!$E$42*DATI!$E$49*DATI!$E$33*(B488/DATI!$E$45+1/(DATI!$E$49*DATI!$E$33)*(1-B488/DATI!$E$45)),IF(B488&lt;DATI!$E$46,DATI!$E$32*DATI!$E$42*DATI!$E$49*DATI!$E$33,IF(B488&lt;DATI!$E$47,DATI!$E$32*DATI!$E$42*DATI!$E$49*DATI!$E$33*(DATI!$E$46/B488),DATI!$E$32*DATI!$E$42*DATI!$E$49*DATI!$E$33*((DATI!$E$46*DATI!$E$47)/B488^2))))</f>
        <v>2.0368784570182076E-2</v>
      </c>
      <c r="D488" s="306"/>
      <c r="E488" s="429"/>
      <c r="F488" s="429"/>
      <c r="G488" s="429"/>
      <c r="H488" s="429"/>
      <c r="I488" s="429"/>
      <c r="J488" s="429"/>
      <c r="K488" s="429"/>
      <c r="L488" s="429"/>
      <c r="M488" s="429"/>
      <c r="N488" s="429"/>
      <c r="O488" s="429"/>
      <c r="P488" s="429"/>
      <c r="Q488" s="429"/>
      <c r="R488" s="429"/>
      <c r="S488" s="429"/>
    </row>
    <row r="489" spans="1:19" x14ac:dyDescent="0.25">
      <c r="A489" s="429"/>
      <c r="B489" s="633">
        <f t="shared" si="7"/>
        <v>4.8399999999999412</v>
      </c>
      <c r="C489" s="646">
        <f>1/DATI!$E$38*IF(B489&lt;DATI!$E$45,DATI!$E$32*DATI!$E$42*DATI!$E$49*DATI!$E$33*(B489/DATI!$E$45+1/(DATI!$E$49*DATI!$E$33)*(1-B489/DATI!$E$45)),IF(B489&lt;DATI!$E$46,DATI!$E$32*DATI!$E$42*DATI!$E$49*DATI!$E$33,IF(B489&lt;DATI!$E$47,DATI!$E$32*DATI!$E$42*DATI!$E$49*DATI!$E$33*(DATI!$E$46/B489),DATI!$E$32*DATI!$E$42*DATI!$E$49*DATI!$E$33*((DATI!$E$46*DATI!$E$47)/B489^2))))</f>
        <v>2.0284702989862402E-2</v>
      </c>
      <c r="D489" s="306"/>
      <c r="E489" s="429"/>
      <c r="F489" s="429"/>
      <c r="G489" s="429"/>
      <c r="H489" s="429"/>
      <c r="I489" s="429"/>
      <c r="J489" s="429"/>
      <c r="K489" s="429"/>
      <c r="L489" s="429"/>
      <c r="M489" s="429"/>
      <c r="N489" s="429"/>
      <c r="O489" s="429"/>
      <c r="P489" s="429"/>
      <c r="Q489" s="429"/>
      <c r="R489" s="429"/>
      <c r="S489" s="429"/>
    </row>
    <row r="490" spans="1:19" x14ac:dyDescent="0.25">
      <c r="A490" s="429"/>
      <c r="B490" s="633">
        <f t="shared" si="7"/>
        <v>4.849999999999941</v>
      </c>
      <c r="C490" s="646">
        <f>1/DATI!$E$38*IF(B490&lt;DATI!$E$45,DATI!$E$32*DATI!$E$42*DATI!$E$49*DATI!$E$33*(B490/DATI!$E$45+1/(DATI!$E$49*DATI!$E$33)*(1-B490/DATI!$E$45)),IF(B490&lt;DATI!$E$46,DATI!$E$32*DATI!$E$42*DATI!$E$49*DATI!$E$33,IF(B490&lt;DATI!$E$47,DATI!$E$32*DATI!$E$42*DATI!$E$49*DATI!$E$33*(DATI!$E$46/B490),DATI!$E$32*DATI!$E$42*DATI!$E$49*DATI!$E$33*((DATI!$E$46*DATI!$E$47)/B490^2))))</f>
        <v>2.0201140965429725E-2</v>
      </c>
      <c r="D490" s="306"/>
      <c r="E490" s="429"/>
      <c r="F490" s="429"/>
      <c r="G490" s="429"/>
      <c r="H490" s="429"/>
      <c r="I490" s="429"/>
      <c r="J490" s="429"/>
      <c r="K490" s="429"/>
      <c r="L490" s="429"/>
      <c r="M490" s="429"/>
      <c r="N490" s="429"/>
      <c r="O490" s="429"/>
      <c r="P490" s="429"/>
      <c r="Q490" s="429"/>
      <c r="R490" s="429"/>
      <c r="S490" s="429"/>
    </row>
    <row r="491" spans="1:19" x14ac:dyDescent="0.25">
      <c r="A491" s="429"/>
      <c r="B491" s="633">
        <f t="shared" si="7"/>
        <v>4.8599999999999408</v>
      </c>
      <c r="C491" s="646">
        <f>1/DATI!$E$38*IF(B491&lt;DATI!$E$45,DATI!$E$32*DATI!$E$42*DATI!$E$49*DATI!$E$33*(B491/DATI!$E$45+1/(DATI!$E$49*DATI!$E$33)*(1-B491/DATI!$E$45)),IF(B491&lt;DATI!$E$46,DATI!$E$32*DATI!$E$42*DATI!$E$49*DATI!$E$33,IF(B491&lt;DATI!$E$47,DATI!$E$32*DATI!$E$42*DATI!$E$49*DATI!$E$33*(DATI!$E$46/B491),DATI!$E$32*DATI!$E$42*DATI!$E$49*DATI!$E$33*((DATI!$E$46*DATI!$E$47)/B491^2))))</f>
        <v>2.0118094225106298E-2</v>
      </c>
      <c r="D491" s="306"/>
      <c r="E491" s="429"/>
      <c r="F491" s="429"/>
      <c r="G491" s="429"/>
      <c r="H491" s="429"/>
      <c r="I491" s="429"/>
      <c r="J491" s="429"/>
      <c r="K491" s="429"/>
      <c r="L491" s="429"/>
      <c r="M491" s="429"/>
      <c r="N491" s="429"/>
      <c r="O491" s="429"/>
      <c r="P491" s="429"/>
      <c r="Q491" s="429"/>
      <c r="R491" s="429"/>
      <c r="S491" s="429"/>
    </row>
    <row r="492" spans="1:19" x14ac:dyDescent="0.25">
      <c r="A492" s="429"/>
      <c r="B492" s="633">
        <f t="shared" si="7"/>
        <v>4.8699999999999406</v>
      </c>
      <c r="C492" s="646">
        <f>1/DATI!$E$38*IF(B492&lt;DATI!$E$45,DATI!$E$32*DATI!$E$42*DATI!$E$49*DATI!$E$33*(B492/DATI!$E$45+1/(DATI!$E$49*DATI!$E$33)*(1-B492/DATI!$E$45)),IF(B492&lt;DATI!$E$46,DATI!$E$32*DATI!$E$42*DATI!$E$49*DATI!$E$33,IF(B492&lt;DATI!$E$47,DATI!$E$32*DATI!$E$42*DATI!$E$49*DATI!$E$33*(DATI!$E$46/B492),DATI!$E$32*DATI!$E$42*DATI!$E$49*DATI!$E$33*((DATI!$E$46*DATI!$E$47)/B492^2))))</f>
        <v>2.0035558540927388E-2</v>
      </c>
      <c r="D492" s="306"/>
      <c r="E492" s="429"/>
      <c r="F492" s="429"/>
      <c r="G492" s="429"/>
      <c r="H492" s="429"/>
      <c r="I492" s="429"/>
      <c r="J492" s="429"/>
      <c r="K492" s="429"/>
      <c r="L492" s="429"/>
      <c r="M492" s="429"/>
      <c r="N492" s="429"/>
      <c r="O492" s="429"/>
      <c r="P492" s="429"/>
      <c r="Q492" s="429"/>
      <c r="R492" s="429"/>
      <c r="S492" s="429"/>
    </row>
    <row r="493" spans="1:19" x14ac:dyDescent="0.25">
      <c r="A493" s="429"/>
      <c r="B493" s="633">
        <f t="shared" si="7"/>
        <v>4.8799999999999404</v>
      </c>
      <c r="C493" s="646">
        <f>1/DATI!$E$38*IF(B493&lt;DATI!$E$45,DATI!$E$32*DATI!$E$42*DATI!$E$49*DATI!$E$33*(B493/DATI!$E$45+1/(DATI!$E$49*DATI!$E$33)*(1-B493/DATI!$E$45)),IF(B493&lt;DATI!$E$46,DATI!$E$32*DATI!$E$42*DATI!$E$49*DATI!$E$33,IF(B493&lt;DATI!$E$47,DATI!$E$32*DATI!$E$42*DATI!$E$49*DATI!$E$33*(DATI!$E$46/B493),DATI!$E$32*DATI!$E$42*DATI!$E$49*DATI!$E$33*((DATI!$E$46*DATI!$E$47)/B493^2))))</f>
        <v>1.9953529728203138E-2</v>
      </c>
      <c r="D493" s="306"/>
      <c r="E493" s="429"/>
      <c r="F493" s="429"/>
      <c r="G493" s="429"/>
      <c r="H493" s="429"/>
      <c r="I493" s="429"/>
      <c r="J493" s="429"/>
      <c r="K493" s="429"/>
      <c r="L493" s="429"/>
      <c r="M493" s="429"/>
      <c r="N493" s="429"/>
      <c r="O493" s="429"/>
      <c r="P493" s="429"/>
      <c r="Q493" s="429"/>
      <c r="R493" s="429"/>
      <c r="S493" s="429"/>
    </row>
    <row r="494" spans="1:19" x14ac:dyDescent="0.25">
      <c r="A494" s="429"/>
      <c r="B494" s="633">
        <f t="shared" si="7"/>
        <v>4.8899999999999402</v>
      </c>
      <c r="C494" s="646">
        <f>1/DATI!$E$38*IF(B494&lt;DATI!$E$45,DATI!$E$32*DATI!$E$42*DATI!$E$49*DATI!$E$33*(B494/DATI!$E$45+1/(DATI!$E$49*DATI!$E$33)*(1-B494/DATI!$E$45)),IF(B494&lt;DATI!$E$46,DATI!$E$32*DATI!$E$42*DATI!$E$49*DATI!$E$33,IF(B494&lt;DATI!$E$47,DATI!$E$32*DATI!$E$42*DATI!$E$49*DATI!$E$33*(DATI!$E$46/B494),DATI!$E$32*DATI!$E$42*DATI!$E$49*DATI!$E$33*((DATI!$E$46*DATI!$E$47)/B494^2))))</f>
        <v>1.9872003644988135E-2</v>
      </c>
      <c r="D494" s="306"/>
      <c r="E494" s="429"/>
      <c r="F494" s="429"/>
      <c r="G494" s="429"/>
      <c r="H494" s="429"/>
      <c r="I494" s="429"/>
      <c r="J494" s="429"/>
      <c r="K494" s="429"/>
      <c r="L494" s="429"/>
      <c r="M494" s="429"/>
      <c r="N494" s="429"/>
      <c r="O494" s="429"/>
      <c r="P494" s="429"/>
      <c r="Q494" s="429"/>
      <c r="R494" s="429"/>
      <c r="S494" s="429"/>
    </row>
    <row r="495" spans="1:19" x14ac:dyDescent="0.25">
      <c r="A495" s="429"/>
      <c r="B495" s="633">
        <f t="shared" si="7"/>
        <v>4.89999999999994</v>
      </c>
      <c r="C495" s="646">
        <f>1/DATI!$E$38*IF(B495&lt;DATI!$E$45,DATI!$E$32*DATI!$E$42*DATI!$E$49*DATI!$E$33*(B495/DATI!$E$45+1/(DATI!$E$49*DATI!$E$33)*(1-B495/DATI!$E$45)),IF(B495&lt;DATI!$E$46,DATI!$E$32*DATI!$E$42*DATI!$E$49*DATI!$E$33,IF(B495&lt;DATI!$E$47,DATI!$E$32*DATI!$E$42*DATI!$E$49*DATI!$E$33*(DATI!$E$46/B495),DATI!$E$32*DATI!$E$42*DATI!$E$49*DATI!$E$33*((DATI!$E$46*DATI!$E$47)/B495^2))))</f>
        <v>1.9790976191558549E-2</v>
      </c>
      <c r="D495" s="306"/>
      <c r="E495" s="429"/>
      <c r="F495" s="429"/>
      <c r="G495" s="429"/>
      <c r="H495" s="429"/>
      <c r="I495" s="429"/>
      <c r="J495" s="429"/>
      <c r="K495" s="429"/>
      <c r="L495" s="429"/>
      <c r="M495" s="429"/>
      <c r="N495" s="429"/>
      <c r="O495" s="429"/>
      <c r="P495" s="429"/>
      <c r="Q495" s="429"/>
      <c r="R495" s="429"/>
      <c r="S495" s="429"/>
    </row>
    <row r="496" spans="1:19" x14ac:dyDescent="0.25">
      <c r="A496" s="429"/>
      <c r="B496" s="633">
        <f t="shared" si="7"/>
        <v>4.9099999999999397</v>
      </c>
      <c r="C496" s="646">
        <f>1/DATI!$E$38*IF(B496&lt;DATI!$E$45,DATI!$E$32*DATI!$E$42*DATI!$E$49*DATI!$E$33*(B496/DATI!$E$45+1/(DATI!$E$49*DATI!$E$33)*(1-B496/DATI!$E$45)),IF(B496&lt;DATI!$E$46,DATI!$E$32*DATI!$E$42*DATI!$E$49*DATI!$E$33,IF(B496&lt;DATI!$E$47,DATI!$E$32*DATI!$E$42*DATI!$E$49*DATI!$E$33*(DATI!$E$46/B496),DATI!$E$32*DATI!$E$42*DATI!$E$49*DATI!$E$33*((DATI!$E$46*DATI!$E$47)/B496^2))))</f>
        <v>1.971044330989671E-2</v>
      </c>
      <c r="D496" s="306"/>
      <c r="E496" s="429"/>
      <c r="F496" s="429"/>
      <c r="G496" s="429"/>
      <c r="H496" s="429"/>
      <c r="I496" s="429"/>
      <c r="J496" s="429"/>
      <c r="K496" s="429"/>
      <c r="L496" s="429"/>
      <c r="M496" s="429"/>
      <c r="N496" s="429"/>
      <c r="O496" s="429"/>
      <c r="P496" s="429"/>
      <c r="Q496" s="429"/>
      <c r="R496" s="429"/>
      <c r="S496" s="429"/>
    </row>
    <row r="497" spans="1:19" x14ac:dyDescent="0.25">
      <c r="A497" s="429"/>
      <c r="B497" s="633">
        <f t="shared" si="7"/>
        <v>4.9199999999999395</v>
      </c>
      <c r="C497" s="646">
        <f>1/DATI!$E$38*IF(B497&lt;DATI!$E$45,DATI!$E$32*DATI!$E$42*DATI!$E$49*DATI!$E$33*(B497/DATI!$E$45+1/(DATI!$E$49*DATI!$E$33)*(1-B497/DATI!$E$45)),IF(B497&lt;DATI!$E$46,DATI!$E$32*DATI!$E$42*DATI!$E$49*DATI!$E$33,IF(B497&lt;DATI!$E$47,DATI!$E$32*DATI!$E$42*DATI!$E$49*DATI!$E$33*(DATI!$E$46/B497),DATI!$E$32*DATI!$E$42*DATI!$E$49*DATI!$E$33*((DATI!$E$46*DATI!$E$47)/B497^2))))</f>
        <v>1.9630400983182993E-2</v>
      </c>
      <c r="D497" s="306"/>
      <c r="E497" s="429"/>
      <c r="F497" s="429"/>
      <c r="G497" s="429"/>
      <c r="H497" s="429"/>
      <c r="I497" s="429"/>
      <c r="J497" s="429"/>
      <c r="K497" s="429"/>
      <c r="L497" s="429"/>
      <c r="M497" s="429"/>
      <c r="N497" s="429"/>
      <c r="O497" s="429"/>
      <c r="P497" s="429"/>
      <c r="Q497" s="429"/>
      <c r="R497" s="429"/>
      <c r="S497" s="429"/>
    </row>
    <row r="498" spans="1:19" x14ac:dyDescent="0.25">
      <c r="A498" s="429"/>
      <c r="B498" s="633">
        <f t="shared" si="7"/>
        <v>4.9299999999999393</v>
      </c>
      <c r="C498" s="646">
        <f>1/DATI!$E$38*IF(B498&lt;DATI!$E$45,DATI!$E$32*DATI!$E$42*DATI!$E$49*DATI!$E$33*(B498/DATI!$E$45+1/(DATI!$E$49*DATI!$E$33)*(1-B498/DATI!$E$45)),IF(B498&lt;DATI!$E$46,DATI!$E$32*DATI!$E$42*DATI!$E$49*DATI!$E$33,IF(B498&lt;DATI!$E$47,DATI!$E$32*DATI!$E$42*DATI!$E$49*DATI!$E$33*(DATI!$E$46/B498),DATI!$E$32*DATI!$E$42*DATI!$E$49*DATI!$E$33*((DATI!$E$46*DATI!$E$47)/B498^2))))</f>
        <v>1.9550845235294975E-2</v>
      </c>
      <c r="D498" s="306"/>
      <c r="E498" s="429"/>
      <c r="F498" s="429"/>
      <c r="G498" s="429"/>
      <c r="H498" s="429"/>
      <c r="I498" s="429"/>
      <c r="J498" s="429"/>
      <c r="K498" s="429"/>
      <c r="L498" s="429"/>
      <c r="M498" s="429"/>
      <c r="N498" s="429"/>
      <c r="O498" s="429"/>
      <c r="P498" s="429"/>
      <c r="Q498" s="429"/>
      <c r="R498" s="429"/>
      <c r="S498" s="429"/>
    </row>
    <row r="499" spans="1:19" x14ac:dyDescent="0.25">
      <c r="A499" s="429"/>
      <c r="B499" s="633">
        <f t="shared" si="7"/>
        <v>4.9399999999999391</v>
      </c>
      <c r="C499" s="646">
        <f>1/DATI!$E$38*IF(B499&lt;DATI!$E$45,DATI!$E$32*DATI!$E$42*DATI!$E$49*DATI!$E$33*(B499/DATI!$E$45+1/(DATI!$E$49*DATI!$E$33)*(1-B499/DATI!$E$45)),IF(B499&lt;DATI!$E$46,DATI!$E$32*DATI!$E$42*DATI!$E$49*DATI!$E$33,IF(B499&lt;DATI!$E$47,DATI!$E$32*DATI!$E$42*DATI!$E$49*DATI!$E$33*(DATI!$E$46/B499),DATI!$E$32*DATI!$E$42*DATI!$E$49*DATI!$E$33*((DATI!$E$46*DATI!$E$47)/B499^2))))</f>
        <v>1.9471772130313595E-2</v>
      </c>
      <c r="D499" s="306"/>
      <c r="E499" s="429"/>
      <c r="F499" s="429"/>
      <c r="G499" s="429"/>
      <c r="H499" s="429"/>
      <c r="I499" s="429"/>
      <c r="J499" s="429"/>
      <c r="K499" s="429"/>
      <c r="L499" s="429"/>
      <c r="M499" s="429"/>
      <c r="N499" s="429"/>
      <c r="O499" s="429"/>
      <c r="P499" s="429"/>
      <c r="Q499" s="429"/>
      <c r="R499" s="429"/>
      <c r="S499" s="429"/>
    </row>
    <row r="500" spans="1:19" x14ac:dyDescent="0.25">
      <c r="A500" s="429"/>
      <c r="B500" s="633">
        <f t="shared" si="7"/>
        <v>4.9499999999999389</v>
      </c>
      <c r="C500" s="646">
        <f>1/DATI!$E$38*IF(B500&lt;DATI!$E$45,DATI!$E$32*DATI!$E$42*DATI!$E$49*DATI!$E$33*(B500/DATI!$E$45+1/(DATI!$E$49*DATI!$E$33)*(1-B500/DATI!$E$45)),IF(B500&lt;DATI!$E$46,DATI!$E$32*DATI!$E$42*DATI!$E$49*DATI!$E$33,IF(B500&lt;DATI!$E$47,DATI!$E$32*DATI!$E$42*DATI!$E$49*DATI!$E$33*(DATI!$E$46/B500),DATI!$E$32*DATI!$E$42*DATI!$E$49*DATI!$E$33*((DATI!$E$46*DATI!$E$47)/B500^2))))</f>
        <v>1.9393177772036359E-2</v>
      </c>
      <c r="D500" s="306"/>
      <c r="E500" s="429"/>
      <c r="F500" s="429"/>
      <c r="G500" s="429"/>
      <c r="H500" s="429"/>
      <c r="I500" s="429"/>
      <c r="J500" s="429"/>
      <c r="K500" s="429"/>
      <c r="L500" s="429"/>
      <c r="M500" s="429"/>
      <c r="N500" s="429"/>
      <c r="O500" s="429"/>
      <c r="P500" s="429"/>
      <c r="Q500" s="429"/>
      <c r="R500" s="429"/>
      <c r="S500" s="429"/>
    </row>
    <row r="501" spans="1:19" x14ac:dyDescent="0.25">
      <c r="A501" s="429"/>
      <c r="B501" s="633">
        <f t="shared" si="7"/>
        <v>4.9599999999999387</v>
      </c>
      <c r="C501" s="646">
        <f>1/DATI!$E$38*IF(B501&lt;DATI!$E$45,DATI!$E$32*DATI!$E$42*DATI!$E$49*DATI!$E$33*(B501/DATI!$E$45+1/(DATI!$E$49*DATI!$E$33)*(1-B501/DATI!$E$45)),IF(B501&lt;DATI!$E$46,DATI!$E$32*DATI!$E$42*DATI!$E$49*DATI!$E$33,IF(B501&lt;DATI!$E$47,DATI!$E$32*DATI!$E$42*DATI!$E$49*DATI!$E$33*(DATI!$E$46/B501),DATI!$E$32*DATI!$E$42*DATI!$E$49*DATI!$E$33*((DATI!$E$46*DATI!$E$47)/B501^2))))</f>
        <v>1.9315058303497373E-2</v>
      </c>
      <c r="D501" s="306"/>
      <c r="E501" s="429"/>
      <c r="F501" s="429"/>
      <c r="G501" s="429"/>
      <c r="H501" s="429"/>
      <c r="I501" s="429"/>
      <c r="J501" s="429"/>
      <c r="K501" s="429"/>
      <c r="L501" s="429"/>
      <c r="M501" s="429"/>
      <c r="N501" s="429"/>
      <c r="O501" s="429"/>
      <c r="P501" s="429"/>
      <c r="Q501" s="429"/>
      <c r="R501" s="429"/>
      <c r="S501" s="429"/>
    </row>
    <row r="502" spans="1:19" x14ac:dyDescent="0.25">
      <c r="A502" s="429"/>
      <c r="B502" s="633">
        <f t="shared" si="7"/>
        <v>4.9699999999999385</v>
      </c>
      <c r="C502" s="646">
        <f>1/DATI!$E$38*IF(B502&lt;DATI!$E$45,DATI!$E$32*DATI!$E$42*DATI!$E$49*DATI!$E$33*(B502/DATI!$E$45+1/(DATI!$E$49*DATI!$E$33)*(1-B502/DATI!$E$45)),IF(B502&lt;DATI!$E$46,DATI!$E$32*DATI!$E$42*DATI!$E$49*DATI!$E$33,IF(B502&lt;DATI!$E$47,DATI!$E$32*DATI!$E$42*DATI!$E$49*DATI!$E$33*(DATI!$E$46/B502),DATI!$E$32*DATI!$E$42*DATI!$E$49*DATI!$E$33*((DATI!$E$46*DATI!$E$47)/B502^2))))</f>
        <v>1.923740990649413E-2</v>
      </c>
      <c r="D502" s="306"/>
      <c r="E502" s="429"/>
      <c r="F502" s="429"/>
      <c r="G502" s="429"/>
      <c r="H502" s="429"/>
      <c r="I502" s="429"/>
      <c r="J502" s="429"/>
      <c r="K502" s="429"/>
      <c r="L502" s="429"/>
      <c r="M502" s="429"/>
      <c r="N502" s="429"/>
      <c r="O502" s="429"/>
      <c r="P502" s="429"/>
      <c r="Q502" s="429"/>
      <c r="R502" s="429"/>
      <c r="S502" s="429"/>
    </row>
    <row r="503" spans="1:19" x14ac:dyDescent="0.25">
      <c r="A503" s="429"/>
      <c r="B503" s="633">
        <f t="shared" si="7"/>
        <v>4.9799999999999383</v>
      </c>
      <c r="C503" s="646">
        <f>1/DATI!$E$38*IF(B503&lt;DATI!$E$45,DATI!$E$32*DATI!$E$42*DATI!$E$49*DATI!$E$33*(B503/DATI!$E$45+1/(DATI!$E$49*DATI!$E$33)*(1-B503/DATI!$E$45)),IF(B503&lt;DATI!$E$46,DATI!$E$32*DATI!$E$42*DATI!$E$49*DATI!$E$33,IF(B503&lt;DATI!$E$47,DATI!$E$32*DATI!$E$42*DATI!$E$49*DATI!$E$33*(DATI!$E$46/B503),DATI!$E$32*DATI!$E$42*DATI!$E$49*DATI!$E$33*((DATI!$E$46*DATI!$E$47)/B503^2))))</f>
        <v>1.9160228801120987E-2</v>
      </c>
      <c r="D503" s="306"/>
      <c r="E503" s="429"/>
      <c r="F503" s="429"/>
      <c r="G503" s="429"/>
      <c r="H503" s="429"/>
      <c r="I503" s="429"/>
      <c r="J503" s="429"/>
      <c r="K503" s="429"/>
      <c r="L503" s="429"/>
      <c r="M503" s="429"/>
      <c r="N503" s="429"/>
      <c r="O503" s="429"/>
      <c r="P503" s="429"/>
      <c r="Q503" s="429"/>
      <c r="R503" s="429"/>
      <c r="S503" s="429"/>
    </row>
    <row r="504" spans="1:19" x14ac:dyDescent="0.25">
      <c r="A504" s="429"/>
      <c r="B504" s="633">
        <f t="shared" si="7"/>
        <v>4.989999999999938</v>
      </c>
      <c r="C504" s="646">
        <f>1/DATI!$E$38*IF(B504&lt;DATI!$E$45,DATI!$E$32*DATI!$E$42*DATI!$E$49*DATI!$E$33*(B504/DATI!$E$45+1/(DATI!$E$49*DATI!$E$33)*(1-B504/DATI!$E$45)),IF(B504&lt;DATI!$E$46,DATI!$E$32*DATI!$E$42*DATI!$E$49*DATI!$E$33,IF(B504&lt;DATI!$E$47,DATI!$E$32*DATI!$E$42*DATI!$E$49*DATI!$E$33*(DATI!$E$46/B504),DATI!$E$32*DATI!$E$42*DATI!$E$49*DATI!$E$33*((DATI!$E$46*DATI!$E$47)/B504^2))))</f>
        <v>1.9083511245309097E-2</v>
      </c>
      <c r="D504" s="306"/>
      <c r="E504" s="429"/>
      <c r="F504" s="429"/>
      <c r="G504" s="429"/>
      <c r="H504" s="429"/>
      <c r="I504" s="429"/>
      <c r="J504" s="429"/>
      <c r="K504" s="429"/>
      <c r="L504" s="429"/>
      <c r="M504" s="429"/>
      <c r="N504" s="429"/>
      <c r="O504" s="429"/>
      <c r="P504" s="429"/>
      <c r="Q504" s="429"/>
      <c r="R504" s="429"/>
      <c r="S504" s="429"/>
    </row>
    <row r="505" spans="1:19" x14ac:dyDescent="0.25">
      <c r="A505" s="429"/>
      <c r="B505" s="633">
        <f t="shared" si="7"/>
        <v>4.9999999999999378</v>
      </c>
      <c r="C505" s="646">
        <f>1/DATI!$E$38*IF(B505&lt;DATI!$E$45,DATI!$E$32*DATI!$E$42*DATI!$E$49*DATI!$E$33*(B505/DATI!$E$45+1/(DATI!$E$49*DATI!$E$33)*(1-B505/DATI!$E$45)),IF(B505&lt;DATI!$E$46,DATI!$E$32*DATI!$E$42*DATI!$E$49*DATI!$E$33,IF(B505&lt;DATI!$E$47,DATI!$E$32*DATI!$E$42*DATI!$E$49*DATI!$E$33*(DATI!$E$46/B505),DATI!$E$32*DATI!$E$42*DATI!$E$49*DATI!$E$33*((DATI!$E$46*DATI!$E$47)/B505^2))))</f>
        <v>1.9007253534372836E-2</v>
      </c>
      <c r="D505" s="306"/>
      <c r="E505" s="429"/>
      <c r="F505" s="429"/>
      <c r="G505" s="429"/>
      <c r="H505" s="429"/>
      <c r="I505" s="429"/>
      <c r="J505" s="429"/>
      <c r="K505" s="429"/>
      <c r="L505" s="429"/>
      <c r="M505" s="429"/>
      <c r="N505" s="429"/>
      <c r="O505" s="429"/>
      <c r="P505" s="429"/>
      <c r="Q505" s="429"/>
      <c r="R505" s="429"/>
      <c r="S505" s="429"/>
    </row>
    <row r="506" spans="1:19" x14ac:dyDescent="0.25">
      <c r="A506" s="429"/>
      <c r="B506" s="3"/>
      <c r="C506" s="3"/>
      <c r="D506" s="3"/>
      <c r="E506" s="429"/>
      <c r="F506" s="429"/>
      <c r="G506" s="429"/>
      <c r="H506" s="429"/>
      <c r="I506" s="429"/>
      <c r="J506" s="429"/>
      <c r="K506" s="429"/>
      <c r="L506" s="429"/>
      <c r="M506" s="429"/>
      <c r="N506" s="429"/>
      <c r="O506" s="429"/>
      <c r="P506" s="429"/>
      <c r="Q506" s="429"/>
      <c r="R506" s="429"/>
      <c r="S506" s="429"/>
    </row>
    <row r="507" spans="1:19" x14ac:dyDescent="0.25">
      <c r="A507" s="429"/>
      <c r="B507" s="3"/>
      <c r="C507" s="3"/>
      <c r="D507" s="3"/>
      <c r="E507" s="429"/>
      <c r="F507" s="429"/>
      <c r="G507" s="429"/>
      <c r="H507" s="429"/>
      <c r="I507" s="429"/>
      <c r="J507" s="429"/>
      <c r="K507" s="429"/>
      <c r="L507" s="429"/>
      <c r="M507" s="429"/>
      <c r="N507" s="429"/>
      <c r="O507" s="429"/>
      <c r="P507" s="429"/>
      <c r="Q507" s="429"/>
      <c r="R507" s="429"/>
      <c r="S507" s="429"/>
    </row>
    <row r="508" spans="1:19" x14ac:dyDescent="0.25">
      <c r="A508" s="429"/>
      <c r="B508" s="3"/>
      <c r="C508" s="3"/>
      <c r="D508" s="3"/>
      <c r="E508" s="429"/>
      <c r="F508" s="429"/>
      <c r="G508" s="429"/>
      <c r="H508" s="429"/>
      <c r="I508" s="429"/>
      <c r="J508" s="429"/>
      <c r="K508" s="429"/>
      <c r="L508" s="429"/>
      <c r="M508" s="429"/>
      <c r="N508" s="429"/>
      <c r="O508" s="429"/>
      <c r="P508" s="429"/>
      <c r="Q508" s="429"/>
      <c r="R508" s="429"/>
      <c r="S508" s="429"/>
    </row>
    <row r="509" spans="1:19" x14ac:dyDescent="0.25">
      <c r="A509" s="429"/>
      <c r="B509" s="3"/>
      <c r="C509" s="3"/>
      <c r="D509" s="3"/>
      <c r="E509" s="429"/>
      <c r="F509" s="429"/>
      <c r="G509" s="429"/>
      <c r="H509" s="429"/>
      <c r="I509" s="429"/>
      <c r="J509" s="429"/>
      <c r="K509" s="429"/>
      <c r="L509" s="429"/>
      <c r="M509" s="429"/>
      <c r="N509" s="429"/>
      <c r="O509" s="429"/>
      <c r="P509" s="429"/>
      <c r="Q509" s="429"/>
      <c r="R509" s="429"/>
      <c r="S509" s="429"/>
    </row>
    <row r="510" spans="1:19" x14ac:dyDescent="0.25">
      <c r="B510" s="3"/>
      <c r="C510" s="3"/>
      <c r="D510" s="3"/>
      <c r="E510" s="2"/>
      <c r="F510" s="2"/>
      <c r="G510" s="2"/>
      <c r="H510" s="2"/>
      <c r="I510" s="2"/>
      <c r="J510" s="2"/>
      <c r="K510" s="2"/>
    </row>
    <row r="511" spans="1:19" x14ac:dyDescent="0.25">
      <c r="B511" s="3"/>
      <c r="C511" s="3"/>
      <c r="D511" s="3"/>
      <c r="E511" s="2"/>
      <c r="F511" s="2"/>
      <c r="G511" s="2"/>
      <c r="H511" s="2"/>
      <c r="I511" s="2"/>
      <c r="J511" s="2"/>
      <c r="K511" s="2"/>
    </row>
    <row r="512" spans="1:19" x14ac:dyDescent="0.25">
      <c r="B512" s="3"/>
      <c r="C512" s="3"/>
      <c r="D512" s="3"/>
      <c r="E512" s="2"/>
      <c r="F512" s="2"/>
      <c r="G512" s="2"/>
      <c r="H512" s="2"/>
      <c r="I512" s="2"/>
      <c r="J512" s="2"/>
      <c r="K512" s="2"/>
    </row>
    <row r="513" spans="2:11" x14ac:dyDescent="0.25">
      <c r="B513" s="3"/>
      <c r="C513" s="3"/>
      <c r="D513" s="3"/>
      <c r="E513" s="2"/>
      <c r="F513" s="2"/>
      <c r="G513" s="2"/>
      <c r="H513" s="2"/>
      <c r="I513" s="2"/>
      <c r="J513" s="2"/>
      <c r="K513" s="2"/>
    </row>
    <row r="514" spans="2:11" x14ac:dyDescent="0.25">
      <c r="B514" s="3"/>
      <c r="C514" s="3"/>
      <c r="D514" s="3"/>
      <c r="E514" s="2"/>
      <c r="F514" s="2"/>
      <c r="G514" s="2"/>
      <c r="H514" s="2"/>
      <c r="I514" s="2"/>
      <c r="J514" s="2"/>
      <c r="K514" s="2"/>
    </row>
    <row r="515" spans="2:11" x14ac:dyDescent="0.25">
      <c r="B515" s="3"/>
      <c r="C515" s="3"/>
      <c r="D515" s="3"/>
      <c r="E515" s="2"/>
      <c r="F515" s="2"/>
      <c r="G515" s="2"/>
      <c r="H515" s="2"/>
      <c r="I515" s="2"/>
      <c r="J515" s="2"/>
      <c r="K515" s="2"/>
    </row>
    <row r="516" spans="2:11" x14ac:dyDescent="0.25">
      <c r="B516" s="3"/>
      <c r="C516" s="3"/>
      <c r="D516" s="3"/>
      <c r="E516" s="2"/>
      <c r="F516" s="2"/>
      <c r="G516" s="2"/>
      <c r="H516" s="2"/>
      <c r="I516" s="2"/>
      <c r="J516" s="2"/>
      <c r="K516" s="2"/>
    </row>
    <row r="517" spans="2:11" x14ac:dyDescent="0.25">
      <c r="B517" s="3"/>
      <c r="C517" s="3"/>
      <c r="D517" s="3"/>
      <c r="E517" s="2"/>
      <c r="F517" s="2"/>
      <c r="G517" s="2"/>
      <c r="H517" s="2"/>
      <c r="I517" s="2"/>
      <c r="J517" s="2"/>
      <c r="K517" s="2"/>
    </row>
    <row r="518" spans="2:11" x14ac:dyDescent="0.25">
      <c r="B518" s="3"/>
      <c r="C518" s="3"/>
      <c r="D518" s="3"/>
      <c r="E518" s="2"/>
      <c r="F518" s="2"/>
      <c r="G518" s="2"/>
      <c r="H518" s="2"/>
      <c r="I518" s="2"/>
      <c r="J518" s="2"/>
      <c r="K518" s="2"/>
    </row>
    <row r="519" spans="2:11" x14ac:dyDescent="0.25">
      <c r="B519" s="3"/>
      <c r="C519" s="3"/>
      <c r="D519" s="3"/>
      <c r="E519" s="2"/>
      <c r="F519" s="2"/>
      <c r="G519" s="2"/>
      <c r="H519" s="2"/>
      <c r="I519" s="2"/>
      <c r="J519" s="2"/>
      <c r="K519" s="2"/>
    </row>
    <row r="520" spans="2:11" x14ac:dyDescent="0.25">
      <c r="B520" s="3"/>
      <c r="C520" s="3"/>
      <c r="D520" s="3"/>
      <c r="E520" s="2"/>
      <c r="F520" s="2"/>
      <c r="G520" s="2"/>
      <c r="H520" s="2"/>
      <c r="I520" s="2"/>
      <c r="J520" s="2"/>
      <c r="K520" s="2"/>
    </row>
    <row r="521" spans="2:11" x14ac:dyDescent="0.25">
      <c r="B521" s="3"/>
      <c r="C521" s="3"/>
      <c r="D521" s="3"/>
      <c r="E521" s="2"/>
      <c r="F521" s="2"/>
      <c r="G521" s="2"/>
      <c r="H521" s="2"/>
      <c r="I521" s="2"/>
      <c r="J521" s="2"/>
      <c r="K521" s="2"/>
    </row>
    <row r="522" spans="2:11" x14ac:dyDescent="0.25">
      <c r="B522" s="3"/>
      <c r="C522" s="3"/>
      <c r="D522" s="3"/>
      <c r="E522" s="2"/>
      <c r="F522" s="2"/>
      <c r="G522" s="2"/>
      <c r="H522" s="2"/>
      <c r="I522" s="2"/>
      <c r="J522" s="2"/>
      <c r="K522" s="2"/>
    </row>
    <row r="523" spans="2:11" x14ac:dyDescent="0.25">
      <c r="B523" s="3"/>
      <c r="C523" s="3"/>
      <c r="D523" s="3"/>
      <c r="E523" s="2"/>
      <c r="F523" s="2"/>
      <c r="G523" s="2"/>
      <c r="H523" s="2"/>
      <c r="I523" s="2"/>
      <c r="J523" s="2"/>
      <c r="K523" s="2"/>
    </row>
    <row r="524" spans="2:11" x14ac:dyDescent="0.25">
      <c r="B524" s="3"/>
      <c r="C524" s="3"/>
      <c r="D524" s="3"/>
      <c r="E524" s="2"/>
      <c r="F524" s="2"/>
      <c r="G524" s="2"/>
      <c r="H524" s="2"/>
      <c r="I524" s="2"/>
      <c r="J524" s="2"/>
      <c r="K524" s="2"/>
    </row>
    <row r="525" spans="2:11" x14ac:dyDescent="0.25">
      <c r="B525" s="3"/>
      <c r="C525" s="3"/>
      <c r="D525" s="3"/>
      <c r="E525" s="2"/>
      <c r="F525" s="2"/>
      <c r="G525" s="2"/>
      <c r="H525" s="2"/>
      <c r="I525" s="2"/>
      <c r="J525" s="2"/>
      <c r="K525" s="2"/>
    </row>
    <row r="526" spans="2:11" x14ac:dyDescent="0.25">
      <c r="B526" s="3"/>
      <c r="C526" s="3"/>
      <c r="D526" s="3"/>
      <c r="E526" s="2"/>
      <c r="F526" s="2"/>
      <c r="G526" s="2"/>
      <c r="H526" s="2"/>
      <c r="I526" s="2"/>
      <c r="J526" s="2"/>
      <c r="K526" s="2"/>
    </row>
    <row r="527" spans="2:11" x14ac:dyDescent="0.25">
      <c r="B527" s="3"/>
      <c r="C527" s="3"/>
      <c r="D527" s="3"/>
      <c r="E527" s="2"/>
      <c r="F527" s="2"/>
      <c r="G527" s="2"/>
      <c r="H527" s="2"/>
      <c r="I527" s="2"/>
      <c r="J527" s="2"/>
      <c r="K527" s="2"/>
    </row>
    <row r="528" spans="2:11" x14ac:dyDescent="0.25">
      <c r="B528" s="3"/>
      <c r="C528" s="3"/>
      <c r="D528" s="3"/>
      <c r="E528" s="2"/>
      <c r="F528" s="2"/>
      <c r="G528" s="2"/>
      <c r="H528" s="2"/>
      <c r="I528" s="2"/>
      <c r="J528" s="2"/>
      <c r="K528" s="2"/>
    </row>
    <row r="529" spans="2:11" x14ac:dyDescent="0.25">
      <c r="B529" s="3"/>
      <c r="C529" s="3"/>
      <c r="D529" s="3"/>
      <c r="E529" s="2"/>
      <c r="F529" s="2"/>
      <c r="G529" s="2"/>
      <c r="H529" s="2"/>
      <c r="I529" s="2"/>
      <c r="J529" s="2"/>
      <c r="K529" s="2"/>
    </row>
    <row r="530" spans="2:11" x14ac:dyDescent="0.25">
      <c r="B530" s="3"/>
      <c r="C530" s="3"/>
      <c r="D530" s="3"/>
      <c r="E530" s="2"/>
      <c r="F530" s="2"/>
      <c r="G530" s="2"/>
      <c r="H530" s="2"/>
      <c r="I530" s="2"/>
      <c r="J530" s="2"/>
      <c r="K530" s="2"/>
    </row>
    <row r="531" spans="2:11" x14ac:dyDescent="0.25">
      <c r="B531" s="3"/>
      <c r="C531" s="3"/>
      <c r="D531" s="3"/>
      <c r="E531" s="2"/>
      <c r="F531" s="2"/>
      <c r="G531" s="2"/>
      <c r="H531" s="2"/>
      <c r="I531" s="2"/>
      <c r="J531" s="2"/>
      <c r="K531" s="2"/>
    </row>
    <row r="532" spans="2:11" x14ac:dyDescent="0.25">
      <c r="B532" s="3"/>
      <c r="C532" s="3"/>
      <c r="D532" s="3"/>
      <c r="E532" s="2"/>
      <c r="F532" s="2"/>
      <c r="G532" s="2"/>
      <c r="H532" s="2"/>
      <c r="I532" s="2"/>
      <c r="J532" s="2"/>
      <c r="K532" s="2"/>
    </row>
    <row r="533" spans="2:11" x14ac:dyDescent="0.25">
      <c r="B533" s="3"/>
      <c r="C533" s="3"/>
      <c r="D533" s="3"/>
      <c r="E533" s="2"/>
      <c r="F533" s="2"/>
      <c r="G533" s="2"/>
      <c r="H533" s="2"/>
      <c r="I533" s="2"/>
      <c r="J533" s="2"/>
      <c r="K533" s="2"/>
    </row>
    <row r="534" spans="2:11" x14ac:dyDescent="0.25">
      <c r="B534" s="3"/>
      <c r="C534" s="3"/>
      <c r="D534" s="3"/>
      <c r="E534" s="2"/>
      <c r="F534" s="2"/>
      <c r="G534" s="2"/>
      <c r="H534" s="2"/>
      <c r="I534" s="2"/>
      <c r="J534" s="2"/>
      <c r="K534" s="2"/>
    </row>
    <row r="535" spans="2:11" x14ac:dyDescent="0.25">
      <c r="B535" s="3"/>
      <c r="C535" s="3"/>
      <c r="D535" s="3"/>
      <c r="E535" s="2"/>
      <c r="F535" s="2"/>
      <c r="G535" s="2"/>
      <c r="H535" s="2"/>
      <c r="I535" s="2"/>
      <c r="J535" s="2"/>
      <c r="K535" s="2"/>
    </row>
    <row r="536" spans="2:11" x14ac:dyDescent="0.25">
      <c r="B536" s="3"/>
      <c r="C536" s="3"/>
      <c r="D536" s="3"/>
      <c r="E536" s="2"/>
      <c r="F536" s="2"/>
      <c r="G536" s="2"/>
      <c r="H536" s="2"/>
      <c r="I536" s="2"/>
      <c r="J536" s="2"/>
      <c r="K536" s="2"/>
    </row>
    <row r="537" spans="2:11" x14ac:dyDescent="0.25">
      <c r="B537" s="3"/>
      <c r="C537" s="3"/>
      <c r="D537" s="3"/>
      <c r="E537" s="2"/>
      <c r="F537" s="2"/>
      <c r="G537" s="2"/>
      <c r="H537" s="2"/>
      <c r="I537" s="2"/>
      <c r="J537" s="2"/>
      <c r="K537" s="2"/>
    </row>
    <row r="538" spans="2:11" x14ac:dyDescent="0.25">
      <c r="B538" s="3"/>
      <c r="C538" s="3"/>
      <c r="D538" s="3"/>
      <c r="E538" s="2"/>
      <c r="F538" s="2"/>
      <c r="G538" s="2"/>
      <c r="H538" s="2"/>
      <c r="I538" s="2"/>
      <c r="J538" s="2"/>
      <c r="K538" s="2"/>
    </row>
    <row r="539" spans="2:11" x14ac:dyDescent="0.25">
      <c r="B539" s="3"/>
      <c r="C539" s="3"/>
      <c r="D539" s="3"/>
      <c r="E539" s="2"/>
      <c r="F539" s="2"/>
      <c r="G539" s="2"/>
      <c r="H539" s="2"/>
      <c r="I539" s="2"/>
      <c r="J539" s="2"/>
      <c r="K539" s="2"/>
    </row>
    <row r="540" spans="2:11" x14ac:dyDescent="0.25">
      <c r="B540" s="3"/>
      <c r="C540" s="3"/>
      <c r="D540" s="3"/>
      <c r="E540" s="2"/>
      <c r="F540" s="2"/>
      <c r="G540" s="2"/>
      <c r="H540" s="2"/>
      <c r="I540" s="2"/>
      <c r="J540" s="2"/>
      <c r="K540" s="2"/>
    </row>
    <row r="541" spans="2:11" x14ac:dyDescent="0.25">
      <c r="B541" s="3"/>
      <c r="C541" s="3"/>
      <c r="D541" s="3"/>
      <c r="E541" s="2"/>
      <c r="F541" s="2"/>
      <c r="G541" s="2"/>
      <c r="H541" s="2"/>
      <c r="I541" s="2"/>
      <c r="J541" s="2"/>
      <c r="K541" s="2"/>
    </row>
    <row r="542" spans="2:11" x14ac:dyDescent="0.25">
      <c r="B542" s="3"/>
      <c r="C542" s="3"/>
      <c r="D542" s="3"/>
      <c r="E542" s="2"/>
      <c r="F542" s="2"/>
      <c r="G542" s="2"/>
      <c r="H542" s="2"/>
      <c r="I542" s="2"/>
      <c r="J542" s="2"/>
      <c r="K542" s="2"/>
    </row>
    <row r="543" spans="2:11" x14ac:dyDescent="0.25">
      <c r="B543" s="3"/>
      <c r="C543" s="3"/>
      <c r="D543" s="3"/>
      <c r="E543" s="2"/>
      <c r="F543" s="2"/>
      <c r="G543" s="2"/>
      <c r="H543" s="2"/>
      <c r="I543" s="2"/>
      <c r="J543" s="2"/>
      <c r="K543" s="2"/>
    </row>
    <row r="544" spans="2:11" x14ac:dyDescent="0.25">
      <c r="B544" s="3"/>
      <c r="C544" s="3"/>
      <c r="D544" s="3"/>
      <c r="E544" s="2"/>
      <c r="F544" s="2"/>
      <c r="G544" s="2"/>
      <c r="H544" s="2"/>
      <c r="I544" s="2"/>
      <c r="J544" s="2"/>
      <c r="K544" s="2"/>
    </row>
    <row r="545" spans="2:11" x14ac:dyDescent="0.25">
      <c r="B545" s="3"/>
      <c r="C545" s="3"/>
      <c r="D545" s="3"/>
      <c r="E545" s="2"/>
      <c r="F545" s="2"/>
      <c r="G545" s="2"/>
      <c r="H545" s="2"/>
      <c r="I545" s="2"/>
      <c r="J545" s="2"/>
      <c r="K545" s="2"/>
    </row>
    <row r="546" spans="2:11" x14ac:dyDescent="0.25">
      <c r="B546" s="3"/>
      <c r="C546" s="3"/>
      <c r="D546" s="3"/>
      <c r="E546" s="2"/>
      <c r="F546" s="2"/>
      <c r="G546" s="2"/>
      <c r="H546" s="2"/>
      <c r="I546" s="2"/>
      <c r="J546" s="2"/>
      <c r="K546" s="2"/>
    </row>
    <row r="547" spans="2:11" x14ac:dyDescent="0.25">
      <c r="B547" s="3"/>
      <c r="C547" s="3"/>
      <c r="D547" s="3"/>
      <c r="E547" s="2"/>
      <c r="F547" s="2"/>
      <c r="G547" s="2"/>
      <c r="H547" s="2"/>
      <c r="I547" s="2"/>
      <c r="J547" s="2"/>
      <c r="K547" s="2"/>
    </row>
    <row r="548" spans="2:11" x14ac:dyDescent="0.25">
      <c r="B548" s="3"/>
      <c r="C548" s="3"/>
      <c r="D548" s="3"/>
      <c r="E548" s="2"/>
      <c r="F548" s="2"/>
      <c r="G548" s="2"/>
      <c r="H548" s="2"/>
      <c r="I548" s="2"/>
      <c r="J548" s="2"/>
      <c r="K548" s="2"/>
    </row>
    <row r="549" spans="2:11" x14ac:dyDescent="0.25">
      <c r="B549" s="3"/>
      <c r="C549" s="3"/>
      <c r="D549" s="3"/>
      <c r="E549" s="2"/>
      <c r="F549" s="2"/>
      <c r="G549" s="2"/>
      <c r="H549" s="2"/>
      <c r="I549" s="2"/>
      <c r="J549" s="2"/>
      <c r="K549" s="2"/>
    </row>
    <row r="550" spans="2:11" x14ac:dyDescent="0.25">
      <c r="B550" s="3"/>
      <c r="C550" s="3"/>
      <c r="D550" s="3"/>
      <c r="E550" s="2"/>
      <c r="F550" s="2"/>
      <c r="G550" s="2"/>
      <c r="H550" s="2"/>
      <c r="I550" s="2"/>
      <c r="J550" s="2"/>
      <c r="K550" s="2"/>
    </row>
    <row r="551" spans="2:11" x14ac:dyDescent="0.25">
      <c r="B551" s="3"/>
      <c r="C551" s="3"/>
      <c r="D551" s="3"/>
      <c r="E551" s="2"/>
      <c r="F551" s="2"/>
      <c r="G551" s="2"/>
      <c r="H551" s="2"/>
      <c r="I551" s="2"/>
      <c r="J551" s="2"/>
      <c r="K551" s="2"/>
    </row>
    <row r="552" spans="2:11" x14ac:dyDescent="0.25">
      <c r="B552" s="3"/>
      <c r="C552" s="3"/>
      <c r="D552" s="3"/>
      <c r="E552" s="2"/>
      <c r="F552" s="2"/>
      <c r="G552" s="2"/>
      <c r="H552" s="2"/>
      <c r="I552" s="2"/>
      <c r="J552" s="2"/>
      <c r="K552" s="2"/>
    </row>
    <row r="553" spans="2:11" x14ac:dyDescent="0.25">
      <c r="B553" s="3"/>
      <c r="C553" s="3"/>
      <c r="D553" s="3"/>
      <c r="E553" s="2"/>
      <c r="F553" s="2"/>
      <c r="G553" s="2"/>
      <c r="H553" s="2"/>
      <c r="I553" s="2"/>
      <c r="J553" s="2"/>
      <c r="K553" s="2"/>
    </row>
    <row r="554" spans="2:11" x14ac:dyDescent="0.25">
      <c r="B554" s="3"/>
      <c r="C554" s="3"/>
      <c r="D554" s="3"/>
      <c r="E554" s="2"/>
      <c r="F554" s="2"/>
      <c r="G554" s="2"/>
      <c r="H554" s="2"/>
      <c r="I554" s="2"/>
      <c r="J554" s="2"/>
      <c r="K554" s="2"/>
    </row>
    <row r="555" spans="2:11" x14ac:dyDescent="0.25">
      <c r="B555" s="3"/>
      <c r="C555" s="3"/>
      <c r="D555" s="3"/>
      <c r="E555" s="2"/>
      <c r="F555" s="2"/>
      <c r="G555" s="2"/>
      <c r="H555" s="2"/>
      <c r="I555" s="2"/>
      <c r="J555" s="2"/>
      <c r="K555" s="2"/>
    </row>
    <row r="556" spans="2:11" x14ac:dyDescent="0.25">
      <c r="B556" s="3"/>
      <c r="C556" s="3"/>
      <c r="D556" s="3"/>
      <c r="E556" s="2"/>
      <c r="F556" s="2"/>
      <c r="G556" s="2"/>
      <c r="H556" s="2"/>
      <c r="I556" s="2"/>
      <c r="J556" s="2"/>
      <c r="K556" s="2"/>
    </row>
    <row r="557" spans="2:11" x14ac:dyDescent="0.25">
      <c r="B557" s="3"/>
      <c r="C557" s="3"/>
      <c r="D557" s="3"/>
      <c r="E557" s="2"/>
      <c r="F557" s="2"/>
      <c r="G557" s="2"/>
      <c r="H557" s="2"/>
      <c r="I557" s="2"/>
      <c r="J557" s="2"/>
      <c r="K557" s="2"/>
    </row>
    <row r="558" spans="2:11" x14ac:dyDescent="0.25">
      <c r="B558" s="3"/>
      <c r="C558" s="3"/>
      <c r="D558" s="3"/>
      <c r="E558" s="2"/>
      <c r="F558" s="2"/>
      <c r="G558" s="2"/>
      <c r="H558" s="2"/>
      <c r="I558" s="2"/>
      <c r="J558" s="2"/>
      <c r="K558" s="2"/>
    </row>
    <row r="559" spans="2:11" x14ac:dyDescent="0.25">
      <c r="B559" s="3"/>
      <c r="C559" s="3"/>
      <c r="D559" s="3"/>
      <c r="E559" s="2"/>
      <c r="F559" s="2"/>
      <c r="G559" s="2"/>
      <c r="H559" s="2"/>
      <c r="I559" s="2"/>
      <c r="J559" s="2"/>
      <c r="K559" s="2"/>
    </row>
    <row r="560" spans="2:11" x14ac:dyDescent="0.25">
      <c r="B560" s="3"/>
      <c r="C560" s="3"/>
      <c r="D560" s="3"/>
      <c r="E560" s="2"/>
      <c r="F560" s="2"/>
      <c r="G560" s="2"/>
      <c r="H560" s="2"/>
      <c r="I560" s="2"/>
      <c r="J560" s="2"/>
      <c r="K560" s="2"/>
    </row>
    <row r="561" spans="2:11" x14ac:dyDescent="0.25">
      <c r="B561" s="3"/>
      <c r="C561" s="3"/>
      <c r="D561" s="3"/>
      <c r="E561" s="2"/>
      <c r="F561" s="2"/>
      <c r="G561" s="2"/>
      <c r="H561" s="2"/>
      <c r="I561" s="2"/>
      <c r="J561" s="2"/>
      <c r="K561" s="2"/>
    </row>
    <row r="562" spans="2:11" x14ac:dyDescent="0.25">
      <c r="B562" s="3"/>
      <c r="C562" s="3"/>
      <c r="D562" s="3"/>
      <c r="E562" s="2"/>
      <c r="F562" s="2"/>
      <c r="G562" s="2"/>
      <c r="H562" s="2"/>
      <c r="I562" s="2"/>
      <c r="J562" s="2"/>
      <c r="K562" s="2"/>
    </row>
    <row r="563" spans="2:11" x14ac:dyDescent="0.25">
      <c r="B563" s="3"/>
      <c r="C563" s="3"/>
      <c r="D563" s="3"/>
      <c r="E563" s="2"/>
      <c r="F563" s="2"/>
      <c r="G563" s="2"/>
      <c r="H563" s="2"/>
      <c r="I563" s="2"/>
      <c r="J563" s="2"/>
      <c r="K563" s="2"/>
    </row>
    <row r="564" spans="2:11" x14ac:dyDescent="0.25">
      <c r="B564" s="3"/>
      <c r="C564" s="3"/>
      <c r="D564" s="3"/>
      <c r="E564" s="2"/>
      <c r="F564" s="2"/>
      <c r="G564" s="2"/>
      <c r="H564" s="2"/>
      <c r="I564" s="2"/>
      <c r="J564" s="2"/>
      <c r="K564" s="2"/>
    </row>
    <row r="565" spans="2:11" x14ac:dyDescent="0.25">
      <c r="B565" s="3"/>
      <c r="C565" s="3"/>
      <c r="D565" s="3"/>
      <c r="E565" s="2"/>
      <c r="F565" s="2"/>
      <c r="G565" s="2"/>
      <c r="H565" s="2"/>
      <c r="I565" s="2"/>
      <c r="J565" s="2"/>
      <c r="K565" s="2"/>
    </row>
    <row r="566" spans="2:11" x14ac:dyDescent="0.25">
      <c r="B566" s="3"/>
      <c r="C566" s="3"/>
      <c r="D566" s="3"/>
      <c r="E566" s="2"/>
      <c r="F566" s="2"/>
      <c r="G566" s="2"/>
      <c r="H566" s="2"/>
      <c r="I566" s="2"/>
      <c r="J566" s="2"/>
      <c r="K566" s="2"/>
    </row>
    <row r="567" spans="2:11" x14ac:dyDescent="0.25">
      <c r="B567" s="3"/>
      <c r="C567" s="3"/>
      <c r="D567" s="3"/>
      <c r="E567" s="2"/>
      <c r="F567" s="2"/>
      <c r="G567" s="2"/>
      <c r="H567" s="2"/>
      <c r="I567" s="2"/>
      <c r="J567" s="2"/>
      <c r="K567" s="2"/>
    </row>
    <row r="568" spans="2:11" x14ac:dyDescent="0.25">
      <c r="B568" s="3"/>
      <c r="C568" s="3"/>
      <c r="D568" s="3"/>
      <c r="E568" s="2"/>
      <c r="F568" s="2"/>
      <c r="G568" s="2"/>
      <c r="H568" s="2"/>
      <c r="I568" s="2"/>
      <c r="J568" s="2"/>
      <c r="K568" s="2"/>
    </row>
    <row r="569" spans="2:11" x14ac:dyDescent="0.25">
      <c r="B569" s="3"/>
      <c r="C569" s="3"/>
      <c r="D569" s="3"/>
      <c r="E569" s="2"/>
      <c r="F569" s="2"/>
      <c r="G569" s="2"/>
      <c r="H569" s="2"/>
      <c r="I569" s="2"/>
      <c r="J569" s="2"/>
      <c r="K569" s="2"/>
    </row>
    <row r="570" spans="2:11" x14ac:dyDescent="0.25">
      <c r="B570" s="3"/>
      <c r="C570" s="3"/>
      <c r="D570" s="3"/>
      <c r="E570" s="2"/>
      <c r="F570" s="2"/>
      <c r="G570" s="2"/>
      <c r="H570" s="2"/>
      <c r="I570" s="2"/>
      <c r="J570" s="2"/>
      <c r="K570" s="2"/>
    </row>
    <row r="571" spans="2:11" x14ac:dyDescent="0.25">
      <c r="B571" s="3"/>
      <c r="C571" s="3"/>
      <c r="D571" s="3"/>
      <c r="E571" s="2"/>
      <c r="F571" s="2"/>
      <c r="G571" s="2"/>
      <c r="H571" s="2"/>
      <c r="I571" s="2"/>
      <c r="J571" s="2"/>
      <c r="K571" s="2"/>
    </row>
    <row r="572" spans="2:11" x14ac:dyDescent="0.25">
      <c r="B572" s="3"/>
      <c r="C572" s="3"/>
      <c r="D572" s="3"/>
      <c r="E572" s="2"/>
      <c r="F572" s="2"/>
      <c r="G572" s="2"/>
      <c r="H572" s="2"/>
      <c r="I572" s="2"/>
      <c r="J572" s="2"/>
      <c r="K572" s="2"/>
    </row>
    <row r="573" spans="2:11" x14ac:dyDescent="0.25">
      <c r="B573" s="3"/>
      <c r="C573" s="3"/>
      <c r="D573" s="3"/>
      <c r="E573" s="2"/>
      <c r="F573" s="2"/>
      <c r="G573" s="2"/>
      <c r="H573" s="2"/>
      <c r="I573" s="2"/>
      <c r="J573" s="2"/>
      <c r="K573" s="2"/>
    </row>
    <row r="574" spans="2:11" x14ac:dyDescent="0.25">
      <c r="B574" s="3"/>
      <c r="C574" s="3"/>
      <c r="D574" s="3"/>
      <c r="E574" s="2"/>
      <c r="F574" s="2"/>
      <c r="G574" s="2"/>
      <c r="H574" s="2"/>
      <c r="I574" s="2"/>
      <c r="J574" s="2"/>
      <c r="K574" s="2"/>
    </row>
    <row r="575" spans="2:11" x14ac:dyDescent="0.25">
      <c r="B575" s="3"/>
      <c r="C575" s="3"/>
      <c r="D575" s="3"/>
      <c r="E575" s="2"/>
      <c r="F575" s="2"/>
      <c r="G575" s="2"/>
      <c r="H575" s="2"/>
      <c r="I575" s="2"/>
      <c r="J575" s="2"/>
      <c r="K575" s="2"/>
    </row>
    <row r="576" spans="2:11" x14ac:dyDescent="0.25">
      <c r="B576" s="3"/>
      <c r="C576" s="3"/>
      <c r="D576" s="3"/>
      <c r="E576" s="2"/>
      <c r="F576" s="2"/>
      <c r="G576" s="2"/>
      <c r="H576" s="2"/>
      <c r="I576" s="2"/>
      <c r="J576" s="2"/>
      <c r="K576" s="2"/>
    </row>
    <row r="577" spans="2:11" x14ac:dyDescent="0.25">
      <c r="B577" s="3"/>
      <c r="C577" s="3"/>
      <c r="D577" s="3"/>
      <c r="E577" s="2"/>
      <c r="F577" s="2"/>
      <c r="G577" s="2"/>
      <c r="H577" s="2"/>
      <c r="I577" s="2"/>
      <c r="J577" s="2"/>
      <c r="K577" s="2"/>
    </row>
    <row r="578" spans="2:11" x14ac:dyDescent="0.25">
      <c r="B578" s="3"/>
      <c r="C578" s="3"/>
      <c r="D578" s="3"/>
      <c r="E578" s="2"/>
      <c r="F578" s="2"/>
      <c r="G578" s="2"/>
      <c r="H578" s="2"/>
      <c r="I578" s="2"/>
      <c r="J578" s="2"/>
      <c r="K578" s="2"/>
    </row>
    <row r="579" spans="2:11" x14ac:dyDescent="0.25">
      <c r="B579" s="3"/>
      <c r="C579" s="3"/>
      <c r="D579" s="3"/>
      <c r="E579" s="2"/>
      <c r="F579" s="2"/>
      <c r="G579" s="2"/>
      <c r="H579" s="2"/>
      <c r="I579" s="2"/>
      <c r="J579" s="2"/>
      <c r="K579" s="2"/>
    </row>
    <row r="580" spans="2:11" x14ac:dyDescent="0.25">
      <c r="B580" s="3"/>
      <c r="C580" s="3"/>
      <c r="D580" s="3"/>
      <c r="E580" s="2"/>
      <c r="F580" s="2"/>
      <c r="G580" s="2"/>
      <c r="H580" s="2"/>
      <c r="I580" s="2"/>
      <c r="J580" s="2"/>
      <c r="K580" s="2"/>
    </row>
    <row r="581" spans="2:11" x14ac:dyDescent="0.25">
      <c r="B581" s="3"/>
      <c r="C581" s="3"/>
      <c r="D581" s="3"/>
      <c r="E581" s="2"/>
      <c r="F581" s="2"/>
      <c r="G581" s="2"/>
      <c r="H581" s="2"/>
      <c r="I581" s="2"/>
      <c r="J581" s="2"/>
      <c r="K581" s="2"/>
    </row>
    <row r="582" spans="2:11" x14ac:dyDescent="0.25">
      <c r="B582" s="3"/>
      <c r="C582" s="3"/>
      <c r="D582" s="3"/>
      <c r="E582" s="2"/>
      <c r="F582" s="2"/>
      <c r="G582" s="2"/>
      <c r="H582" s="2"/>
      <c r="I582" s="2"/>
      <c r="J582" s="2"/>
      <c r="K582" s="2"/>
    </row>
    <row r="583" spans="2:11" x14ac:dyDescent="0.25">
      <c r="B583" s="3"/>
      <c r="C583" s="3"/>
      <c r="D583" s="3"/>
      <c r="E583" s="2"/>
      <c r="F583" s="2"/>
      <c r="G583" s="2"/>
      <c r="H583" s="2"/>
      <c r="I583" s="2"/>
      <c r="J583" s="2"/>
      <c r="K583" s="2"/>
    </row>
    <row r="584" spans="2:11" x14ac:dyDescent="0.25">
      <c r="B584" s="3"/>
      <c r="C584" s="3"/>
      <c r="D584" s="3"/>
      <c r="E584" s="2"/>
      <c r="F584" s="2"/>
      <c r="G584" s="2"/>
      <c r="H584" s="2"/>
      <c r="I584" s="2"/>
      <c r="J584" s="2"/>
      <c r="K584" s="2"/>
    </row>
    <row r="585" spans="2:11" x14ac:dyDescent="0.25">
      <c r="B585" s="3"/>
      <c r="C585" s="3"/>
      <c r="D585" s="3"/>
      <c r="E585" s="2"/>
      <c r="F585" s="2"/>
      <c r="G585" s="2"/>
      <c r="H585" s="2"/>
      <c r="I585" s="2"/>
      <c r="J585" s="2"/>
      <c r="K585" s="2"/>
    </row>
    <row r="586" spans="2:11" x14ac:dyDescent="0.25">
      <c r="B586" s="3"/>
      <c r="C586" s="3"/>
      <c r="D586" s="3"/>
      <c r="E586" s="2"/>
      <c r="F586" s="2"/>
      <c r="G586" s="2"/>
      <c r="H586" s="2"/>
      <c r="I586" s="2"/>
      <c r="J586" s="2"/>
      <c r="K586" s="2"/>
    </row>
    <row r="587" spans="2:11" x14ac:dyDescent="0.25">
      <c r="B587" s="3"/>
      <c r="C587" s="3"/>
      <c r="D587" s="3"/>
      <c r="E587" s="2"/>
      <c r="F587" s="2"/>
      <c r="G587" s="2"/>
      <c r="H587" s="2"/>
      <c r="I587" s="2"/>
      <c r="J587" s="2"/>
      <c r="K587" s="2"/>
    </row>
    <row r="588" spans="2:11" x14ac:dyDescent="0.25">
      <c r="B588" s="3"/>
      <c r="C588" s="3"/>
      <c r="D588" s="3"/>
      <c r="E588" s="2"/>
      <c r="F588" s="2"/>
      <c r="G588" s="2"/>
      <c r="H588" s="2"/>
      <c r="I588" s="2"/>
      <c r="J588" s="2"/>
      <c r="K588" s="2"/>
    </row>
    <row r="589" spans="2:11" x14ac:dyDescent="0.25">
      <c r="B589" s="3"/>
      <c r="C589" s="3"/>
      <c r="D589" s="3"/>
      <c r="E589" s="2"/>
      <c r="F589" s="2"/>
      <c r="G589" s="2"/>
      <c r="H589" s="2"/>
      <c r="I589" s="2"/>
      <c r="J589" s="2"/>
      <c r="K589" s="2"/>
    </row>
    <row r="590" spans="2:11" x14ac:dyDescent="0.25">
      <c r="B590" s="3"/>
      <c r="C590" s="3"/>
      <c r="D590" s="3"/>
      <c r="E590" s="2"/>
      <c r="F590" s="2"/>
      <c r="G590" s="2"/>
      <c r="H590" s="2"/>
      <c r="I590" s="2"/>
      <c r="J590" s="2"/>
      <c r="K590" s="2"/>
    </row>
    <row r="591" spans="2:11" x14ac:dyDescent="0.25">
      <c r="B591" s="3"/>
      <c r="C591" s="3"/>
      <c r="D591" s="3"/>
      <c r="E591" s="2"/>
      <c r="F591" s="2"/>
      <c r="G591" s="2"/>
      <c r="H591" s="2"/>
      <c r="I591" s="2"/>
      <c r="J591" s="2"/>
      <c r="K591" s="2"/>
    </row>
    <row r="592" spans="2:11" x14ac:dyDescent="0.25">
      <c r="B592" s="3"/>
      <c r="C592" s="3"/>
      <c r="D592" s="3"/>
      <c r="E592" s="2"/>
      <c r="F592" s="2"/>
      <c r="G592" s="2"/>
      <c r="H592" s="2"/>
      <c r="I592" s="2"/>
      <c r="J592" s="2"/>
      <c r="K592" s="2"/>
    </row>
    <row r="593" spans="2:11" x14ac:dyDescent="0.25">
      <c r="B593" s="3"/>
      <c r="C593" s="3"/>
      <c r="D593" s="3"/>
      <c r="E593" s="2"/>
      <c r="F593" s="2"/>
      <c r="G593" s="2"/>
      <c r="H593" s="2"/>
      <c r="I593" s="2"/>
      <c r="J593" s="2"/>
      <c r="K593" s="2"/>
    </row>
    <row r="594" spans="2:11" x14ac:dyDescent="0.25">
      <c r="B594" s="3"/>
      <c r="C594" s="3"/>
      <c r="D594" s="3"/>
      <c r="E594" s="2"/>
      <c r="F594" s="2"/>
      <c r="G594" s="2"/>
      <c r="H594" s="2"/>
      <c r="I594" s="2"/>
      <c r="J594" s="2"/>
      <c r="K594" s="2"/>
    </row>
    <row r="595" spans="2:11" x14ac:dyDescent="0.25">
      <c r="B595" s="3"/>
      <c r="C595" s="3"/>
      <c r="D595" s="3"/>
      <c r="E595" s="2"/>
      <c r="F595" s="2"/>
      <c r="G595" s="2"/>
      <c r="H595" s="2"/>
      <c r="I595" s="2"/>
      <c r="J595" s="2"/>
      <c r="K595" s="2"/>
    </row>
    <row r="596" spans="2:11" x14ac:dyDescent="0.25">
      <c r="B596" s="3"/>
      <c r="C596" s="3"/>
      <c r="D596" s="3"/>
      <c r="E596" s="2"/>
      <c r="F596" s="2"/>
      <c r="G596" s="2"/>
      <c r="H596" s="2"/>
      <c r="I596" s="2"/>
      <c r="J596" s="2"/>
      <c r="K596" s="2"/>
    </row>
    <row r="597" spans="2:11" x14ac:dyDescent="0.25">
      <c r="B597" s="3"/>
      <c r="C597" s="3"/>
      <c r="D597" s="3"/>
      <c r="E597" s="2"/>
      <c r="F597" s="2"/>
      <c r="G597" s="2"/>
      <c r="H597" s="2"/>
      <c r="I597" s="2"/>
      <c r="J597" s="2"/>
      <c r="K597" s="2"/>
    </row>
    <row r="598" spans="2:11" x14ac:dyDescent="0.25">
      <c r="B598" s="3"/>
      <c r="C598" s="3"/>
      <c r="D598" s="3"/>
      <c r="E598" s="2"/>
      <c r="F598" s="2"/>
      <c r="G598" s="2"/>
      <c r="H598" s="2"/>
      <c r="I598" s="2"/>
      <c r="J598" s="2"/>
      <c r="K598" s="2"/>
    </row>
    <row r="599" spans="2:11" x14ac:dyDescent="0.25">
      <c r="B599" s="3"/>
      <c r="C599" s="3"/>
      <c r="D599" s="3"/>
      <c r="E599" s="2"/>
      <c r="F599" s="2"/>
      <c r="G599" s="2"/>
      <c r="H599" s="2"/>
      <c r="I599" s="2"/>
      <c r="J599" s="2"/>
      <c r="K599" s="2"/>
    </row>
    <row r="600" spans="2:11" x14ac:dyDescent="0.25">
      <c r="B600" s="3"/>
      <c r="C600" s="3"/>
      <c r="D600" s="3"/>
      <c r="E600" s="2"/>
      <c r="F600" s="2"/>
      <c r="G600" s="2"/>
      <c r="H600" s="2"/>
      <c r="I600" s="2"/>
      <c r="J600" s="2"/>
      <c r="K600" s="2"/>
    </row>
    <row r="601" spans="2:11" x14ac:dyDescent="0.25">
      <c r="B601" s="3"/>
      <c r="C601" s="3"/>
      <c r="D601" s="3"/>
      <c r="E601" s="2"/>
      <c r="F601" s="2"/>
      <c r="G601" s="2"/>
      <c r="H601" s="2"/>
      <c r="I601" s="2"/>
      <c r="J601" s="2"/>
      <c r="K601" s="2"/>
    </row>
    <row r="602" spans="2:11" x14ac:dyDescent="0.25">
      <c r="B602" s="3"/>
      <c r="C602" s="3"/>
      <c r="D602" s="3"/>
      <c r="E602" s="2"/>
      <c r="F602" s="2"/>
      <c r="G602" s="2"/>
      <c r="H602" s="2"/>
      <c r="I602" s="2"/>
      <c r="J602" s="2"/>
      <c r="K602" s="2"/>
    </row>
    <row r="603" spans="2:11" x14ac:dyDescent="0.25">
      <c r="B603" s="3"/>
      <c r="C603" s="3"/>
      <c r="D603" s="3"/>
      <c r="E603" s="2"/>
      <c r="F603" s="2"/>
      <c r="G603" s="2"/>
      <c r="H603" s="2"/>
      <c r="I603" s="2"/>
      <c r="J603" s="2"/>
      <c r="K603" s="2"/>
    </row>
    <row r="604" spans="2:11" x14ac:dyDescent="0.25">
      <c r="B604" s="3"/>
      <c r="C604" s="3"/>
      <c r="D604" s="3"/>
      <c r="E604" s="2"/>
      <c r="F604" s="2"/>
      <c r="G604" s="2"/>
      <c r="H604" s="2"/>
      <c r="I604" s="2"/>
      <c r="J604" s="2"/>
      <c r="K604" s="2"/>
    </row>
    <row r="605" spans="2:11" x14ac:dyDescent="0.25">
      <c r="B605" s="3"/>
      <c r="C605" s="3"/>
      <c r="D605" s="3"/>
      <c r="E605" s="2"/>
      <c r="F605" s="2"/>
      <c r="G605" s="2"/>
      <c r="H605" s="2"/>
      <c r="I605" s="2"/>
      <c r="J605" s="2"/>
      <c r="K605" s="2"/>
    </row>
    <row r="606" spans="2:11" x14ac:dyDescent="0.25">
      <c r="B606" s="3"/>
      <c r="C606" s="3"/>
      <c r="D606" s="3"/>
      <c r="E606" s="2"/>
      <c r="F606" s="2"/>
      <c r="G606" s="2"/>
      <c r="H606" s="2"/>
      <c r="I606" s="2"/>
      <c r="J606" s="2"/>
      <c r="K606" s="2"/>
    </row>
    <row r="607" spans="2:11" x14ac:dyDescent="0.25">
      <c r="B607" s="3"/>
      <c r="C607" s="3"/>
      <c r="D607" s="3"/>
      <c r="E607" s="2"/>
      <c r="F607" s="2"/>
      <c r="G607" s="2"/>
      <c r="H607" s="2"/>
      <c r="I607" s="2"/>
      <c r="J607" s="2"/>
      <c r="K607" s="2"/>
    </row>
    <row r="608" spans="2:11" x14ac:dyDescent="0.25">
      <c r="B608" s="3"/>
      <c r="C608" s="3"/>
      <c r="D608" s="3"/>
      <c r="E608" s="2"/>
      <c r="F608" s="2"/>
      <c r="G608" s="2"/>
      <c r="H608" s="2"/>
      <c r="I608" s="2"/>
      <c r="J608" s="2"/>
      <c r="K608" s="2"/>
    </row>
    <row r="609" spans="2:11" x14ac:dyDescent="0.25">
      <c r="B609" s="3"/>
      <c r="C609" s="3"/>
      <c r="D609" s="3"/>
      <c r="E609" s="2"/>
      <c r="F609" s="2"/>
      <c r="G609" s="2"/>
      <c r="H609" s="2"/>
      <c r="I609" s="2"/>
      <c r="J609" s="2"/>
      <c r="K609" s="2"/>
    </row>
    <row r="610" spans="2:11" x14ac:dyDescent="0.25">
      <c r="B610" s="3"/>
      <c r="C610" s="3"/>
      <c r="D610" s="3"/>
      <c r="E610" s="2"/>
      <c r="F610" s="2"/>
      <c r="G610" s="2"/>
      <c r="H610" s="2"/>
      <c r="I610" s="2"/>
      <c r="J610" s="2"/>
      <c r="K610" s="2"/>
    </row>
    <row r="611" spans="2:11" x14ac:dyDescent="0.25">
      <c r="B611" s="3"/>
      <c r="C611" s="3"/>
      <c r="D611" s="3"/>
      <c r="E611" s="2"/>
      <c r="F611" s="2"/>
      <c r="G611" s="2"/>
      <c r="H611" s="2"/>
      <c r="I611" s="2"/>
      <c r="J611" s="2"/>
      <c r="K611" s="2"/>
    </row>
    <row r="612" spans="2:11" x14ac:dyDescent="0.25">
      <c r="B612" s="3"/>
      <c r="C612" s="3"/>
      <c r="D612" s="3"/>
      <c r="E612" s="2"/>
      <c r="F612" s="2"/>
      <c r="G612" s="2"/>
      <c r="H612" s="2"/>
      <c r="I612" s="2"/>
      <c r="J612" s="2"/>
      <c r="K612" s="2"/>
    </row>
    <row r="613" spans="2:11" x14ac:dyDescent="0.25">
      <c r="B613" s="3"/>
      <c r="C613" s="3"/>
      <c r="D613" s="3"/>
      <c r="E613" s="2"/>
      <c r="F613" s="2"/>
      <c r="G613" s="2"/>
      <c r="H613" s="2"/>
      <c r="I613" s="2"/>
      <c r="J613" s="2"/>
      <c r="K613" s="2"/>
    </row>
    <row r="614" spans="2:11" x14ac:dyDescent="0.25">
      <c r="B614" s="3"/>
      <c r="C614" s="3"/>
      <c r="D614" s="3"/>
      <c r="E614" s="2"/>
      <c r="F614" s="2"/>
      <c r="G614" s="2"/>
      <c r="H614" s="2"/>
      <c r="I614" s="2"/>
      <c r="J614" s="2"/>
      <c r="K614" s="2"/>
    </row>
    <row r="615" spans="2:11" x14ac:dyDescent="0.25">
      <c r="B615" s="3"/>
      <c r="C615" s="3"/>
      <c r="D615" s="3"/>
      <c r="E615" s="2"/>
      <c r="F615" s="2"/>
      <c r="G615" s="2"/>
      <c r="H615" s="2"/>
      <c r="I615" s="2"/>
      <c r="J615" s="2"/>
      <c r="K615" s="2"/>
    </row>
    <row r="616" spans="2:11" x14ac:dyDescent="0.25">
      <c r="B616" s="3"/>
      <c r="C616" s="3"/>
      <c r="D616" s="3"/>
      <c r="E616" s="2"/>
      <c r="F616" s="2"/>
      <c r="G616" s="2"/>
      <c r="H616" s="2"/>
      <c r="I616" s="2"/>
      <c r="J616" s="2"/>
      <c r="K616" s="2"/>
    </row>
    <row r="617" spans="2:11" x14ac:dyDescent="0.25">
      <c r="B617" s="3"/>
      <c r="C617" s="3"/>
      <c r="D617" s="3"/>
      <c r="E617" s="2"/>
      <c r="F617" s="2"/>
      <c r="G617" s="2"/>
      <c r="H617" s="2"/>
      <c r="I617" s="2"/>
      <c r="J617" s="2"/>
      <c r="K617" s="2"/>
    </row>
    <row r="618" spans="2:11" x14ac:dyDescent="0.25">
      <c r="B618" s="3"/>
      <c r="C618" s="3"/>
      <c r="D618" s="3"/>
      <c r="E618" s="2"/>
      <c r="F618" s="2"/>
      <c r="G618" s="2"/>
      <c r="H618" s="2"/>
      <c r="I618" s="2"/>
      <c r="J618" s="2"/>
      <c r="K618" s="2"/>
    </row>
    <row r="619" spans="2:11" x14ac:dyDescent="0.25">
      <c r="B619" s="3"/>
      <c r="C619" s="3"/>
      <c r="D619" s="3"/>
      <c r="E619" s="2"/>
      <c r="F619" s="2"/>
      <c r="G619" s="2"/>
      <c r="H619" s="2"/>
      <c r="I619" s="2"/>
      <c r="J619" s="2"/>
      <c r="K619" s="2"/>
    </row>
    <row r="620" spans="2:11" x14ac:dyDescent="0.25">
      <c r="B620" s="3"/>
      <c r="C620" s="3"/>
      <c r="D620" s="3"/>
      <c r="E620" s="2"/>
      <c r="F620" s="2"/>
      <c r="G620" s="2"/>
      <c r="H620" s="2"/>
      <c r="I620" s="2"/>
      <c r="J620" s="2"/>
      <c r="K620" s="2"/>
    </row>
    <row r="621" spans="2:11" x14ac:dyDescent="0.25">
      <c r="B621" s="3"/>
      <c r="C621" s="3"/>
      <c r="D621" s="3"/>
      <c r="E621" s="2"/>
      <c r="F621" s="2"/>
      <c r="G621" s="2"/>
      <c r="H621" s="2"/>
      <c r="I621" s="2"/>
      <c r="J621" s="2"/>
      <c r="K621" s="2"/>
    </row>
    <row r="622" spans="2:11" x14ac:dyDescent="0.25">
      <c r="B622" s="3"/>
      <c r="C622" s="3"/>
      <c r="D622" s="3"/>
      <c r="E622" s="2"/>
      <c r="F622" s="2"/>
      <c r="G622" s="2"/>
      <c r="H622" s="2"/>
      <c r="I622" s="2"/>
      <c r="J622" s="2"/>
      <c r="K622" s="2"/>
    </row>
    <row r="623" spans="2:11" x14ac:dyDescent="0.25">
      <c r="B623" s="3"/>
      <c r="C623" s="3"/>
      <c r="D623" s="3"/>
      <c r="E623" s="2"/>
      <c r="F623" s="2"/>
      <c r="G623" s="2"/>
      <c r="H623" s="2"/>
      <c r="I623" s="2"/>
      <c r="J623" s="2"/>
      <c r="K623" s="2"/>
    </row>
    <row r="624" spans="2:11" x14ac:dyDescent="0.25">
      <c r="B624" s="3"/>
      <c r="C624" s="3"/>
      <c r="D624" s="3"/>
      <c r="E624" s="2"/>
      <c r="F624" s="2"/>
      <c r="G624" s="2"/>
      <c r="H624" s="2"/>
      <c r="I624" s="2"/>
      <c r="J624" s="2"/>
      <c r="K624" s="2"/>
    </row>
    <row r="625" spans="2:11" x14ac:dyDescent="0.25">
      <c r="B625" s="3"/>
      <c r="C625" s="3"/>
      <c r="D625" s="3"/>
      <c r="E625" s="2"/>
      <c r="F625" s="2"/>
      <c r="G625" s="2"/>
      <c r="H625" s="2"/>
      <c r="I625" s="2"/>
      <c r="J625" s="2"/>
      <c r="K625" s="2"/>
    </row>
    <row r="626" spans="2:11" x14ac:dyDescent="0.25">
      <c r="B626" s="3"/>
      <c r="C626" s="3"/>
      <c r="D626" s="3"/>
      <c r="E626" s="2"/>
      <c r="F626" s="2"/>
      <c r="G626" s="2"/>
      <c r="H626" s="2"/>
      <c r="I626" s="2"/>
      <c r="J626" s="2"/>
      <c r="K626" s="2"/>
    </row>
    <row r="627" spans="2:11" x14ac:dyDescent="0.25">
      <c r="B627" s="3"/>
      <c r="C627" s="3"/>
      <c r="D627" s="3"/>
      <c r="E627" s="2"/>
      <c r="F627" s="2"/>
      <c r="G627" s="2"/>
      <c r="H627" s="2"/>
      <c r="I627" s="2"/>
      <c r="J627" s="2"/>
      <c r="K627" s="2"/>
    </row>
    <row r="628" spans="2:11" x14ac:dyDescent="0.25">
      <c r="B628" s="3"/>
      <c r="C628" s="3"/>
      <c r="D628" s="3"/>
      <c r="E628" s="2"/>
      <c r="F628" s="2"/>
      <c r="G628" s="2"/>
      <c r="H628" s="2"/>
      <c r="I628" s="2"/>
      <c r="J628" s="2"/>
      <c r="K628" s="2"/>
    </row>
    <row r="629" spans="2:11" x14ac:dyDescent="0.25">
      <c r="B629" s="3"/>
      <c r="C629" s="3"/>
      <c r="D629" s="3"/>
      <c r="E629" s="2"/>
      <c r="F629" s="2"/>
      <c r="G629" s="2"/>
      <c r="H629" s="2"/>
      <c r="I629" s="2"/>
      <c r="J629" s="2"/>
      <c r="K629" s="2"/>
    </row>
    <row r="630" spans="2:11" x14ac:dyDescent="0.25">
      <c r="B630" s="3"/>
      <c r="C630" s="3"/>
      <c r="D630" s="3"/>
      <c r="E630" s="2"/>
      <c r="F630" s="2"/>
      <c r="G630" s="2"/>
      <c r="H630" s="2"/>
      <c r="I630" s="2"/>
      <c r="J630" s="2"/>
      <c r="K630" s="2"/>
    </row>
    <row r="631" spans="2:11" x14ac:dyDescent="0.25">
      <c r="B631" s="3"/>
      <c r="C631" s="3"/>
      <c r="D631" s="3"/>
      <c r="E631" s="2"/>
      <c r="F631" s="2"/>
      <c r="G631" s="2"/>
      <c r="H631" s="2"/>
      <c r="I631" s="2"/>
      <c r="J631" s="2"/>
      <c r="K631" s="2"/>
    </row>
    <row r="632" spans="2:11" x14ac:dyDescent="0.25">
      <c r="B632" s="3"/>
      <c r="C632" s="3"/>
      <c r="D632" s="3"/>
      <c r="E632" s="2"/>
      <c r="F632" s="2"/>
      <c r="G632" s="2"/>
      <c r="H632" s="2"/>
      <c r="I632" s="2"/>
      <c r="J632" s="2"/>
      <c r="K632" s="2"/>
    </row>
    <row r="633" spans="2:11" x14ac:dyDescent="0.25">
      <c r="B633" s="3"/>
      <c r="C633" s="3"/>
      <c r="D633" s="3"/>
      <c r="E633" s="2"/>
      <c r="F633" s="2"/>
      <c r="G633" s="2"/>
      <c r="H633" s="2"/>
      <c r="I633" s="2"/>
      <c r="J633" s="2"/>
      <c r="K633" s="2"/>
    </row>
    <row r="634" spans="2:11" x14ac:dyDescent="0.25">
      <c r="B634" s="3"/>
      <c r="C634" s="3"/>
      <c r="D634" s="3"/>
      <c r="E634" s="2"/>
      <c r="F634" s="2"/>
      <c r="G634" s="2"/>
      <c r="H634" s="2"/>
      <c r="I634" s="2"/>
      <c r="J634" s="2"/>
      <c r="K634" s="2"/>
    </row>
    <row r="635" spans="2:11" x14ac:dyDescent="0.25">
      <c r="B635" s="3"/>
      <c r="C635" s="3"/>
      <c r="D635" s="3"/>
      <c r="E635" s="2"/>
      <c r="F635" s="2"/>
      <c r="G635" s="2"/>
      <c r="H635" s="2"/>
      <c r="I635" s="2"/>
      <c r="J635" s="2"/>
      <c r="K635" s="2"/>
    </row>
    <row r="636" spans="2:11" x14ac:dyDescent="0.25">
      <c r="B636" s="3"/>
      <c r="C636" s="3"/>
      <c r="D636" s="3"/>
      <c r="E636" s="2"/>
      <c r="F636" s="2"/>
      <c r="G636" s="2"/>
      <c r="H636" s="2"/>
      <c r="I636" s="2"/>
      <c r="J636" s="2"/>
      <c r="K636" s="2"/>
    </row>
    <row r="637" spans="2:11" x14ac:dyDescent="0.25">
      <c r="B637" s="3"/>
      <c r="C637" s="3"/>
      <c r="D637" s="3"/>
      <c r="E637" s="2"/>
      <c r="F637" s="2"/>
      <c r="G637" s="2"/>
      <c r="H637" s="2"/>
      <c r="I637" s="2"/>
      <c r="J637" s="2"/>
      <c r="K637" s="2"/>
    </row>
    <row r="638" spans="2:11" x14ac:dyDescent="0.25">
      <c r="B638" s="3"/>
      <c r="C638" s="3"/>
      <c r="D638" s="3"/>
      <c r="E638" s="2"/>
      <c r="F638" s="2"/>
      <c r="G638" s="2"/>
      <c r="H638" s="2"/>
      <c r="I638" s="2"/>
      <c r="J638" s="2"/>
      <c r="K638" s="2"/>
    </row>
    <row r="639" spans="2:11" x14ac:dyDescent="0.25">
      <c r="B639" s="3"/>
      <c r="C639" s="3"/>
      <c r="D639" s="3"/>
      <c r="E639" s="2"/>
      <c r="F639" s="2"/>
      <c r="G639" s="2"/>
      <c r="H639" s="2"/>
      <c r="I639" s="2"/>
      <c r="J639" s="2"/>
      <c r="K639" s="2"/>
    </row>
    <row r="640" spans="2:11" x14ac:dyDescent="0.25">
      <c r="B640" s="3"/>
      <c r="C640" s="3"/>
      <c r="D640" s="3"/>
      <c r="E640" s="2"/>
      <c r="F640" s="2"/>
      <c r="G640" s="2"/>
      <c r="H640" s="2"/>
      <c r="I640" s="2"/>
      <c r="J640" s="2"/>
      <c r="K640" s="2"/>
    </row>
    <row r="641" spans="2:11" x14ac:dyDescent="0.25">
      <c r="B641" s="3"/>
      <c r="C641" s="3"/>
      <c r="D641" s="3"/>
      <c r="E641" s="2"/>
      <c r="F641" s="2"/>
      <c r="G641" s="2"/>
      <c r="H641" s="2"/>
      <c r="I641" s="2"/>
      <c r="J641" s="2"/>
      <c r="K641" s="2"/>
    </row>
    <row r="642" spans="2:11" x14ac:dyDescent="0.25">
      <c r="B642" s="3"/>
      <c r="C642" s="3"/>
      <c r="D642" s="3"/>
      <c r="E642" s="2"/>
      <c r="F642" s="2"/>
      <c r="G642" s="2"/>
      <c r="H642" s="2"/>
      <c r="I642" s="2"/>
      <c r="J642" s="2"/>
      <c r="K642" s="2"/>
    </row>
    <row r="643" spans="2:11" x14ac:dyDescent="0.25">
      <c r="B643" s="3"/>
      <c r="C643" s="3"/>
      <c r="D643" s="3"/>
      <c r="E643" s="2"/>
      <c r="F643" s="2"/>
      <c r="G643" s="2"/>
      <c r="H643" s="2"/>
      <c r="I643" s="2"/>
      <c r="J643" s="2"/>
      <c r="K643" s="2"/>
    </row>
    <row r="644" spans="2:11" x14ac:dyDescent="0.25">
      <c r="B644" s="3"/>
      <c r="C644" s="3"/>
      <c r="D644" s="3"/>
      <c r="E644" s="2"/>
      <c r="F644" s="2"/>
      <c r="G644" s="2"/>
      <c r="H644" s="2"/>
      <c r="I644" s="2"/>
      <c r="J644" s="2"/>
      <c r="K644" s="2"/>
    </row>
    <row r="645" spans="2:11" x14ac:dyDescent="0.25">
      <c r="B645" s="3"/>
      <c r="C645" s="3"/>
      <c r="D645" s="3"/>
      <c r="E645" s="2"/>
      <c r="F645" s="2"/>
      <c r="G645" s="2"/>
      <c r="H645" s="2"/>
      <c r="I645" s="2"/>
      <c r="J645" s="2"/>
      <c r="K645" s="2"/>
    </row>
    <row r="646" spans="2:11" x14ac:dyDescent="0.25">
      <c r="B646" s="3"/>
      <c r="C646" s="3"/>
      <c r="D646" s="3"/>
      <c r="E646" s="2"/>
      <c r="F646" s="2"/>
      <c r="G646" s="2"/>
      <c r="H646" s="2"/>
      <c r="I646" s="2"/>
      <c r="J646" s="2"/>
      <c r="K646" s="2"/>
    </row>
    <row r="647" spans="2:11" x14ac:dyDescent="0.25">
      <c r="B647" s="3"/>
      <c r="C647" s="3"/>
      <c r="D647" s="3"/>
      <c r="E647" s="2"/>
      <c r="F647" s="2"/>
      <c r="G647" s="2"/>
      <c r="H647" s="2"/>
      <c r="I647" s="2"/>
      <c r="J647" s="2"/>
      <c r="K647" s="2"/>
    </row>
    <row r="648" spans="2:11" x14ac:dyDescent="0.25">
      <c r="B648" s="3"/>
      <c r="C648" s="3"/>
      <c r="D648" s="3"/>
      <c r="E648" s="2"/>
      <c r="F648" s="2"/>
      <c r="G648" s="2"/>
      <c r="H648" s="2"/>
      <c r="I648" s="2"/>
      <c r="J648" s="2"/>
      <c r="K648" s="2"/>
    </row>
    <row r="649" spans="2:11" x14ac:dyDescent="0.25">
      <c r="B649" s="3"/>
      <c r="C649" s="3"/>
      <c r="D649" s="3"/>
      <c r="E649" s="2"/>
      <c r="F649" s="2"/>
      <c r="G649" s="2"/>
      <c r="H649" s="2"/>
      <c r="I649" s="2"/>
      <c r="J649" s="2"/>
      <c r="K649" s="2"/>
    </row>
    <row r="650" spans="2:11" x14ac:dyDescent="0.25">
      <c r="B650" s="3"/>
      <c r="C650" s="3"/>
      <c r="D650" s="3"/>
      <c r="E650" s="2"/>
      <c r="F650" s="2"/>
      <c r="G650" s="2"/>
      <c r="H650" s="2"/>
      <c r="I650" s="2"/>
      <c r="J650" s="2"/>
      <c r="K650" s="2"/>
    </row>
    <row r="651" spans="2:11" x14ac:dyDescent="0.25">
      <c r="B651" s="3"/>
      <c r="C651" s="3"/>
      <c r="D651" s="3"/>
      <c r="E651" s="2"/>
      <c r="F651" s="2"/>
      <c r="G651" s="2"/>
      <c r="H651" s="2"/>
      <c r="I651" s="2"/>
      <c r="J651" s="2"/>
      <c r="K651" s="2"/>
    </row>
    <row r="652" spans="2:11" x14ac:dyDescent="0.25">
      <c r="B652" s="3"/>
      <c r="C652" s="3"/>
      <c r="D652" s="3"/>
      <c r="E652" s="2"/>
      <c r="F652" s="2"/>
      <c r="G652" s="2"/>
      <c r="H652" s="2"/>
      <c r="I652" s="2"/>
      <c r="J652" s="2"/>
      <c r="K652" s="2"/>
    </row>
    <row r="653" spans="2:11" x14ac:dyDescent="0.25">
      <c r="B653" s="42"/>
      <c r="C653" s="42"/>
      <c r="D653" s="42"/>
    </row>
    <row r="654" spans="2:11" x14ac:dyDescent="0.25">
      <c r="B654" s="42"/>
      <c r="C654" s="42"/>
      <c r="D654" s="42"/>
    </row>
    <row r="655" spans="2:11" x14ac:dyDescent="0.25">
      <c r="B655" s="42"/>
      <c r="C655" s="42"/>
      <c r="D655" s="42"/>
    </row>
    <row r="656" spans="2:11" x14ac:dyDescent="0.25">
      <c r="B656" s="42"/>
      <c r="C656" s="42"/>
      <c r="D656" s="42"/>
    </row>
    <row r="657" spans="2:4" x14ac:dyDescent="0.25">
      <c r="B657" s="42"/>
      <c r="C657" s="42"/>
      <c r="D657" s="42"/>
    </row>
    <row r="658" spans="2:4" x14ac:dyDescent="0.25">
      <c r="B658" s="42"/>
      <c r="C658" s="42"/>
      <c r="D658" s="42"/>
    </row>
    <row r="659" spans="2:4" x14ac:dyDescent="0.25">
      <c r="B659" s="42"/>
      <c r="C659" s="42"/>
      <c r="D659" s="42"/>
    </row>
    <row r="660" spans="2:4" x14ac:dyDescent="0.25">
      <c r="B660" s="42"/>
      <c r="C660" s="42"/>
      <c r="D660" s="42"/>
    </row>
    <row r="661" spans="2:4" x14ac:dyDescent="0.25">
      <c r="B661" s="42"/>
      <c r="C661" s="42"/>
      <c r="D661" s="42"/>
    </row>
    <row r="662" spans="2:4" x14ac:dyDescent="0.25">
      <c r="B662" s="42"/>
      <c r="C662" s="42"/>
      <c r="D662" s="42"/>
    </row>
    <row r="663" spans="2:4" x14ac:dyDescent="0.25">
      <c r="B663" s="42"/>
      <c r="C663" s="42"/>
      <c r="D663" s="42"/>
    </row>
    <row r="664" spans="2:4" x14ac:dyDescent="0.25">
      <c r="B664" s="42"/>
      <c r="C664" s="42"/>
      <c r="D664" s="42"/>
    </row>
    <row r="665" spans="2:4" x14ac:dyDescent="0.25">
      <c r="B665" s="42"/>
      <c r="C665" s="42"/>
      <c r="D665" s="42"/>
    </row>
    <row r="666" spans="2:4" x14ac:dyDescent="0.25">
      <c r="B666" s="42"/>
      <c r="C666" s="42"/>
      <c r="D666" s="42"/>
    </row>
    <row r="667" spans="2:4" x14ac:dyDescent="0.25">
      <c r="B667" s="42"/>
      <c r="C667" s="42"/>
      <c r="D667" s="42"/>
    </row>
    <row r="668" spans="2:4" x14ac:dyDescent="0.25">
      <c r="B668" s="42"/>
      <c r="C668" s="42"/>
      <c r="D668" s="42"/>
    </row>
    <row r="669" spans="2:4" x14ac:dyDescent="0.25">
      <c r="B669" s="42"/>
      <c r="C669" s="42"/>
      <c r="D669" s="42"/>
    </row>
    <row r="670" spans="2:4" x14ac:dyDescent="0.25">
      <c r="B670" s="42"/>
      <c r="C670" s="42"/>
      <c r="D670" s="42"/>
    </row>
    <row r="671" spans="2:4" x14ac:dyDescent="0.25">
      <c r="B671" s="42"/>
      <c r="C671" s="42"/>
      <c r="D671" s="42"/>
    </row>
    <row r="672" spans="2:4" x14ac:dyDescent="0.25">
      <c r="B672" s="42"/>
      <c r="C672" s="42"/>
      <c r="D672" s="42"/>
    </row>
    <row r="673" spans="2:4" x14ac:dyDescent="0.25">
      <c r="B673" s="42"/>
      <c r="C673" s="42"/>
      <c r="D673" s="42"/>
    </row>
    <row r="674" spans="2:4" x14ac:dyDescent="0.25">
      <c r="B674" s="42"/>
      <c r="C674" s="42"/>
      <c r="D674" s="42"/>
    </row>
    <row r="675" spans="2:4" x14ac:dyDescent="0.25">
      <c r="B675" s="42"/>
      <c r="C675" s="42"/>
      <c r="D675" s="42"/>
    </row>
    <row r="676" spans="2:4" x14ac:dyDescent="0.25">
      <c r="B676" s="42"/>
      <c r="C676" s="42"/>
      <c r="D676" s="42"/>
    </row>
    <row r="677" spans="2:4" x14ac:dyDescent="0.25">
      <c r="B677" s="42"/>
      <c r="C677" s="42"/>
      <c r="D677" s="42"/>
    </row>
    <row r="678" spans="2:4" x14ac:dyDescent="0.25">
      <c r="B678" s="42"/>
      <c r="C678" s="42"/>
      <c r="D678" s="42"/>
    </row>
    <row r="679" spans="2:4" x14ac:dyDescent="0.25">
      <c r="B679" s="42"/>
      <c r="C679" s="42"/>
      <c r="D679" s="42"/>
    </row>
    <row r="680" spans="2:4" x14ac:dyDescent="0.25">
      <c r="B680" s="42"/>
      <c r="C680" s="42"/>
      <c r="D680" s="42"/>
    </row>
    <row r="681" spans="2:4" x14ac:dyDescent="0.25">
      <c r="B681" s="42"/>
      <c r="C681" s="42"/>
      <c r="D681" s="42"/>
    </row>
    <row r="682" spans="2:4" x14ac:dyDescent="0.25">
      <c r="B682" s="42"/>
      <c r="C682" s="42"/>
      <c r="D682" s="42"/>
    </row>
    <row r="683" spans="2:4" x14ac:dyDescent="0.25">
      <c r="B683" s="42"/>
      <c r="C683" s="42"/>
      <c r="D683" s="42"/>
    </row>
    <row r="684" spans="2:4" x14ac:dyDescent="0.25">
      <c r="B684" s="42"/>
      <c r="C684" s="42"/>
      <c r="D684" s="42"/>
    </row>
    <row r="685" spans="2:4" x14ac:dyDescent="0.25">
      <c r="B685" s="42"/>
      <c r="C685" s="42"/>
      <c r="D685" s="42"/>
    </row>
    <row r="686" spans="2:4" x14ac:dyDescent="0.25">
      <c r="B686" s="42"/>
      <c r="C686" s="42"/>
      <c r="D686" s="42"/>
    </row>
    <row r="687" spans="2:4" x14ac:dyDescent="0.25">
      <c r="B687" s="42"/>
      <c r="C687" s="42"/>
      <c r="D687" s="42"/>
    </row>
    <row r="688" spans="2:4" x14ac:dyDescent="0.25">
      <c r="B688" s="42"/>
      <c r="C688" s="42"/>
      <c r="D688" s="42"/>
    </row>
    <row r="689" spans="2:4" x14ac:dyDescent="0.25">
      <c r="B689" s="42"/>
      <c r="C689" s="42"/>
      <c r="D689" s="42"/>
    </row>
    <row r="690" spans="2:4" x14ac:dyDescent="0.25">
      <c r="B690" s="42"/>
      <c r="C690" s="42"/>
      <c r="D690" s="42"/>
    </row>
    <row r="691" spans="2:4" x14ac:dyDescent="0.25">
      <c r="B691" s="42"/>
      <c r="C691" s="42"/>
      <c r="D691" s="42"/>
    </row>
    <row r="692" spans="2:4" x14ac:dyDescent="0.25">
      <c r="B692" s="42"/>
      <c r="C692" s="42"/>
      <c r="D692" s="42"/>
    </row>
    <row r="693" spans="2:4" x14ac:dyDescent="0.25">
      <c r="B693" s="42"/>
      <c r="C693" s="42"/>
      <c r="D693" s="42"/>
    </row>
    <row r="694" spans="2:4" x14ac:dyDescent="0.25">
      <c r="B694" s="42"/>
      <c r="C694" s="42"/>
      <c r="D694" s="42"/>
    </row>
    <row r="695" spans="2:4" x14ac:dyDescent="0.25">
      <c r="B695" s="42"/>
      <c r="C695" s="42"/>
      <c r="D695" s="42"/>
    </row>
    <row r="696" spans="2:4" x14ac:dyDescent="0.25">
      <c r="B696" s="42"/>
      <c r="C696" s="42"/>
      <c r="D696" s="42"/>
    </row>
    <row r="697" spans="2:4" x14ac:dyDescent="0.25">
      <c r="B697" s="42"/>
      <c r="C697" s="42"/>
      <c r="D697" s="42"/>
    </row>
    <row r="698" spans="2:4" x14ac:dyDescent="0.25">
      <c r="B698" s="42"/>
      <c r="C698" s="42"/>
      <c r="D698" s="42"/>
    </row>
    <row r="699" spans="2:4" x14ac:dyDescent="0.25">
      <c r="B699" s="42"/>
      <c r="C699" s="42"/>
      <c r="D699" s="42"/>
    </row>
    <row r="700" spans="2:4" x14ac:dyDescent="0.25">
      <c r="B700" s="42"/>
      <c r="C700" s="42"/>
      <c r="D700" s="42"/>
    </row>
    <row r="701" spans="2:4" x14ac:dyDescent="0.25">
      <c r="B701" s="42"/>
      <c r="C701" s="42"/>
      <c r="D701" s="42"/>
    </row>
    <row r="702" spans="2:4" x14ac:dyDescent="0.25">
      <c r="B702" s="42"/>
      <c r="C702" s="42"/>
      <c r="D702" s="42"/>
    </row>
    <row r="703" spans="2:4" x14ac:dyDescent="0.25">
      <c r="B703" s="42"/>
      <c r="C703" s="42"/>
      <c r="D703" s="42"/>
    </row>
    <row r="704" spans="2:4" x14ac:dyDescent="0.25">
      <c r="B704" s="42"/>
      <c r="C704" s="42"/>
      <c r="D704" s="42"/>
    </row>
    <row r="705" spans="2:4" x14ac:dyDescent="0.25">
      <c r="B705" s="42"/>
      <c r="C705" s="42"/>
      <c r="D705" s="42"/>
    </row>
    <row r="706" spans="2:4" x14ac:dyDescent="0.25">
      <c r="B706" s="42"/>
      <c r="C706" s="42"/>
      <c r="D706" s="42"/>
    </row>
    <row r="707" spans="2:4" x14ac:dyDescent="0.25">
      <c r="B707" s="42"/>
      <c r="C707" s="42"/>
      <c r="D707" s="42"/>
    </row>
    <row r="708" spans="2:4" x14ac:dyDescent="0.25">
      <c r="B708" s="42"/>
      <c r="C708" s="42"/>
      <c r="D708" s="42"/>
    </row>
    <row r="709" spans="2:4" x14ac:dyDescent="0.25">
      <c r="B709" s="42"/>
      <c r="C709" s="42"/>
      <c r="D709" s="42"/>
    </row>
    <row r="710" spans="2:4" x14ac:dyDescent="0.25">
      <c r="B710" s="42"/>
      <c r="C710" s="42"/>
      <c r="D710" s="42"/>
    </row>
    <row r="711" spans="2:4" x14ac:dyDescent="0.25">
      <c r="B711" s="42"/>
      <c r="C711" s="42"/>
      <c r="D711" s="42"/>
    </row>
    <row r="712" spans="2:4" x14ac:dyDescent="0.25">
      <c r="B712" s="42"/>
      <c r="C712" s="42"/>
      <c r="D712" s="42"/>
    </row>
    <row r="713" spans="2:4" x14ac:dyDescent="0.25">
      <c r="B713" s="42"/>
      <c r="C713" s="42"/>
      <c r="D713" s="42"/>
    </row>
    <row r="714" spans="2:4" x14ac:dyDescent="0.25">
      <c r="B714" s="42"/>
      <c r="C714" s="42"/>
      <c r="D714" s="42"/>
    </row>
    <row r="715" spans="2:4" x14ac:dyDescent="0.25">
      <c r="B715" s="42"/>
      <c r="C715" s="42"/>
      <c r="D715" s="42"/>
    </row>
    <row r="716" spans="2:4" x14ac:dyDescent="0.25">
      <c r="B716" s="42"/>
      <c r="C716" s="42"/>
      <c r="D716" s="42"/>
    </row>
    <row r="717" spans="2:4" x14ac:dyDescent="0.25">
      <c r="B717" s="42"/>
      <c r="C717" s="42"/>
      <c r="D717" s="42"/>
    </row>
    <row r="718" spans="2:4" x14ac:dyDescent="0.25">
      <c r="B718" s="42"/>
      <c r="C718" s="42"/>
      <c r="D718" s="42"/>
    </row>
    <row r="719" spans="2:4" x14ac:dyDescent="0.25">
      <c r="B719" s="42"/>
      <c r="C719" s="42"/>
      <c r="D719" s="42"/>
    </row>
    <row r="720" spans="2:4" x14ac:dyDescent="0.25">
      <c r="B720" s="42"/>
      <c r="C720" s="42"/>
      <c r="D720" s="42"/>
    </row>
    <row r="721" spans="2:4" x14ac:dyDescent="0.25">
      <c r="B721" s="42"/>
      <c r="C721" s="42"/>
      <c r="D721" s="42"/>
    </row>
    <row r="722" spans="2:4" x14ac:dyDescent="0.25">
      <c r="B722" s="42"/>
      <c r="C722" s="42"/>
      <c r="D722" s="42"/>
    </row>
    <row r="723" spans="2:4" x14ac:dyDescent="0.25">
      <c r="B723" s="42"/>
      <c r="C723" s="42"/>
      <c r="D723" s="42"/>
    </row>
    <row r="724" spans="2:4" x14ac:dyDescent="0.25">
      <c r="B724" s="42"/>
      <c r="C724" s="42"/>
      <c r="D724" s="42"/>
    </row>
    <row r="725" spans="2:4" x14ac:dyDescent="0.25">
      <c r="B725" s="42"/>
      <c r="C725" s="42"/>
      <c r="D725" s="42"/>
    </row>
    <row r="726" spans="2:4" x14ac:dyDescent="0.25">
      <c r="B726" s="42"/>
      <c r="C726" s="42"/>
      <c r="D726" s="42"/>
    </row>
    <row r="727" spans="2:4" x14ac:dyDescent="0.25">
      <c r="B727" s="42"/>
      <c r="C727" s="42"/>
      <c r="D727" s="42"/>
    </row>
    <row r="728" spans="2:4" x14ac:dyDescent="0.25">
      <c r="B728" s="42"/>
      <c r="C728" s="42"/>
      <c r="D728" s="42"/>
    </row>
    <row r="729" spans="2:4" x14ac:dyDescent="0.25">
      <c r="B729" s="42"/>
      <c r="C729" s="42"/>
      <c r="D729" s="42"/>
    </row>
    <row r="730" spans="2:4" x14ac:dyDescent="0.25">
      <c r="B730" s="42"/>
      <c r="C730" s="42"/>
      <c r="D730" s="42"/>
    </row>
    <row r="731" spans="2:4" x14ac:dyDescent="0.25">
      <c r="B731" s="42"/>
      <c r="C731" s="42"/>
      <c r="D731" s="42"/>
    </row>
    <row r="732" spans="2:4" x14ac:dyDescent="0.25">
      <c r="B732" s="42"/>
      <c r="C732" s="42"/>
      <c r="D732" s="42"/>
    </row>
    <row r="733" spans="2:4" x14ac:dyDescent="0.25">
      <c r="B733" s="42"/>
      <c r="C733" s="42"/>
      <c r="D733" s="42"/>
    </row>
    <row r="734" spans="2:4" x14ac:dyDescent="0.25">
      <c r="B734" s="42"/>
      <c r="C734" s="42"/>
      <c r="D734" s="42"/>
    </row>
    <row r="735" spans="2:4" x14ac:dyDescent="0.25">
      <c r="B735" s="42"/>
      <c r="C735" s="42"/>
      <c r="D735" s="42"/>
    </row>
    <row r="736" spans="2:4" x14ac:dyDescent="0.25">
      <c r="B736" s="42"/>
      <c r="C736" s="42"/>
      <c r="D736" s="42"/>
    </row>
    <row r="737" spans="2:4" x14ac:dyDescent="0.25">
      <c r="B737" s="42"/>
      <c r="C737" s="42"/>
      <c r="D737" s="42"/>
    </row>
    <row r="738" spans="2:4" x14ac:dyDescent="0.25">
      <c r="B738" s="42"/>
      <c r="C738" s="42"/>
      <c r="D738" s="42"/>
    </row>
    <row r="739" spans="2:4" x14ac:dyDescent="0.25">
      <c r="B739" s="42"/>
      <c r="C739" s="42"/>
      <c r="D739" s="42"/>
    </row>
    <row r="740" spans="2:4" x14ac:dyDescent="0.25">
      <c r="B740" s="42"/>
      <c r="C740" s="42"/>
      <c r="D740" s="42"/>
    </row>
    <row r="741" spans="2:4" x14ac:dyDescent="0.25">
      <c r="B741" s="42"/>
      <c r="C741" s="42"/>
      <c r="D741" s="42"/>
    </row>
    <row r="742" spans="2:4" x14ac:dyDescent="0.25">
      <c r="B742" s="42"/>
      <c r="C742" s="42"/>
      <c r="D742" s="42"/>
    </row>
    <row r="743" spans="2:4" x14ac:dyDescent="0.25">
      <c r="B743" s="42"/>
      <c r="C743" s="42"/>
      <c r="D743" s="42"/>
    </row>
    <row r="744" spans="2:4" x14ac:dyDescent="0.25">
      <c r="B744" s="42"/>
      <c r="C744" s="42"/>
      <c r="D744" s="42"/>
    </row>
    <row r="745" spans="2:4" x14ac:dyDescent="0.25">
      <c r="B745" s="42"/>
      <c r="C745" s="42"/>
      <c r="D745" s="42"/>
    </row>
    <row r="746" spans="2:4" x14ac:dyDescent="0.25">
      <c r="B746" s="42"/>
      <c r="C746" s="42"/>
      <c r="D746" s="42"/>
    </row>
    <row r="747" spans="2:4" x14ac:dyDescent="0.25">
      <c r="B747" s="42"/>
      <c r="C747" s="42"/>
      <c r="D747" s="42"/>
    </row>
    <row r="748" spans="2:4" x14ac:dyDescent="0.25">
      <c r="B748" s="42"/>
      <c r="C748" s="42"/>
      <c r="D748" s="42"/>
    </row>
    <row r="749" spans="2:4" x14ac:dyDescent="0.25">
      <c r="B749" s="42"/>
      <c r="C749" s="42"/>
      <c r="D749" s="42"/>
    </row>
    <row r="750" spans="2:4" x14ac:dyDescent="0.25">
      <c r="B750" s="42"/>
      <c r="C750" s="42"/>
      <c r="D750" s="42"/>
    </row>
    <row r="751" spans="2:4" x14ac:dyDescent="0.25">
      <c r="B751" s="42"/>
      <c r="C751" s="42"/>
      <c r="D751" s="42"/>
    </row>
    <row r="752" spans="2:4" x14ac:dyDescent="0.25">
      <c r="B752" s="42"/>
      <c r="C752" s="42"/>
      <c r="D752" s="42"/>
    </row>
    <row r="753" spans="2:4" x14ac:dyDescent="0.25">
      <c r="B753" s="42"/>
      <c r="C753" s="42"/>
      <c r="D753" s="42"/>
    </row>
    <row r="754" spans="2:4" x14ac:dyDescent="0.25">
      <c r="B754" s="42"/>
      <c r="C754" s="42"/>
      <c r="D754" s="42"/>
    </row>
    <row r="755" spans="2:4" x14ac:dyDescent="0.25">
      <c r="B755" s="42"/>
      <c r="C755" s="42"/>
      <c r="D755" s="42"/>
    </row>
    <row r="756" spans="2:4" x14ac:dyDescent="0.25">
      <c r="B756" s="42"/>
      <c r="C756" s="42"/>
      <c r="D756" s="42"/>
    </row>
    <row r="757" spans="2:4" x14ac:dyDescent="0.25">
      <c r="B757" s="42"/>
      <c r="C757" s="42"/>
      <c r="D757" s="42"/>
    </row>
    <row r="758" spans="2:4" x14ac:dyDescent="0.25">
      <c r="B758" s="42"/>
      <c r="C758" s="42"/>
      <c r="D758" s="42"/>
    </row>
    <row r="759" spans="2:4" x14ac:dyDescent="0.25">
      <c r="B759" s="42"/>
      <c r="C759" s="42"/>
      <c r="D759" s="42"/>
    </row>
    <row r="760" spans="2:4" x14ac:dyDescent="0.25">
      <c r="B760" s="42"/>
      <c r="C760" s="42"/>
      <c r="D760" s="42"/>
    </row>
    <row r="761" spans="2:4" x14ac:dyDescent="0.25">
      <c r="B761" s="42"/>
      <c r="C761" s="42"/>
      <c r="D761" s="42"/>
    </row>
    <row r="762" spans="2:4" x14ac:dyDescent="0.25">
      <c r="B762" s="42"/>
      <c r="C762" s="42"/>
      <c r="D762" s="42"/>
    </row>
    <row r="763" spans="2:4" x14ac:dyDescent="0.25">
      <c r="B763" s="42"/>
      <c r="C763" s="42"/>
      <c r="D763" s="42"/>
    </row>
    <row r="764" spans="2:4" x14ac:dyDescent="0.25">
      <c r="B764" s="42"/>
      <c r="C764" s="42"/>
      <c r="D764" s="42"/>
    </row>
    <row r="765" spans="2:4" x14ac:dyDescent="0.25">
      <c r="B765" s="42"/>
      <c r="C765" s="42"/>
      <c r="D765" s="42"/>
    </row>
    <row r="766" spans="2:4" x14ac:dyDescent="0.25">
      <c r="B766" s="42"/>
      <c r="C766" s="42"/>
      <c r="D766" s="42"/>
    </row>
    <row r="767" spans="2:4" x14ac:dyDescent="0.25">
      <c r="B767" s="42"/>
      <c r="C767" s="42"/>
      <c r="D767" s="42"/>
    </row>
    <row r="768" spans="2:4" x14ac:dyDescent="0.25">
      <c r="B768" s="42"/>
      <c r="C768" s="42"/>
      <c r="D768" s="42"/>
    </row>
    <row r="769" spans="2:4" x14ac:dyDescent="0.25">
      <c r="B769" s="42"/>
      <c r="C769" s="42"/>
      <c r="D769" s="42"/>
    </row>
    <row r="770" spans="2:4" x14ac:dyDescent="0.25">
      <c r="B770" s="42"/>
      <c r="C770" s="42"/>
      <c r="D770" s="42"/>
    </row>
    <row r="771" spans="2:4" x14ac:dyDescent="0.25">
      <c r="B771" s="42"/>
      <c r="C771" s="42"/>
      <c r="D771" s="42"/>
    </row>
    <row r="772" spans="2:4" x14ac:dyDescent="0.25">
      <c r="B772" s="42"/>
      <c r="C772" s="42"/>
      <c r="D772" s="42"/>
    </row>
    <row r="773" spans="2:4" x14ac:dyDescent="0.25">
      <c r="B773" s="42"/>
      <c r="C773" s="42"/>
      <c r="D773" s="42"/>
    </row>
    <row r="774" spans="2:4" x14ac:dyDescent="0.25">
      <c r="B774" s="42"/>
      <c r="C774" s="42"/>
      <c r="D774" s="42"/>
    </row>
    <row r="775" spans="2:4" x14ac:dyDescent="0.25">
      <c r="B775" s="42"/>
      <c r="C775" s="42"/>
      <c r="D775" s="42"/>
    </row>
    <row r="776" spans="2:4" x14ac:dyDescent="0.25">
      <c r="B776" s="42"/>
      <c r="C776" s="42"/>
      <c r="D776" s="42"/>
    </row>
    <row r="777" spans="2:4" x14ac:dyDescent="0.25">
      <c r="B777" s="42"/>
      <c r="C777" s="42"/>
      <c r="D777" s="42"/>
    </row>
    <row r="778" spans="2:4" x14ac:dyDescent="0.25">
      <c r="B778" s="42"/>
      <c r="C778" s="42"/>
      <c r="D778" s="42"/>
    </row>
    <row r="779" spans="2:4" x14ac:dyDescent="0.25">
      <c r="B779" s="42"/>
      <c r="C779" s="42"/>
      <c r="D779" s="42"/>
    </row>
    <row r="780" spans="2:4" x14ac:dyDescent="0.25">
      <c r="B780" s="42"/>
      <c r="C780" s="42"/>
      <c r="D780" s="42"/>
    </row>
    <row r="781" spans="2:4" x14ac:dyDescent="0.25">
      <c r="B781" s="42"/>
      <c r="C781" s="42"/>
      <c r="D781" s="42"/>
    </row>
    <row r="782" spans="2:4" x14ac:dyDescent="0.25">
      <c r="B782" s="42"/>
      <c r="C782" s="42"/>
      <c r="D782" s="42"/>
    </row>
    <row r="783" spans="2:4" x14ac:dyDescent="0.25">
      <c r="B783" s="42"/>
      <c r="C783" s="42"/>
      <c r="D783" s="42"/>
    </row>
    <row r="784" spans="2:4" x14ac:dyDescent="0.25">
      <c r="B784" s="42"/>
      <c r="C784" s="42"/>
      <c r="D784" s="42"/>
    </row>
    <row r="785" spans="2:4" x14ac:dyDescent="0.25">
      <c r="B785" s="42"/>
      <c r="C785" s="42"/>
      <c r="D785" s="42"/>
    </row>
    <row r="786" spans="2:4" x14ac:dyDescent="0.25">
      <c r="B786" s="42"/>
      <c r="C786" s="42"/>
      <c r="D786" s="42"/>
    </row>
    <row r="787" spans="2:4" x14ac:dyDescent="0.25">
      <c r="B787" s="42"/>
      <c r="C787" s="42"/>
      <c r="D787" s="42"/>
    </row>
    <row r="788" spans="2:4" x14ac:dyDescent="0.25">
      <c r="B788" s="42"/>
      <c r="C788" s="42"/>
      <c r="D788" s="42"/>
    </row>
    <row r="789" spans="2:4" x14ac:dyDescent="0.25">
      <c r="B789" s="42"/>
      <c r="C789" s="42"/>
      <c r="D789" s="42"/>
    </row>
    <row r="790" spans="2:4" x14ac:dyDescent="0.25">
      <c r="B790" s="42"/>
      <c r="C790" s="42"/>
      <c r="D790" s="42"/>
    </row>
    <row r="791" spans="2:4" x14ac:dyDescent="0.25">
      <c r="B791" s="42"/>
      <c r="C791" s="42"/>
      <c r="D791" s="42"/>
    </row>
    <row r="792" spans="2:4" x14ac:dyDescent="0.25">
      <c r="B792" s="42"/>
      <c r="C792" s="42"/>
      <c r="D792" s="42"/>
    </row>
    <row r="793" spans="2:4" x14ac:dyDescent="0.25">
      <c r="B793" s="42"/>
      <c r="C793" s="42"/>
      <c r="D793" s="42"/>
    </row>
    <row r="794" spans="2:4" x14ac:dyDescent="0.25">
      <c r="B794" s="42"/>
      <c r="C794" s="42"/>
      <c r="D794" s="42"/>
    </row>
    <row r="795" spans="2:4" x14ac:dyDescent="0.25">
      <c r="B795" s="42"/>
      <c r="C795" s="42"/>
      <c r="D795" s="42"/>
    </row>
    <row r="796" spans="2:4" x14ac:dyDescent="0.25">
      <c r="B796" s="42"/>
      <c r="C796" s="42"/>
      <c r="D796" s="42"/>
    </row>
    <row r="797" spans="2:4" x14ac:dyDescent="0.25">
      <c r="B797" s="42"/>
      <c r="C797" s="42"/>
      <c r="D797" s="42"/>
    </row>
    <row r="798" spans="2:4" x14ac:dyDescent="0.25">
      <c r="B798" s="42"/>
      <c r="C798" s="42"/>
      <c r="D798" s="42"/>
    </row>
    <row r="799" spans="2:4" x14ac:dyDescent="0.25">
      <c r="B799" s="42"/>
      <c r="C799" s="42"/>
      <c r="D799" s="42"/>
    </row>
    <row r="800" spans="2:4" x14ac:dyDescent="0.25">
      <c r="B800" s="42"/>
      <c r="C800" s="42"/>
      <c r="D800" s="42"/>
    </row>
    <row r="801" spans="2:4" x14ac:dyDescent="0.25">
      <c r="B801" s="42"/>
      <c r="C801" s="42"/>
      <c r="D801" s="42"/>
    </row>
    <row r="802" spans="2:4" x14ac:dyDescent="0.25">
      <c r="B802" s="42"/>
      <c r="C802" s="42"/>
      <c r="D802" s="42"/>
    </row>
    <row r="803" spans="2:4" x14ac:dyDescent="0.25">
      <c r="B803" s="42"/>
      <c r="C803" s="42"/>
      <c r="D803" s="42"/>
    </row>
    <row r="804" spans="2:4" x14ac:dyDescent="0.25">
      <c r="B804" s="42"/>
      <c r="C804" s="42"/>
      <c r="D804" s="42"/>
    </row>
    <row r="805" spans="2:4" x14ac:dyDescent="0.25">
      <c r="B805" s="42"/>
      <c r="C805" s="42"/>
      <c r="D805" s="42"/>
    </row>
    <row r="806" spans="2:4" x14ac:dyDescent="0.25">
      <c r="B806" s="42"/>
      <c r="C806" s="42"/>
      <c r="D806" s="42"/>
    </row>
    <row r="807" spans="2:4" x14ac:dyDescent="0.25">
      <c r="B807" s="42"/>
      <c r="C807" s="42"/>
      <c r="D807" s="42"/>
    </row>
    <row r="808" spans="2:4" x14ac:dyDescent="0.25">
      <c r="B808" s="42"/>
      <c r="C808" s="42"/>
      <c r="D808" s="42"/>
    </row>
    <row r="809" spans="2:4" x14ac:dyDescent="0.25">
      <c r="B809" s="42"/>
      <c r="C809" s="42"/>
      <c r="D809" s="42"/>
    </row>
    <row r="810" spans="2:4" x14ac:dyDescent="0.25">
      <c r="B810" s="42"/>
      <c r="C810" s="42"/>
      <c r="D810" s="42"/>
    </row>
    <row r="811" spans="2:4" x14ac:dyDescent="0.25">
      <c r="B811" s="42"/>
      <c r="C811" s="42"/>
      <c r="D811" s="42"/>
    </row>
    <row r="812" spans="2:4" x14ac:dyDescent="0.25">
      <c r="B812" s="42"/>
      <c r="C812" s="42"/>
      <c r="D812" s="42"/>
    </row>
    <row r="813" spans="2:4" x14ac:dyDescent="0.25">
      <c r="B813" s="42"/>
      <c r="C813" s="42"/>
      <c r="D813" s="42"/>
    </row>
    <row r="814" spans="2:4" x14ac:dyDescent="0.25">
      <c r="B814" s="42"/>
      <c r="C814" s="42"/>
      <c r="D814" s="42"/>
    </row>
    <row r="815" spans="2:4" x14ac:dyDescent="0.25">
      <c r="B815" s="42"/>
      <c r="C815" s="42"/>
      <c r="D815" s="42"/>
    </row>
    <row r="816" spans="2:4" x14ac:dyDescent="0.25">
      <c r="B816" s="42"/>
      <c r="C816" s="42"/>
      <c r="D816" s="42"/>
    </row>
    <row r="817" spans="2:4" x14ac:dyDescent="0.25">
      <c r="B817" s="42"/>
      <c r="C817" s="42"/>
      <c r="D817" s="42"/>
    </row>
    <row r="818" spans="2:4" x14ac:dyDescent="0.25">
      <c r="B818" s="42"/>
      <c r="C818" s="42"/>
      <c r="D818" s="42"/>
    </row>
    <row r="819" spans="2:4" x14ac:dyDescent="0.25">
      <c r="B819" s="42"/>
      <c r="C819" s="42"/>
      <c r="D819" s="42"/>
    </row>
    <row r="820" spans="2:4" x14ac:dyDescent="0.25">
      <c r="B820" s="42"/>
      <c r="C820" s="42"/>
      <c r="D820" s="42"/>
    </row>
    <row r="821" spans="2:4" x14ac:dyDescent="0.25">
      <c r="B821" s="42"/>
      <c r="C821" s="42"/>
      <c r="D821" s="42"/>
    </row>
    <row r="822" spans="2:4" x14ac:dyDescent="0.25">
      <c r="B822" s="42"/>
      <c r="C822" s="42"/>
      <c r="D822" s="42"/>
    </row>
    <row r="823" spans="2:4" x14ac:dyDescent="0.25">
      <c r="B823" s="42"/>
      <c r="C823" s="42"/>
      <c r="D823" s="42"/>
    </row>
    <row r="824" spans="2:4" x14ac:dyDescent="0.25">
      <c r="B824" s="42"/>
      <c r="C824" s="42"/>
      <c r="D824" s="42"/>
    </row>
    <row r="825" spans="2:4" x14ac:dyDescent="0.25">
      <c r="B825" s="42"/>
      <c r="C825" s="42"/>
      <c r="D825" s="42"/>
    </row>
    <row r="826" spans="2:4" x14ac:dyDescent="0.25">
      <c r="B826" s="42"/>
      <c r="C826" s="42"/>
      <c r="D826" s="42"/>
    </row>
    <row r="827" spans="2:4" x14ac:dyDescent="0.25">
      <c r="B827" s="42"/>
      <c r="C827" s="42"/>
      <c r="D827" s="42"/>
    </row>
    <row r="828" spans="2:4" x14ac:dyDescent="0.25">
      <c r="B828" s="42"/>
      <c r="C828" s="42"/>
      <c r="D828" s="42"/>
    </row>
    <row r="829" spans="2:4" x14ac:dyDescent="0.25">
      <c r="B829" s="42"/>
      <c r="C829" s="42"/>
      <c r="D829" s="42"/>
    </row>
    <row r="830" spans="2:4" x14ac:dyDescent="0.25">
      <c r="B830" s="42"/>
      <c r="C830" s="42"/>
      <c r="D830" s="42"/>
    </row>
    <row r="831" spans="2:4" x14ac:dyDescent="0.25">
      <c r="B831" s="42"/>
      <c r="C831" s="42"/>
      <c r="D831" s="42"/>
    </row>
    <row r="832" spans="2:4" x14ac:dyDescent="0.25">
      <c r="B832" s="42"/>
      <c r="C832" s="42"/>
      <c r="D832" s="42"/>
    </row>
    <row r="833" spans="2:4" x14ac:dyDescent="0.25">
      <c r="B833" s="42"/>
      <c r="C833" s="42"/>
      <c r="D833" s="42"/>
    </row>
    <row r="834" spans="2:4" x14ac:dyDescent="0.25">
      <c r="B834" s="42"/>
      <c r="C834" s="42"/>
      <c r="D834" s="42"/>
    </row>
    <row r="835" spans="2:4" x14ac:dyDescent="0.25">
      <c r="B835" s="42"/>
      <c r="C835" s="42"/>
      <c r="D835" s="42"/>
    </row>
    <row r="836" spans="2:4" x14ac:dyDescent="0.25">
      <c r="B836" s="42"/>
      <c r="C836" s="42"/>
      <c r="D836" s="42"/>
    </row>
    <row r="837" spans="2:4" x14ac:dyDescent="0.25">
      <c r="B837" s="42"/>
      <c r="C837" s="42"/>
      <c r="D837" s="42"/>
    </row>
    <row r="838" spans="2:4" x14ac:dyDescent="0.25">
      <c r="B838" s="42"/>
      <c r="C838" s="42"/>
      <c r="D838" s="42"/>
    </row>
    <row r="839" spans="2:4" x14ac:dyDescent="0.25">
      <c r="B839" s="42"/>
      <c r="C839" s="42"/>
      <c r="D839" s="42"/>
    </row>
    <row r="840" spans="2:4" x14ac:dyDescent="0.25">
      <c r="B840" s="42"/>
      <c r="C840" s="42"/>
      <c r="D840" s="42"/>
    </row>
    <row r="841" spans="2:4" x14ac:dyDescent="0.25">
      <c r="B841" s="42"/>
      <c r="C841" s="42"/>
      <c r="D841" s="42"/>
    </row>
    <row r="842" spans="2:4" x14ac:dyDescent="0.25">
      <c r="B842" s="42"/>
      <c r="C842" s="42"/>
      <c r="D842" s="42"/>
    </row>
    <row r="843" spans="2:4" x14ac:dyDescent="0.25">
      <c r="B843" s="42"/>
      <c r="C843" s="42"/>
      <c r="D843" s="42"/>
    </row>
    <row r="844" spans="2:4" x14ac:dyDescent="0.25">
      <c r="B844" s="42"/>
      <c r="C844" s="42"/>
      <c r="D844" s="42"/>
    </row>
    <row r="845" spans="2:4" x14ac:dyDescent="0.25">
      <c r="B845" s="42"/>
      <c r="C845" s="42"/>
      <c r="D845" s="42"/>
    </row>
    <row r="846" spans="2:4" x14ac:dyDescent="0.25">
      <c r="B846" s="42"/>
      <c r="C846" s="42"/>
      <c r="D846" s="42"/>
    </row>
    <row r="847" spans="2:4" x14ac:dyDescent="0.25">
      <c r="B847" s="42"/>
      <c r="C847" s="42"/>
      <c r="D847" s="42"/>
    </row>
    <row r="848" spans="2:4" x14ac:dyDescent="0.25">
      <c r="B848" s="42"/>
      <c r="C848" s="42"/>
      <c r="D848" s="42"/>
    </row>
    <row r="849" spans="2:4" x14ac:dyDescent="0.25">
      <c r="B849" s="42"/>
      <c r="C849" s="42"/>
      <c r="D849" s="42"/>
    </row>
    <row r="850" spans="2:4" x14ac:dyDescent="0.25">
      <c r="B850" s="42"/>
      <c r="C850" s="42"/>
      <c r="D850" s="42"/>
    </row>
    <row r="851" spans="2:4" x14ac:dyDescent="0.25">
      <c r="B851" s="42"/>
      <c r="C851" s="42"/>
      <c r="D851" s="42"/>
    </row>
    <row r="852" spans="2:4" x14ac:dyDescent="0.25">
      <c r="B852" s="42"/>
      <c r="C852" s="42"/>
      <c r="D852" s="42"/>
    </row>
    <row r="853" spans="2:4" x14ac:dyDescent="0.25">
      <c r="B853" s="42"/>
      <c r="C853" s="42"/>
      <c r="D853" s="42"/>
    </row>
    <row r="854" spans="2:4" x14ac:dyDescent="0.25">
      <c r="B854" s="42"/>
      <c r="C854" s="42"/>
      <c r="D854" s="42"/>
    </row>
    <row r="855" spans="2:4" x14ac:dyDescent="0.25">
      <c r="B855" s="42"/>
      <c r="C855" s="42"/>
      <c r="D855" s="42"/>
    </row>
    <row r="856" spans="2:4" x14ac:dyDescent="0.25">
      <c r="B856" s="42"/>
      <c r="C856" s="42"/>
      <c r="D856" s="42"/>
    </row>
    <row r="857" spans="2:4" x14ac:dyDescent="0.25">
      <c r="B857" s="42"/>
      <c r="C857" s="42"/>
      <c r="D857" s="42"/>
    </row>
    <row r="858" spans="2:4" x14ac:dyDescent="0.25">
      <c r="B858" s="42"/>
      <c r="C858" s="42"/>
      <c r="D858" s="42"/>
    </row>
    <row r="859" spans="2:4" x14ac:dyDescent="0.25">
      <c r="B859" s="42"/>
      <c r="C859" s="42"/>
      <c r="D859" s="42"/>
    </row>
    <row r="860" spans="2:4" x14ac:dyDescent="0.25">
      <c r="B860" s="42"/>
      <c r="C860" s="42"/>
      <c r="D860" s="42"/>
    </row>
    <row r="861" spans="2:4" x14ac:dyDescent="0.25">
      <c r="B861" s="42"/>
      <c r="C861" s="42"/>
      <c r="D861" s="42"/>
    </row>
    <row r="862" spans="2:4" x14ac:dyDescent="0.25">
      <c r="B862" s="42"/>
      <c r="C862" s="42"/>
      <c r="D862" s="42"/>
    </row>
    <row r="863" spans="2:4" x14ac:dyDescent="0.25">
      <c r="B863" s="42"/>
      <c r="C863" s="42"/>
      <c r="D863" s="42"/>
    </row>
    <row r="864" spans="2:4" x14ac:dyDescent="0.25">
      <c r="B864" s="42"/>
      <c r="C864" s="42"/>
      <c r="D864" s="42"/>
    </row>
    <row r="865" spans="2:4" x14ac:dyDescent="0.25">
      <c r="B865" s="42"/>
      <c r="C865" s="42"/>
      <c r="D865" s="42"/>
    </row>
    <row r="866" spans="2:4" x14ac:dyDescent="0.25">
      <c r="B866" s="42"/>
      <c r="C866" s="42"/>
      <c r="D866" s="42"/>
    </row>
    <row r="867" spans="2:4" x14ac:dyDescent="0.25">
      <c r="B867" s="42"/>
      <c r="C867" s="42"/>
      <c r="D867" s="42"/>
    </row>
    <row r="868" spans="2:4" x14ac:dyDescent="0.25">
      <c r="B868" s="42"/>
      <c r="C868" s="42"/>
      <c r="D868" s="42"/>
    </row>
    <row r="869" spans="2:4" x14ac:dyDescent="0.25">
      <c r="B869" s="42"/>
      <c r="C869" s="42"/>
      <c r="D869" s="42"/>
    </row>
    <row r="870" spans="2:4" x14ac:dyDescent="0.25">
      <c r="B870" s="42"/>
      <c r="C870" s="42"/>
      <c r="D870" s="42"/>
    </row>
    <row r="871" spans="2:4" x14ac:dyDescent="0.25">
      <c r="B871" s="42"/>
      <c r="C871" s="42"/>
      <c r="D871" s="42"/>
    </row>
    <row r="872" spans="2:4" x14ac:dyDescent="0.25">
      <c r="B872" s="42"/>
      <c r="C872" s="42"/>
      <c r="D872" s="42"/>
    </row>
    <row r="873" spans="2:4" x14ac:dyDescent="0.25">
      <c r="B873" s="42"/>
      <c r="C873" s="42"/>
      <c r="D873" s="42"/>
    </row>
    <row r="874" spans="2:4" x14ac:dyDescent="0.25">
      <c r="B874" s="42"/>
      <c r="C874" s="42"/>
      <c r="D874" s="42"/>
    </row>
    <row r="875" spans="2:4" x14ac:dyDescent="0.25">
      <c r="B875" s="42"/>
      <c r="C875" s="42"/>
      <c r="D875" s="42"/>
    </row>
    <row r="876" spans="2:4" x14ac:dyDescent="0.25">
      <c r="B876" s="42"/>
      <c r="C876" s="42"/>
      <c r="D876" s="42"/>
    </row>
    <row r="877" spans="2:4" x14ac:dyDescent="0.25">
      <c r="B877" s="42"/>
      <c r="C877" s="42"/>
      <c r="D877" s="42"/>
    </row>
    <row r="878" spans="2:4" x14ac:dyDescent="0.25">
      <c r="B878" s="42"/>
      <c r="C878" s="42"/>
      <c r="D878" s="42"/>
    </row>
    <row r="879" spans="2:4" x14ac:dyDescent="0.25">
      <c r="B879" s="42"/>
      <c r="C879" s="42"/>
      <c r="D879" s="42"/>
    </row>
    <row r="880" spans="2:4" x14ac:dyDescent="0.25">
      <c r="B880" s="42"/>
      <c r="C880" s="42"/>
      <c r="D880" s="42"/>
    </row>
    <row r="881" spans="2:4" x14ac:dyDescent="0.25">
      <c r="B881" s="42"/>
      <c r="C881" s="42"/>
      <c r="D881" s="42"/>
    </row>
    <row r="882" spans="2:4" x14ac:dyDescent="0.25">
      <c r="B882" s="42"/>
      <c r="C882" s="42"/>
      <c r="D882" s="42"/>
    </row>
    <row r="883" spans="2:4" x14ac:dyDescent="0.25">
      <c r="B883" s="42"/>
      <c r="C883" s="42"/>
      <c r="D883" s="42"/>
    </row>
    <row r="884" spans="2:4" x14ac:dyDescent="0.25">
      <c r="B884" s="42"/>
      <c r="C884" s="42"/>
      <c r="D884" s="42"/>
    </row>
    <row r="885" spans="2:4" x14ac:dyDescent="0.25">
      <c r="B885" s="42"/>
      <c r="C885" s="42"/>
      <c r="D885" s="42"/>
    </row>
    <row r="886" spans="2:4" x14ac:dyDescent="0.25">
      <c r="B886" s="42"/>
      <c r="C886" s="42"/>
      <c r="D886" s="42"/>
    </row>
    <row r="887" spans="2:4" x14ac:dyDescent="0.25">
      <c r="B887" s="42"/>
      <c r="C887" s="42"/>
      <c r="D887" s="42"/>
    </row>
    <row r="888" spans="2:4" x14ac:dyDescent="0.25">
      <c r="B888" s="42"/>
      <c r="C888" s="42"/>
      <c r="D888" s="42"/>
    </row>
    <row r="889" spans="2:4" x14ac:dyDescent="0.25">
      <c r="B889" s="42"/>
      <c r="C889" s="42"/>
      <c r="D889" s="42"/>
    </row>
    <row r="890" spans="2:4" x14ac:dyDescent="0.25">
      <c r="B890" s="42"/>
      <c r="C890" s="42"/>
      <c r="D890" s="42"/>
    </row>
    <row r="891" spans="2:4" x14ac:dyDescent="0.25">
      <c r="B891" s="42"/>
      <c r="C891" s="42"/>
      <c r="D891" s="42"/>
    </row>
    <row r="892" spans="2:4" x14ac:dyDescent="0.25">
      <c r="B892" s="42"/>
      <c r="C892" s="42"/>
      <c r="D892" s="42"/>
    </row>
    <row r="893" spans="2:4" x14ac:dyDescent="0.25">
      <c r="B893" s="42"/>
      <c r="C893" s="42"/>
      <c r="D893" s="42"/>
    </row>
    <row r="894" spans="2:4" x14ac:dyDescent="0.25">
      <c r="B894" s="42"/>
      <c r="C894" s="42"/>
      <c r="D894" s="42"/>
    </row>
    <row r="895" spans="2:4" x14ac:dyDescent="0.25">
      <c r="B895" s="42"/>
      <c r="C895" s="42"/>
      <c r="D895" s="42"/>
    </row>
    <row r="896" spans="2:4" x14ac:dyDescent="0.25">
      <c r="B896" s="42"/>
      <c r="C896" s="42"/>
      <c r="D896" s="42"/>
    </row>
    <row r="897" spans="2:4" x14ac:dyDescent="0.25">
      <c r="B897" s="42"/>
      <c r="C897" s="42"/>
      <c r="D897" s="42"/>
    </row>
    <row r="898" spans="2:4" x14ac:dyDescent="0.25">
      <c r="B898" s="42"/>
      <c r="C898" s="42"/>
      <c r="D898" s="42"/>
    </row>
    <row r="899" spans="2:4" x14ac:dyDescent="0.25">
      <c r="B899" s="42"/>
      <c r="C899" s="42"/>
      <c r="D899" s="42"/>
    </row>
    <row r="900" spans="2:4" x14ac:dyDescent="0.25">
      <c r="B900" s="42"/>
      <c r="C900" s="42"/>
      <c r="D900" s="42"/>
    </row>
    <row r="901" spans="2:4" x14ac:dyDescent="0.25">
      <c r="B901" s="42"/>
      <c r="C901" s="42"/>
      <c r="D901" s="42"/>
    </row>
    <row r="902" spans="2:4" x14ac:dyDescent="0.25">
      <c r="B902" s="42"/>
      <c r="C902" s="42"/>
      <c r="D902" s="42"/>
    </row>
    <row r="903" spans="2:4" x14ac:dyDescent="0.25">
      <c r="B903" s="42"/>
      <c r="C903" s="42"/>
      <c r="D903" s="42"/>
    </row>
    <row r="904" spans="2:4" x14ac:dyDescent="0.25">
      <c r="B904" s="42"/>
      <c r="C904" s="42"/>
      <c r="D904" s="42"/>
    </row>
    <row r="905" spans="2:4" x14ac:dyDescent="0.25">
      <c r="B905" s="42"/>
      <c r="C905" s="42"/>
      <c r="D905" s="42"/>
    </row>
    <row r="906" spans="2:4" x14ac:dyDescent="0.25">
      <c r="B906" s="42"/>
      <c r="C906" s="42"/>
      <c r="D906" s="42"/>
    </row>
    <row r="907" spans="2:4" x14ac:dyDescent="0.25">
      <c r="B907" s="42"/>
      <c r="C907" s="42"/>
      <c r="D907" s="42"/>
    </row>
    <row r="908" spans="2:4" x14ac:dyDescent="0.25">
      <c r="B908" s="42"/>
      <c r="C908" s="42"/>
      <c r="D908" s="42"/>
    </row>
    <row r="909" spans="2:4" x14ac:dyDescent="0.25">
      <c r="B909" s="42"/>
      <c r="C909" s="42"/>
      <c r="D909" s="42"/>
    </row>
    <row r="910" spans="2:4" x14ac:dyDescent="0.25">
      <c r="B910" s="42"/>
      <c r="C910" s="42"/>
      <c r="D910" s="42"/>
    </row>
    <row r="911" spans="2:4" x14ac:dyDescent="0.25">
      <c r="B911" s="42"/>
      <c r="C911" s="42"/>
      <c r="D911" s="42"/>
    </row>
    <row r="912" spans="2:4" x14ac:dyDescent="0.25">
      <c r="B912" s="42"/>
      <c r="C912" s="42"/>
      <c r="D912" s="42"/>
    </row>
    <row r="913" spans="2:4" x14ac:dyDescent="0.25">
      <c r="B913" s="42"/>
      <c r="C913" s="42"/>
      <c r="D913" s="42"/>
    </row>
    <row r="914" spans="2:4" x14ac:dyDescent="0.25">
      <c r="B914" s="42"/>
      <c r="C914" s="42"/>
      <c r="D914" s="42"/>
    </row>
    <row r="915" spans="2:4" x14ac:dyDescent="0.25">
      <c r="B915" s="42"/>
      <c r="C915" s="42"/>
      <c r="D915" s="42"/>
    </row>
    <row r="916" spans="2:4" x14ac:dyDescent="0.25">
      <c r="B916" s="42"/>
      <c r="C916" s="42"/>
      <c r="D916" s="42"/>
    </row>
    <row r="917" spans="2:4" x14ac:dyDescent="0.25">
      <c r="B917" s="42"/>
      <c r="C917" s="42"/>
      <c r="D917" s="42"/>
    </row>
    <row r="918" spans="2:4" x14ac:dyDescent="0.25">
      <c r="B918" s="42"/>
      <c r="C918" s="42"/>
      <c r="D918" s="42"/>
    </row>
    <row r="919" spans="2:4" x14ac:dyDescent="0.25">
      <c r="B919" s="42"/>
      <c r="C919" s="42"/>
      <c r="D919" s="42"/>
    </row>
    <row r="920" spans="2:4" x14ac:dyDescent="0.25">
      <c r="B920" s="42"/>
      <c r="C920" s="42"/>
      <c r="D920" s="42"/>
    </row>
    <row r="921" spans="2:4" x14ac:dyDescent="0.25">
      <c r="B921" s="42"/>
      <c r="C921" s="42"/>
      <c r="D921" s="42"/>
    </row>
    <row r="922" spans="2:4" x14ac:dyDescent="0.25">
      <c r="B922" s="42"/>
      <c r="C922" s="42"/>
      <c r="D922" s="42"/>
    </row>
    <row r="923" spans="2:4" x14ac:dyDescent="0.25">
      <c r="B923" s="42"/>
      <c r="C923" s="42"/>
      <c r="D923" s="42"/>
    </row>
    <row r="924" spans="2:4" x14ac:dyDescent="0.25">
      <c r="B924" s="42"/>
      <c r="C924" s="42"/>
      <c r="D924" s="42"/>
    </row>
    <row r="925" spans="2:4" x14ac:dyDescent="0.25">
      <c r="B925" s="42"/>
      <c r="C925" s="42"/>
      <c r="D925" s="42"/>
    </row>
    <row r="926" spans="2:4" x14ac:dyDescent="0.25">
      <c r="B926" s="42"/>
      <c r="C926" s="42"/>
      <c r="D926" s="42"/>
    </row>
    <row r="927" spans="2:4" x14ac:dyDescent="0.25">
      <c r="B927" s="42"/>
      <c r="C927" s="42"/>
      <c r="D927" s="42"/>
    </row>
    <row r="928" spans="2:4" x14ac:dyDescent="0.25">
      <c r="B928" s="42"/>
      <c r="C928" s="42"/>
      <c r="D928" s="42"/>
    </row>
    <row r="929" spans="2:4" x14ac:dyDescent="0.25">
      <c r="B929" s="42"/>
      <c r="C929" s="42"/>
      <c r="D929" s="42"/>
    </row>
    <row r="930" spans="2:4" x14ac:dyDescent="0.25">
      <c r="B930" s="42"/>
      <c r="C930" s="42"/>
      <c r="D930" s="42"/>
    </row>
    <row r="931" spans="2:4" x14ac:dyDescent="0.25">
      <c r="B931" s="42"/>
      <c r="C931" s="42"/>
      <c r="D931" s="42"/>
    </row>
    <row r="932" spans="2:4" x14ac:dyDescent="0.25">
      <c r="B932" s="42"/>
      <c r="C932" s="42"/>
      <c r="D932" s="42"/>
    </row>
    <row r="933" spans="2:4" x14ac:dyDescent="0.25">
      <c r="B933" s="42"/>
      <c r="C933" s="42"/>
      <c r="D933" s="42"/>
    </row>
    <row r="934" spans="2:4" x14ac:dyDescent="0.25">
      <c r="B934" s="42"/>
      <c r="C934" s="42"/>
      <c r="D934" s="42"/>
    </row>
    <row r="935" spans="2:4" x14ac:dyDescent="0.25">
      <c r="B935" s="42"/>
      <c r="C935" s="42"/>
      <c r="D935" s="42"/>
    </row>
    <row r="936" spans="2:4" x14ac:dyDescent="0.25">
      <c r="B936" s="42"/>
      <c r="C936" s="42"/>
      <c r="D936" s="42"/>
    </row>
    <row r="937" spans="2:4" x14ac:dyDescent="0.25">
      <c r="B937" s="42"/>
      <c r="C937" s="42"/>
      <c r="D937" s="42"/>
    </row>
    <row r="938" spans="2:4" x14ac:dyDescent="0.25">
      <c r="B938" s="42"/>
      <c r="C938" s="42"/>
      <c r="D938" s="42"/>
    </row>
    <row r="939" spans="2:4" x14ac:dyDescent="0.25">
      <c r="B939" s="42"/>
      <c r="C939" s="42"/>
      <c r="D939" s="42"/>
    </row>
    <row r="940" spans="2:4" x14ac:dyDescent="0.25">
      <c r="B940" s="42"/>
      <c r="C940" s="42"/>
      <c r="D940" s="42"/>
    </row>
    <row r="941" spans="2:4" x14ac:dyDescent="0.25">
      <c r="B941" s="42"/>
      <c r="C941" s="42"/>
      <c r="D941" s="42"/>
    </row>
    <row r="942" spans="2:4" x14ac:dyDescent="0.25">
      <c r="B942" s="42"/>
      <c r="C942" s="42"/>
      <c r="D942" s="42"/>
    </row>
    <row r="943" spans="2:4" x14ac:dyDescent="0.25">
      <c r="B943" s="42"/>
      <c r="C943" s="42"/>
      <c r="D943" s="42"/>
    </row>
    <row r="944" spans="2:4" x14ac:dyDescent="0.25">
      <c r="B944" s="42"/>
      <c r="C944" s="42"/>
      <c r="D944" s="42"/>
    </row>
    <row r="945" spans="2:4" x14ac:dyDescent="0.25">
      <c r="B945" s="42"/>
      <c r="C945" s="42"/>
      <c r="D945" s="42"/>
    </row>
    <row r="946" spans="2:4" x14ac:dyDescent="0.25">
      <c r="B946" s="42"/>
      <c r="C946" s="42"/>
      <c r="D946" s="42"/>
    </row>
    <row r="947" spans="2:4" x14ac:dyDescent="0.25">
      <c r="B947" s="42"/>
      <c r="C947" s="42"/>
      <c r="D947" s="42"/>
    </row>
    <row r="948" spans="2:4" x14ac:dyDescent="0.25">
      <c r="B948" s="42"/>
      <c r="C948" s="42"/>
      <c r="D948" s="42"/>
    </row>
    <row r="949" spans="2:4" x14ac:dyDescent="0.25">
      <c r="B949" s="42"/>
      <c r="C949" s="42"/>
      <c r="D949" s="42"/>
    </row>
    <row r="950" spans="2:4" x14ac:dyDescent="0.25">
      <c r="B950" s="42"/>
      <c r="C950" s="42"/>
      <c r="D950" s="42"/>
    </row>
    <row r="951" spans="2:4" x14ac:dyDescent="0.25">
      <c r="B951" s="42"/>
      <c r="C951" s="42"/>
      <c r="D951" s="42"/>
    </row>
    <row r="952" spans="2:4" x14ac:dyDescent="0.25">
      <c r="B952" s="42"/>
      <c r="C952" s="42"/>
      <c r="D952" s="42"/>
    </row>
    <row r="953" spans="2:4" x14ac:dyDescent="0.25">
      <c r="B953" s="42"/>
      <c r="C953" s="42"/>
      <c r="D953" s="42"/>
    </row>
    <row r="954" spans="2:4" x14ac:dyDescent="0.25">
      <c r="B954" s="42"/>
      <c r="C954" s="42"/>
      <c r="D954" s="42"/>
    </row>
    <row r="955" spans="2:4" x14ac:dyDescent="0.25">
      <c r="B955" s="42"/>
      <c r="C955" s="42"/>
      <c r="D955" s="42"/>
    </row>
    <row r="956" spans="2:4" x14ac:dyDescent="0.25">
      <c r="B956" s="42"/>
      <c r="C956" s="42"/>
      <c r="D956" s="42"/>
    </row>
    <row r="957" spans="2:4" x14ac:dyDescent="0.25">
      <c r="B957" s="42"/>
      <c r="C957" s="42"/>
      <c r="D957" s="42"/>
    </row>
    <row r="958" spans="2:4" x14ac:dyDescent="0.25">
      <c r="B958" s="42"/>
      <c r="C958" s="42"/>
      <c r="D958" s="42"/>
    </row>
    <row r="959" spans="2:4" x14ac:dyDescent="0.25">
      <c r="B959" s="42"/>
      <c r="C959" s="42"/>
      <c r="D959" s="42"/>
    </row>
    <row r="960" spans="2:4" x14ac:dyDescent="0.25">
      <c r="B960" s="42"/>
      <c r="C960" s="42"/>
      <c r="D960" s="42"/>
    </row>
    <row r="961" spans="2:4" x14ac:dyDescent="0.25">
      <c r="B961" s="42"/>
      <c r="C961" s="42"/>
      <c r="D961" s="42"/>
    </row>
    <row r="962" spans="2:4" x14ac:dyDescent="0.25">
      <c r="B962" s="42"/>
      <c r="C962" s="42"/>
      <c r="D962" s="42"/>
    </row>
    <row r="963" spans="2:4" x14ac:dyDescent="0.25">
      <c r="B963" s="42"/>
      <c r="C963" s="42"/>
      <c r="D963" s="42"/>
    </row>
    <row r="964" spans="2:4" x14ac:dyDescent="0.25">
      <c r="B964" s="42"/>
      <c r="C964" s="42"/>
      <c r="D964" s="42"/>
    </row>
    <row r="965" spans="2:4" x14ac:dyDescent="0.25">
      <c r="B965" s="42"/>
      <c r="C965" s="42"/>
      <c r="D965" s="42"/>
    </row>
    <row r="966" spans="2:4" x14ac:dyDescent="0.25">
      <c r="B966" s="42"/>
      <c r="C966" s="42"/>
      <c r="D966" s="42"/>
    </row>
    <row r="967" spans="2:4" x14ac:dyDescent="0.25">
      <c r="B967" s="42"/>
      <c r="C967" s="42"/>
      <c r="D967" s="42"/>
    </row>
    <row r="968" spans="2:4" x14ac:dyDescent="0.25">
      <c r="B968" s="42"/>
      <c r="C968" s="42"/>
      <c r="D968" s="42"/>
    </row>
    <row r="969" spans="2:4" x14ac:dyDescent="0.25">
      <c r="B969" s="42"/>
      <c r="C969" s="42"/>
      <c r="D969" s="42"/>
    </row>
    <row r="970" spans="2:4" x14ac:dyDescent="0.25">
      <c r="B970" s="42"/>
      <c r="C970" s="42"/>
      <c r="D970" s="42"/>
    </row>
    <row r="971" spans="2:4" x14ac:dyDescent="0.25">
      <c r="B971" s="42"/>
      <c r="C971" s="42"/>
      <c r="D971" s="42"/>
    </row>
    <row r="972" spans="2:4" x14ac:dyDescent="0.25">
      <c r="B972" s="42"/>
      <c r="C972" s="42"/>
      <c r="D972" s="42"/>
    </row>
    <row r="973" spans="2:4" x14ac:dyDescent="0.25">
      <c r="B973" s="42"/>
      <c r="C973" s="42"/>
      <c r="D973" s="42"/>
    </row>
    <row r="974" spans="2:4" x14ac:dyDescent="0.25">
      <c r="B974" s="42"/>
      <c r="C974" s="42"/>
      <c r="D974" s="42"/>
    </row>
    <row r="975" spans="2:4" x14ac:dyDescent="0.25">
      <c r="B975" s="42"/>
      <c r="C975" s="42"/>
      <c r="D975" s="42"/>
    </row>
    <row r="976" spans="2:4" x14ac:dyDescent="0.25">
      <c r="B976" s="42"/>
      <c r="C976" s="42"/>
      <c r="D976" s="42"/>
    </row>
    <row r="977" spans="2:4" x14ac:dyDescent="0.25">
      <c r="B977" s="42"/>
      <c r="C977" s="42"/>
      <c r="D977" s="42"/>
    </row>
    <row r="978" spans="2:4" x14ac:dyDescent="0.25">
      <c r="B978" s="42"/>
      <c r="C978" s="42"/>
      <c r="D978" s="42"/>
    </row>
    <row r="979" spans="2:4" x14ac:dyDescent="0.25">
      <c r="B979" s="42"/>
      <c r="C979" s="42"/>
      <c r="D979" s="42"/>
    </row>
    <row r="980" spans="2:4" x14ac:dyDescent="0.25">
      <c r="B980" s="42"/>
      <c r="C980" s="42"/>
      <c r="D980" s="42"/>
    </row>
    <row r="981" spans="2:4" x14ac:dyDescent="0.25">
      <c r="B981" s="42"/>
      <c r="C981" s="42"/>
      <c r="D981" s="42"/>
    </row>
    <row r="982" spans="2:4" x14ac:dyDescent="0.25">
      <c r="B982" s="42"/>
      <c r="C982" s="42"/>
      <c r="D982" s="42"/>
    </row>
    <row r="983" spans="2:4" x14ac:dyDescent="0.25">
      <c r="B983" s="42"/>
      <c r="C983" s="42"/>
      <c r="D983" s="42"/>
    </row>
    <row r="984" spans="2:4" x14ac:dyDescent="0.25">
      <c r="B984" s="42"/>
      <c r="C984" s="42"/>
      <c r="D984" s="42"/>
    </row>
    <row r="985" spans="2:4" x14ac:dyDescent="0.25">
      <c r="B985" s="42"/>
      <c r="C985" s="42"/>
      <c r="D985" s="42"/>
    </row>
    <row r="986" spans="2:4" x14ac:dyDescent="0.25">
      <c r="B986" s="42"/>
      <c r="C986" s="42"/>
      <c r="D986" s="42"/>
    </row>
    <row r="987" spans="2:4" x14ac:dyDescent="0.25">
      <c r="B987" s="42"/>
      <c r="C987" s="42"/>
      <c r="D987" s="42"/>
    </row>
    <row r="988" spans="2:4" x14ac:dyDescent="0.25">
      <c r="B988" s="42"/>
      <c r="C988" s="42"/>
      <c r="D988" s="42"/>
    </row>
    <row r="989" spans="2:4" x14ac:dyDescent="0.25">
      <c r="B989" s="42"/>
      <c r="C989" s="42"/>
      <c r="D989" s="42"/>
    </row>
    <row r="990" spans="2:4" x14ac:dyDescent="0.25">
      <c r="B990" s="42"/>
      <c r="C990" s="42"/>
      <c r="D990" s="42"/>
    </row>
    <row r="991" spans="2:4" x14ac:dyDescent="0.25">
      <c r="B991" s="42"/>
      <c r="C991" s="42"/>
      <c r="D991" s="42"/>
    </row>
    <row r="992" spans="2:4" x14ac:dyDescent="0.25">
      <c r="B992" s="42"/>
      <c r="C992" s="42"/>
      <c r="D992" s="42"/>
    </row>
    <row r="993" spans="2:4" x14ac:dyDescent="0.25">
      <c r="B993" s="42"/>
      <c r="C993" s="42"/>
      <c r="D993" s="42"/>
    </row>
    <row r="994" spans="2:4" x14ac:dyDescent="0.25">
      <c r="B994" s="42"/>
      <c r="C994" s="42"/>
      <c r="D994" s="42"/>
    </row>
    <row r="995" spans="2:4" x14ac:dyDescent="0.25">
      <c r="B995" s="42"/>
      <c r="C995" s="42"/>
      <c r="D995" s="42"/>
    </row>
    <row r="996" spans="2:4" x14ac:dyDescent="0.25">
      <c r="B996" s="42"/>
      <c r="C996" s="42"/>
      <c r="D996" s="42"/>
    </row>
    <row r="997" spans="2:4" x14ac:dyDescent="0.25">
      <c r="B997" s="42"/>
      <c r="C997" s="42"/>
      <c r="D997" s="42"/>
    </row>
    <row r="998" spans="2:4" x14ac:dyDescent="0.25">
      <c r="B998" s="42"/>
      <c r="C998" s="42"/>
      <c r="D998" s="42"/>
    </row>
    <row r="999" spans="2:4" x14ac:dyDescent="0.25">
      <c r="B999" s="42"/>
      <c r="C999" s="42"/>
      <c r="D999" s="42"/>
    </row>
    <row r="1000" spans="2:4" x14ac:dyDescent="0.25">
      <c r="B1000" s="42"/>
      <c r="C1000" s="42"/>
      <c r="D1000" s="42"/>
    </row>
    <row r="1001" spans="2:4" x14ac:dyDescent="0.25">
      <c r="B1001" s="42"/>
      <c r="C1001" s="42"/>
      <c r="D1001" s="42"/>
    </row>
    <row r="1002" spans="2:4" x14ac:dyDescent="0.25">
      <c r="B1002" s="42"/>
      <c r="C1002" s="42"/>
      <c r="D1002" s="42"/>
    </row>
    <row r="1003" spans="2:4" x14ac:dyDescent="0.25">
      <c r="B1003" s="42"/>
      <c r="C1003" s="42"/>
      <c r="D1003" s="42"/>
    </row>
    <row r="1004" spans="2:4" x14ac:dyDescent="0.25">
      <c r="B1004" s="42"/>
      <c r="C1004" s="42"/>
      <c r="D1004" s="42"/>
    </row>
    <row r="1005" spans="2:4" x14ac:dyDescent="0.25">
      <c r="B1005" s="32"/>
    </row>
    <row r="1006" spans="2:4" x14ac:dyDescent="0.25">
      <c r="B1006" s="32"/>
    </row>
    <row r="1007" spans="2:4" x14ac:dyDescent="0.25">
      <c r="B1007" s="32"/>
    </row>
    <row r="1008" spans="2:4" x14ac:dyDescent="0.25">
      <c r="B1008" s="32"/>
    </row>
    <row r="1009" spans="2:2" x14ac:dyDescent="0.25">
      <c r="B1009" s="32"/>
    </row>
    <row r="1010" spans="2:2" x14ac:dyDescent="0.25">
      <c r="B1010" s="32"/>
    </row>
    <row r="1011" spans="2:2" x14ac:dyDescent="0.25">
      <c r="B1011" s="32"/>
    </row>
    <row r="1012" spans="2:2" x14ac:dyDescent="0.25">
      <c r="B1012" s="32"/>
    </row>
    <row r="1013" spans="2:2" x14ac:dyDescent="0.25">
      <c r="B1013" s="32"/>
    </row>
    <row r="1014" spans="2:2" x14ac:dyDescent="0.25">
      <c r="B1014" s="32"/>
    </row>
    <row r="1015" spans="2:2" x14ac:dyDescent="0.25">
      <c r="B1015" s="32"/>
    </row>
    <row r="1016" spans="2:2" x14ac:dyDescent="0.25">
      <c r="B1016" s="32"/>
    </row>
    <row r="1017" spans="2:2" x14ac:dyDescent="0.25">
      <c r="B1017" s="32"/>
    </row>
    <row r="1018" spans="2:2" x14ac:dyDescent="0.25">
      <c r="B1018" s="32"/>
    </row>
    <row r="1019" spans="2:2" x14ac:dyDescent="0.25">
      <c r="B1019" s="32"/>
    </row>
    <row r="1020" spans="2:2" x14ac:dyDescent="0.25">
      <c r="B1020" s="32"/>
    </row>
    <row r="1021" spans="2:2" x14ac:dyDescent="0.25">
      <c r="B1021" s="32"/>
    </row>
    <row r="1022" spans="2:2" x14ac:dyDescent="0.25">
      <c r="B1022" s="32"/>
    </row>
    <row r="1023" spans="2:2" x14ac:dyDescent="0.25">
      <c r="B1023" s="32"/>
    </row>
    <row r="1024" spans="2:2" x14ac:dyDescent="0.25">
      <c r="B1024" s="32"/>
    </row>
    <row r="1025" spans="2:2" x14ac:dyDescent="0.25">
      <c r="B1025" s="32"/>
    </row>
    <row r="1026" spans="2:2" x14ac:dyDescent="0.25">
      <c r="B1026" s="32"/>
    </row>
    <row r="1027" spans="2:2" x14ac:dyDescent="0.25">
      <c r="B1027" s="32"/>
    </row>
    <row r="1028" spans="2:2" x14ac:dyDescent="0.25">
      <c r="B1028" s="32"/>
    </row>
    <row r="1029" spans="2:2" x14ac:dyDescent="0.25">
      <c r="B1029" s="32"/>
    </row>
    <row r="1030" spans="2:2" x14ac:dyDescent="0.25">
      <c r="B1030" s="32"/>
    </row>
    <row r="1031" spans="2:2" x14ac:dyDescent="0.25">
      <c r="B1031" s="32"/>
    </row>
    <row r="1032" spans="2:2" x14ac:dyDescent="0.25">
      <c r="B1032" s="32"/>
    </row>
    <row r="1033" spans="2:2" x14ac:dyDescent="0.25">
      <c r="B1033" s="32"/>
    </row>
    <row r="1034" spans="2:2" x14ac:dyDescent="0.25">
      <c r="B1034" s="32"/>
    </row>
    <row r="1035" spans="2:2" x14ac:dyDescent="0.25">
      <c r="B1035" s="32"/>
    </row>
    <row r="1036" spans="2:2" x14ac:dyDescent="0.25">
      <c r="B1036" s="32"/>
    </row>
    <row r="1037" spans="2:2" x14ac:dyDescent="0.25">
      <c r="B1037" s="32"/>
    </row>
    <row r="1038" spans="2:2" x14ac:dyDescent="0.25">
      <c r="B1038" s="32"/>
    </row>
    <row r="1039" spans="2:2" x14ac:dyDescent="0.25">
      <c r="B1039" s="32"/>
    </row>
    <row r="1040" spans="2:2" x14ac:dyDescent="0.25">
      <c r="B1040" s="32"/>
    </row>
    <row r="1041" spans="2:2" x14ac:dyDescent="0.25">
      <c r="B1041" s="32"/>
    </row>
    <row r="1042" spans="2:2" x14ac:dyDescent="0.25">
      <c r="B1042" s="32"/>
    </row>
    <row r="1043" spans="2:2" x14ac:dyDescent="0.25">
      <c r="B1043" s="32"/>
    </row>
    <row r="1044" spans="2:2" x14ac:dyDescent="0.25">
      <c r="B1044" s="32"/>
    </row>
    <row r="1045" spans="2:2" x14ac:dyDescent="0.25">
      <c r="B1045" s="32"/>
    </row>
    <row r="1046" spans="2:2" x14ac:dyDescent="0.25">
      <c r="B1046" s="32"/>
    </row>
    <row r="1047" spans="2:2" x14ac:dyDescent="0.25">
      <c r="B1047" s="32"/>
    </row>
    <row r="1048" spans="2:2" x14ac:dyDescent="0.25">
      <c r="B1048" s="32"/>
    </row>
    <row r="1049" spans="2:2" x14ac:dyDescent="0.25">
      <c r="B1049" s="32"/>
    </row>
    <row r="1050" spans="2:2" x14ac:dyDescent="0.25">
      <c r="B1050" s="32"/>
    </row>
    <row r="1051" spans="2:2" x14ac:dyDescent="0.25">
      <c r="B1051" s="32"/>
    </row>
    <row r="1052" spans="2:2" x14ac:dyDescent="0.25">
      <c r="B1052" s="32"/>
    </row>
    <row r="1053" spans="2:2" x14ac:dyDescent="0.25">
      <c r="B1053" s="32"/>
    </row>
    <row r="1054" spans="2:2" x14ac:dyDescent="0.25">
      <c r="B1054" s="32"/>
    </row>
    <row r="1055" spans="2:2" x14ac:dyDescent="0.25">
      <c r="B1055" s="32"/>
    </row>
    <row r="1056" spans="2:2" x14ac:dyDescent="0.25">
      <c r="B1056" s="32"/>
    </row>
    <row r="1057" spans="2:2" x14ac:dyDescent="0.25">
      <c r="B1057" s="32"/>
    </row>
    <row r="1058" spans="2:2" x14ac:dyDescent="0.25">
      <c r="B1058" s="32"/>
    </row>
    <row r="1059" spans="2:2" x14ac:dyDescent="0.25">
      <c r="B1059" s="32"/>
    </row>
    <row r="1060" spans="2:2" x14ac:dyDescent="0.25">
      <c r="B1060" s="32"/>
    </row>
    <row r="1061" spans="2:2" x14ac:dyDescent="0.25">
      <c r="B1061" s="32"/>
    </row>
    <row r="1062" spans="2:2" x14ac:dyDescent="0.25">
      <c r="B1062" s="32"/>
    </row>
    <row r="1063" spans="2:2" x14ac:dyDescent="0.25">
      <c r="B1063" s="32"/>
    </row>
    <row r="1064" spans="2:2" x14ac:dyDescent="0.25">
      <c r="B1064" s="32"/>
    </row>
    <row r="1065" spans="2:2" x14ac:dyDescent="0.25">
      <c r="B1065" s="32"/>
    </row>
    <row r="1066" spans="2:2" x14ac:dyDescent="0.25">
      <c r="B1066" s="32"/>
    </row>
    <row r="1067" spans="2:2" x14ac:dyDescent="0.25">
      <c r="B1067" s="32"/>
    </row>
    <row r="1068" spans="2:2" x14ac:dyDescent="0.25">
      <c r="B1068" s="32"/>
    </row>
    <row r="1069" spans="2:2" x14ac:dyDescent="0.25">
      <c r="B1069" s="32"/>
    </row>
    <row r="1070" spans="2:2" x14ac:dyDescent="0.25">
      <c r="B1070" s="32"/>
    </row>
    <row r="1071" spans="2:2" x14ac:dyDescent="0.25">
      <c r="B1071" s="32"/>
    </row>
    <row r="1072" spans="2:2" x14ac:dyDescent="0.25">
      <c r="B1072" s="32"/>
    </row>
    <row r="1073" spans="2:2" x14ac:dyDescent="0.25">
      <c r="B1073" s="32"/>
    </row>
    <row r="1074" spans="2:2" x14ac:dyDescent="0.25">
      <c r="B1074" s="32"/>
    </row>
    <row r="1075" spans="2:2" x14ac:dyDescent="0.25">
      <c r="B1075" s="32"/>
    </row>
    <row r="1076" spans="2:2" x14ac:dyDescent="0.25">
      <c r="B1076" s="32"/>
    </row>
    <row r="1077" spans="2:2" x14ac:dyDescent="0.25">
      <c r="B1077" s="32"/>
    </row>
    <row r="1078" spans="2:2" x14ac:dyDescent="0.25">
      <c r="B1078" s="32"/>
    </row>
    <row r="1079" spans="2:2" x14ac:dyDescent="0.25">
      <c r="B1079" s="32"/>
    </row>
    <row r="1080" spans="2:2" x14ac:dyDescent="0.25">
      <c r="B1080" s="32"/>
    </row>
    <row r="1081" spans="2:2" x14ac:dyDescent="0.25">
      <c r="B1081" s="32"/>
    </row>
    <row r="1082" spans="2:2" x14ac:dyDescent="0.25">
      <c r="B1082" s="32"/>
    </row>
    <row r="1083" spans="2:2" x14ac:dyDescent="0.25">
      <c r="B1083" s="32"/>
    </row>
    <row r="1084" spans="2:2" x14ac:dyDescent="0.25">
      <c r="B1084" s="32"/>
    </row>
    <row r="1085" spans="2:2" x14ac:dyDescent="0.25">
      <c r="B1085" s="32"/>
    </row>
    <row r="1086" spans="2:2" x14ac:dyDescent="0.25">
      <c r="B1086" s="32"/>
    </row>
    <row r="1087" spans="2:2" x14ac:dyDescent="0.25">
      <c r="B1087" s="32"/>
    </row>
    <row r="1088" spans="2:2" x14ac:dyDescent="0.25">
      <c r="B1088" s="32"/>
    </row>
    <row r="1089" spans="2:2" x14ac:dyDescent="0.25">
      <c r="B1089" s="32"/>
    </row>
    <row r="1090" spans="2:2" x14ac:dyDescent="0.25">
      <c r="B1090" s="32"/>
    </row>
    <row r="1091" spans="2:2" x14ac:dyDescent="0.25">
      <c r="B1091" s="32"/>
    </row>
    <row r="1092" spans="2:2" x14ac:dyDescent="0.25">
      <c r="B1092" s="32"/>
    </row>
    <row r="1093" spans="2:2" x14ac:dyDescent="0.25">
      <c r="B1093" s="32"/>
    </row>
    <row r="1094" spans="2:2" x14ac:dyDescent="0.25">
      <c r="B1094" s="32"/>
    </row>
    <row r="1095" spans="2:2" x14ac:dyDescent="0.25">
      <c r="B1095" s="32"/>
    </row>
    <row r="1096" spans="2:2" x14ac:dyDescent="0.25">
      <c r="B1096" s="32"/>
    </row>
    <row r="1097" spans="2:2" x14ac:dyDescent="0.25">
      <c r="B1097" s="32"/>
    </row>
    <row r="1098" spans="2:2" x14ac:dyDescent="0.25">
      <c r="B1098" s="32"/>
    </row>
    <row r="1099" spans="2:2" x14ac:dyDescent="0.25">
      <c r="B1099" s="32"/>
    </row>
    <row r="1100" spans="2:2" x14ac:dyDescent="0.25">
      <c r="B1100" s="32"/>
    </row>
    <row r="1101" spans="2:2" x14ac:dyDescent="0.25">
      <c r="B1101" s="32"/>
    </row>
    <row r="1102" spans="2:2" x14ac:dyDescent="0.25">
      <c r="B1102" s="32"/>
    </row>
    <row r="1103" spans="2:2" x14ac:dyDescent="0.25">
      <c r="B1103" s="32"/>
    </row>
    <row r="1104" spans="2:2" x14ac:dyDescent="0.25">
      <c r="B1104" s="32"/>
    </row>
    <row r="1105" spans="2:2" x14ac:dyDescent="0.25">
      <c r="B1105" s="32"/>
    </row>
    <row r="1106" spans="2:2" x14ac:dyDescent="0.25">
      <c r="B1106" s="32"/>
    </row>
    <row r="1107" spans="2:2" x14ac:dyDescent="0.25">
      <c r="B1107" s="32"/>
    </row>
    <row r="1108" spans="2:2" x14ac:dyDescent="0.25">
      <c r="B1108" s="32"/>
    </row>
    <row r="1109" spans="2:2" x14ac:dyDescent="0.25">
      <c r="B1109" s="32"/>
    </row>
    <row r="1110" spans="2:2" x14ac:dyDescent="0.25">
      <c r="B1110" s="32"/>
    </row>
    <row r="1111" spans="2:2" x14ac:dyDescent="0.25">
      <c r="B1111" s="32"/>
    </row>
    <row r="1112" spans="2:2" x14ac:dyDescent="0.25">
      <c r="B1112" s="32"/>
    </row>
    <row r="1113" spans="2:2" x14ac:dyDescent="0.25">
      <c r="B1113" s="32"/>
    </row>
    <row r="1114" spans="2:2" x14ac:dyDescent="0.25">
      <c r="B1114" s="32"/>
    </row>
    <row r="1115" spans="2:2" x14ac:dyDescent="0.25">
      <c r="B1115" s="32"/>
    </row>
    <row r="1116" spans="2:2" x14ac:dyDescent="0.25">
      <c r="B1116" s="32"/>
    </row>
    <row r="1117" spans="2:2" x14ac:dyDescent="0.25">
      <c r="B1117" s="32"/>
    </row>
    <row r="1118" spans="2:2" x14ac:dyDescent="0.25">
      <c r="B1118" s="32"/>
    </row>
    <row r="1119" spans="2:2" x14ac:dyDescent="0.25">
      <c r="B1119" s="32"/>
    </row>
    <row r="1120" spans="2:2" x14ac:dyDescent="0.25">
      <c r="B1120" s="32"/>
    </row>
    <row r="1121" spans="2:2" x14ac:dyDescent="0.25">
      <c r="B1121" s="32"/>
    </row>
    <row r="1122" spans="2:2" x14ac:dyDescent="0.25">
      <c r="B1122" s="32"/>
    </row>
    <row r="1123" spans="2:2" x14ac:dyDescent="0.25">
      <c r="B1123" s="32"/>
    </row>
    <row r="1124" spans="2:2" x14ac:dyDescent="0.25">
      <c r="B1124" s="32"/>
    </row>
    <row r="1125" spans="2:2" x14ac:dyDescent="0.25">
      <c r="B1125" s="32"/>
    </row>
    <row r="1126" spans="2:2" x14ac:dyDescent="0.25">
      <c r="B1126" s="32"/>
    </row>
    <row r="1127" spans="2:2" x14ac:dyDescent="0.25">
      <c r="B1127" s="32"/>
    </row>
    <row r="1128" spans="2:2" x14ac:dyDescent="0.25">
      <c r="B1128" s="32"/>
    </row>
    <row r="1129" spans="2:2" x14ac:dyDescent="0.25">
      <c r="B1129" s="32"/>
    </row>
    <row r="1130" spans="2:2" x14ac:dyDescent="0.25">
      <c r="B1130" s="32"/>
    </row>
    <row r="1131" spans="2:2" x14ac:dyDescent="0.25">
      <c r="B1131" s="32"/>
    </row>
    <row r="1132" spans="2:2" x14ac:dyDescent="0.25">
      <c r="B1132" s="32"/>
    </row>
    <row r="1133" spans="2:2" x14ac:dyDescent="0.25">
      <c r="B1133" s="32"/>
    </row>
    <row r="1134" spans="2:2" x14ac:dyDescent="0.25">
      <c r="B1134" s="32"/>
    </row>
    <row r="1135" spans="2:2" x14ac:dyDescent="0.25">
      <c r="B1135" s="32"/>
    </row>
    <row r="1136" spans="2:2" x14ac:dyDescent="0.25">
      <c r="B1136" s="32"/>
    </row>
    <row r="1137" spans="2:2" x14ac:dyDescent="0.25">
      <c r="B1137" s="32"/>
    </row>
    <row r="1138" spans="2:2" x14ac:dyDescent="0.25">
      <c r="B1138" s="32"/>
    </row>
    <row r="1139" spans="2:2" x14ac:dyDescent="0.25">
      <c r="B1139" s="32"/>
    </row>
    <row r="1140" spans="2:2" x14ac:dyDescent="0.25">
      <c r="B1140" s="32"/>
    </row>
    <row r="1141" spans="2:2" x14ac:dyDescent="0.25">
      <c r="B1141" s="32"/>
    </row>
    <row r="1142" spans="2:2" x14ac:dyDescent="0.25">
      <c r="B1142" s="32"/>
    </row>
    <row r="1143" spans="2:2" x14ac:dyDescent="0.25">
      <c r="B1143" s="32"/>
    </row>
    <row r="1144" spans="2:2" x14ac:dyDescent="0.25">
      <c r="B1144" s="32"/>
    </row>
    <row r="1145" spans="2:2" x14ac:dyDescent="0.25">
      <c r="B1145" s="32"/>
    </row>
    <row r="1146" spans="2:2" x14ac:dyDescent="0.25">
      <c r="B1146" s="32"/>
    </row>
    <row r="1147" spans="2:2" x14ac:dyDescent="0.25">
      <c r="B1147" s="32"/>
    </row>
    <row r="1148" spans="2:2" x14ac:dyDescent="0.25">
      <c r="B1148" s="32"/>
    </row>
    <row r="1149" spans="2:2" x14ac:dyDescent="0.25">
      <c r="B1149" s="32"/>
    </row>
    <row r="1150" spans="2:2" x14ac:dyDescent="0.25">
      <c r="B1150" s="32"/>
    </row>
    <row r="1151" spans="2:2" x14ac:dyDescent="0.25">
      <c r="B1151" s="32"/>
    </row>
    <row r="1152" spans="2:2" x14ac:dyDescent="0.25">
      <c r="B1152" s="32"/>
    </row>
    <row r="1153" spans="2:2" x14ac:dyDescent="0.25">
      <c r="B1153" s="32"/>
    </row>
    <row r="1154" spans="2:2" x14ac:dyDescent="0.25">
      <c r="B1154" s="32"/>
    </row>
    <row r="1155" spans="2:2" x14ac:dyDescent="0.25">
      <c r="B1155" s="32"/>
    </row>
    <row r="1156" spans="2:2" x14ac:dyDescent="0.25">
      <c r="B1156" s="32"/>
    </row>
    <row r="1157" spans="2:2" x14ac:dyDescent="0.25">
      <c r="B1157" s="32"/>
    </row>
    <row r="1158" spans="2:2" x14ac:dyDescent="0.25">
      <c r="B1158" s="32"/>
    </row>
    <row r="1159" spans="2:2" x14ac:dyDescent="0.25">
      <c r="B1159" s="32"/>
    </row>
    <row r="1160" spans="2:2" x14ac:dyDescent="0.25">
      <c r="B1160" s="32"/>
    </row>
    <row r="1161" spans="2:2" x14ac:dyDescent="0.25">
      <c r="B1161" s="32"/>
    </row>
    <row r="1162" spans="2:2" x14ac:dyDescent="0.25">
      <c r="B1162" s="32"/>
    </row>
    <row r="1163" spans="2:2" x14ac:dyDescent="0.25">
      <c r="B1163" s="32"/>
    </row>
    <row r="1164" spans="2:2" x14ac:dyDescent="0.25">
      <c r="B1164" s="32"/>
    </row>
    <row r="1165" spans="2:2" x14ac:dyDescent="0.25">
      <c r="B1165" s="32"/>
    </row>
    <row r="1166" spans="2:2" x14ac:dyDescent="0.25">
      <c r="B1166" s="32"/>
    </row>
    <row r="1167" spans="2:2" x14ac:dyDescent="0.25">
      <c r="B1167" s="32"/>
    </row>
    <row r="1168" spans="2:2" x14ac:dyDescent="0.25">
      <c r="B1168" s="32"/>
    </row>
    <row r="1169" spans="2:2" x14ac:dyDescent="0.25">
      <c r="B1169" s="32"/>
    </row>
    <row r="1170" spans="2:2" x14ac:dyDescent="0.25">
      <c r="B1170" s="32"/>
    </row>
    <row r="1171" spans="2:2" x14ac:dyDescent="0.25">
      <c r="B1171" s="32"/>
    </row>
    <row r="1172" spans="2:2" x14ac:dyDescent="0.25">
      <c r="B1172" s="32"/>
    </row>
    <row r="1173" spans="2:2" x14ac:dyDescent="0.25">
      <c r="B1173" s="32"/>
    </row>
    <row r="1174" spans="2:2" x14ac:dyDescent="0.25">
      <c r="B1174" s="32"/>
    </row>
    <row r="1175" spans="2:2" x14ac:dyDescent="0.25">
      <c r="B1175" s="32"/>
    </row>
    <row r="1176" spans="2:2" x14ac:dyDescent="0.25">
      <c r="B1176" s="32"/>
    </row>
    <row r="1177" spans="2:2" x14ac:dyDescent="0.25">
      <c r="B1177" s="32"/>
    </row>
    <row r="1178" spans="2:2" x14ac:dyDescent="0.25">
      <c r="B1178" s="32"/>
    </row>
    <row r="1179" spans="2:2" x14ac:dyDescent="0.25">
      <c r="B1179" s="32"/>
    </row>
    <row r="1180" spans="2:2" x14ac:dyDescent="0.25">
      <c r="B1180" s="32"/>
    </row>
    <row r="1181" spans="2:2" x14ac:dyDescent="0.25">
      <c r="B1181" s="32"/>
    </row>
    <row r="1182" spans="2:2" x14ac:dyDescent="0.25">
      <c r="B1182" s="32"/>
    </row>
    <row r="1183" spans="2:2" x14ac:dyDescent="0.25">
      <c r="B1183" s="32"/>
    </row>
    <row r="1184" spans="2:2" x14ac:dyDescent="0.25">
      <c r="B1184" s="32"/>
    </row>
    <row r="1185" spans="2:2" x14ac:dyDescent="0.25">
      <c r="B1185" s="32"/>
    </row>
    <row r="1186" spans="2:2" x14ac:dyDescent="0.25">
      <c r="B1186" s="32"/>
    </row>
    <row r="1187" spans="2:2" x14ac:dyDescent="0.25">
      <c r="B1187" s="32"/>
    </row>
    <row r="1188" spans="2:2" x14ac:dyDescent="0.25">
      <c r="B1188" s="32"/>
    </row>
    <row r="1189" spans="2:2" x14ac:dyDescent="0.25">
      <c r="B1189" s="32"/>
    </row>
    <row r="1190" spans="2:2" x14ac:dyDescent="0.25">
      <c r="B1190" s="32"/>
    </row>
    <row r="1191" spans="2:2" x14ac:dyDescent="0.25">
      <c r="B1191" s="32"/>
    </row>
    <row r="1192" spans="2:2" x14ac:dyDescent="0.25">
      <c r="B1192" s="32"/>
    </row>
    <row r="1193" spans="2:2" x14ac:dyDescent="0.25">
      <c r="B1193" s="32"/>
    </row>
    <row r="1194" spans="2:2" x14ac:dyDescent="0.25">
      <c r="B1194" s="32"/>
    </row>
    <row r="1195" spans="2:2" x14ac:dyDescent="0.25">
      <c r="B1195" s="32"/>
    </row>
    <row r="1196" spans="2:2" x14ac:dyDescent="0.25">
      <c r="B1196" s="32"/>
    </row>
    <row r="1197" spans="2:2" x14ac:dyDescent="0.25">
      <c r="B1197" s="32"/>
    </row>
    <row r="1198" spans="2:2" x14ac:dyDescent="0.25">
      <c r="B1198" s="32"/>
    </row>
    <row r="1199" spans="2:2" x14ac:dyDescent="0.25">
      <c r="B1199" s="32"/>
    </row>
    <row r="1200" spans="2:2" x14ac:dyDescent="0.25">
      <c r="B1200" s="32"/>
    </row>
    <row r="1201" spans="2:2" x14ac:dyDescent="0.25">
      <c r="B1201" s="32"/>
    </row>
    <row r="1202" spans="2:2" x14ac:dyDescent="0.25">
      <c r="B1202" s="32"/>
    </row>
    <row r="1203" spans="2:2" x14ac:dyDescent="0.25">
      <c r="B1203" s="32"/>
    </row>
    <row r="1204" spans="2:2" x14ac:dyDescent="0.25">
      <c r="B1204" s="32"/>
    </row>
    <row r="1205" spans="2:2" x14ac:dyDescent="0.25">
      <c r="B1205" s="32"/>
    </row>
    <row r="1206" spans="2:2" x14ac:dyDescent="0.25">
      <c r="B1206" s="32"/>
    </row>
    <row r="1207" spans="2:2" x14ac:dyDescent="0.25">
      <c r="B1207" s="32"/>
    </row>
    <row r="1208" spans="2:2" x14ac:dyDescent="0.25">
      <c r="B1208" s="32"/>
    </row>
    <row r="1209" spans="2:2" x14ac:dyDescent="0.25">
      <c r="B1209" s="32"/>
    </row>
    <row r="1210" spans="2:2" x14ac:dyDescent="0.25">
      <c r="B1210" s="32"/>
    </row>
    <row r="1211" spans="2:2" x14ac:dyDescent="0.25">
      <c r="B1211" s="32"/>
    </row>
    <row r="1212" spans="2:2" x14ac:dyDescent="0.25">
      <c r="B1212" s="32"/>
    </row>
    <row r="1213" spans="2:2" x14ac:dyDescent="0.25">
      <c r="B1213" s="32"/>
    </row>
    <row r="1214" spans="2:2" x14ac:dyDescent="0.25">
      <c r="B1214" s="32"/>
    </row>
    <row r="1215" spans="2:2" x14ac:dyDescent="0.25">
      <c r="B1215" s="32"/>
    </row>
    <row r="1216" spans="2:2" x14ac:dyDescent="0.25">
      <c r="B1216" s="32"/>
    </row>
    <row r="1217" spans="2:2" x14ac:dyDescent="0.25">
      <c r="B1217" s="32"/>
    </row>
    <row r="1218" spans="2:2" x14ac:dyDescent="0.25">
      <c r="B1218" s="32"/>
    </row>
    <row r="1219" spans="2:2" x14ac:dyDescent="0.25">
      <c r="B1219" s="32"/>
    </row>
    <row r="1220" spans="2:2" x14ac:dyDescent="0.25">
      <c r="B1220" s="32"/>
    </row>
    <row r="1221" spans="2:2" x14ac:dyDescent="0.25">
      <c r="B1221" s="32"/>
    </row>
    <row r="1222" spans="2:2" x14ac:dyDescent="0.25">
      <c r="B1222" s="32"/>
    </row>
    <row r="1223" spans="2:2" x14ac:dyDescent="0.25">
      <c r="B1223" s="32"/>
    </row>
    <row r="1224" spans="2:2" x14ac:dyDescent="0.25">
      <c r="B1224" s="32"/>
    </row>
    <row r="1225" spans="2:2" x14ac:dyDescent="0.25">
      <c r="B1225" s="32"/>
    </row>
    <row r="1226" spans="2:2" x14ac:dyDescent="0.25">
      <c r="B1226" s="32"/>
    </row>
    <row r="1227" spans="2:2" x14ac:dyDescent="0.25">
      <c r="B1227" s="32"/>
    </row>
    <row r="1228" spans="2:2" x14ac:dyDescent="0.25">
      <c r="B1228" s="32"/>
    </row>
    <row r="1229" spans="2:2" x14ac:dyDescent="0.25">
      <c r="B1229" s="32"/>
    </row>
    <row r="1230" spans="2:2" x14ac:dyDescent="0.25">
      <c r="B1230" s="32"/>
    </row>
    <row r="1231" spans="2:2" x14ac:dyDescent="0.25">
      <c r="B1231" s="32"/>
    </row>
    <row r="1232" spans="2:2" x14ac:dyDescent="0.25">
      <c r="B1232" s="32"/>
    </row>
    <row r="1233" spans="2:2" x14ac:dyDescent="0.25">
      <c r="B1233" s="32"/>
    </row>
    <row r="1234" spans="2:2" x14ac:dyDescent="0.25">
      <c r="B1234" s="32"/>
    </row>
    <row r="1235" spans="2:2" x14ac:dyDescent="0.25">
      <c r="B1235" s="32"/>
    </row>
    <row r="1236" spans="2:2" x14ac:dyDescent="0.25">
      <c r="B1236" s="32"/>
    </row>
    <row r="1237" spans="2:2" x14ac:dyDescent="0.25">
      <c r="B1237" s="32"/>
    </row>
    <row r="1238" spans="2:2" x14ac:dyDescent="0.25">
      <c r="B1238" s="32"/>
    </row>
    <row r="1239" spans="2:2" x14ac:dyDescent="0.25">
      <c r="B1239" s="32"/>
    </row>
    <row r="1240" spans="2:2" x14ac:dyDescent="0.25">
      <c r="B1240" s="32"/>
    </row>
    <row r="1241" spans="2:2" x14ac:dyDescent="0.25">
      <c r="B1241" s="32"/>
    </row>
    <row r="1242" spans="2:2" x14ac:dyDescent="0.25">
      <c r="B1242" s="32"/>
    </row>
    <row r="1243" spans="2:2" x14ac:dyDescent="0.25">
      <c r="B1243" s="32"/>
    </row>
    <row r="1244" spans="2:2" x14ac:dyDescent="0.25">
      <c r="B1244" s="32"/>
    </row>
    <row r="1245" spans="2:2" x14ac:dyDescent="0.25">
      <c r="B1245" s="32"/>
    </row>
    <row r="1246" spans="2:2" x14ac:dyDescent="0.25">
      <c r="B1246" s="32"/>
    </row>
    <row r="1247" spans="2:2" x14ac:dyDescent="0.25">
      <c r="B1247" s="32"/>
    </row>
    <row r="1248" spans="2:2" x14ac:dyDescent="0.25">
      <c r="B1248" s="32"/>
    </row>
    <row r="1249" spans="2:2" x14ac:dyDescent="0.25">
      <c r="B1249" s="32"/>
    </row>
    <row r="1250" spans="2:2" x14ac:dyDescent="0.25">
      <c r="B1250" s="32"/>
    </row>
    <row r="1251" spans="2:2" x14ac:dyDescent="0.25">
      <c r="B1251" s="32"/>
    </row>
    <row r="1252" spans="2:2" x14ac:dyDescent="0.25">
      <c r="B1252" s="32"/>
    </row>
    <row r="1253" spans="2:2" x14ac:dyDescent="0.25">
      <c r="B1253" s="32"/>
    </row>
    <row r="1254" spans="2:2" x14ac:dyDescent="0.25">
      <c r="B1254" s="32"/>
    </row>
    <row r="1255" spans="2:2" x14ac:dyDescent="0.25">
      <c r="B1255" s="32"/>
    </row>
    <row r="1256" spans="2:2" x14ac:dyDescent="0.25">
      <c r="B1256" s="32"/>
    </row>
    <row r="1257" spans="2:2" x14ac:dyDescent="0.25">
      <c r="B1257" s="32"/>
    </row>
    <row r="1258" spans="2:2" x14ac:dyDescent="0.25">
      <c r="B1258" s="32"/>
    </row>
    <row r="1259" spans="2:2" x14ac:dyDescent="0.25">
      <c r="B1259" s="32"/>
    </row>
    <row r="1260" spans="2:2" x14ac:dyDescent="0.25">
      <c r="B1260" s="32"/>
    </row>
    <row r="1261" spans="2:2" x14ac:dyDescent="0.25">
      <c r="B1261" s="32"/>
    </row>
    <row r="1262" spans="2:2" x14ac:dyDescent="0.25">
      <c r="B1262" s="32"/>
    </row>
    <row r="1263" spans="2:2" x14ac:dyDescent="0.25">
      <c r="B1263" s="32"/>
    </row>
    <row r="1264" spans="2:2" x14ac:dyDescent="0.25">
      <c r="B1264" s="32"/>
    </row>
    <row r="1265" spans="2:2" x14ac:dyDescent="0.25">
      <c r="B1265" s="32"/>
    </row>
    <row r="1266" spans="2:2" x14ac:dyDescent="0.25">
      <c r="B1266" s="32"/>
    </row>
    <row r="1267" spans="2:2" x14ac:dyDescent="0.25">
      <c r="B1267" s="32"/>
    </row>
    <row r="1268" spans="2:2" x14ac:dyDescent="0.25">
      <c r="B1268" s="32"/>
    </row>
    <row r="1269" spans="2:2" x14ac:dyDescent="0.25">
      <c r="B1269" s="32"/>
    </row>
    <row r="1270" spans="2:2" x14ac:dyDescent="0.25">
      <c r="B1270" s="32"/>
    </row>
    <row r="1271" spans="2:2" x14ac:dyDescent="0.25">
      <c r="B1271" s="32"/>
    </row>
    <row r="1272" spans="2:2" x14ac:dyDescent="0.25">
      <c r="B1272" s="32"/>
    </row>
    <row r="1273" spans="2:2" x14ac:dyDescent="0.25">
      <c r="B1273" s="32"/>
    </row>
    <row r="1274" spans="2:2" x14ac:dyDescent="0.25">
      <c r="B1274" s="32"/>
    </row>
    <row r="1275" spans="2:2" x14ac:dyDescent="0.25">
      <c r="B1275" s="32"/>
    </row>
    <row r="1276" spans="2:2" x14ac:dyDescent="0.25">
      <c r="B1276" s="32"/>
    </row>
    <row r="1277" spans="2:2" x14ac:dyDescent="0.25">
      <c r="B1277" s="32"/>
    </row>
    <row r="1278" spans="2:2" x14ac:dyDescent="0.25">
      <c r="B1278" s="32"/>
    </row>
    <row r="1279" spans="2:2" x14ac:dyDescent="0.25">
      <c r="B1279" s="32"/>
    </row>
    <row r="1280" spans="2:2" x14ac:dyDescent="0.25">
      <c r="B1280" s="32"/>
    </row>
    <row r="1281" spans="2:2" x14ac:dyDescent="0.25">
      <c r="B1281" s="32"/>
    </row>
    <row r="1282" spans="2:2" x14ac:dyDescent="0.25">
      <c r="B1282" s="32"/>
    </row>
    <row r="1283" spans="2:2" x14ac:dyDescent="0.25">
      <c r="B1283" s="32"/>
    </row>
    <row r="1284" spans="2:2" x14ac:dyDescent="0.25">
      <c r="B1284" s="32"/>
    </row>
    <row r="1285" spans="2:2" x14ac:dyDescent="0.25">
      <c r="B1285" s="32"/>
    </row>
    <row r="1286" spans="2:2" x14ac:dyDescent="0.25">
      <c r="B1286" s="32"/>
    </row>
    <row r="1287" spans="2:2" x14ac:dyDescent="0.25">
      <c r="B1287" s="32"/>
    </row>
    <row r="1288" spans="2:2" x14ac:dyDescent="0.25">
      <c r="B1288" s="32"/>
    </row>
    <row r="1289" spans="2:2" x14ac:dyDescent="0.25">
      <c r="B1289" s="32"/>
    </row>
    <row r="1290" spans="2:2" x14ac:dyDescent="0.25">
      <c r="B1290" s="32"/>
    </row>
    <row r="1291" spans="2:2" x14ac:dyDescent="0.25">
      <c r="B1291" s="32"/>
    </row>
    <row r="1292" spans="2:2" x14ac:dyDescent="0.25">
      <c r="B1292" s="32"/>
    </row>
    <row r="1293" spans="2:2" x14ac:dyDescent="0.25">
      <c r="B1293" s="32"/>
    </row>
    <row r="1294" spans="2:2" x14ac:dyDescent="0.25">
      <c r="B1294" s="32"/>
    </row>
    <row r="1295" spans="2:2" x14ac:dyDescent="0.25">
      <c r="B1295" s="32"/>
    </row>
    <row r="1296" spans="2:2" x14ac:dyDescent="0.25">
      <c r="B1296" s="32"/>
    </row>
    <row r="1297" spans="2:2" x14ac:dyDescent="0.25">
      <c r="B1297" s="32"/>
    </row>
    <row r="1298" spans="2:2" x14ac:dyDescent="0.25">
      <c r="B1298" s="32"/>
    </row>
    <row r="1299" spans="2:2" x14ac:dyDescent="0.25">
      <c r="B1299" s="32"/>
    </row>
    <row r="1300" spans="2:2" x14ac:dyDescent="0.25">
      <c r="B1300" s="32"/>
    </row>
    <row r="1301" spans="2:2" x14ac:dyDescent="0.25">
      <c r="B1301" s="32"/>
    </row>
    <row r="1302" spans="2:2" x14ac:dyDescent="0.25">
      <c r="B1302" s="32"/>
    </row>
    <row r="1303" spans="2:2" x14ac:dyDescent="0.25">
      <c r="B1303" s="32"/>
    </row>
    <row r="1304" spans="2:2" x14ac:dyDescent="0.25">
      <c r="B1304" s="32"/>
    </row>
    <row r="1305" spans="2:2" x14ac:dyDescent="0.25">
      <c r="B1305" s="32"/>
    </row>
    <row r="1306" spans="2:2" x14ac:dyDescent="0.25">
      <c r="B1306" s="32"/>
    </row>
    <row r="1307" spans="2:2" x14ac:dyDescent="0.25">
      <c r="B1307" s="32"/>
    </row>
    <row r="1308" spans="2:2" x14ac:dyDescent="0.25">
      <c r="B1308" s="32"/>
    </row>
    <row r="1309" spans="2:2" x14ac:dyDescent="0.25">
      <c r="B1309" s="32"/>
    </row>
    <row r="1310" spans="2:2" x14ac:dyDescent="0.25">
      <c r="B1310" s="32"/>
    </row>
    <row r="1311" spans="2:2" x14ac:dyDescent="0.25">
      <c r="B1311" s="32"/>
    </row>
    <row r="1312" spans="2:2" x14ac:dyDescent="0.25">
      <c r="B1312" s="32"/>
    </row>
    <row r="1313" spans="2:2" x14ac:dyDescent="0.25">
      <c r="B1313" s="32"/>
    </row>
    <row r="1314" spans="2:2" x14ac:dyDescent="0.25">
      <c r="B1314" s="32"/>
    </row>
    <row r="1315" spans="2:2" x14ac:dyDescent="0.25">
      <c r="B1315" s="32"/>
    </row>
    <row r="1316" spans="2:2" x14ac:dyDescent="0.25">
      <c r="B1316" s="32"/>
    </row>
    <row r="1317" spans="2:2" x14ac:dyDescent="0.25">
      <c r="B1317" s="32"/>
    </row>
    <row r="1318" spans="2:2" x14ac:dyDescent="0.25">
      <c r="B1318" s="32"/>
    </row>
    <row r="1319" spans="2:2" x14ac:dyDescent="0.25">
      <c r="B1319" s="32"/>
    </row>
    <row r="1320" spans="2:2" x14ac:dyDescent="0.25">
      <c r="B1320" s="32"/>
    </row>
    <row r="1321" spans="2:2" x14ac:dyDescent="0.25">
      <c r="B1321" s="32"/>
    </row>
    <row r="1322" spans="2:2" x14ac:dyDescent="0.25">
      <c r="B1322" s="32"/>
    </row>
    <row r="1323" spans="2:2" x14ac:dyDescent="0.25">
      <c r="B1323" s="32"/>
    </row>
    <row r="1324" spans="2:2" x14ac:dyDescent="0.25">
      <c r="B1324" s="32"/>
    </row>
    <row r="1325" spans="2:2" x14ac:dyDescent="0.25">
      <c r="B1325" s="32"/>
    </row>
    <row r="1326" spans="2:2" x14ac:dyDescent="0.25">
      <c r="B1326" s="32"/>
    </row>
    <row r="1327" spans="2:2" x14ac:dyDescent="0.25">
      <c r="B1327" s="32"/>
    </row>
    <row r="1328" spans="2:2" x14ac:dyDescent="0.25">
      <c r="B1328" s="32"/>
    </row>
    <row r="1329" spans="2:2" x14ac:dyDescent="0.25">
      <c r="B1329" s="32"/>
    </row>
    <row r="1330" spans="2:2" x14ac:dyDescent="0.25">
      <c r="B1330" s="32"/>
    </row>
    <row r="1331" spans="2:2" x14ac:dyDescent="0.25">
      <c r="B1331" s="32"/>
    </row>
    <row r="1332" spans="2:2" x14ac:dyDescent="0.25">
      <c r="B1332" s="32"/>
    </row>
    <row r="1333" spans="2:2" x14ac:dyDescent="0.25">
      <c r="B1333" s="32"/>
    </row>
    <row r="1334" spans="2:2" x14ac:dyDescent="0.25">
      <c r="B1334" s="32"/>
    </row>
    <row r="1335" spans="2:2" x14ac:dyDescent="0.25">
      <c r="B1335" s="32"/>
    </row>
    <row r="1336" spans="2:2" x14ac:dyDescent="0.25">
      <c r="B1336" s="32"/>
    </row>
    <row r="1337" spans="2:2" x14ac:dyDescent="0.25">
      <c r="B1337" s="32"/>
    </row>
    <row r="1338" spans="2:2" x14ac:dyDescent="0.25">
      <c r="B1338" s="32"/>
    </row>
    <row r="1339" spans="2:2" x14ac:dyDescent="0.25">
      <c r="B1339" s="32"/>
    </row>
    <row r="1340" spans="2:2" x14ac:dyDescent="0.25">
      <c r="B1340" s="32"/>
    </row>
    <row r="1341" spans="2:2" x14ac:dyDescent="0.25">
      <c r="B1341" s="32"/>
    </row>
    <row r="1342" spans="2:2" x14ac:dyDescent="0.25">
      <c r="B1342" s="32"/>
    </row>
    <row r="1343" spans="2:2" x14ac:dyDescent="0.25">
      <c r="B1343" s="32"/>
    </row>
    <row r="1344" spans="2:2" x14ac:dyDescent="0.25">
      <c r="B1344" s="32"/>
    </row>
    <row r="1345" spans="2:2" x14ac:dyDescent="0.25">
      <c r="B1345" s="32"/>
    </row>
    <row r="1346" spans="2:2" x14ac:dyDescent="0.25">
      <c r="B1346" s="32"/>
    </row>
    <row r="1347" spans="2:2" x14ac:dyDescent="0.25">
      <c r="B1347" s="32"/>
    </row>
    <row r="1348" spans="2:2" x14ac:dyDescent="0.25">
      <c r="B1348" s="32"/>
    </row>
    <row r="1349" spans="2:2" x14ac:dyDescent="0.25">
      <c r="B1349" s="32"/>
    </row>
    <row r="1350" spans="2:2" x14ac:dyDescent="0.25">
      <c r="B1350" s="32"/>
    </row>
    <row r="1351" spans="2:2" x14ac:dyDescent="0.25">
      <c r="B1351" s="32"/>
    </row>
    <row r="1352" spans="2:2" x14ac:dyDescent="0.25">
      <c r="B1352" s="32"/>
    </row>
    <row r="1353" spans="2:2" x14ac:dyDescent="0.25">
      <c r="B1353" s="32"/>
    </row>
    <row r="1354" spans="2:2" x14ac:dyDescent="0.25">
      <c r="B1354" s="32"/>
    </row>
    <row r="1355" spans="2:2" x14ac:dyDescent="0.25">
      <c r="B1355" s="32"/>
    </row>
    <row r="1356" spans="2:2" x14ac:dyDescent="0.25">
      <c r="B1356" s="32"/>
    </row>
    <row r="1357" spans="2:2" x14ac:dyDescent="0.25">
      <c r="B1357" s="32"/>
    </row>
    <row r="1358" spans="2:2" x14ac:dyDescent="0.25">
      <c r="B1358" s="32"/>
    </row>
    <row r="1359" spans="2:2" x14ac:dyDescent="0.25">
      <c r="B1359" s="32"/>
    </row>
    <row r="1360" spans="2:2" x14ac:dyDescent="0.25">
      <c r="B1360" s="32"/>
    </row>
    <row r="1361" spans="2:2" x14ac:dyDescent="0.25">
      <c r="B1361" s="32"/>
    </row>
    <row r="1362" spans="2:2" x14ac:dyDescent="0.25">
      <c r="B1362" s="32"/>
    </row>
    <row r="1363" spans="2:2" x14ac:dyDescent="0.25">
      <c r="B1363" s="32"/>
    </row>
    <row r="1364" spans="2:2" x14ac:dyDescent="0.25">
      <c r="B1364" s="32"/>
    </row>
    <row r="1365" spans="2:2" x14ac:dyDescent="0.25">
      <c r="B1365" s="32"/>
    </row>
    <row r="1366" spans="2:2" x14ac:dyDescent="0.25">
      <c r="B1366" s="32"/>
    </row>
    <row r="1367" spans="2:2" x14ac:dyDescent="0.25">
      <c r="B1367" s="32"/>
    </row>
    <row r="1368" spans="2:2" x14ac:dyDescent="0.25">
      <c r="B1368" s="32"/>
    </row>
    <row r="1369" spans="2:2" x14ac:dyDescent="0.25">
      <c r="B1369" s="32"/>
    </row>
    <row r="1370" spans="2:2" x14ac:dyDescent="0.25">
      <c r="B1370" s="32"/>
    </row>
    <row r="1371" spans="2:2" x14ac:dyDescent="0.25">
      <c r="B1371" s="32"/>
    </row>
    <row r="1372" spans="2:2" x14ac:dyDescent="0.25">
      <c r="B1372" s="32"/>
    </row>
    <row r="1373" spans="2:2" x14ac:dyDescent="0.25">
      <c r="B1373" s="32"/>
    </row>
    <row r="1374" spans="2:2" x14ac:dyDescent="0.25">
      <c r="B1374" s="32"/>
    </row>
    <row r="1375" spans="2:2" x14ac:dyDescent="0.25">
      <c r="B1375" s="32"/>
    </row>
    <row r="1376" spans="2:2" x14ac:dyDescent="0.25">
      <c r="B1376" s="32"/>
    </row>
    <row r="1377" spans="2:2" x14ac:dyDescent="0.25">
      <c r="B1377" s="32"/>
    </row>
    <row r="1378" spans="2:2" x14ac:dyDescent="0.25">
      <c r="B1378" s="32"/>
    </row>
    <row r="1379" spans="2:2" x14ac:dyDescent="0.25">
      <c r="B1379" s="32"/>
    </row>
    <row r="1380" spans="2:2" x14ac:dyDescent="0.25">
      <c r="B1380" s="32"/>
    </row>
    <row r="1381" spans="2:2" x14ac:dyDescent="0.25">
      <c r="B1381" s="32"/>
    </row>
    <row r="1382" spans="2:2" x14ac:dyDescent="0.25">
      <c r="B1382" s="32"/>
    </row>
    <row r="1383" spans="2:2" x14ac:dyDescent="0.25">
      <c r="B1383" s="32"/>
    </row>
    <row r="1384" spans="2:2" x14ac:dyDescent="0.25">
      <c r="B1384" s="32"/>
    </row>
    <row r="1385" spans="2:2" x14ac:dyDescent="0.25">
      <c r="B1385" s="32"/>
    </row>
    <row r="1386" spans="2:2" x14ac:dyDescent="0.25">
      <c r="B1386" s="32"/>
    </row>
    <row r="1387" spans="2:2" x14ac:dyDescent="0.25">
      <c r="B1387" s="32"/>
    </row>
    <row r="1388" spans="2:2" x14ac:dyDescent="0.25">
      <c r="B1388" s="32"/>
    </row>
    <row r="1389" spans="2:2" x14ac:dyDescent="0.25">
      <c r="B1389" s="32"/>
    </row>
    <row r="1390" spans="2:2" x14ac:dyDescent="0.25">
      <c r="B1390" s="32"/>
    </row>
    <row r="1391" spans="2:2" x14ac:dyDescent="0.25">
      <c r="B1391" s="32"/>
    </row>
    <row r="1392" spans="2:2" x14ac:dyDescent="0.25">
      <c r="B1392" s="32"/>
    </row>
    <row r="1393" spans="2:2" x14ac:dyDescent="0.25">
      <c r="B1393" s="32"/>
    </row>
    <row r="1394" spans="2:2" x14ac:dyDescent="0.25">
      <c r="B1394" s="32"/>
    </row>
    <row r="1395" spans="2:2" x14ac:dyDescent="0.25">
      <c r="B1395" s="32"/>
    </row>
    <row r="1396" spans="2:2" x14ac:dyDescent="0.25">
      <c r="B1396" s="32"/>
    </row>
    <row r="1397" spans="2:2" x14ac:dyDescent="0.25">
      <c r="B1397" s="32"/>
    </row>
    <row r="1398" spans="2:2" x14ac:dyDescent="0.25">
      <c r="B1398" s="32"/>
    </row>
    <row r="1399" spans="2:2" x14ac:dyDescent="0.25">
      <c r="B1399" s="32"/>
    </row>
    <row r="1400" spans="2:2" x14ac:dyDescent="0.25">
      <c r="B1400" s="32"/>
    </row>
    <row r="1401" spans="2:2" x14ac:dyDescent="0.25">
      <c r="B1401" s="32"/>
    </row>
    <row r="1402" spans="2:2" x14ac:dyDescent="0.25">
      <c r="B1402" s="32"/>
    </row>
    <row r="1403" spans="2:2" x14ac:dyDescent="0.25">
      <c r="B1403" s="32"/>
    </row>
    <row r="1404" spans="2:2" x14ac:dyDescent="0.25">
      <c r="B1404" s="32"/>
    </row>
    <row r="1405" spans="2:2" x14ac:dyDescent="0.25">
      <c r="B1405" s="32"/>
    </row>
    <row r="1406" spans="2:2" x14ac:dyDescent="0.25">
      <c r="B1406" s="32"/>
    </row>
    <row r="1407" spans="2:2" x14ac:dyDescent="0.25">
      <c r="B1407" s="32"/>
    </row>
    <row r="1408" spans="2:2" x14ac:dyDescent="0.25">
      <c r="B1408" s="32"/>
    </row>
    <row r="1409" spans="2:2" x14ac:dyDescent="0.25">
      <c r="B1409" s="32"/>
    </row>
    <row r="1410" spans="2:2" x14ac:dyDescent="0.25">
      <c r="B1410" s="32"/>
    </row>
    <row r="1411" spans="2:2" x14ac:dyDescent="0.25">
      <c r="B1411" s="32"/>
    </row>
    <row r="1412" spans="2:2" x14ac:dyDescent="0.25">
      <c r="B1412" s="32"/>
    </row>
    <row r="1413" spans="2:2" x14ac:dyDescent="0.25">
      <c r="B1413" s="32"/>
    </row>
    <row r="1414" spans="2:2" x14ac:dyDescent="0.25">
      <c r="B1414" s="32"/>
    </row>
    <row r="1415" spans="2:2" x14ac:dyDescent="0.25">
      <c r="B1415" s="32"/>
    </row>
    <row r="1416" spans="2:2" x14ac:dyDescent="0.25">
      <c r="B1416" s="32"/>
    </row>
    <row r="1417" spans="2:2" x14ac:dyDescent="0.25">
      <c r="B1417" s="32"/>
    </row>
    <row r="1418" spans="2:2" x14ac:dyDescent="0.25">
      <c r="B1418" s="32"/>
    </row>
    <row r="1419" spans="2:2" x14ac:dyDescent="0.25">
      <c r="B1419" s="32"/>
    </row>
    <row r="1420" spans="2:2" x14ac:dyDescent="0.25">
      <c r="B1420" s="32"/>
    </row>
    <row r="1421" spans="2:2" x14ac:dyDescent="0.25">
      <c r="B1421" s="32"/>
    </row>
    <row r="1422" spans="2:2" x14ac:dyDescent="0.25">
      <c r="B1422" s="32"/>
    </row>
    <row r="1423" spans="2:2" x14ac:dyDescent="0.25">
      <c r="B1423" s="32"/>
    </row>
    <row r="1424" spans="2:2" x14ac:dyDescent="0.25">
      <c r="B1424" s="32"/>
    </row>
    <row r="1425" spans="2:2" x14ac:dyDescent="0.25">
      <c r="B1425" s="32"/>
    </row>
    <row r="1426" spans="2:2" x14ac:dyDescent="0.25">
      <c r="B1426" s="32"/>
    </row>
    <row r="1427" spans="2:2" x14ac:dyDescent="0.25">
      <c r="B1427" s="32"/>
    </row>
    <row r="1428" spans="2:2" x14ac:dyDescent="0.25">
      <c r="B1428" s="32"/>
    </row>
    <row r="1429" spans="2:2" x14ac:dyDescent="0.25">
      <c r="B1429" s="32"/>
    </row>
    <row r="1430" spans="2:2" x14ac:dyDescent="0.25">
      <c r="B1430" s="32"/>
    </row>
    <row r="1431" spans="2:2" x14ac:dyDescent="0.25">
      <c r="B1431" s="32"/>
    </row>
    <row r="1432" spans="2:2" x14ac:dyDescent="0.25">
      <c r="B1432" s="32"/>
    </row>
    <row r="1433" spans="2:2" x14ac:dyDescent="0.25">
      <c r="B1433" s="32"/>
    </row>
    <row r="1434" spans="2:2" x14ac:dyDescent="0.25">
      <c r="B1434" s="32"/>
    </row>
    <row r="1435" spans="2:2" x14ac:dyDescent="0.25">
      <c r="B1435" s="32"/>
    </row>
    <row r="1436" spans="2:2" x14ac:dyDescent="0.25">
      <c r="B1436" s="32"/>
    </row>
    <row r="1437" spans="2:2" x14ac:dyDescent="0.25">
      <c r="B1437" s="32"/>
    </row>
    <row r="1438" spans="2:2" x14ac:dyDescent="0.25">
      <c r="B1438" s="32"/>
    </row>
    <row r="1439" spans="2:2" x14ac:dyDescent="0.25">
      <c r="B1439" s="32"/>
    </row>
    <row r="1440" spans="2:2" x14ac:dyDescent="0.25">
      <c r="B1440" s="32"/>
    </row>
    <row r="1441" spans="2:2" x14ac:dyDescent="0.25">
      <c r="B1441" s="32"/>
    </row>
    <row r="1442" spans="2:2" x14ac:dyDescent="0.25">
      <c r="B1442" s="32"/>
    </row>
    <row r="1443" spans="2:2" x14ac:dyDescent="0.25">
      <c r="B1443" s="32"/>
    </row>
    <row r="1444" spans="2:2" x14ac:dyDescent="0.25">
      <c r="B1444" s="32"/>
    </row>
    <row r="1445" spans="2:2" x14ac:dyDescent="0.25">
      <c r="B1445" s="32"/>
    </row>
    <row r="1446" spans="2:2" x14ac:dyDescent="0.25">
      <c r="B1446" s="32"/>
    </row>
    <row r="1447" spans="2:2" x14ac:dyDescent="0.25">
      <c r="B1447" s="32"/>
    </row>
    <row r="1448" spans="2:2" x14ac:dyDescent="0.25">
      <c r="B1448" s="32"/>
    </row>
    <row r="1449" spans="2:2" x14ac:dyDescent="0.25">
      <c r="B1449" s="32"/>
    </row>
    <row r="1450" spans="2:2" x14ac:dyDescent="0.25">
      <c r="B1450" s="32"/>
    </row>
    <row r="1451" spans="2:2" x14ac:dyDescent="0.25">
      <c r="B1451" s="32"/>
    </row>
    <row r="1452" spans="2:2" x14ac:dyDescent="0.25">
      <c r="B1452" s="32"/>
    </row>
    <row r="1453" spans="2:2" x14ac:dyDescent="0.25">
      <c r="B1453" s="32"/>
    </row>
    <row r="1454" spans="2:2" x14ac:dyDescent="0.25">
      <c r="B1454" s="32"/>
    </row>
    <row r="1455" spans="2:2" x14ac:dyDescent="0.25">
      <c r="B1455" s="32"/>
    </row>
    <row r="1456" spans="2:2" x14ac:dyDescent="0.25">
      <c r="B1456" s="32"/>
    </row>
    <row r="1457" spans="2:2" x14ac:dyDescent="0.25">
      <c r="B1457" s="32"/>
    </row>
    <row r="1458" spans="2:2" x14ac:dyDescent="0.25">
      <c r="B1458" s="32"/>
    </row>
    <row r="1459" spans="2:2" x14ac:dyDescent="0.25">
      <c r="B1459" s="32"/>
    </row>
    <row r="1460" spans="2:2" x14ac:dyDescent="0.25">
      <c r="B1460" s="32"/>
    </row>
    <row r="1461" spans="2:2" x14ac:dyDescent="0.25">
      <c r="B1461" s="32"/>
    </row>
    <row r="1462" spans="2:2" x14ac:dyDescent="0.25">
      <c r="B1462" s="32"/>
    </row>
    <row r="1463" spans="2:2" x14ac:dyDescent="0.25">
      <c r="B1463" s="32"/>
    </row>
    <row r="1464" spans="2:2" x14ac:dyDescent="0.25">
      <c r="B1464" s="32"/>
    </row>
    <row r="1465" spans="2:2" x14ac:dyDescent="0.25">
      <c r="B1465" s="32"/>
    </row>
    <row r="1466" spans="2:2" x14ac:dyDescent="0.25">
      <c r="B1466" s="32"/>
    </row>
    <row r="1467" spans="2:2" x14ac:dyDescent="0.25">
      <c r="B1467" s="32"/>
    </row>
    <row r="1468" spans="2:2" x14ac:dyDescent="0.25">
      <c r="B1468" s="32"/>
    </row>
    <row r="1469" spans="2:2" x14ac:dyDescent="0.25">
      <c r="B1469" s="32"/>
    </row>
    <row r="1470" spans="2:2" x14ac:dyDescent="0.25">
      <c r="B1470" s="32"/>
    </row>
    <row r="1471" spans="2:2" x14ac:dyDescent="0.25">
      <c r="B1471" s="32"/>
    </row>
    <row r="1472" spans="2:2" x14ac:dyDescent="0.25">
      <c r="B1472" s="32"/>
    </row>
    <row r="1473" spans="2:2" x14ac:dyDescent="0.25">
      <c r="B1473" s="32"/>
    </row>
    <row r="1474" spans="2:2" x14ac:dyDescent="0.25">
      <c r="B1474" s="32"/>
    </row>
    <row r="1475" spans="2:2" x14ac:dyDescent="0.25">
      <c r="B1475" s="32"/>
    </row>
    <row r="1476" spans="2:2" x14ac:dyDescent="0.25">
      <c r="B1476" s="32"/>
    </row>
    <row r="1477" spans="2:2" x14ac:dyDescent="0.25">
      <c r="B1477" s="32"/>
    </row>
    <row r="1478" spans="2:2" x14ac:dyDescent="0.25">
      <c r="B1478" s="32"/>
    </row>
    <row r="1479" spans="2:2" x14ac:dyDescent="0.25">
      <c r="B1479" s="32"/>
    </row>
    <row r="1480" spans="2:2" x14ac:dyDescent="0.25">
      <c r="B1480" s="32"/>
    </row>
    <row r="1481" spans="2:2" x14ac:dyDescent="0.25">
      <c r="B1481" s="32"/>
    </row>
    <row r="1482" spans="2:2" x14ac:dyDescent="0.25">
      <c r="B1482" s="32"/>
    </row>
    <row r="1483" spans="2:2" x14ac:dyDescent="0.25">
      <c r="B1483" s="32"/>
    </row>
    <row r="1484" spans="2:2" x14ac:dyDescent="0.25">
      <c r="B1484" s="32"/>
    </row>
    <row r="1485" spans="2:2" x14ac:dyDescent="0.25">
      <c r="B1485" s="32"/>
    </row>
    <row r="1486" spans="2:2" x14ac:dyDescent="0.25">
      <c r="B1486" s="32"/>
    </row>
    <row r="1487" spans="2:2" x14ac:dyDescent="0.25">
      <c r="B1487" s="32"/>
    </row>
    <row r="1488" spans="2:2" x14ac:dyDescent="0.25">
      <c r="B1488" s="32"/>
    </row>
    <row r="1489" spans="2:2" x14ac:dyDescent="0.25">
      <c r="B1489" s="32"/>
    </row>
    <row r="1490" spans="2:2" x14ac:dyDescent="0.25">
      <c r="B1490" s="32"/>
    </row>
    <row r="1491" spans="2:2" x14ac:dyDescent="0.25">
      <c r="B1491" s="32"/>
    </row>
    <row r="1492" spans="2:2" x14ac:dyDescent="0.25">
      <c r="B1492" s="32"/>
    </row>
    <row r="1493" spans="2:2" x14ac:dyDescent="0.25">
      <c r="B1493" s="32"/>
    </row>
    <row r="1494" spans="2:2" x14ac:dyDescent="0.25">
      <c r="B1494" s="32"/>
    </row>
    <row r="1495" spans="2:2" x14ac:dyDescent="0.25">
      <c r="B1495" s="32"/>
    </row>
    <row r="1496" spans="2:2" x14ac:dyDescent="0.25">
      <c r="B1496" s="32"/>
    </row>
    <row r="1497" spans="2:2" x14ac:dyDescent="0.25">
      <c r="B1497" s="32"/>
    </row>
    <row r="1498" spans="2:2" x14ac:dyDescent="0.25">
      <c r="B1498" s="32"/>
    </row>
    <row r="1499" spans="2:2" x14ac:dyDescent="0.25">
      <c r="B1499" s="32"/>
    </row>
    <row r="1500" spans="2:2" x14ac:dyDescent="0.25">
      <c r="B1500" s="32"/>
    </row>
    <row r="1501" spans="2:2" x14ac:dyDescent="0.25">
      <c r="B1501" s="32"/>
    </row>
    <row r="1502" spans="2:2" x14ac:dyDescent="0.25">
      <c r="B1502" s="32"/>
    </row>
    <row r="1503" spans="2:2" x14ac:dyDescent="0.25">
      <c r="B1503" s="32"/>
    </row>
    <row r="1504" spans="2:2" x14ac:dyDescent="0.25">
      <c r="B1504" s="32"/>
    </row>
    <row r="1505" spans="2:2" x14ac:dyDescent="0.25">
      <c r="B1505" s="32"/>
    </row>
    <row r="1506" spans="2:2" x14ac:dyDescent="0.25">
      <c r="B1506" s="32"/>
    </row>
    <row r="1507" spans="2:2" x14ac:dyDescent="0.25">
      <c r="B1507" s="32"/>
    </row>
    <row r="1508" spans="2:2" x14ac:dyDescent="0.25">
      <c r="B1508" s="32"/>
    </row>
    <row r="1509" spans="2:2" x14ac:dyDescent="0.25">
      <c r="B1509" s="32"/>
    </row>
    <row r="1510" spans="2:2" x14ac:dyDescent="0.25">
      <c r="B1510" s="32"/>
    </row>
    <row r="1511" spans="2:2" x14ac:dyDescent="0.25">
      <c r="B1511" s="32"/>
    </row>
    <row r="1512" spans="2:2" x14ac:dyDescent="0.25">
      <c r="B1512" s="32"/>
    </row>
    <row r="1513" spans="2:2" x14ac:dyDescent="0.25">
      <c r="B1513" s="32"/>
    </row>
    <row r="1514" spans="2:2" x14ac:dyDescent="0.25">
      <c r="B1514" s="32"/>
    </row>
    <row r="1515" spans="2:2" x14ac:dyDescent="0.25">
      <c r="B1515" s="32"/>
    </row>
    <row r="1516" spans="2:2" x14ac:dyDescent="0.25">
      <c r="B1516" s="32"/>
    </row>
    <row r="1517" spans="2:2" x14ac:dyDescent="0.25">
      <c r="B1517" s="32"/>
    </row>
    <row r="1518" spans="2:2" x14ac:dyDescent="0.25">
      <c r="B1518" s="32"/>
    </row>
    <row r="1519" spans="2:2" x14ac:dyDescent="0.25">
      <c r="B1519" s="32"/>
    </row>
    <row r="1520" spans="2:2" x14ac:dyDescent="0.25">
      <c r="B1520" s="32"/>
    </row>
    <row r="1521" spans="2:2" x14ac:dyDescent="0.25">
      <c r="B1521" s="32"/>
    </row>
    <row r="1522" spans="2:2" x14ac:dyDescent="0.25">
      <c r="B1522" s="32"/>
    </row>
    <row r="1523" spans="2:2" x14ac:dyDescent="0.25">
      <c r="B1523" s="32"/>
    </row>
    <row r="1524" spans="2:2" x14ac:dyDescent="0.25">
      <c r="B1524" s="32"/>
    </row>
    <row r="1525" spans="2:2" x14ac:dyDescent="0.25">
      <c r="B1525" s="32"/>
    </row>
    <row r="1526" spans="2:2" x14ac:dyDescent="0.25">
      <c r="B1526" s="32"/>
    </row>
    <row r="1527" spans="2:2" x14ac:dyDescent="0.25">
      <c r="B1527" s="32"/>
    </row>
    <row r="1528" spans="2:2" x14ac:dyDescent="0.25">
      <c r="B1528" s="32"/>
    </row>
    <row r="1529" spans="2:2" x14ac:dyDescent="0.25">
      <c r="B1529" s="32"/>
    </row>
    <row r="1530" spans="2:2" x14ac:dyDescent="0.25">
      <c r="B1530" s="32"/>
    </row>
    <row r="1531" spans="2:2" x14ac:dyDescent="0.25">
      <c r="B1531" s="32"/>
    </row>
    <row r="1532" spans="2:2" x14ac:dyDescent="0.25">
      <c r="B1532" s="32"/>
    </row>
    <row r="1533" spans="2:2" x14ac:dyDescent="0.25">
      <c r="B1533" s="32"/>
    </row>
    <row r="1534" spans="2:2" x14ac:dyDescent="0.25">
      <c r="B1534" s="32"/>
    </row>
    <row r="1535" spans="2:2" x14ac:dyDescent="0.25">
      <c r="B1535" s="32"/>
    </row>
    <row r="1536" spans="2:2" x14ac:dyDescent="0.25">
      <c r="B1536" s="32"/>
    </row>
    <row r="1537" spans="2:2" x14ac:dyDescent="0.25">
      <c r="B1537" s="32"/>
    </row>
    <row r="1538" spans="2:2" x14ac:dyDescent="0.25">
      <c r="B1538" s="32"/>
    </row>
    <row r="1539" spans="2:2" x14ac:dyDescent="0.25">
      <c r="B1539" s="32"/>
    </row>
    <row r="1540" spans="2:2" x14ac:dyDescent="0.25">
      <c r="B1540" s="32"/>
    </row>
    <row r="1541" spans="2:2" x14ac:dyDescent="0.25">
      <c r="B1541" s="32"/>
    </row>
    <row r="1542" spans="2:2" x14ac:dyDescent="0.25">
      <c r="B1542" s="32"/>
    </row>
    <row r="1543" spans="2:2" x14ac:dyDescent="0.25">
      <c r="B1543" s="32"/>
    </row>
    <row r="1544" spans="2:2" x14ac:dyDescent="0.25">
      <c r="B1544" s="32"/>
    </row>
    <row r="1545" spans="2:2" x14ac:dyDescent="0.25">
      <c r="B1545" s="32"/>
    </row>
    <row r="1546" spans="2:2" x14ac:dyDescent="0.25">
      <c r="B1546" s="32"/>
    </row>
    <row r="1547" spans="2:2" x14ac:dyDescent="0.25">
      <c r="B1547" s="32"/>
    </row>
    <row r="1548" spans="2:2" x14ac:dyDescent="0.25">
      <c r="B1548" s="32"/>
    </row>
    <row r="1549" spans="2:2" x14ac:dyDescent="0.25">
      <c r="B1549" s="32"/>
    </row>
    <row r="1550" spans="2:2" x14ac:dyDescent="0.25">
      <c r="B1550" s="32"/>
    </row>
    <row r="1551" spans="2:2" x14ac:dyDescent="0.25">
      <c r="B1551" s="32"/>
    </row>
    <row r="1552" spans="2:2" x14ac:dyDescent="0.25">
      <c r="B1552" s="32"/>
    </row>
    <row r="1553" spans="2:2" x14ac:dyDescent="0.25">
      <c r="B1553" s="32"/>
    </row>
    <row r="1554" spans="2:2" x14ac:dyDescent="0.25">
      <c r="B1554" s="32"/>
    </row>
    <row r="1555" spans="2:2" x14ac:dyDescent="0.25">
      <c r="B1555" s="32"/>
    </row>
    <row r="1556" spans="2:2" x14ac:dyDescent="0.25">
      <c r="B1556" s="32"/>
    </row>
    <row r="1557" spans="2:2" x14ac:dyDescent="0.25">
      <c r="B1557" s="32"/>
    </row>
    <row r="1558" spans="2:2" x14ac:dyDescent="0.25">
      <c r="B1558" s="32"/>
    </row>
    <row r="1559" spans="2:2" x14ac:dyDescent="0.25">
      <c r="B1559" s="32"/>
    </row>
    <row r="1560" spans="2:2" x14ac:dyDescent="0.25">
      <c r="B1560" s="32"/>
    </row>
    <row r="1561" spans="2:2" x14ac:dyDescent="0.25">
      <c r="B1561" s="32"/>
    </row>
    <row r="1562" spans="2:2" x14ac:dyDescent="0.25">
      <c r="B1562" s="32"/>
    </row>
    <row r="1563" spans="2:2" x14ac:dyDescent="0.25">
      <c r="B1563" s="32"/>
    </row>
    <row r="1564" spans="2:2" x14ac:dyDescent="0.25">
      <c r="B1564" s="32"/>
    </row>
    <row r="1565" spans="2:2" x14ac:dyDescent="0.25">
      <c r="B1565" s="32"/>
    </row>
    <row r="1566" spans="2:2" x14ac:dyDescent="0.25">
      <c r="B1566" s="32"/>
    </row>
    <row r="1567" spans="2:2" x14ac:dyDescent="0.25">
      <c r="B1567" s="32"/>
    </row>
    <row r="1568" spans="2:2" x14ac:dyDescent="0.25">
      <c r="B1568" s="32"/>
    </row>
    <row r="1569" spans="2:2" x14ac:dyDescent="0.25">
      <c r="B1569" s="32"/>
    </row>
    <row r="1570" spans="2:2" x14ac:dyDescent="0.25">
      <c r="B1570" s="32"/>
    </row>
    <row r="1571" spans="2:2" x14ac:dyDescent="0.25">
      <c r="B1571" s="32"/>
    </row>
    <row r="1572" spans="2:2" x14ac:dyDescent="0.25">
      <c r="B1572" s="32"/>
    </row>
    <row r="1573" spans="2:2" x14ac:dyDescent="0.25">
      <c r="B1573" s="32"/>
    </row>
    <row r="1574" spans="2:2" x14ac:dyDescent="0.25">
      <c r="B1574" s="32"/>
    </row>
    <row r="1575" spans="2:2" x14ac:dyDescent="0.25">
      <c r="B1575" s="32"/>
    </row>
    <row r="1576" spans="2:2" x14ac:dyDescent="0.25">
      <c r="B1576" s="32"/>
    </row>
    <row r="1577" spans="2:2" x14ac:dyDescent="0.25">
      <c r="B1577" s="32"/>
    </row>
    <row r="1578" spans="2:2" x14ac:dyDescent="0.25">
      <c r="B1578" s="32"/>
    </row>
    <row r="1579" spans="2:2" x14ac:dyDescent="0.25">
      <c r="B1579" s="32"/>
    </row>
    <row r="1580" spans="2:2" x14ac:dyDescent="0.25">
      <c r="B1580" s="32"/>
    </row>
    <row r="1581" spans="2:2" x14ac:dyDescent="0.25">
      <c r="B1581" s="32"/>
    </row>
    <row r="1582" spans="2:2" x14ac:dyDescent="0.25">
      <c r="B1582" s="32"/>
    </row>
    <row r="1583" spans="2:2" x14ac:dyDescent="0.25">
      <c r="B1583" s="32"/>
    </row>
    <row r="1584" spans="2:2" x14ac:dyDescent="0.25">
      <c r="B1584" s="32"/>
    </row>
    <row r="1585" spans="2:2" x14ac:dyDescent="0.25">
      <c r="B1585" s="32"/>
    </row>
    <row r="1586" spans="2:2" x14ac:dyDescent="0.25">
      <c r="B1586" s="32"/>
    </row>
    <row r="1587" spans="2:2" x14ac:dyDescent="0.25">
      <c r="B1587" s="32"/>
    </row>
    <row r="1588" spans="2:2" x14ac:dyDescent="0.25">
      <c r="B1588" s="32"/>
    </row>
    <row r="1589" spans="2:2" x14ac:dyDescent="0.25">
      <c r="B1589" s="32"/>
    </row>
    <row r="1590" spans="2:2" x14ac:dyDescent="0.25">
      <c r="B1590" s="32"/>
    </row>
    <row r="1591" spans="2:2" x14ac:dyDescent="0.25">
      <c r="B1591" s="32"/>
    </row>
    <row r="1592" spans="2:2" x14ac:dyDescent="0.25">
      <c r="B1592" s="32"/>
    </row>
    <row r="1593" spans="2:2" x14ac:dyDescent="0.25">
      <c r="B1593" s="32"/>
    </row>
    <row r="1594" spans="2:2" x14ac:dyDescent="0.25">
      <c r="B1594" s="32"/>
    </row>
    <row r="1595" spans="2:2" x14ac:dyDescent="0.25">
      <c r="B1595" s="32"/>
    </row>
    <row r="1596" spans="2:2" x14ac:dyDescent="0.25">
      <c r="B1596" s="32"/>
    </row>
    <row r="1597" spans="2:2" x14ac:dyDescent="0.25">
      <c r="B1597" s="32"/>
    </row>
    <row r="1598" spans="2:2" x14ac:dyDescent="0.25">
      <c r="B1598" s="32"/>
    </row>
    <row r="1599" spans="2:2" x14ac:dyDescent="0.25">
      <c r="B1599" s="32"/>
    </row>
    <row r="1600" spans="2:2" x14ac:dyDescent="0.25">
      <c r="B1600" s="32"/>
    </row>
    <row r="1601" spans="2:2" x14ac:dyDescent="0.25">
      <c r="B1601" s="32"/>
    </row>
    <row r="1602" spans="2:2" x14ac:dyDescent="0.25">
      <c r="B1602" s="32"/>
    </row>
    <row r="1603" spans="2:2" x14ac:dyDescent="0.25">
      <c r="B1603" s="32"/>
    </row>
    <row r="1604" spans="2:2" x14ac:dyDescent="0.25">
      <c r="B1604" s="32"/>
    </row>
    <row r="1605" spans="2:2" x14ac:dyDescent="0.25">
      <c r="B1605" s="32"/>
    </row>
    <row r="1606" spans="2:2" x14ac:dyDescent="0.25">
      <c r="B1606" s="32"/>
    </row>
    <row r="1607" spans="2:2" x14ac:dyDescent="0.25">
      <c r="B1607" s="32"/>
    </row>
    <row r="1608" spans="2:2" x14ac:dyDescent="0.25">
      <c r="B1608" s="32"/>
    </row>
    <row r="1609" spans="2:2" x14ac:dyDescent="0.25">
      <c r="B1609" s="32"/>
    </row>
    <row r="1610" spans="2:2" x14ac:dyDescent="0.25">
      <c r="B1610" s="32"/>
    </row>
    <row r="1611" spans="2:2" x14ac:dyDescent="0.25">
      <c r="B1611" s="32"/>
    </row>
    <row r="1612" spans="2:2" x14ac:dyDescent="0.25">
      <c r="B1612" s="32"/>
    </row>
    <row r="1613" spans="2:2" x14ac:dyDescent="0.25">
      <c r="B1613" s="32"/>
    </row>
    <row r="1614" spans="2:2" x14ac:dyDescent="0.25">
      <c r="B1614" s="32"/>
    </row>
    <row r="1615" spans="2:2" x14ac:dyDescent="0.25">
      <c r="B1615" s="32"/>
    </row>
    <row r="1616" spans="2:2" x14ac:dyDescent="0.25">
      <c r="B1616" s="32"/>
    </row>
    <row r="1617" spans="2:2" x14ac:dyDescent="0.25">
      <c r="B1617" s="32"/>
    </row>
    <row r="1618" spans="2:2" x14ac:dyDescent="0.25">
      <c r="B1618" s="32"/>
    </row>
    <row r="1619" spans="2:2" x14ac:dyDescent="0.25">
      <c r="B1619" s="32"/>
    </row>
    <row r="1620" spans="2:2" x14ac:dyDescent="0.25">
      <c r="B1620" s="32"/>
    </row>
    <row r="1621" spans="2:2" x14ac:dyDescent="0.25">
      <c r="B1621" s="32"/>
    </row>
  </sheetData>
  <sheetProtection algorithmName="SHA-512" hashValue="1pVJ1jLlxUas5LtJNyfvRLBf0nAGaQP1bEU1ZhzBo2hAWNij57gNdsaNou24GR0l6lYa48bsXKFk48PZvOdfxQ==" saltValue="pjSKB1A9DfsBqDT4ZuRH6Q==" spinCount="100000" sheet="1" objects="1" scenarios="1" selectLockedCells="1" selectUnlockedCells="1"/>
  <customSheetViews>
    <customSheetView guid="{5E8F20A8-8220-4169-B947-2AB764A2AA7B}" showGridLines="0" showRowCol="0">
      <selection activeCell="P13" sqref="P13"/>
      <pageMargins left="0.7" right="0.7" top="0.75" bottom="0.75" header="0.3" footer="0.3"/>
    </customSheetView>
    <customSheetView guid="{9F540994-A66B-4083-BD64-035E71878618}" showGridLines="0" showRowCol="0">
      <selection activeCell="P13" sqref="P13"/>
      <pageMargins left="0.7" right="0.7" top="0.75" bottom="0.75" header="0.3" footer="0.3"/>
    </customSheetView>
  </customSheetViews>
  <mergeCells count="7">
    <mergeCell ref="E34:F34"/>
    <mergeCell ref="E31:F31"/>
    <mergeCell ref="I30:J30"/>
    <mergeCell ref="E30:G30"/>
    <mergeCell ref="B2:C2"/>
    <mergeCell ref="E32:F32"/>
    <mergeCell ref="E33:F3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39"/>
  <sheetViews>
    <sheetView showGridLines="0" showRowColHeaders="0" zoomScale="80" zoomScaleNormal="80" workbookViewId="0">
      <selection activeCell="K14" sqref="K14"/>
    </sheetView>
  </sheetViews>
  <sheetFormatPr defaultRowHeight="15" x14ac:dyDescent="0.25"/>
  <cols>
    <col min="1" max="1" width="4.42578125" customWidth="1"/>
  </cols>
  <sheetData>
    <row r="2" spans="2:23" ht="23.25" x14ac:dyDescent="0.35">
      <c r="B2" s="421" t="s">
        <v>742</v>
      </c>
      <c r="C2" s="428"/>
      <c r="D2" s="428"/>
      <c r="E2" s="428"/>
      <c r="F2" s="428"/>
      <c r="G2" s="428"/>
      <c r="H2" s="428"/>
      <c r="I2" s="428"/>
      <c r="J2" s="428"/>
      <c r="K2" s="428"/>
      <c r="L2" s="428"/>
      <c r="M2" s="428"/>
      <c r="N2" s="428"/>
      <c r="O2" s="428"/>
      <c r="P2" s="428"/>
      <c r="Q2" s="428"/>
      <c r="R2" s="428"/>
      <c r="S2" s="428"/>
      <c r="T2" s="428"/>
      <c r="U2" s="428"/>
      <c r="V2" s="428"/>
      <c r="W2" s="428"/>
    </row>
    <row r="3" spans="2:23" x14ac:dyDescent="0.25">
      <c r="B3" s="428"/>
      <c r="C3" s="428"/>
      <c r="D3" s="428"/>
      <c r="E3" s="428"/>
      <c r="F3" s="428"/>
      <c r="G3" s="428"/>
      <c r="H3" s="428"/>
      <c r="I3" s="428"/>
      <c r="J3" s="428"/>
      <c r="K3" s="428"/>
      <c r="L3" s="428"/>
      <c r="M3" s="428"/>
      <c r="N3" s="428"/>
      <c r="O3" s="428"/>
      <c r="P3" s="428"/>
      <c r="Q3" s="428"/>
      <c r="R3" s="428"/>
      <c r="S3" s="428"/>
      <c r="T3" s="428"/>
      <c r="U3" s="428"/>
      <c r="V3" s="428"/>
      <c r="W3" s="428"/>
    </row>
    <row r="4" spans="2:23" ht="18.75" x14ac:dyDescent="0.3">
      <c r="B4" s="802" t="s">
        <v>1094</v>
      </c>
      <c r="C4" s="428"/>
      <c r="D4" s="428"/>
      <c r="E4" s="428"/>
      <c r="F4" s="428"/>
      <c r="G4" s="428"/>
      <c r="H4" s="428"/>
      <c r="I4" s="428"/>
      <c r="J4" s="428"/>
      <c r="K4" s="428"/>
      <c r="L4" s="428"/>
      <c r="M4" s="428"/>
      <c r="N4" s="428"/>
      <c r="O4" s="428"/>
      <c r="P4" s="428"/>
      <c r="Q4" s="428"/>
      <c r="R4" s="428"/>
      <c r="S4" s="428"/>
      <c r="T4" s="428"/>
      <c r="U4" s="428"/>
      <c r="V4" s="428"/>
      <c r="W4" s="428"/>
    </row>
    <row r="5" spans="2:23" x14ac:dyDescent="0.25">
      <c r="B5" s="428"/>
      <c r="C5" s="428"/>
      <c r="D5" s="428"/>
      <c r="E5" s="428"/>
      <c r="F5" s="428"/>
      <c r="G5" s="428"/>
      <c r="H5" s="428"/>
      <c r="I5" s="428"/>
      <c r="J5" s="428"/>
      <c r="K5" s="428"/>
      <c r="L5" s="428"/>
      <c r="M5" s="428"/>
      <c r="N5" s="428"/>
      <c r="O5" s="428"/>
      <c r="P5" s="428"/>
      <c r="Q5" s="428"/>
      <c r="R5" s="428"/>
      <c r="S5" s="428"/>
      <c r="T5" s="428"/>
      <c r="U5" s="428"/>
      <c r="V5" s="428"/>
      <c r="W5" s="428"/>
    </row>
    <row r="6" spans="2:23" x14ac:dyDescent="0.25">
      <c r="B6" s="428"/>
      <c r="C6" s="428"/>
      <c r="D6" s="428"/>
      <c r="E6" s="428"/>
      <c r="F6" s="428"/>
      <c r="G6" s="428"/>
      <c r="H6" s="428"/>
      <c r="I6" s="428"/>
      <c r="J6" s="428"/>
      <c r="K6" s="428"/>
      <c r="L6" s="428"/>
      <c r="M6" s="428"/>
      <c r="N6" s="428"/>
      <c r="O6" s="428"/>
      <c r="P6" s="428"/>
      <c r="Q6" s="428"/>
      <c r="R6" s="428"/>
      <c r="S6" s="428"/>
      <c r="T6" s="428"/>
      <c r="U6" s="428"/>
      <c r="V6" s="428"/>
      <c r="W6" s="428"/>
    </row>
    <row r="7" spans="2:23" x14ac:dyDescent="0.25">
      <c r="B7" s="428"/>
      <c r="C7" s="428"/>
      <c r="D7" s="428"/>
      <c r="E7" s="428"/>
      <c r="F7" s="428"/>
      <c r="G7" s="428"/>
      <c r="H7" s="428"/>
      <c r="I7" s="428"/>
      <c r="J7" s="428"/>
      <c r="K7" s="428"/>
      <c r="L7" s="428"/>
      <c r="M7" s="428"/>
      <c r="N7" s="428"/>
      <c r="O7" s="428"/>
      <c r="P7" s="428"/>
      <c r="Q7" s="428"/>
      <c r="R7" s="428"/>
      <c r="S7" s="428"/>
      <c r="T7" s="428"/>
      <c r="U7" s="428"/>
      <c r="V7" s="428"/>
      <c r="W7" s="428"/>
    </row>
    <row r="8" spans="2:23" x14ac:dyDescent="0.25">
      <c r="B8" s="428"/>
      <c r="C8" s="428"/>
      <c r="D8" s="428"/>
      <c r="E8" s="428"/>
      <c r="F8" s="428"/>
      <c r="G8" s="428"/>
      <c r="H8" s="428"/>
      <c r="I8" s="428"/>
      <c r="J8" s="428"/>
      <c r="K8" s="428"/>
      <c r="L8" s="428"/>
      <c r="M8" s="428"/>
      <c r="N8" s="428"/>
      <c r="O8" s="428"/>
      <c r="P8" s="428"/>
      <c r="Q8" s="428"/>
      <c r="R8" s="428"/>
      <c r="S8" s="428"/>
      <c r="T8" s="428"/>
      <c r="U8" s="428"/>
      <c r="V8" s="428"/>
      <c r="W8" s="428"/>
    </row>
    <row r="9" spans="2:23" x14ac:dyDescent="0.25">
      <c r="B9" s="428"/>
      <c r="C9" s="428"/>
      <c r="D9" s="428"/>
      <c r="E9" s="428"/>
      <c r="F9" s="428"/>
      <c r="G9" s="428"/>
      <c r="H9" s="428"/>
      <c r="I9" s="428"/>
      <c r="J9" s="428"/>
      <c r="K9" s="428"/>
      <c r="L9" s="428"/>
      <c r="M9" s="428"/>
      <c r="N9" s="428"/>
      <c r="O9" s="428"/>
      <c r="P9" s="428"/>
      <c r="Q9" s="428"/>
      <c r="R9" s="428"/>
      <c r="S9" s="428"/>
      <c r="T9" s="428"/>
      <c r="U9" s="428"/>
      <c r="V9" s="428"/>
      <c r="W9" s="428"/>
    </row>
    <row r="10" spans="2:23" ht="15.75" x14ac:dyDescent="0.25">
      <c r="B10" s="803" t="s">
        <v>1095</v>
      </c>
      <c r="C10" s="428"/>
      <c r="D10" s="428"/>
      <c r="E10" s="428"/>
      <c r="F10" s="428"/>
      <c r="G10" s="428"/>
      <c r="H10" s="428"/>
      <c r="I10" s="428"/>
      <c r="J10" s="428"/>
      <c r="K10" s="428"/>
      <c r="L10" s="428"/>
      <c r="M10" s="428"/>
      <c r="N10" s="428"/>
      <c r="O10" s="428"/>
      <c r="P10" s="428"/>
      <c r="Q10" s="428"/>
      <c r="R10" s="428"/>
      <c r="S10" s="428"/>
      <c r="T10" s="428"/>
      <c r="U10" s="428"/>
      <c r="V10" s="428"/>
      <c r="W10" s="428"/>
    </row>
    <row r="11" spans="2:23" ht="15.75" x14ac:dyDescent="0.25">
      <c r="B11" s="804"/>
      <c r="C11" s="428"/>
      <c r="D11" s="428"/>
      <c r="E11" s="428"/>
      <c r="F11" s="428"/>
      <c r="G11" s="428"/>
      <c r="H11" s="428"/>
      <c r="I11" s="428"/>
      <c r="J11" s="428"/>
      <c r="K11" s="428"/>
      <c r="L11" s="428"/>
      <c r="M11" s="428"/>
      <c r="N11" s="428"/>
      <c r="O11" s="428"/>
      <c r="P11" s="428"/>
      <c r="Q11" s="428"/>
      <c r="R11" s="428"/>
      <c r="S11" s="428"/>
      <c r="T11" s="428"/>
      <c r="U11" s="428"/>
      <c r="V11" s="428"/>
      <c r="W11" s="428"/>
    </row>
    <row r="12" spans="2:23" ht="15.75" x14ac:dyDescent="0.25">
      <c r="B12" s="804"/>
      <c r="C12" s="428"/>
      <c r="D12" s="428"/>
      <c r="E12" s="428"/>
      <c r="F12" s="428"/>
      <c r="G12" s="428"/>
      <c r="H12" s="428"/>
      <c r="I12" s="428"/>
      <c r="J12" s="428"/>
      <c r="K12" s="428"/>
      <c r="L12" s="428"/>
      <c r="M12" s="428"/>
      <c r="N12" s="428"/>
      <c r="O12" s="428"/>
      <c r="P12" s="428"/>
      <c r="Q12" s="428"/>
      <c r="R12" s="428"/>
      <c r="S12" s="428"/>
      <c r="T12" s="428"/>
      <c r="U12" s="428"/>
      <c r="V12" s="428"/>
      <c r="W12" s="428"/>
    </row>
    <row r="13" spans="2:23" ht="15.75" x14ac:dyDescent="0.25">
      <c r="B13" s="804"/>
      <c r="C13" s="428"/>
      <c r="D13" s="428"/>
      <c r="E13" s="428"/>
      <c r="F13" s="428"/>
      <c r="G13" s="428"/>
      <c r="H13" s="428"/>
      <c r="I13" s="428"/>
      <c r="J13" s="428"/>
      <c r="K13" s="428"/>
      <c r="L13" s="428"/>
      <c r="M13" s="428"/>
      <c r="N13" s="428"/>
      <c r="O13" s="428"/>
      <c r="P13" s="428"/>
      <c r="Q13" s="428"/>
      <c r="R13" s="428"/>
      <c r="S13" s="428"/>
      <c r="T13" s="428"/>
      <c r="U13" s="428"/>
      <c r="V13" s="428"/>
      <c r="W13" s="428"/>
    </row>
    <row r="14" spans="2:23" ht="15.75" x14ac:dyDescent="0.25">
      <c r="B14" s="804"/>
      <c r="C14" s="428"/>
      <c r="D14" s="428"/>
      <c r="E14" s="428"/>
      <c r="F14" s="428"/>
      <c r="G14" s="428"/>
      <c r="H14" s="428"/>
      <c r="I14" s="428"/>
      <c r="J14" s="428"/>
      <c r="K14" s="428"/>
      <c r="L14" s="428"/>
      <c r="M14" s="428"/>
      <c r="N14" s="428"/>
      <c r="O14" s="428"/>
      <c r="P14" s="428"/>
      <c r="Q14" s="428"/>
      <c r="R14" s="428"/>
      <c r="S14" s="428"/>
      <c r="T14" s="428"/>
      <c r="U14" s="428"/>
      <c r="V14" s="428"/>
      <c r="W14" s="428"/>
    </row>
    <row r="15" spans="2:23" ht="18.75" x14ac:dyDescent="0.3">
      <c r="B15" s="802" t="s">
        <v>1096</v>
      </c>
      <c r="C15" s="428"/>
      <c r="D15" s="428"/>
      <c r="E15" s="428"/>
      <c r="F15" s="428"/>
      <c r="G15" s="428"/>
      <c r="H15" s="428"/>
      <c r="I15" s="428"/>
      <c r="J15" s="428"/>
      <c r="K15" s="428"/>
      <c r="L15" s="428"/>
      <c r="M15" s="428"/>
      <c r="N15" s="428"/>
      <c r="O15" s="428"/>
      <c r="P15" s="428"/>
      <c r="Q15" s="428"/>
      <c r="R15" s="428"/>
      <c r="S15" s="428"/>
      <c r="T15" s="428"/>
      <c r="U15" s="428"/>
      <c r="V15" s="428"/>
      <c r="W15" s="428"/>
    </row>
    <row r="16" spans="2:23" ht="15.75" x14ac:dyDescent="0.25">
      <c r="B16" s="804"/>
      <c r="C16" s="428"/>
      <c r="D16" s="428"/>
      <c r="E16" s="428"/>
      <c r="F16" s="428"/>
      <c r="G16" s="428"/>
      <c r="H16" s="428"/>
      <c r="I16" s="428"/>
      <c r="J16" s="428"/>
      <c r="K16" s="428"/>
      <c r="L16" s="428"/>
      <c r="M16" s="428"/>
      <c r="N16" s="428"/>
      <c r="O16" s="428"/>
      <c r="P16" s="428"/>
      <c r="Q16" s="428"/>
      <c r="R16" s="428"/>
      <c r="S16" s="428"/>
      <c r="T16" s="428"/>
      <c r="U16" s="428"/>
      <c r="V16" s="428"/>
      <c r="W16" s="428"/>
    </row>
    <row r="17" spans="2:23" ht="15.75" x14ac:dyDescent="0.25">
      <c r="B17" s="804"/>
      <c r="C17" s="428"/>
      <c r="D17" s="428"/>
      <c r="E17" s="428"/>
      <c r="F17" s="428"/>
      <c r="G17" s="428"/>
      <c r="H17" s="428"/>
      <c r="I17" s="428"/>
      <c r="J17" s="428"/>
      <c r="K17" s="428"/>
      <c r="L17" s="428"/>
      <c r="M17" s="428"/>
      <c r="N17" s="428"/>
      <c r="O17" s="428"/>
      <c r="P17" s="428"/>
      <c r="Q17" s="428"/>
      <c r="R17" s="428"/>
      <c r="S17" s="428"/>
      <c r="T17" s="428"/>
      <c r="U17" s="428"/>
      <c r="V17" s="428"/>
      <c r="W17" s="428"/>
    </row>
    <row r="18" spans="2:23" ht="15.75" x14ac:dyDescent="0.25">
      <c r="B18" s="804"/>
      <c r="C18" s="428"/>
      <c r="D18" s="428"/>
      <c r="E18" s="428"/>
      <c r="F18" s="428"/>
      <c r="G18" s="428"/>
      <c r="H18" s="428"/>
      <c r="I18" s="428"/>
      <c r="J18" s="428"/>
      <c r="K18" s="428"/>
      <c r="L18" s="428"/>
      <c r="M18" s="428"/>
      <c r="N18" s="428"/>
      <c r="O18" s="428"/>
      <c r="P18" s="428"/>
      <c r="Q18" s="428"/>
      <c r="R18" s="428"/>
      <c r="S18" s="428"/>
      <c r="T18" s="428"/>
      <c r="U18" s="428"/>
      <c r="V18" s="428"/>
      <c r="W18" s="428"/>
    </row>
    <row r="19" spans="2:23" ht="15.75" x14ac:dyDescent="0.25">
      <c r="B19" s="804"/>
      <c r="C19" s="428"/>
      <c r="D19" s="428"/>
      <c r="E19" s="428"/>
      <c r="F19" s="428"/>
      <c r="G19" s="428"/>
      <c r="H19" s="428"/>
      <c r="I19" s="428"/>
      <c r="J19" s="428"/>
      <c r="K19" s="428"/>
      <c r="L19" s="428"/>
      <c r="M19" s="428"/>
      <c r="N19" s="428"/>
      <c r="O19" s="428"/>
      <c r="P19" s="428"/>
      <c r="Q19" s="428"/>
      <c r="R19" s="428"/>
      <c r="S19" s="428"/>
      <c r="T19" s="428"/>
      <c r="U19" s="428"/>
      <c r="V19" s="428"/>
      <c r="W19" s="428"/>
    </row>
    <row r="20" spans="2:23" x14ac:dyDescent="0.25">
      <c r="B20" s="428"/>
      <c r="C20" s="428"/>
      <c r="D20" s="428"/>
      <c r="E20" s="428"/>
      <c r="F20" s="428"/>
      <c r="G20" s="428"/>
      <c r="H20" s="428"/>
      <c r="I20" s="428"/>
      <c r="J20" s="428"/>
      <c r="K20" s="428"/>
      <c r="L20" s="428"/>
      <c r="M20" s="428"/>
      <c r="N20" s="428"/>
      <c r="O20" s="428"/>
      <c r="P20" s="428"/>
      <c r="Q20" s="428"/>
      <c r="R20" s="428"/>
      <c r="S20" s="428"/>
      <c r="T20" s="428"/>
      <c r="U20" s="428"/>
      <c r="V20" s="428"/>
      <c r="W20" s="428"/>
    </row>
    <row r="21" spans="2:23" ht="15.75" x14ac:dyDescent="0.25">
      <c r="B21" s="803" t="s">
        <v>1097</v>
      </c>
      <c r="C21" s="428"/>
      <c r="D21" s="428"/>
      <c r="E21" s="428"/>
      <c r="F21" s="428"/>
      <c r="G21" s="428"/>
      <c r="H21" s="428"/>
      <c r="I21" s="428"/>
      <c r="J21" s="428"/>
      <c r="K21" s="428"/>
      <c r="L21" s="428"/>
      <c r="M21" s="428"/>
      <c r="N21" s="428"/>
      <c r="O21" s="428"/>
      <c r="P21" s="428"/>
      <c r="Q21" s="428"/>
      <c r="R21" s="428"/>
      <c r="S21" s="428"/>
      <c r="T21" s="428"/>
      <c r="U21" s="428"/>
      <c r="V21" s="428"/>
      <c r="W21" s="428"/>
    </row>
    <row r="22" spans="2:23" x14ac:dyDescent="0.25">
      <c r="B22" s="428" t="s">
        <v>1098</v>
      </c>
      <c r="C22" s="428"/>
      <c r="D22" s="428"/>
      <c r="E22" s="428"/>
      <c r="F22" s="428"/>
      <c r="G22" s="428"/>
      <c r="H22" s="428"/>
      <c r="I22" s="428"/>
      <c r="J22" s="428"/>
      <c r="K22" s="428"/>
      <c r="L22" s="428"/>
      <c r="M22" s="428"/>
      <c r="N22" s="428"/>
      <c r="O22" s="428"/>
      <c r="P22" s="428"/>
      <c r="Q22" s="428"/>
      <c r="R22" s="428"/>
      <c r="S22" s="428"/>
      <c r="T22" s="428"/>
      <c r="U22" s="428"/>
      <c r="V22" s="428"/>
      <c r="W22" s="428"/>
    </row>
    <row r="23" spans="2:23" x14ac:dyDescent="0.25">
      <c r="B23" s="428"/>
      <c r="C23" s="428"/>
      <c r="D23" s="428"/>
      <c r="E23" s="428"/>
      <c r="F23" s="428"/>
      <c r="G23" s="428"/>
      <c r="H23" s="428"/>
      <c r="I23" s="428"/>
      <c r="J23" s="428"/>
      <c r="K23" s="428"/>
      <c r="L23" s="428"/>
      <c r="M23" s="428"/>
      <c r="N23" s="428"/>
      <c r="O23" s="428"/>
      <c r="P23" s="428"/>
      <c r="Q23" s="428"/>
      <c r="R23" s="428"/>
      <c r="S23" s="428"/>
      <c r="T23" s="428"/>
      <c r="U23" s="428"/>
      <c r="V23" s="428"/>
      <c r="W23" s="428"/>
    </row>
    <row r="24" spans="2:23" x14ac:dyDescent="0.25">
      <c r="B24" s="428"/>
      <c r="C24" s="428"/>
      <c r="D24" s="428"/>
      <c r="E24" s="428"/>
      <c r="F24" s="428"/>
      <c r="G24" s="428"/>
      <c r="H24" s="428"/>
      <c r="I24" s="428"/>
      <c r="J24" s="428"/>
      <c r="K24" s="428"/>
      <c r="L24" s="428"/>
      <c r="M24" s="428"/>
      <c r="N24" s="428"/>
      <c r="O24" s="428"/>
      <c r="P24" s="428"/>
      <c r="Q24" s="428"/>
      <c r="R24" s="428"/>
      <c r="S24" s="428"/>
      <c r="T24" s="428"/>
      <c r="U24" s="428"/>
      <c r="V24" s="428"/>
      <c r="W24" s="428"/>
    </row>
    <row r="25" spans="2:23" ht="18.75" x14ac:dyDescent="0.3">
      <c r="B25" s="802" t="s">
        <v>50</v>
      </c>
      <c r="C25" s="428"/>
      <c r="D25" s="428"/>
      <c r="E25" s="428"/>
      <c r="F25" s="428"/>
      <c r="G25" s="428"/>
      <c r="H25" s="428"/>
      <c r="I25" s="428"/>
      <c r="J25" s="428"/>
      <c r="K25" s="428"/>
      <c r="L25" s="428"/>
      <c r="M25" s="428"/>
      <c r="N25" s="428"/>
      <c r="O25" s="428"/>
      <c r="P25" s="428"/>
      <c r="Q25" s="428"/>
      <c r="R25" s="428"/>
      <c r="S25" s="428"/>
      <c r="T25" s="428"/>
      <c r="U25" s="428"/>
      <c r="V25" s="428"/>
      <c r="W25" s="428"/>
    </row>
    <row r="26" spans="2:23" ht="18.75" x14ac:dyDescent="0.3">
      <c r="B26" s="802"/>
      <c r="C26" s="428"/>
      <c r="D26" s="428"/>
      <c r="E26" s="428"/>
      <c r="F26" s="428"/>
      <c r="G26" s="428"/>
      <c r="H26" s="428"/>
      <c r="I26" s="428"/>
      <c r="J26" s="428"/>
      <c r="K26" s="428"/>
      <c r="L26" s="428"/>
      <c r="M26" s="428"/>
      <c r="N26" s="428"/>
      <c r="O26" s="428"/>
      <c r="P26" s="428"/>
      <c r="Q26" s="428"/>
      <c r="R26" s="428"/>
      <c r="S26" s="428"/>
      <c r="T26" s="428"/>
      <c r="U26" s="428"/>
      <c r="V26" s="428"/>
      <c r="W26" s="428"/>
    </row>
    <row r="27" spans="2:23" ht="18.75" x14ac:dyDescent="0.3">
      <c r="B27" s="802"/>
      <c r="C27" s="428"/>
      <c r="D27" s="428"/>
      <c r="E27" s="428"/>
      <c r="F27" s="428"/>
      <c r="G27" s="428"/>
      <c r="H27" s="428"/>
      <c r="I27" s="428"/>
      <c r="J27" s="428"/>
      <c r="K27" s="428"/>
      <c r="L27" s="428"/>
      <c r="M27" s="428"/>
      <c r="N27" s="428"/>
      <c r="O27" s="428"/>
      <c r="P27" s="428"/>
      <c r="Q27" s="428"/>
      <c r="R27" s="428"/>
      <c r="S27" s="428"/>
      <c r="T27" s="428"/>
      <c r="U27" s="428"/>
      <c r="V27" s="428"/>
      <c r="W27" s="428"/>
    </row>
    <row r="28" spans="2:23" x14ac:dyDescent="0.25">
      <c r="B28" s="428"/>
      <c r="C28" s="428"/>
      <c r="D28" s="428"/>
      <c r="E28" s="428"/>
      <c r="F28" s="428"/>
      <c r="G28" s="428"/>
      <c r="H28" s="428"/>
      <c r="I28" s="428"/>
      <c r="J28" s="428"/>
      <c r="K28" s="428"/>
      <c r="L28" s="428"/>
      <c r="M28" s="428"/>
      <c r="N28" s="428"/>
      <c r="O28" s="428"/>
      <c r="P28" s="428"/>
      <c r="Q28" s="428"/>
      <c r="R28" s="428"/>
      <c r="S28" s="428"/>
      <c r="T28" s="428"/>
      <c r="U28" s="428"/>
      <c r="V28" s="428"/>
      <c r="W28" s="428"/>
    </row>
    <row r="29" spans="2:23" x14ac:dyDescent="0.25">
      <c r="B29" s="428"/>
      <c r="C29" s="428"/>
      <c r="D29" s="428"/>
      <c r="E29" s="428"/>
      <c r="F29" s="428"/>
      <c r="G29" s="428"/>
      <c r="H29" s="428"/>
      <c r="I29" s="428"/>
      <c r="J29" s="428"/>
      <c r="K29" s="428"/>
      <c r="L29" s="428"/>
      <c r="M29" s="428"/>
      <c r="N29" s="428"/>
      <c r="O29" s="428"/>
      <c r="P29" s="428"/>
      <c r="Q29" s="428"/>
      <c r="R29" s="428"/>
      <c r="S29" s="428"/>
      <c r="T29" s="428"/>
      <c r="U29" s="428"/>
      <c r="V29" s="428"/>
      <c r="W29" s="428"/>
    </row>
    <row r="30" spans="2:23" x14ac:dyDescent="0.25">
      <c r="B30" s="428"/>
      <c r="C30" s="428"/>
      <c r="D30" s="428"/>
      <c r="E30" s="428"/>
      <c r="F30" s="428"/>
      <c r="G30" s="428"/>
      <c r="H30" s="428"/>
      <c r="I30" s="428"/>
      <c r="J30" s="428"/>
      <c r="K30" s="428"/>
      <c r="L30" s="428"/>
      <c r="M30" s="428"/>
      <c r="N30" s="428"/>
      <c r="O30" s="428"/>
      <c r="P30" s="428"/>
      <c r="Q30" s="428"/>
      <c r="R30" s="428"/>
      <c r="S30" s="428"/>
      <c r="T30" s="428"/>
      <c r="U30" s="428"/>
      <c r="V30" s="428"/>
      <c r="W30" s="428"/>
    </row>
    <row r="31" spans="2:23" x14ac:dyDescent="0.25">
      <c r="B31" s="428"/>
      <c r="C31" s="428"/>
      <c r="D31" s="428"/>
      <c r="E31" s="428"/>
      <c r="F31" s="428"/>
      <c r="G31" s="428"/>
      <c r="H31" s="428"/>
      <c r="I31" s="428"/>
      <c r="J31" s="428"/>
      <c r="K31" s="428"/>
      <c r="L31" s="428"/>
      <c r="M31" s="428"/>
      <c r="N31" s="428"/>
      <c r="O31" s="428"/>
      <c r="P31" s="428"/>
      <c r="Q31" s="428"/>
      <c r="R31" s="428"/>
      <c r="S31" s="428"/>
      <c r="T31" s="428"/>
      <c r="U31" s="428"/>
      <c r="V31" s="428"/>
      <c r="W31" s="428"/>
    </row>
    <row r="32" spans="2:23" x14ac:dyDescent="0.25">
      <c r="B32" s="428"/>
      <c r="C32" s="428"/>
      <c r="D32" s="428"/>
      <c r="E32" s="428"/>
      <c r="F32" s="428"/>
      <c r="G32" s="428"/>
      <c r="H32" s="428"/>
      <c r="I32" s="428"/>
      <c r="J32" s="428"/>
      <c r="K32" s="428"/>
      <c r="L32" s="428"/>
      <c r="M32" s="428"/>
      <c r="N32" s="428"/>
      <c r="O32" s="428"/>
      <c r="P32" s="428"/>
      <c r="Q32" s="428"/>
      <c r="R32" s="428"/>
      <c r="S32" s="428"/>
      <c r="T32" s="428"/>
      <c r="U32" s="428"/>
      <c r="V32" s="428"/>
      <c r="W32" s="428"/>
    </row>
    <row r="33" spans="2:23" x14ac:dyDescent="0.25">
      <c r="B33" s="428"/>
      <c r="C33" s="428"/>
      <c r="D33" s="428"/>
      <c r="E33" s="428"/>
      <c r="F33" s="428"/>
      <c r="G33" s="428"/>
      <c r="H33" s="428"/>
      <c r="I33" s="428"/>
      <c r="J33" s="428"/>
      <c r="K33" s="428"/>
      <c r="L33" s="428"/>
      <c r="M33" s="428"/>
      <c r="N33" s="428"/>
      <c r="O33" s="428"/>
      <c r="P33" s="428"/>
      <c r="Q33" s="428"/>
      <c r="R33" s="428"/>
      <c r="S33" s="428"/>
      <c r="T33" s="428"/>
      <c r="U33" s="428"/>
      <c r="V33" s="428"/>
      <c r="W33" s="428"/>
    </row>
    <row r="34" spans="2:23" x14ac:dyDescent="0.25">
      <c r="B34" s="428"/>
      <c r="C34" s="428"/>
      <c r="D34" s="428"/>
      <c r="E34" s="428"/>
      <c r="F34" s="428"/>
      <c r="G34" s="428"/>
      <c r="H34" s="428"/>
      <c r="I34" s="428"/>
      <c r="J34" s="428"/>
      <c r="K34" s="428"/>
      <c r="L34" s="428"/>
      <c r="M34" s="428"/>
      <c r="N34" s="428"/>
      <c r="O34" s="428"/>
      <c r="P34" s="428"/>
      <c r="Q34" s="428"/>
      <c r="R34" s="428"/>
      <c r="S34" s="428"/>
      <c r="T34" s="428"/>
      <c r="U34" s="428"/>
      <c r="V34" s="428"/>
      <c r="W34" s="428"/>
    </row>
    <row r="35" spans="2:23" x14ac:dyDescent="0.25">
      <c r="B35" s="428"/>
      <c r="C35" s="428"/>
      <c r="D35" s="428"/>
      <c r="E35" s="428"/>
      <c r="F35" s="428"/>
      <c r="G35" s="428"/>
      <c r="H35" s="428"/>
      <c r="I35" s="428"/>
      <c r="J35" s="428"/>
      <c r="K35" s="428"/>
      <c r="L35" s="428"/>
      <c r="M35" s="428"/>
      <c r="N35" s="428"/>
      <c r="O35" s="428"/>
      <c r="P35" s="428"/>
      <c r="Q35" s="428"/>
      <c r="R35" s="428"/>
      <c r="S35" s="428"/>
      <c r="T35" s="428"/>
      <c r="U35" s="428"/>
      <c r="V35" s="428"/>
      <c r="W35" s="428"/>
    </row>
    <row r="36" spans="2:23" x14ac:dyDescent="0.25">
      <c r="B36" s="428"/>
      <c r="C36" s="428"/>
      <c r="D36" s="428"/>
      <c r="E36" s="428"/>
      <c r="F36" s="428"/>
      <c r="G36" s="428"/>
      <c r="H36" s="428"/>
      <c r="I36" s="428"/>
      <c r="J36" s="428"/>
      <c r="K36" s="428"/>
      <c r="L36" s="428"/>
      <c r="M36" s="428"/>
      <c r="N36" s="428"/>
      <c r="O36" s="428"/>
      <c r="P36" s="428"/>
      <c r="Q36" s="428"/>
      <c r="R36" s="428"/>
      <c r="S36" s="428"/>
      <c r="T36" s="428"/>
      <c r="U36" s="428"/>
      <c r="V36" s="428"/>
      <c r="W36" s="428"/>
    </row>
    <row r="37" spans="2:23" x14ac:dyDescent="0.25">
      <c r="B37" s="428"/>
      <c r="C37" s="428"/>
      <c r="D37" s="428"/>
      <c r="E37" s="428"/>
      <c r="F37" s="428"/>
      <c r="G37" s="428"/>
      <c r="H37" s="428"/>
      <c r="I37" s="428"/>
      <c r="J37" s="428"/>
      <c r="K37" s="428"/>
      <c r="L37" s="428"/>
      <c r="M37" s="428"/>
      <c r="N37" s="428"/>
      <c r="O37" s="428"/>
      <c r="P37" s="428"/>
      <c r="Q37" s="428"/>
      <c r="R37" s="428"/>
      <c r="S37" s="428"/>
      <c r="T37" s="428"/>
      <c r="U37" s="428"/>
      <c r="V37" s="428"/>
      <c r="W37" s="428"/>
    </row>
    <row r="38" spans="2:23" x14ac:dyDescent="0.25">
      <c r="B38" s="428"/>
      <c r="C38" s="428"/>
      <c r="D38" s="428"/>
      <c r="E38" s="428"/>
      <c r="F38" s="428"/>
      <c r="G38" s="428"/>
      <c r="H38" s="428"/>
      <c r="I38" s="428"/>
      <c r="J38" s="428"/>
      <c r="K38" s="428"/>
      <c r="L38" s="428"/>
      <c r="M38" s="428"/>
      <c r="N38" s="428"/>
      <c r="O38" s="428"/>
      <c r="P38" s="428"/>
      <c r="Q38" s="428"/>
      <c r="R38" s="428"/>
      <c r="S38" s="428"/>
      <c r="T38" s="428"/>
      <c r="U38" s="428"/>
      <c r="V38" s="428"/>
      <c r="W38" s="428"/>
    </row>
    <row r="39" spans="2:23" x14ac:dyDescent="0.25">
      <c r="B39" s="428"/>
      <c r="C39" s="428"/>
      <c r="D39" s="428"/>
      <c r="E39" s="428"/>
      <c r="F39" s="428"/>
      <c r="G39" s="428"/>
      <c r="H39" s="428"/>
      <c r="I39" s="428"/>
      <c r="J39" s="428"/>
      <c r="K39" s="428"/>
      <c r="L39" s="428"/>
      <c r="M39" s="428"/>
      <c r="N39" s="428"/>
      <c r="O39" s="428"/>
      <c r="P39" s="428"/>
      <c r="Q39" s="428"/>
      <c r="R39" s="428"/>
      <c r="S39" s="428"/>
      <c r="T39" s="428"/>
      <c r="U39" s="428"/>
      <c r="V39" s="428"/>
      <c r="W39" s="428"/>
    </row>
    <row r="40" spans="2:23" x14ac:dyDescent="0.25">
      <c r="B40" s="428"/>
      <c r="C40" s="428"/>
      <c r="D40" s="428"/>
      <c r="E40" s="428"/>
      <c r="F40" s="428"/>
      <c r="G40" s="428"/>
      <c r="H40" s="428"/>
      <c r="I40" s="428"/>
      <c r="J40" s="428"/>
      <c r="K40" s="428"/>
      <c r="L40" s="428"/>
      <c r="M40" s="428"/>
      <c r="N40" s="428"/>
      <c r="O40" s="428"/>
      <c r="P40" s="428"/>
      <c r="Q40" s="428"/>
      <c r="R40" s="428"/>
      <c r="S40" s="428"/>
      <c r="T40" s="428"/>
      <c r="U40" s="428"/>
      <c r="V40" s="428"/>
      <c r="W40" s="428"/>
    </row>
    <row r="41" spans="2:23" ht="18.75" x14ac:dyDescent="0.3">
      <c r="B41" s="802" t="s">
        <v>51</v>
      </c>
      <c r="C41" s="428"/>
      <c r="D41" s="428"/>
      <c r="E41" s="428"/>
      <c r="F41" s="428"/>
      <c r="G41" s="428"/>
      <c r="H41" s="428"/>
      <c r="I41" s="428"/>
      <c r="J41" s="428"/>
      <c r="K41" s="428"/>
      <c r="L41" s="428"/>
      <c r="M41" s="428"/>
      <c r="N41" s="428"/>
      <c r="O41" s="428"/>
      <c r="P41" s="428"/>
      <c r="Q41" s="428"/>
      <c r="R41" s="428"/>
      <c r="S41" s="428"/>
      <c r="T41" s="428"/>
      <c r="U41" s="428"/>
      <c r="V41" s="428"/>
      <c r="W41" s="428"/>
    </row>
    <row r="42" spans="2:23" x14ac:dyDescent="0.25">
      <c r="B42" s="428"/>
      <c r="C42" s="428"/>
      <c r="D42" s="428"/>
      <c r="E42" s="428"/>
      <c r="F42" s="428"/>
      <c r="G42" s="428"/>
      <c r="H42" s="428"/>
      <c r="I42" s="428"/>
      <c r="J42" s="428"/>
      <c r="K42" s="428"/>
      <c r="L42" s="428"/>
      <c r="M42" s="428"/>
      <c r="N42" s="428"/>
      <c r="O42" s="428"/>
      <c r="P42" s="428"/>
      <c r="Q42" s="428"/>
      <c r="R42" s="428"/>
      <c r="S42" s="428"/>
      <c r="T42" s="428"/>
      <c r="U42" s="428"/>
      <c r="V42" s="428"/>
      <c r="W42" s="428"/>
    </row>
    <row r="43" spans="2:23" x14ac:dyDescent="0.25">
      <c r="B43" s="428"/>
      <c r="C43" s="428"/>
      <c r="D43" s="428"/>
      <c r="E43" s="428"/>
      <c r="F43" s="428"/>
      <c r="G43" s="428"/>
      <c r="H43" s="428"/>
      <c r="I43" s="428"/>
      <c r="J43" s="428"/>
      <c r="K43" s="428"/>
      <c r="L43" s="428"/>
      <c r="M43" s="428"/>
      <c r="N43" s="428"/>
      <c r="O43" s="429"/>
      <c r="P43" s="801"/>
      <c r="Q43" s="429"/>
      <c r="R43" s="428"/>
      <c r="S43" s="428"/>
      <c r="T43" s="428"/>
      <c r="U43" s="428"/>
      <c r="V43" s="428"/>
      <c r="W43" s="428"/>
    </row>
    <row r="44" spans="2:23" x14ac:dyDescent="0.25">
      <c r="B44" s="428"/>
      <c r="C44" s="428"/>
      <c r="D44" s="428"/>
      <c r="E44" s="428"/>
      <c r="F44" s="428"/>
      <c r="G44" s="428"/>
      <c r="H44" s="428"/>
      <c r="I44" s="428"/>
      <c r="J44" s="428"/>
      <c r="K44" s="428"/>
      <c r="L44" s="428"/>
      <c r="M44" s="428"/>
      <c r="N44" s="428"/>
      <c r="O44" s="429"/>
      <c r="P44" s="429"/>
      <c r="Q44" s="429"/>
      <c r="R44" s="428"/>
      <c r="S44" s="428"/>
      <c r="T44" s="428"/>
      <c r="U44" s="428"/>
      <c r="V44" s="428"/>
      <c r="W44" s="428"/>
    </row>
    <row r="45" spans="2:23" x14ac:dyDescent="0.25">
      <c r="B45" s="428"/>
      <c r="C45" s="428"/>
      <c r="D45" s="428"/>
      <c r="E45" s="428"/>
      <c r="F45" s="428"/>
      <c r="G45" s="428"/>
      <c r="H45" s="428"/>
      <c r="I45" s="428"/>
      <c r="J45" s="428"/>
      <c r="K45" s="428"/>
      <c r="L45" s="428"/>
      <c r="M45" s="428"/>
      <c r="N45" s="428"/>
      <c r="O45" s="429"/>
      <c r="P45" s="429"/>
      <c r="Q45" s="429"/>
      <c r="R45" s="428"/>
      <c r="S45" s="428"/>
      <c r="T45" s="428"/>
      <c r="U45" s="428"/>
      <c r="V45" s="428"/>
      <c r="W45" s="428"/>
    </row>
    <row r="46" spans="2:23" x14ac:dyDescent="0.25">
      <c r="B46" s="428"/>
      <c r="C46" s="428"/>
      <c r="D46" s="428"/>
      <c r="E46" s="428"/>
      <c r="F46" s="428"/>
      <c r="G46" s="428"/>
      <c r="H46" s="428"/>
      <c r="I46" s="428"/>
      <c r="J46" s="428"/>
      <c r="K46" s="428"/>
      <c r="L46" s="428"/>
      <c r="M46" s="428"/>
      <c r="N46" s="428"/>
      <c r="O46" s="429"/>
      <c r="P46" s="429"/>
      <c r="Q46" s="429"/>
      <c r="R46" s="428"/>
      <c r="S46" s="428"/>
      <c r="T46" s="428"/>
      <c r="U46" s="428"/>
      <c r="V46" s="428"/>
      <c r="W46" s="428"/>
    </row>
    <row r="47" spans="2:23" x14ac:dyDescent="0.25">
      <c r="B47" s="428"/>
      <c r="C47" s="428"/>
      <c r="D47" s="428"/>
      <c r="E47" s="428"/>
      <c r="F47" s="428"/>
      <c r="G47" s="428"/>
      <c r="H47" s="428"/>
      <c r="I47" s="428"/>
      <c r="J47" s="428"/>
      <c r="K47" s="428"/>
      <c r="L47" s="428"/>
      <c r="M47" s="428"/>
      <c r="N47" s="428"/>
      <c r="O47" s="429"/>
      <c r="P47" s="24"/>
      <c r="Q47" s="24"/>
      <c r="R47" s="428"/>
      <c r="S47" s="428"/>
      <c r="T47" s="428"/>
      <c r="U47" s="428"/>
      <c r="V47" s="428"/>
      <c r="W47" s="428"/>
    </row>
    <row r="48" spans="2:23" x14ac:dyDescent="0.25">
      <c r="B48" s="428"/>
      <c r="C48" s="428"/>
      <c r="D48" s="428"/>
      <c r="E48" s="428"/>
      <c r="F48" s="428"/>
      <c r="G48" s="428"/>
      <c r="H48" s="428"/>
      <c r="I48" s="428"/>
      <c r="J48" s="428"/>
      <c r="K48" s="428"/>
      <c r="L48" s="428"/>
      <c r="M48" s="428"/>
      <c r="N48" s="428"/>
      <c r="O48" s="24"/>
      <c r="P48" s="24"/>
      <c r="Q48" s="24"/>
      <c r="R48" s="428"/>
      <c r="S48" s="428"/>
      <c r="T48" s="428"/>
      <c r="U48" s="428"/>
      <c r="V48" s="428"/>
      <c r="W48" s="428"/>
    </row>
    <row r="49" spans="2:23" x14ac:dyDescent="0.25">
      <c r="B49" s="428"/>
      <c r="C49" s="428"/>
      <c r="D49" s="428"/>
      <c r="E49" s="428"/>
      <c r="F49" s="428"/>
      <c r="G49" s="428"/>
      <c r="H49" s="428"/>
      <c r="I49" s="428"/>
      <c r="J49" s="428"/>
      <c r="K49" s="428"/>
      <c r="L49" s="428"/>
      <c r="M49" s="428"/>
      <c r="N49" s="428"/>
      <c r="O49" s="429"/>
      <c r="P49" s="25"/>
      <c r="Q49" s="20"/>
      <c r="R49" s="428"/>
      <c r="S49" s="428"/>
      <c r="T49" s="428"/>
      <c r="U49" s="428"/>
      <c r="V49" s="428"/>
      <c r="W49" s="428"/>
    </row>
    <row r="50" spans="2:23" x14ac:dyDescent="0.25">
      <c r="B50" s="428"/>
      <c r="C50" s="428"/>
      <c r="D50" s="428"/>
      <c r="E50" s="428"/>
      <c r="F50" s="428"/>
      <c r="G50" s="428"/>
      <c r="H50" s="428"/>
      <c r="I50" s="428"/>
      <c r="J50" s="428"/>
      <c r="K50" s="428"/>
      <c r="L50" s="428"/>
      <c r="M50" s="428"/>
      <c r="N50" s="428"/>
      <c r="O50" s="20"/>
      <c r="P50" s="25"/>
      <c r="Q50" s="20"/>
      <c r="R50" s="428"/>
      <c r="S50" s="428"/>
      <c r="T50" s="428"/>
      <c r="U50" s="428"/>
      <c r="V50" s="428"/>
      <c r="W50" s="428"/>
    </row>
    <row r="51" spans="2:23" x14ac:dyDescent="0.25">
      <c r="B51" s="428"/>
      <c r="C51" s="428"/>
      <c r="D51" s="428"/>
      <c r="E51" s="428"/>
      <c r="F51" s="428"/>
      <c r="G51" s="428"/>
      <c r="H51" s="428"/>
      <c r="I51" s="428"/>
      <c r="J51" s="428"/>
      <c r="K51" s="428"/>
      <c r="L51" s="428"/>
      <c r="M51" s="428"/>
      <c r="N51" s="428"/>
      <c r="O51" s="428"/>
      <c r="P51" s="428"/>
      <c r="Q51" s="428"/>
      <c r="R51" s="428"/>
      <c r="S51" s="428"/>
      <c r="T51" s="428"/>
      <c r="U51" s="428"/>
      <c r="V51" s="428"/>
      <c r="W51" s="428"/>
    </row>
    <row r="52" spans="2:23" ht="18.75" x14ac:dyDescent="0.3">
      <c r="B52" s="802" t="s">
        <v>1099</v>
      </c>
      <c r="C52" s="428"/>
      <c r="D52" s="428"/>
      <c r="E52" s="428"/>
      <c r="F52" s="428"/>
      <c r="G52" s="428"/>
      <c r="H52" s="428"/>
      <c r="I52" s="428"/>
      <c r="J52" s="428"/>
      <c r="K52" s="428"/>
      <c r="L52" s="428"/>
      <c r="M52" s="428"/>
      <c r="N52" s="428"/>
      <c r="O52" s="428"/>
      <c r="P52" s="428"/>
      <c r="Q52" s="428"/>
      <c r="R52" s="428"/>
      <c r="S52" s="428"/>
      <c r="T52" s="428"/>
      <c r="U52" s="428"/>
      <c r="V52" s="428"/>
      <c r="W52" s="428"/>
    </row>
    <row r="53" spans="2:23" x14ac:dyDescent="0.25">
      <c r="B53" s="428"/>
      <c r="C53" s="428"/>
      <c r="D53" s="428"/>
      <c r="E53" s="428"/>
      <c r="F53" s="428"/>
      <c r="G53" s="428"/>
      <c r="H53" s="428"/>
      <c r="I53" s="428"/>
      <c r="J53" s="428"/>
      <c r="K53" s="428"/>
      <c r="L53" s="428"/>
      <c r="M53" s="428"/>
      <c r="N53" s="428"/>
      <c r="O53" s="428"/>
      <c r="P53" s="428"/>
      <c r="Q53" s="428"/>
      <c r="R53" s="428"/>
      <c r="S53" s="428"/>
      <c r="T53" s="428"/>
      <c r="U53" s="428"/>
      <c r="V53" s="428"/>
      <c r="W53" s="428"/>
    </row>
    <row r="54" spans="2:23" x14ac:dyDescent="0.25">
      <c r="B54" s="428"/>
      <c r="C54" s="428"/>
      <c r="D54" s="428"/>
      <c r="E54" s="428"/>
      <c r="F54" s="428"/>
      <c r="G54" s="428"/>
      <c r="H54" s="428"/>
      <c r="I54" s="428"/>
      <c r="J54" s="428"/>
      <c r="K54" s="428"/>
      <c r="L54" s="428"/>
      <c r="M54" s="428"/>
      <c r="N54" s="428"/>
      <c r="O54" s="428"/>
      <c r="P54" s="434" t="s">
        <v>714</v>
      </c>
      <c r="Q54" s="434"/>
      <c r="R54" s="428"/>
      <c r="S54" s="428"/>
      <c r="T54" s="428"/>
      <c r="U54" s="428"/>
      <c r="V54" s="428"/>
      <c r="W54" s="428"/>
    </row>
    <row r="55" spans="2:23" x14ac:dyDescent="0.25">
      <c r="B55" s="428"/>
      <c r="C55" s="428"/>
      <c r="D55" s="428"/>
      <c r="E55" s="428"/>
      <c r="F55" s="428"/>
      <c r="G55" s="428"/>
      <c r="H55" s="428"/>
      <c r="I55" s="428"/>
      <c r="J55" s="428"/>
      <c r="K55" s="428"/>
      <c r="L55" s="428"/>
      <c r="M55" s="428"/>
      <c r="N55" s="428"/>
      <c r="O55" s="428"/>
      <c r="P55" s="434" t="s">
        <v>715</v>
      </c>
      <c r="Q55" s="428"/>
      <c r="R55" s="428"/>
      <c r="S55" s="428"/>
      <c r="T55" s="428"/>
      <c r="U55" s="428"/>
      <c r="V55" s="428"/>
      <c r="W55" s="428"/>
    </row>
    <row r="56" spans="2:23" x14ac:dyDescent="0.25">
      <c r="B56" s="428"/>
      <c r="C56" s="428"/>
      <c r="D56" s="428"/>
      <c r="E56" s="428"/>
      <c r="F56" s="428"/>
      <c r="G56" s="428"/>
      <c r="H56" s="428"/>
      <c r="I56" s="428"/>
      <c r="J56" s="428"/>
      <c r="K56" s="428"/>
      <c r="L56" s="428"/>
      <c r="M56" s="428"/>
      <c r="N56" s="428"/>
      <c r="O56" s="428"/>
      <c r="P56" s="428"/>
      <c r="Q56" s="428"/>
      <c r="R56" s="428"/>
      <c r="S56" s="428"/>
      <c r="T56" s="428"/>
      <c r="U56" s="428"/>
      <c r="V56" s="428"/>
      <c r="W56" s="428"/>
    </row>
    <row r="57" spans="2:23" x14ac:dyDescent="0.25">
      <c r="B57" s="428"/>
      <c r="C57" s="428"/>
      <c r="D57" s="428"/>
      <c r="E57" s="428"/>
      <c r="F57" s="428"/>
      <c r="G57" s="428"/>
      <c r="H57" s="428"/>
      <c r="I57" s="428"/>
      <c r="J57" s="428"/>
      <c r="K57" s="428"/>
      <c r="L57" s="428"/>
      <c r="M57" s="428"/>
      <c r="N57" s="428"/>
      <c r="O57" s="428"/>
      <c r="P57" s="428"/>
      <c r="Q57" s="428"/>
      <c r="R57" s="428"/>
      <c r="S57" s="428"/>
      <c r="T57" s="428"/>
      <c r="U57" s="428"/>
      <c r="V57" s="428"/>
      <c r="W57" s="428"/>
    </row>
    <row r="58" spans="2:23" x14ac:dyDescent="0.25">
      <c r="B58" s="428"/>
      <c r="C58" s="428"/>
      <c r="D58" s="428"/>
      <c r="E58" s="428"/>
      <c r="F58" s="428"/>
      <c r="G58" s="428"/>
      <c r="H58" s="428"/>
      <c r="I58" s="428"/>
      <c r="J58" s="428"/>
      <c r="K58" s="428"/>
      <c r="L58" s="428"/>
      <c r="M58" s="428"/>
      <c r="N58" s="428"/>
      <c r="O58" s="428"/>
      <c r="P58" s="428"/>
      <c r="Q58" s="428"/>
      <c r="R58" s="428"/>
      <c r="S58" s="428"/>
      <c r="T58" s="428"/>
      <c r="U58" s="428"/>
      <c r="V58" s="428"/>
      <c r="W58" s="428"/>
    </row>
    <row r="59" spans="2:23" x14ac:dyDescent="0.25">
      <c r="B59" s="428"/>
      <c r="C59" s="428"/>
      <c r="D59" s="428"/>
      <c r="E59" s="428"/>
      <c r="F59" s="428"/>
      <c r="G59" s="428"/>
      <c r="H59" s="428"/>
      <c r="I59" s="428"/>
      <c r="J59" s="428"/>
      <c r="K59" s="428"/>
      <c r="L59" s="428"/>
      <c r="M59" s="428"/>
      <c r="N59" s="428"/>
      <c r="O59" s="428"/>
      <c r="P59" s="428"/>
      <c r="Q59" s="428"/>
      <c r="R59" s="428"/>
      <c r="S59" s="428"/>
      <c r="T59" s="428"/>
      <c r="U59" s="428"/>
      <c r="V59" s="428"/>
      <c r="W59" s="428"/>
    </row>
    <row r="60" spans="2:23" x14ac:dyDescent="0.25">
      <c r="B60" s="428"/>
      <c r="C60" s="428"/>
      <c r="D60" s="428"/>
      <c r="E60" s="428"/>
      <c r="F60" s="428"/>
      <c r="G60" s="428"/>
      <c r="H60" s="428"/>
      <c r="I60" s="428"/>
      <c r="J60" s="428"/>
      <c r="K60" s="428"/>
      <c r="L60" s="428"/>
      <c r="M60" s="428"/>
      <c r="N60" s="428"/>
      <c r="O60" s="428"/>
      <c r="P60" s="428"/>
      <c r="Q60" s="428"/>
      <c r="R60" s="428"/>
      <c r="S60" s="428"/>
      <c r="T60" s="428"/>
      <c r="U60" s="428"/>
      <c r="V60" s="428"/>
      <c r="W60" s="428"/>
    </row>
    <row r="61" spans="2:23" x14ac:dyDescent="0.25">
      <c r="B61" s="428"/>
      <c r="C61" s="428"/>
      <c r="D61" s="428"/>
      <c r="E61" s="428"/>
      <c r="F61" s="428"/>
      <c r="G61" s="428"/>
      <c r="H61" s="428"/>
      <c r="I61" s="428"/>
      <c r="J61" s="428"/>
      <c r="K61" s="428"/>
      <c r="L61" s="428"/>
      <c r="M61" s="428"/>
      <c r="N61" s="428"/>
      <c r="O61" s="428"/>
      <c r="P61" s="428"/>
      <c r="Q61" s="428"/>
      <c r="R61" s="428"/>
      <c r="S61" s="428"/>
      <c r="T61" s="428"/>
      <c r="U61" s="428"/>
      <c r="V61" s="428"/>
      <c r="W61" s="428"/>
    </row>
    <row r="62" spans="2:23" x14ac:dyDescent="0.25">
      <c r="B62" s="428"/>
      <c r="C62" s="428"/>
      <c r="D62" s="428"/>
      <c r="E62" s="428"/>
      <c r="F62" s="428"/>
      <c r="G62" s="428"/>
      <c r="H62" s="428"/>
      <c r="I62" s="428"/>
      <c r="J62" s="428"/>
      <c r="K62" s="428"/>
      <c r="L62" s="428"/>
      <c r="M62" s="428"/>
      <c r="N62" s="428"/>
      <c r="O62" s="428"/>
      <c r="P62" s="428"/>
      <c r="Q62" s="428"/>
      <c r="R62" s="428"/>
      <c r="S62" s="428"/>
      <c r="T62" s="428"/>
      <c r="U62" s="428"/>
      <c r="V62" s="428"/>
      <c r="W62" s="428"/>
    </row>
    <row r="63" spans="2:23" x14ac:dyDescent="0.25">
      <c r="B63" s="428"/>
      <c r="C63" s="428"/>
      <c r="D63" s="428"/>
      <c r="E63" s="428"/>
      <c r="F63" s="428"/>
      <c r="G63" s="428"/>
      <c r="H63" s="428"/>
      <c r="I63" s="428"/>
      <c r="J63" s="428"/>
      <c r="K63" s="428"/>
      <c r="L63" s="428"/>
      <c r="M63" s="428"/>
      <c r="N63" s="428"/>
      <c r="O63" s="428"/>
      <c r="P63" s="428"/>
      <c r="Q63" s="428"/>
      <c r="R63" s="428"/>
      <c r="S63" s="428"/>
      <c r="T63" s="428"/>
      <c r="U63" s="428"/>
      <c r="V63" s="428"/>
      <c r="W63" s="428"/>
    </row>
    <row r="64" spans="2:23" x14ac:dyDescent="0.25">
      <c r="B64" s="428"/>
      <c r="C64" s="428"/>
      <c r="D64" s="428"/>
      <c r="E64" s="428"/>
      <c r="F64" s="428"/>
      <c r="G64" s="428"/>
      <c r="H64" s="428"/>
      <c r="I64" s="428"/>
      <c r="J64" s="428"/>
      <c r="K64" s="428"/>
      <c r="L64" s="428"/>
      <c r="M64" s="428"/>
      <c r="N64" s="428"/>
      <c r="O64" s="428"/>
      <c r="P64" s="434" t="s">
        <v>716</v>
      </c>
      <c r="Q64" s="428"/>
      <c r="R64" s="428"/>
      <c r="S64" s="428"/>
      <c r="T64" s="428"/>
      <c r="U64" s="428"/>
      <c r="V64" s="428"/>
      <c r="W64" s="428"/>
    </row>
    <row r="65" spans="2:23" x14ac:dyDescent="0.25">
      <c r="B65" s="428"/>
      <c r="C65" s="428"/>
      <c r="D65" s="428"/>
      <c r="E65" s="428"/>
      <c r="F65" s="428"/>
      <c r="G65" s="428"/>
      <c r="H65" s="428"/>
      <c r="I65" s="428"/>
      <c r="J65" s="428"/>
      <c r="K65" s="428"/>
      <c r="L65" s="428"/>
      <c r="M65" s="428"/>
      <c r="N65" s="428"/>
      <c r="O65" s="428"/>
      <c r="P65" s="434" t="s">
        <v>717</v>
      </c>
      <c r="Q65" s="428"/>
      <c r="R65" s="428"/>
      <c r="S65" s="428"/>
      <c r="T65" s="428"/>
      <c r="U65" s="428"/>
      <c r="V65" s="428"/>
      <c r="W65" s="428"/>
    </row>
    <row r="66" spans="2:23" x14ac:dyDescent="0.25">
      <c r="B66" s="428"/>
      <c r="C66" s="428"/>
      <c r="D66" s="428"/>
      <c r="E66" s="428"/>
      <c r="F66" s="428"/>
      <c r="G66" s="428"/>
      <c r="H66" s="428"/>
      <c r="I66" s="428"/>
      <c r="J66" s="428"/>
      <c r="K66" s="428"/>
      <c r="L66" s="428"/>
      <c r="M66" s="428"/>
      <c r="N66" s="428"/>
      <c r="O66" s="428"/>
      <c r="P66" s="428"/>
      <c r="Q66" s="428"/>
      <c r="R66" s="428"/>
      <c r="S66" s="428"/>
      <c r="T66" s="428"/>
      <c r="U66" s="428"/>
      <c r="V66" s="428"/>
      <c r="W66" s="428"/>
    </row>
    <row r="67" spans="2:23" x14ac:dyDescent="0.25">
      <c r="B67" s="428"/>
      <c r="C67" s="428"/>
      <c r="D67" s="428"/>
      <c r="E67" s="428"/>
      <c r="F67" s="428"/>
      <c r="G67" s="428"/>
      <c r="H67" s="428"/>
      <c r="I67" s="428"/>
      <c r="J67" s="428"/>
      <c r="K67" s="428"/>
      <c r="L67" s="428"/>
      <c r="M67" s="428"/>
      <c r="N67" s="428"/>
      <c r="O67" s="428"/>
      <c r="P67" s="428"/>
      <c r="Q67" s="428"/>
      <c r="R67" s="428"/>
      <c r="S67" s="428"/>
      <c r="T67" s="428"/>
      <c r="U67" s="428"/>
      <c r="V67" s="428"/>
      <c r="W67" s="428"/>
    </row>
    <row r="68" spans="2:23" x14ac:dyDescent="0.25">
      <c r="B68" s="428"/>
      <c r="C68" s="428"/>
      <c r="D68" s="428"/>
      <c r="E68" s="428"/>
      <c r="F68" s="428"/>
      <c r="G68" s="428"/>
      <c r="H68" s="428"/>
      <c r="I68" s="428"/>
      <c r="J68" s="428"/>
      <c r="K68" s="428"/>
      <c r="L68" s="428"/>
      <c r="M68" s="428"/>
      <c r="N68" s="428"/>
      <c r="O68" s="428"/>
      <c r="P68" s="428"/>
      <c r="Q68" s="428"/>
      <c r="R68" s="428"/>
      <c r="S68" s="428"/>
      <c r="T68" s="428"/>
      <c r="U68" s="428"/>
      <c r="V68" s="428"/>
      <c r="W68" s="428"/>
    </row>
    <row r="69" spans="2:23" x14ac:dyDescent="0.25">
      <c r="B69" s="428"/>
      <c r="C69" s="428"/>
      <c r="D69" s="428"/>
      <c r="E69" s="428"/>
      <c r="F69" s="428"/>
      <c r="G69" s="428"/>
      <c r="H69" s="428"/>
      <c r="I69" s="428"/>
      <c r="J69" s="428"/>
      <c r="K69" s="428"/>
      <c r="L69" s="428"/>
      <c r="M69" s="428"/>
      <c r="N69" s="428"/>
      <c r="O69" s="428"/>
      <c r="P69" s="428"/>
      <c r="Q69" s="428"/>
      <c r="R69" s="428"/>
      <c r="S69" s="428"/>
      <c r="T69" s="428"/>
      <c r="U69" s="428"/>
      <c r="V69" s="428"/>
      <c r="W69" s="428"/>
    </row>
    <row r="70" spans="2:23" x14ac:dyDescent="0.25">
      <c r="B70" s="428"/>
      <c r="C70" s="428"/>
      <c r="D70" s="428"/>
      <c r="E70" s="428"/>
      <c r="F70" s="428"/>
      <c r="G70" s="428"/>
      <c r="H70" s="428"/>
      <c r="I70" s="428"/>
      <c r="J70" s="428"/>
      <c r="K70" s="428"/>
      <c r="L70" s="428"/>
      <c r="M70" s="428"/>
      <c r="N70" s="428"/>
      <c r="O70" s="428"/>
      <c r="P70" s="428"/>
      <c r="Q70" s="428"/>
      <c r="R70" s="428"/>
      <c r="S70" s="428"/>
      <c r="T70" s="428"/>
      <c r="U70" s="428"/>
      <c r="V70" s="428"/>
      <c r="W70" s="428"/>
    </row>
    <row r="71" spans="2:23" x14ac:dyDescent="0.25">
      <c r="B71" s="428"/>
      <c r="C71" s="428"/>
      <c r="D71" s="428"/>
      <c r="E71" s="428"/>
      <c r="F71" s="428"/>
      <c r="G71" s="428"/>
      <c r="H71" s="428"/>
      <c r="I71" s="428"/>
      <c r="J71" s="428"/>
      <c r="K71" s="428"/>
      <c r="L71" s="428"/>
      <c r="M71" s="428"/>
      <c r="N71" s="428"/>
      <c r="O71" s="428"/>
      <c r="P71" s="428"/>
      <c r="Q71" s="428"/>
      <c r="R71" s="428"/>
      <c r="S71" s="428"/>
      <c r="T71" s="428"/>
      <c r="U71" s="428"/>
      <c r="V71" s="428"/>
      <c r="W71" s="428"/>
    </row>
    <row r="72" spans="2:23" x14ac:dyDescent="0.25">
      <c r="B72" s="428"/>
      <c r="C72" s="428"/>
      <c r="D72" s="428"/>
      <c r="E72" s="428"/>
      <c r="F72" s="428"/>
      <c r="G72" s="428"/>
      <c r="H72" s="428"/>
      <c r="I72" s="428"/>
      <c r="J72" s="428"/>
      <c r="K72" s="428"/>
      <c r="L72" s="428"/>
      <c r="M72" s="428"/>
      <c r="N72" s="428"/>
      <c r="O72" s="428"/>
      <c r="P72" s="428"/>
      <c r="Q72" s="428"/>
      <c r="R72" s="428"/>
      <c r="S72" s="428"/>
      <c r="T72" s="428"/>
      <c r="U72" s="428"/>
      <c r="V72" s="428"/>
      <c r="W72" s="428"/>
    </row>
    <row r="73" spans="2:23" x14ac:dyDescent="0.25">
      <c r="B73" s="428"/>
      <c r="C73" s="428"/>
      <c r="D73" s="428"/>
      <c r="E73" s="428"/>
      <c r="F73" s="428"/>
      <c r="G73" s="428"/>
      <c r="H73" s="428"/>
      <c r="I73" s="428"/>
      <c r="J73" s="428"/>
      <c r="K73" s="428"/>
      <c r="L73" s="428"/>
      <c r="M73" s="428"/>
      <c r="N73" s="428"/>
      <c r="O73" s="428"/>
      <c r="P73" s="428"/>
      <c r="Q73" s="428"/>
      <c r="R73" s="428"/>
      <c r="S73" s="428"/>
      <c r="T73" s="428"/>
      <c r="U73" s="428"/>
      <c r="V73" s="428"/>
      <c r="W73" s="428"/>
    </row>
    <row r="74" spans="2:23" x14ac:dyDescent="0.25">
      <c r="B74" s="428"/>
      <c r="C74" s="428"/>
      <c r="D74" s="428"/>
      <c r="E74" s="428"/>
      <c r="F74" s="428"/>
      <c r="G74" s="428"/>
      <c r="H74" s="428"/>
      <c r="I74" s="428"/>
      <c r="J74" s="428"/>
      <c r="K74" s="428"/>
      <c r="L74" s="428"/>
      <c r="M74" s="428"/>
      <c r="N74" s="428"/>
      <c r="O74" s="428"/>
      <c r="P74" s="428"/>
      <c r="Q74" s="428"/>
      <c r="R74" s="428"/>
      <c r="S74" s="428"/>
      <c r="T74" s="428"/>
      <c r="U74" s="428"/>
      <c r="V74" s="428"/>
      <c r="W74" s="428"/>
    </row>
    <row r="75" spans="2:23" x14ac:dyDescent="0.25">
      <c r="B75" s="428"/>
      <c r="C75" s="428"/>
      <c r="D75" s="428"/>
      <c r="E75" s="428"/>
      <c r="F75" s="428"/>
      <c r="G75" s="428"/>
      <c r="H75" s="428"/>
      <c r="I75" s="428"/>
      <c r="J75" s="428"/>
      <c r="K75" s="428"/>
      <c r="L75" s="428"/>
      <c r="M75" s="428"/>
      <c r="N75" s="428"/>
      <c r="O75" s="428"/>
      <c r="P75" s="428"/>
      <c r="Q75" s="428"/>
      <c r="R75" s="428"/>
      <c r="S75" s="428"/>
      <c r="T75" s="428"/>
      <c r="U75" s="428"/>
      <c r="V75" s="428"/>
      <c r="W75" s="428"/>
    </row>
    <row r="76" spans="2:23" x14ac:dyDescent="0.25">
      <c r="B76" s="428"/>
      <c r="C76" s="428"/>
      <c r="D76" s="428"/>
      <c r="E76" s="428"/>
      <c r="F76" s="428"/>
      <c r="G76" s="428"/>
      <c r="H76" s="428"/>
      <c r="I76" s="428"/>
      <c r="J76" s="428"/>
      <c r="K76" s="428"/>
      <c r="L76" s="428"/>
      <c r="M76" s="428"/>
      <c r="N76" s="428"/>
      <c r="O76" s="428"/>
      <c r="P76" s="428"/>
      <c r="Q76" s="428"/>
      <c r="R76" s="428"/>
      <c r="S76" s="428"/>
      <c r="T76" s="428"/>
      <c r="U76" s="428"/>
      <c r="V76" s="428"/>
      <c r="W76" s="428"/>
    </row>
    <row r="77" spans="2:23" x14ac:dyDescent="0.25">
      <c r="B77" s="428"/>
      <c r="C77" s="428"/>
      <c r="D77" s="428"/>
      <c r="E77" s="428"/>
      <c r="F77" s="428"/>
      <c r="G77" s="428"/>
      <c r="H77" s="428"/>
      <c r="I77" s="428"/>
      <c r="J77" s="428"/>
      <c r="K77" s="428"/>
      <c r="L77" s="428"/>
      <c r="M77" s="428"/>
      <c r="N77" s="428"/>
      <c r="O77" s="428"/>
      <c r="P77" s="428"/>
      <c r="Q77" s="428"/>
      <c r="R77" s="428"/>
      <c r="S77" s="428"/>
      <c r="T77" s="428"/>
      <c r="U77" s="428"/>
      <c r="V77" s="428"/>
      <c r="W77" s="428"/>
    </row>
    <row r="78" spans="2:23" x14ac:dyDescent="0.25">
      <c r="B78" s="428"/>
      <c r="C78" s="428"/>
      <c r="D78" s="428"/>
      <c r="E78" s="428"/>
      <c r="F78" s="428"/>
      <c r="G78" s="428"/>
      <c r="H78" s="428"/>
      <c r="I78" s="428"/>
      <c r="J78" s="428"/>
      <c r="K78" s="428"/>
      <c r="L78" s="428"/>
      <c r="M78" s="428"/>
      <c r="N78" s="428"/>
      <c r="O78" s="428"/>
      <c r="P78" s="428"/>
      <c r="Q78" s="428"/>
      <c r="R78" s="428"/>
      <c r="S78" s="428"/>
      <c r="T78" s="428"/>
      <c r="U78" s="428"/>
      <c r="V78" s="428"/>
      <c r="W78" s="428"/>
    </row>
    <row r="79" spans="2:23" x14ac:dyDescent="0.25">
      <c r="B79" s="428"/>
      <c r="C79" s="428"/>
      <c r="D79" s="428"/>
      <c r="E79" s="428"/>
      <c r="F79" s="428"/>
      <c r="G79" s="428"/>
      <c r="H79" s="428"/>
      <c r="I79" s="428"/>
      <c r="J79" s="428"/>
      <c r="K79" s="428"/>
      <c r="L79" s="428"/>
      <c r="M79" s="428"/>
      <c r="N79" s="428"/>
      <c r="O79" s="428"/>
      <c r="P79" s="428"/>
      <c r="Q79" s="428"/>
      <c r="R79" s="428"/>
      <c r="S79" s="428"/>
      <c r="T79" s="428"/>
      <c r="U79" s="428"/>
      <c r="V79" s="428"/>
      <c r="W79" s="428"/>
    </row>
    <row r="80" spans="2:23" x14ac:dyDescent="0.25">
      <c r="B80" s="428"/>
      <c r="C80" s="428"/>
      <c r="D80" s="428"/>
      <c r="E80" s="428"/>
      <c r="F80" s="428"/>
      <c r="G80" s="428"/>
      <c r="H80" s="428"/>
      <c r="I80" s="428"/>
      <c r="J80" s="428"/>
      <c r="K80" s="428"/>
      <c r="L80" s="428"/>
      <c r="M80" s="428"/>
      <c r="N80" s="428"/>
      <c r="O80" s="428"/>
      <c r="P80" s="428"/>
      <c r="Q80" s="428"/>
      <c r="R80" s="428"/>
      <c r="S80" s="428"/>
      <c r="T80" s="428"/>
      <c r="U80" s="428"/>
      <c r="V80" s="428"/>
      <c r="W80" s="428"/>
    </row>
    <row r="81" spans="2:23" x14ac:dyDescent="0.25">
      <c r="B81" s="428"/>
      <c r="C81" s="428"/>
      <c r="D81" s="428"/>
      <c r="E81" s="428"/>
      <c r="F81" s="428"/>
      <c r="G81" s="428"/>
      <c r="H81" s="428"/>
      <c r="I81" s="428"/>
      <c r="J81" s="428"/>
      <c r="K81" s="428"/>
      <c r="L81" s="428"/>
      <c r="M81" s="428"/>
      <c r="N81" s="428"/>
      <c r="O81" s="428"/>
      <c r="P81" s="428"/>
      <c r="Q81" s="428"/>
      <c r="R81" s="428"/>
      <c r="S81" s="428"/>
      <c r="T81" s="428"/>
      <c r="U81" s="428"/>
      <c r="V81" s="428"/>
      <c r="W81" s="428"/>
    </row>
    <row r="82" spans="2:23" x14ac:dyDescent="0.25">
      <c r="B82" s="428"/>
      <c r="C82" s="428"/>
      <c r="D82" s="428"/>
      <c r="E82" s="428"/>
      <c r="F82" s="428"/>
      <c r="G82" s="428"/>
      <c r="H82" s="428"/>
      <c r="I82" s="428"/>
      <c r="J82" s="428"/>
      <c r="K82" s="428"/>
      <c r="L82" s="428"/>
      <c r="M82" s="428"/>
      <c r="N82" s="428"/>
      <c r="O82" s="428"/>
      <c r="P82" s="428"/>
      <c r="Q82" s="428"/>
      <c r="R82" s="428"/>
      <c r="S82" s="428"/>
      <c r="T82" s="428"/>
      <c r="U82" s="428"/>
      <c r="V82" s="428"/>
      <c r="W82" s="428"/>
    </row>
    <row r="83" spans="2:23" x14ac:dyDescent="0.25">
      <c r="B83" s="428"/>
      <c r="C83" s="428"/>
      <c r="D83" s="428"/>
      <c r="E83" s="428"/>
      <c r="F83" s="428"/>
      <c r="G83" s="428"/>
      <c r="H83" s="428"/>
      <c r="I83" s="428"/>
      <c r="J83" s="428"/>
      <c r="K83" s="428"/>
      <c r="L83" s="428"/>
      <c r="M83" s="428"/>
      <c r="N83" s="428"/>
      <c r="O83" s="428"/>
      <c r="P83" s="434" t="s">
        <v>718</v>
      </c>
      <c r="Q83" s="428"/>
      <c r="R83" s="428"/>
      <c r="S83" s="428"/>
      <c r="T83" s="428"/>
      <c r="U83" s="428"/>
      <c r="V83" s="428"/>
      <c r="W83" s="428"/>
    </row>
    <row r="84" spans="2:23" x14ac:dyDescent="0.25">
      <c r="B84" s="428"/>
      <c r="C84" s="428"/>
      <c r="D84" s="428"/>
      <c r="E84" s="428"/>
      <c r="F84" s="428"/>
      <c r="G84" s="428"/>
      <c r="H84" s="428"/>
      <c r="I84" s="428"/>
      <c r="J84" s="428"/>
      <c r="K84" s="428"/>
      <c r="L84" s="428"/>
      <c r="M84" s="428"/>
      <c r="N84" s="428"/>
      <c r="O84" s="428"/>
      <c r="P84" s="434" t="s">
        <v>161</v>
      </c>
      <c r="Q84" s="428"/>
      <c r="R84" s="428"/>
      <c r="S84" s="428"/>
      <c r="T84" s="428"/>
      <c r="U84" s="428"/>
      <c r="V84" s="428"/>
      <c r="W84" s="428"/>
    </row>
    <row r="85" spans="2:23" x14ac:dyDescent="0.25">
      <c r="B85" s="428"/>
      <c r="C85" s="428"/>
      <c r="D85" s="428"/>
      <c r="E85" s="428"/>
      <c r="F85" s="428"/>
      <c r="G85" s="428"/>
      <c r="H85" s="428"/>
      <c r="I85" s="428"/>
      <c r="J85" s="428"/>
      <c r="K85" s="428"/>
      <c r="L85" s="428"/>
      <c r="M85" s="428"/>
      <c r="N85" s="428"/>
      <c r="O85" s="428"/>
      <c r="P85" s="428"/>
      <c r="Q85" s="428"/>
      <c r="R85" s="428"/>
      <c r="S85" s="428"/>
      <c r="T85" s="428"/>
      <c r="U85" s="428"/>
      <c r="V85" s="428"/>
      <c r="W85" s="428"/>
    </row>
    <row r="86" spans="2:23" x14ac:dyDescent="0.25">
      <c r="B86" s="428"/>
      <c r="C86" s="428"/>
      <c r="D86" s="428"/>
      <c r="E86" s="428"/>
      <c r="F86" s="428"/>
      <c r="G86" s="428"/>
      <c r="H86" s="428"/>
      <c r="I86" s="428"/>
      <c r="J86" s="428"/>
      <c r="K86" s="428"/>
      <c r="L86" s="428"/>
      <c r="M86" s="428"/>
      <c r="N86" s="428"/>
      <c r="O86" s="428"/>
      <c r="P86" s="428"/>
      <c r="Q86" s="428"/>
      <c r="R86" s="428"/>
      <c r="S86" s="428"/>
      <c r="T86" s="428"/>
      <c r="U86" s="428"/>
      <c r="V86" s="428"/>
      <c r="W86" s="428"/>
    </row>
    <row r="87" spans="2:23" x14ac:dyDescent="0.25">
      <c r="B87" s="428"/>
      <c r="C87" s="428"/>
      <c r="D87" s="428"/>
      <c r="E87" s="428"/>
      <c r="F87" s="428"/>
      <c r="G87" s="428"/>
      <c r="H87" s="428"/>
      <c r="I87" s="428"/>
      <c r="J87" s="428"/>
      <c r="K87" s="428"/>
      <c r="L87" s="428"/>
      <c r="M87" s="428"/>
      <c r="N87" s="428"/>
      <c r="O87" s="428"/>
      <c r="P87" s="428"/>
      <c r="Q87" s="428"/>
      <c r="R87" s="428"/>
      <c r="S87" s="428"/>
      <c r="T87" s="428"/>
      <c r="U87" s="428"/>
      <c r="V87" s="428"/>
      <c r="W87" s="428"/>
    </row>
    <row r="88" spans="2:23" x14ac:dyDescent="0.25">
      <c r="B88" s="428"/>
      <c r="C88" s="428"/>
      <c r="D88" s="428"/>
      <c r="E88" s="428"/>
      <c r="F88" s="428"/>
      <c r="G88" s="428"/>
      <c r="H88" s="428"/>
      <c r="I88" s="428"/>
      <c r="J88" s="428"/>
      <c r="K88" s="428"/>
      <c r="L88" s="428"/>
      <c r="M88" s="428"/>
      <c r="N88" s="428"/>
      <c r="O88" s="428"/>
      <c r="P88" s="428"/>
      <c r="Q88" s="428"/>
      <c r="R88" s="428"/>
      <c r="S88" s="428"/>
      <c r="T88" s="428"/>
      <c r="U88" s="428"/>
      <c r="V88" s="428"/>
      <c r="W88" s="428"/>
    </row>
    <row r="89" spans="2:23" x14ac:dyDescent="0.25">
      <c r="B89" s="428"/>
      <c r="C89" s="428"/>
      <c r="D89" s="428"/>
      <c r="E89" s="428"/>
      <c r="F89" s="428"/>
      <c r="G89" s="428"/>
      <c r="H89" s="428"/>
      <c r="I89" s="428"/>
      <c r="J89" s="428"/>
      <c r="K89" s="428"/>
      <c r="L89" s="428"/>
      <c r="M89" s="428"/>
      <c r="N89" s="428"/>
      <c r="O89" s="428"/>
      <c r="P89" s="428"/>
      <c r="Q89" s="428"/>
      <c r="R89" s="428"/>
      <c r="S89" s="428"/>
      <c r="T89" s="428"/>
      <c r="U89" s="428"/>
      <c r="V89" s="428"/>
      <c r="W89" s="428"/>
    </row>
    <row r="90" spans="2:23" x14ac:dyDescent="0.25">
      <c r="B90" s="428"/>
      <c r="C90" s="428"/>
      <c r="D90" s="428"/>
      <c r="E90" s="428"/>
      <c r="F90" s="428"/>
      <c r="G90" s="428"/>
      <c r="H90" s="428"/>
      <c r="I90" s="428"/>
      <c r="J90" s="428"/>
      <c r="K90" s="428"/>
      <c r="L90" s="428"/>
      <c r="M90" s="428"/>
      <c r="N90" s="428"/>
      <c r="O90" s="428"/>
      <c r="P90" s="428"/>
      <c r="Q90" s="428"/>
      <c r="R90" s="428"/>
      <c r="S90" s="428"/>
      <c r="T90" s="428"/>
      <c r="U90" s="428"/>
      <c r="V90" s="428"/>
      <c r="W90" s="428"/>
    </row>
    <row r="91" spans="2:23" x14ac:dyDescent="0.25">
      <c r="B91" s="428"/>
      <c r="C91" s="428"/>
      <c r="D91" s="428"/>
      <c r="E91" s="428"/>
      <c r="F91" s="428"/>
      <c r="G91" s="428"/>
      <c r="H91" s="428"/>
      <c r="I91" s="428"/>
      <c r="J91" s="428"/>
      <c r="K91" s="428"/>
      <c r="L91" s="428"/>
      <c r="M91" s="428"/>
      <c r="N91" s="428"/>
      <c r="O91" s="428"/>
      <c r="P91" s="428"/>
      <c r="Q91" s="428"/>
      <c r="R91" s="428"/>
      <c r="S91" s="428"/>
      <c r="T91" s="428"/>
      <c r="U91" s="428"/>
      <c r="V91" s="428"/>
      <c r="W91" s="428"/>
    </row>
    <row r="92" spans="2:23" x14ac:dyDescent="0.25">
      <c r="B92" s="428"/>
      <c r="C92" s="428"/>
      <c r="D92" s="428"/>
      <c r="E92" s="428"/>
      <c r="F92" s="428"/>
      <c r="G92" s="428"/>
      <c r="H92" s="428"/>
      <c r="I92" s="428"/>
      <c r="J92" s="428"/>
      <c r="K92" s="428"/>
      <c r="L92" s="428"/>
      <c r="M92" s="428"/>
      <c r="N92" s="428"/>
      <c r="O92" s="428"/>
      <c r="P92" s="428"/>
      <c r="Q92" s="428"/>
      <c r="R92" s="428"/>
      <c r="S92" s="428"/>
      <c r="T92" s="428"/>
      <c r="U92" s="428"/>
      <c r="V92" s="428"/>
      <c r="W92" s="428"/>
    </row>
    <row r="93" spans="2:23" x14ac:dyDescent="0.25">
      <c r="B93" s="428"/>
      <c r="C93" s="428"/>
      <c r="D93" s="428"/>
      <c r="E93" s="428"/>
      <c r="F93" s="428"/>
      <c r="G93" s="428"/>
      <c r="H93" s="428"/>
      <c r="I93" s="428"/>
      <c r="J93" s="428"/>
      <c r="K93" s="428"/>
      <c r="L93" s="428"/>
      <c r="M93" s="428"/>
      <c r="N93" s="428"/>
      <c r="O93" s="428"/>
      <c r="P93" s="428"/>
      <c r="Q93" s="428"/>
      <c r="R93" s="428"/>
      <c r="S93" s="428"/>
      <c r="T93" s="428"/>
      <c r="U93" s="428"/>
      <c r="V93" s="428"/>
      <c r="W93" s="428"/>
    </row>
    <row r="94" spans="2:23" x14ac:dyDescent="0.25">
      <c r="B94" s="428"/>
      <c r="C94" s="428"/>
      <c r="D94" s="428"/>
      <c r="E94" s="428"/>
      <c r="F94" s="428"/>
      <c r="G94" s="428"/>
      <c r="H94" s="428"/>
      <c r="I94" s="428"/>
      <c r="J94" s="428"/>
      <c r="K94" s="428"/>
      <c r="L94" s="428"/>
      <c r="M94" s="428"/>
      <c r="N94" s="428"/>
      <c r="O94" s="428"/>
      <c r="P94" s="428"/>
      <c r="Q94" s="428"/>
      <c r="R94" s="428"/>
      <c r="S94" s="428"/>
      <c r="T94" s="428"/>
      <c r="U94" s="428"/>
      <c r="V94" s="428"/>
      <c r="W94" s="428"/>
    </row>
    <row r="95" spans="2:23" x14ac:dyDescent="0.25">
      <c r="B95" s="428"/>
      <c r="C95" s="428"/>
      <c r="D95" s="428"/>
      <c r="E95" s="428"/>
      <c r="F95" s="428"/>
      <c r="G95" s="428"/>
      <c r="H95" s="428"/>
      <c r="I95" s="428"/>
      <c r="J95" s="428"/>
      <c r="K95" s="428"/>
      <c r="L95" s="428"/>
      <c r="M95" s="428"/>
      <c r="N95" s="428"/>
      <c r="O95" s="428"/>
      <c r="P95" s="428"/>
      <c r="Q95" s="428"/>
      <c r="R95" s="428"/>
      <c r="S95" s="428"/>
      <c r="T95" s="428"/>
      <c r="U95" s="428"/>
      <c r="V95" s="428"/>
      <c r="W95" s="428"/>
    </row>
    <row r="96" spans="2:23" x14ac:dyDescent="0.25">
      <c r="B96" s="428"/>
      <c r="C96" s="428"/>
      <c r="D96" s="428"/>
      <c r="E96" s="428"/>
      <c r="F96" s="428"/>
      <c r="G96" s="428"/>
      <c r="H96" s="428"/>
      <c r="I96" s="428"/>
      <c r="J96" s="428"/>
      <c r="K96" s="428"/>
      <c r="L96" s="428"/>
      <c r="M96" s="428"/>
      <c r="N96" s="428"/>
      <c r="O96" s="428"/>
      <c r="P96" s="428"/>
      <c r="Q96" s="428"/>
      <c r="R96" s="428"/>
      <c r="S96" s="428"/>
      <c r="T96" s="428"/>
      <c r="U96" s="428"/>
      <c r="V96" s="428"/>
      <c r="W96" s="428"/>
    </row>
    <row r="97" spans="2:23" x14ac:dyDescent="0.25">
      <c r="B97" s="428"/>
      <c r="C97" s="428"/>
      <c r="D97" s="428"/>
      <c r="E97" s="428"/>
      <c r="F97" s="428"/>
      <c r="G97" s="428"/>
      <c r="H97" s="428"/>
      <c r="I97" s="428"/>
      <c r="J97" s="428"/>
      <c r="K97" s="428"/>
      <c r="L97" s="428"/>
      <c r="M97" s="428"/>
      <c r="N97" s="428"/>
      <c r="O97" s="428"/>
      <c r="P97" s="428"/>
      <c r="Q97" s="428"/>
      <c r="R97" s="428"/>
      <c r="S97" s="428"/>
      <c r="T97" s="428"/>
      <c r="U97" s="428"/>
      <c r="V97" s="428"/>
      <c r="W97" s="428"/>
    </row>
    <row r="98" spans="2:23" x14ac:dyDescent="0.25">
      <c r="B98" s="428"/>
      <c r="C98" s="428"/>
      <c r="D98" s="428"/>
      <c r="E98" s="428"/>
      <c r="F98" s="428"/>
      <c r="G98" s="428"/>
      <c r="H98" s="428"/>
      <c r="I98" s="428"/>
      <c r="J98" s="428"/>
      <c r="K98" s="428"/>
      <c r="L98" s="428"/>
      <c r="M98" s="428"/>
      <c r="N98" s="428"/>
      <c r="O98" s="428"/>
      <c r="P98" s="428"/>
      <c r="Q98" s="428"/>
      <c r="R98" s="428"/>
      <c r="S98" s="428"/>
      <c r="T98" s="428"/>
      <c r="U98" s="428"/>
      <c r="V98" s="428"/>
      <c r="W98" s="428"/>
    </row>
    <row r="99" spans="2:23" x14ac:dyDescent="0.25">
      <c r="B99" s="428"/>
      <c r="C99" s="428"/>
      <c r="D99" s="428"/>
      <c r="E99" s="428"/>
      <c r="F99" s="428"/>
      <c r="G99" s="428"/>
      <c r="H99" s="428"/>
      <c r="I99" s="428"/>
      <c r="J99" s="428"/>
      <c r="K99" s="428"/>
      <c r="L99" s="428"/>
      <c r="M99" s="428"/>
      <c r="N99" s="428"/>
      <c r="O99" s="428"/>
      <c r="P99" s="428"/>
      <c r="Q99" s="428"/>
      <c r="R99" s="428"/>
      <c r="S99" s="428"/>
      <c r="T99" s="428"/>
      <c r="U99" s="428"/>
      <c r="V99" s="428"/>
      <c r="W99" s="428"/>
    </row>
    <row r="100" spans="2:23" x14ac:dyDescent="0.25">
      <c r="B100" s="428"/>
      <c r="C100" s="428"/>
      <c r="D100" s="428"/>
      <c r="E100" s="428"/>
      <c r="F100" s="428"/>
      <c r="G100" s="428"/>
      <c r="H100" s="428"/>
      <c r="I100" s="428"/>
      <c r="J100" s="428"/>
      <c r="K100" s="428"/>
      <c r="L100" s="428"/>
      <c r="M100" s="428"/>
      <c r="N100" s="428"/>
      <c r="O100" s="428"/>
      <c r="P100" s="428"/>
      <c r="Q100" s="428"/>
      <c r="R100" s="428"/>
      <c r="S100" s="428"/>
      <c r="T100" s="428"/>
      <c r="U100" s="428"/>
      <c r="V100" s="428"/>
      <c r="W100" s="428"/>
    </row>
    <row r="101" spans="2:23" x14ac:dyDescent="0.25">
      <c r="B101" s="428"/>
      <c r="C101" s="428"/>
      <c r="D101" s="428"/>
      <c r="E101" s="428"/>
      <c r="F101" s="428"/>
      <c r="G101" s="428"/>
      <c r="H101" s="428"/>
      <c r="I101" s="428"/>
      <c r="J101" s="428"/>
      <c r="K101" s="428"/>
      <c r="L101" s="428"/>
      <c r="M101" s="428"/>
      <c r="N101" s="428"/>
      <c r="O101" s="428"/>
      <c r="P101" s="428"/>
      <c r="Q101" s="428"/>
      <c r="R101" s="428"/>
      <c r="S101" s="428"/>
      <c r="T101" s="428"/>
      <c r="U101" s="428"/>
      <c r="V101" s="428"/>
      <c r="W101" s="428"/>
    </row>
    <row r="102" spans="2:23" x14ac:dyDescent="0.25">
      <c r="B102" s="428"/>
      <c r="C102" s="428"/>
      <c r="D102" s="428"/>
      <c r="E102" s="428"/>
      <c r="F102" s="428"/>
      <c r="G102" s="428"/>
      <c r="H102" s="428"/>
      <c r="I102" s="428"/>
      <c r="J102" s="428"/>
      <c r="K102" s="428"/>
      <c r="L102" s="428"/>
      <c r="M102" s="428"/>
      <c r="N102" s="428"/>
      <c r="O102" s="428"/>
      <c r="P102" s="428"/>
      <c r="Q102" s="428"/>
      <c r="R102" s="428"/>
      <c r="S102" s="428"/>
      <c r="T102" s="428"/>
      <c r="U102" s="428"/>
      <c r="V102" s="428"/>
      <c r="W102" s="428"/>
    </row>
    <row r="103" spans="2:23" x14ac:dyDescent="0.25">
      <c r="B103" s="428"/>
      <c r="C103" s="428"/>
      <c r="D103" s="428"/>
      <c r="E103" s="428"/>
      <c r="F103" s="428"/>
      <c r="G103" s="428"/>
      <c r="H103" s="428"/>
      <c r="I103" s="428"/>
      <c r="J103" s="428"/>
      <c r="K103" s="428"/>
      <c r="L103" s="428"/>
      <c r="M103" s="428"/>
      <c r="N103" s="428"/>
      <c r="O103" s="428"/>
      <c r="P103" s="428"/>
      <c r="Q103" s="428"/>
      <c r="R103" s="428"/>
      <c r="S103" s="428"/>
      <c r="T103" s="428"/>
      <c r="U103" s="428"/>
      <c r="V103" s="428"/>
      <c r="W103" s="428"/>
    </row>
    <row r="104" spans="2:23" x14ac:dyDescent="0.25">
      <c r="B104" s="428"/>
      <c r="C104" s="428"/>
      <c r="D104" s="428"/>
      <c r="E104" s="428"/>
      <c r="F104" s="428"/>
      <c r="G104" s="428"/>
      <c r="H104" s="428"/>
      <c r="I104" s="428"/>
      <c r="J104" s="428"/>
      <c r="K104" s="428"/>
      <c r="L104" s="428"/>
      <c r="M104" s="428"/>
      <c r="N104" s="428"/>
      <c r="O104" s="428"/>
      <c r="P104" s="428"/>
      <c r="Q104" s="428"/>
      <c r="R104" s="428"/>
      <c r="S104" s="428"/>
      <c r="T104" s="428"/>
      <c r="U104" s="428"/>
      <c r="V104" s="428"/>
      <c r="W104" s="428"/>
    </row>
    <row r="105" spans="2:23" x14ac:dyDescent="0.25">
      <c r="B105" s="428"/>
      <c r="C105" s="428"/>
      <c r="D105" s="428"/>
      <c r="E105" s="428"/>
      <c r="F105" s="428"/>
      <c r="G105" s="428"/>
      <c r="H105" s="428"/>
      <c r="I105" s="428"/>
      <c r="J105" s="428"/>
      <c r="K105" s="428"/>
      <c r="L105" s="428"/>
      <c r="M105" s="428"/>
      <c r="N105" s="428"/>
      <c r="O105" s="428"/>
      <c r="P105" s="434" t="s">
        <v>719</v>
      </c>
      <c r="Q105" s="428"/>
      <c r="R105" s="428"/>
      <c r="S105" s="428"/>
      <c r="T105" s="428"/>
      <c r="U105" s="428"/>
      <c r="V105" s="428"/>
      <c r="W105" s="428"/>
    </row>
    <row r="106" spans="2:23" x14ac:dyDescent="0.25">
      <c r="B106" s="428"/>
      <c r="C106" s="428"/>
      <c r="D106" s="428"/>
      <c r="E106" s="428"/>
      <c r="F106" s="428"/>
      <c r="G106" s="428"/>
      <c r="H106" s="428"/>
      <c r="I106" s="428"/>
      <c r="J106" s="428"/>
      <c r="K106" s="428"/>
      <c r="L106" s="428"/>
      <c r="M106" s="428"/>
      <c r="N106" s="428"/>
      <c r="O106" s="428"/>
      <c r="P106" s="434" t="s">
        <v>720</v>
      </c>
      <c r="Q106" s="428"/>
      <c r="R106" s="428"/>
      <c r="S106" s="428"/>
      <c r="T106" s="428"/>
      <c r="U106" s="428"/>
      <c r="V106" s="428"/>
      <c r="W106" s="428"/>
    </row>
    <row r="107" spans="2:23" x14ac:dyDescent="0.25">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row>
    <row r="108" spans="2:23" x14ac:dyDescent="0.25">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row>
    <row r="109" spans="2:23" x14ac:dyDescent="0.25">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row>
    <row r="110" spans="2:23" x14ac:dyDescent="0.25">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row>
    <row r="111" spans="2:23" x14ac:dyDescent="0.25">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row>
    <row r="112" spans="2:23" x14ac:dyDescent="0.25">
      <c r="B112" s="428"/>
      <c r="C112" s="428"/>
      <c r="D112" s="428"/>
      <c r="E112" s="428"/>
      <c r="F112" s="428"/>
      <c r="G112" s="428"/>
      <c r="H112" s="428"/>
      <c r="I112" s="428"/>
      <c r="J112" s="428"/>
      <c r="K112" s="428"/>
      <c r="L112" s="428"/>
      <c r="M112" s="428"/>
      <c r="N112" s="428"/>
      <c r="O112" s="428"/>
      <c r="P112" s="434" t="s">
        <v>721</v>
      </c>
      <c r="Q112" s="428"/>
      <c r="R112" s="428"/>
      <c r="S112" s="428"/>
      <c r="T112" s="428"/>
      <c r="U112" s="428"/>
      <c r="V112" s="428"/>
      <c r="W112" s="428"/>
    </row>
    <row r="113" spans="2:23" x14ac:dyDescent="0.25">
      <c r="B113" s="428"/>
      <c r="C113" s="428"/>
      <c r="D113" s="428"/>
      <c r="E113" s="428"/>
      <c r="F113" s="428"/>
      <c r="G113" s="428"/>
      <c r="H113" s="428"/>
      <c r="I113" s="428"/>
      <c r="J113" s="428"/>
      <c r="K113" s="428"/>
      <c r="L113" s="428"/>
      <c r="M113" s="428"/>
      <c r="N113" s="428"/>
      <c r="O113" s="428"/>
      <c r="P113" s="434" t="s">
        <v>720</v>
      </c>
      <c r="Q113" s="428"/>
      <c r="R113" s="428"/>
      <c r="S113" s="428"/>
      <c r="T113" s="428"/>
      <c r="U113" s="428"/>
      <c r="V113" s="428"/>
      <c r="W113" s="428"/>
    </row>
    <row r="114" spans="2:23" x14ac:dyDescent="0.25">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row>
    <row r="115" spans="2:23" x14ac:dyDescent="0.25">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row>
    <row r="116" spans="2:23" x14ac:dyDescent="0.25">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row>
    <row r="117" spans="2:23" x14ac:dyDescent="0.25">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row>
    <row r="118" spans="2:23" x14ac:dyDescent="0.25">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row>
    <row r="119" spans="2:23" x14ac:dyDescent="0.25">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row>
    <row r="120" spans="2:23" x14ac:dyDescent="0.25">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row>
    <row r="121" spans="2:23" ht="23.25" x14ac:dyDescent="0.35">
      <c r="B121" s="421" t="s">
        <v>1100</v>
      </c>
      <c r="C121" s="428"/>
      <c r="D121" s="428"/>
      <c r="E121" s="428"/>
      <c r="F121" s="428"/>
      <c r="G121" s="428"/>
      <c r="H121" s="428"/>
      <c r="I121" s="428"/>
      <c r="J121" s="428"/>
      <c r="K121" s="428"/>
      <c r="L121" s="428"/>
      <c r="M121" s="428"/>
      <c r="N121" s="428"/>
      <c r="O121" s="428"/>
      <c r="P121" s="428"/>
      <c r="Q121" s="428"/>
      <c r="R121" s="428"/>
      <c r="S121" s="428"/>
      <c r="T121" s="428"/>
      <c r="U121" s="428"/>
      <c r="V121" s="428"/>
      <c r="W121" s="428"/>
    </row>
    <row r="122" spans="2:23" x14ac:dyDescent="0.25">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row>
    <row r="123" spans="2:23" ht="18.75" x14ac:dyDescent="0.3">
      <c r="B123" s="802" t="s">
        <v>50</v>
      </c>
      <c r="C123" s="428"/>
      <c r="D123" s="428"/>
      <c r="E123" s="428"/>
      <c r="F123" s="428"/>
      <c r="G123" s="428"/>
      <c r="H123" s="428"/>
      <c r="I123" s="428"/>
      <c r="J123" s="428"/>
      <c r="K123" s="428"/>
      <c r="L123" s="428"/>
      <c r="M123" s="428"/>
      <c r="N123" s="428"/>
      <c r="O123" s="428"/>
      <c r="P123" s="428"/>
      <c r="Q123" s="428"/>
      <c r="R123" s="428"/>
      <c r="S123" s="428"/>
      <c r="T123" s="428"/>
      <c r="U123" s="428"/>
      <c r="V123" s="428"/>
      <c r="W123" s="428"/>
    </row>
    <row r="124" spans="2:23" x14ac:dyDescent="0.25">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row>
    <row r="125" spans="2:23" x14ac:dyDescent="0.25">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row>
    <row r="126" spans="2:23" x14ac:dyDescent="0.25">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row>
    <row r="127" spans="2:23" x14ac:dyDescent="0.25">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row>
    <row r="128" spans="2:23" x14ac:dyDescent="0.25">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row>
    <row r="129" spans="2:23" x14ac:dyDescent="0.25">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row>
    <row r="130" spans="2:23" x14ac:dyDescent="0.25">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row>
    <row r="131" spans="2:23" x14ac:dyDescent="0.25">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row>
    <row r="132" spans="2:23" x14ac:dyDescent="0.25">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row>
    <row r="133" spans="2:23" x14ac:dyDescent="0.25">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row>
    <row r="134" spans="2:23" ht="18.75" x14ac:dyDescent="0.3">
      <c r="B134" s="802" t="s">
        <v>51</v>
      </c>
      <c r="C134" s="428"/>
      <c r="D134" s="428"/>
      <c r="E134" s="428"/>
      <c r="F134" s="428"/>
      <c r="G134" s="428"/>
      <c r="H134" s="428"/>
      <c r="I134" s="428"/>
      <c r="J134" s="428"/>
      <c r="K134" s="428"/>
      <c r="L134" s="428"/>
      <c r="M134" s="428"/>
      <c r="N134" s="428"/>
      <c r="O134" s="428"/>
      <c r="P134" s="428"/>
      <c r="Q134" s="428"/>
      <c r="R134" s="428"/>
      <c r="S134" s="428"/>
      <c r="T134" s="428"/>
      <c r="U134" s="428"/>
      <c r="V134" s="428"/>
      <c r="W134" s="428"/>
    </row>
    <row r="135" spans="2:23" x14ac:dyDescent="0.25">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row>
    <row r="136" spans="2:23" x14ac:dyDescent="0.25">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row>
    <row r="137" spans="2:23" x14ac:dyDescent="0.25">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row>
    <row r="138" spans="2:23" x14ac:dyDescent="0.25">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row>
    <row r="139" spans="2:23" x14ac:dyDescent="0.25">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row>
  </sheetData>
  <sheetProtection algorithmName="SHA-512" hashValue="IRoJ5Bke3gyThJirFoWxxitxch0EukUedc2YQ1faWaTN+sn9iRDVxpuYtW8vsi2L3gwUuCO0QselTqoF/9MHlw==" saltValue="H6qGGUb0128c7y9xZzyW9A==" spinCount="100000" sheet="1" objects="1" scenarios="1" selectLockedCells="1" selectUnlockedCells="1"/>
  <customSheetViews>
    <customSheetView guid="{5E8F20A8-8220-4169-B947-2AB764A2AA7B}" scale="80" showGridLines="0" showRowCol="0">
      <selection activeCell="K14" sqref="K14"/>
      <pageMargins left="0.7" right="0.7" top="0.75" bottom="0.75" header="0.3" footer="0.3"/>
      <pageSetup paperSize="9" orientation="portrait" verticalDpi="0" r:id="rId1"/>
    </customSheetView>
    <customSheetView guid="{9F540994-A66B-4083-BD64-035E71878618}" scale="80" showGridLines="0" showRowCol="0" topLeftCell="A76">
      <selection activeCell="K14" sqref="K14"/>
      <pageMargins left="0.7" right="0.7" top="0.75" bottom="0.75" header="0.3" footer="0.3"/>
      <pageSetup paperSize="9" orientation="portrait" verticalDpi="0" r:id="rId2"/>
    </customSheetView>
  </customSheetViews>
  <pageMargins left="0.7" right="0.7" top="0.75" bottom="0.75" header="0.3" footer="0.3"/>
  <pageSetup paperSize="9" orientation="portrait" verticalDpi="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V107"/>
  <sheetViews>
    <sheetView showGridLines="0" showRowColHeaders="0" zoomScale="50" zoomScaleNormal="50" workbookViewId="0">
      <selection activeCell="AD201" sqref="AD201"/>
    </sheetView>
  </sheetViews>
  <sheetFormatPr defaultRowHeight="15" x14ac:dyDescent="0.25"/>
  <sheetData>
    <row r="39" s="428" customFormat="1" x14ac:dyDescent="0.25"/>
    <row r="40" s="428" customFormat="1" x14ac:dyDescent="0.25"/>
    <row r="41" s="428" customFormat="1" x14ac:dyDescent="0.25"/>
    <row r="42" s="428" customFormat="1" x14ac:dyDescent="0.25"/>
    <row r="43" s="428" customFormat="1" x14ac:dyDescent="0.25"/>
    <row r="44" s="428" customFormat="1" x14ac:dyDescent="0.25"/>
    <row r="45" s="428" customFormat="1" x14ac:dyDescent="0.25"/>
    <row r="46" s="428" customFormat="1" x14ac:dyDescent="0.25"/>
    <row r="47" s="428" customFormat="1" x14ac:dyDescent="0.25"/>
    <row r="48" s="428" customFormat="1" x14ac:dyDescent="0.25"/>
    <row r="49" s="428" customFormat="1" x14ac:dyDescent="0.25"/>
    <row r="50" s="428" customFormat="1" x14ac:dyDescent="0.25"/>
    <row r="51" s="428" customFormat="1" x14ac:dyDescent="0.25"/>
    <row r="52" s="428" customFormat="1" x14ac:dyDescent="0.25"/>
    <row r="53" s="428" customFormat="1" x14ac:dyDescent="0.25"/>
    <row r="54" s="428" customFormat="1" x14ac:dyDescent="0.25"/>
    <row r="55" s="428" customFormat="1" x14ac:dyDescent="0.25"/>
    <row r="56" s="428" customFormat="1" x14ac:dyDescent="0.25"/>
    <row r="57" s="428" customFormat="1" x14ac:dyDescent="0.25"/>
    <row r="58" s="428" customFormat="1" x14ac:dyDescent="0.25"/>
    <row r="59" s="428" customFormat="1" x14ac:dyDescent="0.25"/>
    <row r="60" s="428" customFormat="1" x14ac:dyDescent="0.25"/>
    <row r="61" s="428" customFormat="1" x14ac:dyDescent="0.25"/>
    <row r="62" ht="17.25" customHeight="1" x14ac:dyDescent="0.25"/>
    <row r="68" s="428" customFormat="1" x14ac:dyDescent="0.25"/>
    <row r="69" s="428" customFormat="1" x14ac:dyDescent="0.25"/>
    <row r="70" s="428" customFormat="1" x14ac:dyDescent="0.25"/>
    <row r="71" s="428" customFormat="1" x14ac:dyDescent="0.25"/>
    <row r="72" s="428" customFormat="1" x14ac:dyDescent="0.25"/>
    <row r="85" s="428" customFormat="1" x14ac:dyDescent="0.25"/>
    <row r="86" s="428" customFormat="1" x14ac:dyDescent="0.25"/>
    <row r="87" s="428" customFormat="1" x14ac:dyDescent="0.25"/>
    <row r="88" s="428" customFormat="1" x14ac:dyDescent="0.25"/>
    <row r="89" s="428" customFormat="1" x14ac:dyDescent="0.25"/>
    <row r="90" s="428" customFormat="1" x14ac:dyDescent="0.25"/>
    <row r="91" s="428" customFormat="1" x14ac:dyDescent="0.25"/>
    <row r="92" s="428" customFormat="1" x14ac:dyDescent="0.25"/>
    <row r="93" s="428" customFormat="1" x14ac:dyDescent="0.25"/>
    <row r="94" s="428" customFormat="1" x14ac:dyDescent="0.25"/>
    <row r="95" s="428" customFormat="1" x14ac:dyDescent="0.25"/>
    <row r="96" s="428" customFormat="1" x14ac:dyDescent="0.25"/>
    <row r="106" spans="2:22" x14ac:dyDescent="0.25">
      <c r="B106" s="1053" t="s">
        <v>1087</v>
      </c>
      <c r="C106" s="1053"/>
      <c r="D106" s="1053"/>
      <c r="E106" s="1053"/>
      <c r="F106" s="1053"/>
      <c r="G106" s="1053"/>
      <c r="H106" s="1053"/>
      <c r="I106" s="1053"/>
      <c r="J106" s="1053"/>
      <c r="K106" s="1053"/>
      <c r="L106" s="1053"/>
      <c r="M106" s="1053"/>
      <c r="N106" s="1053"/>
      <c r="O106" s="1053"/>
      <c r="P106" s="1053"/>
      <c r="Q106" s="1053"/>
      <c r="R106" s="1053"/>
      <c r="S106" s="1053"/>
      <c r="T106" s="1053"/>
      <c r="U106" s="1053"/>
      <c r="V106" s="1053"/>
    </row>
    <row r="107" spans="2:22" x14ac:dyDescent="0.25">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row>
  </sheetData>
  <sheetProtection algorithmName="SHA-512" hashValue="A46NqIOQ1oR376wvmKy5Wve5fRs+7tgK6Rr8zrzrf1vr3YzoNKx+EaC/BL+AqmvfyBdhTWV42zGrQ34ylSTMrQ==" saltValue="8wIXyZNOxHb3UvqydXPvcQ==" spinCount="100000" sheet="1" selectLockedCells="1" selectUnlockedCells="1"/>
  <customSheetViews>
    <customSheetView guid="{5E8F20A8-8220-4169-B947-2AB764A2AA7B}" scale="50" showGridLines="0" showRowCol="0">
      <selection activeCell="AD201" sqref="AD201"/>
      <pageMargins left="0.7" right="0.7" top="0.75" bottom="0.75" header="0.3" footer="0.3"/>
      <pageSetup paperSize="9" orientation="portrait" horizontalDpi="1200" verticalDpi="1200" r:id="rId1"/>
    </customSheetView>
    <customSheetView guid="{9F540994-A66B-4083-BD64-035E71878618}" scale="50" showGridLines="0" showRowCol="0">
      <selection activeCell="AD201" sqref="AD201"/>
      <pageMargins left="0.7" right="0.7" top="0.75" bottom="0.75" header="0.3" footer="0.3"/>
      <pageSetup paperSize="9" orientation="portrait" horizontalDpi="1200" verticalDpi="1200" r:id="rId2"/>
    </customSheetView>
  </customSheetViews>
  <mergeCells count="1">
    <mergeCell ref="B106:V107"/>
  </mergeCells>
  <pageMargins left="0.7" right="0.7" top="0.75" bottom="0.75" header="0.3" footer="0.3"/>
  <pageSetup paperSize="9" orientation="portrait" horizontalDpi="1200" verticalDpi="120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91"/>
  <sheetViews>
    <sheetView showGridLines="0" showRowColHeaders="0" zoomScaleNormal="100" workbookViewId="0">
      <selection activeCell="E23" sqref="E23"/>
    </sheetView>
  </sheetViews>
  <sheetFormatPr defaultRowHeight="15" x14ac:dyDescent="0.25"/>
  <cols>
    <col min="1" max="1" width="3.42578125" customWidth="1"/>
    <col min="2" max="2" width="3.42578125" style="428" customWidth="1"/>
    <col min="3" max="3" width="61" customWidth="1"/>
    <col min="4" max="4" width="12" customWidth="1"/>
    <col min="5" max="5" width="14.42578125" customWidth="1"/>
    <col min="8" max="8" width="2.85546875" customWidth="1"/>
    <col min="11" max="11" width="7.5703125" customWidth="1"/>
    <col min="12" max="12" width="17" customWidth="1"/>
    <col min="16" max="16" width="11.140625" customWidth="1"/>
  </cols>
  <sheetData>
    <row r="1" spans="1:21" s="428" customFormat="1" x14ac:dyDescent="0.25"/>
    <row r="2" spans="1:21" s="428" customFormat="1" ht="23.25" x14ac:dyDescent="0.35">
      <c r="C2" s="421" t="s">
        <v>1080</v>
      </c>
    </row>
    <row r="4" spans="1:21" x14ac:dyDescent="0.25">
      <c r="C4" s="1" t="s">
        <v>329</v>
      </c>
      <c r="D4" s="429"/>
      <c r="E4" s="429"/>
      <c r="F4" s="429"/>
      <c r="G4" s="429"/>
      <c r="H4" s="429"/>
      <c r="I4" s="429"/>
      <c r="J4" s="429"/>
      <c r="K4" s="429"/>
      <c r="L4" s="429"/>
      <c r="M4" s="429"/>
      <c r="N4" s="429"/>
      <c r="O4" s="429"/>
      <c r="P4" s="429"/>
      <c r="Q4" s="429"/>
    </row>
    <row r="5" spans="1:21" x14ac:dyDescent="0.25">
      <c r="C5" s="1" t="s">
        <v>330</v>
      </c>
      <c r="D5" s="429"/>
      <c r="E5" s="429"/>
      <c r="F5" s="429"/>
      <c r="G5" s="429"/>
      <c r="H5" s="429"/>
      <c r="I5" s="429"/>
      <c r="J5" s="429"/>
      <c r="K5" s="429"/>
      <c r="L5" s="429"/>
      <c r="M5" s="429"/>
      <c r="N5" s="429"/>
      <c r="O5" s="429"/>
      <c r="P5" s="429"/>
      <c r="Q5" s="429"/>
    </row>
    <row r="6" spans="1:21" ht="11.25" customHeight="1" thickBot="1" x14ac:dyDescent="0.3">
      <c r="C6" s="1"/>
      <c r="D6" s="429"/>
      <c r="E6" s="429"/>
      <c r="F6" s="429"/>
      <c r="G6" s="429"/>
      <c r="H6" s="429"/>
      <c r="I6" s="429"/>
      <c r="J6" s="429"/>
      <c r="K6" s="429"/>
      <c r="L6" s="429"/>
      <c r="M6" s="429"/>
      <c r="N6" s="429"/>
      <c r="O6" s="429"/>
      <c r="P6" s="429"/>
      <c r="Q6" s="429"/>
    </row>
    <row r="7" spans="1:21" ht="16.5" thickTop="1" thickBot="1" x14ac:dyDescent="0.3">
      <c r="A7" s="2"/>
      <c r="B7" s="429"/>
      <c r="C7" s="429" t="s">
        <v>331</v>
      </c>
      <c r="D7" s="429"/>
      <c r="E7" s="67" t="s">
        <v>1089</v>
      </c>
      <c r="F7" s="429"/>
      <c r="G7" s="429"/>
      <c r="H7" s="429"/>
      <c r="I7" s="429"/>
      <c r="J7" s="429"/>
      <c r="K7" s="429"/>
      <c r="L7" s="429"/>
      <c r="M7" s="429"/>
      <c r="N7" s="429"/>
      <c r="O7" s="429"/>
      <c r="P7" s="429"/>
      <c r="Q7" s="429"/>
      <c r="R7" s="2"/>
      <c r="S7" s="2"/>
      <c r="T7" s="2"/>
      <c r="U7" s="2"/>
    </row>
    <row r="8" spans="1:21" ht="19.5" thickTop="1" thickBot="1" x14ac:dyDescent="0.3">
      <c r="A8" s="2"/>
      <c r="B8" s="429"/>
      <c r="C8" s="429" t="s">
        <v>332</v>
      </c>
      <c r="D8" s="68" t="s">
        <v>333</v>
      </c>
      <c r="E8" s="185">
        <v>25</v>
      </c>
      <c r="F8" s="429"/>
      <c r="G8" s="429"/>
      <c r="H8" s="429"/>
      <c r="I8" s="429"/>
      <c r="J8" s="429"/>
      <c r="K8" s="429"/>
      <c r="L8" s="429"/>
      <c r="M8" s="429"/>
      <c r="N8" s="429"/>
      <c r="O8" s="429"/>
      <c r="P8" s="429"/>
      <c r="Q8" s="429"/>
      <c r="R8" s="2"/>
      <c r="S8" s="2"/>
      <c r="T8" s="2"/>
      <c r="U8" s="2"/>
    </row>
    <row r="9" spans="1:21" ht="16.5" thickTop="1" thickBot="1" x14ac:dyDescent="0.3">
      <c r="A9" s="2"/>
      <c r="B9" s="429"/>
      <c r="C9" s="429" t="s">
        <v>334</v>
      </c>
      <c r="D9" s="632" t="s">
        <v>335</v>
      </c>
      <c r="E9" s="186">
        <v>0.1</v>
      </c>
      <c r="F9" s="429"/>
      <c r="G9" s="429"/>
      <c r="H9" s="429"/>
      <c r="I9" s="429"/>
      <c r="J9" s="429"/>
      <c r="K9" s="429"/>
      <c r="L9" s="429"/>
      <c r="M9" s="429"/>
      <c r="N9" s="429"/>
      <c r="O9" s="429"/>
      <c r="P9" s="429"/>
      <c r="Q9" s="429"/>
      <c r="R9" s="2"/>
      <c r="S9" s="2"/>
      <c r="T9" s="2"/>
      <c r="U9" s="2"/>
    </row>
    <row r="10" spans="1:21" ht="15.75" thickTop="1" x14ac:dyDescent="0.25">
      <c r="A10" s="2"/>
      <c r="B10" s="429"/>
      <c r="C10" s="429"/>
      <c r="D10" s="632"/>
      <c r="E10" s="657"/>
      <c r="F10" s="429"/>
      <c r="G10" s="429"/>
      <c r="H10" s="429"/>
      <c r="I10" s="429"/>
      <c r="J10" s="429"/>
      <c r="K10" s="429"/>
      <c r="L10" s="429"/>
      <c r="M10" s="429"/>
      <c r="N10" s="429"/>
      <c r="O10" s="429"/>
      <c r="P10" s="429"/>
      <c r="Q10" s="429"/>
      <c r="R10" s="2"/>
      <c r="S10" s="2"/>
      <c r="T10" s="2"/>
      <c r="U10" s="2"/>
    </row>
    <row r="11" spans="1:21" x14ac:dyDescent="0.25">
      <c r="A11" s="2"/>
      <c r="B11" s="429"/>
      <c r="C11" s="429" t="s">
        <v>336</v>
      </c>
      <c r="D11" s="629" t="s">
        <v>337</v>
      </c>
      <c r="E11" s="379">
        <f>VLOOKUP(E7,'FOGLIO DEPOSITO'!G197:H207,2,FALSE)</f>
        <v>37</v>
      </c>
      <c r="F11" s="429"/>
      <c r="G11" s="429"/>
      <c r="H11" s="429"/>
      <c r="I11" s="429"/>
      <c r="J11" s="429"/>
      <c r="K11" s="376"/>
      <c r="L11" s="377"/>
      <c r="M11" s="429"/>
      <c r="N11" s="429"/>
      <c r="O11" s="429"/>
      <c r="P11" s="429"/>
      <c r="Q11" s="429"/>
      <c r="R11" s="2"/>
      <c r="S11" s="2"/>
      <c r="T11" s="2"/>
      <c r="U11" s="2"/>
    </row>
    <row r="12" spans="1:21" x14ac:dyDescent="0.25">
      <c r="A12" s="2"/>
      <c r="B12" s="429"/>
      <c r="C12" s="429" t="s">
        <v>338</v>
      </c>
      <c r="D12" s="629" t="s">
        <v>339</v>
      </c>
      <c r="E12" s="379">
        <f>E13+8</f>
        <v>38.709999999999994</v>
      </c>
      <c r="F12" s="429"/>
      <c r="G12" s="429"/>
      <c r="H12" s="429"/>
      <c r="I12" s="429"/>
      <c r="J12" s="429"/>
      <c r="K12" s="376"/>
      <c r="L12" s="377"/>
      <c r="M12" s="429"/>
      <c r="N12" s="429"/>
      <c r="O12" s="429"/>
      <c r="P12" s="429"/>
      <c r="Q12" s="429"/>
      <c r="R12" s="2"/>
      <c r="S12" s="2"/>
      <c r="T12" s="2"/>
      <c r="U12" s="2"/>
    </row>
    <row r="13" spans="1:21" x14ac:dyDescent="0.25">
      <c r="A13" s="2"/>
      <c r="B13" s="429"/>
      <c r="C13" s="429" t="s">
        <v>340</v>
      </c>
      <c r="D13" s="629" t="s">
        <v>341</v>
      </c>
      <c r="E13" s="379">
        <f>E11*0.83</f>
        <v>30.709999999999997</v>
      </c>
      <c r="F13" s="429"/>
      <c r="G13" s="429"/>
      <c r="H13" s="429"/>
      <c r="I13" s="429"/>
      <c r="J13" s="429"/>
      <c r="K13" s="376"/>
      <c r="L13" s="377"/>
      <c r="M13" s="429"/>
      <c r="N13" s="429"/>
      <c r="O13" s="429"/>
      <c r="P13" s="429"/>
      <c r="Q13" s="429"/>
      <c r="R13" s="2"/>
      <c r="S13" s="2"/>
      <c r="T13" s="2"/>
      <c r="U13" s="2"/>
    </row>
    <row r="14" spans="1:21" x14ac:dyDescent="0.25">
      <c r="A14" s="2"/>
      <c r="B14" s="429"/>
      <c r="C14" s="429" t="s">
        <v>342</v>
      </c>
      <c r="D14" s="629" t="s">
        <v>343</v>
      </c>
      <c r="E14" s="379">
        <f>(0.83*E11)/1.5</f>
        <v>20.473333333333333</v>
      </c>
      <c r="F14" s="429"/>
      <c r="G14" s="429"/>
      <c r="H14" s="429"/>
      <c r="I14" s="429"/>
      <c r="J14" s="429"/>
      <c r="K14" s="376"/>
      <c r="L14" s="377"/>
      <c r="M14" s="429"/>
      <c r="N14" s="429"/>
      <c r="O14" s="429"/>
      <c r="P14" s="429"/>
      <c r="Q14" s="429"/>
      <c r="R14" s="2"/>
      <c r="S14" s="2"/>
      <c r="T14" s="2"/>
      <c r="U14" s="2"/>
    </row>
    <row r="15" spans="1:21" x14ac:dyDescent="0.25">
      <c r="A15" s="2"/>
      <c r="B15" s="429"/>
      <c r="C15" s="429" t="s">
        <v>344</v>
      </c>
      <c r="D15" s="81" t="s">
        <v>345</v>
      </c>
      <c r="E15" s="379">
        <f>0.3*E13^(2/3)</f>
        <v>2.941989594546778</v>
      </c>
      <c r="F15" s="429"/>
      <c r="G15" s="429"/>
      <c r="H15" s="429"/>
      <c r="I15" s="429"/>
      <c r="J15" s="429"/>
      <c r="K15" s="376"/>
      <c r="L15" s="377"/>
      <c r="M15" s="429"/>
      <c r="N15" s="429"/>
      <c r="O15" s="429"/>
      <c r="P15" s="429"/>
      <c r="Q15" s="429"/>
      <c r="R15" s="2"/>
      <c r="S15" s="2"/>
      <c r="T15" s="2"/>
      <c r="U15" s="2"/>
    </row>
    <row r="16" spans="1:21" x14ac:dyDescent="0.25">
      <c r="A16" s="2"/>
      <c r="B16" s="429"/>
      <c r="C16" s="429" t="s">
        <v>346</v>
      </c>
      <c r="D16" s="629" t="s">
        <v>347</v>
      </c>
      <c r="E16" s="379">
        <f>0.7*E15</f>
        <v>2.0593927161827446</v>
      </c>
      <c r="F16" s="429"/>
      <c r="G16" s="429"/>
      <c r="H16" s="429"/>
      <c r="I16" s="429"/>
      <c r="J16" s="429"/>
      <c r="K16" s="376"/>
      <c r="L16" s="377"/>
      <c r="M16" s="429"/>
      <c r="N16" s="429"/>
      <c r="O16" s="429"/>
      <c r="P16" s="429"/>
      <c r="Q16" s="429"/>
      <c r="R16" s="2"/>
      <c r="S16" s="2"/>
      <c r="T16" s="2"/>
      <c r="U16" s="2"/>
    </row>
    <row r="17" spans="1:21" x14ac:dyDescent="0.25">
      <c r="A17" s="2"/>
      <c r="B17" s="429"/>
      <c r="C17" s="429" t="s">
        <v>348</v>
      </c>
      <c r="D17" s="629" t="s">
        <v>349</v>
      </c>
      <c r="E17" s="379">
        <f>E16/1.5</f>
        <v>1.3729284774551631</v>
      </c>
      <c r="F17" s="429"/>
      <c r="G17" s="429"/>
      <c r="H17" s="429"/>
      <c r="I17" s="429"/>
      <c r="J17" s="429"/>
      <c r="K17" s="376"/>
      <c r="L17" s="377"/>
      <c r="M17" s="429"/>
      <c r="N17" s="429"/>
      <c r="O17" s="429"/>
      <c r="P17" s="429"/>
      <c r="Q17" s="429"/>
      <c r="R17" s="2"/>
      <c r="S17" s="2"/>
      <c r="T17" s="2"/>
      <c r="U17" s="2"/>
    </row>
    <row r="18" spans="1:21" x14ac:dyDescent="0.25">
      <c r="A18" s="2"/>
      <c r="B18" s="429"/>
      <c r="C18" s="429" t="s">
        <v>350</v>
      </c>
      <c r="D18" s="629" t="s">
        <v>351</v>
      </c>
      <c r="E18" s="379">
        <f>(2.25*E16)/1.5</f>
        <v>3.0890890742741171</v>
      </c>
      <c r="F18" s="429"/>
      <c r="G18" s="429"/>
      <c r="H18" s="429"/>
      <c r="I18" s="429"/>
      <c r="J18" s="429"/>
      <c r="K18" s="376"/>
      <c r="L18" s="377"/>
      <c r="M18" s="429"/>
      <c r="N18" s="429"/>
      <c r="O18" s="429"/>
      <c r="P18" s="429"/>
      <c r="Q18" s="429"/>
      <c r="R18" s="2"/>
      <c r="S18" s="2"/>
      <c r="T18" s="2"/>
      <c r="U18" s="2"/>
    </row>
    <row r="19" spans="1:21" x14ac:dyDescent="0.25">
      <c r="A19" s="2"/>
      <c r="B19" s="429"/>
      <c r="C19" s="429" t="s">
        <v>352</v>
      </c>
      <c r="D19" s="629" t="s">
        <v>353</v>
      </c>
      <c r="E19" s="380">
        <f>22000*((0.83*E11+8)/10)^0.3</f>
        <v>33019.434581752503</v>
      </c>
      <c r="F19" s="429"/>
      <c r="G19" s="429"/>
      <c r="H19" s="429"/>
      <c r="I19" s="429"/>
      <c r="J19" s="429"/>
      <c r="K19" s="376"/>
      <c r="L19" s="377"/>
      <c r="M19" s="429"/>
      <c r="N19" s="429"/>
      <c r="O19" s="429"/>
      <c r="P19" s="429"/>
      <c r="Q19" s="429"/>
      <c r="R19" s="2"/>
      <c r="S19" s="2"/>
      <c r="T19" s="2"/>
      <c r="U19" s="2"/>
    </row>
    <row r="20" spans="1:21" x14ac:dyDescent="0.25">
      <c r="A20" s="2"/>
      <c r="B20" s="429"/>
      <c r="C20" s="429"/>
      <c r="D20" s="429"/>
      <c r="E20" s="429"/>
      <c r="F20" s="429"/>
      <c r="G20" s="429"/>
      <c r="H20" s="429"/>
      <c r="I20" s="429"/>
      <c r="J20" s="429"/>
      <c r="K20" s="376"/>
      <c r="L20" s="377"/>
      <c r="M20" s="429"/>
      <c r="N20" s="429"/>
      <c r="O20" s="429"/>
      <c r="P20" s="429"/>
      <c r="Q20" s="429"/>
      <c r="R20" s="2"/>
      <c r="S20" s="2"/>
      <c r="T20" s="2"/>
      <c r="U20" s="2"/>
    </row>
    <row r="21" spans="1:21" x14ac:dyDescent="0.25">
      <c r="A21" s="2"/>
      <c r="B21" s="429"/>
      <c r="C21" s="1" t="s">
        <v>354</v>
      </c>
      <c r="D21" s="632"/>
      <c r="E21" s="657"/>
      <c r="F21" s="429"/>
      <c r="G21" s="429"/>
      <c r="H21" s="429"/>
      <c r="I21" s="429"/>
      <c r="J21" s="429"/>
      <c r="K21" s="376"/>
      <c r="L21" s="377"/>
      <c r="M21" s="429"/>
      <c r="N21" s="429"/>
      <c r="O21" s="429"/>
      <c r="P21" s="429"/>
      <c r="Q21" s="429"/>
      <c r="R21" s="2"/>
      <c r="S21" s="2"/>
      <c r="T21" s="2"/>
      <c r="U21" s="2"/>
    </row>
    <row r="22" spans="1:21" ht="15.75" thickBot="1" x14ac:dyDescent="0.3">
      <c r="A22" s="2"/>
      <c r="B22" s="429"/>
      <c r="C22" s="429"/>
      <c r="D22" s="632"/>
      <c r="E22" s="657"/>
      <c r="F22" s="429"/>
      <c r="G22" s="429"/>
      <c r="H22" s="429"/>
      <c r="I22" s="429"/>
      <c r="J22" s="429"/>
      <c r="K22" s="376"/>
      <c r="L22" s="377"/>
      <c r="M22" s="429"/>
      <c r="N22" s="429"/>
      <c r="O22" s="429"/>
      <c r="P22" s="429"/>
      <c r="Q22" s="429"/>
      <c r="R22" s="2"/>
      <c r="S22" s="2"/>
      <c r="T22" s="2"/>
      <c r="U22" s="2"/>
    </row>
    <row r="23" spans="1:21" ht="16.5" thickTop="1" thickBot="1" x14ac:dyDescent="0.3">
      <c r="A23" s="2"/>
      <c r="B23" s="429"/>
      <c r="C23" s="429" t="s">
        <v>355</v>
      </c>
      <c r="D23" s="429"/>
      <c r="E23" s="67" t="s">
        <v>283</v>
      </c>
      <c r="F23" s="429"/>
      <c r="G23" s="429"/>
      <c r="H23" s="429"/>
      <c r="I23" s="429"/>
      <c r="J23" s="429"/>
      <c r="K23" s="376"/>
      <c r="L23" s="377"/>
      <c r="M23" s="429"/>
      <c r="N23" s="429"/>
      <c r="O23" s="429"/>
      <c r="P23" s="429"/>
      <c r="Q23" s="429"/>
      <c r="R23" s="2"/>
      <c r="S23" s="2"/>
      <c r="T23" s="2"/>
      <c r="U23" s="2"/>
    </row>
    <row r="24" spans="1:21" ht="15.75" thickTop="1" x14ac:dyDescent="0.25">
      <c r="A24" s="2"/>
      <c r="B24" s="429"/>
      <c r="C24" s="429"/>
      <c r="D24" s="632"/>
      <c r="E24" s="657"/>
      <c r="F24" s="429"/>
      <c r="G24" s="429"/>
      <c r="H24" s="429"/>
      <c r="I24" s="429"/>
      <c r="J24" s="429"/>
      <c r="K24" s="376"/>
      <c r="L24" s="377"/>
      <c r="M24" s="429"/>
      <c r="N24" s="429"/>
      <c r="O24" s="429"/>
      <c r="P24" s="429"/>
      <c r="Q24" s="429"/>
      <c r="R24" s="2"/>
      <c r="S24" s="2"/>
      <c r="T24" s="2"/>
      <c r="U24" s="2"/>
    </row>
    <row r="25" spans="1:21" x14ac:dyDescent="0.25">
      <c r="A25" s="2"/>
      <c r="B25" s="429"/>
      <c r="C25" s="429" t="s">
        <v>348</v>
      </c>
      <c r="D25" s="629" t="s">
        <v>356</v>
      </c>
      <c r="E25" s="378">
        <f>(VLOOKUP(E23,'FOGLIO DEPOSITO'!J197:K198,2,FALSE))/1.15</f>
        <v>391.304347826087</v>
      </c>
      <c r="F25" s="429"/>
      <c r="G25" s="429"/>
      <c r="H25" s="429"/>
      <c r="I25" s="429"/>
      <c r="J25" s="429"/>
      <c r="K25" s="376"/>
      <c r="L25" s="377"/>
      <c r="M25" s="429"/>
      <c r="N25" s="429"/>
      <c r="O25" s="429"/>
      <c r="P25" s="429"/>
      <c r="Q25" s="429"/>
      <c r="R25" s="2"/>
      <c r="S25" s="2"/>
      <c r="T25" s="2"/>
      <c r="U25" s="2"/>
    </row>
    <row r="26" spans="1:21" x14ac:dyDescent="0.25">
      <c r="A26" s="2"/>
      <c r="B26" s="429"/>
      <c r="C26" s="429" t="s">
        <v>352</v>
      </c>
      <c r="D26" s="629" t="s">
        <v>353</v>
      </c>
      <c r="E26" s="380">
        <v>206000</v>
      </c>
      <c r="F26" s="429"/>
      <c r="G26" s="429"/>
      <c r="H26" s="429"/>
      <c r="I26" s="429"/>
      <c r="J26" s="429"/>
      <c r="K26" s="376"/>
      <c r="L26" s="377"/>
      <c r="M26" s="429"/>
      <c r="N26" s="429"/>
      <c r="O26" s="429"/>
      <c r="P26" s="429"/>
      <c r="Q26" s="429"/>
      <c r="R26" s="2"/>
      <c r="S26" s="2"/>
      <c r="T26" s="2"/>
      <c r="U26" s="2"/>
    </row>
    <row r="27" spans="1:21" x14ac:dyDescent="0.25">
      <c r="A27" s="2"/>
      <c r="B27" s="429"/>
      <c r="C27" s="429"/>
      <c r="D27" s="632"/>
      <c r="E27" s="657"/>
      <c r="F27" s="429"/>
      <c r="G27" s="429"/>
      <c r="H27" s="429"/>
      <c r="I27" s="429"/>
      <c r="J27" s="429"/>
      <c r="K27" s="429"/>
      <c r="L27" s="429"/>
      <c r="M27" s="429"/>
      <c r="N27" s="429"/>
      <c r="O27" s="429"/>
      <c r="P27" s="429"/>
      <c r="Q27" s="429"/>
      <c r="R27" s="2"/>
      <c r="S27" s="2"/>
      <c r="T27" s="2"/>
      <c r="U27" s="2"/>
    </row>
    <row r="28" spans="1:21" x14ac:dyDescent="0.25">
      <c r="A28" s="2"/>
      <c r="B28" s="429"/>
      <c r="C28" s="1" t="s">
        <v>946</v>
      </c>
      <c r="D28" s="632"/>
      <c r="E28" s="657"/>
      <c r="F28" s="429"/>
      <c r="G28" s="429"/>
      <c r="H28" s="429"/>
      <c r="I28" s="429"/>
      <c r="J28" s="429"/>
      <c r="K28" s="429"/>
      <c r="L28" s="643"/>
      <c r="M28" s="429"/>
      <c r="N28" s="429"/>
      <c r="O28" s="429"/>
      <c r="P28" s="429"/>
      <c r="Q28" s="429"/>
      <c r="R28" s="2"/>
      <c r="S28" s="2"/>
      <c r="T28" s="2"/>
      <c r="U28" s="2"/>
    </row>
    <row r="29" spans="1:21" ht="15.75" thickBot="1" x14ac:dyDescent="0.3">
      <c r="A29" s="2"/>
      <c r="B29" s="429"/>
      <c r="C29" s="429"/>
      <c r="D29" s="632"/>
      <c r="E29" s="657"/>
      <c r="F29" s="429"/>
      <c r="G29" s="429"/>
      <c r="H29" s="429"/>
      <c r="I29" s="429"/>
      <c r="J29" s="429"/>
      <c r="K29" s="429"/>
      <c r="L29" s="429"/>
      <c r="M29" s="429"/>
      <c r="N29" s="429"/>
      <c r="O29" s="429"/>
      <c r="P29" s="429"/>
      <c r="Q29" s="429"/>
      <c r="R29" s="2"/>
      <c r="S29" s="2"/>
      <c r="T29" s="2"/>
      <c r="U29" s="2"/>
    </row>
    <row r="30" spans="1:21" ht="16.5" customHeight="1" thickTop="1" thickBot="1" x14ac:dyDescent="0.3">
      <c r="A30" s="2"/>
      <c r="B30" s="429"/>
      <c r="C30" s="794" t="s">
        <v>357</v>
      </c>
      <c r="D30" s="428"/>
      <c r="E30" s="428"/>
      <c r="F30" s="299"/>
      <c r="G30" s="429"/>
      <c r="H30" s="307"/>
      <c r="I30" s="307"/>
      <c r="J30" s="307"/>
      <c r="K30" s="307"/>
      <c r="L30" s="429"/>
      <c r="M30" s="429"/>
      <c r="N30" s="429"/>
      <c r="O30" s="429"/>
      <c r="P30" s="429"/>
      <c r="Q30" s="429"/>
    </row>
    <row r="31" spans="1:21" ht="16.5" thickTop="1" thickBot="1" x14ac:dyDescent="0.3">
      <c r="A31" s="2"/>
      <c r="B31" s="429"/>
      <c r="C31" s="429"/>
      <c r="D31" s="429"/>
      <c r="E31" s="429"/>
      <c r="F31" s="299"/>
      <c r="G31" s="429"/>
      <c r="H31" s="307"/>
      <c r="I31" s="307"/>
      <c r="J31" s="307"/>
      <c r="K31" s="307"/>
      <c r="L31" s="429"/>
      <c r="M31" s="429"/>
      <c r="N31" s="429"/>
      <c r="O31" s="429"/>
      <c r="P31" s="429"/>
      <c r="Q31" s="429"/>
    </row>
    <row r="32" spans="1:21" ht="19.5" thickTop="1" thickBot="1" x14ac:dyDescent="0.3">
      <c r="A32" s="2"/>
      <c r="B32" s="429"/>
      <c r="C32" s="429" t="s">
        <v>358</v>
      </c>
      <c r="D32" s="632" t="s">
        <v>359</v>
      </c>
      <c r="E32" s="767">
        <v>1.6579999999999999</v>
      </c>
      <c r="F32" s="750"/>
      <c r="G32" s="20"/>
      <c r="H32" s="307"/>
      <c r="I32" s="307"/>
      <c r="J32" s="307"/>
      <c r="K32" s="307"/>
      <c r="L32" s="429"/>
      <c r="M32" s="429"/>
      <c r="N32" s="429"/>
      <c r="O32" s="429"/>
      <c r="P32" s="429"/>
      <c r="Q32" s="429"/>
    </row>
    <row r="33" spans="1:17" ht="19.5" customHeight="1" thickTop="1" thickBot="1" x14ac:dyDescent="0.3">
      <c r="A33" s="2"/>
      <c r="B33" s="429"/>
      <c r="C33" s="429" t="s">
        <v>947</v>
      </c>
      <c r="D33" s="632" t="s">
        <v>361</v>
      </c>
      <c r="E33" s="768">
        <v>2.4769999999999999</v>
      </c>
      <c r="F33" s="750"/>
      <c r="G33" s="302"/>
      <c r="H33" s="307"/>
      <c r="I33" s="307"/>
      <c r="J33" s="307"/>
      <c r="K33" s="307"/>
      <c r="L33" s="429"/>
      <c r="M33" s="429"/>
      <c r="N33" s="429"/>
      <c r="O33" s="429"/>
      <c r="P33" s="429"/>
      <c r="Q33" s="429"/>
    </row>
    <row r="34" spans="1:17" ht="19.5" thickTop="1" thickBot="1" x14ac:dyDescent="0.3">
      <c r="A34" s="2"/>
      <c r="B34" s="429"/>
      <c r="C34" s="429" t="s">
        <v>362</v>
      </c>
      <c r="D34" s="632" t="s">
        <v>363</v>
      </c>
      <c r="E34" s="769">
        <v>0.29599999999999999</v>
      </c>
      <c r="F34" s="750"/>
      <c r="G34" s="302"/>
      <c r="H34" s="307"/>
      <c r="I34" s="307"/>
      <c r="J34" s="307"/>
      <c r="K34" s="307"/>
      <c r="L34" s="429"/>
      <c r="M34" s="429"/>
      <c r="N34" s="429"/>
      <c r="O34" s="429"/>
      <c r="P34" s="429"/>
      <c r="Q34" s="429"/>
    </row>
    <row r="35" spans="1:17" ht="16.5" thickTop="1" thickBot="1" x14ac:dyDescent="0.3">
      <c r="A35" s="2"/>
      <c r="B35" s="429"/>
      <c r="C35" s="429" t="s">
        <v>364</v>
      </c>
      <c r="D35" s="429"/>
      <c r="E35" s="67" t="s">
        <v>210</v>
      </c>
      <c r="F35" s="750"/>
      <c r="G35" s="429"/>
      <c r="H35" s="307"/>
      <c r="I35" s="307"/>
      <c r="J35" s="307"/>
      <c r="K35" s="307"/>
      <c r="L35" s="429"/>
      <c r="M35" s="429"/>
      <c r="N35" s="429"/>
      <c r="O35" s="429"/>
      <c r="P35" s="429"/>
      <c r="Q35" s="429"/>
    </row>
    <row r="36" spans="1:17" ht="16.5" thickTop="1" thickBot="1" x14ac:dyDescent="0.3">
      <c r="A36" s="2"/>
      <c r="B36" s="429"/>
      <c r="C36" s="429" t="s">
        <v>365</v>
      </c>
      <c r="D36" s="429"/>
      <c r="E36" s="67" t="s">
        <v>287</v>
      </c>
      <c r="F36" s="750"/>
      <c r="G36" s="429"/>
      <c r="H36" s="307"/>
      <c r="I36" s="307"/>
      <c r="J36" s="307"/>
      <c r="K36" s="307"/>
      <c r="L36" s="429"/>
      <c r="M36" s="429"/>
      <c r="N36" s="429"/>
      <c r="O36" s="429"/>
      <c r="P36" s="429"/>
      <c r="Q36" s="429"/>
    </row>
    <row r="37" spans="1:17" ht="16.5" thickTop="1" x14ac:dyDescent="0.25">
      <c r="A37" s="2"/>
      <c r="B37" s="429"/>
      <c r="C37" s="429"/>
      <c r="D37" s="429"/>
      <c r="E37" s="429"/>
      <c r="F37" s="24"/>
      <c r="G37" s="20"/>
      <c r="H37" s="384"/>
      <c r="I37" s="385"/>
      <c r="J37" s="429"/>
      <c r="K37" s="429"/>
      <c r="L37" s="429"/>
      <c r="M37" s="429"/>
      <c r="N37" s="429"/>
      <c r="O37" s="429"/>
      <c r="P37" s="429"/>
      <c r="Q37" s="429"/>
    </row>
    <row r="38" spans="1:17" x14ac:dyDescent="0.25">
      <c r="A38" s="2"/>
      <c r="B38" s="429"/>
      <c r="C38" s="429" t="s">
        <v>366</v>
      </c>
      <c r="D38" s="629" t="s">
        <v>367</v>
      </c>
      <c r="E38" s="654">
        <v>9.8059999999999992</v>
      </c>
      <c r="F38" s="639"/>
      <c r="G38" s="24"/>
      <c r="H38" s="303"/>
      <c r="I38" s="303"/>
      <c r="J38" s="303"/>
      <c r="K38" s="303"/>
      <c r="L38" s="429"/>
      <c r="M38" s="429"/>
      <c r="N38" s="429"/>
      <c r="O38" s="429"/>
      <c r="P38" s="429"/>
      <c r="Q38" s="429"/>
    </row>
    <row r="39" spans="1:17" x14ac:dyDescent="0.25">
      <c r="A39" s="2"/>
      <c r="B39" s="429"/>
      <c r="C39" s="170" t="s">
        <v>368</v>
      </c>
      <c r="D39" s="629" t="s">
        <v>369</v>
      </c>
      <c r="E39" s="300">
        <f>E32/9.806</f>
        <v>0.16908015500713849</v>
      </c>
      <c r="F39" s="639"/>
      <c r="G39" s="24"/>
      <c r="H39" s="303"/>
      <c r="I39" s="303"/>
      <c r="J39" s="303"/>
      <c r="K39" s="303"/>
      <c r="L39" s="429"/>
      <c r="M39" s="20"/>
      <c r="N39" s="20"/>
      <c r="O39" s="429"/>
      <c r="P39" s="429"/>
      <c r="Q39" s="429"/>
    </row>
    <row r="40" spans="1:17" ht="18" x14ac:dyDescent="0.25">
      <c r="A40" s="2"/>
      <c r="B40" s="429"/>
      <c r="C40" s="170" t="s">
        <v>370</v>
      </c>
      <c r="D40" s="629" t="s">
        <v>371</v>
      </c>
      <c r="E40" s="301">
        <f>IF(E36="T1",1,IF(E36="T2",1.2,IF(E36="T3",1.2,IF(E36="T4",1.4,""))))</f>
        <v>1</v>
      </c>
      <c r="F40" s="639"/>
      <c r="G40" s="24"/>
      <c r="H40" s="303"/>
      <c r="I40" s="429"/>
      <c r="J40" s="429"/>
      <c r="K40" s="429"/>
      <c r="L40" s="429"/>
      <c r="M40" s="20"/>
      <c r="N40" s="20"/>
      <c r="O40" s="429"/>
      <c r="P40" s="429"/>
      <c r="Q40" s="429"/>
    </row>
    <row r="41" spans="1:17" ht="18" x14ac:dyDescent="0.25">
      <c r="A41" s="2"/>
      <c r="B41" s="429"/>
      <c r="C41" s="170" t="s">
        <v>372</v>
      </c>
      <c r="D41" s="629" t="s">
        <v>373</v>
      </c>
      <c r="E41" s="301">
        <f>IF(E35="A",'FOGLIO DEPOSITO'!N198,IF(E35="B",'FOGLIO DEPOSITO'!N199,IF(E35="C",'FOGLIO DEPOSITO'!N200,IF(E35="D",'FOGLIO DEPOSITO'!N201,IF(E35="E",'FOGLIO DEPOSITO'!N202,"")))))</f>
        <v>1.2</v>
      </c>
      <c r="F41" s="639"/>
      <c r="G41" s="24"/>
      <c r="H41" s="303"/>
      <c r="I41" s="429"/>
      <c r="J41" s="429"/>
      <c r="K41" s="429"/>
      <c r="L41" s="429"/>
      <c r="M41" s="20"/>
      <c r="N41" s="20"/>
      <c r="O41" s="429"/>
      <c r="P41" s="429"/>
      <c r="Q41" s="429"/>
    </row>
    <row r="42" spans="1:17" x14ac:dyDescent="0.25">
      <c r="A42" s="2"/>
      <c r="B42" s="429"/>
      <c r="C42" s="170" t="s">
        <v>374</v>
      </c>
      <c r="D42" s="629" t="s">
        <v>375</v>
      </c>
      <c r="E42" s="301">
        <f>E40*E41</f>
        <v>1.2</v>
      </c>
      <c r="F42" s="639"/>
      <c r="G42" s="24"/>
      <c r="H42" s="303"/>
      <c r="I42" s="429"/>
      <c r="J42" s="429"/>
      <c r="K42" s="429"/>
      <c r="L42" s="429"/>
      <c r="M42" s="20"/>
      <c r="N42" s="20"/>
      <c r="O42" s="429"/>
      <c r="P42" s="429"/>
      <c r="Q42" s="429"/>
    </row>
    <row r="43" spans="1:17" x14ac:dyDescent="0.25">
      <c r="A43" s="2"/>
      <c r="B43" s="429"/>
      <c r="C43" s="170" t="s">
        <v>376</v>
      </c>
      <c r="D43" s="629" t="s">
        <v>377</v>
      </c>
      <c r="E43" s="301">
        <f>E42*E39</f>
        <v>0.20289618600856618</v>
      </c>
      <c r="F43" s="639"/>
      <c r="G43" s="24"/>
      <c r="H43" s="303"/>
      <c r="I43" s="429"/>
      <c r="J43" s="429"/>
      <c r="K43" s="429"/>
      <c r="L43" s="429"/>
      <c r="M43" s="20"/>
      <c r="N43" s="20"/>
      <c r="O43" s="429"/>
      <c r="P43" s="429"/>
      <c r="Q43" s="429"/>
    </row>
    <row r="44" spans="1:17" ht="18" x14ac:dyDescent="0.25">
      <c r="A44" s="2"/>
      <c r="B44" s="429"/>
      <c r="C44" s="170" t="s">
        <v>378</v>
      </c>
      <c r="D44" s="629" t="s">
        <v>379</v>
      </c>
      <c r="E44" s="301">
        <f>IF(E35="A",'FOGLIO DEPOSITO'!O198,IF(E35="B",'FOGLIO DEPOSITO'!O199,IF(E35="C",'FOGLIO DEPOSITO'!O200,IF(E35="D",'FOGLIO DEPOSITO'!O201,IF(E35="E",'FOGLIO DEPOSITO'!O202,"")))))</f>
        <v>1.4032477125581015</v>
      </c>
      <c r="F44" s="639"/>
      <c r="G44" s="24"/>
      <c r="H44" s="303"/>
      <c r="I44" s="429"/>
      <c r="J44" s="429"/>
      <c r="K44" s="429"/>
      <c r="L44" s="429"/>
      <c r="M44" s="20"/>
      <c r="N44" s="20"/>
      <c r="O44" s="429"/>
      <c r="P44" s="429"/>
      <c r="Q44" s="429"/>
    </row>
    <row r="45" spans="1:17" ht="18" x14ac:dyDescent="0.25">
      <c r="A45" s="2"/>
      <c r="B45" s="429"/>
      <c r="C45" s="170" t="s">
        <v>380</v>
      </c>
      <c r="D45" s="629" t="s">
        <v>381</v>
      </c>
      <c r="E45" s="655">
        <f>E46/3</f>
        <v>0.13845377430573266</v>
      </c>
      <c r="F45" s="639"/>
      <c r="G45" s="24"/>
      <c r="H45" s="303"/>
      <c r="I45" s="429"/>
      <c r="J45" s="429"/>
      <c r="K45" s="429"/>
      <c r="L45" s="429"/>
      <c r="M45" s="20"/>
      <c r="N45" s="20"/>
      <c r="O45" s="429"/>
      <c r="P45" s="429"/>
      <c r="Q45" s="429"/>
    </row>
    <row r="46" spans="1:17" ht="18" x14ac:dyDescent="0.25">
      <c r="A46" s="2"/>
      <c r="B46" s="429"/>
      <c r="C46" s="170" t="s">
        <v>382</v>
      </c>
      <c r="D46" s="629" t="s">
        <v>383</v>
      </c>
      <c r="E46" s="655">
        <f>E44*E34</f>
        <v>0.41536132291719802</v>
      </c>
      <c r="F46" s="639"/>
      <c r="G46" s="24"/>
      <c r="H46" s="303"/>
      <c r="I46" s="429"/>
      <c r="J46" s="429"/>
      <c r="K46" s="429"/>
      <c r="L46" s="429"/>
      <c r="M46" s="20"/>
      <c r="N46" s="20"/>
      <c r="O46" s="429"/>
      <c r="P46" s="429"/>
      <c r="Q46" s="429"/>
    </row>
    <row r="47" spans="1:17" ht="18" x14ac:dyDescent="0.25">
      <c r="A47" s="2"/>
      <c r="B47" s="429"/>
      <c r="C47" s="170" t="s">
        <v>384</v>
      </c>
      <c r="D47" s="629" t="s">
        <v>385</v>
      </c>
      <c r="E47" s="655">
        <f>4*E32/E38+1.6</f>
        <v>2.276320620028554</v>
      </c>
      <c r="F47" s="639"/>
      <c r="G47" s="24"/>
      <c r="H47" s="303"/>
      <c r="I47" s="429"/>
      <c r="J47" s="429"/>
      <c r="K47" s="429"/>
      <c r="L47" s="429"/>
      <c r="M47" s="20"/>
      <c r="N47" s="20"/>
      <c r="O47" s="429"/>
      <c r="P47" s="429"/>
      <c r="Q47" s="429"/>
    </row>
    <row r="48" spans="1:17" x14ac:dyDescent="0.25">
      <c r="A48" s="2"/>
      <c r="B48" s="429"/>
      <c r="C48" s="170" t="s">
        <v>386</v>
      </c>
      <c r="D48" s="382" t="s">
        <v>134</v>
      </c>
      <c r="E48" s="381">
        <v>5</v>
      </c>
      <c r="F48" s="639"/>
      <c r="G48" s="24"/>
      <c r="H48" s="303"/>
      <c r="I48" s="429"/>
      <c r="J48" s="429"/>
      <c r="K48" s="429"/>
      <c r="L48" s="429"/>
      <c r="M48" s="20"/>
      <c r="N48" s="20"/>
      <c r="O48" s="429"/>
      <c r="P48" s="429"/>
      <c r="Q48" s="429"/>
    </row>
    <row r="49" spans="1:21" x14ac:dyDescent="0.25">
      <c r="A49" s="2"/>
      <c r="B49" s="429"/>
      <c r="C49" s="429" t="s">
        <v>387</v>
      </c>
      <c r="D49" s="382" t="s">
        <v>388</v>
      </c>
      <c r="E49" s="651">
        <f>(10/(5+E48))^0.5</f>
        <v>1</v>
      </c>
      <c r="F49" s="639"/>
      <c r="G49" s="24"/>
      <c r="H49" s="303"/>
      <c r="I49" s="303"/>
      <c r="J49" s="303"/>
      <c r="K49" s="303"/>
      <c r="L49" s="429"/>
      <c r="M49" s="20"/>
      <c r="N49" s="20"/>
      <c r="O49" s="429"/>
      <c r="P49" s="429"/>
      <c r="Q49" s="429"/>
    </row>
    <row r="50" spans="1:21" x14ac:dyDescent="0.25">
      <c r="A50" s="2"/>
      <c r="B50" s="429"/>
      <c r="C50" s="429" t="s">
        <v>389</v>
      </c>
      <c r="D50" s="383" t="s">
        <v>390</v>
      </c>
      <c r="E50" s="651">
        <f>IF(E54="si",1,IF(E35="A",'FOGLIO DEPOSITO'!G217,'FOGLIO DEPOSITO'!H217))</f>
        <v>0.38</v>
      </c>
      <c r="F50" s="20"/>
      <c r="G50" s="24"/>
      <c r="H50" s="303"/>
      <c r="I50" s="303"/>
      <c r="J50" s="303"/>
      <c r="K50" s="303"/>
      <c r="L50" s="429"/>
      <c r="M50" s="20"/>
      <c r="N50" s="20"/>
      <c r="O50" s="429"/>
      <c r="P50" s="429"/>
      <c r="Q50" s="429"/>
    </row>
    <row r="51" spans="1:21" x14ac:dyDescent="0.25">
      <c r="A51" s="2"/>
      <c r="B51" s="429"/>
      <c r="C51" s="429" t="s">
        <v>391</v>
      </c>
      <c r="D51" s="629" t="s">
        <v>278</v>
      </c>
      <c r="E51" s="646">
        <f>E50*E42*E39</f>
        <v>7.7100550683255151E-2</v>
      </c>
      <c r="F51" s="20"/>
      <c r="G51" s="24"/>
      <c r="H51" s="303"/>
      <c r="I51" s="303"/>
      <c r="J51" s="303"/>
      <c r="K51" s="303"/>
      <c r="L51" s="429"/>
      <c r="M51" s="20"/>
      <c r="N51" s="20"/>
      <c r="O51" s="429"/>
      <c r="P51" s="429"/>
      <c r="Q51" s="429"/>
    </row>
    <row r="52" spans="1:21" x14ac:dyDescent="0.25">
      <c r="A52" s="2"/>
      <c r="B52" s="429"/>
      <c r="C52" s="429" t="s">
        <v>392</v>
      </c>
      <c r="D52" s="629" t="s">
        <v>279</v>
      </c>
      <c r="E52" s="751">
        <f>0.5*E51</f>
        <v>3.8550275341627575E-2</v>
      </c>
      <c r="F52" s="24"/>
      <c r="G52" s="24"/>
      <c r="H52" s="303"/>
      <c r="I52" s="303"/>
      <c r="J52" s="303"/>
      <c r="K52" s="303"/>
      <c r="L52" s="429"/>
      <c r="M52" s="20"/>
      <c r="N52" s="20"/>
      <c r="O52" s="429"/>
      <c r="P52" s="429"/>
      <c r="Q52" s="429"/>
    </row>
    <row r="53" spans="1:21" ht="12" customHeight="1" thickBot="1" x14ac:dyDescent="0.3">
      <c r="A53" s="2"/>
      <c r="B53" s="429"/>
      <c r="C53" s="429"/>
      <c r="D53" s="628"/>
      <c r="E53" s="752"/>
      <c r="F53" s="24"/>
      <c r="G53" s="24"/>
      <c r="H53" s="303"/>
      <c r="I53" s="303"/>
      <c r="J53" s="303"/>
      <c r="K53" s="303"/>
      <c r="L53" s="429"/>
      <c r="M53" s="20"/>
      <c r="N53" s="20"/>
      <c r="O53" s="429"/>
      <c r="P53" s="429"/>
      <c r="Q53" s="429"/>
    </row>
    <row r="54" spans="1:21" ht="16.5" thickTop="1" thickBot="1" x14ac:dyDescent="0.3">
      <c r="A54" s="2"/>
      <c r="B54" s="429"/>
      <c r="C54" s="429" t="s">
        <v>393</v>
      </c>
      <c r="D54" s="628"/>
      <c r="E54" s="67" t="s">
        <v>155</v>
      </c>
      <c r="F54" s="24"/>
      <c r="G54" s="24"/>
      <c r="H54" s="303"/>
      <c r="I54" s="303"/>
      <c r="J54" s="303"/>
      <c r="K54" s="303"/>
      <c r="L54" s="429"/>
      <c r="M54" s="20"/>
      <c r="N54" s="20"/>
      <c r="O54" s="429"/>
      <c r="P54" s="429"/>
      <c r="Q54" s="429"/>
    </row>
    <row r="55" spans="1:21" ht="15.75" thickTop="1" x14ac:dyDescent="0.25">
      <c r="A55" s="2"/>
      <c r="B55" s="429"/>
      <c r="C55" s="429"/>
      <c r="D55" s="628"/>
      <c r="E55" s="752"/>
      <c r="F55" s="24"/>
      <c r="G55" s="24"/>
      <c r="H55" s="303"/>
      <c r="I55" s="303"/>
      <c r="J55" s="303"/>
      <c r="K55" s="303"/>
      <c r="L55" s="429"/>
      <c r="M55" s="20"/>
      <c r="N55" s="20"/>
      <c r="O55" s="429"/>
      <c r="P55" s="429"/>
      <c r="Q55" s="429"/>
    </row>
    <row r="56" spans="1:21" x14ac:dyDescent="0.25">
      <c r="A56" s="2"/>
      <c r="B56" s="429"/>
      <c r="C56" s="1" t="s">
        <v>394</v>
      </c>
      <c r="D56" s="429"/>
      <c r="E56" s="429"/>
      <c r="F56" s="429"/>
      <c r="G56" s="429"/>
      <c r="H56" s="429"/>
      <c r="I56" s="429"/>
      <c r="J56" s="429"/>
      <c r="K56" s="429"/>
      <c r="L56" s="429"/>
      <c r="M56" s="429"/>
      <c r="N56" s="429"/>
      <c r="O56" s="429"/>
      <c r="P56" s="429"/>
      <c r="Q56" s="429"/>
      <c r="R56" s="2"/>
      <c r="S56" s="2"/>
      <c r="T56" s="2"/>
      <c r="U56" s="2"/>
    </row>
    <row r="57" spans="1:21" x14ac:dyDescent="0.25">
      <c r="A57" s="2"/>
      <c r="B57" s="429"/>
      <c r="C57" s="429"/>
      <c r="D57" s="63"/>
      <c r="E57" s="306"/>
      <c r="F57" s="429"/>
      <c r="G57" s="429"/>
      <c r="H57" s="429"/>
      <c r="I57" s="429"/>
      <c r="J57" s="429"/>
      <c r="K57" s="429"/>
      <c r="L57" s="429"/>
      <c r="M57" s="429"/>
      <c r="N57" s="429"/>
      <c r="O57" s="429"/>
      <c r="P57" s="429"/>
      <c r="Q57" s="429"/>
      <c r="R57" s="2"/>
      <c r="S57" s="2"/>
      <c r="T57" s="2"/>
      <c r="U57" s="2"/>
    </row>
    <row r="58" spans="1:21" x14ac:dyDescent="0.25">
      <c r="A58" s="2"/>
      <c r="B58" s="429"/>
      <c r="C58" s="630" t="s">
        <v>0</v>
      </c>
      <c r="D58" s="753"/>
      <c r="E58" s="321"/>
      <c r="F58" s="429"/>
      <c r="G58" s="429"/>
      <c r="H58" s="429"/>
      <c r="I58" s="429"/>
      <c r="J58" s="429"/>
      <c r="K58" s="429"/>
      <c r="L58" s="429"/>
      <c r="M58" s="429"/>
      <c r="N58" s="429"/>
      <c r="O58" s="429"/>
      <c r="P58" s="429"/>
      <c r="Q58" s="429"/>
      <c r="R58" s="2"/>
      <c r="S58" s="2"/>
      <c r="T58" s="2"/>
      <c r="U58" s="2"/>
    </row>
    <row r="59" spans="1:21" ht="15.75" thickBot="1" x14ac:dyDescent="0.3">
      <c r="A59" s="2"/>
      <c r="B59" s="429"/>
      <c r="C59" s="429"/>
      <c r="D59" s="429"/>
      <c r="E59" s="429"/>
      <c r="F59" s="429"/>
      <c r="G59" s="429"/>
      <c r="H59" s="429"/>
      <c r="I59" s="429"/>
      <c r="J59" s="429"/>
      <c r="K59" s="429"/>
      <c r="L59" s="429"/>
      <c r="M59" s="429"/>
      <c r="N59" s="429"/>
      <c r="O59" s="429"/>
      <c r="P59" s="429"/>
      <c r="Q59" s="429"/>
      <c r="R59" s="2"/>
      <c r="S59" s="2"/>
      <c r="T59" s="2"/>
      <c r="U59" s="2"/>
    </row>
    <row r="60" spans="1:21" ht="19.5" customHeight="1" thickTop="1" thickBot="1" x14ac:dyDescent="0.3">
      <c r="A60" s="2"/>
      <c r="B60" s="429"/>
      <c r="C60" s="429" t="s">
        <v>395</v>
      </c>
      <c r="D60" s="63" t="s">
        <v>94</v>
      </c>
      <c r="E60" s="186">
        <v>2.85</v>
      </c>
      <c r="F60" s="640"/>
      <c r="G60" s="429"/>
      <c r="H60" s="429"/>
      <c r="I60" s="852" t="s">
        <v>1061</v>
      </c>
      <c r="J60" s="853"/>
      <c r="K60" s="854"/>
      <c r="L60" s="852" t="s">
        <v>1078</v>
      </c>
      <c r="M60" s="853"/>
      <c r="N60" s="854"/>
      <c r="O60" s="429"/>
      <c r="P60" s="429"/>
      <c r="Q60" s="429"/>
      <c r="R60" s="2"/>
      <c r="S60" s="2"/>
      <c r="T60" s="2"/>
      <c r="U60" s="2"/>
    </row>
    <row r="61" spans="1:21" ht="16.5" customHeight="1" thickTop="1" thickBot="1" x14ac:dyDescent="0.3">
      <c r="A61" s="2"/>
      <c r="B61" s="429"/>
      <c r="C61" s="429" t="s">
        <v>1103</v>
      </c>
      <c r="D61" s="163" t="s">
        <v>96</v>
      </c>
      <c r="E61" s="186">
        <v>1</v>
      </c>
      <c r="F61" s="640"/>
      <c r="G61" s="444"/>
      <c r="H61" s="444"/>
      <c r="I61" s="852"/>
      <c r="J61" s="853"/>
      <c r="K61" s="854"/>
      <c r="L61" s="852"/>
      <c r="M61" s="853"/>
      <c r="N61" s="854"/>
      <c r="O61" s="429"/>
      <c r="P61" s="429"/>
      <c r="Q61" s="429"/>
      <c r="R61" s="2"/>
      <c r="S61" s="2"/>
      <c r="T61" s="2"/>
      <c r="U61" s="2"/>
    </row>
    <row r="62" spans="1:21" ht="19.5" customHeight="1" thickTop="1" thickBot="1" x14ac:dyDescent="0.3">
      <c r="A62" s="2"/>
      <c r="B62" s="429"/>
      <c r="C62" s="429" t="s">
        <v>396</v>
      </c>
      <c r="D62" s="63" t="s">
        <v>98</v>
      </c>
      <c r="E62" s="770">
        <v>0.3</v>
      </c>
      <c r="F62" s="640"/>
      <c r="G62" s="444"/>
      <c r="H62" s="444"/>
      <c r="I62" s="852"/>
      <c r="J62" s="853"/>
      <c r="K62" s="854"/>
      <c r="L62" s="852"/>
      <c r="M62" s="853"/>
      <c r="N62" s="854"/>
      <c r="O62" s="429"/>
      <c r="P62" s="429"/>
      <c r="Q62" s="429"/>
      <c r="R62" s="2"/>
      <c r="S62" s="2"/>
      <c r="T62" s="2"/>
      <c r="U62" s="2"/>
    </row>
    <row r="63" spans="1:21" ht="16.5" customHeight="1" thickTop="1" thickBot="1" x14ac:dyDescent="0.3">
      <c r="A63" s="2"/>
      <c r="B63" s="429"/>
      <c r="C63" s="429" t="s">
        <v>397</v>
      </c>
      <c r="D63" s="632" t="s">
        <v>9</v>
      </c>
      <c r="E63" s="579">
        <v>1</v>
      </c>
      <c r="F63" s="640"/>
      <c r="G63" s="444"/>
      <c r="H63" s="444"/>
      <c r="I63" s="852"/>
      <c r="J63" s="853"/>
      <c r="K63" s="854"/>
      <c r="L63" s="852"/>
      <c r="M63" s="853"/>
      <c r="N63" s="854"/>
      <c r="O63" s="429"/>
      <c r="P63" s="429"/>
      <c r="Q63" s="429"/>
      <c r="R63" s="2"/>
      <c r="S63" s="2"/>
      <c r="T63" s="2"/>
      <c r="U63" s="2"/>
    </row>
    <row r="64" spans="1:21" ht="19.5" customHeight="1" thickTop="1" thickBot="1" x14ac:dyDescent="0.3">
      <c r="A64" s="2"/>
      <c r="B64" s="429"/>
      <c r="C64" s="429" t="s">
        <v>398</v>
      </c>
      <c r="D64" s="63" t="s">
        <v>102</v>
      </c>
      <c r="E64" s="770">
        <v>1</v>
      </c>
      <c r="F64" s="640"/>
      <c r="G64" s="429"/>
      <c r="H64" s="429"/>
      <c r="I64" s="852" t="s">
        <v>1062</v>
      </c>
      <c r="J64" s="853"/>
      <c r="K64" s="854"/>
      <c r="L64" s="852" t="s">
        <v>1077</v>
      </c>
      <c r="M64" s="853"/>
      <c r="N64" s="854"/>
      <c r="O64" s="429"/>
      <c r="P64" s="429"/>
      <c r="Q64" s="429"/>
      <c r="R64" s="2"/>
      <c r="S64" s="2"/>
      <c r="T64" s="2"/>
      <c r="U64" s="2"/>
    </row>
    <row r="65" spans="1:21" ht="19.5" customHeight="1" thickTop="1" thickBot="1" x14ac:dyDescent="0.3">
      <c r="A65" s="2"/>
      <c r="B65" s="429"/>
      <c r="C65" s="429" t="s">
        <v>399</v>
      </c>
      <c r="D65" s="63" t="s">
        <v>104</v>
      </c>
      <c r="E65" s="770">
        <v>0</v>
      </c>
      <c r="F65" s="640"/>
      <c r="G65" s="429"/>
      <c r="H65" s="429"/>
      <c r="I65" s="852"/>
      <c r="J65" s="853"/>
      <c r="K65" s="854"/>
      <c r="L65" s="852"/>
      <c r="M65" s="853"/>
      <c r="N65" s="854"/>
      <c r="O65" s="429"/>
      <c r="P65" s="429"/>
      <c r="Q65" s="429"/>
      <c r="R65" s="2"/>
      <c r="S65" s="2"/>
      <c r="T65" s="2"/>
      <c r="U65" s="2"/>
    </row>
    <row r="66" spans="1:21" ht="19.5" customHeight="1" thickTop="1" thickBot="1" x14ac:dyDescent="0.3">
      <c r="A66" s="2"/>
      <c r="B66" s="429"/>
      <c r="C66" s="429" t="s">
        <v>400</v>
      </c>
      <c r="D66" s="63" t="s">
        <v>401</v>
      </c>
      <c r="E66" s="770">
        <v>0.3</v>
      </c>
      <c r="F66" s="640"/>
      <c r="G66" s="429"/>
      <c r="H66" s="429"/>
      <c r="I66" s="852"/>
      <c r="J66" s="853"/>
      <c r="K66" s="854"/>
      <c r="L66" s="852"/>
      <c r="M66" s="853"/>
      <c r="N66" s="854"/>
      <c r="O66" s="429"/>
      <c r="P66" s="429"/>
      <c r="Q66" s="429"/>
      <c r="R66" s="2"/>
      <c r="S66" s="2"/>
      <c r="T66" s="2"/>
      <c r="U66" s="2"/>
    </row>
    <row r="67" spans="1:21" ht="19.5" customHeight="1" thickTop="1" thickBot="1" x14ac:dyDescent="0.3">
      <c r="A67" s="2"/>
      <c r="B67" s="429"/>
      <c r="C67" s="429" t="s">
        <v>402</v>
      </c>
      <c r="D67" s="63" t="s">
        <v>403</v>
      </c>
      <c r="E67" s="770">
        <v>0.3</v>
      </c>
      <c r="F67" s="429"/>
      <c r="G67" s="429"/>
      <c r="H67" s="429"/>
      <c r="I67" s="852"/>
      <c r="J67" s="853"/>
      <c r="K67" s="854"/>
      <c r="L67" s="852"/>
      <c r="M67" s="853"/>
      <c r="N67" s="854"/>
      <c r="O67" s="429"/>
      <c r="P67" s="429"/>
      <c r="Q67" s="429"/>
      <c r="R67" s="2"/>
      <c r="S67" s="2"/>
      <c r="T67" s="2"/>
      <c r="U67" s="2"/>
    </row>
    <row r="68" spans="1:21" ht="7.5" customHeight="1" thickTop="1" x14ac:dyDescent="0.25">
      <c r="A68" s="2"/>
      <c r="B68" s="429"/>
      <c r="C68" s="429"/>
      <c r="D68" s="429"/>
      <c r="E68" s="429"/>
      <c r="F68" s="640"/>
      <c r="G68" s="429"/>
      <c r="H68" s="429"/>
      <c r="I68" s="429"/>
      <c r="J68" s="429"/>
      <c r="K68" s="429"/>
      <c r="L68" s="429"/>
      <c r="M68" s="429"/>
      <c r="N68" s="429"/>
      <c r="O68" s="429"/>
      <c r="P68" s="429"/>
      <c r="Q68" s="429"/>
      <c r="R68" s="2"/>
      <c r="S68" s="2"/>
      <c r="T68" s="2"/>
      <c r="U68" s="2"/>
    </row>
    <row r="69" spans="1:21" ht="15.75" x14ac:dyDescent="0.25">
      <c r="A69" s="2"/>
      <c r="B69" s="429"/>
      <c r="C69" s="842" t="str">
        <f>IF(E64*E63&lt;E61,"muro a contrafforti",IF(ROUND(E66,3)=ROUND(E67,3),"muro a paramento verticale",IF(ROUND(E62,3)=ROUND('FOGLIO DEPOSITO'!D211,3),"muro a paramento verticale",IF(ROUND(DATI!E64,3)=ROUND(DATI!E61,3),"muro a paramento inclinato","muro a contrafforti"))))</f>
        <v>muro a paramento verticale</v>
      </c>
      <c r="D69" s="63" t="str">
        <f>IF(C69="muro a contrafforti","hic ","")</f>
        <v/>
      </c>
      <c r="E69" s="667" t="str">
        <f>IF(C69="muro a contrafforti",'FOGLIO DEPOSITO'!D209,"")</f>
        <v/>
      </c>
      <c r="F69" s="754" t="str">
        <f>IF(E69&lt;0,"geometria errata!","")</f>
        <v/>
      </c>
      <c r="G69" s="429"/>
      <c r="H69" s="429"/>
      <c r="I69" s="429"/>
      <c r="J69" s="429"/>
      <c r="K69" s="429"/>
      <c r="L69" s="429"/>
      <c r="M69" s="429"/>
      <c r="N69" s="429"/>
      <c r="O69" s="429"/>
      <c r="P69" s="429"/>
      <c r="Q69" s="429"/>
      <c r="R69" s="2"/>
      <c r="S69" s="2"/>
      <c r="T69" s="2"/>
      <c r="U69" s="2"/>
    </row>
    <row r="70" spans="1:21" ht="15.75" x14ac:dyDescent="0.25">
      <c r="A70" s="2"/>
      <c r="B70" s="429"/>
      <c r="C70" s="842"/>
      <c r="D70" s="63" t="str">
        <f>IF(C69="muro a contrafforti","hfc ","")</f>
        <v/>
      </c>
      <c r="E70" s="667" t="str">
        <f>IF(C69="muro a contrafforti",'FOGLIO DEPOSITO'!D210,"")</f>
        <v/>
      </c>
      <c r="F70" s="754" t="str">
        <f>IF(E70&lt;0,"geometria errata!","")</f>
        <v/>
      </c>
      <c r="G70" s="429"/>
      <c r="H70" s="429"/>
      <c r="I70" s="429"/>
      <c r="J70" s="429"/>
      <c r="K70" s="429"/>
      <c r="L70" s="429"/>
      <c r="M70" s="429"/>
      <c r="N70" s="429"/>
      <c r="O70" s="429"/>
      <c r="P70" s="429"/>
      <c r="Q70" s="429"/>
      <c r="R70" s="2"/>
      <c r="S70" s="2"/>
      <c r="T70" s="2"/>
      <c r="U70" s="2"/>
    </row>
    <row r="71" spans="1:21" x14ac:dyDescent="0.25">
      <c r="A71" s="2"/>
      <c r="B71" s="429"/>
      <c r="C71" s="755" t="str">
        <f>IF(E63*E64&gt;E61,"input error!!","")</f>
        <v/>
      </c>
      <c r="D71" s="429"/>
      <c r="E71" s="63"/>
      <c r="F71" s="306"/>
      <c r="G71" s="429"/>
      <c r="H71" s="429"/>
      <c r="I71" s="429"/>
      <c r="J71" s="429"/>
      <c r="K71" s="429"/>
      <c r="L71" s="429"/>
      <c r="M71" s="429"/>
      <c r="N71" s="429"/>
      <c r="O71" s="429"/>
      <c r="P71" s="429"/>
      <c r="Q71" s="429"/>
      <c r="R71" s="2"/>
      <c r="S71" s="2"/>
      <c r="T71" s="2"/>
      <c r="U71" s="2"/>
    </row>
    <row r="72" spans="1:21" x14ac:dyDescent="0.25">
      <c r="A72" s="2"/>
      <c r="B72" s="429"/>
      <c r="C72" s="630" t="s">
        <v>36</v>
      </c>
      <c r="D72" s="753"/>
      <c r="E72" s="321"/>
      <c r="F72" s="321"/>
      <c r="G72" s="429"/>
      <c r="H72" s="429"/>
      <c r="I72" s="429"/>
      <c r="J72" s="429"/>
      <c r="K72" s="429"/>
      <c r="L72" s="429"/>
      <c r="M72" s="429"/>
      <c r="N72" s="429"/>
      <c r="O72" s="429"/>
      <c r="P72" s="429"/>
      <c r="Q72" s="429"/>
      <c r="R72" s="2"/>
      <c r="S72" s="2"/>
      <c r="T72" s="2"/>
      <c r="U72" s="2"/>
    </row>
    <row r="73" spans="1:21" ht="15.75" thickBot="1" x14ac:dyDescent="0.3">
      <c r="A73" s="2"/>
      <c r="B73" s="429"/>
      <c r="C73" s="429"/>
      <c r="D73" s="429"/>
      <c r="E73" s="429"/>
      <c r="F73" s="429"/>
      <c r="G73" s="429"/>
      <c r="H73" s="429"/>
      <c r="I73" s="429"/>
      <c r="J73" s="429"/>
      <c r="K73" s="429"/>
      <c r="L73" s="429"/>
      <c r="M73" s="429"/>
      <c r="N73" s="429"/>
      <c r="O73" s="429"/>
      <c r="P73" s="429"/>
      <c r="Q73" s="429"/>
      <c r="R73" s="2"/>
      <c r="S73" s="2"/>
      <c r="T73" s="2"/>
      <c r="U73" s="2"/>
    </row>
    <row r="74" spans="1:21" ht="19.5" thickTop="1" thickBot="1" x14ac:dyDescent="0.3">
      <c r="A74" s="2"/>
      <c r="B74" s="429"/>
      <c r="C74" s="429" t="s">
        <v>404</v>
      </c>
      <c r="D74" s="63" t="s">
        <v>405</v>
      </c>
      <c r="E74" s="770">
        <v>0.5</v>
      </c>
      <c r="F74" s="640"/>
      <c r="G74" s="429"/>
      <c r="H74" s="429"/>
      <c r="I74" s="429"/>
      <c r="J74" s="429"/>
      <c r="K74" s="429"/>
      <c r="L74" s="429"/>
      <c r="M74" s="429"/>
      <c r="N74" s="429"/>
      <c r="O74" s="429"/>
      <c r="P74" s="429"/>
      <c r="Q74" s="429"/>
      <c r="R74" s="2"/>
      <c r="S74" s="2"/>
      <c r="T74" s="2"/>
      <c r="U74" s="2"/>
    </row>
    <row r="75" spans="1:21" ht="19.5" thickTop="1" thickBot="1" x14ac:dyDescent="0.3">
      <c r="A75" s="2"/>
      <c r="B75" s="429"/>
      <c r="C75" s="429" t="s">
        <v>406</v>
      </c>
      <c r="D75" s="63" t="s">
        <v>407</v>
      </c>
      <c r="E75" s="770">
        <v>0.4</v>
      </c>
      <c r="F75" s="640"/>
      <c r="G75" s="429"/>
      <c r="H75" s="429"/>
      <c r="I75" s="429"/>
      <c r="J75" s="429"/>
      <c r="K75" s="429"/>
      <c r="L75" s="429"/>
      <c r="M75" s="429"/>
      <c r="N75" s="429"/>
      <c r="O75" s="429"/>
      <c r="P75" s="429"/>
      <c r="Q75" s="429"/>
      <c r="R75" s="2"/>
      <c r="S75" s="2"/>
      <c r="T75" s="2"/>
      <c r="U75" s="2"/>
    </row>
    <row r="76" spans="1:21" ht="19.5" thickTop="1" thickBot="1" x14ac:dyDescent="0.3">
      <c r="A76" s="2"/>
      <c r="B76" s="429"/>
      <c r="C76" s="429" t="s">
        <v>408</v>
      </c>
      <c r="D76" s="63" t="s">
        <v>409</v>
      </c>
      <c r="E76" s="771">
        <v>1.3</v>
      </c>
      <c r="F76" s="640"/>
      <c r="G76" s="429"/>
      <c r="H76" s="429"/>
      <c r="I76" s="429"/>
      <c r="J76" s="429"/>
      <c r="K76" s="429"/>
      <c r="L76" s="429"/>
      <c r="M76" s="429"/>
      <c r="N76" s="429"/>
      <c r="O76" s="429"/>
      <c r="P76" s="429"/>
      <c r="Q76" s="429"/>
      <c r="R76" s="2"/>
      <c r="S76" s="2"/>
      <c r="T76" s="2"/>
      <c r="U76" s="2"/>
    </row>
    <row r="77" spans="1:21" ht="16.5" thickTop="1" thickBot="1" x14ac:dyDescent="0.3">
      <c r="A77" s="2"/>
      <c r="B77" s="429"/>
      <c r="C77" s="429" t="s">
        <v>410</v>
      </c>
      <c r="D77" s="865" t="s">
        <v>306</v>
      </c>
      <c r="E77" s="866"/>
      <c r="F77" s="640"/>
      <c r="G77" s="429"/>
      <c r="H77" s="429"/>
      <c r="I77" s="429"/>
      <c r="J77" s="429"/>
      <c r="K77" s="429"/>
      <c r="L77" s="429"/>
      <c r="M77" s="429"/>
      <c r="N77" s="429"/>
      <c r="O77" s="429"/>
      <c r="P77" s="429"/>
      <c r="Q77" s="429"/>
      <c r="R77" s="2"/>
      <c r="S77" s="2"/>
      <c r="T77" s="2"/>
      <c r="U77" s="2"/>
    </row>
    <row r="78" spans="1:21" ht="15.75" thickTop="1" x14ac:dyDescent="0.25">
      <c r="A78" s="2"/>
      <c r="B78" s="429"/>
      <c r="C78" s="429"/>
      <c r="D78" s="63"/>
      <c r="E78" s="306"/>
      <c r="F78" s="429"/>
      <c r="G78" s="429"/>
      <c r="H78" s="429"/>
      <c r="I78" s="429"/>
      <c r="J78" s="429"/>
      <c r="K78" s="429"/>
      <c r="L78" s="429"/>
      <c r="M78" s="429"/>
      <c r="N78" s="429"/>
      <c r="O78" s="429"/>
      <c r="P78" s="429"/>
      <c r="Q78" s="429"/>
      <c r="R78" s="2"/>
      <c r="S78" s="2"/>
      <c r="T78" s="2"/>
      <c r="U78" s="2"/>
    </row>
    <row r="79" spans="1:21" x14ac:dyDescent="0.25">
      <c r="A79" s="2"/>
      <c r="B79" s="429"/>
      <c r="C79" s="630" t="s">
        <v>116</v>
      </c>
      <c r="D79" s="753"/>
      <c r="E79" s="321"/>
      <c r="F79" s="429"/>
      <c r="G79" s="429"/>
      <c r="H79" s="429"/>
      <c r="I79" s="429"/>
      <c r="J79" s="429"/>
      <c r="K79" s="429"/>
      <c r="L79" s="429"/>
      <c r="M79" s="429"/>
      <c r="N79" s="429"/>
      <c r="O79" s="429"/>
      <c r="P79" s="429"/>
      <c r="Q79" s="429"/>
      <c r="R79" s="2"/>
      <c r="S79" s="2"/>
      <c r="T79" s="2"/>
      <c r="U79" s="2"/>
    </row>
    <row r="80" spans="1:21" ht="15.75" thickBot="1" x14ac:dyDescent="0.3">
      <c r="A80" s="2"/>
      <c r="B80" s="429"/>
      <c r="C80" s="429"/>
      <c r="D80" s="429"/>
      <c r="E80" s="429"/>
      <c r="F80" s="429"/>
      <c r="G80" s="429"/>
      <c r="H80" s="429"/>
      <c r="I80" s="429"/>
      <c r="J80" s="429"/>
      <c r="K80" s="429"/>
      <c r="L80" s="429"/>
      <c r="M80" s="429"/>
      <c r="N80" s="429"/>
      <c r="O80" s="429"/>
      <c r="P80" s="429"/>
      <c r="Q80" s="429"/>
      <c r="R80" s="2"/>
      <c r="S80" s="2"/>
      <c r="T80" s="2"/>
      <c r="U80" s="2"/>
    </row>
    <row r="81" spans="1:21" ht="19.5" thickTop="1" thickBot="1" x14ac:dyDescent="0.3">
      <c r="A81" s="2"/>
      <c r="B81" s="429"/>
      <c r="C81" s="429" t="s">
        <v>413</v>
      </c>
      <c r="D81" s="63" t="s">
        <v>414</v>
      </c>
      <c r="E81" s="770">
        <v>0</v>
      </c>
      <c r="F81" s="640"/>
      <c r="G81" s="429"/>
      <c r="H81" s="429"/>
      <c r="I81" s="429"/>
      <c r="J81" s="429"/>
      <c r="K81" s="429"/>
      <c r="L81" s="429"/>
      <c r="M81" s="429"/>
      <c r="N81" s="429"/>
      <c r="O81" s="429"/>
      <c r="P81" s="429"/>
      <c r="Q81" s="429"/>
      <c r="R81" s="2"/>
      <c r="S81" s="2"/>
      <c r="T81" s="2"/>
      <c r="U81" s="2"/>
    </row>
    <row r="82" spans="1:21" ht="16.5" thickTop="1" thickBot="1" x14ac:dyDescent="0.3">
      <c r="A82" s="2"/>
      <c r="B82" s="429"/>
      <c r="C82" s="170" t="s">
        <v>415</v>
      </c>
      <c r="D82" s="63" t="s">
        <v>416</v>
      </c>
      <c r="E82" s="772" t="s">
        <v>146</v>
      </c>
      <c r="F82" s="640"/>
      <c r="G82" s="429"/>
      <c r="H82" s="429"/>
      <c r="I82" s="429"/>
      <c r="J82" s="429"/>
      <c r="K82" s="429"/>
      <c r="L82" s="429"/>
      <c r="M82" s="429"/>
      <c r="N82" s="429"/>
      <c r="O82" s="429"/>
      <c r="P82" s="429"/>
      <c r="Q82" s="429"/>
      <c r="R82" s="2"/>
      <c r="S82" s="2"/>
      <c r="T82" s="2"/>
      <c r="U82" s="2"/>
    </row>
    <row r="83" spans="1:21" ht="18.75" thickTop="1" x14ac:dyDescent="0.25">
      <c r="A83" s="2"/>
      <c r="B83" s="429"/>
      <c r="C83" s="429" t="s">
        <v>411</v>
      </c>
      <c r="D83" s="63" t="s">
        <v>412</v>
      </c>
      <c r="E83" s="756">
        <f>E81</f>
        <v>0</v>
      </c>
      <c r="F83" s="640"/>
      <c r="G83" s="429"/>
      <c r="H83" s="429"/>
      <c r="I83" s="429"/>
      <c r="J83" s="429"/>
      <c r="K83" s="429"/>
      <c r="L83" s="429"/>
      <c r="M83" s="429"/>
      <c r="N83" s="429"/>
      <c r="O83" s="429"/>
      <c r="P83" s="429"/>
      <c r="Q83" s="429"/>
      <c r="R83" s="2"/>
      <c r="S83" s="2"/>
      <c r="T83" s="2"/>
      <c r="U83" s="2"/>
    </row>
    <row r="84" spans="1:21" x14ac:dyDescent="0.25">
      <c r="A84" s="2"/>
      <c r="B84" s="429"/>
      <c r="C84" s="429" t="s">
        <v>417</v>
      </c>
      <c r="D84" s="63" t="s">
        <v>418</v>
      </c>
      <c r="E84" s="757">
        <f>IF(E82="allineato",E75+E83/2,(E75+'FOGLIO DEPOSITO'!D212+'FOGLIO DEPOSITO'!D211-E83)/100*E82+E83/2)</f>
        <v>0.4</v>
      </c>
      <c r="F84" s="640"/>
      <c r="G84" s="429"/>
      <c r="H84" s="429"/>
      <c r="I84" s="429"/>
      <c r="J84" s="429"/>
      <c r="K84" s="429"/>
      <c r="L84" s="429"/>
      <c r="M84" s="429"/>
      <c r="N84" s="429"/>
      <c r="O84" s="429"/>
      <c r="P84" s="429"/>
      <c r="Q84" s="429"/>
      <c r="R84" s="2"/>
      <c r="S84" s="2"/>
      <c r="T84" s="2"/>
      <c r="U84" s="2"/>
    </row>
    <row r="85" spans="1:21" x14ac:dyDescent="0.25">
      <c r="A85" s="2"/>
      <c r="B85" s="429"/>
      <c r="C85" s="429"/>
      <c r="D85" s="63"/>
      <c r="E85" s="306"/>
      <c r="F85" s="429"/>
      <c r="G85" s="429"/>
      <c r="H85" s="429"/>
      <c r="I85" s="429"/>
      <c r="J85" s="429"/>
      <c r="K85" s="429"/>
      <c r="L85" s="429"/>
      <c r="M85" s="429"/>
      <c r="N85" s="429"/>
      <c r="O85" s="429"/>
      <c r="P85" s="429"/>
      <c r="Q85" s="429"/>
      <c r="R85" s="2"/>
      <c r="S85" s="2"/>
      <c r="T85" s="2"/>
      <c r="U85" s="2"/>
    </row>
    <row r="86" spans="1:21" x14ac:dyDescent="0.25">
      <c r="A86" s="2"/>
      <c r="B86" s="429"/>
      <c r="C86" s="630" t="s">
        <v>1014</v>
      </c>
      <c r="D86" s="758"/>
      <c r="E86" s="322"/>
      <c r="F86" s="429"/>
      <c r="G86" s="429"/>
      <c r="H86" s="429"/>
      <c r="I86" s="429"/>
      <c r="J86" s="429"/>
      <c r="K86" s="429"/>
      <c r="L86" s="429"/>
      <c r="M86" s="429"/>
      <c r="N86" s="429"/>
      <c r="O86" s="429"/>
      <c r="P86" s="429"/>
      <c r="Q86" s="429"/>
      <c r="R86" s="2"/>
      <c r="S86" s="2"/>
      <c r="T86" s="2"/>
      <c r="U86" s="2"/>
    </row>
    <row r="87" spans="1:21" ht="15.75" thickBot="1" x14ac:dyDescent="0.3">
      <c r="A87" s="2"/>
      <c r="B87" s="429"/>
      <c r="C87" s="640"/>
      <c r="D87" s="429"/>
      <c r="E87" s="429"/>
      <c r="F87" s="429"/>
      <c r="G87" s="429"/>
      <c r="H87" s="429"/>
      <c r="I87" s="429"/>
      <c r="J87" s="429"/>
      <c r="K87" s="429"/>
      <c r="L87" s="429"/>
      <c r="M87" s="429"/>
      <c r="N87" s="429"/>
      <c r="O87" s="429"/>
      <c r="P87" s="429"/>
      <c r="Q87" s="429"/>
      <c r="R87" s="2"/>
      <c r="S87" s="2"/>
      <c r="T87" s="2"/>
      <c r="U87" s="2"/>
    </row>
    <row r="88" spans="1:21" ht="19.5" thickTop="1" thickBot="1" x14ac:dyDescent="0.3">
      <c r="A88" s="2"/>
      <c r="B88" s="429"/>
      <c r="C88" s="170" t="s">
        <v>1091</v>
      </c>
      <c r="D88" s="63" t="s">
        <v>419</v>
      </c>
      <c r="E88" s="770">
        <v>0.35</v>
      </c>
      <c r="F88" s="640"/>
      <c r="G88" s="429"/>
      <c r="H88" s="429"/>
      <c r="I88" s="429"/>
      <c r="J88" s="429"/>
      <c r="K88" s="429"/>
      <c r="L88" s="429"/>
      <c r="M88" s="429"/>
      <c r="N88" s="429"/>
      <c r="O88" s="429"/>
      <c r="P88" s="429"/>
      <c r="Q88" s="429"/>
      <c r="R88" s="2"/>
      <c r="S88" s="2"/>
      <c r="T88" s="2"/>
      <c r="U88" s="2"/>
    </row>
    <row r="89" spans="1:21" ht="15.75" thickTop="1" x14ac:dyDescent="0.25">
      <c r="A89" s="2"/>
      <c r="B89" s="429"/>
      <c r="C89" s="170"/>
      <c r="D89" s="63"/>
      <c r="E89" s="20"/>
      <c r="F89" s="640"/>
      <c r="G89" s="429"/>
      <c r="H89" s="429"/>
      <c r="I89" s="429"/>
      <c r="J89" s="429"/>
      <c r="K89" s="429"/>
      <c r="L89" s="429"/>
      <c r="M89" s="429"/>
      <c r="N89" s="429"/>
      <c r="O89" s="429"/>
      <c r="P89" s="429"/>
      <c r="Q89" s="429"/>
      <c r="R89" s="2"/>
      <c r="S89" s="2"/>
      <c r="T89" s="2"/>
      <c r="U89" s="2"/>
    </row>
    <row r="90" spans="1:21" x14ac:dyDescent="0.25">
      <c r="A90" s="2"/>
      <c r="B90" s="429"/>
      <c r="C90" s="1" t="s">
        <v>1012</v>
      </c>
      <c r="D90" s="63"/>
      <c r="E90" s="20"/>
      <c r="F90" s="640"/>
      <c r="G90" s="429"/>
      <c r="H90" s="429"/>
      <c r="I90" s="429"/>
      <c r="J90" s="429"/>
      <c r="K90" s="429"/>
      <c r="L90" s="429"/>
      <c r="M90" s="429"/>
      <c r="N90" s="429"/>
      <c r="O90" s="429"/>
      <c r="P90" s="429"/>
      <c r="Q90" s="429"/>
      <c r="R90" s="2"/>
      <c r="S90" s="2"/>
      <c r="T90" s="2"/>
      <c r="U90" s="2"/>
    </row>
    <row r="91" spans="1:21" x14ac:dyDescent="0.25">
      <c r="A91" s="2"/>
      <c r="B91" s="429"/>
      <c r="C91" s="170"/>
      <c r="D91" s="63"/>
      <c r="E91" s="20"/>
      <c r="F91" s="640"/>
      <c r="G91" s="429"/>
      <c r="H91" s="429"/>
      <c r="I91" s="429"/>
      <c r="J91" s="429"/>
      <c r="K91" s="429"/>
      <c r="L91" s="429"/>
      <c r="M91" s="429"/>
      <c r="N91" s="429"/>
      <c r="O91" s="429"/>
      <c r="P91" s="429"/>
      <c r="Q91" s="429"/>
      <c r="R91" s="2"/>
      <c r="S91" s="2"/>
      <c r="T91" s="2"/>
      <c r="U91" s="2"/>
    </row>
    <row r="92" spans="1:21" x14ac:dyDescent="0.25">
      <c r="A92" s="2"/>
      <c r="B92" s="429"/>
      <c r="C92" s="170"/>
      <c r="D92" s="63"/>
      <c r="E92" s="20"/>
      <c r="F92" s="640"/>
      <c r="G92" s="429"/>
      <c r="H92" s="429"/>
      <c r="I92" s="429"/>
      <c r="J92" s="429"/>
      <c r="K92" s="429"/>
      <c r="L92" s="429"/>
      <c r="M92" s="429"/>
      <c r="N92" s="429"/>
      <c r="O92" s="429"/>
      <c r="P92" s="429"/>
      <c r="Q92" s="429"/>
      <c r="R92" s="2"/>
      <c r="S92" s="2"/>
      <c r="T92" s="2"/>
      <c r="U92" s="2"/>
    </row>
    <row r="93" spans="1:21" x14ac:dyDescent="0.25">
      <c r="A93" s="2"/>
      <c r="B93" s="429"/>
      <c r="C93" s="170"/>
      <c r="D93" s="63"/>
      <c r="E93" s="20"/>
      <c r="F93" s="640"/>
      <c r="G93" s="429"/>
      <c r="H93" s="429"/>
      <c r="I93" s="429"/>
      <c r="J93" s="429"/>
      <c r="K93" s="429"/>
      <c r="L93" s="429"/>
      <c r="M93" s="429"/>
      <c r="N93" s="429"/>
      <c r="O93" s="429"/>
      <c r="P93" s="429"/>
      <c r="Q93" s="429"/>
      <c r="R93" s="2"/>
      <c r="S93" s="2"/>
      <c r="T93" s="2"/>
      <c r="U93" s="2"/>
    </row>
    <row r="94" spans="1:21" x14ac:dyDescent="0.25">
      <c r="A94" s="2"/>
      <c r="B94" s="429"/>
      <c r="C94" s="170"/>
      <c r="D94" s="63"/>
      <c r="E94" s="20"/>
      <c r="F94" s="640"/>
      <c r="G94" s="429"/>
      <c r="H94" s="429"/>
      <c r="I94" s="429"/>
      <c r="J94" s="429"/>
      <c r="K94" s="429"/>
      <c r="L94" s="429"/>
      <c r="M94" s="429"/>
      <c r="N94" s="429"/>
      <c r="O94" s="429"/>
      <c r="P94" s="429"/>
      <c r="Q94" s="429"/>
      <c r="R94" s="2"/>
      <c r="S94" s="2"/>
      <c r="T94" s="2"/>
      <c r="U94" s="2"/>
    </row>
    <row r="95" spans="1:21" x14ac:dyDescent="0.25">
      <c r="A95" s="2"/>
      <c r="B95" s="429"/>
      <c r="C95" s="170"/>
      <c r="D95" s="63"/>
      <c r="E95" s="20"/>
      <c r="F95" s="640"/>
      <c r="G95" s="429"/>
      <c r="H95" s="429"/>
      <c r="I95" s="429"/>
      <c r="J95" s="429"/>
      <c r="K95" s="429"/>
      <c r="L95" s="429"/>
      <c r="M95" s="429"/>
      <c r="N95" s="429"/>
      <c r="O95" s="429"/>
      <c r="P95" s="429"/>
      <c r="Q95" s="429"/>
      <c r="R95" s="2"/>
      <c r="S95" s="2"/>
      <c r="T95" s="2"/>
      <c r="U95" s="2"/>
    </row>
    <row r="96" spans="1:21" x14ac:dyDescent="0.25">
      <c r="A96" s="2"/>
      <c r="B96" s="429"/>
      <c r="C96" s="170"/>
      <c r="D96" s="63"/>
      <c r="E96" s="20"/>
      <c r="F96" s="640"/>
      <c r="G96" s="429"/>
      <c r="H96" s="429"/>
      <c r="I96" s="429"/>
      <c r="J96" s="429"/>
      <c r="K96" s="429"/>
      <c r="L96" s="429"/>
      <c r="M96" s="429"/>
      <c r="N96" s="429"/>
      <c r="O96" s="429"/>
      <c r="P96" s="429"/>
      <c r="Q96" s="429"/>
      <c r="R96" s="2"/>
      <c r="S96" s="2"/>
      <c r="T96" s="2"/>
      <c r="U96" s="2"/>
    </row>
    <row r="97" spans="1:21" x14ac:dyDescent="0.25">
      <c r="A97" s="2"/>
      <c r="B97" s="429"/>
      <c r="C97" s="170"/>
      <c r="D97" s="63"/>
      <c r="E97" s="20"/>
      <c r="F97" s="640"/>
      <c r="G97" s="429"/>
      <c r="H97" s="429"/>
      <c r="I97" s="429"/>
      <c r="J97" s="429"/>
      <c r="K97" s="429"/>
      <c r="L97" s="429"/>
      <c r="M97" s="429"/>
      <c r="N97" s="429"/>
      <c r="O97" s="429"/>
      <c r="P97" s="429"/>
      <c r="Q97" s="429"/>
      <c r="R97" s="2"/>
      <c r="S97" s="2"/>
      <c r="T97" s="2"/>
      <c r="U97" s="2"/>
    </row>
    <row r="98" spans="1:21" x14ac:dyDescent="0.25">
      <c r="A98" s="2"/>
      <c r="B98" s="429"/>
      <c r="C98" s="170"/>
      <c r="D98" s="63"/>
      <c r="E98" s="20"/>
      <c r="F98" s="640"/>
      <c r="G98" s="429"/>
      <c r="H98" s="429"/>
      <c r="I98" s="429"/>
      <c r="J98" s="429"/>
      <c r="K98" s="429"/>
      <c r="L98" s="429"/>
      <c r="M98" s="429"/>
      <c r="N98" s="429"/>
      <c r="O98" s="429"/>
      <c r="P98" s="429"/>
      <c r="Q98" s="429"/>
      <c r="R98" s="2"/>
      <c r="S98" s="2"/>
      <c r="T98" s="2"/>
      <c r="U98" s="2"/>
    </row>
    <row r="99" spans="1:21" x14ac:dyDescent="0.25">
      <c r="A99" s="2"/>
      <c r="B99" s="429"/>
      <c r="C99" s="170"/>
      <c r="D99" s="63"/>
      <c r="E99" s="20"/>
      <c r="F99" s="640"/>
      <c r="G99" s="429"/>
      <c r="H99" s="429"/>
      <c r="I99" s="429"/>
      <c r="J99" s="429"/>
      <c r="K99" s="429"/>
      <c r="L99" s="429"/>
      <c r="M99" s="429"/>
      <c r="N99" s="429"/>
      <c r="O99" s="429"/>
      <c r="P99" s="429"/>
      <c r="Q99" s="429"/>
      <c r="R99" s="2"/>
      <c r="S99" s="2"/>
      <c r="T99" s="2"/>
      <c r="U99" s="2"/>
    </row>
    <row r="100" spans="1:21" x14ac:dyDescent="0.25">
      <c r="A100" s="2"/>
      <c r="B100" s="429"/>
      <c r="C100" s="170"/>
      <c r="D100" s="63"/>
      <c r="E100" s="20"/>
      <c r="F100" s="640"/>
      <c r="G100" s="429"/>
      <c r="H100" s="429"/>
      <c r="I100" s="429"/>
      <c r="J100" s="429"/>
      <c r="K100" s="429"/>
      <c r="L100" s="429"/>
      <c r="M100" s="429"/>
      <c r="N100" s="429"/>
      <c r="O100" s="429"/>
      <c r="P100" s="429"/>
      <c r="Q100" s="429"/>
      <c r="R100" s="2"/>
      <c r="S100" s="2"/>
      <c r="T100" s="2"/>
      <c r="U100" s="2"/>
    </row>
    <row r="101" spans="1:21" x14ac:dyDescent="0.25">
      <c r="A101" s="2"/>
      <c r="B101" s="429"/>
      <c r="C101" s="170"/>
      <c r="D101" s="63"/>
      <c r="E101" s="20"/>
      <c r="F101" s="640"/>
      <c r="G101" s="429"/>
      <c r="H101" s="429"/>
      <c r="I101" s="429"/>
      <c r="J101" s="429"/>
      <c r="K101" s="429"/>
      <c r="L101" s="429"/>
      <c r="M101" s="429"/>
      <c r="N101" s="429"/>
      <c r="O101" s="429"/>
      <c r="P101" s="429"/>
      <c r="Q101" s="429"/>
      <c r="R101" s="2"/>
      <c r="S101" s="2"/>
      <c r="T101" s="2"/>
      <c r="U101" s="2"/>
    </row>
    <row r="102" spans="1:21" x14ac:dyDescent="0.25">
      <c r="A102" s="2"/>
      <c r="B102" s="429"/>
      <c r="C102" s="170"/>
      <c r="D102" s="63"/>
      <c r="E102" s="20"/>
      <c r="F102" s="640"/>
      <c r="G102" s="429"/>
      <c r="H102" s="429"/>
      <c r="I102" s="429"/>
      <c r="J102" s="429"/>
      <c r="K102" s="429"/>
      <c r="L102" s="429"/>
      <c r="M102" s="429"/>
      <c r="N102" s="429"/>
      <c r="O102" s="429"/>
      <c r="P102" s="429"/>
      <c r="Q102" s="429"/>
      <c r="R102" s="2"/>
      <c r="S102" s="2"/>
      <c r="T102" s="2"/>
      <c r="U102" s="2"/>
    </row>
    <row r="103" spans="1:21" x14ac:dyDescent="0.25">
      <c r="A103" s="2"/>
      <c r="B103" s="429"/>
      <c r="C103" s="170"/>
      <c r="D103" s="63"/>
      <c r="E103" s="20"/>
      <c r="F103" s="640"/>
      <c r="G103" s="429"/>
      <c r="H103" s="429"/>
      <c r="I103" s="429"/>
      <c r="J103" s="429"/>
      <c r="K103" s="429"/>
      <c r="L103" s="429"/>
      <c r="M103" s="429"/>
      <c r="N103" s="429"/>
      <c r="O103" s="429"/>
      <c r="P103" s="429"/>
      <c r="Q103" s="429"/>
      <c r="R103" s="2"/>
      <c r="S103" s="2"/>
      <c r="T103" s="2"/>
      <c r="U103" s="2"/>
    </row>
    <row r="104" spans="1:21" x14ac:dyDescent="0.25">
      <c r="A104" s="2"/>
      <c r="B104" s="429"/>
      <c r="C104" s="170"/>
      <c r="D104" s="63"/>
      <c r="E104" s="20"/>
      <c r="F104" s="640"/>
      <c r="G104" s="429"/>
      <c r="H104" s="429"/>
      <c r="I104" s="429"/>
      <c r="J104" s="429"/>
      <c r="K104" s="429"/>
      <c r="L104" s="429"/>
      <c r="M104" s="429"/>
      <c r="N104" s="429"/>
      <c r="O104" s="429"/>
      <c r="P104" s="429"/>
      <c r="Q104" s="429"/>
      <c r="R104" s="2"/>
      <c r="S104" s="2"/>
      <c r="T104" s="2"/>
      <c r="U104" s="2"/>
    </row>
    <row r="105" spans="1:21" x14ac:dyDescent="0.25">
      <c r="A105" s="2"/>
      <c r="B105" s="429"/>
      <c r="C105" s="170"/>
      <c r="D105" s="63"/>
      <c r="E105" s="20"/>
      <c r="F105" s="640"/>
      <c r="G105" s="429"/>
      <c r="H105" s="429"/>
      <c r="I105" s="429"/>
      <c r="J105" s="429"/>
      <c r="K105" s="429"/>
      <c r="L105" s="429"/>
      <c r="M105" s="429"/>
      <c r="N105" s="429"/>
      <c r="O105" s="429"/>
      <c r="P105" s="429"/>
      <c r="Q105" s="429"/>
      <c r="R105" s="2"/>
      <c r="S105" s="2"/>
      <c r="T105" s="2"/>
      <c r="U105" s="2"/>
    </row>
    <row r="106" spans="1:21" x14ac:dyDescent="0.25">
      <c r="A106" s="2"/>
      <c r="B106" s="429"/>
      <c r="C106" s="170"/>
      <c r="D106" s="63"/>
      <c r="E106" s="20"/>
      <c r="F106" s="640"/>
      <c r="G106" s="429"/>
      <c r="H106" s="429"/>
      <c r="I106" s="429"/>
      <c r="J106" s="429"/>
      <c r="K106" s="429"/>
      <c r="L106" s="429"/>
      <c r="M106" s="429"/>
      <c r="N106" s="429"/>
      <c r="O106" s="429"/>
      <c r="P106" s="429"/>
      <c r="Q106" s="429"/>
      <c r="R106" s="2"/>
      <c r="S106" s="2"/>
      <c r="T106" s="2"/>
      <c r="U106" s="2"/>
    </row>
    <row r="107" spans="1:21" x14ac:dyDescent="0.25">
      <c r="A107" s="2"/>
      <c r="B107" s="429"/>
      <c r="C107" s="170"/>
      <c r="D107" s="63"/>
      <c r="E107" s="20"/>
      <c r="F107" s="640"/>
      <c r="G107" s="429"/>
      <c r="H107" s="429"/>
      <c r="I107" s="429"/>
      <c r="J107" s="429"/>
      <c r="K107" s="429"/>
      <c r="L107" s="429"/>
      <c r="M107" s="429"/>
      <c r="N107" s="429"/>
      <c r="O107" s="429"/>
      <c r="P107" s="429"/>
      <c r="Q107" s="429"/>
      <c r="R107" s="2"/>
      <c r="S107" s="2"/>
      <c r="T107" s="2"/>
      <c r="U107" s="2"/>
    </row>
    <row r="108" spans="1:21" x14ac:dyDescent="0.25">
      <c r="A108" s="2"/>
      <c r="B108" s="429"/>
      <c r="C108" s="170"/>
      <c r="D108" s="63"/>
      <c r="E108" s="20"/>
      <c r="F108" s="640"/>
      <c r="G108" s="429"/>
      <c r="H108" s="429"/>
      <c r="I108" s="429"/>
      <c r="J108" s="429"/>
      <c r="K108" s="429"/>
      <c r="L108" s="429"/>
      <c r="M108" s="429"/>
      <c r="N108" s="429"/>
      <c r="O108" s="429"/>
      <c r="P108" s="429"/>
      <c r="Q108" s="429"/>
      <c r="R108" s="2"/>
      <c r="S108" s="2"/>
      <c r="T108" s="2"/>
      <c r="U108" s="2"/>
    </row>
    <row r="109" spans="1:21" x14ac:dyDescent="0.25">
      <c r="A109" s="2"/>
      <c r="B109" s="429"/>
      <c r="C109" s="170"/>
      <c r="D109" s="63"/>
      <c r="E109" s="20"/>
      <c r="F109" s="640"/>
      <c r="G109" s="429"/>
      <c r="H109" s="429"/>
      <c r="I109" s="429"/>
      <c r="J109" s="429"/>
      <c r="K109" s="429"/>
      <c r="L109" s="429"/>
      <c r="M109" s="429"/>
      <c r="N109" s="429"/>
      <c r="O109" s="429"/>
      <c r="P109" s="429"/>
      <c r="Q109" s="429"/>
      <c r="R109" s="2"/>
      <c r="S109" s="2"/>
      <c r="T109" s="2"/>
      <c r="U109" s="2"/>
    </row>
    <row r="110" spans="1:21" x14ac:dyDescent="0.25">
      <c r="A110" s="2"/>
      <c r="B110" s="429"/>
      <c r="C110" s="170"/>
      <c r="D110" s="63"/>
      <c r="E110" s="20"/>
      <c r="F110" s="640"/>
      <c r="G110" s="429"/>
      <c r="H110" s="429"/>
      <c r="I110" s="429"/>
      <c r="J110" s="429"/>
      <c r="K110" s="429"/>
      <c r="L110" s="429"/>
      <c r="M110" s="429"/>
      <c r="N110" s="429"/>
      <c r="O110" s="429"/>
      <c r="P110" s="429"/>
      <c r="Q110" s="429"/>
      <c r="R110" s="2"/>
      <c r="S110" s="2"/>
      <c r="T110" s="2"/>
      <c r="U110" s="2"/>
    </row>
    <row r="111" spans="1:21" x14ac:dyDescent="0.25">
      <c r="A111" s="2"/>
      <c r="B111" s="429"/>
      <c r="C111" s="170"/>
      <c r="D111" s="63"/>
      <c r="E111" s="20"/>
      <c r="F111" s="640"/>
      <c r="G111" s="429"/>
      <c r="H111" s="429"/>
      <c r="I111" s="429"/>
      <c r="J111" s="429"/>
      <c r="K111" s="429"/>
      <c r="L111" s="429"/>
      <c r="M111" s="429"/>
      <c r="N111" s="429"/>
      <c r="O111" s="429"/>
      <c r="P111" s="429"/>
      <c r="Q111" s="429"/>
      <c r="R111" s="2"/>
      <c r="S111" s="2"/>
      <c r="T111" s="2"/>
      <c r="U111" s="2"/>
    </row>
    <row r="112" spans="1:21" x14ac:dyDescent="0.25">
      <c r="A112" s="2"/>
      <c r="B112" s="429"/>
      <c r="C112" s="170"/>
      <c r="D112" s="63"/>
      <c r="E112" s="20"/>
      <c r="F112" s="640"/>
      <c r="G112" s="429"/>
      <c r="H112" s="429"/>
      <c r="I112" s="429"/>
      <c r="J112" s="429"/>
      <c r="K112" s="429"/>
      <c r="L112" s="429"/>
      <c r="M112" s="429"/>
      <c r="N112" s="429"/>
      <c r="O112" s="429"/>
      <c r="P112" s="429"/>
      <c r="Q112" s="429"/>
      <c r="R112" s="2"/>
      <c r="S112" s="2"/>
      <c r="T112" s="2"/>
      <c r="U112" s="2"/>
    </row>
    <row r="113" spans="1:21" x14ac:dyDescent="0.25">
      <c r="A113" s="2"/>
      <c r="B113" s="429"/>
      <c r="C113" s="170"/>
      <c r="D113" s="63"/>
      <c r="E113" s="20"/>
      <c r="F113" s="640"/>
      <c r="G113" s="429"/>
      <c r="H113" s="429"/>
      <c r="I113" s="429"/>
      <c r="J113" s="429"/>
      <c r="K113" s="429"/>
      <c r="L113" s="429"/>
      <c r="M113" s="429"/>
      <c r="N113" s="429"/>
      <c r="O113" s="429"/>
      <c r="P113" s="429"/>
      <c r="Q113" s="429"/>
      <c r="R113" s="2"/>
      <c r="S113" s="2"/>
      <c r="T113" s="2"/>
      <c r="U113" s="2"/>
    </row>
    <row r="114" spans="1:21" x14ac:dyDescent="0.25">
      <c r="A114" s="2"/>
      <c r="B114" s="429"/>
      <c r="C114" s="170"/>
      <c r="D114" s="63"/>
      <c r="E114" s="20"/>
      <c r="F114" s="640"/>
      <c r="G114" s="429"/>
      <c r="H114" s="429"/>
      <c r="I114" s="429"/>
      <c r="J114" s="429"/>
      <c r="K114" s="429"/>
      <c r="L114" s="429"/>
      <c r="M114" s="429"/>
      <c r="N114" s="429"/>
      <c r="O114" s="429"/>
      <c r="P114" s="429"/>
      <c r="Q114" s="429"/>
      <c r="R114" s="2"/>
      <c r="S114" s="2"/>
      <c r="T114" s="2"/>
      <c r="U114" s="2"/>
    </row>
    <row r="115" spans="1:21" x14ac:dyDescent="0.25">
      <c r="A115" s="2"/>
      <c r="B115" s="429"/>
      <c r="C115" s="170"/>
      <c r="D115" s="63"/>
      <c r="E115" s="20"/>
      <c r="F115" s="640"/>
      <c r="G115" s="429"/>
      <c r="H115" s="429"/>
      <c r="I115" s="429"/>
      <c r="J115" s="429"/>
      <c r="K115" s="429"/>
      <c r="L115" s="429"/>
      <c r="M115" s="429"/>
      <c r="N115" s="429"/>
      <c r="O115" s="429"/>
      <c r="P115" s="429"/>
      <c r="Q115" s="429"/>
      <c r="R115" s="2"/>
      <c r="S115" s="2"/>
      <c r="T115" s="2"/>
      <c r="U115" s="2"/>
    </row>
    <row r="116" spans="1:21" x14ac:dyDescent="0.25">
      <c r="A116" s="2"/>
      <c r="B116" s="429"/>
      <c r="C116" s="170"/>
      <c r="D116" s="63"/>
      <c r="E116" s="20"/>
      <c r="F116" s="640"/>
      <c r="G116" s="429"/>
      <c r="H116" s="429"/>
      <c r="I116" s="429"/>
      <c r="J116" s="429"/>
      <c r="K116" s="429"/>
      <c r="L116" s="429"/>
      <c r="M116" s="429"/>
      <c r="N116" s="429"/>
      <c r="O116" s="429"/>
      <c r="P116" s="429"/>
      <c r="Q116" s="429"/>
      <c r="R116" s="2"/>
      <c r="S116" s="2"/>
      <c r="T116" s="2"/>
      <c r="U116" s="2"/>
    </row>
    <row r="117" spans="1:21" x14ac:dyDescent="0.25">
      <c r="A117" s="2"/>
      <c r="B117" s="429"/>
      <c r="C117" s="170"/>
      <c r="D117" s="63"/>
      <c r="E117" s="20"/>
      <c r="F117" s="640"/>
      <c r="G117" s="429"/>
      <c r="H117" s="429"/>
      <c r="I117" s="429"/>
      <c r="J117" s="429"/>
      <c r="K117" s="429"/>
      <c r="L117" s="429"/>
      <c r="M117" s="429"/>
      <c r="N117" s="429"/>
      <c r="O117" s="429"/>
      <c r="P117" s="429"/>
      <c r="Q117" s="429"/>
      <c r="R117" s="2"/>
      <c r="S117" s="2"/>
      <c r="T117" s="2"/>
      <c r="U117" s="2"/>
    </row>
    <row r="118" spans="1:21" x14ac:dyDescent="0.25">
      <c r="A118" s="2"/>
      <c r="B118" s="429"/>
      <c r="C118" s="170"/>
      <c r="D118" s="63"/>
      <c r="E118" s="20"/>
      <c r="F118" s="640"/>
      <c r="G118" s="429"/>
      <c r="H118" s="429"/>
      <c r="I118" s="429"/>
      <c r="J118" s="429"/>
      <c r="K118" s="429"/>
      <c r="L118" s="429"/>
      <c r="M118" s="429"/>
      <c r="N118" s="429"/>
      <c r="O118" s="429"/>
      <c r="P118" s="429"/>
      <c r="Q118" s="429"/>
      <c r="R118" s="2"/>
      <c r="S118" s="2"/>
      <c r="T118" s="2"/>
      <c r="U118" s="2"/>
    </row>
    <row r="119" spans="1:21" x14ac:dyDescent="0.25">
      <c r="A119" s="2"/>
      <c r="B119" s="429"/>
      <c r="C119" s="170"/>
      <c r="D119" s="63"/>
      <c r="E119" s="20"/>
      <c r="F119" s="640"/>
      <c r="G119" s="429"/>
      <c r="H119" s="429"/>
      <c r="I119" s="429"/>
      <c r="J119" s="429"/>
      <c r="K119" s="429"/>
      <c r="L119" s="429"/>
      <c r="M119" s="429"/>
      <c r="N119" s="429"/>
      <c r="O119" s="429"/>
      <c r="P119" s="429"/>
      <c r="Q119" s="429"/>
      <c r="R119" s="2"/>
      <c r="S119" s="2"/>
      <c r="T119" s="2"/>
      <c r="U119" s="2"/>
    </row>
    <row r="120" spans="1:21" x14ac:dyDescent="0.25">
      <c r="A120" s="2"/>
      <c r="B120" s="429"/>
      <c r="C120" s="170"/>
      <c r="D120" s="63"/>
      <c r="E120" s="20"/>
      <c r="F120" s="640"/>
      <c r="G120" s="429"/>
      <c r="H120" s="429"/>
      <c r="I120" s="429"/>
      <c r="J120" s="429"/>
      <c r="K120" s="429"/>
      <c r="L120" s="429"/>
      <c r="M120" s="429"/>
      <c r="N120" s="429"/>
      <c r="O120" s="429"/>
      <c r="P120" s="429"/>
      <c r="Q120" s="429"/>
      <c r="R120" s="2"/>
      <c r="S120" s="2"/>
      <c r="T120" s="2"/>
      <c r="U120" s="2"/>
    </row>
    <row r="121" spans="1:21" x14ac:dyDescent="0.25">
      <c r="A121" s="2"/>
      <c r="B121" s="429"/>
      <c r="C121" s="170"/>
      <c r="D121" s="63"/>
      <c r="E121" s="20"/>
      <c r="F121" s="640"/>
      <c r="G121" s="429"/>
      <c r="H121" s="429"/>
      <c r="I121" s="429"/>
      <c r="J121" s="429"/>
      <c r="K121" s="429"/>
      <c r="L121" s="429"/>
      <c r="M121" s="429"/>
      <c r="N121" s="429"/>
      <c r="O121" s="429"/>
      <c r="P121" s="429"/>
      <c r="Q121" s="429"/>
      <c r="R121" s="2"/>
      <c r="S121" s="2"/>
      <c r="T121" s="2"/>
      <c r="U121" s="2"/>
    </row>
    <row r="122" spans="1:21" x14ac:dyDescent="0.25">
      <c r="A122" s="2"/>
      <c r="B122" s="429"/>
      <c r="C122" s="170"/>
      <c r="D122" s="63"/>
      <c r="E122" s="20"/>
      <c r="F122" s="640"/>
      <c r="G122" s="429"/>
      <c r="H122" s="429"/>
      <c r="I122" s="429"/>
      <c r="J122" s="429"/>
      <c r="K122" s="429"/>
      <c r="L122" s="429"/>
      <c r="M122" s="429"/>
      <c r="N122" s="429"/>
      <c r="O122" s="429"/>
      <c r="P122" s="429"/>
      <c r="Q122" s="429"/>
      <c r="R122" s="2"/>
      <c r="S122" s="2"/>
      <c r="T122" s="2"/>
      <c r="U122" s="2"/>
    </row>
    <row r="123" spans="1:21" x14ac:dyDescent="0.25">
      <c r="A123" s="2"/>
      <c r="B123" s="429"/>
      <c r="C123" s="170"/>
      <c r="D123" s="63"/>
      <c r="E123" s="20"/>
      <c r="F123" s="640"/>
      <c r="G123" s="429"/>
      <c r="H123" s="429"/>
      <c r="I123" s="429"/>
      <c r="J123" s="429"/>
      <c r="K123" s="429"/>
      <c r="L123" s="429"/>
      <c r="M123" s="429"/>
      <c r="N123" s="429"/>
      <c r="O123" s="429"/>
      <c r="P123" s="429"/>
      <c r="Q123" s="759"/>
      <c r="R123" s="2"/>
      <c r="S123" s="2"/>
      <c r="T123" s="2"/>
      <c r="U123" s="2"/>
    </row>
    <row r="124" spans="1:21" x14ac:dyDescent="0.25">
      <c r="A124" s="2"/>
      <c r="B124" s="429"/>
      <c r="C124" s="170"/>
      <c r="D124" s="63"/>
      <c r="E124" s="20"/>
      <c r="F124" s="640"/>
      <c r="G124" s="429"/>
      <c r="H124" s="429"/>
      <c r="I124" s="429"/>
      <c r="J124" s="429"/>
      <c r="K124" s="429"/>
      <c r="L124" s="429"/>
      <c r="M124" s="429"/>
      <c r="N124" s="429"/>
      <c r="O124" s="429"/>
      <c r="P124" s="429"/>
      <c r="Q124" s="429"/>
      <c r="R124" s="2"/>
      <c r="S124" s="2"/>
      <c r="T124" s="2"/>
      <c r="U124" s="2"/>
    </row>
    <row r="125" spans="1:21" x14ac:dyDescent="0.25">
      <c r="A125" s="2"/>
      <c r="B125" s="429"/>
      <c r="C125" s="170"/>
      <c r="D125" s="63"/>
      <c r="E125" s="20"/>
      <c r="F125" s="640"/>
      <c r="G125" s="429"/>
      <c r="H125" s="429"/>
      <c r="I125" s="429"/>
      <c r="J125" s="429"/>
      <c r="K125" s="429"/>
      <c r="L125" s="429"/>
      <c r="M125" s="429"/>
      <c r="N125" s="429"/>
      <c r="O125" s="429"/>
      <c r="P125" s="429"/>
      <c r="Q125" s="429"/>
      <c r="R125" s="2"/>
      <c r="S125" s="2"/>
      <c r="T125" s="2"/>
      <c r="U125" s="2"/>
    </row>
    <row r="126" spans="1:21" x14ac:dyDescent="0.25">
      <c r="A126" s="2"/>
      <c r="B126" s="429"/>
      <c r="C126" s="170"/>
      <c r="D126" s="63"/>
      <c r="E126" s="20"/>
      <c r="F126" s="640"/>
      <c r="G126" s="429"/>
      <c r="H126" s="429"/>
      <c r="I126" s="429"/>
      <c r="J126" s="429"/>
      <c r="K126" s="429"/>
      <c r="L126" s="429"/>
      <c r="M126" s="429"/>
      <c r="N126" s="429"/>
      <c r="O126" s="429"/>
      <c r="P126" s="429"/>
      <c r="Q126" s="429"/>
      <c r="R126" s="2"/>
      <c r="S126" s="2"/>
      <c r="T126" s="2"/>
      <c r="U126" s="2"/>
    </row>
    <row r="127" spans="1:21" x14ac:dyDescent="0.25">
      <c r="A127" s="2"/>
      <c r="B127" s="429"/>
      <c r="C127" s="170"/>
      <c r="D127" s="63"/>
      <c r="E127" s="20"/>
      <c r="F127" s="640"/>
      <c r="G127" s="429"/>
      <c r="H127" s="429"/>
      <c r="I127" s="429"/>
      <c r="J127" s="429"/>
      <c r="K127" s="429"/>
      <c r="L127" s="429"/>
      <c r="M127" s="429"/>
      <c r="N127" s="429"/>
      <c r="O127" s="429"/>
      <c r="P127" s="429"/>
      <c r="Q127" s="429"/>
      <c r="R127" s="2"/>
      <c r="S127" s="2"/>
      <c r="T127" s="2"/>
      <c r="U127" s="2"/>
    </row>
    <row r="128" spans="1:21" x14ac:dyDescent="0.25">
      <c r="A128" s="2"/>
      <c r="B128" s="429"/>
      <c r="C128" s="170"/>
      <c r="D128" s="63"/>
      <c r="E128" s="20"/>
      <c r="F128" s="640"/>
      <c r="G128" s="429"/>
      <c r="H128" s="429"/>
      <c r="I128" s="429"/>
      <c r="J128" s="429"/>
      <c r="K128" s="429"/>
      <c r="L128" s="429"/>
      <c r="M128" s="429"/>
      <c r="N128" s="429"/>
      <c r="O128" s="429"/>
      <c r="P128" s="429"/>
      <c r="Q128" s="429"/>
      <c r="R128" s="2"/>
      <c r="S128" s="2"/>
      <c r="T128" s="2"/>
      <c r="U128" s="2"/>
    </row>
    <row r="129" spans="1:21" x14ac:dyDescent="0.25">
      <c r="A129" s="2"/>
      <c r="B129" s="429"/>
      <c r="C129" s="170"/>
      <c r="D129" s="63"/>
      <c r="E129" s="20"/>
      <c r="F129" s="640"/>
      <c r="G129" s="429"/>
      <c r="H129" s="429"/>
      <c r="I129" s="429"/>
      <c r="J129" s="429"/>
      <c r="K129" s="429"/>
      <c r="L129" s="429"/>
      <c r="M129" s="429"/>
      <c r="N129" s="429"/>
      <c r="O129" s="429"/>
      <c r="P129" s="429"/>
      <c r="Q129" s="429"/>
      <c r="R129" s="2"/>
      <c r="S129" s="2"/>
      <c r="T129" s="2"/>
      <c r="U129" s="2"/>
    </row>
    <row r="130" spans="1:21" x14ac:dyDescent="0.25">
      <c r="A130" s="2"/>
      <c r="B130" s="429"/>
      <c r="C130" s="170"/>
      <c r="D130" s="63"/>
      <c r="E130" s="20"/>
      <c r="F130" s="640"/>
      <c r="G130" s="429"/>
      <c r="H130" s="429"/>
      <c r="I130" s="429"/>
      <c r="J130" s="429"/>
      <c r="K130" s="429"/>
      <c r="L130" s="429"/>
      <c r="M130" s="429"/>
      <c r="N130" s="429"/>
      <c r="O130" s="429"/>
      <c r="P130" s="429"/>
      <c r="Q130" s="429"/>
      <c r="R130" s="2"/>
      <c r="S130" s="2"/>
      <c r="T130" s="2"/>
      <c r="U130" s="2"/>
    </row>
    <row r="131" spans="1:21" x14ac:dyDescent="0.25">
      <c r="A131" s="2"/>
      <c r="B131" s="429"/>
      <c r="C131" s="170"/>
      <c r="D131" s="63"/>
      <c r="E131" s="20"/>
      <c r="F131" s="640"/>
      <c r="G131" s="429"/>
      <c r="H131" s="429"/>
      <c r="I131" s="429"/>
      <c r="J131" s="429"/>
      <c r="K131" s="429"/>
      <c r="L131" s="429"/>
      <c r="M131" s="429"/>
      <c r="N131" s="429"/>
      <c r="O131" s="429"/>
      <c r="P131" s="429"/>
      <c r="Q131" s="429"/>
      <c r="R131" s="2"/>
      <c r="S131" s="2"/>
      <c r="T131" s="2"/>
      <c r="U131" s="2"/>
    </row>
    <row r="132" spans="1:21" x14ac:dyDescent="0.25">
      <c r="A132" s="2"/>
      <c r="B132" s="429"/>
      <c r="C132" s="170"/>
      <c r="D132" s="63"/>
      <c r="E132" s="20"/>
      <c r="F132" s="640"/>
      <c r="G132" s="429"/>
      <c r="H132" s="429"/>
      <c r="I132" s="429"/>
      <c r="J132" s="429"/>
      <c r="K132" s="429"/>
      <c r="L132" s="429"/>
      <c r="M132" s="429"/>
      <c r="N132" s="429"/>
      <c r="O132" s="429"/>
      <c r="P132" s="429"/>
      <c r="Q132" s="429"/>
      <c r="R132" s="2"/>
      <c r="S132" s="2"/>
      <c r="T132" s="2"/>
      <c r="U132" s="2"/>
    </row>
    <row r="133" spans="1:21" x14ac:dyDescent="0.25">
      <c r="A133" s="2"/>
      <c r="B133" s="429"/>
      <c r="C133" s="170"/>
      <c r="D133" s="63"/>
      <c r="E133" s="20"/>
      <c r="F133" s="640"/>
      <c r="G133" s="429"/>
      <c r="H133" s="429"/>
      <c r="I133" s="429"/>
      <c r="J133" s="429"/>
      <c r="K133" s="429"/>
      <c r="L133" s="429"/>
      <c r="M133" s="429"/>
      <c r="N133" s="429"/>
      <c r="O133" s="429"/>
      <c r="P133" s="429"/>
      <c r="Q133" s="429"/>
      <c r="R133" s="2"/>
      <c r="S133" s="2"/>
      <c r="T133" s="2"/>
      <c r="U133" s="2"/>
    </row>
    <row r="134" spans="1:21" x14ac:dyDescent="0.25">
      <c r="A134" s="2"/>
      <c r="B134" s="429"/>
      <c r="C134" s="170"/>
      <c r="D134" s="63"/>
      <c r="E134" s="20"/>
      <c r="F134" s="640"/>
      <c r="G134" s="429"/>
      <c r="H134" s="429"/>
      <c r="I134" s="429"/>
      <c r="J134" s="429"/>
      <c r="K134" s="429"/>
      <c r="L134" s="429"/>
      <c r="M134" s="429"/>
      <c r="N134" s="429"/>
      <c r="O134" s="429"/>
      <c r="P134" s="429"/>
      <c r="Q134" s="429"/>
      <c r="R134" s="2"/>
      <c r="S134" s="2"/>
      <c r="T134" s="2"/>
      <c r="U134" s="2"/>
    </row>
    <row r="135" spans="1:21" x14ac:dyDescent="0.25">
      <c r="A135" s="2"/>
      <c r="B135" s="429"/>
      <c r="C135" s="170"/>
      <c r="D135" s="63"/>
      <c r="E135" s="20"/>
      <c r="F135" s="640"/>
      <c r="G135" s="429"/>
      <c r="H135" s="429"/>
      <c r="I135" s="429"/>
      <c r="J135" s="429"/>
      <c r="K135" s="429"/>
      <c r="L135" s="429"/>
      <c r="M135" s="429"/>
      <c r="N135" s="429"/>
      <c r="O135" s="429"/>
      <c r="P135" s="429"/>
      <c r="Q135" s="429"/>
      <c r="R135" s="2"/>
      <c r="S135" s="2"/>
      <c r="T135" s="2"/>
      <c r="U135" s="2"/>
    </row>
    <row r="136" spans="1:21" x14ac:dyDescent="0.25">
      <c r="A136" s="2"/>
      <c r="B136" s="429"/>
      <c r="C136" s="429"/>
      <c r="D136" s="640"/>
      <c r="E136" s="20"/>
      <c r="F136" s="640"/>
      <c r="G136" s="429"/>
      <c r="H136" s="429"/>
      <c r="I136" s="429"/>
      <c r="J136" s="429"/>
      <c r="K136" s="429"/>
      <c r="L136" s="429"/>
      <c r="M136" s="429"/>
      <c r="N136" s="429"/>
      <c r="O136" s="429"/>
      <c r="P136" s="429"/>
      <c r="Q136" s="429"/>
      <c r="R136" s="2"/>
      <c r="S136" s="2"/>
      <c r="T136" s="2"/>
      <c r="U136" s="2"/>
    </row>
    <row r="137" spans="1:21" x14ac:dyDescent="0.25">
      <c r="A137" s="2"/>
      <c r="B137" s="429"/>
      <c r="C137" s="429"/>
      <c r="D137" s="640"/>
      <c r="E137" s="20"/>
      <c r="F137" s="640"/>
      <c r="G137" s="429"/>
      <c r="H137" s="429"/>
      <c r="I137" s="429"/>
      <c r="J137" s="429"/>
      <c r="K137" s="429"/>
      <c r="L137" s="429"/>
      <c r="M137" s="429"/>
      <c r="N137" s="429"/>
      <c r="O137" s="429"/>
      <c r="P137" s="429"/>
      <c r="Q137" s="429"/>
      <c r="R137" s="2"/>
      <c r="S137" s="2"/>
      <c r="T137" s="2"/>
      <c r="U137" s="2"/>
    </row>
    <row r="138" spans="1:21" x14ac:dyDescent="0.25">
      <c r="A138" s="2"/>
      <c r="B138" s="429"/>
      <c r="C138" s="429"/>
      <c r="D138" s="640"/>
      <c r="E138" s="20"/>
      <c r="F138" s="640"/>
      <c r="G138" s="429"/>
      <c r="H138" s="429"/>
      <c r="I138" s="429"/>
      <c r="J138" s="429"/>
      <c r="K138" s="429"/>
      <c r="L138" s="429"/>
      <c r="M138" s="429"/>
      <c r="N138" s="429"/>
      <c r="O138" s="429"/>
      <c r="P138" s="429"/>
      <c r="Q138" s="429"/>
      <c r="R138" s="2"/>
      <c r="S138" s="2"/>
      <c r="T138" s="2"/>
      <c r="U138" s="2"/>
    </row>
    <row r="139" spans="1:21" x14ac:dyDescent="0.25">
      <c r="A139" s="2"/>
      <c r="B139" s="429"/>
      <c r="C139" s="429"/>
      <c r="D139" s="640"/>
      <c r="E139" s="20"/>
      <c r="F139" s="640"/>
      <c r="G139" s="429"/>
      <c r="H139" s="429"/>
      <c r="I139" s="429"/>
      <c r="J139" s="429"/>
      <c r="K139" s="429"/>
      <c r="L139" s="429"/>
      <c r="M139" s="429"/>
      <c r="N139" s="429"/>
      <c r="O139" s="429"/>
      <c r="P139" s="429"/>
      <c r="Q139" s="429"/>
      <c r="R139" s="2"/>
      <c r="S139" s="2"/>
      <c r="T139" s="2"/>
      <c r="U139" s="2"/>
    </row>
    <row r="140" spans="1:21" x14ac:dyDescent="0.25">
      <c r="A140" s="2"/>
      <c r="B140" s="429"/>
      <c r="C140" s="429"/>
      <c r="D140" s="640"/>
      <c r="E140" s="20"/>
      <c r="F140" s="640"/>
      <c r="G140" s="429"/>
      <c r="H140" s="429"/>
      <c r="I140" s="429"/>
      <c r="J140" s="429"/>
      <c r="K140" s="429"/>
      <c r="L140" s="429"/>
      <c r="M140" s="429"/>
      <c r="N140" s="429"/>
      <c r="O140" s="429"/>
      <c r="P140" s="429"/>
      <c r="Q140" s="429"/>
      <c r="R140" s="2"/>
      <c r="S140" s="2"/>
      <c r="T140" s="2"/>
      <c r="U140" s="2"/>
    </row>
    <row r="141" spans="1:21" x14ac:dyDescent="0.25">
      <c r="A141" s="2"/>
      <c r="B141" s="429"/>
      <c r="C141" s="429"/>
      <c r="D141" s="640"/>
      <c r="E141" s="20"/>
      <c r="F141" s="640"/>
      <c r="G141" s="429"/>
      <c r="H141" s="429"/>
      <c r="I141" s="429"/>
      <c r="J141" s="429"/>
      <c r="K141" s="429"/>
      <c r="L141" s="429"/>
      <c r="M141" s="429"/>
      <c r="N141" s="429"/>
      <c r="O141" s="429"/>
      <c r="P141" s="429"/>
      <c r="Q141" s="429"/>
      <c r="R141" s="2"/>
      <c r="S141" s="2"/>
      <c r="T141" s="2"/>
      <c r="U141" s="2"/>
    </row>
    <row r="142" spans="1:21" x14ac:dyDescent="0.25">
      <c r="A142" s="2"/>
      <c r="B142" s="429"/>
      <c r="C142" s="429"/>
      <c r="D142" s="640"/>
      <c r="E142" s="20"/>
      <c r="F142" s="640"/>
      <c r="G142" s="429"/>
      <c r="H142" s="429"/>
      <c r="I142" s="429"/>
      <c r="J142" s="429"/>
      <c r="K142" s="429"/>
      <c r="L142" s="429"/>
      <c r="M142" s="429"/>
      <c r="N142" s="429"/>
      <c r="O142" s="429"/>
      <c r="P142" s="429"/>
      <c r="Q142" s="429"/>
      <c r="R142" s="2"/>
      <c r="S142" s="2"/>
      <c r="T142" s="2"/>
      <c r="U142" s="2"/>
    </row>
    <row r="143" spans="1:21" x14ac:dyDescent="0.25">
      <c r="A143" s="2"/>
      <c r="B143" s="429"/>
      <c r="C143" s="429"/>
      <c r="D143" s="640"/>
      <c r="E143" s="20"/>
      <c r="F143" s="640"/>
      <c r="G143" s="429"/>
      <c r="H143" s="429"/>
      <c r="I143" s="429"/>
      <c r="J143" s="429"/>
      <c r="K143" s="429"/>
      <c r="L143" s="429"/>
      <c r="M143" s="429"/>
      <c r="N143" s="429"/>
      <c r="O143" s="759"/>
      <c r="P143" s="429"/>
      <c r="Q143" s="429"/>
      <c r="R143" s="2"/>
      <c r="S143" s="2"/>
      <c r="T143" s="2"/>
      <c r="U143" s="2"/>
    </row>
    <row r="144" spans="1:21" x14ac:dyDescent="0.25">
      <c r="A144" s="2"/>
      <c r="B144" s="429"/>
      <c r="C144" s="429"/>
      <c r="D144" s="640"/>
      <c r="E144" s="20"/>
      <c r="F144" s="640"/>
      <c r="G144" s="429"/>
      <c r="H144" s="429"/>
      <c r="I144" s="429"/>
      <c r="J144" s="429"/>
      <c r="K144" s="429"/>
      <c r="L144" s="429"/>
      <c r="M144" s="429"/>
      <c r="N144" s="429"/>
      <c r="O144" s="759"/>
      <c r="P144" s="429"/>
      <c r="Q144" s="429"/>
      <c r="R144" s="2"/>
      <c r="S144" s="2"/>
      <c r="T144" s="2"/>
      <c r="U144" s="2"/>
    </row>
    <row r="145" spans="1:21" x14ac:dyDescent="0.25">
      <c r="A145" s="2"/>
      <c r="B145" s="429"/>
      <c r="C145" s="429"/>
      <c r="D145" s="640"/>
      <c r="E145" s="20"/>
      <c r="F145" s="640"/>
      <c r="G145" s="429"/>
      <c r="H145" s="429"/>
      <c r="I145" s="429"/>
      <c r="J145" s="429"/>
      <c r="K145" s="429"/>
      <c r="L145" s="429"/>
      <c r="M145" s="429"/>
      <c r="N145" s="429"/>
      <c r="O145" s="759"/>
      <c r="P145" s="429"/>
      <c r="Q145" s="429"/>
      <c r="R145" s="2"/>
      <c r="S145" s="2"/>
      <c r="T145" s="2"/>
      <c r="U145" s="2"/>
    </row>
    <row r="146" spans="1:21" x14ac:dyDescent="0.25">
      <c r="A146" s="2"/>
      <c r="B146" s="429"/>
      <c r="C146" s="429"/>
      <c r="D146" s="640"/>
      <c r="E146" s="20"/>
      <c r="F146" s="640"/>
      <c r="G146" s="429"/>
      <c r="H146" s="429"/>
      <c r="I146" s="429"/>
      <c r="J146" s="429"/>
      <c r="K146" s="429"/>
      <c r="L146" s="429"/>
      <c r="M146" s="429"/>
      <c r="N146" s="429"/>
      <c r="O146" s="759"/>
      <c r="P146" s="429"/>
      <c r="Q146" s="429"/>
      <c r="R146" s="2"/>
      <c r="S146" s="2"/>
      <c r="T146" s="2"/>
      <c r="U146" s="2"/>
    </row>
    <row r="147" spans="1:21" x14ac:dyDescent="0.25">
      <c r="A147" s="2"/>
      <c r="B147" s="429"/>
      <c r="C147" s="429"/>
      <c r="D147" s="640"/>
      <c r="E147" s="20"/>
      <c r="F147" s="640"/>
      <c r="G147" s="429"/>
      <c r="H147" s="429"/>
      <c r="I147" s="429"/>
      <c r="J147" s="429"/>
      <c r="K147" s="429"/>
      <c r="L147" s="429"/>
      <c r="M147" s="429"/>
      <c r="N147" s="429"/>
      <c r="O147" s="759"/>
      <c r="P147" s="429"/>
      <c r="Q147" s="429"/>
      <c r="R147" s="2"/>
      <c r="S147" s="2"/>
      <c r="T147" s="2"/>
      <c r="U147" s="2"/>
    </row>
    <row r="148" spans="1:21" x14ac:dyDescent="0.25">
      <c r="A148" s="2"/>
      <c r="B148" s="429"/>
      <c r="C148" s="429"/>
      <c r="D148" s="640"/>
      <c r="E148" s="20"/>
      <c r="F148" s="640"/>
      <c r="G148" s="429"/>
      <c r="H148" s="429"/>
      <c r="I148" s="429"/>
      <c r="J148" s="429"/>
      <c r="K148" s="429"/>
      <c r="L148" s="429"/>
      <c r="M148" s="429"/>
      <c r="N148" s="429"/>
      <c r="O148" s="759"/>
      <c r="P148" s="429"/>
      <c r="Q148" s="429"/>
      <c r="R148" s="2"/>
      <c r="S148" s="2"/>
      <c r="T148" s="2"/>
      <c r="U148" s="2"/>
    </row>
    <row r="149" spans="1:21" x14ac:dyDescent="0.25">
      <c r="A149" s="2"/>
      <c r="B149" s="429"/>
      <c r="C149" s="429"/>
      <c r="D149" s="640"/>
      <c r="E149" s="20"/>
      <c r="F149" s="640"/>
      <c r="G149" s="429"/>
      <c r="H149" s="429"/>
      <c r="I149" s="429"/>
      <c r="J149" s="429"/>
      <c r="K149" s="429"/>
      <c r="L149" s="429"/>
      <c r="M149" s="429"/>
      <c r="N149" s="429"/>
      <c r="O149" s="759"/>
      <c r="P149" s="429"/>
      <c r="Q149" s="429"/>
      <c r="R149" s="2"/>
      <c r="S149" s="2"/>
      <c r="T149" s="2"/>
      <c r="U149" s="2"/>
    </row>
    <row r="150" spans="1:21" x14ac:dyDescent="0.25">
      <c r="A150" s="2"/>
      <c r="B150" s="429"/>
      <c r="C150" s="429"/>
      <c r="D150" s="640"/>
      <c r="E150" s="20"/>
      <c r="F150" s="640"/>
      <c r="G150" s="429"/>
      <c r="H150" s="429"/>
      <c r="I150" s="429"/>
      <c r="J150" s="429"/>
      <c r="K150" s="429"/>
      <c r="L150" s="429"/>
      <c r="M150" s="429"/>
      <c r="N150" s="429"/>
      <c r="O150" s="759"/>
      <c r="P150" s="429"/>
      <c r="Q150" s="429"/>
      <c r="R150" s="2"/>
      <c r="S150" s="2"/>
      <c r="T150" s="2"/>
      <c r="U150" s="2"/>
    </row>
    <row r="151" spans="1:21" x14ac:dyDescent="0.25">
      <c r="A151" s="2"/>
      <c r="B151" s="429"/>
      <c r="C151" s="429"/>
      <c r="D151" s="640"/>
      <c r="E151" s="20"/>
      <c r="F151" s="640"/>
      <c r="G151" s="429"/>
      <c r="H151" s="429"/>
      <c r="I151" s="429"/>
      <c r="J151" s="429"/>
      <c r="K151" s="429"/>
      <c r="L151" s="429"/>
      <c r="M151" s="429"/>
      <c r="N151" s="429"/>
      <c r="O151" s="759"/>
      <c r="P151" s="429"/>
      <c r="Q151" s="429"/>
      <c r="R151" s="2"/>
      <c r="S151" s="2"/>
      <c r="T151" s="2"/>
      <c r="U151" s="2"/>
    </row>
    <row r="152" spans="1:21" x14ac:dyDescent="0.25">
      <c r="A152" s="2"/>
      <c r="B152" s="429"/>
      <c r="C152" s="429"/>
      <c r="D152" s="640"/>
      <c r="E152" s="20"/>
      <c r="F152" s="640"/>
      <c r="G152" s="429"/>
      <c r="H152" s="429"/>
      <c r="I152" s="429"/>
      <c r="J152" s="429"/>
      <c r="K152" s="429"/>
      <c r="L152" s="429"/>
      <c r="M152" s="429"/>
      <c r="N152" s="429"/>
      <c r="O152" s="759"/>
      <c r="P152" s="429"/>
      <c r="Q152" s="429"/>
      <c r="R152" s="2"/>
      <c r="S152" s="2"/>
      <c r="T152" s="2"/>
      <c r="U152" s="2"/>
    </row>
    <row r="153" spans="1:21" x14ac:dyDescent="0.25">
      <c r="A153" s="2"/>
      <c r="B153" s="429"/>
      <c r="C153" s="429"/>
      <c r="D153" s="640"/>
      <c r="E153" s="20"/>
      <c r="F153" s="640"/>
      <c r="G153" s="429"/>
      <c r="H153" s="429"/>
      <c r="I153" s="429"/>
      <c r="J153" s="429"/>
      <c r="K153" s="429"/>
      <c r="L153" s="429"/>
      <c r="M153" s="429"/>
      <c r="N153" s="429"/>
      <c r="O153" s="759"/>
      <c r="P153" s="429"/>
      <c r="Q153" s="429"/>
      <c r="R153" s="2"/>
      <c r="S153" s="2"/>
      <c r="T153" s="2"/>
      <c r="U153" s="2"/>
    </row>
    <row r="154" spans="1:21" x14ac:dyDescent="0.25">
      <c r="A154" s="2"/>
      <c r="B154" s="429"/>
      <c r="C154" s="429"/>
      <c r="D154" s="640"/>
      <c r="E154" s="20"/>
      <c r="F154" s="640"/>
      <c r="G154" s="429"/>
      <c r="H154" s="429"/>
      <c r="I154" s="429"/>
      <c r="J154" s="429"/>
      <c r="K154" s="429"/>
      <c r="L154" s="429"/>
      <c r="M154" s="429"/>
      <c r="N154" s="429"/>
      <c r="O154" s="759"/>
      <c r="P154" s="429"/>
      <c r="Q154" s="429"/>
      <c r="R154" s="2"/>
      <c r="S154" s="2"/>
      <c r="T154" s="2"/>
      <c r="U154" s="2"/>
    </row>
    <row r="155" spans="1:21" x14ac:dyDescent="0.25">
      <c r="A155" s="2"/>
      <c r="B155" s="429"/>
      <c r="C155" s="429"/>
      <c r="D155" s="640"/>
      <c r="E155" s="20"/>
      <c r="F155" s="640"/>
      <c r="G155" s="429"/>
      <c r="H155" s="429"/>
      <c r="I155" s="429"/>
      <c r="J155" s="429"/>
      <c r="K155" s="429"/>
      <c r="L155" s="429"/>
      <c r="M155" s="429"/>
      <c r="N155" s="429"/>
      <c r="O155" s="759"/>
      <c r="P155" s="429"/>
      <c r="Q155" s="429"/>
      <c r="R155" s="2"/>
      <c r="S155" s="2"/>
      <c r="T155" s="2"/>
      <c r="U155" s="2"/>
    </row>
    <row r="156" spans="1:21" x14ac:dyDescent="0.25">
      <c r="A156" s="2"/>
      <c r="B156" s="429"/>
      <c r="C156" s="429"/>
      <c r="D156" s="640"/>
      <c r="E156" s="20"/>
      <c r="F156" s="640"/>
      <c r="G156" s="429"/>
      <c r="H156" s="429"/>
      <c r="I156" s="429"/>
      <c r="J156" s="429"/>
      <c r="K156" s="429"/>
      <c r="L156" s="429"/>
      <c r="M156" s="429"/>
      <c r="N156" s="429"/>
      <c r="O156" s="759"/>
      <c r="P156" s="429"/>
      <c r="Q156" s="429"/>
      <c r="R156" s="2"/>
      <c r="S156" s="2"/>
      <c r="T156" s="2"/>
      <c r="U156" s="2"/>
    </row>
    <row r="157" spans="1:21" x14ac:dyDescent="0.25">
      <c r="A157" s="2"/>
      <c r="B157" s="429"/>
      <c r="C157" s="429"/>
      <c r="D157" s="640"/>
      <c r="E157" s="20"/>
      <c r="F157" s="640"/>
      <c r="G157" s="429"/>
      <c r="H157" s="429"/>
      <c r="I157" s="429"/>
      <c r="J157" s="429"/>
      <c r="K157" s="429"/>
      <c r="L157" s="429"/>
      <c r="M157" s="429"/>
      <c r="N157" s="429"/>
      <c r="O157" s="759"/>
      <c r="P157" s="429"/>
      <c r="Q157" s="429"/>
      <c r="R157" s="2"/>
      <c r="S157" s="2"/>
      <c r="T157" s="2"/>
      <c r="U157" s="2"/>
    </row>
    <row r="158" spans="1:21" x14ac:dyDescent="0.25">
      <c r="A158" s="2"/>
      <c r="B158" s="429"/>
      <c r="C158" s="429"/>
      <c r="D158" s="64"/>
      <c r="E158" s="429"/>
      <c r="F158" s="429"/>
      <c r="G158" s="429"/>
      <c r="H158" s="429"/>
      <c r="I158" s="429"/>
      <c r="J158" s="429"/>
      <c r="K158" s="429"/>
      <c r="L158" s="429"/>
      <c r="M158" s="429"/>
      <c r="N158" s="429"/>
      <c r="O158" s="429"/>
      <c r="P158" s="429"/>
      <c r="Q158" s="429"/>
      <c r="R158" s="2"/>
      <c r="S158" s="2"/>
      <c r="T158" s="2"/>
      <c r="U158" s="2"/>
    </row>
    <row r="159" spans="1:21" x14ac:dyDescent="0.25">
      <c r="A159" s="2"/>
      <c r="B159" s="429"/>
      <c r="C159" s="1" t="s">
        <v>420</v>
      </c>
      <c r="D159" s="64"/>
      <c r="E159" s="429"/>
      <c r="F159" s="429"/>
      <c r="G159" s="429"/>
      <c r="H159" s="429"/>
      <c r="I159" s="429"/>
      <c r="J159" s="429"/>
      <c r="K159" s="429"/>
      <c r="L159" s="429"/>
      <c r="M159" s="429"/>
      <c r="N159" s="429"/>
      <c r="O159" s="429"/>
      <c r="P159" s="429"/>
      <c r="Q159" s="429"/>
      <c r="R159" s="2"/>
      <c r="S159" s="2"/>
      <c r="T159" s="2"/>
      <c r="U159" s="2"/>
    </row>
    <row r="160" spans="1:21" ht="15.75" thickBot="1" x14ac:dyDescent="0.3">
      <c r="A160" s="2"/>
      <c r="B160" s="429"/>
      <c r="C160" s="429"/>
      <c r="D160" s="64"/>
      <c r="E160" s="429"/>
      <c r="F160" s="429"/>
      <c r="G160" s="429"/>
      <c r="H160" s="429"/>
      <c r="I160" s="429"/>
      <c r="J160" s="429"/>
      <c r="K160" s="429"/>
      <c r="L160" s="429"/>
      <c r="M160" s="429"/>
      <c r="N160" s="429"/>
      <c r="O160" s="429"/>
      <c r="P160" s="429"/>
      <c r="Q160" s="429"/>
      <c r="R160" s="2"/>
      <c r="S160" s="2"/>
      <c r="T160" s="2"/>
      <c r="U160" s="2"/>
    </row>
    <row r="161" spans="1:21" ht="19.5" thickTop="1" thickBot="1" x14ac:dyDescent="0.3">
      <c r="A161" s="2"/>
      <c r="B161" s="429"/>
      <c r="C161" s="429" t="s">
        <v>421</v>
      </c>
      <c r="D161" s="439" t="s">
        <v>422</v>
      </c>
      <c r="E161" s="184">
        <v>0</v>
      </c>
      <c r="F161" s="429"/>
      <c r="G161" s="429"/>
      <c r="H161" s="429"/>
      <c r="I161" s="429"/>
      <c r="J161" s="429"/>
      <c r="K161" s="429"/>
      <c r="L161" s="429"/>
      <c r="M161" s="429"/>
      <c r="N161" s="429"/>
      <c r="O161" s="429"/>
      <c r="P161" s="429"/>
      <c r="Q161" s="429"/>
      <c r="R161" s="2"/>
      <c r="S161" s="2"/>
      <c r="T161" s="2"/>
      <c r="U161" s="2"/>
    </row>
    <row r="162" spans="1:21" ht="19.5" thickTop="1" thickBot="1" x14ac:dyDescent="0.3">
      <c r="A162" s="2"/>
      <c r="B162" s="429"/>
      <c r="C162" s="429" t="s">
        <v>423</v>
      </c>
      <c r="D162" s="439" t="s">
        <v>424</v>
      </c>
      <c r="E162" s="184">
        <v>5</v>
      </c>
      <c r="F162" s="429"/>
      <c r="G162" s="437"/>
      <c r="H162" s="437"/>
      <c r="I162" s="437"/>
      <c r="J162" s="437"/>
      <c r="K162" s="429"/>
      <c r="L162" s="429"/>
      <c r="M162" s="429"/>
      <c r="N162" s="429"/>
      <c r="O162" s="429"/>
      <c r="P162" s="429"/>
      <c r="Q162" s="429"/>
      <c r="R162" s="2"/>
      <c r="S162" s="2"/>
      <c r="T162" s="2"/>
      <c r="U162" s="2"/>
    </row>
    <row r="163" spans="1:21" ht="15.75" thickTop="1" x14ac:dyDescent="0.25">
      <c r="A163" s="2"/>
      <c r="B163" s="429"/>
      <c r="C163" s="429"/>
      <c r="D163" s="429"/>
      <c r="E163" s="429"/>
      <c r="F163" s="429"/>
      <c r="G163" s="128"/>
      <c r="H163" s="429"/>
      <c r="I163" s="429"/>
      <c r="J163" s="429"/>
      <c r="K163" s="429"/>
      <c r="L163" s="429"/>
      <c r="M163" s="429"/>
      <c r="N163" s="429"/>
      <c r="O163" s="429"/>
      <c r="P163" s="429"/>
      <c r="Q163" s="429"/>
      <c r="R163" s="2"/>
      <c r="S163" s="2"/>
      <c r="T163" s="2"/>
      <c r="U163" s="2"/>
    </row>
    <row r="164" spans="1:21" x14ac:dyDescent="0.25">
      <c r="A164" s="2"/>
      <c r="B164" s="429"/>
      <c r="C164" s="1" t="s">
        <v>425</v>
      </c>
      <c r="D164" s="429"/>
      <c r="E164" s="429"/>
      <c r="F164" s="429"/>
      <c r="G164" s="429"/>
      <c r="H164" s="429"/>
      <c r="I164" s="429"/>
      <c r="J164" s="429"/>
      <c r="K164" s="429"/>
      <c r="L164" s="429"/>
      <c r="M164" s="429"/>
      <c r="N164" s="429"/>
      <c r="O164" s="759"/>
      <c r="P164" s="429"/>
      <c r="Q164" s="429"/>
      <c r="R164" s="2"/>
      <c r="S164" s="2"/>
      <c r="T164" s="2"/>
      <c r="U164" s="2"/>
    </row>
    <row r="165" spans="1:21" ht="12.75" customHeight="1" x14ac:dyDescent="0.25">
      <c r="A165" s="2"/>
      <c r="B165" s="429"/>
      <c r="C165" s="1"/>
      <c r="D165" s="429"/>
      <c r="E165" s="429"/>
      <c r="F165" s="429"/>
      <c r="G165" s="429"/>
      <c r="H165" s="429"/>
      <c r="I165" s="429"/>
      <c r="J165" s="429"/>
      <c r="K165" s="429"/>
      <c r="L165" s="429"/>
      <c r="M165" s="429"/>
      <c r="N165" s="429"/>
      <c r="O165" s="429"/>
      <c r="P165" s="429"/>
      <c r="Q165" s="429"/>
      <c r="R165" s="2"/>
      <c r="S165" s="2"/>
      <c r="T165" s="2"/>
      <c r="U165" s="2"/>
    </row>
    <row r="166" spans="1:21" x14ac:dyDescent="0.25">
      <c r="A166" s="2"/>
      <c r="B166" s="429"/>
      <c r="C166" s="440" t="s">
        <v>426</v>
      </c>
      <c r="D166" s="429"/>
      <c r="E166" s="429"/>
      <c r="F166" s="429"/>
      <c r="G166" s="429"/>
      <c r="H166" s="429"/>
      <c r="I166" s="429"/>
      <c r="J166" s="429"/>
      <c r="K166" s="429"/>
      <c r="L166" s="429"/>
      <c r="M166" s="429"/>
      <c r="N166" s="429"/>
      <c r="O166" s="429"/>
      <c r="P166" s="429"/>
      <c r="Q166" s="429"/>
      <c r="R166" s="2"/>
      <c r="S166" s="2"/>
      <c r="T166" s="2"/>
      <c r="U166" s="2"/>
    </row>
    <row r="167" spans="1:21" x14ac:dyDescent="0.25">
      <c r="A167" s="2"/>
      <c r="B167" s="429"/>
      <c r="C167" s="440"/>
      <c r="D167" s="429"/>
      <c r="E167" s="429"/>
      <c r="F167" s="429"/>
      <c r="G167" s="429"/>
      <c r="H167" s="429"/>
      <c r="I167" s="429"/>
      <c r="J167" s="429"/>
      <c r="K167" s="429"/>
      <c r="L167" s="429"/>
      <c r="M167" s="429"/>
      <c r="N167" s="429"/>
      <c r="O167" s="429"/>
      <c r="P167" s="429"/>
      <c r="Q167" s="429"/>
      <c r="R167" s="2"/>
      <c r="S167" s="2"/>
      <c r="T167" s="2"/>
      <c r="U167" s="2"/>
    </row>
    <row r="168" spans="1:21" ht="15.75" thickBot="1" x14ac:dyDescent="0.3">
      <c r="A168" s="2"/>
      <c r="B168" s="429"/>
      <c r="C168" s="440" t="s">
        <v>427</v>
      </c>
      <c r="D168" s="429"/>
      <c r="E168" s="429"/>
      <c r="F168" s="429"/>
      <c r="G168" s="429"/>
      <c r="H168" s="429"/>
      <c r="I168" s="429"/>
      <c r="J168" s="429"/>
      <c r="K168" s="429"/>
      <c r="L168" s="429"/>
      <c r="M168" s="429"/>
      <c r="N168" s="429"/>
      <c r="O168" s="429"/>
      <c r="P168" s="429"/>
      <c r="Q168" s="429"/>
      <c r="R168" s="2"/>
      <c r="S168" s="2"/>
      <c r="T168" s="2"/>
      <c r="U168" s="2"/>
    </row>
    <row r="169" spans="1:21" ht="16.5" thickTop="1" thickBot="1" x14ac:dyDescent="0.3">
      <c r="A169" s="2"/>
      <c r="B169" s="429"/>
      <c r="C169" s="429" t="s">
        <v>428</v>
      </c>
      <c r="D169" s="430" t="s">
        <v>429</v>
      </c>
      <c r="E169" s="668">
        <v>0</v>
      </c>
      <c r="F169" s="640"/>
      <c r="G169" s="760" t="str">
        <f>IF(DATI!E169&gt;('FOGLIO DEPOSITO'!W223*'FOGLIO DEPOSITO'!W227+'FOGLIO DEPOSITO'!W229*'FOGLIO DEPOSITO'!W233+'FOGLIO DEPOSITO'!W235*'FOGLIO DEPOSITO'!W239)/G216,"Se l'inclinazione è maggiore di ϕ' il terreno a monte slitta a valle!","")</f>
        <v/>
      </c>
      <c r="H169" s="127"/>
      <c r="I169" s="429"/>
      <c r="J169" s="429"/>
      <c r="K169" s="429"/>
      <c r="L169" s="429"/>
      <c r="M169" s="429"/>
      <c r="N169" s="429"/>
      <c r="O169" s="429"/>
      <c r="P169" s="429"/>
      <c r="Q169" s="429"/>
      <c r="R169" s="2"/>
      <c r="S169" s="2"/>
      <c r="T169" s="2"/>
      <c r="U169" s="2"/>
    </row>
    <row r="170" spans="1:21" ht="15.75" thickTop="1" x14ac:dyDescent="0.25">
      <c r="A170" s="2"/>
      <c r="B170" s="429"/>
      <c r="C170" s="429"/>
      <c r="D170" s="430" t="s">
        <v>430</v>
      </c>
      <c r="E170" s="761">
        <f>TAN(DATI!E169*PI()/180)*100</f>
        <v>0</v>
      </c>
      <c r="F170" s="640"/>
      <c r="G170" s="657"/>
      <c r="H170" s="127"/>
      <c r="I170" s="429"/>
      <c r="J170" s="429"/>
      <c r="K170" s="429"/>
      <c r="L170" s="429"/>
      <c r="M170" s="429"/>
      <c r="N170" s="429"/>
      <c r="O170" s="429"/>
      <c r="P170" s="429"/>
      <c r="Q170" s="429"/>
      <c r="R170" s="2"/>
      <c r="S170" s="2"/>
      <c r="T170" s="2"/>
      <c r="U170" s="2"/>
    </row>
    <row r="171" spans="1:21" x14ac:dyDescent="0.25">
      <c r="A171" s="2"/>
      <c r="B171" s="429"/>
      <c r="C171" s="440" t="s">
        <v>431</v>
      </c>
      <c r="D171" s="430"/>
      <c r="E171" s="762"/>
      <c r="F171" s="640"/>
      <c r="G171" s="657"/>
      <c r="H171" s="127"/>
      <c r="I171" s="429"/>
      <c r="J171" s="429"/>
      <c r="K171" s="429"/>
      <c r="L171" s="429"/>
      <c r="M171" s="429"/>
      <c r="N171" s="429"/>
      <c r="O171" s="429"/>
      <c r="P171" s="429"/>
      <c r="Q171" s="429"/>
      <c r="R171" s="2"/>
      <c r="S171" s="2"/>
      <c r="T171" s="2"/>
      <c r="U171" s="2"/>
    </row>
    <row r="172" spans="1:21" x14ac:dyDescent="0.25">
      <c r="A172" s="2"/>
      <c r="B172" s="429"/>
      <c r="C172" s="386" t="s">
        <v>432</v>
      </c>
      <c r="D172" s="429"/>
      <c r="E172" s="429"/>
      <c r="F172" s="429"/>
      <c r="G172" s="429"/>
      <c r="H172" s="429"/>
      <c r="I172" s="429"/>
      <c r="J172" s="429"/>
      <c r="K172" s="429"/>
      <c r="L172" s="429"/>
      <c r="M172" s="429"/>
      <c r="N172" s="429"/>
      <c r="O172" s="429"/>
      <c r="P172" s="429"/>
      <c r="Q172" s="429"/>
      <c r="R172" s="2"/>
      <c r="S172" s="2"/>
      <c r="T172" s="2"/>
      <c r="U172" s="2"/>
    </row>
    <row r="173" spans="1:21" ht="11.25" customHeight="1" thickBot="1" x14ac:dyDescent="0.3">
      <c r="A173" s="2"/>
      <c r="B173" s="429"/>
      <c r="C173" s="429"/>
      <c r="D173" s="429"/>
      <c r="E173" s="429"/>
      <c r="F173" s="429"/>
      <c r="G173" s="429"/>
      <c r="H173" s="429"/>
      <c r="I173" s="429"/>
      <c r="J173" s="429"/>
      <c r="K173" s="429"/>
      <c r="L173" s="429"/>
      <c r="M173" s="429"/>
      <c r="N173" s="429"/>
      <c r="O173" s="429"/>
      <c r="P173" s="429"/>
      <c r="Q173" s="429"/>
      <c r="R173" s="2"/>
      <c r="S173" s="2"/>
      <c r="T173" s="2"/>
      <c r="U173" s="2"/>
    </row>
    <row r="174" spans="1:21" ht="16.5" customHeight="1" thickTop="1" thickBot="1" x14ac:dyDescent="0.3">
      <c r="A174" s="2"/>
      <c r="B174" s="429"/>
      <c r="C174" s="429" t="s">
        <v>433</v>
      </c>
      <c r="D174" s="430" t="s">
        <v>58</v>
      </c>
      <c r="E174" s="668">
        <v>35</v>
      </c>
      <c r="F174" s="640"/>
      <c r="G174" s="856" t="s">
        <v>252</v>
      </c>
      <c r="H174" s="857"/>
      <c r="I174" s="429"/>
      <c r="J174" s="429"/>
      <c r="K174" s="429"/>
      <c r="L174" s="429"/>
      <c r="M174" s="429"/>
      <c r="N174" s="429"/>
      <c r="O174" s="429"/>
      <c r="P174" s="429"/>
      <c r="Q174" s="429"/>
      <c r="R174" s="2"/>
      <c r="S174" s="2"/>
      <c r="T174" s="2"/>
      <c r="U174" s="2"/>
    </row>
    <row r="175" spans="1:21" ht="16.5" thickTop="1" thickBot="1" x14ac:dyDescent="0.3">
      <c r="A175" s="2"/>
      <c r="B175" s="429"/>
      <c r="C175" s="429" t="s">
        <v>434</v>
      </c>
      <c r="D175" s="430" t="s">
        <v>435</v>
      </c>
      <c r="E175" s="225">
        <v>21</v>
      </c>
      <c r="F175" s="640"/>
      <c r="G175" s="858"/>
      <c r="H175" s="859"/>
      <c r="I175" s="429"/>
      <c r="J175" s="429"/>
      <c r="K175" s="429"/>
      <c r="L175" s="444"/>
      <c r="M175" s="429"/>
      <c r="N175" s="429"/>
      <c r="O175" s="429"/>
      <c r="P175" s="429"/>
      <c r="Q175" s="429"/>
      <c r="R175" s="2"/>
      <c r="S175" s="2"/>
      <c r="T175" s="2"/>
      <c r="U175" s="2"/>
    </row>
    <row r="176" spans="1:21" ht="16.5" customHeight="1" thickTop="1" thickBot="1" x14ac:dyDescent="0.3">
      <c r="A176" s="2"/>
      <c r="B176" s="429"/>
      <c r="C176" s="429" t="s">
        <v>436</v>
      </c>
      <c r="D176" s="632" t="s">
        <v>437</v>
      </c>
      <c r="E176" s="187">
        <v>0</v>
      </c>
      <c r="F176" s="640"/>
      <c r="G176" s="858"/>
      <c r="H176" s="859"/>
      <c r="I176" s="429"/>
      <c r="J176" s="429"/>
      <c r="K176" s="429"/>
      <c r="L176" s="429"/>
      <c r="M176" s="429"/>
      <c r="N176" s="429"/>
      <c r="O176" s="429"/>
      <c r="P176" s="429"/>
      <c r="Q176" s="429"/>
      <c r="R176" s="2"/>
      <c r="S176" s="2"/>
      <c r="T176" s="2"/>
      <c r="U176" s="2"/>
    </row>
    <row r="177" spans="1:21" ht="16.5" customHeight="1" thickTop="1" thickBot="1" x14ac:dyDescent="0.3">
      <c r="A177" s="2"/>
      <c r="B177" s="429"/>
      <c r="C177" s="429" t="s">
        <v>438</v>
      </c>
      <c r="D177" s="632" t="s">
        <v>439</v>
      </c>
      <c r="E177" s="187">
        <v>0</v>
      </c>
      <c r="F177" s="640"/>
      <c r="G177" s="858"/>
      <c r="H177" s="859"/>
      <c r="I177" s="429"/>
      <c r="J177" s="429"/>
      <c r="K177" s="429"/>
      <c r="L177" s="429"/>
      <c r="M177" s="429"/>
      <c r="N177" s="429"/>
      <c r="O177" s="429"/>
      <c r="P177" s="429"/>
      <c r="Q177" s="429"/>
      <c r="R177" s="2"/>
      <c r="S177" s="2"/>
      <c r="T177" s="2"/>
      <c r="U177" s="2"/>
    </row>
    <row r="178" spans="1:21" ht="16.5" customHeight="1" thickTop="1" thickBot="1" x14ac:dyDescent="0.3">
      <c r="A178" s="2"/>
      <c r="B178" s="429"/>
      <c r="C178" s="429" t="s">
        <v>440</v>
      </c>
      <c r="D178" s="430" t="s">
        <v>441</v>
      </c>
      <c r="E178" s="186">
        <v>2.8363333333333332</v>
      </c>
      <c r="F178" s="640"/>
      <c r="G178" s="860"/>
      <c r="H178" s="861"/>
      <c r="I178" s="429"/>
      <c r="J178" s="429"/>
      <c r="K178" s="429"/>
      <c r="L178" s="657"/>
      <c r="M178" s="429"/>
      <c r="N178" s="429"/>
      <c r="O178" s="429"/>
      <c r="P178" s="429"/>
      <c r="Q178" s="429"/>
      <c r="R178" s="2"/>
      <c r="S178" s="2"/>
      <c r="T178" s="2"/>
      <c r="U178" s="2"/>
    </row>
    <row r="179" spans="1:21" ht="16.5" customHeight="1" thickTop="1" thickBot="1" x14ac:dyDescent="0.35">
      <c r="A179" s="2"/>
      <c r="B179" s="429"/>
      <c r="C179" s="763" t="str">
        <f>IF('FOGLIO DEPOSITO'!W227&gt;G216,"AGGIORNA ALTEZZA DELLO STRATO 1 !!","")</f>
        <v/>
      </c>
      <c r="D179" s="430"/>
      <c r="E179" s="20"/>
      <c r="F179" s="640"/>
      <c r="G179" s="127"/>
      <c r="H179" s="127"/>
      <c r="I179" s="429"/>
      <c r="J179" s="429"/>
      <c r="K179" s="429"/>
      <c r="L179" s="429"/>
      <c r="M179" s="429"/>
      <c r="N179" s="429"/>
      <c r="O179" s="429"/>
      <c r="P179" s="429"/>
      <c r="Q179" s="429"/>
      <c r="R179" s="2"/>
      <c r="S179" s="2"/>
      <c r="T179" s="2"/>
      <c r="U179" s="2"/>
    </row>
    <row r="180" spans="1:21" ht="16.5" customHeight="1" thickTop="1" thickBot="1" x14ac:dyDescent="0.3">
      <c r="A180" s="2"/>
      <c r="B180" s="429"/>
      <c r="C180" s="429" t="s">
        <v>433</v>
      </c>
      <c r="D180" s="430" t="s">
        <v>58</v>
      </c>
      <c r="E180" s="668">
        <v>32</v>
      </c>
      <c r="F180" s="640"/>
      <c r="G180" s="856" t="s">
        <v>254</v>
      </c>
      <c r="H180" s="857"/>
      <c r="I180" s="429"/>
      <c r="J180" s="429"/>
      <c r="K180" s="429"/>
      <c r="L180" s="429"/>
      <c r="M180" s="429"/>
      <c r="N180" s="429"/>
      <c r="O180" s="429"/>
      <c r="P180" s="429"/>
      <c r="Q180" s="429"/>
      <c r="R180" s="2"/>
      <c r="S180" s="2"/>
      <c r="T180" s="2"/>
      <c r="U180" s="2"/>
    </row>
    <row r="181" spans="1:21" ht="16.5" customHeight="1" thickTop="1" thickBot="1" x14ac:dyDescent="0.3">
      <c r="A181" s="2"/>
      <c r="B181" s="429"/>
      <c r="C181" s="429" t="s">
        <v>434</v>
      </c>
      <c r="D181" s="430" t="s">
        <v>435</v>
      </c>
      <c r="E181" s="225">
        <v>19.5</v>
      </c>
      <c r="F181" s="640"/>
      <c r="G181" s="858"/>
      <c r="H181" s="859"/>
      <c r="I181" s="429"/>
      <c r="J181" s="429"/>
      <c r="K181" s="429"/>
      <c r="L181" s="429"/>
      <c r="M181" s="764"/>
      <c r="N181" s="764"/>
      <c r="O181" s="429"/>
      <c r="P181" s="429"/>
      <c r="Q181" s="764"/>
      <c r="R181" s="2"/>
      <c r="S181" s="2"/>
      <c r="T181" s="2"/>
      <c r="U181" s="2"/>
    </row>
    <row r="182" spans="1:21" ht="16.5" customHeight="1" thickTop="1" thickBot="1" x14ac:dyDescent="0.3">
      <c r="A182" s="2"/>
      <c r="B182" s="429"/>
      <c r="C182" s="429" t="s">
        <v>436</v>
      </c>
      <c r="D182" s="632" t="s">
        <v>437</v>
      </c>
      <c r="E182" s="187">
        <v>0</v>
      </c>
      <c r="F182" s="640"/>
      <c r="G182" s="858"/>
      <c r="H182" s="859"/>
      <c r="I182" s="429"/>
      <c r="J182" s="429"/>
      <c r="K182" s="429"/>
      <c r="L182" s="429"/>
      <c r="M182" s="429"/>
      <c r="N182" s="429"/>
      <c r="O182" s="429"/>
      <c r="P182" s="429"/>
      <c r="Q182" s="429"/>
      <c r="R182" s="2"/>
      <c r="S182" s="2"/>
      <c r="T182" s="2"/>
      <c r="U182" s="2"/>
    </row>
    <row r="183" spans="1:21" ht="16.5" customHeight="1" thickTop="1" thickBot="1" x14ac:dyDescent="0.3">
      <c r="A183" s="2"/>
      <c r="B183" s="429"/>
      <c r="C183" s="429" t="s">
        <v>438</v>
      </c>
      <c r="D183" s="632" t="s">
        <v>439</v>
      </c>
      <c r="E183" s="187">
        <v>0</v>
      </c>
      <c r="F183" s="640"/>
      <c r="G183" s="858"/>
      <c r="H183" s="859"/>
      <c r="I183" s="429"/>
      <c r="J183" s="429"/>
      <c r="K183" s="429"/>
      <c r="L183" s="429"/>
      <c r="M183" s="429"/>
      <c r="N183" s="429"/>
      <c r="O183" s="429"/>
      <c r="P183" s="429"/>
      <c r="Q183" s="429"/>
      <c r="R183" s="2"/>
      <c r="S183" s="2"/>
      <c r="T183" s="2"/>
      <c r="U183" s="2"/>
    </row>
    <row r="184" spans="1:21" ht="16.5" customHeight="1" thickTop="1" thickBot="1" x14ac:dyDescent="0.3">
      <c r="A184" s="2"/>
      <c r="B184" s="429"/>
      <c r="C184" s="429" t="s">
        <v>440</v>
      </c>
      <c r="D184" s="430" t="s">
        <v>441</v>
      </c>
      <c r="E184" s="186">
        <v>0.51366666666666694</v>
      </c>
      <c r="F184" s="640"/>
      <c r="G184" s="860"/>
      <c r="H184" s="861"/>
      <c r="I184" s="429"/>
      <c r="J184" s="429"/>
      <c r="K184" s="429"/>
      <c r="L184" s="429"/>
      <c r="M184" s="429"/>
      <c r="N184" s="429"/>
      <c r="O184" s="429"/>
      <c r="P184" s="429"/>
      <c r="Q184" s="429"/>
      <c r="R184" s="2"/>
      <c r="S184" s="2"/>
      <c r="T184" s="2"/>
      <c r="U184" s="2"/>
    </row>
    <row r="185" spans="1:21" ht="16.5" customHeight="1" thickTop="1" thickBot="1" x14ac:dyDescent="0.35">
      <c r="A185" s="2"/>
      <c r="B185" s="429"/>
      <c r="C185" s="763" t="str">
        <f>IF(ROUND('FOGLIO DEPOSITO'!W239,3)&lt;0,"AGGIORNA ALTEZZA DELLO STRATO 2 !!","")</f>
        <v/>
      </c>
      <c r="D185" s="430"/>
      <c r="E185" s="20"/>
      <c r="F185" s="640"/>
      <c r="G185" s="127"/>
      <c r="H185" s="127"/>
      <c r="I185" s="429"/>
      <c r="J185" s="429"/>
      <c r="K185" s="429"/>
      <c r="L185" s="429"/>
      <c r="M185" s="429"/>
      <c r="N185" s="429"/>
      <c r="O185" s="429"/>
      <c r="P185" s="429"/>
      <c r="Q185" s="429"/>
      <c r="R185" s="2"/>
      <c r="S185" s="2"/>
      <c r="T185" s="2"/>
      <c r="U185" s="2"/>
    </row>
    <row r="186" spans="1:21" ht="16.5" customHeight="1" thickTop="1" thickBot="1" x14ac:dyDescent="0.3">
      <c r="A186" s="2"/>
      <c r="B186" s="429"/>
      <c r="C186" s="429" t="s">
        <v>433</v>
      </c>
      <c r="D186" s="430" t="s">
        <v>58</v>
      </c>
      <c r="E186" s="668">
        <v>35</v>
      </c>
      <c r="F186" s="640"/>
      <c r="G186" s="856" t="s">
        <v>258</v>
      </c>
      <c r="H186" s="857"/>
      <c r="I186" s="429"/>
      <c r="J186" s="429"/>
      <c r="K186" s="429"/>
      <c r="L186" s="429"/>
      <c r="M186" s="429"/>
      <c r="N186" s="429"/>
      <c r="O186" s="429"/>
      <c r="P186" s="429"/>
      <c r="Q186" s="429"/>
      <c r="R186" s="2"/>
      <c r="S186" s="2"/>
      <c r="T186" s="2"/>
      <c r="U186" s="2"/>
    </row>
    <row r="187" spans="1:21" ht="16.5" customHeight="1" thickTop="1" thickBot="1" x14ac:dyDescent="0.3">
      <c r="A187" s="2"/>
      <c r="B187" s="429"/>
      <c r="C187" s="429" t="s">
        <v>434</v>
      </c>
      <c r="D187" s="430" t="s">
        <v>435</v>
      </c>
      <c r="E187" s="225">
        <v>21</v>
      </c>
      <c r="F187" s="640"/>
      <c r="G187" s="858"/>
      <c r="H187" s="859"/>
      <c r="I187" s="429"/>
      <c r="J187" s="429"/>
      <c r="K187" s="429"/>
      <c r="L187" s="429"/>
      <c r="M187" s="429"/>
      <c r="N187" s="429"/>
      <c r="O187" s="429"/>
      <c r="P187" s="429"/>
      <c r="Q187" s="429"/>
      <c r="R187" s="2"/>
      <c r="S187" s="2"/>
      <c r="T187" s="2"/>
      <c r="U187" s="2"/>
    </row>
    <row r="188" spans="1:21" ht="16.5" customHeight="1" thickTop="1" thickBot="1" x14ac:dyDescent="0.3">
      <c r="A188" s="2"/>
      <c r="B188" s="429"/>
      <c r="C188" s="429" t="s">
        <v>436</v>
      </c>
      <c r="D188" s="632" t="s">
        <v>437</v>
      </c>
      <c r="E188" s="187">
        <v>0</v>
      </c>
      <c r="F188" s="640"/>
      <c r="G188" s="858"/>
      <c r="H188" s="859"/>
      <c r="I188" s="429"/>
      <c r="J188" s="429"/>
      <c r="K188" s="429"/>
      <c r="L188" s="429"/>
      <c r="M188" s="429"/>
      <c r="N188" s="429"/>
      <c r="O188" s="429"/>
      <c r="P188" s="429"/>
      <c r="Q188" s="429"/>
      <c r="R188" s="2"/>
      <c r="S188" s="2"/>
      <c r="T188" s="2"/>
      <c r="U188" s="2"/>
    </row>
    <row r="189" spans="1:21" ht="16.5" customHeight="1" thickTop="1" thickBot="1" x14ac:dyDescent="0.3">
      <c r="A189" s="2"/>
      <c r="B189" s="429"/>
      <c r="C189" s="429" t="s">
        <v>438</v>
      </c>
      <c r="D189" s="632" t="s">
        <v>439</v>
      </c>
      <c r="E189" s="187">
        <v>0</v>
      </c>
      <c r="F189" s="640"/>
      <c r="G189" s="858"/>
      <c r="H189" s="859"/>
      <c r="I189" s="429"/>
      <c r="J189" s="429"/>
      <c r="K189" s="429"/>
      <c r="L189" s="429"/>
      <c r="M189" s="429"/>
      <c r="N189" s="429"/>
      <c r="O189" s="429"/>
      <c r="P189" s="429"/>
      <c r="Q189" s="429"/>
      <c r="R189" s="2"/>
      <c r="S189" s="2"/>
      <c r="T189" s="2"/>
      <c r="U189" s="2"/>
    </row>
    <row r="190" spans="1:21" ht="16.5" customHeight="1" thickTop="1" thickBot="1" x14ac:dyDescent="0.3">
      <c r="A190" s="2"/>
      <c r="B190" s="429"/>
      <c r="C190" s="429" t="s">
        <v>440</v>
      </c>
      <c r="D190" s="430" t="s">
        <v>441</v>
      </c>
      <c r="E190" s="543">
        <f>G216-E178-E184</f>
        <v>0</v>
      </c>
      <c r="F190" s="640"/>
      <c r="G190" s="860"/>
      <c r="H190" s="861"/>
      <c r="I190" s="429"/>
      <c r="J190" s="429"/>
      <c r="K190" s="429"/>
      <c r="L190" s="429"/>
      <c r="M190" s="429"/>
      <c r="N190" s="429"/>
      <c r="O190" s="429"/>
      <c r="P190" s="429"/>
      <c r="Q190" s="429"/>
      <c r="R190" s="2"/>
      <c r="S190" s="2"/>
      <c r="T190" s="2"/>
      <c r="U190" s="2"/>
    </row>
    <row r="191" spans="1:21" ht="16.5" customHeight="1" thickTop="1" x14ac:dyDescent="0.25">
      <c r="A191" s="2"/>
      <c r="B191" s="429"/>
      <c r="C191" s="429"/>
      <c r="D191" s="429"/>
      <c r="E191" s="429"/>
      <c r="F191" s="640"/>
      <c r="G191" s="127"/>
      <c r="H191" s="127"/>
      <c r="I191" s="429"/>
      <c r="J191" s="429"/>
      <c r="K191" s="429"/>
      <c r="L191" s="429"/>
      <c r="M191" s="429"/>
      <c r="N191" s="429"/>
      <c r="O191" s="429"/>
      <c r="P191" s="429"/>
      <c r="Q191" s="429"/>
      <c r="R191" s="2"/>
      <c r="S191" s="2"/>
      <c r="T191" s="2"/>
      <c r="U191" s="2"/>
    </row>
    <row r="192" spans="1:21" ht="16.5" customHeight="1" x14ac:dyDescent="0.25">
      <c r="A192" s="2"/>
      <c r="B192" s="429"/>
      <c r="C192" s="440" t="s">
        <v>442</v>
      </c>
      <c r="D192" s="429"/>
      <c r="E192" s="429"/>
      <c r="F192" s="640"/>
      <c r="G192" s="127"/>
      <c r="H192" s="127"/>
      <c r="I192" s="429"/>
      <c r="J192" s="429"/>
      <c r="K192" s="429"/>
      <c r="L192" s="429"/>
      <c r="M192" s="429"/>
      <c r="N192" s="429"/>
      <c r="O192" s="429"/>
      <c r="P192" s="429"/>
      <c r="Q192" s="429"/>
      <c r="R192" s="2"/>
      <c r="S192" s="2"/>
      <c r="T192" s="2"/>
      <c r="U192" s="2"/>
    </row>
    <row r="193" spans="1:21" ht="10.5" customHeight="1" thickBot="1" x14ac:dyDescent="0.3">
      <c r="A193" s="2"/>
      <c r="B193" s="429"/>
      <c r="C193" s="429"/>
      <c r="D193" s="429"/>
      <c r="E193" s="429"/>
      <c r="F193" s="640"/>
      <c r="G193" s="127"/>
      <c r="H193" s="127"/>
      <c r="I193" s="429"/>
      <c r="J193" s="429"/>
      <c r="K193" s="429"/>
      <c r="L193" s="429"/>
      <c r="M193" s="429"/>
      <c r="N193" s="429"/>
      <c r="O193" s="429"/>
      <c r="P193" s="429"/>
      <c r="Q193" s="429"/>
      <c r="R193" s="2"/>
      <c r="S193" s="2"/>
      <c r="T193" s="2"/>
      <c r="U193" s="2"/>
    </row>
    <row r="194" spans="1:21" ht="16.5" customHeight="1" thickTop="1" thickBot="1" x14ac:dyDescent="0.3">
      <c r="A194" s="2"/>
      <c r="B194" s="429"/>
      <c r="C194" s="429" t="s">
        <v>443</v>
      </c>
      <c r="D194" s="429"/>
      <c r="E194" s="67" t="s">
        <v>158</v>
      </c>
      <c r="F194" s="640"/>
      <c r="G194" s="127"/>
      <c r="H194" s="127"/>
      <c r="I194" s="429"/>
      <c r="J194" s="429"/>
      <c r="K194" s="429"/>
      <c r="L194" s="429"/>
      <c r="M194" s="429"/>
      <c r="N194" s="429"/>
      <c r="O194" s="429"/>
      <c r="P194" s="429"/>
      <c r="Q194" s="429"/>
      <c r="R194" s="2"/>
      <c r="S194" s="2"/>
      <c r="T194" s="2"/>
      <c r="U194" s="2"/>
    </row>
    <row r="195" spans="1:21" ht="16.5" customHeight="1" thickTop="1" thickBot="1" x14ac:dyDescent="0.3">
      <c r="A195" s="2"/>
      <c r="B195" s="429"/>
      <c r="C195" s="429" t="s">
        <v>444</v>
      </c>
      <c r="D195" s="430" t="s">
        <v>445</v>
      </c>
      <c r="E195" s="186">
        <v>5.35</v>
      </c>
      <c r="F195" s="640"/>
      <c r="G195" s="127"/>
      <c r="H195" s="127"/>
      <c r="I195" s="429"/>
      <c r="J195" s="429"/>
      <c r="K195" s="429"/>
      <c r="L195" s="429"/>
      <c r="M195" s="429"/>
      <c r="N195" s="429"/>
      <c r="O195" s="429"/>
      <c r="P195" s="429"/>
      <c r="Q195" s="429"/>
      <c r="R195" s="2"/>
      <c r="S195" s="2"/>
      <c r="T195" s="2"/>
      <c r="U195" s="2"/>
    </row>
    <row r="196" spans="1:21" ht="16.5" customHeight="1" thickTop="1" thickBot="1" x14ac:dyDescent="0.3">
      <c r="A196" s="2"/>
      <c r="B196" s="429"/>
      <c r="C196" s="429" t="s">
        <v>446</v>
      </c>
      <c r="D196" s="430" t="s">
        <v>447</v>
      </c>
      <c r="E196" s="225">
        <v>10</v>
      </c>
      <c r="F196" s="640"/>
      <c r="G196" s="127"/>
      <c r="H196" s="127"/>
      <c r="I196" s="429"/>
      <c r="J196" s="429"/>
      <c r="K196" s="429"/>
      <c r="L196" s="429"/>
      <c r="M196" s="429"/>
      <c r="N196" s="429"/>
      <c r="O196" s="429"/>
      <c r="P196" s="429"/>
      <c r="Q196" s="429"/>
      <c r="R196" s="2"/>
      <c r="S196" s="2"/>
      <c r="T196" s="2"/>
      <c r="U196" s="2"/>
    </row>
    <row r="197" spans="1:21" ht="16.5" customHeight="1" thickTop="1" x14ac:dyDescent="0.25">
      <c r="A197" s="2"/>
      <c r="B197" s="429"/>
      <c r="C197" s="429"/>
      <c r="D197" s="430"/>
      <c r="E197" s="698"/>
      <c r="F197" s="640"/>
      <c r="G197" s="127"/>
      <c r="H197" s="127"/>
      <c r="I197" s="429"/>
      <c r="J197" s="429"/>
      <c r="K197" s="429"/>
      <c r="L197" s="429"/>
      <c r="M197" s="429"/>
      <c r="N197" s="429"/>
      <c r="O197" s="429"/>
      <c r="P197" s="429"/>
      <c r="Q197" s="429"/>
      <c r="R197" s="2"/>
      <c r="S197" s="2"/>
      <c r="T197" s="2"/>
      <c r="U197" s="2"/>
    </row>
    <row r="198" spans="1:21" ht="16.5" customHeight="1" x14ac:dyDescent="0.25">
      <c r="A198" s="2"/>
      <c r="B198" s="429"/>
      <c r="C198" s="440" t="s">
        <v>448</v>
      </c>
      <c r="D198" s="430"/>
      <c r="E198" s="698"/>
      <c r="F198" s="640"/>
      <c r="G198" s="127"/>
      <c r="H198" s="127"/>
      <c r="I198" s="429"/>
      <c r="J198" s="429"/>
      <c r="K198" s="429"/>
      <c r="L198" s="429"/>
      <c r="M198" s="429"/>
      <c r="N198" s="429"/>
      <c r="O198" s="429"/>
      <c r="P198" s="429"/>
      <c r="Q198" s="429"/>
      <c r="R198" s="2"/>
      <c r="S198" s="2"/>
      <c r="T198" s="2"/>
      <c r="U198" s="2"/>
    </row>
    <row r="199" spans="1:21" ht="12.75" customHeight="1" thickBot="1" x14ac:dyDescent="0.3">
      <c r="A199" s="2"/>
      <c r="B199" s="429"/>
      <c r="C199" s="429"/>
      <c r="D199" s="429"/>
      <c r="E199" s="429"/>
      <c r="F199" s="640"/>
      <c r="G199" s="127"/>
      <c r="H199" s="127"/>
      <c r="I199" s="429"/>
      <c r="J199" s="429"/>
      <c r="K199" s="429"/>
      <c r="L199" s="429"/>
      <c r="M199" s="429"/>
      <c r="N199" s="429"/>
      <c r="O199" s="429"/>
      <c r="P199" s="429"/>
      <c r="Q199" s="429"/>
      <c r="R199" s="2"/>
      <c r="S199" s="2"/>
      <c r="T199" s="2"/>
      <c r="U199" s="2"/>
    </row>
    <row r="200" spans="1:21" ht="16.5" thickTop="1" thickBot="1" x14ac:dyDescent="0.3">
      <c r="A200" s="2"/>
      <c r="B200" s="429"/>
      <c r="C200" s="429" t="s">
        <v>449</v>
      </c>
      <c r="D200" s="430"/>
      <c r="E200" s="67" t="s">
        <v>155</v>
      </c>
      <c r="F200" s="429"/>
      <c r="G200" s="429"/>
      <c r="H200" s="429"/>
      <c r="I200" s="429"/>
      <c r="J200" s="429"/>
      <c r="K200" s="429"/>
      <c r="L200" s="429"/>
      <c r="M200" s="429"/>
      <c r="N200" s="429"/>
      <c r="O200" s="429"/>
      <c r="P200" s="429"/>
      <c r="Q200" s="429"/>
      <c r="R200" s="2"/>
      <c r="S200" s="2"/>
      <c r="T200" s="2"/>
      <c r="U200" s="2"/>
    </row>
    <row r="201" spans="1:21" ht="15.75" thickTop="1" x14ac:dyDescent="0.25">
      <c r="A201" s="2"/>
      <c r="B201" s="429"/>
      <c r="C201" s="429"/>
      <c r="D201" s="430"/>
      <c r="E201" s="20"/>
      <c r="F201" s="429"/>
      <c r="G201" s="429"/>
      <c r="H201" s="429"/>
      <c r="I201" s="429"/>
      <c r="J201" s="429"/>
      <c r="K201" s="429"/>
      <c r="L201" s="429"/>
      <c r="M201" s="429"/>
      <c r="N201" s="429"/>
      <c r="O201" s="429"/>
      <c r="P201" s="429"/>
      <c r="Q201" s="429"/>
      <c r="R201" s="2"/>
      <c r="S201" s="2"/>
      <c r="T201" s="2"/>
      <c r="U201" s="2"/>
    </row>
    <row r="202" spans="1:21" x14ac:dyDescent="0.25">
      <c r="A202" s="2"/>
      <c r="B202" s="429"/>
      <c r="C202" s="440" t="s">
        <v>450</v>
      </c>
      <c r="D202" s="430"/>
      <c r="E202" s="20"/>
      <c r="F202" s="429"/>
      <c r="G202" s="429"/>
      <c r="H202" s="429"/>
      <c r="I202" s="429"/>
      <c r="J202" s="429"/>
      <c r="K202" s="429"/>
      <c r="L202" s="429"/>
      <c r="M202" s="429"/>
      <c r="N202" s="429"/>
      <c r="O202" s="429"/>
      <c r="P202" s="429"/>
      <c r="Q202" s="429"/>
      <c r="R202" s="2"/>
      <c r="S202" s="2"/>
      <c r="T202" s="2"/>
      <c r="U202" s="2"/>
    </row>
    <row r="203" spans="1:21" ht="15.75" thickBot="1" x14ac:dyDescent="0.3">
      <c r="A203" s="2"/>
      <c r="B203" s="429"/>
      <c r="C203" s="429"/>
      <c r="D203" s="429"/>
      <c r="E203" s="429"/>
      <c r="F203" s="429"/>
      <c r="G203" s="429"/>
      <c r="H203" s="429"/>
      <c r="I203" s="429"/>
      <c r="J203" s="429"/>
      <c r="K203" s="429"/>
      <c r="L203" s="429"/>
      <c r="M203" s="429"/>
      <c r="N203" s="429"/>
      <c r="O203" s="429"/>
      <c r="P203" s="429"/>
      <c r="Q203" s="429"/>
      <c r="R203" s="2"/>
      <c r="S203" s="2"/>
      <c r="T203" s="2"/>
      <c r="U203" s="2"/>
    </row>
    <row r="204" spans="1:21" ht="16.5" thickTop="1" thickBot="1" x14ac:dyDescent="0.3">
      <c r="A204" s="2"/>
      <c r="B204" s="429"/>
      <c r="C204" s="67" t="s">
        <v>270</v>
      </c>
      <c r="D204" s="430"/>
      <c r="E204" s="698"/>
      <c r="F204" s="640"/>
      <c r="G204" s="657"/>
      <c r="H204" s="127"/>
      <c r="I204" s="429"/>
      <c r="J204" s="429"/>
      <c r="K204" s="429"/>
      <c r="L204" s="429"/>
      <c r="M204" s="429"/>
      <c r="N204" s="429"/>
      <c r="O204" s="429"/>
      <c r="P204" s="429"/>
      <c r="Q204" s="429"/>
      <c r="R204" s="2"/>
      <c r="S204" s="2"/>
      <c r="T204" s="2"/>
      <c r="U204" s="2"/>
    </row>
    <row r="205" spans="1:21" ht="15.75" thickTop="1" x14ac:dyDescent="0.25">
      <c r="A205" s="2"/>
      <c r="B205" s="429"/>
      <c r="C205" s="429"/>
      <c r="D205" s="430"/>
      <c r="E205" s="698"/>
      <c r="F205" s="640"/>
      <c r="G205" s="657"/>
      <c r="H205" s="127"/>
      <c r="I205" s="429"/>
      <c r="J205" s="429"/>
      <c r="K205" s="429"/>
      <c r="L205" s="429"/>
      <c r="M205" s="429"/>
      <c r="N205" s="429"/>
      <c r="O205" s="429"/>
      <c r="P205" s="429"/>
      <c r="Q205" s="429"/>
      <c r="R205" s="2"/>
      <c r="S205" s="2"/>
      <c r="T205" s="2"/>
      <c r="U205" s="2"/>
    </row>
    <row r="206" spans="1:21" x14ac:dyDescent="0.25">
      <c r="A206" s="2"/>
      <c r="B206" s="429"/>
      <c r="C206" s="440" t="s">
        <v>451</v>
      </c>
      <c r="D206" s="430"/>
      <c r="E206" s="688"/>
      <c r="F206" s="640"/>
      <c r="G206" s="657"/>
      <c r="H206" s="127"/>
      <c r="I206" s="429"/>
      <c r="J206" s="429"/>
      <c r="K206" s="429"/>
      <c r="L206" s="429"/>
      <c r="M206" s="429"/>
      <c r="N206" s="429"/>
      <c r="O206" s="429"/>
      <c r="P206" s="429"/>
      <c r="Q206" s="429"/>
      <c r="R206" s="2"/>
      <c r="S206" s="2"/>
      <c r="T206" s="2"/>
      <c r="U206" s="2"/>
    </row>
    <row r="207" spans="1:21" x14ac:dyDescent="0.25">
      <c r="A207" s="2"/>
      <c r="B207" s="429"/>
      <c r="C207" s="429"/>
      <c r="D207" s="430"/>
      <c r="E207" s="429"/>
      <c r="F207" s="640"/>
      <c r="G207" s="127"/>
      <c r="H207" s="127"/>
      <c r="I207" s="429"/>
      <c r="J207" s="429"/>
      <c r="K207" s="429"/>
      <c r="L207" s="429"/>
      <c r="M207" s="429"/>
      <c r="N207" s="429"/>
      <c r="O207" s="429"/>
      <c r="P207" s="429"/>
      <c r="Q207" s="429"/>
      <c r="R207" s="2"/>
      <c r="S207" s="2"/>
      <c r="T207" s="2"/>
      <c r="U207" s="2"/>
    </row>
    <row r="208" spans="1:21" x14ac:dyDescent="0.25">
      <c r="A208" s="2"/>
      <c r="B208" s="429"/>
      <c r="C208" s="429"/>
      <c r="D208" s="430"/>
      <c r="E208" s="688"/>
      <c r="F208" s="640"/>
      <c r="G208" s="127"/>
      <c r="H208" s="127"/>
      <c r="I208" s="429"/>
      <c r="J208" s="429"/>
      <c r="K208" s="429"/>
      <c r="L208" s="429"/>
      <c r="M208" s="429"/>
      <c r="N208" s="429"/>
      <c r="O208" s="429"/>
      <c r="P208" s="429"/>
      <c r="Q208" s="429"/>
      <c r="R208" s="2"/>
      <c r="S208" s="2"/>
      <c r="T208" s="2"/>
      <c r="U208" s="2"/>
    </row>
    <row r="209" spans="1:21" x14ac:dyDescent="0.25">
      <c r="A209" s="2"/>
      <c r="B209" s="429"/>
      <c r="C209" s="429"/>
      <c r="D209" s="430"/>
      <c r="E209" s="688"/>
      <c r="F209" s="640"/>
      <c r="G209" s="127"/>
      <c r="H209" s="127"/>
      <c r="I209" s="429"/>
      <c r="J209" s="429"/>
      <c r="K209" s="429"/>
      <c r="L209" s="429"/>
      <c r="M209" s="429"/>
      <c r="N209" s="429"/>
      <c r="O209" s="429"/>
      <c r="P209" s="429"/>
      <c r="Q209" s="429"/>
      <c r="R209" s="2"/>
      <c r="S209" s="2"/>
      <c r="T209" s="2"/>
      <c r="U209" s="2"/>
    </row>
    <row r="210" spans="1:21" x14ac:dyDescent="0.25">
      <c r="A210" s="2"/>
      <c r="B210" s="429"/>
      <c r="C210" s="429"/>
      <c r="D210" s="430"/>
      <c r="E210" s="688"/>
      <c r="F210" s="640"/>
      <c r="G210" s="127"/>
      <c r="H210" s="127"/>
      <c r="I210" s="429"/>
      <c r="J210" s="429"/>
      <c r="K210" s="429"/>
      <c r="L210" s="429"/>
      <c r="M210" s="429"/>
      <c r="N210" s="429"/>
      <c r="O210" s="429"/>
      <c r="P210" s="429"/>
      <c r="Q210" s="429"/>
      <c r="R210" s="2"/>
      <c r="S210" s="2"/>
      <c r="T210" s="2"/>
      <c r="U210" s="2"/>
    </row>
    <row r="211" spans="1:21" x14ac:dyDescent="0.25">
      <c r="A211" s="2"/>
      <c r="B211" s="429"/>
      <c r="C211" s="429"/>
      <c r="D211" s="430"/>
      <c r="E211" s="688"/>
      <c r="F211" s="640"/>
      <c r="G211" s="127"/>
      <c r="H211" s="127"/>
      <c r="I211" s="429"/>
      <c r="J211" s="429"/>
      <c r="K211" s="429"/>
      <c r="L211" s="429"/>
      <c r="M211" s="429"/>
      <c r="N211" s="429"/>
      <c r="O211" s="429"/>
      <c r="P211" s="429"/>
      <c r="Q211" s="429"/>
      <c r="R211" s="2"/>
      <c r="S211" s="2"/>
      <c r="T211" s="2"/>
      <c r="U211" s="2"/>
    </row>
    <row r="212" spans="1:21" x14ac:dyDescent="0.25">
      <c r="A212" s="2"/>
      <c r="B212" s="429"/>
      <c r="C212" s="429"/>
      <c r="D212" s="430"/>
      <c r="E212" s="429"/>
      <c r="F212" s="429"/>
      <c r="G212" s="429"/>
      <c r="H212" s="127"/>
      <c r="I212" s="429"/>
      <c r="J212" s="429"/>
      <c r="K212" s="429"/>
      <c r="L212" s="429"/>
      <c r="M212" s="429"/>
      <c r="N212" s="429"/>
      <c r="O212" s="429"/>
      <c r="P212" s="429"/>
      <c r="Q212" s="429"/>
      <c r="R212" s="2"/>
      <c r="S212" s="2"/>
      <c r="T212" s="2"/>
      <c r="U212" s="2"/>
    </row>
    <row r="213" spans="1:21" x14ac:dyDescent="0.25">
      <c r="A213" s="2"/>
      <c r="B213" s="429"/>
      <c r="C213" s="429"/>
      <c r="D213" s="430"/>
      <c r="E213" s="429"/>
      <c r="F213" s="429"/>
      <c r="G213" s="429"/>
      <c r="H213" s="429"/>
      <c r="I213" s="429"/>
      <c r="J213" s="429"/>
      <c r="K213" s="429"/>
      <c r="L213" s="429"/>
      <c r="M213" s="429"/>
      <c r="N213" s="429"/>
      <c r="O213" s="429"/>
      <c r="P213" s="429"/>
      <c r="Q213" s="429"/>
      <c r="R213" s="2"/>
      <c r="S213" s="2"/>
      <c r="T213" s="2"/>
      <c r="U213" s="2"/>
    </row>
    <row r="214" spans="1:21" x14ac:dyDescent="0.25">
      <c r="A214" s="2"/>
      <c r="B214" s="429"/>
      <c r="C214" s="429"/>
      <c r="D214" s="430"/>
      <c r="E214" s="429"/>
      <c r="F214" s="429"/>
      <c r="G214" s="429"/>
      <c r="H214" s="429"/>
      <c r="I214" s="429"/>
      <c r="J214" s="429"/>
      <c r="K214" s="429"/>
      <c r="L214" s="429"/>
      <c r="M214" s="429"/>
      <c r="N214" s="429"/>
      <c r="O214" s="429"/>
      <c r="P214" s="429"/>
      <c r="Q214" s="429"/>
      <c r="R214" s="2"/>
      <c r="S214" s="2"/>
      <c r="T214" s="2"/>
      <c r="U214" s="2"/>
    </row>
    <row r="215" spans="1:21" x14ac:dyDescent="0.25">
      <c r="A215" s="2"/>
      <c r="B215" s="429"/>
      <c r="C215" s="429"/>
      <c r="D215" s="430"/>
      <c r="E215" s="688"/>
      <c r="F215" s="429"/>
      <c r="G215" s="429"/>
      <c r="H215" s="429"/>
      <c r="I215" s="429"/>
      <c r="J215" s="429"/>
      <c r="K215" s="429"/>
      <c r="L215" s="429"/>
      <c r="M215" s="429"/>
      <c r="N215" s="429"/>
      <c r="O215" s="429"/>
      <c r="P215" s="429"/>
      <c r="Q215" s="429"/>
      <c r="R215" s="2"/>
      <c r="S215" s="2"/>
      <c r="T215" s="2"/>
      <c r="U215" s="2"/>
    </row>
    <row r="216" spans="1:21" x14ac:dyDescent="0.25">
      <c r="A216" s="2"/>
      <c r="B216" s="429"/>
      <c r="C216" s="429"/>
      <c r="D216" s="430"/>
      <c r="E216" s="864" t="s">
        <v>452</v>
      </c>
      <c r="F216" s="864"/>
      <c r="G216" s="543">
        <f>IF(DATI!G218="dx",E60+E74+TAN(DATI!E169*PI()/180)*'FOGLIO DEPOSITO'!D212,E60+E74+TAN(DATI!E169*PI()/180)*E75)</f>
        <v>3.35</v>
      </c>
      <c r="H216" s="127"/>
      <c r="I216" s="429"/>
      <c r="J216" s="429"/>
      <c r="K216" s="429"/>
      <c r="L216" s="429"/>
      <c r="M216" s="429"/>
      <c r="N216" s="429"/>
      <c r="O216" s="429"/>
      <c r="P216" s="429"/>
      <c r="Q216" s="429"/>
      <c r="R216" s="2"/>
      <c r="S216" s="2"/>
      <c r="T216" s="2"/>
      <c r="U216" s="2"/>
    </row>
    <row r="217" spans="1:21" ht="15.75" thickBot="1" x14ac:dyDescent="0.3">
      <c r="A217" s="2"/>
      <c r="B217" s="429"/>
      <c r="C217" s="429"/>
      <c r="D217" s="430"/>
      <c r="E217" s="688"/>
      <c r="F217" s="640"/>
      <c r="G217" s="127"/>
      <c r="H217" s="127"/>
      <c r="I217" s="429"/>
      <c r="J217" s="429"/>
      <c r="K217" s="429"/>
      <c r="L217" s="429"/>
      <c r="M217" s="429"/>
      <c r="N217" s="429"/>
      <c r="O217" s="429"/>
      <c r="P217" s="429"/>
      <c r="Q217" s="429"/>
      <c r="R217" s="2"/>
      <c r="S217" s="2"/>
      <c r="T217" s="2"/>
      <c r="U217" s="2"/>
    </row>
    <row r="218" spans="1:21" ht="16.5" thickTop="1" thickBot="1" x14ac:dyDescent="0.3">
      <c r="A218" s="2"/>
      <c r="B218" s="429"/>
      <c r="C218" s="429"/>
      <c r="D218" s="430"/>
      <c r="E218" s="862" t="s">
        <v>453</v>
      </c>
      <c r="F218" s="863"/>
      <c r="G218" s="186" t="s">
        <v>129</v>
      </c>
      <c r="H218" s="127"/>
      <c r="I218" s="429"/>
      <c r="J218" s="429"/>
      <c r="K218" s="429"/>
      <c r="L218" s="429"/>
      <c r="M218" s="429"/>
      <c r="N218" s="429"/>
      <c r="O218" s="429"/>
      <c r="P218" s="429"/>
      <c r="Q218" s="429"/>
      <c r="R218" s="2"/>
      <c r="S218" s="2"/>
      <c r="T218" s="2"/>
      <c r="U218" s="2"/>
    </row>
    <row r="219" spans="1:21" ht="15.75" thickTop="1" x14ac:dyDescent="0.25">
      <c r="A219" s="2"/>
      <c r="B219" s="429"/>
      <c r="C219" s="429"/>
      <c r="D219" s="430"/>
      <c r="E219" s="688"/>
      <c r="F219" s="429"/>
      <c r="G219" s="429"/>
      <c r="H219" s="127"/>
      <c r="I219" s="429"/>
      <c r="J219" s="429"/>
      <c r="K219" s="429"/>
      <c r="L219" s="429"/>
      <c r="M219" s="429"/>
      <c r="N219" s="429"/>
      <c r="O219" s="429"/>
      <c r="P219" s="429"/>
      <c r="Q219" s="429"/>
      <c r="R219" s="2"/>
      <c r="S219" s="2"/>
      <c r="T219" s="2"/>
      <c r="U219" s="2"/>
    </row>
    <row r="220" spans="1:21" x14ac:dyDescent="0.25">
      <c r="A220" s="2"/>
      <c r="B220" s="429"/>
      <c r="C220" s="429"/>
      <c r="D220" s="430"/>
      <c r="E220" s="688"/>
      <c r="F220" s="429"/>
      <c r="G220" s="429"/>
      <c r="H220" s="127"/>
      <c r="I220" s="429"/>
      <c r="J220" s="429"/>
      <c r="K220" s="429"/>
      <c r="L220" s="429"/>
      <c r="M220" s="429"/>
      <c r="N220" s="429"/>
      <c r="O220" s="429"/>
      <c r="P220" s="429"/>
      <c r="Q220" s="429"/>
      <c r="R220" s="2"/>
      <c r="S220" s="2"/>
      <c r="T220" s="2"/>
      <c r="U220" s="2"/>
    </row>
    <row r="221" spans="1:21" x14ac:dyDescent="0.25">
      <c r="A221" s="2"/>
      <c r="B221" s="429"/>
      <c r="C221" s="429"/>
      <c r="D221" s="430"/>
      <c r="E221" s="688"/>
      <c r="F221" s="429"/>
      <c r="G221" s="429"/>
      <c r="H221" s="127"/>
      <c r="I221" s="429"/>
      <c r="J221" s="429"/>
      <c r="K221" s="429"/>
      <c r="L221" s="429"/>
      <c r="M221" s="429"/>
      <c r="N221" s="429"/>
      <c r="O221" s="429"/>
      <c r="P221" s="429"/>
      <c r="Q221" s="429"/>
      <c r="R221" s="2"/>
      <c r="S221" s="2"/>
      <c r="T221" s="2"/>
      <c r="U221" s="2"/>
    </row>
    <row r="222" spans="1:21" x14ac:dyDescent="0.25">
      <c r="A222" s="2"/>
      <c r="B222" s="429"/>
      <c r="C222" s="429"/>
      <c r="D222" s="430"/>
      <c r="E222" s="688"/>
      <c r="F222" s="429"/>
      <c r="G222" s="429"/>
      <c r="H222" s="127"/>
      <c r="I222" s="429"/>
      <c r="J222" s="429"/>
      <c r="K222" s="429"/>
      <c r="L222" s="429"/>
      <c r="M222" s="429"/>
      <c r="N222" s="429"/>
      <c r="O222" s="429"/>
      <c r="P222" s="429"/>
      <c r="Q222" s="429"/>
      <c r="R222" s="2"/>
      <c r="S222" s="2"/>
      <c r="T222" s="2"/>
      <c r="U222" s="2"/>
    </row>
    <row r="223" spans="1:21" x14ac:dyDescent="0.25">
      <c r="A223" s="2"/>
      <c r="B223" s="429"/>
      <c r="C223" s="429"/>
      <c r="D223" s="430"/>
      <c r="E223" s="688"/>
      <c r="F223" s="429"/>
      <c r="G223" s="429"/>
      <c r="H223" s="127"/>
      <c r="I223" s="429"/>
      <c r="J223" s="429"/>
      <c r="K223" s="429"/>
      <c r="L223" s="429"/>
      <c r="M223" s="429"/>
      <c r="N223" s="429"/>
      <c r="O223" s="429"/>
      <c r="P223" s="429"/>
      <c r="Q223" s="429"/>
      <c r="R223" s="2"/>
      <c r="S223" s="2"/>
      <c r="T223" s="2"/>
      <c r="U223" s="2"/>
    </row>
    <row r="224" spans="1:21" x14ac:dyDescent="0.25">
      <c r="A224" s="2"/>
      <c r="B224" s="429"/>
      <c r="C224" s="429"/>
      <c r="D224" s="430"/>
      <c r="E224" s="688"/>
      <c r="F224" s="429"/>
      <c r="G224" s="429"/>
      <c r="H224" s="127"/>
      <c r="I224" s="429"/>
      <c r="J224" s="429"/>
      <c r="K224" s="429"/>
      <c r="L224" s="429"/>
      <c r="M224" s="429"/>
      <c r="N224" s="429"/>
      <c r="O224" s="429"/>
      <c r="P224" s="429"/>
      <c r="Q224" s="429"/>
      <c r="R224" s="2"/>
      <c r="S224" s="2"/>
      <c r="T224" s="2"/>
      <c r="U224" s="2"/>
    </row>
    <row r="225" spans="1:21" x14ac:dyDescent="0.25">
      <c r="A225" s="2"/>
      <c r="B225" s="429"/>
      <c r="C225" s="429"/>
      <c r="D225" s="430"/>
      <c r="E225" s="688"/>
      <c r="F225" s="429"/>
      <c r="G225" s="429"/>
      <c r="H225" s="127"/>
      <c r="I225" s="429"/>
      <c r="J225" s="429"/>
      <c r="K225" s="429"/>
      <c r="L225" s="429"/>
      <c r="M225" s="429"/>
      <c r="N225" s="429"/>
      <c r="O225" s="429"/>
      <c r="P225" s="429"/>
      <c r="Q225" s="429"/>
      <c r="R225" s="2"/>
      <c r="S225" s="2"/>
      <c r="T225" s="2"/>
      <c r="U225" s="2"/>
    </row>
    <row r="226" spans="1:21" x14ac:dyDescent="0.25">
      <c r="A226" s="2"/>
      <c r="B226" s="429"/>
      <c r="C226" s="429"/>
      <c r="D226" s="430"/>
      <c r="E226" s="688"/>
      <c r="F226" s="429"/>
      <c r="G226" s="429"/>
      <c r="H226" s="127"/>
      <c r="I226" s="429"/>
      <c r="J226" s="429"/>
      <c r="K226" s="429"/>
      <c r="L226" s="429"/>
      <c r="M226" s="429"/>
      <c r="N226" s="429"/>
      <c r="O226" s="429"/>
      <c r="P226" s="429"/>
      <c r="Q226" s="429"/>
      <c r="R226" s="2"/>
      <c r="S226" s="2"/>
      <c r="T226" s="2"/>
      <c r="U226" s="2"/>
    </row>
    <row r="227" spans="1:21" x14ac:dyDescent="0.25">
      <c r="A227" s="2"/>
      <c r="B227" s="429"/>
      <c r="C227" s="429"/>
      <c r="D227" s="430"/>
      <c r="E227" s="688"/>
      <c r="F227" s="429"/>
      <c r="G227" s="429"/>
      <c r="H227" s="127"/>
      <c r="I227" s="429"/>
      <c r="J227" s="429"/>
      <c r="K227" s="429"/>
      <c r="L227" s="429"/>
      <c r="M227" s="429"/>
      <c r="N227" s="429"/>
      <c r="O227" s="429"/>
      <c r="P227" s="429"/>
      <c r="Q227" s="429"/>
      <c r="R227" s="2"/>
      <c r="S227" s="2"/>
      <c r="T227" s="2"/>
      <c r="U227" s="2"/>
    </row>
    <row r="228" spans="1:21" x14ac:dyDescent="0.25">
      <c r="A228" s="2"/>
      <c r="B228" s="429"/>
      <c r="C228" s="429"/>
      <c r="D228" s="430"/>
      <c r="E228" s="688"/>
      <c r="F228" s="429"/>
      <c r="G228" s="429"/>
      <c r="H228" s="127"/>
      <c r="I228" s="429"/>
      <c r="J228" s="429"/>
      <c r="K228" s="429"/>
      <c r="L228" s="429"/>
      <c r="M228" s="429"/>
      <c r="N228" s="429"/>
      <c r="O228" s="429"/>
      <c r="P228" s="429"/>
      <c r="Q228" s="429"/>
      <c r="R228" s="2"/>
      <c r="S228" s="2"/>
      <c r="T228" s="2"/>
      <c r="U228" s="2"/>
    </row>
    <row r="229" spans="1:21" x14ac:dyDescent="0.25">
      <c r="A229" s="2"/>
      <c r="B229" s="429"/>
      <c r="C229" s="429"/>
      <c r="D229" s="430"/>
      <c r="E229" s="688"/>
      <c r="F229" s="429"/>
      <c r="G229" s="429"/>
      <c r="H229" s="127"/>
      <c r="I229" s="429"/>
      <c r="J229" s="429"/>
      <c r="K229" s="429"/>
      <c r="L229" s="429"/>
      <c r="M229" s="429"/>
      <c r="N229" s="429"/>
      <c r="O229" s="429"/>
      <c r="P229" s="429"/>
      <c r="Q229" s="429"/>
      <c r="R229" s="2"/>
      <c r="S229" s="2"/>
      <c r="T229" s="2"/>
      <c r="U229" s="2"/>
    </row>
    <row r="230" spans="1:21" x14ac:dyDescent="0.25">
      <c r="A230" s="2"/>
      <c r="B230" s="429"/>
      <c r="C230" s="429"/>
      <c r="D230" s="430"/>
      <c r="E230" s="688"/>
      <c r="F230" s="429"/>
      <c r="G230" s="429"/>
      <c r="H230" s="127"/>
      <c r="I230" s="429"/>
      <c r="J230" s="429"/>
      <c r="K230" s="429"/>
      <c r="L230" s="429"/>
      <c r="M230" s="429"/>
      <c r="N230" s="429"/>
      <c r="O230" s="429"/>
      <c r="P230" s="429"/>
      <c r="Q230" s="429"/>
      <c r="R230" s="2"/>
      <c r="S230" s="2"/>
      <c r="T230" s="2"/>
      <c r="U230" s="2"/>
    </row>
    <row r="231" spans="1:21" x14ac:dyDescent="0.25">
      <c r="A231" s="2"/>
      <c r="B231" s="429"/>
      <c r="C231" s="429"/>
      <c r="D231" s="430"/>
      <c r="E231" s="688"/>
      <c r="F231" s="640"/>
      <c r="G231" s="127"/>
      <c r="H231" s="127"/>
      <c r="I231" s="429"/>
      <c r="J231" s="429"/>
      <c r="K231" s="429"/>
      <c r="L231" s="429"/>
      <c r="M231" s="429"/>
      <c r="N231" s="429"/>
      <c r="O231" s="429"/>
      <c r="P231" s="429"/>
      <c r="Q231" s="429"/>
      <c r="R231" s="2"/>
      <c r="S231" s="2"/>
      <c r="T231" s="2"/>
      <c r="U231" s="2"/>
    </row>
    <row r="232" spans="1:21" x14ac:dyDescent="0.25">
      <c r="A232" s="2"/>
      <c r="B232" s="429"/>
      <c r="C232" s="429"/>
      <c r="D232" s="430"/>
      <c r="E232" s="688"/>
      <c r="F232" s="640"/>
      <c r="G232" s="127"/>
      <c r="H232" s="127"/>
      <c r="I232" s="429"/>
      <c r="J232" s="429"/>
      <c r="K232" s="429"/>
      <c r="L232" s="429"/>
      <c r="M232" s="429"/>
      <c r="N232" s="429"/>
      <c r="O232" s="429"/>
      <c r="P232" s="429"/>
      <c r="Q232" s="429"/>
      <c r="R232" s="2"/>
      <c r="S232" s="2"/>
      <c r="T232" s="2"/>
      <c r="U232" s="2"/>
    </row>
    <row r="233" spans="1:21" x14ac:dyDescent="0.25">
      <c r="A233" s="2"/>
      <c r="B233" s="429"/>
      <c r="C233" s="429"/>
      <c r="D233" s="430"/>
      <c r="E233" s="688"/>
      <c r="F233" s="640"/>
      <c r="G233" s="127"/>
      <c r="H233" s="127"/>
      <c r="I233" s="429"/>
      <c r="J233" s="429"/>
      <c r="K233" s="429"/>
      <c r="L233" s="429"/>
      <c r="M233" s="429"/>
      <c r="N233" s="429"/>
      <c r="O233" s="429"/>
      <c r="P233" s="429"/>
      <c r="Q233" s="429"/>
      <c r="R233" s="2"/>
      <c r="S233" s="2"/>
      <c r="T233" s="2"/>
      <c r="U233" s="2"/>
    </row>
    <row r="234" spans="1:21" x14ac:dyDescent="0.25">
      <c r="A234" s="2"/>
      <c r="B234" s="429"/>
      <c r="C234" s="429"/>
      <c r="D234" s="430"/>
      <c r="E234" s="688"/>
      <c r="F234" s="640"/>
      <c r="G234" s="127"/>
      <c r="H234" s="127"/>
      <c r="I234" s="429"/>
      <c r="J234" s="429"/>
      <c r="K234" s="429"/>
      <c r="L234" s="429"/>
      <c r="M234" s="429"/>
      <c r="N234" s="429"/>
      <c r="O234" s="429"/>
      <c r="P234" s="429"/>
      <c r="Q234" s="429"/>
      <c r="R234" s="2"/>
      <c r="S234" s="2"/>
      <c r="T234" s="2"/>
      <c r="U234" s="2"/>
    </row>
    <row r="235" spans="1:21" x14ac:dyDescent="0.25">
      <c r="A235" s="2"/>
      <c r="B235" s="429"/>
      <c r="C235" s="429"/>
      <c r="D235" s="430"/>
      <c r="E235" s="688"/>
      <c r="F235" s="640"/>
      <c r="G235" s="127"/>
      <c r="H235" s="127"/>
      <c r="I235" s="429"/>
      <c r="J235" s="429"/>
      <c r="K235" s="429"/>
      <c r="L235" s="429"/>
      <c r="M235" s="429"/>
      <c r="N235" s="429"/>
      <c r="O235" s="429"/>
      <c r="P235" s="429"/>
      <c r="Q235" s="429"/>
      <c r="R235" s="2"/>
      <c r="S235" s="2"/>
      <c r="T235" s="2"/>
      <c r="U235" s="2"/>
    </row>
    <row r="236" spans="1:21" x14ac:dyDescent="0.25">
      <c r="A236" s="2"/>
      <c r="B236" s="429"/>
      <c r="C236" s="429"/>
      <c r="D236" s="430"/>
      <c r="E236" s="688"/>
      <c r="F236" s="640"/>
      <c r="G236" s="127"/>
      <c r="H236" s="127"/>
      <c r="I236" s="429"/>
      <c r="J236" s="429"/>
      <c r="K236" s="429"/>
      <c r="L236" s="429"/>
      <c r="M236" s="429"/>
      <c r="N236" s="429"/>
      <c r="O236" s="429"/>
      <c r="P236" s="429"/>
      <c r="Q236" s="429"/>
      <c r="R236" s="2"/>
      <c r="S236" s="2"/>
      <c r="T236" s="2"/>
      <c r="U236" s="2"/>
    </row>
    <row r="237" spans="1:21" x14ac:dyDescent="0.25">
      <c r="A237" s="2"/>
      <c r="B237" s="429"/>
      <c r="C237" s="429"/>
      <c r="D237" s="430"/>
      <c r="E237" s="688"/>
      <c r="F237" s="640"/>
      <c r="G237" s="127"/>
      <c r="H237" s="127"/>
      <c r="I237" s="429"/>
      <c r="J237" s="429"/>
      <c r="K237" s="429"/>
      <c r="L237" s="429"/>
      <c r="M237" s="429"/>
      <c r="N237" s="429"/>
      <c r="O237" s="429"/>
      <c r="P237" s="429"/>
      <c r="Q237" s="429"/>
      <c r="R237" s="2"/>
      <c r="S237" s="2"/>
      <c r="T237" s="2"/>
      <c r="U237" s="2"/>
    </row>
    <row r="238" spans="1:21" x14ac:dyDescent="0.25">
      <c r="A238" s="2"/>
      <c r="B238" s="429"/>
      <c r="C238" s="429"/>
      <c r="D238" s="430"/>
      <c r="E238" s="20"/>
      <c r="F238" s="640"/>
      <c r="G238" s="127"/>
      <c r="H238" s="127"/>
      <c r="I238" s="429"/>
      <c r="J238" s="429"/>
      <c r="K238" s="429"/>
      <c r="L238" s="429"/>
      <c r="M238" s="429"/>
      <c r="N238" s="429"/>
      <c r="O238" s="429"/>
      <c r="P238" s="429"/>
      <c r="Q238" s="429"/>
      <c r="R238" s="2"/>
      <c r="S238" s="2"/>
      <c r="T238" s="2"/>
      <c r="U238" s="2"/>
    </row>
    <row r="239" spans="1:21" x14ac:dyDescent="0.25">
      <c r="A239" s="2"/>
      <c r="B239" s="429"/>
      <c r="C239" s="429"/>
      <c r="D239" s="430"/>
      <c r="E239" s="20"/>
      <c r="F239" s="640"/>
      <c r="G239" s="127"/>
      <c r="H239" s="127"/>
      <c r="I239" s="429"/>
      <c r="J239" s="429"/>
      <c r="K239" s="429"/>
      <c r="L239" s="429"/>
      <c r="M239" s="429"/>
      <c r="N239" s="429"/>
      <c r="O239" s="429"/>
      <c r="P239" s="429"/>
      <c r="Q239" s="429"/>
      <c r="R239" s="2"/>
      <c r="S239" s="2"/>
      <c r="T239" s="2"/>
      <c r="U239" s="2"/>
    </row>
    <row r="240" spans="1:21" x14ac:dyDescent="0.25">
      <c r="A240" s="2"/>
      <c r="B240" s="429"/>
      <c r="C240" s="429"/>
      <c r="D240" s="430"/>
      <c r="E240" s="20"/>
      <c r="F240" s="640"/>
      <c r="G240" s="127"/>
      <c r="H240" s="127"/>
      <c r="I240" s="429"/>
      <c r="J240" s="429"/>
      <c r="K240" s="429"/>
      <c r="L240" s="429"/>
      <c r="M240" s="429"/>
      <c r="N240" s="429"/>
      <c r="O240" s="429"/>
      <c r="P240" s="429"/>
      <c r="Q240" s="429"/>
      <c r="R240" s="2"/>
      <c r="S240" s="2"/>
      <c r="T240" s="2"/>
      <c r="U240" s="2"/>
    </row>
    <row r="241" spans="1:21" x14ac:dyDescent="0.25">
      <c r="A241" s="2"/>
      <c r="B241" s="429"/>
      <c r="C241" s="440" t="s">
        <v>454</v>
      </c>
      <c r="D241" s="430"/>
      <c r="E241" s="20"/>
      <c r="F241" s="640"/>
      <c r="G241" s="127"/>
      <c r="H241" s="127"/>
      <c r="I241" s="429"/>
      <c r="J241" s="429"/>
      <c r="K241" s="429"/>
      <c r="L241" s="429"/>
      <c r="M241" s="429"/>
      <c r="N241" s="429"/>
      <c r="O241" s="429"/>
      <c r="P241" s="429"/>
      <c r="Q241" s="429"/>
      <c r="R241" s="2"/>
      <c r="S241" s="2"/>
      <c r="T241" s="2"/>
      <c r="U241" s="2"/>
    </row>
    <row r="242" spans="1:21" s="428" customFormat="1" ht="15.75" thickBot="1" x14ac:dyDescent="0.3">
      <c r="A242" s="429"/>
      <c r="B242" s="429"/>
      <c r="C242" s="440"/>
      <c r="D242" s="430"/>
      <c r="E242" s="20"/>
      <c r="F242" s="640"/>
      <c r="G242" s="127"/>
      <c r="H242" s="127"/>
      <c r="I242" s="429"/>
      <c r="J242" s="429"/>
      <c r="K242" s="429"/>
      <c r="L242" s="429"/>
      <c r="M242" s="429"/>
      <c r="N242" s="429"/>
      <c r="O242" s="429"/>
      <c r="P242" s="429"/>
      <c r="Q242" s="429"/>
      <c r="R242" s="429"/>
      <c r="S242" s="429"/>
      <c r="T242" s="429"/>
      <c r="U242" s="429"/>
    </row>
    <row r="243" spans="1:21" s="428" customFormat="1" ht="16.5" thickTop="1" thickBot="1" x14ac:dyDescent="0.3">
      <c r="A243" s="429"/>
      <c r="B243" s="429"/>
      <c r="C243" s="674" t="s">
        <v>1031</v>
      </c>
      <c r="D243" s="430"/>
      <c r="E243" s="20"/>
      <c r="F243" s="640"/>
      <c r="G243" s="127"/>
      <c r="H243" s="127"/>
      <c r="I243" s="429"/>
      <c r="J243" s="429"/>
      <c r="K243" s="429"/>
      <c r="L243" s="429"/>
      <c r="M243" s="429"/>
      <c r="N243" s="429"/>
      <c r="O243" s="429"/>
      <c r="P243" s="429"/>
      <c r="Q243" s="429"/>
      <c r="R243" s="429"/>
      <c r="S243" s="429"/>
      <c r="T243" s="429"/>
      <c r="U243" s="429"/>
    </row>
    <row r="244" spans="1:21" s="428" customFormat="1" ht="15.75" thickTop="1" x14ac:dyDescent="0.25">
      <c r="A244" s="429"/>
      <c r="B244" s="429"/>
      <c r="C244" s="673"/>
      <c r="D244" s="430"/>
      <c r="E244" s="20"/>
      <c r="F244" s="640"/>
      <c r="G244" s="127"/>
      <c r="H244" s="127"/>
      <c r="I244" s="429"/>
      <c r="J244" s="429"/>
      <c r="K244" s="429"/>
      <c r="L244" s="429"/>
      <c r="M244" s="429"/>
      <c r="N244" s="429"/>
      <c r="O244" s="429"/>
      <c r="P244" s="429"/>
      <c r="Q244" s="429"/>
      <c r="R244" s="429"/>
      <c r="S244" s="429"/>
      <c r="T244" s="429"/>
      <c r="U244" s="429"/>
    </row>
    <row r="245" spans="1:21" s="428" customFormat="1" x14ac:dyDescent="0.25">
      <c r="A245" s="429"/>
      <c r="B245" s="429"/>
      <c r="C245" s="429" t="s">
        <v>1055</v>
      </c>
      <c r="D245" s="430" t="s">
        <v>1047</v>
      </c>
      <c r="E245" s="651" t="str">
        <f>VLOOKUP(C243,'FOGLIO DEPOSITO'!B275:G286,6,FALSE)</f>
        <v>0,7-1</v>
      </c>
      <c r="F245" s="640"/>
      <c r="G245" s="127"/>
      <c r="H245" s="127"/>
      <c r="I245" s="429"/>
      <c r="J245" s="429"/>
      <c r="K245" s="429"/>
      <c r="L245" s="429"/>
      <c r="M245" s="429"/>
      <c r="N245" s="429"/>
      <c r="O245" s="429"/>
      <c r="P245" s="429"/>
      <c r="Q245" s="429"/>
      <c r="R245" s="429"/>
      <c r="S245" s="429"/>
      <c r="T245" s="429"/>
      <c r="U245" s="429"/>
    </row>
    <row r="246" spans="1:21" s="428" customFormat="1" x14ac:dyDescent="0.25">
      <c r="A246" s="429"/>
      <c r="B246" s="429"/>
      <c r="C246" s="429" t="s">
        <v>1054</v>
      </c>
      <c r="D246" s="430" t="s">
        <v>301</v>
      </c>
      <c r="E246" s="672">
        <f>VLOOKUP(C243,'FOGLIO DEPOSITO'!B275:G286,4,FALSE)</f>
        <v>107100</v>
      </c>
      <c r="F246" s="640"/>
      <c r="G246" s="127"/>
      <c r="H246" s="127"/>
      <c r="I246" s="429"/>
      <c r="J246" s="429"/>
      <c r="K246" s="429"/>
      <c r="L246" s="429"/>
      <c r="M246" s="429"/>
      <c r="N246" s="429"/>
      <c r="O246" s="429"/>
      <c r="P246" s="429"/>
      <c r="Q246" s="429"/>
      <c r="R246" s="429"/>
      <c r="S246" s="429"/>
      <c r="T246" s="429"/>
      <c r="U246" s="429"/>
    </row>
    <row r="247" spans="1:21" s="428" customFormat="1" x14ac:dyDescent="0.25">
      <c r="A247" s="429"/>
      <c r="B247" s="429"/>
      <c r="C247" s="429" t="s">
        <v>1053</v>
      </c>
      <c r="D247" s="430" t="s">
        <v>465</v>
      </c>
      <c r="E247" s="672">
        <f>VLOOKUP(C243,'FOGLIO DEPOSITO'!B275:I286,7,FALSE)</f>
        <v>91426.829268292684</v>
      </c>
      <c r="F247" s="640"/>
      <c r="G247" s="127"/>
      <c r="H247" s="127"/>
      <c r="I247" s="429"/>
      <c r="J247" s="429"/>
      <c r="K247" s="429"/>
      <c r="L247" s="429"/>
      <c r="M247" s="429"/>
      <c r="N247" s="429"/>
      <c r="O247" s="429"/>
      <c r="P247" s="429"/>
      <c r="Q247" s="429"/>
      <c r="R247" s="429"/>
      <c r="S247" s="429"/>
      <c r="T247" s="429"/>
      <c r="U247" s="429"/>
    </row>
    <row r="248" spans="1:21" s="428" customFormat="1" x14ac:dyDescent="0.25">
      <c r="A248" s="429"/>
      <c r="B248" s="429"/>
      <c r="C248" s="429" t="s">
        <v>1052</v>
      </c>
      <c r="D248" s="430" t="s">
        <v>1042</v>
      </c>
      <c r="E248" s="651">
        <f>VLOOKUP(C243,'FOGLIO DEPOSITO'!B275:G286,5,FALSE)</f>
        <v>0.3</v>
      </c>
      <c r="F248" s="640"/>
      <c r="G248" s="127"/>
      <c r="H248" s="127"/>
      <c r="I248" s="429"/>
      <c r="J248" s="429"/>
      <c r="K248" s="429"/>
      <c r="L248" s="429"/>
      <c r="M248" s="429"/>
      <c r="N248" s="429"/>
      <c r="O248" s="429"/>
      <c r="P248" s="429"/>
      <c r="Q248" s="429"/>
      <c r="R248" s="429"/>
      <c r="S248" s="429"/>
      <c r="T248" s="429"/>
      <c r="U248" s="429"/>
    </row>
    <row r="249" spans="1:21" s="428" customFormat="1" x14ac:dyDescent="0.25">
      <c r="A249" s="429"/>
      <c r="B249" s="429"/>
      <c r="C249" s="429" t="s">
        <v>1051</v>
      </c>
      <c r="D249" s="430" t="s">
        <v>1050</v>
      </c>
      <c r="E249" s="671">
        <f>('FOGLIO DEPOSITO'!E169/((E75+E76)*E61)^0.5)*(1/(1-E248^2))*E247*10^-3</f>
        <v>81.679612874190028</v>
      </c>
      <c r="F249" s="640"/>
      <c r="G249" s="127"/>
      <c r="H249" s="127"/>
      <c r="I249" s="429"/>
      <c r="J249" s="429"/>
      <c r="K249" s="429"/>
      <c r="L249" s="429"/>
      <c r="M249" s="429"/>
      <c r="N249" s="429"/>
      <c r="O249" s="429"/>
      <c r="P249" s="429"/>
      <c r="Q249" s="429"/>
      <c r="R249" s="429"/>
      <c r="S249" s="429"/>
      <c r="T249" s="429"/>
      <c r="U249" s="429"/>
    </row>
    <row r="250" spans="1:21" s="428" customFormat="1" ht="15.75" thickBot="1" x14ac:dyDescent="0.3">
      <c r="A250" s="429"/>
      <c r="B250" s="429"/>
      <c r="C250" s="440"/>
      <c r="D250" s="430"/>
      <c r="E250" s="20"/>
      <c r="F250" s="640"/>
      <c r="G250" s="127"/>
      <c r="H250" s="127"/>
      <c r="I250" s="429"/>
      <c r="J250" s="429"/>
      <c r="K250" s="429"/>
      <c r="L250" s="429"/>
      <c r="M250" s="429"/>
      <c r="N250" s="429"/>
      <c r="O250" s="429"/>
      <c r="P250" s="429"/>
      <c r="Q250" s="429"/>
      <c r="R250" s="429"/>
      <c r="S250" s="429"/>
      <c r="T250" s="429"/>
      <c r="U250" s="429"/>
    </row>
    <row r="251" spans="1:21" ht="16.5" customHeight="1" thickTop="1" thickBot="1" x14ac:dyDescent="0.3">
      <c r="A251" s="2"/>
      <c r="B251" s="429"/>
      <c r="C251" s="429" t="s">
        <v>455</v>
      </c>
      <c r="D251" s="430" t="s">
        <v>108</v>
      </c>
      <c r="E251" s="668">
        <v>0</v>
      </c>
      <c r="F251" s="640"/>
      <c r="G251" s="856" t="s">
        <v>262</v>
      </c>
      <c r="H251" s="857"/>
      <c r="I251" s="429"/>
      <c r="J251" s="429"/>
      <c r="K251" s="429"/>
      <c r="L251" s="429"/>
      <c r="M251" s="429"/>
      <c r="N251" s="429"/>
      <c r="O251" s="759"/>
      <c r="P251" s="429"/>
      <c r="Q251" s="429"/>
      <c r="R251" s="2"/>
      <c r="S251" s="2"/>
      <c r="T251" s="2"/>
      <c r="U251" s="2"/>
    </row>
    <row r="252" spans="1:21" ht="16.5" thickTop="1" thickBot="1" x14ac:dyDescent="0.3">
      <c r="A252" s="2"/>
      <c r="B252" s="429"/>
      <c r="C252" s="429" t="s">
        <v>456</v>
      </c>
      <c r="D252" s="430" t="s">
        <v>457</v>
      </c>
      <c r="E252" s="668">
        <v>0</v>
      </c>
      <c r="F252" s="640"/>
      <c r="G252" s="858"/>
      <c r="H252" s="859"/>
      <c r="I252" s="429"/>
      <c r="J252" s="444"/>
      <c r="K252" s="444"/>
      <c r="L252" s="444"/>
      <c r="M252" s="444"/>
      <c r="N252" s="444"/>
      <c r="O252" s="429"/>
      <c r="P252" s="429"/>
      <c r="Q252" s="429"/>
      <c r="R252" s="2"/>
      <c r="S252" s="2"/>
      <c r="T252" s="2"/>
      <c r="U252" s="2"/>
    </row>
    <row r="253" spans="1:21" ht="16.5" customHeight="1" thickTop="1" thickBot="1" x14ac:dyDescent="0.3">
      <c r="A253" s="2"/>
      <c r="B253" s="429"/>
      <c r="C253" s="429" t="s">
        <v>433</v>
      </c>
      <c r="D253" s="430" t="s">
        <v>58</v>
      </c>
      <c r="E253" s="668">
        <v>35</v>
      </c>
      <c r="F253" s="640"/>
      <c r="G253" s="858"/>
      <c r="H253" s="859"/>
      <c r="I253" s="429"/>
      <c r="J253" s="444"/>
      <c r="K253" s="444"/>
      <c r="L253" s="444"/>
      <c r="M253" s="444"/>
      <c r="N253" s="444"/>
      <c r="O253" s="429"/>
      <c r="P253" s="429"/>
      <c r="Q253" s="429"/>
      <c r="R253" s="2"/>
      <c r="S253" s="2"/>
      <c r="T253" s="2"/>
      <c r="U253" s="2"/>
    </row>
    <row r="254" spans="1:21" ht="16.5" customHeight="1" thickTop="1" thickBot="1" x14ac:dyDescent="0.3">
      <c r="A254" s="2"/>
      <c r="B254" s="429"/>
      <c r="C254" s="429" t="s">
        <v>458</v>
      </c>
      <c r="D254" s="632" t="s">
        <v>437</v>
      </c>
      <c r="E254" s="187">
        <v>0</v>
      </c>
      <c r="F254" s="640"/>
      <c r="G254" s="858"/>
      <c r="H254" s="859"/>
      <c r="I254" s="429"/>
      <c r="J254" s="444"/>
      <c r="K254" s="444"/>
      <c r="L254" s="444"/>
      <c r="M254" s="444"/>
      <c r="N254" s="444"/>
      <c r="O254" s="429"/>
      <c r="P254" s="429"/>
      <c r="Q254" s="429"/>
      <c r="R254" s="2"/>
      <c r="S254" s="2"/>
      <c r="T254" s="2"/>
      <c r="U254" s="2"/>
    </row>
    <row r="255" spans="1:21" ht="16.5" thickTop="1" thickBot="1" x14ac:dyDescent="0.3">
      <c r="A255" s="2"/>
      <c r="B255" s="429"/>
      <c r="C255" s="429" t="s">
        <v>438</v>
      </c>
      <c r="D255" s="632" t="s">
        <v>439</v>
      </c>
      <c r="E255" s="187">
        <v>0</v>
      </c>
      <c r="F255" s="640"/>
      <c r="G255" s="858"/>
      <c r="H255" s="859"/>
      <c r="I255" s="429"/>
      <c r="J255" s="444"/>
      <c r="K255" s="444"/>
      <c r="L255" s="444"/>
      <c r="M255" s="444"/>
      <c r="N255" s="444"/>
      <c r="O255" s="429"/>
      <c r="P255" s="429"/>
      <c r="Q255" s="429"/>
      <c r="R255" s="2"/>
      <c r="S255" s="2"/>
      <c r="T255" s="2"/>
      <c r="U255" s="2"/>
    </row>
    <row r="256" spans="1:21" s="428" customFormat="1" ht="16.5" thickTop="1" thickBot="1" x14ac:dyDescent="0.3">
      <c r="A256" s="429"/>
      <c r="B256" s="429"/>
      <c r="C256" s="429" t="s">
        <v>869</v>
      </c>
      <c r="D256" s="430" t="s">
        <v>859</v>
      </c>
      <c r="E256" s="185">
        <v>19.5</v>
      </c>
      <c r="F256" s="640"/>
      <c r="G256" s="858"/>
      <c r="H256" s="859"/>
      <c r="I256" s="429"/>
      <c r="J256" s="444"/>
      <c r="K256" s="444"/>
      <c r="L256" s="444"/>
      <c r="M256" s="444"/>
      <c r="N256" s="444"/>
      <c r="O256" s="429"/>
      <c r="P256" s="429"/>
      <c r="Q256" s="429"/>
      <c r="R256" s="429"/>
      <c r="S256" s="429"/>
      <c r="T256" s="429"/>
      <c r="U256" s="429"/>
    </row>
    <row r="257" spans="1:21" ht="16.5" thickTop="1" thickBot="1" x14ac:dyDescent="0.3">
      <c r="A257" s="2"/>
      <c r="B257" s="429"/>
      <c r="C257" s="429" t="s">
        <v>459</v>
      </c>
      <c r="D257" s="430" t="s">
        <v>858</v>
      </c>
      <c r="E257" s="185">
        <v>19.5</v>
      </c>
      <c r="F257" s="640"/>
      <c r="G257" s="858"/>
      <c r="H257" s="859"/>
      <c r="I257" s="429"/>
      <c r="J257" s="429"/>
      <c r="K257" s="429"/>
      <c r="L257" s="429"/>
      <c r="M257" s="429"/>
      <c r="N257" s="429"/>
      <c r="O257" s="429"/>
      <c r="P257" s="429"/>
      <c r="Q257" s="429"/>
      <c r="R257" s="2"/>
      <c r="S257" s="2"/>
      <c r="T257" s="2"/>
      <c r="U257" s="2"/>
    </row>
    <row r="258" spans="1:21" ht="16.5" thickTop="1" thickBot="1" x14ac:dyDescent="0.3">
      <c r="A258" s="2"/>
      <c r="B258" s="429"/>
      <c r="C258" s="429" t="s">
        <v>870</v>
      </c>
      <c r="D258" s="632" t="s">
        <v>296</v>
      </c>
      <c r="E258" s="186">
        <v>0.8</v>
      </c>
      <c r="F258" s="640"/>
      <c r="G258" s="860"/>
      <c r="H258" s="861"/>
      <c r="I258" s="429"/>
      <c r="J258" s="429"/>
      <c r="K258" s="429"/>
      <c r="L258" s="429"/>
      <c r="M258" s="429"/>
      <c r="N258" s="429"/>
      <c r="O258" s="429"/>
      <c r="P258" s="429"/>
      <c r="Q258" s="429"/>
      <c r="R258" s="2"/>
      <c r="S258" s="2"/>
      <c r="T258" s="2"/>
      <c r="U258" s="2"/>
    </row>
    <row r="259" spans="1:21" ht="16.5" customHeight="1" thickTop="1" thickBot="1" x14ac:dyDescent="0.3">
      <c r="A259" s="2"/>
      <c r="B259" s="429"/>
      <c r="C259" s="429" t="s">
        <v>460</v>
      </c>
      <c r="D259" s="430" t="s">
        <v>445</v>
      </c>
      <c r="E259" s="765">
        <f>IF(E194="no",30,IF((E195-E60-E74)&gt;=0,E195-E60-E74,0))</f>
        <v>1.9999999999999996</v>
      </c>
      <c r="F259" s="640"/>
      <c r="G259" s="429"/>
      <c r="H259" s="429"/>
      <c r="I259" s="429"/>
      <c r="J259" s="429"/>
      <c r="K259" s="429"/>
      <c r="L259" s="429"/>
      <c r="M259" s="429"/>
      <c r="N259" s="429"/>
      <c r="O259" s="429"/>
      <c r="P259" s="429"/>
      <c r="Q259" s="429"/>
      <c r="R259" s="2"/>
      <c r="S259" s="2"/>
      <c r="T259" s="2"/>
      <c r="U259" s="2"/>
    </row>
    <row r="260" spans="1:21" ht="16.5" thickTop="1" thickBot="1" x14ac:dyDescent="0.3">
      <c r="A260" s="2"/>
      <c r="B260" s="429"/>
      <c r="C260" s="437" t="s">
        <v>768</v>
      </c>
      <c r="D260" s="450" t="s">
        <v>705</v>
      </c>
      <c r="E260" s="67" t="s">
        <v>158</v>
      </c>
      <c r="F260" s="640"/>
      <c r="G260" s="429"/>
      <c r="H260" s="429"/>
      <c r="I260" s="429"/>
      <c r="J260" s="429"/>
      <c r="K260" s="429"/>
      <c r="L260" s="429"/>
      <c r="M260" s="429"/>
      <c r="N260" s="429"/>
      <c r="O260" s="429"/>
      <c r="P260" s="429"/>
      <c r="Q260" s="429"/>
      <c r="R260" s="2"/>
      <c r="S260" s="2"/>
      <c r="T260" s="2"/>
      <c r="U260" s="2"/>
    </row>
    <row r="261" spans="1:21" s="428" customFormat="1" ht="16.5" thickTop="1" thickBot="1" x14ac:dyDescent="0.3">
      <c r="A261" s="429"/>
      <c r="B261" s="429"/>
      <c r="C261" s="437" t="s">
        <v>768</v>
      </c>
      <c r="D261" s="450" t="s">
        <v>769</v>
      </c>
      <c r="E261" s="67" t="s">
        <v>158</v>
      </c>
      <c r="F261" s="640"/>
      <c r="G261" s="429"/>
      <c r="H261" s="429"/>
      <c r="I261" s="429"/>
      <c r="J261" s="429"/>
      <c r="K261" s="429"/>
      <c r="L261" s="429"/>
      <c r="M261" s="429"/>
      <c r="N261" s="429"/>
      <c r="O261" s="429"/>
      <c r="P261" s="429"/>
      <c r="Q261" s="429"/>
      <c r="R261" s="429"/>
      <c r="S261" s="429"/>
      <c r="T261" s="429"/>
      <c r="U261" s="429"/>
    </row>
    <row r="262" spans="1:21" s="428" customFormat="1" ht="15.75" thickTop="1" x14ac:dyDescent="0.25">
      <c r="A262" s="429"/>
      <c r="B262" s="429"/>
      <c r="C262" s="437"/>
      <c r="D262" s="628"/>
      <c r="E262" s="20"/>
      <c r="F262" s="640"/>
      <c r="G262" s="429"/>
      <c r="H262" s="429"/>
      <c r="I262" s="429"/>
      <c r="J262" s="429"/>
      <c r="K262" s="429"/>
      <c r="L262" s="429"/>
      <c r="M262" s="429"/>
      <c r="N262" s="429"/>
      <c r="O262" s="429"/>
      <c r="P262" s="429"/>
      <c r="Q262" s="429"/>
      <c r="R262" s="429"/>
      <c r="S262" s="429"/>
      <c r="T262" s="429"/>
      <c r="U262" s="429"/>
    </row>
    <row r="263" spans="1:21" x14ac:dyDescent="0.25">
      <c r="A263" s="2"/>
      <c r="B263" s="429"/>
      <c r="F263" s="640"/>
      <c r="G263" s="429"/>
      <c r="H263" s="429"/>
      <c r="I263" s="429"/>
      <c r="J263" s="429"/>
      <c r="K263" s="429"/>
      <c r="L263" s="429"/>
      <c r="M263" s="429"/>
      <c r="N263" s="429"/>
      <c r="O263" s="429"/>
      <c r="P263" s="429"/>
      <c r="Q263" s="429"/>
      <c r="R263" s="2"/>
      <c r="S263" s="2"/>
      <c r="T263" s="2"/>
      <c r="U263" s="2"/>
    </row>
    <row r="264" spans="1:21" x14ac:dyDescent="0.25">
      <c r="A264" s="2"/>
      <c r="B264" s="429"/>
      <c r="C264" s="1" t="s">
        <v>461</v>
      </c>
      <c r="D264" s="429"/>
      <c r="E264" s="429"/>
      <c r="F264" s="429"/>
      <c r="G264" s="429"/>
      <c r="H264" s="429"/>
      <c r="I264" s="429"/>
      <c r="J264" s="429"/>
      <c r="K264" s="429"/>
      <c r="L264" s="429"/>
      <c r="M264" s="429"/>
      <c r="N264" s="429"/>
      <c r="O264" s="429"/>
      <c r="P264" s="429"/>
      <c r="Q264" s="429"/>
      <c r="R264" s="2"/>
      <c r="S264" s="2"/>
      <c r="T264" s="2"/>
      <c r="U264" s="2"/>
    </row>
    <row r="265" spans="1:21" ht="15.75" x14ac:dyDescent="0.25">
      <c r="A265" s="2"/>
      <c r="B265" s="429"/>
      <c r="C265" s="19"/>
      <c r="D265" s="429"/>
      <c r="E265" s="429"/>
      <c r="F265" s="429"/>
      <c r="G265" s="429"/>
      <c r="H265" s="429"/>
      <c r="I265" s="429"/>
      <c r="J265" s="429"/>
      <c r="K265" s="429"/>
      <c r="L265" s="429"/>
      <c r="M265" s="429"/>
      <c r="N265" s="429"/>
      <c r="O265" s="429"/>
      <c r="P265" s="429"/>
      <c r="Q265" s="429"/>
      <c r="R265" s="2"/>
      <c r="S265" s="2"/>
      <c r="T265" s="2"/>
      <c r="U265" s="2"/>
    </row>
    <row r="266" spans="1:21" x14ac:dyDescent="0.25">
      <c r="A266" s="2"/>
      <c r="B266" s="429"/>
      <c r="C266" s="18" t="s">
        <v>462</v>
      </c>
      <c r="D266" s="11"/>
      <c r="E266" s="429"/>
      <c r="F266" s="429"/>
      <c r="G266" s="429"/>
      <c r="H266" s="429"/>
      <c r="I266" s="429"/>
      <c r="J266" s="429"/>
      <c r="K266" s="429"/>
      <c r="L266" s="429"/>
      <c r="M266" s="429"/>
      <c r="N266" s="429"/>
      <c r="O266" s="429"/>
      <c r="P266" s="429"/>
      <c r="Q266" s="429"/>
      <c r="R266" s="2"/>
      <c r="S266" s="2"/>
      <c r="T266" s="2"/>
      <c r="U266" s="2"/>
    </row>
    <row r="267" spans="1:21" ht="6.75" customHeight="1" thickBot="1" x14ac:dyDescent="0.3">
      <c r="A267" s="2"/>
      <c r="B267" s="429"/>
      <c r="C267" s="429"/>
      <c r="D267" s="432"/>
      <c r="E267" s="429"/>
      <c r="F267" s="429"/>
      <c r="G267" s="429"/>
      <c r="H267" s="429"/>
      <c r="I267" s="429"/>
      <c r="J267" s="429"/>
      <c r="K267" s="429"/>
      <c r="L267" s="429"/>
      <c r="M267" s="429"/>
      <c r="N267" s="429"/>
      <c r="O267" s="429"/>
      <c r="P267" s="429"/>
      <c r="Q267" s="429"/>
      <c r="R267" s="2"/>
      <c r="S267" s="2"/>
      <c r="T267" s="2"/>
      <c r="U267" s="2"/>
    </row>
    <row r="268" spans="1:21" ht="17.25" thickTop="1" thickBot="1" x14ac:dyDescent="0.3">
      <c r="A268" s="2"/>
      <c r="B268" s="429"/>
      <c r="C268" s="318" t="s">
        <v>194</v>
      </c>
      <c r="D268" s="65"/>
      <c r="E268" s="429"/>
      <c r="F268" s="429"/>
      <c r="G268" s="429"/>
      <c r="H268" s="429"/>
      <c r="I268" s="429"/>
      <c r="J268" s="429"/>
      <c r="K268" s="429"/>
      <c r="L268" s="429"/>
      <c r="M268" s="429"/>
      <c r="N268" s="429"/>
      <c r="O268" s="429"/>
      <c r="P268" s="429"/>
      <c r="Q268" s="429"/>
      <c r="R268" s="2"/>
      <c r="S268" s="2"/>
      <c r="T268" s="2"/>
      <c r="U268" s="2"/>
    </row>
    <row r="269" spans="1:21" ht="15.75" thickTop="1" x14ac:dyDescent="0.25">
      <c r="A269" s="2"/>
      <c r="B269" s="429"/>
      <c r="C269" s="429"/>
      <c r="D269" s="429"/>
      <c r="E269" s="429"/>
      <c r="F269" s="429"/>
      <c r="G269" s="429"/>
      <c r="H269" s="429"/>
      <c r="I269" s="429"/>
      <c r="J269" s="429"/>
      <c r="K269" s="429"/>
      <c r="L269" s="429"/>
      <c r="M269" s="429"/>
      <c r="N269" s="429"/>
      <c r="O269" s="429"/>
      <c r="P269" s="429"/>
      <c r="Q269" s="429"/>
      <c r="R269" s="2"/>
      <c r="S269" s="2"/>
      <c r="T269" s="2"/>
      <c r="U269" s="2"/>
    </row>
    <row r="270" spans="1:21" x14ac:dyDescent="0.25">
      <c r="A270" s="2"/>
      <c r="B270" s="429"/>
      <c r="C270" s="636"/>
      <c r="D270" s="850" t="s">
        <v>463</v>
      </c>
      <c r="E270" s="845" t="s">
        <v>25</v>
      </c>
      <c r="F270" s="845"/>
      <c r="G270" s="429"/>
      <c r="H270" s="429"/>
      <c r="I270" s="429"/>
      <c r="J270" s="429"/>
      <c r="K270" s="429"/>
      <c r="L270" s="429"/>
      <c r="M270" s="429"/>
      <c r="N270" s="429"/>
      <c r="O270" s="429"/>
      <c r="P270" s="429"/>
      <c r="Q270" s="429"/>
      <c r="R270" s="2"/>
      <c r="S270" s="2"/>
      <c r="T270" s="2"/>
      <c r="U270" s="2"/>
    </row>
    <row r="271" spans="1:21" s="428" customFormat="1" x14ac:dyDescent="0.25">
      <c r="A271" s="429"/>
      <c r="B271" s="429"/>
      <c r="C271" s="796"/>
      <c r="D271" s="851"/>
      <c r="E271" s="795" t="s">
        <v>1083</v>
      </c>
      <c r="F271" s="795" t="s">
        <v>1084</v>
      </c>
      <c r="G271" s="429"/>
      <c r="H271" s="429"/>
      <c r="I271" s="429"/>
      <c r="J271" s="429"/>
      <c r="K271" s="429"/>
      <c r="L271" s="429"/>
      <c r="M271" s="429"/>
      <c r="N271" s="429"/>
      <c r="O271" s="429"/>
      <c r="P271" s="429"/>
      <c r="Q271" s="429"/>
      <c r="R271" s="429"/>
      <c r="S271" s="429"/>
      <c r="T271" s="429"/>
      <c r="U271" s="429"/>
    </row>
    <row r="272" spans="1:21" x14ac:dyDescent="0.25">
      <c r="A272" s="2"/>
      <c r="B272" s="429"/>
      <c r="C272" s="11"/>
      <c r="D272" s="766" t="s">
        <v>785</v>
      </c>
      <c r="E272" s="633">
        <f>IF('ANALISI DELLE SPINTE'!C76='FOGLIO DEPOSITO'!N184,1,IF('ANALISI DELLE SPINTE'!C76='FOGLIO DEPOSITO'!N181,1,IF('ANALISI DELLE SPINTE'!C76='FOGLIO DEPOSITO'!N182,1,IF(C268='FOGLIO DEPOSITO'!I69,1,IF('FOGLIO DEPOSITO'!$I$70=1,'FOGLIO DEPOSITO'!E66,IF('FOGLIO DEPOSITO'!$I$70=2,'FOGLIO DEPOSITO'!G66,IF('FOGLIO DEPOSITO'!$I$70=3,'FOGLIO DEPOSITO'!E66,0)))))))</f>
        <v>1</v>
      </c>
      <c r="F272" s="633">
        <f>IF(C268='FOGLIO DEPOSITO'!I69,1,0.9)</f>
        <v>0.9</v>
      </c>
      <c r="G272" s="429"/>
      <c r="H272" s="429"/>
      <c r="I272" s="429"/>
      <c r="J272" s="429"/>
      <c r="K272" s="429"/>
      <c r="L272" s="429"/>
      <c r="M272" s="429"/>
      <c r="N272" s="429"/>
      <c r="O272" s="429"/>
      <c r="P272" s="429"/>
      <c r="Q272" s="429"/>
      <c r="R272" s="2"/>
      <c r="S272" s="2"/>
      <c r="T272" s="2"/>
      <c r="U272" s="2"/>
    </row>
    <row r="273" spans="1:21" x14ac:dyDescent="0.25">
      <c r="A273" s="2"/>
      <c r="B273" s="429"/>
      <c r="C273" s="429"/>
      <c r="D273" s="766" t="s">
        <v>786</v>
      </c>
      <c r="E273" s="633">
        <f>IF('ANALISI DELLE SPINTE'!C76='FOGLIO DEPOSITO'!N184,1,IF('ANALISI DELLE SPINTE'!C76='FOGLIO DEPOSITO'!N181,1,IF('ANALISI DELLE SPINTE'!C76='FOGLIO DEPOSITO'!N182,1,IF(C268='FOGLIO DEPOSITO'!I69,1,IF('FOGLIO DEPOSITO'!$I$70=1,'FOGLIO DEPOSITO'!E67,IF('FOGLIO DEPOSITO'!$I$70=2,'FOGLIO DEPOSITO'!G67,IF('FOGLIO DEPOSITO'!$I$70=3,'FOGLIO DEPOSITO'!E67,0)))))))</f>
        <v>1</v>
      </c>
      <c r="F273" s="633">
        <v>0.8</v>
      </c>
      <c r="G273" s="429"/>
      <c r="H273" s="429"/>
      <c r="I273" s="429"/>
      <c r="J273" s="429"/>
      <c r="K273" s="429"/>
      <c r="L273" s="429"/>
      <c r="M273" s="429"/>
      <c r="N273" s="429"/>
      <c r="O273" s="429"/>
      <c r="P273" s="429"/>
      <c r="Q273" s="429"/>
      <c r="R273" s="2"/>
      <c r="S273" s="2"/>
      <c r="T273" s="2"/>
      <c r="U273" s="2"/>
    </row>
    <row r="274" spans="1:21" x14ac:dyDescent="0.25">
      <c r="A274" s="2"/>
      <c r="B274" s="429"/>
      <c r="C274" s="849" t="str">
        <f>IF('ANALISI DELLE SPINTE'!C76='FOGLIO DEPOSITO'!N184,"E' stata abilitata la verifica sismica perché sull'analisi delle spinte è stato inserita la teoria di  Wood",IF('FOGLIO DEPOSITO'!I72='FOGLIO DEPOSITO'!I73,"E' stata abilitata la verifica sismica perché sull'analisi delle spinte è stato inserita la teoria di  Mononobe-Okabe",""))</f>
        <v>E' stata abilitata la verifica sismica perché sull'analisi delle spinte è stato inserita la teoria di  Mononobe-Okabe</v>
      </c>
      <c r="D274" s="766" t="s">
        <v>787</v>
      </c>
      <c r="E274" s="633">
        <f>IF('ANALISI DELLE SPINTE'!C76='FOGLIO DEPOSITO'!N184,1,IF('ANALISI DELLE SPINTE'!C76='FOGLIO DEPOSITO'!N181,1,IF('ANALISI DELLE SPINTE'!C76='FOGLIO DEPOSITO'!N182,1,IF(C268='FOGLIO DEPOSITO'!I69,1,IF('FOGLIO DEPOSITO'!$I$70=1,'FOGLIO DEPOSITO'!E68,IF('FOGLIO DEPOSITO'!$I$70=2,'FOGLIO DEPOSITO'!G68,IF('FOGLIO DEPOSITO'!$I$70=3,'FOGLIO DEPOSITO'!E68,0)))))))</f>
        <v>1</v>
      </c>
      <c r="F274" s="633">
        <f>0</f>
        <v>0</v>
      </c>
      <c r="G274" s="429"/>
      <c r="H274" s="429"/>
      <c r="I274" s="429"/>
      <c r="J274" s="429"/>
      <c r="K274" s="429"/>
      <c r="L274" s="429"/>
      <c r="M274" s="429"/>
      <c r="N274" s="429"/>
      <c r="O274" s="429"/>
      <c r="P274" s="429"/>
      <c r="Q274" s="429"/>
      <c r="R274" s="2"/>
      <c r="S274" s="2"/>
      <c r="T274" s="2"/>
      <c r="U274" s="2"/>
    </row>
    <row r="275" spans="1:21" x14ac:dyDescent="0.25">
      <c r="A275" s="2"/>
      <c r="B275" s="429"/>
      <c r="C275" s="849"/>
      <c r="D275" s="429"/>
      <c r="E275" s="429"/>
      <c r="F275" s="429"/>
      <c r="G275" s="429"/>
      <c r="H275" s="429"/>
      <c r="I275" s="429"/>
      <c r="J275" s="429"/>
      <c r="K275" s="429"/>
      <c r="L275" s="429"/>
      <c r="M275" s="429"/>
      <c r="N275" s="429"/>
      <c r="O275" s="429"/>
      <c r="P275" s="429"/>
      <c r="Q275" s="429"/>
      <c r="R275" s="2"/>
      <c r="S275" s="2"/>
      <c r="T275" s="2"/>
      <c r="U275" s="2"/>
    </row>
    <row r="276" spans="1:21" x14ac:dyDescent="0.25">
      <c r="A276" s="2"/>
      <c r="B276" s="429"/>
      <c r="C276" s="849"/>
      <c r="D276" s="445" t="s">
        <v>464</v>
      </c>
      <c r="E276" s="843" t="s">
        <v>465</v>
      </c>
      <c r="F276" s="844"/>
      <c r="G276" s="429"/>
      <c r="H276" s="429"/>
      <c r="I276" s="429"/>
      <c r="J276" s="429"/>
      <c r="K276" s="429"/>
      <c r="L276" s="429"/>
      <c r="M276" s="429"/>
      <c r="N276" s="429"/>
      <c r="O276" s="429"/>
      <c r="P276" s="429"/>
      <c r="Q276" s="429"/>
      <c r="R276" s="2"/>
      <c r="S276" s="2"/>
      <c r="T276" s="2"/>
      <c r="U276" s="2"/>
    </row>
    <row r="277" spans="1:21" x14ac:dyDescent="0.25">
      <c r="C277" s="849"/>
      <c r="D277" s="631" t="s">
        <v>198</v>
      </c>
      <c r="E277" s="847">
        <f>IF(C268='FOGLIO DEPOSITO'!I69,1,IF('FOGLIO DEPOSITO'!$I$70=1,'FOGLIO DEPOSITO'!D71,IF('FOGLIO DEPOSITO'!$I$70=2,'FOGLIO DEPOSITO'!E71,IF('FOGLIO DEPOSITO'!$I$70=3,'FOGLIO DEPOSITO'!D71,0))))</f>
        <v>1</v>
      </c>
      <c r="F277" s="848"/>
      <c r="G277" s="429"/>
      <c r="H277" s="429"/>
      <c r="I277" s="429"/>
      <c r="J277" s="429"/>
      <c r="K277" s="429"/>
      <c r="L277" s="429"/>
      <c r="M277" s="429"/>
      <c r="N277" s="429"/>
      <c r="O277" s="429"/>
      <c r="P277" s="429"/>
      <c r="Q277" s="429"/>
    </row>
    <row r="278" spans="1:21" x14ac:dyDescent="0.25">
      <c r="C278" s="849"/>
      <c r="D278" s="631" t="s">
        <v>199</v>
      </c>
      <c r="E278" s="847">
        <f>IF(C268='FOGLIO DEPOSITO'!I69,1,IF('FOGLIO DEPOSITO'!$I$70=1,'FOGLIO DEPOSITO'!D72,IF('FOGLIO DEPOSITO'!$I$70=2,'FOGLIO DEPOSITO'!E72,IF('FOGLIO DEPOSITO'!$I$70=3,'FOGLIO DEPOSITO'!D72,0))))</f>
        <v>1</v>
      </c>
      <c r="F278" s="848"/>
      <c r="G278" s="429"/>
      <c r="H278" s="429"/>
      <c r="I278" s="429"/>
      <c r="J278" s="429"/>
      <c r="K278" s="429"/>
      <c r="L278" s="429"/>
      <c r="M278" s="429"/>
      <c r="N278" s="429"/>
      <c r="O278" s="429"/>
      <c r="P278" s="429"/>
      <c r="Q278" s="429"/>
    </row>
    <row r="279" spans="1:21" x14ac:dyDescent="0.25">
      <c r="C279" s="429"/>
      <c r="D279" s="631" t="s">
        <v>201</v>
      </c>
      <c r="E279" s="847">
        <f>IF(C268='FOGLIO DEPOSITO'!I69,1,IF('FOGLIO DEPOSITO'!$I$70=1,'FOGLIO DEPOSITO'!D73,IF('FOGLIO DEPOSITO'!$I$70=2,'FOGLIO DEPOSITO'!E73,IF('FOGLIO DEPOSITO'!$I$70=3,'FOGLIO DEPOSITO'!D73,0))))</f>
        <v>1</v>
      </c>
      <c r="F279" s="848"/>
      <c r="G279" s="429"/>
      <c r="H279" s="429"/>
      <c r="I279" s="429"/>
      <c r="J279" s="429"/>
      <c r="K279" s="429"/>
      <c r="L279" s="429"/>
      <c r="M279" s="429"/>
      <c r="N279" s="429"/>
      <c r="O279" s="429"/>
      <c r="P279" s="429"/>
      <c r="Q279" s="429"/>
    </row>
    <row r="280" spans="1:21" x14ac:dyDescent="0.25">
      <c r="C280" s="429"/>
      <c r="D280" s="644" t="s">
        <v>202</v>
      </c>
      <c r="E280" s="847">
        <f>IF(C268='FOGLIO DEPOSITO'!I69,1,IF('FOGLIO DEPOSITO'!$I$70=1,'FOGLIO DEPOSITO'!D74,IF('FOGLIO DEPOSITO'!$I$70=2,'FOGLIO DEPOSITO'!E74,IF('FOGLIO DEPOSITO'!$I$70=3,'FOGLIO DEPOSITO'!D74,0))))</f>
        <v>1</v>
      </c>
      <c r="F280" s="848"/>
      <c r="G280" s="429"/>
      <c r="H280" s="429"/>
      <c r="I280" s="429"/>
      <c r="J280" s="429"/>
      <c r="K280" s="429"/>
      <c r="L280" s="429"/>
      <c r="M280" s="429"/>
      <c r="N280" s="429"/>
      <c r="O280" s="429"/>
      <c r="P280" s="429"/>
      <c r="Q280" s="429"/>
    </row>
    <row r="281" spans="1:21" x14ac:dyDescent="0.25">
      <c r="C281" s="429"/>
      <c r="D281" s="429"/>
      <c r="E281" s="429"/>
      <c r="F281" s="429"/>
      <c r="G281" s="429"/>
      <c r="H281" s="429"/>
      <c r="I281" s="429"/>
      <c r="J281" s="429"/>
      <c r="K281" s="429"/>
      <c r="L281" s="429"/>
      <c r="M281" s="429"/>
      <c r="N281" s="429"/>
      <c r="O281" s="429"/>
      <c r="P281" s="429"/>
      <c r="Q281" s="429"/>
    </row>
    <row r="282" spans="1:21" x14ac:dyDescent="0.25">
      <c r="C282" s="429"/>
      <c r="D282" s="445" t="s">
        <v>466</v>
      </c>
      <c r="E282" s="843" t="s">
        <v>467</v>
      </c>
      <c r="F282" s="844"/>
      <c r="G282" s="429"/>
      <c r="H282" s="429"/>
      <c r="I282" s="429"/>
      <c r="J282" s="429"/>
      <c r="K282" s="429"/>
      <c r="L282" s="429"/>
      <c r="M282" s="429"/>
      <c r="N282" s="429"/>
      <c r="O282" s="429"/>
      <c r="P282" s="429"/>
      <c r="Q282" s="429"/>
    </row>
    <row r="283" spans="1:21" x14ac:dyDescent="0.25">
      <c r="C283" s="429"/>
      <c r="D283" s="855" t="s">
        <v>468</v>
      </c>
      <c r="E283" s="846">
        <f>IF(C274="",IF(C268='FOGLIO DEPOSITO'!I69,1,IF('FOGLIO DEPOSITO'!$I$70=1,'FOGLIO DEPOSITO'!D77,IF('FOGLIO DEPOSITO'!$I$70=2,'FOGLIO DEPOSITO'!E77,IF('FOGLIO DEPOSITO'!$I$70=3,'FOGLIO DEPOSITO'!F77,0)))),1.2)</f>
        <v>1.2</v>
      </c>
      <c r="F283" s="846"/>
      <c r="G283" s="429"/>
      <c r="H283" s="429"/>
      <c r="I283" s="429"/>
      <c r="J283" s="429"/>
      <c r="K283" s="429"/>
      <c r="L283" s="429"/>
      <c r="M283" s="429"/>
      <c r="N283" s="429"/>
      <c r="O283" s="429"/>
      <c r="P283" s="429"/>
      <c r="Q283" s="429"/>
    </row>
    <row r="284" spans="1:21" x14ac:dyDescent="0.25">
      <c r="C284" s="429"/>
      <c r="D284" s="855"/>
      <c r="E284" s="846"/>
      <c r="F284" s="846"/>
      <c r="G284" s="429"/>
      <c r="H284" s="429"/>
      <c r="I284" s="429"/>
      <c r="J284" s="429"/>
      <c r="K284" s="429"/>
      <c r="L284" s="429"/>
      <c r="M284" s="429"/>
      <c r="N284" s="429"/>
      <c r="O284" s="429"/>
      <c r="P284" s="429"/>
      <c r="Q284" s="429"/>
    </row>
    <row r="285" spans="1:21" x14ac:dyDescent="0.25">
      <c r="C285" s="429"/>
      <c r="D285" s="845" t="s">
        <v>207</v>
      </c>
      <c r="E285" s="846">
        <f>IF(C274="",IF(C268='FOGLIO DEPOSITO'!I69,1,IF('FOGLIO DEPOSITO'!$I$70=1,'FOGLIO DEPOSITO'!D78,IF('FOGLIO DEPOSITO'!$I$70=2,'FOGLIO DEPOSITO'!E78,IF('FOGLIO DEPOSITO'!$I$70=3,'FOGLIO DEPOSITO'!F78,0)))),1)</f>
        <v>1</v>
      </c>
      <c r="F285" s="846"/>
      <c r="G285" s="429"/>
      <c r="H285" s="429"/>
      <c r="I285" s="429"/>
      <c r="J285" s="429"/>
      <c r="K285" s="429"/>
      <c r="L285" s="429"/>
      <c r="M285" s="429"/>
      <c r="N285" s="429"/>
      <c r="O285" s="429"/>
      <c r="P285" s="429"/>
      <c r="Q285" s="429"/>
    </row>
    <row r="286" spans="1:21" x14ac:dyDescent="0.25">
      <c r="C286" s="429"/>
      <c r="D286" s="845"/>
      <c r="E286" s="846"/>
      <c r="F286" s="846"/>
      <c r="G286" s="429"/>
      <c r="H286" s="429"/>
      <c r="I286" s="429"/>
      <c r="J286" s="429"/>
      <c r="K286" s="429"/>
      <c r="L286" s="429"/>
      <c r="M286" s="429"/>
      <c r="N286" s="429"/>
      <c r="O286" s="429"/>
      <c r="P286" s="429"/>
      <c r="Q286" s="429"/>
    </row>
    <row r="287" spans="1:21" x14ac:dyDescent="0.25">
      <c r="C287" s="429"/>
      <c r="D287" s="799" t="str">
        <f>IF(C274="","Tab 6.5.I NTC18","Tab.7.11.III NTC18")</f>
        <v>Tab.7.11.III NTC18</v>
      </c>
      <c r="E287" s="429"/>
      <c r="F287" s="429"/>
      <c r="G287" s="429"/>
      <c r="H287" s="429"/>
      <c r="I287" s="429"/>
      <c r="J287" s="429"/>
      <c r="K287" s="429"/>
      <c r="L287" s="429"/>
      <c r="M287" s="429"/>
      <c r="N287" s="429"/>
      <c r="O287" s="429"/>
      <c r="P287" s="429"/>
      <c r="Q287" s="429"/>
    </row>
    <row r="289" spans="4:4" x14ac:dyDescent="0.25">
      <c r="D289" s="800" t="s">
        <v>1086</v>
      </c>
    </row>
    <row r="291" spans="4:4" x14ac:dyDescent="0.25">
      <c r="D291" s="800" t="s">
        <v>1088</v>
      </c>
    </row>
  </sheetData>
  <sheetProtection algorithmName="SHA-512" hashValue="V7tWK0RdAgaey1nssZI8DzcYQ5zA7l9/4ppRFb+kSYMaXZ+kdgdGG6eTV9jYlo8JmRaj7CMWXevzVnfBnn6LfA==" saltValue="9yc9V9kONj/Jl3iKbFNjZw==" spinCount="100000" sheet="1" selectLockedCells="1"/>
  <protectedRanges>
    <protectedRange sqref="E215 E185:E189 E174:E177 L178 E179:E183 E257 E208:E211 E206 E217:E242 E250:E255" name="Intervallo1"/>
    <protectedRange sqref="C268:D268" name="Intervallo1_1"/>
    <protectedRange sqref="E206 E215 E217:E242 E185:E189 E174:E177 L178 E179:E183 E257:E258 E208:E211 E250 E253:E255" name="Intervallo1_5"/>
    <protectedRange sqref="E27:E29 E21:E22 E24 E9:E10" name="Intervallo1_5_1"/>
    <protectedRange sqref="E170:E171" name="Intervallo1_2"/>
    <protectedRange sqref="E170:E171" name="Intervallo1_5_2"/>
    <protectedRange sqref="E32:E36" name="Intervallo1_4"/>
    <protectedRange sqref="E260" name="Intervallo1_4_1"/>
    <protectedRange sqref="E261:E262" name="Intervallo1_5_3"/>
    <protectedRange sqref="E256" name="Intervallo1_7"/>
    <protectedRange sqref="E169" name="Intervallo1_3"/>
    <protectedRange sqref="E169" name="Intervallo1_5_3_1"/>
    <protectedRange sqref="E243:E249" name="Intervallo1_8"/>
    <protectedRange sqref="E243:E249" name="Intervallo1_5_5"/>
  </protectedRanges>
  <dataConsolidate/>
  <customSheetViews>
    <customSheetView guid="{5E8F20A8-8220-4169-B947-2AB764A2AA7B}" showGridLines="0" showRowCol="0">
      <selection activeCell="E23" sqref="E23"/>
      <pageMargins left="0.7" right="0.7" top="0.75" bottom="0.75" header="0.3" footer="0.3"/>
      <pageSetup paperSize="9" orientation="portrait" r:id="rId1"/>
    </customSheetView>
    <customSheetView guid="{9F540994-A66B-4083-BD64-035E71878618}" scale="70" showGridLines="0" showRowCol="0" topLeftCell="A154">
      <selection activeCell="E184" sqref="E184"/>
      <pageMargins left="0.7" right="0.7" top="0.75" bottom="0.75" header="0.3" footer="0.3"/>
      <pageSetup paperSize="9" orientation="portrait" r:id="rId2"/>
    </customSheetView>
  </customSheetViews>
  <mergeCells count="25">
    <mergeCell ref="L64:N67"/>
    <mergeCell ref="L60:N63"/>
    <mergeCell ref="E282:F282"/>
    <mergeCell ref="D283:D284"/>
    <mergeCell ref="E283:F284"/>
    <mergeCell ref="G174:H178"/>
    <mergeCell ref="E270:F270"/>
    <mergeCell ref="G180:H184"/>
    <mergeCell ref="G186:H190"/>
    <mergeCell ref="E218:F218"/>
    <mergeCell ref="E216:F216"/>
    <mergeCell ref="G251:H258"/>
    <mergeCell ref="I60:K63"/>
    <mergeCell ref="I64:K67"/>
    <mergeCell ref="D77:E77"/>
    <mergeCell ref="C69:C70"/>
    <mergeCell ref="E276:F276"/>
    <mergeCell ref="D285:D286"/>
    <mergeCell ref="E285:F286"/>
    <mergeCell ref="E277:F277"/>
    <mergeCell ref="E278:F278"/>
    <mergeCell ref="C274:C278"/>
    <mergeCell ref="E280:F280"/>
    <mergeCell ref="E279:F279"/>
    <mergeCell ref="D270:D271"/>
  </mergeCells>
  <dataValidations count="18">
    <dataValidation type="list" allowBlank="1" showInputMessage="1" showErrorMessage="1" sqref="C268">
      <formula1>COMBO</formula1>
    </dataValidation>
    <dataValidation type="list" allowBlank="1" showInputMessage="1" showErrorMessage="1" sqref="E63">
      <formula1>NUMCOST</formula1>
    </dataValidation>
    <dataValidation type="list" allowBlank="1" showInputMessage="1" showErrorMessage="1" sqref="E82">
      <formula1>posdent</formula1>
    </dataValidation>
    <dataValidation type="list" allowBlank="1" showInputMessage="1" showErrorMessage="1" sqref="E178">
      <formula1>str</formula1>
    </dataValidation>
    <dataValidation type="list" allowBlank="1" showInputMessage="1" showErrorMessage="1" sqref="E184">
      <formula1>st</formula1>
    </dataValidation>
    <dataValidation type="list" allowBlank="1" showInputMessage="1" showErrorMessage="1" sqref="G174:H178">
      <formula1>pr</formula1>
    </dataValidation>
    <dataValidation type="list" allowBlank="1" showInputMessage="1" showErrorMessage="1" sqref="G180:H184">
      <formula1>sec</formula1>
    </dataValidation>
    <dataValidation type="list" allowBlank="1" showInputMessage="1" showErrorMessage="1" sqref="G186:H190">
      <formula1>ter</formula1>
    </dataValidation>
    <dataValidation type="list" allowBlank="1" showInputMessage="1" showErrorMessage="1" sqref="E54 E194 E200 E202 E260:E262">
      <formula1>sn</formula1>
    </dataValidation>
    <dataValidation type="list" allowBlank="1" showInputMessage="1" showErrorMessage="1" sqref="E7">
      <formula1>class</formula1>
    </dataValidation>
    <dataValidation type="list" allowBlank="1" showInputMessage="1" showErrorMessage="1" sqref="E23">
      <formula1>fer</formula1>
    </dataValidation>
    <dataValidation type="list" allowBlank="1" showInputMessage="1" showErrorMessage="1" sqref="E36">
      <formula1>TOP</formula1>
    </dataValidation>
    <dataValidation type="list" allowBlank="1" showInputMessage="1" showErrorMessage="1" sqref="E35">
      <formula1>ss</formula1>
    </dataValidation>
    <dataValidation type="list" allowBlank="1" showInputMessage="1" showErrorMessage="1" sqref="C204">
      <formula1>perm</formula1>
    </dataValidation>
    <dataValidation type="list" allowBlank="1" showInputMessage="1" showErrorMessage="1" sqref="D77">
      <formula1>posza</formula1>
    </dataValidation>
    <dataValidation type="list" allowBlank="1" showInputMessage="1" showErrorMessage="1" sqref="G251:H258">
      <formula1>fonda</formula1>
    </dataValidation>
    <dataValidation type="list" allowBlank="1" showInputMessage="1" showErrorMessage="1" sqref="G218">
      <formula1>sd</formula1>
    </dataValidation>
    <dataValidation type="list" allowBlank="1" showInputMessage="1" showErrorMessage="1" sqref="C243:C244">
      <formula1>terrrr</formula1>
    </dataValidation>
  </dataValidations>
  <hyperlinks>
    <hyperlink ref="C30" r:id="rId3"/>
    <hyperlink ref="D289" location="'tabelle NTC 18'!A1" display="Vedi Normativa --&gt;"/>
    <hyperlink ref="D291" location="'Formule coefficienti correttivi'!A1" display="Formule --&gt;"/>
  </hyperlinks>
  <pageMargins left="0.7" right="0.7" top="0.75" bottom="0.75" header="0.3" footer="0.3"/>
  <pageSetup paperSize="9" orientation="portrait" r:id="rId4"/>
  <drawing r:id="rId5"/>
  <legacyDrawing r:id="rId6"/>
  <extLst>
    <ext xmlns:x14="http://schemas.microsoft.com/office/spreadsheetml/2009/9/main" uri="{78C0D931-6437-407d-A8EE-F0AAD7539E65}">
      <x14:conditionalFormattings>
        <x14:conditionalFormatting xmlns:xm="http://schemas.microsoft.com/office/excel/2006/main">
          <x14:cfRule type="cellIs" priority="8" operator="equal" id="{F62B669A-FFB2-4CA4-8219-22BA108A652B}">
            <xm:f>'FOGLIO DEPOSITO'!$H$165</xm:f>
            <x14:dxf>
              <fill>
                <patternFill>
                  <bgColor theme="0" tint="-0.14996795556505021"/>
                </patternFill>
              </fill>
            </x14:dxf>
          </x14:cfRule>
          <xm:sqref>G174:H178</xm:sqref>
        </x14:conditionalFormatting>
        <x14:conditionalFormatting xmlns:xm="http://schemas.microsoft.com/office/excel/2006/main">
          <x14:cfRule type="cellIs" priority="5" operator="equal" id="{E471D5D7-AB6A-441D-99E0-A5D29B1F7433}">
            <xm:f>'FOGLIO DEPOSITO'!$H$168</xm:f>
            <x14:dxf>
              <fill>
                <patternFill>
                  <bgColor theme="0" tint="-0.14996795556505021"/>
                </patternFill>
              </fill>
            </x14:dxf>
          </x14:cfRule>
          <xm:sqref>G180:H184</xm:sqref>
        </x14:conditionalFormatting>
        <x14:conditionalFormatting xmlns:xm="http://schemas.microsoft.com/office/excel/2006/main">
          <x14:cfRule type="cellIs" priority="4" operator="equal" id="{D96A39E5-AAE3-460F-83F1-66060B4985EF}">
            <xm:f>'FOGLIO DEPOSITO'!$H$171</xm:f>
            <x14:dxf>
              <fill>
                <patternFill>
                  <bgColor theme="0" tint="-0.14996795556505021"/>
                </patternFill>
              </fill>
            </x14:dxf>
          </x14:cfRule>
          <xm:sqref>G186:H190 G251</xm:sqref>
        </x14:conditionalFormatting>
        <x14:conditionalFormatting xmlns:xm="http://schemas.microsoft.com/office/excel/2006/main">
          <x14:cfRule type="cellIs" priority="1" operator="equal" id="{EEC80798-1413-4E90-A4E8-EC396E6C2075}">
            <xm:f>'FOGLIO DEPOSITO'!$H$174</xm:f>
            <x14:dxf>
              <fill>
                <patternFill>
                  <bgColor theme="0" tint="-0.14996795556505021"/>
                </patternFill>
              </fill>
            </x14:dxf>
          </x14:cfRule>
          <xm:sqref>G251:H258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AX213"/>
  <sheetViews>
    <sheetView showGridLines="0" showRowColHeaders="0" zoomScale="85" zoomScaleNormal="85" workbookViewId="0">
      <selection activeCell="C76" sqref="C76:D76"/>
    </sheetView>
  </sheetViews>
  <sheetFormatPr defaultRowHeight="15" x14ac:dyDescent="0.25"/>
  <cols>
    <col min="1" max="1" width="3" customWidth="1"/>
    <col min="2" max="2" width="47" customWidth="1"/>
    <col min="3" max="14" width="11.7109375" customWidth="1"/>
    <col min="15" max="15" width="10.7109375" style="428" customWidth="1"/>
    <col min="16" max="16" width="11" style="428" customWidth="1"/>
    <col min="17" max="17" width="11.85546875" style="428" customWidth="1"/>
    <col min="18" max="18" width="12.140625" style="428" customWidth="1"/>
    <col min="19" max="21" width="10.7109375" style="428" customWidth="1"/>
    <col min="22" max="24" width="12" style="428" customWidth="1"/>
    <col min="25" max="29" width="11.5703125" customWidth="1"/>
    <col min="30" max="30" width="17.140625" customWidth="1"/>
    <col min="31" max="32" width="16.7109375" customWidth="1"/>
    <col min="33" max="33" width="22.42578125" customWidth="1"/>
    <col min="34" max="34" width="16.7109375" customWidth="1"/>
    <col min="35" max="35" width="11.5703125" customWidth="1"/>
    <col min="36" max="36" width="12.140625" customWidth="1"/>
    <col min="37" max="39" width="11.5703125" customWidth="1"/>
  </cols>
  <sheetData>
    <row r="1" spans="2:50" s="428" customFormat="1" x14ac:dyDescent="0.25"/>
    <row r="2" spans="2:50" s="428" customFormat="1" ht="23.25" x14ac:dyDescent="0.35">
      <c r="B2" s="421" t="s">
        <v>1079</v>
      </c>
    </row>
    <row r="3" spans="2:50" x14ac:dyDescent="0.25">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row>
    <row r="4" spans="2:50" ht="18.75" x14ac:dyDescent="0.3">
      <c r="B4" s="440" t="s">
        <v>781</v>
      </c>
      <c r="C4" s="439"/>
      <c r="D4" s="677"/>
      <c r="E4" s="678"/>
      <c r="F4" s="24"/>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row>
    <row r="5" spans="2:50" ht="18.75" x14ac:dyDescent="0.3">
      <c r="B5" s="440"/>
      <c r="C5" s="439"/>
      <c r="D5" s="677"/>
      <c r="E5" s="678"/>
      <c r="F5" s="24"/>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row>
    <row r="6" spans="2:50" x14ac:dyDescent="0.25">
      <c r="B6" s="432" t="s">
        <v>326</v>
      </c>
      <c r="C6" s="432" t="str">
        <f>'Progetto della zattera slu'!D6</f>
        <v>SISMICA</v>
      </c>
      <c r="D6" s="432"/>
      <c r="E6" s="432"/>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row>
    <row r="7" spans="2:50" x14ac:dyDescent="0.25">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row>
    <row r="8" spans="2:50" x14ac:dyDescent="0.25">
      <c r="B8" s="432" t="s">
        <v>469</v>
      </c>
      <c r="C8" s="432" t="str">
        <f>'Progetto della zattera slu'!D7</f>
        <v xml:space="preserve"> APPROCCIO 2 --- Combinazione (A1+M1+R3)</v>
      </c>
      <c r="D8" s="429"/>
      <c r="E8" s="432"/>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row>
    <row r="9" spans="2:50" x14ac:dyDescent="0.25">
      <c r="B9" s="636"/>
      <c r="C9" s="636"/>
      <c r="D9" s="637"/>
      <c r="E9" s="637"/>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row>
    <row r="10" spans="2:50" x14ac:dyDescent="0.25">
      <c r="B10" s="636"/>
      <c r="C10" s="445" t="s">
        <v>463</v>
      </c>
      <c r="D10" s="631" t="s">
        <v>25</v>
      </c>
      <c r="E10" s="637"/>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row>
    <row r="11" spans="2:50" x14ac:dyDescent="0.25">
      <c r="B11" s="636"/>
      <c r="C11" s="635" t="s">
        <v>315</v>
      </c>
      <c r="D11" s="633">
        <f>'Progetto della zattera slu'!F10</f>
        <v>1</v>
      </c>
      <c r="E11" s="637"/>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row>
    <row r="12" spans="2:50" x14ac:dyDescent="0.25">
      <c r="B12" s="636"/>
      <c r="C12" s="635" t="s">
        <v>318</v>
      </c>
      <c r="D12" s="633">
        <f>'Progetto della zattera slu'!F11</f>
        <v>1</v>
      </c>
      <c r="E12" s="637"/>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row>
    <row r="13" spans="2:50" x14ac:dyDescent="0.25">
      <c r="B13" s="636"/>
      <c r="C13" s="635" t="s">
        <v>321</v>
      </c>
      <c r="D13" s="633">
        <f>'Progetto della zattera slu'!F12</f>
        <v>1</v>
      </c>
      <c r="E13" s="637"/>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row>
    <row r="14" spans="2:50" x14ac:dyDescent="0.25">
      <c r="B14" s="636"/>
      <c r="C14" s="636"/>
      <c r="D14" s="447"/>
      <c r="E14" s="637"/>
      <c r="F14" s="637"/>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row>
    <row r="15" spans="2:50" x14ac:dyDescent="0.25">
      <c r="B15" s="636"/>
      <c r="C15" s="445" t="s">
        <v>464</v>
      </c>
      <c r="D15" s="446" t="str">
        <f>'Progetto della zattera slu'!F14</f>
        <v>M</v>
      </c>
      <c r="E15" s="637"/>
      <c r="F15" s="637"/>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row>
    <row r="16" spans="2:50" x14ac:dyDescent="0.25">
      <c r="B16" s="636"/>
      <c r="C16" s="631" t="s">
        <v>198</v>
      </c>
      <c r="D16" s="633">
        <f>'Progetto della zattera slu'!F15</f>
        <v>1</v>
      </c>
      <c r="E16" s="637"/>
      <c r="F16" s="637"/>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row>
    <row r="17" spans="2:50" x14ac:dyDescent="0.25">
      <c r="B17" s="429"/>
      <c r="C17" s="631" t="s">
        <v>199</v>
      </c>
      <c r="D17" s="633">
        <f>'Progetto della zattera slu'!F16</f>
        <v>1</v>
      </c>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row>
    <row r="18" spans="2:50" x14ac:dyDescent="0.25">
      <c r="B18" s="429"/>
      <c r="C18" s="631" t="s">
        <v>201</v>
      </c>
      <c r="D18" s="633">
        <f>'Progetto della zattera slu'!F17</f>
        <v>1</v>
      </c>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row>
    <row r="19" spans="2:50" x14ac:dyDescent="0.25">
      <c r="B19" s="429"/>
      <c r="C19" s="644" t="s">
        <v>202</v>
      </c>
      <c r="D19" s="633">
        <f>'Progetto della zattera slu'!F18</f>
        <v>1</v>
      </c>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row>
    <row r="20" spans="2:50" s="428" customFormat="1" x14ac:dyDescent="0.25">
      <c r="B20" s="429"/>
      <c r="C20" s="58"/>
      <c r="D20" s="648"/>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row>
    <row r="21" spans="2:50" s="428" customFormat="1" ht="18" x14ac:dyDescent="0.25">
      <c r="B21" s="429" t="s">
        <v>358</v>
      </c>
      <c r="C21" s="632" t="s">
        <v>359</v>
      </c>
      <c r="D21" s="654">
        <f>DATI!E32</f>
        <v>1.6579999999999999</v>
      </c>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row>
    <row r="22" spans="2:50" s="428" customFormat="1" ht="18" x14ac:dyDescent="0.25">
      <c r="B22" s="429" t="s">
        <v>360</v>
      </c>
      <c r="C22" s="632" t="s">
        <v>361</v>
      </c>
      <c r="D22" s="651">
        <f>DATI!E33</f>
        <v>2.4769999999999999</v>
      </c>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s="429"/>
      <c r="AW22" s="429"/>
      <c r="AX22" s="429"/>
    </row>
    <row r="23" spans="2:50" s="428" customFormat="1" ht="18" x14ac:dyDescent="0.25">
      <c r="B23" s="429" t="s">
        <v>362</v>
      </c>
      <c r="C23" s="632" t="s">
        <v>363</v>
      </c>
      <c r="D23" s="655">
        <f>DATI!E34</f>
        <v>0.29599999999999999</v>
      </c>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c r="AT23" s="429"/>
      <c r="AU23" s="429"/>
      <c r="AV23" s="429"/>
      <c r="AW23" s="429"/>
      <c r="AX23" s="429"/>
    </row>
    <row r="24" spans="2:50" s="428" customFormat="1" x14ac:dyDescent="0.25">
      <c r="B24" s="429" t="s">
        <v>364</v>
      </c>
      <c r="C24" s="429"/>
      <c r="D24" s="651" t="str">
        <f>DATI!E35</f>
        <v>B</v>
      </c>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row>
    <row r="25" spans="2:50" s="428" customFormat="1" x14ac:dyDescent="0.25">
      <c r="B25" s="429" t="s">
        <v>365</v>
      </c>
      <c r="C25" s="429"/>
      <c r="D25" s="651" t="str">
        <f>DATI!E36</f>
        <v>T1</v>
      </c>
      <c r="E25" s="429"/>
      <c r="F25" s="429"/>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row>
    <row r="26" spans="2:50" s="428" customFormat="1" x14ac:dyDescent="0.25">
      <c r="B26" s="429" t="s">
        <v>782</v>
      </c>
      <c r="C26" s="383" t="s">
        <v>390</v>
      </c>
      <c r="D26" s="646">
        <f>DATI!E50</f>
        <v>0.38</v>
      </c>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row>
    <row r="27" spans="2:50" s="428" customFormat="1" x14ac:dyDescent="0.25">
      <c r="B27" s="429" t="s">
        <v>391</v>
      </c>
      <c r="C27" s="629" t="s">
        <v>278</v>
      </c>
      <c r="D27" s="646">
        <f>DATI!E51</f>
        <v>7.7100550683255151E-2</v>
      </c>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row>
    <row r="28" spans="2:50" s="428" customFormat="1" x14ac:dyDescent="0.25">
      <c r="B28" s="429" t="s">
        <v>392</v>
      </c>
      <c r="C28" s="629" t="s">
        <v>279</v>
      </c>
      <c r="D28" s="646">
        <f>DATI!E52</f>
        <v>3.8550275341627575E-2</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row>
    <row r="29" spans="2:50" s="428" customFormat="1" x14ac:dyDescent="0.25">
      <c r="B29" s="429"/>
      <c r="C29" s="58"/>
      <c r="D29" s="648"/>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row>
    <row r="30" spans="2:50" x14ac:dyDescent="0.25">
      <c r="B30" s="440" t="s">
        <v>470</v>
      </c>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row>
    <row r="31" spans="2:50" x14ac:dyDescent="0.25">
      <c r="B31" s="440" t="s">
        <v>471</v>
      </c>
      <c r="C31" s="429"/>
      <c r="D31" s="429"/>
      <c r="E31" s="429"/>
      <c r="F31" s="429"/>
      <c r="G31" s="429"/>
      <c r="H31" s="429"/>
      <c r="I31" s="429"/>
      <c r="J31" s="429"/>
      <c r="K31" s="429"/>
      <c r="L31" s="429"/>
      <c r="M31" s="429"/>
      <c r="N31" s="429"/>
      <c r="O31" s="429"/>
      <c r="P31" s="679" t="s">
        <v>879</v>
      </c>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row>
    <row r="32" spans="2:50" ht="15.75" thickBot="1" x14ac:dyDescent="0.3">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row>
    <row r="33" spans="2:50" ht="15" customHeight="1" thickTop="1" x14ac:dyDescent="0.25">
      <c r="B33" s="429" t="s">
        <v>433</v>
      </c>
      <c r="C33" s="430" t="s">
        <v>472</v>
      </c>
      <c r="D33" s="680">
        <f>DEGREES(ATAN(TAN(RADIANS('FOGLIO DEPOSITO'!W223))/DATI!E277))</f>
        <v>35</v>
      </c>
      <c r="E33" s="640"/>
      <c r="F33" s="867" t="str">
        <f>DATI!G174</f>
        <v>1°strato: ghiaia-sabbie</v>
      </c>
      <c r="G33" s="868"/>
      <c r="H33" s="429"/>
      <c r="I33" s="429"/>
      <c r="J33" s="429"/>
      <c r="K33" s="429"/>
      <c r="L33" s="429"/>
      <c r="M33" s="429"/>
      <c r="N33" s="429"/>
      <c r="O33" s="429"/>
      <c r="P33" s="429"/>
      <c r="Q33" s="429"/>
      <c r="R33" s="632" t="s">
        <v>876</v>
      </c>
      <c r="S33" s="632" t="s">
        <v>878</v>
      </c>
      <c r="T33" s="632" t="s">
        <v>877</v>
      </c>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row>
    <row r="34" spans="2:50" x14ac:dyDescent="0.25">
      <c r="B34" s="429" t="s">
        <v>434</v>
      </c>
      <c r="C34" s="430" t="s">
        <v>473</v>
      </c>
      <c r="D34" s="675">
        <f>'FOGLIO DEPOSITO'!W224/DATI!E280</f>
        <v>21</v>
      </c>
      <c r="E34" s="640"/>
      <c r="F34" s="869"/>
      <c r="G34" s="870"/>
      <c r="H34" s="429"/>
      <c r="I34" s="429"/>
      <c r="J34" s="429"/>
      <c r="K34" s="429"/>
      <c r="L34" s="429"/>
      <c r="M34" s="429"/>
      <c r="N34" s="429"/>
      <c r="O34" s="429"/>
      <c r="P34" s="11" t="str">
        <f>'FOGLIO DEPOSITO'!N178</f>
        <v>Rankine</v>
      </c>
      <c r="Q34" s="429"/>
      <c r="R34" s="300">
        <f>'FOGLIO DEPOSITO'!O178</f>
        <v>0.27099005412014432</v>
      </c>
      <c r="S34" s="300">
        <f>'FOGLIO DEPOSITO'!P178</f>
        <v>0.30725852452246849</v>
      </c>
      <c r="T34" s="300">
        <f>'FOGLIO DEPOSITO'!Q178</f>
        <v>0.27099005412014432</v>
      </c>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row>
    <row r="35" spans="2:50" x14ac:dyDescent="0.25">
      <c r="B35" s="429" t="s">
        <v>436</v>
      </c>
      <c r="C35" s="632" t="s">
        <v>474</v>
      </c>
      <c r="D35" s="681">
        <f>IF(F33='FOGLIO DEPOSITO'!H166,0,'FOGLIO DEPOSITO'!W225/DATI!E279)</f>
        <v>0</v>
      </c>
      <c r="E35" s="640"/>
      <c r="F35" s="869"/>
      <c r="G35" s="870"/>
      <c r="H35" s="429"/>
      <c r="I35" s="429"/>
      <c r="J35" s="429"/>
      <c r="K35" s="429"/>
      <c r="L35" s="429"/>
      <c r="M35" s="429"/>
      <c r="N35" s="429"/>
      <c r="O35" s="429"/>
      <c r="P35" s="11" t="str">
        <f>'FOGLIO DEPOSITO'!N179</f>
        <v>Muller-Breslau</v>
      </c>
      <c r="Q35" s="429"/>
      <c r="R35" s="300">
        <f>'FOGLIO DEPOSITO'!O179</f>
        <v>0.27099138569611753</v>
      </c>
      <c r="S35" s="300">
        <f>'FOGLIO DEPOSITO'!P179</f>
        <v>0.30725987186793075</v>
      </c>
      <c r="T35" s="300">
        <f>'FOGLIO DEPOSITO'!Q179</f>
        <v>0.27099138569611753</v>
      </c>
      <c r="U35" s="429"/>
      <c r="V35" s="42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row>
    <row r="36" spans="2:50" x14ac:dyDescent="0.25">
      <c r="B36" s="429" t="s">
        <v>438</v>
      </c>
      <c r="C36" s="632" t="s">
        <v>475</v>
      </c>
      <c r="D36" s="682">
        <f>IF(F33='FOGLIO DEPOSITO'!H166,0,'FOGLIO DEPOSITO'!W226/DATI!E278)</f>
        <v>0</v>
      </c>
      <c r="E36" s="640"/>
      <c r="F36" s="869"/>
      <c r="G36" s="870"/>
      <c r="H36" s="429"/>
      <c r="I36" s="429"/>
      <c r="J36" s="429"/>
      <c r="K36" s="429"/>
      <c r="L36" s="429"/>
      <c r="M36" s="429"/>
      <c r="N36" s="429"/>
      <c r="O36" s="429"/>
      <c r="P36" s="11" t="str">
        <f>'FOGLIO DEPOSITO'!N180</f>
        <v>Lancellotta</v>
      </c>
      <c r="Q36" s="429"/>
      <c r="R36" s="683">
        <f>'FOGLIO DEPOSITO'!O180</f>
        <v>0.27099005412014443</v>
      </c>
      <c r="S36" s="683">
        <f>'FOGLIO DEPOSITO'!P180</f>
        <v>0.30725852452246843</v>
      </c>
      <c r="T36" s="683">
        <f>'FOGLIO DEPOSITO'!Q180</f>
        <v>0.27099005412014443</v>
      </c>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row>
    <row r="37" spans="2:50" x14ac:dyDescent="0.25">
      <c r="B37" s="429" t="s">
        <v>476</v>
      </c>
      <c r="C37" s="430" t="s">
        <v>477</v>
      </c>
      <c r="D37" s="684">
        <f>IF(DATI!E200="no",0,2/3*D33)</f>
        <v>0</v>
      </c>
      <c r="E37" s="640"/>
      <c r="F37" s="869"/>
      <c r="G37" s="870"/>
      <c r="H37" s="429"/>
      <c r="I37" s="429"/>
      <c r="J37" s="429"/>
      <c r="K37" s="429"/>
      <c r="L37" s="429"/>
      <c r="M37" s="429"/>
      <c r="N37" s="429"/>
      <c r="O37" s="429"/>
      <c r="P37" s="11" t="str">
        <f>'FOGLIO DEPOSITO'!N181</f>
        <v>Mononobe Okabe K(kv+)</v>
      </c>
      <c r="Q37" s="429"/>
      <c r="R37" s="300">
        <f>'FOGLIO DEPOSITO'!O181</f>
        <v>0.31217631383028632</v>
      </c>
      <c r="S37" s="300">
        <f>'FOGLIO DEPOSITO'!P181</f>
        <v>0.35117816040995664</v>
      </c>
      <c r="T37" s="300">
        <f>'FOGLIO DEPOSITO'!Q181</f>
        <v>0.31217631383028632</v>
      </c>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row>
    <row r="38" spans="2:50" ht="15.75" thickBot="1" x14ac:dyDescent="0.3">
      <c r="B38" s="429" t="s">
        <v>440</v>
      </c>
      <c r="C38" s="430" t="s">
        <v>441</v>
      </c>
      <c r="D38" s="543">
        <f>'FOGLIO DEPOSITO'!W227</f>
        <v>2.8363333333333332</v>
      </c>
      <c r="E38" s="640"/>
      <c r="F38" s="871"/>
      <c r="G38" s="872"/>
      <c r="H38" s="429"/>
      <c r="I38" s="429"/>
      <c r="J38" s="429"/>
      <c r="K38" s="429"/>
      <c r="L38" s="429"/>
      <c r="M38" s="429"/>
      <c r="N38" s="429"/>
      <c r="O38" s="429"/>
      <c r="P38" s="11" t="str">
        <f>'FOGLIO DEPOSITO'!N182</f>
        <v>Mononobe Okabe K(kv-)</v>
      </c>
      <c r="Q38" s="429"/>
      <c r="R38" s="300">
        <f>'FOGLIO DEPOSITO'!O182</f>
        <v>0.31571269268048763</v>
      </c>
      <c r="S38" s="300">
        <f>'FOGLIO DEPOSITO'!P182</f>
        <v>0.35495676159947348</v>
      </c>
      <c r="T38" s="300">
        <f>'FOGLIO DEPOSITO'!Q182</f>
        <v>0.31571269268048763</v>
      </c>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row>
    <row r="39" spans="2:50" ht="16.5" thickTop="1" thickBot="1" x14ac:dyDescent="0.3">
      <c r="B39" s="429"/>
      <c r="C39" s="430"/>
      <c r="D39" s="375"/>
      <c r="E39" s="640"/>
      <c r="F39" s="127"/>
      <c r="G39" s="127"/>
      <c r="H39" s="429"/>
      <c r="I39" s="429"/>
      <c r="J39" s="429"/>
      <c r="K39" s="429"/>
      <c r="L39" s="429"/>
      <c r="M39" s="429"/>
      <c r="N39" s="429"/>
      <c r="O39" s="429"/>
      <c r="U39" s="429"/>
      <c r="V39" s="42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row>
    <row r="40" spans="2:50" ht="15" customHeight="1" thickTop="1" x14ac:dyDescent="0.25">
      <c r="B40" s="429" t="s">
        <v>433</v>
      </c>
      <c r="C40" s="430" t="s">
        <v>472</v>
      </c>
      <c r="D40" s="680">
        <f>DEGREES(ATAN(TAN(RADIANS('FOGLIO DEPOSITO'!W229))/DATI!E277))</f>
        <v>32</v>
      </c>
      <c r="E40" s="640"/>
      <c r="F40" s="867" t="str">
        <f>IF(D45=0,"strato spento",DATI!G180)</f>
        <v>2° strato:    limi-argille</v>
      </c>
      <c r="G40" s="868"/>
      <c r="H40" s="429"/>
      <c r="I40" s="429"/>
      <c r="J40" s="429"/>
      <c r="K40" s="429"/>
      <c r="L40" s="429"/>
      <c r="M40" s="429"/>
      <c r="N40" s="429"/>
      <c r="O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row>
    <row r="41" spans="2:50" x14ac:dyDescent="0.25">
      <c r="B41" s="429" t="s">
        <v>434</v>
      </c>
      <c r="C41" s="430" t="s">
        <v>473</v>
      </c>
      <c r="D41" s="675">
        <f>'FOGLIO DEPOSITO'!W230/DATI!E280</f>
        <v>19.5</v>
      </c>
      <c r="E41" s="640"/>
      <c r="F41" s="869"/>
      <c r="G41" s="870"/>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row>
    <row r="42" spans="2:50" x14ac:dyDescent="0.25">
      <c r="B42" s="429" t="s">
        <v>436</v>
      </c>
      <c r="C42" s="632" t="s">
        <v>474</v>
      </c>
      <c r="D42" s="681">
        <f>IF(F40='FOGLIO DEPOSITO'!H169,0,'FOGLIO DEPOSITO'!W231/DATI!E279)</f>
        <v>0</v>
      </c>
      <c r="E42" s="640"/>
      <c r="F42" s="869"/>
      <c r="G42" s="870"/>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row>
    <row r="43" spans="2:50" x14ac:dyDescent="0.25">
      <c r="B43" s="429" t="s">
        <v>438</v>
      </c>
      <c r="C43" s="632" t="s">
        <v>475</v>
      </c>
      <c r="D43" s="681">
        <f>IF(F40='FOGLIO DEPOSITO'!H169,0,'FOGLIO DEPOSITO'!W232/DATI!E278)</f>
        <v>0</v>
      </c>
      <c r="E43" s="640"/>
      <c r="F43" s="869"/>
      <c r="G43" s="870"/>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row>
    <row r="44" spans="2:50" x14ac:dyDescent="0.25">
      <c r="B44" s="429" t="s">
        <v>476</v>
      </c>
      <c r="C44" s="430" t="s">
        <v>477</v>
      </c>
      <c r="D44" s="680">
        <f>IF(DATI!E200="no",0,2/3*D40)</f>
        <v>0</v>
      </c>
      <c r="E44" s="640"/>
      <c r="F44" s="869"/>
      <c r="G44" s="870"/>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row>
    <row r="45" spans="2:50" ht="15.75" thickBot="1" x14ac:dyDescent="0.3">
      <c r="B45" s="429" t="s">
        <v>440</v>
      </c>
      <c r="C45" s="430" t="s">
        <v>441</v>
      </c>
      <c r="D45" s="543">
        <f>'FOGLIO DEPOSITO'!W233</f>
        <v>0.51366666666666694</v>
      </c>
      <c r="E45" s="640"/>
      <c r="F45" s="871"/>
      <c r="G45" s="872"/>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row>
    <row r="46" spans="2:50" ht="16.5" thickTop="1" thickBot="1" x14ac:dyDescent="0.3">
      <c r="B46" s="429"/>
      <c r="C46" s="430"/>
      <c r="D46" s="20"/>
      <c r="E46" s="640"/>
      <c r="F46" s="127"/>
      <c r="G46" s="127"/>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row>
    <row r="47" spans="2:50" ht="16.5" customHeight="1" thickTop="1" x14ac:dyDescent="0.25">
      <c r="B47" s="429" t="s">
        <v>433</v>
      </c>
      <c r="C47" s="430" t="s">
        <v>472</v>
      </c>
      <c r="D47" s="680">
        <f>DEGREES(ATAN(TAN(RADIANS('FOGLIO DEPOSITO'!W235))/DATI!E277))</f>
        <v>35</v>
      </c>
      <c r="E47" s="640"/>
      <c r="F47" s="867" t="str">
        <f>IF(D52=0,"strato   spento",DATI!G186)</f>
        <v>strato   spento</v>
      </c>
      <c r="G47" s="868"/>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row>
    <row r="48" spans="2:50" x14ac:dyDescent="0.25">
      <c r="B48" s="429" t="s">
        <v>434</v>
      </c>
      <c r="C48" s="430" t="s">
        <v>473</v>
      </c>
      <c r="D48" s="675">
        <f>'FOGLIO DEPOSITO'!W236/DATI!E280</f>
        <v>21</v>
      </c>
      <c r="E48" s="640"/>
      <c r="F48" s="869"/>
      <c r="G48" s="870"/>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row>
    <row r="49" spans="2:50" x14ac:dyDescent="0.25">
      <c r="B49" s="429" t="s">
        <v>436</v>
      </c>
      <c r="C49" s="632" t="s">
        <v>474</v>
      </c>
      <c r="D49" s="681">
        <f>IF(F47='FOGLIO DEPOSITO'!H172,0,'FOGLIO DEPOSITO'!W237/DATI!E279)</f>
        <v>0</v>
      </c>
      <c r="E49" s="640"/>
      <c r="F49" s="869"/>
      <c r="G49" s="870"/>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row>
    <row r="50" spans="2:50" x14ac:dyDescent="0.25">
      <c r="B50" s="429" t="s">
        <v>438</v>
      </c>
      <c r="C50" s="632" t="s">
        <v>475</v>
      </c>
      <c r="D50" s="681">
        <f>IF(F47='FOGLIO DEPOSITO'!H172,0,'FOGLIO DEPOSITO'!W238/DATI!E278)</f>
        <v>0</v>
      </c>
      <c r="E50" s="640"/>
      <c r="F50" s="869"/>
      <c r="G50" s="870"/>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row>
    <row r="51" spans="2:50" x14ac:dyDescent="0.25">
      <c r="B51" s="429" t="s">
        <v>476</v>
      </c>
      <c r="C51" s="430" t="s">
        <v>477</v>
      </c>
      <c r="D51" s="680">
        <f>IF(DATI!E200="no",0,2/3*D47)</f>
        <v>0</v>
      </c>
      <c r="E51" s="640"/>
      <c r="F51" s="869"/>
      <c r="G51" s="870"/>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row>
    <row r="52" spans="2:50" ht="15.75" thickBot="1" x14ac:dyDescent="0.3">
      <c r="B52" s="429" t="s">
        <v>440</v>
      </c>
      <c r="C52" s="430" t="s">
        <v>441</v>
      </c>
      <c r="D52" s="543">
        <f>ROUND('FOGLIO DEPOSITO'!W239,3)</f>
        <v>0</v>
      </c>
      <c r="E52" s="640"/>
      <c r="F52" s="871"/>
      <c r="G52" s="872"/>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row>
    <row r="53" spans="2:50" ht="15.75" thickTop="1" x14ac:dyDescent="0.25">
      <c r="B53" s="429"/>
      <c r="C53" s="430"/>
      <c r="D53" s="20"/>
      <c r="E53" s="640"/>
      <c r="F53" s="127"/>
      <c r="G53" s="127"/>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row>
    <row r="54" spans="2:50" x14ac:dyDescent="0.25">
      <c r="B54" s="429" t="s">
        <v>478</v>
      </c>
      <c r="C54" s="430"/>
      <c r="D54" s="543" t="str">
        <f>IF('FOGLIO DEPOSITO'!C226=DATI!E195,DATI!E195,"")</f>
        <v/>
      </c>
      <c r="E54" s="462"/>
      <c r="F54" s="429"/>
      <c r="G54" s="127"/>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row>
    <row r="55" spans="2:50" x14ac:dyDescent="0.25">
      <c r="B55" s="429"/>
      <c r="C55" s="430"/>
      <c r="D55" s="685"/>
      <c r="E55" s="640"/>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row>
    <row r="56" spans="2:50" x14ac:dyDescent="0.25">
      <c r="B56" s="429" t="s">
        <v>428</v>
      </c>
      <c r="C56" s="430" t="s">
        <v>479</v>
      </c>
      <c r="D56" s="680">
        <f>DATI!E169</f>
        <v>0</v>
      </c>
      <c r="E56" s="429"/>
      <c r="F56" s="429"/>
      <c r="G56" s="429"/>
      <c r="H56" s="429"/>
      <c r="I56" s="429"/>
      <c r="J56" s="429"/>
      <c r="K56" s="429"/>
      <c r="L56" s="429"/>
      <c r="M56" s="429"/>
      <c r="N56" s="429"/>
      <c r="O56" s="429"/>
      <c r="P56" s="429"/>
      <c r="Q56" s="429"/>
      <c r="R56" s="429"/>
      <c r="S56" s="429"/>
      <c r="T56" s="429"/>
      <c r="U56" s="429"/>
      <c r="V56" s="42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row>
    <row r="57" spans="2:50" x14ac:dyDescent="0.25">
      <c r="B57" s="429"/>
      <c r="C57" s="430" t="s">
        <v>480</v>
      </c>
      <c r="D57" s="686">
        <f>TAN(D56*PI()/180)*100</f>
        <v>0</v>
      </c>
      <c r="E57" s="429"/>
      <c r="F57" s="429"/>
      <c r="G57" s="429"/>
      <c r="H57" s="429"/>
      <c r="I57" s="429"/>
      <c r="J57" s="444"/>
      <c r="K57" s="444"/>
      <c r="L57" s="444"/>
      <c r="M57" s="444"/>
      <c r="N57" s="444"/>
      <c r="O57" s="429"/>
      <c r="P57" s="429"/>
      <c r="Q57" s="429"/>
      <c r="R57" s="429"/>
      <c r="S57" s="429"/>
      <c r="T57" s="429"/>
      <c r="U57" s="429"/>
      <c r="V57" s="42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row>
    <row r="58" spans="2:50" x14ac:dyDescent="0.25">
      <c r="B58" s="429"/>
      <c r="C58" s="429"/>
      <c r="D58" s="429"/>
      <c r="E58" s="429"/>
      <c r="F58" s="429"/>
      <c r="G58" s="429"/>
      <c r="H58" s="429"/>
      <c r="I58" s="429"/>
      <c r="J58" s="687"/>
      <c r="K58" s="444"/>
      <c r="L58" s="444"/>
      <c r="M58" s="444"/>
      <c r="N58" s="444"/>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row>
    <row r="59" spans="2:50" x14ac:dyDescent="0.25">
      <c r="B59" s="429" t="s">
        <v>481</v>
      </c>
      <c r="C59" s="98" t="s">
        <v>482</v>
      </c>
      <c r="D59" s="543">
        <f>DATI!E60+DATI!E74</f>
        <v>3.35</v>
      </c>
      <c r="E59" s="429"/>
      <c r="F59" s="429"/>
      <c r="G59" s="429"/>
      <c r="H59" s="429"/>
      <c r="I59" s="429"/>
      <c r="J59" s="429"/>
      <c r="K59" s="429"/>
      <c r="L59" s="429"/>
      <c r="M59" s="429"/>
      <c r="N59" s="429"/>
      <c r="O59" s="429"/>
      <c r="P59" s="429"/>
      <c r="Q59" s="429"/>
      <c r="R59" s="429"/>
      <c r="S59" s="429"/>
      <c r="T59" s="429"/>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row>
    <row r="60" spans="2:50" x14ac:dyDescent="0.25">
      <c r="B60" s="429" t="s">
        <v>483</v>
      </c>
      <c r="C60" s="98" t="s">
        <v>784</v>
      </c>
      <c r="D60" s="543">
        <f>DATI!G216</f>
        <v>3.35</v>
      </c>
      <c r="E60" s="429"/>
      <c r="F60" s="429"/>
      <c r="G60" s="429"/>
      <c r="H60" s="429"/>
      <c r="I60" s="429"/>
      <c r="J60" s="429"/>
      <c r="K60" s="429"/>
      <c r="L60" s="429"/>
      <c r="M60" s="429"/>
      <c r="N60" s="429"/>
      <c r="O60" s="429"/>
      <c r="P60" s="429"/>
      <c r="Q60" s="429"/>
      <c r="R60" s="429"/>
      <c r="S60" s="429"/>
      <c r="T60" s="429"/>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row>
    <row r="61" spans="2:50" x14ac:dyDescent="0.25">
      <c r="B61" s="429" t="s">
        <v>446</v>
      </c>
      <c r="C61" s="430" t="s">
        <v>447</v>
      </c>
      <c r="D61" s="675">
        <f>DATI!E196</f>
        <v>10</v>
      </c>
      <c r="E61" s="429"/>
      <c r="F61" s="429"/>
      <c r="G61" s="429"/>
      <c r="H61" s="429"/>
      <c r="I61" s="429"/>
      <c r="J61" s="429"/>
      <c r="K61" s="429"/>
      <c r="L61" s="429"/>
      <c r="M61" s="429"/>
      <c r="N61" s="429"/>
      <c r="O61" s="429"/>
      <c r="P61" s="429"/>
      <c r="Q61" s="429"/>
      <c r="R61" s="429"/>
      <c r="S61" s="429"/>
      <c r="T61" s="429"/>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row>
    <row r="62" spans="2:50" x14ac:dyDescent="0.25">
      <c r="B62" s="6" t="s">
        <v>484</v>
      </c>
      <c r="C62" s="430" t="s">
        <v>299</v>
      </c>
      <c r="D62" s="680">
        <f>90-'ANALISI DELLE SPINTE'!D63</f>
        <v>89.999798962177152</v>
      </c>
      <c r="E62" s="429"/>
      <c r="F62" s="429"/>
      <c r="G62" s="429"/>
      <c r="H62" s="429"/>
      <c r="I62" s="429"/>
      <c r="J62" s="429"/>
      <c r="K62" s="429"/>
      <c r="L62" s="429"/>
      <c r="M62" s="429"/>
      <c r="N62" s="429"/>
      <c r="O62" s="429"/>
      <c r="P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row>
    <row r="63" spans="2:50" s="428" customFormat="1" x14ac:dyDescent="0.25">
      <c r="B63" s="6" t="s">
        <v>875</v>
      </c>
      <c r="C63" s="430" t="s">
        <v>281</v>
      </c>
      <c r="D63" s="680">
        <f>IF(DATI!G218="dx",'FOGLIO DEPOSITO'!D196,0)</f>
        <v>2.0103782284763838E-4</v>
      </c>
      <c r="E63" s="429"/>
      <c r="F63" s="429"/>
      <c r="G63" s="429"/>
      <c r="H63" s="429"/>
      <c r="I63" s="888" t="str">
        <f>IF(D65="si","A tergo del paramento è stato inserito il drenaggio;                                  Si annulla la spinta dell'acqua","")</f>
        <v>A tergo del paramento è stato inserito il drenaggio;                                  Si annulla la spinta dell'acqua</v>
      </c>
      <c r="J63" s="888"/>
      <c r="K63" s="888"/>
      <c r="L63" s="888"/>
      <c r="M63" s="888"/>
      <c r="N63" s="429"/>
      <c r="O63" s="429"/>
      <c r="P63" s="429"/>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row>
    <row r="64" spans="2:50" s="428" customFormat="1" ht="15.75" thickBot="1" x14ac:dyDescent="0.3">
      <c r="B64" s="6"/>
      <c r="C64" s="430"/>
      <c r="D64" s="688"/>
      <c r="E64" s="429"/>
      <c r="F64" s="429"/>
      <c r="G64" s="429"/>
      <c r="H64" s="429"/>
      <c r="I64" s="888"/>
      <c r="J64" s="888"/>
      <c r="K64" s="888"/>
      <c r="L64" s="888"/>
      <c r="M64" s="888"/>
      <c r="N64" s="429"/>
      <c r="O64" s="429"/>
      <c r="P64" s="429"/>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row>
    <row r="65" spans="2:50" ht="16.5" thickTop="1" thickBot="1" x14ac:dyDescent="0.3">
      <c r="B65" s="6" t="s">
        <v>485</v>
      </c>
      <c r="C65" s="430"/>
      <c r="D65" s="67" t="s">
        <v>158</v>
      </c>
      <c r="E65" s="429"/>
      <c r="F65" s="429"/>
      <c r="G65" s="429"/>
      <c r="H65" s="429"/>
      <c r="I65" s="429"/>
      <c r="J65" s="429"/>
      <c r="K65" s="429"/>
      <c r="L65" s="429"/>
      <c r="M65" s="429"/>
      <c r="N65" s="429"/>
      <c r="O65" s="429"/>
      <c r="P65" s="429"/>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AU65" s="429"/>
      <c r="AV65" s="429"/>
      <c r="AW65" s="429"/>
      <c r="AX65" s="429"/>
    </row>
    <row r="66" spans="2:50" ht="16.5" customHeight="1" thickTop="1" x14ac:dyDescent="0.25">
      <c r="B66" s="6"/>
      <c r="C66" s="430"/>
      <c r="D66" s="688"/>
      <c r="E66" s="429"/>
      <c r="F66" s="429"/>
      <c r="G66" s="429"/>
      <c r="H66" s="891" t="str">
        <f>IF('FOGLIO DEPOSITO'!W233=0,IF('FOGLIO DEPOSITO'!W239&gt;0,"AGGIORNA ALTEZZA DEGLI STRATI SUI DATI!",IF(DATI!C179="",IF(DATI!C185="","","AGGIORNA ALTEZZA DEGLI STRATI SUI DATI!"),"AGGIORNA ALTEZZA DEGLI STRATI SUI DATI!")),"")</f>
        <v/>
      </c>
      <c r="I66" s="891"/>
      <c r="J66" s="891"/>
      <c r="K66" s="891"/>
      <c r="L66" s="891"/>
      <c r="M66" s="891"/>
      <c r="N66" s="891"/>
      <c r="O66" s="429"/>
      <c r="P66" s="429"/>
      <c r="Q66" s="429"/>
      <c r="R66" s="429"/>
      <c r="S66" s="429"/>
      <c r="T66" s="429"/>
      <c r="U66" s="429"/>
      <c r="V66" s="429"/>
      <c r="W66" s="429"/>
      <c r="X66" s="429"/>
      <c r="Y66" s="429"/>
      <c r="Z66" s="429"/>
      <c r="AA66" s="429"/>
      <c r="AB66" s="429"/>
      <c r="AC66" s="429"/>
      <c r="AD66" s="429"/>
      <c r="AE66" s="429"/>
      <c r="AF66" s="429"/>
      <c r="AG66" s="429"/>
      <c r="AH66" s="429"/>
      <c r="AI66" s="429"/>
      <c r="AJ66" s="429"/>
      <c r="AK66" s="429"/>
      <c r="AL66" s="429"/>
      <c r="AM66" s="429"/>
      <c r="AN66" s="429"/>
      <c r="AO66" s="429"/>
      <c r="AP66" s="429"/>
      <c r="AQ66" s="429"/>
      <c r="AR66" s="429"/>
      <c r="AS66" s="429"/>
      <c r="AT66" s="429"/>
      <c r="AU66" s="429"/>
      <c r="AV66" s="429"/>
      <c r="AW66" s="429"/>
      <c r="AX66" s="429"/>
    </row>
    <row r="67" spans="2:50" x14ac:dyDescent="0.25">
      <c r="B67" s="440" t="s">
        <v>486</v>
      </c>
      <c r="C67" s="64"/>
      <c r="D67" s="429"/>
      <c r="E67" s="429"/>
      <c r="F67" s="429"/>
      <c r="G67" s="429"/>
      <c r="H67" s="891"/>
      <c r="I67" s="891"/>
      <c r="J67" s="891"/>
      <c r="K67" s="891"/>
      <c r="L67" s="891"/>
      <c r="M67" s="891"/>
      <c r="N67" s="891"/>
      <c r="O67" s="429"/>
      <c r="P67" s="429"/>
      <c r="Q67" s="429"/>
      <c r="R67" s="429"/>
      <c r="S67" s="429"/>
      <c r="T67" s="429"/>
      <c r="U67" s="429"/>
      <c r="V67" s="429"/>
      <c r="W67" s="429"/>
      <c r="X67" s="429"/>
      <c r="Y67" s="429"/>
      <c r="Z67" s="429"/>
      <c r="AA67" s="429"/>
      <c r="AB67" s="429"/>
      <c r="AC67" s="429"/>
      <c r="AD67" s="429"/>
      <c r="AE67" s="429"/>
      <c r="AF67" s="429"/>
      <c r="AG67" s="429"/>
      <c r="AH67" s="429"/>
      <c r="AI67" s="429"/>
      <c r="AJ67" s="429"/>
      <c r="AK67" s="429"/>
      <c r="AL67" s="429"/>
      <c r="AM67" s="429"/>
      <c r="AN67" s="429"/>
      <c r="AO67" s="429"/>
      <c r="AP67" s="429"/>
      <c r="AQ67" s="429"/>
      <c r="AR67" s="429"/>
      <c r="AS67" s="429"/>
      <c r="AT67" s="429"/>
      <c r="AU67" s="429"/>
      <c r="AV67" s="429"/>
      <c r="AW67" s="429"/>
      <c r="AX67" s="429"/>
    </row>
    <row r="68" spans="2:50" x14ac:dyDescent="0.25">
      <c r="B68" s="429"/>
      <c r="C68" s="64"/>
      <c r="D68" s="429"/>
      <c r="E68" s="429"/>
      <c r="F68" s="429"/>
      <c r="G68" s="429"/>
      <c r="H68" s="891"/>
      <c r="I68" s="891"/>
      <c r="J68" s="891"/>
      <c r="K68" s="891"/>
      <c r="L68" s="891"/>
      <c r="M68" s="891"/>
      <c r="N68" s="891"/>
      <c r="O68" s="429"/>
      <c r="P68" s="429"/>
      <c r="Q68" s="429"/>
      <c r="R68" s="429"/>
      <c r="S68" s="429"/>
      <c r="T68" s="429"/>
      <c r="U68" s="429"/>
      <c r="V68" s="429"/>
      <c r="W68" s="429"/>
      <c r="X68" s="429"/>
      <c r="Y68" s="429"/>
      <c r="Z68" s="429"/>
      <c r="AA68" s="429"/>
      <c r="AB68" s="429"/>
      <c r="AC68" s="429"/>
      <c r="AD68" s="429"/>
      <c r="AE68" s="429"/>
      <c r="AF68" s="429"/>
      <c r="AG68" s="429"/>
      <c r="AH68" s="429"/>
      <c r="AI68" s="429"/>
      <c r="AJ68" s="429"/>
      <c r="AK68" s="429"/>
      <c r="AL68" s="429"/>
      <c r="AM68" s="429"/>
      <c r="AN68" s="429"/>
      <c r="AO68" s="429"/>
      <c r="AP68" s="429"/>
      <c r="AQ68" s="429"/>
      <c r="AR68" s="429"/>
      <c r="AS68" s="429"/>
      <c r="AT68" s="429"/>
      <c r="AU68" s="429"/>
      <c r="AV68" s="429"/>
      <c r="AW68" s="429"/>
      <c r="AX68" s="429"/>
    </row>
    <row r="69" spans="2:50" ht="18" customHeight="1" x14ac:dyDescent="0.3">
      <c r="B69" s="429" t="s">
        <v>421</v>
      </c>
      <c r="C69" s="439" t="s">
        <v>422</v>
      </c>
      <c r="D69" s="689">
        <f>DATI!E161</f>
        <v>0</v>
      </c>
      <c r="E69" s="690"/>
      <c r="F69" s="24"/>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29"/>
      <c r="AJ69" s="429"/>
      <c r="AK69" s="429"/>
      <c r="AL69" s="429"/>
      <c r="AM69" s="429"/>
      <c r="AN69" s="429"/>
      <c r="AO69" s="429"/>
      <c r="AP69" s="429"/>
      <c r="AQ69" s="429"/>
      <c r="AR69" s="429"/>
      <c r="AS69" s="429"/>
      <c r="AT69" s="429"/>
      <c r="AU69" s="429"/>
      <c r="AV69" s="429"/>
      <c r="AW69" s="429"/>
      <c r="AX69" s="429"/>
    </row>
    <row r="70" spans="2:50" ht="18" customHeight="1" x14ac:dyDescent="0.3">
      <c r="B70" s="429" t="s">
        <v>487</v>
      </c>
      <c r="C70" s="439" t="s">
        <v>424</v>
      </c>
      <c r="D70" s="691">
        <f>DATI!E162</f>
        <v>5</v>
      </c>
      <c r="E70" s="690"/>
      <c r="F70" s="24"/>
      <c r="G70" s="429"/>
      <c r="H70" s="429"/>
      <c r="I70" s="429"/>
      <c r="J70" s="429"/>
      <c r="K70" s="429"/>
      <c r="L70" s="429"/>
      <c r="M70" s="429"/>
      <c r="N70" s="429"/>
      <c r="O70" s="429"/>
      <c r="P70" s="429"/>
      <c r="Q70" s="429"/>
      <c r="R70" s="429"/>
      <c r="S70" s="429"/>
      <c r="T70" s="429"/>
      <c r="U70" s="429"/>
      <c r="V70" s="429"/>
      <c r="W70" s="429"/>
      <c r="X70" s="429"/>
      <c r="Y70" s="429"/>
      <c r="Z70" s="429"/>
      <c r="AA70" s="429"/>
      <c r="AB70" s="429"/>
      <c r="AC70" s="429"/>
      <c r="AD70" s="429"/>
      <c r="AE70" s="429"/>
      <c r="AF70" s="429"/>
      <c r="AG70" s="429"/>
      <c r="AH70" s="429"/>
      <c r="AI70" s="429"/>
      <c r="AJ70" s="429"/>
      <c r="AK70" s="429"/>
      <c r="AL70" s="429"/>
      <c r="AM70" s="429"/>
      <c r="AN70" s="429"/>
      <c r="AO70" s="429"/>
      <c r="AP70" s="429"/>
      <c r="AQ70" s="429"/>
      <c r="AR70" s="429"/>
      <c r="AS70" s="429"/>
      <c r="AT70" s="429"/>
      <c r="AU70" s="429"/>
      <c r="AV70" s="429"/>
      <c r="AW70" s="429"/>
      <c r="AX70" s="429"/>
    </row>
    <row r="71" spans="2:50" ht="18" customHeight="1" x14ac:dyDescent="0.3">
      <c r="B71" s="429"/>
      <c r="C71" s="439"/>
      <c r="D71" s="677"/>
      <c r="E71" s="678"/>
      <c r="F71" s="24"/>
      <c r="G71" s="429"/>
      <c r="H71" s="429"/>
      <c r="I71" s="429"/>
      <c r="J71" s="429"/>
      <c r="K71" s="429"/>
      <c r="L71" s="429"/>
      <c r="M71" s="429"/>
      <c r="N71" s="429"/>
      <c r="O71" s="429"/>
      <c r="P71" s="429"/>
      <c r="Q71" s="429"/>
      <c r="R71" s="429"/>
      <c r="S71" s="429"/>
      <c r="T71" s="429"/>
      <c r="U71" s="429"/>
      <c r="V71" s="429"/>
      <c r="W71" s="429"/>
      <c r="X71" s="429"/>
      <c r="Y71" s="429"/>
      <c r="Z71" s="429"/>
      <c r="AA71" s="429"/>
      <c r="AB71" s="429"/>
      <c r="AC71" s="429"/>
      <c r="AD71" s="429"/>
      <c r="AE71" s="429"/>
      <c r="AF71" s="429"/>
      <c r="AG71" s="429"/>
      <c r="AH71" s="429"/>
      <c r="AI71" s="429"/>
      <c r="AJ71" s="429"/>
      <c r="AK71" s="429"/>
      <c r="AL71" s="429"/>
      <c r="AM71" s="429"/>
      <c r="AN71" s="429"/>
      <c r="AO71" s="429"/>
      <c r="AP71" s="429"/>
      <c r="AQ71" s="429"/>
      <c r="AR71" s="429"/>
      <c r="AS71" s="429"/>
      <c r="AT71" s="429"/>
      <c r="AU71" s="429"/>
      <c r="AV71" s="429"/>
      <c r="AW71" s="429"/>
      <c r="AX71" s="429"/>
    </row>
    <row r="72" spans="2:50" ht="18" customHeight="1" x14ac:dyDescent="0.3">
      <c r="B72" s="429"/>
      <c r="C72" s="439"/>
      <c r="D72" s="677"/>
      <c r="E72" s="678"/>
      <c r="F72" s="24"/>
      <c r="G72" s="429"/>
      <c r="H72" s="429"/>
      <c r="I72" s="429"/>
      <c r="J72" s="429"/>
      <c r="K72" s="429"/>
      <c r="L72" s="429"/>
      <c r="M72" s="429"/>
      <c r="N72" s="429"/>
      <c r="O72" s="429"/>
      <c r="P72" s="429"/>
      <c r="Q72" s="429"/>
      <c r="R72" s="429"/>
      <c r="S72" s="429"/>
      <c r="T72" s="429"/>
      <c r="U72" s="429"/>
      <c r="V72" s="429"/>
      <c r="W72" s="429"/>
      <c r="X72" s="429"/>
      <c r="Y72" s="429"/>
      <c r="Z72" s="429"/>
      <c r="AA72" s="429"/>
      <c r="AB72" s="429"/>
      <c r="AC72" s="429"/>
      <c r="AD72" s="429"/>
      <c r="AE72" s="429"/>
      <c r="AF72" s="429"/>
      <c r="AG72" s="429"/>
      <c r="AH72" s="429"/>
      <c r="AI72" s="429"/>
      <c r="AJ72" s="429"/>
      <c r="AK72" s="429"/>
      <c r="AL72" s="429"/>
      <c r="AM72" s="429"/>
      <c r="AN72" s="429"/>
      <c r="AO72" s="429"/>
      <c r="AP72" s="429"/>
      <c r="AQ72" s="429"/>
      <c r="AR72" s="429"/>
      <c r="AS72" s="429"/>
      <c r="AT72" s="429"/>
      <c r="AU72" s="429"/>
      <c r="AV72" s="429"/>
      <c r="AW72" s="429"/>
      <c r="AX72" s="429"/>
    </row>
    <row r="73" spans="2:50" ht="18" customHeight="1" x14ac:dyDescent="0.3">
      <c r="B73" s="440" t="s">
        <v>488</v>
      </c>
      <c r="C73" s="439"/>
      <c r="D73" s="677"/>
      <c r="E73" s="678"/>
      <c r="F73" s="24"/>
      <c r="G73" s="429"/>
      <c r="H73" s="429"/>
      <c r="I73" s="429"/>
      <c r="J73" s="429"/>
      <c r="K73" s="692"/>
      <c r="L73" s="692"/>
      <c r="M73" s="692"/>
      <c r="N73" s="429"/>
      <c r="O73" s="429"/>
      <c r="P73" s="429"/>
      <c r="Q73" s="429"/>
      <c r="R73" s="429"/>
      <c r="S73" s="429"/>
      <c r="T73" s="429"/>
      <c r="U73" s="429"/>
      <c r="V73" s="429"/>
      <c r="W73" s="429"/>
      <c r="X73" s="429"/>
      <c r="Y73" s="429"/>
      <c r="Z73" s="429"/>
      <c r="AA73" s="429"/>
      <c r="AB73" s="429"/>
      <c r="AC73" s="429"/>
      <c r="AD73" s="429"/>
      <c r="AE73" s="429"/>
      <c r="AF73" s="429"/>
      <c r="AG73" s="429"/>
      <c r="AH73" s="429"/>
      <c r="AI73" s="429"/>
      <c r="AJ73" s="429"/>
      <c r="AK73" s="429"/>
      <c r="AL73" s="429"/>
      <c r="AM73" s="429"/>
      <c r="AN73" s="429"/>
      <c r="AO73" s="429"/>
      <c r="AP73" s="429"/>
      <c r="AQ73" s="429"/>
      <c r="AR73" s="429"/>
      <c r="AS73" s="429"/>
      <c r="AT73" s="429"/>
      <c r="AU73" s="429"/>
      <c r="AV73" s="429"/>
      <c r="AW73" s="429"/>
      <c r="AX73" s="429"/>
    </row>
    <row r="74" spans="2:50" ht="18" customHeight="1" x14ac:dyDescent="0.3">
      <c r="B74" s="440"/>
      <c r="C74" s="439"/>
      <c r="D74" s="677"/>
      <c r="E74" s="678"/>
      <c r="F74" s="24"/>
      <c r="G74" s="429"/>
      <c r="H74" s="429"/>
      <c r="I74" s="429"/>
      <c r="J74" s="864" t="str">
        <f>IF(C76='FOGLIO DEPOSITO'!N181,"1+Kv",IF(C76='FOGLIO DEPOSITO'!N182,"1-Kv",""))</f>
        <v>1+Kv</v>
      </c>
      <c r="K74" s="890" t="str">
        <f>IF(C76='FOGLIO DEPOSITO'!N184," Ewd (Westergaard)
",IF(C76='FOGLIO DEPOSITO'!N181," Ewd (Westergaard)
",IF('ANALISI DELLE SPINTE'!C76='FOGLIO DEPOSITO'!N182,"Ewd  (Westergaard)","")))</f>
        <v xml:space="preserve"> Ewd (Westergaard)
</v>
      </c>
      <c r="L74" s="864" t="str">
        <f>IF(C76='FOGLIO DEPOSITO'!N184," Kh*Wtot",IF(C76='FOGLIO DEPOSITO'!N181," Kh*Wtot",IF('ANALISI DELLE SPINTE'!C76='FOGLIO DEPOSITO'!N182,"Kh*Wtot","")))</f>
        <v xml:space="preserve"> Kh*Wtot</v>
      </c>
      <c r="M74" s="864" t="str">
        <f>IF(C76='FOGLIO DEPOSITO'!N184," Kv*Wtot",IF(C76='FOGLIO DEPOSITO'!N181," Kv*Wtot",IF('ANALISI DELLE SPINTE'!C76='FOGLIO DEPOSITO'!N182,"Kv*Wtot","")))</f>
        <v xml:space="preserve"> Kv*Wtot</v>
      </c>
      <c r="N74" s="429"/>
      <c r="O74" s="429"/>
      <c r="P74" s="429"/>
      <c r="Q74" s="429"/>
      <c r="R74" s="429"/>
      <c r="S74" s="429"/>
      <c r="T74" s="429"/>
      <c r="U74" s="429"/>
      <c r="V74" s="429"/>
      <c r="W74" s="429"/>
      <c r="X74" s="429"/>
      <c r="Y74" s="429"/>
      <c r="Z74" s="429"/>
      <c r="AA74" s="429"/>
      <c r="AB74" s="429"/>
      <c r="AC74" s="429"/>
      <c r="AD74" s="429"/>
      <c r="AE74" s="429"/>
      <c r="AF74" s="429"/>
      <c r="AG74" s="429"/>
      <c r="AH74" s="429"/>
      <c r="AI74" s="429"/>
      <c r="AJ74" s="429"/>
      <c r="AK74" s="429"/>
      <c r="AL74" s="429"/>
      <c r="AM74" s="429"/>
      <c r="AN74" s="429"/>
      <c r="AO74" s="429"/>
      <c r="AP74" s="429"/>
      <c r="AQ74" s="429"/>
      <c r="AR74" s="429"/>
      <c r="AS74" s="429"/>
      <c r="AT74" s="429"/>
      <c r="AU74" s="429"/>
      <c r="AV74" s="429"/>
      <c r="AW74" s="429"/>
      <c r="AX74" s="429"/>
    </row>
    <row r="75" spans="2:50" ht="15.75" thickBot="1" x14ac:dyDescent="0.3">
      <c r="B75" s="429"/>
      <c r="C75" s="439"/>
      <c r="D75" s="677"/>
      <c r="E75" s="429"/>
      <c r="F75" s="444"/>
      <c r="G75" s="95" t="str">
        <f>IF(C76='FOGLIO DEPOSITO'!N181,"STRATO 1",IF('ANALISI DELLE SPINTE'!C76='FOGLIO DEPOSITO'!N182,"STRATO 1",""))</f>
        <v>STRATO 1</v>
      </c>
      <c r="H75" s="95" t="str">
        <f>IF(C91="","",IF(C76='FOGLIO DEPOSITO'!N181,"STRATO 2",IF('ANALISI DELLE SPINTE'!C76='FOGLIO DEPOSITO'!N182,"STRATO 2","")))</f>
        <v>STRATO 2</v>
      </c>
      <c r="I75" s="95" t="str">
        <f>IF(C94="","",IF(C76='FOGLIO DEPOSITO'!N181,"STRATO 3",IF('ANALISI DELLE SPINTE'!C76='FOGLIO DEPOSITO'!N182,"STRATO 3","")))</f>
        <v/>
      </c>
      <c r="J75" s="864"/>
      <c r="K75" s="890"/>
      <c r="L75" s="864"/>
      <c r="M75" s="864"/>
      <c r="N75" s="429"/>
      <c r="O75" s="429"/>
      <c r="P75" s="429"/>
      <c r="Q75" s="429"/>
      <c r="R75" s="429"/>
      <c r="S75" s="429"/>
      <c r="T75" s="429"/>
      <c r="U75" s="429"/>
      <c r="V75" s="429"/>
      <c r="W75" s="429"/>
      <c r="X75" s="429"/>
      <c r="Y75" s="429"/>
      <c r="Z75" s="429"/>
      <c r="AA75" s="429"/>
      <c r="AB75" s="429"/>
      <c r="AC75" s="429"/>
      <c r="AD75" s="429"/>
      <c r="AE75" s="429"/>
      <c r="AF75" s="429"/>
      <c r="AG75" s="429"/>
      <c r="AH75" s="429"/>
      <c r="AI75" s="429"/>
      <c r="AJ75" s="429"/>
      <c r="AK75" s="429"/>
      <c r="AL75" s="429"/>
      <c r="AM75" s="429"/>
      <c r="AN75" s="429"/>
      <c r="AO75" s="429"/>
      <c r="AP75" s="429"/>
      <c r="AQ75" s="429"/>
      <c r="AR75" s="429"/>
      <c r="AS75" s="429"/>
      <c r="AT75" s="429"/>
      <c r="AU75" s="429"/>
      <c r="AV75" s="429"/>
      <c r="AW75" s="429"/>
      <c r="AX75" s="429"/>
    </row>
    <row r="76" spans="2:50" ht="17.25" thickTop="1" thickBot="1" x14ac:dyDescent="0.3">
      <c r="B76" s="265" t="s">
        <v>780</v>
      </c>
      <c r="C76" s="878" t="s">
        <v>271</v>
      </c>
      <c r="D76" s="879"/>
      <c r="E76" s="429"/>
      <c r="F76" s="95" t="str">
        <f>IF(C76='FOGLIO DEPOSITO'!N181,"ϑ(kv+)",IF('ANALISI DELLE SPINTE'!C76='FOGLIO DEPOSITO'!N182,"ϑ(kv-)",""))</f>
        <v>ϑ(kv+)</v>
      </c>
      <c r="G76" s="693">
        <f>IF(C76='FOGLIO DEPOSITO'!N181,'FOGLIO DEPOSITO'!P188,IF('ANALISI DELLE SPINTE'!C76='FOGLIO DEPOSITO'!N182,'FOGLIO DEPOSITO'!Q188,""))</f>
        <v>4.2457716524727713</v>
      </c>
      <c r="H76" s="693">
        <f>IF(C91="","",IF(C76='FOGLIO DEPOSITO'!N181,'FOGLIO DEPOSITO'!P189,IF('ANALISI DELLE SPINTE'!C76='FOGLIO DEPOSITO'!N182,'FOGLIO DEPOSITO'!Q189,"")))</f>
        <v>4.2457716524727713</v>
      </c>
      <c r="I76" s="693" t="str">
        <f>IF(C94="","",IF(C76='FOGLIO DEPOSITO'!N181,'FOGLIO DEPOSITO'!P190,IF('ANALISI DELLE SPINTE'!C76='FOGLIO DEPOSITO'!N182,'FOGLIO DEPOSITO'!Q190,"")))</f>
        <v/>
      </c>
      <c r="J76" s="694">
        <f>IF(C76='FOGLIO DEPOSITO'!N181,1+'FOGLIO DEPOSITO'!S188,IF(C76='FOGLIO DEPOSITO'!N182,1-'FOGLIO DEPOSITO'!S188,""))</f>
        <v>1.0385502753416276</v>
      </c>
      <c r="K76" s="695">
        <f>IF(C76='FOGLIO DEPOSITO'!N184,IF(DATI!C204='FOGLIO DEPOSITO'!T179,IF(DATI!E194="no",0,('FOGLIO DEPOSITO'!M206)),0),IF(C76='FOGLIO DEPOSITO'!N181,IF(DATI!C204='FOGLIO DEPOSITO'!T179,IF(DATI!E194="no",0,('FOGLIO DEPOSITO'!M206)),0),IF('ANALISI DELLE SPINTE'!C76='FOGLIO DEPOSITO'!N182,IF(DATI!C204='FOGLIO DEPOSITO'!T179,IF(DATI!E194="no",0,'FOGLIO DEPOSITO'!M206),0),"")))</f>
        <v>0</v>
      </c>
      <c r="L76" s="695">
        <f>IF(C76='FOGLIO DEPOSITO'!N184,DATI!E51*('VER. EQU COND. NON DRENATE'!C71+'VER. EQU COND. NON DRENATE'!C47),IF(C76='FOGLIO DEPOSITO'!N181,DATI!E51*('VER. EQU COND. NON DRENATE'!C71+'VER. EQU COND. NON DRENATE'!C47),IF('ANALISI DELLE SPINTE'!C76='FOGLIO DEPOSITO'!N182,DATI!E51*('VER. EQU COND. NON DRENATE'!C71+'VER. EQU COND. NON DRENATE'!C47),"")))</f>
        <v>9.8724205546860517</v>
      </c>
      <c r="M76" s="695">
        <f>IF(C76='FOGLIO DEPOSITO'!N184,DATI!E52*('VER. EQU COND. NON DRENATE'!C71+'VER. EQU COND. NON DRENATE'!C47),IF(C76='FOGLIO DEPOSITO'!N181,IF(C76='FOGLIO DEPOSITO'!N181,DATI!E52*('VER. EQU COND. NON DRENATE'!C71+'VER. EQU COND. NON DRENATE'!C47),-DATI!E52*('VER. EQU COND. NON DRENATE'!C71+'VER. EQU COND. NON DRENATE'!C47)),IF('ANALISI DELLE SPINTE'!C76='FOGLIO DEPOSITO'!N182,IF(C76='FOGLIO DEPOSITO'!N181,DATI!E52*('VER. EQU COND. NON DRENATE'!C71+'VER. EQU COND. NON DRENATE'!C47),-DATI!E52*('VER. EQU COND. NON DRENATE'!C71+'VER. EQU COND. NON DRENATE'!C47)),"")))</f>
        <v>4.9362102773430259</v>
      </c>
      <c r="N76" s="696" t="str">
        <f>IF(C76='FOGLIO DEPOSITO'!N184,IF(DATI!C204='FOGLIO DEPOSITO'!T179,IF(DATI!E194="no","",DATI!C204),""),IF(C76='FOGLIO DEPOSITO'!N181,IF(DATI!C204='FOGLIO DEPOSITO'!T179,IF(DATI!E194="no","",DATI!C204),""),IF('ANALISI DELLE SPINTE'!C76='FOGLIO DEPOSITO'!N182,IF(DATI!C204='FOGLIO DEPOSITO'!T179,IF(DATI!E194="no","",DATI!C204),""),"")))</f>
        <v/>
      </c>
      <c r="O76" s="429"/>
      <c r="P76" s="429"/>
      <c r="Q76" s="429"/>
      <c r="R76" s="429"/>
      <c r="S76" s="429"/>
      <c r="T76" s="429"/>
      <c r="U76" s="429"/>
      <c r="V76" s="429"/>
      <c r="W76" s="429"/>
      <c r="X76" s="429"/>
      <c r="Y76" s="429"/>
      <c r="Z76" s="429"/>
      <c r="AA76" s="429"/>
      <c r="AB76" s="429"/>
      <c r="AC76" s="429"/>
      <c r="AD76" s="429"/>
      <c r="AE76" s="429"/>
      <c r="AF76" s="429"/>
      <c r="AG76" s="429"/>
      <c r="AH76" s="429"/>
      <c r="AI76" s="429"/>
      <c r="AJ76" s="429"/>
      <c r="AK76" s="429"/>
      <c r="AL76" s="429"/>
      <c r="AM76" s="429"/>
      <c r="AN76" s="429"/>
      <c r="AO76" s="429"/>
      <c r="AP76" s="429"/>
      <c r="AQ76" s="429"/>
      <c r="AR76" s="429"/>
      <c r="AS76" s="429"/>
      <c r="AT76" s="429"/>
      <c r="AU76" s="429"/>
      <c r="AV76" s="429"/>
      <c r="AW76" s="429"/>
      <c r="AX76" s="429"/>
    </row>
    <row r="77" spans="2:50" ht="11.25" customHeight="1" thickTop="1" x14ac:dyDescent="0.25">
      <c r="B77" s="265"/>
      <c r="C77" s="20"/>
      <c r="D77" s="20"/>
      <c r="E77" s="429"/>
      <c r="F77" s="95"/>
      <c r="G77" s="693"/>
      <c r="H77" s="693"/>
      <c r="I77" s="693"/>
      <c r="J77" s="694"/>
      <c r="K77" s="695"/>
      <c r="L77" s="695"/>
      <c r="M77" s="695"/>
      <c r="N77" s="696"/>
      <c r="O77" s="429"/>
      <c r="P77" s="429"/>
      <c r="Q77" s="429"/>
      <c r="R77" s="429"/>
      <c r="S77" s="429"/>
      <c r="T77" s="429"/>
      <c r="U77" s="429"/>
      <c r="V77" s="429"/>
      <c r="W77" s="429"/>
      <c r="X77" s="429"/>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row>
    <row r="78" spans="2:50" x14ac:dyDescent="0.25">
      <c r="B78" s="874" t="str">
        <f>IF(C76='FOGLIO DEPOSITO'!N184,"se si inserisce la teoria di Wood si attiva la verifica sismica γG1=γG2=γQk=1",IF(C76='FOGLIO DEPOSITO'!N181,"se si inseriscono i coeffcienti di M.O. si attiva la verifica sismica γG1=γG2=γQk=1",IF('ANALISI DELLE SPINTE'!C76='FOGLIO DEPOSITO'!N182,"se si inseriscono i coeffcienti di M.O. si attiva la verifica sismica γG1=γG2=γQk=1","")))</f>
        <v>se si inseriscono i coeffcienti di M.O. si attiva la verifica sismica γG1=γG2=γQk=1</v>
      </c>
      <c r="C78" s="20"/>
      <c r="D78" s="20"/>
      <c r="E78" s="429"/>
      <c r="F78" s="95"/>
      <c r="G78" s="693"/>
      <c r="H78" s="693"/>
      <c r="I78" s="693"/>
      <c r="J78" s="694"/>
      <c r="K78" s="697"/>
      <c r="L78" s="429"/>
      <c r="M78" s="429"/>
      <c r="N78" s="429"/>
      <c r="O78" s="429"/>
      <c r="P78" s="429"/>
      <c r="Q78" s="429"/>
      <c r="R78" s="429"/>
      <c r="S78" s="429"/>
      <c r="T78" s="429"/>
      <c r="U78" s="429"/>
      <c r="V78" s="429"/>
      <c r="W78" s="429"/>
      <c r="X78" s="429"/>
      <c r="Y78" s="429"/>
      <c r="Z78" s="429"/>
      <c r="AA78" s="429"/>
      <c r="AB78" s="429"/>
      <c r="AC78" s="429"/>
      <c r="AD78" s="429"/>
      <c r="AE78" s="429"/>
      <c r="AF78" s="429"/>
      <c r="AG78" s="429"/>
      <c r="AH78" s="429"/>
      <c r="AI78" s="429"/>
      <c r="AJ78" s="429"/>
      <c r="AK78" s="429"/>
      <c r="AL78" s="429"/>
      <c r="AM78" s="429"/>
      <c r="AN78" s="429"/>
      <c r="AO78" s="429"/>
      <c r="AP78" s="429"/>
      <c r="AQ78" s="429"/>
      <c r="AR78" s="429"/>
      <c r="AS78" s="429"/>
      <c r="AT78" s="429"/>
      <c r="AU78" s="429"/>
      <c r="AV78" s="429"/>
      <c r="AW78" s="429"/>
      <c r="AX78" s="429"/>
    </row>
    <row r="79" spans="2:50" x14ac:dyDescent="0.25">
      <c r="B79" s="874"/>
      <c r="C79" s="20"/>
      <c r="D79" s="20"/>
      <c r="E79" s="429"/>
      <c r="F79" s="95"/>
      <c r="G79" s="693"/>
      <c r="H79" s="693"/>
      <c r="I79" s="693"/>
      <c r="J79" s="694"/>
      <c r="K79" s="697"/>
      <c r="L79" s="429"/>
      <c r="M79" s="429"/>
      <c r="N79" s="429"/>
      <c r="O79" s="429"/>
      <c r="P79" s="429"/>
      <c r="Q79" s="429"/>
      <c r="R79" s="429"/>
      <c r="S79" s="429"/>
      <c r="T79" s="429"/>
      <c r="U79" s="429"/>
      <c r="V79" s="429"/>
      <c r="W79" s="429"/>
      <c r="X79" s="429"/>
      <c r="Y79" s="429"/>
      <c r="Z79" s="429"/>
      <c r="AA79" s="429"/>
      <c r="AB79" s="429"/>
      <c r="AC79" s="429"/>
      <c r="AD79" s="429"/>
      <c r="AE79" s="429"/>
      <c r="AF79" s="429"/>
      <c r="AG79" s="429"/>
      <c r="AH79" s="429"/>
      <c r="AI79" s="429"/>
      <c r="AJ79" s="429"/>
      <c r="AK79" s="429"/>
      <c r="AL79" s="429"/>
      <c r="AM79" s="429"/>
      <c r="AN79" s="429"/>
      <c r="AO79" s="429"/>
      <c r="AP79" s="429"/>
      <c r="AQ79" s="429"/>
      <c r="AR79" s="429"/>
      <c r="AS79" s="429"/>
      <c r="AT79" s="429"/>
      <c r="AU79" s="429"/>
      <c r="AV79" s="429"/>
      <c r="AW79" s="429"/>
      <c r="AX79" s="429"/>
    </row>
    <row r="80" spans="2:50" ht="6" customHeight="1" x14ac:dyDescent="0.25">
      <c r="B80" s="265"/>
      <c r="C80" s="20"/>
      <c r="D80" s="20"/>
      <c r="E80" s="429"/>
      <c r="F80" s="429"/>
      <c r="G80" s="10"/>
      <c r="H80" s="10"/>
      <c r="I80" s="10"/>
      <c r="J80" s="429"/>
      <c r="K80" s="429"/>
      <c r="L80" s="429"/>
      <c r="M80" s="429"/>
      <c r="N80" s="429"/>
      <c r="O80" s="429"/>
      <c r="P80" s="429"/>
      <c r="Q80" s="429"/>
      <c r="R80" s="429"/>
      <c r="S80" s="429"/>
      <c r="T80" s="429"/>
      <c r="U80" s="429"/>
      <c r="V80" s="429"/>
      <c r="W80" s="429"/>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row>
    <row r="81" spans="2:50" ht="6" customHeight="1" x14ac:dyDescent="0.25">
      <c r="B81" s="265"/>
      <c r="C81" s="20"/>
      <c r="D81" s="20"/>
      <c r="E81" s="429"/>
      <c r="F81" s="429"/>
      <c r="G81" s="10"/>
      <c r="H81" s="10"/>
      <c r="I81" s="10"/>
      <c r="J81" s="429"/>
      <c r="K81" s="429"/>
      <c r="L81" s="429"/>
      <c r="M81" s="429"/>
      <c r="N81" s="429"/>
      <c r="O81" s="429"/>
      <c r="P81" s="429"/>
      <c r="Q81" s="429"/>
      <c r="R81" s="429"/>
      <c r="S81" s="429"/>
      <c r="T81" s="429"/>
      <c r="U81" s="429"/>
      <c r="V81" s="429"/>
      <c r="W81" s="429"/>
      <c r="X81" s="429"/>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row>
    <row r="82" spans="2:50" x14ac:dyDescent="0.25">
      <c r="B82" s="440" t="s">
        <v>489</v>
      </c>
      <c r="C82" s="20"/>
      <c r="D82" s="20"/>
      <c r="E82" s="429"/>
      <c r="F82" s="429"/>
      <c r="G82" s="429"/>
      <c r="H82" s="429"/>
      <c r="I82" s="429"/>
      <c r="J82" s="24"/>
      <c r="K82" s="429"/>
      <c r="L82" s="429"/>
      <c r="M82" s="429"/>
      <c r="N82" s="429"/>
      <c r="O82" s="429"/>
      <c r="P82" s="429"/>
      <c r="Q82" s="429"/>
      <c r="R82" s="429"/>
      <c r="S82" s="429"/>
      <c r="T82" s="429"/>
      <c r="U82" s="429"/>
      <c r="V82" s="429"/>
      <c r="W82" s="429"/>
      <c r="X82" s="429"/>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row>
    <row r="83" spans="2:50" x14ac:dyDescent="0.25">
      <c r="B83" s="429"/>
      <c r="C83" s="430"/>
      <c r="D83" s="698"/>
      <c r="E83" s="429"/>
      <c r="F83" s="429"/>
      <c r="G83" s="429"/>
      <c r="H83" s="429"/>
      <c r="I83" s="429"/>
      <c r="J83" s="429"/>
      <c r="K83" s="429"/>
      <c r="L83" s="429"/>
      <c r="M83" s="429"/>
      <c r="N83" s="429"/>
      <c r="O83" s="429"/>
      <c r="P83" s="429"/>
      <c r="Q83" s="429"/>
      <c r="R83" s="429"/>
      <c r="S83" s="429"/>
      <c r="T83" s="429"/>
      <c r="U83" s="429"/>
      <c r="V83" s="429"/>
      <c r="W83" s="429"/>
      <c r="X83" s="429"/>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row>
    <row r="84" spans="2:50" ht="15.75" x14ac:dyDescent="0.25">
      <c r="B84" s="295" t="s">
        <v>780</v>
      </c>
      <c r="C84" s="14" t="str">
        <f>C76</f>
        <v>Mononobe Okabe K(kv+)</v>
      </c>
      <c r="D84" s="14"/>
      <c r="E84" s="14"/>
      <c r="F84" s="429"/>
      <c r="G84" s="429"/>
      <c r="H84" s="24"/>
      <c r="I84" s="429"/>
      <c r="J84" s="429"/>
      <c r="K84" s="429"/>
      <c r="L84" s="429"/>
      <c r="M84" s="429"/>
      <c r="N84" s="429"/>
      <c r="O84" s="429"/>
      <c r="P84" s="429"/>
      <c r="Q84" s="429"/>
      <c r="R84" s="429"/>
      <c r="S84" s="429"/>
      <c r="T84" s="429"/>
      <c r="U84" s="429"/>
      <c r="V84" s="429"/>
      <c r="W84" s="429"/>
      <c r="X84" s="429"/>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row>
    <row r="85" spans="2:50" s="428" customFormat="1" ht="15.75" x14ac:dyDescent="0.25">
      <c r="B85" s="295"/>
      <c r="C85" s="14"/>
      <c r="D85" s="14"/>
      <c r="E85" s="14"/>
      <c r="F85" s="429"/>
      <c r="G85" s="429"/>
      <c r="H85" s="24"/>
      <c r="I85" s="429"/>
      <c r="J85" s="429"/>
      <c r="K85" s="429"/>
      <c r="L85" s="429"/>
      <c r="M85" s="429"/>
      <c r="N85" s="429"/>
      <c r="O85" s="429"/>
      <c r="P85" s="429"/>
      <c r="Q85" s="429"/>
      <c r="R85" s="429"/>
      <c r="S85" s="429"/>
      <c r="T85" s="429"/>
      <c r="U85" s="429"/>
      <c r="V85" s="429"/>
      <c r="W85" s="429"/>
      <c r="X85" s="429"/>
      <c r="Y85" s="429"/>
      <c r="Z85" s="429"/>
      <c r="AA85" s="429"/>
      <c r="AB85" s="429"/>
      <c r="AC85" s="429"/>
      <c r="AD85" s="429"/>
      <c r="AE85" s="429"/>
      <c r="AF85" s="429"/>
      <c r="AG85" s="429"/>
      <c r="AH85" s="429"/>
      <c r="AI85" s="429"/>
      <c r="AJ85" s="429"/>
      <c r="AK85" s="429"/>
      <c r="AL85" s="429"/>
      <c r="AM85" s="429"/>
      <c r="AN85" s="429"/>
      <c r="AO85" s="429"/>
      <c r="AP85" s="429"/>
      <c r="AQ85" s="429"/>
      <c r="AR85" s="429"/>
      <c r="AS85" s="429"/>
      <c r="AT85" s="429"/>
      <c r="AU85" s="429"/>
      <c r="AV85" s="429"/>
      <c r="AW85" s="429"/>
      <c r="AX85" s="429"/>
    </row>
    <row r="86" spans="2:50" ht="15.75" x14ac:dyDescent="0.25">
      <c r="B86" s="429"/>
      <c r="C86" s="429"/>
      <c r="D86" s="429"/>
      <c r="E86" s="429"/>
      <c r="F86" s="429"/>
      <c r="G86" s="429"/>
      <c r="H86" s="640"/>
      <c r="I86" s="880" t="s">
        <v>1016</v>
      </c>
      <c r="J86" s="880"/>
      <c r="K86" s="880"/>
      <c r="L86" s="889" t="s">
        <v>1015</v>
      </c>
      <c r="M86" s="889"/>
      <c r="N86" s="889"/>
      <c r="O86" s="881" t="s">
        <v>829</v>
      </c>
      <c r="P86" s="882"/>
      <c r="Q86" s="882"/>
      <c r="R86" s="883"/>
      <c r="S86" s="889" t="s">
        <v>820</v>
      </c>
      <c r="T86" s="889"/>
      <c r="U86" s="889"/>
      <c r="V86" s="889" t="s">
        <v>821</v>
      </c>
      <c r="W86" s="889"/>
      <c r="X86" s="889"/>
      <c r="Y86" s="889" t="s">
        <v>806</v>
      </c>
      <c r="Z86" s="889"/>
      <c r="AA86" s="889"/>
      <c r="AB86" s="889"/>
      <c r="AC86" s="699"/>
      <c r="AD86" s="699"/>
      <c r="AE86" s="700"/>
      <c r="AF86" s="701"/>
      <c r="AG86" s="701"/>
      <c r="AH86" s="701"/>
      <c r="AI86" s="429"/>
      <c r="AJ86" s="429"/>
      <c r="AK86" s="429"/>
      <c r="AL86" s="369"/>
      <c r="AM86" s="369"/>
      <c r="AN86" s="369"/>
      <c r="AO86" s="485"/>
      <c r="AP86" s="429"/>
      <c r="AQ86" s="429"/>
      <c r="AR86" s="429"/>
      <c r="AS86" s="429"/>
      <c r="AT86" s="429"/>
      <c r="AU86" s="429"/>
      <c r="AV86" s="429"/>
      <c r="AW86" s="429"/>
      <c r="AX86" s="429"/>
    </row>
    <row r="87" spans="2:50" ht="18.75" x14ac:dyDescent="0.25">
      <c r="B87" s="236" t="s">
        <v>51</v>
      </c>
      <c r="C87" s="630" t="s">
        <v>22</v>
      </c>
      <c r="D87" s="702" t="s">
        <v>492</v>
      </c>
      <c r="E87" s="703" t="s">
        <v>493</v>
      </c>
      <c r="F87" s="702" t="str">
        <f>IF(C76='FOGLIO DEPOSITO'!N183,"K0",IF(C76='FOGLIO DEPOSITO'!N184,"K0","Ka"))</f>
        <v>Ka</v>
      </c>
      <c r="G87" s="703" t="s">
        <v>822</v>
      </c>
      <c r="H87" s="703" t="s">
        <v>494</v>
      </c>
      <c r="I87" s="179" t="s">
        <v>495</v>
      </c>
      <c r="J87" s="242" t="s">
        <v>496</v>
      </c>
      <c r="K87" s="243" t="s">
        <v>497</v>
      </c>
      <c r="L87" s="250" t="s">
        <v>810</v>
      </c>
      <c r="M87" s="250" t="s">
        <v>811</v>
      </c>
      <c r="N87" s="251" t="s">
        <v>812</v>
      </c>
      <c r="O87" s="473" t="s">
        <v>803</v>
      </c>
      <c r="P87" s="250" t="s">
        <v>804</v>
      </c>
      <c r="Q87" s="250" t="s">
        <v>805</v>
      </c>
      <c r="R87" s="292" t="s">
        <v>503</v>
      </c>
      <c r="S87" s="473" t="s">
        <v>807</v>
      </c>
      <c r="T87" s="250" t="s">
        <v>808</v>
      </c>
      <c r="U87" s="251" t="s">
        <v>809</v>
      </c>
      <c r="V87" s="250" t="s">
        <v>813</v>
      </c>
      <c r="W87" s="250" t="s">
        <v>814</v>
      </c>
      <c r="X87" s="251" t="s">
        <v>815</v>
      </c>
      <c r="Y87" s="251" t="s">
        <v>816</v>
      </c>
      <c r="Z87" s="292" t="s">
        <v>817</v>
      </c>
      <c r="AA87" s="292" t="s">
        <v>818</v>
      </c>
      <c r="AB87" s="251" t="s">
        <v>830</v>
      </c>
      <c r="AC87" s="297" t="str">
        <f>IF(C76='FOGLIO DEPOSITO'!N184," Ewd",IF(C76='FOGLIO DEPOSITO'!N181," Ewd",IF('ANALISI DELLE SPINTE'!C76='FOGLIO DEPOSITO'!N182,"Ewd","")))</f>
        <v xml:space="preserve"> Ewd</v>
      </c>
      <c r="AD87" s="424" t="str">
        <f>IF(C76='FOGLIO DEPOSITO'!N184," Kh x Wtot  ",IF(C76='FOGLIO DEPOSITO'!N181," Kh x Wtot x γG1 ",IF('ANALISI DELLE SPINTE'!C76='FOGLIO DEPOSITO'!N182,"Kh x Wtot ","")))</f>
        <v xml:space="preserve"> Kh x Wtot x γG1 </v>
      </c>
      <c r="AE87" s="297" t="str">
        <f>IF(C76='FOGLIO DEPOSITO'!N184," Kv x Wtot  ",IF(C76='FOGLIO DEPOSITO'!N181," Kv x Wtot x γG1 ",IF('ANALISI DELLE SPINTE'!C76='FOGLIO DEPOSITO'!N182,"Kv x Wtot ","")))</f>
        <v xml:space="preserve"> Kv x Wtot x γG1 </v>
      </c>
      <c r="AF87" s="474" t="str">
        <f>IF(C76='FOGLIO DEPOSITO'!N184," Mr,Ewd",IF(C76='FOGLIO DEPOSITO'!N181," Mr,Ewd",IF('ANALISI DELLE SPINTE'!C76='FOGLIO DEPOSITO'!N182,"Mr,Ewd","")))</f>
        <v xml:space="preserve"> Mr,Ewd</v>
      </c>
      <c r="AG87" s="474" t="str">
        <f>IF(C76='FOGLIO DEPOSITO'!N184," Mr (Kh x Wtot)",IF(C76='FOGLIO DEPOSITO'!N181," Mr (Kh x Wtot x γG1)",IF('ANALISI DELLE SPINTE'!C76='FOGLIO DEPOSITO'!N182,"Mr (Kh x Wtot )","")))</f>
        <v xml:space="preserve"> Mr (Kh x Wtot x γG1)</v>
      </c>
      <c r="AH87" s="297" t="str">
        <f>IF(C76='FOGLIO DEPOSITO'!N184," Sw","")</f>
        <v/>
      </c>
      <c r="AI87" s="297" t="str">
        <f>IF(C76='FOGLIO DEPOSITO'!N184," Mw","")</f>
        <v/>
      </c>
      <c r="AJ87" s="429"/>
      <c r="AK87" s="429"/>
      <c r="AL87" s="704"/>
      <c r="AM87" s="704"/>
      <c r="AN87" s="705"/>
      <c r="AO87" s="24"/>
      <c r="AP87" s="429"/>
      <c r="AQ87" s="429"/>
      <c r="AR87" s="429"/>
      <c r="AS87" s="429"/>
      <c r="AT87" s="429"/>
      <c r="AU87" s="429"/>
      <c r="AV87" s="429"/>
      <c r="AW87" s="429"/>
      <c r="AX87" s="429"/>
    </row>
    <row r="88" spans="2:50" x14ac:dyDescent="0.25">
      <c r="B88" s="873" t="str">
        <f>F33</f>
        <v>1°strato: ghiaia-sabbie</v>
      </c>
      <c r="C88" s="706">
        <v>0</v>
      </c>
      <c r="D88" s="657">
        <f>C88</f>
        <v>0</v>
      </c>
      <c r="E88" s="707">
        <f>E105</f>
        <v>0</v>
      </c>
      <c r="F88" s="306">
        <f>IF(F33='FOGLIO DEPOSITO'!H166,VLOOKUP(C76,'FOGLIO DEPOSITO'!N178:Q184,2,FALSE),IF(D54="",VLOOKUP(C76,'FOGLIO DEPOSITO'!N178:Q184,2,FALSE),IF(D54&lt;=C90*0.85,1,VLOOKUP(C76,'FOGLIO DEPOSITO'!N178:Q184,2,FALSE))))</f>
        <v>0.31217631383028632</v>
      </c>
      <c r="G88" s="708">
        <f>2*D35*F88^0.5</f>
        <v>0</v>
      </c>
      <c r="H88" s="709">
        <f>$D$34*D88</f>
        <v>0</v>
      </c>
      <c r="I88" s="707">
        <f>'FOGLIO DEPOSITO'!C242+'FOGLIO DEPOSITO'!D242</f>
        <v>0</v>
      </c>
      <c r="J88" s="708">
        <f>$D$69</f>
        <v>0</v>
      </c>
      <c r="K88" s="709">
        <f>$D$70</f>
        <v>5</v>
      </c>
      <c r="L88" s="708">
        <f>'FOGLIO DEPOSITO'!G225/DATI!$E$272</f>
        <v>0</v>
      </c>
      <c r="M88" s="708">
        <f>'FOGLIO DEPOSITO'!H225/DATI!$E$273</f>
        <v>0</v>
      </c>
      <c r="N88" s="709">
        <f>'FOGLIO DEPOSITO'!I225/DATI!$E$274</f>
        <v>1.5608815691514315</v>
      </c>
      <c r="O88" s="710"/>
      <c r="P88" s="710"/>
      <c r="Q88" s="710"/>
      <c r="R88" s="711"/>
      <c r="S88" s="712"/>
      <c r="T88" s="710"/>
      <c r="U88" s="710"/>
      <c r="V88" s="712"/>
      <c r="W88" s="710"/>
      <c r="X88" s="713"/>
      <c r="Y88" s="54"/>
      <c r="Z88" s="54"/>
      <c r="AA88" s="54"/>
      <c r="AB88" s="54"/>
      <c r="AC88" s="24"/>
      <c r="AD88" s="24"/>
      <c r="AE88" s="24"/>
      <c r="AF88" s="24"/>
      <c r="AG88" s="24"/>
      <c r="AH88" s="20"/>
      <c r="AI88" s="640"/>
      <c r="AJ88" s="429"/>
      <c r="AK88" s="429"/>
      <c r="AL88" s="704"/>
      <c r="AM88" s="704"/>
      <c r="AN88" s="705"/>
      <c r="AO88" s="24"/>
      <c r="AP88" s="429"/>
      <c r="AQ88" s="429"/>
      <c r="AR88" s="429"/>
      <c r="AS88" s="429"/>
      <c r="AT88" s="429"/>
      <c r="AU88" s="429"/>
      <c r="AV88" s="429"/>
      <c r="AW88" s="429"/>
      <c r="AX88" s="429"/>
    </row>
    <row r="89" spans="2:50" x14ac:dyDescent="0.25">
      <c r="B89" s="873"/>
      <c r="C89" s="706">
        <f>IF('FOGLIO DEPOSITO'!C226&lt;C90,IF('FOGLIO DEPOSITO'!C226&gt;=C88,'FOGLIO DEPOSITO'!C226,C90),C90)</f>
        <v>2.8363333333333332</v>
      </c>
      <c r="D89" s="657">
        <f>C89</f>
        <v>2.8363333333333332</v>
      </c>
      <c r="E89" s="707">
        <f>E106</f>
        <v>0</v>
      </c>
      <c r="F89" s="306">
        <f>IF(F33='FOGLIO DEPOSITO'!H166,VLOOKUP(C76,'FOGLIO DEPOSITO'!N178:Q184,2,FALSE),IF(D54="",VLOOKUP(C76,'FOGLIO DEPOSITO'!N178:Q184,2,FALSE),IF(D54&lt;=C90*0.85,1,VLOOKUP(C76,'FOGLIO DEPOSITO'!N178:Q184,2,FALSE))))</f>
        <v>0.31217631383028632</v>
      </c>
      <c r="G89" s="708">
        <f>2*D35*F88^0.5</f>
        <v>0</v>
      </c>
      <c r="H89" s="709">
        <f>$D$34*D89</f>
        <v>59.562999999999995</v>
      </c>
      <c r="I89" s="707">
        <f>'FOGLIO DEPOSITO'!C243+'FOGLIO DEPOSITO'!D243</f>
        <v>59.562999999999995</v>
      </c>
      <c r="J89" s="708">
        <f>$D$69</f>
        <v>0</v>
      </c>
      <c r="K89" s="709">
        <f>$D$70</f>
        <v>5</v>
      </c>
      <c r="L89" s="708">
        <f>'FOGLIO DEPOSITO'!G226/DATI!$E$272</f>
        <v>19.310967682863968</v>
      </c>
      <c r="M89" s="708">
        <f>'FOGLIO DEPOSITO'!H226/DATI!$E$273</f>
        <v>0</v>
      </c>
      <c r="N89" s="709">
        <f>'FOGLIO DEPOSITO'!I226/DATI!$E$274</f>
        <v>1.5608815691514315</v>
      </c>
      <c r="O89" s="704">
        <f>(Y89-W89-X89)/DATI!$E$272</f>
        <v>27.215501644583814</v>
      </c>
      <c r="P89" s="704">
        <f>DATI!E61*((M88*C89)*IF(C76='FOGLIO DEPOSITO'!N181,1+'FOGLIO DEPOSITO'!S188,IF(C76='FOGLIO DEPOSITO'!N182,1-'FOGLIO DEPOSITO'!S188,1)))</f>
        <v>0</v>
      </c>
      <c r="Q89" s="704">
        <f>DATI!E61*((N88*C89)*IF(C76='FOGLIO DEPOSITO'!N181,1+'FOGLIO DEPOSITO'!S188,IF(C76='FOGLIO DEPOSITO'!N182,1-'FOGLIO DEPOSITO'!S188,1)))</f>
        <v>4.597849448300944</v>
      </c>
      <c r="R89" s="714">
        <f>DATI!$E$61*(('FOGLIO DEPOSITO'!Q226-'FOGLIO DEPOSITO'!Q225)*('ANALISI DELLE SPINTE'!C89-'ANALISI DELLE SPINTE'!C88)/2*(('ANALISI DELLE SPINTE'!C89-'ANALISI DELLE SPINTE'!C88)*IF('FOGLIO DEPOSITO'!Q226&gt;'FOGLIO DEPOSITO'!Q225,1/3,IF('FOGLIO DEPOSITO'!Q226='FOGLIO DEPOSITO'!Q225,1/2,2/3))+$D$60-'ANALISI DELLE SPINTE'!C89)+'FOGLIO DEPOSITO'!Q225*('ANALISI DELLE SPINTE'!C89-'ANALISI DELLE SPINTE'!C88)*(('ANALISI DELLE SPINTE'!C89-'ANALISI DELLE SPINTE'!C88)/2+$D$60-'ANALISI DELLE SPINTE'!C89))*COS(RADIANS('ANALISI DELLE SPINTE'!D37))</f>
        <v>48.512040629504718</v>
      </c>
      <c r="S89" s="715">
        <f>DATI!$E$272</f>
        <v>1</v>
      </c>
      <c r="T89" s="716">
        <f>DATI!$E$273</f>
        <v>1</v>
      </c>
      <c r="U89" s="716">
        <f>DATI!$E$274</f>
        <v>1</v>
      </c>
      <c r="V89" s="717">
        <f t="shared" ref="V89:X90" si="0">O89*S89</f>
        <v>27.215501644583814</v>
      </c>
      <c r="W89" s="704">
        <f t="shared" si="0"/>
        <v>0</v>
      </c>
      <c r="X89" s="718">
        <f t="shared" si="0"/>
        <v>4.597849448300944</v>
      </c>
      <c r="Y89" s="718">
        <f>DATI!E61*(('FOGLIO DEPOSITO'!K225*C89+('FOGLIO DEPOSITO'!K226-'FOGLIO DEPOSITO'!K225)*C89/2))</f>
        <v>31.813351092884758</v>
      </c>
      <c r="Z89" s="718">
        <f>Y89*COS(RADIANS($D$37+IF(DATI!G218="SX",0,'FOGLIO DEPOSITO'!D196)))</f>
        <v>31.813351092688922</v>
      </c>
      <c r="AA89" s="718">
        <f>Y89*SIN(RADIANS($D$37+IF(DATI!G218="SX",0,'FOGLIO DEPOSITO'!D196)))</f>
        <v>1.1162579330520567E-4</v>
      </c>
      <c r="AB89" s="714">
        <f>DATI!$E$61*(('FOGLIO DEPOSITO'!K226-'FOGLIO DEPOSITO'!K225)*(C89-C88)/2*((C89-C88)*IF('FOGLIO DEPOSITO'!K226&gt;'FOGLIO DEPOSITO'!K225,1/3,IF('FOGLIO DEPOSITO'!K226='FOGLIO DEPOSITO'!K225,1/2,2/3))+$D$60-C89)+'FOGLIO DEPOSITO'!K225*(C89-C88)*((C89-C88)/2+$D$60-C89))*COS(RADIANS(D37+IF(DATI!G218="SX",0,'FOGLIO DEPOSITO'!D196)))</f>
        <v>48.512040629206091</v>
      </c>
      <c r="AC89" s="429"/>
      <c r="AD89" s="366"/>
      <c r="AE89" s="704"/>
      <c r="AF89" s="704"/>
      <c r="AG89" s="704"/>
      <c r="AH89" s="704"/>
      <c r="AI89" s="20"/>
      <c r="AJ89" s="429"/>
      <c r="AK89" s="429"/>
      <c r="AL89" s="704"/>
      <c r="AM89" s="704"/>
      <c r="AN89" s="705"/>
      <c r="AO89" s="24"/>
      <c r="AP89" s="429"/>
      <c r="AQ89" s="429"/>
      <c r="AR89" s="429"/>
      <c r="AS89" s="429"/>
      <c r="AT89" s="429"/>
      <c r="AU89" s="429"/>
      <c r="AV89" s="429"/>
      <c r="AW89" s="429"/>
      <c r="AX89" s="429"/>
    </row>
    <row r="90" spans="2:50" x14ac:dyDescent="0.25">
      <c r="B90" s="873"/>
      <c r="C90" s="719">
        <f>D38</f>
        <v>2.8363333333333332</v>
      </c>
      <c r="D90" s="720">
        <f>D38</f>
        <v>2.8363333333333332</v>
      </c>
      <c r="E90" s="721">
        <f>E107</f>
        <v>0</v>
      </c>
      <c r="F90" s="722">
        <f>IF(F33='FOGLIO DEPOSITO'!H166,VLOOKUP(C76,'FOGLIO DEPOSITO'!N178:Q184,2,FALSE),IF(D54="",VLOOKUP(C76,'FOGLIO DEPOSITO'!N178:Q184,2,FALSE),IF(D54&lt;=C90*0.85,1,VLOOKUP(C76,'FOGLIO DEPOSITO'!N178:Q184,2,FALSE))))</f>
        <v>0.31217631383028632</v>
      </c>
      <c r="G90" s="721">
        <f>2*D35*F90^0.5</f>
        <v>0</v>
      </c>
      <c r="H90" s="723">
        <f>$D$34*D90</f>
        <v>59.562999999999995</v>
      </c>
      <c r="I90" s="724">
        <f>'FOGLIO DEPOSITO'!C244+'FOGLIO DEPOSITO'!D244</f>
        <v>59.562999999999995</v>
      </c>
      <c r="J90" s="721">
        <f t="shared" ref="J90" si="1">$D$69</f>
        <v>0</v>
      </c>
      <c r="K90" s="723">
        <f t="shared" ref="K90" si="2">$D$70</f>
        <v>5</v>
      </c>
      <c r="L90" s="724">
        <f>'FOGLIO DEPOSITO'!G227/DATI!$E$272</f>
        <v>19.310967682863968</v>
      </c>
      <c r="M90" s="721">
        <f>'FOGLIO DEPOSITO'!H227/DATI!$E$273</f>
        <v>0</v>
      </c>
      <c r="N90" s="723">
        <f>'FOGLIO DEPOSITO'!I227/DATI!$E$274</f>
        <v>1.5608815691514315</v>
      </c>
      <c r="O90" s="725">
        <f>(Y90-W90-X90)/DATI!$E$272</f>
        <v>0</v>
      </c>
      <c r="P90" s="726">
        <f>DATI!E61*((M89*(C90-C89))*IF(C76='FOGLIO DEPOSITO'!N181,1+'FOGLIO DEPOSITO'!S188,IF(C76='FOGLIO DEPOSITO'!N182,1-'FOGLIO DEPOSITO'!S188,1)))</f>
        <v>0</v>
      </c>
      <c r="Q90" s="726">
        <f>DATI!E61*((N89*(C90-C89))*IF(C76='FOGLIO DEPOSITO'!N181,1+'FOGLIO DEPOSITO'!S188,IF(C76='FOGLIO DEPOSITO'!N182,1-'FOGLIO DEPOSITO'!S188,1)))</f>
        <v>0</v>
      </c>
      <c r="R90" s="727">
        <f>DATI!$E$61*(('FOGLIO DEPOSITO'!Q227-'FOGLIO DEPOSITO'!Q226)*('ANALISI DELLE SPINTE'!C90-'ANALISI DELLE SPINTE'!C89)/2*(('ANALISI DELLE SPINTE'!C90-'ANALISI DELLE SPINTE'!C89)*IF('FOGLIO DEPOSITO'!Q227&gt;'FOGLIO DEPOSITO'!Q226,1/3,IF('FOGLIO DEPOSITO'!Q227='FOGLIO DEPOSITO'!Q226,1/2,2/3))+$D$60-'ANALISI DELLE SPINTE'!C90)+'FOGLIO DEPOSITO'!Q226*('ANALISI DELLE SPINTE'!C90-'ANALISI DELLE SPINTE'!C89)*(('ANALISI DELLE SPINTE'!C90-'ANALISI DELLE SPINTE'!C89)/2+$D$60-'ANALISI DELLE SPINTE'!C90))*COS(RADIANS('ANALISI DELLE SPINTE'!D37))</f>
        <v>0</v>
      </c>
      <c r="S90" s="728">
        <f>DATI!$E$272</f>
        <v>1</v>
      </c>
      <c r="T90" s="729">
        <f>DATI!$E$273</f>
        <v>1</v>
      </c>
      <c r="U90" s="729">
        <f>DATI!$E$274</f>
        <v>1</v>
      </c>
      <c r="V90" s="725">
        <f t="shared" si="0"/>
        <v>0</v>
      </c>
      <c r="W90" s="726">
        <f t="shared" si="0"/>
        <v>0</v>
      </c>
      <c r="X90" s="730">
        <f t="shared" si="0"/>
        <v>0</v>
      </c>
      <c r="Y90" s="730">
        <f>DATI!E61*(('FOGLIO DEPOSITO'!K226*(C90-C89)+('FOGLIO DEPOSITO'!K227-'FOGLIO DEPOSITO'!K226)*(C90-C89)/2))</f>
        <v>0</v>
      </c>
      <c r="Z90" s="731">
        <f>Y90*COS(RADIANS(D37+IF(DATI!G218="SX",0,'FOGLIO DEPOSITO'!D196)))</f>
        <v>0</v>
      </c>
      <c r="AA90" s="730">
        <f>Y90*SIN(RADIANS($D$37+IF(DATI!G218="SX",0,'FOGLIO DEPOSITO'!D196)))</f>
        <v>0</v>
      </c>
      <c r="AB90" s="727">
        <f>DATI!$E$61*(('FOGLIO DEPOSITO'!K227-'FOGLIO DEPOSITO'!K226)*(C90-C89)/2*((C90-C89)*IF('FOGLIO DEPOSITO'!K227&gt;'FOGLIO DEPOSITO'!K226,1/3,IF('FOGLIO DEPOSITO'!K227='FOGLIO DEPOSITO'!K226,1/2,2/3))+$D$60-C90)+'FOGLIO DEPOSITO'!K226*(C90-C89)*((C90-C89)/2+$D$60-C90))*COS(RADIANS(D37+IF(DATI!G218="SX",0,'FOGLIO DEPOSITO'!D196)))</f>
        <v>0</v>
      </c>
      <c r="AC90" s="429"/>
      <c r="AD90" s="366"/>
      <c r="AE90" s="704"/>
      <c r="AF90" s="704"/>
      <c r="AG90" s="704"/>
      <c r="AH90" s="704" t="str">
        <f>IF(C76='FOGLIO DEPOSITO'!N184,IF('FOGLIO DEPOSITO'!D244=0,'geom masse muro+tensioni'!Q32,'geom masse muro+tensioni'!Q32-D61)*D27*D38*D60,"")</f>
        <v/>
      </c>
      <c r="AI90" s="366" t="str">
        <f>IF(C76='FOGLIO DEPOSITO'!N184,((D59-D38)+D38/2)*AH90,"")</f>
        <v/>
      </c>
      <c r="AJ90" s="429"/>
      <c r="AK90" s="429"/>
      <c r="AL90" s="704"/>
      <c r="AM90" s="704"/>
      <c r="AN90" s="705"/>
      <c r="AO90" s="24"/>
      <c r="AP90" s="429"/>
      <c r="AQ90" s="429"/>
      <c r="AR90" s="429"/>
      <c r="AS90" s="429"/>
      <c r="AT90" s="429"/>
      <c r="AU90" s="429"/>
      <c r="AV90" s="429"/>
      <c r="AW90" s="429"/>
      <c r="AX90" s="429"/>
    </row>
    <row r="91" spans="2:50" x14ac:dyDescent="0.25">
      <c r="B91" s="873" t="str">
        <f>IF(D45=0,"",F40)</f>
        <v>2° strato:    limi-argille</v>
      </c>
      <c r="C91" s="706">
        <f>IF(D45=0,"",D38)</f>
        <v>2.8363333333333332</v>
      </c>
      <c r="D91" s="657">
        <f>IF(D45=0,"",0)</f>
        <v>0</v>
      </c>
      <c r="E91" s="707">
        <f>IF(D45=0,"",E108)</f>
        <v>0</v>
      </c>
      <c r="F91" s="306">
        <f>IF(D45=0,"",IF(F40='FOGLIO DEPOSITO'!H169,VLOOKUP(C76,'FOGLIO DEPOSITO'!N178:Q184,3,FALSE),IF(D54="",VLOOKUP(C76,'FOGLIO DEPOSITO'!N178:Q184,2,FALSE),IF(D54&lt;=C93*0.85,1,VLOOKUP(C76,'FOGLIO DEPOSITO'!N178:Q184,2,FALSE)))))</f>
        <v>0.31217631383028632</v>
      </c>
      <c r="G91" s="708">
        <f>IF(D45=0,"",2*D42*F91^0.5)</f>
        <v>0</v>
      </c>
      <c r="H91" s="709">
        <f>IF(D45=0,"",$D$41*D91+H90)</f>
        <v>59.562999999999995</v>
      </c>
      <c r="I91" s="707">
        <f>IF(D45=0,"",'FOGLIO DEPOSITO'!C245+'FOGLIO DEPOSITO'!D245)</f>
        <v>59.562999999999995</v>
      </c>
      <c r="J91" s="708">
        <f>IF(D45=0,"",$D$69)</f>
        <v>0</v>
      </c>
      <c r="K91" s="709">
        <f>IF(D45=0,"",$D$70)</f>
        <v>5</v>
      </c>
      <c r="L91" s="708">
        <f>IF(D45=0,"",'FOGLIO DEPOSITO'!G228/DATI!$E$272)</f>
        <v>19.310967682863968</v>
      </c>
      <c r="M91" s="708">
        <f>IF(D45=0,"",'FOGLIO DEPOSITO'!H228/DATI!$E$273)</f>
        <v>0</v>
      </c>
      <c r="N91" s="709">
        <f>IF(D45=0,"",'FOGLIO DEPOSITO'!I228/DATI!$E$274)</f>
        <v>1.5608815691514315</v>
      </c>
      <c r="O91" s="704">
        <f>IF(D45=0,"",(Y91-W91-X91)/DATI!$E$272)</f>
        <v>0</v>
      </c>
      <c r="P91" s="704">
        <f>IF(D45=0,"",DATI!E61*IF(D45=0,"",M90*(C91-C90))*IF(C76='FOGLIO DEPOSITO'!N181,1+'FOGLIO DEPOSITO'!S188,IF(C76='FOGLIO DEPOSITO'!N182,1-'FOGLIO DEPOSITO'!S188,1)))</f>
        <v>0</v>
      </c>
      <c r="Q91" s="704">
        <f>IF(D45=0,"",DATI!E61*IF(D45=0,"",N90*(C91-C90))*IF(C76='FOGLIO DEPOSITO'!N181,1+'FOGLIO DEPOSITO'!S188,IF(C76='FOGLIO DEPOSITO'!N182,1-'FOGLIO DEPOSITO'!S188,1)))</f>
        <v>0</v>
      </c>
      <c r="R91" s="714">
        <f>IF('ANALISI DELLE SPINTE'!D45=0,"",DATI!E61*(('FOGLIO DEPOSITO'!Q228-'FOGLIO DEPOSITO'!Q227)*('ANALISI DELLE SPINTE'!C91-'ANALISI DELLE SPINTE'!C90)/2*(('ANALISI DELLE SPINTE'!C91-'ANALISI DELLE SPINTE'!C90)*IF('FOGLIO DEPOSITO'!Q228&gt;'FOGLIO DEPOSITO'!Q227,1/3,IF('FOGLIO DEPOSITO'!Q228='FOGLIO DEPOSITO'!Q227,1/2,2/3))+$D$60-'ANALISI DELLE SPINTE'!C91)+'FOGLIO DEPOSITO'!Q227*('ANALISI DELLE SPINTE'!C91-'ANALISI DELLE SPINTE'!C90)*(('ANALISI DELLE SPINTE'!C91-'ANALISI DELLE SPINTE'!C90)/2+$D$60-'ANALISI DELLE SPINTE'!C91))*COS(RADIANS('ANALISI DELLE SPINTE'!D44)))</f>
        <v>0</v>
      </c>
      <c r="S91" s="715">
        <f>IF(D45=0,"",DATI!$E$272)</f>
        <v>1</v>
      </c>
      <c r="T91" s="716">
        <f>IF(D45=0,"",DATI!$E$273)</f>
        <v>1</v>
      </c>
      <c r="U91" s="716">
        <f>IF(D45=0,"",DATI!$E$274)</f>
        <v>1</v>
      </c>
      <c r="V91" s="717">
        <f>IF(D45=0,"",O91*S91)</f>
        <v>0</v>
      </c>
      <c r="W91" s="704">
        <f>IF(D45=0,"",P91*T91)</f>
        <v>0</v>
      </c>
      <c r="X91" s="718">
        <f>IF(D45=0,"",Q91*U91)</f>
        <v>0</v>
      </c>
      <c r="Y91" s="718">
        <f>IF(D45=0,"",DATI!E61*IF(D45=0,"",'FOGLIO DEPOSITO'!K227*(C91-C90)+('FOGLIO DEPOSITO'!K228-'FOGLIO DEPOSITO'!K227)*(C91-C90)/2))</f>
        <v>0</v>
      </c>
      <c r="Z91" s="717">
        <f>IF(D45=0,"",Y91*COS(RADIANS($D$44+IF(DATI!G218="SX",0,'FOGLIO DEPOSITO'!D196))))</f>
        <v>0</v>
      </c>
      <c r="AA91" s="717">
        <f>IF(D45=0,"",Y91*SIN(RADIANS($D$44+IF(DATI!G218="SX",0,'FOGLIO DEPOSITO'!D196))))</f>
        <v>0</v>
      </c>
      <c r="AB91" s="714">
        <f>IF(D45=0,"",DATI!E61*(('FOGLIO DEPOSITO'!K228-'FOGLIO DEPOSITO'!K227)*(C91-C90)/2*((C91-C90)*IF('FOGLIO DEPOSITO'!K228&gt;'FOGLIO DEPOSITO'!K227,1/3,IF('FOGLIO DEPOSITO'!K228='FOGLIO DEPOSITO'!K227,1/2,2/3))+$D$60-C91)+'FOGLIO DEPOSITO'!K227*(C91-C90)*((C91-C90)/2+$D$60-C91))*COS(RADIANS(D44+IF(DATI!G218="SX",0,'FOGLIO DEPOSITO'!D196))))</f>
        <v>0</v>
      </c>
      <c r="AC91" s="429"/>
      <c r="AD91" s="366"/>
      <c r="AE91" s="704"/>
      <c r="AF91" s="704"/>
      <c r="AG91" s="704"/>
      <c r="AH91" s="20"/>
      <c r="AI91" s="20"/>
      <c r="AJ91" s="429"/>
      <c r="AK91" s="429"/>
      <c r="AL91" s="704"/>
      <c r="AM91" s="704"/>
      <c r="AN91" s="705"/>
      <c r="AO91" s="24"/>
      <c r="AP91" s="429"/>
      <c r="AQ91" s="429"/>
      <c r="AR91" s="429"/>
      <c r="AS91" s="429"/>
      <c r="AT91" s="429"/>
      <c r="AU91" s="429"/>
      <c r="AV91" s="429"/>
      <c r="AW91" s="429"/>
      <c r="AX91" s="429"/>
    </row>
    <row r="92" spans="2:50" x14ac:dyDescent="0.25">
      <c r="B92" s="873"/>
      <c r="C92" s="706">
        <f>IF(D45=0,"",IF('FOGLIO DEPOSITO'!C226&lt;C93,IF('FOGLIO DEPOSITO'!C226&gt;=C91,'FOGLIO DEPOSITO'!C226,C93),C93))</f>
        <v>3.35</v>
      </c>
      <c r="D92" s="657">
        <f>IF(D45=0,"",C92-C91)</f>
        <v>0.51366666666666694</v>
      </c>
      <c r="E92" s="707">
        <f>IF(D45=0,"",E109)</f>
        <v>0</v>
      </c>
      <c r="F92" s="306">
        <f>IF(D45=0,"",IF(F40='FOGLIO DEPOSITO'!H169,VLOOKUP(C76,'FOGLIO DEPOSITO'!N178:Q184,3,FALSE),IF(D54="",VLOOKUP(C76,'FOGLIO DEPOSITO'!N178:Q184,2,FALSE),IF(D54&lt;=C93*0.85,1,VLOOKUP(C76,'FOGLIO DEPOSITO'!N178:Q184,2,FALSE)))))</f>
        <v>0.31217631383028632</v>
      </c>
      <c r="G92" s="708">
        <f>IF(D45=0,"",2*D42*F91^0.5)</f>
        <v>0</v>
      </c>
      <c r="H92" s="709">
        <f>IF(D45=0,"",$D$41*D92+H90)</f>
        <v>69.579499999999996</v>
      </c>
      <c r="I92" s="707">
        <f>IF(D45=0,"",'FOGLIO DEPOSITO'!C246+'FOGLIO DEPOSITO'!D246)</f>
        <v>69.579499999999996</v>
      </c>
      <c r="J92" s="708">
        <f>IF(D45=0,"",$D$69)</f>
        <v>0</v>
      </c>
      <c r="K92" s="709">
        <f>IF(D45=0,"",$D$70)</f>
        <v>5</v>
      </c>
      <c r="L92" s="708">
        <f>IF(D45=0,"",'FOGLIO DEPOSITO'!G229/DATI!$E$272)</f>
        <v>22.55842512784503</v>
      </c>
      <c r="M92" s="708">
        <f>IF(D45=0,"",'FOGLIO DEPOSITO'!H229/DATI!$E$273)</f>
        <v>0</v>
      </c>
      <c r="N92" s="709">
        <f>IF(D45=0,"",'FOGLIO DEPOSITO'!I229/DATI!$E$274)</f>
        <v>1.5608815691514315</v>
      </c>
      <c r="O92" s="704">
        <f>IF(D45=0,"",(Y92-W92-X92)/DATI!$E$272)</f>
        <v>10.722547156755562</v>
      </c>
      <c r="P92" s="704">
        <f>IF(D45=0,"",DATI!E61*IF(D45=0,"",M91*(C92-C91))*IF(C76='FOGLIO DEPOSITO'!N181,1+'FOGLIO DEPOSITO'!S188,IF(C76='FOGLIO DEPOSITO'!N182,1-'FOGLIO DEPOSITO'!S188,1)))</f>
        <v>0</v>
      </c>
      <c r="Q92" s="704">
        <f>IF(D45=0,"",DATI!E61*IF(D45=0,"",N91*(C92-C91))*IF(C76='FOGLIO DEPOSITO'!N181,1+'FOGLIO DEPOSITO'!S188,IF(C76='FOGLIO DEPOSITO'!N182,1-'FOGLIO DEPOSITO'!S188,1)))</f>
        <v>0.83268139614899039</v>
      </c>
      <c r="R92" s="714">
        <f>IF('ANALISI DELLE SPINTE'!D45=0,"",DATI!E61*(('FOGLIO DEPOSITO'!Q229-'FOGLIO DEPOSITO'!Q228)*('ANALISI DELLE SPINTE'!C92-'ANALISI DELLE SPINTE'!C91)/2*(('ANALISI DELLE SPINTE'!C92-'ANALISI DELLE SPINTE'!C91)*IF('FOGLIO DEPOSITO'!Q229&gt;'FOGLIO DEPOSITO'!Q228,1/3,IF('FOGLIO DEPOSITO'!Q229='FOGLIO DEPOSITO'!Q228,1/2,2/3))+$D$60-'ANALISI DELLE SPINTE'!C92)+'FOGLIO DEPOSITO'!Q228*('ANALISI DELLE SPINTE'!C92-'ANALISI DELLE SPINTE'!C91)*(('ANALISI DELLE SPINTE'!C92-'ANALISI DELLE SPINTE'!C91)/2+$D$60-'ANALISI DELLE SPINTE'!C92))*COS(RADIANS('ANALISI DELLE SPINTE'!D44)))</f>
        <v>2.8963634639589007</v>
      </c>
      <c r="S92" s="715">
        <f>IF(D45=0,"",DATI!$E$272)</f>
        <v>1</v>
      </c>
      <c r="T92" s="716">
        <f>IF(D45=0,"",DATI!$E$273)</f>
        <v>1</v>
      </c>
      <c r="U92" s="716">
        <f>IF(D45=0,"",DATI!$E$274)</f>
        <v>1</v>
      </c>
      <c r="V92" s="717">
        <f>IF(D45=0,"",O92*S92)</f>
        <v>10.722547156755562</v>
      </c>
      <c r="W92" s="704">
        <f>IF(D45=0,"",P92*T92)</f>
        <v>0</v>
      </c>
      <c r="X92" s="718">
        <f>IF(D45=0,"",Q92*U92)</f>
        <v>0.83268139614899039</v>
      </c>
      <c r="Y92" s="718">
        <f>IF(D45=0,"",DATI!E61*IF(D45=0,"",'FOGLIO DEPOSITO'!K228*(C92-C91)+('FOGLIO DEPOSITO'!K229-'FOGLIO DEPOSITO'!K228)*(C92-C91)/2))</f>
        <v>11.555228552904552</v>
      </c>
      <c r="Z92" s="717">
        <f>IF(D45=0,"",Y92*COS(RADIANS($D$44+IF(DATI!G218="SX",0,'FOGLIO DEPOSITO'!D196))))</f>
        <v>11.555228552833421</v>
      </c>
      <c r="AA92" s="717">
        <f>IF(D45=0,"",Y92*SIN(RADIANS($D$44+IF(DATI!G218="SX",0,'FOGLIO DEPOSITO'!D196))))</f>
        <v>4.0544661587990314E-5</v>
      </c>
      <c r="AB92" s="714">
        <f>IF(D45=0,"",DATI!E61*(('FOGLIO DEPOSITO'!K229-'FOGLIO DEPOSITO'!K228)*(C92-C91)/2*((C92-C91)*IF('FOGLIO DEPOSITO'!K229&gt;'FOGLIO DEPOSITO'!K228,1/3,IF('FOGLIO DEPOSITO'!K229='FOGLIO DEPOSITO'!K228,1/2,2/3))+$D$60-C92)+'FOGLIO DEPOSITO'!K228*(C92-C91)*((C92-C91)/2+$D$60-C92))*COS(RADIANS(D44+IF(DATI!G218="SX",0,'FOGLIO DEPOSITO'!D196))))</f>
        <v>2.8963634639410714</v>
      </c>
      <c r="AC92" s="429"/>
      <c r="AD92" s="366"/>
      <c r="AE92" s="704"/>
      <c r="AF92" s="704"/>
      <c r="AG92" s="704"/>
      <c r="AH92" s="20"/>
      <c r="AI92" s="20"/>
      <c r="AJ92" s="429"/>
      <c r="AK92" s="429"/>
      <c r="AL92" s="704"/>
      <c r="AM92" s="704"/>
      <c r="AN92" s="705"/>
      <c r="AO92" s="24"/>
      <c r="AP92" s="429"/>
      <c r="AQ92" s="429"/>
      <c r="AR92" s="429"/>
      <c r="AS92" s="429"/>
      <c r="AT92" s="429"/>
      <c r="AU92" s="429"/>
      <c r="AV92" s="429"/>
      <c r="AW92" s="429"/>
      <c r="AX92" s="429"/>
    </row>
    <row r="93" spans="2:50" x14ac:dyDescent="0.25">
      <c r="B93" s="873"/>
      <c r="C93" s="719">
        <f>IF(D45=0,"",D38+D45)</f>
        <v>3.35</v>
      </c>
      <c r="D93" s="720">
        <f>IF(D45=0,"",D45)</f>
        <v>0.51366666666666694</v>
      </c>
      <c r="E93" s="721">
        <f>IF(D45=0,"",E110)</f>
        <v>0</v>
      </c>
      <c r="F93" s="722">
        <f>IF(D45=0,"",IF(F40='FOGLIO DEPOSITO'!H169,VLOOKUP(C76,'FOGLIO DEPOSITO'!N178:Q184,3,FALSE),IF(D54="",VLOOKUP(C76,'FOGLIO DEPOSITO'!N178:Q184,2,FALSE),IF(D54&lt;=C93*0.85,1,VLOOKUP(C76,'FOGLIO DEPOSITO'!N178:Q184,2,FALSE)))))</f>
        <v>0.31217631383028632</v>
      </c>
      <c r="G93" s="721">
        <f>IF(D45=0,"",2*D42*F93^0.5)</f>
        <v>0</v>
      </c>
      <c r="H93" s="723">
        <f>IF(D45=0,"",$D$41*D93+H90)</f>
        <v>69.579499999999996</v>
      </c>
      <c r="I93" s="724">
        <f>IF(D45=0,"",'FOGLIO DEPOSITO'!C247+'FOGLIO DEPOSITO'!D247)</f>
        <v>69.579499999999996</v>
      </c>
      <c r="J93" s="721">
        <f>IF(D45=0,"",$D$69)</f>
        <v>0</v>
      </c>
      <c r="K93" s="723">
        <f>IF(D45=0,"",$D$70)</f>
        <v>5</v>
      </c>
      <c r="L93" s="724">
        <f>IF(D45=0,"",'FOGLIO DEPOSITO'!G230/DATI!$E$272)</f>
        <v>22.55842512784503</v>
      </c>
      <c r="M93" s="721">
        <f>IF(D45=0,"",'FOGLIO DEPOSITO'!H230/DATI!$E$273)</f>
        <v>0</v>
      </c>
      <c r="N93" s="723">
        <f>IF(D45=0,"",'FOGLIO DEPOSITO'!I230/DATI!$E$274)</f>
        <v>1.5608815691514315</v>
      </c>
      <c r="O93" s="725">
        <f>IF(D45=0,"",(Y93-W93-X93)/DATI!$E$272)</f>
        <v>0</v>
      </c>
      <c r="P93" s="726">
        <f>IF(D45=0,"",DATI!E61*IF(D45=0,"",M92*(C93-C92))*IF(C76='FOGLIO DEPOSITO'!N181,1+'FOGLIO DEPOSITO'!S188,IF(C76='FOGLIO DEPOSITO'!N182,1-'FOGLIO DEPOSITO'!S188,1)))</f>
        <v>0</v>
      </c>
      <c r="Q93" s="726">
        <f>IF(D45=0,"",DATI!E61*IF(D45=0,"",N92*(C93-C92))*IF(C76='FOGLIO DEPOSITO'!N181,1+'FOGLIO DEPOSITO'!S188,IF(C76='FOGLIO DEPOSITO'!N182,1-'FOGLIO DEPOSITO'!S188,1)))</f>
        <v>0</v>
      </c>
      <c r="R93" s="727">
        <f>IF('ANALISI DELLE SPINTE'!D45=0,"",DATI!E61*(('FOGLIO DEPOSITO'!Q230-'FOGLIO DEPOSITO'!Q229)*('ANALISI DELLE SPINTE'!C93-'ANALISI DELLE SPINTE'!C92)/2*(('ANALISI DELLE SPINTE'!C93-'ANALISI DELLE SPINTE'!C92)*IF('FOGLIO DEPOSITO'!Q230&gt;'FOGLIO DEPOSITO'!Q229,1/3,IF('FOGLIO DEPOSITO'!Q230='FOGLIO DEPOSITO'!Q229,1/2,2/3))+$D$60-'ANALISI DELLE SPINTE'!C93)+'FOGLIO DEPOSITO'!Q229*('ANALISI DELLE SPINTE'!C93-'ANALISI DELLE SPINTE'!C92)*(('ANALISI DELLE SPINTE'!C93-'ANALISI DELLE SPINTE'!C92)/2+$D$60-'ANALISI DELLE SPINTE'!C93))*COS(RADIANS('ANALISI DELLE SPINTE'!D44)))</f>
        <v>0</v>
      </c>
      <c r="S93" s="728">
        <f>IF(D45=0,"",DATI!$E$272)</f>
        <v>1</v>
      </c>
      <c r="T93" s="729">
        <f>IF(D45=0,"",DATI!$E$273)</f>
        <v>1</v>
      </c>
      <c r="U93" s="729">
        <f>IF(D45=0,"",DATI!$E$274)</f>
        <v>1</v>
      </c>
      <c r="V93" s="725">
        <f>IF(D45=0,"",O93*S93)</f>
        <v>0</v>
      </c>
      <c r="W93" s="726">
        <f>IF(D45=0,"",P93*T93)</f>
        <v>0</v>
      </c>
      <c r="X93" s="730">
        <f>IF(D45=0,"",Q93*U93)</f>
        <v>0</v>
      </c>
      <c r="Y93" s="730">
        <f>IF(D45=0,"",DATI!E61*IF(D45=0,"",'FOGLIO DEPOSITO'!K229*(C93-C92)+('FOGLIO DEPOSITO'!K230-'FOGLIO DEPOSITO'!K229)*(C93-C92)/2))</f>
        <v>0</v>
      </c>
      <c r="Z93" s="725">
        <f>IF(D45=0,"",Y93*COS(RADIANS($D$44+IF(DATI!G218="SX",0,'FOGLIO DEPOSITO'!D196))))</f>
        <v>0</v>
      </c>
      <c r="AA93" s="731">
        <f>IF(D45=0,"",Y93*SIN(RADIANS($D$44+IF(DATI!G218="SX",0,'FOGLIO DEPOSITO'!D196))))</f>
        <v>0</v>
      </c>
      <c r="AB93" s="727">
        <f>IF(D45=0,"",DATI!E61*(('FOGLIO DEPOSITO'!K230-'FOGLIO DEPOSITO'!K229)*(C93-C92)/2*((C93-C92)*IF('FOGLIO DEPOSITO'!K230&gt;'FOGLIO DEPOSITO'!K229,1/3,IF('FOGLIO DEPOSITO'!K230='FOGLIO DEPOSITO'!K229,1/2,2/3))+$D$60-C93)+'FOGLIO DEPOSITO'!K229*(C93-C92)*((C93-C92)/2+$D$60-C93))*COS(RADIANS(D44+IF(DATI!G218="SX",0,'FOGLIO DEPOSITO'!D196))))</f>
        <v>0</v>
      </c>
      <c r="AC93" s="429"/>
      <c r="AD93" s="366"/>
      <c r="AE93" s="704"/>
      <c r="AF93" s="704"/>
      <c r="AG93" s="704"/>
      <c r="AH93" s="704" t="str">
        <f>IF('FOGLIO DEPOSITO'!D247="","",IF(C76="",0,IF(C76='FOGLIO DEPOSITO'!N184,IF('FOGLIO DEPOSITO'!D247=0,'geom masse muro+tensioni'!Q32,'geom masse muro+tensioni'!Q32-D61)*D27*D45*D60,"")))</f>
        <v/>
      </c>
      <c r="AI93" s="366" t="str">
        <f>IF('FOGLIO DEPOSITO'!D247="","",IF(C76='FOGLIO DEPOSITO'!N184,((D59-D45-D38)+D45/2)*AH93,""))</f>
        <v/>
      </c>
      <c r="AJ93" s="429"/>
      <c r="AK93" s="429"/>
      <c r="AL93" s="704"/>
      <c r="AM93" s="704"/>
      <c r="AN93" s="705"/>
      <c r="AO93" s="24"/>
      <c r="AP93" s="429"/>
      <c r="AQ93" s="429"/>
      <c r="AR93" s="429"/>
      <c r="AS93" s="429"/>
      <c r="AT93" s="429"/>
      <c r="AU93" s="429"/>
      <c r="AV93" s="429"/>
      <c r="AW93" s="429"/>
      <c r="AX93" s="429"/>
    </row>
    <row r="94" spans="2:50" x14ac:dyDescent="0.25">
      <c r="B94" s="873" t="str">
        <f>IF(D52=0,"",F47)</f>
        <v/>
      </c>
      <c r="C94" s="706" t="str">
        <f>IF(D52=0,"",C93)</f>
        <v/>
      </c>
      <c r="D94" s="657" t="str">
        <f>IF(D52=0,"",0)</f>
        <v/>
      </c>
      <c r="E94" s="707" t="str">
        <f>IF(D52=0,"",E111)</f>
        <v/>
      </c>
      <c r="F94" s="306" t="str">
        <f>IF(D52=0,"",IF(F47='FOGLIO DEPOSITO'!H172,VLOOKUP(C76,'FOGLIO DEPOSITO'!N178:Q184,4,FALSE),IF(D54="",VLOOKUP(C76,'FOGLIO DEPOSITO'!N178:Q184,2,FALSE),IF(D54&lt;=C96*0.85,1,VLOOKUP(C76,'FOGLIO DEPOSITO'!N178:Q184,2,FALSE)))))</f>
        <v/>
      </c>
      <c r="G94" s="708" t="str">
        <f>IF(D52=0,"",2*D49*F94^0.5)</f>
        <v/>
      </c>
      <c r="H94" s="709" t="str">
        <f>IF(D52=0,"",$D$48*D94+H93)</f>
        <v/>
      </c>
      <c r="I94" s="707" t="str">
        <f>IF(D52=0,"",'FOGLIO DEPOSITO'!C248+'FOGLIO DEPOSITO'!D248)</f>
        <v/>
      </c>
      <c r="J94" s="708" t="str">
        <f>IF(D52=0,"",$D$69)</f>
        <v/>
      </c>
      <c r="K94" s="709" t="str">
        <f>IF(D52=0,"",$D$70)</f>
        <v/>
      </c>
      <c r="L94" s="708" t="str">
        <f>IF(D52=0,"",'FOGLIO DEPOSITO'!G231/DATI!$E$272)</f>
        <v/>
      </c>
      <c r="M94" s="708" t="str">
        <f>IF(D52=0,"",'FOGLIO DEPOSITO'!H231/DATI!$E$273)</f>
        <v/>
      </c>
      <c r="N94" s="709" t="str">
        <f>IF(D52=0,"",'FOGLIO DEPOSITO'!I231/DATI!$E$274)</f>
        <v/>
      </c>
      <c r="O94" s="704" t="str">
        <f>IF(D52=0,"",(Y94-W94-X94)/DATI!$E$272)</f>
        <v/>
      </c>
      <c r="P94" s="704" t="str">
        <f>IF(D52=0,"",DATI!E61*IF(D52=0,"",M93*(C94-C93))*IF(C76='FOGLIO DEPOSITO'!N181,1+'FOGLIO DEPOSITO'!S188,IF(C76='FOGLIO DEPOSITO'!N182,1-'FOGLIO DEPOSITO'!S188,1)))</f>
        <v/>
      </c>
      <c r="Q94" s="704" t="str">
        <f>IF(D52=0,"",DATI!E61*IF(D52=0,"",N93*(C94-C93))*IF(C76='FOGLIO DEPOSITO'!N181,1+'FOGLIO DEPOSITO'!S188,IF(C76='FOGLIO DEPOSITO'!N182,1-'FOGLIO DEPOSITO'!S188,1)))</f>
        <v/>
      </c>
      <c r="R94" s="714" t="str">
        <f>IF('ANALISI DELLE SPINTE'!D52=0,"",DATI!E61*(('FOGLIO DEPOSITO'!Q231-'FOGLIO DEPOSITO'!Q230)*('ANALISI DELLE SPINTE'!C94-'ANALISI DELLE SPINTE'!C93)/2*(('ANALISI DELLE SPINTE'!C94-'ANALISI DELLE SPINTE'!C93)*IF('FOGLIO DEPOSITO'!Q231&gt;'FOGLIO DEPOSITO'!Q230,1/3,IF('FOGLIO DEPOSITO'!Q231='FOGLIO DEPOSITO'!Q230,1/2,2/3))+$D$60-'ANALISI DELLE SPINTE'!C94)+'FOGLIO DEPOSITO'!Q230*('ANALISI DELLE SPINTE'!C94-'ANALISI DELLE SPINTE'!C93)*(('ANALISI DELLE SPINTE'!C94-'ANALISI DELLE SPINTE'!C93)/2+$D$60-'ANALISI DELLE SPINTE'!C94))*COS(RADIANS('ANALISI DELLE SPINTE'!D51)))</f>
        <v/>
      </c>
      <c r="S94" s="715" t="str">
        <f>IF(D52=0,"",DATI!$E$272)</f>
        <v/>
      </c>
      <c r="T94" s="716" t="str">
        <f>IF(D52=0,"",DATI!$E$273)</f>
        <v/>
      </c>
      <c r="U94" s="716" t="str">
        <f>IF(D52=0,"",DATI!$E$274)</f>
        <v/>
      </c>
      <c r="V94" s="717" t="str">
        <f>IF(D52=0,"",O94*S94)</f>
        <v/>
      </c>
      <c r="W94" s="704" t="str">
        <f>IF(D52=0,"",P94*T94)</f>
        <v/>
      </c>
      <c r="X94" s="718" t="str">
        <f>IF(D52=0,"",Q94*U94)</f>
        <v/>
      </c>
      <c r="Y94" s="718" t="str">
        <f>IF(D52=0,"",DATI!E61*IF(D52=0,"",'FOGLIO DEPOSITO'!K230*(C94-C93)+('FOGLIO DEPOSITO'!K231-'FOGLIO DEPOSITO'!K230)*(C94-C93)/2))</f>
        <v/>
      </c>
      <c r="Z94" s="717" t="str">
        <f>IF(D52=0,"",Y94*COS(RADIANS($D$51+IF(DATI!G218="SX",0,'FOGLIO DEPOSITO'!D196))))</f>
        <v/>
      </c>
      <c r="AA94" s="717" t="str">
        <f>IF(D52=0,"",Y94*SIN(RADIANS($D$51+IF(DATI!G218="SX",0,'FOGLIO DEPOSITO'!D196))))</f>
        <v/>
      </c>
      <c r="AB94" s="714" t="str">
        <f>IF(D52=0,"",DATI!E61*(('FOGLIO DEPOSITO'!K231-'FOGLIO DEPOSITO'!K230)*(C94-C93)/2*((C94-C93)*IF('FOGLIO DEPOSITO'!K231&gt;'FOGLIO DEPOSITO'!K230,1/3,IF('FOGLIO DEPOSITO'!K231='FOGLIO DEPOSITO'!K230,1/2,2/3))+$D$60-C94)+'FOGLIO DEPOSITO'!K230*(C94-C93)*((C94-C93)/2+$D$60-C94))*COS(RADIANS(D51+IF(DATI!G218="SX",0,'FOGLIO DEPOSITO'!D196))))</f>
        <v/>
      </c>
      <c r="AC94" s="429"/>
      <c r="AD94" s="366"/>
      <c r="AE94" s="704"/>
      <c r="AF94" s="704"/>
      <c r="AG94" s="704"/>
      <c r="AH94" s="640"/>
      <c r="AI94" s="20"/>
      <c r="AJ94" s="429"/>
      <c r="AK94" s="429"/>
      <c r="AL94" s="704"/>
      <c r="AM94" s="704"/>
      <c r="AN94" s="705"/>
      <c r="AO94" s="24"/>
      <c r="AP94" s="429"/>
      <c r="AQ94" s="429"/>
      <c r="AR94" s="429"/>
      <c r="AS94" s="429"/>
      <c r="AT94" s="429"/>
      <c r="AU94" s="429"/>
      <c r="AV94" s="429"/>
      <c r="AW94" s="429"/>
      <c r="AX94" s="429"/>
    </row>
    <row r="95" spans="2:50" x14ac:dyDescent="0.25">
      <c r="B95" s="873"/>
      <c r="C95" s="706" t="str">
        <f>IF(D52=0,"",IF('FOGLIO DEPOSITO'!C226&lt;C96,IF('FOGLIO DEPOSITO'!C226&gt;=C94,'FOGLIO DEPOSITO'!C226,C96),C96))</f>
        <v/>
      </c>
      <c r="D95" s="657" t="str">
        <f>IF(D52=0,"",C95-C94)</f>
        <v/>
      </c>
      <c r="E95" s="707" t="str">
        <f>IF(D52=0,"",E112)</f>
        <v/>
      </c>
      <c r="F95" s="306" t="str">
        <f>IF(D52=0,"",IF(F47='FOGLIO DEPOSITO'!H172,VLOOKUP(C76,'FOGLIO DEPOSITO'!N178:Q184,4,FALSE),IF(D54="",VLOOKUP(C76,'FOGLIO DEPOSITO'!N178:Q184,2,FALSE),IF(D54&lt;=C96*0.85,1,VLOOKUP(C76,'FOGLIO DEPOSITO'!N178:Q184,2,FALSE)))))</f>
        <v/>
      </c>
      <c r="G95" s="708" t="str">
        <f>IF(D52=0,"",2*D49*F94^0.5)</f>
        <v/>
      </c>
      <c r="H95" s="709" t="str">
        <f>IF(D52=0,"",$D$48*D95+H93)</f>
        <v/>
      </c>
      <c r="I95" s="707" t="str">
        <f>IF(D52=0,"",'FOGLIO DEPOSITO'!C249+'FOGLIO DEPOSITO'!D249)</f>
        <v/>
      </c>
      <c r="J95" s="708" t="str">
        <f>IF(D52=0,"",$D$69)</f>
        <v/>
      </c>
      <c r="K95" s="709" t="str">
        <f>IF(D52=0,"",$D$70)</f>
        <v/>
      </c>
      <c r="L95" s="708" t="str">
        <f>IF(D52=0,"",'FOGLIO DEPOSITO'!G232/DATI!$E$272)</f>
        <v/>
      </c>
      <c r="M95" s="708" t="str">
        <f>IF(D52=0,"",'FOGLIO DEPOSITO'!H232/DATI!$E$273)</f>
        <v/>
      </c>
      <c r="N95" s="709" t="str">
        <f>IF(D52=0,"",'FOGLIO DEPOSITO'!I232/DATI!$E$274)</f>
        <v/>
      </c>
      <c r="O95" s="704" t="str">
        <f>IF(D52=0,"",(Y95-W95-X95)/DATI!$E$272)</f>
        <v/>
      </c>
      <c r="P95" s="704" t="str">
        <f>IF(D52=0,"",DATI!E61*IF(D52=0,"",M94*(C95-C94))*IF(C76='FOGLIO DEPOSITO'!N181,1+'FOGLIO DEPOSITO'!S188,IF(C76='FOGLIO DEPOSITO'!N182,1-'FOGLIO DEPOSITO'!S188,1)))</f>
        <v/>
      </c>
      <c r="Q95" s="704" t="str">
        <f>IF(D52=0,"",DATI!E61*IF(D52=0,"",N94*(C95-C94))*IF(C76='FOGLIO DEPOSITO'!N181,1+'FOGLIO DEPOSITO'!S188,IF(C76='FOGLIO DEPOSITO'!N182,1-'FOGLIO DEPOSITO'!S188,1)))</f>
        <v/>
      </c>
      <c r="R95" s="714" t="str">
        <f>IF('ANALISI DELLE SPINTE'!D52=0,"",DATI!E61*(('FOGLIO DEPOSITO'!Q232-'FOGLIO DEPOSITO'!Q231)*('ANALISI DELLE SPINTE'!C95-'ANALISI DELLE SPINTE'!C94)/2*(('ANALISI DELLE SPINTE'!C95-'ANALISI DELLE SPINTE'!C94)*IF('FOGLIO DEPOSITO'!Q232&gt;'FOGLIO DEPOSITO'!Q231,1/3,IF('FOGLIO DEPOSITO'!Q232='FOGLIO DEPOSITO'!Q231,1/2,2/3))+$D$60-'ANALISI DELLE SPINTE'!C95)+'FOGLIO DEPOSITO'!Q231*('ANALISI DELLE SPINTE'!C95-'ANALISI DELLE SPINTE'!C94)*(('ANALISI DELLE SPINTE'!C95-'ANALISI DELLE SPINTE'!C94)/2+$D$60-'ANALISI DELLE SPINTE'!C95))*COS(RADIANS('ANALISI DELLE SPINTE'!D51)))</f>
        <v/>
      </c>
      <c r="S95" s="715" t="str">
        <f>IF(D52=0,"",DATI!$E$272)</f>
        <v/>
      </c>
      <c r="T95" s="716" t="str">
        <f>IF(D52=0,"",DATI!$E$273)</f>
        <v/>
      </c>
      <c r="U95" s="716" t="str">
        <f>IF(D52=0,"",DATI!$E$274)</f>
        <v/>
      </c>
      <c r="V95" s="717" t="str">
        <f>IF(D52=0,"",O95*S95)</f>
        <v/>
      </c>
      <c r="W95" s="704" t="str">
        <f>IF(D52=0,"",P95*T95)</f>
        <v/>
      </c>
      <c r="X95" s="718" t="str">
        <f>IF(D52=0,"",Q95*U95)</f>
        <v/>
      </c>
      <c r="Y95" s="718" t="str">
        <f>IF(D52=0,"",DATI!E61*IF(D52=0,"",'FOGLIO DEPOSITO'!K231*(C95-C94)+('FOGLIO DEPOSITO'!K232-'FOGLIO DEPOSITO'!K231)*(C95-C94)/2))</f>
        <v/>
      </c>
      <c r="Z95" s="717" t="str">
        <f>IF(D52=0,"",Y95*COS(RADIANS($D$51+IF(DATI!G218="SX",0,'FOGLIO DEPOSITO'!D196))))</f>
        <v/>
      </c>
      <c r="AA95" s="717" t="str">
        <f>IF(D52=0,"",Y95*SIN(RADIANS($D$51+IF(DATI!G218="SX",0,'FOGLIO DEPOSITO'!D196))))</f>
        <v/>
      </c>
      <c r="AB95" s="714" t="str">
        <f>IF(D52=0,"",DATI!E61*(('FOGLIO DEPOSITO'!K232-'FOGLIO DEPOSITO'!K231)*(C95-C94)/2*((C95-C94)*IF('FOGLIO DEPOSITO'!K232&gt;'FOGLIO DEPOSITO'!K231,1/3,IF('FOGLIO DEPOSITO'!K232='FOGLIO DEPOSITO'!K231,1/2,2/3))+$D$60-C95)+'FOGLIO DEPOSITO'!K231*(C95-C94)*((C95-C94)/2+$D$60-C95))*COS(RADIANS(D51+IF(DATI!G218="SX",0,'FOGLIO DEPOSITO'!D196))))</f>
        <v/>
      </c>
      <c r="AC95" s="429"/>
      <c r="AD95" s="366"/>
      <c r="AE95" s="429"/>
      <c r="AF95" s="429"/>
      <c r="AG95" s="429"/>
      <c r="AH95" s="640"/>
      <c r="AI95" s="20"/>
      <c r="AJ95" s="429"/>
      <c r="AK95" s="429"/>
      <c r="AL95" s="704"/>
      <c r="AM95" s="704"/>
      <c r="AN95" s="705"/>
      <c r="AO95" s="24"/>
      <c r="AP95" s="429"/>
      <c r="AQ95" s="429"/>
      <c r="AR95" s="429"/>
      <c r="AS95" s="429"/>
      <c r="AT95" s="429"/>
      <c r="AU95" s="429"/>
      <c r="AV95" s="429"/>
      <c r="AW95" s="429"/>
      <c r="AX95" s="429"/>
    </row>
    <row r="96" spans="2:50" x14ac:dyDescent="0.25">
      <c r="B96" s="873"/>
      <c r="C96" s="719" t="str">
        <f>IF(D52=0,"",C94+D52)</f>
        <v/>
      </c>
      <c r="D96" s="720" t="str">
        <f>IF(D52=0,"",D52)</f>
        <v/>
      </c>
      <c r="E96" s="721" t="str">
        <f>IF(D52=0,"",E113)</f>
        <v/>
      </c>
      <c r="F96" s="722" t="str">
        <f>IF(D52=0,"",IF(F47='FOGLIO DEPOSITO'!H172,VLOOKUP(C76,'FOGLIO DEPOSITO'!N178:Q184,4,FALSE),IF(D54="",VLOOKUP(C76,'FOGLIO DEPOSITO'!N178:Q184,2,FALSE),IF(D54&lt;=C96*0.85,1,VLOOKUP(C76,'FOGLIO DEPOSITO'!N178:Q184,2,FALSE)))))</f>
        <v/>
      </c>
      <c r="G96" s="721" t="str">
        <f>IF(D52=0,"",2*D49*F96^0.5)</f>
        <v/>
      </c>
      <c r="H96" s="723" t="str">
        <f>IF(D52=0,"",$D$48*D96+H93)</f>
        <v/>
      </c>
      <c r="I96" s="724" t="str">
        <f>IF(D52=0,"",'FOGLIO DEPOSITO'!C250+'FOGLIO DEPOSITO'!D250)</f>
        <v/>
      </c>
      <c r="J96" s="721" t="str">
        <f>IF(D52=0,"",$D$69)</f>
        <v/>
      </c>
      <c r="K96" s="723" t="str">
        <f>IF(D52=0,"",$D$70)</f>
        <v/>
      </c>
      <c r="L96" s="724" t="str">
        <f>IF(D52=0,"",'FOGLIO DEPOSITO'!G233/DATI!$E$272)</f>
        <v/>
      </c>
      <c r="M96" s="721" t="str">
        <f>IF(D52=0,"",'FOGLIO DEPOSITO'!H233/DATI!$E$273)</f>
        <v/>
      </c>
      <c r="N96" s="723" t="str">
        <f>IF(D52=0,"",'FOGLIO DEPOSITO'!I233/DATI!$E$274)</f>
        <v/>
      </c>
      <c r="O96" s="725" t="str">
        <f>IF(D52=0,"",(Y96-W96-X96)/DATI!$E$272)</f>
        <v/>
      </c>
      <c r="P96" s="726" t="str">
        <f>IF(D52=0,"",DATI!E61*IF(D52=0,"",M95*(C96-C95))*IF(C76='FOGLIO DEPOSITO'!N181,1+'FOGLIO DEPOSITO'!S188,IF(C76='FOGLIO DEPOSITO'!N182,1-'FOGLIO DEPOSITO'!S188,1)))</f>
        <v/>
      </c>
      <c r="Q96" s="726" t="str">
        <f>IF(D52=0,"",DATI!E61*IF(D52=0,"",N95*(C96-C95))*IF(C76='FOGLIO DEPOSITO'!N181,1+'FOGLIO DEPOSITO'!S188,IF(C76='FOGLIO DEPOSITO'!N182,1-'FOGLIO DEPOSITO'!S188,1)))</f>
        <v/>
      </c>
      <c r="R96" s="727" t="str">
        <f>IF('ANALISI DELLE SPINTE'!D52=0,"",DATI!E61*(('FOGLIO DEPOSITO'!Q233-'FOGLIO DEPOSITO'!Q232)*('ANALISI DELLE SPINTE'!C96-'ANALISI DELLE SPINTE'!C95)/2*(('ANALISI DELLE SPINTE'!C96-'ANALISI DELLE SPINTE'!C95)*IF('FOGLIO DEPOSITO'!Q233&gt;'FOGLIO DEPOSITO'!Q232,1/3,IF('FOGLIO DEPOSITO'!Q233='FOGLIO DEPOSITO'!Q232,1/2,2/3))+$D$60-'ANALISI DELLE SPINTE'!C96)+'FOGLIO DEPOSITO'!Q232*('ANALISI DELLE SPINTE'!C96-'ANALISI DELLE SPINTE'!C95)*(('ANALISI DELLE SPINTE'!C96-'ANALISI DELLE SPINTE'!C95)/2+$D$60-'ANALISI DELLE SPINTE'!C96))*COS(RADIANS('ANALISI DELLE SPINTE'!D51)))</f>
        <v/>
      </c>
      <c r="S96" s="728" t="str">
        <f>IF(D52=0,"",DATI!$E$272)</f>
        <v/>
      </c>
      <c r="T96" s="729" t="str">
        <f>IF(D52=0,"",DATI!$E$273)</f>
        <v/>
      </c>
      <c r="U96" s="729" t="str">
        <f>IF(D52=0,"",DATI!$E$274)</f>
        <v/>
      </c>
      <c r="V96" s="725" t="str">
        <f>IF(D52=0,"",O96*S96)</f>
        <v/>
      </c>
      <c r="W96" s="726" t="str">
        <f>IF(D52=0,"",P96*T96)</f>
        <v/>
      </c>
      <c r="X96" s="730" t="str">
        <f>IF(D52=0,"",Q96*U96)</f>
        <v/>
      </c>
      <c r="Y96" s="730" t="str">
        <f>IF(D52=0,"",DATI!E61*IF(D52=0,"",'FOGLIO DEPOSITO'!K232*(C96-C95)+('FOGLIO DEPOSITO'!K233-'FOGLIO DEPOSITO'!K232)*(C96-C95)/2))</f>
        <v/>
      </c>
      <c r="Z96" s="725" t="str">
        <f>IF(D52=0,"",Y96*COS(RADIANS($D$51+IF(DATI!G218="SX",0,'FOGLIO DEPOSITO'!D196))))</f>
        <v/>
      </c>
      <c r="AA96" s="731" t="str">
        <f>IF(D52=0,"",Y96*SIN(RADIANS($D$51+IF(DATI!G218="SX",0,'FOGLIO DEPOSITO'!D196))))</f>
        <v/>
      </c>
      <c r="AB96" s="727" t="str">
        <f>IF(D52=0,"",DATI!E61*(('FOGLIO DEPOSITO'!K233-'FOGLIO DEPOSITO'!K232)*(C96-C95)/2*((C96-C95)*IF('FOGLIO DEPOSITO'!K233&gt;'FOGLIO DEPOSITO'!K232,1/3,IF('FOGLIO DEPOSITO'!K233='FOGLIO DEPOSITO'!K232,1/2,2/3))+$D$60-C96)+'FOGLIO DEPOSITO'!K232*(C96-C95)*((C96-C95)/2+$D$60-C96))*COS(RADIANS(D51+IF(DATI!G218="SX",0,'FOGLIO DEPOSITO'!D196))))</f>
        <v/>
      </c>
      <c r="AC96" s="429"/>
      <c r="AD96" s="366"/>
      <c r="AE96" s="704"/>
      <c r="AF96" s="704"/>
      <c r="AG96" s="657">
        <f>IF(C76='FOGLIO DEPOSITO'!N184,IF(M76="",0,DATI!E272*'VER. EQU COND. NON DRENATE'!C81),IF(C76='FOGLIO DEPOSITO'!N181,IF(M76="",0,DATI!E272*'VER. EQU COND. NON DRENATE'!C81),IF('ANALISI DELLE SPINTE'!C76='FOGLIO DEPOSITO'!N182,IF(M76="",0,DATI!E272*'VER. EQU COND. NON DRENATE'!C81),"")))</f>
        <v>1.606076687939058</v>
      </c>
      <c r="AH96" s="704" t="str">
        <f>IF('FOGLIO DEPOSITO'!D250="","",IF(C76='FOGLIO DEPOSITO'!N184,IF('FOGLIO DEPOSITO'!D250=0,'geom masse muro+tensioni'!Q32,'geom masse muro+tensioni'!Q32-D61)*D27*D52*D60,""))</f>
        <v/>
      </c>
      <c r="AI96" s="366" t="str">
        <f>IF('FOGLIO DEPOSITO'!D250="","",IF(C76='FOGLIO DEPOSITO'!N184,D52/2*AH96,""))</f>
        <v/>
      </c>
      <c r="AJ96" s="732"/>
      <c r="AK96" s="732"/>
      <c r="AL96" s="697"/>
      <c r="AM96" s="697"/>
      <c r="AN96" s="24"/>
      <c r="AO96" s="24"/>
      <c r="AP96" s="429"/>
      <c r="AQ96" s="429"/>
      <c r="AR96" s="429"/>
      <c r="AS96" s="429"/>
      <c r="AT96" s="429"/>
      <c r="AU96" s="429"/>
      <c r="AV96" s="429"/>
      <c r="AW96" s="429"/>
      <c r="AX96" s="429"/>
    </row>
    <row r="97" spans="2:50" x14ac:dyDescent="0.25">
      <c r="B97" s="733"/>
      <c r="C97" s="685"/>
      <c r="D97" s="734"/>
      <c r="E97" s="708"/>
      <c r="F97" s="306"/>
      <c r="G97" s="708"/>
      <c r="H97" s="708"/>
      <c r="I97" s="708"/>
      <c r="J97" s="708"/>
      <c r="K97" s="708"/>
      <c r="L97" s="708"/>
      <c r="M97" s="708"/>
      <c r="N97" s="708"/>
      <c r="O97" s="697">
        <f>SUM(O88:O96)</f>
        <v>37.938048801339377</v>
      </c>
      <c r="P97" s="697">
        <f>SUM(P88:P96)</f>
        <v>0</v>
      </c>
      <c r="Q97" s="697">
        <f>SUM(Q88:Q96)</f>
        <v>5.4305308444499341</v>
      </c>
      <c r="R97" s="735">
        <f>SUM(R88:R96)</f>
        <v>51.408404093463616</v>
      </c>
      <c r="S97" s="736"/>
      <c r="T97" s="736"/>
      <c r="U97" s="736"/>
      <c r="V97" s="736"/>
      <c r="W97" s="737"/>
      <c r="X97" s="736"/>
      <c r="Y97" s="697">
        <f>SUM(Y88:Y96)</f>
        <v>43.36857964578931</v>
      </c>
      <c r="Z97" s="697">
        <f>SUM(Z88:Z96)</f>
        <v>43.368579645522345</v>
      </c>
      <c r="AA97" s="697">
        <f>SUM(AA88:AA96)</f>
        <v>1.5217045489319598E-4</v>
      </c>
      <c r="AB97" s="735">
        <f>SUM(AB88:AB96)</f>
        <v>51.408404093147162</v>
      </c>
      <c r="AC97" s="697">
        <f>IF(C76='FOGLIO DEPOSITO'!N184,K76,IF(C76='FOGLIO DEPOSITO'!N181,K76,IF('ANALISI DELLE SPINTE'!C76='FOGLIO DEPOSITO'!N182,K76,"")))</f>
        <v>0</v>
      </c>
      <c r="AD97" s="697">
        <f>IF(C76='FOGLIO DEPOSITO'!N184,IF(M76="",0,L76*DATI!E272),IF(C76='FOGLIO DEPOSITO'!N181,IF(M76="",0,L76*DATI!E272),IF('ANALISI DELLE SPINTE'!C76='FOGLIO DEPOSITO'!N182,IF(M76="",0,L76*DATI!E272),"")))</f>
        <v>9.8724205546860517</v>
      </c>
      <c r="AE97" s="697">
        <f>IF(C76='FOGLIO DEPOSITO'!N184,IF(M76="",0,M76*DATI!E272),IF(C76='FOGLIO DEPOSITO'!N181,IF(M76="",0,M76*DATI!E272),IF('ANALISI DELLE SPINTE'!C76='FOGLIO DEPOSITO'!N182,IF(M76="",0,M76*DATI!E272),"")))</f>
        <v>4.9362102773430259</v>
      </c>
      <c r="AF97" s="735">
        <f>IF(C76='FOGLIO DEPOSITO'!N184,(AC97)*DATI!G216/2,IF(C76='FOGLIO DEPOSITO'!N181,(AC97)*DATI!G216/2,IF('ANALISI DELLE SPINTE'!C76='FOGLIO DEPOSITO'!N182,(AC97)*DATI!G216/2,"")))</f>
        <v>0</v>
      </c>
      <c r="AG97" s="735">
        <f>IF(C76='FOGLIO DEPOSITO'!N184,IF(M76="",0,L76*DATI!E272*'VER. EQU COND. NON DRENATE'!C81),IF(C76='FOGLIO DEPOSITO'!N181,IF(M76="",0,L76*DATI!E272*'VER. EQU COND. NON DRENATE'!C81),IF('ANALISI DELLE SPINTE'!C76='FOGLIO DEPOSITO'!N182,IF(M76="",0,L76*DATI!E272*'VER. EQU COND. NON DRENATE'!C81),"")))</f>
        <v>15.855864506411653</v>
      </c>
      <c r="AH97" s="738" t="str">
        <f>IF(C76='FOGLIO DEPOSITO'!N184,SUM(AH90:AH96),"")</f>
        <v/>
      </c>
      <c r="AI97" s="738" t="str">
        <f>IF(C76='FOGLIO DEPOSITO'!N184,SUM(AI90:AI96),"")</f>
        <v/>
      </c>
      <c r="AJ97" s="429"/>
      <c r="AK97" s="429"/>
      <c r="AL97" s="24"/>
      <c r="AM97" s="24"/>
      <c r="AN97" s="24"/>
      <c r="AO97" s="24"/>
      <c r="AP97" s="429"/>
      <c r="AQ97" s="429"/>
      <c r="AR97" s="429"/>
      <c r="AS97" s="429"/>
      <c r="AT97" s="429"/>
      <c r="AU97" s="429"/>
      <c r="AV97" s="429"/>
      <c r="AW97" s="429"/>
      <c r="AX97" s="429"/>
    </row>
    <row r="98" spans="2:50" ht="15.75" thickBot="1" x14ac:dyDescent="0.3">
      <c r="B98" s="880" t="s">
        <v>491</v>
      </c>
      <c r="C98" s="880"/>
      <c r="D98" s="701"/>
      <c r="E98" s="708"/>
      <c r="F98" s="306"/>
      <c r="G98" s="708"/>
      <c r="H98" s="708"/>
      <c r="I98" s="708"/>
      <c r="J98" s="708"/>
      <c r="K98" s="708"/>
      <c r="L98" s="708"/>
      <c r="M98" s="708"/>
      <c r="N98" s="708"/>
      <c r="O98" s="736"/>
      <c r="P98" s="736"/>
      <c r="Q98" s="736"/>
      <c r="R98" s="736"/>
      <c r="S98" s="736"/>
      <c r="T98" s="736"/>
      <c r="U98" s="736"/>
      <c r="V98" s="736"/>
      <c r="W98" s="736"/>
      <c r="X98" s="736"/>
      <c r="Y98" s="429"/>
      <c r="Z98" s="429"/>
      <c r="AA98" s="429"/>
      <c r="AB98" s="429"/>
      <c r="AC98" s="429"/>
      <c r="AD98" s="429"/>
      <c r="AE98" s="429"/>
      <c r="AF98" s="429"/>
      <c r="AG98" s="429"/>
      <c r="AH98" s="697"/>
      <c r="AI98" s="429"/>
      <c r="AJ98" s="429"/>
      <c r="AK98" s="429"/>
      <c r="AL98" s="366"/>
      <c r="AM98" s="24"/>
      <c r="AN98" s="24"/>
      <c r="AO98" s="24"/>
      <c r="AP98" s="429"/>
      <c r="AQ98" s="429"/>
      <c r="AR98" s="429"/>
      <c r="AS98" s="429"/>
      <c r="AT98" s="429"/>
      <c r="AU98" s="429"/>
      <c r="AV98" s="429"/>
      <c r="AW98" s="429"/>
      <c r="AX98" s="429"/>
    </row>
    <row r="99" spans="2:50" ht="14.25" customHeight="1" x14ac:dyDescent="0.25">
      <c r="B99" s="635" t="s">
        <v>504</v>
      </c>
      <c r="C99" s="739">
        <f>SUM('FOGLIO DEPOSITO'!AM163:AM171)</f>
        <v>0</v>
      </c>
      <c r="D99" s="657"/>
      <c r="E99" s="708"/>
      <c r="F99" s="306"/>
      <c r="G99" s="708"/>
      <c r="H99" s="708"/>
      <c r="I99" s="708"/>
      <c r="J99" s="708"/>
      <c r="K99" s="708"/>
      <c r="L99" s="708"/>
      <c r="M99" s="708"/>
      <c r="N99" s="708"/>
      <c r="O99" s="736"/>
      <c r="P99" s="736"/>
      <c r="Q99" s="429"/>
      <c r="R99" s="429"/>
      <c r="S99" s="736"/>
      <c r="T99" s="736"/>
      <c r="U99" s="736"/>
      <c r="V99" s="894" t="str">
        <f>IF(C76='FOGLIO DEPOSITO'!N184,"  Sono state aggiunte la spinta dinamica dell'acqua e le forze d'inerzia;            i ΔP,i di Wood sono considerati in Sh,x →
",IF(C76='FOGLIO DEPOSITO'!N181,"  Sono state aggiunte la spinta dinamica dell'acqua e le forze d'inerzia →
",IF('ANALISI DELLE SPINTE'!C76='FOGLIO DEPOSITO'!N182,"Sono state aggiunte la spinta dinamica dell'acqua e le forze d'inerzia →","")))</f>
        <v xml:space="preserve">  Sono state aggiunte la spinta dinamica dell'acqua e le forze d'inerzia →
</v>
      </c>
      <c r="W99" s="894"/>
      <c r="X99" s="894"/>
      <c r="Y99" s="894"/>
      <c r="Z99" s="895"/>
      <c r="AA99" s="740" t="s">
        <v>745</v>
      </c>
      <c r="AB99" s="741">
        <f>SUM(Z88:Z96)+IF(M76="",0,AC97)+IF(M76="",0,L76*DATI!E272)</f>
        <v>53.241000200208397</v>
      </c>
      <c r="AC99" s="697"/>
      <c r="AD99" s="697"/>
      <c r="AE99" s="697"/>
      <c r="AF99" s="697"/>
      <c r="AG99" s="697"/>
      <c r="AH99" s="697"/>
      <c r="AI99" s="429"/>
      <c r="AJ99" s="429"/>
      <c r="AK99" s="429"/>
      <c r="AL99" s="366"/>
      <c r="AM99" s="429"/>
      <c r="AN99" s="429"/>
      <c r="AO99" s="429"/>
      <c r="AP99" s="429"/>
      <c r="AQ99" s="429"/>
      <c r="AR99" s="429"/>
      <c r="AS99" s="429"/>
      <c r="AT99" s="429"/>
      <c r="AU99" s="429"/>
      <c r="AV99" s="429"/>
      <c r="AW99" s="429"/>
      <c r="AX99" s="429"/>
    </row>
    <row r="100" spans="2:50" ht="16.5" thickBot="1" x14ac:dyDescent="0.3">
      <c r="B100" s="635" t="s">
        <v>505</v>
      </c>
      <c r="C100" s="742">
        <f>C99*D61</f>
        <v>0</v>
      </c>
      <c r="D100" s="657"/>
      <c r="E100" s="708"/>
      <c r="F100" s="306"/>
      <c r="G100" s="708"/>
      <c r="H100" s="708"/>
      <c r="I100" s="708"/>
      <c r="J100" s="708"/>
      <c r="K100" s="708"/>
      <c r="L100" s="708"/>
      <c r="M100" s="708"/>
      <c r="N100" s="708"/>
      <c r="O100" s="429"/>
      <c r="P100" s="429"/>
      <c r="Q100" s="470" t="s">
        <v>831</v>
      </c>
      <c r="R100" s="743">
        <f>AB100-AB97+R97</f>
        <v>67.264268599875265</v>
      </c>
      <c r="S100" s="429"/>
      <c r="T100" s="429"/>
      <c r="U100" s="429"/>
      <c r="V100" s="894"/>
      <c r="W100" s="894"/>
      <c r="X100" s="894"/>
      <c r="Y100" s="894"/>
      <c r="Z100" s="895"/>
      <c r="AA100" s="470" t="s">
        <v>744</v>
      </c>
      <c r="AB100" s="743">
        <f>SUM(AB88:AB96)+IF(M76="",0,(AC97)*DATI!G216/2)+IF(M76="",0,L76*DATI!E272)*'VER. EQU COND. NON DRENATE'!C81</f>
        <v>67.264268599558818</v>
      </c>
      <c r="AC100" s="697"/>
      <c r="AD100" s="744"/>
      <c r="AE100" s="697"/>
      <c r="AF100" s="697"/>
      <c r="AG100" s="697"/>
      <c r="AH100" s="697"/>
      <c r="AI100" s="429"/>
      <c r="AJ100" s="429"/>
      <c r="AK100" s="429"/>
      <c r="AL100" s="366"/>
      <c r="AM100" s="429"/>
      <c r="AN100" s="429"/>
      <c r="AO100" s="429"/>
      <c r="AP100" s="429"/>
      <c r="AQ100" s="429"/>
      <c r="AR100" s="429"/>
      <c r="AS100" s="429"/>
      <c r="AT100" s="429"/>
      <c r="AU100" s="429"/>
      <c r="AV100" s="429"/>
      <c r="AW100" s="429"/>
      <c r="AX100" s="429"/>
    </row>
    <row r="101" spans="2:50" s="428" customFormat="1" ht="15.75" x14ac:dyDescent="0.25">
      <c r="B101" s="673"/>
      <c r="C101" s="736"/>
      <c r="D101" s="657"/>
      <c r="E101" s="708"/>
      <c r="F101" s="306"/>
      <c r="G101" s="708"/>
      <c r="H101" s="708"/>
      <c r="I101" s="708"/>
      <c r="J101" s="708"/>
      <c r="K101" s="708"/>
      <c r="L101" s="708"/>
      <c r="M101" s="708"/>
      <c r="N101" s="708"/>
      <c r="O101" s="429"/>
      <c r="P101" s="429"/>
      <c r="Q101" s="429"/>
      <c r="R101" s="429"/>
      <c r="S101" s="429"/>
      <c r="T101" s="429"/>
      <c r="U101" s="429"/>
      <c r="V101" s="429"/>
      <c r="W101" s="429"/>
      <c r="X101" s="429"/>
      <c r="Y101" s="429"/>
      <c r="Z101" s="429"/>
      <c r="AA101" s="297"/>
      <c r="AB101" s="745"/>
      <c r="AC101" s="697"/>
      <c r="AD101" s="697"/>
      <c r="AE101" s="697"/>
      <c r="AF101" s="697"/>
      <c r="AG101" s="697"/>
      <c r="AH101" s="697"/>
      <c r="AI101" s="429"/>
      <c r="AJ101" s="429"/>
      <c r="AK101" s="429"/>
      <c r="AL101" s="366"/>
      <c r="AM101" s="429"/>
      <c r="AN101" s="429"/>
      <c r="AO101" s="429"/>
      <c r="AP101" s="429"/>
      <c r="AQ101" s="429"/>
      <c r="AR101" s="429"/>
      <c r="AS101" s="429"/>
      <c r="AT101" s="429"/>
      <c r="AU101" s="429"/>
      <c r="AV101" s="429"/>
      <c r="AW101" s="429"/>
      <c r="AX101" s="429"/>
    </row>
    <row r="102" spans="2:50" x14ac:dyDescent="0.25">
      <c r="B102" s="429"/>
      <c r="C102" s="20"/>
      <c r="D102" s="20"/>
      <c r="E102" s="20"/>
      <c r="F102" s="20"/>
      <c r="G102" s="20"/>
      <c r="H102" s="20"/>
      <c r="I102" s="20"/>
      <c r="J102" s="20"/>
      <c r="K102" s="20"/>
      <c r="L102" s="20"/>
      <c r="M102" s="429"/>
      <c r="N102" s="429"/>
      <c r="O102" s="429"/>
      <c r="P102" s="429"/>
      <c r="Q102" s="429"/>
      <c r="R102" s="429"/>
      <c r="S102" s="429"/>
      <c r="T102" s="429"/>
      <c r="U102" s="429"/>
      <c r="V102" s="429"/>
      <c r="W102" s="429"/>
      <c r="X102" s="429"/>
      <c r="Y102" s="429"/>
      <c r="Z102" s="429"/>
      <c r="AA102" s="429"/>
      <c r="AB102" s="429"/>
      <c r="AC102" s="429"/>
      <c r="AD102" s="429"/>
      <c r="AE102" s="24"/>
      <c r="AF102" s="24"/>
      <c r="AG102" s="24"/>
      <c r="AH102" s="24"/>
      <c r="AI102" s="429"/>
      <c r="AJ102" s="429"/>
      <c r="AK102" s="429"/>
      <c r="AL102" s="24"/>
      <c r="AM102" s="429"/>
      <c r="AN102" s="429"/>
      <c r="AO102" s="429"/>
      <c r="AP102" s="429"/>
      <c r="AQ102" s="429"/>
      <c r="AR102" s="429"/>
      <c r="AS102" s="429"/>
      <c r="AT102" s="429"/>
      <c r="AU102" s="429"/>
      <c r="AV102" s="429"/>
      <c r="AW102" s="429"/>
      <c r="AX102" s="429"/>
    </row>
    <row r="103" spans="2:50" x14ac:dyDescent="0.25">
      <c r="B103" s="429"/>
      <c r="C103" s="640"/>
      <c r="D103" s="640"/>
      <c r="E103" s="640"/>
      <c r="F103" s="640"/>
      <c r="G103" s="640"/>
      <c r="H103" s="640"/>
      <c r="I103" s="880" t="s">
        <v>1020</v>
      </c>
      <c r="J103" s="880"/>
      <c r="K103" s="880"/>
      <c r="L103" s="889" t="s">
        <v>1015</v>
      </c>
      <c r="M103" s="889"/>
      <c r="N103" s="889"/>
      <c r="O103" s="881" t="s">
        <v>829</v>
      </c>
      <c r="P103" s="882"/>
      <c r="Q103" s="882"/>
      <c r="R103" s="883"/>
      <c r="S103" s="889" t="s">
        <v>820</v>
      </c>
      <c r="T103" s="889"/>
      <c r="U103" s="889"/>
      <c r="V103" s="889" t="s">
        <v>821</v>
      </c>
      <c r="W103" s="889"/>
      <c r="X103" s="889"/>
      <c r="Y103" s="889" t="s">
        <v>806</v>
      </c>
      <c r="Z103" s="889"/>
      <c r="AA103" s="889"/>
      <c r="AB103" s="889"/>
      <c r="AC103" s="701"/>
      <c r="AD103" s="701"/>
      <c r="AE103" s="701"/>
      <c r="AF103" s="701"/>
      <c r="AG103" s="701"/>
      <c r="AH103" s="701"/>
      <c r="AI103" s="429"/>
      <c r="AJ103" s="429"/>
      <c r="AK103" s="429"/>
      <c r="AL103" s="701"/>
      <c r="AM103" s="429"/>
      <c r="AN103" s="429"/>
      <c r="AO103" s="429"/>
      <c r="AP103" s="429"/>
      <c r="AQ103" s="429"/>
      <c r="AR103" s="429"/>
      <c r="AS103" s="429"/>
      <c r="AT103" s="429"/>
      <c r="AU103" s="429"/>
      <c r="AV103" s="429"/>
      <c r="AW103" s="429"/>
      <c r="AX103" s="429"/>
    </row>
    <row r="104" spans="2:50" ht="18.75" x14ac:dyDescent="0.25">
      <c r="B104" s="237" t="s">
        <v>50</v>
      </c>
      <c r="C104" s="630" t="s">
        <v>22</v>
      </c>
      <c r="D104" s="702" t="s">
        <v>492</v>
      </c>
      <c r="E104" s="703" t="s">
        <v>493</v>
      </c>
      <c r="F104" s="702" t="str">
        <f>IF(C76='FOGLIO DEPOSITO'!N183,"K0",IF(C76='FOGLIO DEPOSITO'!N184,"K0","Ka"))</f>
        <v>Ka</v>
      </c>
      <c r="G104" s="703" t="s">
        <v>506</v>
      </c>
      <c r="H104" s="703" t="s">
        <v>494</v>
      </c>
      <c r="I104" s="179" t="s">
        <v>1019</v>
      </c>
      <c r="J104" s="242" t="s">
        <v>496</v>
      </c>
      <c r="K104" s="243" t="s">
        <v>497</v>
      </c>
      <c r="L104" s="250" t="s">
        <v>810</v>
      </c>
      <c r="M104" s="250" t="s">
        <v>811</v>
      </c>
      <c r="N104" s="251" t="s">
        <v>812</v>
      </c>
      <c r="O104" s="473" t="s">
        <v>803</v>
      </c>
      <c r="P104" s="250" t="s">
        <v>804</v>
      </c>
      <c r="Q104" s="250" t="s">
        <v>805</v>
      </c>
      <c r="R104" s="292" t="s">
        <v>503</v>
      </c>
      <c r="S104" s="473" t="s">
        <v>807</v>
      </c>
      <c r="T104" s="250" t="s">
        <v>808</v>
      </c>
      <c r="U104" s="251" t="s">
        <v>809</v>
      </c>
      <c r="V104" s="250" t="s">
        <v>813</v>
      </c>
      <c r="W104" s="250" t="s">
        <v>814</v>
      </c>
      <c r="X104" s="251" t="s">
        <v>815</v>
      </c>
      <c r="Y104" s="251" t="s">
        <v>816</v>
      </c>
      <c r="Z104" s="292" t="s">
        <v>817</v>
      </c>
      <c r="AA104" s="292" t="s">
        <v>818</v>
      </c>
      <c r="AB104" s="251" t="s">
        <v>830</v>
      </c>
      <c r="AC104" s="297" t="str">
        <f>IF(C76='FOGLIO DEPOSITO'!N184," Ewd",IF(C76='FOGLIO DEPOSITO'!N181," Ewd",IF('ANALISI DELLE SPINTE'!C76='FOGLIO DEPOSITO'!N182,"Ewd","")))</f>
        <v xml:space="preserve"> Ewd</v>
      </c>
      <c r="AD104" s="297" t="str">
        <f>IF(C76='FOGLIO DEPOSITO'!N184," Kh x Wtot ",IF(C76='FOGLIO DEPOSITO'!N181," Kh x Wtot  ",IF('ANALISI DELLE SPINTE'!C76='FOGLIO DEPOSITO'!N182,"Kh x Wtot ","")))</f>
        <v xml:space="preserve"> Kh x Wtot  </v>
      </c>
      <c r="AE104" s="297" t="str">
        <f>IF(C76='FOGLIO DEPOSITO'!N184," Kv x Wtot x γG1 ",IF(C76='FOGLIO DEPOSITO'!N181," Kv x Wtot x γG1 ",IF('ANALISI DELLE SPINTE'!C76='FOGLIO DEPOSITO'!N182,"Kv x Wtot x γG1 ","")))</f>
        <v xml:space="preserve"> Kv x Wtot x γG1 </v>
      </c>
      <c r="AF104" s="474" t="str">
        <f>IF(C76='FOGLIO DEPOSITO'!N184," Mr,Ewd",IF(C76='FOGLIO DEPOSITO'!N181," Mr,Ewd",IF('ANALISI DELLE SPINTE'!C76='FOGLIO DEPOSITO'!N182,"Mr,Ewd","")))</f>
        <v xml:space="preserve"> Mr,Ewd</v>
      </c>
      <c r="AG104" s="474" t="str">
        <f>IF(C76='FOGLIO DEPOSITO'!N184," Mr (Kh x Wtot)",IF(C76='FOGLIO DEPOSITO'!N181," Mr (Kh x Wtot)",IF('ANALISI DELLE SPINTE'!C76='FOGLIO DEPOSITO'!N182,"Mr (Kh x Wtot)","")))</f>
        <v xml:space="preserve"> Mr (Kh x Wtot)</v>
      </c>
      <c r="AH104" s="297" t="str">
        <f>IF(C76='FOGLIO DEPOSITO'!N184," Sw","")</f>
        <v/>
      </c>
      <c r="AI104" s="297" t="str">
        <f>IF(C76='FOGLIO DEPOSITO'!N184," Mw","")</f>
        <v/>
      </c>
      <c r="AJ104" s="429"/>
      <c r="AK104" s="429"/>
      <c r="AL104" s="297"/>
      <c r="AM104" s="429"/>
      <c r="AN104" s="429"/>
      <c r="AO104" s="429"/>
      <c r="AP104" s="429"/>
      <c r="AQ104" s="429"/>
      <c r="AR104" s="429"/>
      <c r="AS104" s="429"/>
      <c r="AT104" s="429"/>
      <c r="AU104" s="429"/>
      <c r="AV104" s="429"/>
      <c r="AW104" s="429"/>
      <c r="AX104" s="429"/>
    </row>
    <row r="105" spans="2:50" x14ac:dyDescent="0.25">
      <c r="B105" s="873" t="str">
        <f>B88</f>
        <v>1°strato: ghiaia-sabbie</v>
      </c>
      <c r="C105" s="706">
        <f>C88</f>
        <v>0</v>
      </c>
      <c r="D105" s="657">
        <f>D88</f>
        <v>0</v>
      </c>
      <c r="E105" s="708">
        <f>IF(D61*(C105-'FOGLIO DEPOSITO'!$C$226)&lt;0,0,$D$61*(C105-'FOGLIO DEPOSITO'!$C$226))</f>
        <v>0</v>
      </c>
      <c r="F105" s="306">
        <f>VLOOKUP(C76,'FOGLIO DEPOSITO'!N178:Q184,2,FALSE)</f>
        <v>0.31217631383028632</v>
      </c>
      <c r="G105" s="708">
        <f>2*D36*F105^0.5</f>
        <v>0</v>
      </c>
      <c r="H105" s="707">
        <f t="shared" ref="H105:H113" si="3">H88</f>
        <v>0</v>
      </c>
      <c r="I105" s="746">
        <f>'ANALISI DELLE SPINTE'!H105-'ANALISI DELLE SPINTE'!E105</f>
        <v>0</v>
      </c>
      <c r="J105" s="708">
        <f>$D$69</f>
        <v>0</v>
      </c>
      <c r="K105" s="709">
        <f>$D$70</f>
        <v>5</v>
      </c>
      <c r="L105" s="708">
        <f>'FOGLIO DEPOSITO'!G242/DATI!$E$272</f>
        <v>0</v>
      </c>
      <c r="M105" s="708">
        <f>'FOGLIO DEPOSITO'!H242/DATI!$E$273</f>
        <v>0</v>
      </c>
      <c r="N105" s="747">
        <f>'FOGLIO DEPOSITO'!I242/DATI!$E$274</f>
        <v>1.5608815691514315</v>
      </c>
      <c r="O105" s="710"/>
      <c r="P105" s="710"/>
      <c r="Q105" s="710"/>
      <c r="R105" s="711"/>
      <c r="S105" s="712"/>
      <c r="T105" s="710"/>
      <c r="U105" s="713"/>
      <c r="V105" s="710"/>
      <c r="W105" s="710"/>
      <c r="X105" s="713"/>
      <c r="Y105" s="54"/>
      <c r="Z105" s="54"/>
      <c r="AA105" s="54"/>
      <c r="AB105" s="54"/>
      <c r="AC105" s="24"/>
      <c r="AD105" s="24"/>
      <c r="AE105" s="24"/>
      <c r="AF105" s="24"/>
      <c r="AG105" s="24"/>
      <c r="AH105" s="24"/>
      <c r="AI105" s="429"/>
      <c r="AJ105" s="429"/>
      <c r="AK105" s="429"/>
      <c r="AL105" s="24"/>
      <c r="AM105" s="429"/>
      <c r="AN105" s="429"/>
      <c r="AO105" s="429"/>
      <c r="AP105" s="429"/>
      <c r="AQ105" s="429"/>
      <c r="AR105" s="429"/>
      <c r="AS105" s="429"/>
      <c r="AT105" s="429"/>
      <c r="AU105" s="429"/>
      <c r="AV105" s="429"/>
      <c r="AW105" s="429"/>
      <c r="AX105" s="429"/>
    </row>
    <row r="106" spans="2:50" x14ac:dyDescent="0.25">
      <c r="B106" s="873"/>
      <c r="C106" s="706">
        <f t="shared" ref="C106:D113" si="4">C89</f>
        <v>2.8363333333333332</v>
      </c>
      <c r="D106" s="657">
        <f t="shared" si="4"/>
        <v>2.8363333333333332</v>
      </c>
      <c r="E106" s="708">
        <f>IF(D61*(C106-'FOGLIO DEPOSITO'!$C$226)&lt;0,0,$D$61*(C106-'FOGLIO DEPOSITO'!$C$226))</f>
        <v>0</v>
      </c>
      <c r="F106" s="306">
        <f>VLOOKUP(C76,'FOGLIO DEPOSITO'!N178:Q184,2,FALSE)</f>
        <v>0.31217631383028632</v>
      </c>
      <c r="G106" s="708">
        <f>2*D36*F105^0.5</f>
        <v>0</v>
      </c>
      <c r="H106" s="707">
        <f t="shared" si="3"/>
        <v>59.562999999999995</v>
      </c>
      <c r="I106" s="746">
        <f>'ANALISI DELLE SPINTE'!H106-'ANALISI DELLE SPINTE'!E106</f>
        <v>59.562999999999995</v>
      </c>
      <c r="J106" s="708">
        <f>$D$69</f>
        <v>0</v>
      </c>
      <c r="K106" s="709">
        <f>$D$70</f>
        <v>5</v>
      </c>
      <c r="L106" s="708">
        <f>'FOGLIO DEPOSITO'!G243/DATI!$E$272</f>
        <v>19.310967682863968</v>
      </c>
      <c r="M106" s="708">
        <f>'FOGLIO DEPOSITO'!H243/DATI!$E$273</f>
        <v>0</v>
      </c>
      <c r="N106" s="709">
        <f>'FOGLIO DEPOSITO'!I243/DATI!$E$274</f>
        <v>1.5608815691514315</v>
      </c>
      <c r="O106" s="704">
        <f>(Y106-W106-X106)/DATI!$E$272</f>
        <v>27.215501644583814</v>
      </c>
      <c r="P106" s="704">
        <f>DATI!E61*((M105*C106)*IF(C76='FOGLIO DEPOSITO'!N181,1+'FOGLIO DEPOSITO'!S188,IF(C76='FOGLIO DEPOSITO'!N182,1-'FOGLIO DEPOSITO'!S188,1)))</f>
        <v>0</v>
      </c>
      <c r="Q106" s="704">
        <f>DATI!E61*((N105*C106)*IF(C76='FOGLIO DEPOSITO'!N181,1+'FOGLIO DEPOSITO'!S188,IF(C76='FOGLIO DEPOSITO'!N182,1-'FOGLIO DEPOSITO'!S188,1)))</f>
        <v>4.597849448300944</v>
      </c>
      <c r="R106" s="714">
        <f>DATI!$E$61*(('FOGLIO DEPOSITO'!Q243-'FOGLIO DEPOSITO'!Q242)*('ANALISI DELLE SPINTE'!C106-'ANALISI DELLE SPINTE'!C105)/2*(('ANALISI DELLE SPINTE'!C106-'ANALISI DELLE SPINTE'!C105)*IF('FOGLIO DEPOSITO'!Q243&gt;'FOGLIO DEPOSITO'!Q242,1/3,IF('FOGLIO DEPOSITO'!Q243='FOGLIO DEPOSITO'!Q242,1/2,2/3))+$D$60-'ANALISI DELLE SPINTE'!C106)+'FOGLIO DEPOSITO'!Q242*('ANALISI DELLE SPINTE'!C106-'ANALISI DELLE SPINTE'!C105)*(('ANALISI DELLE SPINTE'!C106-'ANALISI DELLE SPINTE'!C105)/2+$D$60-'ANALISI DELLE SPINTE'!C106))*COS(RADIANS('ANALISI DELLE SPINTE'!D37))</f>
        <v>48.512040629504718</v>
      </c>
      <c r="S106" s="715">
        <f>DATI!$E$272</f>
        <v>1</v>
      </c>
      <c r="T106" s="716">
        <f>DATI!$E$273</f>
        <v>1</v>
      </c>
      <c r="U106" s="716">
        <f>DATI!$E$274</f>
        <v>1</v>
      </c>
      <c r="V106" s="717">
        <f t="shared" ref="V106:X107" si="5">O106*S106</f>
        <v>27.215501644583814</v>
      </c>
      <c r="W106" s="704">
        <f t="shared" si="5"/>
        <v>0</v>
      </c>
      <c r="X106" s="718">
        <f t="shared" si="5"/>
        <v>4.597849448300944</v>
      </c>
      <c r="Y106" s="718">
        <f>DATI!E61*(('FOGLIO DEPOSITO'!K242*C106+C106*('FOGLIO DEPOSITO'!K243-'FOGLIO DEPOSITO'!K242)/2))</f>
        <v>31.813351092884758</v>
      </c>
      <c r="Z106" s="718">
        <f>Y106*COS(RADIANS($D$37+IF(DATI!G218="SX",0,'FOGLIO DEPOSITO'!D196)))</f>
        <v>31.813351092688922</v>
      </c>
      <c r="AA106" s="718">
        <f>Y106*SIN(RADIANS($D$37+IF(DATI!G218="SX",0,'FOGLIO DEPOSITO'!D196)))</f>
        <v>1.1162579330520567E-4</v>
      </c>
      <c r="AB106" s="714">
        <f>DATI!$E$61*(('FOGLIO DEPOSITO'!K243-'FOGLIO DEPOSITO'!K242)*(C106-C105)/2*((C106-C105)*IF('FOGLIO DEPOSITO'!K243&gt;'FOGLIO DEPOSITO'!K242,1/3,IF('FOGLIO DEPOSITO'!K243='FOGLIO DEPOSITO'!K242,1/2,2/3))+$D$60-C106)+'FOGLIO DEPOSITO'!K242*(C106-C105)*((C106-C105)/2+$D$60-C106))*COS(RADIANS(D37+IF(DATI!G218="SX",0,'FOGLIO DEPOSITO'!D196)))</f>
        <v>48.512040629206091</v>
      </c>
      <c r="AC106" s="366"/>
      <c r="AD106" s="366"/>
      <c r="AE106" s="704"/>
      <c r="AF106" s="704"/>
      <c r="AG106" s="704"/>
      <c r="AH106" s="704"/>
      <c r="AI106" s="24"/>
      <c r="AJ106" s="429"/>
      <c r="AK106" s="366"/>
      <c r="AL106" s="366"/>
      <c r="AM106" s="429"/>
      <c r="AN106" s="429"/>
      <c r="AO106" s="429"/>
      <c r="AP106" s="429"/>
      <c r="AQ106" s="429"/>
      <c r="AR106" s="429"/>
      <c r="AS106" s="429"/>
      <c r="AT106" s="429"/>
      <c r="AU106" s="429"/>
      <c r="AV106" s="429"/>
      <c r="AW106" s="429"/>
      <c r="AX106" s="429"/>
    </row>
    <row r="107" spans="2:50" x14ac:dyDescent="0.25">
      <c r="B107" s="873"/>
      <c r="C107" s="719">
        <f t="shared" si="4"/>
        <v>2.8363333333333332</v>
      </c>
      <c r="D107" s="720">
        <f t="shared" si="4"/>
        <v>2.8363333333333332</v>
      </c>
      <c r="E107" s="721">
        <f>IF(D61*(C107-'FOGLIO DEPOSITO'!$C$226)&lt;0,0,$D$61*(C107-'FOGLIO DEPOSITO'!$C$226))</f>
        <v>0</v>
      </c>
      <c r="F107" s="722">
        <f>VLOOKUP(C76,'FOGLIO DEPOSITO'!N178:Q184,2,FALSE)</f>
        <v>0.31217631383028632</v>
      </c>
      <c r="G107" s="721">
        <f>2*D36*F107^0.5</f>
        <v>0</v>
      </c>
      <c r="H107" s="721">
        <f t="shared" si="3"/>
        <v>59.562999999999995</v>
      </c>
      <c r="I107" s="724">
        <f>'ANALISI DELLE SPINTE'!H107-'ANALISI DELLE SPINTE'!E107</f>
        <v>59.562999999999995</v>
      </c>
      <c r="J107" s="721">
        <f>$D$69</f>
        <v>0</v>
      </c>
      <c r="K107" s="723">
        <f>$D$70</f>
        <v>5</v>
      </c>
      <c r="L107" s="724">
        <f>'FOGLIO DEPOSITO'!G244/DATI!$E$272</f>
        <v>19.310967682863968</v>
      </c>
      <c r="M107" s="721">
        <f>'FOGLIO DEPOSITO'!H244/DATI!$E$273</f>
        <v>0</v>
      </c>
      <c r="N107" s="723">
        <f>'FOGLIO DEPOSITO'!I244/DATI!$E$274</f>
        <v>1.5608815691514315</v>
      </c>
      <c r="O107" s="725">
        <f>(Y107-W107-X107)/DATI!$E$272</f>
        <v>0</v>
      </c>
      <c r="P107" s="726">
        <f>DATI!E61*((M106*(C107-C106))*IF(C76='FOGLIO DEPOSITO'!N181,1+'FOGLIO DEPOSITO'!S188,IF(C76='FOGLIO DEPOSITO'!N182,1-'FOGLIO DEPOSITO'!S188,1)))</f>
        <v>0</v>
      </c>
      <c r="Q107" s="730">
        <f>DATI!E61*((N106*(C107-C106))*IF(C76='FOGLIO DEPOSITO'!N181,1+'FOGLIO DEPOSITO'!S188,IF(C76='FOGLIO DEPOSITO'!N182,1-'FOGLIO DEPOSITO'!S188,1)))</f>
        <v>0</v>
      </c>
      <c r="R107" s="727">
        <f>DATI!$E$61*(('FOGLIO DEPOSITO'!Q244-'FOGLIO DEPOSITO'!Q243)*('ANALISI DELLE SPINTE'!C107-'ANALISI DELLE SPINTE'!C106)/2*(('ANALISI DELLE SPINTE'!C107-'ANALISI DELLE SPINTE'!C106)*IF('FOGLIO DEPOSITO'!Q244&gt;'FOGLIO DEPOSITO'!Q243,1/3,IF('FOGLIO DEPOSITO'!Q244='FOGLIO DEPOSITO'!Q243,1/2,2/3))+$D$60-'ANALISI DELLE SPINTE'!C107)+'FOGLIO DEPOSITO'!Q243*('ANALISI DELLE SPINTE'!C107-'ANALISI DELLE SPINTE'!C106)*(('ANALISI DELLE SPINTE'!C107-'ANALISI DELLE SPINTE'!C106)/2+$D$60-'ANALISI DELLE SPINTE'!C107))*COS(RADIANS('ANALISI DELLE SPINTE'!D37))</f>
        <v>0</v>
      </c>
      <c r="S107" s="728">
        <f>DATI!$E$272</f>
        <v>1</v>
      </c>
      <c r="T107" s="729">
        <f>DATI!$E$273</f>
        <v>1</v>
      </c>
      <c r="U107" s="729">
        <f>DATI!$E$274</f>
        <v>1</v>
      </c>
      <c r="V107" s="725">
        <f t="shared" si="5"/>
        <v>0</v>
      </c>
      <c r="W107" s="726">
        <f t="shared" si="5"/>
        <v>0</v>
      </c>
      <c r="X107" s="730">
        <f t="shared" si="5"/>
        <v>0</v>
      </c>
      <c r="Y107" s="730">
        <f>DATI!E61*(('FOGLIO DEPOSITO'!K243*(C107-C106)+('FOGLIO DEPOSITO'!K244-'FOGLIO DEPOSITO'!K243)*(C107-C106)/2))</f>
        <v>0</v>
      </c>
      <c r="Z107" s="731">
        <f>Y107*COS(RADIANS(D37+IF(DATI!G218="SX",0,'FOGLIO DEPOSITO'!D196)))</f>
        <v>0</v>
      </c>
      <c r="AA107" s="730">
        <f>Y107*SIN(RADIANS($D$37+IF(DATI!G218="SX",0,'FOGLIO DEPOSITO'!D196)))</f>
        <v>0</v>
      </c>
      <c r="AB107" s="727">
        <f>DATI!$E$61*(('FOGLIO DEPOSITO'!K244-'FOGLIO DEPOSITO'!K243)*(C107-C106)/2*((C107-C106)*IF('FOGLIO DEPOSITO'!K244&gt;'FOGLIO DEPOSITO'!K243,1/3,IF('FOGLIO DEPOSITO'!K244='FOGLIO DEPOSITO'!K243,1/2,2/3))+$D$60-C107)+'FOGLIO DEPOSITO'!K243*(C107-C106)*((C107-C106)/2+$D$60-C107))*COS(RADIANS(D37+IF(DATI!G218="SX",0,'FOGLIO DEPOSITO'!D196)))</f>
        <v>0</v>
      </c>
      <c r="AC107" s="366"/>
      <c r="AD107" s="366"/>
      <c r="AE107" s="704"/>
      <c r="AF107" s="704"/>
      <c r="AG107" s="704"/>
      <c r="AH107" s="704" t="str">
        <f>IF(C76='FOGLIO DEPOSITO'!N184,IF('FOGLIO DEPOSITO'!D244=0,'geom masse muro+tensioni'!Q32,'geom masse muro+tensioni'!Q32-D61)*D27*D38*D60,"")</f>
        <v/>
      </c>
      <c r="AI107" s="366" t="str">
        <f>IF(C76='FOGLIO DEPOSITO'!N184,((D59-D38)+D38/2)*AH107,"")</f>
        <v/>
      </c>
      <c r="AJ107" s="429"/>
      <c r="AK107" s="24"/>
      <c r="AL107" s="366"/>
      <c r="AM107" s="429"/>
      <c r="AN107" s="429"/>
      <c r="AO107" s="429"/>
      <c r="AP107" s="429"/>
      <c r="AQ107" s="429"/>
      <c r="AR107" s="429"/>
      <c r="AS107" s="429"/>
      <c r="AT107" s="429"/>
      <c r="AU107" s="429"/>
      <c r="AV107" s="429"/>
      <c r="AW107" s="429"/>
      <c r="AX107" s="429"/>
    </row>
    <row r="108" spans="2:50" x14ac:dyDescent="0.25">
      <c r="B108" s="873" t="str">
        <f>B91</f>
        <v>2° strato:    limi-argille</v>
      </c>
      <c r="C108" s="706">
        <f t="shared" si="4"/>
        <v>2.8363333333333332</v>
      </c>
      <c r="D108" s="657">
        <f t="shared" si="4"/>
        <v>0</v>
      </c>
      <c r="E108" s="708">
        <f>IF(D45=0,"",IF(D61*(C108-'FOGLIO DEPOSITO'!$C$226)&lt;0,0,$D$61*(C108-'FOGLIO DEPOSITO'!$C$226)))</f>
        <v>0</v>
      </c>
      <c r="F108" s="306">
        <f>IF(D45=0,"",VLOOKUP(C76,'FOGLIO DEPOSITO'!N178:Q184,3,FALSE))</f>
        <v>0.35117816040995664</v>
      </c>
      <c r="G108" s="708">
        <f>IF(D45=0,"",2*D43*F108^0.5)</f>
        <v>0</v>
      </c>
      <c r="H108" s="707">
        <f t="shared" si="3"/>
        <v>59.562999999999995</v>
      </c>
      <c r="I108" s="746">
        <f>IF('ANALISI DELLE SPINTE'!D45=0,"",'ANALISI DELLE SPINTE'!H108-'ANALISI DELLE SPINTE'!E108)</f>
        <v>59.562999999999995</v>
      </c>
      <c r="J108" s="708">
        <f>IF(D45=0,"",$D$69)</f>
        <v>0</v>
      </c>
      <c r="K108" s="709">
        <f>IF(D45=0,"",$D$70)</f>
        <v>5</v>
      </c>
      <c r="L108" s="708">
        <f>IF(D45=0,"",'FOGLIO DEPOSITO'!G245/DATI!$E$272)</f>
        <v>21.723589542706566</v>
      </c>
      <c r="M108" s="708">
        <f>IF(D45=0,"",'FOGLIO DEPOSITO'!H245/DATI!$E$273)</f>
        <v>0</v>
      </c>
      <c r="N108" s="709">
        <f>IF(D45=0,"",'FOGLIO DEPOSITO'!I245/DATI!$E$274)</f>
        <v>1.7558908020497832</v>
      </c>
      <c r="O108" s="704">
        <f>IF(D45=0,"",(Y108-W108-X108)/DATI!$E$272)</f>
        <v>0</v>
      </c>
      <c r="P108" s="704">
        <f>IF(D45=0,"",DATI!E61*IF(D45=0,"",M107*(C108-C107))*IF(C76='FOGLIO DEPOSITO'!N181,1+'FOGLIO DEPOSITO'!S188,IF(C76='FOGLIO DEPOSITO'!N182,1-'FOGLIO DEPOSITO'!S188,1)))</f>
        <v>0</v>
      </c>
      <c r="Q108" s="718">
        <f>IF(D45=0,"",DATI!E61*IF(D45=0,"",N107*(C108-C107))*IF(C76='FOGLIO DEPOSITO'!N181,1+'FOGLIO DEPOSITO'!S188,IF(C76='FOGLIO DEPOSITO'!N182,1-'FOGLIO DEPOSITO'!S188,1)))</f>
        <v>0</v>
      </c>
      <c r="R108" s="714">
        <f>IF('ANALISI DELLE SPINTE'!D45=0,"",DATI!E61*(('FOGLIO DEPOSITO'!Q245-'FOGLIO DEPOSITO'!Q244)*('ANALISI DELLE SPINTE'!C108-'ANALISI DELLE SPINTE'!C107)/2*(('ANALISI DELLE SPINTE'!C108-'ANALISI DELLE SPINTE'!C107)*IF('FOGLIO DEPOSITO'!Q245&gt;'FOGLIO DEPOSITO'!Q244,1/3,IF('FOGLIO DEPOSITO'!Q245='FOGLIO DEPOSITO'!Q244,1/2,2/3))+$D$60-'ANALISI DELLE SPINTE'!C108)+'FOGLIO DEPOSITO'!Q244*('ANALISI DELLE SPINTE'!C108-'ANALISI DELLE SPINTE'!C107)*(('ANALISI DELLE SPINTE'!C108-'ANALISI DELLE SPINTE'!C107)/2+$D$60-'ANALISI DELLE SPINTE'!C108))*COS(RADIANS('ANALISI DELLE SPINTE'!D44)))</f>
        <v>0</v>
      </c>
      <c r="S108" s="715">
        <f>IF(D45=0,"",DATI!$E$272)</f>
        <v>1</v>
      </c>
      <c r="T108" s="716">
        <f>IF(D45=0,"",DATI!$E$273)</f>
        <v>1</v>
      </c>
      <c r="U108" s="716">
        <f>IF(D45=0,"",DATI!$E$274)</f>
        <v>1</v>
      </c>
      <c r="V108" s="717">
        <f>IF(D45=0,"",O108*S108)</f>
        <v>0</v>
      </c>
      <c r="W108" s="704">
        <f>IF(D45=0,"",P108*T108)</f>
        <v>0</v>
      </c>
      <c r="X108" s="718">
        <f>IF(D45=0,"",Q108*U108)</f>
        <v>0</v>
      </c>
      <c r="Y108" s="718">
        <f>IF(D45=0,"",DATI!E61*IF(D45=0,"",'FOGLIO DEPOSITO'!K244*(C108-C107)+('FOGLIO DEPOSITO'!K245-'FOGLIO DEPOSITO'!K244)*(C108-C107)/2))</f>
        <v>0</v>
      </c>
      <c r="Z108" s="717">
        <f>IF(D45=0,"",Y108*COS(RADIANS($D$44+IF(DATI!G218="SX",0,'FOGLIO DEPOSITO'!D196))))</f>
        <v>0</v>
      </c>
      <c r="AA108" s="717">
        <f>IF(D45=0,"",Y108*SIN(RADIANS($D$44+IF(DATI!G218="SX",0,'FOGLIO DEPOSITO'!D196))))</f>
        <v>0</v>
      </c>
      <c r="AB108" s="714">
        <f>IF(D45=0,"",DATI!E61*(('FOGLIO DEPOSITO'!K245-'FOGLIO DEPOSITO'!K244)*(C108-C107)/2*((C108-C107)*IF('FOGLIO DEPOSITO'!K245&gt;'FOGLIO DEPOSITO'!K244,1/3,IF('FOGLIO DEPOSITO'!K245='FOGLIO DEPOSITO'!K244,1/2,2/3))+$D$60-C108)+'FOGLIO DEPOSITO'!K244*(C108-C107)*((C108-C107)/2+$D$60-C108))*COS(RADIANS(D44+IF(DATI!G218="SX",0,'FOGLIO DEPOSITO'!D196))))</f>
        <v>0</v>
      </c>
      <c r="AC108" s="366"/>
      <c r="AD108" s="366"/>
      <c r="AE108" s="704"/>
      <c r="AF108" s="704"/>
      <c r="AG108" s="704"/>
      <c r="AH108" s="701"/>
      <c r="AI108" s="366"/>
      <c r="AJ108" s="429"/>
      <c r="AK108" s="24"/>
      <c r="AL108" s="366"/>
      <c r="AM108" s="429"/>
      <c r="AN108" s="429"/>
      <c r="AO108" s="429"/>
      <c r="AP108" s="429"/>
      <c r="AQ108" s="429"/>
      <c r="AR108" s="429"/>
      <c r="AS108" s="429"/>
      <c r="AT108" s="429"/>
      <c r="AU108" s="429"/>
      <c r="AV108" s="429"/>
      <c r="AW108" s="429"/>
      <c r="AX108" s="429"/>
    </row>
    <row r="109" spans="2:50" x14ac:dyDescent="0.25">
      <c r="B109" s="873"/>
      <c r="C109" s="706">
        <f t="shared" si="4"/>
        <v>3.35</v>
      </c>
      <c r="D109" s="657">
        <f t="shared" si="4"/>
        <v>0.51366666666666694</v>
      </c>
      <c r="E109" s="708">
        <f>IF(D45=0,"",IF(D61*(C109-'FOGLIO DEPOSITO'!$C$226)&lt;0,0,$D$61*(C109-'FOGLIO DEPOSITO'!$C$226)))</f>
        <v>0</v>
      </c>
      <c r="F109" s="306">
        <f>IF(D45=0,"",VLOOKUP(C76,'FOGLIO DEPOSITO'!N178:Q184,3,FALSE))</f>
        <v>0.35117816040995664</v>
      </c>
      <c r="G109" s="708">
        <f>IF(D45=0,"",2*D43*F108^0.5)</f>
        <v>0</v>
      </c>
      <c r="H109" s="707">
        <f t="shared" si="3"/>
        <v>69.579499999999996</v>
      </c>
      <c r="I109" s="746">
        <f>IF('ANALISI DELLE SPINTE'!D45=0,"",'ANALISI DELLE SPINTE'!H109-'ANALISI DELLE SPINTE'!E109)</f>
        <v>69.579499999999996</v>
      </c>
      <c r="J109" s="708">
        <f>IF(D45=0,"",$D$69)</f>
        <v>0</v>
      </c>
      <c r="K109" s="709">
        <f>IF(D45=0,"",$D$70)</f>
        <v>5</v>
      </c>
      <c r="L109" s="708">
        <f>IF(D45=0,"",'FOGLIO DEPOSITO'!G246/DATI!$E$272)</f>
        <v>25.376769111474431</v>
      </c>
      <c r="M109" s="708">
        <f>IF(D45=0,"",'FOGLIO DEPOSITO'!H246/DATI!$E$273)</f>
        <v>0</v>
      </c>
      <c r="N109" s="709">
        <f>IF(D45=0,"",'FOGLIO DEPOSITO'!I246/DATI!$E$274)</f>
        <v>1.7558908020497832</v>
      </c>
      <c r="O109" s="704">
        <f>IF(D45=0,"",(Y109-W109-X109)/DATI!$E$272)</f>
        <v>12.062171979727921</v>
      </c>
      <c r="P109" s="704">
        <f>IF(D45=0,"",DATI!E61*IF(D45=0,"",M108*(C109-C108))*IF(C76='FOGLIO DEPOSITO'!N181,1+'FOGLIO DEPOSITO'!S188,IF(C76='FOGLIO DEPOSITO'!N182,1-'FOGLIO DEPOSITO'!S188,1)))</f>
        <v>0</v>
      </c>
      <c r="Q109" s="718">
        <f>IF(D45=0,"",DATI!E61*IF(D45=0,"",N108*(C109-C108))*IF(C76='FOGLIO DEPOSITO'!N181,1+'FOGLIO DEPOSITO'!S188,IF(C76='FOGLIO DEPOSITO'!N182,1-'FOGLIO DEPOSITO'!S188,1)))</f>
        <v>0.93671270994047862</v>
      </c>
      <c r="R109" s="714">
        <f>IF('ANALISI DELLE SPINTE'!D45=0,"",DATI!E61*(('FOGLIO DEPOSITO'!Q246-'FOGLIO DEPOSITO'!Q245)*('ANALISI DELLE SPINTE'!C109-'ANALISI DELLE SPINTE'!C108)/2*(('ANALISI DELLE SPINTE'!C109-'ANALISI DELLE SPINTE'!C108)*IF('FOGLIO DEPOSITO'!Q246&gt;'FOGLIO DEPOSITO'!Q245,1/3,IF('FOGLIO DEPOSITO'!Q246='FOGLIO DEPOSITO'!Q245,1/2,2/3))+$D$60-'ANALISI DELLE SPINTE'!C109)+'FOGLIO DEPOSITO'!Q245*('ANALISI DELLE SPINTE'!C109-'ANALISI DELLE SPINTE'!C108)*(('ANALISI DELLE SPINTE'!C109-'ANALISI DELLE SPINTE'!C108)/2+$D$60-'ANALISI DELLE SPINTE'!C109))*COS(RADIANS('ANALISI DELLE SPINTE'!D44)))</f>
        <v>3.2582215500970433</v>
      </c>
      <c r="S109" s="715">
        <f>IF(D45=0,"",DATI!$E$272)</f>
        <v>1</v>
      </c>
      <c r="T109" s="716">
        <f>IF(D45=0,"",DATI!$E$273)</f>
        <v>1</v>
      </c>
      <c r="U109" s="716">
        <f>IF(D45=0,"",DATI!$E$274)</f>
        <v>1</v>
      </c>
      <c r="V109" s="717">
        <f>IF(D45=0,"",O109*S109)</f>
        <v>12.062171979727921</v>
      </c>
      <c r="W109" s="704">
        <f>IF(D45=0,"",P109*T109)</f>
        <v>0</v>
      </c>
      <c r="X109" s="718">
        <f>IF(D45=0,"",Q109*U109)</f>
        <v>0.93671270994047862</v>
      </c>
      <c r="Y109" s="718">
        <f>IF(D45=0,"",DATI!E61*IF(D45=0,"",'FOGLIO DEPOSITO'!K245*(C109-C108)+('FOGLIO DEPOSITO'!K246-'FOGLIO DEPOSITO'!K245)*(C109-C108)/2))</f>
        <v>12.998884689668399</v>
      </c>
      <c r="Z109" s="717">
        <f>IF(D45=0,"",Y109*COS(RADIANS($D$44+IF(DATI!G218="SX",0,'FOGLIO DEPOSITO'!D196))))</f>
        <v>12.998884689588381</v>
      </c>
      <c r="AA109" s="717">
        <f>IF(D45=0,"",Y109*SIN(RADIANS($D$44+IF(DATI!G218="SX",0,'FOGLIO DEPOSITO'!D196))))</f>
        <v>4.5610121716842787E-5</v>
      </c>
      <c r="AB109" s="714">
        <f>IF(D45=0,"",DATI!E61*(('FOGLIO DEPOSITO'!K246-'FOGLIO DEPOSITO'!K245)*(C109-C108)/2*((C109-C108)*IF('FOGLIO DEPOSITO'!K246&gt;'FOGLIO DEPOSITO'!K245,1/3,IF('FOGLIO DEPOSITO'!K246='FOGLIO DEPOSITO'!K245,1/2,2/3))+$D$60-C109)+'FOGLIO DEPOSITO'!K245*(C109-C108)*((C109-C108)/2+$D$60-C109))*COS(RADIANS(D44+IF(DATI!G218="SX",0,'FOGLIO DEPOSITO'!D196))))</f>
        <v>3.2582215500769864</v>
      </c>
      <c r="AC109" s="366"/>
      <c r="AD109" s="366"/>
      <c r="AE109" s="704"/>
      <c r="AF109" s="704"/>
      <c r="AG109" s="704"/>
      <c r="AH109" s="701"/>
      <c r="AI109" s="366"/>
      <c r="AJ109" s="429"/>
      <c r="AK109" s="24"/>
      <c r="AL109" s="366"/>
      <c r="AM109" s="429"/>
      <c r="AN109" s="429"/>
      <c r="AO109" s="429"/>
      <c r="AP109" s="429"/>
      <c r="AQ109" s="429"/>
      <c r="AR109" s="429"/>
      <c r="AS109" s="429"/>
      <c r="AT109" s="429"/>
      <c r="AU109" s="429"/>
      <c r="AV109" s="429"/>
      <c r="AW109" s="429"/>
      <c r="AX109" s="429"/>
    </row>
    <row r="110" spans="2:50" x14ac:dyDescent="0.25">
      <c r="B110" s="873"/>
      <c r="C110" s="719">
        <f t="shared" si="4"/>
        <v>3.35</v>
      </c>
      <c r="D110" s="720">
        <f t="shared" si="4"/>
        <v>0.51366666666666694</v>
      </c>
      <c r="E110" s="721">
        <f>IF(D45=0,"",IF(D61*(C110-'FOGLIO DEPOSITO'!$C$226)&lt;0,0,$D$61*(C110-'FOGLIO DEPOSITO'!$C$226)))</f>
        <v>0</v>
      </c>
      <c r="F110" s="722">
        <f>IF(D45=0,"",VLOOKUP(C76,'FOGLIO DEPOSITO'!N178:Q184,3,FALSE))</f>
        <v>0.35117816040995664</v>
      </c>
      <c r="G110" s="721">
        <f>IF(D45=0,"",2*D43*F110^0.5)</f>
        <v>0</v>
      </c>
      <c r="H110" s="721">
        <f t="shared" si="3"/>
        <v>69.579499999999996</v>
      </c>
      <c r="I110" s="724">
        <f>IF('ANALISI DELLE SPINTE'!D45=0,"",'ANALISI DELLE SPINTE'!H110-'ANALISI DELLE SPINTE'!E110)</f>
        <v>69.579499999999996</v>
      </c>
      <c r="J110" s="721">
        <f>IF(D45=0,"",$D$69)</f>
        <v>0</v>
      </c>
      <c r="K110" s="723">
        <f>IF(D45=0,"",$D$70)</f>
        <v>5</v>
      </c>
      <c r="L110" s="724">
        <f>IF(D45=0,"",'FOGLIO DEPOSITO'!G247/DATI!$E$272)</f>
        <v>25.376769111474431</v>
      </c>
      <c r="M110" s="721">
        <f>IF(D45=0,"",'FOGLIO DEPOSITO'!H247/DATI!$E$273)</f>
        <v>0</v>
      </c>
      <c r="N110" s="723">
        <f>IF(D45=0,"",'FOGLIO DEPOSITO'!I247/DATI!$E$274)</f>
        <v>1.7558908020497832</v>
      </c>
      <c r="O110" s="725">
        <f>IF(D45=0,"",(Y110-W110-X110)/DATI!$E$272)</f>
        <v>0</v>
      </c>
      <c r="P110" s="726">
        <f>IF(D45=0,"",DATI!E61*IF(D45=0,"",M109*(C110-C109))*IF(C76='FOGLIO DEPOSITO'!N181,1+'FOGLIO DEPOSITO'!S188,IF(C76='FOGLIO DEPOSITO'!N182,1-'FOGLIO DEPOSITO'!S188,1)))</f>
        <v>0</v>
      </c>
      <c r="Q110" s="730">
        <f>IF(D45=0,"",DATI!E61*IF(D45=0,"",N109*(C110-C109))*IF(C76='FOGLIO DEPOSITO'!N181,1+'FOGLIO DEPOSITO'!S188,IF(C76='FOGLIO DEPOSITO'!N182,1-'FOGLIO DEPOSITO'!S188,1)))</f>
        <v>0</v>
      </c>
      <c r="R110" s="727">
        <f>IF('ANALISI DELLE SPINTE'!D45=0,"",DATI!E61*(('FOGLIO DEPOSITO'!Q247-'FOGLIO DEPOSITO'!Q246)*('ANALISI DELLE SPINTE'!C110-'ANALISI DELLE SPINTE'!C109)/2*(('ANALISI DELLE SPINTE'!C110-'ANALISI DELLE SPINTE'!C109)*IF('FOGLIO DEPOSITO'!Q247&gt;'FOGLIO DEPOSITO'!Q246,1/3,IF('FOGLIO DEPOSITO'!Q247='FOGLIO DEPOSITO'!Q246,1/2,2/3))+$D$60-'ANALISI DELLE SPINTE'!C110)+'FOGLIO DEPOSITO'!Q246*('ANALISI DELLE SPINTE'!C110-'ANALISI DELLE SPINTE'!C109)*(('ANALISI DELLE SPINTE'!C110-'ANALISI DELLE SPINTE'!C109)/2+$D$60-'ANALISI DELLE SPINTE'!C110))*COS(RADIANS('ANALISI DELLE SPINTE'!D44)))</f>
        <v>0</v>
      </c>
      <c r="S110" s="728">
        <f>IF(D45=0,"",DATI!$E$272)</f>
        <v>1</v>
      </c>
      <c r="T110" s="729">
        <f>IF(D45=0,"",DATI!$E$273)</f>
        <v>1</v>
      </c>
      <c r="U110" s="729">
        <f>IF(D45=0,"",DATI!$E$274)</f>
        <v>1</v>
      </c>
      <c r="V110" s="725">
        <f>IF(D45=0,"",O110*S110)</f>
        <v>0</v>
      </c>
      <c r="W110" s="726">
        <f>IF(D45=0,"",P110*T110)</f>
        <v>0</v>
      </c>
      <c r="X110" s="730">
        <f>IF(D45=0,"",Q110*U110)</f>
        <v>0</v>
      </c>
      <c r="Y110" s="730">
        <f>IF(D45=0,"",DATI!E61*IF(D45=0,"",'FOGLIO DEPOSITO'!K246*(C110-C109)+('FOGLIO DEPOSITO'!K247-'FOGLIO DEPOSITO'!K246)*(C110-C109)/2))</f>
        <v>0</v>
      </c>
      <c r="Z110" s="725">
        <f>IF(D45=0,"",Y110*COS(RADIANS($D$44+IF(DATI!G218="SX",0,'FOGLIO DEPOSITO'!D196))))</f>
        <v>0</v>
      </c>
      <c r="AA110" s="731">
        <f>IF(D45=0,"",Y110*SIN(RADIANS($D$44+IF(DATI!G218="SX",0,'FOGLIO DEPOSITO'!D196))))</f>
        <v>0</v>
      </c>
      <c r="AB110" s="727">
        <f>IF(D45=0,"",DATI!E61*(('FOGLIO DEPOSITO'!K247-'FOGLIO DEPOSITO'!K246)*(C110-C109)/2*((C110-C109)*IF('FOGLIO DEPOSITO'!K247&gt;'FOGLIO DEPOSITO'!K246,1/3,IF('FOGLIO DEPOSITO'!K247='FOGLIO DEPOSITO'!K246,1/2,2/3))+$D$60-C110)+'FOGLIO DEPOSITO'!K246*(C110-C109)*((C110-C109)/2+$D$60-C110))*COS(RADIANS(D44+IF(DATI!G218="SX",0,'FOGLIO DEPOSITO'!D196))))</f>
        <v>0</v>
      </c>
      <c r="AC110" s="366"/>
      <c r="AD110" s="366"/>
      <c r="AE110" s="704"/>
      <c r="AF110" s="704"/>
      <c r="AG110" s="704"/>
      <c r="AH110" s="704" t="str">
        <f>IF('FOGLIO DEPOSITO'!D247="","",IF(C76="",0,IF(C76='FOGLIO DEPOSITO'!N184,IF('FOGLIO DEPOSITO'!D247=0,'geom masse muro+tensioni'!Q32,'geom masse muro+tensioni'!Q32-D61)*D27*D45*D60,"")))</f>
        <v/>
      </c>
      <c r="AI110" s="366" t="str">
        <f>IF('FOGLIO DEPOSITO'!D247="","",IF(C76='FOGLIO DEPOSITO'!N184,((D59-D45-D38)+D45/2)*AH110,""))</f>
        <v/>
      </c>
      <c r="AJ110" s="429"/>
      <c r="AK110" s="366"/>
      <c r="AL110" s="366"/>
      <c r="AM110" s="429"/>
      <c r="AN110" s="429"/>
      <c r="AO110" s="429"/>
      <c r="AP110" s="429"/>
      <c r="AQ110" s="429"/>
      <c r="AR110" s="429"/>
      <c r="AS110" s="429"/>
      <c r="AT110" s="429"/>
      <c r="AU110" s="429"/>
      <c r="AV110" s="429"/>
      <c r="AW110" s="429"/>
      <c r="AX110" s="429"/>
    </row>
    <row r="111" spans="2:50" x14ac:dyDescent="0.25">
      <c r="B111" s="873" t="str">
        <f>B94</f>
        <v/>
      </c>
      <c r="C111" s="706" t="str">
        <f t="shared" si="4"/>
        <v/>
      </c>
      <c r="D111" s="657" t="str">
        <f t="shared" si="4"/>
        <v/>
      </c>
      <c r="E111" s="708" t="str">
        <f>IF(D52=0,"",IF(D61*(C111-'FOGLIO DEPOSITO'!$C$226)&lt;0,0,$D$61*(C111-'FOGLIO DEPOSITO'!$C$226)))</f>
        <v/>
      </c>
      <c r="F111" s="306" t="str">
        <f>IF(D52=0,"",VLOOKUP(C76,'FOGLIO DEPOSITO'!N178:Q184,4,FALSE))</f>
        <v/>
      </c>
      <c r="G111" s="708" t="str">
        <f>IF(D52=0,"",2*D50*F111^0.5)</f>
        <v/>
      </c>
      <c r="H111" s="707" t="str">
        <f t="shared" si="3"/>
        <v/>
      </c>
      <c r="I111" s="746" t="str">
        <f>IF('ANALISI DELLE SPINTE'!D52=0,"",'ANALISI DELLE SPINTE'!H111-'ANALISI DELLE SPINTE'!E111)</f>
        <v/>
      </c>
      <c r="J111" s="708" t="str">
        <f>IF(D52=0,"",$D$69)</f>
        <v/>
      </c>
      <c r="K111" s="709" t="str">
        <f>IF(D52=0,"",$D$70)</f>
        <v/>
      </c>
      <c r="L111" s="708" t="str">
        <f>IF(D52=0,"",'FOGLIO DEPOSITO'!G248/DATI!$E$272)</f>
        <v/>
      </c>
      <c r="M111" s="708" t="str">
        <f>IF(D52=0,"",'FOGLIO DEPOSITO'!H248/DATI!$E$273)</f>
        <v/>
      </c>
      <c r="N111" s="709" t="str">
        <f>IF(D52=0,"",'FOGLIO DEPOSITO'!I248/DATI!$E$274)</f>
        <v/>
      </c>
      <c r="O111" s="704" t="str">
        <f>IF(D52=0,"",(Y111-W111-X111)/DATI!$E$272)</f>
        <v/>
      </c>
      <c r="P111" s="704" t="str">
        <f>IF(D52=0,"",DATI!E61*IF(D52=0,"",M110*(C111-C110))*IF(C76='FOGLIO DEPOSITO'!N181,1+'FOGLIO DEPOSITO'!S188,IF(C76='FOGLIO DEPOSITO'!N182,1-'FOGLIO DEPOSITO'!S188,1)))</f>
        <v/>
      </c>
      <c r="Q111" s="718" t="str">
        <f>IF(D52=0,"",DATI!E61*IF(D52=0,"",N110*(C111-C110))*IF(C76='FOGLIO DEPOSITO'!N181,1+'FOGLIO DEPOSITO'!S188,IF(C76='FOGLIO DEPOSITO'!N182,1-'FOGLIO DEPOSITO'!S188,1)))</f>
        <v/>
      </c>
      <c r="R111" s="714" t="str">
        <f>IF('ANALISI DELLE SPINTE'!D52=0,"",DATI!E61*(('FOGLIO DEPOSITO'!Q248-'FOGLIO DEPOSITO'!Q247)*('ANALISI DELLE SPINTE'!C111-'ANALISI DELLE SPINTE'!C110)/2*(('ANALISI DELLE SPINTE'!C111-'ANALISI DELLE SPINTE'!C110)*IF('FOGLIO DEPOSITO'!Q248&gt;'FOGLIO DEPOSITO'!Q247,1/3,IF('FOGLIO DEPOSITO'!Q248='FOGLIO DEPOSITO'!Q247,1/2,2/3))+$D$60-'ANALISI DELLE SPINTE'!C111)+'FOGLIO DEPOSITO'!Q247*('ANALISI DELLE SPINTE'!C111-'ANALISI DELLE SPINTE'!C110)*(('ANALISI DELLE SPINTE'!C111-'ANALISI DELLE SPINTE'!C110)/2+$D$60-'ANALISI DELLE SPINTE'!C111))*COS(RADIANS('ANALISI DELLE SPINTE'!D51)))</f>
        <v/>
      </c>
      <c r="S111" s="715" t="str">
        <f>IF(D52=0,"",DATI!$E$272)</f>
        <v/>
      </c>
      <c r="T111" s="716" t="str">
        <f>IF(D52=0,"",DATI!$E$273)</f>
        <v/>
      </c>
      <c r="U111" s="716" t="str">
        <f>IF(D52=0,"",DATI!$E$274)</f>
        <v/>
      </c>
      <c r="V111" s="717" t="str">
        <f>IF(D52=0,"",O111*S111)</f>
        <v/>
      </c>
      <c r="W111" s="704" t="str">
        <f>IF(D52=0,"",P111*T111)</f>
        <v/>
      </c>
      <c r="X111" s="718" t="str">
        <f>IF(D52=0,"",Q111*U111)</f>
        <v/>
      </c>
      <c r="Y111" s="718" t="str">
        <f>IF(D52=0,"",DATI!E61*IF(D52=0,"",'FOGLIO DEPOSITO'!K247*(C111-C110)+('FOGLIO DEPOSITO'!K248-'FOGLIO DEPOSITO'!K247)*(C111-C110)/2))</f>
        <v/>
      </c>
      <c r="Z111" s="717" t="str">
        <f>IF(D52=0,"",Y111*COS(RADIANS($D$51+IF(DATI!G218="SX",0,'FOGLIO DEPOSITO'!D196))))</f>
        <v/>
      </c>
      <c r="AA111" s="717" t="str">
        <f>IF(D52=0,"",Y111*SIN(RADIANS($D$51+IF(DATI!G218="SX",0,'FOGLIO DEPOSITO'!D196))))</f>
        <v/>
      </c>
      <c r="AB111" s="714" t="str">
        <f>IF(D52=0,"",DATI!E61*(('FOGLIO DEPOSITO'!K248-'FOGLIO DEPOSITO'!K247)*(C111-C110)/2*((C111-C110)*IF('FOGLIO DEPOSITO'!K248&gt;'FOGLIO DEPOSITO'!K247,1/3,IF('FOGLIO DEPOSITO'!K248='FOGLIO DEPOSITO'!K247,1/2,2/3))+$D$60-C111)+'FOGLIO DEPOSITO'!K247*(C111-C110)*((C111-C110)/2+$D$60-C111))*COS(RADIANS(D51+IF(DATI!G218="SX",0,'FOGLIO DEPOSITO'!D196))))</f>
        <v/>
      </c>
      <c r="AC111" s="366"/>
      <c r="AD111" s="366"/>
      <c r="AE111" s="704"/>
      <c r="AF111" s="704"/>
      <c r="AG111" s="704"/>
      <c r="AH111" s="429"/>
      <c r="AI111" s="366"/>
      <c r="AJ111" s="429"/>
      <c r="AK111" s="366"/>
      <c r="AL111" s="366"/>
      <c r="AM111" s="429"/>
      <c r="AN111" s="429"/>
      <c r="AO111" s="429"/>
      <c r="AP111" s="429"/>
      <c r="AQ111" s="429"/>
      <c r="AR111" s="429"/>
      <c r="AS111" s="429"/>
      <c r="AT111" s="429"/>
      <c r="AU111" s="429"/>
      <c r="AV111" s="429"/>
      <c r="AW111" s="429"/>
      <c r="AX111" s="429"/>
    </row>
    <row r="112" spans="2:50" x14ac:dyDescent="0.25">
      <c r="B112" s="873"/>
      <c r="C112" s="706" t="str">
        <f t="shared" si="4"/>
        <v/>
      </c>
      <c r="D112" s="657" t="str">
        <f t="shared" si="4"/>
        <v/>
      </c>
      <c r="E112" s="708" t="str">
        <f>IF(D52=0,"",IF(D61*(C112-'FOGLIO DEPOSITO'!$C$226)&lt;0,0,$D$61*(C112-'FOGLIO DEPOSITO'!$C$226)))</f>
        <v/>
      </c>
      <c r="F112" s="306" t="str">
        <f>IF(D52=0,"",VLOOKUP(C76,'FOGLIO DEPOSITO'!N178:Q184,4,FALSE))</f>
        <v/>
      </c>
      <c r="G112" s="708" t="str">
        <f>IF(D52=0,"",2*D50*F111^0.5)</f>
        <v/>
      </c>
      <c r="H112" s="707" t="str">
        <f t="shared" si="3"/>
        <v/>
      </c>
      <c r="I112" s="746" t="str">
        <f>IF('ANALISI DELLE SPINTE'!D52=0,"",'ANALISI DELLE SPINTE'!H112-'ANALISI DELLE SPINTE'!E112)</f>
        <v/>
      </c>
      <c r="J112" s="708" t="str">
        <f>IF(D52=0,"",$D$69)</f>
        <v/>
      </c>
      <c r="K112" s="709" t="str">
        <f>IF(D52=0,"",$D$70)</f>
        <v/>
      </c>
      <c r="L112" s="708" t="str">
        <f>IF(D52=0,"",'FOGLIO DEPOSITO'!G249/DATI!$E$272)</f>
        <v/>
      </c>
      <c r="M112" s="708" t="str">
        <f>IF(D52=0,"",'FOGLIO DEPOSITO'!H249/DATI!$E$273)</f>
        <v/>
      </c>
      <c r="N112" s="709" t="str">
        <f>IF(D52=0,"",'FOGLIO DEPOSITO'!I249/DATI!$E$274)</f>
        <v/>
      </c>
      <c r="O112" s="704" t="str">
        <f>IF(D52=0,"",(Y112-W112-X112)/DATI!$E$272)</f>
        <v/>
      </c>
      <c r="P112" s="704" t="str">
        <f>IF(D52=0,"",DATI!E61*IF(D52=0,"",M111*(C112-C111))*IF(C76='FOGLIO DEPOSITO'!N181,1+'FOGLIO DEPOSITO'!S188,IF(C76='FOGLIO DEPOSITO'!N182,1-'FOGLIO DEPOSITO'!S188,1)))</f>
        <v/>
      </c>
      <c r="Q112" s="718" t="str">
        <f>IF(D52=0,"",DATI!E61*IF(D52=0,"",N111*(C112-C111))*IF(C76='FOGLIO DEPOSITO'!N181,1+'FOGLIO DEPOSITO'!S188,IF(C76='FOGLIO DEPOSITO'!N182,1-'FOGLIO DEPOSITO'!S188,1)))</f>
        <v/>
      </c>
      <c r="R112" s="714" t="str">
        <f>IF('ANALISI DELLE SPINTE'!D52=0,"",DATI!E61*(('FOGLIO DEPOSITO'!Q249-'FOGLIO DEPOSITO'!Q248)*('ANALISI DELLE SPINTE'!C112-'ANALISI DELLE SPINTE'!C111)/2*(('ANALISI DELLE SPINTE'!C112-'ANALISI DELLE SPINTE'!C111)*IF('FOGLIO DEPOSITO'!Q249&gt;'FOGLIO DEPOSITO'!Q248,1/3,IF('FOGLIO DEPOSITO'!Q249='FOGLIO DEPOSITO'!Q248,1/2,2/3))+$D$60-'ANALISI DELLE SPINTE'!C112)+'FOGLIO DEPOSITO'!Q248*('ANALISI DELLE SPINTE'!C112-'ANALISI DELLE SPINTE'!C111)*(('ANALISI DELLE SPINTE'!C112-'ANALISI DELLE SPINTE'!C111)/2+$D$60-'ANALISI DELLE SPINTE'!C112))*COS(RADIANS('ANALISI DELLE SPINTE'!D51)))</f>
        <v/>
      </c>
      <c r="S112" s="715" t="str">
        <f>IF(D52=0,"",DATI!$E$272)</f>
        <v/>
      </c>
      <c r="T112" s="716" t="str">
        <f>IF(D52=0,"",DATI!$E$273)</f>
        <v/>
      </c>
      <c r="U112" s="716" t="str">
        <f>IF(D52=0,"",DATI!$E$274)</f>
        <v/>
      </c>
      <c r="V112" s="717" t="str">
        <f>IF(D52=0,"",O112*S112)</f>
        <v/>
      </c>
      <c r="W112" s="704" t="str">
        <f>IF(D52=0,"",P112*T112)</f>
        <v/>
      </c>
      <c r="X112" s="718" t="str">
        <f>IF(D52=0,"",Q112*U112)</f>
        <v/>
      </c>
      <c r="Y112" s="718" t="str">
        <f>IF(D52=0,"",DATI!E61*IF(D52=0,"",'FOGLIO DEPOSITO'!K248*(C112-C111)+('FOGLIO DEPOSITO'!K249-'FOGLIO DEPOSITO'!K248)*(C112-C111)/2))</f>
        <v/>
      </c>
      <c r="Z112" s="717" t="str">
        <f>IF(D52=0,"",Y112*COS(RADIANS($D$51+IF(DATI!G218="SX",0,'FOGLIO DEPOSITO'!D196))))</f>
        <v/>
      </c>
      <c r="AA112" s="717" t="str">
        <f>IF(D52=0,"",Y112*SIN(RADIANS($D$51+IF(DATI!G218="SX",0,'FOGLIO DEPOSITO'!D196))))</f>
        <v/>
      </c>
      <c r="AB112" s="714" t="str">
        <f>IF(D52=0,"",DATI!E61*(('FOGLIO DEPOSITO'!K249-'FOGLIO DEPOSITO'!K248)*(C112-C111)/2*((C112-C111)*IF('FOGLIO DEPOSITO'!K249&gt;'FOGLIO DEPOSITO'!K248,1/3,IF('FOGLIO DEPOSITO'!K249='FOGLIO DEPOSITO'!K248,1/2,2/3))+$D$60-C112)+'FOGLIO DEPOSITO'!K248*(C112-C111)*((C112-C111)/2+$D$60-C112))*COS(RADIANS(D51+IF(DATI!G218="SX",0,'FOGLIO DEPOSITO'!D196))))</f>
        <v/>
      </c>
      <c r="AC112" s="366"/>
      <c r="AD112" s="366"/>
      <c r="AE112" s="704"/>
      <c r="AF112" s="704"/>
      <c r="AG112" s="704"/>
      <c r="AH112" s="429"/>
      <c r="AI112" s="366"/>
      <c r="AJ112" s="429"/>
      <c r="AK112" s="366"/>
      <c r="AL112" s="366"/>
      <c r="AM112" s="429"/>
      <c r="AN112" s="429"/>
      <c r="AO112" s="429"/>
      <c r="AP112" s="429"/>
      <c r="AQ112" s="429"/>
      <c r="AR112" s="429"/>
      <c r="AS112" s="429"/>
      <c r="AT112" s="429"/>
      <c r="AU112" s="429"/>
      <c r="AV112" s="429"/>
      <c r="AW112" s="429"/>
      <c r="AX112" s="429"/>
    </row>
    <row r="113" spans="2:50" x14ac:dyDescent="0.25">
      <c r="B113" s="873"/>
      <c r="C113" s="719" t="str">
        <f t="shared" si="4"/>
        <v/>
      </c>
      <c r="D113" s="720" t="str">
        <f t="shared" si="4"/>
        <v/>
      </c>
      <c r="E113" s="721" t="str">
        <f>IF(D52=0,"",IF(D61*(C113-'FOGLIO DEPOSITO'!$C$226)&lt;0,0,$D$61*(C113-'FOGLIO DEPOSITO'!$C$226)))</f>
        <v/>
      </c>
      <c r="F113" s="722" t="str">
        <f>IF(D52=0,"",VLOOKUP(C76,'FOGLIO DEPOSITO'!N178:Q184,4,FALSE))</f>
        <v/>
      </c>
      <c r="G113" s="721" t="str">
        <f>IF(D52=0,"",2*D50*F113^0.5)</f>
        <v/>
      </c>
      <c r="H113" s="721" t="str">
        <f t="shared" si="3"/>
        <v/>
      </c>
      <c r="I113" s="724" t="str">
        <f>IF('ANALISI DELLE SPINTE'!D52=0,"",'ANALISI DELLE SPINTE'!H113-'ANALISI DELLE SPINTE'!E113)</f>
        <v/>
      </c>
      <c r="J113" s="721" t="str">
        <f>IF(D52=0,"",$D$69)</f>
        <v/>
      </c>
      <c r="K113" s="723" t="str">
        <f>IF(D52=0,"",$D$70)</f>
        <v/>
      </c>
      <c r="L113" s="724" t="str">
        <f>IF(D52=0,"",'FOGLIO DEPOSITO'!G250/DATI!$E$272)</f>
        <v/>
      </c>
      <c r="M113" s="721" t="str">
        <f>IF(D52=0,"",'FOGLIO DEPOSITO'!H250/DATI!$E$273)</f>
        <v/>
      </c>
      <c r="N113" s="723" t="str">
        <f>IF(D52=0,"",'FOGLIO DEPOSITO'!I250/DATI!$E$274)</f>
        <v/>
      </c>
      <c r="O113" s="725" t="str">
        <f>IF(D52=0,"",(Y113-W113-X113)/DATI!$E$272)</f>
        <v/>
      </c>
      <c r="P113" s="726" t="str">
        <f>IF(D52=0,"",DATI!E61*IF(D52=0,"",M112*(C113-C112))*IF(C76='FOGLIO DEPOSITO'!N181,1+'FOGLIO DEPOSITO'!S188,IF(C76='FOGLIO DEPOSITO'!N182,1-'FOGLIO DEPOSITO'!S188,1)))</f>
        <v/>
      </c>
      <c r="Q113" s="730" t="str">
        <f>IF(D52=0,"",DATI!E61*IF(D52=0,"",N112*(C113-C112))*IF(C76='FOGLIO DEPOSITO'!N181,1+'FOGLIO DEPOSITO'!S188,IF(C76='FOGLIO DEPOSITO'!N182,1-'FOGLIO DEPOSITO'!S188,1)))</f>
        <v/>
      </c>
      <c r="R113" s="727" t="str">
        <f>IF('ANALISI DELLE SPINTE'!D52=0,"",DATI!E61*(('FOGLIO DEPOSITO'!Q250-'FOGLIO DEPOSITO'!Q249)*('ANALISI DELLE SPINTE'!C113-'ANALISI DELLE SPINTE'!C112)/2*(('ANALISI DELLE SPINTE'!C113-'ANALISI DELLE SPINTE'!C112)*IF('FOGLIO DEPOSITO'!Q250&gt;'FOGLIO DEPOSITO'!Q249,1/3,IF('FOGLIO DEPOSITO'!Q250='FOGLIO DEPOSITO'!Q249,1/2,2/3))+$D$60-'ANALISI DELLE SPINTE'!C113)+'FOGLIO DEPOSITO'!Q249*('ANALISI DELLE SPINTE'!C113-'ANALISI DELLE SPINTE'!C112)*(('ANALISI DELLE SPINTE'!C113-'ANALISI DELLE SPINTE'!C112)/2+$D$60-'ANALISI DELLE SPINTE'!C113))*COS(RADIANS('ANALISI DELLE SPINTE'!D51)))</f>
        <v/>
      </c>
      <c r="S113" s="728" t="str">
        <f>IF(D52=0,"",DATI!$E$272)</f>
        <v/>
      </c>
      <c r="T113" s="729" t="str">
        <f>IF(D52=0,"",DATI!$E$273)</f>
        <v/>
      </c>
      <c r="U113" s="729" t="str">
        <f>IF(D52=0,"",DATI!$E$274)</f>
        <v/>
      </c>
      <c r="V113" s="725" t="str">
        <f>IF(D52=0,"",O113*S113)</f>
        <v/>
      </c>
      <c r="W113" s="726" t="str">
        <f>IF(D52=0,"",P113*T113)</f>
        <v/>
      </c>
      <c r="X113" s="730" t="str">
        <f>IF(D52=0,"",Q113*U113)</f>
        <v/>
      </c>
      <c r="Y113" s="730" t="str">
        <f>IF(D52=0,"",DATI!E61*IF(D52=0,"",'FOGLIO DEPOSITO'!K249*(C113-C112)+('FOGLIO DEPOSITO'!K250-'FOGLIO DEPOSITO'!K249)*(C113-C112)/2))</f>
        <v/>
      </c>
      <c r="Z113" s="725" t="str">
        <f>IF(D52=0,"",Y113*COS(RADIANS($D$51+IF(DATI!G218="SX",0,'FOGLIO DEPOSITO'!D196))))</f>
        <v/>
      </c>
      <c r="AA113" s="731" t="str">
        <f>IF(D52=0,"",Y113*SIN(RADIANS($D$51+IF(DATI!G218="SX",0,'FOGLIO DEPOSITO'!D196))))</f>
        <v/>
      </c>
      <c r="AB113" s="727" t="str">
        <f>IF(D52=0,"",DATI!E61*(('FOGLIO DEPOSITO'!K250-'FOGLIO DEPOSITO'!K249)*(C113-C112)/2*((C113-C112)*IF('FOGLIO DEPOSITO'!K250&gt;'FOGLIO DEPOSITO'!K249,1/3,IF('FOGLIO DEPOSITO'!K250='FOGLIO DEPOSITO'!K249,1/2,2/3))+$D$60-C113)+'FOGLIO DEPOSITO'!K249*(C113-C112)*((C113-C112)/2+$D$60-C113))*COS(RADIANS(D51+IF(DATI!G218="SX",0,'FOGLIO DEPOSITO'!D196))))</f>
        <v/>
      </c>
      <c r="AC113" s="429"/>
      <c r="AD113" s="429"/>
      <c r="AE113" s="704"/>
      <c r="AF113" s="704"/>
      <c r="AG113" s="657">
        <f>IF(C76='FOGLIO DEPOSITO'!N184,IF(M76="",0,DATI!E272*'VER. EQU COND. NON DRENATE'!C81),IF(C76='FOGLIO DEPOSITO'!N181,IF(M76="",0,DATI!E272*'VER. EQU COND. NON DRENATE'!C81),IF('ANALISI DELLE SPINTE'!C76='FOGLIO DEPOSITO'!N182,IF(M76="",0,DATI!E272*'VER. EQU COND. NON DRENATE'!C81),"")))</f>
        <v>1.606076687939058</v>
      </c>
      <c r="AH113" s="704" t="str">
        <f>IF('FOGLIO DEPOSITO'!D250="","",IF(C76='FOGLIO DEPOSITO'!N184,IF('FOGLIO DEPOSITO'!D250=0,'geom masse muro+tensioni'!Q32,'geom masse muro+tensioni'!Q32-D61)*D27*D52*D60,""))</f>
        <v/>
      </c>
      <c r="AI113" s="366" t="str">
        <f>IF('FOGLIO DEPOSITO'!D250="","",IF(C76='FOGLIO DEPOSITO'!N184,D52/2*AH113,""))</f>
        <v/>
      </c>
      <c r="AJ113" s="429"/>
      <c r="AK113" s="366"/>
      <c r="AL113" s="366"/>
      <c r="AM113" s="429"/>
      <c r="AN113" s="429"/>
      <c r="AO113" s="429"/>
      <c r="AP113" s="429"/>
      <c r="AQ113" s="429"/>
      <c r="AR113" s="429"/>
      <c r="AS113" s="429"/>
      <c r="AT113" s="429"/>
      <c r="AU113" s="429"/>
      <c r="AV113" s="429"/>
      <c r="AW113" s="429"/>
      <c r="AX113" s="429"/>
    </row>
    <row r="114" spans="2:50" x14ac:dyDescent="0.25">
      <c r="B114" s="733"/>
      <c r="C114" s="657"/>
      <c r="D114" s="657"/>
      <c r="E114" s="708"/>
      <c r="F114" s="306"/>
      <c r="G114" s="708"/>
      <c r="H114" s="708"/>
      <c r="I114" s="708"/>
      <c r="J114" s="708"/>
      <c r="K114" s="708"/>
      <c r="L114" s="708"/>
      <c r="M114" s="708"/>
      <c r="N114" s="708"/>
      <c r="O114" s="697">
        <f>SUM(O105:O113)</f>
        <v>39.277673624311731</v>
      </c>
      <c r="P114" s="697">
        <f>SUM(P105:P113)</f>
        <v>0</v>
      </c>
      <c r="Q114" s="697">
        <f>SUM(Q105:Q113)</f>
        <v>5.5345621582414228</v>
      </c>
      <c r="R114" s="748">
        <f>SUM(R105:R113)</f>
        <v>51.770262179601758</v>
      </c>
      <c r="S114" s="736"/>
      <c r="T114" s="736"/>
      <c r="U114" s="736"/>
      <c r="V114" s="736"/>
      <c r="W114" s="736"/>
      <c r="X114" s="736"/>
      <c r="Y114" s="697">
        <f>SUM(Y105:Y113)</f>
        <v>44.812235782553159</v>
      </c>
      <c r="Z114" s="697">
        <f>SUM(Z105:Z113)</f>
        <v>44.812235782277305</v>
      </c>
      <c r="AA114" s="697">
        <f>SUM(AA105:AA113)</f>
        <v>1.5723591502204846E-4</v>
      </c>
      <c r="AB114" s="748">
        <f>SUM(AB105:AB113)</f>
        <v>51.77026217928308</v>
      </c>
      <c r="AC114" s="697">
        <f>IF(C76='FOGLIO DEPOSITO'!N184,K76,IF(C76='FOGLIO DEPOSITO'!N181,K76,IF('ANALISI DELLE SPINTE'!C76='FOGLIO DEPOSITO'!N182,K76,"")))</f>
        <v>0</v>
      </c>
      <c r="AD114" s="697">
        <f>IF(C76='FOGLIO DEPOSITO'!N184,IF(M76="",0,L76*DATI!E272),IF(C76='FOGLIO DEPOSITO'!N181,IF(M76="",0,L76*DATI!E272),IF('ANALISI DELLE SPINTE'!C76='FOGLIO DEPOSITO'!N182,IF(M76="",0,L76*DATI!E272),"")))</f>
        <v>9.8724205546860517</v>
      </c>
      <c r="AE114" s="697">
        <f>IF(C76='FOGLIO DEPOSITO'!N184,IF(M76="",0,M76*DATI!E272),IF(C76='FOGLIO DEPOSITO'!N181,IF(M76="",0,M76*DATI!E272),IF('ANALISI DELLE SPINTE'!C76='FOGLIO DEPOSITO'!N182,IF(M76="",0,M76*DATI!E272),"")))</f>
        <v>4.9362102773430259</v>
      </c>
      <c r="AF114" s="735">
        <f>IF(C76='FOGLIO DEPOSITO'!N184,(AC97)*DATI!G216/2,IF(C76='FOGLIO DEPOSITO'!N181,(AC97)*DATI!G216/2,IF('ANALISI DELLE SPINTE'!C76='FOGLIO DEPOSITO'!N182,(AC97)*DATI!G216/2,"")))</f>
        <v>0</v>
      </c>
      <c r="AG114" s="735">
        <f>IF(C76='FOGLIO DEPOSITO'!N184,IF(M76="",0,L76*DATI!E272*'VER. EQU COND. NON DRENATE'!C81),IF(C76='FOGLIO DEPOSITO'!N181,IF(M76="",0,L76*DATI!E272*'VER. EQU COND. NON DRENATE'!C81),IF('ANALISI DELLE SPINTE'!C76='FOGLIO DEPOSITO'!N182,IF(M76="",0,L76*DATI!E272*'VER. EQU COND. NON DRENATE'!C81),"")))</f>
        <v>15.855864506411653</v>
      </c>
      <c r="AH114" s="738" t="str">
        <f>IF(C76='FOGLIO DEPOSITO'!N184,SUM(AH107:AH113),"")</f>
        <v/>
      </c>
      <c r="AI114" s="738" t="str">
        <f>IF(C76='FOGLIO DEPOSITO'!N184,SUM(AI107:AI113),"")</f>
        <v/>
      </c>
      <c r="AJ114" s="429"/>
      <c r="AK114" s="366"/>
      <c r="AL114" s="366"/>
      <c r="AM114" s="429"/>
      <c r="AN114" s="429"/>
      <c r="AO114" s="429"/>
      <c r="AP114" s="429"/>
      <c r="AQ114" s="429"/>
      <c r="AR114" s="429"/>
      <c r="AS114" s="429"/>
      <c r="AT114" s="429"/>
      <c r="AU114" s="429"/>
      <c r="AV114" s="429"/>
      <c r="AW114" s="429"/>
      <c r="AX114" s="429"/>
    </row>
    <row r="115" spans="2:50" ht="15.75" thickBot="1" x14ac:dyDescent="0.3">
      <c r="B115" s="880" t="s">
        <v>491</v>
      </c>
      <c r="C115" s="880"/>
      <c r="D115" s="732"/>
      <c r="E115" s="732"/>
      <c r="F115" s="640"/>
      <c r="G115" s="640"/>
      <c r="H115" s="640"/>
      <c r="I115" s="640"/>
      <c r="J115" s="640"/>
      <c r="K115" s="640"/>
      <c r="L115" s="640"/>
      <c r="M115" s="429"/>
      <c r="N115" s="429"/>
      <c r="O115" s="429"/>
      <c r="P115" s="429"/>
      <c r="Q115" s="429"/>
      <c r="R115" s="429"/>
      <c r="S115" s="429"/>
      <c r="T115" s="429"/>
      <c r="U115" s="429"/>
      <c r="V115" s="429"/>
      <c r="W115" s="429"/>
      <c r="X115" s="429"/>
      <c r="Y115" s="697"/>
      <c r="Z115" s="697"/>
      <c r="AA115" s="697"/>
      <c r="AB115" s="735"/>
      <c r="AC115" s="429"/>
      <c r="AD115" s="429"/>
      <c r="AE115" s="429"/>
      <c r="AF115" s="429"/>
      <c r="AG115" s="429"/>
      <c r="AH115" s="697"/>
      <c r="AI115" s="24"/>
      <c r="AJ115" s="366"/>
      <c r="AK115" s="366"/>
      <c r="AL115" s="366"/>
      <c r="AM115" s="429"/>
      <c r="AN115" s="429"/>
      <c r="AO115" s="429"/>
      <c r="AP115" s="429"/>
      <c r="AQ115" s="429"/>
      <c r="AR115" s="429"/>
      <c r="AS115" s="429"/>
      <c r="AT115" s="429"/>
      <c r="AU115" s="429"/>
      <c r="AV115" s="429"/>
      <c r="AW115" s="429"/>
      <c r="AX115" s="429"/>
    </row>
    <row r="116" spans="2:50" ht="16.5" customHeight="1" x14ac:dyDescent="0.25">
      <c r="B116" s="635" t="s">
        <v>504</v>
      </c>
      <c r="C116" s="739">
        <f>SUM('FOGLIO DEPOSITO'!AM176:AM184)</f>
        <v>0</v>
      </c>
      <c r="D116" s="732"/>
      <c r="E116" s="732"/>
      <c r="F116" s="640"/>
      <c r="G116" s="640"/>
      <c r="H116" s="640"/>
      <c r="I116" s="640"/>
      <c r="J116" s="640"/>
      <c r="K116" s="640"/>
      <c r="L116" s="640"/>
      <c r="M116" s="429"/>
      <c r="N116" s="429"/>
      <c r="O116" s="429"/>
      <c r="P116" s="429"/>
      <c r="Q116" s="429"/>
      <c r="R116" s="429"/>
      <c r="S116" s="429"/>
      <c r="T116" s="429"/>
      <c r="U116" s="429"/>
      <c r="V116" s="892" t="str">
        <f>IF(C76='FOGLIO DEPOSITO'!N184,"  Sono state aggiunte la spinta dinamica dell'acqua e le forze d'inerzia ;         i ΔP,i di Wood sono considerati in Sh,x →
",IF(C76='FOGLIO DEPOSITO'!N181,"  Sono state aggiunte la spinta dinamica dell'acqua e le forze d'inerzia →
",IF('ANALISI DELLE SPINTE'!C76='FOGLIO DEPOSITO'!N182,"Sono state aggiunte la spinta dinamica dell'acqua e le forze d'inerzia →","")))</f>
        <v xml:space="preserve">  Sono state aggiunte la spinta dinamica dell'acqua e le forze d'inerzia →
</v>
      </c>
      <c r="W116" s="892"/>
      <c r="X116" s="892"/>
      <c r="Y116" s="892"/>
      <c r="Z116" s="893"/>
      <c r="AA116" s="740" t="s">
        <v>745</v>
      </c>
      <c r="AB116" s="741">
        <f>SUM(Z105:Z113)+IF(M76="",0,AC114)+IF(M76="",0,L76*DATI!E272)</f>
        <v>54.684656336963357</v>
      </c>
      <c r="AC116" s="697"/>
      <c r="AD116" s="697"/>
      <c r="AE116" s="697"/>
      <c r="AF116" s="697"/>
      <c r="AG116" s="697"/>
      <c r="AH116" s="697"/>
      <c r="AI116" s="24"/>
      <c r="AJ116" s="366"/>
      <c r="AK116" s="366"/>
      <c r="AL116" s="366"/>
      <c r="AM116" s="429"/>
      <c r="AN116" s="429"/>
      <c r="AO116" s="429"/>
      <c r="AP116" s="429"/>
      <c r="AQ116" s="429"/>
      <c r="AR116" s="429"/>
      <c r="AS116" s="429"/>
      <c r="AT116" s="429"/>
      <c r="AU116" s="429"/>
      <c r="AV116" s="429"/>
      <c r="AW116" s="429"/>
      <c r="AX116" s="429"/>
    </row>
    <row r="117" spans="2:50" ht="16.5" customHeight="1" thickBot="1" x14ac:dyDescent="0.3">
      <c r="B117" s="635" t="s">
        <v>505</v>
      </c>
      <c r="C117" s="742">
        <f>C116*D61</f>
        <v>0</v>
      </c>
      <c r="D117" s="732"/>
      <c r="E117" s="732"/>
      <c r="F117" s="640"/>
      <c r="G117" s="640"/>
      <c r="H117" s="640"/>
      <c r="I117" s="640"/>
      <c r="J117" s="640"/>
      <c r="K117" s="640"/>
      <c r="L117" s="640"/>
      <c r="M117" s="429"/>
      <c r="N117" s="429"/>
      <c r="O117" s="429"/>
      <c r="P117" s="429"/>
      <c r="Q117" s="470" t="s">
        <v>831</v>
      </c>
      <c r="R117" s="743">
        <f>AB117-AB114+R114</f>
        <v>67.626126686013407</v>
      </c>
      <c r="S117" s="429"/>
      <c r="T117" s="429"/>
      <c r="U117" s="429"/>
      <c r="V117" s="892"/>
      <c r="W117" s="892"/>
      <c r="X117" s="892"/>
      <c r="Y117" s="892"/>
      <c r="Z117" s="893"/>
      <c r="AA117" s="470" t="s">
        <v>744</v>
      </c>
      <c r="AB117" s="743">
        <f>SUM(AB105:AB113)+IF(M76="",0,(AC114)*DATI!G216/2)+IF(M76="",0,L76*DATI!E272)*'VER. EQU COND. NON DRENATE'!C81</f>
        <v>67.626126685694729</v>
      </c>
      <c r="AC117" s="697"/>
      <c r="AD117" s="697"/>
      <c r="AE117" s="697"/>
      <c r="AF117" s="697"/>
      <c r="AG117" s="697"/>
      <c r="AH117" s="697"/>
      <c r="AI117" s="24"/>
      <c r="AJ117" s="366"/>
      <c r="AK117" s="366"/>
      <c r="AL117" s="366"/>
      <c r="AM117" s="429"/>
      <c r="AN117" s="429"/>
      <c r="AO117" s="429"/>
      <c r="AP117" s="429"/>
      <c r="AQ117" s="429"/>
      <c r="AR117" s="429"/>
      <c r="AS117" s="429"/>
      <c r="AT117" s="429"/>
      <c r="AU117" s="429"/>
      <c r="AV117" s="429"/>
      <c r="AW117" s="429"/>
      <c r="AX117" s="429"/>
    </row>
    <row r="118" spans="2:50" ht="16.5" customHeight="1" x14ac:dyDescent="0.25">
      <c r="B118" s="673"/>
      <c r="C118" s="732"/>
      <c r="D118" s="732"/>
      <c r="E118" s="732"/>
      <c r="F118" s="640"/>
      <c r="G118" s="640"/>
      <c r="H118" s="640"/>
      <c r="I118" s="640"/>
      <c r="J118" s="640"/>
      <c r="K118" s="640"/>
      <c r="L118" s="640"/>
      <c r="M118" s="429"/>
      <c r="N118" s="429"/>
      <c r="O118" s="429"/>
      <c r="P118" s="429"/>
      <c r="Q118" s="429"/>
      <c r="R118" s="429"/>
      <c r="S118" s="429"/>
      <c r="T118" s="429"/>
      <c r="U118" s="429"/>
      <c r="V118" s="429"/>
      <c r="W118" s="429"/>
      <c r="X118" s="429"/>
      <c r="Y118" s="429"/>
      <c r="Z118" s="429"/>
      <c r="AA118" s="429"/>
      <c r="AB118" s="429"/>
      <c r="AC118" s="697"/>
      <c r="AD118" s="697"/>
      <c r="AE118" s="697"/>
      <c r="AF118" s="697"/>
      <c r="AG118" s="697"/>
      <c r="AH118" s="697"/>
      <c r="AI118" s="24"/>
      <c r="AJ118" s="366"/>
      <c r="AK118" s="366"/>
      <c r="AL118" s="366"/>
      <c r="AM118" s="429"/>
      <c r="AN118" s="429"/>
      <c r="AO118" s="429"/>
      <c r="AP118" s="429"/>
      <c r="AQ118" s="429"/>
      <c r="AR118" s="429"/>
      <c r="AS118" s="429"/>
      <c r="AT118" s="429"/>
      <c r="AU118" s="429"/>
      <c r="AV118" s="429"/>
      <c r="AW118" s="429"/>
      <c r="AX118" s="429"/>
    </row>
    <row r="119" spans="2:50" x14ac:dyDescent="0.25">
      <c r="B119" s="429"/>
      <c r="C119" s="732"/>
      <c r="D119" s="732"/>
      <c r="E119" s="732"/>
      <c r="F119" s="640"/>
      <c r="G119" s="640"/>
      <c r="H119" s="640"/>
      <c r="I119" s="640"/>
      <c r="J119" s="640"/>
      <c r="K119" s="640"/>
      <c r="L119" s="640"/>
      <c r="M119" s="429"/>
      <c r="N119" s="429"/>
      <c r="O119" s="429"/>
      <c r="P119" s="429"/>
      <c r="Q119" s="429"/>
      <c r="R119" s="429"/>
      <c r="S119" s="429"/>
      <c r="T119" s="429"/>
      <c r="U119" s="429"/>
      <c r="V119" s="429"/>
      <c r="W119" s="429"/>
      <c r="X119" s="429"/>
      <c r="Y119" s="429"/>
      <c r="Z119" s="429"/>
      <c r="AA119" s="429"/>
      <c r="AB119" s="429"/>
      <c r="AC119" s="697"/>
      <c r="AD119" s="697"/>
      <c r="AE119" s="697"/>
      <c r="AF119" s="697"/>
      <c r="AG119" s="697"/>
      <c r="AH119" s="697"/>
      <c r="AI119" s="24"/>
      <c r="AJ119" s="366"/>
      <c r="AK119" s="366"/>
      <c r="AL119" s="366"/>
      <c r="AM119" s="429"/>
      <c r="AN119" s="429"/>
      <c r="AO119" s="429"/>
      <c r="AP119" s="429"/>
      <c r="AQ119" s="429"/>
      <c r="AR119" s="429"/>
      <c r="AS119" s="429"/>
      <c r="AT119" s="429"/>
      <c r="AU119" s="429"/>
      <c r="AV119" s="429"/>
      <c r="AW119" s="429"/>
      <c r="AX119" s="429"/>
    </row>
    <row r="120" spans="2:50" x14ac:dyDescent="0.25">
      <c r="B120" s="887" t="s">
        <v>885</v>
      </c>
      <c r="C120" s="887"/>
      <c r="D120" s="732"/>
      <c r="E120" s="732"/>
      <c r="F120" s="640"/>
      <c r="G120" s="640"/>
      <c r="H120" s="640"/>
      <c r="I120" s="640"/>
      <c r="J120" s="640"/>
      <c r="K120" s="640"/>
      <c r="L120" s="640"/>
      <c r="M120" s="429"/>
      <c r="N120" s="429"/>
      <c r="O120" s="429"/>
      <c r="P120" s="429"/>
      <c r="Q120" s="429"/>
      <c r="R120" s="429"/>
      <c r="S120" s="429"/>
      <c r="T120" s="429"/>
      <c r="U120" s="429"/>
      <c r="V120" s="429"/>
      <c r="W120" s="429"/>
      <c r="X120" s="429"/>
      <c r="Y120" s="697"/>
      <c r="Z120" s="697"/>
      <c r="AA120" s="697"/>
      <c r="AB120" s="735"/>
      <c r="AC120" s="697"/>
      <c r="AD120" s="697"/>
      <c r="AE120" s="697"/>
      <c r="AF120" s="697"/>
      <c r="AG120" s="697"/>
      <c r="AH120" s="697"/>
      <c r="AI120" s="24"/>
      <c r="AJ120" s="366"/>
      <c r="AK120" s="366"/>
      <c r="AL120" s="366"/>
      <c r="AM120" s="429"/>
      <c r="AN120" s="429"/>
      <c r="AO120" s="429"/>
      <c r="AP120" s="429"/>
      <c r="AQ120" s="429"/>
      <c r="AR120" s="429"/>
      <c r="AS120" s="429"/>
      <c r="AT120" s="429"/>
      <c r="AU120" s="429"/>
      <c r="AV120" s="429"/>
      <c r="AW120" s="429"/>
      <c r="AX120" s="429"/>
    </row>
    <row r="121" spans="2:50" x14ac:dyDescent="0.25">
      <c r="B121" s="429"/>
      <c r="C121" s="732"/>
      <c r="D121" s="732"/>
      <c r="E121" s="732"/>
      <c r="F121" s="640"/>
      <c r="G121" s="640"/>
      <c r="H121" s="640"/>
      <c r="I121" s="640"/>
      <c r="J121" s="640"/>
      <c r="K121" s="640"/>
      <c r="L121" s="640"/>
      <c r="M121" s="429"/>
      <c r="N121" s="429"/>
      <c r="O121" s="429"/>
      <c r="P121" s="429"/>
      <c r="Q121" s="429"/>
      <c r="R121" s="429"/>
      <c r="S121" s="429"/>
      <c r="T121" s="429"/>
      <c r="U121" s="429"/>
      <c r="V121" s="429"/>
      <c r="W121" s="429"/>
      <c r="X121" s="429"/>
      <c r="Y121" s="697"/>
      <c r="Z121" s="697"/>
      <c r="AA121" s="697"/>
      <c r="AB121" s="735"/>
      <c r="AC121" s="697"/>
      <c r="AD121" s="697"/>
      <c r="AE121" s="697"/>
      <c r="AF121" s="697"/>
      <c r="AG121" s="697"/>
      <c r="AH121" s="697"/>
      <c r="AI121" s="24"/>
      <c r="AJ121" s="366"/>
      <c r="AK121" s="366"/>
      <c r="AL121" s="366"/>
      <c r="AM121" s="429"/>
      <c r="AN121" s="429"/>
      <c r="AO121" s="429"/>
      <c r="AP121" s="429"/>
      <c r="AQ121" s="429"/>
      <c r="AR121" s="429"/>
      <c r="AS121" s="429"/>
      <c r="AT121" s="429"/>
      <c r="AU121" s="429"/>
      <c r="AV121" s="429"/>
      <c r="AW121" s="429"/>
      <c r="AX121" s="429"/>
    </row>
    <row r="122" spans="2:50" x14ac:dyDescent="0.25">
      <c r="B122" s="429"/>
      <c r="C122" s="732"/>
      <c r="D122" s="732"/>
      <c r="E122" s="732"/>
      <c r="F122" s="640"/>
      <c r="G122" s="640"/>
      <c r="H122" s="640"/>
      <c r="I122" s="640"/>
      <c r="J122" s="640"/>
      <c r="K122" s="640"/>
      <c r="L122" s="640"/>
      <c r="M122" s="429"/>
      <c r="N122" s="429"/>
      <c r="O122" s="429"/>
      <c r="P122" s="429"/>
      <c r="Q122" s="429"/>
      <c r="R122" s="429"/>
      <c r="S122" s="429"/>
      <c r="T122" s="429"/>
      <c r="U122" s="429"/>
      <c r="V122" s="429"/>
      <c r="W122" s="429"/>
      <c r="X122" s="429"/>
      <c r="Y122" s="429"/>
      <c r="Z122" s="429"/>
      <c r="AA122" s="429"/>
      <c r="AB122" s="429"/>
      <c r="AC122" s="429"/>
      <c r="AD122" s="429"/>
      <c r="AE122" s="24"/>
      <c r="AF122" s="24"/>
      <c r="AG122" s="24"/>
      <c r="AH122" s="24"/>
      <c r="AI122" s="24"/>
      <c r="AJ122" s="24"/>
      <c r="AK122" s="24"/>
      <c r="AL122" s="24"/>
      <c r="AM122" s="24"/>
      <c r="AN122" s="429"/>
      <c r="AO122" s="429"/>
      <c r="AP122" s="429"/>
      <c r="AQ122" s="429"/>
      <c r="AR122" s="429"/>
      <c r="AS122" s="429"/>
      <c r="AT122" s="429"/>
      <c r="AU122" s="429"/>
      <c r="AV122" s="429"/>
      <c r="AW122" s="429"/>
      <c r="AX122" s="429"/>
    </row>
    <row r="123" spans="2:50" x14ac:dyDescent="0.25">
      <c r="B123" s="429"/>
      <c r="C123" s="732"/>
      <c r="D123" s="732"/>
      <c r="E123" s="732"/>
      <c r="F123" s="429"/>
      <c r="G123" s="429"/>
      <c r="H123" s="429"/>
      <c r="I123" s="429"/>
      <c r="J123" s="429"/>
      <c r="K123" s="429"/>
      <c r="L123" s="429"/>
      <c r="M123" s="429"/>
      <c r="N123" s="429"/>
      <c r="O123" s="429"/>
      <c r="P123" s="429"/>
      <c r="Q123" s="429"/>
      <c r="R123" s="429"/>
      <c r="S123" s="429"/>
      <c r="T123" s="429"/>
      <c r="U123" s="429"/>
      <c r="V123" s="429"/>
      <c r="W123" s="429"/>
      <c r="X123" s="429"/>
      <c r="Y123" s="429"/>
      <c r="Z123" s="429"/>
      <c r="AA123" s="429"/>
      <c r="AB123" s="429"/>
      <c r="AC123" s="429"/>
      <c r="AD123" s="429"/>
      <c r="AE123" s="24"/>
      <c r="AF123" s="24"/>
      <c r="AG123" s="24"/>
      <c r="AH123" s="24"/>
      <c r="AI123" s="24"/>
      <c r="AJ123" s="24"/>
      <c r="AK123" s="24"/>
      <c r="AL123" s="24"/>
      <c r="AM123" s="24"/>
      <c r="AN123" s="429"/>
      <c r="AO123" s="429"/>
      <c r="AP123" s="429"/>
      <c r="AQ123" s="429"/>
      <c r="AR123" s="429"/>
      <c r="AS123" s="429"/>
      <c r="AT123" s="429"/>
      <c r="AU123" s="429"/>
      <c r="AV123" s="429"/>
      <c r="AW123" s="429"/>
      <c r="AX123" s="429"/>
    </row>
    <row r="124" spans="2:50" x14ac:dyDescent="0.25">
      <c r="B124" s="429"/>
      <c r="C124" s="732"/>
      <c r="D124" s="732"/>
      <c r="E124" s="732"/>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c r="AB124" s="429"/>
      <c r="AC124" s="429"/>
      <c r="AD124" s="429"/>
      <c r="AE124" s="24"/>
      <c r="AF124" s="24"/>
      <c r="AG124" s="24"/>
      <c r="AH124" s="24"/>
      <c r="AI124" s="24"/>
      <c r="AJ124" s="24"/>
      <c r="AK124" s="24"/>
      <c r="AL124" s="24"/>
      <c r="AM124" s="24"/>
      <c r="AN124" s="429"/>
      <c r="AO124" s="429"/>
      <c r="AP124" s="429"/>
      <c r="AQ124" s="429"/>
      <c r="AR124" s="429"/>
      <c r="AS124" s="429"/>
      <c r="AT124" s="429"/>
      <c r="AU124" s="429"/>
      <c r="AV124" s="429"/>
      <c r="AW124" s="429"/>
      <c r="AX124" s="429"/>
    </row>
    <row r="125" spans="2:50" x14ac:dyDescent="0.25">
      <c r="B125" s="429"/>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c r="AA125" s="429"/>
      <c r="AB125" s="429"/>
      <c r="AC125" s="429"/>
      <c r="AD125" s="429"/>
      <c r="AE125" s="429"/>
      <c r="AF125" s="429"/>
      <c r="AG125" s="429"/>
      <c r="AH125" s="429"/>
      <c r="AI125" s="429"/>
      <c r="AJ125" s="429"/>
      <c r="AK125" s="429"/>
      <c r="AL125" s="429"/>
      <c r="AM125" s="429"/>
      <c r="AN125" s="429"/>
      <c r="AO125" s="429"/>
      <c r="AP125" s="429"/>
      <c r="AQ125" s="429"/>
      <c r="AR125" s="429"/>
      <c r="AS125" s="429"/>
      <c r="AT125" s="429"/>
      <c r="AU125" s="429"/>
      <c r="AV125" s="429"/>
      <c r="AW125" s="429"/>
      <c r="AX125" s="429"/>
    </row>
    <row r="126" spans="2:50" x14ac:dyDescent="0.25">
      <c r="B126" s="429"/>
      <c r="C126" s="429"/>
      <c r="D126" s="429"/>
      <c r="E126" s="429"/>
      <c r="F126" s="429"/>
      <c r="G126" s="429"/>
      <c r="H126" s="429"/>
      <c r="I126" s="429"/>
      <c r="J126" s="809" t="s">
        <v>507</v>
      </c>
      <c r="K126" s="809"/>
      <c r="L126" s="809"/>
      <c r="M126" s="809"/>
      <c r="N126" s="809"/>
      <c r="O126" s="627"/>
      <c r="P126" s="627"/>
      <c r="Q126" s="627"/>
      <c r="R126" s="627"/>
      <c r="S126" s="627"/>
      <c r="T126" s="627"/>
      <c r="U126" s="627"/>
      <c r="V126" s="627"/>
      <c r="W126" s="627"/>
      <c r="X126" s="627"/>
      <c r="Y126" s="429"/>
      <c r="Z126" s="429"/>
      <c r="AA126" s="429"/>
      <c r="AB126" s="429"/>
      <c r="AC126" s="429"/>
      <c r="AD126" s="429"/>
      <c r="AE126" s="429"/>
      <c r="AF126" s="429"/>
      <c r="AG126" s="429"/>
      <c r="AH126" s="429"/>
      <c r="AI126" s="429"/>
      <c r="AJ126" s="429"/>
      <c r="AK126" s="429"/>
      <c r="AL126" s="429"/>
      <c r="AM126" s="429"/>
      <c r="AN126" s="429"/>
      <c r="AO126" s="429"/>
      <c r="AP126" s="429"/>
      <c r="AQ126" s="429"/>
      <c r="AR126" s="429"/>
      <c r="AS126" s="429"/>
      <c r="AT126" s="429"/>
      <c r="AU126" s="429"/>
      <c r="AV126" s="429"/>
      <c r="AW126" s="429"/>
      <c r="AX126" s="429"/>
    </row>
    <row r="127" spans="2:50" ht="15.75" thickBot="1" x14ac:dyDescent="0.3">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c r="AA127" s="429"/>
      <c r="AB127" s="429"/>
      <c r="AC127" s="429"/>
      <c r="AD127" s="429"/>
      <c r="AE127" s="429"/>
      <c r="AF127" s="429"/>
      <c r="AG127" s="429"/>
      <c r="AH127" s="429"/>
      <c r="AI127" s="429"/>
      <c r="AJ127" s="429"/>
      <c r="AK127" s="429"/>
      <c r="AL127" s="429"/>
      <c r="AM127" s="429"/>
      <c r="AN127" s="429"/>
      <c r="AO127" s="429"/>
      <c r="AP127" s="429"/>
      <c r="AQ127" s="429"/>
      <c r="AR127" s="429"/>
      <c r="AS127" s="429"/>
      <c r="AT127" s="429"/>
      <c r="AU127" s="429"/>
      <c r="AV127" s="429"/>
      <c r="AW127" s="429"/>
      <c r="AX127" s="429"/>
    </row>
    <row r="128" spans="2:50" ht="16.5" thickTop="1" thickBot="1" x14ac:dyDescent="0.3">
      <c r="B128" s="429"/>
      <c r="C128" s="429"/>
      <c r="D128" s="429"/>
      <c r="E128" s="429"/>
      <c r="F128" s="429"/>
      <c r="G128" s="429"/>
      <c r="H128" s="429"/>
      <c r="I128" s="429"/>
      <c r="J128" s="884" t="s">
        <v>253</v>
      </c>
      <c r="K128" s="885"/>
      <c r="L128" s="885"/>
      <c r="M128" s="885"/>
      <c r="N128" s="885"/>
      <c r="O128" s="885"/>
      <c r="P128" s="886"/>
      <c r="Q128" s="749"/>
      <c r="R128" s="749"/>
      <c r="S128" s="749"/>
      <c r="T128" s="749"/>
      <c r="U128" s="749"/>
      <c r="V128" s="749"/>
      <c r="W128" s="749"/>
      <c r="X128" s="749"/>
      <c r="Y128" s="429"/>
      <c r="Z128" s="429"/>
      <c r="AA128" s="429"/>
      <c r="AB128" s="429"/>
      <c r="AC128" s="429"/>
      <c r="AD128" s="429"/>
      <c r="AE128" s="429"/>
      <c r="AF128" s="429"/>
      <c r="AG128" s="429"/>
      <c r="AH128" s="429"/>
      <c r="AI128" s="429"/>
      <c r="AJ128" s="429"/>
      <c r="AK128" s="429"/>
      <c r="AL128" s="429"/>
      <c r="AM128" s="429"/>
      <c r="AN128" s="429"/>
      <c r="AO128" s="429"/>
      <c r="AP128" s="429"/>
      <c r="AQ128" s="429"/>
      <c r="AR128" s="429"/>
      <c r="AS128" s="429"/>
      <c r="AT128" s="429"/>
      <c r="AU128" s="429"/>
      <c r="AV128" s="429"/>
      <c r="AW128" s="429"/>
      <c r="AX128" s="429"/>
    </row>
    <row r="129" spans="2:50" ht="16.5" thickTop="1" thickBot="1" x14ac:dyDescent="0.3">
      <c r="B129" s="429"/>
      <c r="C129" s="429"/>
      <c r="D129" s="429"/>
      <c r="E129" s="429"/>
      <c r="F129" s="429"/>
      <c r="G129" s="429"/>
      <c r="H129" s="429"/>
      <c r="I129" s="429"/>
      <c r="J129" s="884" t="s">
        <v>261</v>
      </c>
      <c r="K129" s="885"/>
      <c r="L129" s="885"/>
      <c r="M129" s="885"/>
      <c r="N129" s="885"/>
      <c r="O129" s="885"/>
      <c r="P129" s="886"/>
      <c r="Q129" s="749"/>
      <c r="R129" s="749"/>
      <c r="S129" s="749"/>
      <c r="T129" s="749"/>
      <c r="U129" s="749"/>
      <c r="V129" s="749"/>
      <c r="W129" s="749"/>
      <c r="X129" s="749"/>
      <c r="Y129" s="429"/>
      <c r="Z129" s="429"/>
      <c r="AA129" s="429"/>
      <c r="AB129" s="429"/>
      <c r="AC129" s="429"/>
      <c r="AD129" s="429"/>
      <c r="AE129" s="429"/>
      <c r="AF129" s="429"/>
      <c r="AG129" s="429"/>
      <c r="AH129" s="429"/>
      <c r="AI129" s="429"/>
      <c r="AJ129" s="429"/>
      <c r="AK129" s="429"/>
      <c r="AL129" s="429"/>
      <c r="AM129" s="429"/>
      <c r="AN129" s="429"/>
      <c r="AO129" s="429"/>
      <c r="AP129" s="429"/>
      <c r="AQ129" s="429"/>
      <c r="AR129" s="429"/>
      <c r="AS129" s="429"/>
      <c r="AT129" s="429"/>
      <c r="AU129" s="429"/>
      <c r="AV129" s="429"/>
      <c r="AW129" s="429"/>
      <c r="AX129" s="429"/>
    </row>
    <row r="130" spans="2:50" ht="6" customHeight="1" thickTop="1" thickBot="1" x14ac:dyDescent="0.3">
      <c r="B130" s="429"/>
      <c r="C130" s="429"/>
      <c r="D130" s="429"/>
      <c r="E130" s="429"/>
      <c r="F130" s="429"/>
      <c r="G130" s="429"/>
      <c r="H130" s="429"/>
      <c r="I130" s="429"/>
      <c r="J130" s="429"/>
      <c r="K130" s="429"/>
      <c r="L130" s="429"/>
      <c r="M130" s="429"/>
      <c r="N130" s="429"/>
      <c r="O130" s="444"/>
      <c r="P130" s="444"/>
      <c r="Q130" s="444"/>
      <c r="R130" s="444"/>
      <c r="S130" s="444"/>
      <c r="T130" s="444"/>
      <c r="U130" s="444"/>
      <c r="V130" s="444"/>
      <c r="W130" s="444"/>
      <c r="X130" s="444"/>
      <c r="Y130" s="429"/>
      <c r="Z130" s="429"/>
      <c r="AA130" s="429"/>
      <c r="AB130" s="429"/>
      <c r="AC130" s="429"/>
      <c r="AD130" s="429"/>
      <c r="AE130" s="429"/>
      <c r="AF130" s="429"/>
      <c r="AG130" s="429"/>
      <c r="AH130" s="429"/>
      <c r="AI130" s="429"/>
      <c r="AJ130" s="429"/>
      <c r="AK130" s="429"/>
      <c r="AL130" s="429"/>
      <c r="AM130" s="429"/>
      <c r="AN130" s="429"/>
      <c r="AO130" s="429"/>
      <c r="AP130" s="429"/>
      <c r="AQ130" s="429"/>
      <c r="AR130" s="429"/>
      <c r="AS130" s="429"/>
      <c r="AT130" s="429"/>
      <c r="AU130" s="429"/>
      <c r="AV130" s="429"/>
      <c r="AW130" s="429"/>
      <c r="AX130" s="429"/>
    </row>
    <row r="131" spans="2:50" ht="16.5" thickTop="1" thickBot="1" x14ac:dyDescent="0.3">
      <c r="B131" s="429"/>
      <c r="C131" s="429"/>
      <c r="D131" s="429"/>
      <c r="E131" s="429"/>
      <c r="F131" s="429"/>
      <c r="G131" s="429"/>
      <c r="H131" s="429"/>
      <c r="I131" s="429"/>
      <c r="J131" s="875" t="s">
        <v>740</v>
      </c>
      <c r="K131" s="876"/>
      <c r="L131" s="876"/>
      <c r="M131" s="876"/>
      <c r="N131" s="876"/>
      <c r="O131" s="876"/>
      <c r="P131" s="877"/>
      <c r="Q131" s="749"/>
      <c r="R131" s="749"/>
      <c r="S131" s="749"/>
      <c r="T131" s="749"/>
      <c r="U131" s="749"/>
      <c r="V131" s="749"/>
      <c r="W131" s="749"/>
      <c r="X131" s="749"/>
      <c r="Y131" s="429"/>
      <c r="Z131" s="429"/>
      <c r="AA131" s="429"/>
      <c r="AB131" s="429"/>
      <c r="AC131" s="429"/>
      <c r="AD131" s="429"/>
      <c r="AE131" s="429"/>
      <c r="AF131" s="429"/>
      <c r="AG131" s="429"/>
      <c r="AH131" s="429"/>
      <c r="AI131" s="429"/>
      <c r="AJ131" s="429"/>
      <c r="AK131" s="429"/>
      <c r="AL131" s="429"/>
      <c r="AM131" s="429"/>
      <c r="AN131" s="429"/>
      <c r="AO131" s="429"/>
      <c r="AP131" s="429"/>
      <c r="AQ131" s="429"/>
      <c r="AR131" s="429"/>
      <c r="AS131" s="429"/>
      <c r="AT131" s="429"/>
      <c r="AU131" s="429"/>
      <c r="AV131" s="429"/>
      <c r="AW131" s="429"/>
      <c r="AX131" s="429"/>
    </row>
    <row r="132" spans="2:50" ht="16.5" thickTop="1" thickBot="1" x14ac:dyDescent="0.3">
      <c r="B132" s="429"/>
      <c r="C132" s="429"/>
      <c r="D132" s="429"/>
      <c r="E132" s="429"/>
      <c r="F132" s="429"/>
      <c r="G132" s="429"/>
      <c r="H132" s="429"/>
      <c r="I132" s="429"/>
      <c r="J132" s="875" t="s">
        <v>257</v>
      </c>
      <c r="K132" s="876"/>
      <c r="L132" s="876"/>
      <c r="M132" s="876"/>
      <c r="N132" s="876"/>
      <c r="O132" s="876"/>
      <c r="P132" s="877"/>
      <c r="Q132" s="749"/>
      <c r="R132" s="749"/>
      <c r="S132" s="749"/>
      <c r="T132" s="749"/>
      <c r="U132" s="749"/>
      <c r="V132" s="749"/>
      <c r="W132" s="749"/>
      <c r="X132" s="749"/>
      <c r="Y132" s="429"/>
      <c r="Z132" s="429"/>
      <c r="AA132" s="429"/>
      <c r="AB132" s="429"/>
      <c r="AC132" s="429"/>
      <c r="AD132" s="429"/>
      <c r="AE132" s="429"/>
      <c r="AF132" s="429"/>
      <c r="AG132" s="429"/>
      <c r="AH132" s="429"/>
      <c r="AI132" s="429"/>
      <c r="AJ132" s="429"/>
      <c r="AK132" s="429"/>
      <c r="AL132" s="429"/>
      <c r="AM132" s="429"/>
      <c r="AN132" s="429"/>
      <c r="AO132" s="429"/>
      <c r="AP132" s="429"/>
      <c r="AQ132" s="429"/>
      <c r="AR132" s="429"/>
      <c r="AS132" s="429"/>
      <c r="AT132" s="429"/>
      <c r="AU132" s="429"/>
      <c r="AV132" s="429"/>
      <c r="AW132" s="429"/>
      <c r="AX132" s="429"/>
    </row>
    <row r="133" spans="2:50" ht="15.75" thickTop="1" x14ac:dyDescent="0.25">
      <c r="B133" s="429"/>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c r="AA133" s="429"/>
      <c r="AB133" s="429"/>
      <c r="AC133" s="429"/>
      <c r="AD133" s="429"/>
      <c r="AE133" s="429"/>
      <c r="AF133" s="429"/>
      <c r="AG133" s="429"/>
      <c r="AH133" s="429"/>
      <c r="AI133" s="429"/>
      <c r="AJ133" s="429"/>
      <c r="AK133" s="429"/>
      <c r="AL133" s="429"/>
      <c r="AM133" s="429"/>
      <c r="AN133" s="429"/>
      <c r="AO133" s="429"/>
      <c r="AP133" s="429"/>
      <c r="AQ133" s="429"/>
      <c r="AR133" s="429"/>
      <c r="AS133" s="429"/>
      <c r="AT133" s="429"/>
      <c r="AU133" s="429"/>
      <c r="AV133" s="429"/>
      <c r="AW133" s="429"/>
      <c r="AX133" s="429"/>
    </row>
    <row r="134" spans="2:50" x14ac:dyDescent="0.25">
      <c r="B134" s="429"/>
      <c r="C134" s="429"/>
      <c r="D134" s="429"/>
      <c r="E134" s="429"/>
      <c r="F134" s="429"/>
      <c r="G134" s="429"/>
      <c r="H134" s="429"/>
      <c r="I134" s="429"/>
      <c r="J134" s="696" t="str">
        <f>IF(C76='FOGLIO DEPOSITO'!N184,"Nei grafici tratteggiati sono inseriti gli incrementi di pressione orizzontale calcolati con la teoria di Wood","")</f>
        <v/>
      </c>
      <c r="K134" s="429"/>
      <c r="L134" s="429"/>
      <c r="M134" s="429"/>
      <c r="N134" s="429"/>
      <c r="O134" s="429"/>
      <c r="P134" s="429"/>
      <c r="Q134" s="429"/>
      <c r="R134" s="429"/>
      <c r="S134" s="429"/>
      <c r="T134" s="429"/>
      <c r="U134" s="429"/>
      <c r="V134" s="429"/>
      <c r="W134" s="429"/>
      <c r="X134" s="429"/>
      <c r="Y134" s="429"/>
      <c r="Z134" s="429"/>
      <c r="AA134" s="429"/>
      <c r="AB134" s="429"/>
      <c r="AC134" s="429"/>
      <c r="AD134" s="429"/>
      <c r="AE134" s="429"/>
      <c r="AF134" s="429"/>
      <c r="AG134" s="429"/>
      <c r="AH134" s="429"/>
      <c r="AI134" s="429"/>
      <c r="AJ134" s="429"/>
      <c r="AK134" s="429"/>
      <c r="AL134" s="429"/>
      <c r="AM134" s="429"/>
      <c r="AN134" s="429"/>
      <c r="AO134" s="429"/>
      <c r="AP134" s="429"/>
      <c r="AQ134" s="429"/>
      <c r="AR134" s="429"/>
      <c r="AS134" s="429"/>
      <c r="AT134" s="429"/>
      <c r="AU134" s="429"/>
      <c r="AV134" s="429"/>
      <c r="AW134" s="429"/>
      <c r="AX134" s="429"/>
    </row>
    <row r="135" spans="2:50" x14ac:dyDescent="0.25">
      <c r="B135" s="429"/>
      <c r="C135" s="429"/>
      <c r="D135" s="429"/>
      <c r="E135" s="429"/>
      <c r="F135" s="429"/>
      <c r="G135" s="429"/>
      <c r="H135" s="429"/>
      <c r="I135" s="429"/>
      <c r="J135" s="429"/>
      <c r="K135" s="429"/>
      <c r="L135" s="429"/>
      <c r="M135" s="429"/>
      <c r="N135" s="429"/>
      <c r="O135" s="429"/>
      <c r="P135" s="429"/>
      <c r="Q135" s="429"/>
      <c r="R135" s="429"/>
      <c r="S135" s="429"/>
      <c r="T135" s="429"/>
      <c r="U135" s="429"/>
      <c r="V135" s="429"/>
      <c r="W135" s="429"/>
      <c r="X135" s="429"/>
      <c r="Y135" s="429"/>
      <c r="Z135" s="429"/>
      <c r="AA135" s="429"/>
      <c r="AB135" s="429"/>
      <c r="AC135" s="429"/>
      <c r="AD135" s="429"/>
      <c r="AE135" s="429"/>
      <c r="AF135" s="429"/>
      <c r="AG135" s="429"/>
      <c r="AH135" s="429"/>
      <c r="AI135" s="429"/>
      <c r="AJ135" s="429"/>
      <c r="AK135" s="429"/>
      <c r="AL135" s="429"/>
      <c r="AM135" s="429"/>
      <c r="AN135" s="429"/>
      <c r="AO135" s="429"/>
      <c r="AP135" s="429"/>
      <c r="AQ135" s="429"/>
      <c r="AR135" s="429"/>
      <c r="AS135" s="429"/>
      <c r="AT135" s="429"/>
      <c r="AU135" s="429"/>
      <c r="AV135" s="429"/>
      <c r="AW135" s="429"/>
      <c r="AX135" s="429"/>
    </row>
    <row r="136" spans="2:50" x14ac:dyDescent="0.25">
      <c r="B136" s="429"/>
      <c r="C136" s="429"/>
      <c r="D136" s="429"/>
      <c r="E136" s="429"/>
      <c r="F136" s="429"/>
      <c r="G136" s="429"/>
      <c r="H136" s="429"/>
      <c r="I136" s="429"/>
      <c r="J136" s="429"/>
      <c r="K136" s="429"/>
      <c r="L136" s="429"/>
      <c r="M136" s="429"/>
      <c r="N136" s="429"/>
      <c r="O136" s="429"/>
      <c r="P136" s="429"/>
      <c r="Q136" s="429"/>
      <c r="R136" s="429"/>
      <c r="S136" s="429"/>
      <c r="T136" s="429"/>
      <c r="U136" s="429"/>
      <c r="V136" s="429"/>
      <c r="W136" s="429"/>
      <c r="X136" s="429"/>
      <c r="Y136" s="429"/>
      <c r="Z136" s="429"/>
      <c r="AA136" s="429"/>
      <c r="AB136" s="429"/>
      <c r="AC136" s="429"/>
      <c r="AD136" s="429"/>
      <c r="AE136" s="429"/>
      <c r="AF136" s="429"/>
      <c r="AG136" s="429"/>
      <c r="AH136" s="429"/>
      <c r="AI136" s="429"/>
      <c r="AJ136" s="429"/>
      <c r="AK136" s="429"/>
      <c r="AL136" s="429"/>
      <c r="AM136" s="429"/>
      <c r="AN136" s="429"/>
      <c r="AO136" s="429"/>
      <c r="AP136" s="429"/>
      <c r="AQ136" s="429"/>
      <c r="AR136" s="429"/>
      <c r="AS136" s="429"/>
      <c r="AT136" s="429"/>
      <c r="AU136" s="429"/>
      <c r="AV136" s="429"/>
      <c r="AW136" s="429"/>
      <c r="AX136" s="429"/>
    </row>
    <row r="137" spans="2:50" x14ac:dyDescent="0.25">
      <c r="B137" s="429"/>
      <c r="C137" s="429"/>
      <c r="D137" s="429"/>
      <c r="E137" s="429"/>
      <c r="F137" s="429"/>
      <c r="G137" s="429"/>
      <c r="H137" s="429"/>
      <c r="I137" s="429"/>
      <c r="J137" s="429"/>
      <c r="K137" s="429"/>
      <c r="L137" s="429"/>
      <c r="M137" s="429"/>
      <c r="N137" s="429"/>
      <c r="O137" s="429"/>
      <c r="P137" s="429"/>
      <c r="Q137" s="429"/>
      <c r="R137" s="429"/>
      <c r="S137" s="429"/>
      <c r="T137" s="429"/>
      <c r="U137" s="429"/>
      <c r="V137" s="429"/>
      <c r="W137" s="429"/>
      <c r="X137" s="429"/>
      <c r="Y137" s="429"/>
      <c r="Z137" s="429"/>
      <c r="AA137" s="429"/>
      <c r="AB137" s="429"/>
      <c r="AC137" s="429"/>
      <c r="AD137" s="429"/>
      <c r="AE137" s="429"/>
      <c r="AF137" s="429"/>
      <c r="AG137" s="429"/>
      <c r="AH137" s="429"/>
      <c r="AI137" s="429"/>
      <c r="AJ137" s="429"/>
      <c r="AK137" s="429"/>
      <c r="AL137" s="429"/>
      <c r="AM137" s="429"/>
      <c r="AN137" s="429"/>
      <c r="AO137" s="429"/>
      <c r="AP137" s="429"/>
      <c r="AQ137" s="429"/>
      <c r="AR137" s="429"/>
      <c r="AS137" s="429"/>
      <c r="AT137" s="429"/>
      <c r="AU137" s="429"/>
      <c r="AV137" s="429"/>
      <c r="AW137" s="429"/>
      <c r="AX137" s="429"/>
    </row>
    <row r="138" spans="2:50" x14ac:dyDescent="0.25">
      <c r="B138" s="429"/>
      <c r="C138" s="429"/>
      <c r="D138" s="429"/>
      <c r="E138" s="429"/>
      <c r="F138" s="429"/>
      <c r="G138" s="429"/>
      <c r="H138" s="429"/>
      <c r="I138" s="429"/>
      <c r="J138" s="429"/>
      <c r="K138" s="429"/>
      <c r="L138" s="429"/>
      <c r="M138" s="429"/>
      <c r="N138" s="429"/>
      <c r="O138" s="429"/>
      <c r="P138" s="429"/>
      <c r="Q138" s="429"/>
      <c r="R138" s="429"/>
      <c r="S138" s="429"/>
      <c r="T138" s="429"/>
      <c r="U138" s="429"/>
      <c r="V138" s="429"/>
      <c r="W138" s="429"/>
      <c r="X138" s="429"/>
      <c r="Y138" s="429"/>
      <c r="Z138" s="429"/>
      <c r="AA138" s="429"/>
      <c r="AB138" s="429"/>
      <c r="AC138" s="429"/>
      <c r="AD138" s="429"/>
      <c r="AE138" s="429"/>
      <c r="AF138" s="429"/>
      <c r="AG138" s="429"/>
      <c r="AH138" s="429"/>
      <c r="AI138" s="429"/>
      <c r="AJ138" s="429"/>
      <c r="AK138" s="429"/>
      <c r="AL138" s="429"/>
      <c r="AM138" s="429"/>
      <c r="AN138" s="429"/>
      <c r="AO138" s="429"/>
      <c r="AP138" s="429"/>
      <c r="AQ138" s="429"/>
      <c r="AR138" s="429"/>
      <c r="AS138" s="429"/>
      <c r="AT138" s="429"/>
      <c r="AU138" s="429"/>
      <c r="AV138" s="429"/>
      <c r="AW138" s="429"/>
      <c r="AX138" s="429"/>
    </row>
    <row r="139" spans="2:50" x14ac:dyDescent="0.25">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c r="AA139" s="429"/>
      <c r="AB139" s="429"/>
      <c r="AC139" s="429"/>
      <c r="AD139" s="429"/>
      <c r="AE139" s="429"/>
      <c r="AF139" s="429"/>
      <c r="AG139" s="429"/>
      <c r="AH139" s="429"/>
      <c r="AI139" s="429"/>
      <c r="AJ139" s="429"/>
      <c r="AK139" s="429"/>
      <c r="AL139" s="429"/>
      <c r="AM139" s="429"/>
      <c r="AN139" s="429"/>
      <c r="AO139" s="429"/>
      <c r="AP139" s="429"/>
      <c r="AQ139" s="429"/>
      <c r="AR139" s="429"/>
      <c r="AS139" s="429"/>
      <c r="AT139" s="429"/>
      <c r="AU139" s="429"/>
      <c r="AV139" s="429"/>
      <c r="AW139" s="429"/>
      <c r="AX139" s="429"/>
    </row>
    <row r="140" spans="2:50" x14ac:dyDescent="0.25">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29"/>
      <c r="AD140" s="429"/>
      <c r="AE140" s="429"/>
      <c r="AF140" s="429"/>
      <c r="AG140" s="429"/>
      <c r="AH140" s="429"/>
      <c r="AI140" s="429"/>
      <c r="AJ140" s="429"/>
      <c r="AK140" s="429"/>
      <c r="AL140" s="429"/>
      <c r="AM140" s="429"/>
      <c r="AN140" s="429"/>
      <c r="AO140" s="429"/>
      <c r="AP140" s="429"/>
      <c r="AQ140" s="429"/>
      <c r="AR140" s="429"/>
      <c r="AS140" s="429"/>
      <c r="AT140" s="429"/>
      <c r="AU140" s="429"/>
      <c r="AV140" s="429"/>
      <c r="AW140" s="429"/>
      <c r="AX140" s="429"/>
    </row>
    <row r="141" spans="2:50" x14ac:dyDescent="0.25">
      <c r="B141" s="429"/>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c r="AA141" s="429"/>
      <c r="AB141" s="429"/>
      <c r="AC141" s="429"/>
      <c r="AD141" s="429"/>
      <c r="AE141" s="429"/>
      <c r="AF141" s="429"/>
      <c r="AG141" s="429"/>
      <c r="AH141" s="429"/>
      <c r="AI141" s="429"/>
      <c r="AJ141" s="429"/>
      <c r="AK141" s="429"/>
      <c r="AL141" s="429"/>
      <c r="AM141" s="429"/>
      <c r="AN141" s="429"/>
      <c r="AO141" s="429"/>
      <c r="AP141" s="429"/>
      <c r="AQ141" s="429"/>
      <c r="AR141" s="429"/>
      <c r="AS141" s="429"/>
      <c r="AT141" s="429"/>
      <c r="AU141" s="429"/>
      <c r="AV141" s="429"/>
      <c r="AW141" s="429"/>
      <c r="AX141" s="429"/>
    </row>
    <row r="142" spans="2:50" x14ac:dyDescent="0.25">
      <c r="B142" s="429"/>
      <c r="C142" s="429"/>
      <c r="D142" s="429"/>
      <c r="E142" s="429"/>
      <c r="F142" s="429"/>
      <c r="G142" s="429"/>
      <c r="H142" s="429"/>
      <c r="I142" s="429"/>
      <c r="J142" s="429"/>
      <c r="K142" s="429"/>
      <c r="L142" s="429"/>
      <c r="M142" s="429"/>
      <c r="N142" s="429"/>
      <c r="O142" s="429"/>
      <c r="P142" s="429"/>
      <c r="Q142" s="429"/>
      <c r="R142" s="429"/>
      <c r="S142" s="429"/>
      <c r="T142" s="429"/>
      <c r="U142" s="429"/>
      <c r="V142" s="429"/>
      <c r="W142" s="429"/>
      <c r="X142" s="429"/>
      <c r="Y142" s="429"/>
      <c r="Z142" s="429"/>
      <c r="AA142" s="429"/>
      <c r="AB142" s="429"/>
      <c r="AC142" s="429"/>
      <c r="AD142" s="429"/>
      <c r="AE142" s="429"/>
      <c r="AF142" s="429"/>
      <c r="AG142" s="429"/>
      <c r="AH142" s="429"/>
      <c r="AI142" s="429"/>
      <c r="AJ142" s="429"/>
      <c r="AK142" s="429"/>
      <c r="AL142" s="429"/>
      <c r="AM142" s="429"/>
      <c r="AN142" s="429"/>
      <c r="AO142" s="429"/>
      <c r="AP142" s="429"/>
      <c r="AQ142" s="429"/>
      <c r="AR142" s="429"/>
      <c r="AS142" s="429"/>
      <c r="AT142" s="429"/>
      <c r="AU142" s="429"/>
      <c r="AV142" s="429"/>
      <c r="AW142" s="429"/>
      <c r="AX142" s="429"/>
    </row>
    <row r="143" spans="2:50" x14ac:dyDescent="0.25">
      <c r="B143" s="429"/>
      <c r="C143" s="429"/>
      <c r="D143" s="429"/>
      <c r="E143" s="429"/>
      <c r="F143" s="429"/>
      <c r="G143" s="429"/>
      <c r="H143" s="429"/>
      <c r="I143" s="429"/>
      <c r="J143" s="429"/>
      <c r="K143" s="429"/>
      <c r="L143" s="429"/>
      <c r="M143" s="429"/>
      <c r="N143" s="429"/>
      <c r="O143" s="429"/>
      <c r="P143" s="429"/>
      <c r="Q143" s="429"/>
      <c r="R143" s="429"/>
      <c r="S143" s="429"/>
      <c r="T143" s="429"/>
      <c r="U143" s="429"/>
      <c r="V143" s="429"/>
      <c r="W143" s="429"/>
      <c r="X143" s="429"/>
      <c r="Y143" s="429"/>
      <c r="Z143" s="429"/>
      <c r="AA143" s="429"/>
      <c r="AB143" s="429"/>
      <c r="AC143" s="429"/>
      <c r="AD143" s="429"/>
      <c r="AE143" s="429"/>
      <c r="AF143" s="429"/>
      <c r="AG143" s="429"/>
      <c r="AH143" s="429"/>
      <c r="AI143" s="429"/>
      <c r="AJ143" s="429"/>
      <c r="AK143" s="429"/>
      <c r="AL143" s="429"/>
      <c r="AM143" s="429"/>
      <c r="AN143" s="429"/>
      <c r="AO143" s="429"/>
      <c r="AP143" s="429"/>
      <c r="AQ143" s="429"/>
      <c r="AR143" s="429"/>
      <c r="AS143" s="429"/>
      <c r="AT143" s="429"/>
      <c r="AU143" s="429"/>
      <c r="AV143" s="429"/>
      <c r="AW143" s="429"/>
      <c r="AX143" s="429"/>
    </row>
    <row r="144" spans="2:50" x14ac:dyDescent="0.25">
      <c r="B144" s="429"/>
      <c r="C144" s="429"/>
      <c r="D144" s="429"/>
      <c r="E144" s="429"/>
      <c r="F144" s="429"/>
      <c r="G144" s="429"/>
      <c r="H144" s="429"/>
      <c r="I144" s="429"/>
      <c r="J144" s="429"/>
      <c r="K144" s="429"/>
      <c r="L144" s="429"/>
      <c r="M144" s="429"/>
      <c r="N144" s="429"/>
      <c r="O144" s="429"/>
      <c r="P144" s="429"/>
      <c r="Q144" s="429"/>
      <c r="R144" s="429"/>
      <c r="S144" s="429"/>
      <c r="T144" s="429"/>
      <c r="U144" s="429"/>
      <c r="V144" s="429"/>
      <c r="W144" s="429"/>
      <c r="X144" s="429"/>
      <c r="Y144" s="429"/>
      <c r="Z144" s="429"/>
      <c r="AA144" s="429"/>
      <c r="AB144" s="429"/>
      <c r="AC144" s="429"/>
      <c r="AD144" s="429"/>
      <c r="AE144" s="429"/>
      <c r="AF144" s="429"/>
      <c r="AG144" s="429"/>
      <c r="AH144" s="429"/>
      <c r="AI144" s="429"/>
      <c r="AJ144" s="429"/>
      <c r="AK144" s="429"/>
      <c r="AL144" s="429"/>
      <c r="AM144" s="429"/>
      <c r="AN144" s="429"/>
      <c r="AO144" s="429"/>
      <c r="AP144" s="429"/>
      <c r="AQ144" s="429"/>
      <c r="AR144" s="429"/>
      <c r="AS144" s="429"/>
      <c r="AT144" s="429"/>
      <c r="AU144" s="429"/>
      <c r="AV144" s="429"/>
      <c r="AW144" s="429"/>
      <c r="AX144" s="429"/>
    </row>
    <row r="145" spans="2:50" x14ac:dyDescent="0.25">
      <c r="B145" s="429"/>
      <c r="C145" s="429"/>
      <c r="D145" s="429"/>
      <c r="E145" s="429"/>
      <c r="F145" s="429"/>
      <c r="G145" s="429"/>
      <c r="H145" s="429"/>
      <c r="I145" s="429"/>
      <c r="J145" s="429"/>
      <c r="K145" s="429"/>
      <c r="L145" s="429"/>
      <c r="M145" s="429"/>
      <c r="N145" s="429"/>
      <c r="O145" s="429"/>
      <c r="P145" s="429"/>
      <c r="Q145" s="429"/>
      <c r="R145" s="429"/>
      <c r="S145" s="429"/>
      <c r="T145" s="429"/>
      <c r="U145" s="429"/>
      <c r="V145" s="429"/>
      <c r="W145" s="429"/>
      <c r="X145" s="429"/>
      <c r="Y145" s="429"/>
      <c r="Z145" s="429"/>
      <c r="AA145" s="429"/>
      <c r="AB145" s="429"/>
      <c r="AC145" s="429"/>
      <c r="AD145" s="429"/>
      <c r="AE145" s="429"/>
      <c r="AF145" s="429"/>
      <c r="AG145" s="429"/>
      <c r="AH145" s="429"/>
      <c r="AI145" s="429"/>
      <c r="AJ145" s="429"/>
      <c r="AK145" s="429"/>
      <c r="AL145" s="429"/>
      <c r="AM145" s="429"/>
      <c r="AN145" s="429"/>
      <c r="AO145" s="429"/>
      <c r="AP145" s="429"/>
      <c r="AQ145" s="429"/>
      <c r="AR145" s="429"/>
      <c r="AS145" s="429"/>
      <c r="AT145" s="429"/>
      <c r="AU145" s="429"/>
      <c r="AV145" s="429"/>
      <c r="AW145" s="429"/>
      <c r="AX145" s="429"/>
    </row>
    <row r="146" spans="2:50" x14ac:dyDescent="0.25">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429"/>
      <c r="Y146" s="429"/>
      <c r="Z146" s="429"/>
      <c r="AA146" s="429"/>
      <c r="AB146" s="429"/>
      <c r="AC146" s="429"/>
      <c r="AD146" s="429"/>
      <c r="AE146" s="429"/>
      <c r="AF146" s="429"/>
      <c r="AG146" s="429"/>
      <c r="AH146" s="429"/>
      <c r="AI146" s="429"/>
      <c r="AJ146" s="429"/>
      <c r="AK146" s="429"/>
      <c r="AL146" s="429"/>
      <c r="AM146" s="429"/>
      <c r="AN146" s="429"/>
      <c r="AO146" s="429"/>
      <c r="AP146" s="429"/>
      <c r="AQ146" s="429"/>
      <c r="AR146" s="429"/>
      <c r="AS146" s="429"/>
      <c r="AT146" s="429"/>
      <c r="AU146" s="429"/>
      <c r="AV146" s="429"/>
      <c r="AW146" s="429"/>
      <c r="AX146" s="429"/>
    </row>
    <row r="147" spans="2:50" x14ac:dyDescent="0.25">
      <c r="B147" s="429"/>
      <c r="C147" s="429"/>
      <c r="D147" s="429"/>
      <c r="E147" s="429"/>
      <c r="F147" s="429"/>
      <c r="G147" s="429"/>
      <c r="H147" s="429"/>
      <c r="I147" s="429"/>
      <c r="J147" s="429"/>
      <c r="K147" s="429"/>
      <c r="L147" s="429"/>
      <c r="M147" s="429"/>
      <c r="N147" s="429"/>
      <c r="O147" s="429"/>
      <c r="P147" s="429"/>
      <c r="Q147" s="429"/>
      <c r="R147" s="429"/>
      <c r="S147" s="429"/>
      <c r="T147" s="429"/>
      <c r="U147" s="429"/>
      <c r="V147" s="429"/>
      <c r="W147" s="429"/>
      <c r="X147" s="429"/>
      <c r="Y147" s="429"/>
      <c r="Z147" s="429"/>
      <c r="AA147" s="429"/>
      <c r="AB147" s="429"/>
      <c r="AC147" s="429"/>
      <c r="AD147" s="429"/>
      <c r="AE147" s="429"/>
      <c r="AF147" s="429"/>
      <c r="AG147" s="429"/>
      <c r="AH147" s="429"/>
      <c r="AI147" s="429"/>
      <c r="AJ147" s="429"/>
      <c r="AK147" s="429"/>
      <c r="AL147" s="429"/>
      <c r="AM147" s="429"/>
      <c r="AN147" s="429"/>
      <c r="AO147" s="429"/>
      <c r="AP147" s="429"/>
      <c r="AQ147" s="429"/>
      <c r="AR147" s="429"/>
      <c r="AS147" s="429"/>
      <c r="AT147" s="429"/>
      <c r="AU147" s="429"/>
      <c r="AV147" s="429"/>
      <c r="AW147" s="429"/>
      <c r="AX147" s="429"/>
    </row>
    <row r="148" spans="2:50" x14ac:dyDescent="0.25">
      <c r="B148" s="429"/>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c r="AA148" s="429"/>
      <c r="AB148" s="429"/>
      <c r="AC148" s="429"/>
      <c r="AD148" s="429"/>
      <c r="AE148" s="429"/>
      <c r="AF148" s="429"/>
      <c r="AG148" s="429"/>
      <c r="AH148" s="429"/>
      <c r="AI148" s="429"/>
      <c r="AJ148" s="429"/>
      <c r="AK148" s="429"/>
      <c r="AL148" s="429"/>
      <c r="AM148" s="429"/>
      <c r="AN148" s="429"/>
      <c r="AO148" s="429"/>
      <c r="AP148" s="429"/>
      <c r="AQ148" s="429"/>
      <c r="AR148" s="429"/>
      <c r="AS148" s="429"/>
      <c r="AT148" s="429"/>
      <c r="AU148" s="429"/>
      <c r="AV148" s="429"/>
      <c r="AW148" s="429"/>
      <c r="AX148" s="429"/>
    </row>
    <row r="149" spans="2:50" x14ac:dyDescent="0.25">
      <c r="B149" s="429"/>
      <c r="C149" s="429"/>
      <c r="D149" s="429"/>
      <c r="E149" s="429"/>
      <c r="F149" s="429"/>
      <c r="G149" s="429"/>
      <c r="H149" s="429"/>
      <c r="I149" s="429"/>
      <c r="J149" s="429"/>
      <c r="K149" s="429"/>
      <c r="L149" s="429"/>
      <c r="M149" s="429"/>
      <c r="N149" s="429"/>
      <c r="O149" s="429"/>
      <c r="P149" s="429"/>
      <c r="Q149" s="429"/>
      <c r="R149" s="429"/>
      <c r="S149" s="429"/>
      <c r="T149" s="429"/>
      <c r="U149" s="429"/>
      <c r="V149" s="429"/>
      <c r="W149" s="429"/>
      <c r="X149" s="429"/>
      <c r="Y149" s="429"/>
      <c r="Z149" s="429"/>
      <c r="AA149" s="429"/>
      <c r="AB149" s="429"/>
      <c r="AC149" s="429"/>
      <c r="AD149" s="429"/>
      <c r="AE149" s="429"/>
      <c r="AF149" s="429"/>
      <c r="AG149" s="429"/>
      <c r="AH149" s="429"/>
      <c r="AI149" s="429"/>
      <c r="AJ149" s="429"/>
      <c r="AK149" s="429"/>
      <c r="AL149" s="429"/>
      <c r="AM149" s="429"/>
      <c r="AN149" s="429"/>
      <c r="AO149" s="429"/>
      <c r="AP149" s="429"/>
      <c r="AQ149" s="429"/>
      <c r="AR149" s="429"/>
      <c r="AS149" s="429"/>
      <c r="AT149" s="429"/>
      <c r="AU149" s="429"/>
      <c r="AV149" s="429"/>
      <c r="AW149" s="429"/>
      <c r="AX149" s="429"/>
    </row>
    <row r="150" spans="2:50" x14ac:dyDescent="0.25">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c r="AC150" s="429"/>
      <c r="AD150" s="429"/>
      <c r="AE150" s="429"/>
      <c r="AF150" s="429"/>
      <c r="AG150" s="429"/>
      <c r="AH150" s="429"/>
      <c r="AI150" s="429"/>
      <c r="AJ150" s="429"/>
      <c r="AK150" s="429"/>
      <c r="AL150" s="429"/>
      <c r="AM150" s="429"/>
      <c r="AN150" s="429"/>
      <c r="AO150" s="429"/>
      <c r="AP150" s="429"/>
      <c r="AQ150" s="429"/>
      <c r="AR150" s="429"/>
      <c r="AS150" s="429"/>
      <c r="AT150" s="429"/>
      <c r="AU150" s="429"/>
      <c r="AV150" s="429"/>
      <c r="AW150" s="429"/>
      <c r="AX150" s="429"/>
    </row>
    <row r="151" spans="2:50" x14ac:dyDescent="0.25">
      <c r="B151" s="429"/>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c r="AA151" s="429"/>
      <c r="AB151" s="429"/>
      <c r="AC151" s="429"/>
      <c r="AD151" s="429"/>
      <c r="AE151" s="429"/>
      <c r="AF151" s="429"/>
      <c r="AG151" s="429"/>
      <c r="AH151" s="429"/>
      <c r="AI151" s="429"/>
      <c r="AJ151" s="429"/>
      <c r="AK151" s="429"/>
      <c r="AL151" s="429"/>
      <c r="AM151" s="429"/>
      <c r="AN151" s="429"/>
      <c r="AO151" s="429"/>
      <c r="AP151" s="429"/>
      <c r="AQ151" s="429"/>
      <c r="AR151" s="429"/>
      <c r="AS151" s="429"/>
      <c r="AT151" s="429"/>
      <c r="AU151" s="429"/>
      <c r="AV151" s="429"/>
      <c r="AW151" s="429"/>
      <c r="AX151" s="429"/>
    </row>
    <row r="152" spans="2:50" x14ac:dyDescent="0.25">
      <c r="B152" s="429"/>
      <c r="C152" s="429"/>
      <c r="D152" s="429"/>
      <c r="E152" s="429"/>
      <c r="F152" s="429"/>
      <c r="G152" s="429"/>
      <c r="H152" s="429"/>
      <c r="I152" s="429"/>
      <c r="J152" s="429"/>
      <c r="K152" s="429"/>
      <c r="L152" s="429"/>
      <c r="M152" s="429"/>
      <c r="N152" s="429"/>
      <c r="O152" s="429"/>
      <c r="P152" s="429"/>
      <c r="Q152" s="429"/>
      <c r="R152" s="429"/>
      <c r="S152" s="429"/>
      <c r="T152" s="429"/>
      <c r="U152" s="429"/>
      <c r="V152" s="429"/>
      <c r="W152" s="429"/>
      <c r="X152" s="429"/>
      <c r="Y152" s="429"/>
      <c r="Z152" s="429"/>
      <c r="AA152" s="429"/>
      <c r="AB152" s="429"/>
      <c r="AC152" s="429"/>
      <c r="AD152" s="429"/>
      <c r="AE152" s="429"/>
      <c r="AF152" s="429"/>
      <c r="AG152" s="429"/>
      <c r="AH152" s="429"/>
      <c r="AI152" s="429"/>
      <c r="AJ152" s="429"/>
      <c r="AK152" s="429"/>
      <c r="AL152" s="429"/>
      <c r="AM152" s="429"/>
      <c r="AN152" s="429"/>
      <c r="AO152" s="429"/>
      <c r="AP152" s="429"/>
      <c r="AQ152" s="429"/>
      <c r="AR152" s="429"/>
      <c r="AS152" s="429"/>
      <c r="AT152" s="429"/>
      <c r="AU152" s="429"/>
      <c r="AV152" s="429"/>
      <c r="AW152" s="429"/>
      <c r="AX152" s="429"/>
    </row>
    <row r="153" spans="2:50" x14ac:dyDescent="0.25">
      <c r="B153" s="429"/>
      <c r="C153" s="429"/>
      <c r="D153" s="429"/>
      <c r="E153" s="429"/>
      <c r="F153" s="429"/>
      <c r="G153" s="429"/>
      <c r="H153" s="429"/>
      <c r="I153" s="429"/>
      <c r="J153" s="429"/>
      <c r="K153" s="429"/>
      <c r="L153" s="429"/>
      <c r="M153" s="429"/>
      <c r="N153" s="429"/>
      <c r="O153" s="429"/>
      <c r="P153" s="429"/>
      <c r="Q153" s="429"/>
      <c r="R153" s="429"/>
      <c r="S153" s="429"/>
      <c r="T153" s="429"/>
      <c r="U153" s="429"/>
      <c r="V153" s="429"/>
      <c r="W153" s="429"/>
      <c r="X153" s="429"/>
      <c r="Y153" s="429"/>
      <c r="Z153" s="429"/>
      <c r="AA153" s="429"/>
      <c r="AB153" s="429"/>
      <c r="AC153" s="429"/>
      <c r="AD153" s="429"/>
      <c r="AE153" s="429"/>
      <c r="AF153" s="429"/>
      <c r="AG153" s="429"/>
      <c r="AH153" s="429"/>
      <c r="AI153" s="429"/>
      <c r="AJ153" s="429"/>
      <c r="AK153" s="429"/>
      <c r="AL153" s="429"/>
      <c r="AM153" s="429"/>
      <c r="AN153" s="429"/>
      <c r="AO153" s="429"/>
      <c r="AP153" s="429"/>
      <c r="AQ153" s="429"/>
      <c r="AR153" s="429"/>
      <c r="AS153" s="429"/>
      <c r="AT153" s="429"/>
      <c r="AU153" s="429"/>
      <c r="AV153" s="429"/>
      <c r="AW153" s="429"/>
      <c r="AX153" s="429"/>
    </row>
    <row r="154" spans="2:50" x14ac:dyDescent="0.25">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c r="AA154" s="429"/>
      <c r="AB154" s="429"/>
      <c r="AC154" s="429"/>
      <c r="AD154" s="429"/>
      <c r="AE154" s="429"/>
      <c r="AF154" s="429"/>
      <c r="AG154" s="429"/>
      <c r="AH154" s="429"/>
      <c r="AI154" s="429"/>
      <c r="AJ154" s="429"/>
      <c r="AK154" s="429"/>
      <c r="AL154" s="429"/>
      <c r="AM154" s="429"/>
      <c r="AN154" s="429"/>
      <c r="AO154" s="429"/>
      <c r="AP154" s="429"/>
      <c r="AQ154" s="429"/>
      <c r="AR154" s="429"/>
      <c r="AS154" s="429"/>
      <c r="AT154" s="429"/>
      <c r="AU154" s="429"/>
      <c r="AV154" s="429"/>
      <c r="AW154" s="429"/>
      <c r="AX154" s="429"/>
    </row>
    <row r="155" spans="2:50" x14ac:dyDescent="0.25">
      <c r="B155" s="440"/>
      <c r="C155" s="429"/>
      <c r="D155" s="429"/>
      <c r="E155" s="429"/>
      <c r="F155" s="429"/>
      <c r="G155" s="429"/>
      <c r="H155" s="429"/>
      <c r="I155" s="429"/>
      <c r="J155" s="429"/>
      <c r="K155" s="429"/>
      <c r="L155" s="429"/>
      <c r="M155" s="429"/>
      <c r="N155" s="429"/>
      <c r="O155" s="429"/>
      <c r="P155" s="429"/>
      <c r="Q155" s="429"/>
      <c r="R155" s="429"/>
      <c r="S155" s="429"/>
      <c r="T155" s="429"/>
      <c r="U155" s="429"/>
      <c r="V155" s="429"/>
      <c r="W155" s="429"/>
      <c r="X155" s="429"/>
      <c r="Y155" s="429"/>
      <c r="Z155" s="429"/>
      <c r="AA155" s="429"/>
      <c r="AB155" s="429"/>
      <c r="AC155" s="429"/>
      <c r="AD155" s="429"/>
      <c r="AE155" s="429"/>
      <c r="AF155" s="429"/>
      <c r="AG155" s="429"/>
      <c r="AH155" s="429"/>
      <c r="AI155" s="429"/>
      <c r="AJ155" s="429"/>
      <c r="AK155" s="429"/>
      <c r="AL155" s="429"/>
      <c r="AM155" s="429"/>
      <c r="AN155" s="429"/>
      <c r="AO155" s="429"/>
      <c r="AP155" s="429"/>
      <c r="AQ155" s="429"/>
      <c r="AR155" s="429"/>
      <c r="AS155" s="429"/>
      <c r="AT155" s="429"/>
      <c r="AU155" s="429"/>
      <c r="AV155" s="429"/>
      <c r="AW155" s="429"/>
      <c r="AX155" s="429"/>
    </row>
    <row r="156" spans="2:50" x14ac:dyDescent="0.25">
      <c r="B156" s="429"/>
      <c r="C156" s="429"/>
      <c r="D156" s="429"/>
      <c r="E156" s="429"/>
      <c r="F156" s="429"/>
      <c r="G156" s="429"/>
      <c r="H156" s="429"/>
      <c r="I156" s="429"/>
      <c r="J156" s="429"/>
      <c r="K156" s="429"/>
      <c r="L156" s="429"/>
      <c r="M156" s="429"/>
      <c r="N156" s="429"/>
      <c r="O156" s="429"/>
      <c r="P156" s="429"/>
      <c r="Q156" s="429"/>
      <c r="R156" s="429"/>
      <c r="S156" s="429"/>
      <c r="T156" s="429"/>
      <c r="U156" s="429"/>
      <c r="V156" s="429"/>
      <c r="W156" s="429"/>
      <c r="X156" s="429"/>
      <c r="Y156" s="429"/>
      <c r="Z156" s="429"/>
      <c r="AA156" s="429"/>
      <c r="AB156" s="429"/>
      <c r="AC156" s="429"/>
      <c r="AD156" s="429"/>
      <c r="AE156" s="429"/>
      <c r="AF156" s="429"/>
      <c r="AG156" s="429"/>
      <c r="AH156" s="429"/>
      <c r="AI156" s="429"/>
      <c r="AJ156" s="429"/>
      <c r="AK156" s="429"/>
      <c r="AL156" s="429"/>
      <c r="AM156" s="429"/>
      <c r="AN156" s="429"/>
      <c r="AO156" s="429"/>
      <c r="AP156" s="429"/>
      <c r="AQ156" s="429"/>
      <c r="AR156" s="429"/>
      <c r="AS156" s="429"/>
      <c r="AT156" s="429"/>
      <c r="AU156" s="429"/>
      <c r="AV156" s="429"/>
      <c r="AW156" s="429"/>
      <c r="AX156" s="429"/>
    </row>
    <row r="157" spans="2:50" x14ac:dyDescent="0.25">
      <c r="B157" s="429"/>
      <c r="C157" s="429"/>
      <c r="D157" s="429"/>
      <c r="E157" s="429"/>
      <c r="F157" s="429"/>
      <c r="G157" s="429"/>
      <c r="H157" s="429"/>
      <c r="I157" s="429"/>
      <c r="J157" s="429"/>
      <c r="K157" s="429"/>
      <c r="L157" s="429"/>
      <c r="M157" s="429"/>
      <c r="N157" s="429"/>
      <c r="O157" s="429"/>
      <c r="P157" s="429"/>
      <c r="Q157" s="429"/>
      <c r="R157" s="429"/>
      <c r="S157" s="429"/>
      <c r="T157" s="429"/>
      <c r="U157" s="429"/>
      <c r="V157" s="429"/>
      <c r="W157" s="429"/>
      <c r="X157" s="429"/>
      <c r="Y157" s="429"/>
      <c r="Z157" s="429"/>
      <c r="AA157" s="429"/>
      <c r="AB157" s="429"/>
      <c r="AC157" s="429"/>
      <c r="AD157" s="429"/>
      <c r="AE157" s="429"/>
      <c r="AF157" s="429"/>
      <c r="AG157" s="429"/>
      <c r="AH157" s="429"/>
      <c r="AI157" s="429"/>
      <c r="AJ157" s="429"/>
      <c r="AK157" s="429"/>
      <c r="AL157" s="429"/>
      <c r="AM157" s="429"/>
      <c r="AN157" s="429"/>
      <c r="AO157" s="429"/>
      <c r="AP157" s="429"/>
      <c r="AQ157" s="429"/>
      <c r="AR157" s="429"/>
      <c r="AS157" s="429"/>
      <c r="AT157" s="429"/>
      <c r="AU157" s="429"/>
      <c r="AV157" s="429"/>
      <c r="AW157" s="429"/>
      <c r="AX157" s="429"/>
    </row>
    <row r="158" spans="2:50" x14ac:dyDescent="0.25">
      <c r="B158" s="429"/>
      <c r="C158" s="429"/>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c r="AA158" s="429"/>
      <c r="AB158" s="429"/>
      <c r="AC158" s="429"/>
      <c r="AD158" s="429"/>
      <c r="AE158" s="429"/>
      <c r="AF158" s="429"/>
      <c r="AG158" s="429"/>
      <c r="AH158" s="429"/>
      <c r="AI158" s="429"/>
      <c r="AJ158" s="429"/>
      <c r="AK158" s="429"/>
      <c r="AL158" s="429"/>
      <c r="AM158" s="429"/>
      <c r="AN158" s="429"/>
      <c r="AO158" s="429"/>
      <c r="AP158" s="429"/>
      <c r="AQ158" s="429"/>
      <c r="AR158" s="429"/>
      <c r="AS158" s="429"/>
      <c r="AT158" s="429"/>
      <c r="AU158" s="429"/>
      <c r="AV158" s="429"/>
      <c r="AW158" s="429"/>
      <c r="AX158" s="429"/>
    </row>
    <row r="159" spans="2:50" x14ac:dyDescent="0.25">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29"/>
      <c r="AE159" s="429"/>
      <c r="AF159" s="429"/>
      <c r="AG159" s="429"/>
      <c r="AH159" s="429"/>
      <c r="AI159" s="429"/>
      <c r="AJ159" s="429"/>
      <c r="AK159" s="429"/>
      <c r="AL159" s="429"/>
      <c r="AM159" s="429"/>
      <c r="AN159" s="429"/>
      <c r="AO159" s="429"/>
      <c r="AP159" s="429"/>
      <c r="AQ159" s="429"/>
      <c r="AR159" s="429"/>
      <c r="AS159" s="429"/>
      <c r="AT159" s="429"/>
      <c r="AU159" s="429"/>
      <c r="AV159" s="429"/>
      <c r="AW159" s="429"/>
      <c r="AX159" s="429"/>
    </row>
    <row r="160" spans="2:50" x14ac:dyDescent="0.25">
      <c r="B160" s="429"/>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c r="AA160" s="429"/>
      <c r="AB160" s="429"/>
      <c r="AC160" s="429"/>
      <c r="AD160" s="429"/>
      <c r="AE160" s="429"/>
      <c r="AF160" s="429"/>
      <c r="AG160" s="429"/>
      <c r="AH160" s="429"/>
      <c r="AI160" s="429"/>
      <c r="AJ160" s="429"/>
      <c r="AK160" s="429"/>
      <c r="AL160" s="429"/>
      <c r="AM160" s="429"/>
      <c r="AN160" s="429"/>
      <c r="AO160" s="429"/>
      <c r="AP160" s="429"/>
      <c r="AQ160" s="429"/>
      <c r="AR160" s="429"/>
      <c r="AS160" s="429"/>
      <c r="AT160" s="429"/>
      <c r="AU160" s="429"/>
      <c r="AV160" s="429"/>
      <c r="AW160" s="429"/>
      <c r="AX160" s="429"/>
    </row>
    <row r="161" spans="2:50" x14ac:dyDescent="0.25">
      <c r="B161" s="429"/>
      <c r="C161" s="429"/>
      <c r="D161" s="429"/>
      <c r="E161" s="429"/>
      <c r="F161" s="429"/>
      <c r="G161" s="429"/>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429"/>
      <c r="AF161" s="429"/>
      <c r="AG161" s="429"/>
      <c r="AH161" s="429"/>
      <c r="AI161" s="429"/>
      <c r="AJ161" s="429"/>
      <c r="AK161" s="429"/>
      <c r="AL161" s="429"/>
      <c r="AM161" s="429"/>
      <c r="AN161" s="429"/>
      <c r="AO161" s="429"/>
      <c r="AP161" s="429"/>
      <c r="AQ161" s="429"/>
      <c r="AR161" s="429"/>
      <c r="AS161" s="429"/>
      <c r="AT161" s="429"/>
      <c r="AU161" s="429"/>
      <c r="AV161" s="429"/>
      <c r="AW161" s="429"/>
      <c r="AX161" s="429"/>
    </row>
    <row r="162" spans="2:50" x14ac:dyDescent="0.25">
      <c r="B162" s="429"/>
      <c r="C162" s="429"/>
      <c r="D162" s="429"/>
      <c r="E162" s="429"/>
      <c r="F162" s="429"/>
      <c r="G162" s="429"/>
      <c r="H162" s="429"/>
      <c r="I162" s="429"/>
      <c r="J162" s="429"/>
      <c r="K162" s="429"/>
      <c r="L162" s="429"/>
      <c r="M162" s="429"/>
      <c r="N162" s="429"/>
      <c r="O162" s="429"/>
      <c r="P162" s="429"/>
      <c r="Q162" s="429"/>
      <c r="R162" s="429"/>
      <c r="S162" s="429"/>
      <c r="T162" s="429"/>
      <c r="U162" s="429"/>
      <c r="V162" s="429"/>
      <c r="W162" s="429"/>
      <c r="X162" s="429"/>
      <c r="Y162" s="429"/>
      <c r="Z162" s="429"/>
      <c r="AA162" s="429"/>
      <c r="AB162" s="429"/>
      <c r="AC162" s="429"/>
      <c r="AD162" s="429"/>
      <c r="AE162" s="429"/>
      <c r="AF162" s="429"/>
      <c r="AG162" s="429"/>
      <c r="AH162" s="429"/>
      <c r="AI162" s="429"/>
      <c r="AJ162" s="429"/>
      <c r="AK162" s="429"/>
      <c r="AL162" s="429"/>
      <c r="AM162" s="429"/>
      <c r="AN162" s="429"/>
      <c r="AO162" s="429"/>
      <c r="AP162" s="429"/>
      <c r="AQ162" s="429"/>
      <c r="AR162" s="429"/>
      <c r="AS162" s="429"/>
      <c r="AT162" s="429"/>
      <c r="AU162" s="429"/>
      <c r="AV162" s="429"/>
      <c r="AW162" s="429"/>
      <c r="AX162" s="429"/>
    </row>
    <row r="163" spans="2:50" x14ac:dyDescent="0.25">
      <c r="B163" s="429"/>
      <c r="C163" s="429"/>
      <c r="D163" s="429"/>
      <c r="E163" s="429"/>
      <c r="F163" s="429"/>
      <c r="G163" s="429"/>
      <c r="H163" s="429"/>
      <c r="I163" s="429"/>
      <c r="J163" s="429"/>
      <c r="K163" s="429"/>
      <c r="L163" s="429"/>
      <c r="M163" s="429"/>
      <c r="N163" s="429"/>
      <c r="O163" s="429"/>
      <c r="P163" s="429"/>
      <c r="Q163" s="429"/>
      <c r="R163" s="429"/>
      <c r="S163" s="429"/>
      <c r="T163" s="429"/>
      <c r="U163" s="429"/>
      <c r="V163" s="429"/>
      <c r="W163" s="429"/>
      <c r="X163" s="429"/>
      <c r="Y163" s="429"/>
      <c r="Z163" s="429"/>
      <c r="AA163" s="429"/>
      <c r="AB163" s="429"/>
      <c r="AC163" s="429"/>
      <c r="AD163" s="429"/>
      <c r="AE163" s="429"/>
      <c r="AF163" s="429"/>
      <c r="AG163" s="429"/>
      <c r="AH163" s="429"/>
      <c r="AI163" s="429"/>
      <c r="AJ163" s="429"/>
      <c r="AK163" s="429"/>
      <c r="AL163" s="429"/>
      <c r="AM163" s="429"/>
      <c r="AN163" s="429"/>
      <c r="AO163" s="429"/>
      <c r="AP163" s="429"/>
      <c r="AQ163" s="429"/>
      <c r="AR163" s="429"/>
      <c r="AS163" s="429"/>
      <c r="AT163" s="429"/>
      <c r="AU163" s="429"/>
      <c r="AV163" s="429"/>
      <c r="AW163" s="429"/>
      <c r="AX163" s="429"/>
    </row>
    <row r="164" spans="2:50" x14ac:dyDescent="0.25">
      <c r="B164" s="429"/>
      <c r="C164" s="429"/>
      <c r="D164" s="429"/>
      <c r="E164" s="429"/>
      <c r="F164" s="429"/>
      <c r="G164" s="429"/>
      <c r="H164" s="429"/>
      <c r="I164" s="429"/>
      <c r="J164" s="429"/>
      <c r="K164" s="429"/>
      <c r="L164" s="429"/>
      <c r="M164" s="429"/>
      <c r="N164" s="429"/>
      <c r="O164" s="429"/>
      <c r="P164" s="429"/>
      <c r="Q164" s="429"/>
      <c r="R164" s="429"/>
      <c r="S164" s="429"/>
      <c r="T164" s="429"/>
      <c r="U164" s="429"/>
      <c r="V164" s="429"/>
      <c r="W164" s="429"/>
      <c r="X164" s="429"/>
      <c r="Y164" s="429"/>
      <c r="Z164" s="429"/>
      <c r="AA164" s="429"/>
      <c r="AB164" s="429"/>
      <c r="AC164" s="429"/>
      <c r="AD164" s="429"/>
      <c r="AE164" s="429"/>
      <c r="AF164" s="429"/>
      <c r="AG164" s="429"/>
      <c r="AH164" s="429"/>
      <c r="AI164" s="429"/>
      <c r="AJ164" s="429"/>
      <c r="AK164" s="429"/>
      <c r="AL164" s="429"/>
      <c r="AM164" s="429"/>
      <c r="AN164" s="429"/>
      <c r="AO164" s="429"/>
      <c r="AP164" s="429"/>
      <c r="AQ164" s="429"/>
      <c r="AR164" s="429"/>
      <c r="AS164" s="429"/>
      <c r="AT164" s="429"/>
      <c r="AU164" s="429"/>
      <c r="AV164" s="429"/>
      <c r="AW164" s="429"/>
      <c r="AX164" s="429"/>
    </row>
    <row r="165" spans="2:50" x14ac:dyDescent="0.25">
      <c r="B165" s="429"/>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c r="AA165" s="429"/>
      <c r="AB165" s="429"/>
      <c r="AC165" s="429"/>
      <c r="AD165" s="429"/>
      <c r="AE165" s="429"/>
      <c r="AF165" s="429"/>
      <c r="AG165" s="429"/>
      <c r="AH165" s="429"/>
      <c r="AI165" s="429"/>
      <c r="AJ165" s="429"/>
      <c r="AK165" s="429"/>
      <c r="AL165" s="429"/>
      <c r="AM165" s="429"/>
      <c r="AN165" s="429"/>
      <c r="AO165" s="429"/>
      <c r="AP165" s="429"/>
      <c r="AQ165" s="429"/>
      <c r="AR165" s="429"/>
      <c r="AS165" s="429"/>
      <c r="AT165" s="429"/>
      <c r="AU165" s="429"/>
      <c r="AV165" s="429"/>
      <c r="AW165" s="429"/>
      <c r="AX165" s="429"/>
    </row>
    <row r="166" spans="2:50" x14ac:dyDescent="0.25">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429"/>
      <c r="Y166" s="429"/>
      <c r="Z166" s="429"/>
      <c r="AA166" s="429"/>
      <c r="AB166" s="429"/>
      <c r="AC166" s="429"/>
      <c r="AD166" s="429"/>
      <c r="AE166" s="429"/>
      <c r="AF166" s="429"/>
      <c r="AG166" s="429"/>
      <c r="AH166" s="429"/>
      <c r="AI166" s="429"/>
      <c r="AJ166" s="429"/>
      <c r="AK166" s="429"/>
      <c r="AL166" s="429"/>
      <c r="AM166" s="429"/>
      <c r="AN166" s="429"/>
      <c r="AO166" s="429"/>
      <c r="AP166" s="429"/>
      <c r="AQ166" s="429"/>
      <c r="AR166" s="429"/>
      <c r="AS166" s="429"/>
      <c r="AT166" s="429"/>
      <c r="AU166" s="429"/>
      <c r="AV166" s="429"/>
      <c r="AW166" s="429"/>
      <c r="AX166" s="429"/>
    </row>
    <row r="167" spans="2:50" x14ac:dyDescent="0.25">
      <c r="B167" s="429"/>
      <c r="C167" s="429"/>
      <c r="D167" s="429"/>
      <c r="E167" s="429"/>
      <c r="F167" s="429"/>
      <c r="G167" s="429"/>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429"/>
      <c r="AL167" s="429"/>
      <c r="AM167" s="429"/>
      <c r="AN167" s="429"/>
      <c r="AO167" s="429"/>
      <c r="AP167" s="429"/>
      <c r="AQ167" s="429"/>
      <c r="AR167" s="429"/>
      <c r="AS167" s="429"/>
      <c r="AT167" s="429"/>
      <c r="AU167" s="429"/>
      <c r="AV167" s="429"/>
      <c r="AW167" s="429"/>
      <c r="AX167" s="429"/>
    </row>
    <row r="168" spans="2:50" x14ac:dyDescent="0.25">
      <c r="B168" s="429"/>
      <c r="C168" s="429"/>
      <c r="D168" s="429"/>
      <c r="E168" s="429"/>
      <c r="F168" s="429"/>
      <c r="G168" s="429"/>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429"/>
      <c r="AL168" s="429"/>
      <c r="AM168" s="429"/>
      <c r="AN168" s="429"/>
      <c r="AO168" s="429"/>
      <c r="AP168" s="429"/>
      <c r="AQ168" s="429"/>
      <c r="AR168" s="429"/>
      <c r="AS168" s="429"/>
      <c r="AT168" s="429"/>
      <c r="AU168" s="429"/>
      <c r="AV168" s="429"/>
      <c r="AW168" s="429"/>
      <c r="AX168" s="429"/>
    </row>
    <row r="169" spans="2:50" x14ac:dyDescent="0.25">
      <c r="B169" s="429"/>
      <c r="C169" s="429"/>
      <c r="D169" s="429"/>
      <c r="E169" s="429"/>
      <c r="F169" s="429"/>
      <c r="G169" s="429"/>
      <c r="H169" s="429"/>
      <c r="I169" s="429"/>
      <c r="J169" s="429"/>
      <c r="K169" s="429"/>
      <c r="L169" s="429"/>
      <c r="M169" s="429"/>
      <c r="N169" s="429"/>
      <c r="O169" s="429"/>
      <c r="P169" s="429"/>
      <c r="Q169" s="429"/>
      <c r="R169" s="429"/>
      <c r="S169" s="429"/>
      <c r="T169" s="429"/>
      <c r="U169" s="429"/>
      <c r="V169" s="429"/>
      <c r="W169" s="429"/>
      <c r="X169" s="429"/>
      <c r="Y169" s="429"/>
      <c r="Z169" s="429"/>
      <c r="AA169" s="429"/>
      <c r="AB169" s="429"/>
      <c r="AC169" s="429"/>
      <c r="AD169" s="429"/>
      <c r="AE169" s="429"/>
      <c r="AF169" s="429"/>
      <c r="AG169" s="429"/>
      <c r="AH169" s="429"/>
      <c r="AI169" s="429"/>
      <c r="AJ169" s="429"/>
      <c r="AK169" s="429"/>
      <c r="AL169" s="429"/>
      <c r="AM169" s="429"/>
      <c r="AN169" s="429"/>
      <c r="AO169" s="429"/>
      <c r="AP169" s="429"/>
      <c r="AQ169" s="429"/>
      <c r="AR169" s="429"/>
      <c r="AS169" s="429"/>
      <c r="AT169" s="429"/>
      <c r="AU169" s="429"/>
      <c r="AV169" s="429"/>
      <c r="AW169" s="429"/>
      <c r="AX169" s="429"/>
    </row>
    <row r="170" spans="2:50" x14ac:dyDescent="0.25">
      <c r="B170" s="429"/>
      <c r="C170" s="429"/>
      <c r="D170" s="429"/>
      <c r="E170" s="429"/>
      <c r="F170" s="429"/>
      <c r="G170" s="429"/>
      <c r="H170" s="429"/>
      <c r="I170" s="429"/>
      <c r="J170" s="429"/>
      <c r="K170" s="429"/>
      <c r="L170" s="429"/>
      <c r="M170" s="429"/>
      <c r="N170" s="429"/>
      <c r="O170" s="429"/>
      <c r="P170" s="429"/>
      <c r="Q170" s="429"/>
      <c r="R170" s="429"/>
      <c r="S170" s="429"/>
      <c r="T170" s="429"/>
      <c r="U170" s="429"/>
      <c r="V170" s="429"/>
      <c r="W170" s="429"/>
      <c r="X170" s="429"/>
      <c r="Y170" s="429"/>
      <c r="Z170" s="429"/>
      <c r="AA170" s="429"/>
      <c r="AB170" s="429"/>
      <c r="AC170" s="429"/>
      <c r="AD170" s="429"/>
      <c r="AE170" s="429"/>
      <c r="AF170" s="429"/>
      <c r="AG170" s="429"/>
      <c r="AH170" s="429"/>
      <c r="AI170" s="429"/>
      <c r="AJ170" s="429"/>
      <c r="AK170" s="429"/>
      <c r="AL170" s="429"/>
      <c r="AM170" s="429"/>
      <c r="AN170" s="429"/>
      <c r="AO170" s="429"/>
      <c r="AP170" s="429"/>
      <c r="AQ170" s="429"/>
      <c r="AR170" s="429"/>
      <c r="AS170" s="429"/>
      <c r="AT170" s="429"/>
      <c r="AU170" s="429"/>
      <c r="AV170" s="429"/>
      <c r="AW170" s="429"/>
      <c r="AX170" s="429"/>
    </row>
    <row r="171" spans="2:50" x14ac:dyDescent="0.25">
      <c r="B171" s="429"/>
      <c r="C171" s="429"/>
      <c r="D171" s="429"/>
      <c r="E171" s="429"/>
      <c r="F171" s="429"/>
      <c r="G171" s="429"/>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429"/>
      <c r="AL171" s="429"/>
      <c r="AM171" s="429"/>
      <c r="AN171" s="429"/>
      <c r="AO171" s="429"/>
      <c r="AP171" s="429"/>
      <c r="AQ171" s="429"/>
      <c r="AR171" s="429"/>
      <c r="AS171" s="429"/>
      <c r="AT171" s="429"/>
      <c r="AU171" s="429"/>
      <c r="AV171" s="429"/>
      <c r="AW171" s="429"/>
      <c r="AX171" s="429"/>
    </row>
    <row r="172" spans="2:50" x14ac:dyDescent="0.25">
      <c r="B172" s="429"/>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429"/>
      <c r="AL172" s="429"/>
      <c r="AM172" s="429"/>
      <c r="AN172" s="429"/>
      <c r="AO172" s="429"/>
      <c r="AP172" s="429"/>
      <c r="AQ172" s="429"/>
      <c r="AR172" s="429"/>
      <c r="AS172" s="429"/>
      <c r="AT172" s="429"/>
      <c r="AU172" s="429"/>
      <c r="AV172" s="429"/>
      <c r="AW172" s="429"/>
      <c r="AX172" s="429"/>
    </row>
    <row r="173" spans="2:50" x14ac:dyDescent="0.25">
      <c r="B173" s="429"/>
      <c r="C173" s="429"/>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29"/>
      <c r="Z173" s="429"/>
      <c r="AA173" s="429"/>
      <c r="AB173" s="429"/>
      <c r="AC173" s="429"/>
      <c r="AD173" s="429"/>
      <c r="AE173" s="429"/>
      <c r="AF173" s="429"/>
      <c r="AG173" s="429"/>
      <c r="AH173" s="429"/>
      <c r="AI173" s="429"/>
      <c r="AJ173" s="429"/>
      <c r="AK173" s="429"/>
      <c r="AL173" s="429"/>
      <c r="AM173" s="429"/>
      <c r="AN173" s="429"/>
      <c r="AO173" s="429"/>
      <c r="AP173" s="429"/>
      <c r="AQ173" s="429"/>
      <c r="AR173" s="429"/>
      <c r="AS173" s="429"/>
      <c r="AT173" s="429"/>
      <c r="AU173" s="429"/>
      <c r="AV173" s="429"/>
      <c r="AW173" s="429"/>
      <c r="AX173" s="429"/>
    </row>
    <row r="174" spans="2:50" x14ac:dyDescent="0.25">
      <c r="B174" s="429"/>
      <c r="C174" s="429"/>
      <c r="D174" s="429"/>
      <c r="E174" s="429"/>
      <c r="F174" s="429"/>
      <c r="G174" s="429"/>
      <c r="H174" s="429"/>
      <c r="I174" s="429"/>
      <c r="J174" s="429"/>
      <c r="K174" s="429"/>
      <c r="L174" s="429"/>
      <c r="M174" s="429"/>
      <c r="N174" s="429"/>
      <c r="O174" s="429"/>
      <c r="P174" s="429"/>
      <c r="Q174" s="429"/>
      <c r="R174" s="429"/>
      <c r="S174" s="429"/>
      <c r="T174" s="429"/>
      <c r="U174" s="429"/>
      <c r="V174" s="429"/>
      <c r="W174" s="429"/>
      <c r="X174" s="429"/>
      <c r="Y174" s="429"/>
      <c r="Z174" s="429"/>
      <c r="AA174" s="429"/>
      <c r="AB174" s="429"/>
      <c r="AC174" s="429"/>
      <c r="AD174" s="429"/>
      <c r="AE174" s="429"/>
      <c r="AF174" s="429"/>
      <c r="AG174" s="429"/>
      <c r="AH174" s="429"/>
      <c r="AI174" s="429"/>
      <c r="AJ174" s="429"/>
      <c r="AK174" s="429"/>
      <c r="AL174" s="429"/>
      <c r="AM174" s="429"/>
      <c r="AN174" s="429"/>
      <c r="AO174" s="429"/>
      <c r="AP174" s="429"/>
      <c r="AQ174" s="429"/>
      <c r="AR174" s="429"/>
      <c r="AS174" s="429"/>
      <c r="AT174" s="429"/>
      <c r="AU174" s="429"/>
      <c r="AV174" s="429"/>
      <c r="AW174" s="429"/>
      <c r="AX174" s="429"/>
    </row>
    <row r="175" spans="2:50" x14ac:dyDescent="0.25">
      <c r="B175" s="429"/>
      <c r="C175" s="429"/>
      <c r="D175" s="429"/>
      <c r="E175" s="429"/>
      <c r="F175" s="429"/>
      <c r="G175" s="429"/>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429"/>
      <c r="AL175" s="429"/>
      <c r="AM175" s="429"/>
      <c r="AN175" s="429"/>
      <c r="AO175" s="429"/>
      <c r="AP175" s="429"/>
      <c r="AQ175" s="429"/>
      <c r="AR175" s="429"/>
      <c r="AS175" s="429"/>
      <c r="AT175" s="429"/>
      <c r="AU175" s="429"/>
      <c r="AV175" s="429"/>
      <c r="AW175" s="429"/>
      <c r="AX175" s="429"/>
    </row>
    <row r="176" spans="2:50" x14ac:dyDescent="0.25">
      <c r="B176" s="429"/>
      <c r="C176" s="429"/>
      <c r="D176" s="429"/>
      <c r="E176" s="429"/>
      <c r="F176" s="429"/>
      <c r="G176" s="429"/>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429"/>
      <c r="AL176" s="429"/>
      <c r="AM176" s="429"/>
      <c r="AN176" s="429"/>
      <c r="AO176" s="429"/>
      <c r="AP176" s="429"/>
      <c r="AQ176" s="429"/>
      <c r="AR176" s="429"/>
      <c r="AS176" s="429"/>
      <c r="AT176" s="429"/>
      <c r="AU176" s="429"/>
      <c r="AV176" s="429"/>
      <c r="AW176" s="429"/>
      <c r="AX176" s="429"/>
    </row>
    <row r="177" spans="2:50" x14ac:dyDescent="0.25">
      <c r="B177" s="429"/>
      <c r="C177" s="429"/>
      <c r="D177" s="429"/>
      <c r="E177" s="429"/>
      <c r="F177" s="429"/>
      <c r="G177" s="429"/>
      <c r="H177" s="429"/>
      <c r="I177" s="429"/>
      <c r="J177" s="429"/>
      <c r="K177" s="429"/>
      <c r="L177" s="429"/>
      <c r="M177" s="429"/>
      <c r="N177" s="429"/>
      <c r="O177" s="429"/>
      <c r="P177" s="429"/>
      <c r="Q177" s="429"/>
      <c r="R177" s="429"/>
      <c r="S177" s="429"/>
      <c r="T177" s="429"/>
      <c r="U177" s="429"/>
      <c r="V177" s="429"/>
      <c r="W177" s="429"/>
      <c r="X177" s="429"/>
      <c r="Y177" s="429"/>
      <c r="Z177" s="429"/>
      <c r="AA177" s="429"/>
      <c r="AB177" s="429"/>
      <c r="AC177" s="429"/>
      <c r="AD177" s="429"/>
      <c r="AE177" s="429"/>
      <c r="AF177" s="429"/>
      <c r="AG177" s="429"/>
      <c r="AH177" s="429"/>
      <c r="AI177" s="429"/>
      <c r="AJ177" s="429"/>
      <c r="AK177" s="429"/>
      <c r="AL177" s="429"/>
      <c r="AM177" s="429"/>
      <c r="AN177" s="429"/>
      <c r="AO177" s="429"/>
      <c r="AP177" s="429"/>
      <c r="AQ177" s="429"/>
      <c r="AR177" s="429"/>
      <c r="AS177" s="429"/>
      <c r="AT177" s="429"/>
      <c r="AU177" s="429"/>
      <c r="AV177" s="429"/>
      <c r="AW177" s="429"/>
      <c r="AX177" s="429"/>
    </row>
    <row r="178" spans="2:50" x14ac:dyDescent="0.25">
      <c r="B178" s="429"/>
      <c r="C178" s="429"/>
      <c r="D178" s="429"/>
      <c r="E178" s="429"/>
      <c r="F178" s="429"/>
      <c r="G178" s="429"/>
      <c r="H178" s="429"/>
      <c r="I178" s="429"/>
      <c r="J178" s="429"/>
      <c r="K178" s="429"/>
      <c r="L178" s="429"/>
      <c r="M178" s="429"/>
      <c r="N178" s="429"/>
      <c r="O178" s="429"/>
      <c r="P178" s="429"/>
      <c r="Q178" s="429"/>
      <c r="R178" s="429"/>
      <c r="S178" s="429"/>
      <c r="T178" s="429"/>
      <c r="U178" s="429"/>
      <c r="V178" s="429"/>
      <c r="W178" s="429"/>
      <c r="X178" s="429"/>
      <c r="Y178" s="429"/>
      <c r="Z178" s="429"/>
      <c r="AA178" s="429"/>
      <c r="AB178" s="429"/>
      <c r="AC178" s="429"/>
      <c r="AD178" s="429"/>
      <c r="AE178" s="429"/>
      <c r="AF178" s="429"/>
      <c r="AG178" s="429"/>
      <c r="AH178" s="429"/>
      <c r="AI178" s="429"/>
      <c r="AJ178" s="429"/>
      <c r="AK178" s="429"/>
      <c r="AL178" s="429"/>
      <c r="AM178" s="429"/>
      <c r="AN178" s="429"/>
      <c r="AO178" s="429"/>
      <c r="AP178" s="429"/>
      <c r="AQ178" s="429"/>
      <c r="AR178" s="429"/>
      <c r="AS178" s="429"/>
      <c r="AT178" s="429"/>
      <c r="AU178" s="429"/>
      <c r="AV178" s="429"/>
      <c r="AW178" s="429"/>
      <c r="AX178" s="429"/>
    </row>
    <row r="179" spans="2:50" x14ac:dyDescent="0.25">
      <c r="B179" s="429"/>
      <c r="C179" s="429"/>
      <c r="D179" s="429"/>
      <c r="E179" s="429"/>
      <c r="F179" s="429"/>
      <c r="G179" s="429"/>
      <c r="H179" s="429"/>
      <c r="I179" s="429"/>
      <c r="J179" s="429"/>
      <c r="K179" s="429"/>
      <c r="L179" s="429"/>
      <c r="M179" s="429"/>
      <c r="N179" s="429"/>
      <c r="O179" s="429"/>
      <c r="P179" s="429"/>
      <c r="Q179" s="429"/>
      <c r="R179" s="429"/>
      <c r="S179" s="429"/>
      <c r="T179" s="429"/>
      <c r="U179" s="429"/>
      <c r="V179" s="429"/>
      <c r="W179" s="429"/>
      <c r="X179" s="429"/>
      <c r="Y179" s="429"/>
      <c r="Z179" s="429"/>
      <c r="AA179" s="429"/>
      <c r="AB179" s="429"/>
      <c r="AC179" s="429"/>
      <c r="AD179" s="429"/>
      <c r="AE179" s="429"/>
      <c r="AF179" s="429"/>
      <c r="AG179" s="429"/>
      <c r="AH179" s="429"/>
      <c r="AI179" s="429"/>
      <c r="AJ179" s="429"/>
      <c r="AK179" s="429"/>
      <c r="AL179" s="429"/>
      <c r="AM179" s="429"/>
      <c r="AN179" s="429"/>
      <c r="AO179" s="429"/>
      <c r="AP179" s="429"/>
      <c r="AQ179" s="429"/>
      <c r="AR179" s="429"/>
      <c r="AS179" s="429"/>
      <c r="AT179" s="429"/>
      <c r="AU179" s="429"/>
      <c r="AV179" s="429"/>
      <c r="AW179" s="429"/>
      <c r="AX179" s="429"/>
    </row>
    <row r="180" spans="2:50" x14ac:dyDescent="0.25">
      <c r="B180" s="429"/>
      <c r="C180" s="429"/>
      <c r="D180" s="429"/>
      <c r="E180" s="429"/>
      <c r="F180" s="429"/>
      <c r="G180" s="429"/>
      <c r="H180" s="429"/>
      <c r="I180" s="429"/>
      <c r="J180" s="429"/>
      <c r="K180" s="429"/>
      <c r="L180" s="429"/>
      <c r="M180" s="429"/>
      <c r="N180" s="429"/>
      <c r="O180" s="429"/>
      <c r="P180" s="429"/>
      <c r="Q180" s="429"/>
      <c r="R180" s="429"/>
      <c r="S180" s="429"/>
      <c r="T180" s="429"/>
      <c r="U180" s="429"/>
      <c r="V180" s="429"/>
      <c r="W180" s="429"/>
      <c r="X180" s="429"/>
      <c r="Y180" s="429"/>
      <c r="Z180" s="429"/>
      <c r="AA180" s="429"/>
      <c r="AB180" s="429"/>
      <c r="AC180" s="429"/>
      <c r="AD180" s="429"/>
      <c r="AE180" s="429"/>
      <c r="AF180" s="429"/>
      <c r="AG180" s="429"/>
      <c r="AH180" s="429"/>
      <c r="AI180" s="429"/>
      <c r="AJ180" s="429"/>
      <c r="AK180" s="429"/>
      <c r="AL180" s="429"/>
      <c r="AM180" s="429"/>
      <c r="AN180" s="429"/>
      <c r="AO180" s="429"/>
      <c r="AP180" s="429"/>
      <c r="AQ180" s="429"/>
      <c r="AR180" s="429"/>
      <c r="AS180" s="429"/>
      <c r="AT180" s="429"/>
      <c r="AU180" s="429"/>
      <c r="AV180" s="429"/>
      <c r="AW180" s="429"/>
      <c r="AX180" s="429"/>
    </row>
    <row r="181" spans="2:50" x14ac:dyDescent="0.25">
      <c r="B181" s="429"/>
      <c r="C181" s="429"/>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c r="AA181" s="429"/>
      <c r="AB181" s="429"/>
      <c r="AC181" s="429"/>
      <c r="AD181" s="429"/>
      <c r="AE181" s="429"/>
      <c r="AF181" s="429"/>
      <c r="AG181" s="429"/>
      <c r="AH181" s="429"/>
      <c r="AI181" s="429"/>
      <c r="AJ181" s="429"/>
      <c r="AK181" s="429"/>
      <c r="AL181" s="429"/>
      <c r="AM181" s="429"/>
      <c r="AN181" s="429"/>
      <c r="AO181" s="429"/>
      <c r="AP181" s="429"/>
      <c r="AQ181" s="429"/>
      <c r="AR181" s="429"/>
      <c r="AS181" s="429"/>
      <c r="AT181" s="429"/>
      <c r="AU181" s="429"/>
      <c r="AV181" s="429"/>
      <c r="AW181" s="429"/>
      <c r="AX181" s="429"/>
    </row>
    <row r="182" spans="2:50" x14ac:dyDescent="0.25">
      <c r="B182" s="429"/>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c r="AA182" s="429"/>
      <c r="AB182" s="429"/>
      <c r="AC182" s="429"/>
      <c r="AD182" s="429"/>
      <c r="AE182" s="429"/>
      <c r="AF182" s="429"/>
      <c r="AG182" s="429"/>
      <c r="AH182" s="429"/>
      <c r="AI182" s="429"/>
      <c r="AJ182" s="429"/>
      <c r="AK182" s="429"/>
      <c r="AL182" s="429"/>
      <c r="AM182" s="429"/>
      <c r="AN182" s="429"/>
      <c r="AO182" s="429"/>
      <c r="AP182" s="429"/>
      <c r="AQ182" s="429"/>
      <c r="AR182" s="429"/>
      <c r="AS182" s="429"/>
      <c r="AT182" s="429"/>
      <c r="AU182" s="429"/>
      <c r="AV182" s="429"/>
      <c r="AW182" s="429"/>
      <c r="AX182" s="429"/>
    </row>
    <row r="183" spans="2:50" x14ac:dyDescent="0.25">
      <c r="B183" s="429"/>
      <c r="C183" s="429"/>
      <c r="D183" s="429"/>
      <c r="E183" s="429"/>
      <c r="F183" s="429"/>
      <c r="G183" s="429"/>
      <c r="H183" s="429"/>
      <c r="I183" s="429"/>
      <c r="J183" s="429"/>
      <c r="K183" s="429"/>
      <c r="L183" s="429"/>
      <c r="M183" s="429"/>
      <c r="N183" s="429"/>
      <c r="O183" s="429"/>
      <c r="P183" s="429"/>
      <c r="Q183" s="429"/>
      <c r="R183" s="429"/>
      <c r="S183" s="429"/>
      <c r="T183" s="429"/>
      <c r="U183" s="429"/>
      <c r="V183" s="429"/>
      <c r="W183" s="429"/>
      <c r="X183" s="429"/>
      <c r="Y183" s="429"/>
      <c r="Z183" s="429"/>
      <c r="AA183" s="429"/>
      <c r="AB183" s="429"/>
      <c r="AC183" s="429"/>
      <c r="AD183" s="429"/>
      <c r="AE183" s="429"/>
      <c r="AF183" s="429"/>
      <c r="AG183" s="429"/>
      <c r="AH183" s="429"/>
      <c r="AI183" s="429"/>
      <c r="AJ183" s="429"/>
      <c r="AK183" s="429"/>
      <c r="AL183" s="429"/>
      <c r="AM183" s="429"/>
      <c r="AN183" s="429"/>
      <c r="AO183" s="429"/>
      <c r="AP183" s="429"/>
      <c r="AQ183" s="429"/>
      <c r="AR183" s="429"/>
      <c r="AS183" s="429"/>
      <c r="AT183" s="429"/>
      <c r="AU183" s="429"/>
      <c r="AV183" s="429"/>
      <c r="AW183" s="429"/>
      <c r="AX183" s="429"/>
    </row>
    <row r="184" spans="2:50" x14ac:dyDescent="0.25">
      <c r="B184" s="429"/>
      <c r="C184" s="429"/>
      <c r="D184" s="429"/>
      <c r="E184" s="429"/>
      <c r="F184" s="429"/>
      <c r="G184" s="429"/>
      <c r="H184" s="429"/>
      <c r="I184" s="429"/>
      <c r="J184" s="429"/>
      <c r="K184" s="429"/>
      <c r="L184" s="429"/>
      <c r="M184" s="429"/>
      <c r="N184" s="429"/>
      <c r="O184" s="429"/>
      <c r="P184" s="429"/>
      <c r="Q184" s="429"/>
      <c r="R184" s="429"/>
      <c r="S184" s="429"/>
      <c r="T184" s="429"/>
      <c r="U184" s="429"/>
      <c r="V184" s="429"/>
      <c r="W184" s="429"/>
      <c r="X184" s="429"/>
      <c r="Y184" s="429"/>
      <c r="Z184" s="429"/>
      <c r="AA184" s="429"/>
      <c r="AB184" s="429"/>
      <c r="AC184" s="429"/>
      <c r="AD184" s="429"/>
      <c r="AE184" s="429"/>
      <c r="AF184" s="429"/>
      <c r="AG184" s="429"/>
      <c r="AH184" s="429"/>
      <c r="AI184" s="429"/>
      <c r="AJ184" s="429"/>
      <c r="AK184" s="429"/>
      <c r="AL184" s="429"/>
      <c r="AM184" s="429"/>
      <c r="AN184" s="429"/>
      <c r="AO184" s="429"/>
      <c r="AP184" s="429"/>
      <c r="AQ184" s="429"/>
      <c r="AR184" s="429"/>
      <c r="AS184" s="429"/>
      <c r="AT184" s="429"/>
      <c r="AU184" s="429"/>
      <c r="AV184" s="429"/>
      <c r="AW184" s="429"/>
      <c r="AX184" s="429"/>
    </row>
    <row r="185" spans="2:50" x14ac:dyDescent="0.25">
      <c r="B185" s="429"/>
      <c r="C185" s="429"/>
      <c r="D185" s="429"/>
      <c r="E185" s="429"/>
      <c r="F185" s="429"/>
      <c r="G185" s="429"/>
      <c r="H185" s="429"/>
      <c r="I185" s="429"/>
      <c r="J185" s="429"/>
      <c r="K185" s="429"/>
      <c r="L185" s="429"/>
      <c r="M185" s="429"/>
      <c r="N185" s="429"/>
      <c r="O185" s="429"/>
      <c r="P185" s="429"/>
      <c r="Q185" s="429"/>
      <c r="R185" s="429"/>
      <c r="S185" s="429"/>
      <c r="T185" s="429"/>
      <c r="U185" s="429"/>
      <c r="V185" s="429"/>
      <c r="W185" s="429"/>
      <c r="X185" s="429"/>
      <c r="Y185" s="429"/>
      <c r="Z185" s="429"/>
      <c r="AA185" s="429"/>
      <c r="AB185" s="429"/>
      <c r="AC185" s="429"/>
      <c r="AD185" s="429"/>
      <c r="AE185" s="429"/>
      <c r="AF185" s="429"/>
      <c r="AG185" s="429"/>
      <c r="AH185" s="429"/>
      <c r="AI185" s="429"/>
      <c r="AJ185" s="429"/>
      <c r="AK185" s="429"/>
      <c r="AL185" s="429"/>
      <c r="AM185" s="429"/>
      <c r="AN185" s="429"/>
      <c r="AO185" s="429"/>
      <c r="AP185" s="429"/>
      <c r="AQ185" s="429"/>
      <c r="AR185" s="429"/>
      <c r="AS185" s="429"/>
      <c r="AT185" s="429"/>
      <c r="AU185" s="429"/>
      <c r="AV185" s="429"/>
      <c r="AW185" s="429"/>
      <c r="AX185" s="429"/>
    </row>
    <row r="186" spans="2:50" x14ac:dyDescent="0.25">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c r="AA186" s="429"/>
      <c r="AB186" s="429"/>
      <c r="AC186" s="429"/>
      <c r="AD186" s="429"/>
      <c r="AE186" s="429"/>
      <c r="AF186" s="429"/>
      <c r="AG186" s="429"/>
      <c r="AH186" s="429"/>
      <c r="AI186" s="429"/>
      <c r="AJ186" s="429"/>
      <c r="AK186" s="429"/>
      <c r="AL186" s="429"/>
      <c r="AM186" s="429"/>
      <c r="AN186" s="429"/>
      <c r="AO186" s="429"/>
      <c r="AP186" s="429"/>
      <c r="AQ186" s="429"/>
      <c r="AR186" s="429"/>
      <c r="AS186" s="429"/>
      <c r="AT186" s="429"/>
      <c r="AU186" s="429"/>
      <c r="AV186" s="429"/>
      <c r="AW186" s="429"/>
      <c r="AX186" s="429"/>
    </row>
    <row r="187" spans="2:50" x14ac:dyDescent="0.25">
      <c r="B187" s="429"/>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29"/>
      <c r="Z187" s="429"/>
      <c r="AA187" s="429"/>
      <c r="AB187" s="429"/>
      <c r="AC187" s="429"/>
      <c r="AD187" s="429"/>
      <c r="AE187" s="429"/>
      <c r="AF187" s="429"/>
      <c r="AG187" s="429"/>
      <c r="AH187" s="429"/>
      <c r="AI187" s="429"/>
      <c r="AJ187" s="429"/>
      <c r="AK187" s="429"/>
      <c r="AL187" s="429"/>
      <c r="AM187" s="429"/>
      <c r="AN187" s="429"/>
      <c r="AO187" s="429"/>
      <c r="AP187" s="429"/>
      <c r="AQ187" s="429"/>
      <c r="AR187" s="429"/>
      <c r="AS187" s="429"/>
      <c r="AT187" s="429"/>
      <c r="AU187" s="429"/>
      <c r="AV187" s="429"/>
      <c r="AW187" s="429"/>
      <c r="AX187" s="429"/>
    </row>
    <row r="188" spans="2:50" x14ac:dyDescent="0.25">
      <c r="B188" s="429"/>
      <c r="C188" s="429"/>
      <c r="D188" s="429"/>
      <c r="E188" s="429"/>
      <c r="F188" s="429"/>
      <c r="G188" s="429"/>
      <c r="H188" s="429"/>
      <c r="I188" s="429"/>
      <c r="J188" s="429"/>
      <c r="K188" s="429"/>
      <c r="L188" s="429"/>
      <c r="M188" s="429"/>
      <c r="N188" s="429"/>
      <c r="O188" s="429"/>
      <c r="P188" s="429"/>
      <c r="Q188" s="429"/>
      <c r="R188" s="429"/>
      <c r="S188" s="429"/>
      <c r="T188" s="429"/>
      <c r="U188" s="429"/>
      <c r="V188" s="429"/>
      <c r="W188" s="429"/>
      <c r="X188" s="429"/>
      <c r="Y188" s="429"/>
      <c r="Z188" s="429"/>
      <c r="AA188" s="429"/>
      <c r="AB188" s="429"/>
      <c r="AC188" s="429"/>
      <c r="AD188" s="429"/>
      <c r="AE188" s="429"/>
      <c r="AF188" s="429"/>
      <c r="AG188" s="429"/>
      <c r="AH188" s="429"/>
      <c r="AI188" s="429"/>
      <c r="AJ188" s="429"/>
      <c r="AK188" s="429"/>
      <c r="AL188" s="429"/>
      <c r="AM188" s="429"/>
      <c r="AN188" s="429"/>
      <c r="AO188" s="429"/>
      <c r="AP188" s="429"/>
      <c r="AQ188" s="429"/>
      <c r="AR188" s="429"/>
      <c r="AS188" s="429"/>
      <c r="AT188" s="429"/>
      <c r="AU188" s="429"/>
      <c r="AV188" s="429"/>
      <c r="AW188" s="429"/>
      <c r="AX188" s="429"/>
    </row>
    <row r="189" spans="2:50" x14ac:dyDescent="0.25">
      <c r="B189" s="429"/>
      <c r="C189" s="429"/>
      <c r="D189" s="429"/>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c r="AA189" s="429"/>
      <c r="AB189" s="429"/>
      <c r="AC189" s="429"/>
      <c r="AD189" s="429"/>
      <c r="AE189" s="429"/>
      <c r="AF189" s="429"/>
      <c r="AG189" s="429"/>
      <c r="AH189" s="429"/>
      <c r="AI189" s="429"/>
      <c r="AJ189" s="429"/>
      <c r="AK189" s="429"/>
      <c r="AL189" s="429"/>
      <c r="AM189" s="429"/>
      <c r="AN189" s="429"/>
      <c r="AO189" s="429"/>
      <c r="AP189" s="429"/>
      <c r="AQ189" s="429"/>
      <c r="AR189" s="429"/>
      <c r="AS189" s="429"/>
      <c r="AT189" s="429"/>
      <c r="AU189" s="429"/>
      <c r="AV189" s="429"/>
      <c r="AW189" s="429"/>
      <c r="AX189" s="429"/>
    </row>
    <row r="190" spans="2:50" x14ac:dyDescent="0.25">
      <c r="B190" s="429"/>
      <c r="C190" s="429"/>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c r="AA190" s="429"/>
      <c r="AB190" s="429"/>
      <c r="AC190" s="429"/>
      <c r="AD190" s="429"/>
      <c r="AE190" s="429"/>
      <c r="AF190" s="429"/>
      <c r="AG190" s="429"/>
      <c r="AH190" s="429"/>
      <c r="AI190" s="429"/>
      <c r="AJ190" s="429"/>
      <c r="AK190" s="429"/>
      <c r="AL190" s="429"/>
      <c r="AM190" s="429"/>
      <c r="AN190" s="429"/>
      <c r="AO190" s="429"/>
      <c r="AP190" s="429"/>
      <c r="AQ190" s="429"/>
      <c r="AR190" s="429"/>
      <c r="AS190" s="429"/>
      <c r="AT190" s="429"/>
      <c r="AU190" s="429"/>
      <c r="AV190" s="429"/>
      <c r="AW190" s="429"/>
      <c r="AX190" s="429"/>
    </row>
    <row r="191" spans="2:50" x14ac:dyDescent="0.25">
      <c r="B191" s="429"/>
      <c r="C191" s="429"/>
      <c r="D191" s="429"/>
      <c r="E191" s="429"/>
      <c r="F191" s="429"/>
      <c r="G191" s="429"/>
      <c r="H191" s="429"/>
      <c r="I191" s="429"/>
      <c r="J191" s="429"/>
      <c r="K191" s="429"/>
      <c r="L191" s="429"/>
      <c r="M191" s="429"/>
      <c r="N191" s="429"/>
      <c r="O191" s="429"/>
      <c r="P191" s="429"/>
      <c r="Q191" s="429"/>
      <c r="R191" s="429"/>
      <c r="S191" s="429"/>
      <c r="T191" s="429"/>
      <c r="U191" s="429"/>
      <c r="V191" s="429"/>
      <c r="W191" s="429"/>
      <c r="X191" s="429"/>
      <c r="Y191" s="429"/>
      <c r="Z191" s="429"/>
      <c r="AA191" s="429"/>
      <c r="AB191" s="429"/>
      <c r="AC191" s="429"/>
      <c r="AD191" s="429"/>
      <c r="AE191" s="429"/>
      <c r="AF191" s="429"/>
      <c r="AG191" s="429"/>
      <c r="AH191" s="429"/>
      <c r="AI191" s="429"/>
      <c r="AJ191" s="429"/>
      <c r="AK191" s="429"/>
      <c r="AL191" s="429"/>
      <c r="AM191" s="429"/>
      <c r="AN191" s="429"/>
      <c r="AO191" s="429"/>
      <c r="AP191" s="429"/>
      <c r="AQ191" s="429"/>
      <c r="AR191" s="429"/>
      <c r="AS191" s="429"/>
      <c r="AT191" s="429"/>
      <c r="AU191" s="429"/>
      <c r="AV191" s="429"/>
      <c r="AW191" s="429"/>
      <c r="AX191" s="429"/>
    </row>
    <row r="192" spans="2:50" x14ac:dyDescent="0.25">
      <c r="B192" s="429"/>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c r="AA192" s="429"/>
      <c r="AB192" s="429"/>
      <c r="AC192" s="429"/>
      <c r="AD192" s="429"/>
      <c r="AE192" s="429"/>
      <c r="AF192" s="429"/>
      <c r="AG192" s="429"/>
      <c r="AH192" s="429"/>
      <c r="AI192" s="429"/>
      <c r="AJ192" s="429"/>
      <c r="AK192" s="429"/>
      <c r="AL192" s="429"/>
      <c r="AM192" s="429"/>
      <c r="AN192" s="429"/>
      <c r="AO192" s="429"/>
      <c r="AP192" s="429"/>
      <c r="AQ192" s="429"/>
      <c r="AR192" s="429"/>
      <c r="AS192" s="429"/>
      <c r="AT192" s="429"/>
      <c r="AU192" s="429"/>
      <c r="AV192" s="429"/>
      <c r="AW192" s="429"/>
      <c r="AX192" s="429"/>
    </row>
    <row r="193" spans="2:50" x14ac:dyDescent="0.25">
      <c r="B193" s="429"/>
      <c r="C193" s="429"/>
      <c r="D193" s="42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c r="AA193" s="429"/>
      <c r="AB193" s="429"/>
      <c r="AC193" s="429"/>
      <c r="AD193" s="429"/>
      <c r="AE193" s="429"/>
      <c r="AF193" s="429"/>
      <c r="AG193" s="429"/>
      <c r="AH193" s="429"/>
      <c r="AI193" s="429"/>
      <c r="AJ193" s="429"/>
      <c r="AK193" s="429"/>
      <c r="AL193" s="429"/>
      <c r="AM193" s="429"/>
      <c r="AN193" s="429"/>
      <c r="AO193" s="429"/>
      <c r="AP193" s="429"/>
      <c r="AQ193" s="429"/>
      <c r="AR193" s="429"/>
      <c r="AS193" s="429"/>
      <c r="AT193" s="429"/>
      <c r="AU193" s="429"/>
      <c r="AV193" s="429"/>
      <c r="AW193" s="429"/>
      <c r="AX193" s="429"/>
    </row>
    <row r="194" spans="2:50" x14ac:dyDescent="0.25">
      <c r="B194" s="429"/>
      <c r="C194" s="429"/>
      <c r="D194" s="429"/>
      <c r="E194" s="429"/>
      <c r="F194" s="429"/>
      <c r="G194" s="429"/>
      <c r="H194" s="429"/>
      <c r="I194" s="429"/>
      <c r="J194" s="429"/>
      <c r="K194" s="429"/>
      <c r="L194" s="429"/>
      <c r="M194" s="429"/>
      <c r="N194" s="429"/>
      <c r="O194" s="429"/>
      <c r="P194" s="429"/>
      <c r="Q194" s="429"/>
      <c r="R194" s="429"/>
      <c r="S194" s="429"/>
      <c r="T194" s="429"/>
      <c r="U194" s="429"/>
      <c r="V194" s="429"/>
      <c r="W194" s="429"/>
      <c r="X194" s="429"/>
      <c r="Y194" s="429"/>
      <c r="Z194" s="429"/>
      <c r="AA194" s="429"/>
      <c r="AB194" s="429"/>
      <c r="AC194" s="429"/>
      <c r="AD194" s="429"/>
      <c r="AE194" s="429"/>
      <c r="AF194" s="429"/>
      <c r="AG194" s="429"/>
      <c r="AH194" s="429"/>
      <c r="AI194" s="429"/>
      <c r="AJ194" s="429"/>
      <c r="AK194" s="429"/>
      <c r="AL194" s="429"/>
      <c r="AM194" s="429"/>
      <c r="AN194" s="429"/>
      <c r="AO194" s="429"/>
      <c r="AP194" s="429"/>
      <c r="AQ194" s="429"/>
      <c r="AR194" s="429"/>
      <c r="AS194" s="429"/>
      <c r="AT194" s="429"/>
      <c r="AU194" s="429"/>
      <c r="AV194" s="429"/>
      <c r="AW194" s="429"/>
      <c r="AX194" s="429"/>
    </row>
    <row r="195" spans="2:50" x14ac:dyDescent="0.25">
      <c r="B195" s="429"/>
      <c r="C195" s="429"/>
      <c r="D195" s="429"/>
      <c r="E195" s="429"/>
      <c r="F195" s="429"/>
      <c r="G195" s="429"/>
      <c r="H195" s="429"/>
      <c r="I195" s="429"/>
      <c r="J195" s="429"/>
      <c r="K195" s="429"/>
      <c r="L195" s="429"/>
      <c r="M195" s="429"/>
      <c r="N195" s="429"/>
      <c r="O195" s="429"/>
      <c r="P195" s="429"/>
      <c r="Q195" s="429"/>
      <c r="R195" s="429"/>
      <c r="S195" s="429"/>
      <c r="T195" s="429"/>
      <c r="U195" s="429"/>
      <c r="V195" s="429"/>
      <c r="W195" s="429"/>
      <c r="X195" s="429"/>
      <c r="Y195" s="429"/>
      <c r="Z195" s="429"/>
      <c r="AA195" s="429"/>
      <c r="AB195" s="429"/>
      <c r="AC195" s="429"/>
      <c r="AD195" s="429"/>
      <c r="AE195" s="429"/>
      <c r="AF195" s="429"/>
      <c r="AG195" s="429"/>
      <c r="AH195" s="429"/>
      <c r="AI195" s="429"/>
      <c r="AJ195" s="429"/>
      <c r="AK195" s="429"/>
      <c r="AL195" s="429"/>
      <c r="AM195" s="429"/>
      <c r="AN195" s="429"/>
      <c r="AO195" s="429"/>
      <c r="AP195" s="429"/>
      <c r="AQ195" s="429"/>
      <c r="AR195" s="429"/>
      <c r="AS195" s="429"/>
      <c r="AT195" s="429"/>
      <c r="AU195" s="429"/>
      <c r="AV195" s="429"/>
      <c r="AW195" s="429"/>
      <c r="AX195" s="429"/>
    </row>
    <row r="196" spans="2:50" x14ac:dyDescent="0.25">
      <c r="B196" s="429"/>
      <c r="C196" s="429"/>
      <c r="D196" s="429"/>
      <c r="E196" s="429"/>
      <c r="F196" s="429"/>
      <c r="G196" s="429"/>
      <c r="H196" s="429"/>
      <c r="I196" s="429"/>
      <c r="J196" s="429"/>
      <c r="K196" s="429"/>
      <c r="L196" s="429"/>
      <c r="M196" s="429"/>
      <c r="N196" s="429"/>
      <c r="O196" s="429"/>
      <c r="P196" s="429"/>
      <c r="Q196" s="429"/>
      <c r="R196" s="429"/>
      <c r="S196" s="429"/>
      <c r="T196" s="429"/>
      <c r="U196" s="429"/>
      <c r="V196" s="429"/>
      <c r="W196" s="429"/>
      <c r="X196" s="429"/>
      <c r="Y196" s="429"/>
      <c r="Z196" s="429"/>
      <c r="AA196" s="429"/>
      <c r="AB196" s="429"/>
      <c r="AC196" s="429"/>
      <c r="AD196" s="429"/>
      <c r="AE196" s="429"/>
      <c r="AF196" s="429"/>
      <c r="AG196" s="429"/>
      <c r="AH196" s="429"/>
      <c r="AI196" s="429"/>
      <c r="AJ196" s="429"/>
      <c r="AK196" s="429"/>
      <c r="AL196" s="429"/>
      <c r="AM196" s="429"/>
      <c r="AN196" s="429"/>
      <c r="AO196" s="429"/>
      <c r="AP196" s="429"/>
      <c r="AQ196" s="429"/>
      <c r="AR196" s="429"/>
      <c r="AS196" s="429"/>
      <c r="AT196" s="429"/>
      <c r="AU196" s="429"/>
      <c r="AV196" s="429"/>
      <c r="AW196" s="429"/>
      <c r="AX196" s="429"/>
    </row>
    <row r="197" spans="2:50" x14ac:dyDescent="0.25">
      <c r="B197" s="429"/>
      <c r="C197" s="429"/>
      <c r="D197" s="429"/>
      <c r="E197" s="429"/>
      <c r="F197" s="429"/>
      <c r="G197" s="429"/>
      <c r="H197" s="429"/>
      <c r="I197" s="429"/>
      <c r="J197" s="429"/>
      <c r="K197" s="429"/>
      <c r="L197" s="429"/>
      <c r="M197" s="429"/>
      <c r="N197" s="429"/>
      <c r="O197" s="429"/>
      <c r="P197" s="429"/>
      <c r="Q197" s="429"/>
      <c r="R197" s="429"/>
      <c r="S197" s="429"/>
      <c r="T197" s="429"/>
      <c r="U197" s="429"/>
      <c r="V197" s="429"/>
      <c r="W197" s="429"/>
      <c r="X197" s="429"/>
      <c r="Y197" s="429"/>
      <c r="Z197" s="429"/>
      <c r="AA197" s="429"/>
      <c r="AB197" s="429"/>
      <c r="AC197" s="429"/>
      <c r="AD197" s="429"/>
      <c r="AE197" s="429"/>
      <c r="AF197" s="429"/>
      <c r="AG197" s="429"/>
      <c r="AH197" s="429"/>
      <c r="AI197" s="429"/>
      <c r="AJ197" s="429"/>
      <c r="AK197" s="429"/>
      <c r="AL197" s="429"/>
      <c r="AM197" s="429"/>
      <c r="AN197" s="429"/>
      <c r="AO197" s="429"/>
      <c r="AP197" s="429"/>
      <c r="AQ197" s="429"/>
      <c r="AR197" s="429"/>
      <c r="AS197" s="429"/>
      <c r="AT197" s="429"/>
      <c r="AU197" s="429"/>
      <c r="AV197" s="429"/>
      <c r="AW197" s="429"/>
      <c r="AX197" s="429"/>
    </row>
    <row r="198" spans="2:50" x14ac:dyDescent="0.25">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29"/>
      <c r="AE198" s="429"/>
      <c r="AF198" s="429"/>
      <c r="AG198" s="429"/>
      <c r="AH198" s="429"/>
      <c r="AI198" s="429"/>
      <c r="AJ198" s="429"/>
      <c r="AK198" s="429"/>
      <c r="AL198" s="429"/>
      <c r="AM198" s="429"/>
      <c r="AN198" s="429"/>
      <c r="AO198" s="429"/>
      <c r="AP198" s="429"/>
      <c r="AQ198" s="429"/>
      <c r="AR198" s="429"/>
      <c r="AS198" s="429"/>
      <c r="AT198" s="429"/>
      <c r="AU198" s="429"/>
      <c r="AV198" s="429"/>
      <c r="AW198" s="429"/>
      <c r="AX198" s="429"/>
    </row>
    <row r="199" spans="2:50" x14ac:dyDescent="0.25">
      <c r="B199" s="429"/>
      <c r="C199" s="429"/>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29"/>
      <c r="Z199" s="429"/>
      <c r="AA199" s="429"/>
      <c r="AB199" s="429"/>
      <c r="AC199" s="429"/>
      <c r="AD199" s="429"/>
      <c r="AE199" s="429"/>
      <c r="AF199" s="429"/>
      <c r="AG199" s="429"/>
      <c r="AH199" s="429"/>
      <c r="AI199" s="429"/>
      <c r="AJ199" s="429"/>
      <c r="AK199" s="429"/>
      <c r="AL199" s="429"/>
      <c r="AM199" s="429"/>
      <c r="AN199" s="429"/>
      <c r="AO199" s="429"/>
      <c r="AP199" s="429"/>
      <c r="AQ199" s="429"/>
      <c r="AR199" s="429"/>
      <c r="AS199" s="429"/>
      <c r="AT199" s="429"/>
      <c r="AU199" s="429"/>
      <c r="AV199" s="429"/>
      <c r="AW199" s="429"/>
      <c r="AX199" s="429"/>
    </row>
    <row r="200" spans="2:50" x14ac:dyDescent="0.25">
      <c r="B200" s="429"/>
      <c r="C200" s="429"/>
      <c r="D200" s="429"/>
      <c r="E200" s="429"/>
      <c r="F200" s="429"/>
      <c r="G200" s="429"/>
      <c r="H200" s="429"/>
      <c r="I200" s="429"/>
      <c r="J200" s="429"/>
      <c r="K200" s="429"/>
      <c r="L200" s="429"/>
      <c r="M200" s="429"/>
      <c r="N200" s="429"/>
      <c r="O200" s="429"/>
      <c r="P200" s="429"/>
      <c r="Q200" s="429"/>
      <c r="R200" s="429"/>
      <c r="S200" s="429"/>
      <c r="T200" s="429"/>
      <c r="U200" s="429"/>
      <c r="V200" s="429"/>
      <c r="W200" s="429"/>
      <c r="X200" s="429"/>
      <c r="Y200" s="429"/>
      <c r="Z200" s="429"/>
      <c r="AA200" s="429"/>
      <c r="AB200" s="429"/>
      <c r="AC200" s="429"/>
      <c r="AD200" s="429"/>
      <c r="AE200" s="429"/>
      <c r="AF200" s="429"/>
      <c r="AG200" s="429"/>
      <c r="AH200" s="429"/>
      <c r="AI200" s="429"/>
      <c r="AJ200" s="429"/>
      <c r="AK200" s="429"/>
      <c r="AL200" s="429"/>
      <c r="AM200" s="429"/>
      <c r="AN200" s="429"/>
      <c r="AO200" s="429"/>
      <c r="AP200" s="429"/>
      <c r="AQ200" s="429"/>
      <c r="AR200" s="429"/>
      <c r="AS200" s="429"/>
      <c r="AT200" s="429"/>
      <c r="AU200" s="429"/>
      <c r="AV200" s="429"/>
      <c r="AW200" s="429"/>
      <c r="AX200" s="429"/>
    </row>
    <row r="201" spans="2:50" x14ac:dyDescent="0.25">
      <c r="B201" s="429"/>
      <c r="C201" s="429"/>
      <c r="D201" s="429"/>
      <c r="E201" s="429"/>
      <c r="F201" s="429"/>
      <c r="G201" s="429"/>
      <c r="H201" s="429"/>
      <c r="I201" s="429"/>
      <c r="J201" s="429"/>
      <c r="K201" s="429"/>
      <c r="L201" s="429"/>
      <c r="M201" s="429"/>
      <c r="N201" s="429"/>
      <c r="O201" s="429"/>
      <c r="P201" s="429"/>
      <c r="Q201" s="429"/>
      <c r="R201" s="429"/>
      <c r="S201" s="429"/>
      <c r="T201" s="429"/>
      <c r="U201" s="429"/>
      <c r="V201" s="429"/>
      <c r="W201" s="429"/>
      <c r="X201" s="429"/>
      <c r="Y201" s="429"/>
      <c r="Z201" s="429"/>
      <c r="AA201" s="429"/>
      <c r="AB201" s="429"/>
      <c r="AC201" s="429"/>
      <c r="AD201" s="429"/>
      <c r="AE201" s="429"/>
      <c r="AF201" s="429"/>
      <c r="AG201" s="429"/>
      <c r="AH201" s="429"/>
      <c r="AI201" s="429"/>
      <c r="AJ201" s="429"/>
      <c r="AK201" s="429"/>
      <c r="AL201" s="429"/>
      <c r="AM201" s="429"/>
      <c r="AN201" s="429"/>
      <c r="AO201" s="429"/>
      <c r="AP201" s="429"/>
      <c r="AQ201" s="429"/>
      <c r="AR201" s="429"/>
      <c r="AS201" s="429"/>
      <c r="AT201" s="429"/>
      <c r="AU201" s="429"/>
      <c r="AV201" s="429"/>
      <c r="AW201" s="429"/>
      <c r="AX201" s="429"/>
    </row>
    <row r="202" spans="2:50" x14ac:dyDescent="0.25">
      <c r="B202" s="429"/>
      <c r="C202" s="429"/>
      <c r="D202" s="429"/>
      <c r="E202" s="429"/>
      <c r="F202" s="429"/>
      <c r="G202" s="429"/>
      <c r="H202" s="429"/>
      <c r="I202" s="429"/>
      <c r="J202" s="429"/>
      <c r="K202" s="429"/>
      <c r="L202" s="429"/>
      <c r="M202" s="429"/>
      <c r="N202" s="429"/>
      <c r="O202" s="429"/>
      <c r="P202" s="429"/>
      <c r="Q202" s="429"/>
      <c r="R202" s="429"/>
      <c r="S202" s="429"/>
      <c r="T202" s="429"/>
      <c r="U202" s="429"/>
      <c r="V202" s="429"/>
      <c r="W202" s="429"/>
      <c r="X202" s="429"/>
      <c r="Y202" s="429"/>
      <c r="Z202" s="429"/>
      <c r="AA202" s="429"/>
      <c r="AB202" s="429"/>
      <c r="AC202" s="429"/>
      <c r="AD202" s="429"/>
      <c r="AE202" s="429"/>
      <c r="AF202" s="429"/>
      <c r="AG202" s="429"/>
      <c r="AH202" s="429"/>
      <c r="AI202" s="429"/>
      <c r="AJ202" s="429"/>
      <c r="AK202" s="429"/>
      <c r="AL202" s="429"/>
      <c r="AM202" s="429"/>
      <c r="AN202" s="429"/>
      <c r="AO202" s="429"/>
      <c r="AP202" s="429"/>
      <c r="AQ202" s="429"/>
      <c r="AR202" s="429"/>
      <c r="AS202" s="429"/>
      <c r="AT202" s="429"/>
      <c r="AU202" s="429"/>
      <c r="AV202" s="429"/>
      <c r="AW202" s="429"/>
      <c r="AX202" s="429"/>
    </row>
    <row r="203" spans="2:50" x14ac:dyDescent="0.25">
      <c r="B203" s="429"/>
      <c r="C203" s="429"/>
      <c r="D203" s="429"/>
      <c r="E203" s="429"/>
      <c r="F203" s="429"/>
      <c r="G203" s="429"/>
      <c r="H203" s="429"/>
      <c r="I203" s="429"/>
      <c r="J203" s="429"/>
      <c r="K203" s="429"/>
      <c r="L203" s="429"/>
      <c r="M203" s="429"/>
      <c r="N203" s="429"/>
      <c r="O203" s="429"/>
      <c r="P203" s="429"/>
      <c r="Q203" s="429"/>
      <c r="R203" s="429"/>
      <c r="S203" s="429"/>
      <c r="T203" s="429"/>
      <c r="U203" s="429"/>
      <c r="V203" s="429"/>
      <c r="W203" s="429"/>
      <c r="X203" s="429"/>
      <c r="Y203" s="429"/>
      <c r="Z203" s="429"/>
      <c r="AA203" s="429"/>
      <c r="AB203" s="429"/>
      <c r="AC203" s="429"/>
      <c r="AD203" s="429"/>
      <c r="AE203" s="429"/>
      <c r="AF203" s="429"/>
      <c r="AG203" s="429"/>
      <c r="AH203" s="429"/>
      <c r="AI203" s="429"/>
      <c r="AJ203" s="429"/>
      <c r="AK203" s="429"/>
      <c r="AL203" s="429"/>
      <c r="AM203" s="429"/>
      <c r="AN203" s="429"/>
      <c r="AO203" s="429"/>
      <c r="AP203" s="429"/>
      <c r="AQ203" s="429"/>
      <c r="AR203" s="429"/>
      <c r="AS203" s="429"/>
      <c r="AT203" s="429"/>
      <c r="AU203" s="429"/>
      <c r="AV203" s="429"/>
      <c r="AW203" s="429"/>
      <c r="AX203" s="429"/>
    </row>
    <row r="204" spans="2:50" x14ac:dyDescent="0.25">
      <c r="B204" s="429"/>
      <c r="C204" s="429"/>
      <c r="D204" s="429"/>
      <c r="E204" s="429"/>
      <c r="F204" s="429"/>
      <c r="G204" s="429"/>
      <c r="H204" s="429"/>
      <c r="I204" s="429"/>
      <c r="J204" s="429"/>
      <c r="K204" s="429"/>
      <c r="L204" s="429"/>
      <c r="M204" s="429"/>
      <c r="N204" s="429"/>
      <c r="O204" s="429"/>
      <c r="P204" s="429"/>
      <c r="Q204" s="429"/>
      <c r="R204" s="429"/>
      <c r="S204" s="429"/>
      <c r="T204" s="429"/>
      <c r="U204" s="429"/>
      <c r="V204" s="429"/>
      <c r="W204" s="429"/>
      <c r="X204" s="429"/>
      <c r="Y204" s="429"/>
      <c r="Z204" s="429"/>
      <c r="AA204" s="429"/>
      <c r="AB204" s="429"/>
      <c r="AC204" s="429"/>
      <c r="AD204" s="429"/>
      <c r="AE204" s="429"/>
      <c r="AF204" s="429"/>
      <c r="AG204" s="429"/>
      <c r="AH204" s="429"/>
      <c r="AI204" s="429"/>
      <c r="AJ204" s="429"/>
      <c r="AK204" s="429"/>
      <c r="AL204" s="429"/>
      <c r="AM204" s="429"/>
      <c r="AN204" s="429"/>
      <c r="AO204" s="429"/>
      <c r="AP204" s="429"/>
      <c r="AQ204" s="429"/>
      <c r="AR204" s="429"/>
      <c r="AS204" s="429"/>
      <c r="AT204" s="429"/>
      <c r="AU204" s="429"/>
      <c r="AV204" s="429"/>
      <c r="AW204" s="429"/>
      <c r="AX204" s="429"/>
    </row>
    <row r="205" spans="2:50" x14ac:dyDescent="0.25">
      <c r="B205" s="429"/>
      <c r="C205" s="429"/>
      <c r="D205" s="429"/>
      <c r="E205" s="429"/>
      <c r="F205" s="429"/>
      <c r="G205" s="429"/>
      <c r="H205" s="429"/>
      <c r="I205" s="429"/>
      <c r="J205" s="429"/>
      <c r="K205" s="429"/>
      <c r="L205" s="429"/>
      <c r="M205" s="429"/>
      <c r="N205" s="429"/>
      <c r="O205" s="429"/>
      <c r="P205" s="429"/>
      <c r="Q205" s="429"/>
      <c r="R205" s="429"/>
      <c r="S205" s="429"/>
      <c r="T205" s="429"/>
      <c r="U205" s="429"/>
      <c r="V205" s="429"/>
      <c r="W205" s="429"/>
      <c r="X205" s="429"/>
      <c r="Y205" s="429"/>
      <c r="Z205" s="429"/>
      <c r="AA205" s="429"/>
      <c r="AB205" s="429"/>
      <c r="AC205" s="429"/>
      <c r="AD205" s="429"/>
      <c r="AE205" s="429"/>
      <c r="AF205" s="429"/>
      <c r="AG205" s="429"/>
      <c r="AH205" s="429"/>
      <c r="AI205" s="429"/>
      <c r="AJ205" s="429"/>
      <c r="AK205" s="429"/>
      <c r="AL205" s="429"/>
      <c r="AM205" s="429"/>
      <c r="AN205" s="429"/>
      <c r="AO205" s="429"/>
      <c r="AP205" s="429"/>
      <c r="AQ205" s="429"/>
      <c r="AR205" s="429"/>
      <c r="AS205" s="429"/>
      <c r="AT205" s="429"/>
      <c r="AU205" s="429"/>
      <c r="AV205" s="429"/>
      <c r="AW205" s="429"/>
      <c r="AX205" s="429"/>
    </row>
    <row r="206" spans="2:50" x14ac:dyDescent="0.25">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429"/>
      <c r="Y206" s="429"/>
      <c r="Z206" s="429"/>
      <c r="AA206" s="429"/>
      <c r="AB206" s="429"/>
      <c r="AC206" s="429"/>
      <c r="AD206" s="429"/>
      <c r="AE206" s="429"/>
      <c r="AF206" s="429"/>
      <c r="AG206" s="429"/>
      <c r="AH206" s="429"/>
      <c r="AI206" s="429"/>
      <c r="AJ206" s="429"/>
      <c r="AK206" s="429"/>
      <c r="AL206" s="429"/>
      <c r="AM206" s="429"/>
      <c r="AN206" s="429"/>
      <c r="AO206" s="429"/>
      <c r="AP206" s="429"/>
      <c r="AQ206" s="429"/>
      <c r="AR206" s="429"/>
      <c r="AS206" s="429"/>
      <c r="AT206" s="429"/>
      <c r="AU206" s="429"/>
      <c r="AV206" s="429"/>
      <c r="AW206" s="429"/>
      <c r="AX206" s="429"/>
    </row>
    <row r="207" spans="2:50" x14ac:dyDescent="0.25">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29"/>
      <c r="AE207" s="429"/>
      <c r="AF207" s="429"/>
      <c r="AG207" s="429"/>
      <c r="AH207" s="429"/>
      <c r="AI207" s="429"/>
      <c r="AJ207" s="429"/>
      <c r="AK207" s="429"/>
      <c r="AL207" s="429"/>
      <c r="AM207" s="429"/>
      <c r="AN207" s="429"/>
      <c r="AO207" s="429"/>
      <c r="AP207" s="429"/>
      <c r="AQ207" s="429"/>
      <c r="AR207" s="429"/>
      <c r="AS207" s="429"/>
      <c r="AT207" s="429"/>
      <c r="AU207" s="429"/>
      <c r="AV207" s="429"/>
      <c r="AW207" s="429"/>
      <c r="AX207" s="429"/>
    </row>
    <row r="208" spans="2:50" x14ac:dyDescent="0.25">
      <c r="B208" s="429"/>
      <c r="C208" s="429"/>
      <c r="D208" s="429"/>
      <c r="E208" s="429"/>
      <c r="F208" s="429"/>
      <c r="G208" s="429"/>
      <c r="H208" s="429"/>
      <c r="I208" s="429"/>
      <c r="J208" s="429"/>
      <c r="K208" s="429"/>
      <c r="L208" s="429"/>
      <c r="M208" s="429"/>
      <c r="N208" s="429"/>
      <c r="O208" s="429"/>
      <c r="P208" s="429"/>
      <c r="Q208" s="429"/>
      <c r="R208" s="429"/>
      <c r="S208" s="429"/>
      <c r="T208" s="429"/>
      <c r="U208" s="429"/>
      <c r="V208" s="429"/>
      <c r="W208" s="429"/>
      <c r="X208" s="429"/>
      <c r="Y208" s="429"/>
      <c r="Z208" s="429"/>
      <c r="AA208" s="429"/>
      <c r="AB208" s="429"/>
      <c r="AC208" s="429"/>
      <c r="AD208" s="429"/>
      <c r="AE208" s="429"/>
      <c r="AF208" s="429"/>
      <c r="AG208" s="429"/>
      <c r="AH208" s="429"/>
      <c r="AI208" s="429"/>
      <c r="AJ208" s="429"/>
      <c r="AK208" s="429"/>
      <c r="AL208" s="429"/>
      <c r="AM208" s="429"/>
      <c r="AN208" s="429"/>
      <c r="AO208" s="429"/>
      <c r="AP208" s="429"/>
      <c r="AQ208" s="429"/>
      <c r="AR208" s="429"/>
      <c r="AS208" s="429"/>
      <c r="AT208" s="429"/>
      <c r="AU208" s="429"/>
      <c r="AV208" s="429"/>
      <c r="AW208" s="429"/>
      <c r="AX208" s="429"/>
    </row>
    <row r="209" spans="2:50" x14ac:dyDescent="0.25">
      <c r="B209" s="429"/>
      <c r="C209" s="429"/>
      <c r="D209" s="429"/>
      <c r="E209" s="429"/>
      <c r="F209" s="429"/>
      <c r="G209" s="429"/>
      <c r="H209" s="429"/>
      <c r="I209" s="429"/>
      <c r="J209" s="429"/>
      <c r="K209" s="429"/>
      <c r="L209" s="429"/>
      <c r="M209" s="429"/>
      <c r="N209" s="429"/>
      <c r="O209" s="429"/>
      <c r="P209" s="429"/>
      <c r="Q209" s="429"/>
      <c r="R209" s="429"/>
      <c r="S209" s="429"/>
      <c r="T209" s="429"/>
      <c r="U209" s="429"/>
      <c r="V209" s="429"/>
      <c r="W209" s="429"/>
      <c r="X209" s="429"/>
      <c r="Y209" s="429"/>
      <c r="Z209" s="429"/>
      <c r="AA209" s="429"/>
      <c r="AB209" s="429"/>
      <c r="AC209" s="429"/>
      <c r="AD209" s="429"/>
      <c r="AE209" s="429"/>
      <c r="AF209" s="429"/>
      <c r="AG209" s="429"/>
      <c r="AH209" s="429"/>
      <c r="AI209" s="429"/>
      <c r="AJ209" s="429"/>
      <c r="AK209" s="429"/>
      <c r="AL209" s="429"/>
      <c r="AM209" s="429"/>
      <c r="AN209" s="429"/>
      <c r="AO209" s="429"/>
      <c r="AP209" s="429"/>
      <c r="AQ209" s="429"/>
      <c r="AR209" s="429"/>
      <c r="AS209" s="429"/>
      <c r="AT209" s="429"/>
      <c r="AU209" s="429"/>
      <c r="AV209" s="429"/>
      <c r="AW209" s="429"/>
      <c r="AX209" s="429"/>
    </row>
    <row r="210" spans="2:50" x14ac:dyDescent="0.25">
      <c r="B210" s="429"/>
      <c r="C210" s="429"/>
      <c r="D210" s="429"/>
      <c r="E210" s="429"/>
      <c r="F210" s="429"/>
      <c r="G210" s="429"/>
      <c r="H210" s="429"/>
      <c r="I210" s="429"/>
      <c r="J210" s="429"/>
      <c r="K210" s="429"/>
      <c r="L210" s="429"/>
      <c r="M210" s="429"/>
      <c r="N210" s="429"/>
      <c r="O210" s="429"/>
      <c r="P210" s="429"/>
      <c r="Q210" s="429"/>
      <c r="R210" s="429"/>
      <c r="S210" s="429"/>
      <c r="T210" s="429"/>
      <c r="U210" s="429"/>
      <c r="V210" s="429"/>
      <c r="W210" s="429"/>
      <c r="X210" s="429"/>
      <c r="Y210" s="429"/>
      <c r="Z210" s="429"/>
      <c r="AA210" s="429"/>
      <c r="AB210" s="429"/>
      <c r="AC210" s="429"/>
      <c r="AD210" s="429"/>
      <c r="AE210" s="429"/>
      <c r="AF210" s="429"/>
      <c r="AG210" s="429"/>
      <c r="AH210" s="429"/>
      <c r="AI210" s="429"/>
      <c r="AJ210" s="429"/>
      <c r="AK210" s="429"/>
      <c r="AL210" s="429"/>
      <c r="AM210" s="429"/>
      <c r="AN210" s="429"/>
      <c r="AO210" s="429"/>
      <c r="AP210" s="429"/>
      <c r="AQ210" s="429"/>
      <c r="AR210" s="429"/>
      <c r="AS210" s="429"/>
      <c r="AT210" s="429"/>
      <c r="AU210" s="429"/>
      <c r="AV210" s="429"/>
      <c r="AW210" s="429"/>
      <c r="AX210" s="429"/>
    </row>
    <row r="211" spans="2:50" x14ac:dyDescent="0.25">
      <c r="B211" s="429"/>
      <c r="C211" s="429"/>
      <c r="D211" s="429"/>
      <c r="E211" s="429"/>
      <c r="F211" s="429"/>
      <c r="G211" s="429"/>
      <c r="H211" s="429"/>
      <c r="I211" s="429"/>
      <c r="J211" s="429"/>
      <c r="K211" s="429"/>
      <c r="L211" s="429"/>
      <c r="M211" s="429"/>
      <c r="N211" s="429"/>
      <c r="O211" s="429"/>
      <c r="P211" s="429"/>
      <c r="Q211" s="429"/>
      <c r="R211" s="429"/>
      <c r="S211" s="429"/>
      <c r="T211" s="429"/>
      <c r="U211" s="429"/>
      <c r="V211" s="429"/>
      <c r="W211" s="429"/>
      <c r="X211" s="429"/>
      <c r="Y211" s="429"/>
      <c r="Z211" s="429"/>
      <c r="AA211" s="429"/>
      <c r="AB211" s="429"/>
      <c r="AC211" s="429"/>
      <c r="AD211" s="429"/>
      <c r="AE211" s="429"/>
      <c r="AF211" s="429"/>
      <c r="AG211" s="429"/>
      <c r="AH211" s="429"/>
      <c r="AI211" s="429"/>
      <c r="AJ211" s="429"/>
      <c r="AK211" s="429"/>
      <c r="AL211" s="429"/>
      <c r="AM211" s="429"/>
      <c r="AN211" s="429"/>
      <c r="AO211" s="429"/>
      <c r="AP211" s="429"/>
      <c r="AQ211" s="429"/>
      <c r="AR211" s="429"/>
      <c r="AS211" s="429"/>
      <c r="AT211" s="429"/>
      <c r="AU211" s="429"/>
      <c r="AV211" s="429"/>
      <c r="AW211" s="429"/>
      <c r="AX211" s="429"/>
    </row>
    <row r="212" spans="2:50" x14ac:dyDescent="0.25">
      <c r="B212" s="429"/>
      <c r="C212" s="429"/>
      <c r="D212" s="429"/>
      <c r="E212" s="429"/>
      <c r="F212" s="429"/>
      <c r="G212" s="429"/>
      <c r="H212" s="429"/>
      <c r="I212" s="429"/>
      <c r="J212" s="429"/>
      <c r="K212" s="429"/>
      <c r="L212" s="429"/>
      <c r="M212" s="429"/>
      <c r="N212" s="429"/>
      <c r="O212" s="429"/>
      <c r="P212" s="429"/>
      <c r="Q212" s="429"/>
      <c r="R212" s="429"/>
      <c r="S212" s="429"/>
      <c r="T212" s="429"/>
      <c r="U212" s="429"/>
      <c r="V212" s="429"/>
      <c r="W212" s="429"/>
      <c r="X212" s="429"/>
      <c r="Y212" s="429"/>
      <c r="Z212" s="429"/>
      <c r="AA212" s="429"/>
      <c r="AB212" s="429"/>
      <c r="AC212" s="429"/>
      <c r="AD212" s="429"/>
      <c r="AE212" s="429"/>
      <c r="AF212" s="429"/>
      <c r="AG212" s="429"/>
      <c r="AH212" s="429"/>
      <c r="AI212" s="429"/>
      <c r="AJ212" s="429"/>
      <c r="AK212" s="429"/>
      <c r="AL212" s="429"/>
      <c r="AM212" s="429"/>
      <c r="AN212" s="429"/>
      <c r="AO212" s="429"/>
      <c r="AP212" s="429"/>
      <c r="AQ212" s="429"/>
      <c r="AR212" s="429"/>
      <c r="AS212" s="429"/>
      <c r="AT212" s="429"/>
      <c r="AU212" s="429"/>
      <c r="AV212" s="429"/>
      <c r="AW212" s="429"/>
      <c r="AX212" s="429"/>
    </row>
    <row r="213" spans="2:50" x14ac:dyDescent="0.25">
      <c r="B213" s="429"/>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c r="AA213" s="429"/>
      <c r="AB213" s="429"/>
      <c r="AC213" s="429"/>
      <c r="AD213" s="429"/>
      <c r="AE213" s="429"/>
      <c r="AF213" s="429"/>
      <c r="AG213" s="429"/>
      <c r="AH213" s="429"/>
      <c r="AI213" s="429"/>
      <c r="AJ213" s="429"/>
      <c r="AK213" s="429"/>
      <c r="AL213" s="429"/>
      <c r="AM213" s="429"/>
      <c r="AN213" s="429"/>
      <c r="AO213" s="429"/>
      <c r="AP213" s="429"/>
      <c r="AQ213" s="429"/>
      <c r="AR213" s="429"/>
      <c r="AS213" s="429"/>
      <c r="AT213" s="429"/>
      <c r="AU213" s="429"/>
      <c r="AV213" s="429"/>
      <c r="AW213" s="429"/>
      <c r="AX213" s="429"/>
    </row>
  </sheetData>
  <sheetProtection algorithmName="SHA-512" hashValue="ZH3vw9GMAObGhBPO5lXrGVw02ZiGjULxiJzry+fxcwsU653EbSfjFJ7j/+4xFwoaq5CjHcU1pc+hpeW36ZIEYg==" saltValue="fQE7soQ0QUjd3HD2IiJyoA==" spinCount="100000" sheet="1" selectLockedCells="1"/>
  <protectedRanges>
    <protectedRange sqref="D33:D36 D40:D43 D46:D50 D55 D53" name="Intervallo1"/>
    <protectedRange sqref="D33:D36 D40:D43 D46:D50 D55 D53" name="Intervallo1_5"/>
    <protectedRange sqref="D37 D44 D39 D51" name="Intervallo1_1"/>
    <protectedRange sqref="D37 D44 D39 D51" name="Intervallo1_5_1"/>
    <protectedRange sqref="D56:D57" name="Intervallo1_2"/>
    <protectedRange sqref="D56:D57" name="Intervallo1_5_2"/>
  </protectedRanges>
  <customSheetViews>
    <customSheetView guid="{5E8F20A8-8220-4169-B947-2AB764A2AA7B}" scale="85" showGridLines="0" showRowCol="0">
      <selection activeCell="C76" sqref="C76:D76"/>
      <pageMargins left="0.7" right="0.7" top="0.75" bottom="0.75" header="0.3" footer="0.3"/>
      <pageSetup paperSize="9" orientation="portrait" r:id="rId1"/>
    </customSheetView>
    <customSheetView guid="{9F540994-A66B-4083-BD64-035E71878618}" scale="85" showGridLines="0" showRowCol="0" topLeftCell="A112">
      <selection activeCell="J132" sqref="J132:P132"/>
      <pageMargins left="0.7" right="0.7" top="0.75" bottom="0.75" header="0.3" footer="0.3"/>
      <pageSetup paperSize="9" orientation="portrait" r:id="rId2"/>
    </customSheetView>
  </customSheetViews>
  <mergeCells count="39">
    <mergeCell ref="V116:Z117"/>
    <mergeCell ref="S86:U86"/>
    <mergeCell ref="Y86:AB86"/>
    <mergeCell ref="Y103:AB103"/>
    <mergeCell ref="V86:X86"/>
    <mergeCell ref="S103:U103"/>
    <mergeCell ref="V103:X103"/>
    <mergeCell ref="V99:Z100"/>
    <mergeCell ref="I63:M64"/>
    <mergeCell ref="L86:N86"/>
    <mergeCell ref="I103:K103"/>
    <mergeCell ref="L103:N103"/>
    <mergeCell ref="I86:K86"/>
    <mergeCell ref="K74:K75"/>
    <mergeCell ref="J74:J75"/>
    <mergeCell ref="L74:L75"/>
    <mergeCell ref="M74:M75"/>
    <mergeCell ref="H66:N68"/>
    <mergeCell ref="J132:P132"/>
    <mergeCell ref="C76:D76"/>
    <mergeCell ref="J126:N126"/>
    <mergeCell ref="B98:C98"/>
    <mergeCell ref="B115:C115"/>
    <mergeCell ref="B111:B113"/>
    <mergeCell ref="O103:R103"/>
    <mergeCell ref="O86:R86"/>
    <mergeCell ref="J129:P129"/>
    <mergeCell ref="J128:P128"/>
    <mergeCell ref="J131:P131"/>
    <mergeCell ref="B120:C120"/>
    <mergeCell ref="F33:G38"/>
    <mergeCell ref="F40:G45"/>
    <mergeCell ref="F47:G52"/>
    <mergeCell ref="B105:B107"/>
    <mergeCell ref="B108:B110"/>
    <mergeCell ref="B78:B79"/>
    <mergeCell ref="B88:B90"/>
    <mergeCell ref="B91:B93"/>
    <mergeCell ref="B94:B96"/>
  </mergeCells>
  <conditionalFormatting sqref="I63:M64">
    <cfRule type="cellIs" dxfId="32" priority="4" operator="equal">
      <formula>"A tergo del paramento è stato inserito il drenaggio;                                  Si annulla la spinta dell'acqua"</formula>
    </cfRule>
  </conditionalFormatting>
  <conditionalFormatting sqref="H66:N68">
    <cfRule type="cellIs" dxfId="31" priority="3" operator="equal">
      <formula>"AGGIORNA ALTEZZA DEGLI STRATI SUI DATI!"</formula>
    </cfRule>
  </conditionalFormatting>
  <conditionalFormatting sqref="F74:M76">
    <cfRule type="notContainsBlanks" dxfId="30" priority="2">
      <formula>LEN(TRIM(F74))&gt;0</formula>
    </cfRule>
  </conditionalFormatting>
  <conditionalFormatting sqref="AC87:AI117">
    <cfRule type="notContainsBlanks" dxfId="29" priority="1">
      <formula>LEN(TRIM(AC87))&gt;0</formula>
    </cfRule>
  </conditionalFormatting>
  <dataValidations count="6">
    <dataValidation type="list" allowBlank="1" showInputMessage="1" showErrorMessage="1" sqref="J131">
      <formula1>graf1</formula1>
    </dataValidation>
    <dataValidation type="list" allowBlank="1" showInputMessage="1" showErrorMessage="1" sqref="J128">
      <formula1>graf2</formula1>
    </dataValidation>
    <dataValidation type="list" allowBlank="1" showInputMessage="1" showErrorMessage="1" sqref="J132">
      <formula1>graf3</formula1>
    </dataValidation>
    <dataValidation type="list" allowBlank="1" showInputMessage="1" showErrorMessage="1" sqref="J129">
      <formula1>graf4</formula1>
    </dataValidation>
    <dataValidation type="list" allowBlank="1" showInputMessage="1" showErrorMessage="1" sqref="C76:D76">
      <formula1>spin</formula1>
    </dataValidation>
    <dataValidation type="list" allowBlank="1" showInputMessage="1" showErrorMessage="1" sqref="D65">
      <formula1>sn</formula1>
    </dataValidation>
  </dataValidations>
  <pageMargins left="0.7" right="0.7" top="0.75" bottom="0.75" header="0.3" footer="0.3"/>
  <pageSetup paperSize="9" orientation="portrait" r:id="rId3"/>
  <ignoredErrors>
    <ignoredError sqref="D38 D45 G90:H90 K88 J90:K90 G88:H88"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cellIs" priority="9" operator="equal" id="{D50456B5-C3AC-46AF-8CB4-7E85FE4943A3}">
            <xm:f>'FOGLIO DEPOSITO'!$H$165</xm:f>
            <x14:dxf>
              <fill>
                <patternFill>
                  <bgColor theme="0" tint="-0.14996795556505021"/>
                </patternFill>
              </fill>
            </x14:dxf>
          </x14:cfRule>
          <xm:sqref>F33:G38</xm:sqref>
        </x14:conditionalFormatting>
        <x14:conditionalFormatting xmlns:xm="http://schemas.microsoft.com/office/excel/2006/main">
          <x14:cfRule type="cellIs" priority="8" operator="equal" id="{CE7643A8-EABA-4264-904E-49396E245324}">
            <xm:f>'FOGLIO DEPOSITO'!$H$168</xm:f>
            <x14:dxf>
              <fill>
                <patternFill>
                  <bgColor theme="0" tint="-0.14996795556505021"/>
                </patternFill>
              </fill>
            </x14:dxf>
          </x14:cfRule>
          <xm:sqref>F40:G45</xm:sqref>
        </x14:conditionalFormatting>
        <x14:conditionalFormatting xmlns:xm="http://schemas.microsoft.com/office/excel/2006/main">
          <x14:cfRule type="cellIs" priority="7" operator="equal" id="{15557D6C-4D77-4FDC-B716-8F151F823315}">
            <xm:f>'FOGLIO DEPOSITO'!$H$171</xm:f>
            <x14:dxf>
              <fill>
                <patternFill>
                  <bgColor theme="0" tint="-0.14996795556505021"/>
                </patternFill>
              </fill>
            </x14:dxf>
          </x14:cfRule>
          <xm:sqref>F47:G52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AJ331"/>
  <sheetViews>
    <sheetView showGridLines="0" showRowColHeaders="0" zoomScale="90" zoomScaleNormal="90" workbookViewId="0">
      <selection activeCell="F111" sqref="F111"/>
    </sheetView>
  </sheetViews>
  <sheetFormatPr defaultRowHeight="15" x14ac:dyDescent="0.25"/>
  <cols>
    <col min="1" max="1" width="3.7109375" customWidth="1"/>
    <col min="2" max="2" width="18.42578125" customWidth="1"/>
    <col min="3" max="3" width="15.7109375" customWidth="1"/>
    <col min="4" max="4" width="14.140625" customWidth="1"/>
    <col min="5" max="5" width="15.7109375" customWidth="1"/>
    <col min="6" max="6" width="16.140625" customWidth="1"/>
    <col min="7" max="10" width="15.7109375" customWidth="1"/>
    <col min="11" max="11" width="17.7109375" customWidth="1"/>
    <col min="12" max="30" width="15.7109375" customWidth="1"/>
  </cols>
  <sheetData>
    <row r="1" spans="1:23" x14ac:dyDescent="0.25">
      <c r="A1" s="429"/>
      <c r="B1" s="429"/>
      <c r="C1" s="429"/>
      <c r="D1" s="429"/>
      <c r="E1" s="429"/>
      <c r="F1" s="429"/>
      <c r="G1" s="429"/>
      <c r="H1" s="429"/>
      <c r="I1" s="429"/>
      <c r="J1" s="429"/>
      <c r="K1" s="429"/>
      <c r="L1" s="429"/>
      <c r="M1" s="429"/>
      <c r="N1" s="429"/>
      <c r="O1" s="429"/>
      <c r="P1" s="429"/>
      <c r="Q1" s="429"/>
      <c r="R1" s="429"/>
      <c r="S1" s="429"/>
      <c r="T1" s="429"/>
      <c r="U1" s="429"/>
      <c r="V1" s="429"/>
      <c r="W1" s="429"/>
    </row>
    <row r="2" spans="1:23" ht="23.25" x14ac:dyDescent="0.35">
      <c r="A2" s="429"/>
      <c r="B2" s="421" t="s">
        <v>741</v>
      </c>
      <c r="C2" s="429"/>
      <c r="D2" s="429"/>
      <c r="E2" s="429"/>
      <c r="F2" s="429"/>
      <c r="G2" s="429"/>
      <c r="H2" s="429"/>
      <c r="I2" s="429"/>
      <c r="J2" s="429"/>
      <c r="K2" s="429"/>
      <c r="L2" s="429"/>
      <c r="M2" s="429"/>
      <c r="N2" s="429"/>
      <c r="O2" s="429"/>
      <c r="P2" s="429"/>
      <c r="Q2" s="429"/>
      <c r="R2" s="429"/>
      <c r="S2" s="429"/>
      <c r="T2" s="429"/>
      <c r="U2" s="429"/>
      <c r="V2" s="429"/>
      <c r="W2" s="429"/>
    </row>
    <row r="3" spans="1:23" x14ac:dyDescent="0.25">
      <c r="A3" s="429"/>
      <c r="B3" s="429"/>
      <c r="C3" s="429"/>
      <c r="D3" s="429"/>
      <c r="E3" s="429"/>
      <c r="F3" s="429"/>
      <c r="G3" s="429"/>
      <c r="H3" s="429"/>
      <c r="I3" s="429"/>
      <c r="J3" s="429"/>
      <c r="K3" s="429"/>
      <c r="L3" s="429"/>
      <c r="M3" s="429"/>
      <c r="N3" s="429"/>
      <c r="O3" s="429"/>
      <c r="P3" s="429"/>
      <c r="Q3" s="429"/>
      <c r="R3" s="429"/>
      <c r="S3" s="429"/>
      <c r="T3" s="429"/>
      <c r="U3" s="429"/>
      <c r="V3" s="429"/>
      <c r="W3" s="429"/>
    </row>
    <row r="4" spans="1:23" ht="21" x14ac:dyDescent="0.35">
      <c r="A4" s="429"/>
      <c r="B4" s="422" t="s">
        <v>51</v>
      </c>
      <c r="C4" s="429"/>
      <c r="D4" s="429"/>
      <c r="E4" s="429"/>
      <c r="F4" s="429"/>
      <c r="G4" s="429"/>
      <c r="H4" s="429"/>
      <c r="I4" s="429"/>
      <c r="J4" s="429"/>
      <c r="K4" s="429"/>
      <c r="L4" s="429"/>
      <c r="M4" s="429"/>
      <c r="N4" s="429"/>
      <c r="O4" s="429"/>
      <c r="P4" s="429"/>
      <c r="Q4" s="429"/>
      <c r="R4" s="429"/>
      <c r="S4" s="429"/>
      <c r="T4" s="429"/>
      <c r="U4" s="429"/>
      <c r="V4" s="429"/>
      <c r="W4" s="429"/>
    </row>
    <row r="5" spans="1:23" s="428" customFormat="1" ht="15" customHeight="1" x14ac:dyDescent="0.35">
      <c r="A5" s="429"/>
      <c r="B5" s="422"/>
      <c r="C5" s="429"/>
      <c r="D5" s="429"/>
      <c r="E5" s="429"/>
      <c r="F5" s="429"/>
      <c r="G5" s="429"/>
      <c r="H5" s="429"/>
      <c r="I5" s="429"/>
      <c r="J5" s="429"/>
      <c r="K5" s="429"/>
      <c r="L5" s="429"/>
      <c r="M5" s="429"/>
      <c r="N5" s="429"/>
      <c r="O5" s="429"/>
      <c r="P5" s="429"/>
      <c r="Q5" s="429"/>
      <c r="R5" s="429"/>
      <c r="S5" s="429"/>
      <c r="T5" s="429"/>
      <c r="U5" s="429"/>
      <c r="V5" s="429"/>
      <c r="W5" s="429"/>
    </row>
    <row r="6" spans="1:23" s="428" customFormat="1" ht="18.75" x14ac:dyDescent="0.3">
      <c r="A6" s="429"/>
      <c r="B6" s="436" t="s">
        <v>783</v>
      </c>
      <c r="C6" s="439"/>
      <c r="D6" s="677"/>
      <c r="E6" s="678"/>
      <c r="F6" s="429"/>
      <c r="G6" s="429"/>
      <c r="H6" s="429"/>
      <c r="I6" s="429"/>
      <c r="J6" s="429"/>
      <c r="K6" s="429"/>
      <c r="L6" s="429"/>
      <c r="M6" s="429"/>
      <c r="N6" s="429"/>
      <c r="O6" s="429"/>
      <c r="P6" s="429"/>
      <c r="Q6" s="429"/>
      <c r="R6" s="429"/>
      <c r="S6" s="429"/>
      <c r="T6" s="429"/>
      <c r="U6" s="429"/>
      <c r="V6" s="429"/>
      <c r="W6" s="429"/>
    </row>
    <row r="7" spans="1:23" s="428" customFormat="1" ht="18.75" x14ac:dyDescent="0.3">
      <c r="A7" s="429"/>
      <c r="B7" s="440"/>
      <c r="C7" s="439"/>
      <c r="D7" s="677"/>
      <c r="E7" s="678"/>
      <c r="F7" s="429"/>
      <c r="G7" s="429"/>
      <c r="H7" s="429"/>
      <c r="I7" s="429"/>
      <c r="J7" s="429"/>
      <c r="K7" s="429"/>
      <c r="L7" s="429"/>
      <c r="M7" s="429"/>
      <c r="N7" s="429"/>
      <c r="O7" s="429"/>
      <c r="P7" s="429"/>
      <c r="Q7" s="429"/>
      <c r="R7" s="429"/>
      <c r="S7" s="429"/>
      <c r="T7" s="429"/>
      <c r="U7" s="429"/>
      <c r="V7" s="429"/>
      <c r="W7" s="429"/>
    </row>
    <row r="8" spans="1:23" s="428" customFormat="1" x14ac:dyDescent="0.25">
      <c r="A8" s="429"/>
      <c r="B8" s="432" t="s">
        <v>326</v>
      </c>
      <c r="C8" s="429"/>
      <c r="D8" s="432" t="str">
        <f>'ANALISI DELLE SPINTE'!C6</f>
        <v>SISMICA</v>
      </c>
      <c r="E8" s="429"/>
      <c r="F8" s="429"/>
      <c r="G8" s="445" t="s">
        <v>463</v>
      </c>
      <c r="H8" s="631" t="s">
        <v>25</v>
      </c>
      <c r="I8" s="429"/>
      <c r="J8" s="429"/>
      <c r="K8" s="429"/>
      <c r="L8" s="429"/>
      <c r="M8" s="429"/>
      <c r="N8" s="429"/>
      <c r="O8" s="429"/>
      <c r="P8" s="429"/>
      <c r="Q8" s="429"/>
      <c r="R8" s="429"/>
      <c r="S8" s="429"/>
      <c r="T8" s="429"/>
      <c r="U8" s="429"/>
      <c r="V8" s="429"/>
      <c r="W8" s="429"/>
    </row>
    <row r="9" spans="1:23" s="428" customFormat="1" x14ac:dyDescent="0.25">
      <c r="A9" s="429"/>
      <c r="B9" s="429"/>
      <c r="C9" s="429"/>
      <c r="D9" s="429"/>
      <c r="E9" s="429"/>
      <c r="F9" s="429"/>
      <c r="G9" s="635" t="s">
        <v>785</v>
      </c>
      <c r="H9" s="633">
        <f>'ANALISI DELLE SPINTE'!D11</f>
        <v>1</v>
      </c>
      <c r="I9" s="429"/>
      <c r="J9" s="429"/>
      <c r="K9" s="429"/>
      <c r="L9" s="429"/>
      <c r="M9" s="429"/>
      <c r="N9" s="429"/>
      <c r="O9" s="429"/>
      <c r="P9" s="429"/>
      <c r="Q9" s="429"/>
      <c r="R9" s="429"/>
      <c r="S9" s="429"/>
      <c r="T9" s="429"/>
      <c r="U9" s="429"/>
      <c r="V9" s="429"/>
      <c r="W9" s="429"/>
    </row>
    <row r="10" spans="1:23" s="428" customFormat="1" x14ac:dyDescent="0.25">
      <c r="A10" s="429"/>
      <c r="B10" s="432" t="s">
        <v>469</v>
      </c>
      <c r="C10" s="429"/>
      <c r="D10" s="432" t="str">
        <f>'ANALISI DELLE SPINTE'!C8</f>
        <v xml:space="preserve"> APPROCCIO 2 --- Combinazione (A1+M1+R3)</v>
      </c>
      <c r="E10" s="429"/>
      <c r="F10" s="429"/>
      <c r="G10" s="635" t="s">
        <v>786</v>
      </c>
      <c r="H10" s="633">
        <f>'ANALISI DELLE SPINTE'!D12</f>
        <v>1</v>
      </c>
      <c r="I10" s="429"/>
      <c r="J10" s="429"/>
      <c r="K10" s="429"/>
      <c r="L10" s="429"/>
      <c r="M10" s="429"/>
      <c r="N10" s="429"/>
      <c r="O10" s="429"/>
      <c r="P10" s="429"/>
      <c r="Q10" s="429"/>
      <c r="R10" s="429"/>
      <c r="S10" s="429"/>
      <c r="T10" s="429"/>
      <c r="U10" s="429"/>
      <c r="V10" s="429"/>
      <c r="W10" s="429"/>
    </row>
    <row r="11" spans="1:23" s="428" customFormat="1" x14ac:dyDescent="0.25">
      <c r="A11" s="429"/>
      <c r="B11" s="636"/>
      <c r="C11" s="636"/>
      <c r="D11" s="637"/>
      <c r="E11" s="429"/>
      <c r="F11" s="429"/>
      <c r="G11" s="635" t="s">
        <v>787</v>
      </c>
      <c r="H11" s="633">
        <f>'ANALISI DELLE SPINTE'!D13</f>
        <v>1</v>
      </c>
      <c r="I11" s="429"/>
      <c r="J11" s="429"/>
      <c r="K11" s="429"/>
      <c r="L11" s="429"/>
      <c r="M11" s="429"/>
      <c r="N11" s="429"/>
      <c r="O11" s="429"/>
      <c r="P11" s="429"/>
      <c r="Q11" s="429"/>
      <c r="R11" s="429"/>
      <c r="S11" s="429"/>
      <c r="T11" s="429"/>
      <c r="U11" s="429"/>
      <c r="V11" s="429"/>
      <c r="W11" s="429"/>
    </row>
    <row r="12" spans="1:23" s="428" customFormat="1" x14ac:dyDescent="0.25">
      <c r="A12" s="429"/>
      <c r="B12" s="636"/>
      <c r="C12" s="429"/>
      <c r="D12" s="429"/>
      <c r="E12" s="429"/>
      <c r="F12" s="429"/>
      <c r="G12" s="636"/>
      <c r="H12" s="447"/>
      <c r="I12" s="429"/>
      <c r="J12" s="429"/>
      <c r="K12" s="429"/>
      <c r="L12" s="429"/>
      <c r="M12" s="429"/>
      <c r="N12" s="429"/>
      <c r="O12" s="429"/>
      <c r="P12" s="429"/>
      <c r="Q12" s="429"/>
      <c r="R12" s="429"/>
      <c r="S12" s="429"/>
      <c r="T12" s="429"/>
      <c r="U12" s="429"/>
      <c r="V12" s="429"/>
      <c r="W12" s="429"/>
    </row>
    <row r="13" spans="1:23" s="428" customFormat="1" x14ac:dyDescent="0.25">
      <c r="A13" s="429"/>
      <c r="B13" s="636"/>
      <c r="C13" s="429"/>
      <c r="D13" s="429"/>
      <c r="E13" s="429"/>
      <c r="F13" s="429"/>
      <c r="G13" s="445" t="s">
        <v>464</v>
      </c>
      <c r="H13" s="446">
        <f>'Progetto della zattera slu'!F18</f>
        <v>1</v>
      </c>
      <c r="I13" s="429"/>
      <c r="J13" s="429"/>
      <c r="K13" s="429"/>
      <c r="L13" s="429"/>
      <c r="M13" s="429"/>
      <c r="N13" s="429"/>
      <c r="O13" s="429"/>
      <c r="P13" s="429"/>
      <c r="Q13" s="429"/>
      <c r="R13" s="429"/>
      <c r="S13" s="429"/>
      <c r="T13" s="429"/>
      <c r="U13" s="429"/>
      <c r="V13" s="429"/>
      <c r="W13" s="429"/>
    </row>
    <row r="14" spans="1:23" s="428" customFormat="1" x14ac:dyDescent="0.25">
      <c r="A14" s="429"/>
      <c r="B14" s="636"/>
      <c r="C14" s="429"/>
      <c r="D14" s="429"/>
      <c r="E14" s="429"/>
      <c r="F14" s="429"/>
      <c r="G14" s="631" t="s">
        <v>198</v>
      </c>
      <c r="H14" s="633">
        <f>'ANALISI DELLE SPINTE'!D16</f>
        <v>1</v>
      </c>
      <c r="I14" s="429"/>
      <c r="J14" s="429"/>
      <c r="K14" s="429"/>
      <c r="L14" s="429"/>
      <c r="M14" s="429"/>
      <c r="N14" s="429"/>
      <c r="O14" s="429"/>
      <c r="P14" s="429"/>
      <c r="Q14" s="429"/>
      <c r="R14" s="429"/>
      <c r="S14" s="429"/>
      <c r="T14" s="429"/>
      <c r="U14" s="429"/>
      <c r="V14" s="429"/>
      <c r="W14" s="429"/>
    </row>
    <row r="15" spans="1:23" s="428" customFormat="1" x14ac:dyDescent="0.25">
      <c r="A15" s="429"/>
      <c r="B15" s="636"/>
      <c r="C15" s="429"/>
      <c r="D15" s="429"/>
      <c r="E15" s="429"/>
      <c r="F15" s="429"/>
      <c r="G15" s="631" t="s">
        <v>199</v>
      </c>
      <c r="H15" s="633">
        <f>'ANALISI DELLE SPINTE'!D17</f>
        <v>1</v>
      </c>
      <c r="I15" s="429"/>
      <c r="J15" s="429"/>
      <c r="K15" s="429"/>
      <c r="L15" s="429"/>
      <c r="M15" s="429"/>
      <c r="N15" s="429"/>
      <c r="O15" s="429"/>
      <c r="P15" s="429"/>
      <c r="Q15" s="429"/>
      <c r="R15" s="429"/>
      <c r="S15" s="429"/>
      <c r="T15" s="429"/>
      <c r="U15" s="429"/>
      <c r="V15" s="429"/>
      <c r="W15" s="429"/>
    </row>
    <row r="16" spans="1:23" s="428" customFormat="1" x14ac:dyDescent="0.25">
      <c r="A16" s="429"/>
      <c r="B16" s="636"/>
      <c r="C16" s="429"/>
      <c r="D16" s="429"/>
      <c r="E16" s="429"/>
      <c r="F16" s="429"/>
      <c r="G16" s="631" t="s">
        <v>201</v>
      </c>
      <c r="H16" s="633">
        <f>'ANALISI DELLE SPINTE'!D18</f>
        <v>1</v>
      </c>
      <c r="I16" s="429"/>
      <c r="J16" s="429"/>
      <c r="K16" s="429"/>
      <c r="L16" s="429"/>
      <c r="M16" s="429"/>
      <c r="N16" s="429"/>
      <c r="O16" s="429"/>
      <c r="P16" s="429"/>
      <c r="Q16" s="429"/>
      <c r="R16" s="429"/>
      <c r="S16" s="429"/>
      <c r="T16" s="429"/>
      <c r="U16" s="429"/>
      <c r="V16" s="429"/>
      <c r="W16" s="429"/>
    </row>
    <row r="17" spans="1:36" s="428" customFormat="1" x14ac:dyDescent="0.25">
      <c r="A17" s="429"/>
      <c r="B17" s="636"/>
      <c r="C17" s="429"/>
      <c r="D17" s="429"/>
      <c r="E17" s="429"/>
      <c r="F17" s="429"/>
      <c r="G17" s="644" t="s">
        <v>202</v>
      </c>
      <c r="H17" s="633">
        <f>'ANALISI DELLE SPINTE'!D19</f>
        <v>1</v>
      </c>
      <c r="I17" s="429"/>
      <c r="J17" s="429"/>
      <c r="K17" s="429"/>
      <c r="L17" s="429"/>
      <c r="M17" s="429"/>
      <c r="N17" s="429"/>
      <c r="O17" s="429"/>
      <c r="P17" s="429"/>
      <c r="Q17" s="429"/>
      <c r="R17" s="429"/>
      <c r="S17" s="429"/>
      <c r="T17" s="429"/>
      <c r="U17" s="429"/>
      <c r="V17" s="429"/>
      <c r="W17" s="429"/>
    </row>
    <row r="18" spans="1:36" s="428" customFormat="1" x14ac:dyDescent="0.25">
      <c r="A18" s="429"/>
      <c r="B18" s="429"/>
      <c r="C18" s="58"/>
      <c r="D18" s="648"/>
      <c r="E18" s="429"/>
      <c r="F18" s="429"/>
      <c r="G18" s="429"/>
      <c r="H18" s="429"/>
      <c r="I18" s="429"/>
      <c r="J18" s="429"/>
      <c r="K18" s="429"/>
      <c r="L18" s="429"/>
      <c r="M18" s="429"/>
      <c r="N18" s="429"/>
      <c r="O18" s="429"/>
      <c r="P18" s="429"/>
      <c r="Q18" s="429"/>
      <c r="R18" s="429"/>
      <c r="S18" s="429"/>
      <c r="T18" s="429"/>
      <c r="U18" s="429"/>
      <c r="V18" s="429"/>
      <c r="W18" s="429"/>
    </row>
    <row r="19" spans="1:36" s="428" customFormat="1" ht="18" x14ac:dyDescent="0.25">
      <c r="A19" s="429"/>
      <c r="B19" s="429" t="s">
        <v>358</v>
      </c>
      <c r="C19" s="429"/>
      <c r="D19" s="429"/>
      <c r="E19" s="429"/>
      <c r="F19" s="429"/>
      <c r="G19" s="632" t="s">
        <v>359</v>
      </c>
      <c r="H19" s="654">
        <f>'ANALISI DELLE SPINTE'!D21</f>
        <v>1.6579999999999999</v>
      </c>
      <c r="I19" s="429"/>
      <c r="J19" s="429"/>
      <c r="K19" s="429"/>
      <c r="L19" s="429"/>
      <c r="M19" s="429"/>
      <c r="N19" s="429"/>
      <c r="O19" s="429"/>
      <c r="P19" s="429"/>
      <c r="Q19" s="429"/>
      <c r="R19" s="429"/>
      <c r="S19" s="429"/>
      <c r="T19" s="429"/>
      <c r="U19" s="429"/>
      <c r="V19" s="429"/>
      <c r="W19" s="429"/>
    </row>
    <row r="20" spans="1:36" s="428" customFormat="1" ht="18" x14ac:dyDescent="0.25">
      <c r="A20" s="429"/>
      <c r="B20" s="429" t="s">
        <v>360</v>
      </c>
      <c r="C20" s="429"/>
      <c r="D20" s="429"/>
      <c r="E20" s="429"/>
      <c r="F20" s="429"/>
      <c r="G20" s="632" t="s">
        <v>361</v>
      </c>
      <c r="H20" s="651">
        <f>'ANALISI DELLE SPINTE'!D22</f>
        <v>2.4769999999999999</v>
      </c>
      <c r="I20" s="429"/>
      <c r="J20" s="429"/>
      <c r="K20" s="429"/>
      <c r="L20" s="429"/>
      <c r="M20" s="429"/>
      <c r="N20" s="429"/>
      <c r="O20" s="429"/>
      <c r="P20" s="429"/>
      <c r="Q20" s="429"/>
      <c r="R20" s="429"/>
      <c r="S20" s="429"/>
      <c r="T20" s="429"/>
      <c r="U20" s="429"/>
      <c r="V20" s="429"/>
      <c r="W20" s="429"/>
    </row>
    <row r="21" spans="1:36" s="428" customFormat="1" ht="18" x14ac:dyDescent="0.25">
      <c r="A21" s="429"/>
      <c r="B21" s="429" t="s">
        <v>362</v>
      </c>
      <c r="C21" s="429"/>
      <c r="D21" s="429"/>
      <c r="E21" s="429"/>
      <c r="F21" s="429"/>
      <c r="G21" s="632" t="s">
        <v>363</v>
      </c>
      <c r="H21" s="655">
        <f>'ANALISI DELLE SPINTE'!D23</f>
        <v>0.29599999999999999</v>
      </c>
      <c r="I21" s="429"/>
      <c r="J21" s="429"/>
      <c r="K21" s="429"/>
      <c r="L21" s="429"/>
      <c r="M21" s="429"/>
      <c r="N21" s="429"/>
      <c r="O21" s="429"/>
      <c r="P21" s="429"/>
      <c r="Q21" s="429"/>
      <c r="R21" s="429"/>
      <c r="S21" s="429"/>
      <c r="T21" s="429"/>
      <c r="U21" s="429"/>
      <c r="V21" s="429"/>
      <c r="W21" s="429"/>
    </row>
    <row r="22" spans="1:36" s="428" customFormat="1" x14ac:dyDescent="0.25">
      <c r="A22" s="429"/>
      <c r="B22" s="429" t="s">
        <v>364</v>
      </c>
      <c r="C22" s="429"/>
      <c r="D22" s="429"/>
      <c r="E22" s="429"/>
      <c r="F22" s="429"/>
      <c r="G22" s="429"/>
      <c r="H22" s="651" t="str">
        <f>'ANALISI DELLE SPINTE'!D24</f>
        <v>B</v>
      </c>
      <c r="I22" s="429"/>
      <c r="J22" s="429"/>
      <c r="K22" s="429"/>
      <c r="L22" s="429"/>
      <c r="M22" s="429"/>
      <c r="N22" s="429"/>
      <c r="O22" s="429"/>
      <c r="P22" s="429"/>
      <c r="Q22" s="429"/>
      <c r="R22" s="429"/>
      <c r="S22" s="429"/>
      <c r="T22" s="429"/>
      <c r="U22" s="429"/>
      <c r="V22" s="429"/>
      <c r="W22" s="429"/>
    </row>
    <row r="23" spans="1:36" s="428" customFormat="1" x14ac:dyDescent="0.25">
      <c r="A23" s="429"/>
      <c r="B23" s="429" t="s">
        <v>365</v>
      </c>
      <c r="C23" s="429"/>
      <c r="D23" s="429"/>
      <c r="E23" s="429"/>
      <c r="F23" s="429"/>
      <c r="G23" s="429"/>
      <c r="H23" s="651" t="str">
        <f>'ANALISI DELLE SPINTE'!D25</f>
        <v>T1</v>
      </c>
      <c r="I23" s="429"/>
      <c r="J23" s="429"/>
      <c r="K23" s="429"/>
      <c r="L23" s="429"/>
      <c r="M23" s="429"/>
      <c r="N23" s="429"/>
      <c r="O23" s="429"/>
      <c r="P23" s="429"/>
      <c r="Q23" s="429"/>
      <c r="R23" s="429"/>
      <c r="S23" s="429"/>
      <c r="T23" s="429"/>
      <c r="U23" s="429"/>
      <c r="V23" s="429"/>
      <c r="W23" s="429"/>
    </row>
    <row r="24" spans="1:36" s="428" customFormat="1" x14ac:dyDescent="0.25">
      <c r="A24" s="429"/>
      <c r="B24" s="429" t="s">
        <v>782</v>
      </c>
      <c r="C24" s="429"/>
      <c r="D24" s="429"/>
      <c r="E24" s="429"/>
      <c r="F24" s="429"/>
      <c r="G24" s="383" t="s">
        <v>390</v>
      </c>
      <c r="H24" s="646">
        <f>'ANALISI DELLE SPINTE'!D26</f>
        <v>0.38</v>
      </c>
      <c r="I24" s="429"/>
      <c r="J24" s="429"/>
      <c r="K24" s="429"/>
      <c r="L24" s="429"/>
      <c r="M24" s="429"/>
      <c r="N24" s="429"/>
      <c r="O24" s="429"/>
      <c r="P24" s="429"/>
      <c r="Q24" s="429"/>
      <c r="R24" s="429"/>
      <c r="S24" s="429"/>
      <c r="T24" s="429"/>
      <c r="U24" s="429"/>
      <c r="V24" s="429"/>
      <c r="W24" s="429"/>
    </row>
    <row r="25" spans="1:36" s="428" customFormat="1" x14ac:dyDescent="0.25">
      <c r="A25" s="429"/>
      <c r="B25" s="429" t="s">
        <v>391</v>
      </c>
      <c r="C25" s="429"/>
      <c r="D25" s="429"/>
      <c r="E25" s="429"/>
      <c r="F25" s="429"/>
      <c r="G25" s="629" t="s">
        <v>278</v>
      </c>
      <c r="H25" s="646">
        <f>'ANALISI DELLE SPINTE'!D27</f>
        <v>7.7100550683255151E-2</v>
      </c>
      <c r="I25" s="429"/>
      <c r="J25" s="429"/>
      <c r="K25" s="429"/>
      <c r="L25" s="429"/>
      <c r="M25" s="429"/>
      <c r="N25" s="429"/>
      <c r="O25" s="429"/>
      <c r="P25" s="429"/>
      <c r="Q25" s="429"/>
      <c r="R25" s="429"/>
      <c r="S25" s="429"/>
      <c r="T25" s="429"/>
      <c r="U25" s="429"/>
      <c r="V25" s="429"/>
      <c r="W25" s="429"/>
    </row>
    <row r="26" spans="1:36" s="428" customFormat="1" x14ac:dyDescent="0.25">
      <c r="A26" s="429"/>
      <c r="B26" s="429" t="s">
        <v>392</v>
      </c>
      <c r="C26" s="429"/>
      <c r="D26" s="429"/>
      <c r="E26" s="429"/>
      <c r="F26" s="429"/>
      <c r="G26" s="629" t="s">
        <v>279</v>
      </c>
      <c r="H26" s="646">
        <f>'ANALISI DELLE SPINTE'!D28</f>
        <v>3.8550275341627575E-2</v>
      </c>
      <c r="I26" s="429"/>
      <c r="J26" s="429"/>
      <c r="K26" s="429"/>
      <c r="L26" s="429"/>
      <c r="M26" s="429"/>
      <c r="N26" s="429"/>
      <c r="O26" s="429"/>
      <c r="P26" s="429"/>
      <c r="Q26" s="429"/>
      <c r="R26" s="429"/>
      <c r="S26" s="429"/>
      <c r="T26" s="429"/>
      <c r="U26" s="429"/>
      <c r="V26" s="429"/>
      <c r="W26" s="429"/>
    </row>
    <row r="27" spans="1:36" s="428" customFormat="1" x14ac:dyDescent="0.25">
      <c r="A27" s="429"/>
      <c r="B27" s="429"/>
      <c r="C27" s="58"/>
      <c r="D27" s="648"/>
      <c r="E27" s="429"/>
      <c r="F27" s="429"/>
      <c r="G27" s="429"/>
      <c r="H27" s="429"/>
      <c r="I27" s="429"/>
      <c r="J27" s="429"/>
      <c r="K27" s="429"/>
      <c r="L27" s="429"/>
      <c r="M27" s="429"/>
      <c r="N27" s="429"/>
      <c r="O27" s="429"/>
      <c r="P27" s="429"/>
      <c r="Q27" s="429"/>
      <c r="R27" s="429"/>
      <c r="S27" s="429"/>
      <c r="T27" s="429"/>
      <c r="U27" s="429"/>
      <c r="V27" s="429"/>
      <c r="W27" s="429"/>
    </row>
    <row r="28" spans="1:36" ht="18.75" x14ac:dyDescent="0.3">
      <c r="A28" s="429"/>
      <c r="B28" s="436" t="s">
        <v>752</v>
      </c>
      <c r="C28" s="429"/>
      <c r="D28" s="429"/>
      <c r="E28" s="429"/>
      <c r="F28" s="429"/>
      <c r="G28" s="429"/>
      <c r="H28" s="429"/>
      <c r="I28" s="429"/>
      <c r="J28" s="429"/>
      <c r="K28" s="429"/>
      <c r="L28" s="429"/>
      <c r="M28" s="429"/>
      <c r="N28" s="429"/>
      <c r="O28" s="429"/>
      <c r="P28" s="429"/>
      <c r="Q28" s="429"/>
      <c r="R28" s="429"/>
      <c r="S28" s="640"/>
      <c r="T28" s="640"/>
      <c r="U28" s="640"/>
      <c r="V28" s="640"/>
      <c r="W28" s="640"/>
      <c r="X28" s="32"/>
      <c r="Y28" s="32"/>
      <c r="Z28" s="32"/>
      <c r="AA28" s="32"/>
      <c r="AB28" s="32"/>
      <c r="AC28" s="32"/>
      <c r="AD28" s="32"/>
      <c r="AE28" s="32"/>
      <c r="AF28" s="32"/>
      <c r="AG28" s="32"/>
      <c r="AH28" s="32"/>
      <c r="AI28" s="32"/>
      <c r="AJ28" s="32"/>
    </row>
    <row r="29" spans="1:36" ht="12.75" customHeight="1" x14ac:dyDescent="0.3">
      <c r="A29" s="429"/>
      <c r="B29" s="436"/>
      <c r="C29" s="429"/>
      <c r="D29" s="429"/>
      <c r="E29" s="429"/>
      <c r="F29" s="429"/>
      <c r="G29" s="429"/>
      <c r="H29" s="429"/>
      <c r="I29" s="429"/>
      <c r="J29" s="429"/>
      <c r="K29" s="429"/>
      <c r="L29" s="429"/>
      <c r="M29" s="429"/>
      <c r="N29" s="429"/>
      <c r="O29" s="429"/>
      <c r="P29" s="429"/>
      <c r="Q29" s="429"/>
      <c r="R29" s="429"/>
      <c r="S29" s="640"/>
      <c r="T29" s="640"/>
      <c r="U29" s="640"/>
      <c r="V29" s="640"/>
      <c r="W29" s="640"/>
      <c r="X29" s="32"/>
      <c r="Y29" s="32"/>
      <c r="Z29" s="32"/>
      <c r="AA29" s="32"/>
      <c r="AB29" s="32"/>
      <c r="AC29" s="32"/>
      <c r="AD29" s="32"/>
      <c r="AE29" s="32"/>
      <c r="AF29" s="32"/>
      <c r="AG29" s="32"/>
      <c r="AH29" s="32"/>
      <c r="AI29" s="32"/>
      <c r="AJ29" s="32"/>
    </row>
    <row r="30" spans="1:36" ht="15.75" x14ac:dyDescent="0.25">
      <c r="A30" s="429"/>
      <c r="B30" s="15" t="s">
        <v>753</v>
      </c>
      <c r="C30" s="429"/>
      <c r="D30" s="429"/>
      <c r="E30" s="429"/>
      <c r="F30" s="429"/>
      <c r="G30" s="429"/>
      <c r="H30" s="429"/>
      <c r="I30" s="429"/>
      <c r="J30" s="429"/>
      <c r="K30" s="429"/>
      <c r="L30" s="429"/>
      <c r="M30" s="429"/>
      <c r="N30" s="429"/>
      <c r="O30" s="429"/>
      <c r="P30" s="429"/>
      <c r="Q30" s="429"/>
      <c r="R30" s="429"/>
      <c r="S30" s="640"/>
      <c r="T30" s="640"/>
      <c r="U30" s="640"/>
      <c r="V30" s="640"/>
      <c r="W30" s="640"/>
      <c r="X30" s="32"/>
      <c r="Y30" s="32"/>
      <c r="Z30" s="32"/>
      <c r="AA30" s="32"/>
      <c r="AB30" s="32"/>
      <c r="AC30" s="32"/>
      <c r="AD30" s="32"/>
      <c r="AE30" s="32"/>
      <c r="AF30" s="32"/>
      <c r="AG30" s="32"/>
      <c r="AH30" s="32"/>
      <c r="AI30" s="32"/>
      <c r="AJ30" s="32"/>
    </row>
    <row r="31" spans="1:36" ht="18.75" x14ac:dyDescent="0.3">
      <c r="A31" s="429"/>
      <c r="B31" s="436"/>
      <c r="C31" s="429"/>
      <c r="D31" s="429"/>
      <c r="E31" s="429"/>
      <c r="F31" s="429"/>
      <c r="G31" s="429"/>
      <c r="H31" s="429"/>
      <c r="I31" s="429"/>
      <c r="J31" s="429"/>
      <c r="K31" s="429"/>
      <c r="L31" s="429"/>
      <c r="M31" s="429"/>
      <c r="N31" s="429"/>
      <c r="O31" s="429"/>
      <c r="P31" s="429"/>
      <c r="Q31" s="429"/>
      <c r="R31" s="429"/>
      <c r="S31" s="640"/>
      <c r="T31" s="640"/>
      <c r="U31" s="640"/>
      <c r="V31" s="640"/>
      <c r="W31" s="640"/>
      <c r="X31" s="32"/>
      <c r="Y31" s="32"/>
      <c r="Z31" s="32"/>
      <c r="AA31" s="32"/>
      <c r="AB31" s="32"/>
      <c r="AC31" s="32"/>
      <c r="AD31" s="32"/>
      <c r="AE31" s="32"/>
      <c r="AF31" s="32"/>
      <c r="AG31" s="32"/>
      <c r="AH31" s="32"/>
      <c r="AI31" s="32"/>
      <c r="AJ31" s="32"/>
    </row>
    <row r="32" spans="1:36" ht="15.75" x14ac:dyDescent="0.25">
      <c r="A32" s="429"/>
      <c r="B32" s="15"/>
      <c r="C32" s="429"/>
      <c r="D32" s="429"/>
      <c r="E32" s="429"/>
      <c r="F32" s="640"/>
      <c r="G32" s="640"/>
      <c r="H32" s="640"/>
      <c r="I32" s="429"/>
      <c r="J32" s="429"/>
      <c r="K32" s="429"/>
      <c r="L32" s="429"/>
      <c r="M32" s="429"/>
      <c r="N32" s="429"/>
      <c r="O32" s="759"/>
      <c r="P32" s="759"/>
      <c r="Q32" s="640"/>
      <c r="R32" s="640"/>
      <c r="S32" s="640"/>
      <c r="T32" s="640"/>
      <c r="U32" s="640"/>
      <c r="V32" s="640"/>
      <c r="W32" s="640"/>
      <c r="X32" s="32"/>
      <c r="Y32" s="32"/>
      <c r="Z32" s="32"/>
      <c r="AA32" s="32"/>
      <c r="AB32" s="32"/>
      <c r="AC32" s="32"/>
      <c r="AD32" s="32"/>
      <c r="AE32" s="32"/>
      <c r="AF32" s="32"/>
      <c r="AG32" s="32"/>
      <c r="AH32" s="32"/>
      <c r="AI32" s="32"/>
      <c r="AJ32" s="32"/>
    </row>
    <row r="33" spans="1:36" x14ac:dyDescent="0.25">
      <c r="A33" s="429"/>
      <c r="B33" s="773" t="s">
        <v>508</v>
      </c>
      <c r="C33" s="773"/>
      <c r="D33" s="429"/>
      <c r="E33" s="429"/>
      <c r="F33" s="640"/>
      <c r="G33" s="640"/>
      <c r="H33" s="640"/>
      <c r="I33" s="429"/>
      <c r="J33" s="429"/>
      <c r="K33" s="429"/>
      <c r="L33" s="429"/>
      <c r="M33" s="429"/>
      <c r="N33" s="429"/>
      <c r="O33" s="429"/>
      <c r="P33" s="429"/>
      <c r="Q33" s="429"/>
      <c r="R33" s="429"/>
      <c r="S33" s="640"/>
      <c r="T33" s="640"/>
      <c r="U33" s="640"/>
      <c r="V33" s="640"/>
      <c r="W33" s="640"/>
      <c r="X33" s="32"/>
      <c r="Y33" s="32"/>
      <c r="Z33" s="32"/>
      <c r="AA33" s="32"/>
      <c r="AB33" s="32"/>
      <c r="AC33" s="32"/>
      <c r="AD33" s="32"/>
      <c r="AE33" s="32"/>
      <c r="AF33" s="32"/>
      <c r="AG33" s="32"/>
      <c r="AH33" s="32"/>
      <c r="AI33" s="32"/>
      <c r="AJ33" s="32"/>
    </row>
    <row r="34" spans="1:36" x14ac:dyDescent="0.25">
      <c r="A34" s="429"/>
      <c r="B34" s="429"/>
      <c r="C34" s="429"/>
      <c r="D34" s="632"/>
      <c r="E34" s="632"/>
      <c r="F34" s="632"/>
      <c r="G34" s="632"/>
      <c r="H34" s="640"/>
      <c r="I34" s="429"/>
      <c r="J34" s="429"/>
      <c r="K34" s="429"/>
      <c r="L34" s="429"/>
      <c r="M34" s="429"/>
      <c r="N34" s="429"/>
      <c r="O34" s="429"/>
      <c r="P34" s="321"/>
      <c r="Q34" s="321"/>
      <c r="R34" s="123"/>
      <c r="S34" s="640"/>
      <c r="T34" s="640"/>
      <c r="U34" s="640"/>
      <c r="V34" s="640"/>
      <c r="W34" s="640"/>
      <c r="X34" s="32"/>
      <c r="Y34" s="32"/>
      <c r="Z34" s="32"/>
      <c r="AA34" s="32"/>
      <c r="AB34" s="32"/>
      <c r="AC34" s="32"/>
      <c r="AD34" s="32"/>
      <c r="AE34" s="32"/>
      <c r="AF34" s="32"/>
      <c r="AG34" s="32"/>
      <c r="AH34" s="32"/>
      <c r="AI34" s="32"/>
      <c r="AJ34" s="32"/>
    </row>
    <row r="35" spans="1:36" x14ac:dyDescent="0.25">
      <c r="A35" s="429"/>
      <c r="B35" s="774" t="s">
        <v>171</v>
      </c>
      <c r="C35" s="775">
        <f>'geom masse muro+tensioni'!H16</f>
        <v>1.9600142499999995</v>
      </c>
      <c r="D35" s="3"/>
      <c r="E35" s="3"/>
      <c r="F35" s="3"/>
      <c r="G35" s="3"/>
      <c r="H35" s="640"/>
      <c r="I35" s="429"/>
      <c r="J35" s="429"/>
      <c r="K35" s="429"/>
      <c r="L35" s="429"/>
      <c r="M35" s="429"/>
      <c r="N35" s="429"/>
      <c r="O35" s="429"/>
      <c r="P35" s="632"/>
      <c r="Q35" s="632"/>
      <c r="R35" s="759"/>
      <c r="S35" s="640"/>
      <c r="T35" s="640"/>
      <c r="U35" s="640"/>
      <c r="V35" s="640"/>
      <c r="W35" s="640"/>
      <c r="X35" s="32"/>
      <c r="Y35" s="32"/>
      <c r="Z35" s="32"/>
      <c r="AA35" s="32"/>
      <c r="AB35" s="32"/>
      <c r="AC35" s="32"/>
      <c r="AD35" s="32"/>
      <c r="AE35" s="32"/>
      <c r="AF35" s="32"/>
      <c r="AG35" s="32"/>
      <c r="AH35" s="32"/>
      <c r="AI35" s="32"/>
      <c r="AJ35" s="32"/>
    </row>
    <row r="36" spans="1:36" x14ac:dyDescent="0.25">
      <c r="A36" s="429"/>
      <c r="B36" s="776" t="s">
        <v>509</v>
      </c>
      <c r="C36" s="359">
        <f>C35*DATI!$E$8</f>
        <v>49.000356249999989</v>
      </c>
      <c r="D36" s="773"/>
      <c r="E36" s="3"/>
      <c r="F36" s="3"/>
      <c r="G36" s="3"/>
      <c r="H36" s="640"/>
      <c r="I36" s="429"/>
      <c r="J36" s="429"/>
      <c r="K36" s="429"/>
      <c r="L36" s="429"/>
      <c r="M36" s="429"/>
      <c r="N36" s="429"/>
      <c r="O36" s="429"/>
      <c r="P36" s="640"/>
      <c r="Q36" s="640"/>
      <c r="R36" s="759"/>
      <c r="S36" s="640"/>
      <c r="T36" s="640"/>
      <c r="U36" s="640"/>
      <c r="V36" s="640"/>
      <c r="W36" s="640"/>
      <c r="X36" s="32"/>
      <c r="Y36" s="32"/>
      <c r="Z36" s="32"/>
      <c r="AA36" s="32"/>
      <c r="AB36" s="32"/>
      <c r="AC36" s="32"/>
      <c r="AD36" s="32"/>
      <c r="AE36" s="32"/>
      <c r="AF36" s="32"/>
      <c r="AG36" s="32"/>
      <c r="AH36" s="32"/>
      <c r="AI36" s="32"/>
      <c r="AJ36" s="32"/>
    </row>
    <row r="37" spans="1:36" x14ac:dyDescent="0.25">
      <c r="A37" s="429"/>
      <c r="B37" s="777" t="s">
        <v>510</v>
      </c>
      <c r="C37" s="778">
        <f>DATI!E60+DATI!E74+DATI!E83+DATI!E88</f>
        <v>3.7</v>
      </c>
      <c r="D37" s="429"/>
      <c r="E37" s="3"/>
      <c r="F37" s="3"/>
      <c r="G37" s="3"/>
      <c r="H37" s="640"/>
      <c r="I37" s="429"/>
      <c r="J37" s="429"/>
      <c r="K37" s="429"/>
      <c r="L37" s="429"/>
      <c r="M37" s="429"/>
      <c r="N37" s="429"/>
      <c r="O37" s="429"/>
      <c r="P37" s="640"/>
      <c r="Q37" s="640"/>
      <c r="R37" s="759"/>
      <c r="S37" s="640"/>
      <c r="T37" s="640"/>
      <c r="U37" s="640"/>
      <c r="V37" s="640"/>
      <c r="W37" s="640"/>
      <c r="X37" s="32"/>
      <c r="Y37" s="32"/>
      <c r="Z37" s="32"/>
      <c r="AA37" s="32"/>
      <c r="AB37" s="32"/>
      <c r="AC37" s="32"/>
      <c r="AD37" s="32"/>
      <c r="AE37" s="32"/>
      <c r="AF37" s="32"/>
      <c r="AG37" s="32"/>
      <c r="AH37" s="32"/>
      <c r="AI37" s="32"/>
      <c r="AJ37" s="32"/>
    </row>
    <row r="38" spans="1:36" x14ac:dyDescent="0.25">
      <c r="A38" s="429"/>
      <c r="B38" s="777" t="s">
        <v>70</v>
      </c>
      <c r="C38" s="779">
        <f>'geom masse muro+tensioni'!L16+DATI!E75</f>
        <v>0.77959125809799579</v>
      </c>
      <c r="D38" s="429"/>
      <c r="E38" s="3"/>
      <c r="F38" s="3"/>
      <c r="G38" s="3"/>
      <c r="H38" s="640"/>
      <c r="I38" s="429"/>
      <c r="J38" s="429"/>
      <c r="K38" s="429"/>
      <c r="L38" s="429"/>
      <c r="M38" s="429"/>
      <c r="N38" s="429"/>
      <c r="O38" s="429"/>
      <c r="P38" s="640"/>
      <c r="Q38" s="640"/>
      <c r="R38" s="759"/>
      <c r="S38" s="640"/>
      <c r="T38" s="640"/>
      <c r="U38" s="640"/>
      <c r="V38" s="640"/>
      <c r="W38" s="640"/>
      <c r="X38" s="32"/>
      <c r="Y38" s="32"/>
      <c r="Z38" s="32"/>
      <c r="AA38" s="32"/>
      <c r="AB38" s="32"/>
      <c r="AC38" s="32"/>
      <c r="AD38" s="32"/>
      <c r="AE38" s="32"/>
      <c r="AF38" s="32"/>
      <c r="AG38" s="32"/>
      <c r="AH38" s="32"/>
      <c r="AI38" s="32"/>
      <c r="AJ38" s="32"/>
    </row>
    <row r="39" spans="1:36" x14ac:dyDescent="0.25">
      <c r="A39" s="429"/>
      <c r="B39" s="777" t="s">
        <v>71</v>
      </c>
      <c r="C39" s="779">
        <f>'geom masse muro+tensioni'!M16</f>
        <v>0</v>
      </c>
      <c r="D39" s="429"/>
      <c r="E39" s="3"/>
      <c r="F39" s="3"/>
      <c r="G39" s="3"/>
      <c r="H39" s="640"/>
      <c r="I39" s="429"/>
      <c r="J39" s="429"/>
      <c r="K39" s="429"/>
      <c r="L39" s="429"/>
      <c r="M39" s="429"/>
      <c r="N39" s="429"/>
      <c r="O39" s="429"/>
      <c r="P39" s="640"/>
      <c r="Q39" s="640"/>
      <c r="R39" s="429"/>
      <c r="S39" s="640"/>
      <c r="T39" s="640"/>
      <c r="U39" s="640"/>
      <c r="V39" s="640"/>
      <c r="W39" s="640"/>
      <c r="X39" s="32"/>
      <c r="Y39" s="32"/>
      <c r="Z39" s="32"/>
      <c r="AA39" s="32"/>
      <c r="AB39" s="32"/>
      <c r="AC39" s="32"/>
      <c r="AD39" s="32"/>
      <c r="AE39" s="32"/>
      <c r="AF39" s="32"/>
      <c r="AG39" s="32"/>
      <c r="AH39" s="32"/>
      <c r="AI39" s="32"/>
      <c r="AJ39" s="32"/>
    </row>
    <row r="40" spans="1:36" x14ac:dyDescent="0.25">
      <c r="A40" s="429"/>
      <c r="B40" s="777" t="s">
        <v>72</v>
      </c>
      <c r="C40" s="779">
        <f>'geom masse muro+tensioni'!N16+DATI!E74+DATI!E60</f>
        <v>1.1561245855738038</v>
      </c>
      <c r="D40" s="429"/>
      <c r="E40" s="88"/>
      <c r="F40" s="89"/>
      <c r="G40" s="89"/>
      <c r="H40" s="429"/>
      <c r="I40" s="429"/>
      <c r="J40" s="429"/>
      <c r="K40" s="429"/>
      <c r="L40" s="429"/>
      <c r="M40" s="759"/>
      <c r="N40" s="429"/>
      <c r="O40" s="429"/>
      <c r="P40" s="640"/>
      <c r="Q40" s="640"/>
      <c r="R40" s="429"/>
      <c r="S40" s="640"/>
      <c r="T40" s="640"/>
      <c r="U40" s="640"/>
      <c r="V40" s="640"/>
      <c r="W40" s="640"/>
      <c r="X40" s="32"/>
      <c r="Y40" s="32"/>
      <c r="Z40" s="32"/>
      <c r="AA40" s="32"/>
      <c r="AB40" s="32"/>
      <c r="AC40" s="32"/>
      <c r="AD40" s="32"/>
      <c r="AE40" s="32"/>
      <c r="AF40" s="32"/>
      <c r="AG40" s="32"/>
      <c r="AH40" s="32"/>
      <c r="AI40" s="32"/>
      <c r="AJ40" s="32"/>
    </row>
    <row r="41" spans="1:36" x14ac:dyDescent="0.25">
      <c r="A41" s="429"/>
      <c r="B41" s="429"/>
      <c r="C41" s="429"/>
      <c r="D41" s="429"/>
      <c r="E41" s="429"/>
      <c r="F41" s="640"/>
      <c r="G41" s="640"/>
      <c r="H41" s="429"/>
      <c r="I41" s="429"/>
      <c r="J41" s="429"/>
      <c r="K41" s="429"/>
      <c r="L41" s="429"/>
      <c r="M41" s="429"/>
      <c r="N41" s="429"/>
      <c r="O41" s="429"/>
      <c r="P41" s="780"/>
      <c r="Q41" s="780"/>
      <c r="R41" s="429"/>
      <c r="S41" s="640"/>
      <c r="T41" s="640"/>
      <c r="U41" s="640"/>
      <c r="V41" s="640"/>
      <c r="W41" s="640"/>
      <c r="X41" s="32"/>
      <c r="Y41" s="32"/>
      <c r="Z41" s="32"/>
      <c r="AA41" s="32"/>
      <c r="AB41" s="32"/>
      <c r="AC41" s="32"/>
      <c r="AD41" s="32"/>
      <c r="AE41" s="32"/>
      <c r="AF41" s="32"/>
      <c r="AG41" s="32"/>
      <c r="AH41" s="32"/>
      <c r="AI41" s="32"/>
      <c r="AJ41" s="32"/>
    </row>
    <row r="42" spans="1:36" x14ac:dyDescent="0.25">
      <c r="A42" s="429"/>
      <c r="B42" s="429"/>
      <c r="C42" s="429"/>
      <c r="D42" s="429"/>
      <c r="E42" s="429"/>
      <c r="F42" s="168"/>
      <c r="G42" s="168"/>
      <c r="H42" s="640"/>
      <c r="I42" s="429"/>
      <c r="J42" s="429"/>
      <c r="K42" s="429"/>
      <c r="L42" s="429"/>
      <c r="M42" s="429"/>
      <c r="N42" s="429"/>
      <c r="O42" s="429"/>
      <c r="P42" s="429"/>
      <c r="Q42" s="429"/>
      <c r="R42" s="429"/>
      <c r="S42" s="640"/>
      <c r="T42" s="640"/>
      <c r="U42" s="640"/>
      <c r="V42" s="640"/>
      <c r="W42" s="640"/>
      <c r="X42" s="32"/>
      <c r="Y42" s="32"/>
      <c r="Z42" s="32"/>
      <c r="AA42" s="32"/>
      <c r="AB42" s="32"/>
      <c r="AC42" s="32"/>
      <c r="AD42" s="32"/>
      <c r="AE42" s="32"/>
      <c r="AF42" s="32"/>
      <c r="AG42" s="32"/>
      <c r="AH42" s="32"/>
      <c r="AI42" s="32"/>
      <c r="AJ42" s="32"/>
    </row>
    <row r="43" spans="1:36" x14ac:dyDescent="0.25">
      <c r="A43" s="429"/>
      <c r="B43" s="429"/>
      <c r="C43" s="429"/>
      <c r="D43" s="429"/>
      <c r="E43" s="429"/>
      <c r="F43" s="429"/>
      <c r="G43" s="429"/>
      <c r="H43" s="429"/>
      <c r="I43" s="429"/>
      <c r="J43" s="429"/>
      <c r="K43" s="429"/>
      <c r="L43" s="429"/>
      <c r="M43" s="429"/>
      <c r="N43" s="429"/>
      <c r="O43" s="429"/>
      <c r="P43" s="429"/>
      <c r="Q43" s="429"/>
      <c r="R43" s="429"/>
      <c r="S43" s="640"/>
      <c r="T43" s="640"/>
      <c r="U43" s="640"/>
      <c r="V43" s="640"/>
      <c r="W43" s="640"/>
      <c r="X43" s="32"/>
      <c r="Y43" s="32"/>
      <c r="Z43" s="32"/>
      <c r="AA43" s="32"/>
      <c r="AB43" s="32"/>
      <c r="AC43" s="32"/>
      <c r="AD43" s="32"/>
      <c r="AE43" s="32"/>
      <c r="AF43" s="32"/>
      <c r="AG43" s="32"/>
      <c r="AH43" s="32"/>
      <c r="AI43" s="32"/>
      <c r="AJ43" s="32"/>
    </row>
    <row r="44" spans="1:36" x14ac:dyDescent="0.25">
      <c r="A44" s="429"/>
      <c r="B44" s="781"/>
      <c r="C44" s="782"/>
      <c r="D44" s="429"/>
      <c r="E44" s="429"/>
      <c r="F44" s="429"/>
      <c r="G44" s="429"/>
      <c r="H44" s="429"/>
      <c r="I44" s="429"/>
      <c r="J44" s="429"/>
      <c r="K44" s="429"/>
      <c r="L44" s="429"/>
      <c r="M44" s="429"/>
      <c r="N44" s="429"/>
      <c r="O44" s="429"/>
      <c r="P44" s="429"/>
      <c r="Q44" s="429"/>
      <c r="R44" s="759"/>
      <c r="S44" s="640"/>
      <c r="T44" s="640"/>
      <c r="U44" s="640"/>
      <c r="V44" s="640"/>
      <c r="W44" s="640"/>
      <c r="X44" s="32"/>
      <c r="Y44" s="32"/>
      <c r="Z44" s="32"/>
      <c r="AA44" s="32"/>
      <c r="AB44" s="32"/>
      <c r="AC44" s="32"/>
      <c r="AD44" s="32"/>
      <c r="AE44" s="32"/>
      <c r="AF44" s="32"/>
      <c r="AG44" s="32"/>
      <c r="AH44" s="32"/>
      <c r="AI44" s="32"/>
      <c r="AJ44" s="32"/>
    </row>
    <row r="45" spans="1:36" x14ac:dyDescent="0.25">
      <c r="A45" s="429"/>
      <c r="B45" s="429"/>
      <c r="C45" s="429"/>
      <c r="D45" s="429"/>
      <c r="E45" s="429"/>
      <c r="F45" s="429"/>
      <c r="G45" s="429"/>
      <c r="H45" s="429"/>
      <c r="I45" s="429"/>
      <c r="J45" s="429"/>
      <c r="K45" s="429"/>
      <c r="L45" s="429"/>
      <c r="M45" s="429"/>
      <c r="N45" s="429"/>
      <c r="O45" s="429"/>
      <c r="P45" s="429"/>
      <c r="Q45" s="429"/>
      <c r="R45" s="759"/>
      <c r="S45" s="640"/>
      <c r="T45" s="640"/>
      <c r="U45" s="640"/>
      <c r="V45" s="640"/>
      <c r="W45" s="640"/>
      <c r="X45" s="32"/>
      <c r="Y45" s="32"/>
      <c r="Z45" s="32"/>
      <c r="AA45" s="32"/>
      <c r="AB45" s="32"/>
      <c r="AC45" s="32"/>
      <c r="AD45" s="32"/>
      <c r="AE45" s="32"/>
      <c r="AF45" s="32"/>
      <c r="AG45" s="32"/>
      <c r="AH45" s="32"/>
      <c r="AI45" s="32"/>
      <c r="AJ45" s="32"/>
    </row>
    <row r="46" spans="1:36" x14ac:dyDescent="0.25">
      <c r="A46" s="429"/>
      <c r="B46" s="855" t="s">
        <v>511</v>
      </c>
      <c r="C46" s="203" t="s">
        <v>512</v>
      </c>
      <c r="D46" s="429"/>
      <c r="E46" s="429"/>
      <c r="F46" s="429"/>
      <c r="G46" s="429"/>
      <c r="H46" s="429"/>
      <c r="I46" s="429"/>
      <c r="J46" s="429"/>
      <c r="K46" s="429"/>
      <c r="L46" s="429"/>
      <c r="M46" s="429"/>
      <c r="N46" s="429"/>
      <c r="O46" s="429"/>
      <c r="P46" s="429"/>
      <c r="Q46" s="429"/>
      <c r="R46" s="759"/>
      <c r="S46" s="640"/>
      <c r="T46" s="640"/>
      <c r="U46" s="640"/>
      <c r="V46" s="640"/>
      <c r="W46" s="640"/>
      <c r="X46" s="32"/>
      <c r="Y46" s="32"/>
      <c r="Z46" s="32"/>
      <c r="AA46" s="32"/>
      <c r="AB46" s="32"/>
      <c r="AC46" s="32"/>
      <c r="AD46" s="32"/>
      <c r="AE46" s="32"/>
      <c r="AF46" s="32"/>
      <c r="AG46" s="32"/>
      <c r="AH46" s="32"/>
      <c r="AI46" s="32"/>
      <c r="AJ46" s="32"/>
    </row>
    <row r="47" spans="1:36" x14ac:dyDescent="0.25">
      <c r="A47" s="429"/>
      <c r="B47" s="855"/>
      <c r="C47" s="202">
        <f>C36</f>
        <v>49.000356249999989</v>
      </c>
      <c r="D47" s="429"/>
      <c r="E47" s="429"/>
      <c r="F47" s="429"/>
      <c r="G47" s="429"/>
      <c r="H47" s="429"/>
      <c r="I47" s="429"/>
      <c r="J47" s="429"/>
      <c r="K47" s="429"/>
      <c r="L47" s="429"/>
      <c r="M47" s="429"/>
      <c r="N47" s="429"/>
      <c r="O47" s="429"/>
      <c r="P47" s="429"/>
      <c r="Q47" s="429"/>
      <c r="R47" s="759"/>
      <c r="S47" s="640"/>
      <c r="T47" s="640"/>
      <c r="U47" s="640"/>
      <c r="V47" s="640"/>
      <c r="W47" s="640"/>
      <c r="X47" s="32"/>
      <c r="Y47" s="32"/>
      <c r="Z47" s="32"/>
      <c r="AA47" s="32"/>
      <c r="AB47" s="32"/>
      <c r="AC47" s="32"/>
      <c r="AD47" s="32"/>
      <c r="AE47" s="32"/>
      <c r="AF47" s="32"/>
      <c r="AG47" s="32"/>
      <c r="AH47" s="32"/>
      <c r="AI47" s="32"/>
      <c r="AJ47" s="32"/>
    </row>
    <row r="48" spans="1:36" ht="18" x14ac:dyDescent="0.25">
      <c r="A48" s="429"/>
      <c r="B48" s="896" t="s">
        <v>513</v>
      </c>
      <c r="C48" s="93" t="s">
        <v>514</v>
      </c>
      <c r="D48" s="429"/>
      <c r="E48" s="429"/>
      <c r="F48" s="429"/>
      <c r="G48" s="429"/>
      <c r="H48" s="429"/>
      <c r="I48" s="429"/>
      <c r="J48" s="429"/>
      <c r="K48" s="429"/>
      <c r="L48" s="429"/>
      <c r="M48" s="429"/>
      <c r="N48" s="429"/>
      <c r="O48" s="429"/>
      <c r="P48" s="429"/>
      <c r="Q48" s="429"/>
      <c r="R48" s="759"/>
      <c r="S48" s="640"/>
      <c r="T48" s="640"/>
      <c r="U48" s="640"/>
      <c r="V48" s="640"/>
      <c r="W48" s="640"/>
      <c r="X48" s="32"/>
      <c r="Y48" s="32"/>
      <c r="Z48" s="32"/>
      <c r="AA48" s="32"/>
      <c r="AB48" s="32"/>
      <c r="AC48" s="32"/>
      <c r="AD48" s="32"/>
      <c r="AE48" s="32"/>
      <c r="AF48" s="32"/>
      <c r="AG48" s="32"/>
      <c r="AH48" s="32"/>
      <c r="AI48" s="32"/>
      <c r="AJ48" s="32"/>
    </row>
    <row r="49" spans="1:36" x14ac:dyDescent="0.25">
      <c r="A49" s="429"/>
      <c r="B49" s="896"/>
      <c r="C49" s="204">
        <f>IF(DATI!G218="DX",C38,DATI!E75+'FOGLIO DEPOSITO'!D212+'FOGLIO DEPOSITO'!D211-'VER. EQU COND. NON DRENATE'!C38)</f>
        <v>0.77959125809799579</v>
      </c>
      <c r="D49" s="429"/>
      <c r="E49" s="429"/>
      <c r="F49" s="429"/>
      <c r="G49" s="429"/>
      <c r="H49" s="429"/>
      <c r="I49" s="429"/>
      <c r="J49" s="429"/>
      <c r="K49" s="429"/>
      <c r="L49" s="429"/>
      <c r="M49" s="759"/>
      <c r="N49" s="429"/>
      <c r="O49" s="429"/>
      <c r="P49" s="429"/>
      <c r="Q49" s="429"/>
      <c r="R49" s="759"/>
      <c r="S49" s="640"/>
      <c r="T49" s="640"/>
      <c r="U49" s="640"/>
      <c r="V49" s="640"/>
      <c r="W49" s="640"/>
      <c r="X49" s="32"/>
      <c r="Y49" s="32"/>
      <c r="Z49" s="32"/>
      <c r="AA49" s="32"/>
      <c r="AB49" s="32"/>
      <c r="AC49" s="32"/>
      <c r="AD49" s="32"/>
      <c r="AE49" s="32"/>
      <c r="AF49" s="32"/>
      <c r="AG49" s="32"/>
      <c r="AH49" s="32"/>
      <c r="AI49" s="32"/>
      <c r="AJ49" s="32"/>
    </row>
    <row r="50" spans="1:36" x14ac:dyDescent="0.25">
      <c r="A50" s="429"/>
      <c r="B50" s="429"/>
      <c r="C50" s="429"/>
      <c r="D50" s="429"/>
      <c r="E50" s="429"/>
      <c r="F50" s="429"/>
      <c r="G50" s="429"/>
      <c r="H50" s="429"/>
      <c r="I50" s="429"/>
      <c r="J50" s="429"/>
      <c r="K50" s="429"/>
      <c r="L50" s="429"/>
      <c r="M50" s="429"/>
      <c r="N50" s="429"/>
      <c r="O50" s="429"/>
      <c r="P50" s="429"/>
      <c r="Q50" s="429"/>
      <c r="R50" s="759"/>
      <c r="S50" s="640"/>
      <c r="T50" s="640"/>
      <c r="U50" s="640"/>
      <c r="V50" s="640"/>
      <c r="W50" s="640"/>
      <c r="X50" s="32"/>
      <c r="Y50" s="32"/>
      <c r="Z50" s="32"/>
      <c r="AA50" s="32"/>
      <c r="AB50" s="32"/>
      <c r="AC50" s="32"/>
      <c r="AD50" s="32"/>
      <c r="AE50" s="32"/>
      <c r="AF50" s="32"/>
      <c r="AG50" s="32"/>
      <c r="AH50" s="32"/>
      <c r="AI50" s="32"/>
      <c r="AJ50" s="32"/>
    </row>
    <row r="51" spans="1:36" x14ac:dyDescent="0.25">
      <c r="A51" s="429"/>
      <c r="B51" s="429"/>
      <c r="C51" s="429"/>
      <c r="D51" s="429"/>
      <c r="E51" s="429"/>
      <c r="F51" s="429"/>
      <c r="G51" s="429"/>
      <c r="H51" s="429"/>
      <c r="I51" s="429"/>
      <c r="J51" s="429"/>
      <c r="K51" s="429"/>
      <c r="L51" s="429"/>
      <c r="M51" s="429"/>
      <c r="N51" s="429"/>
      <c r="O51" s="429"/>
      <c r="P51" s="429"/>
      <c r="Q51" s="429"/>
      <c r="R51" s="759"/>
      <c r="S51" s="640"/>
      <c r="T51" s="640"/>
      <c r="U51" s="640"/>
      <c r="V51" s="640"/>
      <c r="W51" s="640"/>
      <c r="X51" s="32"/>
      <c r="Y51" s="32"/>
      <c r="Z51" s="32"/>
      <c r="AA51" s="32"/>
      <c r="AB51" s="32"/>
      <c r="AC51" s="32"/>
      <c r="AD51" s="32"/>
      <c r="AE51" s="32"/>
      <c r="AF51" s="32"/>
      <c r="AG51" s="32"/>
      <c r="AH51" s="32"/>
      <c r="AI51" s="32"/>
      <c r="AJ51" s="32"/>
    </row>
    <row r="52" spans="1:36" x14ac:dyDescent="0.25">
      <c r="A52" s="429"/>
      <c r="B52" s="429"/>
      <c r="C52" s="429"/>
      <c r="D52" s="429"/>
      <c r="E52" s="429"/>
      <c r="F52" s="429"/>
      <c r="G52" s="429"/>
      <c r="H52" s="429"/>
      <c r="I52" s="429"/>
      <c r="J52" s="429"/>
      <c r="K52" s="429"/>
      <c r="L52" s="429"/>
      <c r="M52" s="429"/>
      <c r="N52" s="429"/>
      <c r="O52" s="429"/>
      <c r="P52" s="429"/>
      <c r="Q52" s="429"/>
      <c r="R52" s="759"/>
      <c r="S52" s="640"/>
      <c r="T52" s="640"/>
      <c r="U52" s="640"/>
      <c r="V52" s="640"/>
      <c r="W52" s="640"/>
      <c r="X52" s="32"/>
      <c r="Y52" s="32"/>
      <c r="Z52" s="32"/>
      <c r="AA52" s="32"/>
      <c r="AB52" s="32"/>
      <c r="AC52" s="32"/>
      <c r="AD52" s="32"/>
      <c r="AE52" s="32"/>
      <c r="AF52" s="32"/>
      <c r="AG52" s="32"/>
      <c r="AH52" s="32"/>
      <c r="AI52" s="32"/>
      <c r="AJ52" s="32"/>
    </row>
    <row r="53" spans="1:36" x14ac:dyDescent="0.25">
      <c r="A53" s="429"/>
      <c r="B53" s="429"/>
      <c r="C53" s="429"/>
      <c r="D53" s="429"/>
      <c r="E53" s="429"/>
      <c r="F53" s="429"/>
      <c r="G53" s="429"/>
      <c r="H53" s="429"/>
      <c r="I53" s="429"/>
      <c r="J53" s="429"/>
      <c r="K53" s="429"/>
      <c r="L53" s="429"/>
      <c r="M53" s="429"/>
      <c r="N53" s="429"/>
      <c r="O53" s="429"/>
      <c r="P53" s="429"/>
      <c r="Q53" s="429"/>
      <c r="R53" s="429"/>
      <c r="S53" s="429"/>
      <c r="T53" s="429"/>
      <c r="U53" s="640"/>
      <c r="V53" s="640"/>
      <c r="W53" s="640"/>
      <c r="X53" s="32"/>
      <c r="Y53" s="32"/>
      <c r="Z53" s="32"/>
      <c r="AA53" s="32"/>
      <c r="AB53" s="32"/>
      <c r="AC53" s="32"/>
      <c r="AD53" s="32"/>
      <c r="AE53" s="32"/>
      <c r="AF53" s="32"/>
      <c r="AG53" s="32"/>
      <c r="AH53" s="32"/>
      <c r="AI53" s="32"/>
      <c r="AJ53" s="32"/>
    </row>
    <row r="54" spans="1:36" x14ac:dyDescent="0.25">
      <c r="A54" s="429"/>
      <c r="B54" s="429"/>
      <c r="C54" s="429"/>
      <c r="D54" s="429"/>
      <c r="E54" s="429"/>
      <c r="F54" s="429"/>
      <c r="G54" s="429"/>
      <c r="H54" s="429"/>
      <c r="I54" s="429"/>
      <c r="J54" s="429"/>
      <c r="K54" s="429"/>
      <c r="L54" s="429"/>
      <c r="M54" s="429"/>
      <c r="N54" s="429"/>
      <c r="O54" s="429"/>
      <c r="P54" s="429"/>
      <c r="Q54" s="429"/>
      <c r="R54" s="759"/>
      <c r="S54" s="429"/>
      <c r="T54" s="429"/>
      <c r="U54" s="640"/>
      <c r="V54" s="640"/>
      <c r="W54" s="640"/>
      <c r="X54" s="32"/>
      <c r="Y54" s="32"/>
      <c r="Z54" s="32"/>
      <c r="AA54" s="32"/>
      <c r="AB54" s="32"/>
      <c r="AC54" s="32"/>
      <c r="AD54" s="32"/>
      <c r="AE54" s="32"/>
      <c r="AF54" s="32"/>
      <c r="AG54" s="32"/>
      <c r="AH54" s="32"/>
      <c r="AI54" s="32"/>
      <c r="AJ54" s="32"/>
    </row>
    <row r="55" spans="1:36" x14ac:dyDescent="0.25">
      <c r="A55" s="429"/>
      <c r="B55" s="429"/>
      <c r="C55" s="429"/>
      <c r="D55" s="429"/>
      <c r="E55" s="429"/>
      <c r="F55" s="429"/>
      <c r="G55" s="429"/>
      <c r="H55" s="429"/>
      <c r="I55" s="429"/>
      <c r="J55" s="429"/>
      <c r="K55" s="429"/>
      <c r="L55" s="429"/>
      <c r="M55" s="429"/>
      <c r="N55" s="429"/>
      <c r="O55" s="429"/>
      <c r="P55" s="429"/>
      <c r="Q55" s="429"/>
      <c r="R55" s="429"/>
      <c r="S55" s="429"/>
      <c r="T55" s="429"/>
      <c r="U55" s="640"/>
      <c r="V55" s="640"/>
      <c r="W55" s="640"/>
      <c r="X55" s="32"/>
      <c r="Y55" s="32"/>
      <c r="Z55" s="32"/>
      <c r="AA55" s="32"/>
      <c r="AB55" s="32"/>
      <c r="AC55" s="32"/>
      <c r="AD55" s="32"/>
      <c r="AE55" s="32"/>
      <c r="AF55" s="32"/>
      <c r="AG55" s="32"/>
      <c r="AH55" s="32"/>
      <c r="AI55" s="32"/>
      <c r="AJ55" s="32"/>
    </row>
    <row r="56" spans="1:36" x14ac:dyDescent="0.25">
      <c r="A56" s="429"/>
      <c r="B56" s="429"/>
      <c r="C56" s="429"/>
      <c r="D56" s="429"/>
      <c r="E56" s="429"/>
      <c r="F56" s="429"/>
      <c r="G56" s="429"/>
      <c r="H56" s="429"/>
      <c r="I56" s="429"/>
      <c r="J56" s="429"/>
      <c r="K56" s="429"/>
      <c r="L56" s="429"/>
      <c r="M56" s="429"/>
      <c r="N56" s="429"/>
      <c r="O56" s="429"/>
      <c r="P56" s="429"/>
      <c r="Q56" s="429"/>
      <c r="R56" s="759"/>
      <c r="S56" s="640"/>
      <c r="T56" s="640"/>
      <c r="U56" s="640"/>
      <c r="V56" s="640"/>
      <c r="W56" s="640"/>
      <c r="X56" s="32"/>
      <c r="Y56" s="32"/>
      <c r="Z56" s="32"/>
      <c r="AA56" s="32"/>
      <c r="AB56" s="32"/>
      <c r="AC56" s="32"/>
      <c r="AD56" s="32"/>
      <c r="AE56" s="32"/>
      <c r="AF56" s="32"/>
      <c r="AG56" s="32"/>
      <c r="AH56" s="32"/>
      <c r="AI56" s="32"/>
      <c r="AJ56" s="32"/>
    </row>
    <row r="57" spans="1:36" x14ac:dyDescent="0.25">
      <c r="A57" s="429"/>
      <c r="B57" s="429"/>
      <c r="C57" s="429"/>
      <c r="D57" s="429"/>
      <c r="E57" s="429"/>
      <c r="F57" s="429"/>
      <c r="G57" s="429"/>
      <c r="H57" s="429"/>
      <c r="I57" s="429"/>
      <c r="J57" s="429"/>
      <c r="K57" s="429"/>
      <c r="L57" s="429"/>
      <c r="M57" s="429"/>
      <c r="N57" s="429"/>
      <c r="O57" s="429"/>
      <c r="P57" s="429"/>
      <c r="Q57" s="429"/>
      <c r="R57" s="759"/>
      <c r="S57" s="640"/>
      <c r="T57" s="640"/>
      <c r="U57" s="640"/>
      <c r="V57" s="640"/>
      <c r="W57" s="640"/>
      <c r="X57" s="32"/>
      <c r="Y57" s="32"/>
      <c r="Z57" s="32"/>
      <c r="AA57" s="32"/>
      <c r="AB57" s="32"/>
      <c r="AC57" s="32"/>
      <c r="AD57" s="32"/>
      <c r="AE57" s="32"/>
      <c r="AF57" s="32"/>
      <c r="AG57" s="32"/>
      <c r="AH57" s="32"/>
      <c r="AI57" s="32"/>
      <c r="AJ57" s="32"/>
    </row>
    <row r="58" spans="1:36" ht="21" customHeight="1" x14ac:dyDescent="0.25">
      <c r="A58" s="429"/>
      <c r="B58" s="429"/>
      <c r="C58" s="429"/>
      <c r="D58" s="429"/>
      <c r="E58" s="429"/>
      <c r="F58" s="429"/>
      <c r="G58" s="429"/>
      <c r="H58" s="429"/>
      <c r="I58" s="429"/>
      <c r="J58" s="429"/>
      <c r="K58" s="429"/>
      <c r="L58" s="429"/>
      <c r="M58" s="759"/>
      <c r="N58" s="429"/>
      <c r="O58" s="429"/>
      <c r="P58" s="429"/>
      <c r="Q58" s="429"/>
      <c r="R58" s="759"/>
      <c r="S58" s="640"/>
      <c r="T58" s="640"/>
      <c r="U58" s="640"/>
      <c r="V58" s="640"/>
      <c r="W58" s="640"/>
      <c r="X58" s="32"/>
      <c r="Y58" s="32"/>
      <c r="Z58" s="32"/>
      <c r="AA58" s="32"/>
      <c r="AB58" s="32"/>
      <c r="AC58" s="32"/>
      <c r="AD58" s="32"/>
      <c r="AE58" s="32"/>
      <c r="AF58" s="32"/>
      <c r="AG58" s="32"/>
      <c r="AH58" s="32"/>
      <c r="AI58" s="32"/>
      <c r="AJ58" s="32"/>
    </row>
    <row r="59" spans="1:36" x14ac:dyDescent="0.25">
      <c r="A59" s="429"/>
      <c r="B59" s="90"/>
      <c r="C59" s="91"/>
      <c r="D59" s="429"/>
      <c r="E59" s="429"/>
      <c r="F59" s="429"/>
      <c r="G59" s="429"/>
      <c r="H59" s="429"/>
      <c r="I59" s="429"/>
      <c r="J59" s="437"/>
      <c r="K59" s="437"/>
      <c r="L59" s="429"/>
      <c r="M59" s="783"/>
      <c r="N59" s="783"/>
      <c r="O59" s="783"/>
      <c r="P59" s="783"/>
      <c r="Q59" s="783"/>
      <c r="R59" s="784"/>
      <c r="S59" s="640"/>
      <c r="T59" s="640"/>
      <c r="U59" s="640"/>
      <c r="V59" s="640"/>
      <c r="W59" s="640"/>
      <c r="X59" s="32"/>
      <c r="Y59" s="32"/>
      <c r="Z59" s="32"/>
      <c r="AA59" s="32"/>
      <c r="AB59" s="32"/>
      <c r="AC59" s="32"/>
      <c r="AD59" s="32"/>
      <c r="AE59" s="32"/>
      <c r="AF59" s="32"/>
      <c r="AG59" s="32"/>
      <c r="AH59" s="32"/>
      <c r="AI59" s="32"/>
      <c r="AJ59" s="32"/>
    </row>
    <row r="60" spans="1:36" x14ac:dyDescent="0.25">
      <c r="A60" s="429"/>
      <c r="B60" s="429"/>
      <c r="C60" s="429"/>
      <c r="D60" s="776" t="s">
        <v>181</v>
      </c>
      <c r="E60" s="776" t="s">
        <v>171</v>
      </c>
      <c r="F60" s="776" t="s">
        <v>509</v>
      </c>
      <c r="G60" s="785" t="s">
        <v>70</v>
      </c>
      <c r="H60" s="785" t="s">
        <v>71</v>
      </c>
      <c r="I60" s="785" t="s">
        <v>72</v>
      </c>
      <c r="J60" s="437"/>
      <c r="K60" s="437"/>
      <c r="L60" s="429"/>
      <c r="M60" s="783"/>
      <c r="N60" s="783"/>
      <c r="O60" s="783"/>
      <c r="P60" s="783"/>
      <c r="Q60" s="783"/>
      <c r="R60" s="784"/>
      <c r="S60" s="640"/>
      <c r="T60" s="640"/>
      <c r="U60" s="640"/>
      <c r="V60" s="640"/>
      <c r="W60" s="640"/>
      <c r="X60" s="32"/>
      <c r="Y60" s="32"/>
      <c r="Z60" s="32"/>
      <c r="AA60" s="32"/>
      <c r="AB60" s="32"/>
      <c r="AC60" s="32"/>
      <c r="AD60" s="32"/>
      <c r="AE60" s="32"/>
      <c r="AF60" s="32"/>
      <c r="AG60" s="32"/>
      <c r="AH60" s="32"/>
      <c r="AI60" s="32"/>
      <c r="AJ60" s="32"/>
    </row>
    <row r="61" spans="1:36" ht="15.75" customHeight="1" x14ac:dyDescent="0.25">
      <c r="A61" s="429"/>
      <c r="B61" s="897" t="s">
        <v>1014</v>
      </c>
      <c r="C61" s="897"/>
      <c r="D61" s="778">
        <f>DATI!E88</f>
        <v>0.35</v>
      </c>
      <c r="E61" s="775">
        <f>'geom masse muro+tensioni'!H5</f>
        <v>0.105</v>
      </c>
      <c r="F61" s="359">
        <f>E61*DATI!$E$8</f>
        <v>2.625</v>
      </c>
      <c r="G61" s="778">
        <f>IF(DATI!E88=0,"",'geom masse muro+tensioni'!L5+DATI!E75)</f>
        <v>0.55000000000000004</v>
      </c>
      <c r="H61" s="778">
        <f>IF(DATI!E88=0,"",'geom masse muro+tensioni'!LM5)</f>
        <v>0</v>
      </c>
      <c r="I61" s="778">
        <f>IF(DATI!E88=0,"",'geom masse muro+tensioni'!N5+DATI!E74+DATI!E60)</f>
        <v>3.5250000000000004</v>
      </c>
      <c r="J61" s="429"/>
      <c r="K61" s="429"/>
      <c r="L61" s="429"/>
      <c r="M61" s="429"/>
      <c r="N61" s="429"/>
      <c r="O61" s="429"/>
      <c r="P61" s="429"/>
      <c r="Q61" s="429"/>
      <c r="R61" s="429"/>
      <c r="S61" s="429"/>
      <c r="T61" s="94"/>
      <c r="U61" s="429"/>
      <c r="V61" s="429"/>
      <c r="W61" s="640"/>
      <c r="X61" s="32"/>
      <c r="Z61" s="32"/>
      <c r="AA61" s="32"/>
      <c r="AB61" s="32"/>
      <c r="AC61" s="32"/>
      <c r="AD61" s="32"/>
      <c r="AE61" s="32"/>
      <c r="AF61" s="32"/>
      <c r="AG61" s="32"/>
      <c r="AH61" s="32"/>
      <c r="AI61" s="32"/>
      <c r="AJ61" s="32"/>
    </row>
    <row r="62" spans="1:36" ht="15.75" customHeight="1" x14ac:dyDescent="0.25">
      <c r="A62" s="429"/>
      <c r="B62" s="897" t="s">
        <v>515</v>
      </c>
      <c r="C62" s="897"/>
      <c r="D62" s="778">
        <f>DATI!E60</f>
        <v>2.85</v>
      </c>
      <c r="E62" s="775">
        <f>'geom masse muro+tensioni'!H9</f>
        <v>0.85501424999999964</v>
      </c>
      <c r="F62" s="359">
        <f>E62*DATI!$E$8</f>
        <v>21.375356249999992</v>
      </c>
      <c r="G62" s="778">
        <f>'geom masse muro+tensioni'!L9+DATI!E75</f>
        <v>0.55000250001388862</v>
      </c>
      <c r="H62" s="778">
        <f>'geom masse muro+tensioni'!M9</f>
        <v>0</v>
      </c>
      <c r="I62" s="778">
        <f>'geom masse muro+tensioni'!N9+DATI!E74+DATI!E60</f>
        <v>1.9249920834652758</v>
      </c>
      <c r="J62" s="429"/>
      <c r="K62" s="429"/>
      <c r="L62" s="429"/>
      <c r="M62" s="429"/>
      <c r="N62" s="429"/>
      <c r="O62" s="429"/>
      <c r="P62" s="429"/>
      <c r="Q62" s="429"/>
      <c r="R62" s="429"/>
      <c r="S62" s="429"/>
      <c r="T62" s="429"/>
      <c r="U62" s="429"/>
      <c r="V62" s="429"/>
      <c r="W62" s="429"/>
      <c r="Z62" s="32"/>
      <c r="AA62" s="32"/>
      <c r="AB62" s="32"/>
      <c r="AC62" s="32"/>
      <c r="AD62" s="32"/>
      <c r="AE62" s="32"/>
      <c r="AF62" s="32"/>
      <c r="AG62" s="32"/>
      <c r="AH62" s="32"/>
      <c r="AI62" s="32"/>
      <c r="AJ62" s="32"/>
    </row>
    <row r="63" spans="1:36" ht="15.75" customHeight="1" x14ac:dyDescent="0.25">
      <c r="A63" s="429"/>
      <c r="B63" s="897" t="s">
        <v>516</v>
      </c>
      <c r="C63" s="897"/>
      <c r="D63" s="778">
        <f>DATI!E74</f>
        <v>0.5</v>
      </c>
      <c r="E63" s="775">
        <f>'geom masse muro+tensioni'!H13</f>
        <v>0.99999999999999978</v>
      </c>
      <c r="F63" s="359">
        <f>E63*DATI!$E$8</f>
        <v>24.999999999999993</v>
      </c>
      <c r="G63" s="778">
        <f>'geom masse muro+tensioni'!L13+DATI!E75</f>
        <v>0.99999999999999978</v>
      </c>
      <c r="H63" s="778">
        <f>'geom masse muro+tensioni'!M13</f>
        <v>0</v>
      </c>
      <c r="I63" s="778">
        <f>'geom masse muro+tensioni'!N13+DATI!E74+DATI!E60</f>
        <v>0.24999999999999956</v>
      </c>
      <c r="J63" s="429"/>
      <c r="K63" s="429"/>
      <c r="L63" s="429"/>
      <c r="M63" s="429"/>
      <c r="N63" s="429"/>
      <c r="O63" s="429"/>
      <c r="P63" s="429"/>
      <c r="Q63" s="429"/>
      <c r="R63" s="429"/>
      <c r="S63" s="429"/>
      <c r="T63" s="429"/>
      <c r="U63" s="429"/>
      <c r="V63" s="429"/>
      <c r="W63" s="429"/>
      <c r="Z63" s="32"/>
      <c r="AA63" s="32"/>
      <c r="AB63" s="32"/>
      <c r="AC63" s="32"/>
      <c r="AD63" s="32"/>
      <c r="AE63" s="32"/>
      <c r="AF63" s="32"/>
      <c r="AG63" s="32"/>
      <c r="AH63" s="32"/>
      <c r="AI63" s="32"/>
      <c r="AJ63" s="32"/>
    </row>
    <row r="64" spans="1:36" ht="15.75" customHeight="1" x14ac:dyDescent="0.25">
      <c r="A64" s="429"/>
      <c r="B64" s="897" t="s">
        <v>517</v>
      </c>
      <c r="C64" s="897"/>
      <c r="D64" s="778">
        <f>DATI!E81</f>
        <v>0</v>
      </c>
      <c r="E64" s="775">
        <f>'geom masse muro+tensioni'!H15</f>
        <v>0</v>
      </c>
      <c r="F64" s="359">
        <f>E64*DATI!$E$8</f>
        <v>0</v>
      </c>
      <c r="G64" s="778" t="str">
        <f>IF(DATI!E83=0,"",'geom masse muro+tensioni'!LL15+DATI!E75)</f>
        <v/>
      </c>
      <c r="H64" s="778" t="str">
        <f>IF(DATI!E83=0,"",'geom masse muro+tensioni'!M15)</f>
        <v/>
      </c>
      <c r="I64" s="778" t="str">
        <f>IF(DATI!E83=0,"",'geom masse muro+tensioni'!N15+DATI!E74+DATI!E60)</f>
        <v/>
      </c>
      <c r="J64" s="429"/>
      <c r="K64" s="429"/>
      <c r="L64" s="429"/>
      <c r="M64" s="429"/>
      <c r="N64" s="429"/>
      <c r="O64" s="429"/>
      <c r="P64" s="429"/>
      <c r="Q64" s="429"/>
      <c r="R64" s="429"/>
      <c r="S64" s="429"/>
      <c r="T64" s="429"/>
      <c r="U64" s="429"/>
      <c r="V64" s="429"/>
      <c r="W64" s="429"/>
      <c r="Z64" s="32"/>
      <c r="AA64" s="32"/>
      <c r="AB64" s="32"/>
      <c r="AC64" s="32"/>
      <c r="AD64" s="32"/>
      <c r="AE64" s="32"/>
      <c r="AF64" s="32"/>
      <c r="AG64" s="32"/>
      <c r="AH64" s="32"/>
      <c r="AI64" s="32"/>
      <c r="AJ64" s="32"/>
    </row>
    <row r="65" spans="1:36" x14ac:dyDescent="0.25">
      <c r="A65" s="429"/>
      <c r="B65" s="123"/>
      <c r="C65" s="123"/>
      <c r="D65" s="782"/>
      <c r="E65" s="786"/>
      <c r="F65" s="659"/>
      <c r="G65" s="782"/>
      <c r="H65" s="782"/>
      <c r="I65" s="782"/>
      <c r="J65" s="429"/>
      <c r="K65" s="429"/>
      <c r="L65" s="429"/>
      <c r="M65" s="429"/>
      <c r="N65" s="429"/>
      <c r="O65" s="429"/>
      <c r="P65" s="429"/>
      <c r="Q65" s="429"/>
      <c r="R65" s="429"/>
      <c r="S65" s="429"/>
      <c r="T65" s="429"/>
      <c r="U65" s="429"/>
      <c r="V65" s="429"/>
      <c r="W65" s="429"/>
      <c r="Z65" s="32"/>
      <c r="AA65" s="32"/>
      <c r="AB65" s="32"/>
      <c r="AC65" s="32"/>
      <c r="AD65" s="32"/>
      <c r="AE65" s="32"/>
      <c r="AF65" s="32"/>
      <c r="AG65" s="32"/>
      <c r="AH65" s="32"/>
      <c r="AI65" s="32"/>
      <c r="AJ65" s="32"/>
    </row>
    <row r="66" spans="1:36" ht="15.75" x14ac:dyDescent="0.25">
      <c r="A66" s="429"/>
      <c r="B66" s="15" t="s">
        <v>754</v>
      </c>
      <c r="C66" s="123"/>
      <c r="D66" s="782"/>
      <c r="E66" s="786"/>
      <c r="F66" s="659"/>
      <c r="G66" s="782"/>
      <c r="H66" s="782"/>
      <c r="I66" s="782"/>
      <c r="J66" s="429"/>
      <c r="K66" s="429"/>
      <c r="L66" s="429"/>
      <c r="M66" s="429"/>
      <c r="N66" s="429"/>
      <c r="O66" s="429"/>
      <c r="P66" s="429"/>
      <c r="Q66" s="429"/>
      <c r="R66" s="429"/>
      <c r="S66" s="429"/>
      <c r="T66" s="429"/>
      <c r="U66" s="429"/>
      <c r="V66" s="429"/>
      <c r="W66" s="429"/>
      <c r="Z66" s="32"/>
      <c r="AA66" s="32"/>
      <c r="AB66" s="32"/>
      <c r="AC66" s="32"/>
      <c r="AD66" s="32"/>
      <c r="AE66" s="32"/>
      <c r="AF66" s="32"/>
      <c r="AG66" s="32"/>
      <c r="AH66" s="32"/>
      <c r="AI66" s="32"/>
      <c r="AJ66" s="32"/>
    </row>
    <row r="67" spans="1:36" ht="15.75" x14ac:dyDescent="0.25">
      <c r="A67" s="429"/>
      <c r="B67" s="15"/>
      <c r="C67" s="123"/>
      <c r="D67" s="782"/>
      <c r="E67" s="786"/>
      <c r="F67" s="659"/>
      <c r="G67" s="782"/>
      <c r="H67" s="782"/>
      <c r="I67" s="782"/>
      <c r="J67" s="429"/>
      <c r="K67" s="429"/>
      <c r="L67" s="429"/>
      <c r="M67" s="429"/>
      <c r="N67" s="429"/>
      <c r="O67" s="429"/>
      <c r="P67" s="429"/>
      <c r="Q67" s="429"/>
      <c r="R67" s="429"/>
      <c r="S67" s="429"/>
      <c r="T67" s="429"/>
      <c r="U67" s="429"/>
      <c r="V67" s="429"/>
      <c r="W67" s="429"/>
      <c r="Z67" s="32"/>
      <c r="AA67" s="32"/>
      <c r="AB67" s="32"/>
      <c r="AC67" s="32"/>
      <c r="AD67" s="32"/>
      <c r="AE67" s="32"/>
      <c r="AF67" s="32"/>
      <c r="AG67" s="32"/>
      <c r="AH67" s="32"/>
      <c r="AI67" s="32"/>
      <c r="AJ67" s="32"/>
    </row>
    <row r="68" spans="1:36" ht="15.75" x14ac:dyDescent="0.25">
      <c r="A68" s="429"/>
      <c r="B68" s="15"/>
      <c r="C68" s="123"/>
      <c r="D68" s="782"/>
      <c r="E68" s="786"/>
      <c r="F68" s="659"/>
      <c r="G68" s="782"/>
      <c r="H68" s="782"/>
      <c r="I68" s="782"/>
      <c r="J68" s="444"/>
      <c r="K68" s="429"/>
      <c r="L68" s="429"/>
      <c r="M68" s="429"/>
      <c r="N68" s="429"/>
      <c r="O68" s="429"/>
      <c r="P68" s="429"/>
      <c r="Q68" s="429"/>
      <c r="R68" s="429"/>
      <c r="S68" s="429"/>
      <c r="T68" s="429"/>
      <c r="U68" s="429"/>
      <c r="V68" s="429"/>
      <c r="W68" s="429"/>
      <c r="Z68" s="32"/>
      <c r="AA68" s="32"/>
      <c r="AB68" s="32"/>
      <c r="AC68" s="32"/>
      <c r="AD68" s="32"/>
      <c r="AE68" s="32"/>
      <c r="AF68" s="32"/>
      <c r="AG68" s="32"/>
      <c r="AH68" s="32"/>
      <c r="AI68" s="32"/>
      <c r="AJ68" s="32"/>
    </row>
    <row r="69" spans="1:36" ht="15.75" x14ac:dyDescent="0.25">
      <c r="A69" s="429"/>
      <c r="B69" s="15"/>
      <c r="C69" s="123"/>
      <c r="D69" s="782"/>
      <c r="E69" s="786"/>
      <c r="F69" s="659"/>
      <c r="G69" s="782"/>
      <c r="H69" s="782"/>
      <c r="I69" s="782"/>
      <c r="J69" s="444"/>
      <c r="K69" s="429"/>
      <c r="L69" s="429"/>
      <c r="M69" s="429"/>
      <c r="N69" s="429"/>
      <c r="O69" s="429"/>
      <c r="P69" s="429"/>
      <c r="Q69" s="429"/>
      <c r="R69" s="429"/>
      <c r="S69" s="429"/>
      <c r="T69" s="429"/>
      <c r="U69" s="429"/>
      <c r="V69" s="429"/>
      <c r="W69" s="429"/>
      <c r="Z69" s="32"/>
      <c r="AA69" s="32"/>
      <c r="AB69" s="32"/>
      <c r="AC69" s="32"/>
      <c r="AD69" s="32"/>
      <c r="AE69" s="32"/>
      <c r="AF69" s="32"/>
      <c r="AG69" s="32"/>
      <c r="AH69" s="32"/>
      <c r="AI69" s="32"/>
      <c r="AJ69" s="32"/>
    </row>
    <row r="70" spans="1:36" ht="18" x14ac:dyDescent="0.25">
      <c r="A70" s="429"/>
      <c r="B70" s="896" t="s">
        <v>518</v>
      </c>
      <c r="C70" s="92" t="s">
        <v>519</v>
      </c>
      <c r="D70" s="782"/>
      <c r="E70" s="786"/>
      <c r="F70" s="659"/>
      <c r="G70" s="782"/>
      <c r="H70" s="782"/>
      <c r="I70" s="782"/>
      <c r="J70" s="444"/>
      <c r="K70" s="429"/>
      <c r="L70" s="429"/>
      <c r="M70" s="429"/>
      <c r="N70" s="429"/>
      <c r="O70" s="429"/>
      <c r="P70" s="429"/>
      <c r="Q70" s="429"/>
      <c r="R70" s="429"/>
      <c r="S70" s="429"/>
      <c r="T70" s="429"/>
      <c r="U70" s="429"/>
      <c r="V70" s="429"/>
      <c r="W70" s="429"/>
      <c r="Z70" s="32"/>
      <c r="AA70" s="32"/>
      <c r="AB70" s="32"/>
      <c r="AC70" s="32"/>
      <c r="AD70" s="32"/>
      <c r="AE70" s="32"/>
      <c r="AF70" s="32"/>
      <c r="AG70" s="32"/>
      <c r="AH70" s="32"/>
      <c r="AI70" s="32"/>
      <c r="AJ70" s="32"/>
    </row>
    <row r="71" spans="1:36" x14ac:dyDescent="0.25">
      <c r="A71" s="429"/>
      <c r="B71" s="896"/>
      <c r="C71" s="202">
        <f>IF(DATI!C69="muro a contrafforti",('geom masse muro+tensioni'!H22-'geom masse muro+tensioni'!H9)*'geom masse muro+tensioni'!Q32,'geom masse muro+tensioni'!H22*'geom masse muro+tensioni'!Q32)</f>
        <v>79.04568839167807</v>
      </c>
      <c r="D71" s="782"/>
      <c r="E71" s="786"/>
      <c r="F71" s="659"/>
      <c r="G71" s="782"/>
      <c r="H71" s="782"/>
      <c r="I71" s="782"/>
      <c r="J71" s="444"/>
      <c r="K71" s="429"/>
      <c r="L71" s="429"/>
      <c r="M71" s="429"/>
      <c r="N71" s="429"/>
      <c r="O71" s="429"/>
      <c r="P71" s="429"/>
      <c r="Q71" s="429"/>
      <c r="R71" s="429"/>
      <c r="S71" s="429"/>
      <c r="T71" s="429"/>
      <c r="U71" s="429"/>
      <c r="V71" s="429"/>
      <c r="W71" s="429"/>
      <c r="Z71" s="32"/>
      <c r="AA71" s="32"/>
      <c r="AB71" s="32"/>
      <c r="AC71" s="32"/>
      <c r="AD71" s="32"/>
      <c r="AE71" s="32"/>
      <c r="AF71" s="32"/>
      <c r="AG71" s="32"/>
      <c r="AH71" s="32"/>
      <c r="AI71" s="32"/>
      <c r="AJ71" s="32"/>
    </row>
    <row r="72" spans="1:36" ht="18" x14ac:dyDescent="0.25">
      <c r="A72" s="429"/>
      <c r="B72" s="896" t="s">
        <v>520</v>
      </c>
      <c r="C72" s="93" t="s">
        <v>521</v>
      </c>
      <c r="D72" s="782"/>
      <c r="E72" s="786"/>
      <c r="F72" s="659"/>
      <c r="G72" s="782"/>
      <c r="H72" s="782"/>
      <c r="I72" s="782"/>
      <c r="J72" s="444"/>
      <c r="K72" s="429"/>
      <c r="L72" s="429"/>
      <c r="M72" s="429"/>
      <c r="N72" s="429"/>
      <c r="O72" s="429"/>
      <c r="P72" s="429"/>
      <c r="Q72" s="429"/>
      <c r="R72" s="429"/>
      <c r="S72" s="429"/>
      <c r="T72" s="429"/>
      <c r="U72" s="429"/>
      <c r="V72" s="429"/>
      <c r="W72" s="429"/>
      <c r="Z72" s="32"/>
      <c r="AA72" s="32"/>
      <c r="AB72" s="32"/>
      <c r="AC72" s="32"/>
      <c r="AD72" s="32"/>
      <c r="AE72" s="32"/>
      <c r="AF72" s="32"/>
      <c r="AG72" s="32"/>
      <c r="AH72" s="32"/>
      <c r="AI72" s="32"/>
      <c r="AJ72" s="32"/>
    </row>
    <row r="73" spans="1:36" x14ac:dyDescent="0.25">
      <c r="A73" s="429"/>
      <c r="B73" s="896"/>
      <c r="C73" s="204">
        <f>IF(DATI!G218="DX",C84,DATI!E75+'FOGLIO DEPOSITO'!D212+'FOGLIO DEPOSITO'!D211-'VER. EQU COND. NON DRENATE'!C84)</f>
        <v>1.3139238557823383</v>
      </c>
      <c r="D73" s="782"/>
      <c r="E73" s="786"/>
      <c r="F73" s="659"/>
      <c r="G73" s="782"/>
      <c r="H73" s="782"/>
      <c r="I73" s="782"/>
      <c r="J73" s="444"/>
      <c r="K73" s="429"/>
      <c r="L73" s="429"/>
      <c r="M73" s="429"/>
      <c r="N73" s="429"/>
      <c r="O73" s="429"/>
      <c r="P73" s="429"/>
      <c r="Q73" s="429"/>
      <c r="R73" s="429"/>
      <c r="S73" s="429"/>
      <c r="T73" s="429"/>
      <c r="U73" s="429"/>
      <c r="V73" s="429"/>
      <c r="W73" s="429"/>
      <c r="Z73" s="32"/>
      <c r="AA73" s="32"/>
      <c r="AB73" s="32"/>
      <c r="AC73" s="32"/>
      <c r="AD73" s="32"/>
      <c r="AE73" s="32"/>
      <c r="AF73" s="32"/>
      <c r="AG73" s="32"/>
      <c r="AH73" s="32"/>
      <c r="AI73" s="32"/>
      <c r="AJ73" s="32"/>
    </row>
    <row r="74" spans="1:36" x14ac:dyDescent="0.25">
      <c r="A74" s="429"/>
      <c r="B74" s="896" t="s">
        <v>522</v>
      </c>
      <c r="C74" s="787" t="s">
        <v>523</v>
      </c>
      <c r="D74" s="782"/>
      <c r="E74" s="786"/>
      <c r="F74" s="659"/>
      <c r="G74" s="782"/>
      <c r="H74" s="782"/>
      <c r="I74" s="782"/>
      <c r="J74" s="444"/>
      <c r="K74" s="429"/>
      <c r="L74" s="429"/>
      <c r="M74" s="429"/>
      <c r="N74" s="429"/>
      <c r="O74" s="429"/>
      <c r="P74" s="429"/>
      <c r="Q74" s="429"/>
      <c r="R74" s="429"/>
      <c r="S74" s="429"/>
      <c r="T74" s="429"/>
      <c r="U74" s="429"/>
      <c r="V74" s="429"/>
      <c r="W74" s="429"/>
      <c r="Z74" s="32"/>
      <c r="AA74" s="32"/>
      <c r="AB74" s="32"/>
      <c r="AC74" s="32"/>
      <c r="AD74" s="32"/>
      <c r="AE74" s="32"/>
      <c r="AF74" s="32"/>
      <c r="AG74" s="32"/>
      <c r="AH74" s="32"/>
      <c r="AI74" s="32"/>
      <c r="AJ74" s="32"/>
    </row>
    <row r="75" spans="1:36" x14ac:dyDescent="0.25">
      <c r="A75" s="429"/>
      <c r="B75" s="896"/>
      <c r="C75" s="788">
        <f>'geom masse muro+tensioni'!Q32</f>
        <v>20.66561643835616</v>
      </c>
      <c r="D75" s="782"/>
      <c r="E75" s="786"/>
      <c r="F75" s="659"/>
      <c r="G75" s="782"/>
      <c r="H75" s="782"/>
      <c r="I75" s="782"/>
      <c r="J75" s="444"/>
      <c r="K75" s="429"/>
      <c r="L75" s="429"/>
      <c r="M75" s="429"/>
      <c r="N75" s="429"/>
      <c r="O75" s="429"/>
      <c r="P75" s="429"/>
      <c r="Q75" s="429"/>
      <c r="R75" s="429"/>
      <c r="S75" s="429"/>
      <c r="T75" s="429"/>
      <c r="U75" s="429"/>
      <c r="V75" s="429"/>
      <c r="W75" s="429"/>
      <c r="Z75" s="32"/>
      <c r="AA75" s="32"/>
      <c r="AB75" s="32"/>
      <c r="AC75" s="32"/>
      <c r="AD75" s="32"/>
      <c r="AE75" s="32"/>
      <c r="AF75" s="32"/>
      <c r="AG75" s="32"/>
      <c r="AH75" s="32"/>
      <c r="AI75" s="32"/>
      <c r="AJ75" s="32"/>
    </row>
    <row r="76" spans="1:36" ht="15.75" x14ac:dyDescent="0.25">
      <c r="A76" s="429"/>
      <c r="B76" s="351" t="str">
        <f>IF(DATI!C69="muro a contrafforti","viene sottratto il volume dei contrafforti","")</f>
        <v/>
      </c>
      <c r="C76" s="123"/>
      <c r="D76" s="782"/>
      <c r="E76" s="786"/>
      <c r="F76" s="659"/>
      <c r="G76" s="782"/>
      <c r="H76" s="782"/>
      <c r="I76" s="782"/>
      <c r="J76" s="444"/>
      <c r="K76" s="429"/>
      <c r="L76" s="429"/>
      <c r="M76" s="429"/>
      <c r="N76" s="429"/>
      <c r="O76" s="429"/>
      <c r="P76" s="429"/>
      <c r="Q76" s="429"/>
      <c r="R76" s="429"/>
      <c r="S76" s="429"/>
      <c r="T76" s="429"/>
      <c r="U76" s="429"/>
      <c r="V76" s="429"/>
      <c r="W76" s="429"/>
      <c r="Z76" s="32"/>
      <c r="AA76" s="32"/>
      <c r="AB76" s="32"/>
      <c r="AC76" s="32"/>
      <c r="AD76" s="32"/>
      <c r="AE76" s="32"/>
      <c r="AF76" s="32"/>
      <c r="AG76" s="32"/>
      <c r="AH76" s="32"/>
      <c r="AI76" s="32"/>
      <c r="AJ76" s="32"/>
    </row>
    <row r="77" spans="1:36" x14ac:dyDescent="0.25">
      <c r="A77" s="429"/>
      <c r="B77" s="429"/>
      <c r="C77" s="429"/>
      <c r="D77" s="782"/>
      <c r="E77" s="786"/>
      <c r="F77" s="659"/>
      <c r="G77" s="782"/>
      <c r="H77" s="782"/>
      <c r="I77" s="782"/>
      <c r="J77" s="444"/>
      <c r="K77" s="429"/>
      <c r="L77" s="429"/>
      <c r="M77" s="429"/>
      <c r="N77" s="429"/>
      <c r="O77" s="429"/>
      <c r="P77" s="429"/>
      <c r="Q77" s="429"/>
      <c r="R77" s="429"/>
      <c r="S77" s="429"/>
      <c r="T77" s="429"/>
      <c r="U77" s="429"/>
      <c r="V77" s="429"/>
      <c r="W77" s="429"/>
      <c r="Z77" s="32"/>
      <c r="AA77" s="32"/>
      <c r="AB77" s="32"/>
      <c r="AC77" s="32"/>
      <c r="AD77" s="32"/>
      <c r="AE77" s="32"/>
      <c r="AF77" s="32"/>
      <c r="AG77" s="32"/>
      <c r="AH77" s="32"/>
      <c r="AI77" s="32"/>
      <c r="AJ77" s="32"/>
    </row>
    <row r="78" spans="1:36" x14ac:dyDescent="0.25">
      <c r="A78" s="429"/>
      <c r="B78" s="864" t="s">
        <v>524</v>
      </c>
      <c r="C78" s="864"/>
      <c r="D78" s="782"/>
      <c r="E78" s="786"/>
      <c r="F78" s="659"/>
      <c r="G78" s="782"/>
      <c r="H78" s="782"/>
      <c r="I78" s="782"/>
      <c r="J78" s="444"/>
      <c r="K78" s="429"/>
      <c r="L78" s="429"/>
      <c r="M78" s="429"/>
      <c r="N78" s="429"/>
      <c r="O78" s="429"/>
      <c r="P78" s="429"/>
      <c r="Q78" s="429"/>
      <c r="R78" s="429"/>
      <c r="S78" s="429"/>
      <c r="T78" s="429"/>
      <c r="U78" s="429"/>
      <c r="V78" s="429"/>
      <c r="W78" s="429"/>
      <c r="Z78" s="32"/>
      <c r="AA78" s="32"/>
      <c r="AB78" s="32"/>
      <c r="AC78" s="32"/>
      <c r="AD78" s="32"/>
      <c r="AE78" s="32"/>
      <c r="AF78" s="32"/>
      <c r="AG78" s="32"/>
      <c r="AH78" s="32"/>
      <c r="AI78" s="32"/>
      <c r="AJ78" s="32"/>
    </row>
    <row r="79" spans="1:36" x14ac:dyDescent="0.25">
      <c r="A79" s="429"/>
      <c r="B79" s="631" t="s">
        <v>525</v>
      </c>
      <c r="C79" s="543">
        <f>'geom masse muro+tensioni'!L34+DATI!E75</f>
        <v>1.1094467263576118</v>
      </c>
      <c r="D79" s="782"/>
      <c r="E79" s="786"/>
      <c r="F79" s="659"/>
      <c r="G79" s="782"/>
      <c r="H79" s="782"/>
      <c r="I79" s="782"/>
      <c r="J79" s="444"/>
      <c r="K79" s="429"/>
      <c r="L79" s="429"/>
      <c r="M79" s="429"/>
      <c r="N79" s="429"/>
      <c r="O79" s="429"/>
      <c r="P79" s="429"/>
      <c r="Q79" s="429"/>
      <c r="R79" s="429"/>
      <c r="S79" s="429"/>
      <c r="T79" s="429"/>
      <c r="U79" s="429"/>
      <c r="V79" s="429"/>
      <c r="W79" s="429"/>
      <c r="Z79" s="32"/>
      <c r="AA79" s="32"/>
      <c r="AB79" s="32"/>
      <c r="AC79" s="32"/>
      <c r="AD79" s="32"/>
      <c r="AE79" s="32"/>
      <c r="AF79" s="32"/>
      <c r="AG79" s="32"/>
      <c r="AH79" s="32"/>
      <c r="AI79" s="32"/>
      <c r="AJ79" s="32"/>
    </row>
    <row r="80" spans="1:36" x14ac:dyDescent="0.25">
      <c r="A80" s="429"/>
      <c r="B80" s="631" t="s">
        <v>526</v>
      </c>
      <c r="C80" s="543">
        <f>0</f>
        <v>0</v>
      </c>
      <c r="D80" s="782"/>
      <c r="E80" s="786"/>
      <c r="F80" s="659"/>
      <c r="G80" s="782"/>
      <c r="H80" s="782"/>
      <c r="I80" s="782"/>
      <c r="J80" s="444"/>
      <c r="K80" s="444"/>
      <c r="L80" s="444"/>
      <c r="M80" s="444"/>
      <c r="N80" s="429"/>
      <c r="O80" s="429"/>
      <c r="P80" s="429"/>
      <c r="Q80" s="429"/>
      <c r="R80" s="429"/>
      <c r="S80" s="429"/>
      <c r="T80" s="429"/>
      <c r="U80" s="429"/>
      <c r="V80" s="429"/>
      <c r="W80" s="429"/>
      <c r="Z80" s="32"/>
      <c r="AA80" s="32"/>
      <c r="AB80" s="32"/>
      <c r="AC80" s="32"/>
      <c r="AD80" s="32"/>
      <c r="AE80" s="32"/>
      <c r="AF80" s="32"/>
      <c r="AG80" s="32"/>
      <c r="AH80" s="32"/>
      <c r="AI80" s="32"/>
      <c r="AJ80" s="32"/>
    </row>
    <row r="81" spans="1:36" x14ac:dyDescent="0.25">
      <c r="A81" s="429"/>
      <c r="B81" s="631" t="s">
        <v>527</v>
      </c>
      <c r="C81" s="543">
        <f>DATI!E60+DATI!E74+'geom masse muro+tensioni'!N34</f>
        <v>1.606076687939058</v>
      </c>
      <c r="D81" s="782"/>
      <c r="E81" s="786"/>
      <c r="F81" s="659"/>
      <c r="G81" s="782"/>
      <c r="H81" s="782"/>
      <c r="I81" s="782"/>
      <c r="J81" s="444"/>
      <c r="K81" s="444"/>
      <c r="L81" s="444"/>
      <c r="M81" s="444"/>
      <c r="N81" s="429"/>
      <c r="O81" s="429"/>
      <c r="P81" s="429"/>
      <c r="Q81" s="429"/>
      <c r="R81" s="429"/>
      <c r="S81" s="429"/>
      <c r="T81" s="429"/>
      <c r="U81" s="429"/>
      <c r="V81" s="429"/>
      <c r="W81" s="429"/>
      <c r="Z81" s="32"/>
      <c r="AA81" s="32"/>
      <c r="AB81" s="32"/>
      <c r="AC81" s="32"/>
      <c r="AD81" s="32"/>
      <c r="AE81" s="32"/>
      <c r="AF81" s="32"/>
      <c r="AG81" s="32"/>
      <c r="AH81" s="32"/>
      <c r="AI81" s="32"/>
      <c r="AJ81" s="32"/>
    </row>
    <row r="82" spans="1:36" x14ac:dyDescent="0.25">
      <c r="A82" s="429"/>
      <c r="B82" s="640"/>
      <c r="C82" s="127"/>
      <c r="D82" s="782"/>
      <c r="E82" s="786"/>
      <c r="F82" s="659"/>
      <c r="G82" s="782"/>
      <c r="H82" s="782"/>
      <c r="I82" s="782"/>
      <c r="J82" s="444"/>
      <c r="K82" s="687"/>
      <c r="L82" s="444"/>
      <c r="M82" s="444"/>
      <c r="N82" s="429"/>
      <c r="O82" s="429"/>
      <c r="P82" s="429"/>
      <c r="Q82" s="429"/>
      <c r="R82" s="429"/>
      <c r="S82" s="429"/>
      <c r="T82" s="429"/>
      <c r="U82" s="429"/>
      <c r="V82" s="429"/>
      <c r="W82" s="429"/>
      <c r="Z82" s="32"/>
      <c r="AA82" s="32"/>
      <c r="AB82" s="32"/>
      <c r="AC82" s="32"/>
      <c r="AD82" s="32"/>
      <c r="AE82" s="32"/>
      <c r="AF82" s="32"/>
      <c r="AG82" s="32"/>
      <c r="AH82" s="32"/>
      <c r="AI82" s="32"/>
      <c r="AJ82" s="32"/>
    </row>
    <row r="83" spans="1:36" x14ac:dyDescent="0.25">
      <c r="A83" s="429"/>
      <c r="B83" s="900" t="s">
        <v>528</v>
      </c>
      <c r="C83" s="900"/>
      <c r="D83" s="782"/>
      <c r="E83" s="786"/>
      <c r="F83" s="659"/>
      <c r="G83" s="782"/>
      <c r="H83" s="782"/>
      <c r="I83" s="782"/>
      <c r="J83" s="444"/>
      <c r="K83" s="444"/>
      <c r="L83" s="444"/>
      <c r="M83" s="444"/>
      <c r="N83" s="429"/>
      <c r="O83" s="429"/>
      <c r="P83" s="429"/>
      <c r="Q83" s="429"/>
      <c r="R83" s="429"/>
      <c r="S83" s="429"/>
      <c r="T83" s="429"/>
      <c r="U83" s="429"/>
      <c r="V83" s="429"/>
      <c r="W83" s="429"/>
      <c r="Z83" s="32"/>
      <c r="AA83" s="32"/>
      <c r="AB83" s="32"/>
      <c r="AC83" s="32"/>
      <c r="AD83" s="32"/>
      <c r="AE83" s="32"/>
      <c r="AF83" s="32"/>
      <c r="AG83" s="32"/>
      <c r="AH83" s="32"/>
      <c r="AI83" s="32"/>
      <c r="AJ83" s="32"/>
    </row>
    <row r="84" spans="1:36" x14ac:dyDescent="0.25">
      <c r="A84" s="429"/>
      <c r="B84" s="631" t="s">
        <v>529</v>
      </c>
      <c r="C84" s="543">
        <f>'geom masse muro+tensioni'!L22+DATI!E75</f>
        <v>1.3139238557823383</v>
      </c>
      <c r="D84" s="782"/>
      <c r="E84" s="786"/>
      <c r="F84" s="659"/>
      <c r="G84" s="782"/>
      <c r="H84" s="782"/>
      <c r="I84" s="782"/>
      <c r="J84" s="444"/>
      <c r="K84" s="429"/>
      <c r="L84" s="429"/>
      <c r="M84" s="429"/>
      <c r="N84" s="429"/>
      <c r="O84" s="429"/>
      <c r="P84" s="429"/>
      <c r="Q84" s="429"/>
      <c r="R84" s="429"/>
      <c r="S84" s="429"/>
      <c r="T84" s="429"/>
      <c r="U84" s="429"/>
      <c r="V84" s="429"/>
      <c r="W84" s="429"/>
      <c r="Z84" s="32"/>
      <c r="AA84" s="32"/>
      <c r="AB84" s="32"/>
      <c r="AC84" s="32"/>
      <c r="AD84" s="32"/>
      <c r="AE84" s="32"/>
      <c r="AF84" s="32"/>
      <c r="AG84" s="32"/>
      <c r="AH84" s="32"/>
      <c r="AI84" s="32"/>
      <c r="AJ84" s="32"/>
    </row>
    <row r="85" spans="1:36" x14ac:dyDescent="0.25">
      <c r="A85" s="429"/>
      <c r="B85" s="631" t="s">
        <v>530</v>
      </c>
      <c r="C85" s="543">
        <f>0</f>
        <v>0</v>
      </c>
      <c r="D85" s="782"/>
      <c r="E85" s="786"/>
      <c r="F85" s="659"/>
      <c r="G85" s="782"/>
      <c r="H85" s="782"/>
      <c r="I85" s="782"/>
      <c r="J85" s="444"/>
      <c r="K85" s="429"/>
      <c r="L85" s="429"/>
      <c r="M85" s="429"/>
      <c r="N85" s="429"/>
      <c r="O85" s="429"/>
      <c r="P85" s="429"/>
      <c r="Q85" s="429"/>
      <c r="R85" s="429"/>
      <c r="S85" s="429"/>
      <c r="T85" s="429"/>
      <c r="U85" s="429"/>
      <c r="V85" s="429"/>
      <c r="W85" s="429"/>
      <c r="Z85" s="32"/>
      <c r="AA85" s="32"/>
      <c r="AB85" s="32"/>
      <c r="AC85" s="32"/>
      <c r="AD85" s="32"/>
      <c r="AE85" s="32"/>
      <c r="AF85" s="32"/>
      <c r="AG85" s="32"/>
      <c r="AH85" s="32"/>
      <c r="AI85" s="32"/>
      <c r="AJ85" s="32"/>
    </row>
    <row r="86" spans="1:36" x14ac:dyDescent="0.25">
      <c r="A86" s="429"/>
      <c r="B86" s="631" t="s">
        <v>531</v>
      </c>
      <c r="C86" s="543">
        <f>DATI!E60+DATI!E74+'geom masse muro+tensioni'!N22</f>
        <v>1.885001620594273</v>
      </c>
      <c r="D86" s="782"/>
      <c r="E86" s="786"/>
      <c r="F86" s="659"/>
      <c r="G86" s="782"/>
      <c r="H86" s="782"/>
      <c r="I86" s="782"/>
      <c r="J86" s="444"/>
      <c r="K86" s="429"/>
      <c r="L86" s="429"/>
      <c r="M86" s="429"/>
      <c r="N86" s="429"/>
      <c r="O86" s="429"/>
      <c r="P86" s="429"/>
      <c r="Q86" s="429"/>
      <c r="R86" s="429"/>
      <c r="S86" s="429"/>
      <c r="T86" s="429"/>
      <c r="U86" s="429"/>
      <c r="V86" s="429"/>
      <c r="W86" s="429"/>
      <c r="Z86" s="32"/>
      <c r="AA86" s="32"/>
      <c r="AB86" s="32"/>
      <c r="AC86" s="32"/>
      <c r="AD86" s="32"/>
      <c r="AE86" s="32"/>
      <c r="AF86" s="32"/>
      <c r="AG86" s="32"/>
      <c r="AH86" s="32"/>
      <c r="AI86" s="32"/>
      <c r="AJ86" s="32"/>
    </row>
    <row r="87" spans="1:36" x14ac:dyDescent="0.25">
      <c r="A87" s="429"/>
      <c r="B87" s="640"/>
      <c r="C87" s="127"/>
      <c r="D87" s="782"/>
      <c r="E87" s="786"/>
      <c r="F87" s="659"/>
      <c r="G87" s="782"/>
      <c r="H87" s="782"/>
      <c r="I87" s="782"/>
      <c r="J87" s="444"/>
      <c r="K87" s="429"/>
      <c r="L87" s="429"/>
      <c r="M87" s="429"/>
      <c r="N87" s="429"/>
      <c r="O87" s="429"/>
      <c r="P87" s="429"/>
      <c r="Q87" s="429"/>
      <c r="R87" s="429"/>
      <c r="S87" s="429"/>
      <c r="T87" s="429"/>
      <c r="U87" s="429"/>
      <c r="V87" s="429"/>
      <c r="W87" s="429"/>
      <c r="Z87" s="32"/>
      <c r="AA87" s="32"/>
      <c r="AB87" s="32"/>
      <c r="AC87" s="32"/>
      <c r="AD87" s="32"/>
      <c r="AE87" s="32"/>
      <c r="AF87" s="32"/>
      <c r="AG87" s="32"/>
      <c r="AH87" s="32"/>
      <c r="AI87" s="32"/>
      <c r="AJ87" s="32"/>
    </row>
    <row r="88" spans="1:36" x14ac:dyDescent="0.25">
      <c r="A88" s="429"/>
      <c r="B88" s="900" t="s">
        <v>532</v>
      </c>
      <c r="C88" s="900"/>
      <c r="D88" s="782"/>
      <c r="E88" s="786"/>
      <c r="F88" s="659"/>
      <c r="G88" s="782"/>
      <c r="H88" s="782"/>
      <c r="I88" s="782"/>
      <c r="J88" s="444"/>
      <c r="K88" s="429"/>
      <c r="L88" s="429"/>
      <c r="M88" s="429"/>
      <c r="N88" s="429"/>
      <c r="O88" s="429"/>
      <c r="P88" s="429"/>
      <c r="Q88" s="429"/>
      <c r="R88" s="429"/>
      <c r="S88" s="429"/>
      <c r="T88" s="429"/>
      <c r="U88" s="429"/>
      <c r="V88" s="429"/>
      <c r="W88" s="429"/>
      <c r="Z88" s="32"/>
      <c r="AA88" s="32"/>
      <c r="AB88" s="32"/>
      <c r="AC88" s="32"/>
      <c r="AD88" s="32"/>
      <c r="AE88" s="32"/>
      <c r="AF88" s="32"/>
      <c r="AG88" s="32"/>
      <c r="AH88" s="32"/>
      <c r="AI88" s="32"/>
      <c r="AJ88" s="32"/>
    </row>
    <row r="89" spans="1:36" x14ac:dyDescent="0.25">
      <c r="A89" s="429"/>
      <c r="B89" s="777" t="s">
        <v>70</v>
      </c>
      <c r="C89" s="778">
        <f>'VER. EQU COND. NON DRENATE'!C38</f>
        <v>0.77959125809799579</v>
      </c>
      <c r="D89" s="782"/>
      <c r="E89" s="786"/>
      <c r="F89" s="659"/>
      <c r="G89" s="782"/>
      <c r="H89" s="782"/>
      <c r="I89" s="782"/>
      <c r="J89" s="444"/>
      <c r="K89" s="429"/>
      <c r="L89" s="429"/>
      <c r="M89" s="429"/>
      <c r="N89" s="429"/>
      <c r="O89" s="429"/>
      <c r="P89" s="429"/>
      <c r="Q89" s="429"/>
      <c r="R89" s="429"/>
      <c r="S89" s="429"/>
      <c r="T89" s="429"/>
      <c r="U89" s="429"/>
      <c r="V89" s="429"/>
      <c r="W89" s="429"/>
      <c r="Z89" s="32"/>
      <c r="AA89" s="32"/>
      <c r="AB89" s="32"/>
      <c r="AC89" s="32"/>
      <c r="AD89" s="32"/>
      <c r="AE89" s="32"/>
      <c r="AF89" s="32"/>
      <c r="AG89" s="32"/>
      <c r="AH89" s="32"/>
      <c r="AI89" s="32"/>
      <c r="AJ89" s="32"/>
    </row>
    <row r="90" spans="1:36" x14ac:dyDescent="0.25">
      <c r="A90" s="429"/>
      <c r="B90" s="777" t="s">
        <v>71</v>
      </c>
      <c r="C90" s="778">
        <f>'VER. EQU COND. NON DRENATE'!C39</f>
        <v>0</v>
      </c>
      <c r="D90" s="782"/>
      <c r="E90" s="786"/>
      <c r="F90" s="659"/>
      <c r="G90" s="782"/>
      <c r="H90" s="782"/>
      <c r="I90" s="782"/>
      <c r="J90" s="444"/>
      <c r="K90" s="429"/>
      <c r="L90" s="429"/>
      <c r="M90" s="429"/>
      <c r="N90" s="429"/>
      <c r="O90" s="429"/>
      <c r="P90" s="429"/>
      <c r="Q90" s="429"/>
      <c r="R90" s="429"/>
      <c r="S90" s="429"/>
      <c r="T90" s="429"/>
      <c r="U90" s="429"/>
      <c r="V90" s="429"/>
      <c r="W90" s="429"/>
      <c r="Z90" s="32"/>
      <c r="AA90" s="32"/>
      <c r="AB90" s="32"/>
      <c r="AC90" s="32"/>
      <c r="AD90" s="32"/>
      <c r="AE90" s="32"/>
      <c r="AF90" s="32"/>
      <c r="AG90" s="32"/>
      <c r="AH90" s="32"/>
      <c r="AI90" s="32"/>
      <c r="AJ90" s="32"/>
    </row>
    <row r="91" spans="1:36" x14ac:dyDescent="0.25">
      <c r="A91" s="429"/>
      <c r="B91" s="777" t="s">
        <v>72</v>
      </c>
      <c r="C91" s="778">
        <f>'VER. EQU COND. NON DRENATE'!C40</f>
        <v>1.1561245855738038</v>
      </c>
      <c r="D91" s="782"/>
      <c r="E91" s="786"/>
      <c r="F91" s="659"/>
      <c r="G91" s="782"/>
      <c r="H91" s="782"/>
      <c r="I91" s="782"/>
      <c r="J91" s="444"/>
      <c r="K91" s="429"/>
      <c r="L91" s="429"/>
      <c r="M91" s="429"/>
      <c r="N91" s="429"/>
      <c r="O91" s="429"/>
      <c r="P91" s="429"/>
      <c r="Q91" s="429"/>
      <c r="R91" s="429"/>
      <c r="S91" s="429"/>
      <c r="T91" s="429"/>
      <c r="U91" s="429"/>
      <c r="V91" s="429"/>
      <c r="W91" s="429"/>
      <c r="Z91" s="32"/>
      <c r="AA91" s="32"/>
      <c r="AB91" s="32"/>
      <c r="AC91" s="32"/>
      <c r="AD91" s="32"/>
      <c r="AE91" s="32"/>
      <c r="AF91" s="32"/>
      <c r="AG91" s="32"/>
      <c r="AH91" s="32"/>
      <c r="AI91" s="32"/>
      <c r="AJ91" s="32"/>
    </row>
    <row r="92" spans="1:36" x14ac:dyDescent="0.25">
      <c r="A92" s="429"/>
      <c r="B92" s="123"/>
      <c r="C92" s="123"/>
      <c r="D92" s="782"/>
      <c r="E92" s="786"/>
      <c r="F92" s="659"/>
      <c r="G92" s="782"/>
      <c r="H92" s="782"/>
      <c r="I92" s="782"/>
      <c r="J92" s="444"/>
      <c r="K92" s="429"/>
      <c r="L92" s="429"/>
      <c r="M92" s="429"/>
      <c r="N92" s="429"/>
      <c r="O92" s="429"/>
      <c r="P92" s="429"/>
      <c r="Q92" s="429"/>
      <c r="R92" s="429"/>
      <c r="S92" s="429"/>
      <c r="T92" s="429"/>
      <c r="U92" s="429"/>
      <c r="V92" s="429"/>
      <c r="W92" s="429"/>
      <c r="Z92" s="32"/>
      <c r="AA92" s="32"/>
      <c r="AB92" s="32"/>
      <c r="AC92" s="32"/>
      <c r="AD92" s="32"/>
      <c r="AE92" s="32"/>
      <c r="AF92" s="32"/>
      <c r="AG92" s="32"/>
      <c r="AH92" s="32"/>
      <c r="AI92" s="32"/>
      <c r="AJ92" s="32"/>
    </row>
    <row r="93" spans="1:36" x14ac:dyDescent="0.25">
      <c r="A93" s="429"/>
      <c r="B93" s="123"/>
      <c r="C93" s="123"/>
      <c r="D93" s="782"/>
      <c r="E93" s="786"/>
      <c r="F93" s="659"/>
      <c r="G93" s="782"/>
      <c r="H93" s="782"/>
      <c r="I93" s="782"/>
      <c r="J93" s="444"/>
      <c r="K93" s="429"/>
      <c r="L93" s="429"/>
      <c r="M93" s="429"/>
      <c r="N93" s="429"/>
      <c r="O93" s="429"/>
      <c r="P93" s="429"/>
      <c r="Q93" s="429"/>
      <c r="R93" s="429"/>
      <c r="S93" s="429"/>
      <c r="T93" s="429"/>
      <c r="U93" s="429"/>
      <c r="V93" s="429"/>
      <c r="W93" s="429"/>
      <c r="Z93" s="32"/>
      <c r="AA93" s="32"/>
      <c r="AB93" s="32"/>
      <c r="AC93" s="32"/>
      <c r="AD93" s="32"/>
      <c r="AE93" s="32"/>
      <c r="AF93" s="32"/>
      <c r="AG93" s="32"/>
      <c r="AH93" s="32"/>
      <c r="AI93" s="32"/>
      <c r="AJ93" s="32"/>
    </row>
    <row r="94" spans="1:36" x14ac:dyDescent="0.25">
      <c r="A94" s="429"/>
      <c r="B94" s="123"/>
      <c r="C94" s="123"/>
      <c r="D94" s="782"/>
      <c r="E94" s="786"/>
      <c r="F94" s="659"/>
      <c r="G94" s="782"/>
      <c r="H94" s="782"/>
      <c r="I94" s="782"/>
      <c r="J94" s="444"/>
      <c r="K94" s="429"/>
      <c r="L94" s="429"/>
      <c r="M94" s="429"/>
      <c r="N94" s="429"/>
      <c r="O94" s="429"/>
      <c r="P94" s="429"/>
      <c r="Q94" s="429"/>
      <c r="R94" s="429"/>
      <c r="S94" s="429"/>
      <c r="T94" s="429"/>
      <c r="U94" s="429"/>
      <c r="V94" s="429"/>
      <c r="W94" s="429"/>
      <c r="Z94" s="32"/>
      <c r="AA94" s="32"/>
      <c r="AB94" s="32"/>
      <c r="AC94" s="32"/>
      <c r="AD94" s="32"/>
      <c r="AE94" s="32"/>
      <c r="AF94" s="32"/>
      <c r="AG94" s="32"/>
      <c r="AH94" s="32"/>
      <c r="AI94" s="32"/>
      <c r="AJ94" s="32"/>
    </row>
    <row r="95" spans="1:36" x14ac:dyDescent="0.25">
      <c r="A95" s="429"/>
      <c r="B95" s="123"/>
      <c r="C95" s="123"/>
      <c r="D95" s="782"/>
      <c r="E95" s="786"/>
      <c r="F95" s="659"/>
      <c r="G95" s="782"/>
      <c r="H95" s="782"/>
      <c r="I95" s="782"/>
      <c r="J95" s="444"/>
      <c r="K95" s="429"/>
      <c r="L95" s="429"/>
      <c r="M95" s="429"/>
      <c r="N95" s="429"/>
      <c r="O95" s="429"/>
      <c r="P95" s="429"/>
      <c r="Q95" s="429"/>
      <c r="R95" s="429"/>
      <c r="S95" s="429"/>
      <c r="T95" s="429"/>
      <c r="U95" s="429"/>
      <c r="V95" s="429"/>
      <c r="W95" s="429"/>
      <c r="Z95" s="32"/>
      <c r="AA95" s="32"/>
      <c r="AB95" s="32"/>
      <c r="AC95" s="32"/>
      <c r="AD95" s="32"/>
      <c r="AE95" s="32"/>
      <c r="AF95" s="32"/>
      <c r="AG95" s="32"/>
      <c r="AH95" s="32"/>
      <c r="AI95" s="32"/>
      <c r="AJ95" s="32"/>
    </row>
    <row r="96" spans="1:36" x14ac:dyDescent="0.25">
      <c r="A96" s="429"/>
      <c r="B96" s="429"/>
      <c r="C96" s="429"/>
      <c r="D96" s="429"/>
      <c r="E96" s="429"/>
      <c r="F96" s="429"/>
      <c r="G96" s="429"/>
      <c r="H96" s="429"/>
      <c r="I96" s="429"/>
      <c r="J96" s="429"/>
      <c r="K96" s="429"/>
      <c r="L96" s="429"/>
      <c r="M96" s="429"/>
      <c r="N96" s="429"/>
      <c r="O96" s="429"/>
      <c r="P96" s="429"/>
      <c r="Q96" s="429"/>
      <c r="R96" s="429"/>
      <c r="S96" s="429"/>
      <c r="T96" s="429"/>
      <c r="U96" s="429"/>
      <c r="V96" s="429"/>
      <c r="W96" s="429"/>
      <c r="Z96" s="32"/>
      <c r="AA96" s="32"/>
      <c r="AB96" s="32"/>
      <c r="AC96" s="32"/>
      <c r="AD96" s="32"/>
      <c r="AE96" s="32"/>
      <c r="AF96" s="32"/>
      <c r="AG96" s="32"/>
      <c r="AH96" s="32"/>
      <c r="AI96" s="32"/>
      <c r="AJ96" s="32"/>
    </row>
    <row r="97" spans="1:36" ht="18.75" x14ac:dyDescent="0.3">
      <c r="A97" s="429"/>
      <c r="B97" s="436" t="s">
        <v>755</v>
      </c>
      <c r="C97" s="94"/>
      <c r="D97" s="94"/>
      <c r="E97" s="94"/>
      <c r="F97" s="640"/>
      <c r="G97" s="640"/>
      <c r="H97" s="640"/>
      <c r="I97" s="429"/>
      <c r="J97" s="429"/>
      <c r="K97" s="429"/>
      <c r="L97" s="429"/>
      <c r="M97" s="429"/>
      <c r="N97" s="429"/>
      <c r="O97" s="429"/>
      <c r="P97" s="429"/>
      <c r="Q97" s="429"/>
      <c r="R97" s="429"/>
      <c r="S97" s="429"/>
      <c r="T97" s="429"/>
      <c r="U97" s="429"/>
      <c r="V97" s="429"/>
      <c r="W97" s="429"/>
      <c r="Z97" s="32"/>
      <c r="AA97" s="32"/>
      <c r="AB97" s="32"/>
      <c r="AC97" s="32"/>
      <c r="AD97" s="32"/>
      <c r="AE97" s="32"/>
      <c r="AF97" s="32"/>
      <c r="AG97" s="32"/>
      <c r="AH97" s="32"/>
      <c r="AI97" s="32"/>
      <c r="AJ97" s="32"/>
    </row>
    <row r="98" spans="1:36" ht="9.75" customHeight="1" x14ac:dyDescent="0.3">
      <c r="A98" s="429"/>
      <c r="B98" s="436"/>
      <c r="C98" s="94"/>
      <c r="D98" s="94"/>
      <c r="E98" s="94"/>
      <c r="F98" s="640"/>
      <c r="G98" s="640"/>
      <c r="H98" s="640"/>
      <c r="I98" s="429"/>
      <c r="J98" s="429"/>
      <c r="K98" s="429"/>
      <c r="L98" s="429"/>
      <c r="M98" s="429"/>
      <c r="N98" s="429"/>
      <c r="O98" s="429"/>
      <c r="P98" s="429"/>
      <c r="Q98" s="429"/>
      <c r="R98" s="429"/>
      <c r="S98" s="429"/>
      <c r="T98" s="429"/>
      <c r="U98" s="429"/>
      <c r="V98" s="429"/>
      <c r="W98" s="429"/>
      <c r="Z98" s="32"/>
      <c r="AA98" s="32"/>
      <c r="AB98" s="32"/>
      <c r="AC98" s="32"/>
      <c r="AD98" s="32"/>
      <c r="AE98" s="32"/>
      <c r="AF98" s="32"/>
      <c r="AG98" s="32"/>
      <c r="AH98" s="32"/>
      <c r="AI98" s="32"/>
      <c r="AJ98" s="32"/>
    </row>
    <row r="99" spans="1:36" x14ac:dyDescent="0.25">
      <c r="A99" s="429"/>
      <c r="B99" s="431" t="s">
        <v>756</v>
      </c>
      <c r="C99" s="94"/>
      <c r="D99" s="94"/>
      <c r="E99" s="94"/>
      <c r="F99" s="640"/>
      <c r="G99" s="640"/>
      <c r="H99" s="640"/>
      <c r="I99" s="429"/>
      <c r="J99" s="429"/>
      <c r="K99" s="429"/>
      <c r="L99" s="429"/>
      <c r="M99" s="429"/>
      <c r="N99" s="429"/>
      <c r="O99" s="429"/>
      <c r="P99" s="429"/>
      <c r="Q99" s="429"/>
      <c r="R99" s="429"/>
      <c r="S99" s="429"/>
      <c r="T99" s="429"/>
      <c r="U99" s="429"/>
      <c r="V99" s="429"/>
      <c r="W99" s="429"/>
      <c r="Z99" s="32"/>
      <c r="AA99" s="32"/>
      <c r="AB99" s="32"/>
      <c r="AC99" s="32"/>
      <c r="AD99" s="32"/>
      <c r="AE99" s="32"/>
      <c r="AF99" s="32"/>
      <c r="AG99" s="32"/>
      <c r="AH99" s="32"/>
      <c r="AI99" s="32"/>
      <c r="AJ99" s="32"/>
    </row>
    <row r="100" spans="1:36" ht="9.75" customHeight="1" x14ac:dyDescent="0.25">
      <c r="A100" s="429"/>
      <c r="B100" s="431"/>
      <c r="C100" s="94"/>
      <c r="D100" s="94"/>
      <c r="E100" s="94"/>
      <c r="F100" s="640"/>
      <c r="G100" s="640"/>
      <c r="H100" s="640"/>
      <c r="I100" s="429"/>
      <c r="J100" s="429"/>
      <c r="K100" s="429"/>
      <c r="L100" s="429"/>
      <c r="M100" s="429"/>
      <c r="N100" s="429"/>
      <c r="O100" s="429"/>
      <c r="P100" s="429"/>
      <c r="Q100" s="429"/>
      <c r="R100" s="429"/>
      <c r="S100" s="429"/>
      <c r="T100" s="429"/>
      <c r="U100" s="429"/>
      <c r="V100" s="429"/>
      <c r="W100" s="429"/>
      <c r="Z100" s="32"/>
      <c r="AA100" s="32"/>
      <c r="AB100" s="32"/>
      <c r="AC100" s="32"/>
      <c r="AD100" s="32"/>
      <c r="AE100" s="32"/>
      <c r="AF100" s="32"/>
      <c r="AG100" s="32"/>
      <c r="AH100" s="32"/>
      <c r="AI100" s="32"/>
      <c r="AJ100" s="32"/>
    </row>
    <row r="101" spans="1:36" ht="9.75" customHeight="1" x14ac:dyDescent="0.25">
      <c r="A101" s="429"/>
      <c r="B101" s="431"/>
      <c r="C101" s="94"/>
      <c r="D101" s="94"/>
      <c r="E101" s="94"/>
      <c r="F101" s="640"/>
      <c r="G101" s="640"/>
      <c r="H101" s="640"/>
      <c r="I101" s="429"/>
      <c r="J101" s="429"/>
      <c r="K101" s="429"/>
      <c r="L101" s="429"/>
      <c r="M101" s="429"/>
      <c r="N101" s="429"/>
      <c r="O101" s="429"/>
      <c r="P101" s="429"/>
      <c r="Q101" s="429"/>
      <c r="R101" s="429"/>
      <c r="S101" s="429"/>
      <c r="T101" s="429"/>
      <c r="U101" s="429"/>
      <c r="V101" s="429"/>
      <c r="W101" s="429"/>
      <c r="Z101" s="32"/>
      <c r="AA101" s="32"/>
      <c r="AB101" s="32"/>
      <c r="AC101" s="32"/>
      <c r="AD101" s="32"/>
      <c r="AE101" s="32"/>
      <c r="AF101" s="32"/>
      <c r="AG101" s="32"/>
      <c r="AH101" s="32"/>
      <c r="AI101" s="32"/>
      <c r="AJ101" s="32"/>
    </row>
    <row r="102" spans="1:36" x14ac:dyDescent="0.25">
      <c r="A102" s="429"/>
      <c r="B102" s="898" t="s">
        <v>326</v>
      </c>
      <c r="C102" s="898"/>
      <c r="D102" s="899" t="str">
        <f>IF(DATI!C274="","STATICA","SISMICA")</f>
        <v>SISMICA</v>
      </c>
      <c r="E102" s="899"/>
      <c r="F102" s="899"/>
      <c r="G102" s="640"/>
      <c r="H102" s="640"/>
      <c r="I102" s="429"/>
      <c r="J102" s="429"/>
      <c r="K102" s="429"/>
      <c r="L102" s="429"/>
      <c r="M102" s="429"/>
      <c r="N102" s="429"/>
      <c r="O102" s="429"/>
      <c r="P102" s="429"/>
      <c r="Q102" s="429"/>
      <c r="R102" s="429"/>
      <c r="S102" s="429"/>
      <c r="T102" s="429"/>
      <c r="U102" s="429"/>
      <c r="V102" s="429"/>
      <c r="W102" s="429"/>
      <c r="Z102" s="32"/>
      <c r="AA102" s="32"/>
      <c r="AB102" s="32"/>
      <c r="AC102" s="32"/>
      <c r="AD102" s="32"/>
      <c r="AE102" s="32"/>
      <c r="AF102" s="32"/>
      <c r="AG102" s="32"/>
      <c r="AH102" s="32"/>
      <c r="AI102" s="32"/>
      <c r="AJ102" s="32"/>
    </row>
    <row r="103" spans="1:36" x14ac:dyDescent="0.25">
      <c r="A103" s="429"/>
      <c r="B103" s="429"/>
      <c r="C103" s="429"/>
      <c r="D103" s="429"/>
      <c r="E103" s="429"/>
      <c r="F103" s="640"/>
      <c r="G103" s="640"/>
      <c r="H103" s="640"/>
      <c r="I103" s="429"/>
      <c r="J103" s="429"/>
      <c r="K103" s="429"/>
      <c r="L103" s="429"/>
      <c r="M103" s="429"/>
      <c r="N103" s="429"/>
      <c r="O103" s="429"/>
      <c r="P103" s="429"/>
      <c r="Q103" s="429"/>
      <c r="R103" s="429"/>
      <c r="S103" s="429"/>
      <c r="T103" s="429"/>
      <c r="U103" s="429"/>
      <c r="V103" s="429"/>
      <c r="W103" s="429"/>
      <c r="Z103" s="32"/>
      <c r="AA103" s="32"/>
      <c r="AB103" s="32"/>
      <c r="AC103" s="32"/>
      <c r="AD103" s="32"/>
      <c r="AE103" s="32"/>
      <c r="AF103" s="32"/>
      <c r="AG103" s="32"/>
      <c r="AH103" s="32"/>
      <c r="AI103" s="32"/>
      <c r="AJ103" s="32"/>
    </row>
    <row r="104" spans="1:36" x14ac:dyDescent="0.25">
      <c r="A104" s="429"/>
      <c r="B104" s="898" t="s">
        <v>469</v>
      </c>
      <c r="C104" s="898"/>
      <c r="D104" s="899" t="str">
        <f>DATI!C268</f>
        <v xml:space="preserve"> APPROCCIO 2 --- Combinazione (A1+M1+R3)</v>
      </c>
      <c r="E104" s="899"/>
      <c r="F104" s="899"/>
      <c r="G104" s="640"/>
      <c r="H104" s="640"/>
      <c r="I104" s="429"/>
      <c r="J104" s="429"/>
      <c r="K104" s="429"/>
      <c r="L104" s="429"/>
      <c r="M104" s="429"/>
      <c r="N104" s="429"/>
      <c r="O104" s="429"/>
      <c r="P104" s="429"/>
      <c r="Q104" s="429"/>
      <c r="R104" s="429"/>
      <c r="S104" s="429"/>
      <c r="T104" s="429"/>
      <c r="U104" s="429"/>
      <c r="V104" s="429"/>
      <c r="W104" s="429"/>
      <c r="Z104" s="32"/>
      <c r="AA104" s="32"/>
      <c r="AB104" s="32"/>
      <c r="AC104" s="32"/>
      <c r="AD104" s="32"/>
      <c r="AE104" s="32"/>
      <c r="AF104" s="32"/>
      <c r="AG104" s="32"/>
      <c r="AH104" s="32"/>
      <c r="AI104" s="32"/>
      <c r="AJ104" s="32"/>
    </row>
    <row r="105" spans="1:36" x14ac:dyDescent="0.25">
      <c r="A105" s="429"/>
      <c r="B105" s="636"/>
      <c r="C105" s="636"/>
      <c r="D105" s="637"/>
      <c r="E105" s="637"/>
      <c r="F105" s="637"/>
      <c r="G105" s="640"/>
      <c r="H105" s="640"/>
      <c r="I105" s="429"/>
      <c r="J105" s="429"/>
      <c r="K105" s="429"/>
      <c r="L105" s="429"/>
      <c r="M105" s="429"/>
      <c r="N105" s="429"/>
      <c r="O105" s="429"/>
      <c r="P105" s="429"/>
      <c r="Q105" s="429"/>
      <c r="R105" s="429"/>
      <c r="S105" s="429"/>
      <c r="T105" s="429"/>
      <c r="U105" s="429"/>
      <c r="V105" s="429"/>
      <c r="W105" s="429"/>
      <c r="Z105" s="32"/>
      <c r="AA105" s="32"/>
      <c r="AB105" s="32"/>
      <c r="AC105" s="32"/>
      <c r="AD105" s="32"/>
      <c r="AE105" s="32"/>
      <c r="AF105" s="32"/>
      <c r="AG105" s="32"/>
      <c r="AH105" s="32"/>
      <c r="AI105" s="32"/>
      <c r="AJ105" s="32"/>
    </row>
    <row r="106" spans="1:36" x14ac:dyDescent="0.25">
      <c r="A106" s="429"/>
      <c r="B106" s="636"/>
      <c r="C106" s="636"/>
      <c r="D106" s="637"/>
      <c r="E106" s="637"/>
      <c r="F106" s="637"/>
      <c r="G106" s="640"/>
      <c r="H106" s="640"/>
      <c r="I106" s="429"/>
      <c r="J106" s="429"/>
      <c r="K106" s="429"/>
      <c r="L106" s="429"/>
      <c r="M106" s="429"/>
      <c r="N106" s="429"/>
      <c r="O106" s="429"/>
      <c r="P106" s="429"/>
      <c r="Q106" s="429"/>
      <c r="R106" s="429"/>
      <c r="S106" s="429"/>
      <c r="T106" s="429"/>
      <c r="U106" s="429"/>
      <c r="V106" s="429"/>
      <c r="W106" s="429"/>
      <c r="Z106" s="32"/>
      <c r="AA106" s="32"/>
      <c r="AB106" s="32"/>
      <c r="AC106" s="32"/>
      <c r="AD106" s="32"/>
      <c r="AE106" s="32"/>
      <c r="AF106" s="32"/>
      <c r="AG106" s="32"/>
      <c r="AH106" s="32"/>
      <c r="AI106" s="32"/>
      <c r="AJ106" s="32"/>
    </row>
    <row r="107" spans="1:36" x14ac:dyDescent="0.25">
      <c r="A107" s="429"/>
      <c r="B107" s="889" t="s">
        <v>533</v>
      </c>
      <c r="C107" s="889"/>
      <c r="D107" s="429"/>
      <c r="E107" s="429"/>
      <c r="F107" s="444"/>
      <c r="G107" s="429"/>
      <c r="H107" s="640"/>
      <c r="I107" s="429"/>
      <c r="J107" s="429"/>
      <c r="K107" s="429"/>
      <c r="L107" s="429"/>
      <c r="M107" s="429"/>
      <c r="N107" s="429"/>
      <c r="O107" s="429"/>
      <c r="P107" s="429"/>
      <c r="Q107" s="429"/>
      <c r="R107" s="429"/>
      <c r="S107" s="429"/>
      <c r="T107" s="429"/>
      <c r="U107" s="429"/>
      <c r="V107" s="429"/>
      <c r="W107" s="429"/>
      <c r="Z107" s="32"/>
      <c r="AA107" s="32"/>
      <c r="AB107" s="32"/>
      <c r="AC107" s="32"/>
      <c r="AD107" s="32"/>
      <c r="AE107" s="32"/>
      <c r="AF107" s="32"/>
      <c r="AG107" s="32"/>
      <c r="AH107" s="32"/>
      <c r="AI107" s="32"/>
      <c r="AJ107" s="32"/>
    </row>
    <row r="108" spans="1:36" s="428" customFormat="1" x14ac:dyDescent="0.25">
      <c r="A108" s="429"/>
      <c r="B108" s="480"/>
      <c r="C108" s="480"/>
      <c r="D108" s="429"/>
      <c r="E108" s="429"/>
      <c r="F108" s="444"/>
      <c r="G108" s="429"/>
      <c r="H108" s="640"/>
      <c r="I108" s="429"/>
      <c r="J108" s="429"/>
      <c r="K108" s="429"/>
      <c r="L108" s="429"/>
      <c r="M108" s="429"/>
      <c r="N108" s="429"/>
      <c r="O108" s="429"/>
      <c r="P108" s="429"/>
      <c r="Q108" s="429"/>
      <c r="R108" s="429"/>
      <c r="S108" s="429"/>
      <c r="T108" s="429"/>
      <c r="U108" s="429"/>
      <c r="V108" s="429"/>
      <c r="W108" s="429"/>
      <c r="Z108" s="32"/>
      <c r="AA108" s="32"/>
      <c r="AB108" s="32"/>
      <c r="AC108" s="32"/>
      <c r="AD108" s="32"/>
      <c r="AE108" s="32"/>
      <c r="AF108" s="32"/>
      <c r="AG108" s="32"/>
      <c r="AH108" s="32"/>
      <c r="AI108" s="32"/>
      <c r="AJ108" s="32"/>
    </row>
    <row r="109" spans="1:36" s="428" customFormat="1" x14ac:dyDescent="0.25">
      <c r="A109" s="429"/>
      <c r="B109" s="429"/>
      <c r="C109" s="429"/>
      <c r="D109" s="327" t="s">
        <v>534</v>
      </c>
      <c r="E109" s="789" t="s">
        <v>828</v>
      </c>
      <c r="F109" s="510" t="s">
        <v>1093</v>
      </c>
      <c r="G109" s="327" t="s">
        <v>536</v>
      </c>
      <c r="H109" s="640"/>
      <c r="I109" s="429"/>
      <c r="J109" s="429"/>
      <c r="K109" s="429"/>
      <c r="L109" s="429"/>
      <c r="M109" s="429"/>
      <c r="N109" s="429"/>
      <c r="O109" s="429"/>
      <c r="P109" s="429"/>
      <c r="Q109" s="429"/>
      <c r="R109" s="429"/>
      <c r="S109" s="429"/>
      <c r="T109" s="429"/>
      <c r="U109" s="429"/>
      <c r="V109" s="429"/>
      <c r="W109" s="429"/>
      <c r="Z109" s="32"/>
      <c r="AA109" s="32"/>
      <c r="AB109" s="32"/>
      <c r="AC109" s="32"/>
      <c r="AD109" s="32"/>
      <c r="AE109" s="32"/>
      <c r="AF109" s="32"/>
      <c r="AG109" s="32"/>
      <c r="AH109" s="32"/>
      <c r="AI109" s="32"/>
      <c r="AJ109" s="32"/>
    </row>
    <row r="110" spans="1:36" x14ac:dyDescent="0.25">
      <c r="A110" s="429"/>
      <c r="B110" s="354" t="s">
        <v>537</v>
      </c>
      <c r="C110" s="354"/>
      <c r="D110" s="355">
        <f>'ANALISI DELLE SPINTE'!R100</f>
        <v>67.264268599875265</v>
      </c>
      <c r="E110" s="59">
        <f>IF(DATI!C274="",1.1,1)</f>
        <v>1</v>
      </c>
      <c r="F110" s="44">
        <f>IF(D102="sismica",IF(DATI!E50=1,1,1.45),1)</f>
        <v>1.45</v>
      </c>
      <c r="G110" s="355">
        <f>D110*E110*F110</f>
        <v>97.533189469819135</v>
      </c>
      <c r="H110" s="640"/>
      <c r="I110" s="429"/>
      <c r="J110" s="429"/>
      <c r="K110" s="429"/>
      <c r="L110" s="429"/>
      <c r="M110" s="429"/>
      <c r="N110" s="429"/>
      <c r="O110" s="429"/>
      <c r="P110" s="429"/>
      <c r="Q110" s="429"/>
      <c r="R110" s="429"/>
      <c r="S110" s="429"/>
      <c r="T110" s="429"/>
      <c r="U110" s="429"/>
      <c r="V110" s="429"/>
      <c r="W110" s="429"/>
      <c r="Z110" s="32"/>
      <c r="AA110" s="32"/>
      <c r="AB110" s="32"/>
      <c r="AC110" s="32"/>
      <c r="AD110" s="32"/>
      <c r="AE110" s="32"/>
      <c r="AF110" s="32"/>
      <c r="AG110" s="32"/>
      <c r="AH110" s="32"/>
      <c r="AI110" s="32"/>
      <c r="AJ110" s="32"/>
    </row>
    <row r="111" spans="1:36" x14ac:dyDescent="0.25">
      <c r="A111" s="429"/>
      <c r="B111" s="53"/>
      <c r="C111" s="53"/>
      <c r="D111" s="53"/>
      <c r="E111" s="53"/>
      <c r="F111" s="71" t="s">
        <v>538</v>
      </c>
      <c r="G111" s="97">
        <f>SUM(G110:G110)</f>
        <v>97.533189469819135</v>
      </c>
      <c r="H111" s="640"/>
      <c r="I111" s="429"/>
      <c r="J111" s="429"/>
      <c r="K111" s="429"/>
      <c r="L111" s="429"/>
      <c r="M111" s="429"/>
      <c r="N111" s="429"/>
      <c r="O111" s="429"/>
      <c r="P111" s="429"/>
      <c r="Q111" s="429"/>
      <c r="R111" s="429"/>
      <c r="S111" s="429"/>
      <c r="T111" s="429"/>
      <c r="U111" s="429"/>
      <c r="V111" s="429"/>
      <c r="W111" s="429"/>
      <c r="Z111" s="32"/>
      <c r="AA111" s="32"/>
      <c r="AB111" s="32"/>
      <c r="AC111" s="32"/>
      <c r="AD111" s="32"/>
      <c r="AE111" s="32"/>
      <c r="AF111" s="32"/>
      <c r="AG111" s="32"/>
      <c r="AH111" s="32"/>
      <c r="AI111" s="32"/>
      <c r="AJ111" s="32"/>
    </row>
    <row r="112" spans="1:36" x14ac:dyDescent="0.25">
      <c r="A112" s="429"/>
      <c r="B112" s="24"/>
      <c r="C112" s="24"/>
      <c r="D112" s="24"/>
      <c r="E112" s="429"/>
      <c r="F112" s="71"/>
      <c r="G112" s="648"/>
      <c r="H112" s="640"/>
      <c r="I112" s="429"/>
      <c r="J112" s="429"/>
      <c r="K112" s="429"/>
      <c r="L112" s="429"/>
      <c r="M112" s="429"/>
      <c r="N112" s="429"/>
      <c r="O112" s="429"/>
      <c r="P112" s="429"/>
      <c r="Q112" s="429"/>
      <c r="R112" s="429"/>
      <c r="S112" s="429"/>
      <c r="T112" s="429"/>
      <c r="U112" s="429"/>
      <c r="V112" s="429"/>
      <c r="W112" s="429"/>
      <c r="Z112" s="32"/>
      <c r="AA112" s="32"/>
      <c r="AB112" s="32"/>
      <c r="AC112" s="32"/>
      <c r="AD112" s="32"/>
      <c r="AE112" s="32"/>
      <c r="AF112" s="32"/>
      <c r="AG112" s="32"/>
      <c r="AH112" s="32"/>
      <c r="AI112" s="32"/>
      <c r="AJ112" s="32"/>
    </row>
    <row r="113" spans="1:36" x14ac:dyDescent="0.25">
      <c r="A113" s="429"/>
      <c r="B113" s="880" t="s">
        <v>539</v>
      </c>
      <c r="C113" s="880"/>
      <c r="D113" s="24"/>
      <c r="E113" s="24"/>
      <c r="F113" s="71"/>
      <c r="G113" s="648"/>
      <c r="H113" s="640"/>
      <c r="I113" s="429"/>
      <c r="J113" s="429"/>
      <c r="K113" s="429"/>
      <c r="L113" s="429"/>
      <c r="M113" s="429"/>
      <c r="N113" s="429"/>
      <c r="O113" s="429"/>
      <c r="P113" s="429"/>
      <c r="Q113" s="429"/>
      <c r="R113" s="429"/>
      <c r="S113" s="429"/>
      <c r="T113" s="429"/>
      <c r="U113" s="429"/>
      <c r="V113" s="429"/>
      <c r="W113" s="429"/>
      <c r="Z113" s="32"/>
      <c r="AA113" s="32"/>
      <c r="AB113" s="32"/>
      <c r="AC113" s="32"/>
      <c r="AD113" s="32"/>
      <c r="AE113" s="32"/>
      <c r="AF113" s="32"/>
      <c r="AG113" s="32"/>
      <c r="AH113" s="32"/>
      <c r="AI113" s="32"/>
      <c r="AJ113" s="32"/>
    </row>
    <row r="114" spans="1:36" x14ac:dyDescent="0.25">
      <c r="A114" s="429"/>
      <c r="B114" s="429"/>
      <c r="C114" s="429"/>
      <c r="D114" s="797"/>
      <c r="E114" s="429"/>
      <c r="F114" s="207"/>
      <c r="G114" s="640"/>
      <c r="H114" s="640"/>
      <c r="I114" s="429"/>
      <c r="J114" s="429"/>
      <c r="K114" s="429"/>
      <c r="L114" s="429"/>
      <c r="M114" s="429"/>
      <c r="N114" s="429"/>
      <c r="O114" s="429"/>
      <c r="P114" s="429"/>
      <c r="Q114" s="429"/>
      <c r="R114" s="429"/>
      <c r="S114" s="429"/>
      <c r="T114" s="429"/>
      <c r="U114" s="429"/>
      <c r="V114" s="429"/>
      <c r="W114" s="429"/>
      <c r="Z114" s="32"/>
      <c r="AA114" s="32"/>
      <c r="AB114" s="32"/>
      <c r="AC114" s="32"/>
      <c r="AD114" s="32"/>
      <c r="AE114" s="32"/>
      <c r="AF114" s="32"/>
      <c r="AG114" s="32"/>
      <c r="AH114" s="32"/>
      <c r="AI114" s="32"/>
      <c r="AJ114" s="32"/>
    </row>
    <row r="115" spans="1:36" x14ac:dyDescent="0.25">
      <c r="A115" s="429"/>
      <c r="B115" s="429"/>
      <c r="C115" s="632" t="s">
        <v>540</v>
      </c>
      <c r="D115" s="642" t="s">
        <v>541</v>
      </c>
      <c r="E115" s="642" t="s">
        <v>542</v>
      </c>
      <c r="F115" s="63" t="s">
        <v>543</v>
      </c>
      <c r="G115" s="642" t="s">
        <v>544</v>
      </c>
      <c r="H115" s="640"/>
      <c r="I115" s="429"/>
      <c r="J115" s="429"/>
      <c r="K115" s="429"/>
      <c r="L115" s="429"/>
      <c r="M115" s="429"/>
      <c r="N115" s="429"/>
      <c r="O115" s="429"/>
      <c r="P115" s="429"/>
      <c r="Q115" s="429"/>
      <c r="R115" s="429"/>
      <c r="S115" s="429"/>
      <c r="T115" s="429"/>
      <c r="U115" s="429"/>
      <c r="V115" s="429"/>
      <c r="W115" s="429"/>
      <c r="Z115" s="32"/>
      <c r="AA115" s="32"/>
      <c r="AB115" s="32"/>
      <c r="AC115" s="32"/>
      <c r="AD115" s="32"/>
      <c r="AE115" s="32"/>
      <c r="AF115" s="32"/>
      <c r="AG115" s="32"/>
      <c r="AH115" s="32"/>
      <c r="AI115" s="32"/>
      <c r="AJ115" s="32"/>
    </row>
    <row r="116" spans="1:36" x14ac:dyDescent="0.25">
      <c r="A116" s="429"/>
      <c r="B116" s="95" t="s">
        <v>545</v>
      </c>
      <c r="C116" s="659">
        <f>C47</f>
        <v>49.000356249999989</v>
      </c>
      <c r="D116" s="3">
        <f>IF('ANALISI DELLE SPINTE'!C6="SISMICA",1,0.9)</f>
        <v>1</v>
      </c>
      <c r="E116" s="659">
        <f>C116*D116</f>
        <v>49.000356249999989</v>
      </c>
      <c r="F116" s="206">
        <f>C49</f>
        <v>0.77959125809799579</v>
      </c>
      <c r="G116" s="355">
        <f>E116*F116</f>
        <v>38.200249376187479</v>
      </c>
      <c r="H116" s="640"/>
      <c r="I116" s="429"/>
      <c r="J116" s="429"/>
      <c r="K116" s="429"/>
      <c r="L116" s="429"/>
      <c r="M116" s="429"/>
      <c r="N116" s="429"/>
      <c r="O116" s="429"/>
      <c r="P116" s="429"/>
      <c r="Q116" s="429"/>
      <c r="R116" s="429"/>
      <c r="S116" s="429"/>
      <c r="T116" s="429"/>
      <c r="U116" s="429"/>
      <c r="V116" s="429"/>
      <c r="W116" s="429"/>
      <c r="Z116" s="32"/>
      <c r="AA116" s="32"/>
      <c r="AB116" s="32"/>
      <c r="AC116" s="32"/>
      <c r="AD116" s="32"/>
      <c r="AE116" s="32"/>
      <c r="AF116" s="32"/>
      <c r="AG116" s="32"/>
      <c r="AH116" s="32"/>
      <c r="AI116" s="32"/>
      <c r="AJ116" s="32"/>
    </row>
    <row r="117" spans="1:36" x14ac:dyDescent="0.25">
      <c r="A117" s="429"/>
      <c r="B117" s="95" t="s">
        <v>546</v>
      </c>
      <c r="C117" s="659">
        <f>C71</f>
        <v>79.04568839167807</v>
      </c>
      <c r="D117" s="648">
        <f>IF('ANALISI DELLE SPINTE'!C6="SISMICA",1,0.9)</f>
        <v>1</v>
      </c>
      <c r="E117" s="659">
        <f>C117*D117</f>
        <v>79.04568839167807</v>
      </c>
      <c r="F117" s="365">
        <f>C73</f>
        <v>1.3139238557823383</v>
      </c>
      <c r="G117" s="366">
        <f>E117*F117</f>
        <v>103.86001567456287</v>
      </c>
      <c r="H117" s="640"/>
      <c r="I117" s="429"/>
      <c r="J117" s="429"/>
      <c r="K117" s="429"/>
      <c r="L117" s="429"/>
      <c r="M117" s="429"/>
      <c r="N117" s="429"/>
      <c r="O117" s="429"/>
      <c r="P117" s="429"/>
      <c r="Q117" s="429"/>
      <c r="R117" s="429"/>
      <c r="S117" s="429"/>
      <c r="T117" s="429"/>
      <c r="U117" s="429"/>
      <c r="V117" s="429"/>
      <c r="W117" s="429"/>
      <c r="Z117" s="32"/>
      <c r="AA117" s="32"/>
      <c r="AB117" s="32"/>
      <c r="AC117" s="32"/>
      <c r="AD117" s="32"/>
      <c r="AE117" s="32"/>
      <c r="AF117" s="32"/>
      <c r="AG117" s="32"/>
      <c r="AH117" s="32"/>
      <c r="AI117" s="32"/>
      <c r="AJ117" s="32"/>
    </row>
    <row r="118" spans="1:36" x14ac:dyDescent="0.25">
      <c r="A118" s="429"/>
      <c r="B118" s="95" t="s">
        <v>547</v>
      </c>
      <c r="C118" s="659">
        <f>DATI!E162*DATI!E61*IF(DATI!G218="SX",DATI!E75,'FOGLIO DEPOSITO'!D212)</f>
        <v>6.4999500000000001</v>
      </c>
      <c r="D118" s="3">
        <f>IF('ANALISI DELLE SPINTE'!C6="SISMICA",1,0.8)</f>
        <v>1</v>
      </c>
      <c r="E118" s="659">
        <f>C118*D118</f>
        <v>6.4999500000000001</v>
      </c>
      <c r="F118" s="206">
        <f>IF(DATI!G218="dx",'FOGLIO DEPOSITO'!D212+'FOGLIO DEPOSITO'!D211+DATI!E75/2,DATI!E75/2+'FOGLIO DEPOSITO'!D211+'FOGLIO DEPOSITO'!D212)</f>
        <v>1.7999999999999996</v>
      </c>
      <c r="G118" s="355">
        <f>E118*F118</f>
        <v>11.699909999999997</v>
      </c>
      <c r="H118" s="640"/>
      <c r="I118" s="429"/>
      <c r="J118" s="429"/>
      <c r="K118" s="429"/>
      <c r="L118" s="429"/>
      <c r="M118" s="429"/>
      <c r="N118" s="429"/>
      <c r="O118" s="429"/>
      <c r="P118" s="429"/>
      <c r="Q118" s="429"/>
      <c r="R118" s="429"/>
      <c r="S118" s="429"/>
      <c r="T118" s="429"/>
      <c r="U118" s="429"/>
      <c r="V118" s="429"/>
      <c r="W118" s="429"/>
      <c r="Z118" s="32"/>
      <c r="AA118" s="32"/>
      <c r="AB118" s="32"/>
      <c r="AC118" s="32"/>
      <c r="AD118" s="32"/>
      <c r="AE118" s="32"/>
      <c r="AF118" s="32"/>
      <c r="AG118" s="32"/>
      <c r="AH118" s="32"/>
      <c r="AI118" s="32"/>
      <c r="AJ118" s="32"/>
    </row>
    <row r="119" spans="1:36" x14ac:dyDescent="0.25">
      <c r="A119" s="429"/>
      <c r="B119" s="95" t="s">
        <v>548</v>
      </c>
      <c r="C119" s="659">
        <f>DATI!E161*DATI!E61*IF(DATI!G218="SX",DATI!E75,'FOGLIO DEPOSITO'!D212)</f>
        <v>0</v>
      </c>
      <c r="D119" s="3">
        <f>0</f>
        <v>0</v>
      </c>
      <c r="E119" s="659">
        <f>C119*D119</f>
        <v>0</v>
      </c>
      <c r="F119" s="206">
        <f>IF(DATI!G218="dx",'FOGLIO DEPOSITO'!D212+'FOGLIO DEPOSITO'!D211+DATI!E75/2,DATI!E75/2+'FOGLIO DEPOSITO'!D211+'FOGLIO DEPOSITO'!D212)</f>
        <v>1.7999999999999996</v>
      </c>
      <c r="G119" s="355">
        <f>E119*F119</f>
        <v>0</v>
      </c>
      <c r="H119" s="640"/>
      <c r="I119" s="429"/>
      <c r="J119" s="429"/>
      <c r="K119" s="429"/>
      <c r="L119" s="429"/>
      <c r="M119" s="429"/>
      <c r="N119" s="429"/>
      <c r="O119" s="429"/>
      <c r="P119" s="429"/>
      <c r="Q119" s="429"/>
      <c r="R119" s="429"/>
      <c r="S119" s="429"/>
      <c r="T119" s="429"/>
      <c r="U119" s="429"/>
      <c r="V119" s="429"/>
      <c r="W119" s="429"/>
      <c r="Z119" s="32"/>
      <c r="AA119" s="32"/>
      <c r="AB119" s="32"/>
      <c r="AC119" s="32"/>
      <c r="AD119" s="32"/>
      <c r="AE119" s="32"/>
      <c r="AF119" s="32"/>
      <c r="AG119" s="32"/>
      <c r="AH119" s="32"/>
      <c r="AI119" s="32"/>
      <c r="AJ119" s="32"/>
    </row>
    <row r="120" spans="1:36" ht="15.75" x14ac:dyDescent="0.25">
      <c r="A120" s="429"/>
      <c r="B120" s="425" t="s">
        <v>549</v>
      </c>
      <c r="C120" s="659">
        <f>'ANALISI DELLE SPINTE'!AA97</f>
        <v>1.5217045489319598E-4</v>
      </c>
      <c r="D120" s="648">
        <f>0.9/1.35</f>
        <v>0.66666666666666663</v>
      </c>
      <c r="E120" s="660">
        <f>C120*D120</f>
        <v>1.0144696992879732E-4</v>
      </c>
      <c r="F120" s="206">
        <f>IF(DATI!G218="sx",DATI!E75,'FOGLIO DEPOSITO'!D212+'FOGLIO DEPOSITO'!D210)</f>
        <v>1.3</v>
      </c>
      <c r="G120" s="366">
        <f>E120*F120</f>
        <v>1.3188106090743652E-4</v>
      </c>
      <c r="H120" s="640"/>
      <c r="I120" s="429"/>
      <c r="J120" s="429"/>
      <c r="K120" s="429"/>
      <c r="L120" s="429"/>
      <c r="M120" s="429"/>
      <c r="N120" s="429"/>
      <c r="O120" s="429"/>
      <c r="P120" s="429"/>
      <c r="Q120" s="429"/>
      <c r="R120" s="429"/>
      <c r="S120" s="429"/>
      <c r="T120" s="429"/>
      <c r="U120" s="429"/>
      <c r="V120" s="429"/>
      <c r="W120" s="429"/>
      <c r="Z120" s="32"/>
      <c r="AA120" s="32"/>
      <c r="AB120" s="32"/>
      <c r="AC120" s="32"/>
      <c r="AD120" s="32"/>
      <c r="AE120" s="32"/>
      <c r="AF120" s="32"/>
      <c r="AG120" s="32"/>
      <c r="AH120" s="32"/>
      <c r="AI120" s="32"/>
      <c r="AJ120" s="32"/>
    </row>
    <row r="121" spans="1:36" x14ac:dyDescent="0.25">
      <c r="A121" s="429"/>
      <c r="B121" s="426" t="str">
        <f>IF('ANALISI DELLE SPINTE'!C76='FOGLIO DEPOSITO'!N184," Kv x Wtot  ",IF('ANALISI DELLE SPINTE'!C76='FOGLIO DEPOSITO'!N181," Kv x Wtot  ",IF('ANALISI DELLE SPINTE'!C76='FOGLIO DEPOSITO'!N182,"Kv x Wtot  ","")))</f>
        <v xml:space="preserve"> Kv x Wtot  </v>
      </c>
      <c r="C121" s="658">
        <f>IF('ANALISI DELLE SPINTE'!C76='FOGLIO DEPOSITO'!N184,'ANALISI DELLE SPINTE'!AE97/DATI!E272,IF('ANALISI DELLE SPINTE'!C76='FOGLIO DEPOSITO'!N181,'ANALISI DELLE SPINTE'!AE97/DATI!E272,IF('ANALISI DELLE SPINTE'!C76='FOGLIO DEPOSITO'!N182,'ANALISI DELLE SPINTE'!AE97/DATI!E272,"")))</f>
        <v>4.9362102773430259</v>
      </c>
      <c r="D121" s="790">
        <f>IF('ANALISI DELLE SPINTE'!C76='FOGLIO DEPOSITO'!N184,IF('ANALISI DELLE SPINTE'!C6="SISMICA",1,0.9),IF('ANALISI DELLE SPINTE'!C76='FOGLIO DEPOSITO'!N181,IF('ANALISI DELLE SPINTE'!C6="SISMICA",1,0.9),IF('ANALISI DELLE SPINTE'!C76='FOGLIO DEPOSITO'!N182,IF('ANALISI DELLE SPINTE'!C6="SISMICA",1,0.9),"")))</f>
        <v>1</v>
      </c>
      <c r="E121" s="661">
        <f>IF('ANALISI DELLE SPINTE'!C76='FOGLIO DEPOSITO'!N184,C121*D121,IF('ANALISI DELLE SPINTE'!C76='FOGLIO DEPOSITO'!N181,C121*D121,IF('ANALISI DELLE SPINTE'!C76='FOGLIO DEPOSITO'!N182,C121*D121,"")))</f>
        <v>4.9362102773430259</v>
      </c>
      <c r="F121" s="427">
        <f>IF('ANALISI DELLE SPINTE'!C76='FOGLIO DEPOSITO'!N184,C121*D121,IF('ANALISI DELLE SPINTE'!C76='FOGLIO DEPOSITO'!N181,C79,IF('ANALISI DELLE SPINTE'!C76='FOGLIO DEPOSITO'!N182,C79,"")))</f>
        <v>1.1094467263576118</v>
      </c>
      <c r="G121" s="356">
        <f>IF('ANALISI DELLE SPINTE'!C76='FOGLIO DEPOSITO'!N184,E121*F121,IF('ANALISI DELLE SPINTE'!C76='FOGLIO DEPOSITO'!N181,E121*F121,IF('ANALISI DELLE SPINTE'!C76='FOGLIO DEPOSITO'!N182,E121*F121,"")))</f>
        <v>5.4764623328110194</v>
      </c>
      <c r="H121" s="640"/>
      <c r="I121" s="429"/>
      <c r="J121" s="429"/>
      <c r="K121" s="429"/>
      <c r="L121" s="429"/>
      <c r="M121" s="429"/>
      <c r="N121" s="429"/>
      <c r="O121" s="429"/>
      <c r="P121" s="429"/>
      <c r="Q121" s="429"/>
      <c r="R121" s="429"/>
      <c r="S121" s="429"/>
      <c r="T121" s="429"/>
      <c r="U121" s="429"/>
      <c r="V121" s="429"/>
      <c r="W121" s="429"/>
      <c r="Z121" s="32"/>
      <c r="AA121" s="32"/>
      <c r="AB121" s="32"/>
      <c r="AC121" s="32"/>
      <c r="AD121" s="32"/>
      <c r="AE121" s="32"/>
      <c r="AF121" s="32"/>
      <c r="AG121" s="32"/>
      <c r="AH121" s="32"/>
      <c r="AI121" s="32"/>
      <c r="AJ121" s="32"/>
    </row>
    <row r="122" spans="1:36" x14ac:dyDescent="0.25">
      <c r="A122" s="429"/>
      <c r="B122" s="24"/>
      <c r="C122" s="659">
        <f>SUM(C116:C121)</f>
        <v>139.48235708947601</v>
      </c>
      <c r="D122" s="24"/>
      <c r="E122" s="659">
        <f>SUM(E116:E121)</f>
        <v>139.48230636599104</v>
      </c>
      <c r="G122" s="355">
        <f>SUM(G116:G121)</f>
        <v>159.23676926462227</v>
      </c>
      <c r="H122" s="640"/>
      <c r="I122" s="429"/>
      <c r="J122" s="429"/>
      <c r="K122" s="429"/>
      <c r="L122" s="429"/>
      <c r="M122" s="429"/>
      <c r="N122" s="429"/>
      <c r="O122" s="429"/>
      <c r="P122" s="429"/>
      <c r="Q122" s="429"/>
      <c r="R122" s="429"/>
      <c r="S122" s="429"/>
      <c r="T122" s="429"/>
      <c r="U122" s="429"/>
      <c r="V122" s="429"/>
      <c r="W122" s="429"/>
      <c r="Z122" s="32"/>
      <c r="AA122" s="32"/>
      <c r="AB122" s="32"/>
      <c r="AC122" s="32"/>
      <c r="AD122" s="32"/>
      <c r="AE122" s="32"/>
      <c r="AF122" s="32"/>
      <c r="AG122" s="32"/>
      <c r="AH122" s="32"/>
      <c r="AI122" s="32"/>
      <c r="AJ122" s="32"/>
    </row>
    <row r="123" spans="1:36" ht="4.9000000000000004" customHeight="1" x14ac:dyDescent="0.25">
      <c r="A123" s="429"/>
      <c r="B123" s="429"/>
      <c r="C123" s="429"/>
      <c r="D123" s="429"/>
      <c r="E123" s="429"/>
      <c r="F123" s="640"/>
      <c r="G123" s="429"/>
      <c r="H123" s="640"/>
      <c r="I123" s="429"/>
      <c r="J123" s="429"/>
      <c r="K123" s="429"/>
      <c r="L123" s="429"/>
      <c r="M123" s="429"/>
      <c r="N123" s="429"/>
      <c r="O123" s="429"/>
      <c r="P123" s="429"/>
      <c r="Q123" s="429"/>
      <c r="R123" s="429"/>
      <c r="S123" s="429"/>
      <c r="T123" s="429"/>
      <c r="U123" s="429"/>
      <c r="V123" s="429"/>
      <c r="W123" s="429"/>
      <c r="Z123" s="32"/>
      <c r="AA123" s="32"/>
      <c r="AB123" s="32"/>
      <c r="AC123" s="32"/>
      <c r="AD123" s="32"/>
      <c r="AE123" s="32"/>
      <c r="AF123" s="32"/>
      <c r="AG123" s="32"/>
      <c r="AH123" s="32"/>
      <c r="AI123" s="32"/>
      <c r="AJ123" s="32"/>
    </row>
    <row r="124" spans="1:36" x14ac:dyDescent="0.25">
      <c r="A124" s="429"/>
      <c r="B124" s="429"/>
      <c r="C124" s="429"/>
      <c r="D124" s="429"/>
      <c r="E124" t="s">
        <v>1085</v>
      </c>
      <c r="G124" s="798">
        <v>1.1499999999999999</v>
      </c>
      <c r="H124" s="640"/>
      <c r="I124" s="429"/>
      <c r="J124" s="429"/>
      <c r="K124" s="429"/>
      <c r="L124" s="429"/>
      <c r="M124" s="429"/>
      <c r="N124" s="429"/>
      <c r="O124" s="429"/>
      <c r="P124" s="429"/>
      <c r="Q124" s="429"/>
      <c r="R124" s="429"/>
      <c r="S124" s="429"/>
      <c r="T124" s="429"/>
      <c r="U124" s="429"/>
      <c r="V124" s="429"/>
      <c r="W124" s="429"/>
      <c r="Z124" s="32"/>
      <c r="AA124" s="32"/>
      <c r="AB124" s="32"/>
      <c r="AC124" s="32"/>
      <c r="AD124" s="32"/>
      <c r="AE124" s="32"/>
      <c r="AF124" s="32"/>
      <c r="AG124" s="32"/>
      <c r="AH124" s="32"/>
      <c r="AI124" s="32"/>
      <c r="AJ124" s="32"/>
    </row>
    <row r="125" spans="1:36" x14ac:dyDescent="0.25">
      <c r="A125" s="429"/>
      <c r="B125" s="636"/>
      <c r="C125" s="636"/>
      <c r="D125" s="637"/>
      <c r="E125" s="637"/>
      <c r="F125" s="71" t="s">
        <v>550</v>
      </c>
      <c r="G125" s="355">
        <f>G122/G124</f>
        <v>138.46675588228024</v>
      </c>
      <c r="H125" s="640"/>
      <c r="I125" s="429"/>
      <c r="J125" s="429"/>
      <c r="K125" s="429"/>
      <c r="L125" s="429"/>
      <c r="M125" s="429"/>
      <c r="N125" s="429"/>
      <c r="O125" s="429"/>
      <c r="P125" s="429"/>
      <c r="Q125" s="429"/>
      <c r="R125" s="429"/>
      <c r="S125" s="429"/>
      <c r="T125" s="429"/>
      <c r="U125" s="429"/>
      <c r="V125" s="429"/>
      <c r="W125" s="429"/>
      <c r="Z125" s="32"/>
      <c r="AA125" s="32"/>
      <c r="AB125" s="32"/>
      <c r="AC125" s="32"/>
      <c r="AD125" s="32"/>
      <c r="AE125" s="32"/>
      <c r="AF125" s="32"/>
      <c r="AG125" s="32"/>
      <c r="AH125" s="32"/>
      <c r="AI125" s="32"/>
      <c r="AJ125" s="32"/>
    </row>
    <row r="126" spans="1:36" ht="9" customHeight="1" thickBot="1" x14ac:dyDescent="0.3">
      <c r="A126" s="429"/>
      <c r="B126" s="636"/>
      <c r="C126" s="636"/>
      <c r="D126" s="637"/>
      <c r="H126" s="640"/>
      <c r="I126" s="429"/>
      <c r="J126" s="429"/>
      <c r="K126" s="429"/>
      <c r="L126" s="429"/>
      <c r="M126" s="429"/>
      <c r="N126" s="429"/>
      <c r="O126" s="429"/>
      <c r="P126" s="429"/>
      <c r="Q126" s="429"/>
      <c r="R126" s="429"/>
      <c r="S126" s="429"/>
      <c r="T126" s="429"/>
      <c r="U126" s="429"/>
      <c r="V126" s="429"/>
      <c r="W126" s="429"/>
      <c r="Z126" s="32"/>
      <c r="AA126" s="32"/>
      <c r="AB126" s="32"/>
      <c r="AC126" s="32"/>
      <c r="AD126" s="32"/>
      <c r="AE126" s="32"/>
      <c r="AF126" s="32"/>
      <c r="AG126" s="32"/>
      <c r="AH126" s="32"/>
      <c r="AI126" s="32"/>
      <c r="AJ126" s="32"/>
    </row>
    <row r="127" spans="1:36" ht="15.75" thickBot="1" x14ac:dyDescent="0.3">
      <c r="A127" s="429"/>
      <c r="B127" s="636"/>
      <c r="C127" s="636"/>
      <c r="D127" s="637"/>
      <c r="E127" s="329" t="s">
        <v>551</v>
      </c>
      <c r="F127" s="330">
        <f>G122/G110</f>
        <v>1.6326418743221436</v>
      </c>
      <c r="G127" s="641" t="str">
        <f>IF(F127&gt;=1,"VERIFICATO","NON VERIFICATO")</f>
        <v>VERIFICATO</v>
      </c>
      <c r="H127" s="640"/>
      <c r="I127" s="429"/>
      <c r="J127" s="429"/>
      <c r="K127" s="429"/>
      <c r="L127" s="429"/>
      <c r="M127" s="429"/>
      <c r="N127" s="429"/>
      <c r="O127" s="429"/>
      <c r="P127" s="429"/>
      <c r="Q127" s="429"/>
      <c r="R127" s="429"/>
      <c r="S127" s="429"/>
      <c r="T127" s="429"/>
      <c r="U127" s="429"/>
      <c r="V127" s="429"/>
      <c r="W127" s="429"/>
      <c r="Z127" s="32"/>
      <c r="AA127" s="32"/>
      <c r="AB127" s="32"/>
      <c r="AC127" s="32"/>
      <c r="AD127" s="32"/>
      <c r="AE127" s="32"/>
      <c r="AF127" s="32"/>
      <c r="AG127" s="32"/>
      <c r="AH127" s="32"/>
      <c r="AI127" s="32"/>
      <c r="AJ127" s="32"/>
    </row>
    <row r="128" spans="1:36" x14ac:dyDescent="0.25">
      <c r="A128" s="429"/>
      <c r="B128" s="636"/>
      <c r="C128" s="636"/>
      <c r="D128" s="637"/>
      <c r="E128" s="637"/>
      <c r="F128" s="637"/>
      <c r="G128" s="640"/>
      <c r="H128" s="640"/>
      <c r="I128" s="429"/>
      <c r="J128" s="429"/>
      <c r="K128" s="429"/>
      <c r="L128" s="429"/>
      <c r="M128" s="429"/>
      <c r="N128" s="429"/>
      <c r="O128" s="429"/>
      <c r="P128" s="429"/>
      <c r="Q128" s="429"/>
      <c r="R128" s="429"/>
      <c r="S128" s="429"/>
      <c r="T128" s="429"/>
      <c r="U128" s="429"/>
      <c r="V128" s="429"/>
      <c r="W128" s="429"/>
      <c r="Z128" s="32"/>
      <c r="AA128" s="32"/>
      <c r="AB128" s="32"/>
      <c r="AC128" s="32"/>
      <c r="AD128" s="32"/>
      <c r="AE128" s="32"/>
      <c r="AF128" s="32"/>
      <c r="AG128" s="32"/>
      <c r="AH128" s="32"/>
      <c r="AI128" s="32"/>
      <c r="AJ128" s="32"/>
    </row>
    <row r="129" spans="1:36" x14ac:dyDescent="0.25">
      <c r="A129" s="429"/>
      <c r="B129" s="636" t="s">
        <v>1092</v>
      </c>
      <c r="C129" s="636"/>
      <c r="D129" s="637"/>
      <c r="E129" s="637"/>
      <c r="F129" s="637"/>
      <c r="G129" s="640"/>
      <c r="H129" s="640"/>
      <c r="I129" s="429"/>
      <c r="J129" s="429"/>
      <c r="K129" s="429"/>
      <c r="L129" s="429"/>
      <c r="M129" s="429"/>
      <c r="N129" s="429"/>
      <c r="O129" s="429"/>
      <c r="P129" s="429"/>
      <c r="Q129" s="429"/>
      <c r="R129" s="429"/>
      <c r="S129" s="429"/>
      <c r="T129" s="429"/>
      <c r="U129" s="429"/>
      <c r="V129" s="429"/>
      <c r="W129" s="429"/>
      <c r="Z129" s="32"/>
      <c r="AA129" s="32"/>
      <c r="AB129" s="32"/>
      <c r="AC129" s="32"/>
      <c r="AD129" s="32"/>
      <c r="AE129" s="32"/>
      <c r="AF129" s="32"/>
      <c r="AG129" s="32"/>
      <c r="AH129" s="32"/>
      <c r="AI129" s="32"/>
      <c r="AJ129" s="32"/>
    </row>
    <row r="130" spans="1:36" x14ac:dyDescent="0.25">
      <c r="A130" s="429"/>
      <c r="B130" s="636"/>
      <c r="C130" s="636"/>
      <c r="D130" s="637"/>
      <c r="E130" s="637"/>
      <c r="F130" s="637"/>
      <c r="G130" s="640"/>
      <c r="H130" s="640"/>
      <c r="I130" s="429"/>
      <c r="J130" s="429"/>
      <c r="K130" s="429"/>
      <c r="L130" s="429"/>
      <c r="M130" s="429"/>
      <c r="N130" s="429"/>
      <c r="O130" s="429"/>
      <c r="P130" s="429"/>
      <c r="Q130" s="429"/>
      <c r="R130" s="429"/>
      <c r="S130" s="429"/>
      <c r="T130" s="429"/>
      <c r="U130" s="429"/>
      <c r="V130" s="429"/>
      <c r="W130" s="429"/>
      <c r="Z130" s="32"/>
      <c r="AA130" s="32"/>
      <c r="AB130" s="32"/>
      <c r="AC130" s="32"/>
      <c r="AD130" s="32"/>
      <c r="AE130" s="32"/>
      <c r="AF130" s="32"/>
      <c r="AG130" s="32"/>
      <c r="AH130" s="32"/>
      <c r="AI130" s="32"/>
      <c r="AJ130" s="32"/>
    </row>
    <row r="131" spans="1:36" x14ac:dyDescent="0.25">
      <c r="A131" s="429"/>
      <c r="B131" s="636"/>
      <c r="C131" s="636"/>
      <c r="D131" s="637"/>
      <c r="E131" s="637"/>
      <c r="F131" s="637"/>
      <c r="G131" s="640"/>
      <c r="H131" s="640"/>
      <c r="I131" s="429"/>
      <c r="J131" s="429"/>
      <c r="K131" s="429"/>
      <c r="L131" s="429"/>
      <c r="M131" s="429"/>
      <c r="N131" s="429"/>
      <c r="O131" s="429"/>
      <c r="P131" s="429"/>
      <c r="Q131" s="429"/>
      <c r="R131" s="429"/>
      <c r="S131" s="429"/>
      <c r="T131" s="429"/>
      <c r="U131" s="429"/>
      <c r="V131" s="429"/>
      <c r="W131" s="429"/>
      <c r="Z131" s="32"/>
      <c r="AA131" s="32"/>
      <c r="AB131" s="32"/>
      <c r="AC131" s="32"/>
      <c r="AD131" s="32"/>
      <c r="AE131" s="32"/>
      <c r="AF131" s="32"/>
      <c r="AG131" s="32"/>
      <c r="AH131" s="32"/>
      <c r="AI131" s="32"/>
      <c r="AJ131" s="32"/>
    </row>
    <row r="132" spans="1:36" x14ac:dyDescent="0.25">
      <c r="A132" s="429"/>
      <c r="B132" s="429"/>
      <c r="C132" s="429"/>
      <c r="D132" s="429"/>
      <c r="E132" s="429"/>
      <c r="F132" s="429"/>
      <c r="G132" s="429"/>
      <c r="H132" s="429"/>
      <c r="I132" s="429"/>
      <c r="J132" s="429"/>
      <c r="K132" s="429"/>
      <c r="L132" s="429"/>
      <c r="M132" s="429"/>
      <c r="N132" s="429"/>
      <c r="O132" s="429"/>
      <c r="P132" s="429"/>
      <c r="Q132" s="429"/>
      <c r="R132" s="429"/>
      <c r="S132" s="429"/>
      <c r="T132" s="429"/>
      <c r="U132" s="429"/>
      <c r="V132" s="429"/>
      <c r="W132" s="429"/>
      <c r="Z132" s="32"/>
      <c r="AA132" s="32"/>
      <c r="AB132" s="32"/>
      <c r="AC132" s="32"/>
      <c r="AD132" s="32"/>
      <c r="AE132" s="32"/>
      <c r="AF132" s="32"/>
      <c r="AG132" s="32"/>
      <c r="AH132" s="32"/>
      <c r="AI132" s="32"/>
      <c r="AJ132" s="32"/>
    </row>
    <row r="133" spans="1:36" ht="9" customHeight="1" x14ac:dyDescent="0.25">
      <c r="A133" s="429"/>
      <c r="B133" s="429"/>
      <c r="C133" s="429"/>
      <c r="D133" s="429"/>
      <c r="E133" s="429"/>
      <c r="F133" s="429"/>
      <c r="G133" s="429"/>
      <c r="H133" s="429"/>
      <c r="I133" s="429"/>
      <c r="J133" s="429"/>
      <c r="K133" s="429"/>
      <c r="L133" s="429"/>
      <c r="M133" s="429"/>
      <c r="N133" s="429"/>
      <c r="O133" s="429"/>
      <c r="P133" s="429"/>
      <c r="Q133" s="429"/>
      <c r="R133" s="429"/>
      <c r="S133" s="429"/>
      <c r="T133" s="429"/>
      <c r="U133" s="429"/>
      <c r="V133" s="429"/>
      <c r="W133" s="429"/>
      <c r="Z133" s="32"/>
      <c r="AA133" s="32"/>
      <c r="AB133" s="32"/>
      <c r="AC133" s="32"/>
      <c r="AD133" s="32"/>
      <c r="AE133" s="32"/>
      <c r="AF133" s="32"/>
      <c r="AG133" s="32"/>
      <c r="AH133" s="32"/>
      <c r="AI133" s="32"/>
      <c r="AJ133" s="32"/>
    </row>
    <row r="134" spans="1:36" x14ac:dyDescent="0.25">
      <c r="A134" s="429"/>
      <c r="B134" s="429"/>
      <c r="C134" s="429"/>
      <c r="D134" s="429"/>
      <c r="E134" s="429"/>
      <c r="F134" s="429"/>
      <c r="G134" s="429"/>
      <c r="H134" s="429"/>
      <c r="I134" s="429"/>
      <c r="J134" s="429"/>
      <c r="K134" s="429"/>
      <c r="L134" s="429"/>
      <c r="M134" s="429"/>
      <c r="N134" s="429"/>
      <c r="O134" s="429"/>
      <c r="P134" s="429"/>
      <c r="Q134" s="429"/>
      <c r="R134" s="429"/>
      <c r="S134" s="429"/>
      <c r="T134" s="429"/>
      <c r="U134" s="429"/>
      <c r="V134" s="429"/>
      <c r="W134" s="429"/>
      <c r="Z134" s="32"/>
      <c r="AA134" s="32"/>
      <c r="AB134" s="32"/>
      <c r="AC134" s="32"/>
      <c r="AD134" s="32"/>
      <c r="AE134" s="32"/>
      <c r="AF134" s="32"/>
      <c r="AG134" s="32"/>
      <c r="AH134" s="32"/>
      <c r="AI134" s="32"/>
      <c r="AJ134" s="32"/>
    </row>
    <row r="135" spans="1:36" x14ac:dyDescent="0.25">
      <c r="A135" s="429"/>
      <c r="B135" s="429"/>
      <c r="C135" s="429"/>
      <c r="D135" s="429"/>
      <c r="E135" s="429"/>
      <c r="F135" s="429"/>
      <c r="G135" s="429"/>
      <c r="H135" s="429"/>
      <c r="I135" s="429"/>
      <c r="J135" s="429"/>
      <c r="K135" s="429"/>
      <c r="L135" s="429"/>
      <c r="M135" s="429"/>
      <c r="N135" s="429"/>
      <c r="O135" s="429"/>
      <c r="P135" s="429"/>
      <c r="Q135" s="429"/>
      <c r="R135" s="429"/>
      <c r="S135" s="429"/>
      <c r="T135" s="429"/>
      <c r="U135" s="429"/>
      <c r="V135" s="429"/>
      <c r="W135" s="429"/>
      <c r="Z135" s="32"/>
      <c r="AA135" s="32"/>
      <c r="AB135" s="32"/>
      <c r="AC135" s="32"/>
      <c r="AD135" s="32"/>
      <c r="AE135" s="32"/>
      <c r="AF135" s="32"/>
      <c r="AG135" s="32"/>
      <c r="AH135" s="32"/>
      <c r="AI135" s="32"/>
      <c r="AJ135" s="32"/>
    </row>
    <row r="136" spans="1:36" x14ac:dyDescent="0.25">
      <c r="A136" s="429"/>
      <c r="B136" s="429"/>
      <c r="C136" s="429"/>
      <c r="D136" s="429"/>
      <c r="E136" s="429"/>
      <c r="F136" s="429"/>
      <c r="G136" s="429"/>
      <c r="H136" s="429"/>
      <c r="I136" s="429"/>
      <c r="J136" s="429"/>
      <c r="K136" s="429"/>
      <c r="L136" s="429"/>
      <c r="M136" s="429"/>
      <c r="N136" s="429"/>
      <c r="O136" s="429"/>
      <c r="P136" s="429"/>
      <c r="Q136" s="429"/>
      <c r="R136" s="429"/>
      <c r="S136" s="429"/>
      <c r="T136" s="429"/>
      <c r="U136" s="429"/>
      <c r="V136" s="429"/>
      <c r="W136" s="429"/>
      <c r="Z136" s="32"/>
      <c r="AA136" s="32"/>
      <c r="AB136" s="32"/>
      <c r="AC136" s="32"/>
      <c r="AD136" s="32"/>
      <c r="AE136" s="32"/>
      <c r="AF136" s="32"/>
      <c r="AG136" s="32"/>
      <c r="AH136" s="32"/>
      <c r="AI136" s="32"/>
      <c r="AJ136" s="32"/>
    </row>
    <row r="137" spans="1:36" x14ac:dyDescent="0.25">
      <c r="A137" s="429"/>
      <c r="B137" s="429"/>
      <c r="C137" s="429"/>
      <c r="D137" s="429"/>
      <c r="E137" s="429"/>
      <c r="F137" s="429"/>
      <c r="G137" s="429"/>
      <c r="H137" s="429"/>
      <c r="I137" s="429"/>
      <c r="J137" s="429"/>
      <c r="K137" s="429"/>
      <c r="L137" s="429"/>
      <c r="M137" s="429"/>
      <c r="N137" s="429"/>
      <c r="O137" s="429"/>
      <c r="P137" s="429"/>
      <c r="Q137" s="429"/>
      <c r="R137" s="429"/>
      <c r="S137" s="429"/>
      <c r="T137" s="429"/>
      <c r="U137" s="429"/>
      <c r="V137" s="429"/>
      <c r="W137" s="429"/>
      <c r="Z137" s="32"/>
      <c r="AA137" s="32"/>
      <c r="AB137" s="32"/>
      <c r="AC137" s="32"/>
      <c r="AD137" s="32"/>
      <c r="AE137" s="32"/>
      <c r="AF137" s="32"/>
      <c r="AG137" s="32"/>
      <c r="AH137" s="32"/>
      <c r="AI137" s="32"/>
      <c r="AJ137" s="32"/>
    </row>
    <row r="138" spans="1:36" x14ac:dyDescent="0.25">
      <c r="A138" s="429"/>
      <c r="B138" s="429"/>
      <c r="C138" s="429"/>
      <c r="D138" s="429"/>
      <c r="E138" s="429"/>
      <c r="F138" s="429"/>
      <c r="G138" s="429"/>
      <c r="H138" s="429"/>
      <c r="I138" s="429"/>
      <c r="J138" s="429"/>
      <c r="K138" s="429"/>
      <c r="L138" s="429"/>
      <c r="M138" s="429"/>
      <c r="N138" s="429"/>
      <c r="O138" s="429"/>
      <c r="P138" s="429"/>
      <c r="Q138" s="429"/>
      <c r="R138" s="429"/>
      <c r="S138" s="429"/>
      <c r="T138" s="429"/>
      <c r="U138" s="429"/>
      <c r="V138" s="429"/>
      <c r="W138" s="429"/>
      <c r="Z138" s="32"/>
      <c r="AA138" s="32"/>
      <c r="AB138" s="32"/>
      <c r="AC138" s="32"/>
      <c r="AD138" s="32"/>
      <c r="AE138" s="32"/>
      <c r="AF138" s="32"/>
      <c r="AG138" s="32"/>
      <c r="AH138" s="32"/>
      <c r="AI138" s="32"/>
      <c r="AJ138" s="32"/>
    </row>
    <row r="139" spans="1:36" x14ac:dyDescent="0.25">
      <c r="A139" s="429"/>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Z139" s="32"/>
      <c r="AA139" s="32"/>
      <c r="AB139" s="32"/>
      <c r="AC139" s="32"/>
      <c r="AD139" s="32"/>
      <c r="AE139" s="32"/>
      <c r="AF139" s="32"/>
      <c r="AG139" s="32"/>
      <c r="AH139" s="32"/>
      <c r="AI139" s="32"/>
      <c r="AJ139" s="32"/>
    </row>
    <row r="140" spans="1:36" x14ac:dyDescent="0.25">
      <c r="A140" s="429"/>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Z140" s="32"/>
      <c r="AA140" s="32"/>
      <c r="AB140" s="32"/>
      <c r="AC140" s="32"/>
      <c r="AD140" s="32"/>
      <c r="AE140" s="32"/>
      <c r="AF140" s="32"/>
      <c r="AG140" s="32"/>
      <c r="AH140" s="32"/>
      <c r="AI140" s="32"/>
      <c r="AJ140" s="32"/>
    </row>
    <row r="141" spans="1:36" x14ac:dyDescent="0.25">
      <c r="A141" s="429"/>
      <c r="B141" s="429"/>
      <c r="C141" s="429"/>
      <c r="D141" s="429"/>
      <c r="E141" s="429"/>
      <c r="F141" s="429"/>
      <c r="G141" s="429"/>
      <c r="H141" s="429"/>
      <c r="I141" s="429"/>
      <c r="J141" s="429"/>
      <c r="K141" s="429"/>
      <c r="L141" s="429"/>
      <c r="M141" s="429"/>
      <c r="N141" s="429"/>
      <c r="O141" s="429"/>
      <c r="P141" s="429"/>
      <c r="Q141" s="429"/>
      <c r="R141" s="429"/>
      <c r="S141" s="429"/>
      <c r="T141" s="429"/>
      <c r="U141" s="429"/>
      <c r="V141" s="429"/>
      <c r="W141" s="429"/>
      <c r="Z141" s="32"/>
      <c r="AA141" s="32"/>
      <c r="AB141" s="32"/>
      <c r="AC141" s="32"/>
      <c r="AD141" s="32"/>
      <c r="AE141" s="32"/>
      <c r="AF141" s="32"/>
      <c r="AG141" s="32"/>
      <c r="AH141" s="32"/>
      <c r="AI141" s="32"/>
      <c r="AJ141" s="32"/>
    </row>
    <row r="142" spans="1:36" x14ac:dyDescent="0.25">
      <c r="A142" s="429"/>
      <c r="B142" s="429"/>
      <c r="C142" s="429"/>
      <c r="D142" s="429"/>
      <c r="E142" s="429"/>
      <c r="F142" s="429"/>
      <c r="G142" s="429"/>
      <c r="H142" s="429"/>
      <c r="I142" s="429"/>
      <c r="J142" s="429"/>
      <c r="K142" s="429"/>
      <c r="L142" s="429"/>
      <c r="M142" s="429"/>
      <c r="N142" s="429"/>
      <c r="O142" s="429"/>
      <c r="P142" s="429"/>
      <c r="Q142" s="429"/>
      <c r="R142" s="429"/>
      <c r="S142" s="429"/>
      <c r="T142" s="429"/>
      <c r="U142" s="429"/>
      <c r="V142" s="429"/>
      <c r="W142" s="429"/>
      <c r="Z142" s="32"/>
      <c r="AA142" s="32"/>
      <c r="AB142" s="32"/>
      <c r="AC142" s="32"/>
      <c r="AD142" s="32"/>
      <c r="AE142" s="32"/>
      <c r="AF142" s="32"/>
      <c r="AG142" s="32"/>
      <c r="AH142" s="32"/>
      <c r="AI142" s="32"/>
      <c r="AJ142" s="32"/>
    </row>
    <row r="143" spans="1:36" x14ac:dyDescent="0.25">
      <c r="A143" s="429"/>
      <c r="B143" s="429"/>
      <c r="C143" s="429"/>
      <c r="D143" s="429"/>
      <c r="E143" s="429"/>
      <c r="F143" s="429"/>
      <c r="G143" s="429"/>
      <c r="H143" s="429"/>
      <c r="I143" s="429"/>
      <c r="J143" s="429"/>
      <c r="K143" s="429"/>
      <c r="L143" s="429"/>
      <c r="M143" s="429"/>
      <c r="N143" s="429"/>
      <c r="O143" s="429"/>
      <c r="P143" s="429"/>
      <c r="Q143" s="429"/>
      <c r="R143" s="429"/>
      <c r="S143" s="429"/>
      <c r="T143" s="429"/>
      <c r="U143" s="429"/>
      <c r="V143" s="429"/>
      <c r="W143" s="429"/>
      <c r="Z143" s="32"/>
      <c r="AA143" s="32"/>
      <c r="AB143" s="32"/>
      <c r="AC143" s="32"/>
      <c r="AD143" s="32"/>
      <c r="AE143" s="32"/>
      <c r="AF143" s="32"/>
      <c r="AG143" s="32"/>
      <c r="AH143" s="32"/>
      <c r="AI143" s="32"/>
      <c r="AJ143" s="32"/>
    </row>
    <row r="144" spans="1:36" x14ac:dyDescent="0.25">
      <c r="A144" s="429"/>
      <c r="B144" s="429"/>
      <c r="C144" s="429"/>
      <c r="D144" s="429"/>
      <c r="E144" s="429"/>
      <c r="F144" s="429"/>
      <c r="G144" s="429"/>
      <c r="H144" s="429"/>
      <c r="I144" s="429"/>
      <c r="J144" s="429"/>
      <c r="K144" s="429"/>
      <c r="L144" s="429"/>
      <c r="M144" s="429"/>
      <c r="N144" s="429"/>
      <c r="O144" s="429"/>
      <c r="P144" s="429"/>
      <c r="Q144" s="429"/>
      <c r="R144" s="429"/>
      <c r="S144" s="429"/>
      <c r="T144" s="429"/>
      <c r="U144" s="429"/>
      <c r="V144" s="429"/>
      <c r="W144" s="429"/>
      <c r="Z144" s="32"/>
      <c r="AA144" s="32"/>
      <c r="AB144" s="32"/>
      <c r="AC144" s="32"/>
      <c r="AD144" s="32"/>
      <c r="AE144" s="32"/>
      <c r="AF144" s="32"/>
      <c r="AG144" s="32"/>
      <c r="AH144" s="32"/>
      <c r="AI144" s="32"/>
      <c r="AJ144" s="32"/>
    </row>
    <row r="145" spans="1:36" x14ac:dyDescent="0.25">
      <c r="A145" s="429"/>
      <c r="B145" s="429"/>
      <c r="C145" s="429"/>
      <c r="D145" s="429"/>
      <c r="E145" s="429"/>
      <c r="F145" s="429"/>
      <c r="G145" s="429"/>
      <c r="H145" s="429"/>
      <c r="I145" s="429"/>
      <c r="J145" s="429"/>
      <c r="K145" s="429"/>
      <c r="L145" s="429"/>
      <c r="M145" s="429"/>
      <c r="N145" s="429"/>
      <c r="O145" s="429"/>
      <c r="P145" s="429"/>
      <c r="Q145" s="429"/>
      <c r="R145" s="429"/>
      <c r="S145" s="429"/>
      <c r="T145" s="429"/>
      <c r="U145" s="429"/>
      <c r="V145" s="429"/>
      <c r="W145" s="429"/>
      <c r="Z145" s="32"/>
      <c r="AA145" s="32"/>
      <c r="AB145" s="32"/>
      <c r="AC145" s="32"/>
      <c r="AD145" s="32"/>
      <c r="AE145" s="32"/>
      <c r="AF145" s="32"/>
      <c r="AG145" s="32"/>
      <c r="AH145" s="32"/>
      <c r="AI145" s="32"/>
      <c r="AJ145" s="32"/>
    </row>
    <row r="146" spans="1:36" x14ac:dyDescent="0.25">
      <c r="A146" s="429"/>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Z146" s="32"/>
      <c r="AA146" s="32"/>
      <c r="AB146" s="32"/>
      <c r="AC146" s="32"/>
      <c r="AD146" s="32"/>
      <c r="AE146" s="32"/>
      <c r="AF146" s="32"/>
      <c r="AG146" s="32"/>
      <c r="AH146" s="32"/>
      <c r="AI146" s="32"/>
      <c r="AJ146" s="32"/>
    </row>
    <row r="147" spans="1:36" x14ac:dyDescent="0.25">
      <c r="A147" s="429"/>
      <c r="B147" s="429"/>
      <c r="C147" s="429"/>
      <c r="D147" s="429"/>
      <c r="E147" s="429"/>
      <c r="F147" s="429"/>
      <c r="G147" s="429"/>
      <c r="H147" s="429"/>
      <c r="I147" s="429"/>
      <c r="J147" s="429"/>
      <c r="K147" s="429"/>
      <c r="L147" s="429"/>
      <c r="M147" s="429"/>
      <c r="N147" s="429"/>
      <c r="O147" s="429"/>
      <c r="P147" s="429"/>
      <c r="Q147" s="429"/>
      <c r="R147" s="429"/>
      <c r="S147" s="429"/>
      <c r="T147" s="429"/>
      <c r="U147" s="429"/>
      <c r="V147" s="429"/>
      <c r="W147" s="429"/>
      <c r="Z147" s="32"/>
      <c r="AA147" s="32"/>
      <c r="AB147" s="32"/>
      <c r="AC147" s="32"/>
      <c r="AD147" s="32"/>
      <c r="AE147" s="32"/>
      <c r="AF147" s="32"/>
      <c r="AG147" s="32"/>
      <c r="AH147" s="32"/>
      <c r="AI147" s="32"/>
      <c r="AJ147" s="32"/>
    </row>
    <row r="148" spans="1:36" x14ac:dyDescent="0.25">
      <c r="A148" s="429"/>
      <c r="B148" s="429"/>
      <c r="C148" s="429"/>
      <c r="D148" s="429"/>
      <c r="E148" s="429"/>
      <c r="F148" s="429"/>
      <c r="G148" s="429"/>
      <c r="H148" s="429"/>
      <c r="I148" s="429"/>
      <c r="J148" s="429"/>
      <c r="K148" s="429"/>
      <c r="L148" s="429"/>
      <c r="M148" s="429"/>
      <c r="N148" s="429"/>
      <c r="O148" s="429"/>
      <c r="P148" s="429"/>
      <c r="Q148" s="429"/>
      <c r="R148" s="429"/>
      <c r="S148" s="429"/>
      <c r="T148" s="429"/>
      <c r="U148" s="429"/>
      <c r="V148" s="429"/>
      <c r="W148" s="429"/>
      <c r="Z148" s="32"/>
      <c r="AA148" s="32"/>
      <c r="AB148" s="32"/>
      <c r="AC148" s="32"/>
      <c r="AD148" s="32"/>
      <c r="AE148" s="32"/>
      <c r="AF148" s="32"/>
      <c r="AG148" s="32"/>
      <c r="AH148" s="32"/>
      <c r="AI148" s="32"/>
      <c r="AJ148" s="32"/>
    </row>
    <row r="149" spans="1:36" x14ac:dyDescent="0.25">
      <c r="A149" s="429"/>
      <c r="B149" s="429"/>
      <c r="C149" s="429"/>
      <c r="D149" s="429"/>
      <c r="E149" s="429"/>
      <c r="F149" s="429"/>
      <c r="G149" s="429"/>
      <c r="H149" s="429"/>
      <c r="I149" s="429"/>
      <c r="J149" s="429"/>
      <c r="K149" s="429"/>
      <c r="L149" s="429"/>
      <c r="M149" s="429"/>
      <c r="N149" s="429"/>
      <c r="O149" s="429"/>
      <c r="P149" s="429"/>
      <c r="Q149" s="429"/>
      <c r="R149" s="429"/>
      <c r="S149" s="429"/>
      <c r="T149" s="429"/>
      <c r="U149" s="429"/>
      <c r="V149" s="429"/>
      <c r="W149" s="429"/>
      <c r="Z149" s="32"/>
      <c r="AA149" s="32"/>
      <c r="AB149" s="32"/>
      <c r="AC149" s="32"/>
      <c r="AD149" s="32"/>
      <c r="AE149" s="32"/>
      <c r="AF149" s="32"/>
      <c r="AG149" s="32"/>
      <c r="AH149" s="32"/>
      <c r="AI149" s="32"/>
      <c r="AJ149" s="32"/>
    </row>
    <row r="150" spans="1:36" x14ac:dyDescent="0.25">
      <c r="A150" s="429"/>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Z150" s="32"/>
      <c r="AA150" s="32"/>
      <c r="AB150" s="32"/>
      <c r="AC150" s="32"/>
      <c r="AD150" s="32"/>
      <c r="AE150" s="32"/>
      <c r="AF150" s="32"/>
      <c r="AG150" s="32"/>
      <c r="AH150" s="32"/>
      <c r="AI150" s="32"/>
      <c r="AJ150" s="32"/>
    </row>
    <row r="151" spans="1:36" x14ac:dyDescent="0.25">
      <c r="A151" s="429"/>
      <c r="B151" s="429"/>
      <c r="C151" s="429"/>
      <c r="D151" s="429"/>
      <c r="E151" s="429"/>
      <c r="F151" s="429"/>
      <c r="G151" s="429"/>
      <c r="H151" s="429"/>
      <c r="I151" s="429"/>
      <c r="J151" s="429"/>
      <c r="K151" s="429"/>
      <c r="L151" s="429"/>
      <c r="M151" s="429"/>
      <c r="N151" s="429"/>
      <c r="O151" s="429"/>
      <c r="P151" s="429"/>
      <c r="Q151" s="429"/>
      <c r="R151" s="429"/>
      <c r="S151" s="429"/>
      <c r="T151" s="429"/>
      <c r="U151" s="429"/>
      <c r="V151" s="429"/>
      <c r="W151" s="429"/>
      <c r="Z151" s="32"/>
      <c r="AA151" s="32"/>
      <c r="AB151" s="32"/>
      <c r="AC151" s="32"/>
      <c r="AD151" s="32"/>
      <c r="AE151" s="32"/>
      <c r="AF151" s="32"/>
      <c r="AG151" s="32"/>
      <c r="AH151" s="32"/>
      <c r="AI151" s="32"/>
      <c r="AJ151" s="32"/>
    </row>
    <row r="152" spans="1:36" x14ac:dyDescent="0.25">
      <c r="A152" s="429"/>
      <c r="B152" s="429"/>
      <c r="C152" s="429"/>
      <c r="D152" s="429"/>
      <c r="E152" s="429"/>
      <c r="F152" s="429"/>
      <c r="G152" s="429"/>
      <c r="H152" s="429"/>
      <c r="I152" s="429"/>
      <c r="J152" s="429"/>
      <c r="K152" s="429"/>
      <c r="L152" s="429"/>
      <c r="M152" s="429"/>
      <c r="N152" s="429"/>
      <c r="O152" s="429"/>
      <c r="P152" s="429"/>
      <c r="Q152" s="429"/>
      <c r="R152" s="429"/>
      <c r="S152" s="429"/>
      <c r="T152" s="429"/>
      <c r="U152" s="429"/>
      <c r="V152" s="429"/>
      <c r="W152" s="429"/>
      <c r="Z152" s="32"/>
      <c r="AA152" s="32"/>
      <c r="AB152" s="32"/>
      <c r="AC152" s="32"/>
      <c r="AD152" s="32"/>
      <c r="AE152" s="32"/>
      <c r="AF152" s="32"/>
      <c r="AG152" s="32"/>
      <c r="AH152" s="32"/>
      <c r="AI152" s="32"/>
      <c r="AJ152" s="32"/>
    </row>
    <row r="153" spans="1:36" x14ac:dyDescent="0.25">
      <c r="A153" s="429"/>
      <c r="B153" s="429"/>
      <c r="C153" s="429"/>
      <c r="D153" s="429"/>
      <c r="E153" s="429"/>
      <c r="F153" s="429"/>
      <c r="G153" s="429"/>
      <c r="H153" s="429"/>
      <c r="I153" s="429"/>
      <c r="J153" s="429"/>
      <c r="K153" s="429"/>
      <c r="L153" s="429"/>
      <c r="M153" s="429"/>
      <c r="N153" s="429"/>
      <c r="O153" s="429"/>
      <c r="P153" s="429"/>
      <c r="Q153" s="429"/>
      <c r="R153" s="429"/>
      <c r="S153" s="429"/>
      <c r="T153" s="429"/>
      <c r="U153" s="429"/>
      <c r="V153" s="429"/>
      <c r="W153" s="429"/>
      <c r="Z153" s="32"/>
      <c r="AA153" s="32"/>
      <c r="AB153" s="32"/>
      <c r="AC153" s="32"/>
      <c r="AD153" s="32"/>
      <c r="AE153" s="32"/>
      <c r="AF153" s="32"/>
      <c r="AG153" s="32"/>
      <c r="AH153" s="32"/>
      <c r="AI153" s="32"/>
      <c r="AJ153" s="32"/>
    </row>
    <row r="154" spans="1:36" x14ac:dyDescent="0.25">
      <c r="A154" s="429"/>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Z154" s="32"/>
      <c r="AA154" s="32"/>
      <c r="AB154" s="32"/>
      <c r="AC154" s="32"/>
      <c r="AD154" s="32"/>
      <c r="AE154" s="32"/>
      <c r="AF154" s="32"/>
      <c r="AG154" s="32"/>
      <c r="AH154" s="32"/>
      <c r="AI154" s="32"/>
      <c r="AJ154" s="32"/>
    </row>
    <row r="155" spans="1:36" x14ac:dyDescent="0.25">
      <c r="A155" s="429"/>
      <c r="B155" s="429"/>
      <c r="C155" s="429"/>
      <c r="D155" s="429"/>
      <c r="E155" s="429"/>
      <c r="F155" s="429"/>
      <c r="G155" s="429"/>
      <c r="H155" s="429"/>
      <c r="I155" s="429"/>
      <c r="J155" s="429"/>
      <c r="K155" s="429"/>
      <c r="L155" s="429"/>
      <c r="M155" s="429"/>
      <c r="N155" s="429"/>
      <c r="O155" s="429"/>
      <c r="P155" s="429"/>
      <c r="Q155" s="429"/>
      <c r="R155" s="429"/>
      <c r="S155" s="429"/>
      <c r="T155" s="429"/>
      <c r="U155" s="429"/>
      <c r="V155" s="429"/>
      <c r="W155" s="429"/>
      <c r="Z155" s="32"/>
      <c r="AA155" s="32"/>
      <c r="AB155" s="32"/>
      <c r="AC155" s="32"/>
      <c r="AD155" s="32"/>
      <c r="AE155" s="32"/>
      <c r="AF155" s="32"/>
      <c r="AG155" s="32"/>
      <c r="AH155" s="32"/>
      <c r="AI155" s="32"/>
      <c r="AJ155" s="32"/>
    </row>
    <row r="156" spans="1:36" x14ac:dyDescent="0.25">
      <c r="A156" s="429"/>
      <c r="B156" s="429"/>
      <c r="C156" s="429"/>
      <c r="D156" s="429"/>
      <c r="E156" s="429"/>
      <c r="F156" s="429"/>
      <c r="G156" s="429"/>
      <c r="H156" s="429"/>
      <c r="I156" s="429"/>
      <c r="J156" s="429"/>
      <c r="K156" s="429"/>
      <c r="L156" s="429"/>
      <c r="M156" s="429"/>
      <c r="N156" s="429"/>
      <c r="O156" s="429"/>
      <c r="P156" s="429"/>
      <c r="Q156" s="429"/>
      <c r="R156" s="429"/>
      <c r="S156" s="429"/>
      <c r="T156" s="429"/>
      <c r="U156" s="429"/>
      <c r="V156" s="429"/>
      <c r="W156" s="429"/>
      <c r="Z156" s="32"/>
      <c r="AA156" s="32"/>
      <c r="AB156" s="32"/>
      <c r="AC156" s="32"/>
      <c r="AD156" s="32"/>
      <c r="AE156" s="32"/>
      <c r="AF156" s="32"/>
      <c r="AG156" s="32"/>
      <c r="AH156" s="32"/>
      <c r="AI156" s="32"/>
      <c r="AJ156" s="32"/>
    </row>
    <row r="157" spans="1:36" x14ac:dyDescent="0.25">
      <c r="A157" s="429"/>
      <c r="B157" s="429"/>
      <c r="C157" s="429"/>
      <c r="D157" s="429"/>
      <c r="E157" s="429"/>
      <c r="F157" s="429"/>
      <c r="G157" s="429"/>
      <c r="H157" s="429"/>
      <c r="I157" s="429"/>
      <c r="J157" s="429"/>
      <c r="K157" s="429"/>
      <c r="L157" s="429"/>
      <c r="M157" s="429"/>
      <c r="N157" s="429"/>
      <c r="O157" s="429"/>
      <c r="P157" s="429"/>
      <c r="Q157" s="429"/>
      <c r="R157" s="429"/>
      <c r="S157" s="429"/>
      <c r="T157" s="429"/>
      <c r="U157" s="429"/>
      <c r="V157" s="429"/>
      <c r="W157" s="429"/>
      <c r="Z157" s="32"/>
      <c r="AA157" s="32"/>
      <c r="AB157" s="32"/>
      <c r="AC157" s="32"/>
      <c r="AD157" s="32"/>
      <c r="AE157" s="32"/>
      <c r="AF157" s="32"/>
      <c r="AG157" s="32"/>
      <c r="AH157" s="32"/>
      <c r="AI157" s="32"/>
      <c r="AJ157" s="32"/>
    </row>
    <row r="158" spans="1:36" x14ac:dyDescent="0.25">
      <c r="A158" s="429"/>
      <c r="B158" s="429"/>
      <c r="C158" s="429"/>
      <c r="D158" s="429"/>
      <c r="E158" s="429"/>
      <c r="F158" s="429"/>
      <c r="G158" s="429"/>
      <c r="H158" s="429"/>
      <c r="I158" s="429"/>
      <c r="J158" s="429"/>
      <c r="K158" s="429"/>
      <c r="L158" s="429"/>
      <c r="M158" s="429"/>
      <c r="N158" s="429"/>
      <c r="O158" s="429"/>
      <c r="P158" s="429"/>
      <c r="Q158" s="429"/>
      <c r="R158" s="429"/>
      <c r="S158" s="429"/>
      <c r="T158" s="429"/>
      <c r="U158" s="640"/>
      <c r="V158" s="640"/>
      <c r="W158" s="640"/>
      <c r="X158" s="32"/>
      <c r="Y158" s="32"/>
      <c r="Z158" s="32"/>
      <c r="AA158" s="32"/>
      <c r="AB158" s="32"/>
      <c r="AC158" s="32"/>
      <c r="AD158" s="32"/>
      <c r="AE158" s="32"/>
      <c r="AF158" s="32"/>
      <c r="AG158" s="32"/>
      <c r="AH158" s="32"/>
      <c r="AI158" s="32"/>
      <c r="AJ158" s="32"/>
    </row>
    <row r="159" spans="1:36" ht="9" customHeight="1" x14ac:dyDescent="0.25">
      <c r="A159" s="429"/>
      <c r="B159" s="429"/>
      <c r="C159" s="429"/>
      <c r="D159" s="429"/>
      <c r="E159" s="429"/>
      <c r="F159" s="429"/>
      <c r="G159" s="429"/>
      <c r="H159" s="429"/>
      <c r="I159" s="429"/>
      <c r="J159" s="429"/>
      <c r="K159" s="429"/>
      <c r="L159" s="429"/>
      <c r="M159" s="429"/>
      <c r="N159" s="640"/>
      <c r="O159" s="429"/>
      <c r="P159" s="429"/>
      <c r="Q159" s="429"/>
      <c r="R159" s="783"/>
      <c r="S159" s="783"/>
      <c r="T159" s="783"/>
      <c r="U159" s="783"/>
      <c r="V159" s="783"/>
      <c r="W159" s="784"/>
      <c r="X159" s="32"/>
      <c r="Y159" s="32"/>
      <c r="Z159" s="32"/>
      <c r="AA159" s="32"/>
      <c r="AB159" s="32"/>
      <c r="AC159" s="32"/>
      <c r="AD159" s="32"/>
      <c r="AE159" s="32"/>
      <c r="AF159" s="32"/>
      <c r="AG159" s="32"/>
      <c r="AH159" s="32"/>
      <c r="AI159" s="32"/>
      <c r="AJ159" s="32"/>
    </row>
    <row r="160" spans="1:36" x14ac:dyDescent="0.25">
      <c r="A160" s="429"/>
      <c r="B160" s="429"/>
      <c r="C160" s="429"/>
      <c r="D160" s="429"/>
      <c r="E160" s="429"/>
      <c r="F160" s="429"/>
      <c r="G160" s="429"/>
      <c r="H160" s="429"/>
      <c r="I160" s="429"/>
      <c r="J160" s="429"/>
      <c r="K160" s="429"/>
      <c r="L160" s="429"/>
      <c r="M160" s="429"/>
      <c r="N160" s="640"/>
      <c r="O160" s="429"/>
      <c r="P160" s="429"/>
      <c r="Q160" s="429"/>
      <c r="R160" s="783"/>
      <c r="S160" s="783"/>
      <c r="T160" s="783"/>
      <c r="U160" s="783"/>
      <c r="V160" s="783"/>
      <c r="W160" s="784"/>
      <c r="X160" s="32"/>
      <c r="Y160" s="32"/>
      <c r="Z160" s="32"/>
      <c r="AA160" s="32"/>
      <c r="AB160" s="32"/>
      <c r="AC160" s="32"/>
      <c r="AD160" s="32"/>
      <c r="AE160" s="32"/>
      <c r="AF160" s="32"/>
      <c r="AG160" s="32"/>
      <c r="AH160" s="32"/>
      <c r="AI160" s="32"/>
      <c r="AJ160" s="32"/>
    </row>
    <row r="161" spans="1:36" x14ac:dyDescent="0.25">
      <c r="A161" s="429"/>
      <c r="B161" s="429"/>
      <c r="C161" s="429"/>
      <c r="D161" s="429"/>
      <c r="E161" s="429"/>
      <c r="F161" s="429"/>
      <c r="G161" s="429"/>
      <c r="H161" s="429"/>
      <c r="I161" s="429"/>
      <c r="J161" s="429"/>
      <c r="K161" s="429"/>
      <c r="L161" s="429"/>
      <c r="M161" s="429"/>
      <c r="N161" s="640"/>
      <c r="O161" s="429"/>
      <c r="P161" s="429"/>
      <c r="Q161" s="429"/>
      <c r="R161" s="783"/>
      <c r="S161" s="783"/>
      <c r="T161" s="783"/>
      <c r="U161" s="783"/>
      <c r="V161" s="783"/>
      <c r="W161" s="784"/>
      <c r="X161" s="32"/>
      <c r="Y161" s="32"/>
      <c r="Z161" s="32"/>
      <c r="AA161" s="32"/>
      <c r="AB161" s="32"/>
      <c r="AC161" s="32"/>
      <c r="AD161" s="32"/>
      <c r="AE161" s="32"/>
      <c r="AF161" s="32"/>
      <c r="AG161" s="32"/>
      <c r="AH161" s="32"/>
      <c r="AI161" s="32"/>
      <c r="AJ161" s="32"/>
    </row>
    <row r="162" spans="1:36" x14ac:dyDescent="0.25">
      <c r="A162" s="429"/>
      <c r="B162" s="429"/>
      <c r="C162" s="429"/>
      <c r="D162" s="429"/>
      <c r="E162" s="429"/>
      <c r="F162" s="429"/>
      <c r="G162" s="429"/>
      <c r="H162" s="429"/>
      <c r="I162" s="429"/>
      <c r="J162" s="429"/>
      <c r="K162" s="429"/>
      <c r="L162" s="429"/>
      <c r="M162" s="640"/>
      <c r="N162" s="640"/>
      <c r="O162" s="640"/>
      <c r="P162" s="640"/>
      <c r="Q162" s="640"/>
      <c r="R162" s="640"/>
      <c r="S162" s="640"/>
      <c r="T162" s="640"/>
      <c r="U162" s="640"/>
      <c r="V162" s="640"/>
      <c r="W162" s="640"/>
      <c r="X162" s="32"/>
      <c r="Y162" s="32"/>
      <c r="Z162" s="32"/>
      <c r="AA162" s="32"/>
      <c r="AB162" s="32"/>
      <c r="AC162" s="32"/>
      <c r="AD162" s="32"/>
      <c r="AE162" s="32"/>
      <c r="AF162" s="32"/>
      <c r="AG162" s="32"/>
      <c r="AH162" s="32"/>
      <c r="AI162" s="32"/>
      <c r="AJ162" s="32"/>
    </row>
    <row r="163" spans="1:36" x14ac:dyDescent="0.25">
      <c r="A163" s="429"/>
      <c r="B163" s="429"/>
      <c r="C163" s="429"/>
      <c r="D163" s="429"/>
      <c r="E163" s="429"/>
      <c r="F163" s="429"/>
      <c r="G163" s="429"/>
      <c r="H163" s="429"/>
      <c r="I163" s="429"/>
      <c r="J163" s="429"/>
      <c r="K163" s="429"/>
      <c r="L163" s="429"/>
      <c r="M163" s="640"/>
      <c r="N163" s="640"/>
      <c r="O163" s="640"/>
      <c r="P163" s="640"/>
      <c r="Q163" s="640"/>
      <c r="R163" s="640"/>
      <c r="S163" s="640"/>
      <c r="T163" s="640"/>
      <c r="U163" s="640"/>
      <c r="V163" s="640"/>
      <c r="W163" s="640"/>
      <c r="X163" s="32"/>
      <c r="Y163" s="32"/>
      <c r="Z163" s="32"/>
      <c r="AA163" s="32"/>
      <c r="AB163" s="32"/>
      <c r="AC163" s="32"/>
      <c r="AD163" s="32"/>
      <c r="AE163" s="32"/>
      <c r="AF163" s="32"/>
      <c r="AG163" s="32"/>
      <c r="AH163" s="32"/>
      <c r="AI163" s="32"/>
      <c r="AJ163" s="32"/>
    </row>
    <row r="164" spans="1:36" ht="16.5" customHeight="1" x14ac:dyDescent="0.25">
      <c r="A164" s="429"/>
      <c r="B164" s="429"/>
      <c r="C164" s="429"/>
      <c r="D164" s="429"/>
      <c r="E164" s="429"/>
      <c r="F164" s="429"/>
      <c r="G164" s="429"/>
      <c r="H164" s="429"/>
      <c r="I164" s="429"/>
      <c r="J164" s="429"/>
      <c r="K164" s="429"/>
      <c r="L164" s="429"/>
      <c r="M164" s="640"/>
      <c r="N164" s="640"/>
      <c r="O164" s="640"/>
      <c r="P164" s="640"/>
      <c r="Q164" s="640"/>
      <c r="R164" s="640"/>
      <c r="S164" s="640"/>
      <c r="T164" s="640"/>
      <c r="U164" s="640"/>
      <c r="V164" s="640"/>
      <c r="W164" s="640"/>
      <c r="X164" s="32"/>
      <c r="Y164" s="32"/>
      <c r="Z164" s="32"/>
      <c r="AA164" s="32"/>
      <c r="AB164" s="32"/>
      <c r="AC164" s="32"/>
      <c r="AD164" s="32"/>
      <c r="AE164" s="32"/>
      <c r="AF164" s="32"/>
      <c r="AG164" s="32"/>
      <c r="AH164" s="32"/>
      <c r="AI164" s="32"/>
      <c r="AJ164" s="32"/>
    </row>
    <row r="165" spans="1:36" ht="8.25" customHeight="1" x14ac:dyDescent="0.25">
      <c r="A165" s="429"/>
      <c r="B165" s="429"/>
      <c r="C165" s="429"/>
      <c r="D165" s="429"/>
      <c r="E165" s="429"/>
      <c r="F165" s="429"/>
      <c r="G165" s="429"/>
      <c r="H165" s="429"/>
      <c r="I165" s="429"/>
      <c r="J165" s="429"/>
      <c r="K165" s="429"/>
      <c r="L165" s="429"/>
      <c r="M165" s="640"/>
      <c r="N165" s="640"/>
      <c r="O165" s="640"/>
      <c r="P165" s="640"/>
      <c r="Q165" s="640"/>
      <c r="R165" s="640"/>
      <c r="S165" s="640"/>
      <c r="T165" s="640"/>
      <c r="U165" s="640"/>
      <c r="V165" s="640"/>
      <c r="W165" s="640"/>
      <c r="X165" s="32"/>
      <c r="Y165" s="32"/>
      <c r="Z165" s="32"/>
      <c r="AA165" s="32"/>
      <c r="AB165" s="32"/>
      <c r="AC165" s="32"/>
      <c r="AD165" s="32"/>
      <c r="AE165" s="32"/>
      <c r="AF165" s="32"/>
      <c r="AG165" s="32"/>
      <c r="AH165" s="32"/>
      <c r="AI165" s="32"/>
      <c r="AJ165" s="32"/>
    </row>
    <row r="166" spans="1:36" x14ac:dyDescent="0.25">
      <c r="A166" s="429"/>
      <c r="B166" s="429"/>
      <c r="C166" s="429"/>
      <c r="D166" s="429"/>
      <c r="E166" s="429"/>
      <c r="F166" s="429"/>
      <c r="G166" s="429"/>
      <c r="H166" s="429"/>
      <c r="I166" s="429"/>
      <c r="J166" s="429"/>
      <c r="K166" s="429"/>
      <c r="L166" s="429"/>
      <c r="M166" s="640"/>
      <c r="N166" s="640"/>
      <c r="O166" s="640"/>
      <c r="P166" s="640"/>
      <c r="Q166" s="640"/>
      <c r="R166" s="640"/>
      <c r="S166" s="640"/>
      <c r="T166" s="640"/>
      <c r="U166" s="640"/>
      <c r="V166" s="640"/>
      <c r="W166" s="640"/>
      <c r="X166" s="32"/>
      <c r="Y166" s="32"/>
      <c r="Z166" s="32"/>
      <c r="AA166" s="32"/>
      <c r="AB166" s="32"/>
      <c r="AC166" s="32"/>
      <c r="AD166" s="32"/>
      <c r="AE166" s="32"/>
      <c r="AF166" s="32"/>
      <c r="AG166" s="32"/>
      <c r="AH166" s="32"/>
      <c r="AI166" s="32"/>
      <c r="AJ166" s="32"/>
    </row>
    <row r="167" spans="1:36" x14ac:dyDescent="0.25">
      <c r="A167" s="429"/>
      <c r="B167" s="429"/>
      <c r="C167" s="429"/>
      <c r="D167" s="429"/>
      <c r="E167" s="429"/>
      <c r="F167" s="429"/>
      <c r="G167" s="429"/>
      <c r="H167" s="429"/>
      <c r="I167" s="429"/>
      <c r="J167" s="429"/>
      <c r="K167" s="429"/>
      <c r="L167" s="429"/>
      <c r="M167" s="640"/>
      <c r="N167" s="640"/>
      <c r="O167" s="640"/>
      <c r="P167" s="640"/>
      <c r="Q167" s="640"/>
      <c r="R167" s="640"/>
      <c r="S167" s="640"/>
      <c r="T167" s="640"/>
      <c r="U167" s="640"/>
      <c r="V167" s="640"/>
      <c r="W167" s="640"/>
      <c r="X167" s="32"/>
      <c r="Y167" s="32"/>
      <c r="Z167" s="32"/>
      <c r="AA167" s="32"/>
      <c r="AB167" s="32"/>
      <c r="AC167" s="32"/>
      <c r="AD167" s="32"/>
      <c r="AE167" s="32"/>
      <c r="AF167" s="32"/>
      <c r="AG167" s="32"/>
      <c r="AH167" s="32"/>
      <c r="AI167" s="32"/>
      <c r="AJ167" s="32"/>
    </row>
    <row r="168" spans="1:36" x14ac:dyDescent="0.25">
      <c r="A168" s="429"/>
      <c r="B168" s="429"/>
      <c r="C168" s="429"/>
      <c r="D168" s="429"/>
      <c r="E168" s="429"/>
      <c r="F168" s="429"/>
      <c r="G168" s="429"/>
      <c r="H168" s="429"/>
      <c r="I168" s="429"/>
      <c r="J168" s="429"/>
      <c r="K168" s="429"/>
      <c r="L168" s="429"/>
      <c r="M168" s="640"/>
      <c r="N168" s="640"/>
      <c r="O168" s="640"/>
      <c r="P168" s="640"/>
      <c r="Q168" s="640"/>
      <c r="R168" s="640"/>
      <c r="S168" s="640"/>
      <c r="T168" s="640"/>
      <c r="U168" s="640"/>
      <c r="V168" s="640"/>
      <c r="W168" s="640"/>
      <c r="X168" s="32"/>
      <c r="Y168" s="32"/>
      <c r="Z168" s="32"/>
      <c r="AA168" s="32"/>
      <c r="AB168" s="32"/>
      <c r="AC168" s="32"/>
      <c r="AD168" s="32"/>
      <c r="AE168" s="32"/>
      <c r="AF168" s="32"/>
      <c r="AG168" s="32"/>
      <c r="AH168" s="32"/>
      <c r="AI168" s="32"/>
      <c r="AJ168" s="32"/>
    </row>
    <row r="169" spans="1:36" x14ac:dyDescent="0.25">
      <c r="A169" s="429"/>
      <c r="B169" s="429"/>
      <c r="C169" s="429"/>
      <c r="D169" s="429"/>
      <c r="E169" s="429"/>
      <c r="F169" s="429"/>
      <c r="G169" s="429"/>
      <c r="H169" s="429"/>
      <c r="I169" s="429"/>
      <c r="J169" s="429"/>
      <c r="K169" s="429"/>
      <c r="L169" s="429"/>
      <c r="M169" s="640"/>
      <c r="N169" s="640"/>
      <c r="O169" s="640"/>
      <c r="P169" s="640"/>
      <c r="Q169" s="640"/>
      <c r="R169" s="640"/>
      <c r="S169" s="640"/>
      <c r="T169" s="640"/>
      <c r="U169" s="640"/>
      <c r="V169" s="640"/>
      <c r="W169" s="640"/>
      <c r="X169" s="32"/>
      <c r="Y169" s="32"/>
      <c r="Z169" s="32"/>
      <c r="AA169" s="32"/>
      <c r="AB169" s="32"/>
      <c r="AC169" s="32"/>
      <c r="AD169" s="32"/>
      <c r="AE169" s="32"/>
      <c r="AF169" s="32"/>
      <c r="AG169" s="32"/>
      <c r="AH169" s="32"/>
      <c r="AI169" s="32"/>
      <c r="AJ169" s="32"/>
    </row>
    <row r="170" spans="1:36" x14ac:dyDescent="0.25">
      <c r="A170" s="429"/>
      <c r="B170" s="429"/>
      <c r="C170" s="429"/>
      <c r="D170" s="429"/>
      <c r="E170" s="429"/>
      <c r="F170" s="429"/>
      <c r="G170" s="429"/>
      <c r="H170" s="429"/>
      <c r="I170" s="429"/>
      <c r="J170" s="429"/>
      <c r="K170" s="429"/>
      <c r="L170" s="429"/>
      <c r="M170" s="640"/>
      <c r="N170" s="640"/>
      <c r="O170" s="640"/>
      <c r="P170" s="640"/>
      <c r="Q170" s="640"/>
      <c r="R170" s="640"/>
      <c r="S170" s="640"/>
      <c r="T170" s="640"/>
      <c r="U170" s="640"/>
      <c r="V170" s="640"/>
      <c r="W170" s="640"/>
      <c r="X170" s="32"/>
      <c r="Y170" s="32"/>
      <c r="Z170" s="32"/>
      <c r="AA170" s="32"/>
      <c r="AB170" s="32"/>
      <c r="AC170" s="32"/>
      <c r="AD170" s="32"/>
      <c r="AE170" s="32"/>
      <c r="AF170" s="32"/>
      <c r="AG170" s="32"/>
      <c r="AH170" s="32"/>
      <c r="AI170" s="32"/>
      <c r="AJ170" s="32"/>
    </row>
    <row r="171" spans="1:36" x14ac:dyDescent="0.25">
      <c r="A171" s="429"/>
      <c r="B171" s="429"/>
      <c r="C171" s="429"/>
      <c r="D171" s="429"/>
      <c r="E171" s="429"/>
      <c r="F171" s="429"/>
      <c r="G171" s="429"/>
      <c r="H171" s="429"/>
      <c r="I171" s="429"/>
      <c r="J171" s="429"/>
      <c r="K171" s="429"/>
      <c r="L171" s="429"/>
      <c r="M171" s="640"/>
      <c r="N171" s="640"/>
      <c r="O171" s="640"/>
      <c r="P171" s="640"/>
      <c r="Q171" s="640"/>
      <c r="R171" s="640"/>
      <c r="S171" s="640"/>
      <c r="T171" s="640"/>
      <c r="U171" s="640"/>
      <c r="V171" s="640"/>
      <c r="W171" s="640"/>
      <c r="X171" s="32"/>
      <c r="Y171" s="32"/>
      <c r="Z171" s="32"/>
      <c r="AA171" s="32"/>
      <c r="AB171" s="32"/>
      <c r="AC171" s="32"/>
      <c r="AD171" s="32"/>
      <c r="AE171" s="32"/>
      <c r="AF171" s="32"/>
      <c r="AG171" s="32"/>
      <c r="AH171" s="32"/>
      <c r="AI171" s="32"/>
      <c r="AJ171" s="32"/>
    </row>
    <row r="172" spans="1:36" x14ac:dyDescent="0.25">
      <c r="A172" s="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row>
    <row r="173" spans="1:36" x14ac:dyDescent="0.25">
      <c r="A173" s="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row>
    <row r="174" spans="1:36" x14ac:dyDescent="0.25">
      <c r="A174" s="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row>
    <row r="175" spans="1:36" x14ac:dyDescent="0.25">
      <c r="A175" s="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row>
    <row r="176" spans="1:36" x14ac:dyDescent="0.25">
      <c r="A176" s="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row>
    <row r="177" spans="1:36" x14ac:dyDescent="0.25">
      <c r="A177" s="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row>
    <row r="178" spans="1:36" x14ac:dyDescent="0.25">
      <c r="A178" s="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row>
    <row r="179" spans="1:36" x14ac:dyDescent="0.25">
      <c r="A179" s="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row>
    <row r="180" spans="1:36" x14ac:dyDescent="0.25">
      <c r="A180" s="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row>
    <row r="181" spans="1:36" x14ac:dyDescent="0.25">
      <c r="A181" s="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row>
    <row r="182" spans="1:36" x14ac:dyDescent="0.25">
      <c r="A182" s="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row>
    <row r="183" spans="1:36" x14ac:dyDescent="0.25">
      <c r="A183" s="2"/>
      <c r="O183" s="32"/>
      <c r="P183" s="32"/>
      <c r="Q183" s="32"/>
      <c r="R183" s="32"/>
      <c r="S183" s="32"/>
      <c r="T183" s="32"/>
      <c r="U183" s="32"/>
      <c r="V183" s="32"/>
      <c r="W183" s="32"/>
      <c r="X183" s="32"/>
      <c r="Y183" s="32"/>
      <c r="Z183" s="32"/>
      <c r="AA183" s="32"/>
      <c r="AB183" s="32"/>
      <c r="AC183" s="32"/>
      <c r="AD183" s="32"/>
      <c r="AE183" s="32"/>
      <c r="AF183" s="32"/>
      <c r="AG183" s="32"/>
      <c r="AH183" s="32"/>
      <c r="AI183" s="32"/>
      <c r="AJ183" s="32"/>
    </row>
    <row r="184" spans="1:36" x14ac:dyDescent="0.25">
      <c r="A184" s="2"/>
      <c r="O184" s="32"/>
      <c r="P184" s="32"/>
      <c r="Q184" s="32"/>
      <c r="R184" s="32"/>
      <c r="S184" s="32"/>
      <c r="T184" s="32"/>
      <c r="U184" s="32"/>
      <c r="V184" s="32"/>
      <c r="W184" s="32"/>
      <c r="X184" s="32"/>
      <c r="Y184" s="32"/>
      <c r="Z184" s="32"/>
      <c r="AA184" s="32"/>
      <c r="AB184" s="32"/>
      <c r="AC184" s="32"/>
      <c r="AD184" s="32"/>
      <c r="AE184" s="32"/>
      <c r="AF184" s="32"/>
      <c r="AG184" s="32"/>
      <c r="AH184" s="32"/>
      <c r="AI184" s="32"/>
      <c r="AJ184" s="32"/>
    </row>
    <row r="185" spans="1:36" x14ac:dyDescent="0.25">
      <c r="A185" s="2"/>
      <c r="O185" s="32"/>
      <c r="P185" s="32"/>
      <c r="Q185" s="32"/>
      <c r="R185" s="32"/>
      <c r="S185" s="32"/>
      <c r="T185" s="32"/>
      <c r="U185" s="32"/>
      <c r="V185" s="32"/>
      <c r="W185" s="32"/>
      <c r="X185" s="32"/>
      <c r="Y185" s="32"/>
      <c r="Z185" s="32"/>
      <c r="AA185" s="32"/>
      <c r="AB185" s="32"/>
      <c r="AC185" s="32"/>
      <c r="AD185" s="32"/>
      <c r="AE185" s="32"/>
      <c r="AF185" s="32"/>
      <c r="AG185" s="32"/>
      <c r="AH185" s="32"/>
      <c r="AI185" s="32"/>
      <c r="AJ185" s="32"/>
    </row>
    <row r="186" spans="1:36" x14ac:dyDescent="0.25">
      <c r="A186" s="2"/>
      <c r="O186" s="32"/>
      <c r="P186" s="32"/>
      <c r="Q186" s="32"/>
      <c r="R186" s="32"/>
      <c r="S186" s="32"/>
      <c r="T186" s="32"/>
      <c r="U186" s="32"/>
      <c r="V186" s="32"/>
      <c r="W186" s="32"/>
      <c r="X186" s="32"/>
      <c r="Y186" s="32"/>
      <c r="Z186" s="32"/>
      <c r="AA186" s="32"/>
      <c r="AB186" s="32"/>
      <c r="AC186" s="32"/>
      <c r="AD186" s="32"/>
      <c r="AE186" s="32"/>
      <c r="AF186" s="32"/>
      <c r="AG186" s="32"/>
      <c r="AH186" s="32"/>
      <c r="AI186" s="32"/>
      <c r="AJ186" s="32"/>
    </row>
    <row r="187" spans="1:36" x14ac:dyDescent="0.25">
      <c r="A187" s="2"/>
      <c r="O187" s="32"/>
      <c r="P187" s="32"/>
      <c r="Q187" s="32"/>
      <c r="R187" s="32"/>
      <c r="S187" s="32"/>
      <c r="T187" s="32"/>
      <c r="U187" s="32"/>
      <c r="V187" s="32"/>
      <c r="W187" s="32"/>
      <c r="X187" s="32"/>
      <c r="Y187" s="32"/>
      <c r="Z187" s="32"/>
      <c r="AA187" s="32"/>
      <c r="AB187" s="32"/>
      <c r="AC187" s="32"/>
      <c r="AD187" s="32"/>
      <c r="AE187" s="32"/>
      <c r="AF187" s="32"/>
      <c r="AG187" s="32"/>
      <c r="AH187" s="32"/>
      <c r="AI187" s="32"/>
      <c r="AJ187" s="32"/>
    </row>
    <row r="188" spans="1:36" x14ac:dyDescent="0.25">
      <c r="A188" s="2"/>
      <c r="O188" s="32"/>
      <c r="P188" s="32"/>
      <c r="Q188" s="32"/>
      <c r="R188" s="32"/>
      <c r="S188" s="32"/>
      <c r="T188" s="32"/>
      <c r="U188" s="32"/>
      <c r="V188" s="32"/>
      <c r="W188" s="32"/>
      <c r="X188" s="32"/>
      <c r="Y188" s="32"/>
      <c r="Z188" s="32"/>
      <c r="AA188" s="32"/>
      <c r="AB188" s="32"/>
      <c r="AC188" s="32"/>
      <c r="AD188" s="32"/>
      <c r="AE188" s="32"/>
      <c r="AF188" s="32"/>
      <c r="AG188" s="32"/>
      <c r="AH188" s="32"/>
      <c r="AI188" s="32"/>
      <c r="AJ188" s="32"/>
    </row>
    <row r="189" spans="1:36" x14ac:dyDescent="0.25">
      <c r="A189" s="2"/>
      <c r="O189" s="32"/>
      <c r="P189" s="32"/>
      <c r="Q189" s="32"/>
      <c r="R189" s="32"/>
      <c r="S189" s="32"/>
      <c r="T189" s="32"/>
      <c r="U189" s="32"/>
      <c r="V189" s="32"/>
      <c r="W189" s="32"/>
      <c r="X189" s="32"/>
      <c r="Y189" s="32"/>
      <c r="Z189" s="32"/>
      <c r="AA189" s="32"/>
      <c r="AB189" s="32"/>
      <c r="AC189" s="32"/>
      <c r="AD189" s="32"/>
      <c r="AE189" s="32"/>
      <c r="AF189" s="32"/>
      <c r="AG189" s="32"/>
      <c r="AH189" s="32"/>
      <c r="AI189" s="32"/>
      <c r="AJ189" s="32"/>
    </row>
    <row r="190" spans="1:36" x14ac:dyDescent="0.25">
      <c r="A190" s="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row>
    <row r="191" spans="1:36" x14ac:dyDescent="0.25">
      <c r="A191" s="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row>
    <row r="192" spans="1:36" x14ac:dyDescent="0.25">
      <c r="A192" s="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row>
    <row r="193" spans="1:36" x14ac:dyDescent="0.25">
      <c r="A193" s="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row>
    <row r="194" spans="1:36" x14ac:dyDescent="0.25">
      <c r="A194" s="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row>
    <row r="195" spans="1:36" x14ac:dyDescent="0.25">
      <c r="A195" s="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row>
    <row r="196" spans="1:36" x14ac:dyDescent="0.25">
      <c r="A196" s="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row>
    <row r="197" spans="1:36" x14ac:dyDescent="0.25">
      <c r="A197" s="2"/>
      <c r="O197" s="32"/>
      <c r="P197" s="32"/>
      <c r="Q197" s="32"/>
      <c r="R197" s="32"/>
      <c r="S197" s="32"/>
      <c r="T197" s="32"/>
      <c r="U197" s="32"/>
      <c r="V197" s="32"/>
      <c r="W197" s="32"/>
      <c r="X197" s="32"/>
      <c r="Y197" s="32"/>
      <c r="Z197" s="32"/>
      <c r="AA197" s="32"/>
      <c r="AB197" s="32"/>
      <c r="AC197" s="32"/>
      <c r="AD197" s="32"/>
      <c r="AE197" s="32"/>
      <c r="AF197" s="32"/>
      <c r="AG197" s="32"/>
      <c r="AH197" s="32"/>
      <c r="AI197" s="32"/>
      <c r="AJ197" s="32"/>
    </row>
    <row r="198" spans="1:36" x14ac:dyDescent="0.25">
      <c r="A198" s="2"/>
      <c r="O198" s="32"/>
      <c r="P198" s="32"/>
      <c r="Q198" s="32"/>
      <c r="R198" s="32"/>
      <c r="S198" s="32"/>
      <c r="T198" s="32"/>
      <c r="U198" s="32"/>
      <c r="V198" s="32"/>
      <c r="W198" s="32"/>
      <c r="X198" s="32"/>
      <c r="Y198" s="32"/>
      <c r="Z198" s="32"/>
      <c r="AA198" s="32"/>
      <c r="AB198" s="32"/>
      <c r="AC198" s="32"/>
      <c r="AD198" s="32"/>
      <c r="AE198" s="32"/>
      <c r="AF198" s="32"/>
      <c r="AG198" s="32"/>
      <c r="AH198" s="32"/>
      <c r="AI198" s="32"/>
      <c r="AJ198" s="32"/>
    </row>
    <row r="199" spans="1:36" x14ac:dyDescent="0.25">
      <c r="A199" s="2"/>
      <c r="O199" s="32"/>
      <c r="P199" s="32"/>
      <c r="Q199" s="32"/>
      <c r="R199" s="32"/>
      <c r="S199" s="32"/>
      <c r="T199" s="32"/>
      <c r="U199" s="32"/>
      <c r="V199" s="32"/>
      <c r="W199" s="32"/>
      <c r="X199" s="32"/>
      <c r="Y199" s="32"/>
      <c r="Z199" s="32"/>
      <c r="AA199" s="32"/>
      <c r="AB199" s="32"/>
      <c r="AC199" s="32"/>
      <c r="AD199" s="32"/>
      <c r="AE199" s="32"/>
      <c r="AF199" s="32"/>
      <c r="AG199" s="32"/>
      <c r="AH199" s="32"/>
      <c r="AI199" s="32"/>
      <c r="AJ199" s="32"/>
    </row>
    <row r="200" spans="1:36" x14ac:dyDescent="0.25">
      <c r="A200" s="2"/>
      <c r="O200" s="32"/>
      <c r="P200" s="32"/>
      <c r="Q200" s="32"/>
      <c r="R200" s="32"/>
      <c r="S200" s="32"/>
      <c r="T200" s="32"/>
      <c r="U200" s="32"/>
      <c r="V200" s="32"/>
      <c r="W200" s="32"/>
      <c r="X200" s="32"/>
      <c r="Y200" s="32"/>
      <c r="Z200" s="32"/>
      <c r="AA200" s="32"/>
      <c r="AB200" s="32"/>
      <c r="AC200" s="32"/>
      <c r="AD200" s="32"/>
      <c r="AE200" s="32"/>
      <c r="AF200" s="32"/>
      <c r="AG200" s="32"/>
      <c r="AH200" s="32"/>
      <c r="AI200" s="32"/>
      <c r="AJ200" s="32"/>
    </row>
    <row r="201" spans="1:36" x14ac:dyDescent="0.25">
      <c r="A201" s="2"/>
      <c r="O201" s="32"/>
      <c r="P201" s="32"/>
      <c r="Q201" s="32"/>
      <c r="R201" s="32"/>
      <c r="S201" s="32"/>
      <c r="T201" s="32"/>
      <c r="U201" s="32"/>
      <c r="V201" s="32"/>
      <c r="W201" s="32"/>
      <c r="X201" s="32"/>
      <c r="Y201" s="32"/>
      <c r="Z201" s="32"/>
      <c r="AA201" s="32"/>
      <c r="AB201" s="32"/>
      <c r="AC201" s="32"/>
      <c r="AD201" s="32"/>
      <c r="AE201" s="32"/>
      <c r="AF201" s="32"/>
      <c r="AG201" s="32"/>
      <c r="AH201" s="32"/>
      <c r="AI201" s="32"/>
      <c r="AJ201" s="32"/>
    </row>
    <row r="202" spans="1:36" x14ac:dyDescent="0.25">
      <c r="A202" s="2"/>
      <c r="O202" s="32"/>
      <c r="P202" s="32"/>
      <c r="Q202" s="32"/>
      <c r="R202" s="32"/>
      <c r="S202" s="32"/>
      <c r="T202" s="32"/>
      <c r="U202" s="32"/>
      <c r="V202" s="32"/>
      <c r="W202" s="32"/>
      <c r="X202" s="32"/>
      <c r="Y202" s="32"/>
      <c r="Z202" s="32"/>
      <c r="AA202" s="32"/>
      <c r="AB202" s="32"/>
      <c r="AC202" s="32"/>
      <c r="AD202" s="32"/>
      <c r="AE202" s="32"/>
      <c r="AF202" s="32"/>
      <c r="AG202" s="32"/>
      <c r="AH202" s="32"/>
      <c r="AI202" s="32"/>
      <c r="AJ202" s="32"/>
    </row>
    <row r="203" spans="1:36" x14ac:dyDescent="0.25">
      <c r="A203" s="2"/>
      <c r="O203" s="32"/>
      <c r="P203" s="32"/>
      <c r="Q203" s="32"/>
      <c r="R203" s="32"/>
      <c r="S203" s="32"/>
      <c r="T203" s="32"/>
      <c r="U203" s="32"/>
      <c r="V203" s="32"/>
      <c r="W203" s="32"/>
      <c r="X203" s="32"/>
      <c r="Y203" s="32"/>
      <c r="Z203" s="32"/>
      <c r="AA203" s="32"/>
      <c r="AB203" s="32"/>
      <c r="AC203" s="32"/>
      <c r="AD203" s="32"/>
      <c r="AE203" s="32"/>
      <c r="AF203" s="32"/>
      <c r="AG203" s="32"/>
      <c r="AH203" s="32"/>
      <c r="AI203" s="32"/>
      <c r="AJ203" s="32"/>
    </row>
    <row r="204" spans="1:36" x14ac:dyDescent="0.25">
      <c r="A204" s="2"/>
      <c r="O204" s="32"/>
      <c r="P204" s="32"/>
      <c r="Q204" s="32"/>
      <c r="R204" s="32"/>
      <c r="S204" s="32"/>
      <c r="T204" s="32"/>
      <c r="U204" s="32"/>
      <c r="V204" s="32"/>
      <c r="W204" s="32"/>
      <c r="X204" s="32"/>
      <c r="Y204" s="32"/>
      <c r="Z204" s="32"/>
      <c r="AA204" s="32"/>
      <c r="AB204" s="32"/>
      <c r="AC204" s="32"/>
      <c r="AD204" s="32"/>
      <c r="AE204" s="32"/>
      <c r="AF204" s="32"/>
      <c r="AG204" s="32"/>
      <c r="AH204" s="32"/>
      <c r="AI204" s="32"/>
      <c r="AJ204" s="32"/>
    </row>
    <row r="205" spans="1:36" x14ac:dyDescent="0.25">
      <c r="A205" s="2"/>
      <c r="O205" s="32"/>
      <c r="P205" s="32"/>
      <c r="Q205" s="32"/>
      <c r="R205" s="32"/>
      <c r="S205" s="32"/>
      <c r="T205" s="32"/>
      <c r="U205" s="32"/>
      <c r="V205" s="32"/>
      <c r="W205" s="32"/>
      <c r="X205" s="32"/>
      <c r="Y205" s="32"/>
      <c r="Z205" s="32"/>
      <c r="AA205" s="32"/>
      <c r="AB205" s="32"/>
      <c r="AC205" s="32"/>
      <c r="AD205" s="32"/>
      <c r="AE205" s="32"/>
      <c r="AF205" s="32"/>
      <c r="AG205" s="32"/>
      <c r="AH205" s="32"/>
      <c r="AI205" s="32"/>
      <c r="AJ205" s="32"/>
    </row>
    <row r="206" spans="1:36" x14ac:dyDescent="0.25">
      <c r="A206" s="2"/>
      <c r="O206" s="32"/>
      <c r="P206" s="32"/>
      <c r="Q206" s="32"/>
      <c r="R206" s="32"/>
      <c r="S206" s="32"/>
      <c r="T206" s="32"/>
      <c r="U206" s="32"/>
      <c r="V206" s="32"/>
      <c r="W206" s="32"/>
      <c r="X206" s="32"/>
      <c r="Y206" s="32"/>
      <c r="Z206" s="32"/>
      <c r="AA206" s="32"/>
      <c r="AB206" s="32"/>
      <c r="AC206" s="32"/>
      <c r="AD206" s="32"/>
      <c r="AE206" s="32"/>
      <c r="AF206" s="32"/>
      <c r="AG206" s="32"/>
      <c r="AH206" s="32"/>
      <c r="AI206" s="32"/>
      <c r="AJ206" s="32"/>
    </row>
    <row r="207" spans="1:36" x14ac:dyDescent="0.25">
      <c r="A207" s="2"/>
      <c r="O207" s="32"/>
      <c r="P207" s="32"/>
      <c r="Q207" s="32"/>
      <c r="R207" s="32"/>
      <c r="S207" s="32"/>
      <c r="T207" s="32"/>
      <c r="U207" s="32"/>
      <c r="V207" s="32"/>
      <c r="W207" s="32"/>
      <c r="X207" s="32"/>
      <c r="Y207" s="32"/>
      <c r="Z207" s="32"/>
      <c r="AA207" s="32"/>
      <c r="AB207" s="32"/>
      <c r="AC207" s="32"/>
      <c r="AD207" s="32"/>
      <c r="AE207" s="32"/>
      <c r="AF207" s="32"/>
      <c r="AG207" s="32"/>
      <c r="AH207" s="32"/>
      <c r="AI207" s="32"/>
      <c r="AJ207" s="32"/>
    </row>
    <row r="208" spans="1:36" x14ac:dyDescent="0.25">
      <c r="A208" s="2"/>
      <c r="O208" s="32"/>
      <c r="P208" s="32"/>
      <c r="Q208" s="32"/>
      <c r="R208" s="32"/>
      <c r="S208" s="32"/>
      <c r="T208" s="32"/>
      <c r="U208" s="32"/>
      <c r="V208" s="32"/>
      <c r="W208" s="32"/>
      <c r="X208" s="32"/>
      <c r="Y208" s="32"/>
      <c r="Z208" s="32"/>
      <c r="AA208" s="32"/>
      <c r="AB208" s="32"/>
      <c r="AC208" s="32"/>
      <c r="AD208" s="32"/>
      <c r="AE208" s="32"/>
      <c r="AF208" s="32"/>
      <c r="AG208" s="32"/>
      <c r="AH208" s="32"/>
      <c r="AI208" s="32"/>
      <c r="AJ208" s="32"/>
    </row>
    <row r="209" spans="15:36" x14ac:dyDescent="0.25">
      <c r="O209" s="32"/>
      <c r="P209" s="32"/>
      <c r="Q209" s="32"/>
      <c r="R209" s="32"/>
      <c r="S209" s="32"/>
      <c r="T209" s="32"/>
      <c r="U209" s="32"/>
      <c r="V209" s="32"/>
      <c r="W209" s="32"/>
      <c r="X209" s="32"/>
      <c r="Y209" s="32"/>
      <c r="Z209" s="32"/>
      <c r="AA209" s="32"/>
      <c r="AB209" s="32"/>
      <c r="AC209" s="32"/>
      <c r="AD209" s="32"/>
      <c r="AE209" s="32"/>
      <c r="AF209" s="32"/>
      <c r="AG209" s="32"/>
      <c r="AH209" s="32"/>
      <c r="AI209" s="32"/>
      <c r="AJ209" s="32"/>
    </row>
    <row r="210" spans="15:36" x14ac:dyDescent="0.25">
      <c r="O210" s="32"/>
      <c r="P210" s="32"/>
      <c r="Q210" s="32"/>
      <c r="R210" s="32"/>
      <c r="S210" s="32"/>
      <c r="T210" s="32"/>
      <c r="U210" s="32"/>
      <c r="V210" s="32"/>
      <c r="W210" s="32"/>
      <c r="X210" s="32"/>
      <c r="Y210" s="32"/>
      <c r="Z210" s="32"/>
      <c r="AA210" s="32"/>
      <c r="AB210" s="32"/>
      <c r="AC210" s="32"/>
      <c r="AD210" s="32"/>
      <c r="AE210" s="32"/>
      <c r="AF210" s="32"/>
      <c r="AG210" s="32"/>
      <c r="AH210" s="32"/>
      <c r="AI210" s="32"/>
      <c r="AJ210" s="32"/>
    </row>
    <row r="211" spans="15:36" x14ac:dyDescent="0.25">
      <c r="O211" s="32"/>
      <c r="P211" s="32"/>
      <c r="Q211" s="32"/>
      <c r="R211" s="32"/>
      <c r="S211" s="32"/>
      <c r="T211" s="32"/>
      <c r="U211" s="32"/>
      <c r="V211" s="32"/>
      <c r="W211" s="32"/>
      <c r="X211" s="32"/>
      <c r="Y211" s="32"/>
      <c r="Z211" s="32"/>
      <c r="AA211" s="32"/>
      <c r="AB211" s="32"/>
      <c r="AC211" s="32"/>
      <c r="AD211" s="32"/>
      <c r="AE211" s="32"/>
      <c r="AF211" s="32"/>
      <c r="AG211" s="32"/>
      <c r="AH211" s="32"/>
      <c r="AI211" s="32"/>
      <c r="AJ211" s="32"/>
    </row>
    <row r="212" spans="15:36" ht="15" customHeight="1" x14ac:dyDescent="0.25">
      <c r="O212" s="32"/>
      <c r="P212" s="32"/>
      <c r="Q212" s="32"/>
      <c r="R212" s="32"/>
      <c r="S212" s="32"/>
      <c r="T212" s="32"/>
      <c r="U212" s="32"/>
      <c r="V212" s="32"/>
      <c r="W212" s="32"/>
      <c r="X212" s="32"/>
      <c r="Y212" s="32"/>
      <c r="Z212" s="32"/>
      <c r="AA212" s="32"/>
      <c r="AB212" s="32"/>
      <c r="AC212" s="32"/>
      <c r="AD212" s="32"/>
      <c r="AE212" s="32"/>
      <c r="AF212" s="32"/>
      <c r="AG212" s="32"/>
      <c r="AH212" s="32"/>
      <c r="AI212" s="32"/>
      <c r="AJ212" s="32"/>
    </row>
    <row r="213" spans="15:36" ht="15" customHeight="1" x14ac:dyDescent="0.25">
      <c r="O213" s="32"/>
      <c r="P213" s="32"/>
      <c r="Q213" s="32"/>
      <c r="R213" s="32"/>
      <c r="S213" s="32"/>
      <c r="T213" s="32"/>
      <c r="U213" s="32"/>
      <c r="V213" s="32"/>
      <c r="W213" s="32"/>
      <c r="X213" s="32"/>
      <c r="Y213" s="32"/>
      <c r="Z213" s="32"/>
      <c r="AA213" s="32"/>
      <c r="AB213" s="32"/>
      <c r="AC213" s="32"/>
      <c r="AD213" s="32"/>
      <c r="AE213" s="32"/>
      <c r="AF213" s="32"/>
      <c r="AG213" s="32"/>
      <c r="AH213" s="32"/>
      <c r="AI213" s="32"/>
      <c r="AJ213" s="32"/>
    </row>
    <row r="214" spans="15:36" ht="15" customHeight="1" x14ac:dyDescent="0.25">
      <c r="O214" s="32"/>
      <c r="P214" s="32"/>
      <c r="Q214" s="32"/>
      <c r="R214" s="32"/>
      <c r="S214" s="32"/>
      <c r="T214" s="32"/>
      <c r="U214" s="32"/>
      <c r="V214" s="32"/>
      <c r="W214" s="32"/>
      <c r="X214" s="32"/>
      <c r="Y214" s="32"/>
      <c r="Z214" s="32"/>
      <c r="AA214" s="32"/>
      <c r="AB214" s="32"/>
      <c r="AC214" s="32"/>
      <c r="AD214" s="32"/>
      <c r="AE214" s="32"/>
      <c r="AF214" s="32"/>
      <c r="AG214" s="32"/>
      <c r="AH214" s="32"/>
      <c r="AI214" s="32"/>
      <c r="AJ214" s="32"/>
    </row>
    <row r="215" spans="15:36" ht="17.25" customHeight="1" x14ac:dyDescent="0.25">
      <c r="O215" s="32"/>
      <c r="P215" s="32"/>
      <c r="Q215" s="32"/>
      <c r="R215" s="32"/>
      <c r="S215" s="32"/>
      <c r="T215" s="32"/>
      <c r="U215" s="32"/>
      <c r="V215" s="32"/>
      <c r="W215" s="32"/>
      <c r="X215" s="32"/>
      <c r="Y215" s="32"/>
      <c r="Z215" s="32"/>
      <c r="AA215" s="32"/>
      <c r="AB215" s="32"/>
      <c r="AC215" s="32"/>
      <c r="AD215" s="32"/>
      <c r="AE215" s="32"/>
      <c r="AF215" s="32"/>
      <c r="AG215" s="32"/>
      <c r="AH215" s="32"/>
      <c r="AI215" s="32"/>
      <c r="AJ215" s="32"/>
    </row>
    <row r="216" spans="15:36" x14ac:dyDescent="0.25">
      <c r="O216" s="32"/>
      <c r="P216" s="32"/>
      <c r="Q216" s="32"/>
      <c r="R216" s="32"/>
      <c r="S216" s="32"/>
      <c r="T216" s="32"/>
      <c r="U216" s="32"/>
      <c r="V216" s="32"/>
      <c r="W216" s="32"/>
      <c r="X216" s="32"/>
      <c r="Y216" s="32"/>
      <c r="Z216" s="32"/>
      <c r="AA216" s="32"/>
      <c r="AB216" s="32"/>
      <c r="AC216" s="32"/>
      <c r="AD216" s="32"/>
      <c r="AE216" s="32"/>
      <c r="AF216" s="32"/>
      <c r="AG216" s="32"/>
      <c r="AH216" s="32"/>
      <c r="AI216" s="32"/>
      <c r="AJ216" s="32"/>
    </row>
    <row r="217" spans="15:36" x14ac:dyDescent="0.25">
      <c r="O217" s="32"/>
      <c r="P217" s="32"/>
      <c r="Q217" s="32"/>
      <c r="R217" s="32"/>
      <c r="S217" s="32"/>
      <c r="T217" s="32"/>
      <c r="U217" s="32"/>
      <c r="V217" s="32"/>
      <c r="W217" s="32"/>
      <c r="X217" s="32"/>
      <c r="Y217" s="32"/>
      <c r="Z217" s="32"/>
      <c r="AA217" s="32"/>
      <c r="AB217" s="32"/>
      <c r="AC217" s="32"/>
      <c r="AD217" s="32"/>
      <c r="AE217" s="32"/>
      <c r="AF217" s="32"/>
      <c r="AG217" s="32"/>
      <c r="AH217" s="32"/>
      <c r="AI217" s="32"/>
      <c r="AJ217" s="32"/>
    </row>
    <row r="218" spans="15:36" x14ac:dyDescent="0.25">
      <c r="O218" s="32"/>
      <c r="P218" s="32"/>
      <c r="Q218" s="32"/>
      <c r="R218" s="32"/>
      <c r="S218" s="32"/>
      <c r="T218" s="32"/>
      <c r="U218" s="32"/>
      <c r="V218" s="32"/>
      <c r="W218" s="32"/>
      <c r="X218" s="32"/>
      <c r="Y218" s="32"/>
      <c r="Z218" s="32"/>
      <c r="AA218" s="32"/>
      <c r="AB218" s="32"/>
      <c r="AC218" s="32"/>
      <c r="AD218" s="32"/>
      <c r="AE218" s="32"/>
      <c r="AF218" s="32"/>
      <c r="AG218" s="32"/>
      <c r="AH218" s="32"/>
      <c r="AI218" s="32"/>
      <c r="AJ218" s="32"/>
    </row>
    <row r="219" spans="15:36" x14ac:dyDescent="0.25">
      <c r="O219" s="32"/>
      <c r="P219" s="32"/>
      <c r="Q219" s="32"/>
      <c r="R219" s="32"/>
      <c r="S219" s="32"/>
      <c r="T219" s="32"/>
      <c r="U219" s="32"/>
      <c r="V219" s="32"/>
      <c r="W219" s="32"/>
      <c r="X219" s="32"/>
      <c r="Y219" s="32"/>
      <c r="Z219" s="32"/>
      <c r="AA219" s="32"/>
      <c r="AB219" s="32"/>
      <c r="AC219" s="32"/>
      <c r="AD219" s="32"/>
      <c r="AE219" s="32"/>
      <c r="AF219" s="32"/>
      <c r="AG219" s="32"/>
      <c r="AH219" s="32"/>
      <c r="AI219" s="32"/>
      <c r="AJ219" s="32"/>
    </row>
    <row r="220" spans="15:36" x14ac:dyDescent="0.25">
      <c r="O220" s="32"/>
      <c r="P220" s="32"/>
      <c r="Q220" s="32"/>
      <c r="R220" s="32"/>
      <c r="S220" s="32"/>
      <c r="T220" s="32"/>
      <c r="U220" s="32"/>
      <c r="V220" s="32"/>
      <c r="W220" s="32"/>
      <c r="X220" s="32"/>
      <c r="Y220" s="32"/>
      <c r="Z220" s="32"/>
      <c r="AA220" s="32"/>
      <c r="AB220" s="32"/>
      <c r="AC220" s="32"/>
      <c r="AD220" s="32"/>
      <c r="AE220" s="32"/>
      <c r="AF220" s="32"/>
      <c r="AG220" s="32"/>
      <c r="AH220" s="32"/>
      <c r="AI220" s="32"/>
      <c r="AJ220" s="32"/>
    </row>
    <row r="221" spans="15:36" x14ac:dyDescent="0.25">
      <c r="O221" s="32"/>
      <c r="P221" s="32"/>
      <c r="Q221" s="32"/>
      <c r="R221" s="32"/>
      <c r="S221" s="32"/>
      <c r="T221" s="32"/>
      <c r="U221" s="32"/>
      <c r="V221" s="32"/>
      <c r="W221" s="32"/>
      <c r="X221" s="32"/>
      <c r="Y221" s="32"/>
      <c r="Z221" s="32"/>
      <c r="AA221" s="32"/>
      <c r="AB221" s="32"/>
      <c r="AC221" s="32"/>
      <c r="AD221" s="32"/>
      <c r="AE221" s="32"/>
      <c r="AF221" s="32"/>
      <c r="AG221" s="32"/>
      <c r="AH221" s="32"/>
      <c r="AI221" s="32"/>
      <c r="AJ221" s="32"/>
    </row>
    <row r="222" spans="15:36" x14ac:dyDescent="0.25">
      <c r="O222" s="32"/>
      <c r="P222" s="32"/>
      <c r="Q222" s="32"/>
      <c r="R222" s="32"/>
      <c r="S222" s="32"/>
      <c r="T222" s="32"/>
      <c r="U222" s="32"/>
      <c r="V222" s="32"/>
      <c r="W222" s="32"/>
      <c r="X222" s="32"/>
      <c r="Y222" s="32"/>
      <c r="Z222" s="32"/>
      <c r="AA222" s="32"/>
      <c r="AB222" s="32"/>
      <c r="AC222" s="32"/>
      <c r="AD222" s="32"/>
      <c r="AE222" s="32"/>
      <c r="AF222" s="32"/>
      <c r="AG222" s="32"/>
      <c r="AH222" s="32"/>
      <c r="AI222" s="32"/>
      <c r="AJ222" s="32"/>
    </row>
    <row r="223" spans="15:36" x14ac:dyDescent="0.25">
      <c r="O223" s="32"/>
      <c r="P223" s="32"/>
      <c r="Q223" s="32"/>
      <c r="R223" s="32"/>
      <c r="S223" s="32"/>
      <c r="T223" s="32"/>
      <c r="U223" s="32"/>
      <c r="V223" s="32"/>
      <c r="W223" s="32"/>
      <c r="X223" s="32"/>
      <c r="Y223" s="32"/>
      <c r="Z223" s="32"/>
      <c r="AA223" s="32"/>
      <c r="AB223" s="32"/>
      <c r="AC223" s="32"/>
      <c r="AD223" s="32"/>
      <c r="AE223" s="32"/>
      <c r="AF223" s="32"/>
      <c r="AG223" s="32"/>
      <c r="AH223" s="32"/>
      <c r="AI223" s="32"/>
      <c r="AJ223" s="32"/>
    </row>
    <row r="224" spans="15:36" x14ac:dyDescent="0.25">
      <c r="O224" s="32"/>
      <c r="P224" s="32"/>
      <c r="Q224" s="32"/>
      <c r="R224" s="32"/>
      <c r="S224" s="32"/>
      <c r="T224" s="32"/>
      <c r="U224" s="32"/>
      <c r="V224" s="32"/>
      <c r="W224" s="32"/>
      <c r="X224" s="32"/>
      <c r="Y224" s="32"/>
      <c r="Z224" s="32"/>
      <c r="AA224" s="32"/>
      <c r="AB224" s="32"/>
      <c r="AC224" s="32"/>
      <c r="AD224" s="32"/>
      <c r="AE224" s="32"/>
      <c r="AF224" s="32"/>
      <c r="AG224" s="32"/>
      <c r="AH224" s="32"/>
      <c r="AI224" s="32"/>
      <c r="AJ224" s="32"/>
    </row>
    <row r="225" spans="13:36" x14ac:dyDescent="0.25">
      <c r="O225" s="32"/>
      <c r="P225" s="32"/>
      <c r="Q225" s="32"/>
      <c r="R225" s="32"/>
      <c r="S225" s="32"/>
      <c r="T225" s="32"/>
      <c r="U225" s="32"/>
      <c r="V225" s="32"/>
      <c r="W225" s="32"/>
      <c r="X225" s="32"/>
      <c r="Y225" s="32"/>
      <c r="Z225" s="32"/>
      <c r="AA225" s="32"/>
      <c r="AB225" s="32"/>
      <c r="AC225" s="32"/>
      <c r="AD225" s="32"/>
      <c r="AE225" s="32"/>
      <c r="AF225" s="32"/>
      <c r="AG225" s="32"/>
      <c r="AH225" s="32"/>
      <c r="AI225" s="32"/>
      <c r="AJ225" s="32"/>
    </row>
    <row r="226" spans="13:36" x14ac:dyDescent="0.25">
      <c r="O226" s="32"/>
      <c r="P226" s="32"/>
      <c r="Q226" s="32"/>
      <c r="R226" s="32"/>
      <c r="S226" s="32"/>
      <c r="T226" s="32"/>
      <c r="U226" s="32"/>
      <c r="V226" s="32"/>
      <c r="W226" s="32"/>
      <c r="X226" s="32"/>
      <c r="Y226" s="32"/>
      <c r="Z226" s="32"/>
      <c r="AA226" s="32"/>
      <c r="AB226" s="32"/>
      <c r="AC226" s="32"/>
      <c r="AD226" s="32"/>
      <c r="AE226" s="32"/>
      <c r="AF226" s="32"/>
      <c r="AG226" s="32"/>
      <c r="AH226" s="32"/>
      <c r="AI226" s="32"/>
      <c r="AJ226" s="32"/>
    </row>
    <row r="227" spans="13:36" x14ac:dyDescent="0.25">
      <c r="O227" s="32"/>
      <c r="P227" s="32"/>
      <c r="Q227" s="32"/>
      <c r="R227" s="32"/>
      <c r="S227" s="32"/>
      <c r="T227" s="32"/>
      <c r="U227" s="32"/>
      <c r="V227" s="32"/>
      <c r="W227" s="32"/>
      <c r="X227" s="32"/>
      <c r="Y227" s="32"/>
      <c r="Z227" s="32"/>
      <c r="AA227" s="32"/>
      <c r="AB227" s="32"/>
      <c r="AC227" s="32"/>
      <c r="AD227" s="32"/>
      <c r="AE227" s="32"/>
      <c r="AF227" s="32"/>
      <c r="AG227" s="32"/>
      <c r="AH227" s="32"/>
      <c r="AI227" s="32"/>
      <c r="AJ227" s="32"/>
    </row>
    <row r="228" spans="13:36" x14ac:dyDescent="0.25">
      <c r="O228" s="32"/>
      <c r="P228" s="32"/>
      <c r="Q228" s="32"/>
      <c r="R228" s="32"/>
      <c r="S228" s="32"/>
      <c r="T228" s="32"/>
      <c r="U228" s="32"/>
      <c r="V228" s="32"/>
      <c r="W228" s="32"/>
      <c r="X228" s="32"/>
      <c r="Y228" s="32"/>
      <c r="Z228" s="32"/>
      <c r="AA228" s="32"/>
      <c r="AB228" s="32"/>
      <c r="AC228" s="32"/>
      <c r="AD228" s="32"/>
      <c r="AE228" s="32"/>
      <c r="AF228" s="32"/>
      <c r="AG228" s="32"/>
      <c r="AH228" s="32"/>
      <c r="AI228" s="32"/>
      <c r="AJ228" s="32"/>
    </row>
    <row r="229" spans="13:36" x14ac:dyDescent="0.25">
      <c r="O229" s="32"/>
      <c r="P229" s="32"/>
      <c r="Q229" s="32"/>
      <c r="R229" s="32"/>
      <c r="S229" s="32"/>
      <c r="T229" s="32"/>
      <c r="U229" s="32"/>
      <c r="V229" s="32"/>
      <c r="W229" s="32"/>
      <c r="X229" s="32"/>
      <c r="Y229" s="32"/>
      <c r="Z229" s="32"/>
      <c r="AA229" s="32"/>
      <c r="AB229" s="32"/>
      <c r="AC229" s="32"/>
      <c r="AD229" s="32"/>
      <c r="AE229" s="32"/>
      <c r="AF229" s="32"/>
      <c r="AG229" s="32"/>
      <c r="AH229" s="32"/>
      <c r="AI229" s="32"/>
      <c r="AJ229" s="32"/>
    </row>
    <row r="230" spans="13:36" x14ac:dyDescent="0.25">
      <c r="O230" s="32"/>
      <c r="P230" s="32"/>
      <c r="Q230" s="32"/>
      <c r="R230" s="32"/>
      <c r="S230" s="32"/>
      <c r="T230" s="32"/>
      <c r="U230" s="32"/>
      <c r="V230" s="32"/>
      <c r="W230" s="32"/>
      <c r="X230" s="32"/>
      <c r="Y230" s="32"/>
      <c r="Z230" s="32"/>
      <c r="AA230" s="32"/>
      <c r="AB230" s="32"/>
      <c r="AC230" s="32"/>
      <c r="AD230" s="32"/>
      <c r="AE230" s="32"/>
      <c r="AF230" s="32"/>
      <c r="AG230" s="32"/>
      <c r="AH230" s="32"/>
      <c r="AI230" s="32"/>
      <c r="AJ230" s="32"/>
    </row>
    <row r="231" spans="13:36" ht="15.75" customHeight="1" x14ac:dyDescent="0.25">
      <c r="O231" s="32"/>
      <c r="P231" s="32"/>
      <c r="Q231" s="32"/>
      <c r="R231" s="32"/>
      <c r="S231" s="32"/>
      <c r="T231" s="32"/>
      <c r="U231" s="32"/>
      <c r="V231" s="32"/>
      <c r="W231" s="32"/>
      <c r="X231" s="32"/>
      <c r="Y231" s="32"/>
      <c r="Z231" s="32"/>
      <c r="AA231" s="32"/>
      <c r="AB231" s="32"/>
      <c r="AC231" s="32"/>
      <c r="AD231" s="32"/>
      <c r="AE231" s="32"/>
      <c r="AF231" s="32"/>
      <c r="AG231" s="32"/>
      <c r="AH231" s="32"/>
      <c r="AI231" s="32"/>
      <c r="AJ231" s="32"/>
    </row>
    <row r="232" spans="13:36" x14ac:dyDescent="0.25">
      <c r="O232" s="32"/>
      <c r="P232" s="32"/>
      <c r="Q232" s="32"/>
      <c r="R232" s="32"/>
      <c r="S232" s="32"/>
      <c r="T232" s="32"/>
      <c r="U232" s="32"/>
      <c r="V232" s="32"/>
      <c r="W232" s="32"/>
      <c r="X232" s="32"/>
      <c r="Y232" s="32"/>
      <c r="Z232" s="32"/>
      <c r="AA232" s="32"/>
      <c r="AB232" s="32"/>
      <c r="AC232" s="32"/>
      <c r="AD232" s="32"/>
      <c r="AE232" s="32"/>
      <c r="AF232" s="32"/>
      <c r="AG232" s="32"/>
      <c r="AH232" s="32"/>
      <c r="AI232" s="32"/>
      <c r="AJ232" s="32"/>
    </row>
    <row r="233" spans="13:36" x14ac:dyDescent="0.25">
      <c r="O233" s="32"/>
      <c r="P233" s="32"/>
      <c r="Q233" s="32"/>
      <c r="R233" s="32"/>
      <c r="S233" s="32"/>
      <c r="T233" s="32"/>
      <c r="U233" s="32"/>
      <c r="V233" s="32"/>
      <c r="W233" s="32"/>
      <c r="X233" s="32"/>
      <c r="Y233" s="32"/>
      <c r="Z233" s="32"/>
      <c r="AA233" s="32"/>
      <c r="AB233" s="32"/>
      <c r="AC233" s="32"/>
      <c r="AD233" s="32"/>
      <c r="AE233" s="32"/>
      <c r="AF233" s="32"/>
      <c r="AG233" s="32"/>
      <c r="AH233" s="32"/>
      <c r="AI233" s="32"/>
      <c r="AJ233" s="32"/>
    </row>
    <row r="234" spans="13:36" x14ac:dyDescent="0.25">
      <c r="O234" s="32"/>
      <c r="P234" s="32"/>
      <c r="Q234" s="32"/>
      <c r="R234" s="32"/>
      <c r="S234" s="32"/>
      <c r="T234" s="32"/>
      <c r="U234" s="32"/>
      <c r="V234" s="32"/>
      <c r="W234" s="32"/>
      <c r="X234" s="32"/>
      <c r="Y234" s="32"/>
      <c r="Z234" s="32"/>
      <c r="AA234" s="32"/>
      <c r="AB234" s="32"/>
      <c r="AC234" s="32"/>
      <c r="AD234" s="32"/>
      <c r="AE234" s="32"/>
      <c r="AF234" s="32"/>
      <c r="AG234" s="32"/>
      <c r="AH234" s="32"/>
      <c r="AI234" s="32"/>
      <c r="AJ234" s="32"/>
    </row>
    <row r="235" spans="13:36" x14ac:dyDescent="0.25">
      <c r="O235" s="32"/>
      <c r="P235" s="32"/>
      <c r="Q235" s="32"/>
      <c r="R235" s="32"/>
      <c r="S235" s="32"/>
      <c r="T235" s="32"/>
      <c r="U235" s="32"/>
      <c r="V235" s="32"/>
      <c r="W235" s="32"/>
      <c r="X235" s="32"/>
      <c r="Y235" s="32"/>
      <c r="Z235" s="32"/>
      <c r="AA235" s="32"/>
      <c r="AB235" s="32"/>
      <c r="AC235" s="32"/>
      <c r="AD235" s="32"/>
      <c r="AE235" s="32"/>
      <c r="AF235" s="32"/>
      <c r="AG235" s="32"/>
      <c r="AH235" s="32"/>
      <c r="AI235" s="32"/>
      <c r="AJ235" s="32"/>
    </row>
    <row r="236" spans="13:36" x14ac:dyDescent="0.25">
      <c r="O236" s="32"/>
      <c r="P236" s="32"/>
      <c r="Q236" s="32"/>
      <c r="R236" s="32"/>
      <c r="S236" s="32"/>
      <c r="T236" s="32"/>
      <c r="U236" s="32"/>
      <c r="V236" s="32"/>
      <c r="W236" s="32"/>
      <c r="X236" s="32"/>
      <c r="Y236" s="32"/>
      <c r="Z236" s="32"/>
      <c r="AA236" s="32"/>
      <c r="AB236" s="32"/>
      <c r="AC236" s="32"/>
      <c r="AD236" s="32"/>
      <c r="AE236" s="32"/>
      <c r="AF236" s="32"/>
      <c r="AG236" s="32"/>
      <c r="AH236" s="32"/>
      <c r="AI236" s="32"/>
      <c r="AJ236" s="32"/>
    </row>
    <row r="237" spans="13:36" x14ac:dyDescent="0.25">
      <c r="O237" s="32"/>
      <c r="P237" s="32"/>
      <c r="Q237" s="32"/>
      <c r="R237" s="32"/>
      <c r="S237" s="32"/>
      <c r="T237" s="32"/>
      <c r="U237" s="32"/>
      <c r="V237" s="32"/>
      <c r="W237" s="32"/>
      <c r="X237" s="32"/>
      <c r="Y237" s="32"/>
      <c r="Z237" s="32"/>
      <c r="AA237" s="32"/>
      <c r="AB237" s="32"/>
      <c r="AC237" s="32"/>
      <c r="AD237" s="32"/>
      <c r="AE237" s="32"/>
      <c r="AF237" s="32"/>
      <c r="AG237" s="32"/>
      <c r="AH237" s="32"/>
      <c r="AI237" s="32"/>
      <c r="AJ237" s="32"/>
    </row>
    <row r="238" spans="13:36" x14ac:dyDescent="0.25">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row>
    <row r="239" spans="13:36" x14ac:dyDescent="0.25">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row>
    <row r="240" spans="13:36" x14ac:dyDescent="0.25">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row>
    <row r="241" spans="13:36" x14ac:dyDescent="0.25">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row>
    <row r="242" spans="13:36" x14ac:dyDescent="0.25">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row>
    <row r="243" spans="13:36" x14ac:dyDescent="0.25">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row>
    <row r="244" spans="13:36" x14ac:dyDescent="0.25">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row>
    <row r="245" spans="13:36" x14ac:dyDescent="0.25">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row>
    <row r="246" spans="13:36" x14ac:dyDescent="0.25">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row>
    <row r="247" spans="13:36" x14ac:dyDescent="0.25">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row>
    <row r="248" spans="13:36" x14ac:dyDescent="0.25">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row>
    <row r="249" spans="13:36" x14ac:dyDescent="0.25">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row>
    <row r="250" spans="13:36" x14ac:dyDescent="0.25">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row>
    <row r="251" spans="13:36" x14ac:dyDescent="0.25">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row>
    <row r="252" spans="13:36" x14ac:dyDescent="0.25">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row>
    <row r="253" spans="13:36" x14ac:dyDescent="0.25">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row>
    <row r="254" spans="13:36" x14ac:dyDescent="0.25">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row>
    <row r="255" spans="13:36" x14ac:dyDescent="0.25">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row>
    <row r="256" spans="13:36" x14ac:dyDescent="0.25">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row>
    <row r="257" spans="6:36" x14ac:dyDescent="0.25">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row>
    <row r="258" spans="6:36" x14ac:dyDescent="0.25">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row>
    <row r="259" spans="6:36" x14ac:dyDescent="0.25">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row>
    <row r="260" spans="6:36" x14ac:dyDescent="0.25">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row>
    <row r="261" spans="6:36" x14ac:dyDescent="0.25">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row>
    <row r="262" spans="6:36" ht="8.25" customHeight="1" x14ac:dyDescent="0.25">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row>
    <row r="263" spans="6:36" x14ac:dyDescent="0.25">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row>
    <row r="264" spans="6:36" x14ac:dyDescent="0.25">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row>
    <row r="265" spans="6:36" x14ac:dyDescent="0.25">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row>
    <row r="266" spans="6:36" x14ac:dyDescent="0.25">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row>
    <row r="267" spans="6:36" x14ac:dyDescent="0.25">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row>
    <row r="268" spans="6:36" x14ac:dyDescent="0.25">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row>
    <row r="269" spans="6:36" x14ac:dyDescent="0.25">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row>
    <row r="270" spans="6:36" x14ac:dyDescent="0.25">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row>
    <row r="271" spans="6:36" x14ac:dyDescent="0.25">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row>
    <row r="272" spans="6:36" x14ac:dyDescent="0.25">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row>
    <row r="273" spans="6:36" x14ac:dyDescent="0.25">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row>
    <row r="274" spans="6:36" x14ac:dyDescent="0.25">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row>
    <row r="275" spans="6:36" x14ac:dyDescent="0.25">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row>
    <row r="276" spans="6:36" x14ac:dyDescent="0.25">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row>
    <row r="277" spans="6:36" x14ac:dyDescent="0.25">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row>
    <row r="278" spans="6:36" x14ac:dyDescent="0.25">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row>
    <row r="279" spans="6:36" x14ac:dyDescent="0.25">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row>
    <row r="280" spans="6:36" x14ac:dyDescent="0.25">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row>
    <row r="281" spans="6:36" x14ac:dyDescent="0.25">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row>
    <row r="282" spans="6:36" x14ac:dyDescent="0.25">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row>
    <row r="283" spans="6:36" x14ac:dyDescent="0.25">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row>
    <row r="284" spans="6:36" x14ac:dyDescent="0.25">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row>
    <row r="285" spans="6:36" x14ac:dyDescent="0.25">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row>
    <row r="286" spans="6:36" x14ac:dyDescent="0.25">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row>
    <row r="287" spans="6:36" x14ac:dyDescent="0.25">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row>
    <row r="288" spans="6:36" x14ac:dyDescent="0.25">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row>
    <row r="289" spans="6:36" x14ac:dyDescent="0.25">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row>
    <row r="290" spans="6:36" x14ac:dyDescent="0.25">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row>
    <row r="291" spans="6:36" x14ac:dyDescent="0.25">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row>
    <row r="292" spans="6:36" x14ac:dyDescent="0.25">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row>
    <row r="293" spans="6:36" x14ac:dyDescent="0.25">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row>
    <row r="294" spans="6:36" x14ac:dyDescent="0.25">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row>
    <row r="295" spans="6:36" x14ac:dyDescent="0.25">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row>
    <row r="296" spans="6:36" x14ac:dyDescent="0.25">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row>
    <row r="297" spans="6:36" x14ac:dyDescent="0.25">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row>
    <row r="298" spans="6:36" x14ac:dyDescent="0.25">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row>
    <row r="299" spans="6:36" x14ac:dyDescent="0.25">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row>
    <row r="300" spans="6:36" x14ac:dyDescent="0.25">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row>
    <row r="301" spans="6:36" x14ac:dyDescent="0.25">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row>
    <row r="302" spans="6:36" x14ac:dyDescent="0.25">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row>
    <row r="303" spans="6:36" x14ac:dyDescent="0.25">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row>
    <row r="304" spans="6:36" x14ac:dyDescent="0.25">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row>
    <row r="305" spans="6:36" x14ac:dyDescent="0.25">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row>
    <row r="306" spans="6:36" x14ac:dyDescent="0.25">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row>
    <row r="307" spans="6:36" x14ac:dyDescent="0.25">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row>
    <row r="308" spans="6:36" x14ac:dyDescent="0.25">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row>
    <row r="309" spans="6:36" x14ac:dyDescent="0.25">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row>
    <row r="310" spans="6:36" x14ac:dyDescent="0.25">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row>
    <row r="311" spans="6:36" x14ac:dyDescent="0.25">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row>
    <row r="312" spans="6:36" x14ac:dyDescent="0.25">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row>
    <row r="313" spans="6:36" x14ac:dyDescent="0.25">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row>
    <row r="314" spans="6:36" x14ac:dyDescent="0.25">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row>
    <row r="315" spans="6:36" x14ac:dyDescent="0.25">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row>
    <row r="316" spans="6:36" x14ac:dyDescent="0.25">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row>
    <row r="317" spans="6:36" x14ac:dyDescent="0.25">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row>
    <row r="318" spans="6:36" x14ac:dyDescent="0.25">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row>
    <row r="319" spans="6:36" x14ac:dyDescent="0.25">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row>
    <row r="320" spans="6:36" x14ac:dyDescent="0.25">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row>
    <row r="321" spans="6:36" x14ac:dyDescent="0.25">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row>
    <row r="322" spans="6:36" x14ac:dyDescent="0.25">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row>
    <row r="323" spans="6:36" x14ac:dyDescent="0.25">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row>
    <row r="324" spans="6:36" x14ac:dyDescent="0.25">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row>
    <row r="325" spans="6:36" x14ac:dyDescent="0.25">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row>
    <row r="326" spans="6:36" x14ac:dyDescent="0.25">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row>
    <row r="327" spans="6:36" x14ac:dyDescent="0.25">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row>
    <row r="328" spans="6:36" x14ac:dyDescent="0.25">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row>
    <row r="329" spans="6:36" x14ac:dyDescent="0.25">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row>
    <row r="330" spans="6:36" x14ac:dyDescent="0.25">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row>
    <row r="331" spans="6:36" x14ac:dyDescent="0.25">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row>
  </sheetData>
  <sheetProtection algorithmName="SHA-512" hashValue="DY0T1OFNp8RfTjIjwrJW5ftzvCwuuOtU7Csn52JyHLk+Xn1A63i9wBnF9VC8o/EX4pjAvSd2M473LjhN9wCAXQ==" saltValue="Wr56JD6zqD5pLDfMd35P8Q==" spinCount="100000" sheet="1" selectLockedCells="1" selectUnlockedCells="1"/>
  <customSheetViews>
    <customSheetView guid="{5E8F20A8-8220-4169-B947-2AB764A2AA7B}" scale="90" showGridLines="0" showRowCol="0">
      <selection activeCell="F111" sqref="F111"/>
      <pageMargins left="0.7" right="0.7" top="0.75" bottom="0.75" header="0.3" footer="0.3"/>
      <pageSetup paperSize="9" orientation="portrait" r:id="rId1"/>
    </customSheetView>
    <customSheetView guid="{9F540994-A66B-4083-BD64-035E71878618}" scale="90" showGridLines="0" showRowCol="0">
      <selection activeCell="F111" sqref="F111"/>
      <pageMargins left="0.7" right="0.7" top="0.75" bottom="0.75" header="0.3" footer="0.3"/>
      <pageSetup paperSize="9" orientation="portrait" r:id="rId2"/>
    </customSheetView>
  </customSheetViews>
  <mergeCells count="18">
    <mergeCell ref="B113:C113"/>
    <mergeCell ref="B104:C104"/>
    <mergeCell ref="D104:F104"/>
    <mergeCell ref="D102:F102"/>
    <mergeCell ref="B74:B75"/>
    <mergeCell ref="B107:C107"/>
    <mergeCell ref="B78:C78"/>
    <mergeCell ref="B83:C83"/>
    <mergeCell ref="B88:C88"/>
    <mergeCell ref="B102:C102"/>
    <mergeCell ref="B48:B49"/>
    <mergeCell ref="B70:B71"/>
    <mergeCell ref="B46:B47"/>
    <mergeCell ref="B72:B73"/>
    <mergeCell ref="B61:C61"/>
    <mergeCell ref="B62:C62"/>
    <mergeCell ref="B63:C63"/>
    <mergeCell ref="B64:C64"/>
  </mergeCells>
  <conditionalFormatting sqref="G127">
    <cfRule type="cellIs" dxfId="25" priority="1" operator="equal">
      <formula>"VERIFICATO"</formula>
    </cfRule>
  </conditionalFormatting>
  <pageMargins left="0.7" right="0.7" top="0.75" bottom="0.75" header="0.3" footer="0.3"/>
  <pageSetup paperSize="9" orientation="portrait" r:id="rId3"/>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pageSetUpPr fitToPage="1"/>
  </sheetPr>
  <dimension ref="A1:AJ332"/>
  <sheetViews>
    <sheetView showGridLines="0" showRowColHeaders="0" showWhiteSpace="0" zoomScale="85" zoomScaleNormal="85" workbookViewId="0">
      <selection activeCell="J126" sqref="J126"/>
    </sheetView>
  </sheetViews>
  <sheetFormatPr defaultRowHeight="15" x14ac:dyDescent="0.25"/>
  <cols>
    <col min="1" max="1" width="3.7109375" customWidth="1"/>
    <col min="2" max="2" width="18.42578125" customWidth="1"/>
    <col min="3" max="3" width="15.7109375" customWidth="1"/>
    <col min="4" max="4" width="14.140625" customWidth="1"/>
    <col min="5" max="5" width="15.7109375" customWidth="1"/>
    <col min="6" max="6" width="16.140625" customWidth="1"/>
    <col min="7" max="10" width="15.7109375" customWidth="1"/>
    <col min="11" max="11" width="17.7109375" customWidth="1"/>
    <col min="12" max="30" width="15.7109375" customWidth="1"/>
  </cols>
  <sheetData>
    <row r="1" spans="2:14" x14ac:dyDescent="0.25">
      <c r="B1" s="429"/>
      <c r="C1" s="429"/>
      <c r="D1" s="429"/>
      <c r="E1" s="429"/>
      <c r="F1" s="429"/>
      <c r="G1" s="429"/>
      <c r="H1" s="429"/>
      <c r="I1" s="429"/>
      <c r="J1" s="429"/>
      <c r="K1" s="429"/>
      <c r="L1" s="429"/>
      <c r="M1" s="429"/>
      <c r="N1" s="429"/>
    </row>
    <row r="2" spans="2:14" ht="23.25" x14ac:dyDescent="0.35">
      <c r="B2" s="421" t="s">
        <v>741</v>
      </c>
      <c r="C2" s="429"/>
      <c r="D2" s="429"/>
      <c r="E2" s="429"/>
      <c r="F2" s="429"/>
      <c r="G2" s="429"/>
      <c r="H2" s="429"/>
      <c r="I2" s="429"/>
      <c r="J2" s="429"/>
      <c r="K2" s="429"/>
      <c r="L2" s="429"/>
      <c r="M2" s="429"/>
      <c r="N2" s="429"/>
    </row>
    <row r="3" spans="2:14" x14ac:dyDescent="0.25">
      <c r="B3" s="429"/>
      <c r="C3" s="429"/>
      <c r="D3" s="429"/>
      <c r="E3" s="429"/>
      <c r="F3" s="429"/>
      <c r="G3" s="429"/>
      <c r="H3" s="429"/>
      <c r="I3" s="429"/>
      <c r="J3" s="429"/>
      <c r="K3" s="429"/>
      <c r="L3" s="429"/>
      <c r="M3" s="429"/>
      <c r="N3" s="429"/>
    </row>
    <row r="4" spans="2:14" ht="21" x14ac:dyDescent="0.35">
      <c r="B4" s="423" t="s">
        <v>50</v>
      </c>
      <c r="C4" s="429"/>
      <c r="D4" s="429"/>
      <c r="E4" s="429"/>
      <c r="F4" s="429"/>
      <c r="G4" s="429"/>
      <c r="H4" s="429"/>
      <c r="I4" s="429"/>
      <c r="J4" s="429"/>
      <c r="K4" s="429"/>
      <c r="L4" s="429"/>
      <c r="M4" s="429"/>
      <c r="N4" s="429"/>
    </row>
    <row r="5" spans="2:14" s="428" customFormat="1" ht="21" x14ac:dyDescent="0.35">
      <c r="B5" s="423"/>
      <c r="C5" s="429"/>
      <c r="D5" s="429"/>
      <c r="E5" s="429"/>
      <c r="F5" s="429"/>
      <c r="G5" s="429"/>
      <c r="H5" s="429"/>
      <c r="I5" s="429"/>
      <c r="J5" s="429"/>
      <c r="K5" s="429"/>
      <c r="L5" s="429"/>
      <c r="M5" s="429"/>
      <c r="N5" s="429"/>
    </row>
    <row r="6" spans="2:14" s="428" customFormat="1" ht="18.75" x14ac:dyDescent="0.3">
      <c r="B6" s="436" t="s">
        <v>783</v>
      </c>
      <c r="C6" s="439"/>
      <c r="D6" s="677"/>
      <c r="E6" s="678"/>
      <c r="F6" s="429"/>
      <c r="G6" s="429"/>
      <c r="H6" s="429"/>
      <c r="I6" s="429"/>
      <c r="J6" s="429"/>
      <c r="K6" s="429"/>
      <c r="L6" s="429"/>
      <c r="M6" s="429"/>
      <c r="N6" s="429"/>
    </row>
    <row r="7" spans="2:14" s="428" customFormat="1" ht="18.75" x14ac:dyDescent="0.3">
      <c r="B7" s="440"/>
      <c r="C7" s="439"/>
      <c r="D7" s="677"/>
      <c r="E7" s="678"/>
      <c r="F7" s="429"/>
      <c r="G7" s="429"/>
      <c r="H7" s="429"/>
      <c r="I7" s="429"/>
      <c r="J7" s="429"/>
      <c r="K7" s="429"/>
      <c r="L7" s="429"/>
      <c r="M7" s="429"/>
      <c r="N7" s="429"/>
    </row>
    <row r="8" spans="2:14" s="428" customFormat="1" x14ac:dyDescent="0.25">
      <c r="B8" s="432" t="s">
        <v>326</v>
      </c>
      <c r="C8" s="429"/>
      <c r="D8" s="432" t="str">
        <f>'ANALISI DELLE SPINTE'!C6</f>
        <v>SISMICA</v>
      </c>
      <c r="E8" s="429"/>
      <c r="F8" s="429"/>
      <c r="G8" s="445" t="s">
        <v>463</v>
      </c>
      <c r="H8" s="631" t="s">
        <v>25</v>
      </c>
      <c r="I8" s="429"/>
      <c r="J8" s="429"/>
      <c r="K8" s="429"/>
      <c r="L8" s="429"/>
      <c r="M8" s="429"/>
      <c r="N8" s="429"/>
    </row>
    <row r="9" spans="2:14" s="428" customFormat="1" x14ac:dyDescent="0.25">
      <c r="B9" s="429"/>
      <c r="C9" s="429"/>
      <c r="D9" s="429"/>
      <c r="E9" s="429"/>
      <c r="F9" s="429"/>
      <c r="G9" s="635" t="s">
        <v>785</v>
      </c>
      <c r="H9" s="633">
        <f>'ANALISI DELLE SPINTE'!D11</f>
        <v>1</v>
      </c>
      <c r="I9" s="429"/>
      <c r="J9" s="429"/>
      <c r="K9" s="429"/>
      <c r="L9" s="429"/>
      <c r="M9" s="429"/>
      <c r="N9" s="429"/>
    </row>
    <row r="10" spans="2:14" s="428" customFormat="1" x14ac:dyDescent="0.25">
      <c r="B10" s="432" t="s">
        <v>469</v>
      </c>
      <c r="C10" s="429"/>
      <c r="D10" s="432" t="str">
        <f>'ANALISI DELLE SPINTE'!C8</f>
        <v xml:space="preserve"> APPROCCIO 2 --- Combinazione (A1+M1+R3)</v>
      </c>
      <c r="E10" s="429"/>
      <c r="F10" s="429"/>
      <c r="G10" s="635" t="s">
        <v>786</v>
      </c>
      <c r="H10" s="633">
        <f>'ANALISI DELLE SPINTE'!D12</f>
        <v>1</v>
      </c>
      <c r="I10" s="429"/>
      <c r="J10" s="429"/>
      <c r="K10" s="429"/>
      <c r="L10" s="429"/>
      <c r="M10" s="429"/>
      <c r="N10" s="429"/>
    </row>
    <row r="11" spans="2:14" s="428" customFormat="1" x14ac:dyDescent="0.25">
      <c r="B11" s="636"/>
      <c r="C11" s="636"/>
      <c r="D11" s="637"/>
      <c r="E11" s="429"/>
      <c r="F11" s="429"/>
      <c r="G11" s="635" t="s">
        <v>787</v>
      </c>
      <c r="H11" s="633">
        <f>'ANALISI DELLE SPINTE'!D13</f>
        <v>1</v>
      </c>
      <c r="I11" s="429"/>
      <c r="J11" s="429"/>
      <c r="K11" s="429"/>
      <c r="L11" s="429"/>
      <c r="M11" s="429"/>
      <c r="N11" s="429"/>
    </row>
    <row r="12" spans="2:14" s="428" customFormat="1" x14ac:dyDescent="0.25">
      <c r="B12" s="636"/>
      <c r="C12" s="429"/>
      <c r="D12" s="429"/>
      <c r="E12" s="429"/>
      <c r="F12" s="429"/>
      <c r="G12" s="636"/>
      <c r="H12" s="447"/>
      <c r="I12" s="429"/>
      <c r="J12" s="429"/>
      <c r="K12" s="429"/>
      <c r="L12" s="429"/>
      <c r="M12" s="429"/>
      <c r="N12" s="429"/>
    </row>
    <row r="13" spans="2:14" s="428" customFormat="1" x14ac:dyDescent="0.25">
      <c r="B13" s="636"/>
      <c r="C13" s="429"/>
      <c r="D13" s="429"/>
      <c r="E13" s="429"/>
      <c r="F13" s="429"/>
      <c r="G13" s="445" t="s">
        <v>464</v>
      </c>
      <c r="H13" s="446">
        <f>'Progetto della zattera slu'!F18</f>
        <v>1</v>
      </c>
      <c r="I13" s="429"/>
      <c r="J13" s="429"/>
      <c r="K13" s="429"/>
      <c r="L13" s="429"/>
      <c r="M13" s="429"/>
      <c r="N13" s="429"/>
    </row>
    <row r="14" spans="2:14" s="428" customFormat="1" x14ac:dyDescent="0.25">
      <c r="B14" s="636"/>
      <c r="C14" s="429"/>
      <c r="D14" s="429"/>
      <c r="E14" s="429"/>
      <c r="F14" s="429"/>
      <c r="G14" s="631" t="s">
        <v>198</v>
      </c>
      <c r="H14" s="633">
        <f>'ANALISI DELLE SPINTE'!D16</f>
        <v>1</v>
      </c>
      <c r="I14" s="429"/>
      <c r="J14" s="429"/>
      <c r="K14" s="429"/>
      <c r="L14" s="429"/>
      <c r="M14" s="429"/>
      <c r="N14" s="429"/>
    </row>
    <row r="15" spans="2:14" s="428" customFormat="1" x14ac:dyDescent="0.25">
      <c r="B15" s="636"/>
      <c r="C15" s="429"/>
      <c r="D15" s="429"/>
      <c r="E15" s="429"/>
      <c r="F15" s="429"/>
      <c r="G15" s="631" t="s">
        <v>199</v>
      </c>
      <c r="H15" s="633">
        <f>'ANALISI DELLE SPINTE'!D17</f>
        <v>1</v>
      </c>
      <c r="I15" s="429"/>
      <c r="J15" s="429"/>
      <c r="K15" s="429"/>
      <c r="L15" s="429"/>
      <c r="M15" s="429"/>
      <c r="N15" s="429"/>
    </row>
    <row r="16" spans="2:14" s="428" customFormat="1" x14ac:dyDescent="0.25">
      <c r="B16" s="636"/>
      <c r="C16" s="429"/>
      <c r="D16" s="429"/>
      <c r="E16" s="429"/>
      <c r="F16" s="429"/>
      <c r="G16" s="631" t="s">
        <v>201</v>
      </c>
      <c r="H16" s="633">
        <f>'ANALISI DELLE SPINTE'!D18</f>
        <v>1</v>
      </c>
      <c r="I16" s="429"/>
      <c r="J16" s="429"/>
      <c r="K16" s="429"/>
      <c r="L16" s="429"/>
      <c r="M16" s="429"/>
      <c r="N16" s="429"/>
    </row>
    <row r="17" spans="1:36" s="428" customFormat="1" x14ac:dyDescent="0.25">
      <c r="B17" s="636"/>
      <c r="C17" s="429"/>
      <c r="D17" s="429"/>
      <c r="E17" s="429"/>
      <c r="F17" s="429"/>
      <c r="G17" s="644" t="s">
        <v>202</v>
      </c>
      <c r="H17" s="633">
        <f>'ANALISI DELLE SPINTE'!D19</f>
        <v>1</v>
      </c>
      <c r="I17" s="429"/>
      <c r="J17" s="429"/>
      <c r="K17" s="429"/>
      <c r="L17" s="429"/>
      <c r="M17" s="429"/>
      <c r="N17" s="429"/>
    </row>
    <row r="18" spans="1:36" s="428" customFormat="1" x14ac:dyDescent="0.25">
      <c r="B18" s="636"/>
      <c r="C18" s="429"/>
      <c r="D18" s="429"/>
      <c r="E18" s="429"/>
      <c r="F18" s="429"/>
      <c r="G18" s="637"/>
      <c r="H18" s="429"/>
      <c r="I18" s="429"/>
      <c r="J18" s="429"/>
      <c r="K18" s="429"/>
      <c r="L18" s="429"/>
      <c r="M18" s="429"/>
      <c r="N18" s="429"/>
    </row>
    <row r="19" spans="1:36" s="428" customFormat="1" ht="18" x14ac:dyDescent="0.25">
      <c r="B19" s="429" t="s">
        <v>358</v>
      </c>
      <c r="C19" s="429"/>
      <c r="D19" s="429"/>
      <c r="E19" s="429"/>
      <c r="F19" s="429"/>
      <c r="G19" s="632" t="s">
        <v>359</v>
      </c>
      <c r="H19" s="654">
        <f>'ANALISI DELLE SPINTE'!D21</f>
        <v>1.6579999999999999</v>
      </c>
      <c r="I19" s="429"/>
      <c r="J19" s="429"/>
      <c r="K19" s="429"/>
      <c r="L19" s="429"/>
      <c r="M19" s="429"/>
      <c r="N19" s="429"/>
    </row>
    <row r="20" spans="1:36" s="428" customFormat="1" ht="18" x14ac:dyDescent="0.25">
      <c r="B20" s="429" t="s">
        <v>360</v>
      </c>
      <c r="C20" s="429"/>
      <c r="D20" s="429"/>
      <c r="E20" s="429"/>
      <c r="F20" s="429"/>
      <c r="G20" s="632" t="s">
        <v>361</v>
      </c>
      <c r="H20" s="651">
        <f>'ANALISI DELLE SPINTE'!D22</f>
        <v>2.4769999999999999</v>
      </c>
      <c r="I20" s="429"/>
      <c r="J20" s="429"/>
      <c r="K20" s="429"/>
      <c r="L20" s="429"/>
      <c r="M20" s="429"/>
      <c r="N20" s="429"/>
    </row>
    <row r="21" spans="1:36" s="428" customFormat="1" ht="18" x14ac:dyDescent="0.25">
      <c r="B21" s="429" t="s">
        <v>362</v>
      </c>
      <c r="C21" s="429"/>
      <c r="D21" s="429"/>
      <c r="E21" s="429"/>
      <c r="F21" s="429"/>
      <c r="G21" s="632" t="s">
        <v>363</v>
      </c>
      <c r="H21" s="655">
        <f>'ANALISI DELLE SPINTE'!D23</f>
        <v>0.29599999999999999</v>
      </c>
      <c r="I21" s="429"/>
      <c r="J21" s="429"/>
      <c r="K21" s="429"/>
      <c r="L21" s="429"/>
      <c r="M21" s="429"/>
      <c r="N21" s="429"/>
    </row>
    <row r="22" spans="1:36" s="428" customFormat="1" x14ac:dyDescent="0.25">
      <c r="B22" s="429" t="s">
        <v>364</v>
      </c>
      <c r="C22" s="429"/>
      <c r="D22" s="429"/>
      <c r="E22" s="429"/>
      <c r="F22" s="429"/>
      <c r="G22" s="429"/>
      <c r="H22" s="651" t="str">
        <f>'ANALISI DELLE SPINTE'!D24</f>
        <v>B</v>
      </c>
      <c r="I22" s="429"/>
      <c r="J22" s="429"/>
      <c r="K22" s="429"/>
      <c r="L22" s="429"/>
      <c r="M22" s="429"/>
      <c r="N22" s="429"/>
    </row>
    <row r="23" spans="1:36" s="428" customFormat="1" x14ac:dyDescent="0.25">
      <c r="B23" s="429" t="s">
        <v>365</v>
      </c>
      <c r="C23" s="429"/>
      <c r="D23" s="429"/>
      <c r="E23" s="429"/>
      <c r="F23" s="429"/>
      <c r="G23" s="429"/>
      <c r="H23" s="651" t="str">
        <f>'ANALISI DELLE SPINTE'!D25</f>
        <v>T1</v>
      </c>
      <c r="I23" s="429"/>
      <c r="J23" s="429"/>
      <c r="K23" s="429"/>
      <c r="L23" s="429"/>
      <c r="M23" s="429"/>
      <c r="N23" s="429"/>
    </row>
    <row r="24" spans="1:36" s="428" customFormat="1" x14ac:dyDescent="0.25">
      <c r="B24" s="429" t="s">
        <v>782</v>
      </c>
      <c r="C24" s="429"/>
      <c r="D24" s="429"/>
      <c r="E24" s="429"/>
      <c r="F24" s="429"/>
      <c r="G24" s="383" t="s">
        <v>390</v>
      </c>
      <c r="H24" s="646">
        <f>'ANALISI DELLE SPINTE'!D26</f>
        <v>0.38</v>
      </c>
      <c r="I24" s="429"/>
      <c r="J24" s="429"/>
      <c r="K24" s="429"/>
      <c r="L24" s="429"/>
      <c r="M24" s="429"/>
      <c r="N24" s="429"/>
    </row>
    <row r="25" spans="1:36" s="428" customFormat="1" x14ac:dyDescent="0.25">
      <c r="B25" s="429" t="s">
        <v>391</v>
      </c>
      <c r="C25" s="429"/>
      <c r="D25" s="429"/>
      <c r="E25" s="429"/>
      <c r="F25" s="429"/>
      <c r="G25" s="629" t="s">
        <v>278</v>
      </c>
      <c r="H25" s="646">
        <f>'ANALISI DELLE SPINTE'!D27</f>
        <v>7.7100550683255151E-2</v>
      </c>
      <c r="I25" s="429"/>
      <c r="J25" s="429"/>
      <c r="K25" s="429"/>
      <c r="L25" s="429"/>
      <c r="M25" s="429"/>
      <c r="N25" s="429"/>
    </row>
    <row r="26" spans="1:36" s="428" customFormat="1" x14ac:dyDescent="0.25">
      <c r="B26" s="429" t="s">
        <v>392</v>
      </c>
      <c r="C26" s="429"/>
      <c r="D26" s="429"/>
      <c r="E26" s="429"/>
      <c r="F26" s="429"/>
      <c r="G26" s="629" t="s">
        <v>279</v>
      </c>
      <c r="H26" s="646">
        <f>'ANALISI DELLE SPINTE'!D28</f>
        <v>3.8550275341627575E-2</v>
      </c>
      <c r="I26" s="429"/>
      <c r="J26" s="429"/>
      <c r="K26" s="429"/>
      <c r="L26" s="429"/>
      <c r="M26" s="429"/>
      <c r="N26" s="429"/>
    </row>
    <row r="27" spans="1:36" s="428" customFormat="1" ht="21" x14ac:dyDescent="0.35">
      <c r="B27" s="423"/>
      <c r="C27" s="429"/>
      <c r="D27" s="429"/>
      <c r="E27" s="429"/>
      <c r="F27" s="429"/>
      <c r="G27" s="429"/>
      <c r="H27" s="429"/>
      <c r="I27" s="429"/>
      <c r="J27" s="429"/>
      <c r="K27" s="429"/>
      <c r="L27" s="429"/>
      <c r="M27" s="429"/>
      <c r="N27" s="429"/>
    </row>
    <row r="28" spans="1:36" ht="18.75" x14ac:dyDescent="0.3">
      <c r="A28" s="2"/>
      <c r="B28" s="436" t="s">
        <v>752</v>
      </c>
      <c r="C28" s="429"/>
      <c r="D28" s="429"/>
      <c r="E28" s="429"/>
      <c r="F28" s="429"/>
      <c r="G28" s="429"/>
      <c r="H28" s="429"/>
      <c r="I28" s="429"/>
      <c r="J28" s="429"/>
      <c r="K28" s="429"/>
      <c r="L28" s="429"/>
      <c r="M28" s="429"/>
      <c r="N28" s="429"/>
      <c r="S28" s="32"/>
      <c r="T28" s="32"/>
      <c r="U28" s="32"/>
      <c r="V28" s="32"/>
      <c r="W28" s="32"/>
      <c r="X28" s="32"/>
      <c r="Y28" s="32"/>
      <c r="Z28" s="32"/>
      <c r="AA28" s="32"/>
      <c r="AB28" s="32"/>
      <c r="AC28" s="32"/>
      <c r="AD28" s="32"/>
      <c r="AE28" s="32"/>
      <c r="AF28" s="32"/>
      <c r="AG28" s="32"/>
      <c r="AH28" s="32"/>
      <c r="AI28" s="32"/>
      <c r="AJ28" s="32"/>
    </row>
    <row r="29" spans="1:36" ht="12.75" customHeight="1" x14ac:dyDescent="0.3">
      <c r="A29" s="2"/>
      <c r="B29" s="436"/>
      <c r="C29" s="429"/>
      <c r="D29" s="429"/>
      <c r="E29" s="429"/>
      <c r="F29" s="429"/>
      <c r="G29" s="429"/>
      <c r="H29" s="429"/>
      <c r="I29" s="429"/>
      <c r="J29" s="429"/>
      <c r="K29" s="429"/>
      <c r="L29" s="429"/>
      <c r="M29" s="429"/>
      <c r="N29" s="429"/>
      <c r="S29" s="32"/>
      <c r="T29" s="32"/>
      <c r="U29" s="32"/>
      <c r="V29" s="32"/>
      <c r="W29" s="32"/>
      <c r="X29" s="32"/>
      <c r="Y29" s="32"/>
      <c r="Z29" s="32"/>
      <c r="AA29" s="32"/>
      <c r="AB29" s="32"/>
      <c r="AC29" s="32"/>
      <c r="AD29" s="32"/>
      <c r="AE29" s="32"/>
      <c r="AF29" s="32"/>
      <c r="AG29" s="32"/>
      <c r="AH29" s="32"/>
      <c r="AI29" s="32"/>
      <c r="AJ29" s="32"/>
    </row>
    <row r="30" spans="1:36" ht="15.75" x14ac:dyDescent="0.25">
      <c r="A30" s="2"/>
      <c r="B30" s="15" t="s">
        <v>753</v>
      </c>
      <c r="C30" s="429"/>
      <c r="D30" s="429"/>
      <c r="E30" s="429"/>
      <c r="F30" s="429"/>
      <c r="G30" s="429"/>
      <c r="H30" s="429"/>
      <c r="I30" s="429"/>
      <c r="J30" s="429"/>
      <c r="K30" s="429"/>
      <c r="L30" s="429"/>
      <c r="M30" s="429"/>
      <c r="N30" s="429"/>
      <c r="S30" s="32"/>
      <c r="T30" s="32"/>
      <c r="U30" s="32"/>
      <c r="V30" s="32"/>
      <c r="W30" s="32"/>
      <c r="X30" s="32"/>
      <c r="Y30" s="32"/>
      <c r="Z30" s="32"/>
      <c r="AA30" s="32"/>
      <c r="AB30" s="32"/>
      <c r="AC30" s="32"/>
      <c r="AD30" s="32"/>
      <c r="AE30" s="32"/>
      <c r="AF30" s="32"/>
      <c r="AG30" s="32"/>
      <c r="AH30" s="32"/>
      <c r="AI30" s="32"/>
      <c r="AJ30" s="32"/>
    </row>
    <row r="31" spans="1:36" ht="18.75" x14ac:dyDescent="0.3">
      <c r="A31" s="2"/>
      <c r="B31" s="436"/>
      <c r="C31" s="429"/>
      <c r="D31" s="429"/>
      <c r="E31" s="429"/>
      <c r="F31" s="429"/>
      <c r="G31" s="429"/>
      <c r="H31" s="429"/>
      <c r="I31" s="429"/>
      <c r="J31" s="429"/>
      <c r="K31" s="429"/>
      <c r="L31" s="429"/>
      <c r="M31" s="429"/>
      <c r="N31" s="429"/>
      <c r="S31" s="32"/>
      <c r="T31" s="32"/>
      <c r="U31" s="32"/>
      <c r="V31" s="32"/>
      <c r="W31" s="32"/>
      <c r="X31" s="32"/>
      <c r="Y31" s="32"/>
      <c r="Z31" s="32"/>
      <c r="AA31" s="32"/>
      <c r="AB31" s="32"/>
      <c r="AC31" s="32"/>
      <c r="AD31" s="32"/>
      <c r="AE31" s="32"/>
      <c r="AF31" s="32"/>
      <c r="AG31" s="32"/>
      <c r="AH31" s="32"/>
      <c r="AI31" s="32"/>
      <c r="AJ31" s="32"/>
    </row>
    <row r="32" spans="1:36" ht="15.75" x14ac:dyDescent="0.25">
      <c r="A32" s="2"/>
      <c r="B32" s="15"/>
      <c r="C32" s="429"/>
      <c r="D32" s="429"/>
      <c r="E32" s="429"/>
      <c r="F32" s="640"/>
      <c r="G32" s="640"/>
      <c r="H32" s="640"/>
      <c r="I32" s="429"/>
      <c r="J32" s="429"/>
      <c r="K32" s="429"/>
      <c r="L32" s="429"/>
      <c r="M32" s="429"/>
      <c r="N32" s="429"/>
      <c r="O32" s="158"/>
      <c r="P32" s="158"/>
      <c r="Q32" s="32"/>
      <c r="R32" s="32"/>
      <c r="S32" s="32"/>
      <c r="T32" s="32"/>
      <c r="U32" s="32"/>
      <c r="V32" s="32"/>
      <c r="W32" s="32"/>
      <c r="X32" s="32"/>
      <c r="Y32" s="32"/>
      <c r="Z32" s="32"/>
      <c r="AA32" s="32"/>
      <c r="AB32" s="32"/>
      <c r="AC32" s="32"/>
      <c r="AD32" s="32"/>
      <c r="AE32" s="32"/>
      <c r="AF32" s="32"/>
      <c r="AG32" s="32"/>
      <c r="AH32" s="32"/>
      <c r="AI32" s="32"/>
      <c r="AJ32" s="32"/>
    </row>
    <row r="33" spans="1:36" x14ac:dyDescent="0.25">
      <c r="A33" s="2"/>
      <c r="B33" s="773" t="s">
        <v>508</v>
      </c>
      <c r="C33" s="773"/>
      <c r="D33" s="429"/>
      <c r="E33" s="429"/>
      <c r="F33" s="640"/>
      <c r="G33" s="640"/>
      <c r="H33" s="640"/>
      <c r="I33" s="429"/>
      <c r="J33" s="429"/>
      <c r="K33" s="429"/>
      <c r="L33" s="429"/>
      <c r="M33" s="429"/>
      <c r="N33" s="429"/>
      <c r="S33" s="32"/>
      <c r="T33" s="32"/>
      <c r="U33" s="32"/>
      <c r="V33" s="32"/>
      <c r="W33" s="32"/>
      <c r="X33" s="32"/>
      <c r="Y33" s="32"/>
      <c r="Z33" s="32"/>
      <c r="AA33" s="32"/>
      <c r="AB33" s="32"/>
      <c r="AC33" s="32"/>
      <c r="AD33" s="32"/>
      <c r="AE33" s="32"/>
      <c r="AF33" s="32"/>
      <c r="AG33" s="32"/>
      <c r="AH33" s="32"/>
      <c r="AI33" s="32"/>
      <c r="AJ33" s="32"/>
    </row>
    <row r="34" spans="1:36" x14ac:dyDescent="0.25">
      <c r="A34" s="2"/>
      <c r="B34" s="429"/>
      <c r="C34" s="429"/>
      <c r="D34" s="632"/>
      <c r="E34" s="632"/>
      <c r="F34" s="632"/>
      <c r="G34" s="632"/>
      <c r="H34" s="640"/>
      <c r="I34" s="429"/>
      <c r="J34" s="429"/>
      <c r="K34" s="429"/>
      <c r="L34" s="429"/>
      <c r="M34" s="429"/>
      <c r="N34" s="429"/>
      <c r="P34" s="137"/>
      <c r="Q34" s="137"/>
      <c r="R34" s="405"/>
      <c r="S34" s="32"/>
      <c r="T34" s="32"/>
      <c r="U34" s="32"/>
      <c r="V34" s="32"/>
      <c r="W34" s="32"/>
      <c r="X34" s="32"/>
      <c r="Y34" s="32"/>
      <c r="Z34" s="32"/>
      <c r="AA34" s="32"/>
      <c r="AB34" s="32"/>
      <c r="AC34" s="32"/>
      <c r="AD34" s="32"/>
      <c r="AE34" s="32"/>
      <c r="AF34" s="32"/>
      <c r="AG34" s="32"/>
      <c r="AH34" s="32"/>
      <c r="AI34" s="32"/>
      <c r="AJ34" s="32"/>
    </row>
    <row r="35" spans="1:36" x14ac:dyDescent="0.25">
      <c r="A35" s="2"/>
      <c r="B35" s="774" t="s">
        <v>171</v>
      </c>
      <c r="C35" s="775">
        <f>'geom masse muro+tensioni'!H16</f>
        <v>1.9600142499999995</v>
      </c>
      <c r="D35" s="3"/>
      <c r="E35" s="3"/>
      <c r="F35" s="3"/>
      <c r="G35" s="3"/>
      <c r="H35" s="640"/>
      <c r="I35" s="429"/>
      <c r="J35" s="429"/>
      <c r="K35" s="429"/>
      <c r="L35" s="429"/>
      <c r="M35" s="429"/>
      <c r="N35" s="429"/>
      <c r="P35" s="406"/>
      <c r="Q35" s="406"/>
      <c r="R35" s="158"/>
      <c r="S35" s="32"/>
      <c r="T35" s="32"/>
      <c r="U35" s="32"/>
      <c r="V35" s="32"/>
      <c r="W35" s="32"/>
      <c r="X35" s="32"/>
      <c r="Y35" s="32"/>
      <c r="Z35" s="32"/>
      <c r="AA35" s="32"/>
      <c r="AB35" s="32"/>
      <c r="AC35" s="32"/>
      <c r="AD35" s="32"/>
      <c r="AE35" s="32"/>
      <c r="AF35" s="32"/>
      <c r="AG35" s="32"/>
      <c r="AH35" s="32"/>
      <c r="AI35" s="32"/>
      <c r="AJ35" s="32"/>
    </row>
    <row r="36" spans="1:36" x14ac:dyDescent="0.25">
      <c r="A36" s="2"/>
      <c r="B36" s="776" t="s">
        <v>509</v>
      </c>
      <c r="C36" s="359">
        <f>C35*DATI!$E$8</f>
        <v>49.000356249999989</v>
      </c>
      <c r="D36" s="773"/>
      <c r="E36" s="3"/>
      <c r="F36" s="3"/>
      <c r="G36" s="3"/>
      <c r="H36" s="640"/>
      <c r="I36" s="429"/>
      <c r="J36" s="429"/>
      <c r="K36" s="429"/>
      <c r="L36" s="429"/>
      <c r="M36" s="429"/>
      <c r="N36" s="429"/>
      <c r="P36" s="32"/>
      <c r="Q36" s="32"/>
      <c r="R36" s="158"/>
      <c r="S36" s="32"/>
      <c r="T36" s="32"/>
      <c r="U36" s="32"/>
      <c r="V36" s="32"/>
      <c r="W36" s="32"/>
      <c r="X36" s="32"/>
      <c r="Y36" s="32"/>
      <c r="Z36" s="32"/>
      <c r="AA36" s="32"/>
      <c r="AB36" s="32"/>
      <c r="AC36" s="32"/>
      <c r="AD36" s="32"/>
      <c r="AE36" s="32"/>
      <c r="AF36" s="32"/>
      <c r="AG36" s="32"/>
      <c r="AH36" s="32"/>
      <c r="AI36" s="32"/>
      <c r="AJ36" s="32"/>
    </row>
    <row r="37" spans="1:36" x14ac:dyDescent="0.25">
      <c r="A37" s="2"/>
      <c r="B37" s="777" t="s">
        <v>510</v>
      </c>
      <c r="C37" s="778">
        <f>DATI!E60+DATI!E74+DATI!E83+DATI!E88</f>
        <v>3.7</v>
      </c>
      <c r="D37" s="429"/>
      <c r="E37" s="3"/>
      <c r="F37" s="3"/>
      <c r="G37" s="3"/>
      <c r="H37" s="640"/>
      <c r="I37" s="429"/>
      <c r="J37" s="429"/>
      <c r="K37" s="429"/>
      <c r="L37" s="429"/>
      <c r="M37" s="429"/>
      <c r="N37" s="429"/>
      <c r="P37" s="32"/>
      <c r="Q37" s="32"/>
      <c r="R37" s="158"/>
      <c r="S37" s="32"/>
      <c r="T37" s="32"/>
      <c r="U37" s="32"/>
      <c r="V37" s="32"/>
      <c r="W37" s="32"/>
      <c r="X37" s="32"/>
      <c r="Y37" s="32"/>
      <c r="Z37" s="32"/>
      <c r="AA37" s="32"/>
      <c r="AB37" s="32"/>
      <c r="AC37" s="32"/>
      <c r="AD37" s="32"/>
      <c r="AE37" s="32"/>
      <c r="AF37" s="32"/>
      <c r="AG37" s="32"/>
      <c r="AH37" s="32"/>
      <c r="AI37" s="32"/>
      <c r="AJ37" s="32"/>
    </row>
    <row r="38" spans="1:36" x14ac:dyDescent="0.25">
      <c r="A38" s="2"/>
      <c r="B38" s="777" t="s">
        <v>70</v>
      </c>
      <c r="C38" s="779">
        <f>'geom masse muro+tensioni'!L16+DATI!E75</f>
        <v>0.77959125809799579</v>
      </c>
      <c r="D38" s="429"/>
      <c r="E38" s="3"/>
      <c r="F38" s="3"/>
      <c r="G38" s="3"/>
      <c r="H38" s="640"/>
      <c r="I38" s="429"/>
      <c r="J38" s="429"/>
      <c r="K38" s="429"/>
      <c r="L38" s="429"/>
      <c r="M38" s="429"/>
      <c r="N38" s="429"/>
      <c r="P38" s="32"/>
      <c r="Q38" s="32"/>
      <c r="R38" s="158"/>
      <c r="S38" s="32"/>
      <c r="T38" s="32"/>
      <c r="U38" s="32"/>
      <c r="V38" s="32"/>
      <c r="W38" s="32"/>
      <c r="X38" s="32"/>
      <c r="Y38" s="32"/>
      <c r="Z38" s="32"/>
      <c r="AA38" s="32"/>
      <c r="AB38" s="32"/>
      <c r="AC38" s="32"/>
      <c r="AD38" s="32"/>
      <c r="AE38" s="32"/>
      <c r="AF38" s="32"/>
      <c r="AG38" s="32"/>
      <c r="AH38" s="32"/>
      <c r="AI38" s="32"/>
      <c r="AJ38" s="32"/>
    </row>
    <row r="39" spans="1:36" x14ac:dyDescent="0.25">
      <c r="A39" s="2"/>
      <c r="B39" s="777" t="s">
        <v>71</v>
      </c>
      <c r="C39" s="779">
        <f>'geom masse muro+tensioni'!M16</f>
        <v>0</v>
      </c>
      <c r="D39" s="429"/>
      <c r="E39" s="3"/>
      <c r="F39" s="3"/>
      <c r="G39" s="3"/>
      <c r="H39" s="640"/>
      <c r="I39" s="429"/>
      <c r="J39" s="429"/>
      <c r="K39" s="429"/>
      <c r="L39" s="429"/>
      <c r="M39" s="429"/>
      <c r="N39" s="429"/>
      <c r="P39" s="32"/>
      <c r="Q39" s="32"/>
      <c r="S39" s="32"/>
      <c r="T39" s="32"/>
      <c r="U39" s="32"/>
      <c r="V39" s="32"/>
      <c r="W39" s="32"/>
      <c r="X39" s="32"/>
      <c r="Y39" s="32"/>
      <c r="Z39" s="32"/>
      <c r="AA39" s="32"/>
      <c r="AB39" s="32"/>
      <c r="AC39" s="32"/>
      <c r="AD39" s="32"/>
      <c r="AE39" s="32"/>
      <c r="AF39" s="32"/>
      <c r="AG39" s="32"/>
      <c r="AH39" s="32"/>
      <c r="AI39" s="32"/>
      <c r="AJ39" s="32"/>
    </row>
    <row r="40" spans="1:36" x14ac:dyDescent="0.25">
      <c r="A40" s="2"/>
      <c r="B40" s="777" t="s">
        <v>72</v>
      </c>
      <c r="C40" s="779">
        <f>'geom masse muro+tensioni'!N16+DATI!E74+DATI!E60</f>
        <v>1.1561245855738038</v>
      </c>
      <c r="D40" s="429"/>
      <c r="E40" s="88"/>
      <c r="F40" s="89"/>
      <c r="G40" s="89"/>
      <c r="H40" s="429"/>
      <c r="I40" s="429"/>
      <c r="J40" s="429"/>
      <c r="K40" s="429"/>
      <c r="L40" s="429"/>
      <c r="M40" s="759"/>
      <c r="N40" s="429"/>
      <c r="P40" s="32"/>
      <c r="Q40" s="32"/>
      <c r="S40" s="32"/>
      <c r="T40" s="32"/>
      <c r="U40" s="32"/>
      <c r="V40" s="32"/>
      <c r="W40" s="32"/>
      <c r="X40" s="32"/>
      <c r="Y40" s="32"/>
      <c r="Z40" s="32"/>
      <c r="AA40" s="32"/>
      <c r="AB40" s="32"/>
      <c r="AC40" s="32"/>
      <c r="AD40" s="32"/>
      <c r="AE40" s="32"/>
      <c r="AF40" s="32"/>
      <c r="AG40" s="32"/>
      <c r="AH40" s="32"/>
      <c r="AI40" s="32"/>
      <c r="AJ40" s="32"/>
    </row>
    <row r="41" spans="1:36" x14ac:dyDescent="0.25">
      <c r="A41" s="2"/>
      <c r="B41" s="429"/>
      <c r="C41" s="429"/>
      <c r="D41" s="429"/>
      <c r="E41" s="429"/>
      <c r="F41" s="640"/>
      <c r="G41" s="640"/>
      <c r="H41" s="429"/>
      <c r="I41" s="429"/>
      <c r="J41" s="429"/>
      <c r="K41" s="429"/>
      <c r="L41" s="429"/>
      <c r="M41" s="429"/>
      <c r="N41" s="429"/>
      <c r="P41" s="130"/>
      <c r="Q41" s="130"/>
      <c r="S41" s="32"/>
      <c r="T41" s="32"/>
      <c r="U41" s="32"/>
      <c r="V41" s="32"/>
      <c r="W41" s="32"/>
      <c r="X41" s="32"/>
      <c r="Y41" s="32"/>
      <c r="Z41" s="32"/>
      <c r="AA41" s="32"/>
      <c r="AB41" s="32"/>
      <c r="AC41" s="32"/>
      <c r="AD41" s="32"/>
      <c r="AE41" s="32"/>
      <c r="AF41" s="32"/>
      <c r="AG41" s="32"/>
      <c r="AH41" s="32"/>
      <c r="AI41" s="32"/>
      <c r="AJ41" s="32"/>
    </row>
    <row r="42" spans="1:36" x14ac:dyDescent="0.25">
      <c r="A42" s="2"/>
      <c r="B42" s="429"/>
      <c r="C42" s="429"/>
      <c r="D42" s="429"/>
      <c r="E42" s="429"/>
      <c r="F42" s="168"/>
      <c r="G42" s="168"/>
      <c r="H42" s="640"/>
      <c r="I42" s="429"/>
      <c r="J42" s="429"/>
      <c r="K42" s="429"/>
      <c r="L42" s="429"/>
      <c r="M42" s="429"/>
      <c r="N42" s="429"/>
      <c r="S42" s="32"/>
      <c r="T42" s="32"/>
      <c r="U42" s="32"/>
      <c r="V42" s="32"/>
      <c r="W42" s="32"/>
      <c r="X42" s="32"/>
      <c r="Y42" s="32"/>
      <c r="Z42" s="32"/>
      <c r="AA42" s="32"/>
      <c r="AB42" s="32"/>
      <c r="AC42" s="32"/>
      <c r="AD42" s="32"/>
      <c r="AE42" s="32"/>
      <c r="AF42" s="32"/>
      <c r="AG42" s="32"/>
      <c r="AH42" s="32"/>
      <c r="AI42" s="32"/>
      <c r="AJ42" s="32"/>
    </row>
    <row r="43" spans="1:36" x14ac:dyDescent="0.25">
      <c r="A43" s="2"/>
      <c r="B43" s="429"/>
      <c r="C43" s="429"/>
      <c r="D43" s="429"/>
      <c r="E43" s="429"/>
      <c r="F43" s="429"/>
      <c r="G43" s="429"/>
      <c r="H43" s="429"/>
      <c r="I43" s="429"/>
      <c r="J43" s="429"/>
      <c r="K43" s="429"/>
      <c r="L43" s="429"/>
      <c r="M43" s="429"/>
      <c r="N43" s="429"/>
      <c r="S43" s="32"/>
      <c r="T43" s="32"/>
      <c r="U43" s="32"/>
      <c r="V43" s="32"/>
      <c r="W43" s="32"/>
      <c r="X43" s="32"/>
      <c r="Y43" s="32"/>
      <c r="Z43" s="32"/>
      <c r="AA43" s="32"/>
      <c r="AB43" s="32"/>
      <c r="AC43" s="32"/>
      <c r="AD43" s="32"/>
      <c r="AE43" s="32"/>
      <c r="AF43" s="32"/>
      <c r="AG43" s="32"/>
      <c r="AH43" s="32"/>
      <c r="AI43" s="32"/>
      <c r="AJ43" s="32"/>
    </row>
    <row r="44" spans="1:36" x14ac:dyDescent="0.25">
      <c r="A44" s="2"/>
      <c r="B44" s="781"/>
      <c r="C44" s="782"/>
      <c r="D44" s="429"/>
      <c r="E44" s="429"/>
      <c r="F44" s="429"/>
      <c r="G44" s="429"/>
      <c r="H44" s="429"/>
      <c r="I44" s="429"/>
      <c r="J44" s="429"/>
      <c r="K44" s="429"/>
      <c r="L44" s="429"/>
      <c r="M44" s="429"/>
      <c r="N44" s="429"/>
      <c r="R44" s="158"/>
      <c r="S44" s="32"/>
      <c r="T44" s="32"/>
      <c r="U44" s="32"/>
      <c r="V44" s="32"/>
      <c r="W44" s="32"/>
      <c r="X44" s="32"/>
      <c r="Y44" s="32"/>
      <c r="Z44" s="32"/>
      <c r="AA44" s="32"/>
      <c r="AB44" s="32"/>
      <c r="AC44" s="32"/>
      <c r="AD44" s="32"/>
      <c r="AE44" s="32"/>
      <c r="AF44" s="32"/>
      <c r="AG44" s="32"/>
      <c r="AH44" s="32"/>
      <c r="AI44" s="32"/>
      <c r="AJ44" s="32"/>
    </row>
    <row r="45" spans="1:36" x14ac:dyDescent="0.25">
      <c r="A45" s="2"/>
      <c r="B45" s="429"/>
      <c r="C45" s="429"/>
      <c r="D45" s="429"/>
      <c r="E45" s="429"/>
      <c r="F45" s="429"/>
      <c r="G45" s="429"/>
      <c r="H45" s="429"/>
      <c r="I45" s="429"/>
      <c r="J45" s="429"/>
      <c r="K45" s="429"/>
      <c r="L45" s="429"/>
      <c r="M45" s="429"/>
      <c r="N45" s="429"/>
      <c r="R45" s="158"/>
      <c r="S45" s="32"/>
      <c r="T45" s="32"/>
      <c r="U45" s="32"/>
      <c r="V45" s="32"/>
      <c r="W45" s="32"/>
      <c r="X45" s="32"/>
      <c r="Y45" s="32"/>
      <c r="Z45" s="32"/>
      <c r="AA45" s="32"/>
      <c r="AB45" s="32"/>
      <c r="AC45" s="32"/>
      <c r="AD45" s="32"/>
      <c r="AE45" s="32"/>
      <c r="AF45" s="32"/>
      <c r="AG45" s="32"/>
      <c r="AH45" s="32"/>
      <c r="AI45" s="32"/>
      <c r="AJ45" s="32"/>
    </row>
    <row r="46" spans="1:36" x14ac:dyDescent="0.25">
      <c r="A46" s="2"/>
      <c r="B46" s="855" t="s">
        <v>511</v>
      </c>
      <c r="C46" s="203" t="s">
        <v>512</v>
      </c>
      <c r="D46" s="429"/>
      <c r="E46" s="429"/>
      <c r="F46" s="429"/>
      <c r="G46" s="429"/>
      <c r="H46" s="429"/>
      <c r="I46" s="429"/>
      <c r="J46" s="429"/>
      <c r="K46" s="429"/>
      <c r="L46" s="429"/>
      <c r="M46" s="429"/>
      <c r="N46" s="429"/>
      <c r="R46" s="158"/>
      <c r="S46" s="32"/>
      <c r="T46" s="32"/>
      <c r="U46" s="32"/>
      <c r="V46" s="32"/>
      <c r="W46" s="32"/>
      <c r="X46" s="32"/>
      <c r="Y46" s="32"/>
      <c r="Z46" s="32"/>
      <c r="AA46" s="32"/>
      <c r="AB46" s="32"/>
      <c r="AC46" s="32"/>
      <c r="AD46" s="32"/>
      <c r="AE46" s="32"/>
      <c r="AF46" s="32"/>
      <c r="AG46" s="32"/>
      <c r="AH46" s="32"/>
      <c r="AI46" s="32"/>
      <c r="AJ46" s="32"/>
    </row>
    <row r="47" spans="1:36" x14ac:dyDescent="0.25">
      <c r="A47" s="2"/>
      <c r="B47" s="855"/>
      <c r="C47" s="202">
        <f>C36</f>
        <v>49.000356249999989</v>
      </c>
      <c r="D47" s="429"/>
      <c r="E47" s="429"/>
      <c r="F47" s="429"/>
      <c r="G47" s="429"/>
      <c r="H47" s="429"/>
      <c r="I47" s="429"/>
      <c r="J47" s="429"/>
      <c r="K47" s="429"/>
      <c r="L47" s="429"/>
      <c r="M47" s="429"/>
      <c r="N47" s="429"/>
      <c r="R47" s="158"/>
      <c r="S47" s="32"/>
      <c r="T47" s="32"/>
      <c r="U47" s="32"/>
      <c r="V47" s="32"/>
      <c r="W47" s="32"/>
      <c r="X47" s="32"/>
      <c r="Y47" s="32"/>
      <c r="Z47" s="32"/>
      <c r="AA47" s="32"/>
      <c r="AB47" s="32"/>
      <c r="AC47" s="32"/>
      <c r="AD47" s="32"/>
      <c r="AE47" s="32"/>
      <c r="AF47" s="32"/>
      <c r="AG47" s="32"/>
      <c r="AH47" s="32"/>
      <c r="AI47" s="32"/>
      <c r="AJ47" s="32"/>
    </row>
    <row r="48" spans="1:36" ht="18" x14ac:dyDescent="0.25">
      <c r="A48" s="2"/>
      <c r="B48" s="896" t="s">
        <v>513</v>
      </c>
      <c r="C48" s="93" t="s">
        <v>514</v>
      </c>
      <c r="D48" s="429"/>
      <c r="E48" s="429"/>
      <c r="F48" s="429"/>
      <c r="G48" s="429"/>
      <c r="H48" s="429"/>
      <c r="I48" s="429"/>
      <c r="J48" s="429"/>
      <c r="K48" s="429"/>
      <c r="L48" s="429"/>
      <c r="M48" s="429"/>
      <c r="N48" s="429"/>
      <c r="R48" s="158"/>
      <c r="S48" s="32"/>
      <c r="T48" s="32"/>
      <c r="U48" s="32"/>
      <c r="V48" s="32"/>
      <c r="W48" s="32"/>
      <c r="X48" s="32"/>
      <c r="Y48" s="32"/>
      <c r="Z48" s="32"/>
      <c r="AA48" s="32"/>
      <c r="AB48" s="32"/>
      <c r="AC48" s="32"/>
      <c r="AD48" s="32"/>
      <c r="AE48" s="32"/>
      <c r="AF48" s="32"/>
      <c r="AG48" s="32"/>
      <c r="AH48" s="32"/>
      <c r="AI48" s="32"/>
      <c r="AJ48" s="32"/>
    </row>
    <row r="49" spans="1:36" x14ac:dyDescent="0.25">
      <c r="A49" s="2"/>
      <c r="B49" s="896"/>
      <c r="C49" s="204">
        <f>IF(DATI!G218="DX",C38,DATI!E75+'FOGLIO DEPOSITO'!D212+'FOGLIO DEPOSITO'!D211-'VER. EQU COND. DRENATE'!C38)</f>
        <v>0.77959125809799579</v>
      </c>
      <c r="D49" s="429"/>
      <c r="E49" s="429"/>
      <c r="F49" s="429"/>
      <c r="G49" s="429"/>
      <c r="H49" s="429"/>
      <c r="I49" s="429"/>
      <c r="J49" s="429"/>
      <c r="K49" s="429"/>
      <c r="L49" s="429"/>
      <c r="M49" s="759"/>
      <c r="N49" s="429"/>
      <c r="R49" s="158"/>
      <c r="S49" s="32"/>
      <c r="T49" s="32"/>
      <c r="U49" s="32"/>
      <c r="V49" s="32"/>
      <c r="W49" s="32"/>
      <c r="X49" s="32"/>
      <c r="Y49" s="32"/>
      <c r="Z49" s="32"/>
      <c r="AA49" s="32"/>
      <c r="AB49" s="32"/>
      <c r="AC49" s="32"/>
      <c r="AD49" s="32"/>
      <c r="AE49" s="32"/>
      <c r="AF49" s="32"/>
      <c r="AG49" s="32"/>
      <c r="AH49" s="32"/>
      <c r="AI49" s="32"/>
      <c r="AJ49" s="32"/>
    </row>
    <row r="50" spans="1:36" x14ac:dyDescent="0.25">
      <c r="A50" s="2"/>
      <c r="B50" s="429"/>
      <c r="C50" s="429"/>
      <c r="D50" s="429"/>
      <c r="E50" s="429"/>
      <c r="F50" s="429"/>
      <c r="G50" s="429"/>
      <c r="H50" s="429"/>
      <c r="I50" s="429"/>
      <c r="J50" s="429"/>
      <c r="K50" s="429"/>
      <c r="L50" s="429"/>
      <c r="M50" s="429"/>
      <c r="N50" s="429"/>
      <c r="R50" s="158"/>
      <c r="S50" s="32"/>
      <c r="T50" s="32"/>
      <c r="U50" s="32"/>
      <c r="V50" s="32"/>
      <c r="W50" s="32"/>
      <c r="X50" s="32"/>
      <c r="Y50" s="32"/>
      <c r="Z50" s="32"/>
      <c r="AA50" s="32"/>
      <c r="AB50" s="32"/>
      <c r="AC50" s="32"/>
      <c r="AD50" s="32"/>
      <c r="AE50" s="32"/>
      <c r="AF50" s="32"/>
      <c r="AG50" s="32"/>
      <c r="AH50" s="32"/>
      <c r="AI50" s="32"/>
      <c r="AJ50" s="32"/>
    </row>
    <row r="51" spans="1:36" x14ac:dyDescent="0.25">
      <c r="A51" s="2"/>
      <c r="B51" s="429"/>
      <c r="C51" s="429"/>
      <c r="D51" s="429"/>
      <c r="E51" s="429"/>
      <c r="F51" s="429"/>
      <c r="G51" s="429"/>
      <c r="H51" s="429"/>
      <c r="I51" s="429"/>
      <c r="J51" s="429"/>
      <c r="K51" s="429"/>
      <c r="L51" s="429"/>
      <c r="M51" s="429"/>
      <c r="N51" s="429"/>
      <c r="R51" s="158"/>
      <c r="S51" s="32"/>
      <c r="T51" s="32"/>
      <c r="U51" s="32"/>
      <c r="V51" s="32"/>
      <c r="W51" s="32"/>
      <c r="X51" s="32"/>
      <c r="Y51" s="32"/>
      <c r="Z51" s="32"/>
      <c r="AA51" s="32"/>
      <c r="AB51" s="32"/>
      <c r="AC51" s="32"/>
      <c r="AD51" s="32"/>
      <c r="AE51" s="32"/>
      <c r="AF51" s="32"/>
      <c r="AG51" s="32"/>
      <c r="AH51" s="32"/>
      <c r="AI51" s="32"/>
      <c r="AJ51" s="32"/>
    </row>
    <row r="52" spans="1:36" x14ac:dyDescent="0.25">
      <c r="A52" s="2"/>
      <c r="B52" s="429"/>
      <c r="C52" s="429"/>
      <c r="D52" s="429"/>
      <c r="E52" s="429"/>
      <c r="F52" s="429"/>
      <c r="G52" s="429"/>
      <c r="H52" s="429"/>
      <c r="I52" s="429"/>
      <c r="J52" s="429"/>
      <c r="K52" s="429"/>
      <c r="L52" s="429"/>
      <c r="M52" s="429"/>
      <c r="N52" s="429"/>
      <c r="R52" s="158"/>
      <c r="S52" s="32"/>
      <c r="T52" s="32"/>
      <c r="U52" s="32"/>
      <c r="V52" s="32"/>
      <c r="W52" s="32"/>
      <c r="X52" s="32"/>
      <c r="Y52" s="32"/>
      <c r="Z52" s="32"/>
      <c r="AA52" s="32"/>
      <c r="AB52" s="32"/>
      <c r="AC52" s="32"/>
      <c r="AD52" s="32"/>
      <c r="AE52" s="32"/>
      <c r="AF52" s="32"/>
      <c r="AG52" s="32"/>
      <c r="AH52" s="32"/>
      <c r="AI52" s="32"/>
      <c r="AJ52" s="32"/>
    </row>
    <row r="53" spans="1:36" x14ac:dyDescent="0.25">
      <c r="A53" s="2"/>
      <c r="B53" s="429"/>
      <c r="C53" s="429"/>
      <c r="D53" s="429"/>
      <c r="E53" s="429"/>
      <c r="F53" s="429"/>
      <c r="G53" s="429"/>
      <c r="H53" s="429"/>
      <c r="I53" s="429"/>
      <c r="J53" s="429"/>
      <c r="K53" s="429"/>
      <c r="L53" s="429"/>
      <c r="M53" s="429"/>
      <c r="N53" s="429"/>
      <c r="U53" s="32"/>
      <c r="V53" s="32"/>
      <c r="W53" s="32"/>
      <c r="X53" s="32"/>
      <c r="Y53" s="32"/>
      <c r="Z53" s="32"/>
      <c r="AA53" s="32"/>
      <c r="AB53" s="32"/>
      <c r="AC53" s="32"/>
      <c r="AD53" s="32"/>
      <c r="AE53" s="32"/>
      <c r="AF53" s="32"/>
      <c r="AG53" s="32"/>
      <c r="AH53" s="32"/>
      <c r="AI53" s="32"/>
      <c r="AJ53" s="32"/>
    </row>
    <row r="54" spans="1:36" x14ac:dyDescent="0.25">
      <c r="A54" s="2"/>
      <c r="B54" s="429"/>
      <c r="C54" s="429"/>
      <c r="D54" s="429"/>
      <c r="E54" s="429"/>
      <c r="F54" s="429"/>
      <c r="G54" s="429"/>
      <c r="H54" s="429"/>
      <c r="I54" s="429"/>
      <c r="J54" s="429"/>
      <c r="K54" s="429"/>
      <c r="L54" s="429"/>
      <c r="M54" s="429"/>
      <c r="N54" s="429"/>
      <c r="R54" s="158"/>
      <c r="U54" s="32"/>
      <c r="V54" s="32"/>
      <c r="W54" s="32"/>
      <c r="X54" s="32"/>
      <c r="Y54" s="32"/>
      <c r="Z54" s="32"/>
      <c r="AA54" s="32"/>
      <c r="AB54" s="32"/>
      <c r="AC54" s="32"/>
      <c r="AD54" s="32"/>
      <c r="AE54" s="32"/>
      <c r="AF54" s="32"/>
      <c r="AG54" s="32"/>
      <c r="AH54" s="32"/>
      <c r="AI54" s="32"/>
      <c r="AJ54" s="32"/>
    </row>
    <row r="55" spans="1:36" x14ac:dyDescent="0.25">
      <c r="A55" s="2"/>
      <c r="B55" s="429"/>
      <c r="C55" s="429"/>
      <c r="D55" s="429"/>
      <c r="E55" s="429"/>
      <c r="F55" s="429"/>
      <c r="G55" s="429"/>
      <c r="H55" s="429"/>
      <c r="I55" s="429"/>
      <c r="J55" s="429"/>
      <c r="K55" s="429"/>
      <c r="L55" s="429"/>
      <c r="M55" s="429"/>
      <c r="N55" s="429"/>
      <c r="U55" s="32"/>
      <c r="V55" s="32"/>
      <c r="W55" s="32"/>
      <c r="X55" s="32"/>
      <c r="Y55" s="32"/>
      <c r="Z55" s="32"/>
      <c r="AA55" s="32"/>
      <c r="AB55" s="32"/>
      <c r="AC55" s="32"/>
      <c r="AD55" s="32"/>
      <c r="AE55" s="32"/>
      <c r="AF55" s="32"/>
      <c r="AG55" s="32"/>
      <c r="AH55" s="32"/>
      <c r="AI55" s="32"/>
      <c r="AJ55" s="32"/>
    </row>
    <row r="56" spans="1:36" x14ac:dyDescent="0.25">
      <c r="A56" s="2"/>
      <c r="B56" s="429"/>
      <c r="C56" s="429"/>
      <c r="D56" s="429"/>
      <c r="E56" s="429"/>
      <c r="F56" s="429"/>
      <c r="G56" s="429"/>
      <c r="H56" s="429"/>
      <c r="I56" s="429"/>
      <c r="J56" s="429"/>
      <c r="K56" s="429"/>
      <c r="L56" s="429"/>
      <c r="M56" s="429"/>
      <c r="N56" s="429"/>
      <c r="R56" s="158"/>
      <c r="S56" s="32"/>
      <c r="T56" s="32"/>
      <c r="U56" s="32"/>
      <c r="V56" s="32"/>
      <c r="W56" s="32"/>
      <c r="X56" s="32"/>
      <c r="Y56" s="32"/>
      <c r="Z56" s="32"/>
      <c r="AA56" s="32"/>
      <c r="AB56" s="32"/>
      <c r="AC56" s="32"/>
      <c r="AD56" s="32"/>
      <c r="AE56" s="32"/>
      <c r="AF56" s="32"/>
      <c r="AG56" s="32"/>
      <c r="AH56" s="32"/>
      <c r="AI56" s="32"/>
      <c r="AJ56" s="32"/>
    </row>
    <row r="57" spans="1:36" x14ac:dyDescent="0.25">
      <c r="A57" s="2"/>
      <c r="B57" s="429"/>
      <c r="C57" s="429"/>
      <c r="D57" s="429"/>
      <c r="E57" s="429"/>
      <c r="F57" s="429"/>
      <c r="G57" s="429"/>
      <c r="H57" s="429"/>
      <c r="I57" s="429"/>
      <c r="J57" s="429"/>
      <c r="K57" s="429"/>
      <c r="L57" s="429"/>
      <c r="M57" s="429"/>
      <c r="N57" s="429"/>
      <c r="R57" s="158"/>
      <c r="S57" s="32"/>
      <c r="T57" s="32"/>
      <c r="U57" s="32"/>
      <c r="V57" s="32"/>
      <c r="W57" s="32"/>
      <c r="X57" s="32"/>
      <c r="Y57" s="32"/>
      <c r="Z57" s="32"/>
      <c r="AA57" s="32"/>
      <c r="AB57" s="32"/>
      <c r="AC57" s="32"/>
      <c r="AD57" s="32"/>
      <c r="AE57" s="32"/>
      <c r="AF57" s="32"/>
      <c r="AG57" s="32"/>
      <c r="AH57" s="32"/>
      <c r="AI57" s="32"/>
      <c r="AJ57" s="32"/>
    </row>
    <row r="58" spans="1:36" ht="21" customHeight="1" x14ac:dyDescent="0.25">
      <c r="A58" s="2"/>
      <c r="B58" s="429"/>
      <c r="C58" s="429"/>
      <c r="D58" s="429"/>
      <c r="E58" s="429"/>
      <c r="F58" s="429"/>
      <c r="G58" s="429"/>
      <c r="H58" s="429"/>
      <c r="I58" s="429"/>
      <c r="J58" s="429"/>
      <c r="K58" s="429"/>
      <c r="L58" s="429"/>
      <c r="M58" s="759"/>
      <c r="N58" s="429"/>
      <c r="R58" s="158"/>
      <c r="S58" s="32"/>
      <c r="T58" s="32"/>
      <c r="U58" s="32"/>
      <c r="V58" s="32"/>
      <c r="W58" s="32"/>
      <c r="X58" s="32"/>
      <c r="Y58" s="32"/>
      <c r="Z58" s="32"/>
      <c r="AA58" s="32"/>
      <c r="AB58" s="32"/>
      <c r="AC58" s="32"/>
      <c r="AD58" s="32"/>
      <c r="AE58" s="32"/>
      <c r="AF58" s="32"/>
      <c r="AG58" s="32"/>
      <c r="AH58" s="32"/>
      <c r="AI58" s="32"/>
      <c r="AJ58" s="32"/>
    </row>
    <row r="59" spans="1:36" x14ac:dyDescent="0.25">
      <c r="A59" s="2"/>
      <c r="B59" s="90"/>
      <c r="C59" s="91"/>
      <c r="D59" s="429"/>
      <c r="E59" s="429"/>
      <c r="F59" s="429"/>
      <c r="G59" s="429"/>
      <c r="H59" s="429"/>
      <c r="I59" s="429"/>
      <c r="J59" s="437"/>
      <c r="K59" s="437"/>
      <c r="L59" s="429"/>
      <c r="M59" s="783"/>
      <c r="N59" s="783"/>
      <c r="O59" s="51"/>
      <c r="P59" s="51"/>
      <c r="Q59" s="51"/>
      <c r="R59" s="50"/>
      <c r="S59" s="32"/>
      <c r="T59" s="32"/>
      <c r="U59" s="32"/>
      <c r="V59" s="32"/>
      <c r="W59" s="32"/>
      <c r="X59" s="32"/>
      <c r="Y59" s="32"/>
      <c r="Z59" s="32"/>
      <c r="AA59" s="32"/>
      <c r="AB59" s="32"/>
      <c r="AC59" s="32"/>
      <c r="AD59" s="32"/>
      <c r="AE59" s="32"/>
      <c r="AF59" s="32"/>
      <c r="AG59" s="32"/>
      <c r="AH59" s="32"/>
      <c r="AI59" s="32"/>
      <c r="AJ59" s="32"/>
    </row>
    <row r="60" spans="1:36" x14ac:dyDescent="0.25">
      <c r="A60" s="2"/>
      <c r="B60" s="429"/>
      <c r="C60" s="429"/>
      <c r="D60" s="776" t="s">
        <v>181</v>
      </c>
      <c r="E60" s="776" t="s">
        <v>171</v>
      </c>
      <c r="F60" s="776" t="s">
        <v>509</v>
      </c>
      <c r="G60" s="785" t="s">
        <v>70</v>
      </c>
      <c r="H60" s="785" t="s">
        <v>71</v>
      </c>
      <c r="I60" s="785" t="s">
        <v>72</v>
      </c>
      <c r="J60" s="437"/>
      <c r="K60" s="437"/>
      <c r="L60" s="429"/>
      <c r="M60" s="783"/>
      <c r="N60" s="783"/>
      <c r="O60" s="51"/>
      <c r="P60" s="51"/>
      <c r="Q60" s="51"/>
      <c r="R60" s="50"/>
      <c r="S60" s="32"/>
      <c r="T60" s="32"/>
      <c r="U60" s="32"/>
      <c r="V60" s="32"/>
      <c r="W60" s="32"/>
      <c r="X60" s="32"/>
      <c r="Y60" s="32"/>
      <c r="Z60" s="32"/>
      <c r="AA60" s="32"/>
      <c r="AB60" s="32"/>
      <c r="AC60" s="32"/>
      <c r="AD60" s="32"/>
      <c r="AE60" s="32"/>
      <c r="AF60" s="32"/>
      <c r="AG60" s="32"/>
      <c r="AH60" s="32"/>
      <c r="AI60" s="32"/>
      <c r="AJ60" s="32"/>
    </row>
    <row r="61" spans="1:36" ht="15.75" customHeight="1" x14ac:dyDescent="0.25">
      <c r="A61" s="2"/>
      <c r="B61" s="897" t="s">
        <v>1014</v>
      </c>
      <c r="C61" s="897"/>
      <c r="D61" s="778">
        <f>DATI!E88</f>
        <v>0.35</v>
      </c>
      <c r="E61" s="775">
        <f>'geom masse muro+tensioni'!H5</f>
        <v>0.105</v>
      </c>
      <c r="F61" s="359">
        <f>E61*DATI!$E$8</f>
        <v>2.625</v>
      </c>
      <c r="G61" s="778">
        <f>IF(DATI!E88=0,"",'geom masse muro+tensioni'!L5+DATI!E75)</f>
        <v>0.55000000000000004</v>
      </c>
      <c r="H61" s="778">
        <f>IF(DATI!E88=0,"",'geom masse muro+tensioni'!LM5)</f>
        <v>0</v>
      </c>
      <c r="I61" s="778">
        <f>IF(DATI!E88=0,"",'geom masse muro+tensioni'!N5+DATI!E74+DATI!E60)</f>
        <v>3.5250000000000004</v>
      </c>
      <c r="J61" s="429"/>
      <c r="K61" s="429"/>
      <c r="L61" s="429"/>
      <c r="M61" s="429"/>
      <c r="N61" s="429"/>
      <c r="T61" s="160"/>
      <c r="W61" s="32"/>
      <c r="X61" s="32"/>
      <c r="Z61" s="32"/>
      <c r="AA61" s="32"/>
      <c r="AB61" s="32"/>
      <c r="AC61" s="32"/>
      <c r="AD61" s="32"/>
      <c r="AE61" s="32"/>
      <c r="AF61" s="32"/>
      <c r="AG61" s="32"/>
      <c r="AH61" s="32"/>
      <c r="AI61" s="32"/>
      <c r="AJ61" s="32"/>
    </row>
    <row r="62" spans="1:36" ht="15.75" customHeight="1" x14ac:dyDescent="0.25">
      <c r="A62" s="2"/>
      <c r="B62" s="897" t="s">
        <v>515</v>
      </c>
      <c r="C62" s="897"/>
      <c r="D62" s="778">
        <f>DATI!E60</f>
        <v>2.85</v>
      </c>
      <c r="E62" s="775">
        <f>'geom masse muro+tensioni'!H9</f>
        <v>0.85501424999999964</v>
      </c>
      <c r="F62" s="359">
        <f>E62*DATI!$E$8</f>
        <v>21.375356249999992</v>
      </c>
      <c r="G62" s="778">
        <f>'geom masse muro+tensioni'!L9+DATI!E75</f>
        <v>0.55000250001388862</v>
      </c>
      <c r="H62" s="778">
        <f>'geom masse muro+tensioni'!M9</f>
        <v>0</v>
      </c>
      <c r="I62" s="778">
        <f>'geom masse muro+tensioni'!N9+DATI!E74+DATI!E60</f>
        <v>1.9249920834652758</v>
      </c>
      <c r="J62" s="429"/>
      <c r="K62" s="429"/>
      <c r="L62" s="429"/>
      <c r="M62" s="429"/>
      <c r="N62" s="429"/>
      <c r="Z62" s="32"/>
      <c r="AA62" s="32"/>
      <c r="AB62" s="32"/>
      <c r="AC62" s="32"/>
      <c r="AD62" s="32"/>
      <c r="AE62" s="32"/>
      <c r="AF62" s="32"/>
      <c r="AG62" s="32"/>
      <c r="AH62" s="32"/>
      <c r="AI62" s="32"/>
      <c r="AJ62" s="32"/>
    </row>
    <row r="63" spans="1:36" ht="15.75" customHeight="1" x14ac:dyDescent="0.25">
      <c r="A63" s="2"/>
      <c r="B63" s="897" t="s">
        <v>516</v>
      </c>
      <c r="C63" s="897"/>
      <c r="D63" s="778">
        <f>DATI!E74</f>
        <v>0.5</v>
      </c>
      <c r="E63" s="775">
        <f>'geom masse muro+tensioni'!H13</f>
        <v>0.99999999999999978</v>
      </c>
      <c r="F63" s="359">
        <f>E63*DATI!$E$8</f>
        <v>24.999999999999993</v>
      </c>
      <c r="G63" s="778">
        <f>'geom masse muro+tensioni'!L13+DATI!E75</f>
        <v>0.99999999999999978</v>
      </c>
      <c r="H63" s="778">
        <f>'geom masse muro+tensioni'!M13</f>
        <v>0</v>
      </c>
      <c r="I63" s="778">
        <f>'geom masse muro+tensioni'!N13+DATI!E74+DATI!E60</f>
        <v>0.24999999999999956</v>
      </c>
      <c r="J63" s="429"/>
      <c r="K63" s="429"/>
      <c r="L63" s="429"/>
      <c r="M63" s="429"/>
      <c r="N63" s="429"/>
      <c r="Z63" s="32"/>
      <c r="AA63" s="32"/>
      <c r="AB63" s="32"/>
      <c r="AC63" s="32"/>
      <c r="AD63" s="32"/>
      <c r="AE63" s="32"/>
      <c r="AF63" s="32"/>
      <c r="AG63" s="32"/>
      <c r="AH63" s="32"/>
      <c r="AI63" s="32"/>
      <c r="AJ63" s="32"/>
    </row>
    <row r="64" spans="1:36" ht="15.75" customHeight="1" x14ac:dyDescent="0.25">
      <c r="A64" s="2"/>
      <c r="B64" s="897" t="s">
        <v>517</v>
      </c>
      <c r="C64" s="897"/>
      <c r="D64" s="778">
        <f>DATI!E81</f>
        <v>0</v>
      </c>
      <c r="E64" s="775">
        <f>'geom masse muro+tensioni'!H15</f>
        <v>0</v>
      </c>
      <c r="F64" s="359">
        <f>E64*DATI!$E$8</f>
        <v>0</v>
      </c>
      <c r="G64" s="778" t="str">
        <f>IF(DATI!E83=0,"",'geom masse muro+tensioni'!LL15+DATI!E75)</f>
        <v/>
      </c>
      <c r="H64" s="778" t="str">
        <f>IF(DATI!E83=0,"",'geom masse muro+tensioni'!M15)</f>
        <v/>
      </c>
      <c r="I64" s="778" t="str">
        <f>IF(DATI!E83=0,"",'geom masse muro+tensioni'!N15+DATI!E74+DATI!E60)</f>
        <v/>
      </c>
      <c r="J64" s="429"/>
      <c r="K64" s="429"/>
      <c r="L64" s="429"/>
      <c r="M64" s="429"/>
      <c r="N64" s="429"/>
      <c r="Z64" s="32"/>
      <c r="AA64" s="32"/>
      <c r="AB64" s="32"/>
      <c r="AC64" s="32"/>
      <c r="AD64" s="32"/>
      <c r="AE64" s="32"/>
      <c r="AF64" s="32"/>
      <c r="AG64" s="32"/>
      <c r="AH64" s="32"/>
      <c r="AI64" s="32"/>
      <c r="AJ64" s="32"/>
    </row>
    <row r="65" spans="1:36" x14ac:dyDescent="0.25">
      <c r="A65" s="2"/>
      <c r="B65" s="123"/>
      <c r="C65" s="123"/>
      <c r="D65" s="782"/>
      <c r="E65" s="786"/>
      <c r="F65" s="659"/>
      <c r="G65" s="782"/>
      <c r="H65" s="782"/>
      <c r="I65" s="782"/>
      <c r="J65" s="429"/>
      <c r="K65" s="429"/>
      <c r="L65" s="429"/>
      <c r="M65" s="429"/>
      <c r="N65" s="429"/>
      <c r="Z65" s="32"/>
      <c r="AA65" s="32"/>
      <c r="AB65" s="32"/>
      <c r="AC65" s="32"/>
      <c r="AD65" s="32"/>
      <c r="AE65" s="32"/>
      <c r="AF65" s="32"/>
      <c r="AG65" s="32"/>
      <c r="AH65" s="32"/>
      <c r="AI65" s="32"/>
      <c r="AJ65" s="32"/>
    </row>
    <row r="66" spans="1:36" ht="15.75" x14ac:dyDescent="0.25">
      <c r="A66" s="2"/>
      <c r="B66" s="15" t="s">
        <v>754</v>
      </c>
      <c r="C66" s="123"/>
      <c r="D66" s="782"/>
      <c r="E66" s="786"/>
      <c r="F66" s="659"/>
      <c r="G66" s="782"/>
      <c r="H66" s="782"/>
      <c r="I66" s="782"/>
      <c r="J66" s="429"/>
      <c r="K66" s="429"/>
      <c r="L66" s="429"/>
      <c r="M66" s="429"/>
      <c r="N66" s="429"/>
      <c r="Z66" s="32"/>
      <c r="AA66" s="32"/>
      <c r="AB66" s="32"/>
      <c r="AC66" s="32"/>
      <c r="AD66" s="32"/>
      <c r="AE66" s="32"/>
      <c r="AF66" s="32"/>
      <c r="AG66" s="32"/>
      <c r="AH66" s="32"/>
      <c r="AI66" s="32"/>
      <c r="AJ66" s="32"/>
    </row>
    <row r="67" spans="1:36" ht="15.75" x14ac:dyDescent="0.25">
      <c r="A67" s="2"/>
      <c r="B67" s="15"/>
      <c r="C67" s="123"/>
      <c r="D67" s="782"/>
      <c r="E67" s="786"/>
      <c r="F67" s="659"/>
      <c r="G67" s="782"/>
      <c r="H67" s="782"/>
      <c r="I67" s="782"/>
      <c r="J67" s="429"/>
      <c r="K67" s="429"/>
      <c r="L67" s="429"/>
      <c r="M67" s="429"/>
      <c r="N67" s="429"/>
      <c r="Z67" s="32"/>
      <c r="AA67" s="32"/>
      <c r="AB67" s="32"/>
      <c r="AC67" s="32"/>
      <c r="AD67" s="32"/>
      <c r="AE67" s="32"/>
      <c r="AF67" s="32"/>
      <c r="AG67" s="32"/>
      <c r="AH67" s="32"/>
      <c r="AI67" s="32"/>
      <c r="AJ67" s="32"/>
    </row>
    <row r="68" spans="1:36" ht="15.75" x14ac:dyDescent="0.25">
      <c r="A68" s="2"/>
      <c r="B68" s="15"/>
      <c r="C68" s="123"/>
      <c r="D68" s="782"/>
      <c r="E68" s="786"/>
      <c r="F68" s="659"/>
      <c r="G68" s="782"/>
      <c r="H68" s="782"/>
      <c r="I68" s="782"/>
      <c r="J68" s="444"/>
      <c r="K68" s="429"/>
      <c r="L68" s="429"/>
      <c r="M68" s="429"/>
      <c r="N68" s="429"/>
      <c r="Z68" s="32"/>
      <c r="AA68" s="32"/>
      <c r="AB68" s="32"/>
      <c r="AC68" s="32"/>
      <c r="AD68" s="32"/>
      <c r="AE68" s="32"/>
      <c r="AF68" s="32"/>
      <c r="AG68" s="32"/>
      <c r="AH68" s="32"/>
      <c r="AI68" s="32"/>
      <c r="AJ68" s="32"/>
    </row>
    <row r="69" spans="1:36" ht="15.75" x14ac:dyDescent="0.25">
      <c r="A69" s="2"/>
      <c r="B69" s="15"/>
      <c r="C69" s="123"/>
      <c r="D69" s="782"/>
      <c r="E69" s="786"/>
      <c r="F69" s="659"/>
      <c r="G69" s="782"/>
      <c r="H69" s="782"/>
      <c r="I69" s="782"/>
      <c r="J69" s="444"/>
      <c r="K69" s="429"/>
      <c r="L69" s="429"/>
      <c r="M69" s="429"/>
      <c r="N69" s="429"/>
      <c r="Z69" s="32"/>
      <c r="AA69" s="32"/>
      <c r="AB69" s="32"/>
      <c r="AC69" s="32"/>
      <c r="AD69" s="32"/>
      <c r="AE69" s="32"/>
      <c r="AF69" s="32"/>
      <c r="AG69" s="32"/>
      <c r="AH69" s="32"/>
      <c r="AI69" s="32"/>
      <c r="AJ69" s="32"/>
    </row>
    <row r="70" spans="1:36" ht="18" x14ac:dyDescent="0.25">
      <c r="A70" s="2"/>
      <c r="B70" s="896" t="s">
        <v>518</v>
      </c>
      <c r="C70" s="92" t="s">
        <v>519</v>
      </c>
      <c r="D70" s="782"/>
      <c r="E70" s="786"/>
      <c r="F70" s="659"/>
      <c r="G70" s="782"/>
      <c r="H70" s="782"/>
      <c r="I70" s="782"/>
      <c r="J70" s="444"/>
      <c r="K70" s="429"/>
      <c r="L70" s="429"/>
      <c r="M70" s="429"/>
      <c r="N70" s="429"/>
      <c r="Z70" s="32"/>
      <c r="AA70" s="32"/>
      <c r="AB70" s="32"/>
      <c r="AC70" s="32"/>
      <c r="AD70" s="32"/>
      <c r="AE70" s="32"/>
      <c r="AF70" s="32"/>
      <c r="AG70" s="32"/>
      <c r="AH70" s="32"/>
      <c r="AI70" s="32"/>
      <c r="AJ70" s="32"/>
    </row>
    <row r="71" spans="1:36" x14ac:dyDescent="0.25">
      <c r="A71" s="2"/>
      <c r="B71" s="896"/>
      <c r="C71" s="202">
        <f>IF(DATI!C69="muro a contrafforti",('geom masse muro+tensioni'!H22-'geom masse muro+tensioni'!H9)*'geom masse muro+tensioni'!Q32,'geom masse muro+tensioni'!H22*'geom masse muro+tensioni'!Q32)</f>
        <v>79.04568839167807</v>
      </c>
      <c r="D71" s="782"/>
      <c r="E71" s="786"/>
      <c r="F71" s="659"/>
      <c r="G71" s="782"/>
      <c r="H71" s="782"/>
      <c r="I71" s="782"/>
      <c r="J71" s="444"/>
      <c r="K71" s="429"/>
      <c r="L71" s="429"/>
      <c r="M71" s="429"/>
      <c r="N71" s="429"/>
      <c r="Z71" s="32"/>
      <c r="AA71" s="32"/>
      <c r="AB71" s="32"/>
      <c r="AC71" s="32"/>
      <c r="AD71" s="32"/>
      <c r="AE71" s="32"/>
      <c r="AF71" s="32"/>
      <c r="AG71" s="32"/>
      <c r="AH71" s="32"/>
      <c r="AI71" s="32"/>
      <c r="AJ71" s="32"/>
    </row>
    <row r="72" spans="1:36" ht="18" x14ac:dyDescent="0.25">
      <c r="A72" s="2"/>
      <c r="B72" s="896" t="s">
        <v>520</v>
      </c>
      <c r="C72" s="93" t="s">
        <v>521</v>
      </c>
      <c r="D72" s="782"/>
      <c r="E72" s="786"/>
      <c r="F72" s="659"/>
      <c r="G72" s="782"/>
      <c r="H72" s="782"/>
      <c r="I72" s="782"/>
      <c r="J72" s="444"/>
      <c r="K72" s="429"/>
      <c r="L72" s="429"/>
      <c r="M72" s="429"/>
      <c r="N72" s="429"/>
      <c r="Z72" s="32"/>
      <c r="AA72" s="32"/>
      <c r="AB72" s="32"/>
      <c r="AC72" s="32"/>
      <c r="AD72" s="32"/>
      <c r="AE72" s="32"/>
      <c r="AF72" s="32"/>
      <c r="AG72" s="32"/>
      <c r="AH72" s="32"/>
      <c r="AI72" s="32"/>
      <c r="AJ72" s="32"/>
    </row>
    <row r="73" spans="1:36" x14ac:dyDescent="0.25">
      <c r="A73" s="2"/>
      <c r="B73" s="896"/>
      <c r="C73" s="204">
        <f>IF(DATI!G218="DX",C84,DATI!E75+'FOGLIO DEPOSITO'!D212+'FOGLIO DEPOSITO'!D211-'VER. EQU COND. DRENATE'!C84)</f>
        <v>1.3139238557823383</v>
      </c>
      <c r="D73" s="782"/>
      <c r="E73" s="786"/>
      <c r="F73" s="659"/>
      <c r="G73" s="782"/>
      <c r="H73" s="782"/>
      <c r="I73" s="782"/>
      <c r="J73" s="444"/>
      <c r="K73" s="429"/>
      <c r="L73" s="429"/>
      <c r="M73" s="429"/>
      <c r="N73" s="429"/>
      <c r="Z73" s="32"/>
      <c r="AA73" s="32"/>
      <c r="AB73" s="32"/>
      <c r="AC73" s="32"/>
      <c r="AD73" s="32"/>
      <c r="AE73" s="32"/>
      <c r="AF73" s="32"/>
      <c r="AG73" s="32"/>
      <c r="AH73" s="32"/>
      <c r="AI73" s="32"/>
      <c r="AJ73" s="32"/>
    </row>
    <row r="74" spans="1:36" x14ac:dyDescent="0.25">
      <c r="A74" s="2"/>
      <c r="B74" s="896" t="s">
        <v>522</v>
      </c>
      <c r="C74" s="787" t="s">
        <v>523</v>
      </c>
      <c r="D74" s="782"/>
      <c r="E74" s="786"/>
      <c r="F74" s="659"/>
      <c r="G74" s="782"/>
      <c r="H74" s="782"/>
      <c r="I74" s="782"/>
      <c r="J74" s="444"/>
      <c r="K74" s="429"/>
      <c r="L74" s="429"/>
      <c r="M74" s="429"/>
      <c r="N74" s="429"/>
      <c r="Z74" s="32"/>
      <c r="AA74" s="32"/>
      <c r="AB74" s="32"/>
      <c r="AC74" s="32"/>
      <c r="AD74" s="32"/>
      <c r="AE74" s="32"/>
      <c r="AF74" s="32"/>
      <c r="AG74" s="32"/>
      <c r="AH74" s="32"/>
      <c r="AI74" s="32"/>
      <c r="AJ74" s="32"/>
    </row>
    <row r="75" spans="1:36" x14ac:dyDescent="0.25">
      <c r="A75" s="2"/>
      <c r="B75" s="896"/>
      <c r="C75" s="788">
        <f>'geom masse muro+tensioni'!Q32</f>
        <v>20.66561643835616</v>
      </c>
      <c r="D75" s="782"/>
      <c r="E75" s="786"/>
      <c r="F75" s="659"/>
      <c r="G75" s="782"/>
      <c r="H75" s="782"/>
      <c r="I75" s="782"/>
      <c r="J75" s="444"/>
      <c r="K75" s="429"/>
      <c r="L75" s="429"/>
      <c r="M75" s="429"/>
      <c r="N75" s="429"/>
      <c r="Z75" s="32"/>
      <c r="AA75" s="32"/>
      <c r="AB75" s="32"/>
      <c r="AC75" s="32"/>
      <c r="AD75" s="32"/>
      <c r="AE75" s="32"/>
      <c r="AF75" s="32"/>
      <c r="AG75" s="32"/>
      <c r="AH75" s="32"/>
      <c r="AI75" s="32"/>
      <c r="AJ75" s="32"/>
    </row>
    <row r="76" spans="1:36" ht="15.75" x14ac:dyDescent="0.25">
      <c r="A76" s="2"/>
      <c r="B76" s="351" t="str">
        <f>IF(DATI!C69="muro a contrafforti","viene sottratto il volume dei contrafforti","")</f>
        <v/>
      </c>
      <c r="C76" s="123"/>
      <c r="D76" s="782"/>
      <c r="E76" s="786"/>
      <c r="F76" s="659"/>
      <c r="G76" s="782"/>
      <c r="H76" s="782"/>
      <c r="I76" s="782"/>
      <c r="J76" s="444"/>
      <c r="K76" s="429"/>
      <c r="L76" s="429"/>
      <c r="M76" s="429"/>
      <c r="N76" s="429"/>
      <c r="Z76" s="32"/>
      <c r="AA76" s="32"/>
      <c r="AB76" s="32"/>
      <c r="AC76" s="32"/>
      <c r="AD76" s="32"/>
      <c r="AE76" s="32"/>
      <c r="AF76" s="32"/>
      <c r="AG76" s="32"/>
      <c r="AH76" s="32"/>
      <c r="AI76" s="32"/>
      <c r="AJ76" s="32"/>
    </row>
    <row r="77" spans="1:36" x14ac:dyDescent="0.25">
      <c r="A77" s="2"/>
      <c r="B77" s="429"/>
      <c r="C77" s="429"/>
      <c r="D77" s="782"/>
      <c r="E77" s="786"/>
      <c r="F77" s="659"/>
      <c r="G77" s="782"/>
      <c r="H77" s="782"/>
      <c r="I77" s="782"/>
      <c r="J77" s="444"/>
      <c r="K77" s="429"/>
      <c r="L77" s="429"/>
      <c r="M77" s="429"/>
      <c r="N77" s="429"/>
      <c r="Z77" s="32"/>
      <c r="AA77" s="32"/>
      <c r="AB77" s="32"/>
      <c r="AC77" s="32"/>
      <c r="AD77" s="32"/>
      <c r="AE77" s="32"/>
      <c r="AF77" s="32"/>
      <c r="AG77" s="32"/>
      <c r="AH77" s="32"/>
      <c r="AI77" s="32"/>
      <c r="AJ77" s="32"/>
    </row>
    <row r="78" spans="1:36" x14ac:dyDescent="0.25">
      <c r="A78" s="2"/>
      <c r="B78" s="864" t="s">
        <v>524</v>
      </c>
      <c r="C78" s="864"/>
      <c r="D78" s="782"/>
      <c r="E78" s="786"/>
      <c r="F78" s="659"/>
      <c r="G78" s="782"/>
      <c r="H78" s="782"/>
      <c r="I78" s="782"/>
      <c r="J78" s="444"/>
      <c r="K78" s="429"/>
      <c r="L78" s="429"/>
      <c r="M78" s="429"/>
      <c r="N78" s="429"/>
      <c r="Z78" s="32"/>
      <c r="AA78" s="32"/>
      <c r="AB78" s="32"/>
      <c r="AC78" s="32"/>
      <c r="AD78" s="32"/>
      <c r="AE78" s="32"/>
      <c r="AF78" s="32"/>
      <c r="AG78" s="32"/>
      <c r="AH78" s="32"/>
      <c r="AI78" s="32"/>
      <c r="AJ78" s="32"/>
    </row>
    <row r="79" spans="1:36" x14ac:dyDescent="0.25">
      <c r="A79" s="2"/>
      <c r="B79" s="631" t="s">
        <v>525</v>
      </c>
      <c r="C79" s="543">
        <f>'geom masse muro+tensioni'!L34+DATI!E75</f>
        <v>1.1094467263576118</v>
      </c>
      <c r="D79" s="782"/>
      <c r="E79" s="786"/>
      <c r="F79" s="659"/>
      <c r="G79" s="782"/>
      <c r="H79" s="782"/>
      <c r="I79" s="782"/>
      <c r="J79" s="444"/>
      <c r="K79" s="429"/>
      <c r="L79" s="429"/>
      <c r="M79" s="429"/>
      <c r="N79" s="429"/>
      <c r="Z79" s="32"/>
      <c r="AA79" s="32"/>
      <c r="AB79" s="32"/>
      <c r="AC79" s="32"/>
      <c r="AD79" s="32"/>
      <c r="AE79" s="32"/>
      <c r="AF79" s="32"/>
      <c r="AG79" s="32"/>
      <c r="AH79" s="32"/>
      <c r="AI79" s="32"/>
      <c r="AJ79" s="32"/>
    </row>
    <row r="80" spans="1:36" x14ac:dyDescent="0.25">
      <c r="A80" s="2"/>
      <c r="B80" s="631" t="s">
        <v>526</v>
      </c>
      <c r="C80" s="543">
        <f>0</f>
        <v>0</v>
      </c>
      <c r="D80" s="782"/>
      <c r="E80" s="786"/>
      <c r="F80" s="659"/>
      <c r="G80" s="782"/>
      <c r="H80" s="782"/>
      <c r="I80" s="782"/>
      <c r="J80" s="444"/>
      <c r="K80" s="444"/>
      <c r="L80" s="444"/>
      <c r="M80" s="444"/>
      <c r="N80" s="429"/>
      <c r="Z80" s="32"/>
      <c r="AA80" s="32"/>
      <c r="AB80" s="32"/>
      <c r="AC80" s="32"/>
      <c r="AD80" s="32"/>
      <c r="AE80" s="32"/>
      <c r="AF80" s="32"/>
      <c r="AG80" s="32"/>
      <c r="AH80" s="32"/>
      <c r="AI80" s="32"/>
      <c r="AJ80" s="32"/>
    </row>
    <row r="81" spans="1:36" x14ac:dyDescent="0.25">
      <c r="A81" s="2"/>
      <c r="B81" s="631" t="s">
        <v>527</v>
      </c>
      <c r="C81" s="543">
        <f>DATI!E60+DATI!E74+'geom masse muro+tensioni'!N34</f>
        <v>1.606076687939058</v>
      </c>
      <c r="D81" s="782"/>
      <c r="E81" s="786"/>
      <c r="F81" s="659"/>
      <c r="G81" s="782"/>
      <c r="H81" s="782"/>
      <c r="I81" s="782"/>
      <c r="J81" s="444"/>
      <c r="K81" s="444"/>
      <c r="L81" s="444"/>
      <c r="M81" s="444"/>
      <c r="N81" s="429"/>
      <c r="Z81" s="32"/>
      <c r="AA81" s="32"/>
      <c r="AB81" s="32"/>
      <c r="AC81" s="32"/>
      <c r="AD81" s="32"/>
      <c r="AE81" s="32"/>
      <c r="AF81" s="32"/>
      <c r="AG81" s="32"/>
      <c r="AH81" s="32"/>
      <c r="AI81" s="32"/>
      <c r="AJ81" s="32"/>
    </row>
    <row r="82" spans="1:36" x14ac:dyDescent="0.25">
      <c r="A82" s="2"/>
      <c r="B82" s="640"/>
      <c r="C82" s="127"/>
      <c r="D82" s="782"/>
      <c r="E82" s="786"/>
      <c r="F82" s="659"/>
      <c r="G82" s="782"/>
      <c r="H82" s="782"/>
      <c r="I82" s="782"/>
      <c r="J82" s="444"/>
      <c r="K82" s="687"/>
      <c r="L82" s="444"/>
      <c r="M82" s="444"/>
      <c r="N82" s="429"/>
      <c r="Z82" s="32"/>
      <c r="AA82" s="32"/>
      <c r="AB82" s="32"/>
      <c r="AC82" s="32"/>
      <c r="AD82" s="32"/>
      <c r="AE82" s="32"/>
      <c r="AF82" s="32"/>
      <c r="AG82" s="32"/>
      <c r="AH82" s="32"/>
      <c r="AI82" s="32"/>
      <c r="AJ82" s="32"/>
    </row>
    <row r="83" spans="1:36" x14ac:dyDescent="0.25">
      <c r="A83" s="2"/>
      <c r="B83" s="900" t="s">
        <v>528</v>
      </c>
      <c r="C83" s="900"/>
      <c r="D83" s="782"/>
      <c r="E83" s="786"/>
      <c r="F83" s="659"/>
      <c r="G83" s="782"/>
      <c r="H83" s="782"/>
      <c r="I83" s="782"/>
      <c r="J83" s="444"/>
      <c r="K83" s="444"/>
      <c r="L83" s="444"/>
      <c r="M83" s="444"/>
      <c r="N83" s="429"/>
      <c r="Z83" s="32"/>
      <c r="AA83" s="32"/>
      <c r="AB83" s="32"/>
      <c r="AC83" s="32"/>
      <c r="AD83" s="32"/>
      <c r="AE83" s="32"/>
      <c r="AF83" s="32"/>
      <c r="AG83" s="32"/>
      <c r="AH83" s="32"/>
      <c r="AI83" s="32"/>
      <c r="AJ83" s="32"/>
    </row>
    <row r="84" spans="1:36" x14ac:dyDescent="0.25">
      <c r="A84" s="2"/>
      <c r="B84" s="631" t="s">
        <v>529</v>
      </c>
      <c r="C84" s="543">
        <f>'geom masse muro+tensioni'!L22+DATI!E75</f>
        <v>1.3139238557823383</v>
      </c>
      <c r="D84" s="782"/>
      <c r="E84" s="786"/>
      <c r="F84" s="659"/>
      <c r="G84" s="782"/>
      <c r="H84" s="782"/>
      <c r="I84" s="782"/>
      <c r="J84" s="444"/>
      <c r="K84" s="429"/>
      <c r="L84" s="429"/>
      <c r="M84" s="429"/>
      <c r="N84" s="429"/>
      <c r="Z84" s="32"/>
      <c r="AA84" s="32"/>
      <c r="AB84" s="32"/>
      <c r="AC84" s="32"/>
      <c r="AD84" s="32"/>
      <c r="AE84" s="32"/>
      <c r="AF84" s="32"/>
      <c r="AG84" s="32"/>
      <c r="AH84" s="32"/>
      <c r="AI84" s="32"/>
      <c r="AJ84" s="32"/>
    </row>
    <row r="85" spans="1:36" x14ac:dyDescent="0.25">
      <c r="A85" s="2"/>
      <c r="B85" s="631" t="s">
        <v>530</v>
      </c>
      <c r="C85" s="543">
        <f>0</f>
        <v>0</v>
      </c>
      <c r="D85" s="782"/>
      <c r="E85" s="786"/>
      <c r="F85" s="659"/>
      <c r="G85" s="782"/>
      <c r="H85" s="782"/>
      <c r="I85" s="782"/>
      <c r="J85" s="444"/>
      <c r="K85" s="429"/>
      <c r="L85" s="429"/>
      <c r="M85" s="429"/>
      <c r="N85" s="429"/>
      <c r="Z85" s="32"/>
      <c r="AA85" s="32"/>
      <c r="AB85" s="32"/>
      <c r="AC85" s="32"/>
      <c r="AD85" s="32"/>
      <c r="AE85" s="32"/>
      <c r="AF85" s="32"/>
      <c r="AG85" s="32"/>
      <c r="AH85" s="32"/>
      <c r="AI85" s="32"/>
      <c r="AJ85" s="32"/>
    </row>
    <row r="86" spans="1:36" x14ac:dyDescent="0.25">
      <c r="A86" s="2"/>
      <c r="B86" s="631" t="s">
        <v>531</v>
      </c>
      <c r="C86" s="543">
        <f>DATI!E60+DATI!E74+'geom masse muro+tensioni'!N22</f>
        <v>1.885001620594273</v>
      </c>
      <c r="D86" s="782"/>
      <c r="E86" s="786"/>
      <c r="F86" s="659"/>
      <c r="G86" s="782"/>
      <c r="H86" s="782"/>
      <c r="I86" s="782"/>
      <c r="J86" s="444"/>
      <c r="K86" s="429"/>
      <c r="L86" s="429"/>
      <c r="M86" s="429"/>
      <c r="N86" s="429"/>
      <c r="Z86" s="32"/>
      <c r="AA86" s="32"/>
      <c r="AB86" s="32"/>
      <c r="AC86" s="32"/>
      <c r="AD86" s="32"/>
      <c r="AE86" s="32"/>
      <c r="AF86" s="32"/>
      <c r="AG86" s="32"/>
      <c r="AH86" s="32"/>
      <c r="AI86" s="32"/>
      <c r="AJ86" s="32"/>
    </row>
    <row r="87" spans="1:36" x14ac:dyDescent="0.25">
      <c r="A87" s="2"/>
      <c r="B87" s="640"/>
      <c r="C87" s="127"/>
      <c r="D87" s="782"/>
      <c r="E87" s="786"/>
      <c r="F87" s="659"/>
      <c r="G87" s="782"/>
      <c r="H87" s="782"/>
      <c r="I87" s="782"/>
      <c r="J87" s="444"/>
      <c r="K87" s="429"/>
      <c r="L87" s="429"/>
      <c r="M87" s="429"/>
      <c r="N87" s="429"/>
      <c r="Z87" s="32"/>
      <c r="AA87" s="32"/>
      <c r="AB87" s="32"/>
      <c r="AC87" s="32"/>
      <c r="AD87" s="32"/>
      <c r="AE87" s="32"/>
      <c r="AF87" s="32"/>
      <c r="AG87" s="32"/>
      <c r="AH87" s="32"/>
      <c r="AI87" s="32"/>
      <c r="AJ87" s="32"/>
    </row>
    <row r="88" spans="1:36" x14ac:dyDescent="0.25">
      <c r="A88" s="2"/>
      <c r="B88" s="900" t="s">
        <v>532</v>
      </c>
      <c r="C88" s="900"/>
      <c r="D88" s="782"/>
      <c r="E88" s="786"/>
      <c r="F88" s="659"/>
      <c r="G88" s="782"/>
      <c r="H88" s="782"/>
      <c r="I88" s="782"/>
      <c r="J88" s="444"/>
      <c r="K88" s="429"/>
      <c r="L88" s="429"/>
      <c r="M88" s="429"/>
      <c r="N88" s="429"/>
      <c r="Z88" s="32"/>
      <c r="AA88" s="32"/>
      <c r="AB88" s="32"/>
      <c r="AC88" s="32"/>
      <c r="AD88" s="32"/>
      <c r="AE88" s="32"/>
      <c r="AF88" s="32"/>
      <c r="AG88" s="32"/>
      <c r="AH88" s="32"/>
      <c r="AI88" s="32"/>
      <c r="AJ88" s="32"/>
    </row>
    <row r="89" spans="1:36" x14ac:dyDescent="0.25">
      <c r="A89" s="2"/>
      <c r="B89" s="777" t="s">
        <v>70</v>
      </c>
      <c r="C89" s="778">
        <f>'VER. EQU COND. DRENATE'!C38</f>
        <v>0.77959125809799579</v>
      </c>
      <c r="D89" s="782"/>
      <c r="E89" s="786"/>
      <c r="F89" s="659"/>
      <c r="G89" s="782"/>
      <c r="H89" s="782"/>
      <c r="I89" s="782"/>
      <c r="J89" s="444"/>
      <c r="K89" s="429"/>
      <c r="L89" s="429"/>
      <c r="M89" s="429"/>
      <c r="N89" s="429"/>
      <c r="Z89" s="32"/>
      <c r="AA89" s="32"/>
      <c r="AB89" s="32"/>
      <c r="AC89" s="32"/>
      <c r="AD89" s="32"/>
      <c r="AE89" s="32"/>
      <c r="AF89" s="32"/>
      <c r="AG89" s="32"/>
      <c r="AH89" s="32"/>
      <c r="AI89" s="32"/>
      <c r="AJ89" s="32"/>
    </row>
    <row r="90" spans="1:36" x14ac:dyDescent="0.25">
      <c r="A90" s="2"/>
      <c r="B90" s="777" t="s">
        <v>71</v>
      </c>
      <c r="C90" s="778">
        <f>'VER. EQU COND. DRENATE'!C39</f>
        <v>0</v>
      </c>
      <c r="D90" s="782"/>
      <c r="E90" s="786"/>
      <c r="F90" s="659"/>
      <c r="G90" s="782"/>
      <c r="H90" s="782"/>
      <c r="I90" s="782"/>
      <c r="J90" s="444"/>
      <c r="K90" s="429"/>
      <c r="L90" s="429"/>
      <c r="M90" s="429"/>
      <c r="N90" s="429"/>
      <c r="Z90" s="32"/>
      <c r="AA90" s="32"/>
      <c r="AB90" s="32"/>
      <c r="AC90" s="32"/>
      <c r="AD90" s="32"/>
      <c r="AE90" s="32"/>
      <c r="AF90" s="32"/>
      <c r="AG90" s="32"/>
      <c r="AH90" s="32"/>
      <c r="AI90" s="32"/>
      <c r="AJ90" s="32"/>
    </row>
    <row r="91" spans="1:36" x14ac:dyDescent="0.25">
      <c r="A91" s="2"/>
      <c r="B91" s="777" t="s">
        <v>72</v>
      </c>
      <c r="C91" s="778">
        <f>'VER. EQU COND. DRENATE'!C40</f>
        <v>1.1561245855738038</v>
      </c>
      <c r="D91" s="782"/>
      <c r="E91" s="786"/>
      <c r="F91" s="659"/>
      <c r="G91" s="782"/>
      <c r="H91" s="782"/>
      <c r="I91" s="782"/>
      <c r="J91" s="444"/>
      <c r="K91" s="429"/>
      <c r="L91" s="429"/>
      <c r="M91" s="429"/>
      <c r="N91" s="429"/>
      <c r="Z91" s="32"/>
      <c r="AA91" s="32"/>
      <c r="AB91" s="32"/>
      <c r="AC91" s="32"/>
      <c r="AD91" s="32"/>
      <c r="AE91" s="32"/>
      <c r="AF91" s="32"/>
      <c r="AG91" s="32"/>
      <c r="AH91" s="32"/>
      <c r="AI91" s="32"/>
      <c r="AJ91" s="32"/>
    </row>
    <row r="92" spans="1:36" x14ac:dyDescent="0.25">
      <c r="A92" s="2"/>
      <c r="B92" s="123"/>
      <c r="C92" s="123"/>
      <c r="D92" s="782"/>
      <c r="E92" s="786"/>
      <c r="F92" s="659"/>
      <c r="G92" s="782"/>
      <c r="H92" s="782"/>
      <c r="I92" s="782"/>
      <c r="J92" s="444"/>
      <c r="K92" s="429"/>
      <c r="L92" s="429"/>
      <c r="M92" s="429"/>
      <c r="N92" s="429"/>
      <c r="Z92" s="32"/>
      <c r="AA92" s="32"/>
      <c r="AB92" s="32"/>
      <c r="AC92" s="32"/>
      <c r="AD92" s="32"/>
      <c r="AE92" s="32"/>
      <c r="AF92" s="32"/>
      <c r="AG92" s="32"/>
      <c r="AH92" s="32"/>
      <c r="AI92" s="32"/>
      <c r="AJ92" s="32"/>
    </row>
    <row r="93" spans="1:36" x14ac:dyDescent="0.25">
      <c r="A93" s="2"/>
      <c r="B93" s="123"/>
      <c r="C93" s="123"/>
      <c r="D93" s="782"/>
      <c r="E93" s="786"/>
      <c r="F93" s="659"/>
      <c r="G93" s="782"/>
      <c r="H93" s="782"/>
      <c r="I93" s="782"/>
      <c r="J93" s="444"/>
      <c r="K93" s="429"/>
      <c r="L93" s="429"/>
      <c r="M93" s="429"/>
      <c r="N93" s="429"/>
      <c r="Z93" s="32"/>
      <c r="AA93" s="32"/>
      <c r="AB93" s="32"/>
      <c r="AC93" s="32"/>
      <c r="AD93" s="32"/>
      <c r="AE93" s="32"/>
      <c r="AF93" s="32"/>
      <c r="AG93" s="32"/>
      <c r="AH93" s="32"/>
      <c r="AI93" s="32"/>
      <c r="AJ93" s="32"/>
    </row>
    <row r="94" spans="1:36" x14ac:dyDescent="0.25">
      <c r="A94" s="2"/>
      <c r="B94" s="123"/>
      <c r="C94" s="123"/>
      <c r="D94" s="782"/>
      <c r="E94" s="786"/>
      <c r="F94" s="659"/>
      <c r="G94" s="782"/>
      <c r="H94" s="782"/>
      <c r="I94" s="782"/>
      <c r="J94" s="444"/>
      <c r="K94" s="429"/>
      <c r="L94" s="429"/>
      <c r="M94" s="429"/>
      <c r="N94" s="429"/>
      <c r="Z94" s="32"/>
      <c r="AA94" s="32"/>
      <c r="AB94" s="32"/>
      <c r="AC94" s="32"/>
      <c r="AD94" s="32"/>
      <c r="AE94" s="32"/>
      <c r="AF94" s="32"/>
      <c r="AG94" s="32"/>
      <c r="AH94" s="32"/>
      <c r="AI94" s="32"/>
      <c r="AJ94" s="32"/>
    </row>
    <row r="95" spans="1:36" x14ac:dyDescent="0.25">
      <c r="A95" s="2"/>
      <c r="B95" s="123"/>
      <c r="C95" s="123"/>
      <c r="D95" s="782"/>
      <c r="E95" s="786"/>
      <c r="F95" s="659"/>
      <c r="G95" s="782"/>
      <c r="H95" s="782"/>
      <c r="I95" s="782"/>
      <c r="J95" s="444"/>
      <c r="K95" s="429"/>
      <c r="L95" s="429"/>
      <c r="M95" s="429"/>
      <c r="N95" s="429"/>
      <c r="Z95" s="32"/>
      <c r="AA95" s="32"/>
      <c r="AB95" s="32"/>
      <c r="AC95" s="32"/>
      <c r="AD95" s="32"/>
      <c r="AE95" s="32"/>
      <c r="AF95" s="32"/>
      <c r="AG95" s="32"/>
      <c r="AH95" s="32"/>
      <c r="AI95" s="32"/>
      <c r="AJ95" s="32"/>
    </row>
    <row r="96" spans="1:36" x14ac:dyDescent="0.25">
      <c r="A96" s="2"/>
      <c r="B96" s="429"/>
      <c r="C96" s="429"/>
      <c r="D96" s="429"/>
      <c r="E96" s="429"/>
      <c r="F96" s="429"/>
      <c r="G96" s="429"/>
      <c r="H96" s="429"/>
      <c r="I96" s="429"/>
      <c r="J96" s="429"/>
      <c r="K96" s="429"/>
      <c r="L96" s="429"/>
      <c r="M96" s="429"/>
      <c r="N96" s="429"/>
      <c r="Z96" s="32"/>
      <c r="AA96" s="32"/>
      <c r="AB96" s="32"/>
      <c r="AC96" s="32"/>
      <c r="AD96" s="32"/>
      <c r="AE96" s="32"/>
      <c r="AF96" s="32"/>
      <c r="AG96" s="32"/>
      <c r="AH96" s="32"/>
      <c r="AI96" s="32"/>
      <c r="AJ96" s="32"/>
    </row>
    <row r="97" spans="1:36" ht="18.75" x14ac:dyDescent="0.3">
      <c r="A97" s="2"/>
      <c r="B97" s="436" t="s">
        <v>755</v>
      </c>
      <c r="C97" s="94"/>
      <c r="D97" s="94"/>
      <c r="E97" s="94"/>
      <c r="F97" s="640"/>
      <c r="G97" s="640"/>
      <c r="H97" s="640"/>
      <c r="I97" s="429"/>
      <c r="J97" s="429"/>
      <c r="K97" s="429"/>
      <c r="L97" s="429"/>
      <c r="M97" s="429"/>
      <c r="N97" s="429"/>
      <c r="Z97" s="32"/>
      <c r="AA97" s="32"/>
      <c r="AB97" s="32"/>
      <c r="AC97" s="32"/>
      <c r="AD97" s="32"/>
      <c r="AE97" s="32"/>
      <c r="AF97" s="32"/>
      <c r="AG97" s="32"/>
      <c r="AH97" s="32"/>
      <c r="AI97" s="32"/>
      <c r="AJ97" s="32"/>
    </row>
    <row r="98" spans="1:36" ht="9.75" customHeight="1" x14ac:dyDescent="0.3">
      <c r="A98" s="2"/>
      <c r="B98" s="436"/>
      <c r="C98" s="94"/>
      <c r="D98" s="94"/>
      <c r="E98" s="94"/>
      <c r="F98" s="640"/>
      <c r="G98" s="640"/>
      <c r="H98" s="640"/>
      <c r="I98" s="429"/>
      <c r="J98" s="429"/>
      <c r="K98" s="429"/>
      <c r="L98" s="429"/>
      <c r="M98" s="429"/>
      <c r="N98" s="429"/>
      <c r="Z98" s="32"/>
      <c r="AA98" s="32"/>
      <c r="AB98" s="32"/>
      <c r="AC98" s="32"/>
      <c r="AD98" s="32"/>
      <c r="AE98" s="32"/>
      <c r="AF98" s="32"/>
      <c r="AG98" s="32"/>
      <c r="AH98" s="32"/>
      <c r="AI98" s="32"/>
      <c r="AJ98" s="32"/>
    </row>
    <row r="99" spans="1:36" x14ac:dyDescent="0.25">
      <c r="A99" s="2"/>
      <c r="B99" s="431" t="s">
        <v>756</v>
      </c>
      <c r="C99" s="94"/>
      <c r="D99" s="94"/>
      <c r="E99" s="94"/>
      <c r="F99" s="640"/>
      <c r="G99" s="640"/>
      <c r="H99" s="640"/>
      <c r="I99" s="429"/>
      <c r="J99" s="429"/>
      <c r="K99" s="429"/>
      <c r="L99" s="429"/>
      <c r="M99" s="429"/>
      <c r="N99" s="429"/>
      <c r="Z99" s="32"/>
      <c r="AA99" s="32"/>
      <c r="AB99" s="32"/>
      <c r="AC99" s="32"/>
      <c r="AD99" s="32"/>
      <c r="AE99" s="32"/>
      <c r="AF99" s="32"/>
      <c r="AG99" s="32"/>
      <c r="AH99" s="32"/>
      <c r="AI99" s="32"/>
      <c r="AJ99" s="32"/>
    </row>
    <row r="100" spans="1:36" ht="9.75" customHeight="1" x14ac:dyDescent="0.25">
      <c r="A100" s="2"/>
      <c r="B100" s="431"/>
      <c r="C100" s="94"/>
      <c r="D100" s="94"/>
      <c r="E100" s="94"/>
      <c r="F100" s="640"/>
      <c r="G100" s="640"/>
      <c r="H100" s="640"/>
      <c r="I100" s="429"/>
      <c r="J100" s="429"/>
      <c r="K100" s="429"/>
      <c r="L100" s="429"/>
      <c r="M100" s="429"/>
      <c r="N100" s="429"/>
      <c r="Z100" s="32"/>
      <c r="AA100" s="32"/>
      <c r="AB100" s="32"/>
      <c r="AC100" s="32"/>
      <c r="AD100" s="32"/>
      <c r="AE100" s="32"/>
      <c r="AF100" s="32"/>
      <c r="AG100" s="32"/>
      <c r="AH100" s="32"/>
      <c r="AI100" s="32"/>
      <c r="AJ100" s="32"/>
    </row>
    <row r="101" spans="1:36" ht="9.75" customHeight="1" x14ac:dyDescent="0.25">
      <c r="A101" s="2"/>
      <c r="B101" s="431"/>
      <c r="C101" s="94"/>
      <c r="D101" s="94"/>
      <c r="E101" s="94"/>
      <c r="F101" s="640"/>
      <c r="G101" s="640"/>
      <c r="H101" s="640"/>
      <c r="I101" s="429"/>
      <c r="J101" s="429"/>
      <c r="K101" s="429"/>
      <c r="L101" s="429"/>
      <c r="M101" s="429"/>
      <c r="N101" s="429"/>
      <c r="Z101" s="32"/>
      <c r="AA101" s="32"/>
      <c r="AB101" s="32"/>
      <c r="AC101" s="32"/>
      <c r="AD101" s="32"/>
      <c r="AE101" s="32"/>
      <c r="AF101" s="32"/>
      <c r="AG101" s="32"/>
      <c r="AH101" s="32"/>
      <c r="AI101" s="32"/>
      <c r="AJ101" s="32"/>
    </row>
    <row r="102" spans="1:36" x14ac:dyDescent="0.25">
      <c r="A102" s="2"/>
      <c r="B102" s="898" t="s">
        <v>326</v>
      </c>
      <c r="C102" s="898"/>
      <c r="D102" s="899" t="str">
        <f>IF(DATI!C274="","STATICA","SISMICA")</f>
        <v>SISMICA</v>
      </c>
      <c r="E102" s="899"/>
      <c r="F102" s="899"/>
      <c r="G102" s="640"/>
      <c r="H102" s="640"/>
      <c r="I102" s="429"/>
      <c r="J102" s="429"/>
      <c r="K102" s="429"/>
      <c r="L102" s="429"/>
      <c r="M102" s="429"/>
      <c r="N102" s="429"/>
      <c r="Z102" s="32"/>
      <c r="AA102" s="32"/>
      <c r="AB102" s="32"/>
      <c r="AC102" s="32"/>
      <c r="AD102" s="32"/>
      <c r="AE102" s="32"/>
      <c r="AF102" s="32"/>
      <c r="AG102" s="32"/>
      <c r="AH102" s="32"/>
      <c r="AI102" s="32"/>
      <c r="AJ102" s="32"/>
    </row>
    <row r="103" spans="1:36" x14ac:dyDescent="0.25">
      <c r="A103" s="2"/>
      <c r="B103" s="429"/>
      <c r="C103" s="429"/>
      <c r="D103" s="429"/>
      <c r="E103" s="429"/>
      <c r="F103" s="640"/>
      <c r="G103" s="640"/>
      <c r="H103" s="640"/>
      <c r="I103" s="429"/>
      <c r="J103" s="429"/>
      <c r="K103" s="429"/>
      <c r="L103" s="429"/>
      <c r="M103" s="429"/>
      <c r="N103" s="429"/>
      <c r="Z103" s="32"/>
      <c r="AA103" s="32"/>
      <c r="AB103" s="32"/>
      <c r="AC103" s="32"/>
      <c r="AD103" s="32"/>
      <c r="AE103" s="32"/>
      <c r="AF103" s="32"/>
      <c r="AG103" s="32"/>
      <c r="AH103" s="32"/>
      <c r="AI103" s="32"/>
      <c r="AJ103" s="32"/>
    </row>
    <row r="104" spans="1:36" x14ac:dyDescent="0.25">
      <c r="A104" s="2"/>
      <c r="B104" s="898" t="s">
        <v>469</v>
      </c>
      <c r="C104" s="898"/>
      <c r="D104" s="899" t="str">
        <f>DATI!C268</f>
        <v xml:space="preserve"> APPROCCIO 2 --- Combinazione (A1+M1+R3)</v>
      </c>
      <c r="E104" s="899"/>
      <c r="F104" s="899"/>
      <c r="G104" s="640"/>
      <c r="H104" s="640"/>
      <c r="I104" s="429"/>
      <c r="J104" s="429"/>
      <c r="K104" s="429"/>
      <c r="L104" s="429"/>
      <c r="M104" s="429"/>
      <c r="N104" s="429"/>
      <c r="Z104" s="32"/>
      <c r="AA104" s="32"/>
      <c r="AB104" s="32"/>
      <c r="AC104" s="32"/>
      <c r="AD104" s="32"/>
      <c r="AE104" s="32"/>
      <c r="AF104" s="32"/>
      <c r="AG104" s="32"/>
      <c r="AH104" s="32"/>
      <c r="AI104" s="32"/>
      <c r="AJ104" s="32"/>
    </row>
    <row r="105" spans="1:36" x14ac:dyDescent="0.25">
      <c r="A105" s="2"/>
      <c r="B105" s="636"/>
      <c r="C105" s="636"/>
      <c r="D105" s="637"/>
      <c r="E105" s="637"/>
      <c r="F105" s="637"/>
      <c r="G105" s="640"/>
      <c r="H105" s="640"/>
      <c r="I105" s="429"/>
      <c r="J105" s="429"/>
      <c r="K105" s="429"/>
      <c r="L105" s="429"/>
      <c r="M105" s="429"/>
      <c r="N105" s="429"/>
      <c r="Z105" s="32"/>
      <c r="AA105" s="32"/>
      <c r="AB105" s="32"/>
      <c r="AC105" s="32"/>
      <c r="AD105" s="32"/>
      <c r="AE105" s="32"/>
      <c r="AF105" s="32"/>
      <c r="AG105" s="32"/>
      <c r="AH105" s="32"/>
      <c r="AI105" s="32"/>
      <c r="AJ105" s="32"/>
    </row>
    <row r="106" spans="1:36" x14ac:dyDescent="0.25">
      <c r="A106" s="2"/>
      <c r="B106" s="636"/>
      <c r="C106" s="636"/>
      <c r="D106" s="637"/>
      <c r="E106" s="637"/>
      <c r="F106" s="637"/>
      <c r="G106" s="640"/>
      <c r="H106" s="640"/>
      <c r="I106" s="429"/>
      <c r="J106" s="429"/>
      <c r="K106" s="429"/>
      <c r="L106" s="429"/>
      <c r="M106" s="429"/>
      <c r="N106" s="429"/>
      <c r="Z106" s="32"/>
      <c r="AA106" s="32"/>
      <c r="AB106" s="32"/>
      <c r="AC106" s="32"/>
      <c r="AD106" s="32"/>
      <c r="AE106" s="32"/>
      <c r="AF106" s="32"/>
      <c r="AG106" s="32"/>
      <c r="AH106" s="32"/>
      <c r="AI106" s="32"/>
      <c r="AJ106" s="32"/>
    </row>
    <row r="107" spans="1:36" x14ac:dyDescent="0.25">
      <c r="A107" s="2"/>
      <c r="B107" s="889" t="s">
        <v>533</v>
      </c>
      <c r="C107" s="889"/>
      <c r="D107" s="429"/>
      <c r="E107" s="429"/>
      <c r="F107" s="444"/>
      <c r="G107" s="429"/>
      <c r="H107" s="640"/>
      <c r="I107" s="429"/>
      <c r="J107" s="429"/>
      <c r="K107" s="429"/>
      <c r="L107" s="429"/>
      <c r="M107" s="429"/>
      <c r="N107" s="429"/>
      <c r="Z107" s="32"/>
      <c r="AA107" s="32"/>
      <c r="AB107" s="32"/>
      <c r="AC107" s="32"/>
      <c r="AD107" s="32"/>
      <c r="AE107" s="32"/>
      <c r="AF107" s="32"/>
      <c r="AG107" s="32"/>
      <c r="AH107" s="32"/>
      <c r="AI107" s="32"/>
      <c r="AJ107" s="32"/>
    </row>
    <row r="108" spans="1:36" s="428" customFormat="1" x14ac:dyDescent="0.25">
      <c r="A108" s="429"/>
      <c r="B108" s="480"/>
      <c r="C108" s="480"/>
      <c r="D108" s="429"/>
      <c r="E108" s="429"/>
      <c r="F108" s="444"/>
      <c r="G108" s="429"/>
      <c r="H108" s="640"/>
      <c r="I108" s="429"/>
      <c r="J108" s="429"/>
      <c r="K108" s="429"/>
      <c r="L108" s="429"/>
      <c r="M108" s="429"/>
      <c r="N108" s="429"/>
      <c r="Z108" s="32"/>
      <c r="AA108" s="32"/>
      <c r="AB108" s="32"/>
      <c r="AC108" s="32"/>
      <c r="AD108" s="32"/>
      <c r="AE108" s="32"/>
      <c r="AF108" s="32"/>
      <c r="AG108" s="32"/>
      <c r="AH108" s="32"/>
      <c r="AI108" s="32"/>
      <c r="AJ108" s="32"/>
    </row>
    <row r="109" spans="1:36" x14ac:dyDescent="0.25">
      <c r="A109" s="2"/>
      <c r="B109" s="429"/>
      <c r="C109" s="429"/>
      <c r="D109" s="327" t="s">
        <v>534</v>
      </c>
      <c r="E109" s="789" t="s">
        <v>535</v>
      </c>
      <c r="F109" s="510" t="s">
        <v>1093</v>
      </c>
      <c r="G109" s="327" t="s">
        <v>536</v>
      </c>
      <c r="H109" s="640"/>
      <c r="I109" s="429"/>
      <c r="J109" s="429"/>
      <c r="K109" s="429"/>
      <c r="L109" s="429"/>
      <c r="M109" s="429"/>
      <c r="N109" s="429"/>
      <c r="Z109" s="32"/>
      <c r="AA109" s="32"/>
      <c r="AB109" s="32"/>
      <c r="AC109" s="32"/>
      <c r="AD109" s="32"/>
      <c r="AE109" s="32"/>
      <c r="AF109" s="32"/>
      <c r="AG109" s="32"/>
      <c r="AH109" s="32"/>
      <c r="AI109" s="32"/>
      <c r="AJ109" s="32"/>
    </row>
    <row r="110" spans="1:36" x14ac:dyDescent="0.25">
      <c r="A110" s="2"/>
      <c r="B110" s="354" t="s">
        <v>842</v>
      </c>
      <c r="C110" s="354"/>
      <c r="D110" s="355">
        <f>'ANALISI DELLE SPINTE'!R117</f>
        <v>67.626126686013407</v>
      </c>
      <c r="E110" s="59">
        <f>IF(DATI!C274="",1.1,1)</f>
        <v>1</v>
      </c>
      <c r="F110" s="44">
        <f>IF(D102="sismica",IF(DATI!E50=1,1,1.45),1)</f>
        <v>1.45</v>
      </c>
      <c r="G110" s="355">
        <f>D110*E110*F110</f>
        <v>98.057883694719436</v>
      </c>
      <c r="H110" s="640"/>
      <c r="I110" s="429"/>
      <c r="J110" s="429"/>
      <c r="K110" s="429"/>
      <c r="L110" s="429"/>
      <c r="M110" s="429"/>
      <c r="N110" s="429"/>
      <c r="Z110" s="32"/>
      <c r="AA110" s="32"/>
      <c r="AB110" s="32"/>
      <c r="AC110" s="32"/>
      <c r="AD110" s="32"/>
      <c r="AE110" s="32"/>
      <c r="AF110" s="32"/>
      <c r="AG110" s="32"/>
      <c r="AH110" s="32"/>
      <c r="AI110" s="32"/>
      <c r="AJ110" s="32"/>
    </row>
    <row r="111" spans="1:36" x14ac:dyDescent="0.25">
      <c r="A111" s="2"/>
      <c r="B111" s="53"/>
      <c r="C111" s="53"/>
      <c r="D111" s="53"/>
      <c r="E111" s="53"/>
      <c r="F111" s="71" t="s">
        <v>538</v>
      </c>
      <c r="G111" s="97">
        <f>SUM(G110:G110)</f>
        <v>98.057883694719436</v>
      </c>
      <c r="H111" s="640"/>
      <c r="I111" s="429"/>
      <c r="J111" s="429"/>
      <c r="K111" s="429"/>
      <c r="L111" s="429"/>
      <c r="M111" s="429"/>
      <c r="N111" s="429"/>
      <c r="Z111" s="32"/>
      <c r="AA111" s="32"/>
      <c r="AB111" s="32"/>
      <c r="AC111" s="32"/>
      <c r="AD111" s="32"/>
      <c r="AE111" s="32"/>
      <c r="AF111" s="32"/>
      <c r="AG111" s="32"/>
      <c r="AH111" s="32"/>
      <c r="AI111" s="32"/>
      <c r="AJ111" s="32"/>
    </row>
    <row r="112" spans="1:36" x14ac:dyDescent="0.25">
      <c r="A112" s="2"/>
      <c r="B112" s="24"/>
      <c r="C112" s="24"/>
      <c r="D112" s="24"/>
      <c r="E112" s="429"/>
      <c r="F112" s="71"/>
      <c r="G112" s="648"/>
      <c r="H112" s="640"/>
      <c r="I112" s="429"/>
      <c r="J112" s="429"/>
      <c r="K112" s="429"/>
      <c r="L112" s="429"/>
      <c r="M112" s="429"/>
      <c r="N112" s="429"/>
      <c r="Z112" s="32"/>
      <c r="AA112" s="32"/>
      <c r="AB112" s="32"/>
      <c r="AC112" s="32"/>
      <c r="AD112" s="32"/>
      <c r="AE112" s="32"/>
      <c r="AF112" s="32"/>
      <c r="AG112" s="32"/>
      <c r="AH112" s="32"/>
      <c r="AI112" s="32"/>
      <c r="AJ112" s="32"/>
    </row>
    <row r="113" spans="1:36" x14ac:dyDescent="0.25">
      <c r="A113" s="2"/>
      <c r="B113" s="880" t="s">
        <v>539</v>
      </c>
      <c r="C113" s="880"/>
      <c r="D113" s="24"/>
      <c r="E113" s="24"/>
      <c r="F113" s="71"/>
      <c r="G113" s="648"/>
      <c r="H113" s="640"/>
      <c r="I113" s="429"/>
      <c r="J113" s="429"/>
      <c r="K113" s="429"/>
      <c r="L113" s="429"/>
      <c r="M113" s="429"/>
      <c r="N113" s="429"/>
      <c r="Z113" s="32"/>
      <c r="AA113" s="32"/>
      <c r="AB113" s="32"/>
      <c r="AC113" s="32"/>
      <c r="AD113" s="32"/>
      <c r="AE113" s="32"/>
      <c r="AF113" s="32"/>
      <c r="AG113" s="32"/>
      <c r="AH113" s="32"/>
      <c r="AI113" s="32"/>
      <c r="AJ113" s="32"/>
    </row>
    <row r="114" spans="1:36" x14ac:dyDescent="0.25">
      <c r="A114" s="2"/>
      <c r="B114" s="429"/>
      <c r="C114" s="429"/>
      <c r="D114" s="429"/>
      <c r="E114" s="429"/>
      <c r="F114" s="207"/>
      <c r="G114" s="640"/>
      <c r="H114" s="640"/>
      <c r="I114" s="429"/>
      <c r="J114" s="429"/>
      <c r="K114" s="429"/>
      <c r="L114" s="429"/>
      <c r="M114" s="429"/>
      <c r="N114" s="429"/>
      <c r="Z114" s="32"/>
      <c r="AA114" s="32"/>
      <c r="AB114" s="32"/>
      <c r="AC114" s="32"/>
      <c r="AD114" s="32"/>
      <c r="AE114" s="32"/>
      <c r="AF114" s="32"/>
      <c r="AG114" s="32"/>
      <c r="AH114" s="32"/>
      <c r="AI114" s="32"/>
      <c r="AJ114" s="32"/>
    </row>
    <row r="115" spans="1:36" x14ac:dyDescent="0.25">
      <c r="A115" s="2"/>
      <c r="B115" s="429"/>
      <c r="C115" s="632" t="s">
        <v>540</v>
      </c>
      <c r="D115" s="642" t="s">
        <v>541</v>
      </c>
      <c r="E115" s="642" t="s">
        <v>542</v>
      </c>
      <c r="F115" s="63" t="s">
        <v>543</v>
      </c>
      <c r="G115" s="642" t="s">
        <v>544</v>
      </c>
      <c r="H115" s="640"/>
      <c r="I115" s="429"/>
      <c r="J115" s="429"/>
      <c r="K115" s="429"/>
      <c r="L115" s="429"/>
      <c r="M115" s="429"/>
      <c r="N115" s="429"/>
      <c r="Z115" s="32"/>
      <c r="AA115" s="32"/>
      <c r="AB115" s="32"/>
      <c r="AC115" s="32"/>
      <c r="AD115" s="32"/>
      <c r="AE115" s="32"/>
      <c r="AF115" s="32"/>
      <c r="AG115" s="32"/>
      <c r="AH115" s="32"/>
      <c r="AI115" s="32"/>
      <c r="AJ115" s="32"/>
    </row>
    <row r="116" spans="1:36" x14ac:dyDescent="0.25">
      <c r="A116" s="2"/>
      <c r="B116" s="95" t="s">
        <v>545</v>
      </c>
      <c r="C116" s="659">
        <f>C47</f>
        <v>49.000356249999989</v>
      </c>
      <c r="D116" s="3">
        <f>IF('ANALISI DELLE SPINTE'!C6="SISMICA",1,0.9)</f>
        <v>1</v>
      </c>
      <c r="E116" s="659">
        <f>C116*D116</f>
        <v>49.000356249999989</v>
      </c>
      <c r="F116" s="206">
        <f>C49</f>
        <v>0.77959125809799579</v>
      </c>
      <c r="G116" s="355">
        <f>E116*F116</f>
        <v>38.200249376187479</v>
      </c>
      <c r="H116" s="640"/>
      <c r="I116" s="429"/>
      <c r="J116" s="429"/>
      <c r="K116" s="429"/>
      <c r="L116" s="429"/>
      <c r="M116" s="429"/>
      <c r="N116" s="429"/>
      <c r="Z116" s="32"/>
      <c r="AA116" s="32"/>
      <c r="AB116" s="32"/>
      <c r="AC116" s="32"/>
      <c r="AD116" s="32"/>
      <c r="AE116" s="32"/>
      <c r="AF116" s="32"/>
      <c r="AG116" s="32"/>
      <c r="AH116" s="32"/>
      <c r="AI116" s="32"/>
      <c r="AJ116" s="32"/>
    </row>
    <row r="117" spans="1:36" x14ac:dyDescent="0.25">
      <c r="A117" s="2"/>
      <c r="B117" s="95" t="s">
        <v>546</v>
      </c>
      <c r="C117" s="659">
        <f>C71</f>
        <v>79.04568839167807</v>
      </c>
      <c r="D117" s="648">
        <f>IF('ANALISI DELLE SPINTE'!C6="SISMICA",1,0.9)</f>
        <v>1</v>
      </c>
      <c r="E117" s="659">
        <f>C117*D117</f>
        <v>79.04568839167807</v>
      </c>
      <c r="F117" s="365">
        <f>C73</f>
        <v>1.3139238557823383</v>
      </c>
      <c r="G117" s="366">
        <f>E117*F117</f>
        <v>103.86001567456287</v>
      </c>
      <c r="H117" s="640"/>
      <c r="I117" s="429"/>
      <c r="J117" s="429"/>
      <c r="K117" s="429"/>
      <c r="L117" s="429"/>
      <c r="M117" s="429"/>
      <c r="N117" s="429"/>
      <c r="Z117" s="32"/>
      <c r="AA117" s="32"/>
      <c r="AB117" s="32"/>
      <c r="AC117" s="32"/>
      <c r="AD117" s="32"/>
      <c r="AE117" s="32"/>
      <c r="AF117" s="32"/>
      <c r="AG117" s="32"/>
      <c r="AH117" s="32"/>
      <c r="AI117" s="32"/>
      <c r="AJ117" s="32"/>
    </row>
    <row r="118" spans="1:36" x14ac:dyDescent="0.25">
      <c r="A118" s="2"/>
      <c r="B118" s="95" t="s">
        <v>547</v>
      </c>
      <c r="C118" s="659">
        <f>DATI!E162*DATI!E61*IF(DATI!G218="SX",DATI!E75,'FOGLIO DEPOSITO'!D212)</f>
        <v>6.4999500000000001</v>
      </c>
      <c r="D118" s="3">
        <f>IF('ANALISI DELLE SPINTE'!C6="SISMICA",1,0.8)</f>
        <v>1</v>
      </c>
      <c r="E118" s="659">
        <f>C118*D118</f>
        <v>6.4999500000000001</v>
      </c>
      <c r="F118" s="206">
        <f>IF(DATI!G218="dx",'FOGLIO DEPOSITO'!D212+'FOGLIO DEPOSITO'!D211+DATI!E75/2,DATI!E75/2+'FOGLIO DEPOSITO'!D211+'FOGLIO DEPOSITO'!D212)</f>
        <v>1.7999999999999996</v>
      </c>
      <c r="G118" s="355">
        <f>E118*F118</f>
        <v>11.699909999999997</v>
      </c>
      <c r="H118" s="640"/>
      <c r="I118" s="429"/>
      <c r="J118" s="429"/>
      <c r="K118" s="429"/>
      <c r="L118" s="429"/>
      <c r="M118" s="429"/>
      <c r="N118" s="429"/>
      <c r="Z118" s="32"/>
      <c r="AA118" s="32"/>
      <c r="AB118" s="32"/>
      <c r="AC118" s="32"/>
      <c r="AD118" s="32"/>
      <c r="AE118" s="32"/>
      <c r="AF118" s="32"/>
      <c r="AG118" s="32"/>
      <c r="AH118" s="32"/>
      <c r="AI118" s="32"/>
      <c r="AJ118" s="32"/>
    </row>
    <row r="119" spans="1:36" x14ac:dyDescent="0.25">
      <c r="A119" s="2"/>
      <c r="B119" s="95" t="s">
        <v>548</v>
      </c>
      <c r="C119" s="659">
        <f>DATI!E161*DATI!E61*IF(DATI!G218="SX",DATI!E75,'FOGLIO DEPOSITO'!D212)</f>
        <v>0</v>
      </c>
      <c r="D119" s="3">
        <v>0</v>
      </c>
      <c r="E119" s="659">
        <f>C119*D119</f>
        <v>0</v>
      </c>
      <c r="F119" s="206">
        <f>IF(DATI!G218="dx",'FOGLIO DEPOSITO'!D212+'FOGLIO DEPOSITO'!D211+DATI!E75/2,DATI!E75/2+'FOGLIO DEPOSITO'!D211+'FOGLIO DEPOSITO'!D212)</f>
        <v>1.7999999999999996</v>
      </c>
      <c r="G119" s="355">
        <f>E119*F119</f>
        <v>0</v>
      </c>
      <c r="H119" s="640"/>
      <c r="I119" s="429"/>
      <c r="J119" s="429"/>
      <c r="K119" s="429"/>
      <c r="L119" s="429"/>
      <c r="M119" s="429"/>
      <c r="N119" s="429"/>
      <c r="Z119" s="32"/>
      <c r="AA119" s="32"/>
      <c r="AB119" s="32"/>
      <c r="AC119" s="32"/>
      <c r="AD119" s="32"/>
      <c r="AE119" s="32"/>
      <c r="AF119" s="32"/>
      <c r="AG119" s="32"/>
      <c r="AH119" s="32"/>
      <c r="AI119" s="32"/>
      <c r="AJ119" s="32"/>
    </row>
    <row r="120" spans="1:36" ht="15.75" x14ac:dyDescent="0.25">
      <c r="A120" s="2"/>
      <c r="B120" s="425" t="s">
        <v>549</v>
      </c>
      <c r="C120" s="659">
        <f>'ANALISI DELLE SPINTE'!AA114</f>
        <v>1.5723591502204846E-4</v>
      </c>
      <c r="D120" s="648">
        <f>0.9/1.35</f>
        <v>0.66666666666666663</v>
      </c>
      <c r="E120" s="660">
        <f>C120*D120</f>
        <v>1.0482394334803229E-4</v>
      </c>
      <c r="F120" s="206">
        <f>IF(DATI!G218="sx",DATI!E75,'FOGLIO DEPOSITO'!D212+'FOGLIO DEPOSITO'!D210)</f>
        <v>1.3</v>
      </c>
      <c r="G120" s="366">
        <f>E120*F120</f>
        <v>1.3627112635244197E-4</v>
      </c>
      <c r="H120" s="640"/>
      <c r="I120" s="429"/>
      <c r="J120" s="429"/>
      <c r="K120" s="429"/>
      <c r="L120" s="429"/>
      <c r="M120" s="429"/>
      <c r="N120" s="429"/>
      <c r="Z120" s="32"/>
      <c r="AA120" s="32"/>
      <c r="AB120" s="32"/>
      <c r="AC120" s="32"/>
      <c r="AD120" s="32"/>
      <c r="AE120" s="32"/>
      <c r="AF120" s="32"/>
      <c r="AG120" s="32"/>
      <c r="AH120" s="32"/>
      <c r="AI120" s="32"/>
      <c r="AJ120" s="32"/>
    </row>
    <row r="121" spans="1:36" x14ac:dyDescent="0.25">
      <c r="A121" s="2"/>
      <c r="B121" s="426" t="str">
        <f>IF('ANALISI DELLE SPINTE'!C76='FOGLIO DEPOSITO'!N184," Kv x Wtot  ",IF('ANALISI DELLE SPINTE'!C76='FOGLIO DEPOSITO'!N181," Kv x Wtot  ",IF('ANALISI DELLE SPINTE'!C76='FOGLIO DEPOSITO'!N182,"Kv x Wtot  ","")))</f>
        <v xml:space="preserve"> Kv x Wtot  </v>
      </c>
      <c r="C121" s="658">
        <f>IF('ANALISI DELLE SPINTE'!C76='FOGLIO DEPOSITO'!N184,'ANALISI DELLE SPINTE'!AE97/DATI!E272,IF('ANALISI DELLE SPINTE'!C76='FOGLIO DEPOSITO'!N181,'ANALISI DELLE SPINTE'!AE97/DATI!E272,IF('ANALISI DELLE SPINTE'!C76='FOGLIO DEPOSITO'!N182,'ANALISI DELLE SPINTE'!AE97/DATI!E272,"")))</f>
        <v>4.9362102773430259</v>
      </c>
      <c r="D121" s="790">
        <f>IF('ANALISI DELLE SPINTE'!C76='FOGLIO DEPOSITO'!N184,IF('ANALISI DELLE SPINTE'!C6="SISMICA",1,0.9),IF('ANALISI DELLE SPINTE'!C76='FOGLIO DEPOSITO'!N181,IF('ANALISI DELLE SPINTE'!C6="SISMICA",1,0.9),IF('ANALISI DELLE SPINTE'!C76='FOGLIO DEPOSITO'!N182,IF('ANALISI DELLE SPINTE'!C6="SISMICA",1,0.9),"")))</f>
        <v>1</v>
      </c>
      <c r="E121" s="661">
        <f>IF('ANALISI DELLE SPINTE'!C76='FOGLIO DEPOSITO'!N184,C121*D121,IF('ANALISI DELLE SPINTE'!C76='FOGLIO DEPOSITO'!N181,C121*D121,IF('ANALISI DELLE SPINTE'!C76='FOGLIO DEPOSITO'!N182,C121*D121,"")))</f>
        <v>4.9362102773430259</v>
      </c>
      <c r="F121" s="427">
        <f>IF('ANALISI DELLE SPINTE'!C76='FOGLIO DEPOSITO'!N184,C79,IF('ANALISI DELLE SPINTE'!C76='FOGLIO DEPOSITO'!N181,C79,IF('ANALISI DELLE SPINTE'!C76='FOGLIO DEPOSITO'!N182,C79,"")))</f>
        <v>1.1094467263576118</v>
      </c>
      <c r="G121" s="356">
        <f>IF('ANALISI DELLE SPINTE'!C76='FOGLIO DEPOSITO'!N184,E121*F121,IF('ANALISI DELLE SPINTE'!C76='FOGLIO DEPOSITO'!N181,E121*F121,IF('ANALISI DELLE SPINTE'!C76='FOGLIO DEPOSITO'!N182,E121*F121,"")))</f>
        <v>5.4764623328110194</v>
      </c>
      <c r="H121" s="640"/>
      <c r="I121" s="429"/>
      <c r="J121" s="429"/>
      <c r="K121" s="429"/>
      <c r="L121" s="429"/>
      <c r="M121" s="429"/>
      <c r="N121" s="429"/>
      <c r="Z121" s="32"/>
      <c r="AA121" s="32"/>
      <c r="AB121" s="32"/>
      <c r="AC121" s="32"/>
      <c r="AD121" s="32"/>
      <c r="AE121" s="32"/>
      <c r="AF121" s="32"/>
      <c r="AG121" s="32"/>
      <c r="AH121" s="32"/>
      <c r="AI121" s="32"/>
      <c r="AJ121" s="32"/>
    </row>
    <row r="122" spans="1:36" x14ac:dyDescent="0.25">
      <c r="A122" s="2"/>
      <c r="B122" s="24"/>
      <c r="C122" s="659">
        <f>SUM(C116:C121)</f>
        <v>139.48236215493614</v>
      </c>
      <c r="D122" s="24"/>
      <c r="E122" s="659">
        <f>SUM(E116:E121)</f>
        <v>139.48230974296447</v>
      </c>
      <c r="G122" s="355">
        <f>SUM(G116:G121)</f>
        <v>159.23677365468774</v>
      </c>
      <c r="H122" s="640"/>
      <c r="I122" s="429"/>
      <c r="J122" s="429"/>
      <c r="K122" s="429"/>
      <c r="L122" s="429"/>
      <c r="M122" s="429"/>
      <c r="N122" s="429"/>
      <c r="Z122" s="32"/>
      <c r="AA122" s="32"/>
      <c r="AB122" s="32"/>
      <c r="AC122" s="32"/>
      <c r="AD122" s="32"/>
      <c r="AE122" s="32"/>
      <c r="AF122" s="32"/>
      <c r="AG122" s="32"/>
      <c r="AH122" s="32"/>
      <c r="AI122" s="32"/>
      <c r="AJ122" s="32"/>
    </row>
    <row r="123" spans="1:36" ht="4.1500000000000004" customHeight="1" x14ac:dyDescent="0.25">
      <c r="A123" s="2"/>
      <c r="B123" s="429"/>
      <c r="C123" s="429"/>
      <c r="D123" s="429"/>
      <c r="E123" s="429"/>
      <c r="F123" s="640"/>
      <c r="G123" s="429"/>
      <c r="H123" s="640"/>
      <c r="I123" s="429"/>
      <c r="J123" s="429"/>
      <c r="K123" s="429"/>
      <c r="L123" s="429"/>
      <c r="M123" s="429"/>
      <c r="N123" s="429"/>
      <c r="Z123" s="32"/>
      <c r="AA123" s="32"/>
      <c r="AB123" s="32"/>
      <c r="AC123" s="32"/>
      <c r="AD123" s="32"/>
      <c r="AE123" s="32"/>
      <c r="AF123" s="32"/>
      <c r="AG123" s="32"/>
      <c r="AH123" s="32"/>
      <c r="AI123" s="32"/>
      <c r="AJ123" s="32"/>
    </row>
    <row r="124" spans="1:36" x14ac:dyDescent="0.25">
      <c r="A124" s="2"/>
      <c r="B124" s="429"/>
      <c r="C124" s="429"/>
      <c r="D124" s="429"/>
      <c r="E124" s="428" t="s">
        <v>1085</v>
      </c>
      <c r="F124" s="428"/>
      <c r="G124" s="798">
        <v>1.1499999999999999</v>
      </c>
      <c r="H124" s="640"/>
      <c r="I124" s="429"/>
      <c r="J124" s="429"/>
      <c r="K124" s="429"/>
      <c r="L124" s="429"/>
      <c r="M124" s="429"/>
      <c r="N124" s="429"/>
      <c r="Z124" s="32"/>
      <c r="AA124" s="32"/>
      <c r="AB124" s="32"/>
      <c r="AC124" s="32"/>
      <c r="AD124" s="32"/>
      <c r="AE124" s="32"/>
      <c r="AF124" s="32"/>
      <c r="AG124" s="32"/>
      <c r="AH124" s="32"/>
      <c r="AI124" s="32"/>
      <c r="AJ124" s="32"/>
    </row>
    <row r="125" spans="1:36" ht="4.9000000000000004" customHeight="1" x14ac:dyDescent="0.25">
      <c r="A125" s="2"/>
      <c r="B125" s="636"/>
      <c r="C125" s="636"/>
      <c r="D125" s="637"/>
      <c r="E125" s="637"/>
      <c r="G125" s="640"/>
      <c r="H125" s="640"/>
      <c r="I125" s="429"/>
      <c r="J125" s="429"/>
      <c r="K125" s="429"/>
      <c r="L125" s="429"/>
      <c r="M125" s="429"/>
      <c r="N125" s="429"/>
      <c r="Z125" s="32"/>
      <c r="AA125" s="32"/>
      <c r="AB125" s="32"/>
      <c r="AC125" s="32"/>
      <c r="AD125" s="32"/>
      <c r="AE125" s="32"/>
      <c r="AF125" s="32"/>
      <c r="AG125" s="32"/>
      <c r="AH125" s="32"/>
      <c r="AI125" s="32"/>
      <c r="AJ125" s="32"/>
    </row>
    <row r="126" spans="1:36" x14ac:dyDescent="0.25">
      <c r="A126" s="2"/>
      <c r="B126" s="636"/>
      <c r="C126" s="636"/>
      <c r="D126" s="637"/>
      <c r="E126" s="637"/>
      <c r="F126" s="71" t="s">
        <v>550</v>
      </c>
      <c r="G126" s="355">
        <f>G122/G124</f>
        <v>138.46675969972847</v>
      </c>
      <c r="H126" s="640"/>
      <c r="I126" s="429"/>
      <c r="J126" s="429"/>
      <c r="K126" s="429"/>
      <c r="L126" s="429"/>
      <c r="M126" s="429"/>
      <c r="N126" s="429"/>
      <c r="Z126" s="32"/>
      <c r="AA126" s="32"/>
      <c r="AB126" s="32"/>
      <c r="AC126" s="32"/>
      <c r="AD126" s="32"/>
      <c r="AE126" s="32"/>
      <c r="AF126" s="32"/>
      <c r="AG126" s="32"/>
      <c r="AH126" s="32"/>
      <c r="AI126" s="32"/>
      <c r="AJ126" s="32"/>
    </row>
    <row r="127" spans="1:36" ht="7.15" customHeight="1" thickBot="1" x14ac:dyDescent="0.3">
      <c r="A127" s="2"/>
      <c r="B127" s="636"/>
      <c r="C127" s="636"/>
      <c r="D127" s="637"/>
      <c r="E127" s="637"/>
      <c r="F127" s="637"/>
      <c r="G127" s="640"/>
      <c r="H127" s="640"/>
      <c r="I127" s="429"/>
      <c r="J127" s="429"/>
      <c r="K127" s="429"/>
      <c r="L127" s="429"/>
      <c r="M127" s="429"/>
      <c r="N127" s="429"/>
      <c r="Z127" s="32"/>
      <c r="AA127" s="32"/>
      <c r="AB127" s="32"/>
      <c r="AC127" s="32"/>
      <c r="AD127" s="32"/>
      <c r="AE127" s="32"/>
      <c r="AF127" s="32"/>
      <c r="AG127" s="32"/>
      <c r="AH127" s="32"/>
      <c r="AI127" s="32"/>
      <c r="AJ127" s="32"/>
    </row>
    <row r="128" spans="1:36" ht="15.75" thickBot="1" x14ac:dyDescent="0.3">
      <c r="A128" s="2"/>
      <c r="B128" s="636"/>
      <c r="C128" s="636"/>
      <c r="D128" s="637"/>
      <c r="E128" s="329" t="s">
        <v>551</v>
      </c>
      <c r="F128" s="330">
        <f>G122/G110</f>
        <v>1.6239058773737627</v>
      </c>
      <c r="G128" s="641" t="str">
        <f>IF(F128&gt;=1,"VERIFICATO","NON VERIFICATO")</f>
        <v>VERIFICATO</v>
      </c>
      <c r="H128" s="640"/>
      <c r="I128" s="429"/>
      <c r="J128" s="429"/>
      <c r="K128" s="429"/>
      <c r="L128" s="429"/>
      <c r="M128" s="429"/>
      <c r="N128" s="429"/>
      <c r="Z128" s="32"/>
      <c r="AA128" s="32"/>
      <c r="AB128" s="32"/>
      <c r="AC128" s="32"/>
      <c r="AD128" s="32"/>
      <c r="AE128" s="32"/>
      <c r="AF128" s="32"/>
      <c r="AG128" s="32"/>
      <c r="AH128" s="32"/>
      <c r="AI128" s="32"/>
      <c r="AJ128" s="32"/>
    </row>
    <row r="129" spans="1:36" x14ac:dyDescent="0.25">
      <c r="A129" s="2"/>
      <c r="B129" s="636"/>
      <c r="C129" s="636"/>
      <c r="D129" s="637"/>
      <c r="E129" s="637"/>
      <c r="F129" s="637"/>
      <c r="G129" s="640"/>
      <c r="H129" s="640"/>
      <c r="I129" s="429"/>
      <c r="J129" s="429"/>
      <c r="K129" s="429"/>
      <c r="L129" s="429"/>
      <c r="M129" s="429"/>
      <c r="N129" s="429"/>
      <c r="Z129" s="32"/>
      <c r="AA129" s="32"/>
      <c r="AB129" s="32"/>
      <c r="AC129" s="32"/>
      <c r="AD129" s="32"/>
      <c r="AE129" s="32"/>
      <c r="AF129" s="32"/>
      <c r="AG129" s="32"/>
      <c r="AH129" s="32"/>
      <c r="AI129" s="32"/>
      <c r="AJ129" s="32"/>
    </row>
    <row r="130" spans="1:36" x14ac:dyDescent="0.25">
      <c r="A130" s="2"/>
      <c r="B130" s="636"/>
      <c r="C130" s="636"/>
      <c r="D130" s="637"/>
      <c r="E130" s="637"/>
      <c r="F130" s="637"/>
      <c r="G130" s="640"/>
      <c r="H130" s="640"/>
      <c r="I130" s="429"/>
      <c r="J130" s="429"/>
      <c r="K130" s="429"/>
      <c r="L130" s="429"/>
      <c r="M130" s="429"/>
      <c r="N130" s="429"/>
      <c r="Z130" s="32"/>
      <c r="AA130" s="32"/>
      <c r="AB130" s="32"/>
      <c r="AC130" s="32"/>
      <c r="AD130" s="32"/>
      <c r="AE130" s="32"/>
      <c r="AF130" s="32"/>
      <c r="AG130" s="32"/>
      <c r="AH130" s="32"/>
      <c r="AI130" s="32"/>
      <c r="AJ130" s="32"/>
    </row>
    <row r="131" spans="1:36" x14ac:dyDescent="0.25">
      <c r="A131" s="2"/>
      <c r="B131" s="636"/>
      <c r="C131" s="636"/>
      <c r="D131" s="637"/>
      <c r="E131" s="637"/>
      <c r="F131" s="637"/>
      <c r="G131" s="640"/>
      <c r="H131" s="640"/>
      <c r="I131" s="429"/>
      <c r="J131" s="429"/>
      <c r="K131" s="429"/>
      <c r="L131" s="429"/>
      <c r="M131" s="429"/>
      <c r="N131" s="429"/>
      <c r="Z131" s="32"/>
      <c r="AA131" s="32"/>
      <c r="AB131" s="32"/>
      <c r="AC131" s="32"/>
      <c r="AD131" s="32"/>
      <c r="AE131" s="32"/>
      <c r="AF131" s="32"/>
      <c r="AG131" s="32"/>
      <c r="AH131" s="32"/>
      <c r="AI131" s="32"/>
      <c r="AJ131" s="32"/>
    </row>
    <row r="132" spans="1:36" x14ac:dyDescent="0.25">
      <c r="A132" s="2"/>
      <c r="B132" s="636"/>
      <c r="C132" s="636"/>
      <c r="D132" s="637"/>
      <c r="E132" s="637"/>
      <c r="F132" s="637"/>
      <c r="G132" s="640"/>
      <c r="H132" s="640"/>
      <c r="I132" s="429"/>
      <c r="J132" s="429"/>
      <c r="K132" s="429"/>
      <c r="L132" s="429"/>
      <c r="M132" s="429"/>
      <c r="N132" s="429"/>
      <c r="Z132" s="32"/>
      <c r="AA132" s="32"/>
      <c r="AB132" s="32"/>
      <c r="AC132" s="32"/>
      <c r="AD132" s="32"/>
      <c r="AE132" s="32"/>
      <c r="AF132" s="32"/>
      <c r="AG132" s="32"/>
      <c r="AH132" s="32"/>
      <c r="AI132" s="32"/>
      <c r="AJ132" s="32"/>
    </row>
    <row r="133" spans="1:36" x14ac:dyDescent="0.25">
      <c r="A133" s="2"/>
      <c r="B133" s="429"/>
      <c r="C133" s="429"/>
      <c r="D133" s="429"/>
      <c r="E133" s="429"/>
      <c r="F133" s="429"/>
      <c r="G133" s="429"/>
      <c r="H133" s="429"/>
      <c r="I133" s="429"/>
      <c r="J133" s="429"/>
      <c r="K133" s="429"/>
      <c r="L133" s="429"/>
      <c r="M133" s="429"/>
      <c r="N133" s="429"/>
      <c r="Z133" s="32"/>
      <c r="AA133" s="32"/>
      <c r="AB133" s="32"/>
      <c r="AC133" s="32"/>
      <c r="AD133" s="32"/>
      <c r="AE133" s="32"/>
      <c r="AF133" s="32"/>
      <c r="AG133" s="32"/>
      <c r="AH133" s="32"/>
      <c r="AI133" s="32"/>
      <c r="AJ133" s="32"/>
    </row>
    <row r="134" spans="1:36" ht="9" customHeight="1" x14ac:dyDescent="0.25">
      <c r="A134" s="2"/>
      <c r="B134" s="429"/>
      <c r="C134" s="429"/>
      <c r="D134" s="429"/>
      <c r="E134" s="429"/>
      <c r="F134" s="429"/>
      <c r="G134" s="429"/>
      <c r="H134" s="429"/>
      <c r="I134" s="429"/>
      <c r="J134" s="429"/>
      <c r="K134" s="429"/>
      <c r="L134" s="429"/>
      <c r="M134" s="429"/>
      <c r="N134" s="429"/>
      <c r="Z134" s="32"/>
      <c r="AA134" s="32"/>
      <c r="AB134" s="32"/>
      <c r="AC134" s="32"/>
      <c r="AD134" s="32"/>
      <c r="AE134" s="32"/>
      <c r="AF134" s="32"/>
      <c r="AG134" s="32"/>
      <c r="AH134" s="32"/>
      <c r="AI134" s="32"/>
      <c r="AJ134" s="32"/>
    </row>
    <row r="135" spans="1:36" x14ac:dyDescent="0.25">
      <c r="A135" s="2"/>
      <c r="B135" s="429"/>
      <c r="C135" s="429"/>
      <c r="D135" s="429"/>
      <c r="E135" s="429"/>
      <c r="F135" s="429"/>
      <c r="G135" s="429"/>
      <c r="H135" s="429"/>
      <c r="I135" s="429"/>
      <c r="J135" s="429"/>
      <c r="K135" s="429"/>
      <c r="L135" s="429"/>
      <c r="M135" s="429"/>
      <c r="N135" s="429"/>
      <c r="Z135" s="32"/>
      <c r="AA135" s="32"/>
      <c r="AB135" s="32"/>
      <c r="AC135" s="32"/>
      <c r="AD135" s="32"/>
      <c r="AE135" s="32"/>
      <c r="AF135" s="32"/>
      <c r="AG135" s="32"/>
      <c r="AH135" s="32"/>
      <c r="AI135" s="32"/>
      <c r="AJ135" s="32"/>
    </row>
    <row r="136" spans="1:36" x14ac:dyDescent="0.25">
      <c r="A136" s="2"/>
      <c r="B136" s="429"/>
      <c r="C136" s="429"/>
      <c r="D136" s="429"/>
      <c r="E136" s="429"/>
      <c r="F136" s="429"/>
      <c r="G136" s="429"/>
      <c r="H136" s="429"/>
      <c r="I136" s="429"/>
      <c r="J136" s="429"/>
      <c r="K136" s="429"/>
      <c r="L136" s="429"/>
      <c r="M136" s="429"/>
      <c r="N136" s="429"/>
      <c r="Z136" s="32"/>
      <c r="AA136" s="32"/>
      <c r="AB136" s="32"/>
      <c r="AC136" s="32"/>
      <c r="AD136" s="32"/>
      <c r="AE136" s="32"/>
      <c r="AF136" s="32"/>
      <c r="AG136" s="32"/>
      <c r="AH136" s="32"/>
      <c r="AI136" s="32"/>
      <c r="AJ136" s="32"/>
    </row>
    <row r="137" spans="1:36" x14ac:dyDescent="0.25">
      <c r="A137" s="2"/>
      <c r="B137" s="429"/>
      <c r="C137" s="429"/>
      <c r="D137" s="429"/>
      <c r="E137" s="429"/>
      <c r="F137" s="429"/>
      <c r="G137" s="429"/>
      <c r="H137" s="429"/>
      <c r="I137" s="429"/>
      <c r="J137" s="429"/>
      <c r="K137" s="429"/>
      <c r="L137" s="429"/>
      <c r="M137" s="429"/>
      <c r="N137" s="429"/>
      <c r="Z137" s="32"/>
      <c r="AA137" s="32"/>
      <c r="AB137" s="32"/>
      <c r="AC137" s="32"/>
      <c r="AD137" s="32"/>
      <c r="AE137" s="32"/>
      <c r="AF137" s="32"/>
      <c r="AG137" s="32"/>
      <c r="AH137" s="32"/>
      <c r="AI137" s="32"/>
      <c r="AJ137" s="32"/>
    </row>
    <row r="138" spans="1:36" x14ac:dyDescent="0.25">
      <c r="A138" s="2"/>
      <c r="B138" s="429"/>
      <c r="C138" s="429"/>
      <c r="D138" s="429"/>
      <c r="E138" s="429"/>
      <c r="F138" s="429"/>
      <c r="G138" s="429"/>
      <c r="H138" s="429"/>
      <c r="I138" s="429"/>
      <c r="J138" s="429"/>
      <c r="K138" s="429"/>
      <c r="L138" s="429"/>
      <c r="M138" s="429"/>
      <c r="N138" s="429"/>
      <c r="Z138" s="32"/>
      <c r="AA138" s="32"/>
      <c r="AB138" s="32"/>
      <c r="AC138" s="32"/>
      <c r="AD138" s="32"/>
      <c r="AE138" s="32"/>
      <c r="AF138" s="32"/>
      <c r="AG138" s="32"/>
      <c r="AH138" s="32"/>
      <c r="AI138" s="32"/>
      <c r="AJ138" s="32"/>
    </row>
    <row r="139" spans="1:36" x14ac:dyDescent="0.25">
      <c r="A139" s="2"/>
      <c r="B139" s="429"/>
      <c r="C139" s="429"/>
      <c r="D139" s="429"/>
      <c r="E139" s="429"/>
      <c r="F139" s="429"/>
      <c r="G139" s="429"/>
      <c r="H139" s="429"/>
      <c r="I139" s="429"/>
      <c r="J139" s="429"/>
      <c r="K139" s="429"/>
      <c r="L139" s="429"/>
      <c r="M139" s="429"/>
      <c r="N139" s="429"/>
      <c r="Z139" s="32"/>
      <c r="AA139" s="32"/>
      <c r="AB139" s="32"/>
      <c r="AC139" s="32"/>
      <c r="AD139" s="32"/>
      <c r="AE139" s="32"/>
      <c r="AF139" s="32"/>
      <c r="AG139" s="32"/>
      <c r="AH139" s="32"/>
      <c r="AI139" s="32"/>
      <c r="AJ139" s="32"/>
    </row>
    <row r="140" spans="1:36" x14ac:dyDescent="0.25">
      <c r="A140" s="2"/>
      <c r="B140" s="429"/>
      <c r="C140" s="429"/>
      <c r="D140" s="429"/>
      <c r="E140" s="429"/>
      <c r="F140" s="429"/>
      <c r="G140" s="429"/>
      <c r="H140" s="429"/>
      <c r="I140" s="429"/>
      <c r="J140" s="429"/>
      <c r="K140" s="429"/>
      <c r="L140" s="429"/>
      <c r="M140" s="429"/>
      <c r="N140" s="429"/>
      <c r="Z140" s="32"/>
      <c r="AA140" s="32"/>
      <c r="AB140" s="32"/>
      <c r="AC140" s="32"/>
      <c r="AD140" s="32"/>
      <c r="AE140" s="32"/>
      <c r="AF140" s="32"/>
      <c r="AG140" s="32"/>
      <c r="AH140" s="32"/>
      <c r="AI140" s="32"/>
      <c r="AJ140" s="32"/>
    </row>
    <row r="141" spans="1:36" x14ac:dyDescent="0.25">
      <c r="A141" s="2"/>
      <c r="B141" s="429"/>
      <c r="C141" s="429"/>
      <c r="D141" s="429"/>
      <c r="E141" s="429"/>
      <c r="F141" s="429"/>
      <c r="G141" s="429"/>
      <c r="H141" s="429"/>
      <c r="I141" s="429"/>
      <c r="J141" s="429"/>
      <c r="K141" s="429"/>
      <c r="L141" s="429"/>
      <c r="M141" s="429"/>
      <c r="N141" s="429"/>
      <c r="Z141" s="32"/>
      <c r="AA141" s="32"/>
      <c r="AB141" s="32"/>
      <c r="AC141" s="32"/>
      <c r="AD141" s="32"/>
      <c r="AE141" s="32"/>
      <c r="AF141" s="32"/>
      <c r="AG141" s="32"/>
      <c r="AH141" s="32"/>
      <c r="AI141" s="32"/>
      <c r="AJ141" s="32"/>
    </row>
    <row r="142" spans="1:36" x14ac:dyDescent="0.25">
      <c r="A142" s="2"/>
      <c r="B142" s="429"/>
      <c r="C142" s="429"/>
      <c r="D142" s="429"/>
      <c r="E142" s="429"/>
      <c r="F142" s="429"/>
      <c r="G142" s="429"/>
      <c r="H142" s="429"/>
      <c r="I142" s="429"/>
      <c r="J142" s="429"/>
      <c r="K142" s="429"/>
      <c r="L142" s="429"/>
      <c r="M142" s="429"/>
      <c r="N142" s="429"/>
      <c r="Z142" s="32"/>
      <c r="AA142" s="32"/>
      <c r="AB142" s="32"/>
      <c r="AC142" s="32"/>
      <c r="AD142" s="32"/>
      <c r="AE142" s="32"/>
      <c r="AF142" s="32"/>
      <c r="AG142" s="32"/>
      <c r="AH142" s="32"/>
      <c r="AI142" s="32"/>
      <c r="AJ142" s="32"/>
    </row>
    <row r="143" spans="1:36" x14ac:dyDescent="0.25">
      <c r="A143" s="2"/>
      <c r="B143" s="429"/>
      <c r="C143" s="429"/>
      <c r="D143" s="429"/>
      <c r="E143" s="429"/>
      <c r="F143" s="429"/>
      <c r="G143" s="429"/>
      <c r="H143" s="429"/>
      <c r="I143" s="429"/>
      <c r="J143" s="429"/>
      <c r="K143" s="429"/>
      <c r="L143" s="429"/>
      <c r="M143" s="429"/>
      <c r="N143" s="429"/>
      <c r="Z143" s="32"/>
      <c r="AA143" s="32"/>
      <c r="AB143" s="32"/>
      <c r="AC143" s="32"/>
      <c r="AD143" s="32"/>
      <c r="AE143" s="32"/>
      <c r="AF143" s="32"/>
      <c r="AG143" s="32"/>
      <c r="AH143" s="32"/>
      <c r="AI143" s="32"/>
      <c r="AJ143" s="32"/>
    </row>
    <row r="144" spans="1:36" x14ac:dyDescent="0.25">
      <c r="A144" s="2"/>
      <c r="B144" s="429"/>
      <c r="C144" s="429"/>
      <c r="D144" s="429"/>
      <c r="E144" s="429"/>
      <c r="F144" s="429"/>
      <c r="G144" s="429"/>
      <c r="H144" s="429"/>
      <c r="I144" s="429"/>
      <c r="J144" s="429"/>
      <c r="K144" s="429"/>
      <c r="L144" s="429"/>
      <c r="M144" s="429"/>
      <c r="N144" s="429"/>
      <c r="Z144" s="32"/>
      <c r="AA144" s="32"/>
      <c r="AB144" s="32"/>
      <c r="AC144" s="32"/>
      <c r="AD144" s="32"/>
      <c r="AE144" s="32"/>
      <c r="AF144" s="32"/>
      <c r="AG144" s="32"/>
      <c r="AH144" s="32"/>
      <c r="AI144" s="32"/>
      <c r="AJ144" s="32"/>
    </row>
    <row r="145" spans="1:36" x14ac:dyDescent="0.25">
      <c r="A145" s="2"/>
      <c r="B145" s="429"/>
      <c r="C145" s="429"/>
      <c r="D145" s="429"/>
      <c r="E145" s="429"/>
      <c r="F145" s="429"/>
      <c r="G145" s="429"/>
      <c r="H145" s="429"/>
      <c r="I145" s="429"/>
      <c r="J145" s="429"/>
      <c r="K145" s="429"/>
      <c r="L145" s="429"/>
      <c r="M145" s="429"/>
      <c r="N145" s="429"/>
      <c r="Z145" s="32"/>
      <c r="AA145" s="32"/>
      <c r="AB145" s="32"/>
      <c r="AC145" s="32"/>
      <c r="AD145" s="32"/>
      <c r="AE145" s="32"/>
      <c r="AF145" s="32"/>
      <c r="AG145" s="32"/>
      <c r="AH145" s="32"/>
      <c r="AI145" s="32"/>
      <c r="AJ145" s="32"/>
    </row>
    <row r="146" spans="1:36" x14ac:dyDescent="0.25">
      <c r="A146" s="2"/>
      <c r="B146" s="429"/>
      <c r="C146" s="429"/>
      <c r="D146" s="429"/>
      <c r="E146" s="429"/>
      <c r="F146" s="429"/>
      <c r="G146" s="429"/>
      <c r="H146" s="429"/>
      <c r="I146" s="429"/>
      <c r="J146" s="429"/>
      <c r="K146" s="429"/>
      <c r="L146" s="429"/>
      <c r="M146" s="429"/>
      <c r="N146" s="429"/>
      <c r="Z146" s="32"/>
      <c r="AA146" s="32"/>
      <c r="AB146" s="32"/>
      <c r="AC146" s="32"/>
      <c r="AD146" s="32"/>
      <c r="AE146" s="32"/>
      <c r="AF146" s="32"/>
      <c r="AG146" s="32"/>
      <c r="AH146" s="32"/>
      <c r="AI146" s="32"/>
      <c r="AJ146" s="32"/>
    </row>
    <row r="147" spans="1:36" x14ac:dyDescent="0.25">
      <c r="A147" s="2"/>
      <c r="B147" s="429"/>
      <c r="C147" s="429"/>
      <c r="D147" s="429"/>
      <c r="E147" s="429"/>
      <c r="F147" s="429"/>
      <c r="G147" s="429"/>
      <c r="H147" s="429"/>
      <c r="I147" s="429"/>
      <c r="J147" s="429"/>
      <c r="K147" s="429"/>
      <c r="L147" s="429"/>
      <c r="M147" s="429"/>
      <c r="N147" s="429"/>
      <c r="Z147" s="32"/>
      <c r="AA147" s="32"/>
      <c r="AB147" s="32"/>
      <c r="AC147" s="32"/>
      <c r="AD147" s="32"/>
      <c r="AE147" s="32"/>
      <c r="AF147" s="32"/>
      <c r="AG147" s="32"/>
      <c r="AH147" s="32"/>
      <c r="AI147" s="32"/>
      <c r="AJ147" s="32"/>
    </row>
    <row r="148" spans="1:36" x14ac:dyDescent="0.25">
      <c r="A148" s="2"/>
      <c r="B148" s="429"/>
      <c r="C148" s="429"/>
      <c r="D148" s="429"/>
      <c r="E148" s="429"/>
      <c r="F148" s="429"/>
      <c r="G148" s="429"/>
      <c r="H148" s="429"/>
      <c r="I148" s="429"/>
      <c r="J148" s="429"/>
      <c r="K148" s="429"/>
      <c r="L148" s="429"/>
      <c r="M148" s="429"/>
      <c r="N148" s="429"/>
      <c r="Z148" s="32"/>
      <c r="AA148" s="32"/>
      <c r="AB148" s="32"/>
      <c r="AC148" s="32"/>
      <c r="AD148" s="32"/>
      <c r="AE148" s="32"/>
      <c r="AF148" s="32"/>
      <c r="AG148" s="32"/>
      <c r="AH148" s="32"/>
      <c r="AI148" s="32"/>
      <c r="AJ148" s="32"/>
    </row>
    <row r="149" spans="1:36" x14ac:dyDescent="0.25">
      <c r="A149" s="2"/>
      <c r="B149" s="429"/>
      <c r="C149" s="429"/>
      <c r="D149" s="429"/>
      <c r="E149" s="429"/>
      <c r="F149" s="429"/>
      <c r="G149" s="429"/>
      <c r="H149" s="429"/>
      <c r="I149" s="429"/>
      <c r="J149" s="429"/>
      <c r="K149" s="429"/>
      <c r="L149" s="429"/>
      <c r="M149" s="429"/>
      <c r="N149" s="429"/>
      <c r="Z149" s="32"/>
      <c r="AA149" s="32"/>
      <c r="AB149" s="32"/>
      <c r="AC149" s="32"/>
      <c r="AD149" s="32"/>
      <c r="AE149" s="32"/>
      <c r="AF149" s="32"/>
      <c r="AG149" s="32"/>
      <c r="AH149" s="32"/>
      <c r="AI149" s="32"/>
      <c r="AJ149" s="32"/>
    </row>
    <row r="150" spans="1:36" x14ac:dyDescent="0.25">
      <c r="A150" s="2"/>
      <c r="B150" s="429"/>
      <c r="C150" s="429"/>
      <c r="D150" s="429"/>
      <c r="E150" s="429"/>
      <c r="F150" s="429"/>
      <c r="G150" s="429"/>
      <c r="H150" s="429"/>
      <c r="I150" s="429"/>
      <c r="J150" s="429"/>
      <c r="K150" s="429"/>
      <c r="L150" s="429"/>
      <c r="M150" s="429"/>
      <c r="N150" s="429"/>
      <c r="Z150" s="32"/>
      <c r="AA150" s="32"/>
      <c r="AB150" s="32"/>
      <c r="AC150" s="32"/>
      <c r="AD150" s="32"/>
      <c r="AE150" s="32"/>
      <c r="AF150" s="32"/>
      <c r="AG150" s="32"/>
      <c r="AH150" s="32"/>
      <c r="AI150" s="32"/>
      <c r="AJ150" s="32"/>
    </row>
    <row r="151" spans="1:36" x14ac:dyDescent="0.25">
      <c r="A151" s="2"/>
      <c r="B151" s="429"/>
      <c r="C151" s="429"/>
      <c r="D151" s="429"/>
      <c r="E151" s="429"/>
      <c r="F151" s="429"/>
      <c r="G151" s="429"/>
      <c r="H151" s="429"/>
      <c r="I151" s="429"/>
      <c r="J151" s="429"/>
      <c r="K151" s="429"/>
      <c r="L151" s="429"/>
      <c r="M151" s="429"/>
      <c r="N151" s="429"/>
      <c r="Z151" s="32"/>
      <c r="AA151" s="32"/>
      <c r="AB151" s="32"/>
      <c r="AC151" s="32"/>
      <c r="AD151" s="32"/>
      <c r="AE151" s="32"/>
      <c r="AF151" s="32"/>
      <c r="AG151" s="32"/>
      <c r="AH151" s="32"/>
      <c r="AI151" s="32"/>
      <c r="AJ151" s="32"/>
    </row>
    <row r="152" spans="1:36" x14ac:dyDescent="0.25">
      <c r="A152" s="2"/>
      <c r="B152" s="429"/>
      <c r="C152" s="429"/>
      <c r="D152" s="429"/>
      <c r="E152" s="429"/>
      <c r="F152" s="429"/>
      <c r="G152" s="429"/>
      <c r="H152" s="429"/>
      <c r="I152" s="429"/>
      <c r="J152" s="429"/>
      <c r="K152" s="429"/>
      <c r="L152" s="429"/>
      <c r="M152" s="429"/>
      <c r="N152" s="429"/>
      <c r="Z152" s="32"/>
      <c r="AA152" s="32"/>
      <c r="AB152" s="32"/>
      <c r="AC152" s="32"/>
      <c r="AD152" s="32"/>
      <c r="AE152" s="32"/>
      <c r="AF152" s="32"/>
      <c r="AG152" s="32"/>
      <c r="AH152" s="32"/>
      <c r="AI152" s="32"/>
      <c r="AJ152" s="32"/>
    </row>
    <row r="153" spans="1:36" x14ac:dyDescent="0.25">
      <c r="A153" s="2"/>
      <c r="B153" s="429"/>
      <c r="C153" s="429"/>
      <c r="D153" s="429"/>
      <c r="E153" s="429"/>
      <c r="F153" s="429"/>
      <c r="G153" s="429"/>
      <c r="H153" s="429"/>
      <c r="I153" s="429"/>
      <c r="J153" s="429"/>
      <c r="K153" s="429"/>
      <c r="L153" s="429"/>
      <c r="M153" s="429"/>
      <c r="N153" s="429"/>
      <c r="Z153" s="32"/>
      <c r="AA153" s="32"/>
      <c r="AB153" s="32"/>
      <c r="AC153" s="32"/>
      <c r="AD153" s="32"/>
      <c r="AE153" s="32"/>
      <c r="AF153" s="32"/>
      <c r="AG153" s="32"/>
      <c r="AH153" s="32"/>
      <c r="AI153" s="32"/>
      <c r="AJ153" s="32"/>
    </row>
    <row r="154" spans="1:36" x14ac:dyDescent="0.25">
      <c r="A154" s="2"/>
      <c r="B154" s="429"/>
      <c r="C154" s="429"/>
      <c r="D154" s="429"/>
      <c r="E154" s="429"/>
      <c r="F154" s="429"/>
      <c r="G154" s="429"/>
      <c r="H154" s="429"/>
      <c r="I154" s="429"/>
      <c r="J154" s="429"/>
      <c r="K154" s="429"/>
      <c r="L154" s="429"/>
      <c r="M154" s="429"/>
      <c r="N154" s="429"/>
      <c r="Z154" s="32"/>
      <c r="AA154" s="32"/>
      <c r="AB154" s="32"/>
      <c r="AC154" s="32"/>
      <c r="AD154" s="32"/>
      <c r="AE154" s="32"/>
      <c r="AF154" s="32"/>
      <c r="AG154" s="32"/>
      <c r="AH154" s="32"/>
      <c r="AI154" s="32"/>
      <c r="AJ154" s="32"/>
    </row>
    <row r="155" spans="1:36" x14ac:dyDescent="0.25">
      <c r="A155" s="2"/>
      <c r="B155" s="429"/>
      <c r="C155" s="429"/>
      <c r="D155" s="429"/>
      <c r="E155" s="429"/>
      <c r="F155" s="429"/>
      <c r="G155" s="429"/>
      <c r="H155" s="429"/>
      <c r="I155" s="429"/>
      <c r="J155" s="429"/>
      <c r="K155" s="429"/>
      <c r="L155" s="429"/>
      <c r="M155" s="429"/>
      <c r="N155" s="429"/>
      <c r="Z155" s="32"/>
      <c r="AA155" s="32"/>
      <c r="AB155" s="32"/>
      <c r="AC155" s="32"/>
      <c r="AD155" s="32"/>
      <c r="AE155" s="32"/>
      <c r="AF155" s="32"/>
      <c r="AG155" s="32"/>
      <c r="AH155" s="32"/>
      <c r="AI155" s="32"/>
      <c r="AJ155" s="32"/>
    </row>
    <row r="156" spans="1:36" x14ac:dyDescent="0.25">
      <c r="A156" s="2"/>
      <c r="B156" s="429"/>
      <c r="C156" s="429"/>
      <c r="D156" s="429"/>
      <c r="E156" s="429"/>
      <c r="F156" s="429"/>
      <c r="G156" s="429"/>
      <c r="H156" s="429"/>
      <c r="I156" s="429"/>
      <c r="J156" s="429"/>
      <c r="K156" s="429"/>
      <c r="L156" s="429"/>
      <c r="M156" s="429"/>
      <c r="N156" s="429"/>
      <c r="Z156" s="32"/>
      <c r="AA156" s="32"/>
      <c r="AB156" s="32"/>
      <c r="AC156" s="32"/>
      <c r="AD156" s="32"/>
      <c r="AE156" s="32"/>
      <c r="AF156" s="32"/>
      <c r="AG156" s="32"/>
      <c r="AH156" s="32"/>
      <c r="AI156" s="32"/>
      <c r="AJ156" s="32"/>
    </row>
    <row r="157" spans="1:36" x14ac:dyDescent="0.25">
      <c r="A157" s="2"/>
      <c r="B157" s="429"/>
      <c r="C157" s="429"/>
      <c r="D157" s="429"/>
      <c r="E157" s="429"/>
      <c r="F157" s="429"/>
      <c r="G157" s="429"/>
      <c r="H157" s="429"/>
      <c r="I157" s="429"/>
      <c r="J157" s="429"/>
      <c r="K157" s="429"/>
      <c r="L157" s="429"/>
      <c r="M157" s="429"/>
      <c r="N157" s="429"/>
      <c r="Z157" s="32"/>
      <c r="AA157" s="32"/>
      <c r="AB157" s="32"/>
      <c r="AC157" s="32"/>
      <c r="AD157" s="32"/>
      <c r="AE157" s="32"/>
      <c r="AF157" s="32"/>
      <c r="AG157" s="32"/>
      <c r="AH157" s="32"/>
      <c r="AI157" s="32"/>
      <c r="AJ157" s="32"/>
    </row>
    <row r="158" spans="1:36" x14ac:dyDescent="0.25">
      <c r="A158" s="2"/>
      <c r="B158" s="429"/>
      <c r="C158" s="429"/>
      <c r="D158" s="429"/>
      <c r="E158" s="429"/>
      <c r="F158" s="429"/>
      <c r="G158" s="429"/>
      <c r="H158" s="429"/>
      <c r="I158" s="429"/>
      <c r="J158" s="429"/>
      <c r="K158" s="429"/>
      <c r="L158" s="429"/>
      <c r="M158" s="429"/>
      <c r="N158" s="429"/>
      <c r="Z158" s="32"/>
      <c r="AA158" s="32"/>
      <c r="AB158" s="32"/>
      <c r="AC158" s="32"/>
      <c r="AD158" s="32"/>
      <c r="AE158" s="32"/>
      <c r="AF158" s="32"/>
      <c r="AG158" s="32"/>
      <c r="AH158" s="32"/>
      <c r="AI158" s="32"/>
      <c r="AJ158" s="32"/>
    </row>
    <row r="159" spans="1:36" x14ac:dyDescent="0.25">
      <c r="A159" s="2"/>
      <c r="B159" s="429"/>
      <c r="C159" s="429"/>
      <c r="D159" s="429"/>
      <c r="E159" s="429"/>
      <c r="F159" s="429"/>
      <c r="G159" s="429"/>
      <c r="H159" s="429"/>
      <c r="I159" s="429"/>
      <c r="J159" s="429"/>
      <c r="K159" s="429"/>
      <c r="L159" s="429"/>
      <c r="M159" s="429"/>
      <c r="N159" s="429"/>
      <c r="U159" s="32"/>
      <c r="V159" s="32"/>
      <c r="W159" s="32"/>
      <c r="X159" s="32"/>
      <c r="Y159" s="32"/>
      <c r="Z159" s="32"/>
      <c r="AA159" s="32"/>
      <c r="AB159" s="32"/>
      <c r="AC159" s="32"/>
      <c r="AD159" s="32"/>
      <c r="AE159" s="32"/>
      <c r="AF159" s="32"/>
      <c r="AG159" s="32"/>
      <c r="AH159" s="32"/>
      <c r="AI159" s="32"/>
      <c r="AJ159" s="32"/>
    </row>
    <row r="160" spans="1:36" ht="9" customHeight="1" x14ac:dyDescent="0.25">
      <c r="A160" s="2"/>
      <c r="B160" s="429"/>
      <c r="C160" s="429"/>
      <c r="D160" s="429"/>
      <c r="E160" s="429"/>
      <c r="F160" s="429"/>
      <c r="G160" s="429"/>
      <c r="H160" s="429"/>
      <c r="I160" s="429"/>
      <c r="J160" s="429"/>
      <c r="K160" s="429"/>
      <c r="L160" s="429"/>
      <c r="M160" s="429"/>
      <c r="N160" s="640"/>
      <c r="O160" s="2"/>
      <c r="P160" s="2"/>
      <c r="R160" s="51"/>
      <c r="S160" s="51"/>
      <c r="T160" s="51"/>
      <c r="U160" s="51"/>
      <c r="V160" s="51"/>
      <c r="W160" s="50"/>
      <c r="X160" s="32"/>
      <c r="Y160" s="32"/>
      <c r="Z160" s="32"/>
      <c r="AA160" s="32"/>
      <c r="AB160" s="32"/>
      <c r="AC160" s="32"/>
      <c r="AD160" s="32"/>
      <c r="AE160" s="32"/>
      <c r="AF160" s="32"/>
      <c r="AG160" s="32"/>
      <c r="AH160" s="32"/>
      <c r="AI160" s="32"/>
      <c r="AJ160" s="32"/>
    </row>
    <row r="161" spans="1:36" x14ac:dyDescent="0.25">
      <c r="A161" s="2"/>
      <c r="B161" s="429"/>
      <c r="C161" s="429"/>
      <c r="D161" s="429"/>
      <c r="E161" s="429"/>
      <c r="F161" s="429"/>
      <c r="G161" s="429"/>
      <c r="H161" s="429"/>
      <c r="I161" s="429"/>
      <c r="J161" s="429"/>
      <c r="K161" s="429"/>
      <c r="L161" s="429"/>
      <c r="M161" s="429"/>
      <c r="N161" s="640"/>
      <c r="O161" s="2"/>
      <c r="P161" s="2"/>
      <c r="R161" s="51"/>
      <c r="S161" s="51"/>
      <c r="T161" s="51"/>
      <c r="U161" s="51"/>
      <c r="V161" s="51"/>
      <c r="W161" s="50"/>
      <c r="X161" s="32"/>
      <c r="Y161" s="32"/>
      <c r="Z161" s="32"/>
      <c r="AA161" s="32"/>
      <c r="AB161" s="32"/>
      <c r="AC161" s="32"/>
      <c r="AD161" s="32"/>
      <c r="AE161" s="32"/>
      <c r="AF161" s="32"/>
      <c r="AG161" s="32"/>
      <c r="AH161" s="32"/>
      <c r="AI161" s="32"/>
      <c r="AJ161" s="32"/>
    </row>
    <row r="162" spans="1:36" x14ac:dyDescent="0.25">
      <c r="A162" s="2"/>
      <c r="B162" s="429"/>
      <c r="C162" s="429"/>
      <c r="D162" s="429"/>
      <c r="E162" s="429"/>
      <c r="F162" s="429"/>
      <c r="G162" s="429"/>
      <c r="H162" s="429"/>
      <c r="I162" s="429"/>
      <c r="J162" s="429"/>
      <c r="K162" s="429"/>
      <c r="L162" s="429"/>
      <c r="M162" s="429"/>
      <c r="N162" s="640"/>
      <c r="O162" s="2"/>
      <c r="P162" s="2"/>
      <c r="R162" s="51"/>
      <c r="S162" s="51"/>
      <c r="T162" s="51"/>
      <c r="U162" s="51"/>
      <c r="V162" s="51"/>
      <c r="W162" s="50"/>
      <c r="X162" s="32"/>
      <c r="Y162" s="32"/>
      <c r="Z162" s="32"/>
      <c r="AA162" s="32"/>
      <c r="AB162" s="32"/>
      <c r="AC162" s="32"/>
      <c r="AD162" s="32"/>
      <c r="AE162" s="32"/>
      <c r="AF162" s="32"/>
      <c r="AG162" s="32"/>
      <c r="AH162" s="32"/>
      <c r="AI162" s="32"/>
      <c r="AJ162" s="32"/>
    </row>
    <row r="163" spans="1:36" x14ac:dyDescent="0.25">
      <c r="A163" s="2"/>
      <c r="B163" s="429"/>
      <c r="C163" s="429"/>
      <c r="D163" s="429"/>
      <c r="E163" s="429"/>
      <c r="F163" s="429"/>
      <c r="G163" s="429"/>
      <c r="H163" s="429"/>
      <c r="I163" s="429"/>
      <c r="J163" s="429"/>
      <c r="K163" s="429"/>
      <c r="L163" s="429"/>
      <c r="M163" s="640"/>
      <c r="N163" s="640"/>
      <c r="O163" s="32"/>
      <c r="P163" s="32"/>
      <c r="Q163" s="32"/>
      <c r="R163" s="32"/>
      <c r="S163" s="32"/>
      <c r="T163" s="32"/>
      <c r="U163" s="32"/>
      <c r="V163" s="32"/>
      <c r="W163" s="32"/>
      <c r="X163" s="32"/>
      <c r="Y163" s="32"/>
      <c r="Z163" s="32"/>
      <c r="AA163" s="32"/>
      <c r="AB163" s="32"/>
      <c r="AC163" s="32"/>
      <c r="AD163" s="32"/>
      <c r="AE163" s="32"/>
      <c r="AF163" s="32"/>
      <c r="AG163" s="32"/>
      <c r="AH163" s="32"/>
      <c r="AI163" s="32"/>
      <c r="AJ163" s="32"/>
    </row>
    <row r="164" spans="1:36" x14ac:dyDescent="0.25">
      <c r="A164" s="2"/>
      <c r="B164" s="429"/>
      <c r="C164" s="429"/>
      <c r="D164" s="429"/>
      <c r="E164" s="429"/>
      <c r="F164" s="429"/>
      <c r="G164" s="429"/>
      <c r="H164" s="429"/>
      <c r="I164" s="429"/>
      <c r="J164" s="429"/>
      <c r="K164" s="429"/>
      <c r="L164" s="429"/>
      <c r="M164" s="640"/>
      <c r="N164" s="640"/>
      <c r="O164" s="32"/>
      <c r="P164" s="32"/>
      <c r="Q164" s="32"/>
      <c r="R164" s="32"/>
      <c r="S164" s="32"/>
      <c r="T164" s="32"/>
      <c r="U164" s="32"/>
      <c r="V164" s="32"/>
      <c r="W164" s="32"/>
      <c r="X164" s="32"/>
      <c r="Y164" s="32"/>
      <c r="Z164" s="32"/>
      <c r="AA164" s="32"/>
      <c r="AB164" s="32"/>
      <c r="AC164" s="32"/>
      <c r="AD164" s="32"/>
      <c r="AE164" s="32"/>
      <c r="AF164" s="32"/>
      <c r="AG164" s="32"/>
      <c r="AH164" s="32"/>
      <c r="AI164" s="32"/>
      <c r="AJ164" s="32"/>
    </row>
    <row r="165" spans="1:36" ht="16.5" customHeight="1" x14ac:dyDescent="0.25">
      <c r="A165" s="2"/>
      <c r="B165" s="429"/>
      <c r="C165" s="429"/>
      <c r="D165" s="429"/>
      <c r="E165" s="429"/>
      <c r="F165" s="429"/>
      <c r="G165" s="429"/>
      <c r="H165" s="429"/>
      <c r="I165" s="429"/>
      <c r="J165" s="429"/>
      <c r="K165" s="429"/>
      <c r="L165" s="429"/>
      <c r="M165" s="640"/>
      <c r="N165" s="640"/>
      <c r="O165" s="32"/>
      <c r="P165" s="32"/>
      <c r="Q165" s="32"/>
      <c r="R165" s="32"/>
      <c r="S165" s="32"/>
      <c r="T165" s="32"/>
      <c r="U165" s="32"/>
      <c r="V165" s="32"/>
      <c r="W165" s="32"/>
      <c r="X165" s="32"/>
      <c r="Y165" s="32"/>
      <c r="Z165" s="32"/>
      <c r="AA165" s="32"/>
      <c r="AB165" s="32"/>
      <c r="AC165" s="32"/>
      <c r="AD165" s="32"/>
      <c r="AE165" s="32"/>
      <c r="AF165" s="32"/>
      <c r="AG165" s="32"/>
      <c r="AH165" s="32"/>
      <c r="AI165" s="32"/>
      <c r="AJ165" s="32"/>
    </row>
    <row r="166" spans="1:36" ht="8.25" customHeight="1" x14ac:dyDescent="0.25">
      <c r="A166" s="2"/>
      <c r="B166" s="429"/>
      <c r="C166" s="429"/>
      <c r="D166" s="429"/>
      <c r="E166" s="429"/>
      <c r="F166" s="429"/>
      <c r="G166" s="429"/>
      <c r="H166" s="429"/>
      <c r="I166" s="429"/>
      <c r="J166" s="429"/>
      <c r="K166" s="429"/>
      <c r="L166" s="429"/>
      <c r="M166" s="640"/>
      <c r="N166" s="640"/>
      <c r="O166" s="32"/>
      <c r="P166" s="32"/>
      <c r="Q166" s="32"/>
      <c r="R166" s="32"/>
      <c r="S166" s="32"/>
      <c r="T166" s="32"/>
      <c r="U166" s="32"/>
      <c r="V166" s="32"/>
      <c r="W166" s="32"/>
      <c r="X166" s="32"/>
      <c r="Y166" s="32"/>
      <c r="Z166" s="32"/>
      <c r="AA166" s="32"/>
      <c r="AB166" s="32"/>
      <c r="AC166" s="32"/>
      <c r="AD166" s="32"/>
      <c r="AE166" s="32"/>
      <c r="AF166" s="32"/>
      <c r="AG166" s="32"/>
      <c r="AH166" s="32"/>
      <c r="AI166" s="32"/>
      <c r="AJ166" s="32"/>
    </row>
    <row r="167" spans="1:36" x14ac:dyDescent="0.25">
      <c r="A167" s="2"/>
      <c r="B167" s="429"/>
      <c r="C167" s="429"/>
      <c r="D167" s="429"/>
      <c r="E167" s="429"/>
      <c r="F167" s="429"/>
      <c r="G167" s="429"/>
      <c r="H167" s="429"/>
      <c r="I167" s="429"/>
      <c r="J167" s="429"/>
      <c r="K167" s="429"/>
      <c r="L167" s="429"/>
      <c r="M167" s="640"/>
      <c r="N167" s="640"/>
      <c r="O167" s="32"/>
      <c r="P167" s="32"/>
      <c r="Q167" s="32"/>
      <c r="R167" s="32"/>
      <c r="S167" s="32"/>
      <c r="T167" s="32"/>
      <c r="U167" s="32"/>
      <c r="V167" s="32"/>
      <c r="W167" s="32"/>
      <c r="X167" s="32"/>
      <c r="Y167" s="32"/>
      <c r="Z167" s="32"/>
      <c r="AA167" s="32"/>
      <c r="AB167" s="32"/>
      <c r="AC167" s="32"/>
      <c r="AD167" s="32"/>
      <c r="AE167" s="32"/>
      <c r="AF167" s="32"/>
      <c r="AG167" s="32"/>
      <c r="AH167" s="32"/>
      <c r="AI167" s="32"/>
      <c r="AJ167" s="32"/>
    </row>
    <row r="168" spans="1:36" x14ac:dyDescent="0.25">
      <c r="A168" s="2"/>
      <c r="B168" s="429"/>
      <c r="C168" s="429"/>
      <c r="D168" s="429"/>
      <c r="E168" s="429"/>
      <c r="F168" s="429"/>
      <c r="G168" s="429"/>
      <c r="H168" s="429"/>
      <c r="I168" s="429"/>
      <c r="J168" s="429"/>
      <c r="K168" s="429"/>
      <c r="L168" s="429"/>
      <c r="M168" s="640"/>
      <c r="N168" s="640"/>
      <c r="O168" s="32"/>
      <c r="P168" s="32"/>
      <c r="Q168" s="32"/>
      <c r="R168" s="32"/>
      <c r="S168" s="32"/>
      <c r="T168" s="32"/>
      <c r="U168" s="32"/>
      <c r="V168" s="32"/>
      <c r="W168" s="32"/>
      <c r="X168" s="32"/>
      <c r="Y168" s="32"/>
      <c r="Z168" s="32"/>
      <c r="AA168" s="32"/>
      <c r="AB168" s="32"/>
      <c r="AC168" s="32"/>
      <c r="AD168" s="32"/>
      <c r="AE168" s="32"/>
      <c r="AF168" s="32"/>
      <c r="AG168" s="32"/>
      <c r="AH168" s="32"/>
      <c r="AI168" s="32"/>
      <c r="AJ168" s="32"/>
    </row>
    <row r="169" spans="1:36" x14ac:dyDescent="0.25">
      <c r="A169" s="2"/>
      <c r="B169" s="429"/>
      <c r="C169" s="429"/>
      <c r="D169" s="429"/>
      <c r="E169" s="429"/>
      <c r="F169" s="429"/>
      <c r="G169" s="429"/>
      <c r="H169" s="429"/>
      <c r="I169" s="429"/>
      <c r="J169" s="429"/>
      <c r="K169" s="429"/>
      <c r="L169" s="429"/>
      <c r="M169" s="640"/>
      <c r="N169" s="640"/>
      <c r="O169" s="32"/>
      <c r="P169" s="32"/>
      <c r="Q169" s="32"/>
      <c r="R169" s="32"/>
      <c r="S169" s="32"/>
      <c r="T169" s="32"/>
      <c r="U169" s="32"/>
      <c r="V169" s="32"/>
      <c r="W169" s="32"/>
      <c r="X169" s="32"/>
      <c r="Y169" s="32"/>
      <c r="Z169" s="32"/>
      <c r="AA169" s="32"/>
      <c r="AB169" s="32"/>
      <c r="AC169" s="32"/>
      <c r="AD169" s="32"/>
      <c r="AE169" s="32"/>
      <c r="AF169" s="32"/>
      <c r="AG169" s="32"/>
      <c r="AH169" s="32"/>
      <c r="AI169" s="32"/>
      <c r="AJ169" s="32"/>
    </row>
    <row r="170" spans="1:36" x14ac:dyDescent="0.25">
      <c r="A170" s="2"/>
      <c r="B170" s="429"/>
      <c r="C170" s="429"/>
      <c r="D170" s="429"/>
      <c r="E170" s="429"/>
      <c r="F170" s="429"/>
      <c r="G170" s="429"/>
      <c r="H170" s="429"/>
      <c r="I170" s="429"/>
      <c r="J170" s="429"/>
      <c r="K170" s="429"/>
      <c r="L170" s="429"/>
      <c r="M170" s="640"/>
      <c r="N170" s="640"/>
      <c r="O170" s="32"/>
      <c r="P170" s="32"/>
      <c r="Q170" s="32"/>
      <c r="R170" s="32"/>
      <c r="S170" s="32"/>
      <c r="T170" s="32"/>
      <c r="U170" s="32"/>
      <c r="V170" s="32"/>
      <c r="W170" s="32"/>
      <c r="X170" s="32"/>
      <c r="Y170" s="32"/>
      <c r="Z170" s="32"/>
      <c r="AA170" s="32"/>
      <c r="AB170" s="32"/>
      <c r="AC170" s="32"/>
      <c r="AD170" s="32"/>
      <c r="AE170" s="32"/>
      <c r="AF170" s="32"/>
      <c r="AG170" s="32"/>
      <c r="AH170" s="32"/>
      <c r="AI170" s="32"/>
      <c r="AJ170" s="32"/>
    </row>
    <row r="171" spans="1:36" x14ac:dyDescent="0.25">
      <c r="A171" s="2"/>
      <c r="B171" s="429"/>
      <c r="C171" s="429"/>
      <c r="D171" s="429"/>
      <c r="E171" s="429"/>
      <c r="F171" s="429"/>
      <c r="G171" s="429"/>
      <c r="H171" s="429"/>
      <c r="I171" s="429"/>
      <c r="J171" s="429"/>
      <c r="K171" s="429"/>
      <c r="L171" s="429"/>
      <c r="M171" s="640"/>
      <c r="N171" s="640"/>
      <c r="O171" s="32"/>
      <c r="P171" s="32"/>
      <c r="Q171" s="32"/>
      <c r="R171" s="32"/>
      <c r="S171" s="32"/>
      <c r="T171" s="32"/>
      <c r="U171" s="32"/>
      <c r="V171" s="32"/>
      <c r="W171" s="32"/>
      <c r="X171" s="32"/>
      <c r="Y171" s="32"/>
      <c r="Z171" s="32"/>
      <c r="AA171" s="32"/>
      <c r="AB171" s="32"/>
      <c r="AC171" s="32"/>
      <c r="AD171" s="32"/>
      <c r="AE171" s="32"/>
      <c r="AF171" s="32"/>
      <c r="AG171" s="32"/>
      <c r="AH171" s="32"/>
      <c r="AI171" s="32"/>
      <c r="AJ171" s="32"/>
    </row>
    <row r="172" spans="1:36" x14ac:dyDescent="0.25">
      <c r="A172" s="2"/>
      <c r="B172" s="429"/>
      <c r="C172" s="429"/>
      <c r="D172" s="429"/>
      <c r="E172" s="429"/>
      <c r="F172" s="429"/>
      <c r="G172" s="429"/>
      <c r="H172" s="429"/>
      <c r="I172" s="429"/>
      <c r="J172" s="429"/>
      <c r="K172" s="429"/>
      <c r="L172" s="429"/>
      <c r="M172" s="640"/>
      <c r="N172" s="640"/>
      <c r="O172" s="32"/>
      <c r="P172" s="32"/>
      <c r="Q172" s="32"/>
      <c r="R172" s="32"/>
      <c r="S172" s="32"/>
      <c r="T172" s="32"/>
      <c r="U172" s="32"/>
      <c r="V172" s="32"/>
      <c r="W172" s="32"/>
      <c r="X172" s="32"/>
      <c r="Y172" s="32"/>
      <c r="Z172" s="32"/>
      <c r="AA172" s="32"/>
      <c r="AB172" s="32"/>
      <c r="AC172" s="32"/>
      <c r="AD172" s="32"/>
      <c r="AE172" s="32"/>
      <c r="AF172" s="32"/>
      <c r="AG172" s="32"/>
      <c r="AH172" s="32"/>
      <c r="AI172" s="32"/>
      <c r="AJ172" s="32"/>
    </row>
    <row r="173" spans="1:36" x14ac:dyDescent="0.25">
      <c r="A173" s="2"/>
      <c r="B173" s="429"/>
      <c r="C173" s="429"/>
      <c r="D173" s="429"/>
      <c r="E173" s="429"/>
      <c r="F173" s="429"/>
      <c r="G173" s="429"/>
      <c r="H173" s="429"/>
      <c r="I173" s="429"/>
      <c r="J173" s="429"/>
      <c r="K173" s="429"/>
      <c r="L173" s="429"/>
      <c r="M173" s="640"/>
      <c r="N173" s="640"/>
      <c r="O173" s="32"/>
      <c r="P173" s="32"/>
      <c r="Q173" s="32"/>
      <c r="R173" s="32"/>
      <c r="S173" s="32"/>
      <c r="T173" s="32"/>
      <c r="U173" s="32"/>
      <c r="V173" s="32"/>
      <c r="W173" s="32"/>
      <c r="X173" s="32"/>
      <c r="Y173" s="32"/>
      <c r="Z173" s="32"/>
      <c r="AA173" s="32"/>
      <c r="AB173" s="32"/>
      <c r="AC173" s="32"/>
      <c r="AD173" s="32"/>
      <c r="AE173" s="32"/>
      <c r="AF173" s="32"/>
      <c r="AG173" s="32"/>
      <c r="AH173" s="32"/>
      <c r="AI173" s="32"/>
      <c r="AJ173" s="32"/>
    </row>
    <row r="174" spans="1:36" x14ac:dyDescent="0.25">
      <c r="A174" s="2"/>
      <c r="B174" s="429"/>
      <c r="C174" s="429"/>
      <c r="D174" s="429"/>
      <c r="E174" s="429"/>
      <c r="F174" s="429"/>
      <c r="G174" s="429"/>
      <c r="H174" s="429"/>
      <c r="I174" s="429"/>
      <c r="J174" s="429"/>
      <c r="K174" s="429"/>
      <c r="L174" s="429"/>
      <c r="M174" s="640"/>
      <c r="N174" s="640"/>
      <c r="O174" s="32"/>
      <c r="P174" s="32"/>
      <c r="Q174" s="32"/>
      <c r="R174" s="32"/>
      <c r="S174" s="32"/>
      <c r="T174" s="32"/>
      <c r="U174" s="32"/>
      <c r="V174" s="32"/>
      <c r="W174" s="32"/>
      <c r="X174" s="32"/>
      <c r="Y174" s="32"/>
      <c r="Z174" s="32"/>
      <c r="AA174" s="32"/>
      <c r="AB174" s="32"/>
      <c r="AC174" s="32"/>
      <c r="AD174" s="32"/>
      <c r="AE174" s="32"/>
      <c r="AF174" s="32"/>
      <c r="AG174" s="32"/>
      <c r="AH174" s="32"/>
      <c r="AI174" s="32"/>
      <c r="AJ174" s="32"/>
    </row>
    <row r="175" spans="1:36" x14ac:dyDescent="0.25">
      <c r="A175" s="2"/>
      <c r="B175" s="429"/>
      <c r="C175" s="429"/>
      <c r="D175" s="429"/>
      <c r="E175" s="429"/>
      <c r="F175" s="429"/>
      <c r="G175" s="429"/>
      <c r="H175" s="429"/>
      <c r="I175" s="429"/>
      <c r="J175" s="429"/>
      <c r="K175" s="429"/>
      <c r="L175" s="429"/>
      <c r="M175" s="640"/>
      <c r="N175" s="640"/>
      <c r="O175" s="32"/>
      <c r="P175" s="32"/>
      <c r="Q175" s="32"/>
      <c r="R175" s="32"/>
      <c r="S175" s="32"/>
      <c r="T175" s="32"/>
      <c r="U175" s="32"/>
      <c r="V175" s="32"/>
      <c r="W175" s="32"/>
      <c r="X175" s="32"/>
      <c r="Y175" s="32"/>
      <c r="Z175" s="32"/>
      <c r="AA175" s="32"/>
      <c r="AB175" s="32"/>
      <c r="AC175" s="32"/>
      <c r="AD175" s="32"/>
      <c r="AE175" s="32"/>
      <c r="AF175" s="32"/>
      <c r="AG175" s="32"/>
      <c r="AH175" s="32"/>
      <c r="AI175" s="32"/>
      <c r="AJ175" s="32"/>
    </row>
    <row r="176" spans="1:36" x14ac:dyDescent="0.25">
      <c r="A176" s="2"/>
      <c r="B176" s="429"/>
      <c r="C176" s="429"/>
      <c r="D176" s="429"/>
      <c r="E176" s="429"/>
      <c r="F176" s="429"/>
      <c r="G176" s="429"/>
      <c r="H176" s="429"/>
      <c r="I176" s="429"/>
      <c r="J176" s="429"/>
      <c r="K176" s="429"/>
      <c r="L176" s="429"/>
      <c r="M176" s="640"/>
      <c r="N176" s="640"/>
      <c r="O176" s="32"/>
      <c r="P176" s="32"/>
      <c r="Q176" s="32"/>
      <c r="R176" s="32"/>
      <c r="S176" s="32"/>
      <c r="T176" s="32"/>
      <c r="U176" s="32"/>
      <c r="V176" s="32"/>
      <c r="W176" s="32"/>
      <c r="X176" s="32"/>
      <c r="Y176" s="32"/>
      <c r="Z176" s="32"/>
      <c r="AA176" s="32"/>
      <c r="AB176" s="32"/>
      <c r="AC176" s="32"/>
      <c r="AD176" s="32"/>
      <c r="AE176" s="32"/>
      <c r="AF176" s="32"/>
      <c r="AG176" s="32"/>
      <c r="AH176" s="32"/>
      <c r="AI176" s="32"/>
      <c r="AJ176" s="32"/>
    </row>
    <row r="177" spans="1:36" x14ac:dyDescent="0.25">
      <c r="A177" s="2"/>
      <c r="B177" s="429"/>
      <c r="C177" s="429"/>
      <c r="D177" s="429"/>
      <c r="E177" s="429"/>
      <c r="F177" s="429"/>
      <c r="G177" s="429"/>
      <c r="H177" s="429"/>
      <c r="I177" s="429"/>
      <c r="J177" s="429"/>
      <c r="K177" s="429"/>
      <c r="L177" s="429"/>
      <c r="M177" s="640"/>
      <c r="N177" s="640"/>
      <c r="O177" s="32"/>
      <c r="P177" s="32"/>
      <c r="Q177" s="32"/>
      <c r="R177" s="32"/>
      <c r="S177" s="32"/>
      <c r="T177" s="32"/>
      <c r="U177" s="32"/>
      <c r="V177" s="32"/>
      <c r="W177" s="32"/>
      <c r="X177" s="32"/>
      <c r="Y177" s="32"/>
      <c r="Z177" s="32"/>
      <c r="AA177" s="32"/>
      <c r="AB177" s="32"/>
      <c r="AC177" s="32"/>
      <c r="AD177" s="32"/>
      <c r="AE177" s="32"/>
      <c r="AF177" s="32"/>
      <c r="AG177" s="32"/>
      <c r="AH177" s="32"/>
      <c r="AI177" s="32"/>
      <c r="AJ177" s="32"/>
    </row>
    <row r="178" spans="1:36" x14ac:dyDescent="0.25">
      <c r="A178" s="2"/>
      <c r="B178" s="429"/>
      <c r="C178" s="429"/>
      <c r="D178" s="429"/>
      <c r="E178" s="429"/>
      <c r="F178" s="429"/>
      <c r="G178" s="429"/>
      <c r="H178" s="429"/>
      <c r="I178" s="429"/>
      <c r="J178" s="429"/>
      <c r="K178" s="429"/>
      <c r="L178" s="429"/>
      <c r="M178" s="640"/>
      <c r="N178" s="640"/>
      <c r="O178" s="32"/>
      <c r="P178" s="32"/>
      <c r="Q178" s="32"/>
      <c r="R178" s="32"/>
      <c r="S178" s="32"/>
      <c r="T178" s="32"/>
      <c r="U178" s="32"/>
      <c r="V178" s="32"/>
      <c r="W178" s="32"/>
      <c r="X178" s="32"/>
      <c r="Y178" s="32"/>
      <c r="Z178" s="32"/>
      <c r="AA178" s="32"/>
      <c r="AB178" s="32"/>
      <c r="AC178" s="32"/>
      <c r="AD178" s="32"/>
      <c r="AE178" s="32"/>
      <c r="AF178" s="32"/>
      <c r="AG178" s="32"/>
      <c r="AH178" s="32"/>
      <c r="AI178" s="32"/>
      <c r="AJ178" s="32"/>
    </row>
    <row r="179" spans="1:36" x14ac:dyDescent="0.25">
      <c r="A179" s="2"/>
      <c r="B179" s="429"/>
      <c r="C179" s="429"/>
      <c r="D179" s="429"/>
      <c r="E179" s="429"/>
      <c r="F179" s="429"/>
      <c r="G179" s="429"/>
      <c r="H179" s="429"/>
      <c r="I179" s="429"/>
      <c r="J179" s="429"/>
      <c r="K179" s="429"/>
      <c r="L179" s="429"/>
      <c r="M179" s="640"/>
      <c r="N179" s="640"/>
      <c r="O179" s="32"/>
      <c r="P179" s="32"/>
      <c r="Q179" s="32"/>
      <c r="R179" s="32"/>
      <c r="S179" s="32"/>
      <c r="T179" s="32"/>
      <c r="U179" s="32"/>
      <c r="V179" s="32"/>
      <c r="W179" s="32"/>
      <c r="X179" s="32"/>
      <c r="Y179" s="32"/>
      <c r="Z179" s="32"/>
      <c r="AA179" s="32"/>
      <c r="AB179" s="32"/>
      <c r="AC179" s="32"/>
      <c r="AD179" s="32"/>
      <c r="AE179" s="32"/>
      <c r="AF179" s="32"/>
      <c r="AG179" s="32"/>
      <c r="AH179" s="32"/>
      <c r="AI179" s="32"/>
      <c r="AJ179" s="32"/>
    </row>
    <row r="180" spans="1:36" x14ac:dyDescent="0.25">
      <c r="A180" s="2"/>
      <c r="B180" s="429"/>
      <c r="C180" s="429"/>
      <c r="D180" s="429"/>
      <c r="E180" s="429"/>
      <c r="F180" s="429"/>
      <c r="G180" s="429"/>
      <c r="H180" s="429"/>
      <c r="I180" s="429"/>
      <c r="J180" s="429"/>
      <c r="K180" s="429"/>
      <c r="L180" s="429"/>
      <c r="M180" s="640"/>
      <c r="N180" s="640"/>
      <c r="O180" s="32"/>
      <c r="P180" s="32"/>
      <c r="Q180" s="32"/>
      <c r="R180" s="32"/>
      <c r="S180" s="32"/>
      <c r="T180" s="32"/>
      <c r="U180" s="32"/>
      <c r="V180" s="32"/>
      <c r="W180" s="32"/>
      <c r="X180" s="32"/>
      <c r="Y180" s="32"/>
      <c r="Z180" s="32"/>
      <c r="AA180" s="32"/>
      <c r="AB180" s="32"/>
      <c r="AC180" s="32"/>
      <c r="AD180" s="32"/>
      <c r="AE180" s="32"/>
      <c r="AF180" s="32"/>
      <c r="AG180" s="32"/>
      <c r="AH180" s="32"/>
      <c r="AI180" s="32"/>
      <c r="AJ180" s="32"/>
    </row>
    <row r="181" spans="1:36" x14ac:dyDescent="0.25">
      <c r="A181" s="2"/>
      <c r="B181" s="429"/>
      <c r="C181" s="429"/>
      <c r="D181" s="429"/>
      <c r="E181" s="429"/>
      <c r="F181" s="429"/>
      <c r="G181" s="429"/>
      <c r="H181" s="429"/>
      <c r="I181" s="429"/>
      <c r="J181" s="429"/>
      <c r="K181" s="429"/>
      <c r="L181" s="429"/>
      <c r="M181" s="640"/>
      <c r="N181" s="640"/>
      <c r="O181" s="32"/>
      <c r="P181" s="32"/>
      <c r="Q181" s="32"/>
      <c r="R181" s="32"/>
      <c r="S181" s="32"/>
      <c r="T181" s="32"/>
      <c r="U181" s="32"/>
      <c r="V181" s="32"/>
      <c r="W181" s="32"/>
      <c r="X181" s="32"/>
      <c r="Y181" s="32"/>
      <c r="Z181" s="32"/>
      <c r="AA181" s="32"/>
      <c r="AB181" s="32"/>
      <c r="AC181" s="32"/>
      <c r="AD181" s="32"/>
      <c r="AE181" s="32"/>
      <c r="AF181" s="32"/>
      <c r="AG181" s="32"/>
      <c r="AH181" s="32"/>
      <c r="AI181" s="32"/>
      <c r="AJ181" s="32"/>
    </row>
    <row r="182" spans="1:36" x14ac:dyDescent="0.25">
      <c r="A182" s="2"/>
      <c r="B182" s="429"/>
      <c r="C182" s="429"/>
      <c r="D182" s="429"/>
      <c r="E182" s="429"/>
      <c r="F182" s="429"/>
      <c r="G182" s="429"/>
      <c r="H182" s="429"/>
      <c r="I182" s="429"/>
      <c r="J182" s="429"/>
      <c r="K182" s="429"/>
      <c r="L182" s="429"/>
      <c r="M182" s="640"/>
      <c r="N182" s="640"/>
      <c r="O182" s="32"/>
      <c r="P182" s="32"/>
      <c r="Q182" s="32"/>
      <c r="R182" s="32"/>
      <c r="S182" s="32"/>
      <c r="T182" s="32"/>
      <c r="U182" s="32"/>
      <c r="V182" s="32"/>
      <c r="W182" s="32"/>
      <c r="X182" s="32"/>
      <c r="Y182" s="32"/>
      <c r="Z182" s="32"/>
      <c r="AA182" s="32"/>
      <c r="AB182" s="32"/>
      <c r="AC182" s="32"/>
      <c r="AD182" s="32"/>
      <c r="AE182" s="32"/>
      <c r="AF182" s="32"/>
      <c r="AG182" s="32"/>
      <c r="AH182" s="32"/>
      <c r="AI182" s="32"/>
      <c r="AJ182" s="32"/>
    </row>
    <row r="183" spans="1:36" x14ac:dyDescent="0.25">
      <c r="A183" s="2"/>
      <c r="B183" s="429"/>
      <c r="C183" s="429"/>
      <c r="D183" s="429"/>
      <c r="E183" s="429"/>
      <c r="F183" s="429"/>
      <c r="G183" s="429"/>
      <c r="H183" s="429"/>
      <c r="I183" s="429"/>
      <c r="J183" s="429"/>
      <c r="K183" s="429"/>
      <c r="L183" s="429"/>
      <c r="M183" s="640"/>
      <c r="N183" s="640"/>
      <c r="O183" s="32"/>
      <c r="P183" s="32"/>
      <c r="Q183" s="32"/>
      <c r="R183" s="32"/>
      <c r="S183" s="32"/>
      <c r="T183" s="32"/>
      <c r="U183" s="32"/>
      <c r="V183" s="32"/>
      <c r="W183" s="32"/>
      <c r="X183" s="32"/>
      <c r="Y183" s="32"/>
      <c r="Z183" s="32"/>
      <c r="AA183" s="32"/>
      <c r="AB183" s="32"/>
      <c r="AC183" s="32"/>
      <c r="AD183" s="32"/>
      <c r="AE183" s="32"/>
      <c r="AF183" s="32"/>
      <c r="AG183" s="32"/>
      <c r="AH183" s="32"/>
      <c r="AI183" s="32"/>
      <c r="AJ183" s="32"/>
    </row>
    <row r="184" spans="1:36" x14ac:dyDescent="0.25">
      <c r="A184" s="2"/>
      <c r="B184" s="429"/>
      <c r="C184" s="429"/>
      <c r="D184" s="429"/>
      <c r="E184" s="429"/>
      <c r="F184" s="429"/>
      <c r="G184" s="429"/>
      <c r="H184" s="429"/>
      <c r="I184" s="429"/>
      <c r="J184" s="429"/>
      <c r="K184" s="429"/>
      <c r="L184" s="429"/>
      <c r="M184" s="429"/>
      <c r="N184" s="429"/>
      <c r="O184" s="32"/>
      <c r="P184" s="32"/>
      <c r="Q184" s="32"/>
      <c r="R184" s="32"/>
      <c r="S184" s="32"/>
      <c r="T184" s="32"/>
      <c r="U184" s="32"/>
      <c r="V184" s="32"/>
      <c r="W184" s="32"/>
      <c r="X184" s="32"/>
      <c r="Y184" s="32"/>
      <c r="Z184" s="32"/>
      <c r="AA184" s="32"/>
      <c r="AB184" s="32"/>
      <c r="AC184" s="32"/>
      <c r="AD184" s="32"/>
      <c r="AE184" s="32"/>
      <c r="AF184" s="32"/>
      <c r="AG184" s="32"/>
      <c r="AH184" s="32"/>
      <c r="AI184" s="32"/>
      <c r="AJ184" s="32"/>
    </row>
    <row r="185" spans="1:36" x14ac:dyDescent="0.25">
      <c r="A185" s="2"/>
      <c r="B185" s="429"/>
      <c r="C185" s="429"/>
      <c r="D185" s="429"/>
      <c r="E185" s="429"/>
      <c r="F185" s="429"/>
      <c r="G185" s="429"/>
      <c r="H185" s="429"/>
      <c r="I185" s="429"/>
      <c r="J185" s="429"/>
      <c r="K185" s="429"/>
      <c r="L185" s="429"/>
      <c r="M185" s="429"/>
      <c r="N185" s="429"/>
      <c r="O185" s="32"/>
      <c r="P185" s="32"/>
      <c r="Q185" s="32"/>
      <c r="R185" s="32"/>
      <c r="S185" s="32"/>
      <c r="T185" s="32"/>
      <c r="U185" s="32"/>
      <c r="V185" s="32"/>
      <c r="W185" s="32"/>
      <c r="X185" s="32"/>
      <c r="Y185" s="32"/>
      <c r="Z185" s="32"/>
      <c r="AA185" s="32"/>
      <c r="AB185" s="32"/>
      <c r="AC185" s="32"/>
      <c r="AD185" s="32"/>
      <c r="AE185" s="32"/>
      <c r="AF185" s="32"/>
      <c r="AG185" s="32"/>
      <c r="AH185" s="32"/>
      <c r="AI185" s="32"/>
      <c r="AJ185" s="32"/>
    </row>
    <row r="186" spans="1:36" x14ac:dyDescent="0.25">
      <c r="A186" s="2"/>
      <c r="B186" s="429"/>
      <c r="C186" s="429"/>
      <c r="D186" s="429"/>
      <c r="E186" s="429"/>
      <c r="F186" s="429"/>
      <c r="G186" s="429"/>
      <c r="H186" s="429"/>
      <c r="I186" s="429"/>
      <c r="J186" s="429"/>
      <c r="K186" s="429"/>
      <c r="L186" s="429"/>
      <c r="M186" s="429"/>
      <c r="N186" s="429"/>
      <c r="O186" s="32"/>
      <c r="P186" s="32"/>
      <c r="Q186" s="32"/>
      <c r="R186" s="32"/>
      <c r="S186" s="32"/>
      <c r="T186" s="32"/>
      <c r="U186" s="32"/>
      <c r="V186" s="32"/>
      <c r="W186" s="32"/>
      <c r="X186" s="32"/>
      <c r="Y186" s="32"/>
      <c r="Z186" s="32"/>
      <c r="AA186" s="32"/>
      <c r="AB186" s="32"/>
      <c r="AC186" s="32"/>
      <c r="AD186" s="32"/>
      <c r="AE186" s="32"/>
      <c r="AF186" s="32"/>
      <c r="AG186" s="32"/>
      <c r="AH186" s="32"/>
      <c r="AI186" s="32"/>
      <c r="AJ186" s="32"/>
    </row>
    <row r="187" spans="1:36" x14ac:dyDescent="0.25">
      <c r="A187" s="2"/>
      <c r="B187" s="429"/>
      <c r="C187" s="429"/>
      <c r="D187" s="429"/>
      <c r="E187" s="429"/>
      <c r="F187" s="429"/>
      <c r="G187" s="429"/>
      <c r="H187" s="429"/>
      <c r="I187" s="429"/>
      <c r="J187" s="429"/>
      <c r="K187" s="429"/>
      <c r="L187" s="429"/>
      <c r="M187" s="429"/>
      <c r="N187" s="429"/>
      <c r="O187" s="32"/>
      <c r="P187" s="32"/>
      <c r="Q187" s="32"/>
      <c r="R187" s="32"/>
      <c r="S187" s="32"/>
      <c r="T187" s="32"/>
      <c r="U187" s="32"/>
      <c r="V187" s="32"/>
      <c r="W187" s="32"/>
      <c r="X187" s="32"/>
      <c r="Y187" s="32"/>
      <c r="Z187" s="32"/>
      <c r="AA187" s="32"/>
      <c r="AB187" s="32"/>
      <c r="AC187" s="32"/>
      <c r="AD187" s="32"/>
      <c r="AE187" s="32"/>
      <c r="AF187" s="32"/>
      <c r="AG187" s="32"/>
      <c r="AH187" s="32"/>
      <c r="AI187" s="32"/>
      <c r="AJ187" s="32"/>
    </row>
    <row r="188" spans="1:36" x14ac:dyDescent="0.25">
      <c r="A188" s="2"/>
      <c r="B188" s="429"/>
      <c r="C188" s="429"/>
      <c r="D188" s="429"/>
      <c r="E188" s="429"/>
      <c r="F188" s="429"/>
      <c r="G188" s="429"/>
      <c r="H188" s="429"/>
      <c r="I188" s="429"/>
      <c r="J188" s="429"/>
      <c r="K188" s="429"/>
      <c r="L188" s="429"/>
      <c r="M188" s="429"/>
      <c r="N188" s="429"/>
      <c r="O188" s="32"/>
      <c r="P188" s="32"/>
      <c r="Q188" s="32"/>
      <c r="R188" s="32"/>
      <c r="S188" s="32"/>
      <c r="T188" s="32"/>
      <c r="U188" s="32"/>
      <c r="V188" s="32"/>
      <c r="W188" s="32"/>
      <c r="X188" s="32"/>
      <c r="Y188" s="32"/>
      <c r="Z188" s="32"/>
      <c r="AA188" s="32"/>
      <c r="AB188" s="32"/>
      <c r="AC188" s="32"/>
      <c r="AD188" s="32"/>
      <c r="AE188" s="32"/>
      <c r="AF188" s="32"/>
      <c r="AG188" s="32"/>
      <c r="AH188" s="32"/>
      <c r="AI188" s="32"/>
      <c r="AJ188" s="32"/>
    </row>
    <row r="189" spans="1:36" x14ac:dyDescent="0.25">
      <c r="A189" s="2"/>
      <c r="B189" s="429"/>
      <c r="C189" s="429"/>
      <c r="D189" s="429"/>
      <c r="E189" s="429"/>
      <c r="F189" s="429"/>
      <c r="G189" s="429"/>
      <c r="H189" s="429"/>
      <c r="I189" s="429"/>
      <c r="J189" s="429"/>
      <c r="K189" s="429"/>
      <c r="L189" s="429"/>
      <c r="M189" s="429"/>
      <c r="N189" s="429"/>
      <c r="O189" s="32"/>
      <c r="P189" s="32"/>
      <c r="Q189" s="32"/>
      <c r="R189" s="32"/>
      <c r="S189" s="32"/>
      <c r="T189" s="32"/>
      <c r="U189" s="32"/>
      <c r="V189" s="32"/>
      <c r="W189" s="32"/>
      <c r="X189" s="32"/>
      <c r="Y189" s="32"/>
      <c r="Z189" s="32"/>
      <c r="AA189" s="32"/>
      <c r="AB189" s="32"/>
      <c r="AC189" s="32"/>
      <c r="AD189" s="32"/>
      <c r="AE189" s="32"/>
      <c r="AF189" s="32"/>
      <c r="AG189" s="32"/>
      <c r="AH189" s="32"/>
      <c r="AI189" s="32"/>
      <c r="AJ189" s="32"/>
    </row>
    <row r="190" spans="1:36" x14ac:dyDescent="0.25">
      <c r="A190" s="2"/>
      <c r="B190" s="429"/>
      <c r="C190" s="429"/>
      <c r="D190" s="429"/>
      <c r="E190" s="429"/>
      <c r="F190" s="429"/>
      <c r="G190" s="429"/>
      <c r="H190" s="429"/>
      <c r="I190" s="429"/>
      <c r="J190" s="429"/>
      <c r="K190" s="429"/>
      <c r="L190" s="429"/>
      <c r="M190" s="429"/>
      <c r="N190" s="429"/>
      <c r="O190" s="32"/>
      <c r="P190" s="32"/>
      <c r="Q190" s="32"/>
      <c r="R190" s="32"/>
      <c r="S190" s="32"/>
      <c r="T190" s="32"/>
      <c r="U190" s="32"/>
      <c r="V190" s="32"/>
      <c r="W190" s="32"/>
      <c r="X190" s="32"/>
      <c r="Y190" s="32"/>
      <c r="Z190" s="32"/>
      <c r="AA190" s="32"/>
      <c r="AB190" s="32"/>
      <c r="AC190" s="32"/>
      <c r="AD190" s="32"/>
      <c r="AE190" s="32"/>
      <c r="AF190" s="32"/>
      <c r="AG190" s="32"/>
      <c r="AH190" s="32"/>
      <c r="AI190" s="32"/>
      <c r="AJ190" s="32"/>
    </row>
    <row r="191" spans="1:36" x14ac:dyDescent="0.25">
      <c r="A191" s="2"/>
      <c r="B191" s="429"/>
      <c r="C191" s="429"/>
      <c r="D191" s="429"/>
      <c r="E191" s="429"/>
      <c r="F191" s="429"/>
      <c r="G191" s="429"/>
      <c r="H191" s="429"/>
      <c r="I191" s="429"/>
      <c r="J191" s="429"/>
      <c r="K191" s="429"/>
      <c r="L191" s="429"/>
      <c r="M191" s="640"/>
      <c r="N191" s="640"/>
      <c r="O191" s="32"/>
      <c r="P191" s="32"/>
      <c r="Q191" s="32"/>
      <c r="R191" s="32"/>
      <c r="S191" s="32"/>
      <c r="T191" s="32"/>
      <c r="U191" s="32"/>
      <c r="V191" s="32"/>
      <c r="W191" s="32"/>
      <c r="X191" s="32"/>
      <c r="Y191" s="32"/>
      <c r="Z191" s="32"/>
      <c r="AA191" s="32"/>
      <c r="AB191" s="32"/>
      <c r="AC191" s="32"/>
      <c r="AD191" s="32"/>
      <c r="AE191" s="32"/>
      <c r="AF191" s="32"/>
      <c r="AG191" s="32"/>
      <c r="AH191" s="32"/>
      <c r="AI191" s="32"/>
      <c r="AJ191" s="32"/>
    </row>
    <row r="192" spans="1:36" x14ac:dyDescent="0.25">
      <c r="A192" s="2"/>
      <c r="B192" s="429"/>
      <c r="C192" s="429"/>
      <c r="D192" s="429"/>
      <c r="E192" s="429"/>
      <c r="F192" s="429"/>
      <c r="G192" s="429"/>
      <c r="H192" s="429"/>
      <c r="I192" s="429"/>
      <c r="J192" s="429"/>
      <c r="K192" s="429"/>
      <c r="L192" s="429"/>
      <c r="M192" s="640"/>
      <c r="N192" s="640"/>
      <c r="O192" s="32"/>
      <c r="P192" s="32"/>
      <c r="Q192" s="32"/>
      <c r="R192" s="32"/>
      <c r="S192" s="32"/>
      <c r="T192" s="32"/>
      <c r="U192" s="32"/>
      <c r="V192" s="32"/>
      <c r="W192" s="32"/>
      <c r="X192" s="32"/>
      <c r="Y192" s="32"/>
      <c r="Z192" s="32"/>
      <c r="AA192" s="32"/>
      <c r="AB192" s="32"/>
      <c r="AC192" s="32"/>
      <c r="AD192" s="32"/>
      <c r="AE192" s="32"/>
      <c r="AF192" s="32"/>
      <c r="AG192" s="32"/>
      <c r="AH192" s="32"/>
      <c r="AI192" s="32"/>
      <c r="AJ192" s="32"/>
    </row>
    <row r="193" spans="1:36" x14ac:dyDescent="0.25">
      <c r="A193" s="2"/>
      <c r="B193" s="429"/>
      <c r="C193" s="429"/>
      <c r="D193" s="429"/>
      <c r="E193" s="429"/>
      <c r="F193" s="429"/>
      <c r="G193" s="429"/>
      <c r="H193" s="429"/>
      <c r="I193" s="429"/>
      <c r="J193" s="429"/>
      <c r="K193" s="429"/>
      <c r="L193" s="429"/>
      <c r="M193" s="640"/>
      <c r="N193" s="640"/>
      <c r="O193" s="32"/>
      <c r="P193" s="32"/>
      <c r="Q193" s="32"/>
      <c r="R193" s="32"/>
      <c r="S193" s="32"/>
      <c r="T193" s="32"/>
      <c r="U193" s="32"/>
      <c r="V193" s="32"/>
      <c r="W193" s="32"/>
      <c r="X193" s="32"/>
      <c r="Y193" s="32"/>
      <c r="Z193" s="32"/>
      <c r="AA193" s="32"/>
      <c r="AB193" s="32"/>
      <c r="AC193" s="32"/>
      <c r="AD193" s="32"/>
      <c r="AE193" s="32"/>
      <c r="AF193" s="32"/>
      <c r="AG193" s="32"/>
      <c r="AH193" s="32"/>
      <c r="AI193" s="32"/>
      <c r="AJ193" s="32"/>
    </row>
    <row r="194" spans="1:36" x14ac:dyDescent="0.25">
      <c r="A194" s="2"/>
      <c r="B194" s="429"/>
      <c r="C194" s="429"/>
      <c r="D194" s="429"/>
      <c r="E194" s="429"/>
      <c r="F194" s="429"/>
      <c r="G194" s="429"/>
      <c r="H194" s="429"/>
      <c r="I194" s="429"/>
      <c r="J194" s="429"/>
      <c r="K194" s="429"/>
      <c r="L194" s="429"/>
      <c r="M194" s="640"/>
      <c r="N194" s="640"/>
      <c r="O194" s="32"/>
      <c r="P194" s="32"/>
      <c r="Q194" s="32"/>
      <c r="R194" s="32"/>
      <c r="S194" s="32"/>
      <c r="T194" s="32"/>
      <c r="U194" s="32"/>
      <c r="V194" s="32"/>
      <c r="W194" s="32"/>
      <c r="X194" s="32"/>
      <c r="Y194" s="32"/>
      <c r="Z194" s="32"/>
      <c r="AA194" s="32"/>
      <c r="AB194" s="32"/>
      <c r="AC194" s="32"/>
      <c r="AD194" s="32"/>
      <c r="AE194" s="32"/>
      <c r="AF194" s="32"/>
      <c r="AG194" s="32"/>
      <c r="AH194" s="32"/>
      <c r="AI194" s="32"/>
      <c r="AJ194" s="32"/>
    </row>
    <row r="195" spans="1:36" x14ac:dyDescent="0.25">
      <c r="A195" s="2"/>
      <c r="B195" s="429"/>
      <c r="C195" s="429"/>
      <c r="D195" s="429"/>
      <c r="E195" s="429"/>
      <c r="F195" s="429"/>
      <c r="G195" s="429"/>
      <c r="H195" s="429"/>
      <c r="I195" s="429"/>
      <c r="J195" s="429"/>
      <c r="K195" s="429"/>
      <c r="L195" s="429"/>
      <c r="M195" s="640"/>
      <c r="N195" s="640"/>
      <c r="O195" s="32"/>
      <c r="P195" s="32"/>
      <c r="Q195" s="32"/>
      <c r="R195" s="32"/>
      <c r="S195" s="32"/>
      <c r="T195" s="32"/>
      <c r="U195" s="32"/>
      <c r="V195" s="32"/>
      <c r="W195" s="32"/>
      <c r="X195" s="32"/>
      <c r="Y195" s="32"/>
      <c r="Z195" s="32"/>
      <c r="AA195" s="32"/>
      <c r="AB195" s="32"/>
      <c r="AC195" s="32"/>
      <c r="AD195" s="32"/>
      <c r="AE195" s="32"/>
      <c r="AF195" s="32"/>
      <c r="AG195" s="32"/>
      <c r="AH195" s="32"/>
      <c r="AI195" s="32"/>
      <c r="AJ195" s="32"/>
    </row>
    <row r="196" spans="1:36" x14ac:dyDescent="0.25">
      <c r="A196" s="2"/>
      <c r="B196" s="429"/>
      <c r="C196" s="429"/>
      <c r="D196" s="429"/>
      <c r="E196" s="429"/>
      <c r="F196" s="429"/>
      <c r="G196" s="429"/>
      <c r="H196" s="429"/>
      <c r="I196" s="429"/>
      <c r="J196" s="429"/>
      <c r="K196" s="429"/>
      <c r="L196" s="429"/>
      <c r="M196" s="640"/>
      <c r="N196" s="640"/>
      <c r="O196" s="32"/>
      <c r="P196" s="32"/>
      <c r="Q196" s="32"/>
      <c r="R196" s="32"/>
      <c r="S196" s="32"/>
      <c r="T196" s="32"/>
      <c r="U196" s="32"/>
      <c r="V196" s="32"/>
      <c r="W196" s="32"/>
      <c r="X196" s="32"/>
      <c r="Y196" s="32"/>
      <c r="Z196" s="32"/>
      <c r="AA196" s="32"/>
      <c r="AB196" s="32"/>
      <c r="AC196" s="32"/>
      <c r="AD196" s="32"/>
      <c r="AE196" s="32"/>
      <c r="AF196" s="32"/>
      <c r="AG196" s="32"/>
      <c r="AH196" s="32"/>
      <c r="AI196" s="32"/>
      <c r="AJ196" s="32"/>
    </row>
    <row r="197" spans="1:36" x14ac:dyDescent="0.25">
      <c r="A197" s="2"/>
      <c r="B197" s="429"/>
      <c r="C197" s="429"/>
      <c r="D197" s="429"/>
      <c r="E197" s="429"/>
      <c r="F197" s="429"/>
      <c r="G197" s="429"/>
      <c r="H197" s="429"/>
      <c r="I197" s="429"/>
      <c r="J197" s="429"/>
      <c r="K197" s="429"/>
      <c r="L197" s="429"/>
      <c r="M197" s="640"/>
      <c r="N197" s="640"/>
      <c r="O197" s="32"/>
      <c r="P197" s="32"/>
      <c r="Q197" s="32"/>
      <c r="R197" s="32"/>
      <c r="S197" s="32"/>
      <c r="T197" s="32"/>
      <c r="U197" s="32"/>
      <c r="V197" s="32"/>
      <c r="W197" s="32"/>
      <c r="X197" s="32"/>
      <c r="Y197" s="32"/>
      <c r="Z197" s="32"/>
      <c r="AA197" s="32"/>
      <c r="AB197" s="32"/>
      <c r="AC197" s="32"/>
      <c r="AD197" s="32"/>
      <c r="AE197" s="32"/>
      <c r="AF197" s="32"/>
      <c r="AG197" s="32"/>
      <c r="AH197" s="32"/>
      <c r="AI197" s="32"/>
      <c r="AJ197" s="32"/>
    </row>
    <row r="198" spans="1:36" x14ac:dyDescent="0.25">
      <c r="A198" s="2"/>
      <c r="B198" s="429"/>
      <c r="C198" s="429"/>
      <c r="D198" s="429"/>
      <c r="E198" s="429"/>
      <c r="F198" s="429"/>
      <c r="G198" s="429"/>
      <c r="H198" s="429"/>
      <c r="I198" s="429"/>
      <c r="J198" s="429"/>
      <c r="K198" s="429"/>
      <c r="L198" s="429"/>
      <c r="M198" s="429"/>
      <c r="N198" s="429"/>
      <c r="O198" s="32"/>
      <c r="P198" s="32"/>
      <c r="Q198" s="32"/>
      <c r="R198" s="32"/>
      <c r="S198" s="32"/>
      <c r="T198" s="32"/>
      <c r="U198" s="32"/>
      <c r="V198" s="32"/>
      <c r="W198" s="32"/>
      <c r="X198" s="32"/>
      <c r="Y198" s="32"/>
      <c r="Z198" s="32"/>
      <c r="AA198" s="32"/>
      <c r="AB198" s="32"/>
      <c r="AC198" s="32"/>
      <c r="AD198" s="32"/>
      <c r="AE198" s="32"/>
      <c r="AF198" s="32"/>
      <c r="AG198" s="32"/>
      <c r="AH198" s="32"/>
      <c r="AI198" s="32"/>
      <c r="AJ198" s="32"/>
    </row>
    <row r="199" spans="1:36" x14ac:dyDescent="0.25">
      <c r="A199" s="2"/>
      <c r="B199" s="429"/>
      <c r="C199" s="429"/>
      <c r="D199" s="429"/>
      <c r="E199" s="429"/>
      <c r="F199" s="429"/>
      <c r="G199" s="429"/>
      <c r="H199" s="429"/>
      <c r="I199" s="429"/>
      <c r="J199" s="429"/>
      <c r="K199" s="429"/>
      <c r="L199" s="429"/>
      <c r="M199" s="429"/>
      <c r="N199" s="429"/>
      <c r="O199" s="32"/>
      <c r="P199" s="32"/>
      <c r="Q199" s="32"/>
      <c r="R199" s="32"/>
      <c r="S199" s="32"/>
      <c r="T199" s="32"/>
      <c r="U199" s="32"/>
      <c r="V199" s="32"/>
      <c r="W199" s="32"/>
      <c r="X199" s="32"/>
      <c r="Y199" s="32"/>
      <c r="Z199" s="32"/>
      <c r="AA199" s="32"/>
      <c r="AB199" s="32"/>
      <c r="AC199" s="32"/>
      <c r="AD199" s="32"/>
      <c r="AE199" s="32"/>
      <c r="AF199" s="32"/>
      <c r="AG199" s="32"/>
      <c r="AH199" s="32"/>
      <c r="AI199" s="32"/>
      <c r="AJ199" s="32"/>
    </row>
    <row r="200" spans="1:36" x14ac:dyDescent="0.25">
      <c r="A200" s="2"/>
      <c r="B200" s="429"/>
      <c r="C200" s="429"/>
      <c r="D200" s="429"/>
      <c r="E200" s="429"/>
      <c r="F200" s="429"/>
      <c r="G200" s="429"/>
      <c r="H200" s="429"/>
      <c r="I200" s="429"/>
      <c r="J200" s="429"/>
      <c r="K200" s="429"/>
      <c r="L200" s="429"/>
      <c r="M200" s="429"/>
      <c r="N200" s="429"/>
      <c r="O200" s="32"/>
      <c r="P200" s="32"/>
      <c r="Q200" s="32"/>
      <c r="R200" s="32"/>
      <c r="S200" s="32"/>
      <c r="T200" s="32"/>
      <c r="U200" s="32"/>
      <c r="V200" s="32"/>
      <c r="W200" s="32"/>
      <c r="X200" s="32"/>
      <c r="Y200" s="32"/>
      <c r="Z200" s="32"/>
      <c r="AA200" s="32"/>
      <c r="AB200" s="32"/>
      <c r="AC200" s="32"/>
      <c r="AD200" s="32"/>
      <c r="AE200" s="32"/>
      <c r="AF200" s="32"/>
      <c r="AG200" s="32"/>
      <c r="AH200" s="32"/>
      <c r="AI200" s="32"/>
      <c r="AJ200" s="32"/>
    </row>
    <row r="201" spans="1:36" x14ac:dyDescent="0.25">
      <c r="A201" s="2"/>
      <c r="B201" s="429"/>
      <c r="C201" s="429"/>
      <c r="D201" s="429"/>
      <c r="E201" s="429"/>
      <c r="F201" s="429"/>
      <c r="G201" s="429"/>
      <c r="H201" s="429"/>
      <c r="I201" s="429"/>
      <c r="J201" s="429"/>
      <c r="K201" s="429"/>
      <c r="L201" s="429"/>
      <c r="M201" s="429"/>
      <c r="N201" s="429"/>
      <c r="O201" s="32"/>
      <c r="P201" s="32"/>
      <c r="Q201" s="32"/>
      <c r="R201" s="32"/>
      <c r="S201" s="32"/>
      <c r="T201" s="32"/>
      <c r="U201" s="32"/>
      <c r="V201" s="32"/>
      <c r="W201" s="32"/>
      <c r="X201" s="32"/>
      <c r="Y201" s="32"/>
      <c r="Z201" s="32"/>
      <c r="AA201" s="32"/>
      <c r="AB201" s="32"/>
      <c r="AC201" s="32"/>
      <c r="AD201" s="32"/>
      <c r="AE201" s="32"/>
      <c r="AF201" s="32"/>
      <c r="AG201" s="32"/>
      <c r="AH201" s="32"/>
      <c r="AI201" s="32"/>
      <c r="AJ201" s="32"/>
    </row>
    <row r="202" spans="1:36" x14ac:dyDescent="0.25">
      <c r="A202" s="2"/>
      <c r="B202" s="429"/>
      <c r="C202" s="429"/>
      <c r="D202" s="429"/>
      <c r="E202" s="429"/>
      <c r="F202" s="429"/>
      <c r="G202" s="429"/>
      <c r="H202" s="429"/>
      <c r="I202" s="429"/>
      <c r="J202" s="429"/>
      <c r="K202" s="429"/>
      <c r="L202" s="429"/>
      <c r="M202" s="429"/>
      <c r="N202" s="429"/>
      <c r="O202" s="32"/>
      <c r="P202" s="32"/>
      <c r="Q202" s="32"/>
      <c r="R202" s="32"/>
      <c r="S202" s="32"/>
      <c r="T202" s="32"/>
      <c r="U202" s="32"/>
      <c r="V202" s="32"/>
      <c r="W202" s="32"/>
      <c r="X202" s="32"/>
      <c r="Y202" s="32"/>
      <c r="Z202" s="32"/>
      <c r="AA202" s="32"/>
      <c r="AB202" s="32"/>
      <c r="AC202" s="32"/>
      <c r="AD202" s="32"/>
      <c r="AE202" s="32"/>
      <c r="AF202" s="32"/>
      <c r="AG202" s="32"/>
      <c r="AH202" s="32"/>
      <c r="AI202" s="32"/>
      <c r="AJ202" s="32"/>
    </row>
    <row r="203" spans="1:36" x14ac:dyDescent="0.25">
      <c r="A203" s="2"/>
      <c r="B203" s="429"/>
      <c r="C203" s="429"/>
      <c r="D203" s="429"/>
      <c r="E203" s="429"/>
      <c r="F203" s="429"/>
      <c r="G203" s="429"/>
      <c r="H203" s="429"/>
      <c r="I203" s="429"/>
      <c r="J203" s="429"/>
      <c r="K203" s="429"/>
      <c r="L203" s="429"/>
      <c r="M203" s="429"/>
      <c r="N203" s="429"/>
      <c r="O203" s="32"/>
      <c r="P203" s="32"/>
      <c r="Q203" s="32"/>
      <c r="R203" s="32"/>
      <c r="S203" s="32"/>
      <c r="T203" s="32"/>
      <c r="U203" s="32"/>
      <c r="V203" s="32"/>
      <c r="W203" s="32"/>
      <c r="X203" s="32"/>
      <c r="Y203" s="32"/>
      <c r="Z203" s="32"/>
      <c r="AA203" s="32"/>
      <c r="AB203" s="32"/>
      <c r="AC203" s="32"/>
      <c r="AD203" s="32"/>
      <c r="AE203" s="32"/>
      <c r="AF203" s="32"/>
      <c r="AG203" s="32"/>
      <c r="AH203" s="32"/>
      <c r="AI203" s="32"/>
      <c r="AJ203" s="32"/>
    </row>
    <row r="204" spans="1:36" x14ac:dyDescent="0.25">
      <c r="A204" s="2"/>
      <c r="B204" s="429"/>
      <c r="C204" s="429"/>
      <c r="D204" s="429"/>
      <c r="E204" s="429"/>
      <c r="F204" s="429"/>
      <c r="G204" s="429"/>
      <c r="H204" s="429"/>
      <c r="I204" s="429"/>
      <c r="J204" s="429"/>
      <c r="K204" s="429"/>
      <c r="L204" s="429"/>
      <c r="M204" s="429"/>
      <c r="N204" s="429"/>
      <c r="O204" s="32"/>
      <c r="P204" s="32"/>
      <c r="Q204" s="32"/>
      <c r="R204" s="32"/>
      <c r="S204" s="32"/>
      <c r="T204" s="32"/>
      <c r="U204" s="32"/>
      <c r="V204" s="32"/>
      <c r="W204" s="32"/>
      <c r="X204" s="32"/>
      <c r="Y204" s="32"/>
      <c r="Z204" s="32"/>
      <c r="AA204" s="32"/>
      <c r="AB204" s="32"/>
      <c r="AC204" s="32"/>
      <c r="AD204" s="32"/>
      <c r="AE204" s="32"/>
      <c r="AF204" s="32"/>
      <c r="AG204" s="32"/>
      <c r="AH204" s="32"/>
      <c r="AI204" s="32"/>
      <c r="AJ204" s="32"/>
    </row>
    <row r="205" spans="1:36" x14ac:dyDescent="0.25">
      <c r="A205" s="2"/>
      <c r="B205" s="429"/>
      <c r="C205" s="429"/>
      <c r="D205" s="429"/>
      <c r="E205" s="429"/>
      <c r="F205" s="429"/>
      <c r="G205" s="429"/>
      <c r="H205" s="429"/>
      <c r="I205" s="429"/>
      <c r="J205" s="429"/>
      <c r="K205" s="429"/>
      <c r="L205" s="429"/>
      <c r="M205" s="429"/>
      <c r="N205" s="429"/>
      <c r="O205" s="32"/>
      <c r="P205" s="32"/>
      <c r="Q205" s="32"/>
      <c r="R205" s="32"/>
      <c r="S205" s="32"/>
      <c r="T205" s="32"/>
      <c r="U205" s="32"/>
      <c r="V205" s="32"/>
      <c r="W205" s="32"/>
      <c r="X205" s="32"/>
      <c r="Y205" s="32"/>
      <c r="Z205" s="32"/>
      <c r="AA205" s="32"/>
      <c r="AB205" s="32"/>
      <c r="AC205" s="32"/>
      <c r="AD205" s="32"/>
      <c r="AE205" s="32"/>
      <c r="AF205" s="32"/>
      <c r="AG205" s="32"/>
      <c r="AH205" s="32"/>
      <c r="AI205" s="32"/>
      <c r="AJ205" s="32"/>
    </row>
    <row r="206" spans="1:36" x14ac:dyDescent="0.25">
      <c r="A206" s="2"/>
      <c r="B206" s="429"/>
      <c r="C206" s="429"/>
      <c r="D206" s="429"/>
      <c r="E206" s="429"/>
      <c r="F206" s="429"/>
      <c r="G206" s="429"/>
      <c r="H206" s="429"/>
      <c r="I206" s="429"/>
      <c r="J206" s="429"/>
      <c r="K206" s="429"/>
      <c r="L206" s="429"/>
      <c r="M206" s="429"/>
      <c r="N206" s="429"/>
      <c r="O206" s="32"/>
      <c r="P206" s="32"/>
      <c r="Q206" s="32"/>
      <c r="R206" s="32"/>
      <c r="S206" s="32"/>
      <c r="T206" s="32"/>
      <c r="U206" s="32"/>
      <c r="V206" s="32"/>
      <c r="W206" s="32"/>
      <c r="X206" s="32"/>
      <c r="Y206" s="32"/>
      <c r="Z206" s="32"/>
      <c r="AA206" s="32"/>
      <c r="AB206" s="32"/>
      <c r="AC206" s="32"/>
      <c r="AD206" s="32"/>
      <c r="AE206" s="32"/>
      <c r="AF206" s="32"/>
      <c r="AG206" s="32"/>
      <c r="AH206" s="32"/>
      <c r="AI206" s="32"/>
      <c r="AJ206" s="32"/>
    </row>
    <row r="207" spans="1:36" x14ac:dyDescent="0.25">
      <c r="A207" s="2"/>
      <c r="B207" s="429"/>
      <c r="C207" s="429"/>
      <c r="D207" s="429"/>
      <c r="E207" s="429"/>
      <c r="F207" s="429"/>
      <c r="G207" s="429"/>
      <c r="H207" s="429"/>
      <c r="I207" s="429"/>
      <c r="J207" s="429"/>
      <c r="K207" s="429"/>
      <c r="L207" s="429"/>
      <c r="M207" s="429"/>
      <c r="N207" s="429"/>
      <c r="O207" s="32"/>
      <c r="P207" s="32"/>
      <c r="Q207" s="32"/>
      <c r="R207" s="32"/>
      <c r="S207" s="32"/>
      <c r="T207" s="32"/>
      <c r="U207" s="32"/>
      <c r="V207" s="32"/>
      <c r="W207" s="32"/>
      <c r="X207" s="32"/>
      <c r="Y207" s="32"/>
      <c r="Z207" s="32"/>
      <c r="AA207" s="32"/>
      <c r="AB207" s="32"/>
      <c r="AC207" s="32"/>
      <c r="AD207" s="32"/>
      <c r="AE207" s="32"/>
      <c r="AF207" s="32"/>
      <c r="AG207" s="32"/>
      <c r="AH207" s="32"/>
      <c r="AI207" s="32"/>
      <c r="AJ207" s="32"/>
    </row>
    <row r="208" spans="1:36" x14ac:dyDescent="0.25">
      <c r="A208" s="2"/>
      <c r="B208" s="429"/>
      <c r="C208" s="429"/>
      <c r="D208" s="429"/>
      <c r="E208" s="429"/>
      <c r="F208" s="429"/>
      <c r="G208" s="429"/>
      <c r="H208" s="429"/>
      <c r="I208" s="429"/>
      <c r="J208" s="429"/>
      <c r="K208" s="429"/>
      <c r="L208" s="429"/>
      <c r="M208" s="429"/>
      <c r="N208" s="429"/>
      <c r="O208" s="32"/>
      <c r="P208" s="32"/>
      <c r="Q208" s="32"/>
      <c r="R208" s="32"/>
      <c r="S208" s="32"/>
      <c r="T208" s="32"/>
      <c r="U208" s="32"/>
      <c r="V208" s="32"/>
      <c r="W208" s="32"/>
      <c r="X208" s="32"/>
      <c r="Y208" s="32"/>
      <c r="Z208" s="32"/>
      <c r="AA208" s="32"/>
      <c r="AB208" s="32"/>
      <c r="AC208" s="32"/>
      <c r="AD208" s="32"/>
      <c r="AE208" s="32"/>
      <c r="AF208" s="32"/>
      <c r="AG208" s="32"/>
      <c r="AH208" s="32"/>
      <c r="AI208" s="32"/>
      <c r="AJ208" s="32"/>
    </row>
    <row r="209" spans="1:36" x14ac:dyDescent="0.25">
      <c r="A209" s="2"/>
      <c r="B209" s="429"/>
      <c r="C209" s="429"/>
      <c r="D209" s="429"/>
      <c r="E209" s="429"/>
      <c r="F209" s="429"/>
      <c r="G209" s="429"/>
      <c r="H209" s="429"/>
      <c r="I209" s="429"/>
      <c r="J209" s="429"/>
      <c r="K209" s="429"/>
      <c r="L209" s="429"/>
      <c r="M209" s="429"/>
      <c r="N209" s="429"/>
      <c r="O209" s="32"/>
      <c r="P209" s="32"/>
      <c r="Q209" s="32"/>
      <c r="R209" s="32"/>
      <c r="S209" s="32"/>
      <c r="T209" s="32"/>
      <c r="U209" s="32"/>
      <c r="V209" s="32"/>
      <c r="W209" s="32"/>
      <c r="X209" s="32"/>
      <c r="Y209" s="32"/>
      <c r="Z209" s="32"/>
      <c r="AA209" s="32"/>
      <c r="AB209" s="32"/>
      <c r="AC209" s="32"/>
      <c r="AD209" s="32"/>
      <c r="AE209" s="32"/>
      <c r="AF209" s="32"/>
      <c r="AG209" s="32"/>
      <c r="AH209" s="32"/>
      <c r="AI209" s="32"/>
      <c r="AJ209" s="32"/>
    </row>
    <row r="210" spans="1:36" x14ac:dyDescent="0.25">
      <c r="B210" s="429"/>
      <c r="C210" s="429"/>
      <c r="D210" s="429"/>
      <c r="E210" s="429"/>
      <c r="F210" s="429"/>
      <c r="G210" s="429"/>
      <c r="H210" s="429"/>
      <c r="I210" s="429"/>
      <c r="J210" s="429"/>
      <c r="K210" s="429"/>
      <c r="L210" s="429"/>
      <c r="M210" s="429"/>
      <c r="N210" s="429"/>
      <c r="O210" s="32"/>
      <c r="P210" s="32"/>
      <c r="Q210" s="32"/>
      <c r="R210" s="32"/>
      <c r="S210" s="32"/>
      <c r="T210" s="32"/>
      <c r="U210" s="32"/>
      <c r="V210" s="32"/>
      <c r="W210" s="32"/>
      <c r="X210" s="32"/>
      <c r="Y210" s="32"/>
      <c r="Z210" s="32"/>
      <c r="AA210" s="32"/>
      <c r="AB210" s="32"/>
      <c r="AC210" s="32"/>
      <c r="AD210" s="32"/>
      <c r="AE210" s="32"/>
      <c r="AF210" s="32"/>
      <c r="AG210" s="32"/>
      <c r="AH210" s="32"/>
      <c r="AI210" s="32"/>
      <c r="AJ210" s="32"/>
    </row>
    <row r="211" spans="1:36" x14ac:dyDescent="0.25">
      <c r="B211" s="429"/>
      <c r="C211" s="429"/>
      <c r="D211" s="429"/>
      <c r="E211" s="429"/>
      <c r="F211" s="429"/>
      <c r="G211" s="429"/>
      <c r="H211" s="429"/>
      <c r="I211" s="429"/>
      <c r="J211" s="429"/>
      <c r="K211" s="429"/>
      <c r="L211" s="429"/>
      <c r="M211" s="429"/>
      <c r="N211" s="429"/>
      <c r="O211" s="32"/>
      <c r="P211" s="32"/>
      <c r="Q211" s="32"/>
      <c r="R211" s="32"/>
      <c r="S211" s="32"/>
      <c r="T211" s="32"/>
      <c r="U211" s="32"/>
      <c r="V211" s="32"/>
      <c r="W211" s="32"/>
      <c r="X211" s="32"/>
      <c r="Y211" s="32"/>
      <c r="Z211" s="32"/>
      <c r="AA211" s="32"/>
      <c r="AB211" s="32"/>
      <c r="AC211" s="32"/>
      <c r="AD211" s="32"/>
      <c r="AE211" s="32"/>
      <c r="AF211" s="32"/>
      <c r="AG211" s="32"/>
      <c r="AH211" s="32"/>
      <c r="AI211" s="32"/>
      <c r="AJ211" s="32"/>
    </row>
    <row r="212" spans="1:36" x14ac:dyDescent="0.25">
      <c r="B212" s="429"/>
      <c r="C212" s="429"/>
      <c r="D212" s="429"/>
      <c r="E212" s="429"/>
      <c r="F212" s="429"/>
      <c r="G212" s="429"/>
      <c r="H212" s="429"/>
      <c r="I212" s="429"/>
      <c r="J212" s="429"/>
      <c r="K212" s="429"/>
      <c r="L212" s="429"/>
      <c r="M212" s="429"/>
      <c r="N212" s="429"/>
      <c r="O212" s="32"/>
      <c r="P212" s="32"/>
      <c r="Q212" s="32"/>
      <c r="R212" s="32"/>
      <c r="S212" s="32"/>
      <c r="T212" s="32"/>
      <c r="U212" s="32"/>
      <c r="V212" s="32"/>
      <c r="W212" s="32"/>
      <c r="X212" s="32"/>
      <c r="Y212" s="32"/>
      <c r="Z212" s="32"/>
      <c r="AA212" s="32"/>
      <c r="AB212" s="32"/>
      <c r="AC212" s="32"/>
      <c r="AD212" s="32"/>
      <c r="AE212" s="32"/>
      <c r="AF212" s="32"/>
      <c r="AG212" s="32"/>
      <c r="AH212" s="32"/>
      <c r="AI212" s="32"/>
      <c r="AJ212" s="32"/>
    </row>
    <row r="213" spans="1:36" ht="15" customHeight="1" x14ac:dyDescent="0.25">
      <c r="B213" s="429"/>
      <c r="C213" s="429"/>
      <c r="D213" s="429"/>
      <c r="E213" s="429"/>
      <c r="F213" s="429"/>
      <c r="G213" s="429"/>
      <c r="H213" s="429"/>
      <c r="I213" s="429"/>
      <c r="J213" s="429"/>
      <c r="K213" s="429"/>
      <c r="L213" s="429"/>
      <c r="M213" s="429"/>
      <c r="N213" s="429"/>
      <c r="O213" s="32"/>
      <c r="P213" s="32"/>
      <c r="Q213" s="32"/>
      <c r="R213" s="32"/>
      <c r="S213" s="32"/>
      <c r="T213" s="32"/>
      <c r="U213" s="32"/>
      <c r="V213" s="32"/>
      <c r="W213" s="32"/>
      <c r="X213" s="32"/>
      <c r="Y213" s="32"/>
      <c r="Z213" s="32"/>
      <c r="AA213" s="32"/>
      <c r="AB213" s="32"/>
      <c r="AC213" s="32"/>
      <c r="AD213" s="32"/>
      <c r="AE213" s="32"/>
      <c r="AF213" s="32"/>
      <c r="AG213" s="32"/>
      <c r="AH213" s="32"/>
      <c r="AI213" s="32"/>
      <c r="AJ213" s="32"/>
    </row>
    <row r="214" spans="1:36" ht="15" customHeight="1" x14ac:dyDescent="0.25">
      <c r="B214" s="429"/>
      <c r="C214" s="429"/>
      <c r="D214" s="429"/>
      <c r="E214" s="429"/>
      <c r="F214" s="429"/>
      <c r="G214" s="429"/>
      <c r="H214" s="429"/>
      <c r="I214" s="429"/>
      <c r="J214" s="429"/>
      <c r="K214" s="429"/>
      <c r="L214" s="429"/>
      <c r="M214" s="429"/>
      <c r="N214" s="429"/>
      <c r="O214" s="32"/>
      <c r="P214" s="32"/>
      <c r="Q214" s="32"/>
      <c r="R214" s="32"/>
      <c r="S214" s="32"/>
      <c r="T214" s="32"/>
      <c r="U214" s="32"/>
      <c r="V214" s="32"/>
      <c r="W214" s="32"/>
      <c r="X214" s="32"/>
      <c r="Y214" s="32"/>
      <c r="Z214" s="32"/>
      <c r="AA214" s="32"/>
      <c r="AB214" s="32"/>
      <c r="AC214" s="32"/>
      <c r="AD214" s="32"/>
      <c r="AE214" s="32"/>
      <c r="AF214" s="32"/>
      <c r="AG214" s="32"/>
      <c r="AH214" s="32"/>
      <c r="AI214" s="32"/>
      <c r="AJ214" s="32"/>
    </row>
    <row r="215" spans="1:36" ht="15" customHeight="1" x14ac:dyDescent="0.25">
      <c r="B215" s="429"/>
      <c r="C215" s="429"/>
      <c r="D215" s="429"/>
      <c r="E215" s="429"/>
      <c r="F215" s="429"/>
      <c r="G215" s="429"/>
      <c r="H215" s="429"/>
      <c r="I215" s="429"/>
      <c r="J215" s="429"/>
      <c r="K215" s="429"/>
      <c r="L215" s="429"/>
      <c r="M215" s="429"/>
      <c r="N215" s="429"/>
      <c r="O215" s="32"/>
      <c r="P215" s="32"/>
      <c r="Q215" s="32"/>
      <c r="R215" s="32"/>
      <c r="S215" s="32"/>
      <c r="T215" s="32"/>
      <c r="U215" s="32"/>
      <c r="V215" s="32"/>
      <c r="W215" s="32"/>
      <c r="X215" s="32"/>
      <c r="Y215" s="32"/>
      <c r="Z215" s="32"/>
      <c r="AA215" s="32"/>
      <c r="AB215" s="32"/>
      <c r="AC215" s="32"/>
      <c r="AD215" s="32"/>
      <c r="AE215" s="32"/>
      <c r="AF215" s="32"/>
      <c r="AG215" s="32"/>
      <c r="AH215" s="32"/>
      <c r="AI215" s="32"/>
      <c r="AJ215" s="32"/>
    </row>
    <row r="216" spans="1:36" ht="17.25" customHeight="1" x14ac:dyDescent="0.25">
      <c r="B216" s="429"/>
      <c r="C216" s="429"/>
      <c r="D216" s="429"/>
      <c r="E216" s="429"/>
      <c r="F216" s="429"/>
      <c r="G216" s="429"/>
      <c r="H216" s="429"/>
      <c r="I216" s="429"/>
      <c r="J216" s="429"/>
      <c r="K216" s="429"/>
      <c r="L216" s="429"/>
      <c r="M216" s="429"/>
      <c r="N216" s="429"/>
      <c r="O216" s="32"/>
      <c r="P216" s="32"/>
      <c r="Q216" s="32"/>
      <c r="R216" s="32"/>
      <c r="S216" s="32"/>
      <c r="T216" s="32"/>
      <c r="U216" s="32"/>
      <c r="V216" s="32"/>
      <c r="W216" s="32"/>
      <c r="X216" s="32"/>
      <c r="Y216" s="32"/>
      <c r="Z216" s="32"/>
      <c r="AA216" s="32"/>
      <c r="AB216" s="32"/>
      <c r="AC216" s="32"/>
      <c r="AD216" s="32"/>
      <c r="AE216" s="32"/>
      <c r="AF216" s="32"/>
      <c r="AG216" s="32"/>
      <c r="AH216" s="32"/>
      <c r="AI216" s="32"/>
      <c r="AJ216" s="32"/>
    </row>
    <row r="217" spans="1:36" x14ac:dyDescent="0.25">
      <c r="B217" s="429"/>
      <c r="C217" s="429"/>
      <c r="D217" s="429"/>
      <c r="E217" s="429"/>
      <c r="F217" s="429"/>
      <c r="G217" s="429"/>
      <c r="H217" s="429"/>
      <c r="I217" s="429"/>
      <c r="J217" s="429"/>
      <c r="K217" s="429"/>
      <c r="L217" s="429"/>
      <c r="M217" s="429"/>
      <c r="N217" s="429"/>
      <c r="O217" s="32"/>
      <c r="P217" s="32"/>
      <c r="Q217" s="32"/>
      <c r="R217" s="32"/>
      <c r="S217" s="32"/>
      <c r="T217" s="32"/>
      <c r="U217" s="32"/>
      <c r="V217" s="32"/>
      <c r="W217" s="32"/>
      <c r="X217" s="32"/>
      <c r="Y217" s="32"/>
      <c r="Z217" s="32"/>
      <c r="AA217" s="32"/>
      <c r="AB217" s="32"/>
      <c r="AC217" s="32"/>
      <c r="AD217" s="32"/>
      <c r="AE217" s="32"/>
      <c r="AF217" s="32"/>
      <c r="AG217" s="32"/>
      <c r="AH217" s="32"/>
      <c r="AI217" s="32"/>
      <c r="AJ217" s="32"/>
    </row>
    <row r="218" spans="1:36" x14ac:dyDescent="0.25">
      <c r="B218" s="429"/>
      <c r="C218" s="429"/>
      <c r="D218" s="429"/>
      <c r="E218" s="429"/>
      <c r="F218" s="429"/>
      <c r="G218" s="429"/>
      <c r="H218" s="429"/>
      <c r="I218" s="429"/>
      <c r="J218" s="429"/>
      <c r="K218" s="429"/>
      <c r="L218" s="429"/>
      <c r="M218" s="429"/>
      <c r="N218" s="429"/>
      <c r="O218" s="32"/>
      <c r="P218" s="32"/>
      <c r="Q218" s="32"/>
      <c r="R218" s="32"/>
      <c r="S218" s="32"/>
      <c r="T218" s="32"/>
      <c r="U218" s="32"/>
      <c r="V218" s="32"/>
      <c r="W218" s="32"/>
      <c r="X218" s="32"/>
      <c r="Y218" s="32"/>
      <c r="Z218" s="32"/>
      <c r="AA218" s="32"/>
      <c r="AB218" s="32"/>
      <c r="AC218" s="32"/>
      <c r="AD218" s="32"/>
      <c r="AE218" s="32"/>
      <c r="AF218" s="32"/>
      <c r="AG218" s="32"/>
      <c r="AH218" s="32"/>
      <c r="AI218" s="32"/>
      <c r="AJ218" s="32"/>
    </row>
    <row r="219" spans="1:36" x14ac:dyDescent="0.25">
      <c r="B219" s="429"/>
      <c r="C219" s="429"/>
      <c r="D219" s="429"/>
      <c r="E219" s="429"/>
      <c r="F219" s="429"/>
      <c r="G219" s="429"/>
      <c r="H219" s="429"/>
      <c r="I219" s="429"/>
      <c r="J219" s="429"/>
      <c r="K219" s="429"/>
      <c r="L219" s="429"/>
      <c r="M219" s="429"/>
      <c r="N219" s="429"/>
      <c r="O219" s="32"/>
      <c r="P219" s="32"/>
      <c r="Q219" s="32"/>
      <c r="R219" s="32"/>
      <c r="S219" s="32"/>
      <c r="T219" s="32"/>
      <c r="U219" s="32"/>
      <c r="V219" s="32"/>
      <c r="W219" s="32"/>
      <c r="X219" s="32"/>
      <c r="Y219" s="32"/>
      <c r="Z219" s="32"/>
      <c r="AA219" s="32"/>
      <c r="AB219" s="32"/>
      <c r="AC219" s="32"/>
      <c r="AD219" s="32"/>
      <c r="AE219" s="32"/>
      <c r="AF219" s="32"/>
      <c r="AG219" s="32"/>
      <c r="AH219" s="32"/>
      <c r="AI219" s="32"/>
      <c r="AJ219" s="32"/>
    </row>
    <row r="220" spans="1:36" x14ac:dyDescent="0.25">
      <c r="B220" s="429"/>
      <c r="C220" s="429"/>
      <c r="D220" s="429"/>
      <c r="E220" s="429"/>
      <c r="F220" s="429"/>
      <c r="G220" s="429"/>
      <c r="H220" s="429"/>
      <c r="I220" s="429"/>
      <c r="J220" s="429"/>
      <c r="K220" s="429"/>
      <c r="L220" s="429"/>
      <c r="M220" s="429"/>
      <c r="N220" s="429"/>
      <c r="O220" s="32"/>
      <c r="P220" s="32"/>
      <c r="Q220" s="32"/>
      <c r="R220" s="32"/>
      <c r="S220" s="32"/>
      <c r="T220" s="32"/>
      <c r="U220" s="32"/>
      <c r="V220" s="32"/>
      <c r="W220" s="32"/>
      <c r="X220" s="32"/>
      <c r="Y220" s="32"/>
      <c r="Z220" s="32"/>
      <c r="AA220" s="32"/>
      <c r="AB220" s="32"/>
      <c r="AC220" s="32"/>
      <c r="AD220" s="32"/>
      <c r="AE220" s="32"/>
      <c r="AF220" s="32"/>
      <c r="AG220" s="32"/>
      <c r="AH220" s="32"/>
      <c r="AI220" s="32"/>
      <c r="AJ220" s="32"/>
    </row>
    <row r="221" spans="1:36" x14ac:dyDescent="0.25">
      <c r="B221" s="429"/>
      <c r="C221" s="429"/>
      <c r="D221" s="429"/>
      <c r="E221" s="429"/>
      <c r="F221" s="429"/>
      <c r="G221" s="429"/>
      <c r="H221" s="429"/>
      <c r="I221" s="429"/>
      <c r="J221" s="429"/>
      <c r="K221" s="429"/>
      <c r="L221" s="429"/>
      <c r="M221" s="429"/>
      <c r="N221" s="429"/>
      <c r="O221" s="32"/>
      <c r="P221" s="32"/>
      <c r="Q221" s="32"/>
      <c r="R221" s="32"/>
      <c r="S221" s="32"/>
      <c r="T221" s="32"/>
      <c r="U221" s="32"/>
      <c r="V221" s="32"/>
      <c r="W221" s="32"/>
      <c r="X221" s="32"/>
      <c r="Y221" s="32"/>
      <c r="Z221" s="32"/>
      <c r="AA221" s="32"/>
      <c r="AB221" s="32"/>
      <c r="AC221" s="32"/>
      <c r="AD221" s="32"/>
      <c r="AE221" s="32"/>
      <c r="AF221" s="32"/>
      <c r="AG221" s="32"/>
      <c r="AH221" s="32"/>
      <c r="AI221" s="32"/>
      <c r="AJ221" s="32"/>
    </row>
    <row r="222" spans="1:36" x14ac:dyDescent="0.25">
      <c r="B222" s="429"/>
      <c r="C222" s="429"/>
      <c r="D222" s="429"/>
      <c r="E222" s="429"/>
      <c r="F222" s="429"/>
      <c r="G222" s="429"/>
      <c r="H222" s="429"/>
      <c r="I222" s="429"/>
      <c r="J222" s="429"/>
      <c r="K222" s="429"/>
      <c r="L222" s="429"/>
      <c r="M222" s="429"/>
      <c r="N222" s="429"/>
      <c r="O222" s="32"/>
      <c r="P222" s="32"/>
      <c r="Q222" s="32"/>
      <c r="R222" s="32"/>
      <c r="S222" s="32"/>
      <c r="T222" s="32"/>
      <c r="U222" s="32"/>
      <c r="V222" s="32"/>
      <c r="W222" s="32"/>
      <c r="X222" s="32"/>
      <c r="Y222" s="32"/>
      <c r="Z222" s="32"/>
      <c r="AA222" s="32"/>
      <c r="AB222" s="32"/>
      <c r="AC222" s="32"/>
      <c r="AD222" s="32"/>
      <c r="AE222" s="32"/>
      <c r="AF222" s="32"/>
      <c r="AG222" s="32"/>
      <c r="AH222" s="32"/>
      <c r="AI222" s="32"/>
      <c r="AJ222" s="32"/>
    </row>
    <row r="223" spans="1:36" x14ac:dyDescent="0.25">
      <c r="B223" s="429"/>
      <c r="C223" s="429"/>
      <c r="D223" s="429"/>
      <c r="E223" s="429"/>
      <c r="F223" s="429"/>
      <c r="G223" s="429"/>
      <c r="H223" s="429"/>
      <c r="I223" s="429"/>
      <c r="J223" s="429"/>
      <c r="K223" s="429"/>
      <c r="L223" s="429"/>
      <c r="M223" s="429"/>
      <c r="N223" s="429"/>
      <c r="O223" s="32"/>
      <c r="P223" s="32"/>
      <c r="Q223" s="32"/>
      <c r="R223" s="32"/>
      <c r="S223" s="32"/>
      <c r="T223" s="32"/>
      <c r="U223" s="32"/>
      <c r="V223" s="32"/>
      <c r="W223" s="32"/>
      <c r="X223" s="32"/>
      <c r="Y223" s="32"/>
      <c r="Z223" s="32"/>
      <c r="AA223" s="32"/>
      <c r="AB223" s="32"/>
      <c r="AC223" s="32"/>
      <c r="AD223" s="32"/>
      <c r="AE223" s="32"/>
      <c r="AF223" s="32"/>
      <c r="AG223" s="32"/>
      <c r="AH223" s="32"/>
      <c r="AI223" s="32"/>
      <c r="AJ223" s="32"/>
    </row>
    <row r="224" spans="1:36" x14ac:dyDescent="0.25">
      <c r="B224" s="429"/>
      <c r="C224" s="429"/>
      <c r="D224" s="429"/>
      <c r="E224" s="429"/>
      <c r="F224" s="429"/>
      <c r="G224" s="429"/>
      <c r="H224" s="429"/>
      <c r="I224" s="429"/>
      <c r="J224" s="429"/>
      <c r="K224" s="429"/>
      <c r="L224" s="429"/>
      <c r="M224" s="429"/>
      <c r="N224" s="429"/>
      <c r="O224" s="32"/>
      <c r="P224" s="32"/>
      <c r="Q224" s="32"/>
      <c r="R224" s="32"/>
      <c r="S224" s="32"/>
      <c r="T224" s="32"/>
      <c r="U224" s="32"/>
      <c r="V224" s="32"/>
      <c r="W224" s="32"/>
      <c r="X224" s="32"/>
      <c r="Y224" s="32"/>
      <c r="Z224" s="32"/>
      <c r="AA224" s="32"/>
      <c r="AB224" s="32"/>
      <c r="AC224" s="32"/>
      <c r="AD224" s="32"/>
      <c r="AE224" s="32"/>
      <c r="AF224" s="32"/>
      <c r="AG224" s="32"/>
      <c r="AH224" s="32"/>
      <c r="AI224" s="32"/>
      <c r="AJ224" s="32"/>
    </row>
    <row r="225" spans="2:36" x14ac:dyDescent="0.25">
      <c r="B225" s="429"/>
      <c r="C225" s="429"/>
      <c r="D225" s="429"/>
      <c r="E225" s="429"/>
      <c r="F225" s="429"/>
      <c r="G225" s="429"/>
      <c r="H225" s="429"/>
      <c r="I225" s="429"/>
      <c r="J225" s="429"/>
      <c r="K225" s="429"/>
      <c r="L225" s="429"/>
      <c r="M225" s="429"/>
      <c r="N225" s="429"/>
      <c r="O225" s="32"/>
      <c r="P225" s="32"/>
      <c r="Q225" s="32"/>
      <c r="R225" s="32"/>
      <c r="S225" s="32"/>
      <c r="T225" s="32"/>
      <c r="U225" s="32"/>
      <c r="V225" s="32"/>
      <c r="W225" s="32"/>
      <c r="X225" s="32"/>
      <c r="Y225" s="32"/>
      <c r="Z225" s="32"/>
      <c r="AA225" s="32"/>
      <c r="AB225" s="32"/>
      <c r="AC225" s="32"/>
      <c r="AD225" s="32"/>
      <c r="AE225" s="32"/>
      <c r="AF225" s="32"/>
      <c r="AG225" s="32"/>
      <c r="AH225" s="32"/>
      <c r="AI225" s="32"/>
      <c r="AJ225" s="32"/>
    </row>
    <row r="226" spans="2:36" x14ac:dyDescent="0.25">
      <c r="B226" s="429"/>
      <c r="C226" s="429"/>
      <c r="D226" s="429"/>
      <c r="E226" s="429"/>
      <c r="F226" s="429"/>
      <c r="G226" s="429"/>
      <c r="H226" s="429"/>
      <c r="I226" s="429"/>
      <c r="J226" s="429"/>
      <c r="K226" s="429"/>
      <c r="L226" s="429"/>
      <c r="M226" s="429"/>
      <c r="N226" s="429"/>
      <c r="O226" s="32"/>
      <c r="P226" s="32"/>
      <c r="Q226" s="32"/>
      <c r="R226" s="32"/>
      <c r="S226" s="32"/>
      <c r="T226" s="32"/>
      <c r="U226" s="32"/>
      <c r="V226" s="32"/>
      <c r="W226" s="32"/>
      <c r="X226" s="32"/>
      <c r="Y226" s="32"/>
      <c r="Z226" s="32"/>
      <c r="AA226" s="32"/>
      <c r="AB226" s="32"/>
      <c r="AC226" s="32"/>
      <c r="AD226" s="32"/>
      <c r="AE226" s="32"/>
      <c r="AF226" s="32"/>
      <c r="AG226" s="32"/>
      <c r="AH226" s="32"/>
      <c r="AI226" s="32"/>
      <c r="AJ226" s="32"/>
    </row>
    <row r="227" spans="2:36" x14ac:dyDescent="0.25">
      <c r="B227" s="429"/>
      <c r="C227" s="429"/>
      <c r="D227" s="429"/>
      <c r="E227" s="429"/>
      <c r="F227" s="429"/>
      <c r="G227" s="429"/>
      <c r="H227" s="429"/>
      <c r="I227" s="429"/>
      <c r="J227" s="429"/>
      <c r="K227" s="429"/>
      <c r="L227" s="429"/>
      <c r="M227" s="429"/>
      <c r="N227" s="429"/>
      <c r="O227" s="32"/>
      <c r="P227" s="32"/>
      <c r="Q227" s="32"/>
      <c r="R227" s="32"/>
      <c r="S227" s="32"/>
      <c r="T227" s="32"/>
      <c r="U227" s="32"/>
      <c r="V227" s="32"/>
      <c r="W227" s="32"/>
      <c r="X227" s="32"/>
      <c r="Y227" s="32"/>
      <c r="Z227" s="32"/>
      <c r="AA227" s="32"/>
      <c r="AB227" s="32"/>
      <c r="AC227" s="32"/>
      <c r="AD227" s="32"/>
      <c r="AE227" s="32"/>
      <c r="AF227" s="32"/>
      <c r="AG227" s="32"/>
      <c r="AH227" s="32"/>
      <c r="AI227" s="32"/>
      <c r="AJ227" s="32"/>
    </row>
    <row r="228" spans="2:36" x14ac:dyDescent="0.25">
      <c r="B228" s="429"/>
      <c r="C228" s="429"/>
      <c r="D228" s="429"/>
      <c r="E228" s="429"/>
      <c r="F228" s="429"/>
      <c r="G228" s="429"/>
      <c r="H228" s="429"/>
      <c r="I228" s="429"/>
      <c r="J228" s="429"/>
      <c r="K228" s="429"/>
      <c r="L228" s="429"/>
      <c r="M228" s="429"/>
      <c r="N228" s="429"/>
      <c r="O228" s="32"/>
      <c r="P228" s="32"/>
      <c r="Q228" s="32"/>
      <c r="R228" s="32"/>
      <c r="S228" s="32"/>
      <c r="T228" s="32"/>
      <c r="U228" s="32"/>
      <c r="V228" s="32"/>
      <c r="W228" s="32"/>
      <c r="X228" s="32"/>
      <c r="Y228" s="32"/>
      <c r="Z228" s="32"/>
      <c r="AA228" s="32"/>
      <c r="AB228" s="32"/>
      <c r="AC228" s="32"/>
      <c r="AD228" s="32"/>
      <c r="AE228" s="32"/>
      <c r="AF228" s="32"/>
      <c r="AG228" s="32"/>
      <c r="AH228" s="32"/>
      <c r="AI228" s="32"/>
      <c r="AJ228" s="32"/>
    </row>
    <row r="229" spans="2:36" x14ac:dyDescent="0.25">
      <c r="B229" s="429"/>
      <c r="C229" s="429"/>
      <c r="D229" s="429"/>
      <c r="E229" s="429"/>
      <c r="F229" s="429"/>
      <c r="G229" s="429"/>
      <c r="H229" s="429"/>
      <c r="I229" s="429"/>
      <c r="J229" s="429"/>
      <c r="K229" s="429"/>
      <c r="L229" s="429"/>
      <c r="M229" s="429"/>
      <c r="N229" s="429"/>
      <c r="O229" s="32"/>
      <c r="P229" s="32"/>
      <c r="Q229" s="32"/>
      <c r="R229" s="32"/>
      <c r="S229" s="32"/>
      <c r="T229" s="32"/>
      <c r="U229" s="32"/>
      <c r="V229" s="32"/>
      <c r="W229" s="32"/>
      <c r="X229" s="32"/>
      <c r="Y229" s="32"/>
      <c r="Z229" s="32"/>
      <c r="AA229" s="32"/>
      <c r="AB229" s="32"/>
      <c r="AC229" s="32"/>
      <c r="AD229" s="32"/>
      <c r="AE229" s="32"/>
      <c r="AF229" s="32"/>
      <c r="AG229" s="32"/>
      <c r="AH229" s="32"/>
      <c r="AI229" s="32"/>
      <c r="AJ229" s="32"/>
    </row>
    <row r="230" spans="2:36" x14ac:dyDescent="0.25">
      <c r="B230" s="429"/>
      <c r="C230" s="429"/>
      <c r="D230" s="429"/>
      <c r="E230" s="429"/>
      <c r="F230" s="429"/>
      <c r="G230" s="429"/>
      <c r="H230" s="429"/>
      <c r="I230" s="429"/>
      <c r="J230" s="429"/>
      <c r="K230" s="429"/>
      <c r="L230" s="429"/>
      <c r="M230" s="429"/>
      <c r="N230" s="429"/>
      <c r="O230" s="32"/>
      <c r="P230" s="32"/>
      <c r="Q230" s="32"/>
      <c r="R230" s="32"/>
      <c r="S230" s="32"/>
      <c r="T230" s="32"/>
      <c r="U230" s="32"/>
      <c r="V230" s="32"/>
      <c r="W230" s="32"/>
      <c r="X230" s="32"/>
      <c r="Y230" s="32"/>
      <c r="Z230" s="32"/>
      <c r="AA230" s="32"/>
      <c r="AB230" s="32"/>
      <c r="AC230" s="32"/>
      <c r="AD230" s="32"/>
      <c r="AE230" s="32"/>
      <c r="AF230" s="32"/>
      <c r="AG230" s="32"/>
      <c r="AH230" s="32"/>
      <c r="AI230" s="32"/>
      <c r="AJ230" s="32"/>
    </row>
    <row r="231" spans="2:36" x14ac:dyDescent="0.25">
      <c r="B231" s="429"/>
      <c r="C231" s="429"/>
      <c r="D231" s="429"/>
      <c r="E231" s="429"/>
      <c r="F231" s="429"/>
      <c r="G231" s="429"/>
      <c r="H231" s="429"/>
      <c r="I231" s="429"/>
      <c r="J231" s="429"/>
      <c r="K231" s="429"/>
      <c r="L231" s="429"/>
      <c r="M231" s="429"/>
      <c r="N231" s="429"/>
      <c r="O231" s="32"/>
      <c r="P231" s="32"/>
      <c r="Q231" s="32"/>
      <c r="R231" s="32"/>
      <c r="S231" s="32"/>
      <c r="T231" s="32"/>
      <c r="U231" s="32"/>
      <c r="V231" s="32"/>
      <c r="W231" s="32"/>
      <c r="X231" s="32"/>
      <c r="Y231" s="32"/>
      <c r="Z231" s="32"/>
      <c r="AA231" s="32"/>
      <c r="AB231" s="32"/>
      <c r="AC231" s="32"/>
      <c r="AD231" s="32"/>
      <c r="AE231" s="32"/>
      <c r="AF231" s="32"/>
      <c r="AG231" s="32"/>
      <c r="AH231" s="32"/>
      <c r="AI231" s="32"/>
      <c r="AJ231" s="32"/>
    </row>
    <row r="232" spans="2:36" ht="15.75" customHeight="1" x14ac:dyDescent="0.25">
      <c r="B232" s="429"/>
      <c r="C232" s="429"/>
      <c r="D232" s="429"/>
      <c r="E232" s="429"/>
      <c r="F232" s="429"/>
      <c r="G232" s="429"/>
      <c r="H232" s="429"/>
      <c r="I232" s="429"/>
      <c r="J232" s="429"/>
      <c r="K232" s="429"/>
      <c r="L232" s="429"/>
      <c r="M232" s="429"/>
      <c r="N232" s="429"/>
      <c r="O232" s="32"/>
      <c r="P232" s="32"/>
      <c r="Q232" s="32"/>
      <c r="R232" s="32"/>
      <c r="S232" s="32"/>
      <c r="T232" s="32"/>
      <c r="U232" s="32"/>
      <c r="V232" s="32"/>
      <c r="W232" s="32"/>
      <c r="X232" s="32"/>
      <c r="Y232" s="32"/>
      <c r="Z232" s="32"/>
      <c r="AA232" s="32"/>
      <c r="AB232" s="32"/>
      <c r="AC232" s="32"/>
      <c r="AD232" s="32"/>
      <c r="AE232" s="32"/>
      <c r="AF232" s="32"/>
      <c r="AG232" s="32"/>
      <c r="AH232" s="32"/>
      <c r="AI232" s="32"/>
      <c r="AJ232" s="32"/>
    </row>
    <row r="233" spans="2:36" x14ac:dyDescent="0.25">
      <c r="B233" s="429"/>
      <c r="C233" s="429"/>
      <c r="D233" s="429"/>
      <c r="E233" s="429"/>
      <c r="F233" s="429"/>
      <c r="G233" s="429"/>
      <c r="H233" s="429"/>
      <c r="I233" s="429"/>
      <c r="J233" s="429"/>
      <c r="K233" s="429"/>
      <c r="L233" s="429"/>
      <c r="M233" s="429"/>
      <c r="N233" s="429"/>
      <c r="O233" s="32"/>
      <c r="P233" s="32"/>
      <c r="Q233" s="32"/>
      <c r="R233" s="32"/>
      <c r="S233" s="32"/>
      <c r="T233" s="32"/>
      <c r="U233" s="32"/>
      <c r="V233" s="32"/>
      <c r="W233" s="32"/>
      <c r="X233" s="32"/>
      <c r="Y233" s="32"/>
      <c r="Z233" s="32"/>
      <c r="AA233" s="32"/>
      <c r="AB233" s="32"/>
      <c r="AC233" s="32"/>
      <c r="AD233" s="32"/>
      <c r="AE233" s="32"/>
      <c r="AF233" s="32"/>
      <c r="AG233" s="32"/>
      <c r="AH233" s="32"/>
      <c r="AI233" s="32"/>
      <c r="AJ233" s="32"/>
    </row>
    <row r="234" spans="2:36" x14ac:dyDescent="0.25">
      <c r="B234" s="429"/>
      <c r="C234" s="429"/>
      <c r="D234" s="429"/>
      <c r="E234" s="429"/>
      <c r="F234" s="429"/>
      <c r="G234" s="429"/>
      <c r="H234" s="429"/>
      <c r="I234" s="429"/>
      <c r="J234" s="429"/>
      <c r="K234" s="429"/>
      <c r="L234" s="429"/>
      <c r="M234" s="429"/>
      <c r="N234" s="429"/>
      <c r="O234" s="32"/>
      <c r="P234" s="32"/>
      <c r="Q234" s="32"/>
      <c r="R234" s="32"/>
      <c r="S234" s="32"/>
      <c r="T234" s="32"/>
      <c r="U234" s="32"/>
      <c r="V234" s="32"/>
      <c r="W234" s="32"/>
      <c r="X234" s="32"/>
      <c r="Y234" s="32"/>
      <c r="Z234" s="32"/>
      <c r="AA234" s="32"/>
      <c r="AB234" s="32"/>
      <c r="AC234" s="32"/>
      <c r="AD234" s="32"/>
      <c r="AE234" s="32"/>
      <c r="AF234" s="32"/>
      <c r="AG234" s="32"/>
      <c r="AH234" s="32"/>
      <c r="AI234" s="32"/>
      <c r="AJ234" s="32"/>
    </row>
    <row r="235" spans="2:36" x14ac:dyDescent="0.25">
      <c r="B235" s="429"/>
      <c r="C235" s="429"/>
      <c r="D235" s="429"/>
      <c r="E235" s="429"/>
      <c r="F235" s="429"/>
      <c r="G235" s="429"/>
      <c r="H235" s="429"/>
      <c r="I235" s="429"/>
      <c r="J235" s="429"/>
      <c r="K235" s="429"/>
      <c r="L235" s="429"/>
      <c r="M235" s="429"/>
      <c r="N235" s="429"/>
      <c r="O235" s="32"/>
      <c r="P235" s="32"/>
      <c r="Q235" s="32"/>
      <c r="R235" s="32"/>
      <c r="S235" s="32"/>
      <c r="T235" s="32"/>
      <c r="U235" s="32"/>
      <c r="V235" s="32"/>
      <c r="W235" s="32"/>
      <c r="X235" s="32"/>
      <c r="Y235" s="32"/>
      <c r="Z235" s="32"/>
      <c r="AA235" s="32"/>
      <c r="AB235" s="32"/>
      <c r="AC235" s="32"/>
      <c r="AD235" s="32"/>
      <c r="AE235" s="32"/>
      <c r="AF235" s="32"/>
      <c r="AG235" s="32"/>
      <c r="AH235" s="32"/>
      <c r="AI235" s="32"/>
      <c r="AJ235" s="32"/>
    </row>
    <row r="236" spans="2:36" x14ac:dyDescent="0.25">
      <c r="B236" s="429"/>
      <c r="C236" s="429"/>
      <c r="D236" s="429"/>
      <c r="E236" s="429"/>
      <c r="F236" s="429"/>
      <c r="G236" s="429"/>
      <c r="H236" s="429"/>
      <c r="I236" s="429"/>
      <c r="J236" s="429"/>
      <c r="K236" s="429"/>
      <c r="L236" s="429"/>
      <c r="M236" s="429"/>
      <c r="N236" s="429"/>
      <c r="O236" s="32"/>
      <c r="P236" s="32"/>
      <c r="Q236" s="32"/>
      <c r="R236" s="32"/>
      <c r="S236" s="32"/>
      <c r="T236" s="32"/>
      <c r="U236" s="32"/>
      <c r="V236" s="32"/>
      <c r="W236" s="32"/>
      <c r="X236" s="32"/>
      <c r="Y236" s="32"/>
      <c r="Z236" s="32"/>
      <c r="AA236" s="32"/>
      <c r="AB236" s="32"/>
      <c r="AC236" s="32"/>
      <c r="AD236" s="32"/>
      <c r="AE236" s="32"/>
      <c r="AF236" s="32"/>
      <c r="AG236" s="32"/>
      <c r="AH236" s="32"/>
      <c r="AI236" s="32"/>
      <c r="AJ236" s="32"/>
    </row>
    <row r="237" spans="2:36" x14ac:dyDescent="0.25">
      <c r="O237" s="32"/>
      <c r="P237" s="32"/>
      <c r="Q237" s="32"/>
      <c r="R237" s="32"/>
      <c r="S237" s="32"/>
      <c r="T237" s="32"/>
      <c r="U237" s="32"/>
      <c r="V237" s="32"/>
      <c r="W237" s="32"/>
      <c r="X237" s="32"/>
      <c r="Y237" s="32"/>
      <c r="Z237" s="32"/>
      <c r="AA237" s="32"/>
      <c r="AB237" s="32"/>
      <c r="AC237" s="32"/>
      <c r="AD237" s="32"/>
      <c r="AE237" s="32"/>
      <c r="AF237" s="32"/>
      <c r="AG237" s="32"/>
      <c r="AH237" s="32"/>
      <c r="AI237" s="32"/>
      <c r="AJ237" s="32"/>
    </row>
    <row r="238" spans="2:36" x14ac:dyDescent="0.25">
      <c r="O238" s="32"/>
      <c r="P238" s="32"/>
      <c r="Q238" s="32"/>
      <c r="R238" s="32"/>
      <c r="S238" s="32"/>
      <c r="T238" s="32"/>
      <c r="U238" s="32"/>
      <c r="V238" s="32"/>
      <c r="W238" s="32"/>
      <c r="X238" s="32"/>
      <c r="Y238" s="32"/>
      <c r="Z238" s="32"/>
      <c r="AA238" s="32"/>
      <c r="AB238" s="32"/>
      <c r="AC238" s="32"/>
      <c r="AD238" s="32"/>
      <c r="AE238" s="32"/>
      <c r="AF238" s="32"/>
      <c r="AG238" s="32"/>
      <c r="AH238" s="32"/>
      <c r="AI238" s="32"/>
      <c r="AJ238" s="32"/>
    </row>
    <row r="239" spans="2:36" x14ac:dyDescent="0.25">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row>
    <row r="240" spans="2:36" x14ac:dyDescent="0.25">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row>
    <row r="241" spans="13:36" x14ac:dyDescent="0.25">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row>
    <row r="242" spans="13:36" x14ac:dyDescent="0.25">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row>
    <row r="243" spans="13:36" x14ac:dyDescent="0.25">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row>
    <row r="244" spans="13:36" x14ac:dyDescent="0.25">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row>
    <row r="245" spans="13:36" x14ac:dyDescent="0.25">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row>
    <row r="246" spans="13:36" x14ac:dyDescent="0.25">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row>
    <row r="247" spans="13:36" x14ac:dyDescent="0.25">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row>
    <row r="248" spans="13:36" x14ac:dyDescent="0.25">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row>
    <row r="249" spans="13:36" x14ac:dyDescent="0.25">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row>
    <row r="250" spans="13:36" x14ac:dyDescent="0.25">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row>
    <row r="251" spans="13:36" x14ac:dyDescent="0.25">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row>
    <row r="252" spans="13:36" x14ac:dyDescent="0.25">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row>
    <row r="253" spans="13:36" x14ac:dyDescent="0.25">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row>
    <row r="254" spans="13:36" x14ac:dyDescent="0.25">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row>
    <row r="255" spans="13:36" x14ac:dyDescent="0.25">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row>
    <row r="256" spans="13:36" x14ac:dyDescent="0.25">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row>
    <row r="257" spans="6:36" x14ac:dyDescent="0.25">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row>
    <row r="258" spans="6:36" x14ac:dyDescent="0.25">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row>
    <row r="259" spans="6:36" x14ac:dyDescent="0.25">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row>
    <row r="260" spans="6:36" x14ac:dyDescent="0.25">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row>
    <row r="261" spans="6:36" x14ac:dyDescent="0.25">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row>
    <row r="262" spans="6:36" x14ac:dyDescent="0.25">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row>
    <row r="263" spans="6:36" ht="8.25" customHeight="1" x14ac:dyDescent="0.25">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row>
    <row r="264" spans="6:36" x14ac:dyDescent="0.25">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row>
    <row r="265" spans="6:36" x14ac:dyDescent="0.25">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row>
    <row r="266" spans="6:36" x14ac:dyDescent="0.25">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row>
    <row r="267" spans="6:36" x14ac:dyDescent="0.25">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row>
    <row r="268" spans="6:36" x14ac:dyDescent="0.25">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row>
    <row r="269" spans="6:36" x14ac:dyDescent="0.25">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row>
    <row r="270" spans="6:36" x14ac:dyDescent="0.25">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row>
    <row r="271" spans="6:36" x14ac:dyDescent="0.25">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row>
    <row r="272" spans="6:36" x14ac:dyDescent="0.25">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row>
    <row r="273" spans="6:36" x14ac:dyDescent="0.25">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row>
    <row r="274" spans="6:36" x14ac:dyDescent="0.25">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row>
    <row r="275" spans="6:36" x14ac:dyDescent="0.25">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row>
    <row r="276" spans="6:36" x14ac:dyDescent="0.25">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row>
    <row r="277" spans="6:36" x14ac:dyDescent="0.25">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row>
    <row r="278" spans="6:36" x14ac:dyDescent="0.25">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row>
    <row r="279" spans="6:36" x14ac:dyDescent="0.25">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row>
    <row r="280" spans="6:36" x14ac:dyDescent="0.25">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row>
    <row r="281" spans="6:36" x14ac:dyDescent="0.25">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row>
    <row r="282" spans="6:36" x14ac:dyDescent="0.25">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row>
    <row r="283" spans="6:36" x14ac:dyDescent="0.25">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row>
    <row r="284" spans="6:36" x14ac:dyDescent="0.25">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row>
    <row r="285" spans="6:36" x14ac:dyDescent="0.25">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row>
    <row r="286" spans="6:36" x14ac:dyDescent="0.25">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row>
    <row r="287" spans="6:36" x14ac:dyDescent="0.25">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row>
    <row r="288" spans="6:36" x14ac:dyDescent="0.25">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row>
    <row r="289" spans="6:36" x14ac:dyDescent="0.25">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row>
    <row r="290" spans="6:36" x14ac:dyDescent="0.25">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row>
    <row r="291" spans="6:36" x14ac:dyDescent="0.25">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row>
    <row r="292" spans="6:36" x14ac:dyDescent="0.25">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row>
    <row r="293" spans="6:36" x14ac:dyDescent="0.25">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row>
    <row r="294" spans="6:36" x14ac:dyDescent="0.25">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row>
    <row r="295" spans="6:36" x14ac:dyDescent="0.25">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row>
    <row r="296" spans="6:36" x14ac:dyDescent="0.25">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row>
    <row r="297" spans="6:36" x14ac:dyDescent="0.25">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row>
    <row r="298" spans="6:36" x14ac:dyDescent="0.25">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row>
    <row r="299" spans="6:36" x14ac:dyDescent="0.25">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row>
    <row r="300" spans="6:36" x14ac:dyDescent="0.25">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row>
    <row r="301" spans="6:36" x14ac:dyDescent="0.25">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row>
    <row r="302" spans="6:36" x14ac:dyDescent="0.25">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row>
    <row r="303" spans="6:36" x14ac:dyDescent="0.25">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row>
    <row r="304" spans="6:36" x14ac:dyDescent="0.25">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row>
    <row r="305" spans="6:36" x14ac:dyDescent="0.25">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row>
    <row r="306" spans="6:36" x14ac:dyDescent="0.25">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row>
    <row r="307" spans="6:36" x14ac:dyDescent="0.25">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row>
    <row r="308" spans="6:36" x14ac:dyDescent="0.25">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row>
    <row r="309" spans="6:36" x14ac:dyDescent="0.25">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row>
    <row r="310" spans="6:36" x14ac:dyDescent="0.25">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row>
    <row r="311" spans="6:36" x14ac:dyDescent="0.25">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row>
    <row r="312" spans="6:36" x14ac:dyDescent="0.25">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row>
    <row r="313" spans="6:36" x14ac:dyDescent="0.25">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row>
    <row r="314" spans="6:36" x14ac:dyDescent="0.25">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row>
    <row r="315" spans="6:36" x14ac:dyDescent="0.25">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row>
    <row r="316" spans="6:36" x14ac:dyDescent="0.25">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row>
    <row r="317" spans="6:36" x14ac:dyDescent="0.25">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row>
    <row r="318" spans="6:36" x14ac:dyDescent="0.25">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row>
    <row r="319" spans="6:36" x14ac:dyDescent="0.25">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row>
    <row r="320" spans="6:36" x14ac:dyDescent="0.25">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row>
    <row r="321" spans="6:36" x14ac:dyDescent="0.25">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row>
    <row r="322" spans="6:36" x14ac:dyDescent="0.25">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row>
    <row r="323" spans="6:36" x14ac:dyDescent="0.25">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row>
    <row r="324" spans="6:36" x14ac:dyDescent="0.25">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row>
    <row r="325" spans="6:36" x14ac:dyDescent="0.25">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row>
    <row r="326" spans="6:36" x14ac:dyDescent="0.25">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row>
    <row r="327" spans="6:36" x14ac:dyDescent="0.25">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row>
    <row r="328" spans="6:36" x14ac:dyDescent="0.25">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row>
    <row r="329" spans="6:36" x14ac:dyDescent="0.25">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row>
    <row r="330" spans="6:36" x14ac:dyDescent="0.25">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row>
    <row r="331" spans="6:36" x14ac:dyDescent="0.25">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row>
    <row r="332" spans="6:36" x14ac:dyDescent="0.25">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row>
  </sheetData>
  <sheetProtection algorithmName="SHA-512" hashValue="4YSvrDKS9N0yCSNeTZwfu2nKHAE9VK+w4MQEbucC1xXNlcB9oDmnP/TsUxDVzZWftVOLrXd+ahnl1U0TIe7SlA==" saltValue="ayvYhkJdt9j/1z8PlmgkWg==" spinCount="100000" sheet="1" selectLockedCells="1" selectUnlockedCells="1"/>
  <customSheetViews>
    <customSheetView guid="{5E8F20A8-8220-4169-B947-2AB764A2AA7B}" scale="85" showGridLines="0" showRowCol="0" fitToPage="1">
      <selection activeCell="J126" sqref="J126"/>
      <pageMargins left="0.7" right="0.7" top="0.75" bottom="0.75" header="0.3" footer="0.3"/>
      <pageSetup paperSize="9" scale="67" fitToHeight="0" orientation="portrait" r:id="rId1"/>
    </customSheetView>
    <customSheetView guid="{9F540994-A66B-4083-BD64-035E71878618}" scale="85" showPageBreaks="1" showGridLines="0" showRowCol="0" fitToPage="1" topLeftCell="A89">
      <selection activeCell="J126" sqref="J126"/>
      <pageMargins left="0.7" right="0.7" top="0.75" bottom="0.75" header="0.3" footer="0.3"/>
      <pageSetup paperSize="9" scale="67" fitToHeight="0" orientation="portrait" r:id="rId2"/>
    </customSheetView>
  </customSheetViews>
  <mergeCells count="18">
    <mergeCell ref="B88:C88"/>
    <mergeCell ref="B102:C102"/>
    <mergeCell ref="B64:C64"/>
    <mergeCell ref="B46:B47"/>
    <mergeCell ref="B48:B49"/>
    <mergeCell ref="B61:C61"/>
    <mergeCell ref="B62:C62"/>
    <mergeCell ref="B63:C63"/>
    <mergeCell ref="B70:B71"/>
    <mergeCell ref="B72:B73"/>
    <mergeCell ref="B74:B75"/>
    <mergeCell ref="B78:C78"/>
    <mergeCell ref="B83:C83"/>
    <mergeCell ref="D102:F102"/>
    <mergeCell ref="B104:C104"/>
    <mergeCell ref="D104:F104"/>
    <mergeCell ref="B107:C107"/>
    <mergeCell ref="B113:C113"/>
  </mergeCells>
  <conditionalFormatting sqref="G128">
    <cfRule type="cellIs" dxfId="24" priority="1" operator="equal">
      <formula>"VERIFICATO"</formula>
    </cfRule>
  </conditionalFormatting>
  <pageMargins left="0.7" right="0.7" top="0.75" bottom="0.75" header="0.3" footer="0.3"/>
  <pageSetup paperSize="9" scale="67" fitToHeight="0"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X128"/>
  <sheetViews>
    <sheetView showGridLines="0" showRowColHeaders="0" zoomScale="90" zoomScaleNormal="90" workbookViewId="0">
      <selection activeCell="I91" sqref="I91"/>
    </sheetView>
  </sheetViews>
  <sheetFormatPr defaultRowHeight="15" x14ac:dyDescent="0.25"/>
  <cols>
    <col min="1" max="1" width="2.140625" customWidth="1"/>
    <col min="2" max="2" width="34.140625" customWidth="1"/>
    <col min="3" max="3" width="10.28515625" customWidth="1"/>
    <col min="4" max="4" width="11.140625" customWidth="1"/>
    <col min="5" max="5" width="10.140625" customWidth="1"/>
    <col min="6" max="6" width="10.42578125" bestFit="1" customWidth="1"/>
    <col min="7" max="7" width="9.5703125" customWidth="1"/>
    <col min="8" max="8" width="11.5703125" customWidth="1"/>
    <col min="10" max="10" width="10.28515625" bestFit="1" customWidth="1"/>
    <col min="11" max="11" width="10.85546875" customWidth="1"/>
    <col min="13" max="13" width="8.7109375" customWidth="1"/>
    <col min="14" max="14" width="13" customWidth="1"/>
  </cols>
  <sheetData>
    <row r="1" spans="2:24" ht="9" customHeight="1" x14ac:dyDescent="0.25">
      <c r="B1" s="429"/>
      <c r="C1" s="429"/>
      <c r="D1" s="429"/>
      <c r="E1" s="429"/>
      <c r="F1" s="429"/>
      <c r="G1" s="429"/>
      <c r="H1" s="429"/>
      <c r="I1" s="429"/>
      <c r="J1" s="429"/>
      <c r="K1" s="429"/>
      <c r="L1" s="429"/>
      <c r="M1" s="429"/>
      <c r="N1" s="429"/>
      <c r="O1" s="429"/>
      <c r="P1" s="429"/>
      <c r="Q1" s="429"/>
      <c r="R1" s="429"/>
      <c r="S1" s="429"/>
      <c r="T1" s="429"/>
      <c r="U1" s="429"/>
      <c r="V1" s="429"/>
      <c r="W1" s="429"/>
      <c r="X1" s="429"/>
    </row>
    <row r="2" spans="2:24" ht="23.25" x14ac:dyDescent="0.35">
      <c r="B2" s="421" t="s">
        <v>742</v>
      </c>
      <c r="C2" s="429"/>
      <c r="D2" s="429"/>
      <c r="E2" s="429"/>
      <c r="F2" s="429"/>
      <c r="G2" s="429"/>
      <c r="H2" s="429"/>
      <c r="I2" s="429"/>
      <c r="J2" s="429"/>
      <c r="K2" s="429"/>
      <c r="L2" s="429"/>
      <c r="M2" s="429"/>
      <c r="N2" s="429"/>
      <c r="O2" s="429"/>
      <c r="P2" s="429"/>
      <c r="Q2" s="429"/>
      <c r="R2" s="429"/>
      <c r="S2" s="429"/>
      <c r="T2" s="429"/>
      <c r="U2" s="429"/>
      <c r="V2" s="429"/>
      <c r="W2" s="429"/>
      <c r="X2" s="429"/>
    </row>
    <row r="3" spans="2:24" ht="6.75" customHeight="1" x14ac:dyDescent="0.25">
      <c r="B3" s="429"/>
      <c r="C3" s="429"/>
      <c r="D3" s="429"/>
      <c r="E3" s="429"/>
      <c r="F3" s="429"/>
      <c r="G3" s="429"/>
      <c r="H3" s="429"/>
      <c r="I3" s="429"/>
      <c r="J3" s="429"/>
      <c r="K3" s="429"/>
      <c r="L3" s="429"/>
      <c r="M3" s="429"/>
      <c r="N3" s="429"/>
      <c r="O3" s="429"/>
      <c r="P3" s="429"/>
      <c r="Q3" s="429"/>
      <c r="R3" s="429"/>
      <c r="S3" s="429"/>
      <c r="T3" s="429"/>
      <c r="U3" s="429"/>
      <c r="V3" s="429"/>
      <c r="W3" s="429"/>
      <c r="X3" s="429"/>
    </row>
    <row r="4" spans="2:24" ht="21" x14ac:dyDescent="0.35">
      <c r="B4" s="422" t="s">
        <v>51</v>
      </c>
      <c r="C4" s="429"/>
      <c r="D4" s="429"/>
      <c r="E4" s="429"/>
      <c r="F4" s="429"/>
      <c r="G4" s="429"/>
      <c r="H4" s="429"/>
      <c r="I4" s="429"/>
      <c r="J4" s="429"/>
      <c r="K4" s="429"/>
      <c r="L4" s="429"/>
      <c r="M4" s="429"/>
      <c r="N4" s="429"/>
      <c r="O4" s="429"/>
      <c r="P4" s="429"/>
      <c r="Q4" s="429"/>
      <c r="R4" s="429"/>
      <c r="S4" s="429"/>
      <c r="T4" s="429"/>
      <c r="U4" s="429"/>
      <c r="V4" s="429"/>
      <c r="W4" s="429"/>
      <c r="X4" s="429"/>
    </row>
    <row r="5" spans="2:24" s="428" customFormat="1" ht="21" x14ac:dyDescent="0.35">
      <c r="B5" s="422"/>
      <c r="C5" s="429"/>
      <c r="D5" s="429"/>
      <c r="E5" s="429"/>
      <c r="F5" s="429"/>
      <c r="G5" s="429"/>
      <c r="H5" s="429"/>
      <c r="I5" s="429"/>
      <c r="J5" s="429"/>
      <c r="K5" s="429"/>
      <c r="L5" s="429"/>
      <c r="M5" s="429"/>
      <c r="N5" s="429"/>
      <c r="O5" s="429"/>
      <c r="P5" s="429"/>
      <c r="Q5" s="429"/>
      <c r="R5" s="429"/>
      <c r="S5" s="429"/>
      <c r="T5" s="429"/>
      <c r="U5" s="429"/>
      <c r="V5" s="429"/>
      <c r="W5" s="429"/>
      <c r="X5" s="429"/>
    </row>
    <row r="6" spans="2:24" s="428" customFormat="1" ht="18.75" x14ac:dyDescent="0.3">
      <c r="B6" s="431" t="s">
        <v>781</v>
      </c>
      <c r="C6" s="439"/>
      <c r="D6" s="677"/>
      <c r="E6" s="678"/>
      <c r="F6" s="429"/>
      <c r="G6" s="429"/>
      <c r="H6" s="429"/>
      <c r="I6" s="429"/>
      <c r="J6" s="429"/>
      <c r="K6" s="429"/>
      <c r="L6" s="429"/>
      <c r="M6" s="429"/>
      <c r="N6" s="429"/>
      <c r="O6" s="429"/>
      <c r="P6" s="429"/>
      <c r="Q6" s="429"/>
      <c r="R6" s="429"/>
      <c r="S6" s="429"/>
      <c r="T6" s="429"/>
      <c r="U6" s="429"/>
      <c r="V6" s="429"/>
      <c r="W6" s="429"/>
      <c r="X6" s="429"/>
    </row>
    <row r="7" spans="2:24" s="428" customFormat="1" ht="18.75" x14ac:dyDescent="0.3">
      <c r="B7" s="440"/>
      <c r="C7" s="439"/>
      <c r="D7" s="677"/>
      <c r="E7" s="678"/>
      <c r="F7" s="429"/>
      <c r="G7" s="429"/>
      <c r="H7" s="429"/>
      <c r="I7" s="429"/>
      <c r="J7" s="429"/>
      <c r="K7" s="429"/>
      <c r="L7" s="429"/>
      <c r="M7" s="429"/>
      <c r="N7" s="429"/>
      <c r="O7" s="429"/>
      <c r="P7" s="429"/>
      <c r="Q7" s="429"/>
      <c r="R7" s="429"/>
      <c r="S7" s="429"/>
      <c r="T7" s="429"/>
      <c r="U7" s="429"/>
      <c r="V7" s="429"/>
      <c r="W7" s="429"/>
      <c r="X7" s="429"/>
    </row>
    <row r="8" spans="2:24" s="428" customFormat="1" x14ac:dyDescent="0.25">
      <c r="B8" s="636" t="s">
        <v>326</v>
      </c>
      <c r="C8" s="899" t="str">
        <f>'ANALISI DELLE SPINTE'!C6</f>
        <v>SISMICA</v>
      </c>
      <c r="D8" s="907"/>
      <c r="E8" s="24"/>
      <c r="F8" s="429"/>
      <c r="G8" s="445" t="s">
        <v>463</v>
      </c>
      <c r="H8" s="631" t="s">
        <v>25</v>
      </c>
      <c r="I8" s="429"/>
      <c r="J8" s="429"/>
      <c r="K8" s="429"/>
      <c r="L8" s="429"/>
      <c r="M8" s="429"/>
      <c r="N8" s="429"/>
      <c r="O8" s="429"/>
      <c r="P8" s="429"/>
      <c r="Q8" s="429"/>
      <c r="R8" s="429"/>
      <c r="S8" s="429"/>
      <c r="T8" s="429"/>
      <c r="U8" s="429"/>
      <c r="V8" s="429"/>
      <c r="W8" s="429"/>
      <c r="X8" s="429"/>
    </row>
    <row r="9" spans="2:24" s="428" customFormat="1" x14ac:dyDescent="0.25">
      <c r="B9" s="458"/>
      <c r="C9" s="429"/>
      <c r="D9" s="429"/>
      <c r="E9" s="24"/>
      <c r="F9" s="429"/>
      <c r="G9" s="766" t="s">
        <v>881</v>
      </c>
      <c r="H9" s="633">
        <f>'ANALISI DELLE SPINTE'!D11</f>
        <v>1</v>
      </c>
      <c r="I9" s="429"/>
      <c r="J9" s="429"/>
      <c r="K9" s="429"/>
      <c r="L9" s="429"/>
      <c r="M9" s="429"/>
      <c r="N9" s="429"/>
      <c r="O9" s="429"/>
      <c r="P9" s="429"/>
      <c r="Q9" s="429"/>
      <c r="R9" s="429"/>
      <c r="S9" s="429"/>
      <c r="T9" s="429"/>
      <c r="U9" s="429"/>
      <c r="V9" s="429"/>
      <c r="W9" s="429"/>
      <c r="X9" s="429"/>
    </row>
    <row r="10" spans="2:24" s="428" customFormat="1" x14ac:dyDescent="0.25">
      <c r="B10" s="636" t="s">
        <v>469</v>
      </c>
      <c r="C10" s="432" t="str">
        <f>'ANALISI DELLE SPINTE'!C8</f>
        <v xml:space="preserve"> APPROCCIO 2 --- Combinazione (A1+M1+R3)</v>
      </c>
      <c r="D10" s="322"/>
      <c r="E10" s="24"/>
      <c r="F10" s="429"/>
      <c r="G10" s="766" t="s">
        <v>882</v>
      </c>
      <c r="H10" s="633">
        <f>'ANALISI DELLE SPINTE'!D12</f>
        <v>1</v>
      </c>
      <c r="I10" s="429"/>
      <c r="J10" s="429"/>
      <c r="K10" s="429"/>
      <c r="L10" s="429"/>
      <c r="M10" s="429"/>
      <c r="N10" s="429"/>
      <c r="O10" s="429"/>
      <c r="P10" s="429"/>
      <c r="Q10" s="429"/>
      <c r="R10" s="429"/>
      <c r="S10" s="429"/>
      <c r="T10" s="429"/>
      <c r="U10" s="429"/>
      <c r="V10" s="429"/>
      <c r="W10" s="429"/>
      <c r="X10" s="429"/>
    </row>
    <row r="11" spans="2:24" s="428" customFormat="1" x14ac:dyDescent="0.25">
      <c r="B11" s="636"/>
      <c r="C11" s="636"/>
      <c r="D11" s="637"/>
      <c r="E11" s="429"/>
      <c r="F11" s="429"/>
      <c r="G11" s="766" t="s">
        <v>883</v>
      </c>
      <c r="H11" s="633">
        <f>'ANALISI DELLE SPINTE'!D13</f>
        <v>1</v>
      </c>
      <c r="I11" s="429"/>
      <c r="J11" s="429"/>
      <c r="K11" s="429"/>
      <c r="L11" s="429"/>
      <c r="M11" s="429"/>
      <c r="N11" s="429"/>
      <c r="O11" s="429"/>
      <c r="P11" s="429"/>
      <c r="Q11" s="429"/>
      <c r="R11" s="429"/>
      <c r="S11" s="429"/>
      <c r="T11" s="429"/>
      <c r="U11" s="429"/>
      <c r="V11" s="429"/>
      <c r="W11" s="429"/>
      <c r="X11" s="429"/>
    </row>
    <row r="12" spans="2:24" s="428" customFormat="1" x14ac:dyDescent="0.25">
      <c r="B12" s="636"/>
      <c r="C12" s="429"/>
      <c r="D12" s="429"/>
      <c r="E12" s="429"/>
      <c r="F12" s="429"/>
      <c r="G12" s="636"/>
      <c r="H12" s="447"/>
      <c r="I12" s="429"/>
      <c r="J12" s="429"/>
      <c r="K12" s="429"/>
      <c r="L12" s="429"/>
      <c r="M12" s="429"/>
      <c r="N12" s="429"/>
      <c r="O12" s="429"/>
      <c r="P12" s="429"/>
      <c r="Q12" s="429"/>
      <c r="R12" s="429"/>
      <c r="S12" s="429"/>
      <c r="T12" s="429"/>
      <c r="U12" s="429"/>
      <c r="V12" s="429"/>
      <c r="W12" s="429"/>
      <c r="X12" s="429"/>
    </row>
    <row r="13" spans="2:24" s="428" customFormat="1" x14ac:dyDescent="0.25">
      <c r="B13" s="636"/>
      <c r="C13" s="429"/>
      <c r="D13" s="429"/>
      <c r="E13" s="429"/>
      <c r="F13" s="429"/>
      <c r="G13" s="445" t="s">
        <v>464</v>
      </c>
      <c r="H13" s="446">
        <f>'Progetto della zattera slu'!F18</f>
        <v>1</v>
      </c>
      <c r="I13" s="429"/>
      <c r="J13" s="429"/>
      <c r="K13" s="429"/>
      <c r="L13" s="429"/>
      <c r="M13" s="429"/>
      <c r="N13" s="429"/>
      <c r="O13" s="429"/>
      <c r="P13" s="429"/>
      <c r="Q13" s="429"/>
      <c r="R13" s="429"/>
      <c r="S13" s="429"/>
      <c r="T13" s="429"/>
      <c r="U13" s="429"/>
      <c r="V13" s="429"/>
      <c r="W13" s="429"/>
      <c r="X13" s="429"/>
    </row>
    <row r="14" spans="2:24" s="428" customFormat="1" x14ac:dyDescent="0.25">
      <c r="B14" s="636"/>
      <c r="C14" s="429"/>
      <c r="D14" s="429"/>
      <c r="E14" s="429"/>
      <c r="F14" s="429"/>
      <c r="G14" s="631" t="s">
        <v>198</v>
      </c>
      <c r="H14" s="633">
        <f>'ANALISI DELLE SPINTE'!D16</f>
        <v>1</v>
      </c>
      <c r="I14" s="429"/>
      <c r="J14" s="429"/>
      <c r="K14" s="429"/>
      <c r="L14" s="429"/>
      <c r="M14" s="429"/>
      <c r="N14" s="429"/>
      <c r="O14" s="429"/>
      <c r="P14" s="429"/>
      <c r="Q14" s="429"/>
      <c r="R14" s="429"/>
      <c r="S14" s="429"/>
      <c r="T14" s="429"/>
      <c r="U14" s="429"/>
      <c r="V14" s="429"/>
      <c r="W14" s="429"/>
      <c r="X14" s="429"/>
    </row>
    <row r="15" spans="2:24" s="428" customFormat="1" x14ac:dyDescent="0.25">
      <c r="B15" s="636"/>
      <c r="C15" s="429"/>
      <c r="D15" s="429"/>
      <c r="E15" s="429"/>
      <c r="F15" s="429"/>
      <c r="G15" s="631" t="s">
        <v>199</v>
      </c>
      <c r="H15" s="633">
        <f>'ANALISI DELLE SPINTE'!D17</f>
        <v>1</v>
      </c>
      <c r="I15" s="429"/>
      <c r="J15" s="429"/>
      <c r="K15" s="429"/>
      <c r="L15" s="429"/>
      <c r="M15" s="429"/>
      <c r="N15" s="429"/>
      <c r="O15" s="429"/>
      <c r="P15" s="429"/>
      <c r="Q15" s="429"/>
      <c r="R15" s="429"/>
      <c r="S15" s="429"/>
      <c r="T15" s="429"/>
      <c r="U15" s="429"/>
      <c r="V15" s="429"/>
      <c r="W15" s="429"/>
      <c r="X15" s="429"/>
    </row>
    <row r="16" spans="2:24" s="428" customFormat="1" x14ac:dyDescent="0.25">
      <c r="B16" s="636"/>
      <c r="C16" s="429"/>
      <c r="D16" s="429"/>
      <c r="E16" s="429"/>
      <c r="F16" s="429"/>
      <c r="G16" s="631" t="s">
        <v>201</v>
      </c>
      <c r="H16" s="633">
        <f>'ANALISI DELLE SPINTE'!D18</f>
        <v>1</v>
      </c>
      <c r="I16" s="429"/>
      <c r="J16" s="429"/>
      <c r="K16" s="429"/>
      <c r="L16" s="429"/>
      <c r="M16" s="429"/>
      <c r="N16" s="429"/>
      <c r="O16" s="429"/>
      <c r="P16" s="429"/>
      <c r="Q16" s="429"/>
      <c r="R16" s="429"/>
      <c r="S16" s="429"/>
      <c r="T16" s="429"/>
      <c r="U16" s="429"/>
      <c r="V16" s="429"/>
      <c r="W16" s="429"/>
      <c r="X16" s="429"/>
    </row>
    <row r="17" spans="2:24" s="428" customFormat="1" x14ac:dyDescent="0.25">
      <c r="B17" s="636"/>
      <c r="C17" s="429"/>
      <c r="D17" s="429"/>
      <c r="E17" s="429"/>
      <c r="F17" s="429"/>
      <c r="G17" s="644" t="s">
        <v>202</v>
      </c>
      <c r="H17" s="633">
        <f>'ANALISI DELLE SPINTE'!D19</f>
        <v>1</v>
      </c>
      <c r="I17" s="429"/>
      <c r="J17" s="429"/>
      <c r="K17" s="429"/>
      <c r="L17" s="429"/>
      <c r="M17" s="429"/>
      <c r="N17" s="429"/>
      <c r="O17" s="429"/>
      <c r="P17" s="429"/>
      <c r="Q17" s="429"/>
      <c r="R17" s="429"/>
      <c r="S17" s="429"/>
      <c r="T17" s="429"/>
      <c r="U17" s="429"/>
      <c r="V17" s="429"/>
      <c r="W17" s="429"/>
      <c r="X17" s="429"/>
    </row>
    <row r="18" spans="2:24" s="428" customFormat="1" x14ac:dyDescent="0.25">
      <c r="B18" s="636"/>
      <c r="C18" s="429"/>
      <c r="D18" s="429"/>
      <c r="E18" s="429"/>
      <c r="F18" s="429"/>
      <c r="G18" s="58"/>
      <c r="H18" s="648"/>
      <c r="I18" s="429"/>
      <c r="J18" s="429"/>
      <c r="K18" s="429"/>
      <c r="L18" s="429"/>
      <c r="M18" s="429"/>
      <c r="N18" s="429"/>
      <c r="O18" s="429"/>
      <c r="P18" s="429"/>
      <c r="Q18" s="429"/>
      <c r="R18" s="429"/>
      <c r="S18" s="429"/>
      <c r="T18" s="429"/>
      <c r="U18" s="429"/>
      <c r="V18" s="429"/>
      <c r="W18" s="429"/>
      <c r="X18" s="429"/>
    </row>
    <row r="19" spans="2:24" s="428" customFormat="1" x14ac:dyDescent="0.25">
      <c r="B19" s="636"/>
      <c r="C19" s="429"/>
      <c r="D19" s="429"/>
      <c r="E19" s="429"/>
      <c r="F19" s="429"/>
      <c r="G19" s="445" t="s">
        <v>466</v>
      </c>
      <c r="H19" s="630" t="s">
        <v>467</v>
      </c>
      <c r="I19" s="535"/>
      <c r="J19" s="429"/>
      <c r="K19" s="429"/>
      <c r="L19" s="429"/>
      <c r="M19" s="429"/>
      <c r="N19" s="429"/>
      <c r="O19" s="429"/>
      <c r="P19" s="429"/>
      <c r="Q19" s="429"/>
      <c r="R19" s="429"/>
      <c r="S19" s="429"/>
      <c r="T19" s="429"/>
      <c r="U19" s="429"/>
      <c r="V19" s="429"/>
      <c r="W19" s="429"/>
      <c r="X19" s="429"/>
    </row>
    <row r="20" spans="2:24" s="428" customFormat="1" x14ac:dyDescent="0.25">
      <c r="B20" s="636"/>
      <c r="C20" s="429"/>
      <c r="D20" s="429"/>
      <c r="E20" s="429"/>
      <c r="F20" s="429"/>
      <c r="G20" s="855" t="s">
        <v>468</v>
      </c>
      <c r="H20" s="912">
        <f>DATI!E283</f>
        <v>1.2</v>
      </c>
      <c r="I20" s="534"/>
      <c r="J20" s="429"/>
      <c r="K20" s="429"/>
      <c r="L20" s="429"/>
      <c r="M20" s="429"/>
      <c r="N20" s="429"/>
      <c r="O20" s="429"/>
      <c r="P20" s="429"/>
      <c r="Q20" s="429"/>
      <c r="R20" s="429"/>
      <c r="S20" s="429"/>
      <c r="T20" s="429"/>
      <c r="U20" s="429"/>
      <c r="V20" s="429"/>
      <c r="W20" s="429"/>
      <c r="X20" s="429"/>
    </row>
    <row r="21" spans="2:24" s="428" customFormat="1" x14ac:dyDescent="0.25">
      <c r="B21" s="636"/>
      <c r="C21" s="429"/>
      <c r="D21" s="429"/>
      <c r="E21" s="429"/>
      <c r="F21" s="429"/>
      <c r="G21" s="855"/>
      <c r="H21" s="913"/>
      <c r="I21" s="534"/>
      <c r="J21" s="429"/>
      <c r="K21" s="429"/>
      <c r="L21" s="429"/>
      <c r="M21" s="429"/>
      <c r="N21" s="429"/>
      <c r="O21" s="429"/>
      <c r="P21" s="429"/>
      <c r="Q21" s="429"/>
      <c r="R21" s="429"/>
      <c r="S21" s="429"/>
      <c r="T21" s="429"/>
      <c r="U21" s="429"/>
      <c r="V21" s="429"/>
      <c r="W21" s="429"/>
      <c r="X21" s="429"/>
    </row>
    <row r="22" spans="2:24" s="428" customFormat="1" x14ac:dyDescent="0.25">
      <c r="B22" s="636"/>
      <c r="C22" s="429"/>
      <c r="D22" s="429"/>
      <c r="E22" s="429"/>
      <c r="F22" s="429"/>
      <c r="G22" s="855" t="s">
        <v>884</v>
      </c>
      <c r="H22" s="912">
        <f>DATI!E285</f>
        <v>1</v>
      </c>
      <c r="I22" s="534"/>
      <c r="J22" s="429"/>
      <c r="K22" s="429"/>
      <c r="L22" s="429"/>
      <c r="M22" s="429"/>
      <c r="N22" s="429"/>
      <c r="O22" s="429"/>
      <c r="P22" s="429"/>
      <c r="Q22" s="429"/>
      <c r="R22" s="429"/>
      <c r="S22" s="429"/>
      <c r="T22" s="429"/>
      <c r="U22" s="429"/>
      <c r="V22" s="429"/>
      <c r="W22" s="429"/>
      <c r="X22" s="429"/>
    </row>
    <row r="23" spans="2:24" s="428" customFormat="1" ht="15" customHeight="1" x14ac:dyDescent="0.25">
      <c r="B23" s="636"/>
      <c r="C23" s="429"/>
      <c r="D23" s="429"/>
      <c r="E23" s="429"/>
      <c r="F23" s="429"/>
      <c r="G23" s="855"/>
      <c r="H23" s="913"/>
      <c r="I23" s="534"/>
      <c r="J23" s="429"/>
      <c r="K23" s="429"/>
      <c r="L23" s="429"/>
      <c r="M23" s="429"/>
      <c r="N23" s="429"/>
      <c r="O23" s="429"/>
      <c r="P23" s="429"/>
      <c r="Q23" s="429"/>
      <c r="R23" s="429"/>
      <c r="S23" s="429"/>
      <c r="T23" s="429"/>
      <c r="U23" s="429"/>
      <c r="V23" s="429"/>
      <c r="W23" s="429"/>
      <c r="X23" s="429"/>
    </row>
    <row r="24" spans="2:24" s="428" customFormat="1" x14ac:dyDescent="0.25">
      <c r="B24" s="636"/>
      <c r="C24" s="429"/>
      <c r="D24" s="429"/>
      <c r="E24" s="429"/>
      <c r="F24" s="429"/>
      <c r="G24" s="58"/>
      <c r="H24" s="648"/>
      <c r="I24" s="429"/>
      <c r="J24" s="429"/>
      <c r="K24" s="429"/>
      <c r="L24" s="429"/>
      <c r="M24" s="429"/>
      <c r="N24" s="429"/>
      <c r="O24" s="429"/>
      <c r="P24" s="429"/>
      <c r="Q24" s="429"/>
      <c r="R24" s="429"/>
      <c r="S24" s="429"/>
      <c r="T24" s="429"/>
      <c r="U24" s="429"/>
      <c r="V24" s="429"/>
      <c r="W24" s="429"/>
      <c r="X24" s="429"/>
    </row>
    <row r="25" spans="2:24" s="428" customFormat="1" x14ac:dyDescent="0.25">
      <c r="B25" s="636"/>
      <c r="C25" s="429"/>
      <c r="D25" s="429"/>
      <c r="E25" s="429"/>
      <c r="F25" s="429"/>
      <c r="G25" s="637"/>
      <c r="H25" s="429"/>
      <c r="I25" s="429"/>
      <c r="J25" s="429"/>
      <c r="K25" s="429"/>
      <c r="L25" s="429"/>
      <c r="M25" s="429"/>
      <c r="N25" s="429"/>
      <c r="O25" s="429"/>
      <c r="P25" s="429"/>
      <c r="Q25" s="429"/>
      <c r="R25" s="429"/>
      <c r="S25" s="429"/>
      <c r="T25" s="429"/>
      <c r="U25" s="429"/>
      <c r="V25" s="429"/>
      <c r="W25" s="429"/>
      <c r="X25" s="429"/>
    </row>
    <row r="26" spans="2:24" s="428" customFormat="1" ht="18" x14ac:dyDescent="0.25">
      <c r="B26" s="429" t="s">
        <v>358</v>
      </c>
      <c r="C26" s="429"/>
      <c r="D26" s="429"/>
      <c r="E26" s="429"/>
      <c r="F26" s="429"/>
      <c r="G26" s="632" t="s">
        <v>359</v>
      </c>
      <c r="H26" s="654">
        <f>'ANALISI DELLE SPINTE'!D21</f>
        <v>1.6579999999999999</v>
      </c>
      <c r="I26" s="429"/>
      <c r="J26" s="429"/>
      <c r="K26" s="429"/>
      <c r="L26" s="429"/>
      <c r="M26" s="429"/>
      <c r="N26" s="429"/>
      <c r="O26" s="429"/>
      <c r="P26" s="429"/>
      <c r="Q26" s="429"/>
      <c r="R26" s="429"/>
      <c r="S26" s="429"/>
      <c r="T26" s="429"/>
      <c r="U26" s="429"/>
      <c r="V26" s="429"/>
      <c r="W26" s="429"/>
      <c r="X26" s="429"/>
    </row>
    <row r="27" spans="2:24" s="428" customFormat="1" ht="18" x14ac:dyDescent="0.25">
      <c r="B27" s="429" t="s">
        <v>360</v>
      </c>
      <c r="C27" s="429"/>
      <c r="D27" s="429"/>
      <c r="E27" s="429"/>
      <c r="F27" s="429"/>
      <c r="G27" s="632" t="s">
        <v>361</v>
      </c>
      <c r="H27" s="651">
        <f>'ANALISI DELLE SPINTE'!D22</f>
        <v>2.4769999999999999</v>
      </c>
      <c r="I27" s="429"/>
      <c r="J27" s="429"/>
      <c r="K27" s="429"/>
      <c r="L27" s="429"/>
      <c r="M27" s="429"/>
      <c r="N27" s="429"/>
      <c r="O27" s="429"/>
      <c r="P27" s="429"/>
      <c r="Q27" s="429"/>
      <c r="R27" s="429"/>
      <c r="S27" s="429"/>
      <c r="T27" s="429"/>
      <c r="U27" s="429"/>
      <c r="V27" s="429"/>
      <c r="W27" s="429"/>
      <c r="X27" s="429"/>
    </row>
    <row r="28" spans="2:24" s="428" customFormat="1" ht="18" x14ac:dyDescent="0.25">
      <c r="B28" s="429" t="s">
        <v>362</v>
      </c>
      <c r="C28" s="429"/>
      <c r="D28" s="429"/>
      <c r="E28" s="429"/>
      <c r="F28" s="429"/>
      <c r="G28" s="632" t="s">
        <v>363</v>
      </c>
      <c r="H28" s="655">
        <f>'ANALISI DELLE SPINTE'!D23</f>
        <v>0.29599999999999999</v>
      </c>
      <c r="I28" s="429"/>
      <c r="J28" s="429"/>
      <c r="K28" s="429"/>
      <c r="L28" s="429"/>
      <c r="M28" s="429"/>
      <c r="N28" s="429"/>
      <c r="O28" s="429"/>
      <c r="P28" s="429"/>
      <c r="Q28" s="429"/>
      <c r="R28" s="429"/>
      <c r="S28" s="429"/>
      <c r="T28" s="429"/>
      <c r="U28" s="429"/>
      <c r="V28" s="429"/>
      <c r="W28" s="429"/>
      <c r="X28" s="429"/>
    </row>
    <row r="29" spans="2:24" s="428" customFormat="1" x14ac:dyDescent="0.25">
      <c r="B29" s="429" t="s">
        <v>364</v>
      </c>
      <c r="C29" s="429"/>
      <c r="D29" s="429"/>
      <c r="E29" s="429"/>
      <c r="F29" s="429"/>
      <c r="G29" s="429"/>
      <c r="H29" s="651" t="str">
        <f>'ANALISI DELLE SPINTE'!D24</f>
        <v>B</v>
      </c>
      <c r="I29" s="429"/>
      <c r="J29" s="429"/>
      <c r="K29" s="429"/>
      <c r="L29" s="429"/>
      <c r="M29" s="429"/>
      <c r="N29" s="429"/>
      <c r="O29" s="429"/>
      <c r="P29" s="429"/>
      <c r="Q29" s="429"/>
      <c r="R29" s="429"/>
      <c r="S29" s="429"/>
      <c r="T29" s="429"/>
      <c r="U29" s="429"/>
      <c r="V29" s="429"/>
      <c r="W29" s="429"/>
      <c r="X29" s="429"/>
    </row>
    <row r="30" spans="2:24" s="428" customFormat="1" x14ac:dyDescent="0.25">
      <c r="B30" s="429" t="s">
        <v>365</v>
      </c>
      <c r="C30" s="429"/>
      <c r="D30" s="429"/>
      <c r="E30" s="429"/>
      <c r="F30" s="429"/>
      <c r="G30" s="429"/>
      <c r="H30" s="651" t="str">
        <f>'ANALISI DELLE SPINTE'!D25</f>
        <v>T1</v>
      </c>
      <c r="I30" s="429"/>
      <c r="J30" s="429"/>
      <c r="K30" s="429"/>
      <c r="L30" s="429"/>
      <c r="M30" s="429"/>
      <c r="N30" s="429"/>
      <c r="O30" s="429"/>
      <c r="P30" s="429"/>
      <c r="Q30" s="429"/>
      <c r="R30" s="429"/>
      <c r="S30" s="429"/>
      <c r="T30" s="429"/>
      <c r="U30" s="429"/>
      <c r="V30" s="429"/>
      <c r="W30" s="429"/>
      <c r="X30" s="429"/>
    </row>
    <row r="31" spans="2:24" s="428" customFormat="1" x14ac:dyDescent="0.25">
      <c r="B31" s="429" t="s">
        <v>782</v>
      </c>
      <c r="C31" s="429"/>
      <c r="D31" s="429"/>
      <c r="E31" s="429"/>
      <c r="F31" s="429"/>
      <c r="G31" s="383" t="s">
        <v>390</v>
      </c>
      <c r="H31" s="646">
        <f>'ANALISI DELLE SPINTE'!D26</f>
        <v>0.38</v>
      </c>
      <c r="I31" s="429"/>
      <c r="J31" s="429"/>
      <c r="K31" s="429"/>
      <c r="L31" s="429"/>
      <c r="M31" s="429"/>
      <c r="N31" s="429"/>
      <c r="O31" s="429"/>
      <c r="P31" s="429"/>
      <c r="Q31" s="429"/>
      <c r="R31" s="429"/>
      <c r="S31" s="429"/>
      <c r="T31" s="429"/>
      <c r="U31" s="429"/>
      <c r="V31" s="429"/>
      <c r="W31" s="429"/>
      <c r="X31" s="429"/>
    </row>
    <row r="32" spans="2:24" s="428" customFormat="1" x14ac:dyDescent="0.25">
      <c r="B32" s="429" t="s">
        <v>391</v>
      </c>
      <c r="C32" s="429"/>
      <c r="D32" s="429"/>
      <c r="E32" s="429"/>
      <c r="F32" s="429"/>
      <c r="G32" s="629" t="s">
        <v>278</v>
      </c>
      <c r="H32" s="646">
        <f>'ANALISI DELLE SPINTE'!D27</f>
        <v>7.7100550683255151E-2</v>
      </c>
      <c r="I32" s="429"/>
      <c r="J32" s="429"/>
      <c r="K32" s="429"/>
      <c r="L32" s="429"/>
      <c r="M32" s="429"/>
      <c r="N32" s="429"/>
      <c r="O32" s="429"/>
      <c r="P32" s="429"/>
      <c r="Q32" s="429"/>
      <c r="R32" s="429"/>
      <c r="S32" s="429"/>
      <c r="T32" s="429"/>
      <c r="U32" s="429"/>
      <c r="V32" s="429"/>
      <c r="W32" s="429"/>
      <c r="X32" s="429"/>
    </row>
    <row r="33" spans="2:24" s="428" customFormat="1" x14ac:dyDescent="0.25">
      <c r="B33" s="429" t="s">
        <v>392</v>
      </c>
      <c r="C33" s="429"/>
      <c r="D33" s="429"/>
      <c r="E33" s="429"/>
      <c r="F33" s="429"/>
      <c r="G33" s="629" t="s">
        <v>279</v>
      </c>
      <c r="H33" s="646">
        <f>'ANALISI DELLE SPINTE'!D28</f>
        <v>3.8550275341627575E-2</v>
      </c>
      <c r="I33" s="429"/>
      <c r="J33" s="429"/>
      <c r="K33" s="429"/>
      <c r="L33" s="429"/>
      <c r="M33" s="429"/>
      <c r="N33" s="429"/>
      <c r="O33" s="429"/>
      <c r="P33" s="429"/>
      <c r="Q33" s="429"/>
      <c r="R33" s="429"/>
      <c r="S33" s="429"/>
      <c r="T33" s="429"/>
      <c r="U33" s="429"/>
      <c r="V33" s="429"/>
      <c r="W33" s="429"/>
      <c r="X33" s="429"/>
    </row>
    <row r="34" spans="2:24" s="428" customFormat="1" ht="14.25" customHeight="1" x14ac:dyDescent="0.35">
      <c r="B34" s="422"/>
      <c r="C34" s="429"/>
      <c r="D34" s="429"/>
      <c r="E34" s="429"/>
      <c r="F34" s="429"/>
      <c r="G34" s="429"/>
      <c r="H34" s="429"/>
      <c r="I34" s="429"/>
      <c r="J34" s="429"/>
      <c r="K34" s="429"/>
      <c r="L34" s="429"/>
      <c r="M34" s="429"/>
      <c r="N34" s="429"/>
      <c r="O34" s="429"/>
      <c r="P34" s="429"/>
      <c r="Q34" s="429"/>
      <c r="R34" s="429"/>
      <c r="S34" s="429"/>
      <c r="T34" s="429"/>
      <c r="U34" s="429"/>
      <c r="V34" s="429"/>
      <c r="W34" s="429"/>
      <c r="X34" s="429"/>
    </row>
    <row r="35" spans="2:24" ht="14.25" customHeight="1" x14ac:dyDescent="0.35">
      <c r="B35" s="423"/>
      <c r="C35" s="429"/>
      <c r="D35" s="429"/>
      <c r="E35" s="429"/>
      <c r="F35" s="429"/>
      <c r="G35" s="429"/>
      <c r="H35" s="429"/>
      <c r="I35" s="429"/>
      <c r="J35" s="429"/>
      <c r="K35" s="429"/>
      <c r="L35" s="429"/>
      <c r="M35" s="429"/>
      <c r="N35" s="429"/>
      <c r="O35" s="429"/>
      <c r="P35" s="429"/>
      <c r="Q35" s="429"/>
      <c r="R35" s="429"/>
      <c r="S35" s="429"/>
      <c r="T35" s="429"/>
      <c r="U35" s="429"/>
      <c r="V35" s="429"/>
      <c r="W35" s="429"/>
      <c r="X35" s="429"/>
    </row>
    <row r="36" spans="2:24" ht="15.75" x14ac:dyDescent="0.25">
      <c r="B36" s="15" t="s">
        <v>757</v>
      </c>
      <c r="C36" s="429"/>
      <c r="D36" s="429"/>
      <c r="E36" s="429"/>
      <c r="F36" s="429"/>
      <c r="G36" s="429"/>
      <c r="H36" s="429"/>
      <c r="I36" s="429"/>
      <c r="J36" s="429"/>
      <c r="K36" s="429"/>
      <c r="L36" s="429"/>
      <c r="M36" s="429"/>
      <c r="N36" s="429"/>
      <c r="O36" s="429"/>
      <c r="P36" s="429"/>
      <c r="Q36" s="429"/>
      <c r="R36" s="429"/>
      <c r="S36" s="429"/>
      <c r="T36" s="429"/>
      <c r="U36" s="429"/>
      <c r="V36" s="429"/>
      <c r="W36" s="429"/>
      <c r="X36" s="429"/>
    </row>
    <row r="37" spans="2:24" x14ac:dyDescent="0.25">
      <c r="B37" s="429"/>
      <c r="C37" s="429"/>
      <c r="D37" s="429"/>
      <c r="E37" s="429"/>
      <c r="F37" s="429"/>
      <c r="G37" s="429"/>
      <c r="H37" s="429"/>
      <c r="I37" s="429"/>
      <c r="J37" s="429"/>
      <c r="K37" s="429"/>
      <c r="L37" s="429"/>
      <c r="M37" s="429"/>
      <c r="N37" s="429"/>
      <c r="O37" s="429"/>
      <c r="P37" s="429"/>
      <c r="Q37" s="429"/>
      <c r="R37" s="429"/>
      <c r="S37" s="429"/>
      <c r="T37" s="429"/>
      <c r="U37" s="429"/>
      <c r="V37" s="429"/>
      <c r="W37" s="429"/>
      <c r="X37" s="429"/>
    </row>
    <row r="38" spans="2:24" x14ac:dyDescent="0.25">
      <c r="B38" s="429" t="s">
        <v>586</v>
      </c>
      <c r="C38" s="644" t="s">
        <v>646</v>
      </c>
      <c r="D38" s="680">
        <v>1E-4</v>
      </c>
      <c r="E38" s="429"/>
      <c r="F38" s="429" t="s">
        <v>722</v>
      </c>
      <c r="G38" s="429"/>
      <c r="H38" s="631" t="s">
        <v>210</v>
      </c>
      <c r="I38" s="633">
        <f>'FOGLIO DEPOSITO'!D83</f>
        <v>1.9999999999999996</v>
      </c>
      <c r="J38" s="429"/>
      <c r="K38" s="429" t="s">
        <v>729</v>
      </c>
      <c r="L38" s="429"/>
      <c r="M38" s="631" t="s">
        <v>588</v>
      </c>
      <c r="N38" s="791">
        <f>('FOGLIO DEPOSITO'!D40+I43*'FOGLIO DEPOSITO'!D83*'FOGLIO DEPOSITO'!D84*1.1*24)</f>
        <v>144.76251939085117</v>
      </c>
      <c r="O38" s="429"/>
      <c r="P38" s="429"/>
      <c r="Q38" s="429"/>
      <c r="R38" s="429"/>
      <c r="S38" s="429"/>
      <c r="T38" s="429"/>
      <c r="U38" s="429"/>
      <c r="V38" s="429"/>
      <c r="W38" s="429"/>
      <c r="X38" s="429"/>
    </row>
    <row r="39" spans="2:24" x14ac:dyDescent="0.25">
      <c r="B39" s="429" t="s">
        <v>458</v>
      </c>
      <c r="C39" s="631" t="s">
        <v>474</v>
      </c>
      <c r="D39" s="676">
        <f>IF(DATI!G251="Strato di fondazione:      ghiaia-sabbie",0,DATI!E254/DATI!E279)</f>
        <v>0</v>
      </c>
      <c r="E39" s="429"/>
      <c r="F39" s="429" t="s">
        <v>723</v>
      </c>
      <c r="G39" s="429"/>
      <c r="H39" s="631" t="s">
        <v>4</v>
      </c>
      <c r="I39" s="633">
        <f>'FOGLIO DEPOSITO'!D84</f>
        <v>1</v>
      </c>
      <c r="J39" s="429"/>
      <c r="K39" s="429" t="s">
        <v>730</v>
      </c>
      <c r="L39" s="429"/>
      <c r="M39" s="631" t="s">
        <v>591</v>
      </c>
      <c r="N39" s="791">
        <f>MAXA('ANALISI DELLE SPINTE'!Z97,'ANALISI DELLE SPINTE'!AB116)</f>
        <v>54.684656336963357</v>
      </c>
      <c r="O39" s="429"/>
      <c r="P39" s="429"/>
      <c r="Q39" s="429"/>
      <c r="R39" s="429"/>
      <c r="S39" s="429"/>
      <c r="T39" s="429"/>
      <c r="U39" s="429"/>
      <c r="V39" s="429"/>
      <c r="W39" s="429"/>
      <c r="X39" s="429"/>
    </row>
    <row r="40" spans="2:24" x14ac:dyDescent="0.25">
      <c r="B40" s="429" t="s">
        <v>1056</v>
      </c>
      <c r="C40" s="644" t="s">
        <v>862</v>
      </c>
      <c r="D40" s="675">
        <f>DATI!E256/DATI!E280</f>
        <v>19.5</v>
      </c>
      <c r="E40" s="429"/>
      <c r="F40" s="429" t="s">
        <v>724</v>
      </c>
      <c r="G40" s="429"/>
      <c r="H40" s="631" t="s">
        <v>592</v>
      </c>
      <c r="I40" s="633">
        <f>D64</f>
        <v>0.89900675598438262</v>
      </c>
      <c r="J40" s="429"/>
      <c r="K40" s="429" t="s">
        <v>743</v>
      </c>
      <c r="L40" s="429"/>
      <c r="M40" s="631" t="s">
        <v>593</v>
      </c>
      <c r="N40" s="360">
        <f>'Progetto della zattera slu'!D76-'Progetto della zattera slu'!C76</f>
        <v>65.071241472847689</v>
      </c>
      <c r="O40" s="632"/>
      <c r="P40" s="640"/>
      <c r="Q40" s="640"/>
      <c r="R40" s="429"/>
      <c r="S40" s="429"/>
      <c r="T40" s="429"/>
      <c r="U40" s="429"/>
      <c r="V40" s="429"/>
      <c r="W40" s="429"/>
      <c r="X40" s="429"/>
    </row>
    <row r="41" spans="2:24" x14ac:dyDescent="0.25">
      <c r="B41" s="429" t="s">
        <v>1058</v>
      </c>
      <c r="C41" s="644" t="s">
        <v>863</v>
      </c>
      <c r="D41" s="675">
        <f>DATI!E257/DATI!E280</f>
        <v>19.5</v>
      </c>
      <c r="E41" s="429"/>
      <c r="F41" s="429" t="s">
        <v>726</v>
      </c>
      <c r="G41" s="429"/>
      <c r="H41" s="631" t="s">
        <v>181</v>
      </c>
      <c r="I41" s="633">
        <f>'FOGLIO DEPOSITO'!D85</f>
        <v>0.5</v>
      </c>
      <c r="J41" s="429"/>
      <c r="K41" s="429"/>
      <c r="L41" s="429"/>
      <c r="M41" s="429"/>
      <c r="N41" s="429"/>
      <c r="O41" s="632"/>
      <c r="P41" s="640"/>
      <c r="Q41" s="640"/>
      <c r="R41" s="429"/>
      <c r="S41" s="429"/>
      <c r="T41" s="429"/>
      <c r="U41" s="429"/>
      <c r="V41" s="429"/>
      <c r="W41" s="429"/>
      <c r="X41" s="429"/>
    </row>
    <row r="42" spans="2:24" x14ac:dyDescent="0.25">
      <c r="B42" s="429" t="s">
        <v>1059</v>
      </c>
      <c r="C42" s="644" t="s">
        <v>1060</v>
      </c>
      <c r="D42" s="675">
        <f>(D40*IF((I43-I42)&lt;0,0,(I43-I42))+D41*I42)/(IF((I43-I42)&lt;0,0,(I43-I42))+I42)</f>
        <v>19.5</v>
      </c>
      <c r="E42" s="429"/>
      <c r="F42" s="429" t="s">
        <v>727</v>
      </c>
      <c r="G42" s="429"/>
      <c r="H42" s="631" t="s">
        <v>296</v>
      </c>
      <c r="I42" s="633">
        <f>DATI!E258</f>
        <v>0.8</v>
      </c>
      <c r="J42" s="429"/>
      <c r="K42" s="429"/>
      <c r="L42" s="429"/>
      <c r="M42" s="429"/>
      <c r="N42" s="429"/>
      <c r="O42" s="632"/>
      <c r="P42" s="640"/>
      <c r="Q42" s="640"/>
      <c r="R42" s="429"/>
      <c r="S42" s="429"/>
      <c r="T42" s="429"/>
      <c r="U42" s="429"/>
      <c r="V42" s="429"/>
      <c r="W42" s="429"/>
      <c r="X42" s="429"/>
    </row>
    <row r="43" spans="2:24" x14ac:dyDescent="0.25">
      <c r="B43" s="429" t="s">
        <v>594</v>
      </c>
      <c r="C43" s="644" t="s">
        <v>108</v>
      </c>
      <c r="D43" s="680">
        <f>DATI!E251</f>
        <v>0</v>
      </c>
      <c r="E43" s="429"/>
      <c r="F43" s="429" t="s">
        <v>728</v>
      </c>
      <c r="G43" s="429"/>
      <c r="H43" s="631" t="s">
        <v>596</v>
      </c>
      <c r="I43" s="633">
        <f>DATI!E9</f>
        <v>0.1</v>
      </c>
      <c r="J43" s="429"/>
      <c r="K43" s="429"/>
      <c r="L43" s="429"/>
      <c r="M43" s="429"/>
      <c r="N43" s="429"/>
      <c r="O43" s="429"/>
      <c r="P43" s="429"/>
      <c r="Q43" s="429"/>
      <c r="R43" s="429"/>
      <c r="S43" s="429"/>
      <c r="T43" s="429"/>
      <c r="U43" s="429"/>
      <c r="V43" s="429"/>
      <c r="W43" s="429"/>
      <c r="X43" s="429"/>
    </row>
    <row r="44" spans="2:24" s="428" customFormat="1" x14ac:dyDescent="0.25">
      <c r="B44" s="429" t="s">
        <v>595</v>
      </c>
      <c r="C44" s="644" t="s">
        <v>479</v>
      </c>
      <c r="D44" s="680">
        <f>DATI!E252</f>
        <v>0</v>
      </c>
      <c r="E44" s="429"/>
      <c r="F44" s="429"/>
      <c r="G44" s="429"/>
      <c r="H44" s="628"/>
      <c r="I44" s="648"/>
      <c r="J44" s="429"/>
      <c r="K44" s="429"/>
      <c r="L44" s="429"/>
      <c r="M44" s="429"/>
      <c r="N44" s="429"/>
      <c r="O44" s="429"/>
      <c r="P44" s="429"/>
      <c r="Q44" s="429"/>
      <c r="R44" s="429"/>
      <c r="S44" s="429"/>
      <c r="T44" s="429"/>
      <c r="U44" s="429"/>
      <c r="V44" s="429"/>
      <c r="W44" s="429"/>
      <c r="X44" s="429"/>
    </row>
    <row r="45" spans="2:24" ht="18.75" x14ac:dyDescent="0.25">
      <c r="B45" s="429" t="s">
        <v>597</v>
      </c>
      <c r="C45" s="644" t="s">
        <v>598</v>
      </c>
      <c r="D45" s="543">
        <f>I40/2*TAN(45+($D$38*PI()/180)/2)</f>
        <v>0.72809584118151793</v>
      </c>
      <c r="E45" s="429"/>
      <c r="F45" s="429"/>
      <c r="G45" s="429"/>
      <c r="H45" s="429"/>
      <c r="I45" s="429"/>
      <c r="J45" s="429"/>
      <c r="K45" s="429"/>
      <c r="L45" s="429"/>
      <c r="M45" s="429"/>
      <c r="N45" s="429"/>
      <c r="O45" s="429"/>
      <c r="P45" s="429"/>
      <c r="Q45" s="429"/>
      <c r="R45" s="429"/>
      <c r="S45" s="429"/>
      <c r="T45" s="429"/>
      <c r="U45" s="429"/>
      <c r="V45" s="429"/>
      <c r="W45" s="429"/>
      <c r="X45" s="429"/>
    </row>
    <row r="46" spans="2:24" x14ac:dyDescent="0.25">
      <c r="B46" s="429"/>
      <c r="C46" s="429"/>
      <c r="D46" s="429"/>
      <c r="E46" s="429"/>
      <c r="F46" s="429"/>
      <c r="G46" s="429"/>
      <c r="H46" s="429"/>
      <c r="I46" s="429"/>
      <c r="J46" s="429"/>
      <c r="K46" s="429"/>
      <c r="L46" s="640"/>
      <c r="M46" s="429"/>
      <c r="N46" s="429"/>
      <c r="O46" s="429"/>
      <c r="P46" s="429"/>
      <c r="Q46" s="429"/>
      <c r="R46" s="429"/>
      <c r="S46" s="429"/>
      <c r="T46" s="429"/>
      <c r="U46" s="429"/>
      <c r="V46" s="429"/>
      <c r="W46" s="429"/>
      <c r="X46" s="429"/>
    </row>
    <row r="47" spans="2:24" ht="15.75" x14ac:dyDescent="0.25">
      <c r="B47" s="15" t="s">
        <v>758</v>
      </c>
      <c r="C47" s="429"/>
      <c r="D47" s="429"/>
      <c r="E47" s="429"/>
      <c r="F47" s="429"/>
      <c r="G47" s="429"/>
      <c r="H47" s="429"/>
      <c r="I47" s="429"/>
      <c r="J47" s="429"/>
      <c r="K47" s="429"/>
      <c r="L47" s="429"/>
      <c r="M47" s="429"/>
      <c r="N47" s="429"/>
      <c r="O47" s="429"/>
      <c r="P47" s="429"/>
      <c r="Q47" s="429"/>
      <c r="R47" s="429"/>
      <c r="S47" s="429"/>
      <c r="T47" s="429"/>
      <c r="U47" s="429"/>
      <c r="V47" s="429"/>
      <c r="W47" s="429"/>
      <c r="X47" s="429"/>
    </row>
    <row r="48" spans="2:24" x14ac:dyDescent="0.25">
      <c r="B48" s="429"/>
      <c r="C48" s="429"/>
      <c r="D48" s="429"/>
      <c r="E48" s="429"/>
      <c r="F48" s="429"/>
      <c r="G48" s="429"/>
      <c r="H48" s="429"/>
      <c r="I48" s="429"/>
      <c r="J48" s="429"/>
      <c r="K48" s="429"/>
      <c r="L48" s="429"/>
      <c r="M48" s="429"/>
      <c r="N48" s="429"/>
      <c r="O48" s="429"/>
      <c r="P48" s="429"/>
      <c r="Q48" s="429"/>
      <c r="R48" s="429"/>
      <c r="S48" s="429"/>
      <c r="T48" s="429"/>
      <c r="U48" s="429"/>
      <c r="V48" s="429"/>
      <c r="W48" s="429"/>
      <c r="X48" s="429"/>
    </row>
    <row r="49" spans="2:24" ht="21" x14ac:dyDescent="0.25">
      <c r="B49" s="429"/>
      <c r="C49" s="651" t="s">
        <v>647</v>
      </c>
      <c r="D49" s="633">
        <f>2*($D$51+1)*TAN($D$38*PI()/180)</f>
        <v>6.9813483324987092E-6</v>
      </c>
      <c r="E49" s="904" t="s">
        <v>738</v>
      </c>
      <c r="F49" s="905"/>
      <c r="G49" s="905"/>
      <c r="H49" s="429"/>
      <c r="I49" s="429"/>
      <c r="J49" s="24"/>
      <c r="K49" s="24"/>
      <c r="L49" s="23"/>
      <c r="M49" s="24"/>
      <c r="N49" s="429"/>
      <c r="O49" s="429"/>
      <c r="P49" s="429"/>
      <c r="Q49" s="429"/>
      <c r="R49" s="429"/>
      <c r="S49" s="429"/>
      <c r="T49" s="429"/>
      <c r="U49" s="429"/>
      <c r="V49" s="429"/>
      <c r="W49" s="429"/>
      <c r="X49" s="429"/>
    </row>
    <row r="50" spans="2:24" ht="21" x14ac:dyDescent="0.25">
      <c r="B50" s="429"/>
      <c r="C50" s="651" t="s">
        <v>648</v>
      </c>
      <c r="D50" s="633">
        <f>($D$51-1)*(1/TAN($D$38*PI()/180))</f>
        <v>5.1416157233948798</v>
      </c>
      <c r="E50" s="904" t="s">
        <v>600</v>
      </c>
      <c r="F50" s="905"/>
      <c r="G50" s="905"/>
      <c r="H50" s="429"/>
      <c r="I50" s="24"/>
      <c r="J50" s="24"/>
      <c r="K50" s="24"/>
      <c r="L50" s="24"/>
      <c r="M50" s="24"/>
      <c r="N50" s="429"/>
      <c r="O50" s="429"/>
      <c r="P50" s="429"/>
      <c r="Q50" s="429"/>
      <c r="R50" s="429"/>
      <c r="S50" s="429"/>
      <c r="T50" s="429"/>
      <c r="U50" s="429"/>
      <c r="V50" s="429"/>
      <c r="W50" s="429"/>
      <c r="X50" s="429"/>
    </row>
    <row r="51" spans="2:24" ht="21" x14ac:dyDescent="0.25">
      <c r="B51" s="429"/>
      <c r="C51" s="651" t="s">
        <v>649</v>
      </c>
      <c r="D51" s="633">
        <f>(TAN(PI()/4+($D$38*PI()/180)/2))^2*EXP(PI()*TAN($D$38*PI()/180))</f>
        <v>1.0000089738123246</v>
      </c>
      <c r="E51" s="904" t="s">
        <v>602</v>
      </c>
      <c r="F51" s="905"/>
      <c r="G51" s="905"/>
      <c r="H51" s="429"/>
      <c r="I51" s="429"/>
      <c r="J51" s="25"/>
      <c r="K51" s="20"/>
      <c r="L51" s="20"/>
      <c r="M51" s="24"/>
      <c r="N51" s="429"/>
      <c r="O51" s="429"/>
      <c r="P51" s="429"/>
      <c r="Q51" s="429"/>
      <c r="R51" s="429"/>
      <c r="S51" s="429"/>
      <c r="T51" s="429"/>
      <c r="U51" s="429"/>
      <c r="V51" s="429"/>
      <c r="W51" s="429"/>
      <c r="X51" s="429"/>
    </row>
    <row r="52" spans="2:24" x14ac:dyDescent="0.25">
      <c r="B52" s="429"/>
      <c r="C52" s="429"/>
      <c r="D52" s="429"/>
      <c r="E52" s="429"/>
      <c r="F52" s="429"/>
      <c r="G52" s="429"/>
      <c r="H52" s="429"/>
      <c r="I52" s="20"/>
      <c r="J52" s="25"/>
      <c r="K52" s="20"/>
      <c r="L52" s="20"/>
      <c r="M52" s="24"/>
      <c r="N52" s="429"/>
      <c r="O52" s="429"/>
      <c r="P52" s="429"/>
      <c r="Q52" s="429"/>
      <c r="R52" s="429"/>
      <c r="S52" s="429"/>
      <c r="T52" s="429"/>
      <c r="U52" s="429"/>
      <c r="V52" s="429"/>
      <c r="W52" s="429"/>
      <c r="X52" s="429"/>
    </row>
    <row r="53" spans="2:24" x14ac:dyDescent="0.25">
      <c r="B53" s="429"/>
      <c r="C53" s="429"/>
      <c r="D53" s="429"/>
      <c r="E53" s="429"/>
      <c r="F53" s="429"/>
      <c r="G53" s="429"/>
      <c r="H53" s="429"/>
      <c r="I53" s="429"/>
      <c r="J53" s="429"/>
      <c r="K53" s="429"/>
      <c r="L53" s="429"/>
      <c r="M53" s="429"/>
      <c r="N53" s="429"/>
      <c r="O53" s="429"/>
      <c r="P53" s="429"/>
      <c r="Q53" s="429"/>
      <c r="R53" s="429"/>
      <c r="S53" s="429"/>
      <c r="T53" s="429"/>
      <c r="U53" s="429"/>
      <c r="V53" s="429"/>
      <c r="W53" s="429"/>
      <c r="X53" s="429"/>
    </row>
    <row r="54" spans="2:24" ht="15.75" x14ac:dyDescent="0.25">
      <c r="B54" s="15" t="s">
        <v>759</v>
      </c>
      <c r="C54" s="429"/>
      <c r="D54" s="429"/>
      <c r="E54" s="429"/>
      <c r="F54" s="429"/>
      <c r="G54" s="429"/>
      <c r="H54" s="429"/>
      <c r="I54" s="429"/>
      <c r="J54" s="429"/>
      <c r="K54" s="429"/>
      <c r="L54" s="429"/>
      <c r="M54" s="429"/>
      <c r="N54" s="429"/>
      <c r="O54" s="429"/>
      <c r="P54" s="429"/>
      <c r="Q54" s="429"/>
      <c r="R54" s="429"/>
      <c r="S54" s="429"/>
      <c r="T54" s="429"/>
      <c r="U54" s="429"/>
      <c r="V54" s="429"/>
      <c r="W54" s="429"/>
      <c r="X54" s="429"/>
    </row>
    <row r="55" spans="2:24" x14ac:dyDescent="0.25">
      <c r="B55" s="429"/>
      <c r="C55" s="429"/>
      <c r="D55" s="429"/>
      <c r="E55" s="429"/>
      <c r="F55" s="429"/>
      <c r="G55" s="429"/>
      <c r="H55" s="429"/>
      <c r="I55" s="429"/>
      <c r="J55" s="429"/>
      <c r="K55" s="429"/>
      <c r="L55" s="429"/>
      <c r="M55" s="429"/>
      <c r="N55" s="429"/>
      <c r="O55" s="429"/>
      <c r="P55" s="429"/>
      <c r="Q55" s="429"/>
      <c r="R55" s="429"/>
      <c r="S55" s="429"/>
      <c r="T55" s="429"/>
      <c r="U55" s="429"/>
      <c r="V55" s="429"/>
      <c r="W55" s="429"/>
      <c r="X55" s="429"/>
    </row>
    <row r="56" spans="2:24" ht="23.25" customHeight="1" x14ac:dyDescent="0.25">
      <c r="B56" s="15"/>
      <c r="C56" s="908" t="s">
        <v>732</v>
      </c>
      <c r="D56" s="908"/>
      <c r="E56" s="429"/>
      <c r="F56" s="908" t="s">
        <v>733</v>
      </c>
      <c r="G56" s="908"/>
      <c r="H56" s="429"/>
      <c r="I56" s="908" t="s">
        <v>734</v>
      </c>
      <c r="J56" s="908"/>
      <c r="K56" s="429"/>
      <c r="L56" s="908" t="s">
        <v>735</v>
      </c>
      <c r="M56" s="908"/>
      <c r="N56" s="429"/>
      <c r="O56" s="908" t="s">
        <v>737</v>
      </c>
      <c r="P56" s="908"/>
      <c r="Q56" s="429"/>
      <c r="R56" s="419"/>
      <c r="S56" s="419"/>
      <c r="T56" s="429"/>
      <c r="U56" s="429"/>
      <c r="V56" s="429"/>
      <c r="W56" s="429"/>
      <c r="X56" s="429"/>
    </row>
    <row r="57" spans="2:24" ht="24.75" customHeight="1" x14ac:dyDescent="0.25">
      <c r="B57" s="15"/>
      <c r="C57" s="908"/>
      <c r="D57" s="908"/>
      <c r="E57" s="429"/>
      <c r="F57" s="908"/>
      <c r="G57" s="908"/>
      <c r="H57" s="429"/>
      <c r="I57" s="908"/>
      <c r="J57" s="908"/>
      <c r="K57" s="429"/>
      <c r="L57" s="908"/>
      <c r="M57" s="908"/>
      <c r="N57" s="429"/>
      <c r="O57" s="908"/>
      <c r="P57" s="908"/>
      <c r="Q57" s="429"/>
      <c r="R57" s="419"/>
      <c r="S57" s="419"/>
      <c r="T57" s="429"/>
      <c r="U57" s="429"/>
      <c r="V57" s="429"/>
      <c r="W57" s="429"/>
      <c r="X57" s="429"/>
    </row>
    <row r="58" spans="2:24" ht="23.25" x14ac:dyDescent="0.25">
      <c r="B58" s="429"/>
      <c r="C58" s="651" t="s">
        <v>650</v>
      </c>
      <c r="D58" s="646">
        <f>IF(I40=0,0,IF(DATI!E260="si",1,1+0.2*I40/'FOGLIO DEPOSITO'!C110))</f>
        <v>1</v>
      </c>
      <c r="E58" s="429"/>
      <c r="F58" s="651" t="s">
        <v>651</v>
      </c>
      <c r="G58" s="646">
        <f>IF(I40=0,0,IF(I42&lt;=I40,1+0.4*I42/I40,1+0.4*ATAN(I42/I40)))</f>
        <v>1.355948381777855</v>
      </c>
      <c r="H58" s="429"/>
      <c r="I58" s="651" t="s">
        <v>652</v>
      </c>
      <c r="J58" s="415">
        <f>IF(I40=0,0,IF(D39=0,0,IF((1-(J59*N39)/(I40*'FOGLIO DEPOSITO'!C110*D39*D50))&lt;0,0,(1-(J59*N39)/(I40*'FOGLIO DEPOSITO'!C110*D39*D50)))))</f>
        <v>0</v>
      </c>
      <c r="K58" s="640"/>
      <c r="L58" s="651" t="s">
        <v>653</v>
      </c>
      <c r="M58" s="646">
        <f>1-2*(D43*PI()/180)/(2+PI())</f>
        <v>1</v>
      </c>
      <c r="N58" s="429"/>
      <c r="O58" s="651" t="s">
        <v>654</v>
      </c>
      <c r="P58" s="646">
        <f>1-2*(D43*PI()/180)/(2+PI())</f>
        <v>1</v>
      </c>
      <c r="Q58" s="429"/>
      <c r="R58" s="429"/>
      <c r="S58" s="429"/>
      <c r="T58" s="429"/>
      <c r="U58" s="429"/>
      <c r="V58" s="429"/>
      <c r="W58" s="429"/>
      <c r="X58" s="429"/>
    </row>
    <row r="59" spans="2:24" x14ac:dyDescent="0.25">
      <c r="B59" s="429"/>
      <c r="C59" s="640"/>
      <c r="D59" s="10"/>
      <c r="E59" s="429"/>
      <c r="F59" s="640"/>
      <c r="G59" s="10"/>
      <c r="H59" s="429"/>
      <c r="I59" s="481" t="s">
        <v>832</v>
      </c>
      <c r="J59" s="482">
        <f>IF(I40=0,"",(2+I40/'FOGLIO DEPOSITO'!C110)/(1+I40/'FOGLIO DEPOSITO'!C110))</f>
        <v>1.5265910702258838</v>
      </c>
      <c r="K59" s="640"/>
      <c r="L59" s="10"/>
      <c r="M59" s="429"/>
      <c r="N59" s="640"/>
      <c r="O59" s="10"/>
      <c r="P59" s="429"/>
      <c r="Q59" s="640"/>
      <c r="R59" s="10"/>
      <c r="S59" s="429"/>
      <c r="T59" s="429"/>
      <c r="U59" s="429"/>
      <c r="V59" s="429"/>
      <c r="W59" s="429"/>
      <c r="X59" s="429"/>
    </row>
    <row r="60" spans="2:24" x14ac:dyDescent="0.25">
      <c r="B60" s="429"/>
      <c r="C60" s="429"/>
      <c r="D60" s="429"/>
      <c r="E60" s="429"/>
      <c r="F60" s="429"/>
      <c r="G60" s="429"/>
      <c r="H60" s="429"/>
      <c r="I60" s="627"/>
      <c r="J60" s="429" t="e">
        <f>(1-(J59*N39)/(I40*'FOGLIO DEPOSITO'!C110*D39*D50))</f>
        <v>#DIV/0!</v>
      </c>
      <c r="K60" s="429"/>
      <c r="L60" s="429"/>
      <c r="M60" s="429"/>
      <c r="N60" s="429"/>
      <c r="O60" s="429"/>
      <c r="P60" s="429"/>
      <c r="Q60" s="429"/>
      <c r="R60" s="429"/>
      <c r="S60" s="429"/>
      <c r="T60" s="429"/>
      <c r="U60" s="429"/>
      <c r="V60" s="429"/>
      <c r="W60" s="429"/>
      <c r="X60" s="429"/>
    </row>
    <row r="61" spans="2:24" ht="15.75" x14ac:dyDescent="0.25">
      <c r="B61" s="15" t="s">
        <v>760</v>
      </c>
      <c r="C61" s="429"/>
      <c r="D61" s="429"/>
      <c r="E61" s="429"/>
      <c r="F61" s="429"/>
      <c r="G61" s="429"/>
      <c r="H61" s="429"/>
      <c r="I61" s="429"/>
      <c r="J61" s="429"/>
      <c r="K61" s="429"/>
      <c r="L61" s="429"/>
      <c r="M61" s="429"/>
      <c r="N61" s="429"/>
      <c r="O61" s="429"/>
      <c r="P61" s="429"/>
      <c r="Q61" s="429"/>
      <c r="R61" s="429"/>
      <c r="S61" s="429"/>
      <c r="T61" s="429"/>
      <c r="U61" s="429"/>
      <c r="V61" s="429"/>
      <c r="W61" s="429"/>
      <c r="X61" s="429"/>
    </row>
    <row r="62" spans="2:24" ht="15.75" x14ac:dyDescent="0.25">
      <c r="B62" s="15"/>
      <c r="C62" s="429"/>
      <c r="D62" s="429"/>
      <c r="E62" s="429"/>
      <c r="F62" s="429"/>
      <c r="G62" s="429"/>
      <c r="H62" s="429"/>
      <c r="I62" s="429"/>
      <c r="J62" s="429"/>
      <c r="K62" s="429"/>
      <c r="L62" s="429"/>
      <c r="M62" s="429"/>
      <c r="N62" s="429"/>
      <c r="O62" s="429"/>
      <c r="P62" s="429"/>
      <c r="Q62" s="429"/>
      <c r="R62" s="429"/>
      <c r="S62" s="429"/>
      <c r="T62" s="429"/>
      <c r="U62" s="429"/>
      <c r="V62" s="429"/>
      <c r="W62" s="429"/>
      <c r="X62" s="429"/>
    </row>
    <row r="63" spans="2:24" ht="21" x14ac:dyDescent="0.25">
      <c r="B63" s="15"/>
      <c r="C63" s="651" t="s">
        <v>619</v>
      </c>
      <c r="D63" s="543">
        <f>IF(N38=0,0,'Progetto della zattera slu'!G129/2-N40/N38)</f>
        <v>0.55049662200780847</v>
      </c>
      <c r="E63" s="640"/>
      <c r="F63" s="429"/>
      <c r="G63" s="429"/>
      <c r="H63" s="429"/>
      <c r="I63" s="429"/>
      <c r="J63" s="429"/>
      <c r="K63" s="429"/>
      <c r="L63" s="429"/>
      <c r="M63" s="429"/>
      <c r="N63" s="429"/>
      <c r="O63" s="429"/>
      <c r="P63" s="429"/>
      <c r="Q63" s="429"/>
      <c r="R63" s="429"/>
      <c r="S63" s="429"/>
      <c r="T63" s="429"/>
      <c r="U63" s="429"/>
      <c r="V63" s="429"/>
      <c r="W63" s="429"/>
      <c r="X63" s="429"/>
    </row>
    <row r="64" spans="2:24" x14ac:dyDescent="0.25">
      <c r="B64" s="429"/>
      <c r="C64" s="631" t="s">
        <v>592</v>
      </c>
      <c r="D64" s="543">
        <f>IF(N40=0,'FOGLIO DEPOSITO'!D83,IF(D63&gt;'FOGLIO DEPOSITO'!D83/2,0,'FOGLIO DEPOSITO'!D83-2*D63))</f>
        <v>0.89900675598438262</v>
      </c>
      <c r="E64" s="640"/>
      <c r="F64" s="429"/>
      <c r="G64" s="429"/>
      <c r="H64" s="429"/>
      <c r="I64" s="429"/>
      <c r="J64" s="429"/>
      <c r="K64" s="429"/>
      <c r="L64" s="429"/>
      <c r="M64" s="429"/>
      <c r="N64" s="429"/>
      <c r="O64" s="429"/>
      <c r="P64" s="429"/>
      <c r="Q64" s="429"/>
      <c r="R64" s="429"/>
      <c r="S64" s="429"/>
      <c r="T64" s="429"/>
      <c r="U64" s="429"/>
      <c r="V64" s="429"/>
      <c r="W64" s="429"/>
      <c r="X64" s="429"/>
    </row>
    <row r="65" spans="2:24" x14ac:dyDescent="0.25">
      <c r="B65" s="429"/>
      <c r="C65" s="640"/>
      <c r="D65" s="3"/>
      <c r="E65" s="640"/>
      <c r="F65" s="429"/>
      <c r="G65" s="632"/>
      <c r="H65" s="3"/>
      <c r="I65" s="640"/>
      <c r="J65" s="429"/>
      <c r="K65" s="429"/>
      <c r="L65" s="429"/>
      <c r="M65" s="429"/>
      <c r="N65" s="429"/>
      <c r="O65" s="429"/>
      <c r="P65" s="429"/>
      <c r="Q65" s="429"/>
      <c r="R65" s="429"/>
      <c r="S65" s="429"/>
      <c r="T65" s="429"/>
      <c r="U65" s="429"/>
      <c r="V65" s="429"/>
      <c r="W65" s="429"/>
      <c r="X65" s="429"/>
    </row>
    <row r="66" spans="2:24" x14ac:dyDescent="0.25">
      <c r="B66" s="429"/>
      <c r="C66" s="429"/>
      <c r="D66" s="429"/>
      <c r="E66" s="429"/>
      <c r="F66" s="429"/>
      <c r="G66" s="429"/>
      <c r="H66" s="429"/>
      <c r="I66" s="429"/>
      <c r="J66" s="429"/>
      <c r="K66" s="429"/>
      <c r="L66" s="429"/>
      <c r="M66" s="429"/>
      <c r="N66" s="429"/>
      <c r="O66" s="429"/>
      <c r="P66" s="429"/>
      <c r="Q66" s="429"/>
      <c r="R66" s="429"/>
      <c r="S66" s="429"/>
      <c r="T66" s="429"/>
      <c r="U66" s="429"/>
      <c r="V66" s="429"/>
      <c r="W66" s="429"/>
      <c r="X66" s="429"/>
    </row>
    <row r="67" spans="2:24" ht="15.75" x14ac:dyDescent="0.25">
      <c r="B67" s="15" t="s">
        <v>761</v>
      </c>
      <c r="C67" s="429"/>
      <c r="D67" s="429"/>
      <c r="E67" s="429"/>
      <c r="F67" s="429"/>
      <c r="G67" s="429"/>
      <c r="H67" s="429"/>
      <c r="I67" s="429"/>
      <c r="J67" s="429"/>
      <c r="K67" s="429"/>
      <c r="L67" s="429"/>
      <c r="M67" s="429"/>
      <c r="N67" s="429"/>
      <c r="O67" s="429"/>
      <c r="P67" s="429"/>
      <c r="Q67" s="429"/>
      <c r="R67" s="429"/>
      <c r="S67" s="429"/>
      <c r="T67" s="429"/>
      <c r="U67" s="429"/>
      <c r="V67" s="429"/>
      <c r="W67" s="429"/>
      <c r="X67" s="429"/>
    </row>
    <row r="68" spans="2:24" ht="15.75" x14ac:dyDescent="0.25">
      <c r="B68" s="15"/>
      <c r="C68" s="429"/>
      <c r="D68" s="429"/>
      <c r="E68" s="429"/>
      <c r="F68" s="429"/>
      <c r="G68" s="429"/>
      <c r="H68" s="429"/>
      <c r="I68" s="429"/>
      <c r="J68" s="429"/>
      <c r="K68" s="429"/>
      <c r="L68" s="429"/>
      <c r="M68" s="429"/>
      <c r="N68" s="429"/>
      <c r="O68" s="429"/>
      <c r="P68" s="429"/>
      <c r="Q68" s="429"/>
      <c r="R68" s="429"/>
      <c r="S68" s="429"/>
      <c r="T68" s="429"/>
      <c r="U68" s="429"/>
      <c r="V68" s="429"/>
      <c r="W68" s="429"/>
      <c r="X68" s="429"/>
    </row>
    <row r="69" spans="2:24" ht="21" x14ac:dyDescent="0.25">
      <c r="B69" s="429"/>
      <c r="C69" s="29" t="s">
        <v>620</v>
      </c>
      <c r="D69" s="30">
        <f>(D39*D50*D58*G58*J58*M58*P58+'VER. GEO CONDIZIONI NON DRENATE'!D40*I42*D51)</f>
        <v>15.600139991472265</v>
      </c>
      <c r="E69" s="31" t="s">
        <v>621</v>
      </c>
      <c r="F69" s="429"/>
      <c r="G69" s="29" t="s">
        <v>622</v>
      </c>
      <c r="H69" s="30">
        <f>IF(I40=0,0,IF('FOGLIO DEPOSITO'!C110=0,0,D69*I40*'FOGLIO DEPOSITO'!C110))</f>
        <v>14.024631246635716</v>
      </c>
      <c r="I69" s="31" t="s">
        <v>12</v>
      </c>
      <c r="J69" s="429"/>
      <c r="K69" s="640"/>
      <c r="L69" s="9"/>
      <c r="M69" s="640"/>
      <c r="N69" s="429"/>
      <c r="O69" s="429"/>
      <c r="P69" s="429"/>
      <c r="Q69" s="429"/>
      <c r="R69" s="429"/>
      <c r="S69" s="429"/>
      <c r="T69" s="429"/>
      <c r="U69" s="429"/>
      <c r="V69" s="429"/>
      <c r="W69" s="429"/>
      <c r="X69" s="429"/>
    </row>
    <row r="70" spans="2:24" ht="15.75" x14ac:dyDescent="0.25">
      <c r="B70" s="15"/>
      <c r="C70" s="640"/>
      <c r="D70" s="9"/>
      <c r="E70" s="640"/>
      <c r="F70" s="429"/>
      <c r="G70" s="640"/>
      <c r="H70" s="9"/>
      <c r="I70" s="640"/>
      <c r="J70" s="429"/>
      <c r="K70" s="640"/>
      <c r="L70" s="9"/>
      <c r="M70" s="640"/>
      <c r="N70" s="429"/>
      <c r="O70" s="429"/>
      <c r="P70" s="429"/>
      <c r="Q70" s="429"/>
      <c r="R70" s="429"/>
      <c r="S70" s="429"/>
      <c r="T70" s="429"/>
      <c r="U70" s="429"/>
      <c r="V70" s="429"/>
      <c r="W70" s="429"/>
      <c r="X70" s="429"/>
    </row>
    <row r="71" spans="2:24" ht="15.75" x14ac:dyDescent="0.25">
      <c r="B71" s="15"/>
      <c r="C71" s="640"/>
      <c r="D71" s="9"/>
      <c r="E71" s="640"/>
      <c r="F71" s="429"/>
      <c r="G71" s="640"/>
      <c r="H71" s="9"/>
      <c r="I71" s="640"/>
      <c r="J71" s="429"/>
      <c r="K71" s="640"/>
      <c r="L71" s="9"/>
      <c r="M71" s="640"/>
      <c r="N71" s="429"/>
      <c r="O71" s="429"/>
      <c r="P71" s="429"/>
      <c r="Q71" s="429"/>
      <c r="R71" s="429"/>
      <c r="S71" s="429"/>
      <c r="T71" s="429"/>
      <c r="U71" s="429"/>
      <c r="V71" s="429"/>
      <c r="W71" s="429"/>
      <c r="X71" s="429"/>
    </row>
    <row r="72" spans="2:24" ht="15.75" x14ac:dyDescent="0.25">
      <c r="B72" s="15"/>
      <c r="C72" s="640"/>
      <c r="D72" s="9"/>
      <c r="E72" s="640"/>
      <c r="F72" s="429"/>
      <c r="G72" s="640"/>
      <c r="H72" s="9"/>
      <c r="I72" s="640"/>
      <c r="J72" s="429"/>
      <c r="K72" s="640"/>
      <c r="L72" s="9"/>
      <c r="M72" s="640"/>
      <c r="N72" s="429"/>
      <c r="O72" s="429"/>
      <c r="P72" s="429"/>
      <c r="Q72" s="429"/>
      <c r="R72" s="429"/>
      <c r="S72" s="429"/>
      <c r="T72" s="429"/>
      <c r="U72" s="429"/>
      <c r="V72" s="429"/>
      <c r="W72" s="429"/>
      <c r="X72" s="429"/>
    </row>
    <row r="73" spans="2:24" ht="15.75" x14ac:dyDescent="0.25">
      <c r="B73" s="15"/>
      <c r="C73" s="640"/>
      <c r="D73" s="9"/>
      <c r="E73" s="640"/>
      <c r="F73" s="429"/>
      <c r="G73" s="640"/>
      <c r="H73" s="9"/>
      <c r="I73" s="640"/>
      <c r="J73" s="429"/>
      <c r="K73" s="640"/>
      <c r="L73" s="9"/>
      <c r="M73" s="640"/>
      <c r="N73" s="429"/>
      <c r="O73" s="429"/>
      <c r="P73" s="429"/>
      <c r="Q73" s="429"/>
      <c r="R73" s="429"/>
      <c r="S73" s="429"/>
      <c r="T73" s="429"/>
      <c r="U73" s="429"/>
      <c r="V73" s="429"/>
      <c r="W73" s="429"/>
      <c r="X73" s="429"/>
    </row>
    <row r="74" spans="2:24" ht="15.75" x14ac:dyDescent="0.25">
      <c r="B74" s="15"/>
      <c r="C74" s="640"/>
      <c r="D74" s="9"/>
      <c r="E74" s="640"/>
      <c r="F74" s="429"/>
      <c r="G74" s="640"/>
      <c r="H74" s="9"/>
      <c r="I74" s="640"/>
      <c r="J74" s="429"/>
      <c r="K74" s="640"/>
      <c r="L74" s="9"/>
      <c r="M74" s="640"/>
      <c r="N74" s="429"/>
      <c r="O74" s="429"/>
      <c r="P74" s="429"/>
      <c r="Q74" s="429"/>
      <c r="R74" s="429"/>
      <c r="S74" s="429"/>
      <c r="T74" s="429"/>
      <c r="U74" s="429"/>
      <c r="V74" s="429"/>
      <c r="W74" s="429"/>
      <c r="X74" s="429"/>
    </row>
    <row r="75" spans="2:24" ht="15.75" x14ac:dyDescent="0.25">
      <c r="B75" s="15"/>
      <c r="C75" s="640"/>
      <c r="D75" s="9"/>
      <c r="E75" s="640"/>
      <c r="F75" s="429"/>
      <c r="G75" s="640"/>
      <c r="H75" s="9"/>
      <c r="I75" s="640"/>
      <c r="J75" s="429"/>
      <c r="K75" s="640"/>
      <c r="L75" s="9"/>
      <c r="M75" s="640"/>
      <c r="N75" s="429"/>
      <c r="O75" s="429"/>
      <c r="P75" s="429"/>
      <c r="Q75" s="429"/>
      <c r="R75" s="429"/>
      <c r="S75" s="429"/>
      <c r="T75" s="429"/>
      <c r="U75" s="429"/>
      <c r="V75" s="429"/>
      <c r="W75" s="429"/>
      <c r="X75" s="429"/>
    </row>
    <row r="76" spans="2:24" ht="15.75" x14ac:dyDescent="0.25">
      <c r="B76" s="15"/>
      <c r="C76" s="640"/>
      <c r="D76" s="9"/>
      <c r="E76" s="640"/>
      <c r="F76" s="429"/>
      <c r="G76" s="640"/>
      <c r="H76" s="9"/>
      <c r="I76" s="640"/>
      <c r="J76" s="429"/>
      <c r="K76" s="640"/>
      <c r="L76" s="9"/>
      <c r="M76" s="640"/>
      <c r="N76" s="429"/>
      <c r="O76" s="429"/>
      <c r="P76" s="429"/>
      <c r="Q76" s="429"/>
      <c r="R76" s="429"/>
      <c r="S76" s="429"/>
      <c r="T76" s="429"/>
      <c r="U76" s="429"/>
      <c r="V76" s="429"/>
      <c r="W76" s="429"/>
      <c r="X76" s="429"/>
    </row>
    <row r="77" spans="2:24" x14ac:dyDescent="0.25">
      <c r="B77" s="429"/>
      <c r="C77" s="429"/>
      <c r="D77" s="429"/>
      <c r="E77" s="429"/>
      <c r="F77" s="429"/>
      <c r="G77" s="429"/>
      <c r="H77" s="429"/>
      <c r="I77" s="429"/>
      <c r="J77" s="429"/>
      <c r="K77" s="429"/>
      <c r="L77" s="429"/>
      <c r="M77" s="429"/>
      <c r="N77" s="429"/>
      <c r="O77" s="429"/>
      <c r="P77" s="429"/>
      <c r="Q77" s="429"/>
      <c r="R77" s="429"/>
      <c r="S77" s="429"/>
      <c r="T77" s="429"/>
      <c r="U77" s="429"/>
      <c r="V77" s="429"/>
      <c r="W77" s="429"/>
      <c r="X77" s="429"/>
    </row>
    <row r="78" spans="2:24" x14ac:dyDescent="0.25">
      <c r="B78" s="429"/>
      <c r="C78" s="429"/>
      <c r="D78" s="429"/>
      <c r="E78" s="429"/>
      <c r="F78" s="429"/>
      <c r="G78" s="429"/>
      <c r="H78" s="429"/>
      <c r="I78" s="429"/>
      <c r="J78" s="429"/>
      <c r="K78" s="429"/>
      <c r="L78" s="429"/>
      <c r="M78" s="429"/>
      <c r="N78" s="429"/>
      <c r="O78" s="429"/>
      <c r="P78" s="429"/>
      <c r="Q78" s="429"/>
      <c r="R78" s="429"/>
      <c r="S78" s="429"/>
      <c r="T78" s="429"/>
      <c r="U78" s="429"/>
      <c r="V78" s="429"/>
      <c r="W78" s="429"/>
      <c r="X78" s="429"/>
    </row>
    <row r="79" spans="2:24" ht="16.5" thickBot="1" x14ac:dyDescent="0.3">
      <c r="B79" s="15" t="s">
        <v>762</v>
      </c>
      <c r="C79" s="429"/>
      <c r="D79" s="429"/>
      <c r="E79" s="429"/>
      <c r="F79" s="429"/>
      <c r="G79" s="429"/>
      <c r="H79" s="429"/>
      <c r="I79" s="429"/>
      <c r="J79" s="429"/>
      <c r="K79" s="429"/>
      <c r="L79" s="429"/>
      <c r="M79" s="429"/>
      <c r="N79" s="429"/>
      <c r="O79" s="429"/>
      <c r="P79" s="429"/>
      <c r="Q79" s="429"/>
      <c r="R79" s="429"/>
      <c r="S79" s="429"/>
      <c r="T79" s="429"/>
      <c r="U79" s="429"/>
      <c r="V79" s="429"/>
      <c r="W79" s="429"/>
      <c r="X79" s="429"/>
    </row>
    <row r="80" spans="2:24" ht="21.75" thickBot="1" x14ac:dyDescent="0.35">
      <c r="B80" s="431" t="s">
        <v>625</v>
      </c>
      <c r="C80" s="632" t="s">
        <v>624</v>
      </c>
      <c r="D80" s="435">
        <f>N38</f>
        <v>144.76251939085117</v>
      </c>
      <c r="E80" s="433" t="s">
        <v>12</v>
      </c>
      <c r="F80" s="429"/>
      <c r="G80" s="429"/>
      <c r="H80" s="909" t="str">
        <f>IF(H69&lt;=0,"NON VERIFICATO",IF(D80/D81&lt;=1,"verificato","NON VERIFICATO!"))</f>
        <v>NON VERIFICATO!</v>
      </c>
      <c r="I80" s="910"/>
      <c r="J80" s="429"/>
      <c r="K80" s="436"/>
      <c r="L80" s="429"/>
      <c r="M80" s="429"/>
      <c r="N80" s="429"/>
      <c r="O80" s="429"/>
      <c r="P80" s="429"/>
      <c r="Q80" s="429"/>
      <c r="R80" s="429"/>
      <c r="S80" s="429"/>
      <c r="T80" s="429"/>
      <c r="U80" s="429"/>
      <c r="V80" s="429"/>
      <c r="W80" s="429"/>
      <c r="X80" s="429"/>
    </row>
    <row r="81" spans="2:24" ht="21" x14ac:dyDescent="0.25">
      <c r="B81" s="429"/>
      <c r="C81" s="632" t="s">
        <v>626</v>
      </c>
      <c r="D81" s="435">
        <f>H69/DATI!E283</f>
        <v>11.687192705529764</v>
      </c>
      <c r="E81" s="433" t="s">
        <v>12</v>
      </c>
      <c r="F81" s="429"/>
      <c r="G81" s="429"/>
      <c r="H81" s="911">
        <f>IF(D81=0,0,D81/D80)</f>
        <v>8.0733554201104771E-2</v>
      </c>
      <c r="I81" s="911"/>
      <c r="J81" s="429"/>
      <c r="K81" s="429"/>
      <c r="L81" s="429"/>
      <c r="M81" s="429"/>
      <c r="N81" s="429"/>
      <c r="O81" s="429"/>
      <c r="P81" s="429"/>
      <c r="Q81" s="429"/>
      <c r="R81" s="429"/>
      <c r="S81" s="429"/>
      <c r="T81" s="429"/>
      <c r="U81" s="429"/>
      <c r="V81" s="429"/>
      <c r="W81" s="429"/>
      <c r="X81" s="429"/>
    </row>
    <row r="82" spans="2:24" ht="15.75" customHeight="1" x14ac:dyDescent="0.25">
      <c r="B82" s="429"/>
      <c r="C82" s="632"/>
      <c r="D82" s="435"/>
      <c r="E82" s="433"/>
      <c r="F82" s="429"/>
      <c r="G82" s="429"/>
      <c r="H82" s="642"/>
      <c r="I82" s="642"/>
      <c r="J82" s="429"/>
      <c r="K82" s="906" t="str">
        <f>IF(DATI!E254=0,"QUESTA VERIFICA PUO' ESSERE OMESSA IN QUANTO LA RESISTENZA A TAGLIO NON DRENATA PER IL TERRENO AL DI SOTTO DEL PIANO DI POSA DELLA ZATTERA NON E' STATA DEFINITA","")</f>
        <v>QUESTA VERIFICA PUO' ESSERE OMESSA IN QUANTO LA RESISTENZA A TAGLIO NON DRENATA PER IL TERRENO AL DI SOTTO DEL PIANO DI POSA DELLA ZATTERA NON E' STATA DEFINITA</v>
      </c>
      <c r="L82" s="906"/>
      <c r="M82" s="906"/>
      <c r="N82" s="906"/>
      <c r="O82" s="906"/>
      <c r="P82" s="429"/>
      <c r="Q82" s="429"/>
      <c r="R82" s="429"/>
      <c r="S82" s="429"/>
      <c r="T82" s="429"/>
      <c r="U82" s="429"/>
      <c r="V82" s="429"/>
      <c r="W82" s="429"/>
      <c r="X82" s="429"/>
    </row>
    <row r="83" spans="2:24" x14ac:dyDescent="0.25">
      <c r="B83" s="429"/>
      <c r="C83" s="628" t="s">
        <v>627</v>
      </c>
      <c r="D83" s="70">
        <f>IF(I40=0,0,IF('FOGLIO DEPOSITO'!C110=0,0,D80/(I40*'FOGLIO DEPOSITO'!C110)))</f>
        <v>161.02495162268386</v>
      </c>
      <c r="E83" s="628" t="s">
        <v>628</v>
      </c>
      <c r="F83" s="429"/>
      <c r="G83" s="429"/>
      <c r="H83" s="429"/>
      <c r="I83" s="429"/>
      <c r="J83" s="429"/>
      <c r="K83" s="906"/>
      <c r="L83" s="906"/>
      <c r="M83" s="906"/>
      <c r="N83" s="906"/>
      <c r="O83" s="906"/>
      <c r="P83" s="429"/>
      <c r="Q83" s="429"/>
      <c r="R83" s="429"/>
      <c r="S83" s="429"/>
      <c r="T83" s="429"/>
      <c r="U83" s="429"/>
      <c r="V83" s="429"/>
      <c r="W83" s="429"/>
      <c r="X83" s="429"/>
    </row>
    <row r="84" spans="2:24" ht="15.75" x14ac:dyDescent="0.25">
      <c r="B84" s="429"/>
      <c r="C84" s="628" t="s">
        <v>629</v>
      </c>
      <c r="D84" s="70">
        <f>IF(I40=0,0,IF('FOGLIO DEPOSITO'!C110=0,0,D81/(I40*'FOGLIO DEPOSITO'!C110)))</f>
        <v>13.000116659560222</v>
      </c>
      <c r="E84" s="628" t="s">
        <v>628</v>
      </c>
      <c r="F84" s="429"/>
      <c r="G84" s="429"/>
      <c r="H84" s="429"/>
      <c r="I84" s="429"/>
      <c r="J84" s="429"/>
      <c r="K84" s="906"/>
      <c r="L84" s="906"/>
      <c r="M84" s="906"/>
      <c r="N84" s="906"/>
      <c r="O84" s="906"/>
      <c r="P84" s="429"/>
      <c r="Q84" s="429"/>
      <c r="R84" s="429"/>
      <c r="S84" s="429"/>
      <c r="T84" s="429"/>
      <c r="U84" s="429"/>
      <c r="V84" s="429"/>
      <c r="W84" s="429"/>
      <c r="X84" s="429"/>
    </row>
    <row r="85" spans="2:24" x14ac:dyDescent="0.25">
      <c r="B85" s="429"/>
      <c r="C85" s="429"/>
      <c r="D85" s="429"/>
      <c r="E85" s="429"/>
      <c r="F85" s="429"/>
      <c r="G85" s="429"/>
      <c r="H85" s="429"/>
      <c r="I85" s="429"/>
      <c r="J85" s="429"/>
      <c r="K85" s="906"/>
      <c r="L85" s="906"/>
      <c r="M85" s="906"/>
      <c r="N85" s="906"/>
      <c r="O85" s="906"/>
      <c r="P85" s="429"/>
      <c r="Q85" s="429"/>
      <c r="R85" s="429"/>
      <c r="S85" s="429"/>
      <c r="T85" s="429"/>
      <c r="U85" s="429"/>
      <c r="V85" s="429"/>
      <c r="W85" s="429"/>
      <c r="X85" s="429"/>
    </row>
    <row r="86" spans="2:24" ht="15.75" x14ac:dyDescent="0.25">
      <c r="B86" s="15" t="s">
        <v>763</v>
      </c>
      <c r="C86" s="429"/>
      <c r="D86" s="429"/>
      <c r="E86" s="429"/>
      <c r="F86" s="429"/>
      <c r="G86" s="429"/>
      <c r="H86" s="429"/>
      <c r="I86" s="429"/>
      <c r="J86" s="429"/>
      <c r="K86" s="906"/>
      <c r="L86" s="906"/>
      <c r="M86" s="906"/>
      <c r="N86" s="906"/>
      <c r="O86" s="906"/>
      <c r="P86" s="429"/>
      <c r="Q86" s="429"/>
      <c r="R86" s="429"/>
      <c r="S86" s="429"/>
      <c r="T86" s="429"/>
      <c r="U86" s="429"/>
      <c r="V86" s="429"/>
      <c r="W86" s="429"/>
      <c r="X86" s="429"/>
    </row>
    <row r="87" spans="2:24" ht="15.75" thickBot="1" x14ac:dyDescent="0.3">
      <c r="B87" s="429"/>
      <c r="C87" s="429"/>
      <c r="D87" s="429"/>
      <c r="E87" s="429"/>
      <c r="F87" s="429"/>
      <c r="G87" s="429"/>
      <c r="H87" s="429"/>
      <c r="I87" s="429"/>
      <c r="J87" s="429"/>
      <c r="K87" s="906"/>
      <c r="L87" s="906"/>
      <c r="M87" s="906"/>
      <c r="N87" s="906"/>
      <c r="O87" s="906"/>
      <c r="P87" s="429"/>
      <c r="Q87" s="429"/>
      <c r="R87" s="429"/>
      <c r="S87" s="429"/>
      <c r="T87" s="429"/>
      <c r="U87" s="429"/>
      <c r="V87" s="429"/>
      <c r="W87" s="429"/>
      <c r="X87" s="429"/>
    </row>
    <row r="88" spans="2:24" ht="21.75" thickBot="1" x14ac:dyDescent="0.3">
      <c r="B88" s="429"/>
      <c r="C88" s="632" t="s">
        <v>624</v>
      </c>
      <c r="D88" s="435">
        <f>'FOGLIO DEPOSITO'!D46*'FOGLIO DEPOSITO'!D66</f>
        <v>49.216190703267024</v>
      </c>
      <c r="E88" s="433" t="s">
        <v>12</v>
      </c>
      <c r="F88" s="429"/>
      <c r="G88" s="429"/>
      <c r="H88" s="901" t="str">
        <f>IF(D39=0,"NON VERIFICATO",IF(D88/D89&lt;=1,"verificato","NON VERIFICATO!"))</f>
        <v>NON VERIFICATO</v>
      </c>
      <c r="I88" s="902"/>
      <c r="J88" s="429"/>
      <c r="K88" s="429"/>
      <c r="L88" s="429"/>
      <c r="M88" s="429"/>
      <c r="N88" s="429"/>
      <c r="O88" s="429"/>
      <c r="P88" s="429"/>
      <c r="Q88" s="429"/>
      <c r="R88" s="429"/>
      <c r="S88" s="429"/>
      <c r="T88" s="429"/>
      <c r="U88" s="429"/>
      <c r="V88" s="429"/>
      <c r="W88" s="429"/>
      <c r="X88" s="429"/>
    </row>
    <row r="89" spans="2:24" ht="21" x14ac:dyDescent="0.25">
      <c r="B89" s="429"/>
      <c r="C89" s="632" t="s">
        <v>626</v>
      </c>
      <c r="D89" s="435">
        <f>1/DATI!E285*((D39*I40*I39*'FOGLIO DEPOSITO'!C110)+((TAN(RADIANS(45+D38/2))^2)*IF((I42+DATI!E81-I41)&lt;0,0,(I42+DATI!E81-I41))*D41)*IF(I91="si",0,1))</f>
        <v>0</v>
      </c>
      <c r="E89" s="433" t="s">
        <v>12</v>
      </c>
      <c r="F89" s="429"/>
      <c r="G89" s="429"/>
      <c r="H89" s="903">
        <f>IF(D89=0,0,D89/D88)</f>
        <v>0</v>
      </c>
      <c r="I89" s="903"/>
      <c r="J89" s="429"/>
      <c r="K89" s="429"/>
      <c r="L89" s="429"/>
      <c r="M89" s="429"/>
      <c r="N89" s="429"/>
      <c r="O89" s="429"/>
      <c r="P89" s="429"/>
      <c r="Q89" s="429"/>
      <c r="R89" s="429"/>
      <c r="S89" s="429"/>
      <c r="T89" s="429"/>
      <c r="U89" s="429"/>
      <c r="V89" s="429"/>
      <c r="W89" s="429"/>
      <c r="X89" s="429"/>
    </row>
    <row r="90" spans="2:24" s="428" customFormat="1" ht="16.5" thickBot="1" x14ac:dyDescent="0.3">
      <c r="B90" s="429"/>
      <c r="C90" s="632"/>
      <c r="D90" s="435"/>
      <c r="E90" s="433"/>
      <c r="F90" s="429"/>
      <c r="G90" s="429"/>
      <c r="H90" s="638"/>
      <c r="I90" s="638"/>
      <c r="J90" s="429"/>
      <c r="K90" s="21"/>
      <c r="L90" s="429"/>
      <c r="M90" s="429"/>
      <c r="N90" s="429"/>
      <c r="O90" s="429"/>
      <c r="P90" s="429"/>
      <c r="Q90" s="429"/>
      <c r="R90" s="429"/>
      <c r="S90" s="429"/>
      <c r="T90" s="429"/>
      <c r="U90" s="429"/>
      <c r="V90" s="429"/>
      <c r="W90" s="429"/>
      <c r="X90" s="429"/>
    </row>
    <row r="91" spans="2:24" ht="16.5" thickTop="1" thickBot="1" x14ac:dyDescent="0.3">
      <c r="B91" s="429"/>
      <c r="C91" s="437" t="s">
        <v>770</v>
      </c>
      <c r="D91" s="429"/>
      <c r="E91" s="429"/>
      <c r="F91" s="429"/>
      <c r="G91" s="429"/>
      <c r="H91" s="450"/>
      <c r="I91" s="67" t="s">
        <v>158</v>
      </c>
      <c r="J91" s="429"/>
      <c r="K91" s="429"/>
      <c r="L91" s="429"/>
      <c r="M91" s="429"/>
      <c r="N91" s="429"/>
      <c r="O91" s="429"/>
      <c r="P91" s="429"/>
      <c r="Q91" s="429"/>
      <c r="R91" s="429"/>
      <c r="S91" s="429"/>
      <c r="T91" s="429"/>
      <c r="U91" s="429"/>
      <c r="V91" s="429"/>
      <c r="W91" s="429"/>
      <c r="X91" s="429"/>
    </row>
    <row r="92" spans="2:24" s="428" customFormat="1" ht="9" customHeight="1" thickTop="1" x14ac:dyDescent="0.25">
      <c r="B92" s="429"/>
      <c r="C92" s="437"/>
      <c r="D92" s="429"/>
      <c r="E92" s="429"/>
      <c r="F92" s="429"/>
      <c r="G92" s="429"/>
      <c r="H92" s="628"/>
      <c r="I92" s="20"/>
      <c r="J92" s="429"/>
      <c r="K92" s="429"/>
      <c r="L92" s="429"/>
      <c r="M92" s="429"/>
      <c r="N92" s="429"/>
      <c r="O92" s="429"/>
      <c r="P92" s="429"/>
      <c r="Q92" s="429"/>
      <c r="R92" s="429"/>
      <c r="S92" s="429"/>
      <c r="T92" s="429"/>
      <c r="U92" s="429"/>
      <c r="V92" s="429"/>
      <c r="W92" s="429"/>
      <c r="X92" s="429"/>
    </row>
    <row r="93" spans="2:24" s="428" customFormat="1" x14ac:dyDescent="0.25">
      <c r="B93" s="429"/>
      <c r="C93" s="437" t="s">
        <v>771</v>
      </c>
      <c r="D93" s="429"/>
      <c r="E93" s="429"/>
      <c r="F93" s="429"/>
      <c r="G93" s="429"/>
      <c r="H93" s="628"/>
      <c r="I93" s="732">
        <f>IF((I42+DATI!E81-I41)&lt;0,0,(I42+DATI!E81-I41))</f>
        <v>0.30000000000000004</v>
      </c>
      <c r="J93" s="429"/>
      <c r="K93" s="429"/>
      <c r="L93" s="429"/>
      <c r="M93" s="429"/>
      <c r="N93" s="429"/>
      <c r="O93" s="429"/>
      <c r="P93" s="429"/>
      <c r="Q93" s="429"/>
      <c r="R93" s="429"/>
      <c r="S93" s="429"/>
      <c r="T93" s="429"/>
      <c r="U93" s="429"/>
      <c r="V93" s="429"/>
      <c r="W93" s="429"/>
      <c r="X93" s="429"/>
    </row>
    <row r="94" spans="2:24" x14ac:dyDescent="0.25">
      <c r="B94" s="429"/>
      <c r="C94" s="429"/>
      <c r="D94" s="429"/>
      <c r="E94" s="429"/>
      <c r="F94" s="429"/>
      <c r="G94" s="429"/>
      <c r="H94" s="429"/>
      <c r="I94" s="429"/>
      <c r="J94" s="429"/>
      <c r="K94" s="429"/>
      <c r="L94" s="429"/>
      <c r="M94" s="429"/>
      <c r="N94" s="429"/>
      <c r="O94" s="429"/>
      <c r="P94" s="429"/>
      <c r="Q94" s="429"/>
      <c r="R94" s="429"/>
      <c r="S94" s="429"/>
      <c r="T94" s="429"/>
      <c r="U94" s="429"/>
      <c r="V94" s="429"/>
      <c r="W94" s="429"/>
      <c r="X94" s="429"/>
    </row>
    <row r="95" spans="2:24" ht="15.75" x14ac:dyDescent="0.25">
      <c r="B95" s="15" t="s">
        <v>766</v>
      </c>
      <c r="C95" s="429"/>
      <c r="D95" s="429"/>
      <c r="E95" s="429"/>
      <c r="F95" s="429"/>
      <c r="G95" s="429"/>
      <c r="H95" s="429"/>
      <c r="I95" s="429"/>
      <c r="J95" s="429"/>
      <c r="K95" s="429"/>
      <c r="L95" s="429"/>
      <c r="M95" s="429"/>
      <c r="N95" s="429"/>
      <c r="O95" s="429"/>
      <c r="P95" s="429"/>
      <c r="Q95" s="429"/>
      <c r="R95" s="429"/>
      <c r="S95" s="429"/>
      <c r="T95" s="429"/>
      <c r="U95" s="429"/>
      <c r="V95" s="429"/>
      <c r="W95" s="429"/>
      <c r="X95" s="429"/>
    </row>
    <row r="96" spans="2:24" ht="15.75" x14ac:dyDescent="0.25">
      <c r="B96" s="429"/>
      <c r="C96" s="35" t="s">
        <v>655</v>
      </c>
      <c r="D96" s="429"/>
      <c r="E96" s="429"/>
      <c r="F96" s="429"/>
      <c r="G96" s="429"/>
      <c r="H96" s="429"/>
      <c r="I96" s="429"/>
      <c r="J96" s="429"/>
      <c r="K96" s="429"/>
      <c r="L96" s="429"/>
      <c r="M96" s="429"/>
      <c r="N96" s="429"/>
      <c r="O96" s="429"/>
      <c r="P96" s="429"/>
      <c r="Q96" s="429"/>
      <c r="R96" s="429"/>
      <c r="S96" s="429"/>
      <c r="T96" s="429"/>
      <c r="U96" s="429"/>
      <c r="V96" s="429"/>
      <c r="W96" s="429"/>
      <c r="X96" s="429"/>
    </row>
    <row r="97" spans="2:24" ht="15.75" x14ac:dyDescent="0.25">
      <c r="B97" s="429"/>
      <c r="C97" s="35" t="s">
        <v>656</v>
      </c>
      <c r="D97" s="429"/>
      <c r="E97" s="429"/>
      <c r="F97" s="429"/>
      <c r="G97" s="429"/>
      <c r="H97" s="429"/>
      <c r="I97" s="429"/>
      <c r="J97" s="429"/>
      <c r="K97" s="429"/>
      <c r="L97" s="429"/>
      <c r="M97" s="429"/>
      <c r="N97" s="429"/>
      <c r="O97" s="429"/>
      <c r="P97" s="429"/>
      <c r="Q97" s="429"/>
      <c r="R97" s="429"/>
      <c r="S97" s="429"/>
      <c r="T97" s="429"/>
      <c r="U97" s="429"/>
      <c r="V97" s="429"/>
      <c r="W97" s="429"/>
      <c r="X97" s="429"/>
    </row>
    <row r="98" spans="2:24" x14ac:dyDescent="0.25">
      <c r="B98" s="429"/>
      <c r="C98" s="429"/>
      <c r="D98" s="429"/>
      <c r="E98" s="429"/>
      <c r="F98" s="429"/>
      <c r="G98" s="429"/>
      <c r="H98" s="429"/>
      <c r="I98" s="429"/>
      <c r="J98" s="429"/>
      <c r="K98" s="429"/>
      <c r="L98" s="429"/>
      <c r="M98" s="429"/>
      <c r="N98" s="429"/>
      <c r="O98" s="429"/>
      <c r="P98" s="429"/>
      <c r="Q98" s="429"/>
      <c r="R98" s="429"/>
      <c r="S98" s="429"/>
      <c r="T98" s="429"/>
      <c r="U98" s="429"/>
      <c r="V98" s="429"/>
      <c r="W98" s="429"/>
      <c r="X98" s="429"/>
    </row>
    <row r="99" spans="2:24" ht="15.75" x14ac:dyDescent="0.25">
      <c r="B99" s="15" t="s">
        <v>767</v>
      </c>
      <c r="C99" s="429"/>
      <c r="D99" s="429"/>
      <c r="E99" s="429"/>
      <c r="F99" s="429"/>
      <c r="G99" s="429"/>
      <c r="H99" s="429"/>
      <c r="I99" s="429"/>
      <c r="J99" s="429"/>
      <c r="K99" s="429"/>
      <c r="L99" s="429"/>
      <c r="M99" s="429"/>
      <c r="N99" s="429"/>
      <c r="O99" s="429"/>
      <c r="P99" s="429"/>
      <c r="Q99" s="429"/>
      <c r="R99" s="429"/>
      <c r="S99" s="429"/>
      <c r="T99" s="429"/>
      <c r="U99" s="429"/>
      <c r="V99" s="429"/>
      <c r="W99" s="429"/>
      <c r="X99" s="429"/>
    </row>
    <row r="100" spans="2:24" ht="15.75" x14ac:dyDescent="0.25">
      <c r="B100" s="429"/>
      <c r="C100" s="35" t="s">
        <v>657</v>
      </c>
      <c r="D100" s="429"/>
      <c r="E100" s="429"/>
      <c r="F100" s="429"/>
      <c r="G100" s="429"/>
      <c r="H100" s="429"/>
      <c r="I100" s="429"/>
      <c r="J100" s="429"/>
      <c r="K100" s="429"/>
      <c r="L100" s="429"/>
      <c r="M100" s="429"/>
      <c r="N100" s="429"/>
      <c r="O100" s="429"/>
      <c r="P100" s="429"/>
      <c r="Q100" s="429"/>
      <c r="R100" s="429"/>
      <c r="S100" s="429"/>
      <c r="T100" s="429"/>
      <c r="U100" s="429"/>
      <c r="V100" s="429"/>
      <c r="W100" s="429"/>
      <c r="X100" s="429"/>
    </row>
    <row r="101" spans="2:24" ht="15.75" x14ac:dyDescent="0.25">
      <c r="B101" s="429"/>
      <c r="C101" s="35" t="s">
        <v>658</v>
      </c>
      <c r="D101" s="429"/>
      <c r="E101" s="429"/>
      <c r="F101" s="429"/>
      <c r="G101" s="429"/>
      <c r="H101" s="429"/>
      <c r="I101" s="429"/>
      <c r="J101" s="429"/>
      <c r="K101" s="429"/>
      <c r="L101" s="429"/>
      <c r="M101" s="429"/>
      <c r="N101" s="429"/>
      <c r="O101" s="429"/>
      <c r="P101" s="429"/>
      <c r="Q101" s="429"/>
      <c r="R101" s="429"/>
      <c r="S101" s="429"/>
      <c r="T101" s="429"/>
      <c r="U101" s="429"/>
      <c r="V101" s="429"/>
      <c r="W101" s="429"/>
      <c r="X101" s="429"/>
    </row>
    <row r="102" spans="2:24" x14ac:dyDescent="0.25">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row>
    <row r="103" spans="2:24" x14ac:dyDescent="0.25">
      <c r="B103" s="429"/>
      <c r="C103" s="429"/>
      <c r="D103" s="429"/>
      <c r="E103" s="429"/>
      <c r="F103" s="429"/>
      <c r="G103" s="429"/>
      <c r="H103" s="429"/>
      <c r="I103" s="429"/>
      <c r="J103" s="429"/>
      <c r="K103" s="429"/>
      <c r="L103" s="429"/>
      <c r="M103" s="429"/>
      <c r="N103" s="429"/>
      <c r="O103" s="429"/>
      <c r="P103" s="429"/>
      <c r="Q103" s="429"/>
      <c r="R103" s="429"/>
      <c r="S103" s="429"/>
      <c r="T103" s="429"/>
      <c r="U103" s="429"/>
      <c r="V103" s="429"/>
      <c r="W103" s="429"/>
      <c r="X103" s="429"/>
    </row>
    <row r="104" spans="2:24" x14ac:dyDescent="0.25">
      <c r="B104" s="429"/>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row>
    <row r="105" spans="2:24" x14ac:dyDescent="0.25">
      <c r="B105" s="429"/>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row>
    <row r="106" spans="2:24" x14ac:dyDescent="0.25">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429"/>
    </row>
    <row r="107" spans="2:24" x14ac:dyDescent="0.25">
      <c r="B107" s="429"/>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row>
    <row r="108" spans="2:24" x14ac:dyDescent="0.25">
      <c r="B108" s="429"/>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row>
    <row r="109" spans="2:24" x14ac:dyDescent="0.25">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row>
    <row r="110" spans="2:24" x14ac:dyDescent="0.25">
      <c r="B110" s="429"/>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row>
    <row r="111" spans="2:24" x14ac:dyDescent="0.25">
      <c r="B111" s="429"/>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row>
    <row r="112" spans="2:24" x14ac:dyDescent="0.25">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row>
    <row r="113" spans="2:24" x14ac:dyDescent="0.25">
      <c r="B113" s="429"/>
      <c r="C113" s="429"/>
      <c r="D113" s="429"/>
      <c r="E113" s="429"/>
      <c r="F113" s="429"/>
      <c r="G113" s="429"/>
      <c r="H113" s="429"/>
      <c r="I113" s="429"/>
      <c r="J113" s="429"/>
      <c r="K113" s="429"/>
      <c r="L113" s="429"/>
      <c r="M113" s="429"/>
      <c r="N113" s="429"/>
      <c r="O113" s="429"/>
      <c r="P113" s="429"/>
      <c r="Q113" s="429"/>
      <c r="R113" s="429"/>
      <c r="S113" s="429"/>
      <c r="T113" s="429"/>
      <c r="U113" s="429"/>
      <c r="V113" s="429"/>
      <c r="W113" s="429"/>
      <c r="X113" s="429"/>
    </row>
    <row r="114" spans="2:24" x14ac:dyDescent="0.25">
      <c r="B114" s="429"/>
      <c r="C114" s="429"/>
      <c r="D114" s="429"/>
      <c r="E114" s="429"/>
      <c r="F114" s="429"/>
      <c r="G114" s="429"/>
      <c r="H114" s="429"/>
      <c r="I114" s="429"/>
      <c r="J114" s="429"/>
      <c r="K114" s="429"/>
      <c r="L114" s="429"/>
      <c r="M114" s="429"/>
      <c r="N114" s="429"/>
      <c r="O114" s="429"/>
      <c r="P114" s="429"/>
      <c r="Q114" s="429"/>
      <c r="R114" s="429"/>
      <c r="S114" s="429"/>
      <c r="T114" s="429"/>
      <c r="U114" s="429"/>
      <c r="V114" s="429"/>
      <c r="W114" s="429"/>
      <c r="X114" s="429"/>
    </row>
    <row r="115" spans="2:24" x14ac:dyDescent="0.25">
      <c r="B115" s="429"/>
      <c r="C115" s="429"/>
      <c r="D115" s="429"/>
      <c r="E115" s="429"/>
      <c r="F115" s="429"/>
      <c r="G115" s="429"/>
      <c r="H115" s="429"/>
      <c r="I115" s="429"/>
      <c r="J115" s="429"/>
      <c r="K115" s="429"/>
      <c r="L115" s="429"/>
      <c r="M115" s="429"/>
      <c r="N115" s="429"/>
      <c r="O115" s="429"/>
      <c r="P115" s="429"/>
      <c r="Q115" s="429"/>
      <c r="R115" s="429"/>
      <c r="S115" s="429"/>
      <c r="T115" s="429"/>
      <c r="U115" s="429"/>
      <c r="V115" s="429"/>
      <c r="W115" s="429"/>
      <c r="X115" s="429"/>
    </row>
    <row r="116" spans="2:24" x14ac:dyDescent="0.25">
      <c r="B116" s="429"/>
      <c r="C116" s="429"/>
      <c r="D116" s="429"/>
      <c r="E116" s="429"/>
      <c r="F116" s="429"/>
      <c r="G116" s="429"/>
      <c r="H116" s="429"/>
      <c r="I116" s="429"/>
      <c r="J116" s="429"/>
      <c r="K116" s="429"/>
      <c r="L116" s="429"/>
      <c r="M116" s="429"/>
      <c r="N116" s="429"/>
      <c r="O116" s="429"/>
      <c r="P116" s="429"/>
      <c r="Q116" s="429"/>
      <c r="R116" s="429"/>
      <c r="S116" s="429"/>
      <c r="T116" s="429"/>
      <c r="U116" s="429"/>
      <c r="V116" s="429"/>
      <c r="W116" s="429"/>
      <c r="X116" s="429"/>
    </row>
    <row r="117" spans="2:24" x14ac:dyDescent="0.25">
      <c r="B117" s="429"/>
      <c r="C117" s="429"/>
      <c r="D117" s="429"/>
      <c r="E117" s="429"/>
      <c r="F117" s="429"/>
      <c r="G117" s="429"/>
      <c r="H117" s="429"/>
      <c r="I117" s="429"/>
      <c r="J117" s="429"/>
      <c r="K117" s="429"/>
      <c r="L117" s="429"/>
      <c r="M117" s="429"/>
      <c r="N117" s="429"/>
      <c r="O117" s="429"/>
      <c r="P117" s="429"/>
      <c r="Q117" s="429"/>
      <c r="R117" s="429"/>
      <c r="S117" s="429"/>
      <c r="T117" s="429"/>
      <c r="U117" s="429"/>
      <c r="V117" s="429"/>
      <c r="W117" s="429"/>
      <c r="X117" s="429"/>
    </row>
    <row r="118" spans="2:24" x14ac:dyDescent="0.25">
      <c r="B118" s="429"/>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row>
    <row r="119" spans="2:24" x14ac:dyDescent="0.25">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row>
    <row r="120" spans="2:24" x14ac:dyDescent="0.25">
      <c r="B120" s="429"/>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row>
    <row r="121" spans="2:24" x14ac:dyDescent="0.25">
      <c r="B121" s="429"/>
      <c r="C121" s="429"/>
      <c r="D121" s="429"/>
      <c r="E121" s="429"/>
      <c r="F121" s="429"/>
      <c r="G121" s="429"/>
      <c r="H121" s="429"/>
      <c r="I121" s="429"/>
      <c r="J121" s="429"/>
      <c r="K121" s="429" t="s">
        <v>645</v>
      </c>
      <c r="L121" s="429"/>
      <c r="M121" s="429"/>
      <c r="N121" s="429"/>
      <c r="O121" s="429"/>
      <c r="P121" s="429"/>
      <c r="Q121" s="429"/>
      <c r="R121" s="429"/>
      <c r="S121" s="429"/>
      <c r="T121" s="429"/>
      <c r="U121" s="429"/>
      <c r="V121" s="429"/>
      <c r="W121" s="429"/>
      <c r="X121" s="429"/>
    </row>
    <row r="122" spans="2:24" x14ac:dyDescent="0.25">
      <c r="B122" s="429"/>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row>
    <row r="123" spans="2:24" x14ac:dyDescent="0.25">
      <c r="B123" s="429"/>
      <c r="C123" s="429"/>
      <c r="D123" s="429"/>
      <c r="E123" s="429"/>
      <c r="F123" s="429"/>
      <c r="G123" s="429"/>
      <c r="H123" s="429"/>
      <c r="I123" s="429"/>
      <c r="J123" s="429"/>
      <c r="K123" s="429"/>
      <c r="L123" s="429"/>
      <c r="M123" s="429"/>
      <c r="N123" s="429"/>
      <c r="O123" s="429"/>
      <c r="P123" s="429"/>
      <c r="Q123" s="429"/>
      <c r="R123" s="429"/>
      <c r="S123" s="429"/>
      <c r="T123" s="429"/>
      <c r="U123" s="429"/>
      <c r="V123" s="429"/>
      <c r="W123" s="429"/>
      <c r="X123" s="429"/>
    </row>
    <row r="124" spans="2:24" x14ac:dyDescent="0.25">
      <c r="B124" s="429"/>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row>
    <row r="125" spans="2:24" x14ac:dyDescent="0.25">
      <c r="B125" s="429"/>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row>
    <row r="126" spans="2:24" x14ac:dyDescent="0.25">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429"/>
    </row>
    <row r="127" spans="2:24" x14ac:dyDescent="0.25">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row>
    <row r="128" spans="2:24" x14ac:dyDescent="0.25">
      <c r="B128" s="429"/>
      <c r="C128" s="429"/>
      <c r="D128" s="429"/>
      <c r="E128" s="429"/>
      <c r="F128" s="429"/>
      <c r="G128" s="429"/>
      <c r="H128" s="429"/>
      <c r="I128" s="429"/>
      <c r="J128" s="429"/>
      <c r="K128" s="429"/>
      <c r="L128" s="429"/>
      <c r="M128" s="429"/>
      <c r="N128" s="429"/>
      <c r="O128" s="429"/>
      <c r="P128" s="429"/>
      <c r="Q128" s="429"/>
      <c r="R128" s="429"/>
      <c r="S128" s="429"/>
      <c r="T128" s="429"/>
      <c r="U128" s="429"/>
      <c r="V128" s="429"/>
      <c r="W128" s="429"/>
      <c r="X128" s="429"/>
    </row>
  </sheetData>
  <sheetProtection algorithmName="SHA-512" hashValue="nV/JRHktbBP40n41qRfvsSfwAqW2PsjMAA9yT+SLh9g8qVEJuCzGhoMi1peCV5cOmE0w/qvr2mlxzQxaOMoFrw==" saltValue="tvB2C/RZa6mstIURy73J6g==" spinCount="100000" sheet="1" selectLockedCells="1"/>
  <protectedRanges>
    <protectedRange sqref="I91:I92" name="Intervallo1_5_3"/>
  </protectedRanges>
  <customSheetViews>
    <customSheetView guid="{5E8F20A8-8220-4169-B947-2AB764A2AA7B}" scale="90" showGridLines="0" showRowCol="0">
      <selection activeCell="I91" sqref="I91"/>
      <pageMargins left="0.7" right="0.7" top="0.75" bottom="0.75" header="0.3" footer="0.3"/>
      <pageSetup paperSize="9" orientation="portrait" horizontalDpi="4294967293" verticalDpi="0" r:id="rId1"/>
    </customSheetView>
    <customSheetView guid="{9F540994-A66B-4083-BD64-035E71878618}" scale="90" showGridLines="0" showRowCol="0" topLeftCell="A7">
      <selection activeCell="I91" sqref="I91"/>
      <pageMargins left="0.7" right="0.7" top="0.75" bottom="0.75" header="0.3" footer="0.3"/>
      <pageSetup paperSize="9" orientation="portrait" horizontalDpi="4294967293" verticalDpi="0" r:id="rId2"/>
    </customSheetView>
  </customSheetViews>
  <mergeCells count="18">
    <mergeCell ref="K82:O87"/>
    <mergeCell ref="C8:D8"/>
    <mergeCell ref="C56:D57"/>
    <mergeCell ref="F56:G57"/>
    <mergeCell ref="I56:J57"/>
    <mergeCell ref="O56:P57"/>
    <mergeCell ref="L56:M57"/>
    <mergeCell ref="H80:I80"/>
    <mergeCell ref="H81:I81"/>
    <mergeCell ref="G20:G21"/>
    <mergeCell ref="G22:G23"/>
    <mergeCell ref="H20:H21"/>
    <mergeCell ref="H22:H23"/>
    <mergeCell ref="H88:I88"/>
    <mergeCell ref="H89:I89"/>
    <mergeCell ref="E49:G49"/>
    <mergeCell ref="E50:G50"/>
    <mergeCell ref="E51:G51"/>
  </mergeCells>
  <conditionalFormatting sqref="H80:I80">
    <cfRule type="cellIs" dxfId="23" priority="4" operator="equal">
      <formula>"VERIFICATO"</formula>
    </cfRule>
    <cfRule type="cellIs" dxfId="22" priority="5" operator="equal">
      <formula>"VERIFICATO"</formula>
    </cfRule>
  </conditionalFormatting>
  <conditionalFormatting sqref="H88:I88">
    <cfRule type="cellIs" dxfId="21" priority="3" operator="equal">
      <formula>"VERIFICATO"</formula>
    </cfRule>
  </conditionalFormatting>
  <conditionalFormatting sqref="K82:O87">
    <cfRule type="cellIs" dxfId="20" priority="1" operator="equal">
      <formula>"QUESTA VERIFICA PUO' ESSERE OMESSA IN QUANTO LA RESISTENZA A TAGLIO NON DRENATA PER IL TERRENO AL DI SOTTO DEL PIANO DI POSA DELLA ZATTERA NON E' STATA DEFINITA"</formula>
    </cfRule>
    <cfRule type="cellIs" dxfId="19" priority="2" operator="equal">
      <formula>"QUESTA VERIFICA PUO' ESSERE OMESSA IN QUANTO LA RESISTENZA A TAGLIO NON DRENATA PER IL TERRENO AL DI SOTTO DEL PIANO DI POSA DELLA ZATTERA E' NULLA"</formula>
    </cfRule>
  </conditionalFormatting>
  <dataValidations count="1">
    <dataValidation type="list" allowBlank="1" showInputMessage="1" showErrorMessage="1" sqref="I91:I92">
      <formula1>sn</formula1>
    </dataValidation>
  </dataValidations>
  <pageMargins left="0.7" right="0.7" top="0.75" bottom="0.75" header="0.3" footer="0.3"/>
  <pageSetup paperSize="9" orientation="portrait" horizontalDpi="4294967293" verticalDpi="0"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B1:AB241"/>
  <sheetViews>
    <sheetView showGridLines="0" showRowColHeaders="0" zoomScale="85" zoomScaleNormal="85" workbookViewId="0">
      <selection activeCell="E49" sqref="E49:G49"/>
    </sheetView>
  </sheetViews>
  <sheetFormatPr defaultRowHeight="15" x14ac:dyDescent="0.25"/>
  <cols>
    <col min="1" max="1" width="2.5703125" customWidth="1"/>
    <col min="2" max="2" width="35.28515625" customWidth="1"/>
    <col min="3" max="3" width="9.85546875" customWidth="1"/>
    <col min="4" max="4" width="10.85546875" customWidth="1"/>
    <col min="5" max="5" width="9.85546875" customWidth="1"/>
    <col min="6" max="6" width="10.28515625" customWidth="1"/>
    <col min="7" max="7" width="9.7109375" customWidth="1"/>
    <col min="8" max="8" width="10.85546875" customWidth="1"/>
    <col min="11" max="11" width="9.140625" customWidth="1"/>
    <col min="12" max="12" width="9.28515625" customWidth="1"/>
    <col min="13" max="13" width="8.28515625" customWidth="1"/>
    <col min="14" max="14" width="13.7109375" customWidth="1"/>
    <col min="15" max="15" width="8" customWidth="1"/>
    <col min="17" max="17" width="7.5703125" customWidth="1"/>
  </cols>
  <sheetData>
    <row r="1" spans="2:28" ht="9" customHeight="1" x14ac:dyDescent="0.25">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row>
    <row r="2" spans="2:28" ht="23.25" x14ac:dyDescent="0.35">
      <c r="B2" s="421" t="s">
        <v>742</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row>
    <row r="3" spans="2:28" ht="7.5" customHeight="1" x14ac:dyDescent="0.25">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row>
    <row r="4" spans="2:28" ht="21" x14ac:dyDescent="0.35">
      <c r="B4" s="423" t="s">
        <v>50</v>
      </c>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row>
    <row r="5" spans="2:28" s="428" customFormat="1" ht="15.75" customHeight="1" x14ac:dyDescent="0.35">
      <c r="B5" s="423"/>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row>
    <row r="6" spans="2:28" s="428" customFormat="1" ht="18.75" x14ac:dyDescent="0.3">
      <c r="B6" s="431" t="s">
        <v>781</v>
      </c>
      <c r="C6" s="439"/>
      <c r="D6" s="677"/>
      <c r="E6" s="678"/>
      <c r="F6" s="429"/>
      <c r="G6" s="429"/>
      <c r="H6" s="429"/>
      <c r="I6" s="429"/>
      <c r="J6" s="429"/>
      <c r="K6" s="429"/>
      <c r="L6" s="429"/>
      <c r="M6" s="429"/>
      <c r="N6" s="429"/>
      <c r="O6" s="429"/>
      <c r="P6" s="429"/>
      <c r="Q6" s="429"/>
      <c r="R6" s="429"/>
      <c r="S6" s="429"/>
      <c r="T6" s="429"/>
      <c r="U6" s="429"/>
      <c r="V6" s="429"/>
      <c r="W6" s="429"/>
      <c r="X6" s="429"/>
      <c r="Y6" s="429"/>
      <c r="Z6" s="429"/>
      <c r="AA6" s="429"/>
      <c r="AB6" s="429"/>
    </row>
    <row r="7" spans="2:28" s="428" customFormat="1" ht="18.75" x14ac:dyDescent="0.3">
      <c r="B7" s="440"/>
      <c r="C7" s="439"/>
      <c r="D7" s="677"/>
      <c r="E7" s="678"/>
      <c r="F7" s="429"/>
      <c r="G7" s="429"/>
      <c r="H7" s="429"/>
      <c r="I7" s="429"/>
      <c r="J7" s="429"/>
      <c r="K7" s="429"/>
      <c r="L7" s="429"/>
      <c r="M7" s="429"/>
      <c r="N7" s="429"/>
      <c r="O7" s="429"/>
      <c r="P7" s="429"/>
      <c r="Q7" s="429"/>
      <c r="R7" s="429"/>
      <c r="S7" s="429"/>
      <c r="T7" s="429"/>
      <c r="U7" s="429"/>
      <c r="V7" s="429"/>
      <c r="W7" s="429"/>
      <c r="X7" s="429"/>
      <c r="Y7" s="429"/>
      <c r="Z7" s="429"/>
      <c r="AA7" s="429"/>
      <c r="AB7" s="429"/>
    </row>
    <row r="8" spans="2:28" s="428" customFormat="1" x14ac:dyDescent="0.25">
      <c r="B8" s="636" t="s">
        <v>326</v>
      </c>
      <c r="C8" s="899" t="str">
        <f>'ANALISI DELLE SPINTE'!C6</f>
        <v>SISMICA</v>
      </c>
      <c r="D8" s="907"/>
      <c r="E8" s="24"/>
      <c r="F8" s="429"/>
      <c r="G8" s="445" t="s">
        <v>463</v>
      </c>
      <c r="H8" s="631" t="s">
        <v>25</v>
      </c>
      <c r="I8" s="429"/>
      <c r="J8" s="429"/>
      <c r="K8" s="429"/>
      <c r="L8" s="429"/>
      <c r="M8" s="429"/>
      <c r="N8" s="429"/>
      <c r="O8" s="429"/>
      <c r="P8" s="429"/>
      <c r="Q8" s="429"/>
      <c r="R8" s="429"/>
      <c r="S8" s="429"/>
      <c r="T8" s="429"/>
      <c r="U8" s="429"/>
      <c r="V8" s="429"/>
      <c r="W8" s="429"/>
      <c r="X8" s="429"/>
      <c r="Y8" s="429"/>
      <c r="Z8" s="429"/>
      <c r="AA8" s="429"/>
      <c r="AB8" s="429"/>
    </row>
    <row r="9" spans="2:28" s="428" customFormat="1" x14ac:dyDescent="0.25">
      <c r="B9" s="458"/>
      <c r="C9" s="459"/>
      <c r="D9" s="459"/>
      <c r="E9" s="429"/>
      <c r="F9" s="429"/>
      <c r="G9" s="766" t="s">
        <v>785</v>
      </c>
      <c r="H9" s="633">
        <f>'ANALISI DELLE SPINTE'!D11</f>
        <v>1</v>
      </c>
      <c r="I9" s="429"/>
      <c r="J9" s="429"/>
      <c r="K9" s="429"/>
      <c r="L9" s="429"/>
      <c r="M9" s="429"/>
      <c r="N9" s="429"/>
      <c r="O9" s="429"/>
      <c r="P9" s="429"/>
      <c r="Q9" s="429"/>
      <c r="R9" s="429"/>
      <c r="S9" s="429"/>
      <c r="T9" s="429"/>
      <c r="U9" s="429"/>
      <c r="V9" s="429"/>
      <c r="W9" s="429"/>
      <c r="X9" s="429"/>
      <c r="Y9" s="429"/>
      <c r="Z9" s="429"/>
      <c r="AA9" s="429"/>
      <c r="AB9" s="429"/>
    </row>
    <row r="10" spans="2:28" s="428" customFormat="1" x14ac:dyDescent="0.25">
      <c r="B10" s="636" t="s">
        <v>469</v>
      </c>
      <c r="C10" s="432" t="str">
        <f>'ANALISI DELLE SPINTE'!C8</f>
        <v xml:space="preserve"> APPROCCIO 2 --- Combinazione (A1+M1+R3)</v>
      </c>
      <c r="D10" s="322"/>
      <c r="E10" s="24"/>
      <c r="F10" s="429"/>
      <c r="G10" s="766" t="s">
        <v>786</v>
      </c>
      <c r="H10" s="633">
        <f>'ANALISI DELLE SPINTE'!D12</f>
        <v>1</v>
      </c>
      <c r="I10" s="429"/>
      <c r="J10" s="429"/>
      <c r="K10" s="429"/>
      <c r="L10" s="429"/>
      <c r="M10" s="429"/>
      <c r="N10" s="429"/>
      <c r="O10" s="429"/>
      <c r="P10" s="429"/>
      <c r="Q10" s="429"/>
      <c r="R10" s="429"/>
      <c r="S10" s="429"/>
      <c r="T10" s="429"/>
      <c r="U10" s="429"/>
      <c r="V10" s="429"/>
      <c r="W10" s="429"/>
      <c r="X10" s="429"/>
      <c r="Y10" s="429"/>
      <c r="Z10" s="429"/>
      <c r="AA10" s="429"/>
      <c r="AB10" s="429"/>
    </row>
    <row r="11" spans="2:28" s="428" customFormat="1" x14ac:dyDescent="0.25">
      <c r="B11" s="636"/>
      <c r="C11" s="636"/>
      <c r="D11" s="637"/>
      <c r="E11" s="429"/>
      <c r="F11" s="429"/>
      <c r="G11" s="766" t="s">
        <v>787</v>
      </c>
      <c r="H11" s="633">
        <f>'ANALISI DELLE SPINTE'!D13</f>
        <v>1</v>
      </c>
      <c r="I11" s="429"/>
      <c r="J11" s="429"/>
      <c r="K11" s="429"/>
      <c r="L11" s="429"/>
      <c r="M11" s="429"/>
      <c r="N11" s="429"/>
      <c r="O11" s="429"/>
      <c r="P11" s="429"/>
      <c r="Q11" s="429"/>
      <c r="R11" s="429"/>
      <c r="S11" s="429"/>
      <c r="T11" s="429"/>
      <c r="U11" s="429"/>
      <c r="V11" s="429"/>
      <c r="W11" s="429"/>
      <c r="X11" s="429"/>
      <c r="Y11" s="429"/>
      <c r="Z11" s="429"/>
      <c r="AA11" s="429"/>
      <c r="AB11" s="429"/>
    </row>
    <row r="12" spans="2:28" s="428" customFormat="1" x14ac:dyDescent="0.25">
      <c r="B12" s="636"/>
      <c r="C12" s="429"/>
      <c r="D12" s="429"/>
      <c r="E12" s="429"/>
      <c r="F12" s="429"/>
      <c r="G12" s="636"/>
      <c r="H12" s="447"/>
      <c r="I12" s="429"/>
      <c r="J12" s="429"/>
      <c r="K12" s="429"/>
      <c r="L12" s="429"/>
      <c r="M12" s="429"/>
      <c r="N12" s="429"/>
      <c r="O12" s="429"/>
      <c r="P12" s="429"/>
      <c r="Q12" s="429"/>
      <c r="R12" s="429"/>
      <c r="S12" s="429"/>
      <c r="T12" s="429"/>
      <c r="U12" s="429"/>
      <c r="V12" s="429"/>
      <c r="W12" s="429"/>
      <c r="X12" s="429"/>
      <c r="Y12" s="429"/>
      <c r="Z12" s="429"/>
      <c r="AA12" s="429"/>
      <c r="AB12" s="429"/>
    </row>
    <row r="13" spans="2:28" s="428" customFormat="1" x14ac:dyDescent="0.25">
      <c r="B13" s="636"/>
      <c r="C13" s="429"/>
      <c r="D13" s="429"/>
      <c r="E13" s="429"/>
      <c r="F13" s="429"/>
      <c r="G13" s="445" t="s">
        <v>464</v>
      </c>
      <c r="H13" s="446">
        <f>'Progetto della zattera slu'!F18</f>
        <v>1</v>
      </c>
      <c r="I13" s="429"/>
      <c r="J13" s="429"/>
      <c r="K13" s="429"/>
      <c r="L13" s="429"/>
      <c r="M13" s="429"/>
      <c r="N13" s="429"/>
      <c r="O13" s="429"/>
      <c r="P13" s="429"/>
      <c r="Q13" s="429"/>
      <c r="R13" s="429"/>
      <c r="S13" s="429"/>
      <c r="T13" s="429"/>
      <c r="U13" s="429"/>
      <c r="V13" s="429"/>
      <c r="W13" s="429"/>
      <c r="X13" s="429"/>
      <c r="Y13" s="429"/>
      <c r="Z13" s="429"/>
      <c r="AA13" s="429"/>
      <c r="AB13" s="429"/>
    </row>
    <row r="14" spans="2:28" s="428" customFormat="1" x14ac:dyDescent="0.25">
      <c r="B14" s="636"/>
      <c r="C14" s="429"/>
      <c r="D14" s="429"/>
      <c r="E14" s="429"/>
      <c r="F14" s="429"/>
      <c r="G14" s="631" t="s">
        <v>198</v>
      </c>
      <c r="H14" s="633">
        <f>'ANALISI DELLE SPINTE'!D16</f>
        <v>1</v>
      </c>
      <c r="I14" s="429"/>
      <c r="J14" s="429"/>
      <c r="K14" s="429"/>
      <c r="L14" s="429"/>
      <c r="M14" s="429"/>
      <c r="N14" s="429"/>
      <c r="O14" s="429"/>
      <c r="P14" s="429"/>
      <c r="Q14" s="429"/>
      <c r="R14" s="429"/>
      <c r="S14" s="429"/>
      <c r="T14" s="429"/>
      <c r="U14" s="429"/>
      <c r="V14" s="429"/>
      <c r="W14" s="429"/>
      <c r="X14" s="429"/>
      <c r="Y14" s="429"/>
      <c r="Z14" s="429"/>
      <c r="AA14" s="429"/>
      <c r="AB14" s="429"/>
    </row>
    <row r="15" spans="2:28" s="428" customFormat="1" x14ac:dyDescent="0.25">
      <c r="B15" s="636"/>
      <c r="C15" s="429"/>
      <c r="D15" s="429"/>
      <c r="E15" s="429"/>
      <c r="F15" s="429"/>
      <c r="G15" s="631" t="s">
        <v>199</v>
      </c>
      <c r="H15" s="633">
        <f>'ANALISI DELLE SPINTE'!D17</f>
        <v>1</v>
      </c>
      <c r="I15" s="429"/>
      <c r="J15" s="429"/>
      <c r="K15" s="429"/>
      <c r="L15" s="429"/>
      <c r="M15" s="429"/>
      <c r="N15" s="429"/>
      <c r="O15" s="429"/>
      <c r="P15" s="429"/>
      <c r="Q15" s="429"/>
      <c r="R15" s="429"/>
      <c r="S15" s="429"/>
      <c r="T15" s="429"/>
      <c r="U15" s="429"/>
      <c r="V15" s="429"/>
      <c r="W15" s="429"/>
      <c r="X15" s="429"/>
      <c r="Y15" s="429"/>
      <c r="Z15" s="429"/>
      <c r="AA15" s="429"/>
      <c r="AB15" s="429"/>
    </row>
    <row r="16" spans="2:28" s="428" customFormat="1" x14ac:dyDescent="0.25">
      <c r="B16" s="636"/>
      <c r="C16" s="429"/>
      <c r="D16" s="429"/>
      <c r="E16" s="429"/>
      <c r="F16" s="429"/>
      <c r="G16" s="631" t="s">
        <v>201</v>
      </c>
      <c r="H16" s="633">
        <f>'ANALISI DELLE SPINTE'!D18</f>
        <v>1</v>
      </c>
      <c r="I16" s="429"/>
      <c r="J16" s="429"/>
      <c r="K16" s="429"/>
      <c r="L16" s="429"/>
      <c r="M16" s="429"/>
      <c r="N16" s="429"/>
      <c r="O16" s="429"/>
      <c r="P16" s="429"/>
      <c r="Q16" s="429"/>
      <c r="R16" s="429"/>
      <c r="S16" s="429"/>
      <c r="T16" s="429"/>
      <c r="U16" s="429"/>
      <c r="V16" s="429"/>
      <c r="W16" s="429"/>
      <c r="X16" s="429"/>
      <c r="Y16" s="429"/>
      <c r="Z16" s="429"/>
      <c r="AA16" s="429"/>
      <c r="AB16" s="429"/>
    </row>
    <row r="17" spans="2:28" s="428" customFormat="1" x14ac:dyDescent="0.25">
      <c r="B17" s="636"/>
      <c r="C17" s="429"/>
      <c r="D17" s="429"/>
      <c r="E17" s="429"/>
      <c r="F17" s="429"/>
      <c r="G17" s="644" t="s">
        <v>202</v>
      </c>
      <c r="H17" s="633">
        <f>'ANALISI DELLE SPINTE'!D19</f>
        <v>1</v>
      </c>
      <c r="I17" s="429"/>
      <c r="J17" s="429"/>
      <c r="K17" s="429"/>
      <c r="L17" s="429"/>
      <c r="M17" s="429"/>
      <c r="N17" s="429"/>
      <c r="O17" s="429"/>
      <c r="P17" s="429"/>
      <c r="Q17" s="429"/>
      <c r="R17" s="429"/>
      <c r="S17" s="429"/>
      <c r="T17" s="429"/>
      <c r="U17" s="429"/>
      <c r="V17" s="429"/>
      <c r="W17" s="429"/>
      <c r="X17" s="429"/>
      <c r="Y17" s="429"/>
      <c r="Z17" s="429"/>
      <c r="AA17" s="429"/>
      <c r="AB17" s="429"/>
    </row>
    <row r="18" spans="2:28" s="428" customFormat="1" x14ac:dyDescent="0.25">
      <c r="B18" s="636"/>
      <c r="C18" s="429"/>
      <c r="D18" s="429"/>
      <c r="E18" s="429"/>
      <c r="F18" s="429"/>
      <c r="G18" s="58"/>
      <c r="H18" s="648"/>
      <c r="I18" s="429"/>
      <c r="J18" s="429"/>
      <c r="K18" s="429"/>
      <c r="L18" s="429"/>
      <c r="M18" s="429"/>
      <c r="N18" s="429"/>
      <c r="O18" s="429"/>
      <c r="P18" s="429"/>
      <c r="Q18" s="429"/>
      <c r="R18" s="429"/>
      <c r="S18" s="429"/>
      <c r="T18" s="429"/>
      <c r="U18" s="429"/>
      <c r="V18" s="429"/>
      <c r="W18" s="429"/>
      <c r="X18" s="429"/>
      <c r="Y18" s="429"/>
      <c r="Z18" s="429"/>
      <c r="AA18" s="429"/>
      <c r="AB18" s="429"/>
    </row>
    <row r="19" spans="2:28" s="428" customFormat="1" x14ac:dyDescent="0.25">
      <c r="B19" s="636"/>
      <c r="C19" s="429"/>
      <c r="D19" s="429"/>
      <c r="E19" s="429"/>
      <c r="F19" s="429"/>
      <c r="G19" s="445" t="s">
        <v>466</v>
      </c>
      <c r="H19" s="631" t="s">
        <v>467</v>
      </c>
      <c r="I19" s="429"/>
      <c r="J19" s="429"/>
      <c r="K19" s="429"/>
      <c r="L19" s="429"/>
      <c r="M19" s="429"/>
      <c r="N19" s="429"/>
      <c r="O19" s="429"/>
      <c r="P19" s="429"/>
      <c r="Q19" s="429"/>
      <c r="R19" s="429"/>
      <c r="S19" s="429"/>
      <c r="T19" s="429"/>
      <c r="U19" s="429"/>
      <c r="V19" s="429"/>
      <c r="W19" s="429"/>
      <c r="X19" s="429"/>
      <c r="Y19" s="429"/>
      <c r="Z19" s="429"/>
      <c r="AA19" s="429"/>
      <c r="AB19" s="429"/>
    </row>
    <row r="20" spans="2:28" s="428" customFormat="1" x14ac:dyDescent="0.25">
      <c r="B20" s="636"/>
      <c r="C20" s="429"/>
      <c r="D20" s="429"/>
      <c r="E20" s="429"/>
      <c r="F20" s="429"/>
      <c r="G20" s="855" t="s">
        <v>468</v>
      </c>
      <c r="H20" s="912">
        <f>DATI!E283</f>
        <v>1.2</v>
      </c>
      <c r="I20" s="429"/>
      <c r="J20" s="429"/>
      <c r="K20" s="429"/>
      <c r="L20" s="429"/>
      <c r="M20" s="429"/>
      <c r="N20" s="429"/>
      <c r="O20" s="429"/>
      <c r="P20" s="429"/>
      <c r="Q20" s="429"/>
      <c r="R20" s="429"/>
      <c r="S20" s="429"/>
      <c r="T20" s="429"/>
      <c r="U20" s="429"/>
      <c r="V20" s="429"/>
      <c r="W20" s="429"/>
      <c r="X20" s="429"/>
      <c r="Y20" s="429"/>
      <c r="Z20" s="429"/>
      <c r="AA20" s="429"/>
      <c r="AB20" s="429"/>
    </row>
    <row r="21" spans="2:28" s="428" customFormat="1" x14ac:dyDescent="0.25">
      <c r="B21" s="636"/>
      <c r="C21" s="429"/>
      <c r="D21" s="429"/>
      <c r="E21" s="429"/>
      <c r="F21" s="429"/>
      <c r="G21" s="855"/>
      <c r="H21" s="913"/>
      <c r="I21" s="429"/>
      <c r="J21" s="429"/>
      <c r="K21" s="429"/>
      <c r="L21" s="429"/>
      <c r="M21" s="429"/>
      <c r="N21" s="429"/>
      <c r="O21" s="429"/>
      <c r="P21" s="429"/>
      <c r="Q21" s="429"/>
      <c r="R21" s="429"/>
      <c r="S21" s="429"/>
      <c r="T21" s="429"/>
      <c r="U21" s="429"/>
      <c r="V21" s="429"/>
      <c r="W21" s="429"/>
      <c r="X21" s="429"/>
      <c r="Y21" s="429"/>
      <c r="Z21" s="429"/>
      <c r="AA21" s="429"/>
      <c r="AB21" s="429"/>
    </row>
    <row r="22" spans="2:28" s="428" customFormat="1" x14ac:dyDescent="0.25">
      <c r="B22" s="636"/>
      <c r="C22" s="429"/>
      <c r="D22" s="429"/>
      <c r="E22" s="429"/>
      <c r="F22" s="429"/>
      <c r="G22" s="855" t="s">
        <v>884</v>
      </c>
      <c r="H22" s="912">
        <f>DATI!E285</f>
        <v>1</v>
      </c>
      <c r="I22" s="429"/>
      <c r="J22" s="429"/>
      <c r="K22" s="429"/>
      <c r="L22" s="429"/>
      <c r="M22" s="429"/>
      <c r="N22" s="429"/>
      <c r="O22" s="429"/>
      <c r="P22" s="429"/>
      <c r="Q22" s="429"/>
      <c r="R22" s="429"/>
      <c r="S22" s="429"/>
      <c r="T22" s="429"/>
      <c r="U22" s="429"/>
      <c r="V22" s="429"/>
      <c r="W22" s="429"/>
      <c r="X22" s="429"/>
      <c r="Y22" s="429"/>
      <c r="Z22" s="429"/>
      <c r="AA22" s="429"/>
      <c r="AB22" s="429"/>
    </row>
    <row r="23" spans="2:28" s="428" customFormat="1" x14ac:dyDescent="0.25">
      <c r="B23" s="636"/>
      <c r="C23" s="429"/>
      <c r="D23" s="429"/>
      <c r="E23" s="429"/>
      <c r="F23" s="429"/>
      <c r="G23" s="855"/>
      <c r="H23" s="913"/>
      <c r="I23" s="429"/>
      <c r="J23" s="429"/>
      <c r="K23" s="429"/>
      <c r="L23" s="429"/>
      <c r="M23" s="429"/>
      <c r="N23" s="429"/>
      <c r="O23" s="429"/>
      <c r="P23" s="429"/>
      <c r="Q23" s="429"/>
      <c r="R23" s="429"/>
      <c r="S23" s="429"/>
      <c r="T23" s="429"/>
      <c r="U23" s="429"/>
      <c r="V23" s="429"/>
      <c r="W23" s="429"/>
      <c r="X23" s="429"/>
      <c r="Y23" s="429"/>
      <c r="Z23" s="429"/>
      <c r="AA23" s="429"/>
      <c r="AB23" s="429"/>
    </row>
    <row r="24" spans="2:28" s="428" customFormat="1" x14ac:dyDescent="0.25">
      <c r="B24" s="636"/>
      <c r="C24" s="429"/>
      <c r="D24" s="429"/>
      <c r="E24" s="429"/>
      <c r="F24" s="429"/>
      <c r="G24" s="58"/>
      <c r="H24" s="648"/>
      <c r="I24" s="429"/>
      <c r="J24" s="429"/>
      <c r="K24" s="429"/>
      <c r="L24" s="429"/>
      <c r="M24" s="429"/>
      <c r="N24" s="429"/>
      <c r="O24" s="429"/>
      <c r="P24" s="429"/>
      <c r="Q24" s="429"/>
      <c r="R24" s="429"/>
      <c r="S24" s="429"/>
      <c r="T24" s="429"/>
      <c r="U24" s="429"/>
      <c r="V24" s="429"/>
      <c r="W24" s="429"/>
      <c r="X24" s="429"/>
      <c r="Y24" s="429"/>
      <c r="Z24" s="429"/>
      <c r="AA24" s="429"/>
      <c r="AB24" s="429"/>
    </row>
    <row r="25" spans="2:28" s="428" customFormat="1" x14ac:dyDescent="0.25">
      <c r="B25" s="636"/>
      <c r="C25" s="429"/>
      <c r="D25" s="429"/>
      <c r="E25" s="429"/>
      <c r="F25" s="429"/>
      <c r="G25" s="637"/>
      <c r="H25" s="429"/>
      <c r="I25" s="429"/>
      <c r="J25" s="429"/>
      <c r="K25" s="429"/>
      <c r="L25" s="429"/>
      <c r="M25" s="429"/>
      <c r="N25" s="429"/>
      <c r="O25" s="429"/>
      <c r="P25" s="429"/>
      <c r="Q25" s="429"/>
      <c r="R25" s="429"/>
      <c r="S25" s="429"/>
      <c r="T25" s="429"/>
      <c r="U25" s="429"/>
      <c r="V25" s="429"/>
      <c r="W25" s="429"/>
      <c r="X25" s="429"/>
      <c r="Y25" s="429"/>
      <c r="Z25" s="429"/>
      <c r="AA25" s="429"/>
      <c r="AB25" s="429"/>
    </row>
    <row r="26" spans="2:28" s="428" customFormat="1" ht="18" x14ac:dyDescent="0.25">
      <c r="B26" s="429" t="s">
        <v>358</v>
      </c>
      <c r="C26" s="429"/>
      <c r="D26" s="429"/>
      <c r="E26" s="429"/>
      <c r="F26" s="429"/>
      <c r="G26" s="632" t="s">
        <v>359</v>
      </c>
      <c r="H26" s="654">
        <f>'ANALISI DELLE SPINTE'!D21</f>
        <v>1.6579999999999999</v>
      </c>
      <c r="I26" s="429"/>
      <c r="J26" s="429"/>
      <c r="K26" s="429"/>
      <c r="L26" s="429"/>
      <c r="M26" s="429"/>
      <c r="N26" s="429"/>
      <c r="O26" s="429"/>
      <c r="P26" s="429"/>
      <c r="Q26" s="429"/>
      <c r="R26" s="429"/>
      <c r="S26" s="429"/>
      <c r="T26" s="429"/>
      <c r="U26" s="429"/>
      <c r="V26" s="429"/>
      <c r="W26" s="429"/>
      <c r="X26" s="429"/>
      <c r="Y26" s="429"/>
      <c r="Z26" s="429"/>
      <c r="AA26" s="429"/>
      <c r="AB26" s="429"/>
    </row>
    <row r="27" spans="2:28" s="428" customFormat="1" ht="18" x14ac:dyDescent="0.25">
      <c r="B27" s="429" t="s">
        <v>360</v>
      </c>
      <c r="C27" s="429"/>
      <c r="D27" s="429"/>
      <c r="E27" s="429"/>
      <c r="F27" s="429"/>
      <c r="G27" s="632" t="s">
        <v>361</v>
      </c>
      <c r="H27" s="651">
        <f>'ANALISI DELLE SPINTE'!D22</f>
        <v>2.4769999999999999</v>
      </c>
      <c r="I27" s="429"/>
      <c r="J27" s="429"/>
      <c r="K27" s="429"/>
      <c r="L27" s="429"/>
      <c r="M27" s="429"/>
      <c r="N27" s="429"/>
      <c r="O27" s="429"/>
      <c r="P27" s="429"/>
      <c r="Q27" s="429"/>
      <c r="R27" s="429"/>
      <c r="S27" s="429"/>
      <c r="T27" s="429"/>
      <c r="U27" s="429"/>
      <c r="V27" s="429"/>
      <c r="W27" s="429"/>
      <c r="X27" s="429"/>
      <c r="Y27" s="429"/>
      <c r="Z27" s="429"/>
      <c r="AA27" s="429"/>
      <c r="AB27" s="429"/>
    </row>
    <row r="28" spans="2:28" s="428" customFormat="1" ht="18" x14ac:dyDescent="0.25">
      <c r="B28" s="429" t="s">
        <v>362</v>
      </c>
      <c r="C28" s="429"/>
      <c r="D28" s="429"/>
      <c r="E28" s="429"/>
      <c r="F28" s="429"/>
      <c r="G28" s="632" t="s">
        <v>363</v>
      </c>
      <c r="H28" s="655">
        <f>'ANALISI DELLE SPINTE'!D23</f>
        <v>0.29599999999999999</v>
      </c>
      <c r="I28" s="429"/>
      <c r="J28" s="429"/>
      <c r="K28" s="429"/>
      <c r="L28" s="429"/>
      <c r="M28" s="429"/>
      <c r="N28" s="429"/>
      <c r="O28" s="429"/>
      <c r="P28" s="429"/>
      <c r="Q28" s="429"/>
      <c r="R28" s="429"/>
      <c r="S28" s="429"/>
      <c r="T28" s="429"/>
      <c r="U28" s="429"/>
      <c r="V28" s="429"/>
      <c r="W28" s="429"/>
      <c r="X28" s="429"/>
      <c r="Y28" s="429"/>
      <c r="Z28" s="429"/>
      <c r="AA28" s="429"/>
      <c r="AB28" s="429"/>
    </row>
    <row r="29" spans="2:28" s="428" customFormat="1" x14ac:dyDescent="0.25">
      <c r="B29" s="429" t="s">
        <v>364</v>
      </c>
      <c r="C29" s="429"/>
      <c r="D29" s="429"/>
      <c r="E29" s="429"/>
      <c r="F29" s="429"/>
      <c r="G29" s="429"/>
      <c r="H29" s="651" t="str">
        <f>'ANALISI DELLE SPINTE'!D24</f>
        <v>B</v>
      </c>
      <c r="I29" s="429"/>
      <c r="J29" s="429"/>
      <c r="K29" s="429"/>
      <c r="L29" s="429"/>
      <c r="M29" s="429"/>
      <c r="N29" s="429"/>
      <c r="O29" s="429"/>
      <c r="P29" s="429"/>
      <c r="Q29" s="429"/>
      <c r="R29" s="429"/>
      <c r="S29" s="429"/>
      <c r="T29" s="429"/>
      <c r="U29" s="429"/>
      <c r="V29" s="429"/>
      <c r="W29" s="429"/>
      <c r="X29" s="429"/>
      <c r="Y29" s="429"/>
      <c r="Z29" s="429"/>
      <c r="AA29" s="429"/>
      <c r="AB29" s="429"/>
    </row>
    <row r="30" spans="2:28" s="428" customFormat="1" x14ac:dyDescent="0.25">
      <c r="B30" s="429" t="s">
        <v>365</v>
      </c>
      <c r="C30" s="429"/>
      <c r="D30" s="429"/>
      <c r="E30" s="429"/>
      <c r="F30" s="429"/>
      <c r="G30" s="429"/>
      <c r="H30" s="651" t="str">
        <f>'ANALISI DELLE SPINTE'!D25</f>
        <v>T1</v>
      </c>
      <c r="I30" s="429"/>
      <c r="J30" s="429"/>
      <c r="K30" s="429"/>
      <c r="L30" s="429"/>
      <c r="M30" s="429"/>
      <c r="N30" s="429"/>
      <c r="O30" s="429"/>
      <c r="P30" s="429"/>
      <c r="Q30" s="429"/>
      <c r="R30" s="429"/>
      <c r="S30" s="429"/>
      <c r="T30" s="429"/>
      <c r="U30" s="429"/>
      <c r="V30" s="429"/>
      <c r="W30" s="429"/>
      <c r="X30" s="429"/>
      <c r="Y30" s="429"/>
      <c r="Z30" s="429"/>
      <c r="AA30" s="429"/>
      <c r="AB30" s="429"/>
    </row>
    <row r="31" spans="2:28" s="428" customFormat="1" x14ac:dyDescent="0.25">
      <c r="B31" s="429" t="s">
        <v>782</v>
      </c>
      <c r="C31" s="429"/>
      <c r="D31" s="429"/>
      <c r="E31" s="429"/>
      <c r="F31" s="429"/>
      <c r="G31" s="383" t="s">
        <v>390</v>
      </c>
      <c r="H31" s="646">
        <f>'ANALISI DELLE SPINTE'!D26</f>
        <v>0.38</v>
      </c>
      <c r="I31" s="429"/>
      <c r="J31" s="429"/>
      <c r="K31" s="429"/>
      <c r="L31" s="429"/>
      <c r="M31" s="429"/>
      <c r="N31" s="429"/>
      <c r="O31" s="429"/>
      <c r="P31" s="429"/>
      <c r="Q31" s="429"/>
      <c r="R31" s="429"/>
      <c r="S31" s="429"/>
      <c r="T31" s="429"/>
      <c r="U31" s="429"/>
      <c r="V31" s="429"/>
      <c r="W31" s="429"/>
      <c r="X31" s="429"/>
      <c r="Y31" s="429"/>
      <c r="Z31" s="429"/>
      <c r="AA31" s="429"/>
      <c r="AB31" s="429"/>
    </row>
    <row r="32" spans="2:28" s="428" customFormat="1" x14ac:dyDescent="0.25">
      <c r="B32" s="429" t="s">
        <v>391</v>
      </c>
      <c r="C32" s="429"/>
      <c r="D32" s="429"/>
      <c r="E32" s="429"/>
      <c r="F32" s="429"/>
      <c r="G32" s="629" t="s">
        <v>278</v>
      </c>
      <c r="H32" s="646">
        <f>'ANALISI DELLE SPINTE'!D27</f>
        <v>7.7100550683255151E-2</v>
      </c>
      <c r="I32" s="429"/>
      <c r="J32" s="429"/>
      <c r="K32" s="429"/>
      <c r="L32" s="429"/>
      <c r="M32" s="429"/>
      <c r="N32" s="429"/>
      <c r="O32" s="429"/>
      <c r="P32" s="429"/>
      <c r="Q32" s="429"/>
      <c r="R32" s="429"/>
      <c r="S32" s="429"/>
      <c r="T32" s="429"/>
      <c r="U32" s="429"/>
      <c r="V32" s="429"/>
      <c r="W32" s="429"/>
      <c r="X32" s="429"/>
      <c r="Y32" s="429"/>
      <c r="Z32" s="429"/>
      <c r="AA32" s="429"/>
      <c r="AB32" s="429"/>
    </row>
    <row r="33" spans="2:28" s="428" customFormat="1" x14ac:dyDescent="0.25">
      <c r="B33" s="429" t="s">
        <v>392</v>
      </c>
      <c r="C33" s="429"/>
      <c r="D33" s="429"/>
      <c r="E33" s="429"/>
      <c r="F33" s="429"/>
      <c r="G33" s="629" t="s">
        <v>279</v>
      </c>
      <c r="H33" s="646">
        <f>'ANALISI DELLE SPINTE'!D28</f>
        <v>3.8550275341627575E-2</v>
      </c>
      <c r="I33" s="429"/>
      <c r="J33" s="429"/>
      <c r="K33" s="429"/>
      <c r="L33" s="429"/>
      <c r="M33" s="429"/>
      <c r="N33" s="429"/>
      <c r="O33" s="429"/>
      <c r="P33" s="429"/>
      <c r="Q33" s="429"/>
      <c r="R33" s="429"/>
      <c r="S33" s="429"/>
      <c r="T33" s="429"/>
      <c r="U33" s="429"/>
      <c r="V33" s="429"/>
      <c r="W33" s="429"/>
      <c r="X33" s="429"/>
      <c r="Y33" s="429"/>
      <c r="Z33" s="429"/>
      <c r="AA33" s="429"/>
      <c r="AB33" s="429"/>
    </row>
    <row r="34" spans="2:28" s="428" customFormat="1" x14ac:dyDescent="0.25">
      <c r="B34" s="429"/>
      <c r="C34" s="58"/>
      <c r="D34" s="648"/>
      <c r="E34" s="429"/>
      <c r="F34" s="429"/>
      <c r="G34" s="429"/>
      <c r="H34" s="429"/>
      <c r="I34" s="429"/>
      <c r="J34" s="429"/>
      <c r="K34" s="429"/>
      <c r="L34" s="429"/>
      <c r="M34" s="429"/>
      <c r="N34" s="429"/>
      <c r="O34" s="429"/>
      <c r="P34" s="429"/>
      <c r="Q34" s="429"/>
      <c r="R34" s="429"/>
      <c r="S34" s="429"/>
      <c r="T34" s="429"/>
      <c r="U34" s="429"/>
      <c r="V34" s="429"/>
      <c r="W34" s="429"/>
      <c r="X34" s="429"/>
      <c r="Y34" s="429"/>
      <c r="Z34" s="429"/>
      <c r="AA34" s="429"/>
      <c r="AB34" s="429"/>
    </row>
    <row r="35" spans="2:28" s="428" customFormat="1" x14ac:dyDescent="0.25">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row>
    <row r="36" spans="2:28" ht="15.75" x14ac:dyDescent="0.25">
      <c r="B36" s="15" t="s">
        <v>757</v>
      </c>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c r="AA36" s="429"/>
      <c r="AB36" s="429"/>
    </row>
    <row r="37" spans="2:28" x14ac:dyDescent="0.25">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row>
    <row r="38" spans="2:28" x14ac:dyDescent="0.25">
      <c r="B38" s="429" t="s">
        <v>586</v>
      </c>
      <c r="C38" s="644" t="s">
        <v>587</v>
      </c>
      <c r="D38" s="680">
        <f>IF(N129="si",N123,ATAN(TAN(DATI!E253*PI()/180)/DATI!E277)*180/PI())</f>
        <v>35</v>
      </c>
      <c r="E38" s="640"/>
      <c r="F38" s="429" t="s">
        <v>722</v>
      </c>
      <c r="G38" s="429"/>
      <c r="H38" s="631" t="s">
        <v>210</v>
      </c>
      <c r="I38" s="543">
        <f>'FOGLIO DEPOSITO'!D83</f>
        <v>1.9999999999999996</v>
      </c>
      <c r="J38" s="429"/>
      <c r="K38" s="429" t="s">
        <v>729</v>
      </c>
      <c r="L38" s="429"/>
      <c r="M38" s="631" t="s">
        <v>588</v>
      </c>
      <c r="N38" s="791">
        <f>('FOGLIO DEPOSITO'!D40+I43*'FOGLIO DEPOSITO'!D83*'FOGLIO DEPOSITO'!D84*1.1*24)</f>
        <v>144.76251939085117</v>
      </c>
      <c r="O38" s="640"/>
      <c r="P38" s="429"/>
      <c r="Q38" s="429"/>
      <c r="R38" s="429"/>
      <c r="S38" s="429"/>
      <c r="T38" s="429"/>
      <c r="U38" s="429"/>
      <c r="V38" s="429"/>
      <c r="W38" s="429"/>
      <c r="X38" s="429"/>
      <c r="Y38" s="429"/>
      <c r="Z38" s="429"/>
      <c r="AA38" s="429"/>
      <c r="AB38" s="429"/>
    </row>
    <row r="39" spans="2:28" x14ac:dyDescent="0.25">
      <c r="B39" s="429" t="s">
        <v>589</v>
      </c>
      <c r="C39" s="631" t="s">
        <v>590</v>
      </c>
      <c r="D39" s="676">
        <f>IF(DATI!G251="Strato di fondazione:      ghiaia-sabbie",0,IF(N129="si",N124,DATI!E255/DATI!E278))</f>
        <v>0</v>
      </c>
      <c r="E39" s="640"/>
      <c r="F39" s="429" t="s">
        <v>723</v>
      </c>
      <c r="G39" s="429"/>
      <c r="H39" s="631" t="s">
        <v>4</v>
      </c>
      <c r="I39" s="543">
        <f>'FOGLIO DEPOSITO'!D84</f>
        <v>1</v>
      </c>
      <c r="J39" s="429"/>
      <c r="K39" s="429" t="s">
        <v>730</v>
      </c>
      <c r="L39" s="429"/>
      <c r="M39" s="631" t="s">
        <v>591</v>
      </c>
      <c r="N39" s="791">
        <f>MAXA('ANALISI DELLE SPINTE'!Z97,'ANALISI DELLE SPINTE'!AB116)</f>
        <v>54.684656336963357</v>
      </c>
      <c r="O39" s="640"/>
      <c r="P39" s="429"/>
      <c r="Q39" s="429"/>
      <c r="R39" s="429"/>
      <c r="S39" s="429"/>
      <c r="T39" s="429"/>
      <c r="U39" s="429"/>
      <c r="V39" s="429"/>
      <c r="W39" s="429"/>
      <c r="X39" s="429"/>
      <c r="Y39" s="429"/>
      <c r="Z39" s="429"/>
      <c r="AA39" s="429"/>
      <c r="AB39" s="429"/>
    </row>
    <row r="40" spans="2:28" x14ac:dyDescent="0.25">
      <c r="B40" s="429" t="s">
        <v>1056</v>
      </c>
      <c r="C40" s="644" t="s">
        <v>864</v>
      </c>
      <c r="D40" s="675">
        <f>IF('FOGLIO DEPOSITO'!I100&lt;='VER. GEO CONDIZIONI DRENATE'!D45,DATI!E256-10,DATI!E256)/DATI!E280</f>
        <v>19.5</v>
      </c>
      <c r="E40" s="640"/>
      <c r="F40" s="429" t="s">
        <v>724</v>
      </c>
      <c r="G40" s="429"/>
      <c r="H40" s="631" t="s">
        <v>592</v>
      </c>
      <c r="I40" s="543">
        <f>D66</f>
        <v>0.89900675598438262</v>
      </c>
      <c r="J40" s="429"/>
      <c r="K40" s="429" t="s">
        <v>743</v>
      </c>
      <c r="L40" s="429"/>
      <c r="M40" s="631" t="s">
        <v>593</v>
      </c>
      <c r="N40" s="360">
        <f>'Progetto della zattera slu'!D76-'Progetto della zattera slu'!C76</f>
        <v>65.071241472847689</v>
      </c>
      <c r="O40" s="640"/>
      <c r="P40" s="640"/>
      <c r="Q40" s="640"/>
      <c r="R40" s="429"/>
      <c r="S40" s="429"/>
      <c r="T40" s="429"/>
      <c r="U40" s="429"/>
      <c r="V40" s="429"/>
      <c r="W40" s="429"/>
      <c r="X40" s="429"/>
      <c r="Y40" s="429"/>
      <c r="Z40" s="429"/>
      <c r="AA40" s="429"/>
      <c r="AB40" s="429"/>
    </row>
    <row r="41" spans="2:28" x14ac:dyDescent="0.25">
      <c r="B41" s="429" t="s">
        <v>1058</v>
      </c>
      <c r="C41" s="644" t="s">
        <v>865</v>
      </c>
      <c r="D41" s="675">
        <f>IF('FOGLIO DEPOSITO'!I100&lt;=D45,DATI!E257-10,DATI!E257)/DATI!E280</f>
        <v>19.5</v>
      </c>
      <c r="E41" s="640"/>
      <c r="F41" s="429" t="s">
        <v>726</v>
      </c>
      <c r="G41" s="429"/>
      <c r="H41" s="631" t="s">
        <v>181</v>
      </c>
      <c r="I41" s="543">
        <f>'FOGLIO DEPOSITO'!D85</f>
        <v>0.5</v>
      </c>
      <c r="J41" s="429"/>
      <c r="K41" s="429"/>
      <c r="L41" s="429"/>
      <c r="M41" s="429"/>
      <c r="N41" s="429"/>
      <c r="O41" s="632"/>
      <c r="P41" s="640"/>
      <c r="Q41" s="640"/>
      <c r="R41" s="429"/>
      <c r="S41" s="429"/>
      <c r="T41" s="429"/>
      <c r="U41" s="429"/>
      <c r="V41" s="429"/>
      <c r="W41" s="429"/>
      <c r="X41" s="429"/>
      <c r="Y41" s="429"/>
      <c r="Z41" s="429"/>
      <c r="AA41" s="429"/>
      <c r="AB41" s="429"/>
    </row>
    <row r="42" spans="2:28" x14ac:dyDescent="0.25">
      <c r="B42" s="429" t="s">
        <v>1056</v>
      </c>
      <c r="C42" s="644" t="s">
        <v>1057</v>
      </c>
      <c r="D42" s="675">
        <f>(D40*IF((I43-I42)&lt;0,0,(I43-I42))+D41*I42)/(IF((I43-I42)&lt;0,0,(I43-I42))+I42)</f>
        <v>19.5</v>
      </c>
      <c r="E42" s="640"/>
      <c r="F42" s="429" t="s">
        <v>727</v>
      </c>
      <c r="G42" s="429"/>
      <c r="H42" s="631" t="s">
        <v>296</v>
      </c>
      <c r="I42" s="543">
        <f>DATI!E258</f>
        <v>0.8</v>
      </c>
      <c r="J42" s="429"/>
      <c r="K42" s="429"/>
      <c r="L42" s="429"/>
      <c r="M42" s="429"/>
      <c r="N42" s="429"/>
      <c r="O42" s="632"/>
      <c r="P42" s="640"/>
      <c r="Q42" s="640"/>
      <c r="R42" s="429"/>
      <c r="S42" s="429"/>
      <c r="T42" s="429"/>
      <c r="U42" s="429"/>
      <c r="V42" s="429"/>
      <c r="W42" s="429"/>
      <c r="X42" s="429"/>
      <c r="Y42" s="429"/>
      <c r="Z42" s="429"/>
      <c r="AA42" s="429"/>
      <c r="AB42" s="429"/>
    </row>
    <row r="43" spans="2:28" x14ac:dyDescent="0.25">
      <c r="B43" s="429" t="s">
        <v>594</v>
      </c>
      <c r="C43" s="644" t="s">
        <v>108</v>
      </c>
      <c r="D43" s="680">
        <f>DATI!E251</f>
        <v>0</v>
      </c>
      <c r="E43" s="640"/>
      <c r="F43" s="429" t="s">
        <v>728</v>
      </c>
      <c r="G43" s="429"/>
      <c r="H43" s="631" t="s">
        <v>596</v>
      </c>
      <c r="I43" s="543">
        <f>DATI!E9</f>
        <v>0.1</v>
      </c>
      <c r="J43" s="429"/>
      <c r="K43" s="429"/>
      <c r="L43" s="429"/>
      <c r="M43" s="429"/>
      <c r="N43" s="429"/>
      <c r="O43" s="429"/>
      <c r="P43" s="429"/>
      <c r="Q43" s="429"/>
      <c r="R43" s="429"/>
      <c r="S43" s="429"/>
      <c r="T43" s="429"/>
      <c r="U43" s="429"/>
      <c r="V43" s="429"/>
      <c r="W43" s="429"/>
      <c r="X43" s="429"/>
      <c r="Y43" s="429"/>
      <c r="Z43" s="429"/>
      <c r="AA43" s="429"/>
      <c r="AB43" s="429"/>
    </row>
    <row r="44" spans="2:28" x14ac:dyDescent="0.25">
      <c r="B44" s="429" t="s">
        <v>595</v>
      </c>
      <c r="C44" s="644" t="s">
        <v>479</v>
      </c>
      <c r="D44" s="680">
        <f>DATI!E252</f>
        <v>0</v>
      </c>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row>
    <row r="45" spans="2:28" s="428" customFormat="1" x14ac:dyDescent="0.25">
      <c r="B45" s="429" t="s">
        <v>597</v>
      </c>
      <c r="C45" s="420" t="s">
        <v>739</v>
      </c>
      <c r="D45" s="543">
        <f>I40/2*TAN(45+($D$38*PI()/180)/2)</f>
        <v>1.777734882488504</v>
      </c>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row>
    <row r="46" spans="2:28" x14ac:dyDescent="0.25">
      <c r="B46" s="429"/>
      <c r="C46" s="429"/>
      <c r="D46" s="429"/>
      <c r="E46" s="429"/>
      <c r="F46" s="429"/>
      <c r="G46" s="429"/>
      <c r="H46" s="21"/>
      <c r="I46" s="429"/>
      <c r="J46" s="429"/>
      <c r="K46" s="429"/>
      <c r="L46" s="429"/>
      <c r="M46" s="429"/>
      <c r="N46" s="429"/>
      <c r="O46" s="429"/>
      <c r="P46" s="429"/>
      <c r="Q46" s="429"/>
      <c r="R46" s="429"/>
      <c r="S46" s="429"/>
      <c r="T46" s="429"/>
      <c r="U46" s="429"/>
      <c r="V46" s="429"/>
      <c r="W46" s="429"/>
      <c r="X46" s="429"/>
      <c r="Y46" s="429"/>
      <c r="Z46" s="429"/>
      <c r="AA46" s="429"/>
      <c r="AB46" s="429"/>
    </row>
    <row r="47" spans="2:28" ht="15.75" x14ac:dyDescent="0.25">
      <c r="B47" s="15" t="s">
        <v>758</v>
      </c>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row>
    <row r="48" spans="2:28" ht="15.75" thickBot="1" x14ac:dyDescent="0.3">
      <c r="B48" s="429"/>
      <c r="C48" s="429"/>
      <c r="D48" s="429"/>
      <c r="E48" s="920"/>
      <c r="F48" s="920"/>
      <c r="G48" s="920"/>
      <c r="H48" s="429"/>
      <c r="I48" s="429"/>
      <c r="J48" s="429"/>
      <c r="K48" s="429"/>
      <c r="L48" s="429"/>
      <c r="M48" s="429"/>
      <c r="N48" s="429"/>
      <c r="O48" s="429"/>
      <c r="P48" s="429"/>
      <c r="Q48" s="429"/>
      <c r="R48" s="429"/>
      <c r="S48" s="429"/>
      <c r="T48" s="429"/>
      <c r="U48" s="429"/>
      <c r="V48" s="429"/>
      <c r="W48" s="429"/>
      <c r="X48" s="429"/>
      <c r="Y48" s="429"/>
      <c r="Z48" s="429"/>
      <c r="AA48" s="429"/>
      <c r="AB48" s="429"/>
    </row>
    <row r="49" spans="2:28" ht="22.5" thickTop="1" thickBot="1" x14ac:dyDescent="0.3">
      <c r="B49" s="429"/>
      <c r="C49" s="651" t="s">
        <v>599</v>
      </c>
      <c r="D49" s="633">
        <f>IF('FOGLIO DEPOSITO'!G26=1,(D51-1)*TAN(1.4*$D$38*PI()/180),IF('FOGLIO DEPOSITO'!G26=2,1.5*(D51-1)*TAN($D$38*PI()/180),IF('FOGLIO DEPOSITO'!G26=3,2*($D$51+1)*TAN($D$38*PI()/180),"")))</f>
        <v>48.028763586832817</v>
      </c>
      <c r="E49" s="878" t="s">
        <v>161</v>
      </c>
      <c r="F49" s="917"/>
      <c r="G49" s="879"/>
      <c r="H49" s="429"/>
      <c r="I49" s="429"/>
      <c r="J49" s="429"/>
      <c r="K49" s="429"/>
      <c r="L49" s="429"/>
      <c r="M49" s="429"/>
      <c r="N49" s="429"/>
      <c r="O49" s="429"/>
      <c r="P49" s="429"/>
      <c r="Q49" s="429"/>
      <c r="R49" s="429"/>
      <c r="S49" s="429"/>
      <c r="T49" s="429"/>
      <c r="U49" s="429"/>
      <c r="V49" s="429"/>
      <c r="W49" s="429"/>
      <c r="X49" s="429"/>
      <c r="Y49" s="429"/>
      <c r="Z49" s="429"/>
      <c r="AA49" s="429"/>
      <c r="AB49" s="429"/>
    </row>
    <row r="50" spans="2:28" ht="21.75" thickTop="1" x14ac:dyDescent="0.25">
      <c r="B50" s="429"/>
      <c r="C50" s="651" t="s">
        <v>601</v>
      </c>
      <c r="D50" s="633">
        <f>($D$51-1)*(1/TAN($D$38*PI()/180))</f>
        <v>46.123598689020689</v>
      </c>
      <c r="E50" s="922" t="s">
        <v>600</v>
      </c>
      <c r="F50" s="923"/>
      <c r="G50" s="923"/>
      <c r="H50" s="429"/>
      <c r="I50" s="429"/>
      <c r="J50" s="429"/>
      <c r="K50" s="429"/>
      <c r="L50" s="429"/>
      <c r="M50" s="429"/>
      <c r="N50" s="429"/>
      <c r="O50" s="429"/>
      <c r="P50" s="429"/>
      <c r="Q50" s="429"/>
      <c r="R50" s="429"/>
      <c r="S50" s="429"/>
      <c r="T50" s="429"/>
      <c r="U50" s="429"/>
      <c r="V50" s="429"/>
      <c r="W50" s="429"/>
      <c r="X50" s="429"/>
      <c r="Y50" s="429"/>
      <c r="Z50" s="429"/>
      <c r="AA50" s="429"/>
      <c r="AB50" s="429"/>
    </row>
    <row r="51" spans="2:28" ht="21" x14ac:dyDescent="0.25">
      <c r="B51" s="429"/>
      <c r="C51" s="651" t="s">
        <v>603</v>
      </c>
      <c r="D51" s="633">
        <f>(TAN(PI()/4+($D$38*PI()/180)/2))^2*EXP(PI()*TAN($D$38*PI()/180))</f>
        <v>33.296091491411772</v>
      </c>
      <c r="E51" s="924" t="s">
        <v>602</v>
      </c>
      <c r="F51" s="914"/>
      <c r="G51" s="914"/>
      <c r="H51" s="429"/>
      <c r="I51" s="429"/>
      <c r="J51" s="429"/>
      <c r="K51" s="429"/>
      <c r="L51" s="429"/>
      <c r="M51" s="429"/>
      <c r="N51" s="429"/>
      <c r="O51" s="429"/>
      <c r="P51" s="429"/>
      <c r="Q51" s="429"/>
      <c r="R51" s="429"/>
      <c r="S51" s="429"/>
      <c r="T51" s="429"/>
      <c r="U51" s="429"/>
      <c r="V51" s="429"/>
      <c r="W51" s="429"/>
      <c r="X51" s="429"/>
      <c r="Y51" s="429"/>
      <c r="Z51" s="429"/>
      <c r="AA51" s="429"/>
      <c r="AB51" s="429"/>
    </row>
    <row r="52" spans="2:28" x14ac:dyDescent="0.25">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row>
    <row r="53" spans="2:28" x14ac:dyDescent="0.25">
      <c r="B53" s="429"/>
      <c r="C53" s="429"/>
      <c r="D53" s="429"/>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row>
    <row r="54" spans="2:28" ht="15.75" x14ac:dyDescent="0.25">
      <c r="B54" s="15" t="s">
        <v>759</v>
      </c>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row>
    <row r="55" spans="2:28" x14ac:dyDescent="0.25">
      <c r="B55" s="429"/>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row>
    <row r="56" spans="2:28" ht="25.5" customHeight="1" x14ac:dyDescent="0.25">
      <c r="B56" s="15"/>
      <c r="C56" s="908" t="s">
        <v>732</v>
      </c>
      <c r="D56" s="908"/>
      <c r="E56" s="429"/>
      <c r="F56" s="908" t="s">
        <v>733</v>
      </c>
      <c r="G56" s="908"/>
      <c r="H56" s="429"/>
      <c r="I56" s="908" t="s">
        <v>734</v>
      </c>
      <c r="J56" s="908"/>
      <c r="K56" s="429"/>
      <c r="L56" s="908" t="s">
        <v>735</v>
      </c>
      <c r="M56" s="908"/>
      <c r="N56" s="429"/>
      <c r="O56" s="908" t="s">
        <v>737</v>
      </c>
      <c r="P56" s="908"/>
      <c r="Q56" s="429"/>
      <c r="R56" s="908" t="s">
        <v>736</v>
      </c>
      <c r="S56" s="908"/>
      <c r="T56" s="429"/>
      <c r="U56" s="429"/>
      <c r="V56" s="429"/>
      <c r="W56" s="429"/>
      <c r="X56" s="429"/>
      <c r="Y56" s="429"/>
      <c r="Z56" s="429"/>
      <c r="AA56" s="429"/>
      <c r="AB56" s="429"/>
    </row>
    <row r="57" spans="2:28" ht="27" customHeight="1" x14ac:dyDescent="0.25">
      <c r="B57" s="429"/>
      <c r="C57" s="908"/>
      <c r="D57" s="908"/>
      <c r="E57" s="429"/>
      <c r="F57" s="908"/>
      <c r="G57" s="908"/>
      <c r="H57" s="429"/>
      <c r="I57" s="908"/>
      <c r="J57" s="908"/>
      <c r="K57" s="429"/>
      <c r="L57" s="908"/>
      <c r="M57" s="908"/>
      <c r="N57" s="429"/>
      <c r="O57" s="908"/>
      <c r="P57" s="908"/>
      <c r="Q57" s="429"/>
      <c r="R57" s="908"/>
      <c r="S57" s="908"/>
      <c r="T57" s="429"/>
      <c r="U57" s="429"/>
      <c r="V57" s="429"/>
      <c r="W57" s="429"/>
      <c r="X57" s="429"/>
      <c r="Y57" s="429"/>
      <c r="Z57" s="429"/>
      <c r="AA57" s="429"/>
      <c r="AB57" s="429"/>
    </row>
    <row r="58" spans="2:28" ht="23.25" x14ac:dyDescent="0.25">
      <c r="B58" s="429"/>
      <c r="C58" s="651" t="s">
        <v>147</v>
      </c>
      <c r="D58" s="646">
        <f>IF(I40=0,0,IF(DATI!E260="si",1,1-0.4*I40/'FOGLIO DEPOSITO'!C108))</f>
        <v>1</v>
      </c>
      <c r="E58" s="429"/>
      <c r="F58" s="651" t="s">
        <v>604</v>
      </c>
      <c r="G58" s="646">
        <v>1</v>
      </c>
      <c r="H58" s="429"/>
      <c r="I58" s="651" t="s">
        <v>605</v>
      </c>
      <c r="J58" s="646">
        <f>IF(I40=0,0,IF(N38=0,IF(N39=0,1,0),(1-N39/(N38+'FOGLIO DEPOSITO'!C108*I40*D39*(1/TAN($D$38*PI()/180))))^(J61+1)))</f>
        <v>0.30159635073927943</v>
      </c>
      <c r="K58" s="429"/>
      <c r="L58" s="651" t="s">
        <v>606</v>
      </c>
      <c r="M58" s="646">
        <f>(1-(D43*PI()/180)*TAN($D$38*PI()/180))^2</f>
        <v>1</v>
      </c>
      <c r="N58" s="429"/>
      <c r="O58" s="651" t="s">
        <v>607</v>
      </c>
      <c r="P58" s="646">
        <f>(1-TAN($D$44*PI()/180))^2</f>
        <v>1</v>
      </c>
      <c r="Q58" s="429"/>
      <c r="R58" s="650" t="s">
        <v>608</v>
      </c>
      <c r="S58" s="646">
        <f>IF(I110="generale",1,EXP((0.6*I40/'FOGLIO DEPOSITO'!C108-4.4)*TAN($D$38*PI()/180)+(3.07*SIN($D$38*PI()/180)*LOG10(2*D108))/(1+SIN($D$38*PI()/180))))</f>
        <v>1</v>
      </c>
      <c r="T58" s="429"/>
      <c r="U58" s="429"/>
      <c r="V58" s="429"/>
      <c r="W58" s="429"/>
      <c r="X58" s="429"/>
      <c r="Y58" s="429"/>
      <c r="Z58" s="429"/>
      <c r="AA58" s="429"/>
      <c r="AB58" s="429"/>
    </row>
    <row r="59" spans="2:28" ht="23.25" x14ac:dyDescent="0.25">
      <c r="B59" s="429"/>
      <c r="C59" s="651" t="s">
        <v>149</v>
      </c>
      <c r="D59" s="646">
        <f>IF(I40=0,0,IF(DATI!E260="si",1,1+I40/'FOGLIO DEPOSITO'!C108*D51/D50))</f>
        <v>1</v>
      </c>
      <c r="E59" s="429"/>
      <c r="F59" s="651" t="s">
        <v>609</v>
      </c>
      <c r="G59" s="646">
        <f>IF(G60=0,0,IF(DATI!E261="si",1,$G$60-(1-G60)/($D$50*TAN($D$38*PI()/180))))</f>
        <v>1</v>
      </c>
      <c r="H59" s="429"/>
      <c r="I59" s="651" t="s">
        <v>610</v>
      </c>
      <c r="J59" s="646">
        <f>IF(I40=0,0,IF(N38=0,IF(N39=0,1,0),J60-(1-J60)/(D50*TAN($D$38*PI()/180))))</f>
        <v>0.46873429230891517</v>
      </c>
      <c r="K59" s="429"/>
      <c r="L59" s="651" t="s">
        <v>611</v>
      </c>
      <c r="M59" s="646">
        <f>M60-(1-M60)/(D50*TAN($D$38*PI()/180))</f>
        <v>1</v>
      </c>
      <c r="N59" s="429"/>
      <c r="O59" s="651" t="s">
        <v>612</v>
      </c>
      <c r="P59" s="646">
        <f>P60-(1-P60)/(D50*TAN($D$38*PI()/180))</f>
        <v>1</v>
      </c>
      <c r="Q59" s="429"/>
      <c r="R59" s="651" t="s">
        <v>613</v>
      </c>
      <c r="S59" s="646">
        <f>S60-(1-S60)/(D51*TAN($D$38*PI()/180))</f>
        <v>1</v>
      </c>
      <c r="T59" s="429"/>
      <c r="U59" s="429"/>
      <c r="V59" s="429"/>
      <c r="W59" s="429"/>
      <c r="X59" s="429"/>
      <c r="Y59" s="429"/>
      <c r="Z59" s="429"/>
      <c r="AA59" s="429"/>
      <c r="AB59" s="429"/>
    </row>
    <row r="60" spans="2:28" ht="23.25" x14ac:dyDescent="0.25">
      <c r="B60" s="429"/>
      <c r="C60" s="651" t="s">
        <v>151</v>
      </c>
      <c r="D60" s="646">
        <f>IF(I40=0,0,IF(DATI!E260="si",1,1+I40/'FOGLIO DEPOSITO'!C108*TAN($D$38*PI()/180)))</f>
        <v>1</v>
      </c>
      <c r="E60" s="429"/>
      <c r="F60" s="651" t="s">
        <v>614</v>
      </c>
      <c r="G60" s="646">
        <f>IF(I40=0,0,IF(DATI!E261="si",1,IF(I42&lt;=I40,(1+2*TAN($D$38*PI()/180)*(1-SIN($D$38*PI()/180))^2*(I42/I40)),(1+2*TAN($D$38*PI()/180)*(1-SIN($D$38*PI()/180))^2*ATAN(I42/I40)))))</f>
        <v>1</v>
      </c>
      <c r="H60" s="429"/>
      <c r="I60" s="651" t="s">
        <v>615</v>
      </c>
      <c r="J60" s="646">
        <f>IF(I40=0,0,IF(N38=0,IF(N39=0,1,0),(1-N39/(N38+'FOGLIO DEPOSITO'!C108*I40*D39*(1/TAN($D$38*PI()/180))))^(J61)))</f>
        <v>0.4846900902387748</v>
      </c>
      <c r="K60" s="429"/>
      <c r="L60" s="651" t="s">
        <v>616</v>
      </c>
      <c r="M60" s="646">
        <f>M58</f>
        <v>1</v>
      </c>
      <c r="N60" s="429"/>
      <c r="O60" s="651" t="s">
        <v>617</v>
      </c>
      <c r="P60" s="646">
        <f>P58</f>
        <v>1</v>
      </c>
      <c r="Q60" s="429"/>
      <c r="R60" s="651" t="s">
        <v>618</v>
      </c>
      <c r="S60" s="646">
        <f>S58</f>
        <v>1</v>
      </c>
      <c r="T60" s="429"/>
      <c r="U60" s="429"/>
      <c r="V60" s="429"/>
      <c r="W60" s="429"/>
      <c r="X60" s="429"/>
      <c r="Y60" s="429"/>
      <c r="Z60" s="429"/>
      <c r="AA60" s="429"/>
      <c r="AB60" s="429"/>
    </row>
    <row r="61" spans="2:28" x14ac:dyDescent="0.25">
      <c r="B61" s="429"/>
      <c r="C61" s="429"/>
      <c r="D61" s="429"/>
      <c r="E61" s="429"/>
      <c r="F61" s="429"/>
      <c r="G61" s="429"/>
      <c r="H61" s="429"/>
      <c r="I61" s="481" t="s">
        <v>832</v>
      </c>
      <c r="J61" s="482">
        <f>IF(I40=0,"",(2+I40/'FOGLIO DEPOSITO'!C108)/(1+I40/'FOGLIO DEPOSITO'!C108))</f>
        <v>1.5265910702258838</v>
      </c>
      <c r="K61" s="429"/>
      <c r="L61" s="429"/>
      <c r="M61" s="429"/>
      <c r="N61" s="429"/>
      <c r="O61" s="429"/>
      <c r="P61" s="429"/>
      <c r="Q61" s="429"/>
      <c r="R61" s="429"/>
      <c r="S61" s="429"/>
      <c r="T61" s="429"/>
      <c r="U61" s="429"/>
      <c r="V61" s="429"/>
      <c r="W61" s="429"/>
      <c r="X61" s="429"/>
      <c r="Y61" s="429"/>
      <c r="Z61" s="429"/>
      <c r="AA61" s="429"/>
      <c r="AB61" s="429"/>
    </row>
    <row r="62" spans="2:28" x14ac:dyDescent="0.25">
      <c r="B62" s="429"/>
      <c r="C62" s="429"/>
      <c r="D62" s="429"/>
      <c r="E62" s="429"/>
      <c r="F62" s="429"/>
      <c r="G62" s="429"/>
      <c r="H62" s="429"/>
      <c r="I62" s="429"/>
      <c r="J62" s="429"/>
      <c r="K62" s="429"/>
      <c r="L62" s="429"/>
      <c r="M62" s="429"/>
      <c r="N62" s="429"/>
      <c r="O62" s="429"/>
      <c r="P62" s="429"/>
      <c r="Q62" s="429"/>
      <c r="R62" s="429"/>
      <c r="S62" s="640"/>
      <c r="T62" s="429"/>
      <c r="U62" s="429"/>
      <c r="V62" s="429"/>
      <c r="W62" s="429"/>
      <c r="X62" s="429"/>
      <c r="Y62" s="429"/>
      <c r="Z62" s="429"/>
      <c r="AA62" s="429"/>
      <c r="AB62" s="429"/>
    </row>
    <row r="63" spans="2:28" ht="15.75" x14ac:dyDescent="0.25">
      <c r="B63" s="15" t="s">
        <v>760</v>
      </c>
      <c r="C63" s="429"/>
      <c r="D63" s="429"/>
      <c r="E63" s="429"/>
      <c r="F63" s="429"/>
      <c r="G63" s="429"/>
      <c r="H63" s="429"/>
      <c r="I63" s="627"/>
      <c r="J63" s="429"/>
      <c r="K63" s="429"/>
      <c r="L63" s="429"/>
      <c r="M63" s="429"/>
      <c r="N63" s="429"/>
      <c r="O63" s="429"/>
      <c r="P63" s="429"/>
      <c r="Q63" s="429"/>
      <c r="R63" s="429"/>
      <c r="S63" s="429"/>
      <c r="T63" s="429"/>
      <c r="U63" s="429"/>
      <c r="V63" s="429"/>
      <c r="W63" s="429"/>
      <c r="X63" s="429"/>
      <c r="Y63" s="429"/>
      <c r="Z63" s="429"/>
      <c r="AA63" s="429"/>
      <c r="AB63" s="429"/>
    </row>
    <row r="64" spans="2:28" x14ac:dyDescent="0.25">
      <c r="B64" s="429"/>
      <c r="C64" s="429"/>
      <c r="D64" s="429"/>
      <c r="E64" s="429"/>
      <c r="F64" s="429"/>
      <c r="G64" s="429"/>
      <c r="H64" s="429"/>
      <c r="I64" s="429"/>
      <c r="J64" s="429"/>
      <c r="K64" s="429"/>
      <c r="L64" s="429"/>
      <c r="M64" s="429"/>
      <c r="N64" s="429"/>
      <c r="O64" s="429"/>
      <c r="P64" s="429"/>
      <c r="Q64" s="429"/>
      <c r="R64" s="429"/>
      <c r="S64" s="429"/>
      <c r="T64" s="429"/>
      <c r="U64" s="429"/>
      <c r="V64" s="429"/>
      <c r="W64" s="429"/>
      <c r="X64" s="429"/>
      <c r="Y64" s="429"/>
      <c r="Z64" s="429"/>
      <c r="AA64" s="429"/>
      <c r="AB64" s="429"/>
    </row>
    <row r="65" spans="2:28" ht="21" x14ac:dyDescent="0.25">
      <c r="B65" s="429"/>
      <c r="C65" s="631" t="s">
        <v>725</v>
      </c>
      <c r="D65" s="543">
        <f>IF(N38=0,0,'Progetto della zattera slu'!G129/2-N40/N38)</f>
        <v>0.55049662200780847</v>
      </c>
      <c r="E65" s="640"/>
      <c r="F65" s="429"/>
      <c r="G65" s="429"/>
      <c r="H65" s="429"/>
      <c r="I65" s="429"/>
      <c r="J65" s="429"/>
      <c r="K65" s="429"/>
      <c r="L65" s="429"/>
      <c r="M65" s="429"/>
      <c r="N65" s="429"/>
      <c r="O65" s="429"/>
      <c r="P65" s="429"/>
      <c r="Q65" s="429"/>
      <c r="R65" s="429"/>
      <c r="S65" s="429"/>
      <c r="T65" s="429"/>
      <c r="U65" s="429"/>
      <c r="V65" s="429"/>
      <c r="W65" s="429"/>
      <c r="X65" s="429"/>
      <c r="Y65" s="429"/>
      <c r="Z65" s="429"/>
      <c r="AA65" s="429"/>
      <c r="AB65" s="429"/>
    </row>
    <row r="66" spans="2:28" ht="18.75" x14ac:dyDescent="0.3">
      <c r="B66" s="429"/>
      <c r="C66" s="631" t="s">
        <v>592</v>
      </c>
      <c r="D66" s="543">
        <f>IF(N40=0,'FOGLIO DEPOSITO'!D83,IF(D65&gt;'FOGLIO DEPOSITO'!D83/2,0,'FOGLIO DEPOSITO'!D83-2*D65))</f>
        <v>0.89900675598438262</v>
      </c>
      <c r="E66" s="640"/>
      <c r="F66" s="429"/>
      <c r="G66" s="429"/>
      <c r="H66" s="429"/>
      <c r="I66" s="429"/>
      <c r="J66" s="429"/>
      <c r="K66" s="429"/>
      <c r="L66" s="429"/>
      <c r="M66" s="429"/>
      <c r="N66" s="436" t="str">
        <f>IF(D66=0,"FONDAZIONE INSTABILE",IF('FOGLIO DEPOSITO'!K108=0,"FONDAZIONE INSTABILE",""))</f>
        <v/>
      </c>
      <c r="O66" s="429"/>
      <c r="P66" s="429"/>
      <c r="Q66" s="429"/>
      <c r="R66" s="429"/>
      <c r="S66" s="429"/>
      <c r="T66" s="429"/>
      <c r="U66" s="429"/>
      <c r="V66" s="429"/>
      <c r="W66" s="429"/>
      <c r="X66" s="429"/>
      <c r="Y66" s="429"/>
      <c r="Z66" s="429"/>
      <c r="AA66" s="429"/>
      <c r="AB66" s="429"/>
    </row>
    <row r="67" spans="2:28" x14ac:dyDescent="0.25">
      <c r="B67" s="429"/>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c r="AA67" s="429"/>
      <c r="AB67" s="429"/>
    </row>
    <row r="68" spans="2:28" x14ac:dyDescent="0.25">
      <c r="B68" s="429"/>
      <c r="C68" s="429"/>
      <c r="D68" s="429"/>
      <c r="E68" s="429"/>
      <c r="F68" s="429"/>
      <c r="G68" s="429"/>
      <c r="H68" s="429"/>
      <c r="I68" s="429"/>
      <c r="J68" s="429"/>
      <c r="K68" s="429"/>
      <c r="L68" s="429"/>
      <c r="M68" s="429"/>
      <c r="N68" s="429"/>
      <c r="O68" s="429"/>
      <c r="P68" s="429"/>
      <c r="Q68" s="429"/>
      <c r="R68" s="429"/>
      <c r="S68" s="429"/>
      <c r="T68" s="429"/>
      <c r="U68" s="429"/>
      <c r="V68" s="429"/>
      <c r="W68" s="429"/>
      <c r="X68" s="429"/>
      <c r="Y68" s="429"/>
      <c r="Z68" s="429"/>
      <c r="AA68" s="429"/>
      <c r="AB68" s="429"/>
    </row>
    <row r="69" spans="2:28" ht="15.75" x14ac:dyDescent="0.25">
      <c r="B69" s="15" t="s">
        <v>761</v>
      </c>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row>
    <row r="70" spans="2:28" x14ac:dyDescent="0.25">
      <c r="B70" s="429"/>
      <c r="C70" s="429"/>
      <c r="D70" s="429"/>
      <c r="E70" s="429"/>
      <c r="F70" s="429"/>
      <c r="G70" s="429"/>
      <c r="H70" s="429"/>
      <c r="I70" s="429"/>
      <c r="J70" s="429"/>
      <c r="K70" s="429"/>
      <c r="L70" s="429"/>
      <c r="M70" s="429"/>
      <c r="N70" s="429"/>
      <c r="O70" s="429"/>
      <c r="P70" s="429"/>
      <c r="Q70" s="429"/>
      <c r="R70" s="429"/>
      <c r="S70" s="429"/>
      <c r="T70" s="429"/>
      <c r="U70" s="429"/>
      <c r="V70" s="429"/>
      <c r="W70" s="429"/>
      <c r="X70" s="429"/>
      <c r="Y70" s="429"/>
      <c r="Z70" s="429"/>
      <c r="AA70" s="429"/>
      <c r="AB70" s="429"/>
    </row>
    <row r="71" spans="2:28" ht="21" x14ac:dyDescent="0.25">
      <c r="B71" s="429"/>
      <c r="C71" s="29" t="s">
        <v>620</v>
      </c>
      <c r="D71" s="30">
        <f>(0.5*D41*I40*D49*D58*G58*J58*M58*P58*S58+D39*D50*D59*G59*J59*M59*P59*S59+'VER. GEO CONDIZIONI DRENATE'!D40*I42*D51*D60*G60*J60*M60*P60*S60)</f>
        <v>378.72548367636489</v>
      </c>
      <c r="E71" s="31" t="s">
        <v>621</v>
      </c>
      <c r="F71" s="429"/>
      <c r="G71" s="29" t="s">
        <v>622</v>
      </c>
      <c r="H71" s="30">
        <f>IF(I40=0,0,IF('FOGLIO DEPOSITO'!C108=0,0,D71*I40*'FOGLIO DEPOSITO'!C108))</f>
        <v>340.47676848850506</v>
      </c>
      <c r="I71" s="31" t="s">
        <v>12</v>
      </c>
      <c r="J71" s="429"/>
      <c r="K71" s="640"/>
      <c r="L71" s="9"/>
      <c r="M71" s="640"/>
      <c r="N71" s="429"/>
      <c r="O71" s="429"/>
      <c r="P71" s="429"/>
      <c r="Q71" s="429"/>
      <c r="R71" s="429"/>
      <c r="S71" s="429"/>
      <c r="T71" s="429"/>
      <c r="U71" s="429"/>
      <c r="V71" s="429"/>
      <c r="W71" s="429"/>
      <c r="X71" s="429"/>
      <c r="Y71" s="429"/>
      <c r="Z71" s="429"/>
      <c r="AA71" s="429"/>
      <c r="AB71" s="429"/>
    </row>
    <row r="72" spans="2:28" x14ac:dyDescent="0.25">
      <c r="B72" s="11"/>
      <c r="C72" s="640"/>
      <c r="D72" s="9"/>
      <c r="E72" s="640"/>
      <c r="F72" s="429"/>
      <c r="G72" s="640"/>
      <c r="H72" s="9"/>
      <c r="I72" s="640"/>
      <c r="J72" s="429"/>
      <c r="K72" s="640"/>
      <c r="L72" s="9"/>
      <c r="M72" s="640"/>
      <c r="N72" s="429"/>
      <c r="O72" s="429"/>
      <c r="P72" s="429"/>
      <c r="Q72" s="429"/>
      <c r="R72" s="429"/>
      <c r="S72" s="429"/>
      <c r="T72" s="429"/>
      <c r="U72" s="429"/>
      <c r="V72" s="429"/>
      <c r="W72" s="429"/>
      <c r="X72" s="429"/>
      <c r="Y72" s="429"/>
      <c r="Z72" s="429"/>
      <c r="AA72" s="429"/>
      <c r="AB72" s="429"/>
    </row>
    <row r="73" spans="2:28" x14ac:dyDescent="0.25">
      <c r="B73" s="11"/>
      <c r="C73" s="640"/>
      <c r="D73" s="9"/>
      <c r="E73" s="640"/>
      <c r="F73" s="429"/>
      <c r="G73" s="640"/>
      <c r="H73" s="9"/>
      <c r="I73" s="640"/>
      <c r="J73" s="429"/>
      <c r="K73" s="640"/>
      <c r="L73" s="9"/>
      <c r="M73" s="640"/>
      <c r="N73" s="429"/>
      <c r="O73" s="429"/>
      <c r="P73" s="429"/>
      <c r="Q73" s="429"/>
      <c r="R73" s="429"/>
      <c r="S73" s="429"/>
      <c r="T73" s="429"/>
      <c r="U73" s="429"/>
      <c r="V73" s="429"/>
      <c r="W73" s="429"/>
      <c r="X73" s="429"/>
      <c r="Y73" s="429"/>
      <c r="Z73" s="429"/>
      <c r="AA73" s="429"/>
      <c r="AB73" s="429"/>
    </row>
    <row r="74" spans="2:28" x14ac:dyDescent="0.25">
      <c r="B74" s="11"/>
      <c r="C74" s="640"/>
      <c r="D74" s="9"/>
      <c r="E74" s="640"/>
      <c r="F74" s="429"/>
      <c r="G74" s="640"/>
      <c r="H74" s="9"/>
      <c r="I74" s="640"/>
      <c r="J74" s="429"/>
      <c r="K74" s="640"/>
      <c r="L74" s="9"/>
      <c r="M74" s="640"/>
      <c r="N74" s="429"/>
      <c r="O74" s="429"/>
      <c r="P74" s="429"/>
      <c r="Q74" s="429"/>
      <c r="R74" s="429"/>
      <c r="S74" s="429"/>
      <c r="T74" s="429"/>
      <c r="U74" s="429"/>
      <c r="V74" s="429"/>
      <c r="W74" s="429"/>
      <c r="X74" s="429"/>
      <c r="Y74" s="429"/>
      <c r="Z74" s="429"/>
      <c r="AA74" s="429"/>
      <c r="AB74" s="429"/>
    </row>
    <row r="75" spans="2:28" x14ac:dyDescent="0.25">
      <c r="B75" s="11"/>
      <c r="C75" s="640"/>
      <c r="D75" s="9"/>
      <c r="E75" s="640"/>
      <c r="F75" s="429"/>
      <c r="G75" s="640"/>
      <c r="H75" s="9"/>
      <c r="I75" s="640"/>
      <c r="J75" s="429"/>
      <c r="K75" s="640"/>
      <c r="L75" s="9"/>
      <c r="M75" s="640"/>
      <c r="N75" s="429"/>
      <c r="O75" s="429"/>
      <c r="P75" s="429"/>
      <c r="Q75" s="429"/>
      <c r="R75" s="429"/>
      <c r="S75" s="429"/>
      <c r="T75" s="429"/>
      <c r="U75" s="429"/>
      <c r="V75" s="429"/>
      <c r="W75" s="429"/>
      <c r="X75" s="429"/>
      <c r="Y75" s="429"/>
      <c r="Z75" s="429"/>
      <c r="AA75" s="429"/>
      <c r="AB75" s="429"/>
    </row>
    <row r="76" spans="2:28" x14ac:dyDescent="0.25">
      <c r="B76" s="11"/>
      <c r="C76" s="640"/>
      <c r="D76" s="9"/>
      <c r="E76" s="640"/>
      <c r="F76" s="429"/>
      <c r="G76" s="640"/>
      <c r="H76" s="9"/>
      <c r="I76" s="640"/>
      <c r="J76" s="429"/>
      <c r="K76" s="640"/>
      <c r="L76" s="9"/>
      <c r="M76" s="640"/>
      <c r="N76" s="429"/>
      <c r="O76" s="429"/>
      <c r="P76" s="429"/>
      <c r="Q76" s="429"/>
      <c r="R76" s="429"/>
      <c r="S76" s="429"/>
      <c r="T76" s="429"/>
      <c r="U76" s="429"/>
      <c r="V76" s="429"/>
      <c r="W76" s="429"/>
      <c r="X76" s="429"/>
      <c r="Y76" s="429"/>
      <c r="Z76" s="429"/>
      <c r="AA76" s="429"/>
      <c r="AB76" s="429"/>
    </row>
    <row r="77" spans="2:28" x14ac:dyDescent="0.25">
      <c r="B77" s="11"/>
      <c r="C77" s="640"/>
      <c r="D77" s="9"/>
      <c r="E77" s="640"/>
      <c r="F77" s="429"/>
      <c r="G77" s="640"/>
      <c r="H77" s="9"/>
      <c r="I77" s="640"/>
      <c r="J77" s="429"/>
      <c r="K77" s="640"/>
      <c r="L77" s="9"/>
      <c r="M77" s="640"/>
      <c r="N77" s="429"/>
      <c r="O77" s="429"/>
      <c r="P77" s="429"/>
      <c r="Q77" s="429"/>
      <c r="R77" s="429"/>
      <c r="S77" s="429"/>
      <c r="T77" s="429"/>
      <c r="U77" s="429"/>
      <c r="V77" s="429"/>
      <c r="W77" s="429"/>
      <c r="X77" s="429"/>
      <c r="Y77" s="429"/>
      <c r="Z77" s="429"/>
      <c r="AA77" s="429"/>
      <c r="AB77" s="429"/>
    </row>
    <row r="78" spans="2:28" x14ac:dyDescent="0.25">
      <c r="B78" s="11"/>
      <c r="C78" s="640"/>
      <c r="D78" s="9"/>
      <c r="E78" s="640"/>
      <c r="F78" s="429"/>
      <c r="G78" s="640"/>
      <c r="H78" s="9"/>
      <c r="I78" s="640"/>
      <c r="J78" s="429"/>
      <c r="K78" s="640"/>
      <c r="L78" s="9"/>
      <c r="M78" s="640"/>
      <c r="N78" s="429"/>
      <c r="O78" s="429"/>
      <c r="P78" s="429"/>
      <c r="Q78" s="429"/>
      <c r="R78" s="429"/>
      <c r="S78" s="429"/>
      <c r="T78" s="429"/>
      <c r="U78" s="429"/>
      <c r="V78" s="429"/>
      <c r="W78" s="429"/>
      <c r="X78" s="429"/>
      <c r="Y78" s="429"/>
      <c r="Z78" s="429"/>
      <c r="AA78" s="429"/>
      <c r="AB78" s="429"/>
    </row>
    <row r="79" spans="2:28" x14ac:dyDescent="0.25">
      <c r="B79" s="429"/>
      <c r="C79" s="429"/>
      <c r="D79" s="429" t="s">
        <v>623</v>
      </c>
      <c r="E79" s="429"/>
      <c r="F79" s="429"/>
      <c r="G79" s="429"/>
      <c r="H79" s="429"/>
      <c r="I79" s="429"/>
      <c r="J79" s="429"/>
      <c r="K79" s="429"/>
      <c r="L79" s="429"/>
      <c r="M79" s="429"/>
      <c r="N79" s="429"/>
      <c r="O79" s="429"/>
      <c r="P79" s="429"/>
      <c r="Q79" s="429"/>
      <c r="R79" s="429"/>
      <c r="S79" s="429"/>
      <c r="T79" s="429"/>
      <c r="U79" s="429"/>
      <c r="V79" s="429"/>
      <c r="W79" s="429"/>
      <c r="X79" s="429"/>
      <c r="Y79" s="429"/>
      <c r="Z79" s="429"/>
      <c r="AA79" s="429"/>
      <c r="AB79" s="429"/>
    </row>
    <row r="80" spans="2:28" x14ac:dyDescent="0.25">
      <c r="B80" s="429"/>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29"/>
      <c r="AA80" s="429"/>
      <c r="AB80" s="429"/>
    </row>
    <row r="81" spans="2:28" x14ac:dyDescent="0.25">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row>
    <row r="82" spans="2:28" ht="16.5" thickBot="1" x14ac:dyDescent="0.3">
      <c r="B82" s="15" t="s">
        <v>762</v>
      </c>
      <c r="C82" s="429"/>
      <c r="D82" s="429"/>
      <c r="E82" s="429"/>
      <c r="F82" s="429"/>
      <c r="G82" s="429"/>
      <c r="H82" s="429"/>
      <c r="I82" s="429"/>
      <c r="J82" s="429"/>
      <c r="K82" s="429"/>
      <c r="L82" s="429"/>
      <c r="M82" s="429"/>
      <c r="N82" s="429"/>
      <c r="O82" s="429"/>
      <c r="P82" s="429"/>
      <c r="Q82" s="429"/>
      <c r="R82" s="429"/>
      <c r="S82" s="429"/>
      <c r="T82" s="429"/>
      <c r="U82" s="429"/>
      <c r="V82" s="429"/>
      <c r="W82" s="429"/>
      <c r="X82" s="429"/>
      <c r="Y82" s="429"/>
      <c r="Z82" s="429"/>
      <c r="AA82" s="429"/>
      <c r="AB82" s="429"/>
    </row>
    <row r="83" spans="2:28" ht="21.75" thickBot="1" x14ac:dyDescent="0.35">
      <c r="B83" s="431" t="s">
        <v>625</v>
      </c>
      <c r="C83" s="632" t="s">
        <v>624</v>
      </c>
      <c r="D83" s="435">
        <f>N38</f>
        <v>144.76251939085117</v>
      </c>
      <c r="E83" s="433" t="s">
        <v>12</v>
      </c>
      <c r="F83" s="429"/>
      <c r="G83" s="429"/>
      <c r="H83" s="901" t="str">
        <f>IF(H71&lt;=0,"NON VERIFICATO",IF(D83/D84&lt;=1,"verificato","NON VERIFICATO!"))</f>
        <v>verificato</v>
      </c>
      <c r="I83" s="902"/>
      <c r="J83" s="429"/>
      <c r="K83" s="436" t="str">
        <f>N66</f>
        <v/>
      </c>
      <c r="L83" s="429"/>
      <c r="M83" s="429"/>
      <c r="N83" s="429"/>
      <c r="O83" s="429"/>
      <c r="P83" s="429"/>
      <c r="Q83" s="429"/>
      <c r="R83" s="429"/>
      <c r="S83" s="429"/>
      <c r="T83" s="429"/>
      <c r="U83" s="429"/>
      <c r="V83" s="429"/>
      <c r="W83" s="429"/>
      <c r="X83" s="429"/>
      <c r="Y83" s="429"/>
      <c r="Z83" s="429"/>
      <c r="AA83" s="429"/>
      <c r="AB83" s="429"/>
    </row>
    <row r="84" spans="2:28" ht="21" x14ac:dyDescent="0.25">
      <c r="B84" s="429"/>
      <c r="C84" s="632" t="s">
        <v>626</v>
      </c>
      <c r="D84" s="435">
        <f>H71/DATI!E283</f>
        <v>283.73064040708755</v>
      </c>
      <c r="E84" s="433" t="s">
        <v>12</v>
      </c>
      <c r="F84" s="429"/>
      <c r="G84" s="429"/>
      <c r="H84" s="903">
        <f>IF(D84=0,0,D84/D83)</f>
        <v>1.9599730759108287</v>
      </c>
      <c r="I84" s="903"/>
      <c r="J84" s="429"/>
      <c r="K84" s="429"/>
      <c r="L84" s="429"/>
      <c r="M84" s="429"/>
      <c r="N84" s="429"/>
      <c r="O84" s="429"/>
      <c r="P84" s="429"/>
      <c r="Q84" s="429"/>
      <c r="R84" s="429"/>
      <c r="S84" s="429"/>
      <c r="T84" s="429"/>
      <c r="U84" s="429"/>
      <c r="V84" s="429"/>
      <c r="W84" s="429"/>
      <c r="X84" s="429"/>
      <c r="Y84" s="429"/>
      <c r="Z84" s="429"/>
      <c r="AA84" s="429"/>
      <c r="AB84" s="429"/>
    </row>
    <row r="85" spans="2:28" ht="7.5" customHeight="1" x14ac:dyDescent="0.25">
      <c r="B85" s="431"/>
      <c r="C85" s="632"/>
      <c r="D85" s="435"/>
      <c r="E85" s="433"/>
      <c r="F85" s="429"/>
      <c r="G85" s="429"/>
      <c r="H85" s="638"/>
      <c r="I85" s="638"/>
      <c r="J85" s="429"/>
      <c r="K85" s="429"/>
      <c r="L85" s="429"/>
      <c r="M85" s="429"/>
      <c r="N85" s="429"/>
      <c r="O85" s="429"/>
      <c r="P85" s="429"/>
      <c r="Q85" s="429"/>
      <c r="R85" s="429"/>
      <c r="S85" s="429"/>
      <c r="T85" s="429"/>
      <c r="U85" s="429"/>
      <c r="V85" s="429"/>
      <c r="W85" s="429"/>
      <c r="X85" s="429"/>
      <c r="Y85" s="429"/>
      <c r="Z85" s="429"/>
      <c r="AA85" s="429"/>
      <c r="AB85" s="429"/>
    </row>
    <row r="86" spans="2:28" x14ac:dyDescent="0.25">
      <c r="B86" s="429"/>
      <c r="C86" s="628" t="s">
        <v>627</v>
      </c>
      <c r="D86" s="70">
        <f>D83/(I40*'FOGLIO DEPOSITO'!C108)</f>
        <v>161.02495162268386</v>
      </c>
      <c r="E86" s="628" t="s">
        <v>628</v>
      </c>
      <c r="F86" s="429"/>
      <c r="G86" s="429"/>
      <c r="H86" s="429"/>
      <c r="I86" s="429"/>
      <c r="J86" s="429"/>
      <c r="K86" s="429"/>
      <c r="L86" s="429"/>
      <c r="M86" s="429"/>
      <c r="N86" s="429"/>
      <c r="O86" s="429"/>
      <c r="P86" s="429"/>
      <c r="Q86" s="429"/>
      <c r="R86" s="429"/>
      <c r="S86" s="429"/>
      <c r="T86" s="429"/>
      <c r="U86" s="429"/>
      <c r="V86" s="429"/>
      <c r="W86" s="429"/>
      <c r="X86" s="429"/>
      <c r="Y86" s="429"/>
      <c r="Z86" s="429"/>
      <c r="AA86" s="429"/>
      <c r="AB86" s="429"/>
    </row>
    <row r="87" spans="2:28" ht="15.75" x14ac:dyDescent="0.25">
      <c r="B87" s="429"/>
      <c r="C87" s="628" t="s">
        <v>629</v>
      </c>
      <c r="D87" s="70">
        <f>IF(I40=0,0,IF('FOGLIO DEPOSITO'!C108=0,0,D84/(I40*'FOGLIO DEPOSITO'!C108)))</f>
        <v>315.60456973030409</v>
      </c>
      <c r="E87" s="628" t="s">
        <v>628</v>
      </c>
      <c r="F87" s="429"/>
      <c r="G87" s="429"/>
      <c r="H87" s="429"/>
      <c r="I87" s="429"/>
      <c r="J87" s="429"/>
      <c r="K87" s="429"/>
      <c r="L87" s="429"/>
      <c r="M87" s="429"/>
      <c r="N87" s="429"/>
      <c r="O87" s="429"/>
      <c r="P87" s="429"/>
      <c r="Q87" s="429"/>
      <c r="R87" s="429"/>
      <c r="S87" s="429"/>
      <c r="T87" s="429"/>
      <c r="U87" s="429"/>
      <c r="V87" s="429"/>
      <c r="W87" s="429"/>
      <c r="X87" s="429"/>
      <c r="Y87" s="429"/>
      <c r="Z87" s="429"/>
      <c r="AA87" s="429"/>
      <c r="AB87" s="429"/>
    </row>
    <row r="88" spans="2:28" x14ac:dyDescent="0.25">
      <c r="B88" s="429"/>
      <c r="C88" s="429"/>
      <c r="D88" s="429"/>
      <c r="E88" s="429"/>
      <c r="F88" s="429"/>
      <c r="G88" s="429"/>
      <c r="H88" s="429"/>
      <c r="I88" s="429"/>
      <c r="J88" s="429"/>
      <c r="K88" s="429"/>
      <c r="L88" s="429"/>
      <c r="M88" s="429"/>
      <c r="N88" s="429"/>
      <c r="O88" s="429"/>
      <c r="P88" s="429"/>
      <c r="Q88" s="429"/>
      <c r="R88" s="429"/>
      <c r="S88" s="429"/>
      <c r="T88" s="429"/>
      <c r="U88" s="429"/>
      <c r="V88" s="429"/>
      <c r="W88" s="429"/>
      <c r="X88" s="429"/>
      <c r="Y88" s="429"/>
      <c r="Z88" s="429"/>
      <c r="AA88" s="429"/>
      <c r="AB88" s="429"/>
    </row>
    <row r="89" spans="2:28" ht="15.75" x14ac:dyDescent="0.25">
      <c r="B89" s="15" t="s">
        <v>763</v>
      </c>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c r="AB89" s="429"/>
    </row>
    <row r="90" spans="2:28" ht="15.75" thickBot="1" x14ac:dyDescent="0.3">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row>
    <row r="91" spans="2:28" ht="21.75" thickBot="1" x14ac:dyDescent="0.3">
      <c r="B91" s="429"/>
      <c r="C91" s="632" t="s">
        <v>624</v>
      </c>
      <c r="D91" s="435">
        <f>N39</f>
        <v>54.684656336963357</v>
      </c>
      <c r="E91" s="433" t="s">
        <v>12</v>
      </c>
      <c r="F91" s="429"/>
      <c r="G91" s="429"/>
      <c r="H91" s="901" t="str">
        <f>IF(D91/D92&lt;=1,"verificato","NON VERIFICATO!")</f>
        <v>verificato</v>
      </c>
      <c r="I91" s="902"/>
      <c r="J91" s="429"/>
      <c r="K91" s="429"/>
      <c r="L91" s="429"/>
      <c r="M91" s="429"/>
      <c r="N91" s="429"/>
      <c r="O91" s="429"/>
      <c r="P91" s="429"/>
      <c r="Q91" s="429"/>
      <c r="R91" s="429"/>
      <c r="S91" s="429"/>
      <c r="T91" s="429"/>
      <c r="U91" s="429"/>
      <c r="V91" s="429"/>
      <c r="W91" s="429"/>
      <c r="X91" s="429"/>
      <c r="Y91" s="429"/>
      <c r="Z91" s="429"/>
      <c r="AA91" s="429"/>
      <c r="AB91" s="429"/>
    </row>
    <row r="92" spans="2:28" ht="21" x14ac:dyDescent="0.25">
      <c r="B92" s="429"/>
      <c r="C92" s="632" t="s">
        <v>626</v>
      </c>
      <c r="D92" s="435">
        <f>1/DATI!E285*((D39*I40*I39*'FOGLIO DEPOSITO'!C108+'FOGLIO DEPOSITO'!D40*TAN(IF(I94="si",DEGREES(ATAN(TAN(RADIANS(J94))/DATI!E277)),2/3*$D$38)*PI()/180))+((TAN(RADIANS(45+D38/2))^2)*IF((I42+DATI!E81-I41)&lt;0,0,(I42+DATI!E81-I41))*D41)*IF(I96="si",0,1))</f>
        <v>60.166885804894754</v>
      </c>
      <c r="E92" s="433" t="s">
        <v>12</v>
      </c>
      <c r="F92" s="429"/>
      <c r="G92" s="429"/>
      <c r="H92" s="903">
        <f>IF(D92=0,0,D92/D91)</f>
        <v>1.1002516946280188</v>
      </c>
      <c r="I92" s="903"/>
      <c r="J92" s="429"/>
      <c r="K92" s="429"/>
      <c r="L92" s="429"/>
      <c r="M92" s="21"/>
      <c r="N92" s="429"/>
      <c r="O92" s="429"/>
      <c r="P92" s="429"/>
      <c r="Q92" s="429"/>
      <c r="R92" s="429"/>
      <c r="S92" s="429"/>
      <c r="T92" s="429"/>
      <c r="U92" s="429"/>
      <c r="V92" s="429"/>
      <c r="W92" s="429"/>
      <c r="X92" s="429"/>
      <c r="Y92" s="429"/>
      <c r="Z92" s="429"/>
      <c r="AA92" s="429"/>
      <c r="AB92" s="429"/>
    </row>
    <row r="93" spans="2:28" ht="15.75" thickBot="1" x14ac:dyDescent="0.3">
      <c r="B93" s="429"/>
      <c r="C93" s="429"/>
      <c r="D93" s="429"/>
      <c r="E93" s="429"/>
      <c r="F93" s="429"/>
      <c r="G93" s="429"/>
      <c r="H93" s="429"/>
      <c r="I93" s="429"/>
      <c r="J93" s="430" t="s">
        <v>773</v>
      </c>
      <c r="K93" s="430" t="s">
        <v>774</v>
      </c>
      <c r="L93" s="429"/>
      <c r="M93" s="429"/>
      <c r="N93" s="429"/>
      <c r="O93" s="429"/>
      <c r="P93" s="429"/>
      <c r="Q93" s="429"/>
      <c r="R93" s="429"/>
      <c r="S93" s="429"/>
      <c r="T93" s="429"/>
      <c r="U93" s="429"/>
      <c r="V93" s="429"/>
      <c r="W93" s="429"/>
      <c r="X93" s="429"/>
      <c r="Y93" s="429"/>
      <c r="Z93" s="429"/>
      <c r="AA93" s="429"/>
      <c r="AB93" s="429"/>
    </row>
    <row r="94" spans="2:28" s="428" customFormat="1" ht="16.5" thickTop="1" thickBot="1" x14ac:dyDescent="0.3">
      <c r="B94" s="429"/>
      <c r="C94" s="437" t="s">
        <v>772</v>
      </c>
      <c r="D94" s="429"/>
      <c r="E94" s="429"/>
      <c r="F94" s="429"/>
      <c r="G94" s="429"/>
      <c r="H94" s="450"/>
      <c r="I94" s="67" t="s">
        <v>155</v>
      </c>
      <c r="J94" s="668">
        <v>22</v>
      </c>
      <c r="K94" s="792">
        <f>DEGREES(ATAN(TAN(RADIANS(J94))/DATI!E277))</f>
        <v>22</v>
      </c>
      <c r="L94" s="429"/>
      <c r="M94" s="429"/>
      <c r="N94" s="429"/>
      <c r="O94" s="429"/>
      <c r="P94" s="429"/>
      <c r="Q94" s="429"/>
      <c r="R94" s="429"/>
      <c r="S94" s="429"/>
      <c r="T94" s="429"/>
      <c r="U94" s="429"/>
      <c r="V94" s="429"/>
      <c r="W94" s="429"/>
      <c r="X94" s="429"/>
      <c r="Y94" s="429"/>
      <c r="Z94" s="429"/>
      <c r="AA94" s="429"/>
      <c r="AB94" s="429"/>
    </row>
    <row r="95" spans="2:28" s="428" customFormat="1" ht="10.5" customHeight="1" thickTop="1" thickBot="1" x14ac:dyDescent="0.3">
      <c r="B95" s="429"/>
      <c r="C95" s="429"/>
      <c r="D95" s="429"/>
      <c r="E95" s="429"/>
      <c r="F95" s="429"/>
      <c r="G95" s="429"/>
      <c r="H95" s="429"/>
      <c r="I95" s="429"/>
      <c r="J95" s="429"/>
      <c r="K95" s="429"/>
      <c r="L95" s="429"/>
      <c r="M95" s="429"/>
      <c r="N95" s="429"/>
      <c r="O95" s="429"/>
      <c r="P95" s="429"/>
      <c r="Q95" s="429"/>
      <c r="R95" s="429"/>
      <c r="S95" s="429"/>
      <c r="T95" s="429"/>
      <c r="U95" s="429"/>
      <c r="V95" s="429"/>
      <c r="W95" s="429"/>
      <c r="X95" s="429"/>
      <c r="Y95" s="429"/>
      <c r="Z95" s="429"/>
      <c r="AA95" s="429"/>
      <c r="AB95" s="429"/>
    </row>
    <row r="96" spans="2:28" s="428" customFormat="1" ht="16.5" thickTop="1" thickBot="1" x14ac:dyDescent="0.3">
      <c r="B96" s="429"/>
      <c r="C96" s="437" t="s">
        <v>770</v>
      </c>
      <c r="D96" s="429"/>
      <c r="E96" s="429"/>
      <c r="F96" s="429"/>
      <c r="G96" s="429"/>
      <c r="H96" s="450"/>
      <c r="I96" s="67" t="s">
        <v>158</v>
      </c>
      <c r="J96" s="429"/>
      <c r="K96" s="429"/>
      <c r="L96" s="429"/>
      <c r="M96" s="429"/>
      <c r="N96" s="429"/>
      <c r="O96" s="429"/>
      <c r="P96" s="429"/>
      <c r="Q96" s="429"/>
      <c r="R96" s="429"/>
      <c r="S96" s="429"/>
      <c r="T96" s="429"/>
      <c r="U96" s="429"/>
      <c r="V96" s="429"/>
      <c r="W96" s="429"/>
      <c r="X96" s="429"/>
      <c r="Y96" s="429"/>
      <c r="Z96" s="429"/>
      <c r="AA96" s="429"/>
      <c r="AB96" s="429"/>
    </row>
    <row r="97" spans="2:28" s="428" customFormat="1" ht="9" customHeight="1" thickTop="1" x14ac:dyDescent="0.25">
      <c r="B97" s="429"/>
      <c r="C97" s="437"/>
      <c r="D97" s="429"/>
      <c r="E97" s="429"/>
      <c r="F97" s="429"/>
      <c r="G97" s="429"/>
      <c r="H97" s="628"/>
      <c r="I97" s="20"/>
      <c r="J97" s="429"/>
      <c r="K97" s="429"/>
      <c r="L97" s="429"/>
      <c r="M97" s="429"/>
      <c r="N97" s="429"/>
      <c r="O97" s="429"/>
      <c r="P97" s="429"/>
      <c r="Q97" s="429"/>
      <c r="R97" s="429"/>
      <c r="S97" s="429"/>
      <c r="T97" s="429"/>
      <c r="U97" s="429"/>
      <c r="V97" s="429"/>
      <c r="W97" s="429"/>
      <c r="X97" s="429"/>
      <c r="Y97" s="429"/>
      <c r="Z97" s="429"/>
      <c r="AA97" s="429"/>
      <c r="AB97" s="429"/>
    </row>
    <row r="98" spans="2:28" s="428" customFormat="1" x14ac:dyDescent="0.25">
      <c r="B98" s="429"/>
      <c r="C98" s="437" t="s">
        <v>880</v>
      </c>
      <c r="D98" s="429"/>
      <c r="E98" s="429"/>
      <c r="F98" s="429"/>
      <c r="G98" s="429"/>
      <c r="H98" s="628"/>
      <c r="I98" s="732">
        <f>IF((I42+DATI!E81-I41)&lt;0,0,(I42+DATI!E81-I41))</f>
        <v>0.30000000000000004</v>
      </c>
      <c r="J98" s="429"/>
      <c r="K98" s="429"/>
      <c r="L98" s="429"/>
      <c r="M98" s="429"/>
      <c r="N98" s="429"/>
      <c r="O98" s="429"/>
      <c r="P98" s="429"/>
      <c r="Q98" s="429"/>
      <c r="R98" s="429"/>
      <c r="S98" s="429"/>
      <c r="T98" s="429"/>
      <c r="U98" s="429"/>
      <c r="V98" s="429"/>
      <c r="W98" s="429"/>
      <c r="X98" s="429"/>
      <c r="Y98" s="429"/>
      <c r="Z98" s="429"/>
      <c r="AA98" s="429"/>
      <c r="AB98" s="429"/>
    </row>
    <row r="99" spans="2:28" x14ac:dyDescent="0.25">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c r="AB99" s="429"/>
    </row>
    <row r="100" spans="2:28" x14ac:dyDescent="0.25">
      <c r="B100" s="429"/>
      <c r="C100" s="429"/>
      <c r="D100" s="429"/>
      <c r="E100" s="429"/>
      <c r="F100" s="429"/>
      <c r="G100" s="429"/>
      <c r="H100" s="429"/>
      <c r="I100" s="429"/>
      <c r="J100" s="429"/>
      <c r="K100" s="429"/>
      <c r="L100" s="429"/>
      <c r="M100" s="429"/>
      <c r="N100" s="429"/>
      <c r="O100" s="429"/>
      <c r="P100" s="429"/>
      <c r="Q100" s="429"/>
      <c r="R100" s="429"/>
      <c r="S100" s="429"/>
      <c r="T100" s="429"/>
      <c r="U100" s="429"/>
      <c r="V100" s="429"/>
      <c r="W100" s="429"/>
      <c r="X100" s="429"/>
      <c r="Y100" s="429"/>
      <c r="Z100" s="429"/>
      <c r="AA100" s="429"/>
      <c r="AB100" s="429"/>
    </row>
    <row r="101" spans="2:28" ht="15.75" x14ac:dyDescent="0.25">
      <c r="B101" s="15" t="s">
        <v>764</v>
      </c>
      <c r="C101" s="429"/>
      <c r="D101" s="429"/>
      <c r="E101" s="429"/>
      <c r="F101" s="429"/>
      <c r="G101" s="429"/>
      <c r="H101" s="429"/>
      <c r="I101" s="429"/>
      <c r="J101" s="429"/>
      <c r="K101" s="429"/>
      <c r="L101" s="429"/>
      <c r="M101" s="429"/>
      <c r="N101" s="793"/>
      <c r="O101" s="429"/>
      <c r="P101" s="429"/>
      <c r="Q101" s="429"/>
      <c r="R101" s="429"/>
      <c r="S101" s="429"/>
      <c r="T101" s="429"/>
      <c r="U101" s="429"/>
      <c r="V101" s="429"/>
      <c r="W101" s="429"/>
      <c r="X101" s="429"/>
      <c r="Y101" s="429"/>
      <c r="Z101" s="429"/>
      <c r="AA101" s="429"/>
      <c r="AB101" s="429"/>
    </row>
    <row r="102" spans="2:28" x14ac:dyDescent="0.25">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c r="AA102" s="429"/>
      <c r="AB102" s="429"/>
    </row>
    <row r="103" spans="2:28" ht="18.75" x14ac:dyDescent="0.25">
      <c r="B103" s="429" t="s">
        <v>630</v>
      </c>
      <c r="C103" s="38" t="s">
        <v>631</v>
      </c>
      <c r="D103" s="676">
        <f>D42*D45/2</f>
        <v>17.332915104262913</v>
      </c>
      <c r="E103" s="640"/>
      <c r="F103" s="429"/>
      <c r="G103" s="429"/>
      <c r="H103" s="429"/>
      <c r="I103" s="429"/>
      <c r="J103" s="429"/>
      <c r="K103" s="429"/>
      <c r="L103" s="429"/>
      <c r="M103" s="429"/>
      <c r="N103" s="429"/>
      <c r="O103" s="429"/>
      <c r="P103" s="429"/>
      <c r="Q103" s="429"/>
      <c r="R103" s="429"/>
      <c r="S103" s="429"/>
      <c r="T103" s="429"/>
      <c r="U103" s="429"/>
      <c r="V103" s="429"/>
      <c r="W103" s="429"/>
      <c r="X103" s="429"/>
      <c r="Y103" s="429"/>
      <c r="Z103" s="429"/>
      <c r="AA103" s="429"/>
      <c r="AB103" s="429"/>
    </row>
    <row r="104" spans="2:28" x14ac:dyDescent="0.25">
      <c r="B104" s="429"/>
      <c r="C104" s="429"/>
      <c r="D104" s="640"/>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c r="AA104" s="429"/>
      <c r="AB104" s="429"/>
    </row>
    <row r="105" spans="2:28" ht="18.75" x14ac:dyDescent="0.25">
      <c r="B105" s="429" t="s">
        <v>632</v>
      </c>
      <c r="C105" s="38" t="s">
        <v>301</v>
      </c>
      <c r="D105" s="919">
        <f>DATI!E246</f>
        <v>107100</v>
      </c>
      <c r="E105" s="919"/>
      <c r="F105" s="429"/>
      <c r="G105" s="429"/>
      <c r="H105" s="429"/>
      <c r="I105" s="429"/>
      <c r="J105" s="429"/>
      <c r="K105" s="429"/>
      <c r="L105" s="429"/>
      <c r="M105" s="429"/>
      <c r="N105" s="429"/>
      <c r="O105" s="429"/>
      <c r="P105" s="429"/>
      <c r="Q105" s="429"/>
      <c r="R105" s="429"/>
      <c r="S105" s="429"/>
      <c r="T105" s="429"/>
      <c r="U105" s="429"/>
      <c r="V105" s="429"/>
      <c r="W105" s="429"/>
      <c r="X105" s="429"/>
      <c r="Y105" s="429"/>
      <c r="Z105" s="429"/>
      <c r="AA105" s="429"/>
      <c r="AB105" s="429"/>
    </row>
    <row r="106" spans="2:28" x14ac:dyDescent="0.25">
      <c r="B106" s="429"/>
      <c r="C106" s="429"/>
      <c r="D106" s="640"/>
      <c r="E106" s="429"/>
      <c r="F106" s="429"/>
      <c r="G106" s="429"/>
      <c r="H106" s="429"/>
      <c r="I106" s="429"/>
      <c r="J106" s="429"/>
      <c r="K106" s="429"/>
      <c r="L106" s="429"/>
      <c r="M106" s="429"/>
      <c r="N106" s="429"/>
      <c r="O106" s="429"/>
      <c r="P106" s="429"/>
      <c r="Q106" s="429"/>
      <c r="R106" s="429"/>
      <c r="S106" s="429"/>
      <c r="T106" s="429"/>
      <c r="U106" s="429"/>
      <c r="V106" s="429"/>
      <c r="W106" s="429"/>
      <c r="X106" s="429"/>
      <c r="Y106" s="429"/>
      <c r="Z106" s="429"/>
      <c r="AA106" s="429"/>
      <c r="AB106" s="429"/>
    </row>
    <row r="107" spans="2:28" x14ac:dyDescent="0.25">
      <c r="B107" s="429"/>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row>
    <row r="108" spans="2:28" ht="18.75" x14ac:dyDescent="0.25">
      <c r="B108" s="429"/>
      <c r="C108" s="39" t="s">
        <v>633</v>
      </c>
      <c r="D108" s="10">
        <f>(D105/(2*(1+0.15)))/(D39+D103*TAN($D$38*PI()/180))</f>
        <v>3836.7477138654444</v>
      </c>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29"/>
      <c r="AA108" s="429"/>
      <c r="AB108" s="429"/>
    </row>
    <row r="109" spans="2:28" x14ac:dyDescent="0.25">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c r="AB109" s="429"/>
    </row>
    <row r="110" spans="2:28" ht="18.75" x14ac:dyDescent="0.3">
      <c r="B110" s="429"/>
      <c r="C110" s="39" t="s">
        <v>634</v>
      </c>
      <c r="D110" s="429">
        <f>0.5*EXP(3.3-0.45*(I40/'FOGLIO DEPOSITO'!C108))*1/TAN(PI()/4-0.5*$D$38*PI()/180)</f>
        <v>17.376806529499493</v>
      </c>
      <c r="E110" s="429"/>
      <c r="F110" s="921" t="s">
        <v>731</v>
      </c>
      <c r="G110" s="921"/>
      <c r="H110" s="921"/>
      <c r="I110" s="918" t="str">
        <f>IF(D108&lt;D110,"PER PUNZONAMENTO (la verifica di capacità portante è stata modificata per tener conto del punzonamento del terreno)","GENERALE")</f>
        <v>GENERALE</v>
      </c>
      <c r="J110" s="918"/>
      <c r="K110" s="918"/>
      <c r="L110" s="429"/>
      <c r="M110" s="429"/>
      <c r="N110" s="429"/>
      <c r="O110" s="429"/>
      <c r="P110" s="429"/>
      <c r="Q110" s="429"/>
      <c r="R110" s="429"/>
      <c r="S110" s="429"/>
      <c r="T110" s="429"/>
      <c r="U110" s="429"/>
      <c r="V110" s="429"/>
      <c r="W110" s="429"/>
      <c r="X110" s="429"/>
      <c r="Y110" s="429"/>
      <c r="Z110" s="429"/>
      <c r="AA110" s="429"/>
      <c r="AB110" s="429"/>
    </row>
    <row r="111" spans="2:28" x14ac:dyDescent="0.25">
      <c r="B111" s="429"/>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29"/>
      <c r="AA111" s="429"/>
      <c r="AB111" s="429"/>
    </row>
    <row r="112" spans="2:28" x14ac:dyDescent="0.25">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row>
    <row r="113" spans="2:28" ht="15.75" x14ac:dyDescent="0.25">
      <c r="B113" s="15" t="s">
        <v>765</v>
      </c>
      <c r="C113" s="429"/>
      <c r="D113" s="429"/>
      <c r="E113" s="429"/>
      <c r="F113" s="429"/>
      <c r="G113" s="429"/>
      <c r="H113" s="429"/>
      <c r="I113" s="429"/>
      <c r="J113" s="429"/>
      <c r="K113" s="429"/>
      <c r="L113" s="429"/>
      <c r="M113" s="429"/>
      <c r="N113" s="429"/>
      <c r="O113" s="429"/>
      <c r="P113" s="429"/>
      <c r="Q113" s="429"/>
      <c r="R113" s="429"/>
      <c r="S113" s="429"/>
      <c r="T113" s="429"/>
      <c r="U113" s="429"/>
      <c r="V113" s="429"/>
      <c r="W113" s="429"/>
      <c r="X113" s="429"/>
      <c r="Y113" s="429"/>
      <c r="Z113" s="429"/>
      <c r="AA113" s="429"/>
      <c r="AB113" s="429"/>
    </row>
    <row r="114" spans="2:28" x14ac:dyDescent="0.25">
      <c r="B114" s="429"/>
      <c r="C114" s="429"/>
      <c r="D114" s="429"/>
      <c r="E114" s="429"/>
      <c r="F114" s="429"/>
      <c r="G114" s="429"/>
      <c r="H114" s="429"/>
      <c r="I114" s="429"/>
      <c r="J114" s="429"/>
      <c r="K114" s="429"/>
      <c r="L114" s="429"/>
      <c r="M114" s="429"/>
      <c r="N114" s="429"/>
      <c r="O114" s="429"/>
      <c r="P114" s="429"/>
      <c r="Q114" s="429"/>
      <c r="R114" s="429"/>
      <c r="S114" s="429"/>
      <c r="T114" s="429"/>
      <c r="U114" s="429"/>
      <c r="V114" s="429"/>
      <c r="W114" s="429"/>
      <c r="X114" s="429"/>
      <c r="Y114" s="429"/>
      <c r="Z114" s="429"/>
      <c r="AA114" s="429"/>
      <c r="AB114" s="429"/>
    </row>
    <row r="115" spans="2:28" x14ac:dyDescent="0.25">
      <c r="B115" s="429"/>
      <c r="C115" s="429"/>
      <c r="D115" s="429"/>
      <c r="E115" s="429"/>
      <c r="F115" s="429"/>
      <c r="G115" s="429"/>
      <c r="H115" s="429"/>
      <c r="I115" s="429"/>
      <c r="J115" s="429" t="s">
        <v>635</v>
      </c>
      <c r="K115" s="429"/>
      <c r="L115" s="429"/>
      <c r="M115" s="429"/>
      <c r="N115" s="429"/>
      <c r="O115" s="429"/>
      <c r="P115" s="429"/>
      <c r="Q115" s="429"/>
      <c r="R115" s="429"/>
      <c r="S115" s="429"/>
      <c r="T115" s="429"/>
      <c r="U115" s="429"/>
      <c r="V115" s="429"/>
      <c r="W115" s="429"/>
      <c r="X115" s="429"/>
      <c r="Y115" s="429"/>
      <c r="Z115" s="429"/>
      <c r="AA115" s="429"/>
      <c r="AB115" s="429"/>
    </row>
    <row r="116" spans="2:28" x14ac:dyDescent="0.25">
      <c r="B116" s="429"/>
      <c r="C116" s="429"/>
      <c r="D116" s="429"/>
      <c r="E116" s="429"/>
      <c r="F116" s="429"/>
      <c r="G116" s="429"/>
      <c r="H116" s="429"/>
      <c r="I116" s="429"/>
      <c r="J116" s="429" t="s">
        <v>636</v>
      </c>
      <c r="K116" s="429"/>
      <c r="L116" s="429"/>
      <c r="M116" s="429"/>
      <c r="N116" s="429"/>
      <c r="O116" s="429"/>
      <c r="P116" s="429"/>
      <c r="Q116" s="429"/>
      <c r="R116" s="429"/>
      <c r="S116" s="429"/>
      <c r="T116" s="429"/>
      <c r="U116" s="429"/>
      <c r="V116" s="429"/>
      <c r="W116" s="429"/>
      <c r="X116" s="429"/>
      <c r="Y116" s="429"/>
      <c r="Z116" s="429"/>
      <c r="AA116" s="429"/>
      <c r="AB116" s="429"/>
    </row>
    <row r="117" spans="2:28" x14ac:dyDescent="0.25">
      <c r="B117" s="429"/>
      <c r="C117" s="429"/>
      <c r="D117" s="429"/>
      <c r="E117" s="429"/>
      <c r="F117" s="429"/>
      <c r="G117" s="429"/>
      <c r="H117" s="429"/>
      <c r="I117" s="429"/>
      <c r="J117" s="429" t="s">
        <v>637</v>
      </c>
      <c r="K117" s="429"/>
      <c r="L117" s="429"/>
      <c r="M117" s="429"/>
      <c r="N117" s="429"/>
      <c r="O117" s="429"/>
      <c r="P117" s="429"/>
      <c r="Q117" s="429"/>
      <c r="R117" s="429"/>
      <c r="S117" s="429"/>
      <c r="T117" s="429"/>
      <c r="U117" s="429"/>
      <c r="V117" s="429"/>
      <c r="W117" s="429"/>
      <c r="X117" s="429"/>
      <c r="Y117" s="429"/>
      <c r="Z117" s="429"/>
      <c r="AA117" s="429"/>
      <c r="AB117" s="429"/>
    </row>
    <row r="118" spans="2:28" x14ac:dyDescent="0.25">
      <c r="B118" s="429"/>
      <c r="C118" s="429"/>
      <c r="D118" s="429"/>
      <c r="E118" s="429"/>
      <c r="F118" s="429"/>
      <c r="G118" s="429"/>
      <c r="H118" s="429"/>
      <c r="I118" s="429"/>
      <c r="J118" s="429" t="s">
        <v>638</v>
      </c>
      <c r="K118" s="429"/>
      <c r="L118" s="429"/>
      <c r="M118" s="429"/>
      <c r="N118" s="429"/>
      <c r="O118" s="429"/>
      <c r="P118" s="429"/>
      <c r="Q118" s="429"/>
      <c r="R118" s="429"/>
      <c r="S118" s="429"/>
      <c r="T118" s="429"/>
      <c r="U118" s="429"/>
      <c r="V118" s="429"/>
      <c r="W118" s="429"/>
      <c r="X118" s="429"/>
      <c r="Y118" s="429"/>
      <c r="Z118" s="429"/>
      <c r="AA118" s="429"/>
      <c r="AB118" s="429"/>
    </row>
    <row r="119" spans="2:28" ht="15.75" thickBot="1" x14ac:dyDescent="0.3">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row>
    <row r="120" spans="2:28" ht="16.5" thickTop="1" thickBot="1" x14ac:dyDescent="0.3">
      <c r="B120" s="429"/>
      <c r="C120" s="429"/>
      <c r="D120" s="429"/>
      <c r="E120" s="429"/>
      <c r="F120" s="429"/>
      <c r="G120" s="429"/>
      <c r="H120" s="429"/>
      <c r="I120" s="429"/>
      <c r="J120" s="809" t="s">
        <v>639</v>
      </c>
      <c r="K120" s="809"/>
      <c r="L120" s="809"/>
      <c r="M120" s="915"/>
      <c r="N120" s="418">
        <v>40</v>
      </c>
      <c r="O120" s="640"/>
      <c r="P120" s="429"/>
      <c r="Q120" s="429"/>
      <c r="R120" s="429"/>
      <c r="S120" s="429"/>
      <c r="T120" s="429"/>
      <c r="U120" s="429"/>
      <c r="V120" s="429"/>
      <c r="W120" s="429"/>
      <c r="X120" s="429"/>
      <c r="Y120" s="429"/>
      <c r="Z120" s="429"/>
      <c r="AA120" s="429"/>
      <c r="AB120" s="429"/>
    </row>
    <row r="121" spans="2:28" ht="15.75" thickTop="1" x14ac:dyDescent="0.25">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row>
    <row r="122" spans="2:28" x14ac:dyDescent="0.25">
      <c r="B122" s="429"/>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c r="AB122" s="429"/>
    </row>
    <row r="123" spans="2:28" x14ac:dyDescent="0.25">
      <c r="B123" s="429"/>
      <c r="C123" s="429"/>
      <c r="D123" s="429"/>
      <c r="E123" s="429"/>
      <c r="F123" s="429"/>
      <c r="G123" s="429"/>
      <c r="H123" s="429"/>
      <c r="I123" s="429"/>
      <c r="J123" s="914" t="s">
        <v>640</v>
      </c>
      <c r="K123" s="914"/>
      <c r="L123" s="914"/>
      <c r="M123" s="430" t="s">
        <v>587</v>
      </c>
      <c r="N123" s="34">
        <f>ATAN(N126*TAN(ATAN(TAN(DATI!E253*PI()/180)/DATI!E277)))*180/PI()</f>
        <v>33.631738131356535</v>
      </c>
      <c r="O123" s="640"/>
      <c r="P123" s="429"/>
      <c r="Q123" s="429"/>
      <c r="R123" s="429"/>
      <c r="S123" s="429"/>
      <c r="T123" s="429"/>
      <c r="U123" s="429"/>
      <c r="V123" s="429"/>
      <c r="W123" s="429"/>
      <c r="X123" s="429"/>
      <c r="Y123" s="429"/>
      <c r="Z123" s="429"/>
      <c r="AA123" s="429"/>
      <c r="AB123" s="429"/>
    </row>
    <row r="124" spans="2:28" x14ac:dyDescent="0.25">
      <c r="B124" s="429"/>
      <c r="C124" s="429"/>
      <c r="D124" s="429"/>
      <c r="E124" s="429"/>
      <c r="F124" s="429"/>
      <c r="G124" s="429"/>
      <c r="H124" s="429"/>
      <c r="I124" s="429"/>
      <c r="J124" s="914" t="s">
        <v>641</v>
      </c>
      <c r="K124" s="914"/>
      <c r="L124" s="914"/>
      <c r="M124" s="632" t="s">
        <v>590</v>
      </c>
      <c r="N124" s="676">
        <f>DATI!E255/DATI!E278*N126</f>
        <v>0</v>
      </c>
      <c r="O124" s="640"/>
      <c r="P124" s="429"/>
      <c r="Q124" s="429"/>
      <c r="R124" s="429"/>
      <c r="S124" s="429"/>
      <c r="T124" s="429"/>
      <c r="U124" s="429"/>
      <c r="V124" s="429"/>
      <c r="W124" s="429"/>
      <c r="X124" s="429"/>
      <c r="Y124" s="429"/>
      <c r="Z124" s="429"/>
      <c r="AA124" s="429"/>
      <c r="AB124" s="429"/>
    </row>
    <row r="125" spans="2:28" x14ac:dyDescent="0.25">
      <c r="B125" s="429"/>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c r="AA125" s="429"/>
      <c r="AB125" s="429"/>
    </row>
    <row r="126" spans="2:28" x14ac:dyDescent="0.25">
      <c r="B126" s="429"/>
      <c r="C126" s="429"/>
      <c r="D126" s="429"/>
      <c r="E126" s="429"/>
      <c r="F126" s="429"/>
      <c r="G126" s="429"/>
      <c r="H126" s="429"/>
      <c r="I126" s="429"/>
      <c r="J126" s="914" t="s">
        <v>642</v>
      </c>
      <c r="K126" s="914"/>
      <c r="L126" s="914"/>
      <c r="M126" s="632" t="s">
        <v>643</v>
      </c>
      <c r="N126" s="40">
        <f>0.67+(N120/100)-0.75*(N120/100)^2</f>
        <v>0.95000000000000007</v>
      </c>
      <c r="O126" s="640" t="s">
        <v>19</v>
      </c>
      <c r="P126" s="429"/>
      <c r="Q126" s="429"/>
      <c r="R126" s="429"/>
      <c r="S126" s="429"/>
      <c r="T126" s="429"/>
      <c r="U126" s="429"/>
      <c r="V126" s="429"/>
      <c r="W126" s="429"/>
      <c r="X126" s="429"/>
      <c r="Y126" s="429"/>
      <c r="Z126" s="429"/>
      <c r="AA126" s="429"/>
      <c r="AB126" s="429"/>
    </row>
    <row r="127" spans="2:28" x14ac:dyDescent="0.25">
      <c r="B127" s="429"/>
      <c r="C127" s="429"/>
      <c r="D127" s="429"/>
      <c r="E127" s="429"/>
      <c r="F127" s="429"/>
      <c r="G127" s="429"/>
      <c r="H127" s="429"/>
      <c r="I127" s="429"/>
      <c r="J127" s="914" t="s">
        <v>600</v>
      </c>
      <c r="K127" s="914"/>
      <c r="L127" s="914"/>
      <c r="M127" s="429"/>
      <c r="N127" s="429"/>
      <c r="O127" s="429"/>
      <c r="P127" s="429"/>
      <c r="Q127" s="429"/>
      <c r="R127" s="429"/>
      <c r="S127" s="429"/>
      <c r="T127" s="429"/>
      <c r="U127" s="429"/>
      <c r="V127" s="429"/>
      <c r="W127" s="429"/>
      <c r="X127" s="429"/>
      <c r="Y127" s="429"/>
      <c r="Z127" s="429"/>
      <c r="AA127" s="429"/>
      <c r="AB127" s="429"/>
    </row>
    <row r="128" spans="2:28" ht="15.75" thickBot="1" x14ac:dyDescent="0.3">
      <c r="B128" s="429"/>
      <c r="C128" s="429"/>
      <c r="D128" s="429"/>
      <c r="E128" s="429"/>
      <c r="F128" s="429"/>
      <c r="G128" s="429"/>
      <c r="H128" s="429"/>
      <c r="I128" s="429"/>
      <c r="J128" s="429"/>
      <c r="K128" s="429"/>
      <c r="L128" s="429"/>
      <c r="M128" s="429"/>
      <c r="N128" s="429"/>
      <c r="O128" s="429"/>
      <c r="P128" s="429"/>
      <c r="Q128" s="429"/>
      <c r="R128" s="429"/>
      <c r="S128" s="429"/>
      <c r="T128" s="429"/>
      <c r="U128" s="429"/>
      <c r="V128" s="429"/>
      <c r="W128" s="429"/>
      <c r="X128" s="429"/>
      <c r="Y128" s="429"/>
      <c r="Z128" s="429"/>
      <c r="AA128" s="429"/>
      <c r="AB128" s="429"/>
    </row>
    <row r="129" spans="2:28" ht="16.5" customHeight="1" thickTop="1" thickBot="1" x14ac:dyDescent="0.3">
      <c r="B129" s="429"/>
      <c r="C129" s="429"/>
      <c r="D129" s="429"/>
      <c r="E129" s="429"/>
      <c r="F129" s="429"/>
      <c r="G129" s="429"/>
      <c r="H129" s="429"/>
      <c r="I129" s="429"/>
      <c r="J129" s="809" t="s">
        <v>644</v>
      </c>
      <c r="K129" s="809"/>
      <c r="L129" s="809"/>
      <c r="M129" s="915"/>
      <c r="N129" s="67" t="s">
        <v>155</v>
      </c>
      <c r="O129" s="916" t="str">
        <f>IF(N129="SI","Ho inserito i parametri modificati,torna sopra alla verifica per rottura generale e controlla il risultato","")</f>
        <v/>
      </c>
      <c r="P129" s="916"/>
      <c r="Q129" s="916"/>
      <c r="R129" s="429"/>
      <c r="S129" s="429"/>
      <c r="T129" s="429"/>
      <c r="U129" s="429"/>
      <c r="V129" s="429"/>
      <c r="W129" s="429"/>
      <c r="X129" s="429"/>
      <c r="Y129" s="429"/>
      <c r="Z129" s="429"/>
      <c r="AA129" s="429"/>
      <c r="AB129" s="429"/>
    </row>
    <row r="130" spans="2:28" ht="16.5" thickTop="1" x14ac:dyDescent="0.25">
      <c r="B130" s="429"/>
      <c r="C130" s="429"/>
      <c r="D130" s="429"/>
      <c r="E130" s="429"/>
      <c r="F130" s="429"/>
      <c r="G130" s="429"/>
      <c r="H130" s="429"/>
      <c r="I130" s="429"/>
      <c r="J130" s="429"/>
      <c r="K130" s="15" t="str">
        <f>IF(N129="si","",IF(N129="no",""," Inserisci  si oppure no!"))</f>
        <v/>
      </c>
      <c r="L130" s="429"/>
      <c r="M130" s="429"/>
      <c r="N130" s="429"/>
      <c r="O130" s="916"/>
      <c r="P130" s="916"/>
      <c r="Q130" s="916"/>
      <c r="R130" s="429"/>
      <c r="S130" s="429"/>
      <c r="T130" s="429"/>
      <c r="U130" s="429"/>
      <c r="V130" s="429"/>
      <c r="W130" s="429"/>
      <c r="X130" s="429"/>
      <c r="Y130" s="429"/>
      <c r="Z130" s="429"/>
      <c r="AA130" s="429"/>
      <c r="AB130" s="429"/>
    </row>
    <row r="131" spans="2:28" x14ac:dyDescent="0.25">
      <c r="B131" s="429"/>
      <c r="C131" s="429"/>
      <c r="D131" s="429"/>
      <c r="E131" s="429"/>
      <c r="F131" s="429"/>
      <c r="G131" s="429"/>
      <c r="H131" s="429"/>
      <c r="I131" s="429"/>
      <c r="J131" s="429"/>
      <c r="K131" s="429"/>
      <c r="L131" s="429"/>
      <c r="M131" s="429"/>
      <c r="N131" s="429"/>
      <c r="O131" s="916"/>
      <c r="P131" s="916"/>
      <c r="Q131" s="916"/>
      <c r="R131" s="429"/>
      <c r="S131" s="429"/>
      <c r="T131" s="429"/>
      <c r="U131" s="429"/>
      <c r="V131" s="429"/>
      <c r="W131" s="429"/>
      <c r="X131" s="429"/>
      <c r="Y131" s="429"/>
      <c r="Z131" s="429"/>
      <c r="AA131" s="429"/>
      <c r="AB131" s="429"/>
    </row>
    <row r="132" spans="2:28" x14ac:dyDescent="0.25">
      <c r="B132" s="429"/>
      <c r="C132" s="429"/>
      <c r="D132" s="429"/>
      <c r="E132" s="429"/>
      <c r="F132" s="429"/>
      <c r="G132" s="429"/>
      <c r="H132" s="429"/>
      <c r="I132" s="429"/>
      <c r="J132" s="429"/>
      <c r="K132" s="429"/>
      <c r="L132" s="429"/>
      <c r="M132" s="429"/>
      <c r="N132" s="429"/>
      <c r="O132" s="916"/>
      <c r="P132" s="916"/>
      <c r="Q132" s="916"/>
      <c r="R132" s="429"/>
      <c r="S132" s="429"/>
      <c r="T132" s="429"/>
      <c r="U132" s="429"/>
      <c r="V132" s="429"/>
      <c r="W132" s="429"/>
      <c r="X132" s="429"/>
      <c r="Y132" s="429"/>
      <c r="Z132" s="429"/>
      <c r="AA132" s="429"/>
      <c r="AB132" s="429"/>
    </row>
    <row r="133" spans="2:28" x14ac:dyDescent="0.25">
      <c r="B133" s="429"/>
      <c r="C133" s="429"/>
      <c r="D133" s="429"/>
      <c r="E133" s="429"/>
      <c r="F133" s="429"/>
      <c r="G133" s="429" t="s">
        <v>645</v>
      </c>
      <c r="H133" s="429"/>
      <c r="I133" s="429"/>
      <c r="J133" s="429"/>
      <c r="K133" s="429"/>
      <c r="L133" s="429"/>
      <c r="M133" s="429"/>
      <c r="N133" s="429"/>
      <c r="O133" s="41"/>
      <c r="P133" s="41"/>
      <c r="Q133" s="41"/>
      <c r="R133" s="429"/>
      <c r="S133" s="429"/>
      <c r="T133" s="429"/>
      <c r="U133" s="429"/>
      <c r="V133" s="429"/>
      <c r="W133" s="429"/>
      <c r="X133" s="429"/>
      <c r="Y133" s="429"/>
      <c r="Z133" s="429"/>
      <c r="AA133" s="429"/>
      <c r="AB133" s="429"/>
    </row>
    <row r="134" spans="2:28" x14ac:dyDescent="0.25">
      <c r="B134" s="429"/>
      <c r="C134" s="429"/>
      <c r="D134" s="429"/>
      <c r="E134" s="429"/>
      <c r="F134" s="429"/>
      <c r="G134" s="429"/>
      <c r="H134" s="429"/>
      <c r="I134" s="429"/>
      <c r="J134" s="429"/>
      <c r="K134" s="429"/>
      <c r="L134" s="429"/>
      <c r="M134" s="429"/>
      <c r="N134" s="429"/>
      <c r="O134" s="41"/>
      <c r="P134" s="41"/>
      <c r="Q134" s="41"/>
      <c r="R134" s="429"/>
      <c r="S134" s="429"/>
      <c r="T134" s="429"/>
      <c r="U134" s="429"/>
      <c r="V134" s="429"/>
      <c r="W134" s="429"/>
      <c r="X134" s="429"/>
      <c r="Y134" s="429"/>
      <c r="Z134" s="429"/>
      <c r="AA134" s="429"/>
      <c r="AB134" s="429"/>
    </row>
    <row r="135" spans="2:28" x14ac:dyDescent="0.25">
      <c r="B135" s="429"/>
      <c r="C135" s="429"/>
      <c r="D135" s="429"/>
      <c r="E135" s="429"/>
      <c r="F135" s="429"/>
      <c r="G135" s="429"/>
      <c r="H135" s="429"/>
      <c r="I135" s="429"/>
      <c r="J135" s="429"/>
      <c r="K135" s="429"/>
      <c r="L135" s="429"/>
      <c r="M135" s="429"/>
      <c r="N135" s="429"/>
      <c r="O135" s="41"/>
      <c r="P135" s="41"/>
      <c r="Q135" s="41"/>
      <c r="R135" s="429"/>
      <c r="S135" s="429"/>
      <c r="T135" s="429"/>
      <c r="U135" s="429"/>
      <c r="V135" s="429"/>
      <c r="W135" s="429"/>
      <c r="X135" s="429"/>
      <c r="Y135" s="429"/>
      <c r="Z135" s="429"/>
      <c r="AA135" s="429"/>
      <c r="AB135" s="429"/>
    </row>
    <row r="136" spans="2:28" x14ac:dyDescent="0.25">
      <c r="B136" s="429"/>
      <c r="C136" s="429"/>
      <c r="D136" s="429"/>
      <c r="E136" s="429"/>
      <c r="F136" s="429"/>
      <c r="G136" s="429"/>
      <c r="H136" s="429"/>
      <c r="I136" s="429"/>
      <c r="J136" s="429"/>
      <c r="K136" s="429"/>
      <c r="L136" s="429"/>
      <c r="M136" s="429"/>
      <c r="N136" s="429"/>
      <c r="O136" s="429"/>
      <c r="P136" s="429"/>
      <c r="Q136" s="429"/>
      <c r="R136" s="429"/>
      <c r="S136" s="429"/>
      <c r="T136" s="429"/>
      <c r="U136" s="429"/>
      <c r="V136" s="429"/>
      <c r="W136" s="429"/>
      <c r="X136" s="429"/>
      <c r="Y136" s="429"/>
      <c r="Z136" s="429"/>
      <c r="AA136" s="429"/>
      <c r="AB136" s="429"/>
    </row>
    <row r="137" spans="2:28" x14ac:dyDescent="0.25">
      <c r="B137" s="429"/>
      <c r="C137" s="429"/>
      <c r="D137" s="429"/>
      <c r="E137" s="429"/>
      <c r="F137" s="429"/>
      <c r="G137" s="429"/>
      <c r="H137" s="429"/>
      <c r="I137" s="429"/>
      <c r="J137" s="429"/>
      <c r="K137" s="429"/>
      <c r="L137" s="429"/>
      <c r="M137" s="429"/>
      <c r="N137" s="429"/>
      <c r="O137" s="429"/>
      <c r="P137" s="429"/>
      <c r="Q137" s="429"/>
      <c r="R137" s="429"/>
      <c r="S137" s="429"/>
      <c r="T137" s="429"/>
      <c r="U137" s="429"/>
      <c r="V137" s="429"/>
      <c r="W137" s="429"/>
      <c r="X137" s="429"/>
      <c r="Y137" s="429"/>
      <c r="Z137" s="429"/>
      <c r="AA137" s="429"/>
      <c r="AB137" s="429"/>
    </row>
    <row r="138" spans="2:28" x14ac:dyDescent="0.25">
      <c r="B138" s="429"/>
      <c r="C138" s="429"/>
      <c r="D138" s="429"/>
      <c r="E138" s="429"/>
      <c r="F138" s="429"/>
      <c r="G138" s="429"/>
      <c r="H138" s="429"/>
      <c r="I138" s="429"/>
      <c r="J138" s="429"/>
      <c r="K138" s="429"/>
      <c r="L138" s="429"/>
      <c r="M138" s="429"/>
      <c r="N138" s="429"/>
      <c r="O138" s="429"/>
      <c r="P138" s="429"/>
      <c r="Q138" s="429"/>
      <c r="R138" s="429"/>
      <c r="S138" s="429"/>
      <c r="T138" s="429"/>
      <c r="U138" s="429"/>
      <c r="V138" s="429"/>
      <c r="W138" s="429"/>
      <c r="X138" s="429"/>
      <c r="Y138" s="429"/>
      <c r="Z138" s="429"/>
      <c r="AA138" s="429"/>
      <c r="AB138" s="429"/>
    </row>
    <row r="139" spans="2:28" x14ac:dyDescent="0.25">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c r="AA139" s="429"/>
      <c r="AB139" s="429"/>
    </row>
    <row r="140" spans="2:28" x14ac:dyDescent="0.25">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row>
    <row r="141" spans="2:28" x14ac:dyDescent="0.25">
      <c r="B141" s="429"/>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c r="AA141" s="429"/>
      <c r="AB141" s="429"/>
    </row>
    <row r="142" spans="2:28" x14ac:dyDescent="0.25">
      <c r="B142" s="429"/>
      <c r="C142" s="429"/>
      <c r="D142" s="429"/>
      <c r="E142" s="429"/>
      <c r="F142" s="429"/>
      <c r="G142" s="429"/>
      <c r="H142" s="429"/>
      <c r="I142" s="429"/>
      <c r="J142" s="429"/>
      <c r="K142" s="429"/>
      <c r="L142" s="429"/>
      <c r="M142" s="429"/>
      <c r="N142" s="429"/>
      <c r="O142" s="429"/>
      <c r="P142" s="429"/>
      <c r="Q142" s="429"/>
      <c r="R142" s="429"/>
      <c r="S142" s="429"/>
      <c r="T142" s="429"/>
      <c r="U142" s="429"/>
      <c r="V142" s="429"/>
      <c r="W142" s="429"/>
      <c r="X142" s="429"/>
      <c r="Y142" s="429"/>
      <c r="Z142" s="429"/>
      <c r="AA142" s="429"/>
      <c r="AB142" s="429"/>
    </row>
    <row r="143" spans="2:28" x14ac:dyDescent="0.25">
      <c r="B143" s="429"/>
      <c r="C143" s="429"/>
      <c r="D143" s="429"/>
      <c r="E143" s="429"/>
      <c r="F143" s="429"/>
      <c r="G143" s="429"/>
      <c r="H143" s="429"/>
      <c r="I143" s="429"/>
      <c r="J143" s="429"/>
      <c r="K143" s="429"/>
      <c r="L143" s="429"/>
      <c r="M143" s="429"/>
      <c r="N143" s="429"/>
      <c r="O143" s="429"/>
      <c r="P143" s="429"/>
      <c r="Q143" s="429"/>
      <c r="R143" s="429"/>
      <c r="S143" s="429"/>
      <c r="T143" s="429"/>
      <c r="U143" s="429"/>
      <c r="V143" s="429"/>
      <c r="W143" s="429"/>
      <c r="X143" s="429"/>
      <c r="Y143" s="429"/>
      <c r="Z143" s="429"/>
      <c r="AA143" s="429"/>
      <c r="AB143" s="429"/>
    </row>
    <row r="144" spans="2:28" x14ac:dyDescent="0.25">
      <c r="B144" s="429"/>
      <c r="C144" s="429"/>
      <c r="D144" s="429"/>
      <c r="E144" s="429"/>
      <c r="F144" s="429"/>
      <c r="G144" s="429"/>
      <c r="H144" s="429"/>
      <c r="I144" s="429"/>
      <c r="J144" s="429"/>
      <c r="K144" s="429"/>
      <c r="L144" s="429"/>
      <c r="M144" s="429"/>
      <c r="N144" s="429"/>
      <c r="O144" s="429"/>
      <c r="P144" s="429"/>
      <c r="Q144" s="429"/>
      <c r="R144" s="429"/>
      <c r="S144" s="429"/>
      <c r="T144" s="429"/>
      <c r="U144" s="429"/>
      <c r="V144" s="429"/>
      <c r="W144" s="429"/>
      <c r="X144" s="429"/>
      <c r="Y144" s="429"/>
      <c r="Z144" s="429"/>
      <c r="AA144" s="429"/>
      <c r="AB144" s="429"/>
    </row>
    <row r="145" spans="2:28" x14ac:dyDescent="0.25">
      <c r="B145" s="429"/>
      <c r="C145" s="429"/>
      <c r="D145" s="429"/>
      <c r="E145" s="429"/>
      <c r="F145" s="429"/>
      <c r="G145" s="429"/>
      <c r="H145" s="429"/>
      <c r="I145" s="429"/>
      <c r="J145" s="429"/>
      <c r="K145" s="429"/>
      <c r="L145" s="429"/>
      <c r="M145" s="429"/>
      <c r="N145" s="429"/>
      <c r="O145" s="429"/>
      <c r="P145" s="429"/>
      <c r="Q145" s="429"/>
      <c r="R145" s="429"/>
      <c r="S145" s="429"/>
      <c r="T145" s="429"/>
      <c r="U145" s="429"/>
      <c r="V145" s="429"/>
      <c r="W145" s="429"/>
      <c r="X145" s="429"/>
      <c r="Y145" s="429"/>
      <c r="Z145" s="429"/>
      <c r="AA145" s="429"/>
      <c r="AB145" s="429"/>
    </row>
    <row r="146" spans="2:28" x14ac:dyDescent="0.25">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429"/>
      <c r="Y146" s="429"/>
      <c r="Z146" s="429"/>
      <c r="AA146" s="429"/>
      <c r="AB146" s="429"/>
    </row>
    <row r="147" spans="2:28" x14ac:dyDescent="0.25">
      <c r="B147" s="429"/>
      <c r="C147" s="429"/>
      <c r="D147" s="429"/>
      <c r="E147" s="429"/>
      <c r="F147" s="429"/>
      <c r="G147" s="429"/>
      <c r="H147" s="429"/>
      <c r="I147" s="429"/>
      <c r="J147" s="429"/>
      <c r="K147" s="429"/>
      <c r="L147" s="429"/>
      <c r="M147" s="429"/>
      <c r="N147" s="429"/>
      <c r="O147" s="429"/>
      <c r="P147" s="429"/>
      <c r="Q147" s="429"/>
      <c r="R147" s="429"/>
      <c r="S147" s="429"/>
      <c r="T147" s="429"/>
      <c r="U147" s="429"/>
      <c r="V147" s="429"/>
      <c r="W147" s="429"/>
      <c r="X147" s="429"/>
      <c r="Y147" s="429"/>
      <c r="Z147" s="429"/>
      <c r="AA147" s="429"/>
      <c r="AB147" s="429"/>
    </row>
    <row r="148" spans="2:28" x14ac:dyDescent="0.25">
      <c r="B148" s="429"/>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c r="AA148" s="429"/>
      <c r="AB148" s="429"/>
    </row>
    <row r="149" spans="2:28" x14ac:dyDescent="0.25">
      <c r="B149" s="429"/>
      <c r="C149" s="429"/>
      <c r="D149" s="429"/>
      <c r="E149" s="429"/>
      <c r="F149" s="429"/>
      <c r="G149" s="429"/>
      <c r="H149" s="429"/>
      <c r="I149" s="429"/>
      <c r="J149" s="429"/>
      <c r="K149" s="429"/>
      <c r="L149" s="429"/>
      <c r="M149" s="429"/>
      <c r="N149" s="429"/>
      <c r="O149" s="429"/>
      <c r="P149" s="429"/>
      <c r="Q149" s="429"/>
      <c r="R149" s="429"/>
      <c r="S149" s="429"/>
      <c r="T149" s="429"/>
      <c r="U149" s="429"/>
      <c r="V149" s="429"/>
      <c r="W149" s="429"/>
      <c r="X149" s="429"/>
      <c r="Y149" s="429"/>
      <c r="Z149" s="429"/>
      <c r="AA149" s="429"/>
      <c r="AB149" s="429"/>
    </row>
    <row r="150" spans="2:28" x14ac:dyDescent="0.25">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row>
    <row r="151" spans="2:28" x14ac:dyDescent="0.25">
      <c r="B151" s="429"/>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c r="AA151" s="429"/>
      <c r="AB151" s="429"/>
    </row>
    <row r="152" spans="2:28" x14ac:dyDescent="0.25">
      <c r="B152" s="429"/>
      <c r="C152" s="429"/>
      <c r="D152" s="429"/>
      <c r="E152" s="429"/>
      <c r="F152" s="429"/>
      <c r="G152" s="429"/>
      <c r="H152" s="429"/>
      <c r="I152" s="429"/>
      <c r="J152" s="429"/>
      <c r="K152" s="429"/>
      <c r="L152" s="429"/>
      <c r="M152" s="429"/>
      <c r="N152" s="429"/>
      <c r="O152" s="429"/>
      <c r="P152" s="429"/>
      <c r="Q152" s="429"/>
      <c r="R152" s="429"/>
      <c r="S152" s="429"/>
      <c r="T152" s="429"/>
      <c r="U152" s="429"/>
      <c r="V152" s="429"/>
      <c r="W152" s="429"/>
      <c r="X152" s="429"/>
      <c r="Y152" s="429"/>
      <c r="Z152" s="429"/>
      <c r="AA152" s="429"/>
      <c r="AB152" s="429"/>
    </row>
    <row r="153" spans="2:28" x14ac:dyDescent="0.25">
      <c r="B153" s="429"/>
      <c r="C153" s="429"/>
      <c r="D153" s="429"/>
      <c r="E153" s="429"/>
      <c r="F153" s="429"/>
      <c r="G153" s="429"/>
      <c r="H153" s="429"/>
      <c r="I153" s="429"/>
      <c r="J153" s="429"/>
      <c r="K153" s="429"/>
      <c r="L153" s="429"/>
      <c r="M153" s="429"/>
      <c r="N153" s="429"/>
      <c r="O153" s="429"/>
      <c r="P153" s="429"/>
      <c r="Q153" s="429"/>
      <c r="R153" s="429"/>
      <c r="S153" s="429"/>
      <c r="T153" s="429"/>
      <c r="U153" s="429"/>
      <c r="V153" s="429"/>
      <c r="W153" s="429"/>
      <c r="X153" s="429"/>
      <c r="Y153" s="429"/>
      <c r="Z153" s="429"/>
      <c r="AA153" s="429"/>
      <c r="AB153" s="429"/>
    </row>
    <row r="154" spans="2:28" x14ac:dyDescent="0.25">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c r="AA154" s="429"/>
      <c r="AB154" s="429"/>
    </row>
    <row r="155" spans="2:28" x14ac:dyDescent="0.25">
      <c r="B155" s="429"/>
      <c r="C155" s="429"/>
      <c r="D155" s="429"/>
      <c r="E155" s="429"/>
      <c r="F155" s="429"/>
      <c r="G155" s="429"/>
      <c r="H155" s="429"/>
      <c r="I155" s="429"/>
      <c r="J155" s="429"/>
      <c r="K155" s="429"/>
      <c r="L155" s="429"/>
      <c r="M155" s="429"/>
      <c r="N155" s="429"/>
      <c r="O155" s="429"/>
      <c r="P155" s="429"/>
      <c r="Q155" s="429"/>
      <c r="R155" s="429"/>
      <c r="S155" s="429"/>
      <c r="T155" s="429"/>
      <c r="U155" s="429"/>
      <c r="V155" s="429"/>
      <c r="W155" s="429"/>
      <c r="X155" s="429"/>
      <c r="Y155" s="429"/>
      <c r="Z155" s="429"/>
      <c r="AA155" s="429"/>
      <c r="AB155" s="429"/>
    </row>
    <row r="156" spans="2:28" x14ac:dyDescent="0.25">
      <c r="B156" s="429"/>
      <c r="C156" s="429"/>
      <c r="D156" s="429"/>
      <c r="E156" s="429"/>
      <c r="F156" s="429"/>
      <c r="G156" s="429"/>
      <c r="H156" s="429"/>
      <c r="I156" s="429"/>
      <c r="J156" s="429"/>
      <c r="K156" s="429"/>
      <c r="L156" s="429"/>
      <c r="M156" s="429"/>
      <c r="N156" s="429"/>
      <c r="O156" s="429"/>
      <c r="P156" s="429"/>
      <c r="Q156" s="429"/>
      <c r="R156" s="429"/>
      <c r="S156" s="429"/>
      <c r="T156" s="429"/>
      <c r="U156" s="429"/>
      <c r="V156" s="429"/>
      <c r="W156" s="429"/>
      <c r="X156" s="429"/>
      <c r="Y156" s="429"/>
      <c r="Z156" s="429"/>
      <c r="AA156" s="429"/>
      <c r="AB156" s="429"/>
    </row>
    <row r="157" spans="2:28" x14ac:dyDescent="0.25">
      <c r="B157" s="429"/>
      <c r="C157" s="429"/>
      <c r="D157" s="429"/>
      <c r="E157" s="429"/>
      <c r="F157" s="429"/>
      <c r="G157" s="429"/>
      <c r="H157" s="429"/>
      <c r="I157" s="429"/>
      <c r="J157" s="429"/>
      <c r="K157" s="429"/>
      <c r="L157" s="429"/>
      <c r="M157" s="429"/>
      <c r="N157" s="429"/>
      <c r="O157" s="429"/>
      <c r="P157" s="429"/>
      <c r="Q157" s="429"/>
      <c r="R157" s="429"/>
      <c r="S157" s="429"/>
      <c r="T157" s="429"/>
      <c r="U157" s="429"/>
      <c r="V157" s="429"/>
      <c r="W157" s="429"/>
      <c r="X157" s="429"/>
      <c r="Y157" s="429"/>
      <c r="Z157" s="429"/>
      <c r="AA157" s="429"/>
      <c r="AB157" s="429"/>
    </row>
    <row r="158" spans="2:28" x14ac:dyDescent="0.25">
      <c r="B158" s="429"/>
      <c r="C158" s="429"/>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c r="AA158" s="429"/>
      <c r="AB158" s="429"/>
    </row>
    <row r="159" spans="2:28" x14ac:dyDescent="0.25">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row>
    <row r="160" spans="2:28" x14ac:dyDescent="0.25">
      <c r="B160" s="429"/>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c r="AA160" s="429"/>
      <c r="AB160" s="429"/>
    </row>
    <row r="161" spans="2:28" x14ac:dyDescent="0.25">
      <c r="B161" s="429"/>
      <c r="C161" s="429"/>
      <c r="D161" s="429"/>
      <c r="E161" s="429"/>
      <c r="F161" s="429"/>
      <c r="G161" s="429"/>
      <c r="H161" s="429"/>
      <c r="I161" s="429"/>
      <c r="J161" s="429"/>
      <c r="K161" s="429"/>
      <c r="L161" s="429"/>
      <c r="M161" s="429"/>
      <c r="N161" s="429"/>
      <c r="O161" s="429"/>
      <c r="P161" s="429"/>
      <c r="Q161" s="429"/>
      <c r="R161" s="429"/>
      <c r="S161" s="429"/>
      <c r="T161" s="429"/>
      <c r="U161" s="429"/>
      <c r="V161" s="429"/>
      <c r="W161" s="429"/>
      <c r="X161" s="429"/>
      <c r="Y161" s="429"/>
      <c r="Z161" s="429"/>
      <c r="AA161" s="429"/>
      <c r="AB161" s="429"/>
    </row>
    <row r="162" spans="2:28" x14ac:dyDescent="0.25">
      <c r="B162" s="429"/>
      <c r="C162" s="429"/>
      <c r="D162" s="429"/>
      <c r="E162" s="429"/>
      <c r="F162" s="429"/>
      <c r="G162" s="429"/>
      <c r="H162" s="429"/>
      <c r="I162" s="429"/>
      <c r="J162" s="429"/>
      <c r="K162" s="429"/>
      <c r="L162" s="429"/>
      <c r="M162" s="429"/>
      <c r="N162" s="429"/>
      <c r="O162" s="429"/>
      <c r="P162" s="429"/>
      <c r="Q162" s="429"/>
      <c r="R162" s="429"/>
      <c r="S162" s="429"/>
      <c r="T162" s="429"/>
      <c r="U162" s="429"/>
      <c r="V162" s="429"/>
      <c r="W162" s="429"/>
      <c r="X162" s="429"/>
      <c r="Y162" s="429"/>
      <c r="Z162" s="429"/>
      <c r="AA162" s="429"/>
      <c r="AB162" s="429"/>
    </row>
    <row r="163" spans="2:28" x14ac:dyDescent="0.25">
      <c r="B163" s="429"/>
      <c r="C163" s="429"/>
      <c r="D163" s="429"/>
      <c r="E163" s="429"/>
      <c r="F163" s="429"/>
      <c r="G163" s="429"/>
      <c r="H163" s="429"/>
      <c r="I163" s="429"/>
      <c r="J163" s="429"/>
      <c r="K163" s="429"/>
      <c r="L163" s="429"/>
      <c r="M163" s="429"/>
      <c r="N163" s="429"/>
      <c r="O163" s="429"/>
      <c r="P163" s="429"/>
      <c r="Q163" s="429"/>
      <c r="R163" s="429"/>
      <c r="S163" s="429"/>
      <c r="T163" s="429"/>
      <c r="U163" s="429"/>
      <c r="V163" s="429"/>
      <c r="W163" s="429"/>
      <c r="X163" s="429"/>
      <c r="Y163" s="429"/>
      <c r="Z163" s="429"/>
      <c r="AA163" s="429"/>
      <c r="AB163" s="429"/>
    </row>
    <row r="164" spans="2:28" x14ac:dyDescent="0.25">
      <c r="B164" s="429"/>
      <c r="C164" s="429"/>
      <c r="D164" s="429"/>
      <c r="E164" s="429"/>
      <c r="F164" s="429"/>
      <c r="G164" s="429"/>
      <c r="H164" s="429"/>
      <c r="I164" s="429"/>
      <c r="J164" s="429"/>
      <c r="K164" s="429"/>
      <c r="L164" s="429"/>
      <c r="M164" s="429"/>
      <c r="N164" s="429"/>
      <c r="O164" s="429"/>
      <c r="P164" s="429"/>
      <c r="Q164" s="429"/>
      <c r="R164" s="429"/>
      <c r="S164" s="429"/>
      <c r="T164" s="429"/>
      <c r="U164" s="429"/>
      <c r="V164" s="429"/>
      <c r="W164" s="429"/>
      <c r="X164" s="429"/>
      <c r="Y164" s="429"/>
      <c r="Z164" s="429"/>
      <c r="AA164" s="429"/>
      <c r="AB164" s="429"/>
    </row>
    <row r="165" spans="2:28" x14ac:dyDescent="0.25">
      <c r="B165" s="429"/>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c r="AA165" s="429"/>
      <c r="AB165" s="429"/>
    </row>
    <row r="166" spans="2:28" x14ac:dyDescent="0.25">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429"/>
      <c r="Y166" s="429"/>
      <c r="Z166" s="429"/>
      <c r="AA166" s="429"/>
      <c r="AB166" s="429"/>
    </row>
    <row r="167" spans="2:28" x14ac:dyDescent="0.25">
      <c r="B167" s="429"/>
      <c r="C167" s="429"/>
      <c r="D167" s="429"/>
      <c r="E167" s="429"/>
      <c r="F167" s="429"/>
      <c r="G167" s="429"/>
      <c r="H167" s="429"/>
      <c r="I167" s="429"/>
      <c r="J167" s="429"/>
      <c r="K167" s="429"/>
      <c r="L167" s="429"/>
      <c r="M167" s="429"/>
      <c r="N167" s="429"/>
      <c r="O167" s="429"/>
      <c r="P167" s="429"/>
      <c r="Q167" s="429"/>
      <c r="R167" s="429"/>
      <c r="S167" s="429"/>
      <c r="T167" s="429"/>
      <c r="U167" s="429"/>
      <c r="V167" s="429"/>
      <c r="W167" s="429"/>
      <c r="X167" s="429"/>
      <c r="Y167" s="429"/>
      <c r="Z167" s="429"/>
      <c r="AA167" s="429"/>
      <c r="AB167" s="429"/>
    </row>
    <row r="168" spans="2:28" x14ac:dyDescent="0.25">
      <c r="B168" s="429"/>
      <c r="C168" s="429"/>
      <c r="D168" s="429"/>
      <c r="E168" s="429"/>
      <c r="F168" s="429"/>
      <c r="G168" s="429"/>
      <c r="H168" s="429"/>
      <c r="I168" s="429"/>
      <c r="J168" s="429"/>
      <c r="K168" s="429"/>
      <c r="L168" s="429"/>
      <c r="M168" s="429"/>
      <c r="N168" s="429"/>
      <c r="O168" s="429"/>
      <c r="P168" s="429"/>
      <c r="Q168" s="429"/>
      <c r="R168" s="429"/>
      <c r="S168" s="429"/>
      <c r="T168" s="429"/>
      <c r="U168" s="429"/>
      <c r="V168" s="429"/>
      <c r="W168" s="429"/>
      <c r="X168" s="429"/>
      <c r="Y168" s="429"/>
      <c r="Z168" s="429"/>
      <c r="AA168" s="429"/>
      <c r="AB168" s="429"/>
    </row>
    <row r="169" spans="2:28" x14ac:dyDescent="0.25">
      <c r="B169" s="429"/>
      <c r="C169" s="429"/>
      <c r="D169" s="429"/>
      <c r="E169" s="429"/>
      <c r="F169" s="429"/>
      <c r="G169" s="429"/>
      <c r="H169" s="429"/>
      <c r="I169" s="429"/>
      <c r="J169" s="429"/>
      <c r="K169" s="429"/>
      <c r="L169" s="429"/>
      <c r="M169" s="429"/>
      <c r="N169" s="429"/>
      <c r="O169" s="429"/>
      <c r="P169" s="429"/>
      <c r="Q169" s="429"/>
      <c r="R169" s="429"/>
      <c r="S169" s="429"/>
      <c r="T169" s="429"/>
      <c r="U169" s="429"/>
      <c r="V169" s="429"/>
      <c r="W169" s="429"/>
      <c r="X169" s="429"/>
      <c r="Y169" s="429"/>
      <c r="Z169" s="429"/>
      <c r="AA169" s="429"/>
      <c r="AB169" s="429"/>
    </row>
    <row r="170" spans="2:28" x14ac:dyDescent="0.25">
      <c r="B170" s="429"/>
      <c r="C170" s="429"/>
      <c r="D170" s="429"/>
      <c r="E170" s="429"/>
      <c r="F170" s="429"/>
      <c r="G170" s="429"/>
      <c r="H170" s="429"/>
      <c r="I170" s="429"/>
      <c r="J170" s="429"/>
      <c r="K170" s="429"/>
      <c r="L170" s="429"/>
      <c r="M170" s="429"/>
      <c r="N170" s="429"/>
      <c r="O170" s="429"/>
      <c r="P170" s="429"/>
      <c r="Q170" s="429"/>
      <c r="R170" s="429"/>
      <c r="S170" s="429"/>
      <c r="T170" s="429"/>
      <c r="U170" s="429"/>
      <c r="V170" s="429"/>
      <c r="W170" s="429"/>
      <c r="X170" s="429"/>
      <c r="Y170" s="429"/>
      <c r="Z170" s="429"/>
      <c r="AA170" s="429"/>
      <c r="AB170" s="429"/>
    </row>
    <row r="171" spans="2:28" x14ac:dyDescent="0.25">
      <c r="B171" s="429"/>
      <c r="C171" s="429"/>
      <c r="D171" s="429"/>
      <c r="E171" s="429"/>
      <c r="F171" s="429"/>
      <c r="G171" s="429"/>
      <c r="H171" s="429"/>
      <c r="I171" s="429"/>
      <c r="J171" s="429"/>
      <c r="K171" s="429"/>
      <c r="L171" s="429"/>
      <c r="M171" s="429"/>
      <c r="N171" s="429"/>
      <c r="O171" s="429"/>
      <c r="P171" s="429"/>
      <c r="Q171" s="429"/>
      <c r="R171" s="429"/>
      <c r="S171" s="429"/>
      <c r="T171" s="429"/>
      <c r="U171" s="429"/>
      <c r="V171" s="429"/>
      <c r="W171" s="429"/>
      <c r="X171" s="429"/>
      <c r="Y171" s="429"/>
      <c r="Z171" s="429"/>
      <c r="AA171" s="429"/>
      <c r="AB171" s="429"/>
    </row>
    <row r="172" spans="2:28" x14ac:dyDescent="0.25">
      <c r="B172" s="429"/>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c r="AA172" s="429"/>
      <c r="AB172" s="429"/>
    </row>
    <row r="173" spans="2:28" x14ac:dyDescent="0.25">
      <c r="B173" s="429"/>
      <c r="C173" s="429"/>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29"/>
      <c r="Z173" s="429"/>
      <c r="AA173" s="429"/>
      <c r="AB173" s="429"/>
    </row>
    <row r="174" spans="2:28" x14ac:dyDescent="0.25">
      <c r="B174" s="429"/>
      <c r="C174" s="429"/>
      <c r="D174" s="429"/>
      <c r="E174" s="429"/>
      <c r="F174" s="429"/>
      <c r="G174" s="429"/>
      <c r="H174" s="429"/>
      <c r="I174" s="429"/>
      <c r="J174" s="429"/>
      <c r="K174" s="429"/>
      <c r="L174" s="429"/>
      <c r="M174" s="429"/>
      <c r="N174" s="429"/>
      <c r="O174" s="429"/>
      <c r="P174" s="429"/>
      <c r="Q174" s="429"/>
      <c r="R174" s="429"/>
      <c r="S174" s="429"/>
      <c r="T174" s="429"/>
      <c r="U174" s="429"/>
      <c r="V174" s="429"/>
      <c r="W174" s="429"/>
      <c r="X174" s="429"/>
      <c r="Y174" s="429"/>
      <c r="Z174" s="429"/>
      <c r="AA174" s="429"/>
      <c r="AB174" s="429"/>
    </row>
    <row r="175" spans="2:28" x14ac:dyDescent="0.25">
      <c r="B175" s="429"/>
      <c r="C175" s="429"/>
      <c r="D175" s="429"/>
      <c r="E175" s="429"/>
      <c r="F175" s="429"/>
      <c r="G175" s="429"/>
      <c r="H175" s="429"/>
      <c r="I175" s="429"/>
      <c r="J175" s="429"/>
      <c r="K175" s="429"/>
      <c r="L175" s="429"/>
      <c r="M175" s="429"/>
      <c r="N175" s="429"/>
      <c r="O175" s="429"/>
      <c r="P175" s="429"/>
      <c r="Q175" s="429"/>
      <c r="R175" s="429"/>
      <c r="S175" s="429"/>
      <c r="T175" s="429"/>
      <c r="U175" s="429"/>
      <c r="V175" s="429"/>
      <c r="W175" s="429"/>
      <c r="X175" s="429"/>
      <c r="Y175" s="429"/>
      <c r="Z175" s="429"/>
      <c r="AA175" s="429"/>
      <c r="AB175" s="429"/>
    </row>
    <row r="176" spans="2:28" x14ac:dyDescent="0.25">
      <c r="B176" s="429"/>
      <c r="C176" s="429"/>
      <c r="D176" s="429"/>
      <c r="E176" s="429"/>
      <c r="F176" s="429"/>
      <c r="G176" s="429"/>
      <c r="H176" s="429"/>
      <c r="I176" s="429"/>
      <c r="J176" s="429"/>
      <c r="K176" s="429"/>
      <c r="L176" s="429"/>
      <c r="M176" s="429"/>
      <c r="N176" s="429"/>
      <c r="O176" s="429"/>
      <c r="P176" s="429"/>
      <c r="Q176" s="429"/>
      <c r="R176" s="429"/>
      <c r="S176" s="429"/>
      <c r="T176" s="429"/>
      <c r="U176" s="429"/>
      <c r="V176" s="429"/>
      <c r="W176" s="429"/>
      <c r="X176" s="429"/>
      <c r="Y176" s="429"/>
      <c r="Z176" s="429"/>
      <c r="AA176" s="429"/>
      <c r="AB176" s="429"/>
    </row>
    <row r="177" spans="2:28" x14ac:dyDescent="0.25">
      <c r="B177" s="429"/>
      <c r="C177" s="429"/>
      <c r="D177" s="429"/>
      <c r="E177" s="429"/>
      <c r="F177" s="429"/>
      <c r="G177" s="429"/>
      <c r="H177" s="429"/>
      <c r="I177" s="429"/>
      <c r="J177" s="429"/>
      <c r="K177" s="429"/>
      <c r="L177" s="429"/>
      <c r="M177" s="429"/>
      <c r="N177" s="429"/>
      <c r="O177" s="429"/>
      <c r="P177" s="429"/>
      <c r="Q177" s="429"/>
      <c r="R177" s="429"/>
      <c r="S177" s="429"/>
      <c r="T177" s="429"/>
      <c r="U177" s="429"/>
      <c r="V177" s="429"/>
      <c r="W177" s="429"/>
      <c r="X177" s="429"/>
      <c r="Y177" s="429"/>
      <c r="Z177" s="429"/>
      <c r="AA177" s="429"/>
      <c r="AB177" s="429"/>
    </row>
    <row r="178" spans="2:28" x14ac:dyDescent="0.25">
      <c r="B178" s="429"/>
      <c r="C178" s="429"/>
      <c r="D178" s="429"/>
      <c r="E178" s="429"/>
      <c r="F178" s="429"/>
      <c r="G178" s="429"/>
      <c r="H178" s="429"/>
      <c r="I178" s="429"/>
      <c r="J178" s="429"/>
      <c r="K178" s="429"/>
      <c r="L178" s="429"/>
      <c r="M178" s="429"/>
      <c r="N178" s="429"/>
      <c r="O178" s="429"/>
      <c r="P178" s="429"/>
      <c r="Q178" s="429"/>
      <c r="R178" s="429"/>
      <c r="S178" s="429"/>
      <c r="T178" s="429"/>
      <c r="U178" s="429"/>
      <c r="V178" s="429"/>
      <c r="W178" s="429"/>
      <c r="X178" s="429"/>
      <c r="Y178" s="429"/>
      <c r="Z178" s="429"/>
      <c r="AA178" s="429"/>
      <c r="AB178" s="429"/>
    </row>
    <row r="179" spans="2:28" x14ac:dyDescent="0.25">
      <c r="B179" s="429"/>
      <c r="C179" s="429"/>
      <c r="D179" s="429"/>
      <c r="E179" s="429"/>
      <c r="F179" s="429"/>
      <c r="G179" s="429"/>
      <c r="H179" s="429"/>
      <c r="I179" s="429"/>
      <c r="J179" s="429"/>
      <c r="K179" s="429"/>
      <c r="L179" s="429"/>
      <c r="M179" s="429"/>
      <c r="N179" s="429"/>
      <c r="O179" s="429"/>
      <c r="P179" s="429"/>
      <c r="Q179" s="429"/>
      <c r="R179" s="429"/>
      <c r="S179" s="429"/>
      <c r="T179" s="429"/>
      <c r="U179" s="429"/>
      <c r="V179" s="429"/>
      <c r="W179" s="429"/>
      <c r="X179" s="429"/>
      <c r="Y179" s="429"/>
      <c r="Z179" s="429"/>
      <c r="AA179" s="429"/>
      <c r="AB179" s="429"/>
    </row>
    <row r="180" spans="2:28" x14ac:dyDescent="0.25">
      <c r="B180" s="429"/>
      <c r="C180" s="429"/>
      <c r="D180" s="429"/>
      <c r="E180" s="429"/>
      <c r="F180" s="429"/>
      <c r="G180" s="429"/>
      <c r="H180" s="429"/>
      <c r="I180" s="429"/>
      <c r="J180" s="429"/>
      <c r="K180" s="429"/>
      <c r="L180" s="429"/>
      <c r="M180" s="429"/>
      <c r="N180" s="429"/>
      <c r="O180" s="429"/>
      <c r="P180" s="429"/>
      <c r="Q180" s="429"/>
      <c r="R180" s="429"/>
      <c r="S180" s="429"/>
      <c r="T180" s="429"/>
      <c r="U180" s="429"/>
      <c r="V180" s="429"/>
      <c r="W180" s="429"/>
      <c r="X180" s="429"/>
      <c r="Y180" s="429"/>
      <c r="Z180" s="429"/>
      <c r="AA180" s="429"/>
      <c r="AB180" s="429"/>
    </row>
    <row r="181" spans="2:28" x14ac:dyDescent="0.25">
      <c r="B181" s="429"/>
      <c r="C181" s="429"/>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c r="AA181" s="429"/>
      <c r="AB181" s="429"/>
    </row>
    <row r="182" spans="2:28" x14ac:dyDescent="0.25">
      <c r="B182" s="429"/>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c r="AA182" s="429"/>
      <c r="AB182" s="429"/>
    </row>
    <row r="183" spans="2:28" x14ac:dyDescent="0.25">
      <c r="B183" s="429"/>
      <c r="C183" s="429"/>
      <c r="D183" s="429"/>
      <c r="E183" s="429"/>
      <c r="F183" s="429"/>
      <c r="G183" s="429"/>
      <c r="H183" s="429"/>
      <c r="I183" s="429"/>
      <c r="J183" s="429"/>
      <c r="K183" s="429"/>
      <c r="L183" s="429"/>
      <c r="M183" s="429"/>
      <c r="N183" s="429"/>
      <c r="O183" s="429"/>
      <c r="P183" s="429"/>
      <c r="Q183" s="429"/>
      <c r="R183" s="429"/>
      <c r="S183" s="429"/>
      <c r="T183" s="429"/>
      <c r="U183" s="429"/>
      <c r="V183" s="429"/>
      <c r="W183" s="429"/>
      <c r="X183" s="429"/>
      <c r="Y183" s="429"/>
      <c r="Z183" s="429"/>
      <c r="AA183" s="429"/>
      <c r="AB183" s="429"/>
    </row>
    <row r="184" spans="2:28" x14ac:dyDescent="0.25">
      <c r="B184" s="429"/>
      <c r="C184" s="429"/>
      <c r="D184" s="429"/>
      <c r="E184" s="429"/>
      <c r="F184" s="429"/>
      <c r="G184" s="429"/>
      <c r="H184" s="429"/>
      <c r="I184" s="429"/>
      <c r="J184" s="429"/>
      <c r="K184" s="429"/>
      <c r="L184" s="429"/>
      <c r="M184" s="429"/>
      <c r="N184" s="429"/>
      <c r="O184" s="429"/>
      <c r="P184" s="429"/>
      <c r="Q184" s="429"/>
      <c r="R184" s="429"/>
      <c r="S184" s="429"/>
      <c r="T184" s="429"/>
      <c r="U184" s="429"/>
      <c r="V184" s="429"/>
      <c r="W184" s="429"/>
      <c r="X184" s="429"/>
      <c r="Y184" s="429"/>
      <c r="Z184" s="429"/>
      <c r="AA184" s="429"/>
      <c r="AB184" s="429"/>
    </row>
    <row r="185" spans="2:28" x14ac:dyDescent="0.25">
      <c r="B185" s="429"/>
      <c r="C185" s="429"/>
      <c r="D185" s="429"/>
      <c r="E185" s="429"/>
      <c r="F185" s="429"/>
      <c r="G185" s="429"/>
      <c r="H185" s="429"/>
      <c r="I185" s="429"/>
      <c r="J185" s="429"/>
      <c r="K185" s="429"/>
      <c r="L185" s="429"/>
      <c r="M185" s="429"/>
      <c r="N185" s="429"/>
      <c r="O185" s="429"/>
      <c r="P185" s="429"/>
      <c r="Q185" s="429"/>
      <c r="R185" s="429"/>
      <c r="S185" s="429"/>
      <c r="T185" s="429"/>
      <c r="U185" s="429"/>
      <c r="V185" s="429"/>
      <c r="W185" s="429"/>
      <c r="X185" s="429"/>
      <c r="Y185" s="429"/>
      <c r="Z185" s="429"/>
      <c r="AA185" s="429"/>
      <c r="AB185" s="429"/>
    </row>
    <row r="186" spans="2:28" x14ac:dyDescent="0.25">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c r="AA186" s="429"/>
      <c r="AB186" s="429"/>
    </row>
    <row r="187" spans="2:28" x14ac:dyDescent="0.25">
      <c r="B187" s="429"/>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29"/>
      <c r="Z187" s="429"/>
      <c r="AA187" s="429"/>
      <c r="AB187" s="429"/>
    </row>
    <row r="188" spans="2:28" x14ac:dyDescent="0.25">
      <c r="B188" s="429"/>
      <c r="C188" s="429"/>
      <c r="D188" s="429"/>
      <c r="E188" s="429"/>
      <c r="F188" s="429"/>
      <c r="G188" s="429"/>
      <c r="H188" s="429"/>
      <c r="I188" s="429"/>
      <c r="J188" s="429"/>
      <c r="K188" s="429"/>
      <c r="L188" s="429"/>
      <c r="M188" s="429"/>
      <c r="N188" s="429"/>
      <c r="O188" s="429"/>
      <c r="P188" s="429"/>
      <c r="Q188" s="429"/>
      <c r="R188" s="429"/>
      <c r="S188" s="429"/>
      <c r="T188" s="429"/>
      <c r="U188" s="429"/>
      <c r="V188" s="429"/>
      <c r="W188" s="429"/>
      <c r="X188" s="429"/>
      <c r="Y188" s="429"/>
      <c r="Z188" s="429"/>
      <c r="AA188" s="429"/>
      <c r="AB188" s="429"/>
    </row>
    <row r="189" spans="2:28" x14ac:dyDescent="0.25">
      <c r="B189" s="429"/>
      <c r="C189" s="429"/>
      <c r="D189" s="429"/>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c r="AA189" s="429"/>
      <c r="AB189" s="429"/>
    </row>
    <row r="190" spans="2:28" x14ac:dyDescent="0.25">
      <c r="B190" s="429"/>
      <c r="C190" s="429"/>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c r="AA190" s="429"/>
      <c r="AB190" s="429"/>
    </row>
    <row r="191" spans="2:28" x14ac:dyDescent="0.25">
      <c r="B191" s="429"/>
      <c r="C191" s="429"/>
      <c r="D191" s="429"/>
      <c r="E191" s="429"/>
      <c r="F191" s="429"/>
      <c r="G191" s="429"/>
      <c r="H191" s="429"/>
      <c r="I191" s="429"/>
      <c r="J191" s="429"/>
      <c r="K191" s="429"/>
      <c r="L191" s="429"/>
      <c r="M191" s="429"/>
      <c r="N191" s="429"/>
      <c r="O191" s="429"/>
      <c r="P191" s="429"/>
      <c r="Q191" s="429"/>
      <c r="R191" s="429"/>
      <c r="S191" s="429"/>
      <c r="T191" s="429"/>
      <c r="U191" s="429"/>
      <c r="V191" s="429"/>
      <c r="W191" s="429"/>
      <c r="X191" s="429"/>
      <c r="Y191" s="429"/>
      <c r="Z191" s="429"/>
      <c r="AA191" s="429"/>
      <c r="AB191" s="429"/>
    </row>
    <row r="192" spans="2:28" x14ac:dyDescent="0.25">
      <c r="B192" s="429"/>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c r="AA192" s="429"/>
      <c r="AB192" s="429"/>
    </row>
    <row r="193" spans="2:28" x14ac:dyDescent="0.25">
      <c r="B193" s="429"/>
      <c r="C193" s="429"/>
      <c r="D193" s="42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c r="AA193" s="429"/>
      <c r="AB193" s="429"/>
    </row>
    <row r="194" spans="2:28" x14ac:dyDescent="0.25">
      <c r="B194" s="429"/>
      <c r="C194" s="429"/>
      <c r="D194" s="429"/>
      <c r="E194" s="429"/>
      <c r="F194" s="429"/>
      <c r="G194" s="429"/>
      <c r="H194" s="429"/>
      <c r="I194" s="429"/>
      <c r="J194" s="429"/>
      <c r="K194" s="429"/>
      <c r="L194" s="429"/>
      <c r="M194" s="429"/>
      <c r="N194" s="429"/>
      <c r="O194" s="429"/>
      <c r="P194" s="429"/>
      <c r="Q194" s="429"/>
      <c r="R194" s="429"/>
      <c r="S194" s="429"/>
      <c r="T194" s="429"/>
      <c r="U194" s="429"/>
      <c r="V194" s="429"/>
      <c r="W194" s="429"/>
      <c r="X194" s="429"/>
      <c r="Y194" s="429"/>
      <c r="Z194" s="429"/>
      <c r="AA194" s="429"/>
      <c r="AB194" s="429"/>
    </row>
    <row r="195" spans="2:28" x14ac:dyDescent="0.25">
      <c r="B195" s="429"/>
      <c r="C195" s="429"/>
      <c r="D195" s="429"/>
      <c r="E195" s="429"/>
      <c r="F195" s="429"/>
      <c r="G195" s="429"/>
      <c r="H195" s="429"/>
      <c r="I195" s="429"/>
      <c r="J195" s="429"/>
      <c r="K195" s="429"/>
      <c r="L195" s="429"/>
      <c r="M195" s="429"/>
      <c r="N195" s="429"/>
      <c r="O195" s="429"/>
      <c r="P195" s="429"/>
      <c r="Q195" s="429"/>
      <c r="R195" s="429"/>
      <c r="S195" s="429"/>
      <c r="T195" s="429"/>
      <c r="U195" s="429"/>
      <c r="V195" s="429"/>
      <c r="W195" s="429"/>
      <c r="X195" s="429"/>
      <c r="Y195" s="429"/>
      <c r="Z195" s="429"/>
      <c r="AA195" s="429"/>
      <c r="AB195" s="429"/>
    </row>
    <row r="196" spans="2:28" x14ac:dyDescent="0.25">
      <c r="B196" s="429"/>
      <c r="C196" s="429"/>
      <c r="D196" s="429"/>
      <c r="E196" s="429"/>
      <c r="F196" s="429"/>
      <c r="G196" s="429"/>
      <c r="H196" s="429"/>
      <c r="I196" s="429"/>
      <c r="J196" s="429"/>
      <c r="K196" s="429"/>
      <c r="L196" s="429"/>
      <c r="M196" s="429"/>
      <c r="N196" s="429"/>
      <c r="O196" s="429"/>
      <c r="P196" s="429"/>
      <c r="Q196" s="429"/>
      <c r="R196" s="429"/>
      <c r="S196" s="429"/>
      <c r="T196" s="429"/>
      <c r="U196" s="429"/>
      <c r="V196" s="429"/>
      <c r="W196" s="429"/>
      <c r="X196" s="429"/>
      <c r="Y196" s="429"/>
      <c r="Z196" s="429"/>
      <c r="AA196" s="429"/>
      <c r="AB196" s="429"/>
    </row>
    <row r="197" spans="2:28" x14ac:dyDescent="0.25">
      <c r="B197" s="429"/>
      <c r="C197" s="429"/>
      <c r="D197" s="429"/>
      <c r="E197" s="429"/>
      <c r="F197" s="429"/>
      <c r="G197" s="429"/>
      <c r="H197" s="429"/>
      <c r="I197" s="429"/>
      <c r="J197" s="429"/>
      <c r="K197" s="429"/>
      <c r="L197" s="429"/>
      <c r="M197" s="429"/>
      <c r="N197" s="429"/>
      <c r="O197" s="429"/>
      <c r="P197" s="429"/>
      <c r="Q197" s="429"/>
      <c r="R197" s="429"/>
      <c r="S197" s="429"/>
      <c r="T197" s="429"/>
      <c r="U197" s="429"/>
      <c r="V197" s="429"/>
      <c r="W197" s="429"/>
      <c r="X197" s="429"/>
      <c r="Y197" s="429"/>
      <c r="Z197" s="429"/>
      <c r="AA197" s="429"/>
      <c r="AB197" s="429"/>
    </row>
    <row r="198" spans="2:28" x14ac:dyDescent="0.25">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row>
    <row r="199" spans="2:28" x14ac:dyDescent="0.25">
      <c r="B199" s="429"/>
      <c r="C199" s="429"/>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29"/>
      <c r="Z199" s="429"/>
      <c r="AA199" s="429"/>
      <c r="AB199" s="429"/>
    </row>
    <row r="200" spans="2:28" x14ac:dyDescent="0.25">
      <c r="B200" s="429"/>
      <c r="C200" s="429"/>
      <c r="D200" s="429"/>
      <c r="E200" s="429"/>
      <c r="F200" s="429"/>
      <c r="G200" s="429"/>
      <c r="H200" s="429"/>
      <c r="I200" s="429"/>
      <c r="J200" s="429"/>
      <c r="K200" s="429"/>
      <c r="L200" s="429"/>
      <c r="M200" s="429"/>
      <c r="N200" s="429"/>
      <c r="O200" s="429"/>
      <c r="P200" s="429"/>
      <c r="Q200" s="429"/>
      <c r="R200" s="429"/>
      <c r="S200" s="429"/>
      <c r="T200" s="429"/>
      <c r="U200" s="429"/>
      <c r="V200" s="429"/>
      <c r="W200" s="429"/>
      <c r="X200" s="429"/>
      <c r="Y200" s="429"/>
      <c r="Z200" s="429"/>
      <c r="AA200" s="429"/>
      <c r="AB200" s="429"/>
    </row>
    <row r="201" spans="2:28" x14ac:dyDescent="0.25">
      <c r="B201" s="429"/>
      <c r="C201" s="429"/>
      <c r="D201" s="429"/>
      <c r="E201" s="429"/>
      <c r="F201" s="429"/>
      <c r="G201" s="429"/>
      <c r="H201" s="429"/>
      <c r="I201" s="429"/>
      <c r="J201" s="429"/>
      <c r="K201" s="429"/>
      <c r="L201" s="429"/>
      <c r="M201" s="429"/>
      <c r="N201" s="429"/>
      <c r="O201" s="429"/>
      <c r="P201" s="429"/>
      <c r="Q201" s="429"/>
      <c r="R201" s="429"/>
      <c r="S201" s="429"/>
      <c r="T201" s="429"/>
      <c r="U201" s="429"/>
      <c r="V201" s="429"/>
      <c r="W201" s="429"/>
      <c r="X201" s="429"/>
      <c r="Y201" s="429"/>
      <c r="Z201" s="429"/>
      <c r="AA201" s="429"/>
      <c r="AB201" s="429"/>
    </row>
    <row r="202" spans="2:28" x14ac:dyDescent="0.25">
      <c r="B202" s="429"/>
      <c r="C202" s="429"/>
      <c r="D202" s="429"/>
      <c r="E202" s="429"/>
      <c r="F202" s="429"/>
      <c r="G202" s="429"/>
      <c r="H202" s="429"/>
      <c r="I202" s="429"/>
      <c r="J202" s="429"/>
      <c r="K202" s="429"/>
      <c r="L202" s="429"/>
      <c r="M202" s="429"/>
      <c r="N202" s="429"/>
      <c r="O202" s="429"/>
      <c r="P202" s="429"/>
      <c r="Q202" s="429"/>
      <c r="R202" s="429"/>
      <c r="S202" s="429"/>
      <c r="T202" s="429"/>
      <c r="U202" s="429"/>
      <c r="V202" s="429"/>
      <c r="W202" s="429"/>
      <c r="X202" s="429"/>
      <c r="Y202" s="429"/>
      <c r="Z202" s="429"/>
      <c r="AA202" s="429"/>
      <c r="AB202" s="429"/>
    </row>
    <row r="203" spans="2:28" x14ac:dyDescent="0.25">
      <c r="B203" s="429"/>
      <c r="C203" s="429"/>
      <c r="D203" s="429"/>
      <c r="E203" s="429"/>
      <c r="F203" s="429"/>
      <c r="G203" s="429"/>
      <c r="H203" s="429"/>
      <c r="I203" s="429"/>
      <c r="J203" s="429"/>
      <c r="K203" s="429"/>
      <c r="L203" s="429"/>
      <c r="M203" s="429"/>
      <c r="N203" s="429"/>
      <c r="O203" s="429"/>
      <c r="P203" s="429"/>
      <c r="Q203" s="429"/>
      <c r="R203" s="429"/>
      <c r="S203" s="429"/>
      <c r="T203" s="429"/>
      <c r="U203" s="429"/>
      <c r="V203" s="429"/>
      <c r="W203" s="429"/>
      <c r="X203" s="429"/>
      <c r="Y203" s="429"/>
      <c r="Z203" s="429"/>
      <c r="AA203" s="429"/>
      <c r="AB203" s="429"/>
    </row>
    <row r="204" spans="2:28" x14ac:dyDescent="0.25">
      <c r="B204" s="429"/>
      <c r="C204" s="429"/>
      <c r="D204" s="429"/>
      <c r="E204" s="429"/>
      <c r="F204" s="429"/>
      <c r="G204" s="429"/>
      <c r="H204" s="429"/>
      <c r="I204" s="429"/>
      <c r="J204" s="429"/>
      <c r="K204" s="429"/>
      <c r="L204" s="429"/>
      <c r="M204" s="429"/>
      <c r="N204" s="429"/>
      <c r="O204" s="429"/>
      <c r="P204" s="429"/>
      <c r="Q204" s="429"/>
      <c r="R204" s="429"/>
      <c r="S204" s="429"/>
      <c r="T204" s="429"/>
      <c r="U204" s="429"/>
      <c r="V204" s="429"/>
      <c r="W204" s="429"/>
      <c r="X204" s="429"/>
      <c r="Y204" s="429"/>
      <c r="Z204" s="429"/>
      <c r="AA204" s="429"/>
      <c r="AB204" s="429"/>
    </row>
    <row r="205" spans="2:28" x14ac:dyDescent="0.25">
      <c r="B205" s="429"/>
      <c r="C205" s="429"/>
      <c r="D205" s="429"/>
      <c r="E205" s="429"/>
      <c r="F205" s="429"/>
      <c r="G205" s="429"/>
      <c r="H205" s="429"/>
      <c r="I205" s="429"/>
      <c r="J205" s="429"/>
      <c r="K205" s="429"/>
      <c r="L205" s="429"/>
      <c r="M205" s="429"/>
      <c r="N205" s="429"/>
      <c r="O205" s="429"/>
      <c r="P205" s="429"/>
      <c r="Q205" s="429"/>
      <c r="R205" s="429"/>
      <c r="S205" s="429"/>
      <c r="T205" s="429"/>
      <c r="U205" s="429"/>
      <c r="V205" s="429"/>
      <c r="W205" s="429"/>
      <c r="X205" s="429"/>
      <c r="Y205" s="429"/>
      <c r="Z205" s="429"/>
      <c r="AA205" s="429"/>
      <c r="AB205" s="429"/>
    </row>
    <row r="206" spans="2:28" x14ac:dyDescent="0.25">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429"/>
      <c r="Y206" s="429"/>
      <c r="Z206" s="429"/>
      <c r="AA206" s="429"/>
      <c r="AB206" s="429"/>
    </row>
    <row r="207" spans="2:28" x14ac:dyDescent="0.25">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row>
    <row r="208" spans="2:28" x14ac:dyDescent="0.25">
      <c r="B208" s="429"/>
      <c r="C208" s="429"/>
      <c r="D208" s="429"/>
      <c r="E208" s="429"/>
      <c r="F208" s="429"/>
      <c r="G208" s="429"/>
      <c r="H208" s="429"/>
      <c r="I208" s="429"/>
      <c r="J208" s="429"/>
      <c r="K208" s="429"/>
      <c r="L208" s="429"/>
      <c r="M208" s="429"/>
      <c r="N208" s="429"/>
      <c r="O208" s="429"/>
      <c r="P208" s="429"/>
      <c r="Q208" s="429"/>
      <c r="R208" s="429"/>
      <c r="S208" s="429"/>
      <c r="T208" s="429"/>
      <c r="U208" s="429"/>
      <c r="V208" s="429"/>
      <c r="W208" s="429"/>
      <c r="X208" s="429"/>
      <c r="Y208" s="429"/>
      <c r="Z208" s="429"/>
      <c r="AA208" s="429"/>
      <c r="AB208" s="429"/>
    </row>
    <row r="209" spans="2:28" x14ac:dyDescent="0.25">
      <c r="B209" s="429"/>
      <c r="C209" s="429"/>
      <c r="D209" s="429"/>
      <c r="E209" s="429"/>
      <c r="F209" s="429"/>
      <c r="G209" s="429"/>
      <c r="H209" s="429"/>
      <c r="I209" s="429"/>
      <c r="J209" s="429"/>
      <c r="K209" s="429"/>
      <c r="L209" s="429"/>
      <c r="M209" s="429"/>
      <c r="N209" s="429"/>
      <c r="O209" s="429"/>
      <c r="P209" s="429"/>
      <c r="Q209" s="429"/>
      <c r="R209" s="429"/>
      <c r="S209" s="429"/>
      <c r="T209" s="429"/>
      <c r="U209" s="429"/>
      <c r="V209" s="429"/>
      <c r="W209" s="429"/>
      <c r="X209" s="429"/>
      <c r="Y209" s="429"/>
      <c r="Z209" s="429"/>
      <c r="AA209" s="429"/>
      <c r="AB209" s="429"/>
    </row>
    <row r="210" spans="2:28" x14ac:dyDescent="0.25">
      <c r="B210" s="429"/>
      <c r="C210" s="429"/>
      <c r="D210" s="429"/>
      <c r="E210" s="429"/>
      <c r="F210" s="429"/>
      <c r="G210" s="429"/>
      <c r="H210" s="429"/>
      <c r="I210" s="429"/>
      <c r="J210" s="429"/>
      <c r="K210" s="429"/>
      <c r="L210" s="429"/>
      <c r="M210" s="429"/>
      <c r="N210" s="429"/>
      <c r="O210" s="429"/>
      <c r="P210" s="429"/>
      <c r="Q210" s="429"/>
      <c r="R210" s="429"/>
      <c r="S210" s="429"/>
      <c r="T210" s="429"/>
      <c r="U210" s="429"/>
      <c r="V210" s="429"/>
      <c r="W210" s="429"/>
      <c r="X210" s="429"/>
      <c r="Y210" s="429"/>
      <c r="Z210" s="429"/>
      <c r="AA210" s="429"/>
      <c r="AB210" s="429"/>
    </row>
    <row r="211" spans="2:28" x14ac:dyDescent="0.25">
      <c r="B211" s="429"/>
      <c r="C211" s="429"/>
      <c r="D211" s="429"/>
      <c r="E211" s="429"/>
      <c r="F211" s="429"/>
      <c r="G211" s="429"/>
      <c r="H211" s="429"/>
      <c r="I211" s="429"/>
      <c r="J211" s="429"/>
      <c r="K211" s="429"/>
      <c r="L211" s="429"/>
      <c r="M211" s="429"/>
      <c r="N211" s="429"/>
      <c r="O211" s="429"/>
      <c r="P211" s="429"/>
      <c r="Q211" s="429"/>
      <c r="R211" s="429"/>
      <c r="S211" s="429"/>
      <c r="T211" s="429"/>
      <c r="U211" s="429"/>
      <c r="V211" s="429"/>
      <c r="W211" s="429"/>
      <c r="X211" s="429"/>
      <c r="Y211" s="429"/>
      <c r="Z211" s="429"/>
      <c r="AA211" s="429"/>
      <c r="AB211" s="429"/>
    </row>
    <row r="212" spans="2:28" x14ac:dyDescent="0.25">
      <c r="B212" s="429"/>
      <c r="C212" s="429"/>
      <c r="D212" s="429"/>
      <c r="E212" s="429"/>
      <c r="F212" s="429"/>
      <c r="G212" s="429"/>
      <c r="H212" s="429"/>
      <c r="I212" s="429"/>
      <c r="J212" s="429"/>
      <c r="K212" s="429"/>
      <c r="L212" s="429"/>
      <c r="M212" s="429"/>
      <c r="N212" s="429"/>
      <c r="O212" s="429"/>
      <c r="P212" s="429"/>
      <c r="Q212" s="429"/>
      <c r="R212" s="429"/>
      <c r="S212" s="429"/>
      <c r="T212" s="429"/>
      <c r="U212" s="429"/>
      <c r="V212" s="429"/>
      <c r="W212" s="429"/>
      <c r="X212" s="429"/>
      <c r="Y212" s="429"/>
      <c r="Z212" s="429"/>
      <c r="AA212" s="429"/>
      <c r="AB212" s="429"/>
    </row>
    <row r="213" spans="2:28" x14ac:dyDescent="0.25">
      <c r="B213" s="429"/>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c r="AA213" s="429"/>
      <c r="AB213" s="429"/>
    </row>
    <row r="214" spans="2:28" x14ac:dyDescent="0.25">
      <c r="B214" s="429"/>
      <c r="C214" s="429"/>
      <c r="D214" s="429"/>
      <c r="E214" s="429"/>
      <c r="F214" s="429"/>
      <c r="G214" s="429"/>
      <c r="H214" s="429"/>
      <c r="I214" s="429"/>
      <c r="J214" s="429"/>
      <c r="K214" s="429"/>
      <c r="L214" s="429"/>
      <c r="M214" s="429"/>
      <c r="N214" s="429"/>
      <c r="O214" s="429"/>
      <c r="P214" s="429"/>
      <c r="Q214" s="429"/>
      <c r="R214" s="429"/>
      <c r="S214" s="429"/>
      <c r="T214" s="429"/>
      <c r="U214" s="429"/>
      <c r="V214" s="429"/>
      <c r="W214" s="429"/>
      <c r="X214" s="429"/>
      <c r="Y214" s="429"/>
      <c r="Z214" s="429"/>
      <c r="AA214" s="429"/>
      <c r="AB214" s="429"/>
    </row>
    <row r="215" spans="2:28" x14ac:dyDescent="0.25">
      <c r="B215" s="429"/>
      <c r="C215" s="429"/>
      <c r="D215" s="429"/>
      <c r="E215" s="429"/>
      <c r="F215" s="429"/>
      <c r="G215" s="429"/>
      <c r="H215" s="429"/>
      <c r="I215" s="429"/>
      <c r="J215" s="429"/>
      <c r="K215" s="429"/>
      <c r="L215" s="429"/>
      <c r="M215" s="429"/>
      <c r="N215" s="429"/>
      <c r="O215" s="429"/>
      <c r="P215" s="429"/>
      <c r="Q215" s="429"/>
      <c r="R215" s="429"/>
      <c r="S215" s="429"/>
      <c r="T215" s="429"/>
      <c r="U215" s="429"/>
      <c r="V215" s="429"/>
      <c r="W215" s="429"/>
      <c r="X215" s="429"/>
      <c r="Y215" s="429"/>
      <c r="Z215" s="429"/>
      <c r="AA215" s="429"/>
      <c r="AB215" s="429"/>
    </row>
    <row r="216" spans="2:28" x14ac:dyDescent="0.25">
      <c r="B216" s="429"/>
      <c r="C216" s="429"/>
      <c r="D216" s="429"/>
      <c r="E216" s="429"/>
      <c r="F216" s="429"/>
      <c r="G216" s="429"/>
      <c r="H216" s="429"/>
      <c r="I216" s="429"/>
      <c r="J216" s="429"/>
      <c r="K216" s="429"/>
      <c r="L216" s="429"/>
      <c r="M216" s="429"/>
      <c r="N216" s="429"/>
      <c r="O216" s="429"/>
      <c r="P216" s="429"/>
      <c r="Q216" s="429"/>
      <c r="R216" s="429"/>
      <c r="S216" s="429"/>
      <c r="T216" s="429"/>
      <c r="U216" s="429"/>
      <c r="V216" s="429"/>
      <c r="W216" s="429"/>
      <c r="X216" s="429"/>
      <c r="Y216" s="429"/>
      <c r="Z216" s="429"/>
      <c r="AA216" s="429"/>
      <c r="AB216" s="429"/>
    </row>
    <row r="217" spans="2:28" x14ac:dyDescent="0.25">
      <c r="B217" s="429"/>
      <c r="C217" s="429"/>
      <c r="D217" s="429"/>
      <c r="E217" s="429"/>
      <c r="F217" s="429"/>
      <c r="G217" s="429"/>
      <c r="H217" s="429"/>
      <c r="I217" s="429"/>
      <c r="J217" s="429"/>
      <c r="K217" s="429"/>
      <c r="L217" s="429"/>
      <c r="M217" s="429"/>
      <c r="N217" s="429"/>
      <c r="O217" s="429"/>
      <c r="P217" s="429"/>
      <c r="Q217" s="429"/>
      <c r="R217" s="429"/>
      <c r="S217" s="429"/>
      <c r="T217" s="429"/>
      <c r="U217" s="429"/>
      <c r="V217" s="429"/>
      <c r="W217" s="429"/>
      <c r="X217" s="429"/>
      <c r="Y217" s="429"/>
      <c r="Z217" s="429"/>
      <c r="AA217" s="429"/>
      <c r="AB217" s="429"/>
    </row>
    <row r="218" spans="2:28" x14ac:dyDescent="0.25">
      <c r="B218" s="429"/>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c r="AA218" s="429"/>
      <c r="AB218" s="429"/>
    </row>
    <row r="219" spans="2:28" x14ac:dyDescent="0.25">
      <c r="B219" s="429"/>
      <c r="C219" s="429"/>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c r="AA219" s="429"/>
      <c r="AB219" s="429"/>
    </row>
    <row r="220" spans="2:28" x14ac:dyDescent="0.25">
      <c r="B220" s="429"/>
      <c r="C220" s="429"/>
      <c r="D220" s="429"/>
      <c r="E220" s="429"/>
      <c r="F220" s="429"/>
      <c r="G220" s="429"/>
      <c r="H220" s="429"/>
      <c r="I220" s="429"/>
      <c r="J220" s="429"/>
      <c r="K220" s="429"/>
      <c r="L220" s="429"/>
      <c r="M220" s="429"/>
      <c r="N220" s="429"/>
      <c r="O220" s="429"/>
      <c r="P220" s="429"/>
      <c r="Q220" s="429"/>
      <c r="R220" s="429"/>
      <c r="S220" s="429"/>
      <c r="T220" s="429"/>
      <c r="U220" s="429"/>
      <c r="V220" s="429"/>
      <c r="W220" s="429"/>
      <c r="X220" s="429"/>
      <c r="Y220" s="429"/>
      <c r="Z220" s="429"/>
      <c r="AA220" s="429"/>
      <c r="AB220" s="429"/>
    </row>
    <row r="221" spans="2:28" x14ac:dyDescent="0.25">
      <c r="B221" s="429"/>
      <c r="C221" s="429"/>
      <c r="D221" s="429"/>
      <c r="E221" s="429"/>
      <c r="F221" s="429"/>
      <c r="G221" s="429"/>
      <c r="H221" s="429"/>
      <c r="I221" s="429"/>
      <c r="J221" s="429"/>
      <c r="K221" s="429"/>
      <c r="L221" s="429"/>
      <c r="M221" s="429"/>
      <c r="N221" s="429"/>
      <c r="O221" s="429"/>
      <c r="P221" s="429"/>
      <c r="Q221" s="429"/>
      <c r="R221" s="429"/>
      <c r="S221" s="429"/>
      <c r="T221" s="429"/>
      <c r="U221" s="429"/>
      <c r="V221" s="429"/>
      <c r="W221" s="429"/>
      <c r="X221" s="429"/>
      <c r="Y221" s="429"/>
      <c r="Z221" s="429"/>
      <c r="AA221" s="429"/>
      <c r="AB221" s="429"/>
    </row>
    <row r="222" spans="2:28" x14ac:dyDescent="0.25">
      <c r="B222" s="429"/>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c r="AA222" s="429"/>
      <c r="AB222" s="429"/>
    </row>
    <row r="223" spans="2:28" x14ac:dyDescent="0.25">
      <c r="B223" s="429"/>
      <c r="C223" s="429"/>
      <c r="D223" s="429"/>
      <c r="E223" s="429"/>
      <c r="F223" s="429"/>
      <c r="G223" s="429"/>
      <c r="H223" s="429"/>
      <c r="I223" s="429"/>
      <c r="J223" s="429"/>
      <c r="K223" s="429"/>
      <c r="L223" s="429"/>
      <c r="M223" s="429"/>
      <c r="N223" s="429"/>
      <c r="O223" s="429"/>
      <c r="P223" s="429"/>
      <c r="Q223" s="429"/>
      <c r="R223" s="429"/>
      <c r="S223" s="429"/>
      <c r="T223" s="429"/>
      <c r="U223" s="429"/>
      <c r="V223" s="429"/>
      <c r="W223" s="429"/>
      <c r="X223" s="429"/>
      <c r="Y223" s="429"/>
      <c r="Z223" s="429"/>
      <c r="AA223" s="429"/>
      <c r="AB223" s="429"/>
    </row>
    <row r="224" spans="2:28" x14ac:dyDescent="0.25">
      <c r="B224" s="429"/>
      <c r="C224" s="429"/>
      <c r="D224" s="429"/>
      <c r="E224" s="429"/>
      <c r="F224" s="429"/>
      <c r="G224" s="429"/>
      <c r="H224" s="429"/>
      <c r="I224" s="429"/>
      <c r="J224" s="429"/>
      <c r="K224" s="429"/>
      <c r="L224" s="429"/>
      <c r="M224" s="429"/>
      <c r="N224" s="429"/>
      <c r="O224" s="429"/>
      <c r="P224" s="429"/>
      <c r="Q224" s="429"/>
      <c r="R224" s="429"/>
      <c r="S224" s="429"/>
      <c r="T224" s="429"/>
      <c r="U224" s="429"/>
      <c r="V224" s="429"/>
      <c r="W224" s="429"/>
      <c r="X224" s="429"/>
      <c r="Y224" s="429"/>
      <c r="Z224" s="429"/>
      <c r="AA224" s="429"/>
      <c r="AB224" s="429"/>
    </row>
    <row r="225" spans="2:28" x14ac:dyDescent="0.25">
      <c r="B225" s="429"/>
      <c r="C225" s="429"/>
      <c r="D225" s="429"/>
      <c r="E225" s="429"/>
      <c r="F225" s="429"/>
      <c r="G225" s="429"/>
      <c r="H225" s="429"/>
      <c r="I225" s="429"/>
      <c r="J225" s="429"/>
      <c r="K225" s="429"/>
      <c r="L225" s="429"/>
      <c r="M225" s="429"/>
      <c r="N225" s="429"/>
      <c r="O225" s="429"/>
      <c r="P225" s="429"/>
      <c r="Q225" s="429"/>
      <c r="R225" s="429"/>
      <c r="S225" s="429"/>
      <c r="T225" s="429"/>
      <c r="U225" s="429"/>
      <c r="V225" s="429"/>
      <c r="W225" s="429"/>
      <c r="X225" s="429"/>
      <c r="Y225" s="429"/>
      <c r="Z225" s="429"/>
      <c r="AA225" s="429"/>
      <c r="AB225" s="429"/>
    </row>
    <row r="226" spans="2:28" x14ac:dyDescent="0.25">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429"/>
      <c r="Y226" s="429"/>
      <c r="Z226" s="429"/>
      <c r="AA226" s="429"/>
      <c r="AB226" s="429"/>
    </row>
    <row r="227" spans="2:28" x14ac:dyDescent="0.25">
      <c r="B227" s="429"/>
      <c r="C227" s="429"/>
      <c r="D227" s="429"/>
      <c r="E227" s="429"/>
      <c r="F227" s="429"/>
      <c r="G227" s="429"/>
      <c r="H227" s="429"/>
      <c r="I227" s="429"/>
      <c r="J227" s="429"/>
      <c r="K227" s="429"/>
      <c r="L227" s="429"/>
      <c r="M227" s="429"/>
      <c r="N227" s="429"/>
      <c r="O227" s="429"/>
      <c r="P227" s="429"/>
      <c r="Q227" s="429"/>
      <c r="R227" s="429"/>
      <c r="S227" s="429"/>
      <c r="T227" s="429"/>
      <c r="U227" s="429"/>
      <c r="V227" s="429"/>
      <c r="W227" s="429"/>
      <c r="X227" s="429"/>
      <c r="Y227" s="429"/>
      <c r="Z227" s="429"/>
      <c r="AA227" s="429"/>
      <c r="AB227" s="429"/>
    </row>
    <row r="228" spans="2:28" x14ac:dyDescent="0.25">
      <c r="B228" s="429"/>
      <c r="C228" s="429"/>
      <c r="D228" s="429"/>
      <c r="E228" s="429"/>
      <c r="F228" s="429"/>
      <c r="G228" s="429"/>
      <c r="H228" s="429"/>
      <c r="I228" s="429"/>
      <c r="J228" s="429"/>
      <c r="K228" s="429"/>
      <c r="L228" s="429"/>
      <c r="M228" s="429"/>
      <c r="N228" s="429"/>
      <c r="O228" s="429"/>
      <c r="P228" s="429"/>
      <c r="Q228" s="429"/>
      <c r="R228" s="429"/>
      <c r="S228" s="429"/>
      <c r="T228" s="429"/>
      <c r="U228" s="429"/>
      <c r="V228" s="429"/>
      <c r="W228" s="429"/>
      <c r="X228" s="429"/>
      <c r="Y228" s="429"/>
      <c r="Z228" s="429"/>
      <c r="AA228" s="429"/>
      <c r="AB228" s="429"/>
    </row>
    <row r="229" spans="2:28" x14ac:dyDescent="0.25">
      <c r="B229" s="429"/>
      <c r="C229" s="429"/>
      <c r="D229" s="429"/>
      <c r="E229" s="429"/>
      <c r="F229" s="429"/>
      <c r="G229" s="429"/>
      <c r="H229" s="429"/>
      <c r="I229" s="429"/>
      <c r="J229" s="429"/>
      <c r="K229" s="429"/>
      <c r="L229" s="429"/>
      <c r="M229" s="429"/>
      <c r="N229" s="429"/>
      <c r="O229" s="429"/>
      <c r="P229" s="429"/>
      <c r="Q229" s="429"/>
      <c r="R229" s="429"/>
      <c r="S229" s="429"/>
      <c r="T229" s="429"/>
      <c r="U229" s="429"/>
      <c r="V229" s="429"/>
      <c r="W229" s="429"/>
      <c r="X229" s="429"/>
      <c r="Y229" s="429"/>
      <c r="Z229" s="429"/>
      <c r="AA229" s="429"/>
      <c r="AB229" s="429"/>
    </row>
    <row r="230" spans="2:28" x14ac:dyDescent="0.25">
      <c r="B230" s="429"/>
      <c r="C230" s="429"/>
      <c r="D230" s="429"/>
      <c r="E230" s="429"/>
      <c r="F230" s="429"/>
      <c r="G230" s="429"/>
      <c r="H230" s="429"/>
      <c r="I230" s="429"/>
      <c r="J230" s="429"/>
      <c r="K230" s="429"/>
      <c r="L230" s="429"/>
      <c r="M230" s="429"/>
      <c r="N230" s="429"/>
      <c r="O230" s="429"/>
      <c r="P230" s="429"/>
      <c r="Q230" s="429"/>
      <c r="R230" s="429"/>
      <c r="S230" s="429"/>
      <c r="T230" s="429"/>
      <c r="U230" s="429"/>
      <c r="V230" s="429"/>
      <c r="W230" s="429"/>
      <c r="X230" s="429"/>
      <c r="Y230" s="429"/>
      <c r="Z230" s="429"/>
      <c r="AA230" s="429"/>
      <c r="AB230" s="429"/>
    </row>
    <row r="231" spans="2:28" x14ac:dyDescent="0.25">
      <c r="B231" s="429"/>
      <c r="C231" s="429"/>
      <c r="D231" s="429"/>
      <c r="E231" s="429"/>
      <c r="F231" s="429"/>
      <c r="G231" s="429"/>
      <c r="H231" s="429"/>
      <c r="I231" s="429"/>
      <c r="J231" s="429"/>
      <c r="K231" s="429"/>
      <c r="L231" s="429"/>
      <c r="M231" s="429"/>
      <c r="N231" s="429"/>
      <c r="O231" s="429"/>
      <c r="P231" s="429"/>
      <c r="Q231" s="429"/>
      <c r="R231" s="429"/>
      <c r="S231" s="429"/>
      <c r="T231" s="429"/>
      <c r="U231" s="429"/>
      <c r="V231" s="429"/>
      <c r="W231" s="429"/>
      <c r="X231" s="429"/>
      <c r="Y231" s="429"/>
      <c r="Z231" s="429"/>
      <c r="AA231" s="429"/>
      <c r="AB231" s="429"/>
    </row>
    <row r="232" spans="2:28" x14ac:dyDescent="0.25">
      <c r="B232" s="429"/>
      <c r="C232" s="429"/>
      <c r="D232" s="429"/>
      <c r="E232" s="429"/>
      <c r="F232" s="429"/>
      <c r="G232" s="429"/>
      <c r="H232" s="429"/>
      <c r="I232" s="429"/>
      <c r="J232" s="429"/>
      <c r="K232" s="429"/>
      <c r="L232" s="429"/>
      <c r="M232" s="429"/>
      <c r="N232" s="429"/>
      <c r="O232" s="429"/>
      <c r="P232" s="429"/>
      <c r="Q232" s="429"/>
      <c r="R232" s="429"/>
      <c r="S232" s="429"/>
      <c r="T232" s="429"/>
      <c r="U232" s="429"/>
      <c r="V232" s="429"/>
      <c r="W232" s="429"/>
      <c r="X232" s="429"/>
      <c r="Y232" s="429"/>
      <c r="Z232" s="429"/>
      <c r="AA232" s="429"/>
      <c r="AB232" s="429"/>
    </row>
    <row r="233" spans="2:28" x14ac:dyDescent="0.25">
      <c r="B233" s="429"/>
      <c r="C233" s="429"/>
      <c r="D233" s="429"/>
      <c r="E233" s="429"/>
      <c r="F233" s="429"/>
      <c r="G233" s="429"/>
      <c r="H233" s="429"/>
      <c r="I233" s="429"/>
      <c r="J233" s="429"/>
      <c r="K233" s="429"/>
      <c r="L233" s="429"/>
      <c r="M233" s="429"/>
      <c r="N233" s="429"/>
      <c r="O233" s="429"/>
      <c r="P233" s="429"/>
      <c r="Q233" s="429"/>
      <c r="R233" s="429"/>
      <c r="S233" s="429"/>
      <c r="T233" s="429"/>
      <c r="U233" s="429"/>
      <c r="V233" s="429"/>
      <c r="W233" s="429"/>
      <c r="X233" s="429"/>
      <c r="Y233" s="429"/>
      <c r="Z233" s="429"/>
      <c r="AA233" s="429"/>
      <c r="AB233" s="429"/>
    </row>
    <row r="234" spans="2:28" x14ac:dyDescent="0.25">
      <c r="B234" s="429"/>
      <c r="C234" s="429"/>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c r="AA234" s="429"/>
      <c r="AB234" s="429"/>
    </row>
    <row r="235" spans="2:28" x14ac:dyDescent="0.25">
      <c r="B235" s="429"/>
      <c r="C235" s="429"/>
      <c r="D235" s="429"/>
      <c r="E235" s="429"/>
      <c r="F235" s="429"/>
      <c r="G235" s="429"/>
      <c r="H235" s="429"/>
      <c r="I235" s="429"/>
      <c r="J235" s="429"/>
      <c r="K235" s="429"/>
      <c r="L235" s="429"/>
      <c r="M235" s="429"/>
      <c r="N235" s="429"/>
      <c r="O235" s="429"/>
      <c r="P235" s="429"/>
      <c r="Q235" s="429"/>
      <c r="R235" s="429"/>
      <c r="S235" s="429"/>
      <c r="T235" s="429"/>
      <c r="U235" s="429"/>
      <c r="V235" s="429"/>
      <c r="W235" s="429"/>
      <c r="X235" s="429"/>
      <c r="Y235" s="429"/>
      <c r="Z235" s="429"/>
      <c r="AA235" s="429"/>
      <c r="AB235" s="429"/>
    </row>
    <row r="236" spans="2:28" x14ac:dyDescent="0.25">
      <c r="B236" s="429"/>
      <c r="C236" s="429"/>
      <c r="D236" s="429"/>
      <c r="E236" s="429"/>
      <c r="F236" s="429"/>
      <c r="G236" s="429"/>
      <c r="H236" s="429"/>
      <c r="I236" s="429"/>
      <c r="J236" s="429"/>
      <c r="K236" s="429"/>
      <c r="L236" s="429"/>
      <c r="M236" s="429"/>
      <c r="N236" s="429"/>
      <c r="O236" s="429"/>
      <c r="P236" s="429"/>
      <c r="Q236" s="429"/>
      <c r="R236" s="429"/>
      <c r="S236" s="429"/>
      <c r="T236" s="429"/>
      <c r="U236" s="429"/>
      <c r="V236" s="429"/>
      <c r="W236" s="429"/>
      <c r="X236" s="429"/>
      <c r="Y236" s="429"/>
      <c r="Z236" s="429"/>
      <c r="AA236" s="429"/>
      <c r="AB236" s="429"/>
    </row>
    <row r="237" spans="2:28" x14ac:dyDescent="0.25">
      <c r="B237" s="429"/>
      <c r="C237" s="429"/>
      <c r="D237" s="429"/>
      <c r="E237" s="429"/>
      <c r="F237" s="429"/>
      <c r="G237" s="429"/>
      <c r="H237" s="429"/>
      <c r="I237" s="429"/>
      <c r="J237" s="429"/>
      <c r="K237" s="429"/>
      <c r="L237" s="429"/>
      <c r="M237" s="429"/>
      <c r="N237" s="429"/>
      <c r="O237" s="429"/>
      <c r="P237" s="429"/>
      <c r="Q237" s="429"/>
      <c r="R237" s="429"/>
      <c r="S237" s="429"/>
      <c r="T237" s="429"/>
      <c r="U237" s="429"/>
      <c r="V237" s="429"/>
      <c r="W237" s="429"/>
      <c r="X237" s="429"/>
      <c r="Y237" s="429"/>
      <c r="Z237" s="429"/>
      <c r="AA237" s="429"/>
      <c r="AB237" s="429"/>
    </row>
    <row r="238" spans="2:28" x14ac:dyDescent="0.25">
      <c r="B238" s="429"/>
      <c r="C238" s="429"/>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c r="AA238" s="429"/>
      <c r="AB238" s="429"/>
    </row>
    <row r="239" spans="2:28" x14ac:dyDescent="0.25">
      <c r="B239" s="429"/>
      <c r="C239" s="429"/>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c r="AA239" s="429"/>
      <c r="AB239" s="429"/>
    </row>
    <row r="240" spans="2:28" x14ac:dyDescent="0.25">
      <c r="B240" s="429"/>
      <c r="C240" s="429"/>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c r="AA240" s="429"/>
      <c r="AB240" s="429"/>
    </row>
    <row r="241" spans="2:27" x14ac:dyDescent="0.25">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sheetData>
  <sheetProtection algorithmName="SHA-512" hashValue="JAOmM2I9Q+DUl7Dh3MXvYbeUFwG1dUq7L5mB0lEZ1Jo4umHw++JviXhh4pEQO/gvIoXxhU+vQIHKDknTmgH6zw==" saltValue="eJNAiQZy5EtA1z1Du+82LQ==" spinCount="100000" sheet="1" selectLockedCells="1"/>
  <protectedRanges>
    <protectedRange sqref="E49:G49" name="Intervallo5"/>
    <protectedRange sqref="N120" name="Intervallo3"/>
    <protectedRange sqref="D103 D105" name="Intervallo2"/>
    <protectedRange sqref="N129" name="Intervallo4"/>
    <protectedRange sqref="I96:I97" name="Intervallo1_5_3"/>
    <protectedRange sqref="I94" name="Intervallo1_5_3_2"/>
  </protectedRanges>
  <customSheetViews>
    <customSheetView guid="{5E8F20A8-8220-4169-B947-2AB764A2AA7B}" scale="85" showGridLines="0" showRowCol="0">
      <selection activeCell="E49" sqref="E49:G49"/>
      <pageMargins left="0.7" right="0.7" top="0.75" bottom="0.75" header="0.3" footer="0.3"/>
      <pageSetup paperSize="9" orientation="portrait" horizontalDpi="4294967293" r:id="rId1"/>
    </customSheetView>
    <customSheetView guid="{9F540994-A66B-4083-BD64-035E71878618}" scale="85" showGridLines="0" showRowCol="0" topLeftCell="A100">
      <selection activeCell="E49" sqref="E49:G49"/>
      <pageMargins left="0.7" right="0.7" top="0.75" bottom="0.75" header="0.3" footer="0.3"/>
      <pageSetup paperSize="9" orientation="portrait" horizontalDpi="4294967293" r:id="rId2"/>
    </customSheetView>
  </customSheetViews>
  <mergeCells count="29">
    <mergeCell ref="C8:D8"/>
    <mergeCell ref="C56:D57"/>
    <mergeCell ref="F56:G57"/>
    <mergeCell ref="I56:J57"/>
    <mergeCell ref="O56:P57"/>
    <mergeCell ref="G20:G21"/>
    <mergeCell ref="H20:H21"/>
    <mergeCell ref="G22:G23"/>
    <mergeCell ref="H22:H23"/>
    <mergeCell ref="R56:S57"/>
    <mergeCell ref="E48:G48"/>
    <mergeCell ref="F110:H110"/>
    <mergeCell ref="E50:G50"/>
    <mergeCell ref="E51:G51"/>
    <mergeCell ref="J120:M120"/>
    <mergeCell ref="E49:G49"/>
    <mergeCell ref="H83:I83"/>
    <mergeCell ref="H84:I84"/>
    <mergeCell ref="H91:I91"/>
    <mergeCell ref="H92:I92"/>
    <mergeCell ref="I110:K110"/>
    <mergeCell ref="L56:M57"/>
    <mergeCell ref="D105:E105"/>
    <mergeCell ref="J127:L127"/>
    <mergeCell ref="J129:M129"/>
    <mergeCell ref="O129:Q132"/>
    <mergeCell ref="J123:L123"/>
    <mergeCell ref="J124:L124"/>
    <mergeCell ref="J126:L126"/>
  </mergeCells>
  <conditionalFormatting sqref="H83:I83 H91:I91">
    <cfRule type="cellIs" dxfId="18" priority="2" operator="equal">
      <formula>"VERIFICATO"</formula>
    </cfRule>
  </conditionalFormatting>
  <dataValidations count="2">
    <dataValidation type="list" allowBlank="1" showInputMessage="1" showErrorMessage="1" sqref="E49">
      <formula1>mey</formula1>
    </dataValidation>
    <dataValidation type="list" allowBlank="1" showInputMessage="1" showErrorMessage="1" sqref="N129 I96:I97 I94">
      <formula1>sn</formula1>
    </dataValidation>
  </dataValidations>
  <pageMargins left="0.7" right="0.7" top="0.75" bottom="0.75" header="0.3" footer="0.3"/>
  <pageSetup paperSize="9" orientation="portrait" horizontalDpi="4294967293"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1"/>
  <sheetViews>
    <sheetView zoomScaleNormal="100" workbookViewId="0">
      <selection activeCell="O26" sqref="O26"/>
    </sheetView>
  </sheetViews>
  <sheetFormatPr defaultRowHeight="15" x14ac:dyDescent="0.25"/>
  <cols>
    <col min="1" max="1" width="2.85546875" customWidth="1"/>
    <col min="2" max="2" width="19" customWidth="1"/>
    <col min="3" max="3" width="10.5703125" customWidth="1"/>
    <col min="4" max="4" width="10" bestFit="1" customWidth="1"/>
    <col min="8" max="8" width="10" customWidth="1"/>
    <col min="9" max="9" width="9.85546875" bestFit="1" customWidth="1"/>
    <col min="10" max="10" width="10.5703125" bestFit="1" customWidth="1"/>
    <col min="11" max="11" width="10.42578125" customWidth="1"/>
    <col min="15" max="15" width="7.42578125" customWidth="1"/>
    <col min="16" max="16" width="12.7109375" customWidth="1"/>
    <col min="17" max="17" width="55.5703125" customWidth="1"/>
  </cols>
  <sheetData>
    <row r="1" spans="2:23" x14ac:dyDescent="0.25">
      <c r="V1" s="32"/>
      <c r="W1" s="32"/>
    </row>
    <row r="2" spans="2:23" x14ac:dyDescent="0.25">
      <c r="B2" s="926" t="s">
        <v>64</v>
      </c>
      <c r="C2" s="927"/>
      <c r="D2" s="927"/>
      <c r="E2" s="927"/>
      <c r="F2" s="927"/>
      <c r="G2" s="927"/>
      <c r="H2" s="927"/>
      <c r="I2" s="927"/>
      <c r="J2" s="927"/>
      <c r="K2" s="927"/>
      <c r="L2" s="927"/>
      <c r="M2" s="927"/>
      <c r="N2" s="928"/>
      <c r="V2" s="32"/>
      <c r="W2" s="32"/>
    </row>
    <row r="3" spans="2:23" x14ac:dyDescent="0.25">
      <c r="C3" s="391"/>
      <c r="D3" s="391" t="s">
        <v>22</v>
      </c>
      <c r="E3" s="391" t="s">
        <v>23</v>
      </c>
      <c r="F3" s="391" t="s">
        <v>24</v>
      </c>
      <c r="G3" s="391" t="s">
        <v>65</v>
      </c>
      <c r="H3" s="391" t="s">
        <v>66</v>
      </c>
      <c r="I3" s="391" t="s">
        <v>67</v>
      </c>
      <c r="J3" s="391" t="s">
        <v>68</v>
      </c>
      <c r="K3" s="391" t="s">
        <v>69</v>
      </c>
      <c r="L3" s="346" t="s">
        <v>70</v>
      </c>
      <c r="M3" s="391" t="s">
        <v>71</v>
      </c>
      <c r="N3" s="391" t="s">
        <v>72</v>
      </c>
      <c r="Q3" s="197" t="s">
        <v>1076</v>
      </c>
    </row>
    <row r="4" spans="2:23" x14ac:dyDescent="0.25">
      <c r="C4" s="32"/>
      <c r="D4" s="32" t="s">
        <v>2</v>
      </c>
      <c r="E4" s="32" t="s">
        <v>2</v>
      </c>
      <c r="F4" s="32" t="s">
        <v>2</v>
      </c>
      <c r="G4" s="32" t="s">
        <v>33</v>
      </c>
      <c r="H4" s="32" t="s">
        <v>34</v>
      </c>
      <c r="I4" s="198" t="s">
        <v>35</v>
      </c>
      <c r="J4" s="32" t="s">
        <v>35</v>
      </c>
      <c r="K4" s="32" t="s">
        <v>35</v>
      </c>
      <c r="L4" s="282" t="s">
        <v>2</v>
      </c>
      <c r="M4" s="32" t="s">
        <v>2</v>
      </c>
      <c r="N4" s="32" t="s">
        <v>2</v>
      </c>
      <c r="Q4" s="197" t="s">
        <v>73</v>
      </c>
    </row>
    <row r="5" spans="2:23" x14ac:dyDescent="0.25">
      <c r="B5" s="157" t="s">
        <v>1075</v>
      </c>
      <c r="C5" s="32"/>
      <c r="D5" s="32">
        <f>DATI!E88</f>
        <v>0.35</v>
      </c>
      <c r="E5" s="32"/>
      <c r="F5" s="32"/>
      <c r="G5" s="32">
        <f>DATI!E61*DATI!E62</f>
        <v>0.3</v>
      </c>
      <c r="H5" s="32">
        <f>G5*D5</f>
        <v>0.105</v>
      </c>
      <c r="I5" s="198">
        <f>H5*(DATI!E62/2)</f>
        <v>1.575E-2</v>
      </c>
      <c r="J5" s="32">
        <v>0</v>
      </c>
      <c r="K5" s="32">
        <f>H5*(-D5/2)</f>
        <v>-1.8374999999999999E-2</v>
      </c>
      <c r="L5" s="275">
        <f>I5/H5</f>
        <v>0.15</v>
      </c>
      <c r="M5" s="131">
        <f>J5/H5</f>
        <v>0</v>
      </c>
      <c r="N5" s="131">
        <f>-K5/H5</f>
        <v>0.17499999999999999</v>
      </c>
    </row>
    <row r="6" spans="2:23" x14ac:dyDescent="0.25">
      <c r="C6" s="32"/>
      <c r="D6" s="32"/>
      <c r="E6" s="32"/>
      <c r="F6" s="32"/>
      <c r="G6" s="32"/>
      <c r="H6" s="32"/>
      <c r="I6" s="198"/>
      <c r="J6" s="32"/>
      <c r="K6" s="32"/>
      <c r="L6" s="282"/>
      <c r="M6" s="32"/>
      <c r="N6" s="32"/>
    </row>
    <row r="7" spans="2:23" x14ac:dyDescent="0.25">
      <c r="B7" s="925" t="s">
        <v>20</v>
      </c>
      <c r="C7" s="153" t="s">
        <v>74</v>
      </c>
      <c r="D7" s="152">
        <f>'SOLLECITAZ NASCOSTO'!$D$5/'SOLLECITAZ NASCOSTO'!$B$448*'SOLLECITAZ NASCOSTO'!B32</f>
        <v>0</v>
      </c>
      <c r="E7" s="155">
        <f>DATI!E62+'FOGLIO DEPOSITO'!D209</f>
        <v>0.3</v>
      </c>
      <c r="F7" s="155">
        <f>E7-DATI!$E$62</f>
        <v>0</v>
      </c>
      <c r="G7" s="155">
        <f>F7*DATI!$E$64*DATI!$E$63+DATI!$E$61*DATI!$E$62</f>
        <v>0.3</v>
      </c>
      <c r="I7" s="198"/>
      <c r="J7" s="32"/>
      <c r="K7" s="32"/>
      <c r="L7" s="347"/>
      <c r="N7" s="154"/>
    </row>
    <row r="8" spans="2:23" x14ac:dyDescent="0.25">
      <c r="B8" s="925"/>
      <c r="C8" s="153" t="s">
        <v>75</v>
      </c>
      <c r="D8" s="152">
        <f>DATI!E60</f>
        <v>2.85</v>
      </c>
      <c r="E8" s="155">
        <f>DATI!$E$62+'FOGLIO DEPOSITO'!$D$209+'FOGLIO DEPOSITO'!$D$198*D8</f>
        <v>0.30000999999999978</v>
      </c>
      <c r="F8" s="156">
        <f>E8-DATI!$E$62</f>
        <v>9.9999999997879563E-6</v>
      </c>
      <c r="G8" s="155">
        <f>F8*DATI!$E$64*DATI!$E$63+DATI!$E$61*DATI!$E$62</f>
        <v>0.30000999999999978</v>
      </c>
      <c r="I8" s="198"/>
      <c r="J8" s="32"/>
      <c r="K8" s="32"/>
      <c r="L8" s="347"/>
      <c r="N8" s="154"/>
    </row>
    <row r="9" spans="2:23" x14ac:dyDescent="0.25">
      <c r="B9" s="925"/>
      <c r="C9" s="150" t="s">
        <v>76</v>
      </c>
      <c r="G9" s="132">
        <f>G7+G8</f>
        <v>0.60000999999999971</v>
      </c>
      <c r="H9" s="130">
        <f>(DATI!$E$62*DATI!$E$61)*(D8-D7)+DATI!$E$63*(F7*DATI!$E$64*(D8-D7)+(F8-F7)*DATI!$E$64*(D8-D7)/2)</f>
        <v>0.85501424999999964</v>
      </c>
      <c r="I9" s="199">
        <f>((DATI!$E$62*DATI!$E$61)*(D8-D7)*DATI!$E$62/2+(F7*DATI!$E$64*(D8-D7)*(F7/2+DATI!$E$62)+(F8-F7)*DATI!$E$64*(D8-D7)/2*((F8-F7)/3+F7+DATI!$E$62))*DATI!$E$63)</f>
        <v>0.12825427504749992</v>
      </c>
      <c r="J9" s="130">
        <v>0</v>
      </c>
      <c r="K9" s="32">
        <f>(DATI!$E$62*DATI!$E$61)*(D8-D7)*(D8-D7)/2+(F7*DATI!$E$64*(D8-D7)*(D8-D7)/2+(F8-F7)*DATI!$E$64*(D8-D7)/2*(D8-D7)*2/3)*DATI!$E$63</f>
        <v>1.2184020749999993</v>
      </c>
      <c r="L9" s="275">
        <f>I9/$H$9</f>
        <v>0.15000250001388862</v>
      </c>
      <c r="M9" s="131">
        <f>J9/$H$9</f>
        <v>0</v>
      </c>
      <c r="N9" s="131">
        <f>-K9/$H$9</f>
        <v>-1.4250079165347243</v>
      </c>
    </row>
    <row r="10" spans="2:23" x14ac:dyDescent="0.25">
      <c r="L10" s="228"/>
    </row>
    <row r="11" spans="2:23" x14ac:dyDescent="0.25">
      <c r="B11" s="925" t="s">
        <v>77</v>
      </c>
      <c r="C11" s="153" t="s">
        <v>78</v>
      </c>
      <c r="D11" s="152">
        <f>DATI!E74</f>
        <v>0.5</v>
      </c>
      <c r="E11" s="151">
        <f>DATI!E75</f>
        <v>0.4</v>
      </c>
      <c r="F11" s="151"/>
      <c r="G11" s="151">
        <f>E11*DATI!$E$61</f>
        <v>0.4</v>
      </c>
      <c r="H11" s="151">
        <f>G11*DATI!E74</f>
        <v>0.2</v>
      </c>
      <c r="I11" s="151">
        <f>H11*(-E11/2)</f>
        <v>-4.0000000000000008E-2</v>
      </c>
      <c r="J11" s="151">
        <v>0</v>
      </c>
      <c r="K11" s="151">
        <f>H11*(DATI!E60+DATI!E74/2)</f>
        <v>0.62000000000000011</v>
      </c>
      <c r="L11" s="228"/>
    </row>
    <row r="12" spans="2:23" x14ac:dyDescent="0.25">
      <c r="B12" s="925"/>
      <c r="C12" s="153" t="s">
        <v>79</v>
      </c>
      <c r="D12" s="152">
        <f>DATI!E74</f>
        <v>0.5</v>
      </c>
      <c r="E12" s="155">
        <f>'FOGLIO DEPOSITO'!D212+E8</f>
        <v>1.5999999999999996</v>
      </c>
      <c r="F12" s="151"/>
      <c r="G12" s="151">
        <f>E12*DATI!$E$61</f>
        <v>1.5999999999999996</v>
      </c>
      <c r="H12" s="151">
        <f>G12*DATI!E74</f>
        <v>0.79999999999999982</v>
      </c>
      <c r="I12" s="151">
        <f>H12*(E12/2)</f>
        <v>0.63999999999999968</v>
      </c>
      <c r="J12" s="151">
        <v>0</v>
      </c>
      <c r="K12" s="151">
        <f>H12*(DATI!E60+DATI!E74/2)</f>
        <v>2.4799999999999995</v>
      </c>
      <c r="L12" s="228"/>
    </row>
    <row r="13" spans="2:23" x14ac:dyDescent="0.25">
      <c r="B13" s="925"/>
      <c r="C13" s="150" t="s">
        <v>76</v>
      </c>
      <c r="G13" s="32">
        <f>G11+G12</f>
        <v>1.9999999999999996</v>
      </c>
      <c r="H13" s="32">
        <f>H11+H12</f>
        <v>0.99999999999999978</v>
      </c>
      <c r="I13" s="32">
        <f>I11+I12</f>
        <v>0.59999999999999964</v>
      </c>
      <c r="J13" s="32">
        <f>J11+J12</f>
        <v>0</v>
      </c>
      <c r="K13" s="32">
        <f>K11+K12</f>
        <v>3.0999999999999996</v>
      </c>
      <c r="L13" s="275">
        <f>I13/$H$13</f>
        <v>0.59999999999999976</v>
      </c>
      <c r="M13" s="131">
        <f>J13/$H$13</f>
        <v>0</v>
      </c>
      <c r="N13" s="131">
        <f>-K13/$H$13</f>
        <v>-3.1000000000000005</v>
      </c>
    </row>
    <row r="14" spans="2:23" x14ac:dyDescent="0.25">
      <c r="L14" s="228"/>
    </row>
    <row r="15" spans="2:23" x14ac:dyDescent="0.25">
      <c r="B15" s="390" t="s">
        <v>80</v>
      </c>
      <c r="C15" s="149"/>
      <c r="D15" s="149">
        <f>DATI!E81</f>
        <v>0</v>
      </c>
      <c r="E15" s="149">
        <f>DATI!E83</f>
        <v>0</v>
      </c>
      <c r="F15" s="149"/>
      <c r="G15" s="149">
        <f>DATI!E83*DATI!E61</f>
        <v>0</v>
      </c>
      <c r="H15" s="149">
        <f>G15*DATI!E81</f>
        <v>0</v>
      </c>
      <c r="I15" s="149">
        <f>H15*Q15</f>
        <v>0</v>
      </c>
      <c r="J15" s="149">
        <v>0</v>
      </c>
      <c r="K15" s="149">
        <f>H15*(D8+D12+D15/2)</f>
        <v>0</v>
      </c>
      <c r="L15" s="348" t="e">
        <f>I15/$H$15</f>
        <v>#DIV/0!</v>
      </c>
      <c r="M15" s="148" t="e">
        <f>J15/$H$15</f>
        <v>#DIV/0!</v>
      </c>
      <c r="N15" s="148" t="e">
        <f>-K15/$H$15</f>
        <v>#DIV/0!</v>
      </c>
      <c r="Q15" s="144">
        <f>DATI!E84-S58</f>
        <v>0</v>
      </c>
    </row>
    <row r="16" spans="2:23" x14ac:dyDescent="0.25">
      <c r="B16" s="175" t="s">
        <v>76</v>
      </c>
      <c r="H16" s="42">
        <f>H5+H9+H13+H15</f>
        <v>1.9600142499999995</v>
      </c>
      <c r="I16" s="42">
        <f>I5+I9+I13+I15</f>
        <v>0.74400427504749955</v>
      </c>
      <c r="J16" s="42">
        <f>J5+J9+J13+J15</f>
        <v>0</v>
      </c>
      <c r="K16" s="192">
        <f>K5+K9+K13+K15</f>
        <v>4.3000270749999991</v>
      </c>
      <c r="L16" s="349">
        <f>I16/H16</f>
        <v>0.37959125809799582</v>
      </c>
      <c r="M16" s="42">
        <f>J16/H16</f>
        <v>0</v>
      </c>
      <c r="N16" s="42">
        <f>-K16/H16</f>
        <v>-2.1938754144261963</v>
      </c>
    </row>
    <row r="17" spans="2:17" x14ac:dyDescent="0.25">
      <c r="B17" s="175"/>
      <c r="H17" s="130"/>
      <c r="I17" s="32"/>
      <c r="J17" s="32"/>
      <c r="L17" s="275"/>
      <c r="M17" s="131"/>
      <c r="N17" s="131"/>
    </row>
    <row r="18" spans="2:17" x14ac:dyDescent="0.25">
      <c r="B18" s="929" t="s">
        <v>81</v>
      </c>
      <c r="C18" s="189" t="s">
        <v>82</v>
      </c>
      <c r="D18" s="46">
        <f>DATI!E60</f>
        <v>2.85</v>
      </c>
      <c r="E18" s="47">
        <f>IF(P19="sx",S58,IF(P21="muro a contrafforti",S59+'FOGLIO DEPOSITO'!D210,S59))</f>
        <v>1.29999</v>
      </c>
      <c r="F18" s="47"/>
      <c r="G18" s="47"/>
      <c r="H18" s="46">
        <f>E18*D18*S45</f>
        <v>3.7049715000000001</v>
      </c>
      <c r="I18" s="46">
        <f>IF(DATI!G218="dx",IF(P21="muro a contrafforti",H18*((E18)/2+DATI!E62),H18*('FOGLIO DEPOSITO'!D211+'geom masse muro+tensioni'!S59/2)),-H18*E18/2)</f>
        <v>3.519741449857499</v>
      </c>
      <c r="J18" s="46">
        <v>0</v>
      </c>
      <c r="K18" s="46">
        <f>H18*D18/2</f>
        <v>5.2795843874999999</v>
      </c>
      <c r="L18" s="349">
        <f>I18/H18</f>
        <v>0.95000499999999977</v>
      </c>
      <c r="M18" s="46">
        <v>0</v>
      </c>
      <c r="N18" s="46">
        <f>-K18/H18</f>
        <v>-1.425</v>
      </c>
    </row>
    <row r="19" spans="2:17" x14ac:dyDescent="0.25">
      <c r="B19" s="929"/>
      <c r="C19" s="189" t="s">
        <v>83</v>
      </c>
      <c r="D19" s="46">
        <f>D18+E19*TAN(DATI!E169*PI()/180)</f>
        <v>2.85</v>
      </c>
      <c r="E19" s="47">
        <f>IF(DATI!G218="sX",DATI!E75,IF(P21="muro a contrafforti",'FOGLIO DEPOSITO'!D212+'FOGLIO DEPOSITO'!D203,'FOGLIO DEPOSITO'!D212+'FOGLIO DEPOSITO'!D210-'FOGLIO DEPOSITO'!D209))</f>
        <v>1.3</v>
      </c>
      <c r="F19" s="47"/>
      <c r="G19" s="47"/>
      <c r="H19" s="190">
        <f>E19*(D19-D18)/2*S45</f>
        <v>0</v>
      </c>
      <c r="I19" s="46">
        <f>IF(DATI!G218="dx",H19*(E19*2/3+DATI!E62),-H19*E19*2/3)</f>
        <v>0</v>
      </c>
      <c r="J19" s="46">
        <v>0</v>
      </c>
      <c r="K19" s="46">
        <f>-H19*1/3*(D19-D18)</f>
        <v>0</v>
      </c>
      <c r="L19" s="349" t="e">
        <f>I19/H19</f>
        <v>#DIV/0!</v>
      </c>
      <c r="M19" s="46">
        <v>0</v>
      </c>
      <c r="N19" s="46" t="e">
        <f>-K19/H19</f>
        <v>#DIV/0!</v>
      </c>
      <c r="P19" s="144" t="str">
        <f>DATI!G218</f>
        <v>dx</v>
      </c>
    </row>
    <row r="20" spans="2:17" s="428" customFormat="1" x14ac:dyDescent="0.25">
      <c r="B20" s="929"/>
      <c r="C20" s="189" t="s">
        <v>84</v>
      </c>
      <c r="D20" s="46">
        <f>D18</f>
        <v>2.85</v>
      </c>
      <c r="E20" s="47">
        <f>IF(P21="muro a contrafforti",0,IF(P19="SX",0,'FOGLIO DEPOSITO'!D210-'FOGLIO DEPOSITO'!D209))</f>
        <v>1.0000000000010001E-5</v>
      </c>
      <c r="F20" s="33"/>
      <c r="G20" s="33"/>
      <c r="H20" s="45">
        <f>IF(P21="muro a contrafforti",0,E20*D20/2*S45)</f>
        <v>1.4250000000014251E-5</v>
      </c>
      <c r="I20" s="46">
        <f>IF(DATI!G218="dx",H20*(E20/3*2+DATI!E62+'FOGLIO DEPOSITO'!D209),0)</f>
        <v>4.2750950000042754E-6</v>
      </c>
      <c r="J20" s="46">
        <v>0</v>
      </c>
      <c r="K20" s="46">
        <f>H20*D20/3</f>
        <v>1.3537500000013538E-5</v>
      </c>
      <c r="L20" s="275">
        <f>I20/H20</f>
        <v>0.30000666666666664</v>
      </c>
      <c r="M20" s="46">
        <v>0</v>
      </c>
      <c r="N20" s="46">
        <f>-K20/H20</f>
        <v>-0.95</v>
      </c>
      <c r="P20" s="144"/>
    </row>
    <row r="21" spans="2:17" x14ac:dyDescent="0.25">
      <c r="B21" s="930"/>
      <c r="C21" s="191" t="s">
        <v>857</v>
      </c>
      <c r="D21" s="149">
        <f>IF((DATI!E258-DATI!E74)&lt;0,0,DATI!E258-DATI!E74)</f>
        <v>0.30000000000000004</v>
      </c>
      <c r="E21" s="149">
        <f>IF(P19="sx",IF(P21="muro a contrafforti",'FOGLIO DEPOSITO'!D211+'FOGLIO DEPOSITO'!D212-DATI!E62,'FOGLIO DEPOSITO'!D212),DATI!E75)</f>
        <v>0.4</v>
      </c>
      <c r="F21" s="43"/>
      <c r="G21" s="43"/>
      <c r="H21" s="149">
        <f>D21*E21*DATI!E61</f>
        <v>0.12000000000000002</v>
      </c>
      <c r="I21" s="149">
        <f>IF(P19="sx",'FOGLIO DEPOSITO'!D211+'FOGLIO DEPOSITO'!D212/2,-DATI!E75/2)*H21</f>
        <v>-2.4000000000000007E-2</v>
      </c>
      <c r="J21" s="149">
        <v>0</v>
      </c>
      <c r="K21" s="519">
        <f>(D20-D21/2)*H21</f>
        <v>0.32400000000000007</v>
      </c>
      <c r="L21" s="348">
        <f>I21/H21</f>
        <v>-0.2</v>
      </c>
      <c r="M21" s="44">
        <v>0</v>
      </c>
      <c r="N21" s="44">
        <f>-K21/H21</f>
        <v>-2.7</v>
      </c>
      <c r="P21" s="249" t="str">
        <f>DATI!C69</f>
        <v>muro a paramento verticale</v>
      </c>
    </row>
    <row r="22" spans="2:17" x14ac:dyDescent="0.25">
      <c r="B22" s="175" t="s">
        <v>76</v>
      </c>
      <c r="H22" s="42">
        <f>H18+H19+H20+H21</f>
        <v>3.8249857500000002</v>
      </c>
      <c r="I22" s="42">
        <f>I18+I19+I20+I21</f>
        <v>3.4957457249524988</v>
      </c>
      <c r="J22" s="42">
        <f>J18+J19+J20+J21</f>
        <v>0</v>
      </c>
      <c r="K22" s="42">
        <f>K18+K19+K20+K21</f>
        <v>5.6035979249999999</v>
      </c>
      <c r="L22" s="349">
        <f>I22/H22</f>
        <v>0.91392385578233815</v>
      </c>
      <c r="M22" s="46">
        <v>0</v>
      </c>
      <c r="N22" s="46">
        <f>-K22/H22</f>
        <v>-1.4649983794057271</v>
      </c>
    </row>
    <row r="23" spans="2:17" x14ac:dyDescent="0.25">
      <c r="B23" s="175"/>
      <c r="H23" s="130"/>
      <c r="I23" s="32"/>
      <c r="J23" s="32"/>
      <c r="L23" s="269" t="s">
        <v>70</v>
      </c>
      <c r="M23" s="391" t="s">
        <v>71</v>
      </c>
      <c r="N23" s="391" t="s">
        <v>72</v>
      </c>
    </row>
    <row r="24" spans="2:17" x14ac:dyDescent="0.25">
      <c r="B24" s="931" t="s">
        <v>85</v>
      </c>
      <c r="C24" s="33"/>
      <c r="D24" s="33"/>
      <c r="E24" s="33"/>
      <c r="F24" s="33"/>
      <c r="G24" s="33"/>
      <c r="H24" s="193"/>
      <c r="I24" s="47"/>
      <c r="J24" s="47"/>
      <c r="K24" s="33"/>
      <c r="L24" s="275"/>
      <c r="M24" s="190"/>
      <c r="N24" s="190"/>
    </row>
    <row r="25" spans="2:17" x14ac:dyDescent="0.25">
      <c r="B25" s="931"/>
      <c r="C25" s="33" t="s">
        <v>86</v>
      </c>
      <c r="D25" s="33"/>
      <c r="E25" s="33"/>
      <c r="F25" s="33"/>
      <c r="G25" s="33"/>
      <c r="H25" s="46">
        <f>H16</f>
        <v>1.9600142499999995</v>
      </c>
      <c r="I25" s="46">
        <f>I16</f>
        <v>0.74400427504749955</v>
      </c>
      <c r="J25" s="46">
        <f t="shared" ref="J25:K25" si="0">J16</f>
        <v>0</v>
      </c>
      <c r="K25" s="46">
        <f t="shared" si="0"/>
        <v>4.3000270749999991</v>
      </c>
      <c r="L25" s="349">
        <f>L16</f>
        <v>0.37959125809799582</v>
      </c>
      <c r="M25" s="46">
        <f>M16</f>
        <v>0</v>
      </c>
      <c r="N25" s="46">
        <f>N16</f>
        <v>-2.1938754144261963</v>
      </c>
    </row>
    <row r="26" spans="2:17" x14ac:dyDescent="0.25">
      <c r="B26" s="932"/>
      <c r="C26" s="43" t="s">
        <v>87</v>
      </c>
      <c r="D26" s="43"/>
      <c r="E26" s="43"/>
      <c r="F26" s="43"/>
      <c r="G26" s="43"/>
      <c r="H26" s="44">
        <f>H22</f>
        <v>3.8249857500000002</v>
      </c>
      <c r="I26" s="44">
        <f>I22</f>
        <v>3.4957457249524988</v>
      </c>
      <c r="J26" s="44">
        <f t="shared" ref="J26:K26" si="1">J22</f>
        <v>0</v>
      </c>
      <c r="K26" s="44">
        <f t="shared" si="1"/>
        <v>5.6035979249999999</v>
      </c>
      <c r="L26" s="350">
        <f>L22</f>
        <v>0.91392385578233815</v>
      </c>
      <c r="M26" s="44">
        <f>M22</f>
        <v>0</v>
      </c>
      <c r="N26" s="44">
        <f>N22</f>
        <v>-1.4649983794057271</v>
      </c>
      <c r="O26" s="131"/>
    </row>
    <row r="27" spans="2:17" x14ac:dyDescent="0.25">
      <c r="B27" s="175"/>
      <c r="H27" s="42">
        <f>H25+H26</f>
        <v>5.7850000000000001</v>
      </c>
      <c r="I27" s="42">
        <f>I25+I26</f>
        <v>4.2397499999999981</v>
      </c>
      <c r="J27" s="42">
        <f t="shared" ref="J27" si="2">J25+J26</f>
        <v>0</v>
      </c>
      <c r="K27" s="42">
        <f t="shared" ref="K27" si="3">K25+K26</f>
        <v>9.9036249999999981</v>
      </c>
      <c r="L27" s="275">
        <f>I27/H27</f>
        <v>0.73288677614520281</v>
      </c>
      <c r="M27" s="190">
        <v>0</v>
      </c>
      <c r="N27" s="190">
        <f>-K27/H27</f>
        <v>-1.7119490060501292</v>
      </c>
    </row>
    <row r="28" spans="2:17" x14ac:dyDescent="0.25">
      <c r="B28" s="175"/>
      <c r="H28" s="130"/>
      <c r="I28" s="32"/>
      <c r="J28" s="32"/>
      <c r="L28" s="131"/>
      <c r="M28" s="131"/>
      <c r="N28" s="131"/>
    </row>
    <row r="29" spans="2:17" x14ac:dyDescent="0.25">
      <c r="B29" s="175"/>
      <c r="H29" s="130"/>
      <c r="I29" s="32"/>
      <c r="J29" s="32"/>
      <c r="L29" s="131"/>
      <c r="M29" s="131"/>
      <c r="N29" s="131"/>
    </row>
    <row r="30" spans="2:17" x14ac:dyDescent="0.25">
      <c r="B30" s="175"/>
      <c r="H30" s="130"/>
      <c r="I30" s="32"/>
      <c r="J30" s="32"/>
      <c r="L30" s="131"/>
      <c r="M30" s="131"/>
      <c r="N30" s="131"/>
    </row>
    <row r="31" spans="2:17" x14ac:dyDescent="0.25">
      <c r="B31" s="175"/>
      <c r="H31" s="130"/>
      <c r="I31" s="32"/>
      <c r="J31" s="32"/>
      <c r="L31" s="131"/>
      <c r="M31" s="131"/>
      <c r="N31" s="131"/>
    </row>
    <row r="32" spans="2:17" x14ac:dyDescent="0.25">
      <c r="B32" s="175" t="s">
        <v>88</v>
      </c>
      <c r="H32" s="42">
        <f>H22*Q32</f>
        <v>79.04568839167807</v>
      </c>
      <c r="I32" s="42">
        <f>I22*Q32</f>
        <v>72.241740317891626</v>
      </c>
      <c r="J32" s="42">
        <f t="shared" ref="J32" si="4">J22</f>
        <v>0</v>
      </c>
      <c r="K32" s="42">
        <f>K22*Q32</f>
        <v>115.80180539281847</v>
      </c>
      <c r="L32" s="42"/>
      <c r="M32" s="42"/>
      <c r="N32" s="42"/>
      <c r="Q32" s="42">
        <f>('FOGLIO DEPOSITO'!W224*'FOGLIO DEPOSITO'!W227+'FOGLIO DEPOSITO'!W230*'FOGLIO DEPOSITO'!W233+'FOGLIO DEPOSITO'!W236*'FOGLIO DEPOSITO'!W239+DATI!E256*'geom masse muro+tensioni'!D21)/('FOGLIO DEPOSITO'!W227+'FOGLIO DEPOSITO'!W233+'FOGLIO DEPOSITO'!W239+'geom masse muro+tensioni'!D21)</f>
        <v>20.66561643835616</v>
      </c>
    </row>
    <row r="33" spans="2:20" x14ac:dyDescent="0.25">
      <c r="B33" s="195" t="s">
        <v>89</v>
      </c>
      <c r="C33" s="43"/>
      <c r="D33" s="43"/>
      <c r="E33" s="43"/>
      <c r="F33" s="43"/>
      <c r="G33" s="43"/>
      <c r="H33" s="44">
        <f>H16*Q33</f>
        <v>49.000356249999989</v>
      </c>
      <c r="I33" s="44">
        <f>I16*Q33</f>
        <v>18.600106876187489</v>
      </c>
      <c r="J33" s="44">
        <f t="shared" ref="J33" si="5">J16</f>
        <v>0</v>
      </c>
      <c r="K33" s="44">
        <f>K16*Q33</f>
        <v>107.50067687499998</v>
      </c>
      <c r="L33" s="196"/>
      <c r="M33" s="196"/>
      <c r="N33" s="196"/>
      <c r="Q33" s="42">
        <f>DATI!E8</f>
        <v>25</v>
      </c>
    </row>
    <row r="34" spans="2:20" x14ac:dyDescent="0.25">
      <c r="B34" s="175"/>
      <c r="H34" s="42">
        <f>H32+H33</f>
        <v>128.04604464167807</v>
      </c>
      <c r="I34" s="42">
        <f>I32+I33</f>
        <v>90.841847194079122</v>
      </c>
      <c r="J34" s="42">
        <f t="shared" ref="J34" si="6">J32+J33</f>
        <v>0</v>
      </c>
      <c r="K34" s="42">
        <f t="shared" ref="K34" si="7">K32+K33</f>
        <v>223.30248226781845</v>
      </c>
      <c r="L34" s="190">
        <f>I34/H34</f>
        <v>0.70944672635761175</v>
      </c>
      <c r="M34" s="190">
        <v>0</v>
      </c>
      <c r="N34" s="190">
        <f>-K34/H34</f>
        <v>-1.7439233120609421</v>
      </c>
    </row>
    <row r="35" spans="2:20" x14ac:dyDescent="0.25">
      <c r="B35" s="175"/>
      <c r="H35" s="130"/>
      <c r="I35" s="32"/>
      <c r="J35" s="32"/>
      <c r="L35" s="131"/>
      <c r="M35" s="131"/>
      <c r="N35" s="131"/>
    </row>
    <row r="36" spans="2:20" x14ac:dyDescent="0.25">
      <c r="B36" s="175"/>
      <c r="I36" s="32"/>
      <c r="J36" s="32"/>
      <c r="L36" s="131"/>
      <c r="M36" s="131"/>
      <c r="N36" s="131"/>
    </row>
    <row r="37" spans="2:20" x14ac:dyDescent="0.25">
      <c r="B37" s="175"/>
      <c r="H37" s="130"/>
      <c r="I37" s="32"/>
      <c r="J37" s="32"/>
      <c r="L37" s="131"/>
      <c r="M37" s="131"/>
      <c r="N37" s="131"/>
    </row>
    <row r="38" spans="2:20" x14ac:dyDescent="0.25">
      <c r="B38" s="175"/>
      <c r="H38" s="130"/>
      <c r="I38" s="32"/>
      <c r="J38" s="32"/>
      <c r="L38" s="131"/>
      <c r="M38" s="131"/>
      <c r="N38" s="131"/>
    </row>
    <row r="41" spans="2:20" x14ac:dyDescent="0.25">
      <c r="C41" s="144" t="s">
        <v>9</v>
      </c>
      <c r="D41" s="414">
        <f>DATI!$E$63</f>
        <v>1</v>
      </c>
    </row>
    <row r="42" spans="2:20" ht="15.75" thickBot="1" x14ac:dyDescent="0.3">
      <c r="Q42" s="166" t="s">
        <v>0</v>
      </c>
      <c r="R42" s="165"/>
      <c r="S42" s="137"/>
      <c r="T42" s="2"/>
    </row>
    <row r="43" spans="2:20" x14ac:dyDescent="0.25">
      <c r="C43" s="933" t="s">
        <v>90</v>
      </c>
      <c r="D43" s="933"/>
      <c r="E43" s="33"/>
      <c r="F43" s="933" t="s">
        <v>91</v>
      </c>
      <c r="G43" s="933"/>
      <c r="I43" s="33"/>
      <c r="J43" s="933" t="s">
        <v>92</v>
      </c>
      <c r="K43" s="933"/>
      <c r="M43" s="147">
        <v>1</v>
      </c>
      <c r="T43" s="2"/>
    </row>
    <row r="44" spans="2:20" ht="18.75" thickBot="1" x14ac:dyDescent="0.3">
      <c r="C44" s="404">
        <v>0</v>
      </c>
      <c r="D44" s="407">
        <v>0</v>
      </c>
      <c r="E44" s="33"/>
      <c r="F44" s="407">
        <v>0</v>
      </c>
      <c r="G44" s="407">
        <v>0</v>
      </c>
      <c r="I44" s="33"/>
      <c r="J44" s="144">
        <v>0</v>
      </c>
      <c r="K44" s="144">
        <v>0</v>
      </c>
      <c r="M44" s="146">
        <v>2</v>
      </c>
      <c r="Q44" s="2" t="s">
        <v>93</v>
      </c>
      <c r="R44" s="63" t="s">
        <v>94</v>
      </c>
      <c r="S44" s="171">
        <f>DATI!E60</f>
        <v>2.85</v>
      </c>
      <c r="T44" s="32" t="s">
        <v>2</v>
      </c>
    </row>
    <row r="45" spans="2:20" ht="16.5" thickTop="1" thickBot="1" x14ac:dyDescent="0.3">
      <c r="C45" s="404">
        <f>DATI!E61/2</f>
        <v>0.5</v>
      </c>
      <c r="D45" s="407">
        <v>0</v>
      </c>
      <c r="E45" s="33"/>
      <c r="F45" s="407">
        <f>DATI!E61/2</f>
        <v>0.5</v>
      </c>
      <c r="G45" s="407">
        <v>0</v>
      </c>
      <c r="I45" s="33"/>
      <c r="J45" s="201">
        <f>M50</f>
        <v>0.4</v>
      </c>
      <c r="K45" s="144">
        <v>0</v>
      </c>
      <c r="M45" s="146">
        <v>3</v>
      </c>
      <c r="Q45" s="2" t="s">
        <v>95</v>
      </c>
      <c r="R45" s="163" t="s">
        <v>96</v>
      </c>
      <c r="S45" s="172">
        <f>DATI!E61</f>
        <v>1</v>
      </c>
      <c r="T45" s="32" t="s">
        <v>2</v>
      </c>
    </row>
    <row r="46" spans="2:20" ht="18.75" thickTop="1" x14ac:dyDescent="0.25">
      <c r="B46" s="139"/>
      <c r="C46" s="404">
        <f>C45</f>
        <v>0.5</v>
      </c>
      <c r="D46" s="407">
        <f>DATI!E62</f>
        <v>0.3</v>
      </c>
      <c r="E46" s="33"/>
      <c r="F46" s="407">
        <f>F45</f>
        <v>0.5</v>
      </c>
      <c r="G46" s="407">
        <f>DATI!E62</f>
        <v>0.3</v>
      </c>
      <c r="I46" s="46"/>
      <c r="J46" s="201">
        <f>J45</f>
        <v>0.4</v>
      </c>
      <c r="K46" s="144">
        <f>-S64</f>
        <v>0</v>
      </c>
      <c r="M46" s="146">
        <v>4</v>
      </c>
      <c r="Q46" s="2" t="s">
        <v>97</v>
      </c>
      <c r="R46" s="63" t="s">
        <v>98</v>
      </c>
      <c r="S46" s="173">
        <f>DATI!E62</f>
        <v>0.3</v>
      </c>
      <c r="T46" s="32" t="s">
        <v>2</v>
      </c>
    </row>
    <row r="47" spans="2:20" ht="15.75" thickBot="1" x14ac:dyDescent="0.3">
      <c r="B47" s="139"/>
      <c r="C47" s="408">
        <f>IF(DATI!E63&gt;=2,C45-DATI!E65,C45-DATI!E61/2+DATI!E64/2)</f>
        <v>0.5</v>
      </c>
      <c r="D47" s="408">
        <f>DATI!E62</f>
        <v>0.3</v>
      </c>
      <c r="E47" s="33"/>
      <c r="F47" s="407">
        <f>IF(DATI!E63&gt;=2,F45-DATI!E65,F45-DATI!E61/2+DATI!E64/2)</f>
        <v>0.5</v>
      </c>
      <c r="G47" s="407">
        <f>DATI!E62</f>
        <v>0.3</v>
      </c>
      <c r="I47" s="46"/>
      <c r="J47" s="201">
        <f>J46+S63</f>
        <v>0.4</v>
      </c>
      <c r="K47" s="144">
        <f>K46</f>
        <v>0</v>
      </c>
      <c r="M47" s="145">
        <v>5</v>
      </c>
      <c r="R47" s="162"/>
      <c r="S47" s="47"/>
    </row>
    <row r="48" spans="2:20" ht="15.75" thickBot="1" x14ac:dyDescent="0.3">
      <c r="B48" s="139"/>
      <c r="C48" s="408">
        <f>C47</f>
        <v>0.5</v>
      </c>
      <c r="D48" s="408">
        <f>D47+'FOGLIO DEPOSITO'!D209</f>
        <v>0.3</v>
      </c>
      <c r="E48" s="33"/>
      <c r="F48" s="407">
        <f>F47</f>
        <v>0.5</v>
      </c>
      <c r="G48" s="413">
        <f>G47+F8</f>
        <v>0.30000999999999978</v>
      </c>
      <c r="I48" s="33"/>
      <c r="J48" s="201">
        <f>J47</f>
        <v>0.4</v>
      </c>
      <c r="K48" s="144">
        <f>K47+S64</f>
        <v>0</v>
      </c>
      <c r="Q48" s="2" t="s">
        <v>99</v>
      </c>
      <c r="R48" s="391" t="s">
        <v>9</v>
      </c>
      <c r="S48" s="171">
        <f>DATI!E63</f>
        <v>1</v>
      </c>
      <c r="T48" s="32" t="s">
        <v>10</v>
      </c>
    </row>
    <row r="49" spans="2:20" ht="19.5" thickTop="1" thickBot="1" x14ac:dyDescent="0.3">
      <c r="B49" s="139"/>
      <c r="C49" s="408">
        <f>C48-DATI!E64</f>
        <v>-0.5</v>
      </c>
      <c r="D49" s="408">
        <f>D48</f>
        <v>0.3</v>
      </c>
      <c r="E49" s="33"/>
      <c r="F49" s="407">
        <f>F48-DATI!E64</f>
        <v>-0.5</v>
      </c>
      <c r="G49" s="413">
        <f>G48</f>
        <v>0.30000999999999978</v>
      </c>
      <c r="I49" s="33"/>
      <c r="J49" s="144">
        <f>S58+S59+'FOGLIO DEPOSITO'!$D$211</f>
        <v>2</v>
      </c>
      <c r="K49" s="144">
        <f>K48</f>
        <v>0</v>
      </c>
      <c r="M49" t="s">
        <v>100</v>
      </c>
      <c r="Q49" s="2" t="s">
        <v>101</v>
      </c>
      <c r="R49" s="63" t="s">
        <v>102</v>
      </c>
      <c r="S49" s="172">
        <f>DATI!E64</f>
        <v>1</v>
      </c>
      <c r="T49" s="32" t="s">
        <v>2</v>
      </c>
    </row>
    <row r="50" spans="2:20" ht="19.5" thickTop="1" thickBot="1" x14ac:dyDescent="0.3">
      <c r="B50" s="139"/>
      <c r="C50" s="408">
        <f>C49</f>
        <v>-0.5</v>
      </c>
      <c r="D50" s="408">
        <f>D49-'FOGLIO DEPOSITO'!D209</f>
        <v>0.3</v>
      </c>
      <c r="E50" s="33"/>
      <c r="F50" s="407">
        <f>F49</f>
        <v>-0.5</v>
      </c>
      <c r="G50" s="413">
        <f>G49-F8</f>
        <v>0.3</v>
      </c>
      <c r="I50" s="33"/>
      <c r="J50" s="174">
        <f>J49</f>
        <v>2</v>
      </c>
      <c r="K50" s="144">
        <f>K48+S57</f>
        <v>0.5</v>
      </c>
      <c r="M50" s="398">
        <f>DATI!E84-S63/2</f>
        <v>0.4</v>
      </c>
      <c r="Q50" s="2" t="s">
        <v>103</v>
      </c>
      <c r="R50" s="63" t="s">
        <v>104</v>
      </c>
      <c r="S50" s="172">
        <f>DATI!E65</f>
        <v>0</v>
      </c>
      <c r="T50" s="32" t="s">
        <v>2</v>
      </c>
    </row>
    <row r="51" spans="2:20" ht="19.5" thickTop="1" thickBot="1" x14ac:dyDescent="0.3">
      <c r="B51" s="139">
        <f>IF(DATI!E63&gt;2,1,0)</f>
        <v>0</v>
      </c>
      <c r="C51" s="409">
        <f>IF(D41=1,C50,B51*(C50-IF(DATI!E63&gt;=2,(((DATI!E61-2*DATI!E65)-2*DATI!E64)-(DATI!E63-2)*DATI!E64)/(DATI!E63-1),0)))</f>
        <v>-0.5</v>
      </c>
      <c r="D51" s="409">
        <f>DATI!E62</f>
        <v>0.3</v>
      </c>
      <c r="E51" s="143"/>
      <c r="F51" s="407">
        <f>IF(D41=1,C50,B51*(F50-IF(DATI!E63&gt;=2,(((DATI!E61-2*DATI!E65)-2*DATI!E64)-(DATI!E63-2)*DATI!E64)/(DATI!E63-1),0)))</f>
        <v>-0.5</v>
      </c>
      <c r="G51" s="407">
        <f>DATI!E62</f>
        <v>0.3</v>
      </c>
      <c r="I51" s="33"/>
      <c r="J51" s="174">
        <f>S58+E8</f>
        <v>0.7000099999999998</v>
      </c>
      <c r="K51" s="144">
        <f>K50</f>
        <v>0.5</v>
      </c>
      <c r="Q51" s="2" t="s">
        <v>105</v>
      </c>
      <c r="R51" s="63" t="s">
        <v>106</v>
      </c>
      <c r="S51" s="172">
        <f>'FOGLIO DEPOSITO'!D209</f>
        <v>0</v>
      </c>
      <c r="T51" s="32" t="s">
        <v>2</v>
      </c>
    </row>
    <row r="52" spans="2:20" ht="16.5" thickTop="1" thickBot="1" x14ac:dyDescent="0.3">
      <c r="B52" s="139"/>
      <c r="C52" s="409">
        <f>IF(D41=1,C50,B51*C51)</f>
        <v>-0.5</v>
      </c>
      <c r="D52" s="409">
        <f>IF(B51=0,DATI!E62,D51+'FOGLIO DEPOSITO'!D209)</f>
        <v>0.3</v>
      </c>
      <c r="E52" s="143"/>
      <c r="F52" s="407">
        <f>IF(D41=1,C50,B51*F51)</f>
        <v>-0.5</v>
      </c>
      <c r="G52" s="407">
        <f>IF(B51=0,DATI!E62,G51+F8)</f>
        <v>0.3</v>
      </c>
      <c r="I52" s="33"/>
      <c r="J52" s="174">
        <f>S58+E7</f>
        <v>0.7</v>
      </c>
      <c r="K52" s="144">
        <f>K51+S44</f>
        <v>3.35</v>
      </c>
      <c r="M52" s="33"/>
      <c r="Q52" s="2" t="s">
        <v>107</v>
      </c>
      <c r="R52" s="164" t="s">
        <v>108</v>
      </c>
      <c r="S52" s="172">
        <f>'FOGLIO DEPOSITO'!D196</f>
        <v>2.0103782284763838E-4</v>
      </c>
      <c r="T52" s="32" t="s">
        <v>17</v>
      </c>
    </row>
    <row r="53" spans="2:20" ht="15.75" thickTop="1" x14ac:dyDescent="0.25">
      <c r="B53" s="139"/>
      <c r="C53" s="409">
        <f>IF(D41=1,C50,B51*(C52-DATI!E64))</f>
        <v>-0.5</v>
      </c>
      <c r="D53" s="409">
        <f>D52</f>
        <v>0.3</v>
      </c>
      <c r="E53" s="141"/>
      <c r="F53" s="407">
        <f>IF(D41=1,C50,B51*(F52-DATI!E64))</f>
        <v>-0.5</v>
      </c>
      <c r="G53" s="407">
        <f>G52</f>
        <v>0.3</v>
      </c>
      <c r="J53" s="174">
        <f>S58+S46</f>
        <v>0.7</v>
      </c>
      <c r="K53" s="144">
        <f>K52</f>
        <v>3.35</v>
      </c>
      <c r="R53" s="391" t="s">
        <v>109</v>
      </c>
      <c r="S53" s="173">
        <f>'FOGLIO DEPOSITO'!D198</f>
        <v>3.5087719297467721E-6</v>
      </c>
      <c r="T53" s="32" t="s">
        <v>19</v>
      </c>
    </row>
    <row r="54" spans="2:20" x14ac:dyDescent="0.25">
      <c r="B54" s="139"/>
      <c r="C54" s="409">
        <f>IF(D41=1,C50,B51*C53)</f>
        <v>-0.5</v>
      </c>
      <c r="D54" s="409">
        <f>IF(B51=0,DATI!E62,D53-'FOGLIO DEPOSITO'!D209)</f>
        <v>0.3</v>
      </c>
      <c r="E54" s="141"/>
      <c r="F54" s="407">
        <f>IF(D41=1,C50,B51*F53)</f>
        <v>-0.5</v>
      </c>
      <c r="G54" s="407">
        <f>IF(B51=0,DATI!E62,G53-F8)</f>
        <v>0.3</v>
      </c>
      <c r="J54" s="174">
        <f>J53</f>
        <v>0.7</v>
      </c>
      <c r="K54" s="144">
        <f>K53+S68</f>
        <v>3.7</v>
      </c>
      <c r="R54" s="2"/>
      <c r="S54" s="47"/>
      <c r="T54" s="161"/>
    </row>
    <row r="55" spans="2:20" x14ac:dyDescent="0.25">
      <c r="B55" s="139">
        <f>IF(DATI!E63&gt;3,1,0)</f>
        <v>0</v>
      </c>
      <c r="C55" s="410">
        <f>IF(D41=1,C50,IF(D41=3,C54,B55*(C54-IF(DATI!E63&gt;=2,(((DATI!E61-2*DATI!E65)-2*DATI!E64)-(DATI!E63-2)*DATI!E64)/(DATI!E63-1),0))))</f>
        <v>-0.5</v>
      </c>
      <c r="D55" s="410">
        <f>DATI!E62</f>
        <v>0.3</v>
      </c>
      <c r="E55" s="141"/>
      <c r="F55" s="407">
        <f>IF(D41=1,C50,IF(D41=3,C54,B55*(F54-IF(DATI!E63&gt;=2,(((DATI!E61-2*DATI!E65)-2*DATI!E64)-(DATI!E63-2)*DATI!E64)/(DATI!E63-1),0))))</f>
        <v>-0.5</v>
      </c>
      <c r="G55" s="407">
        <f>DATI!E62</f>
        <v>0.3</v>
      </c>
      <c r="J55" s="174">
        <f>J54-S46</f>
        <v>0.39999999999999997</v>
      </c>
      <c r="K55" s="144">
        <f>K54</f>
        <v>3.7</v>
      </c>
      <c r="Q55" s="166" t="s">
        <v>36</v>
      </c>
      <c r="R55" s="165"/>
      <c r="S55" s="47"/>
      <c r="T55" s="137"/>
    </row>
    <row r="56" spans="2:20" x14ac:dyDescent="0.25">
      <c r="B56" s="139"/>
      <c r="C56" s="410">
        <f>IF(D41=1,C50,IF(D41=3,C54,B55*C55))</f>
        <v>-0.5</v>
      </c>
      <c r="D56" s="410">
        <f>IF(B55=0,DATI!E62,D55+'FOGLIO DEPOSITO'!D209)</f>
        <v>0.3</v>
      </c>
      <c r="F56" s="407">
        <f>IF(D41=1,C50,IF(D41=3,C54,B55*F55))</f>
        <v>-0.5</v>
      </c>
      <c r="G56" s="407">
        <f>IF(B55=0,DATI!E62,G55+F8)</f>
        <v>0.3</v>
      </c>
      <c r="J56" s="174">
        <f>J55</f>
        <v>0.39999999999999997</v>
      </c>
      <c r="K56" s="144">
        <f>K55-S44-S68</f>
        <v>0.50000000000000011</v>
      </c>
      <c r="S56" s="47"/>
    </row>
    <row r="57" spans="2:20" ht="18.75" thickBot="1" x14ac:dyDescent="0.3">
      <c r="B57" s="139"/>
      <c r="C57" s="410">
        <f>IF(D41=1,C50,IF(D41=3,C54,B55*(C56-DATI!E64)))</f>
        <v>-0.5</v>
      </c>
      <c r="D57" s="410">
        <f>D56</f>
        <v>0.3</v>
      </c>
      <c r="F57" s="407">
        <f>IF(D41=1,C50,IF(D41=3,C54,B55*(F56-DATI!E64)))</f>
        <v>-0.5</v>
      </c>
      <c r="G57" s="407">
        <f>G56</f>
        <v>0.3</v>
      </c>
      <c r="J57" s="174">
        <f>J56-S58</f>
        <v>0</v>
      </c>
      <c r="K57" s="144">
        <f>K56</f>
        <v>0.50000000000000011</v>
      </c>
      <c r="Q57" s="2" t="s">
        <v>110</v>
      </c>
      <c r="R57" s="63" t="s">
        <v>111</v>
      </c>
      <c r="S57" s="171">
        <f>DATI!E74</f>
        <v>0.5</v>
      </c>
      <c r="T57" s="32" t="s">
        <v>2</v>
      </c>
    </row>
    <row r="58" spans="2:20" ht="19.5" thickTop="1" thickBot="1" x14ac:dyDescent="0.3">
      <c r="B58" s="139"/>
      <c r="C58" s="410">
        <f>IF(D41=1,C50,IF(D41=3,C54,B55*C57))</f>
        <v>-0.5</v>
      </c>
      <c r="D58" s="410">
        <f>IF(B55=0,DATI!E62,D57-'FOGLIO DEPOSITO'!D209)</f>
        <v>0.3</v>
      </c>
      <c r="F58" s="407">
        <f>IF(D41=1,C50,IF(D41=3,C54,B55*F57))</f>
        <v>-0.5</v>
      </c>
      <c r="G58" s="407">
        <f>IF(B55=0,DATI!E62,G57-F8)</f>
        <v>0.3</v>
      </c>
      <c r="J58" s="174">
        <f>J57</f>
        <v>0</v>
      </c>
      <c r="K58" s="144">
        <f>K57-S57</f>
        <v>0</v>
      </c>
      <c r="Q58" s="2" t="s">
        <v>112</v>
      </c>
      <c r="R58" s="63" t="s">
        <v>113</v>
      </c>
      <c r="S58" s="172">
        <f>DATI!E75</f>
        <v>0.4</v>
      </c>
      <c r="T58" s="32" t="s">
        <v>2</v>
      </c>
    </row>
    <row r="59" spans="2:20" ht="18.75" thickTop="1" x14ac:dyDescent="0.25">
      <c r="B59" s="139">
        <f>IF(DATI!E63&gt;4,1,0)</f>
        <v>0</v>
      </c>
      <c r="C59" s="411">
        <f>IF(D41=4,C58,IF(D41=1,C50,IF(D41=3,C54,B59*(C58-IF(DATI!E63&gt;=2,(((DATI!E61-2*DATI!E65)-2*DATI!E64)-(DATI!E63-2)*DATI!E64)/(DATI!E63-1),0)))))</f>
        <v>-0.5</v>
      </c>
      <c r="D59" s="411">
        <f>DATI!E62</f>
        <v>0.3</v>
      </c>
      <c r="F59" s="407">
        <f>IF(D41=4,C58,IF(D41=1,C50,IF(D41=3,C54,B59*(F58-IF(DATI!E63&gt;=2,(((DATI!E61-2*DATI!E65)-2*DATI!E64)-(DATI!E63-2)*DATI!E64)/(DATI!E63-1),0)))))</f>
        <v>-0.5</v>
      </c>
      <c r="G59" s="407">
        <f>DATI!E62</f>
        <v>0.3</v>
      </c>
      <c r="Q59" s="2" t="s">
        <v>114</v>
      </c>
      <c r="R59" s="63" t="s">
        <v>115</v>
      </c>
      <c r="S59" s="173">
        <f>'FOGLIO DEPOSITO'!D212</f>
        <v>1.29999</v>
      </c>
      <c r="T59" s="32" t="s">
        <v>2</v>
      </c>
    </row>
    <row r="60" spans="2:20" x14ac:dyDescent="0.25">
      <c r="B60" s="139"/>
      <c r="C60" s="411">
        <f>IF(D41=4,C58,IF(D41=1,C50,IF(D41=3,C54,B59*C59)))</f>
        <v>-0.5</v>
      </c>
      <c r="D60" s="411">
        <f>IF(B59=0,DATI!E62,D59+'FOGLIO DEPOSITO'!D209)</f>
        <v>0.3</v>
      </c>
      <c r="F60" s="407">
        <f>IF(D41=4,C58,IF(D41=1,C50,IF(D41=3,C54,B59*F59)))</f>
        <v>-0.5</v>
      </c>
      <c r="G60" s="407">
        <f>IF(B59=0,DATI!E62,G59+F8)</f>
        <v>0.3</v>
      </c>
      <c r="J60" s="32">
        <f>S58+S46</f>
        <v>0.7</v>
      </c>
      <c r="K60" s="32">
        <f>S57</f>
        <v>0.5</v>
      </c>
      <c r="Q60" s="2"/>
      <c r="R60" s="63"/>
      <c r="S60" s="47"/>
      <c r="T60" s="2"/>
    </row>
    <row r="61" spans="2:20" x14ac:dyDescent="0.25">
      <c r="B61" s="139"/>
      <c r="C61" s="411">
        <f>IF(D41=4,C58,IF(D41=1,C50,IF(D41=3,C54,B59*(C60-DATI!E64))))</f>
        <v>-0.5</v>
      </c>
      <c r="D61" s="411">
        <f>D60</f>
        <v>0.3</v>
      </c>
      <c r="F61" s="407">
        <f>IF(D41=4,C58,IF(D41=1,C50,IF(D41=3,C54,B59*(F60-DATI!E64))))</f>
        <v>-0.5</v>
      </c>
      <c r="G61" s="407">
        <f>G60</f>
        <v>0.3</v>
      </c>
      <c r="J61" s="32">
        <f>J60</f>
        <v>0.7</v>
      </c>
      <c r="K61" s="32">
        <f>S44+S57</f>
        <v>3.35</v>
      </c>
      <c r="Q61" s="166" t="s">
        <v>116</v>
      </c>
      <c r="R61" s="165"/>
      <c r="S61" s="47"/>
      <c r="T61" s="2"/>
    </row>
    <row r="62" spans="2:20" x14ac:dyDescent="0.25">
      <c r="B62" s="139"/>
      <c r="C62" s="411">
        <f>IF(D41=4,C58,IF(D41=1,C50,IF(D41=3,C54,B59*(C61))))</f>
        <v>-0.5</v>
      </c>
      <c r="D62" s="411">
        <f>IF(B59=0,DATI!E62,D61-'FOGLIO DEPOSITO'!D209)</f>
        <v>0.3</v>
      </c>
      <c r="F62" s="407">
        <f>IF(D41=4,C58,IF(D41=1,C50,IF(D41=3,C54,B59*(F61))))</f>
        <v>-0.5</v>
      </c>
      <c r="G62" s="407">
        <f>IF(B59=0,DATI!E62,G61-F8)</f>
        <v>0.3</v>
      </c>
      <c r="J62" s="32">
        <f>J60</f>
        <v>0.7</v>
      </c>
      <c r="K62" s="32">
        <f>K60</f>
        <v>0.5</v>
      </c>
      <c r="Q62" s="2"/>
      <c r="R62" s="63"/>
      <c r="S62" s="47"/>
      <c r="T62" s="2"/>
    </row>
    <row r="63" spans="2:20" ht="15.75" thickBot="1" x14ac:dyDescent="0.3">
      <c r="B63" s="139"/>
      <c r="C63" s="412">
        <f>IF(D41=1,C50,IF(DATI!E63=1,0,IF(B59=0,IF(B55=0,IF(B51=0,C50-IF(DATI!E63&gt;=2,(((DATI!E61-2*DATI!E65)-2*DATI!E64)-(DATI!E63-2)*DATI!E64)/(DATI!E63-1),0),C54-IF(DATI!E63&gt;=2,(((DATI!E61-2*DATI!E65)-2*DATI!E64)-(DATI!E63-2)*DATI!E64)/(DATI!E63-1),0)),C58-IF(DATI!E63&gt;=2,(((DATI!E61-2*DATI!E65)-2*DATI!E64)-(DATI!E63-2)*DATI!E64)/(DATI!E63-1),0)),C62-IF(DATI!E63&gt;=2,(((DATI!E61-2*DATI!E65)-2*DATI!E64)-(DATI!E63-2)*DATI!E64)/(DATI!E63-1),0))))</f>
        <v>-0.5</v>
      </c>
      <c r="D63" s="412">
        <f>DATI!E62</f>
        <v>0.3</v>
      </c>
      <c r="F63" s="407">
        <f>IF(D41=1,C50,IF(DATI!E63=1,0,IF(B59=0,IF(B55=0,IF(B51=0,F50-IF(DATI!E63&gt;=2,(((DATI!E61-2*DATI!E65)-2*DATI!E64)-(DATI!E63-2)*DATI!E64)/(DATI!E63-1),0),F54-IF(DATI!E63&gt;=2,(((DATI!E61-2*DATI!E65)-2*DATI!E64)-(DATI!E63-2)*DATI!E64)/(DATI!E63-1),0)),F58-IF(DATI!E63&gt;=2,(((DATI!E61-2*DATI!E65)-2*DATI!E64)-(DATI!E63-2)*DATI!E64)/(DATI!E63-1),0)),F62-IF(DATI!E63&gt;=2,(((DATI!E61-2*DATI!E65)-2*DATI!E64)-(DATI!E63-2)*DATI!E64)/(DATI!E63-1),0))))</f>
        <v>-0.5</v>
      </c>
      <c r="G63" s="407">
        <f>DATI!E62</f>
        <v>0.3</v>
      </c>
      <c r="J63" s="132">
        <f>E8+S58</f>
        <v>0.7000099999999998</v>
      </c>
      <c r="K63" s="32">
        <f>K60</f>
        <v>0.5</v>
      </c>
      <c r="Q63" s="2" t="s">
        <v>117</v>
      </c>
      <c r="R63" t="s">
        <v>118</v>
      </c>
      <c r="S63" s="171">
        <f>DATI!E83</f>
        <v>0</v>
      </c>
      <c r="T63" s="32" t="s">
        <v>2</v>
      </c>
    </row>
    <row r="64" spans="2:20" ht="15.75" thickTop="1" x14ac:dyDescent="0.25">
      <c r="B64" s="139"/>
      <c r="C64" s="412">
        <f>C63</f>
        <v>-0.5</v>
      </c>
      <c r="D64" s="412">
        <f>D63+'FOGLIO DEPOSITO'!D209</f>
        <v>0.3</v>
      </c>
      <c r="F64" s="407">
        <f>IF(D41=1,C50,F63)</f>
        <v>-0.5</v>
      </c>
      <c r="G64" s="413">
        <f>G63+F8</f>
        <v>0.30000999999999978</v>
      </c>
      <c r="Q64" s="2" t="s">
        <v>119</v>
      </c>
      <c r="R64" t="s">
        <v>120</v>
      </c>
      <c r="S64" s="173">
        <f>DATI!E81</f>
        <v>0</v>
      </c>
      <c r="T64" s="32" t="s">
        <v>2</v>
      </c>
    </row>
    <row r="65" spans="1:20" x14ac:dyDescent="0.25">
      <c r="B65" s="139"/>
      <c r="C65" s="412">
        <f>IF(D41=1,C50,IF(DATI!E63=1,0,C64-DATI!E64))</f>
        <v>-0.5</v>
      </c>
      <c r="D65" s="412">
        <f>D64</f>
        <v>0.3</v>
      </c>
      <c r="F65" s="407">
        <f>IF(D41=1,C50,IF(DATI!E63=1,0,F64-DATI!E64))</f>
        <v>-0.5</v>
      </c>
      <c r="G65" s="413">
        <f>G64</f>
        <v>0.30000999999999978</v>
      </c>
      <c r="J65">
        <f>S58</f>
        <v>0.4</v>
      </c>
      <c r="K65">
        <f>S44+S57</f>
        <v>3.35</v>
      </c>
      <c r="Q65" s="2"/>
      <c r="R65" s="63"/>
      <c r="S65" s="47"/>
      <c r="T65" s="2"/>
    </row>
    <row r="66" spans="1:20" x14ac:dyDescent="0.25">
      <c r="B66" s="139"/>
      <c r="C66" s="412">
        <f>C65</f>
        <v>-0.5</v>
      </c>
      <c r="D66" s="412">
        <f>D65-'FOGLIO DEPOSITO'!D209</f>
        <v>0.3</v>
      </c>
      <c r="F66" s="407">
        <f>F65</f>
        <v>-0.5</v>
      </c>
      <c r="G66" s="413">
        <f>G65-F8</f>
        <v>0.3</v>
      </c>
      <c r="J66">
        <v>0</v>
      </c>
      <c r="K66">
        <v>0</v>
      </c>
      <c r="Q66" s="166" t="s">
        <v>121</v>
      </c>
      <c r="R66" s="167"/>
      <c r="S66" s="47"/>
      <c r="T66" s="2"/>
    </row>
    <row r="67" spans="1:20" x14ac:dyDescent="0.25">
      <c r="C67" s="404">
        <f>IF(DATI!E63=1,-DATI!E61/2,C66-DATI!E65)</f>
        <v>-0.5</v>
      </c>
      <c r="D67" s="404">
        <f>DATI!E62</f>
        <v>0.3</v>
      </c>
      <c r="F67" s="407">
        <f>IF(DATI!E63=1,-DATI!E61/2,F66-DATI!E65)</f>
        <v>-0.5</v>
      </c>
      <c r="G67" s="413">
        <f>DATI!E62</f>
        <v>0.3</v>
      </c>
      <c r="J67">
        <v>0</v>
      </c>
      <c r="K67">
        <v>0</v>
      </c>
      <c r="Q67" s="32"/>
      <c r="S67" s="47"/>
      <c r="T67" s="2"/>
    </row>
    <row r="68" spans="1:20" ht="18" x14ac:dyDescent="0.25">
      <c r="C68" s="404">
        <f>C67</f>
        <v>-0.5</v>
      </c>
      <c r="D68" s="404">
        <f>D67-DATI!E62</f>
        <v>0</v>
      </c>
      <c r="F68" s="407">
        <f>F67</f>
        <v>-0.5</v>
      </c>
      <c r="G68" s="413">
        <f>G67-DATI!E62</f>
        <v>0</v>
      </c>
      <c r="J68">
        <f>J65</f>
        <v>0.4</v>
      </c>
      <c r="K68">
        <f>S57</f>
        <v>0.5</v>
      </c>
      <c r="Q68" s="170" t="s">
        <v>122</v>
      </c>
      <c r="R68" s="63" t="s">
        <v>123</v>
      </c>
      <c r="S68" s="398">
        <f>DATI!E88</f>
        <v>0.35</v>
      </c>
      <c r="T68" s="32" t="s">
        <v>2</v>
      </c>
    </row>
    <row r="69" spans="1:20" x14ac:dyDescent="0.25">
      <c r="C69" s="404">
        <f>C68+DATI!E61/2</f>
        <v>0</v>
      </c>
      <c r="D69" s="404">
        <f>D68</f>
        <v>0</v>
      </c>
      <c r="F69" s="407">
        <f>F68+DATI!E61/2</f>
        <v>0</v>
      </c>
      <c r="G69" s="413">
        <f>G68</f>
        <v>0</v>
      </c>
      <c r="S69" s="47"/>
    </row>
    <row r="70" spans="1:20" x14ac:dyDescent="0.25">
      <c r="C70" s="32"/>
      <c r="D70" s="32"/>
      <c r="S70" s="47"/>
    </row>
    <row r="71" spans="1:20" x14ac:dyDescent="0.25">
      <c r="C71" s="934" t="s">
        <v>36</v>
      </c>
      <c r="D71" s="934"/>
      <c r="F71" s="934" t="s">
        <v>116</v>
      </c>
      <c r="G71" s="934"/>
      <c r="S71" s="47"/>
    </row>
    <row r="72" spans="1:20" x14ac:dyDescent="0.25">
      <c r="C72" s="404">
        <f>DATI!E61/2</f>
        <v>0.5</v>
      </c>
      <c r="D72" s="404">
        <v>0</v>
      </c>
      <c r="F72" s="404">
        <f>F73</f>
        <v>0.5</v>
      </c>
      <c r="G72" s="404">
        <f>(-DATI!E75+DATI!E84)-DATI!E83/2</f>
        <v>0</v>
      </c>
      <c r="S72" s="33"/>
    </row>
    <row r="73" spans="1:20" x14ac:dyDescent="0.25">
      <c r="C73" s="404">
        <f>C72</f>
        <v>0.5</v>
      </c>
      <c r="D73" s="404">
        <f>'FOGLIO DEPOSITO'!D212+'FOGLIO DEPOSITO'!D211</f>
        <v>1.5999999999999996</v>
      </c>
      <c r="F73" s="404">
        <f>DATI!E61/2</f>
        <v>0.5</v>
      </c>
      <c r="G73" s="404">
        <f>(-DATI!E75+DATI!E84)+DATI!E83/2</f>
        <v>0</v>
      </c>
    </row>
    <row r="74" spans="1:20" x14ac:dyDescent="0.25">
      <c r="C74" s="404">
        <f>-C73</f>
        <v>-0.5</v>
      </c>
      <c r="D74" s="404">
        <f>D73</f>
        <v>1.5999999999999996</v>
      </c>
      <c r="F74" s="404">
        <f>-F73</f>
        <v>-0.5</v>
      </c>
      <c r="G74" s="404">
        <f>G73</f>
        <v>0</v>
      </c>
    </row>
    <row r="75" spans="1:20" x14ac:dyDescent="0.25">
      <c r="C75" s="404">
        <f>C74</f>
        <v>-0.5</v>
      </c>
      <c r="D75" s="404">
        <f>-S58</f>
        <v>-0.4</v>
      </c>
      <c r="F75" s="404">
        <f>F74</f>
        <v>-0.5</v>
      </c>
      <c r="G75" s="404">
        <f>G72</f>
        <v>0</v>
      </c>
    </row>
    <row r="76" spans="1:20" x14ac:dyDescent="0.25">
      <c r="C76" s="404">
        <f>-C75</f>
        <v>0.5</v>
      </c>
      <c r="D76" s="404">
        <f>D75</f>
        <v>-0.4</v>
      </c>
      <c r="F76" s="404">
        <f>F72</f>
        <v>0.5</v>
      </c>
      <c r="G76" s="404">
        <f>G72</f>
        <v>0</v>
      </c>
    </row>
    <row r="77" spans="1:20" x14ac:dyDescent="0.25">
      <c r="C77" s="404">
        <f>C76</f>
        <v>0.5</v>
      </c>
      <c r="D77" s="404">
        <v>0</v>
      </c>
    </row>
    <row r="78" spans="1:20" x14ac:dyDescent="0.25">
      <c r="C78" s="32"/>
      <c r="D78" s="32"/>
    </row>
    <row r="79" spans="1:20" s="178" customFormat="1" x14ac:dyDescent="0.25">
      <c r="A79" s="177"/>
    </row>
    <row r="81" spans="2:17" x14ac:dyDescent="0.25">
      <c r="C81" s="935" t="s">
        <v>797</v>
      </c>
      <c r="D81" s="935"/>
      <c r="E81" s="935" t="s">
        <v>124</v>
      </c>
      <c r="F81" s="935"/>
      <c r="G81" s="809" t="s">
        <v>125</v>
      </c>
      <c r="H81" s="809"/>
      <c r="I81">
        <f>IF(H96="sx",-1,1)</f>
        <v>1</v>
      </c>
      <c r="J81" s="11" t="s">
        <v>126</v>
      </c>
      <c r="K81" s="2"/>
      <c r="M81" s="809" t="s">
        <v>860</v>
      </c>
      <c r="N81" s="809"/>
      <c r="O81" s="809" t="s">
        <v>861</v>
      </c>
      <c r="P81" s="809"/>
    </row>
    <row r="82" spans="2:17" x14ac:dyDescent="0.25">
      <c r="C82" s="441">
        <v>0</v>
      </c>
      <c r="D82" s="441">
        <v>0</v>
      </c>
      <c r="G82" s="10">
        <v>0</v>
      </c>
      <c r="H82" s="132">
        <v>0</v>
      </c>
      <c r="M82" s="200">
        <f>IF(DATI!$G$218="dx",'geom masse muro+tensioni'!M86,'geom masse muro+tensioni'!M91)</f>
        <v>0.7</v>
      </c>
      <c r="N82" s="200">
        <f>IF(DATI!$G$218="dx",'geom masse muro+tensioni'!N86,'geom masse muro+tensioni'!N91)</f>
        <v>3.35</v>
      </c>
      <c r="O82" s="520">
        <f>IF(DATI!$G$218="sx",O86,O90)</f>
        <v>0</v>
      </c>
      <c r="P82" s="520">
        <f>IF(DATI!$G$218="sx",P86,P90)</f>
        <v>0.5</v>
      </c>
    </row>
    <row r="83" spans="2:17" x14ac:dyDescent="0.25">
      <c r="C83" s="441">
        <v>0</v>
      </c>
      <c r="D83" s="441">
        <f>-'FOGLIO DEPOSITO'!G131*0.01</f>
        <v>-1.8135786210060076</v>
      </c>
      <c r="E83" s="32">
        <v>0</v>
      </c>
      <c r="F83" s="32">
        <v>0</v>
      </c>
      <c r="G83" s="10">
        <v>0</v>
      </c>
      <c r="H83" s="10">
        <f>'FOGLIO DEPOSITO'!G150*0.01</f>
        <v>1.5977759288954827</v>
      </c>
      <c r="M83" s="200">
        <f>IF(DATI!$G$218="dx",'geom masse muro+tensioni'!M87,'geom masse muro+tensioni'!M92)</f>
        <v>2</v>
      </c>
      <c r="N83" s="200">
        <f>IF(DATI!$G$218="dx",'geom masse muro+tensioni'!N87,'geom masse muro+tensioni'!N92)</f>
        <v>3.35</v>
      </c>
      <c r="O83" s="520">
        <f>IF(DATI!$G$218="sx",O87,O91)</f>
        <v>0</v>
      </c>
      <c r="P83" s="520">
        <f>IF(DATI!$G$218="sx",P87,P91)</f>
        <v>0.8</v>
      </c>
    </row>
    <row r="84" spans="2:17" x14ac:dyDescent="0.25">
      <c r="C84" s="174">
        <f>IF(F98&gt;0,C83,IF(H96&lt;=C85,F97,C83))</f>
        <v>0</v>
      </c>
      <c r="D84" s="174">
        <f>IF(C84=0,D83,0)</f>
        <v>-1.8135786210060076</v>
      </c>
      <c r="E84" s="32">
        <v>0</v>
      </c>
      <c r="F84" s="32">
        <f>-'FOGLIO DEPOSITO'!G144*0.01</f>
        <v>-1.8135786210060076</v>
      </c>
      <c r="G84" s="10">
        <f>DATI!E75+DATI!E62/2</f>
        <v>0.55000000000000004</v>
      </c>
      <c r="H84" s="10">
        <f>'FOGLIO DEPOSITO'!E152*0.01</f>
        <v>-0.49636524373067969</v>
      </c>
      <c r="I84">
        <f>IF('ANALISI DELLE SPINTE'!$Z$97&gt;'ANALISI DELLE SPINTE'!$AB$116,'geom masse muro+tensioni'!J100,'geom masse muro+tensioni'!J113)</f>
        <v>3.0443441681619454</v>
      </c>
      <c r="J84" s="10">
        <f>$I$81*I84+IF(H96="dx",'Progetto della zattera slu'!G129*1.1,-0.6)</f>
        <v>5.2443441681619447</v>
      </c>
      <c r="K84" s="3">
        <f t="shared" ref="K84:K92" si="8">K100</f>
        <v>0</v>
      </c>
      <c r="M84" s="200">
        <f>IF(DATI!$G$218="dx",'geom masse muro+tensioni'!M88,'geom masse muro+tensioni'!M93)</f>
        <v>2</v>
      </c>
      <c r="N84" s="200">
        <f>IF(DATI!$G$218="dx",'geom masse muro+tensioni'!N88,'geom masse muro+tensioni'!N93)</f>
        <v>0.5</v>
      </c>
      <c r="O84" s="520">
        <f>IF(DATI!$G$218="sx",O88,O92)</f>
        <v>0.4</v>
      </c>
      <c r="P84" s="520">
        <f>IF(DATI!$G$218="sx",P88,P92)</f>
        <v>0.8</v>
      </c>
    </row>
    <row r="85" spans="2:17" x14ac:dyDescent="0.25">
      <c r="B85" s="162" t="s">
        <v>794</v>
      </c>
      <c r="C85" s="441">
        <f>DATI!E75+DATI!E62/2</f>
        <v>0.55000000000000004</v>
      </c>
      <c r="D85" s="441">
        <f>IF(D84=0,IF(D86=0,0,-'FOGLIO DEPOSITO'!D129*0.01),-'FOGLIO DEPOSITO'!D129*0.01)</f>
        <v>-1.1996868753787779</v>
      </c>
      <c r="E85" s="32">
        <f>DATI!E75+DATI!E62/2</f>
        <v>0.55000000000000004</v>
      </c>
      <c r="F85" s="32">
        <f>-'FOGLIO DEPOSITO'!D142*0.01</f>
        <v>-1.1996868753787779</v>
      </c>
      <c r="G85" s="10">
        <f>G84</f>
        <v>0.55000000000000004</v>
      </c>
      <c r="H85" s="10">
        <f>'FOGLIO DEPOSITO'!F157*0.01</f>
        <v>-0.99805489168312589</v>
      </c>
      <c r="I85">
        <f>IF('ANALISI DELLE SPINTE'!$Z$97&gt;'ANALISI DELLE SPINTE'!$AB$116,'geom masse muro+tensioni'!J101,'geom masse muro+tensioni'!J114)</f>
        <v>3.0443441681619454</v>
      </c>
      <c r="J85" s="10">
        <f>$I$81*I85+IF(H96="dx",'Progetto della zattera slu'!G129*1.1,-0.6)</f>
        <v>5.2443441681619447</v>
      </c>
      <c r="K85" s="3">
        <f t="shared" si="8"/>
        <v>0</v>
      </c>
      <c r="O85" s="520">
        <f>IF(DATI!$G$218="sx",O89,O93)</f>
        <v>0.4</v>
      </c>
      <c r="P85" s="520">
        <f>IF(DATI!$G$218="sx",P89,P93)</f>
        <v>0.5</v>
      </c>
    </row>
    <row r="86" spans="2:17" x14ac:dyDescent="0.25">
      <c r="C86" s="174">
        <f>IF(F98&gt;=0,C87,IF(H96&gt;=C85,F97,C87))</f>
        <v>1.6248275834596275</v>
      </c>
      <c r="D86" s="174">
        <f>IF(C86=C87,D87,0)</f>
        <v>0</v>
      </c>
      <c r="E86" s="32">
        <f>'FOGLIO DEPOSITO'!D211+'FOGLIO DEPOSITO'!D212+'geom masse muro+tensioni'!S58</f>
        <v>1.9999999999999996</v>
      </c>
      <c r="F86" s="32">
        <f>-'FOGLIO DEPOSITO'!B146*0.01</f>
        <v>0.41875499945664585</v>
      </c>
      <c r="G86" s="10">
        <f>G85+'FOGLIO DEPOSITO'!D212+'FOGLIO DEPOSITO'!D211-S46/2</f>
        <v>2</v>
      </c>
      <c r="H86" s="10">
        <f>'FOGLIO DEPOSITO'!C159*0.01</f>
        <v>-0.70332163164809824</v>
      </c>
      <c r="I86">
        <f>IF('ANALISI DELLE SPINTE'!$Z$97&gt;'ANALISI DELLE SPINTE'!$AB$116,'geom masse muro+tensioni'!J102,'geom masse muro+tensioni'!J115)</f>
        <v>3.0443441681619454</v>
      </c>
      <c r="J86" s="10">
        <f>$I$81*I86+IF(H96="dx",'Progetto della zattera slu'!G129*1.1,-0.6)</f>
        <v>5.2443441681619447</v>
      </c>
      <c r="K86" s="3">
        <f t="shared" si="8"/>
        <v>0</v>
      </c>
      <c r="M86" s="32">
        <f>IF(P21="muro a contrafforti",DATI!E75+DATI!E62,DATI!E75+DATI!E62+S51)</f>
        <v>0.7</v>
      </c>
      <c r="N86" s="209">
        <f>DATI!E60+DATI!E74</f>
        <v>3.35</v>
      </c>
      <c r="O86" s="32">
        <f>O87</f>
        <v>0.7000099999999998</v>
      </c>
      <c r="P86" s="32">
        <f>S57</f>
        <v>0.5</v>
      </c>
    </row>
    <row r="87" spans="2:17" x14ac:dyDescent="0.25">
      <c r="C87" s="441">
        <f>'FOGLIO DEPOSITO'!D211+'FOGLIO DEPOSITO'!D212+'geom masse muro+tensioni'!S58</f>
        <v>1.9999999999999996</v>
      </c>
      <c r="D87" s="441">
        <f>-'FOGLIO DEPOSITO'!B133*0.01</f>
        <v>0</v>
      </c>
      <c r="E87" s="32">
        <f>E86</f>
        <v>1.9999999999999996</v>
      </c>
      <c r="F87" s="32">
        <v>0</v>
      </c>
      <c r="G87" s="10">
        <f>G86</f>
        <v>2</v>
      </c>
      <c r="H87" s="10">
        <v>0</v>
      </c>
      <c r="I87">
        <f>IF('ANALISI DELLE SPINTE'!$Z$97&gt;'ANALISI DELLE SPINTE'!$AB$116,'geom masse muro+tensioni'!J103,'geom masse muro+tensioni'!J116)</f>
        <v>3.0443441681619454</v>
      </c>
      <c r="J87" s="10">
        <f>$I$81*I87+IF(H96="dx",'Progetto della zattera slu'!G129*1.1,-0.6)</f>
        <v>5.2443441681619447</v>
      </c>
      <c r="K87" s="3">
        <f t="shared" si="8"/>
        <v>0</v>
      </c>
      <c r="L87" s="144" t="s">
        <v>129</v>
      </c>
      <c r="M87" s="42">
        <f>IF(P21="muro a contrafforti",M82+'FOGLIO DEPOSITO'!D212+'FOGLIO DEPOSITO'!D210,M82+'FOGLIO DEPOSITO'!D212+'FOGLIO DEPOSITO'!D210-S51)</f>
        <v>2</v>
      </c>
      <c r="N87" s="209">
        <f>N82+'FOGLIO DEPOSITO'!D212*TAN(DATI!E169*PI()/180)</f>
        <v>3.35</v>
      </c>
      <c r="O87" s="47">
        <f>DATI!E75+'FOGLIO DEPOSITO'!D211</f>
        <v>0.7000099999999998</v>
      </c>
      <c r="P87" s="47">
        <f>S57+D21</f>
        <v>0.8</v>
      </c>
    </row>
    <row r="88" spans="2:17" x14ac:dyDescent="0.25">
      <c r="C88" s="441">
        <f>C87</f>
        <v>1.9999999999999996</v>
      </c>
      <c r="D88" s="441">
        <v>0</v>
      </c>
      <c r="G88" s="10">
        <v>0</v>
      </c>
      <c r="H88" s="10">
        <v>0</v>
      </c>
      <c r="I88">
        <f>IF('ANALISI DELLE SPINTE'!$Z$97&gt;'ANALISI DELLE SPINTE'!$AB$116,'geom masse muro+tensioni'!J104,'geom masse muro+tensioni'!J117)</f>
        <v>3.0443441681619454</v>
      </c>
      <c r="J88" s="10">
        <f>$I$81*I88+IF(H96="dx",'Progetto della zattera slu'!G129*1.1,-0.6)</f>
        <v>5.2443441681619447</v>
      </c>
      <c r="K88" s="3">
        <f t="shared" si="8"/>
        <v>0</v>
      </c>
      <c r="L88" s="144" t="s">
        <v>127</v>
      </c>
      <c r="M88" s="42">
        <f>M83</f>
        <v>2</v>
      </c>
      <c r="N88" s="209">
        <f>DATI!E74</f>
        <v>0.5</v>
      </c>
      <c r="O88" s="47">
        <f>DATI!E75+'FOGLIO DEPOSITO'!D211+'FOGLIO DEPOSITO'!D212</f>
        <v>1.9999999999999998</v>
      </c>
      <c r="P88" s="32">
        <f>P87</f>
        <v>0.8</v>
      </c>
    </row>
    <row r="89" spans="2:17" x14ac:dyDescent="0.25">
      <c r="I89">
        <f>IF('ANALISI DELLE SPINTE'!$Z$97&gt;'ANALISI DELLE SPINTE'!$AB$116,'geom masse muro+tensioni'!J105,'geom masse muro+tensioni'!J118)</f>
        <v>2.6790262112874075</v>
      </c>
      <c r="J89" s="10">
        <f>$I$81*I89+IF(H96="dx",'Progetto della zattera slu'!G129*1.1,-0.6)</f>
        <v>4.8790262112874068</v>
      </c>
      <c r="K89" s="3">
        <f t="shared" si="8"/>
        <v>0.51366666666666694</v>
      </c>
      <c r="N89" s="210"/>
      <c r="O89" s="222">
        <f>O88</f>
        <v>1.9999999999999998</v>
      </c>
      <c r="P89" s="149">
        <f>S57</f>
        <v>0.5</v>
      </c>
    </row>
    <row r="90" spans="2:17" x14ac:dyDescent="0.25">
      <c r="E90">
        <f>IF(D84=0,IF(D86=0,0,-'FOGLIO DEPOSITO'!D129*0.01),-'FOGLIO DEPOSITO'!D129*0.01)</f>
        <v>-1.1996868753787779</v>
      </c>
      <c r="I90">
        <f>IF('ANALISI DELLE SPINTE'!$Z$97&gt;'ANALISI DELLE SPINTE'!$AB$116,'geom masse muro+tensioni'!J106,'geom masse muro+tensioni'!J119)</f>
        <v>2.4182631020149175</v>
      </c>
      <c r="J90" s="10">
        <f>$I$81*I90+IF(H96="dx",'Progetto della zattera slu'!G129*1.1,-0.6)</f>
        <v>4.6182631020149172</v>
      </c>
      <c r="K90" s="3">
        <f t="shared" si="8"/>
        <v>0.51366666666666694</v>
      </c>
      <c r="N90" s="209"/>
      <c r="O90" s="47">
        <v>0</v>
      </c>
      <c r="P90" s="32">
        <f>S57</f>
        <v>0.5</v>
      </c>
    </row>
    <row r="91" spans="2:17" x14ac:dyDescent="0.25">
      <c r="I91">
        <f>IF('ANALISI DELLE SPINTE'!$Z$97&gt;'ANALISI DELLE SPINTE'!$AB$116,'geom masse muro+tensioni'!J107,'geom masse muro+tensioni'!J120)</f>
        <v>2.4182631020149175</v>
      </c>
      <c r="J91" s="10">
        <f>$I$81*I91+IF(H96="dx",'Progetto della zattera slu'!G129*1.1,-0.6)</f>
        <v>4.6182631020149172</v>
      </c>
      <c r="K91" s="3">
        <f t="shared" si="8"/>
        <v>0.51366666666666694</v>
      </c>
      <c r="M91" s="42">
        <v>0</v>
      </c>
      <c r="N91" s="281">
        <f>S57</f>
        <v>0.5</v>
      </c>
      <c r="O91" s="47">
        <v>0</v>
      </c>
      <c r="P91" s="32">
        <f>P90+D21</f>
        <v>0.8</v>
      </c>
    </row>
    <row r="92" spans="2:17" x14ac:dyDescent="0.25">
      <c r="I92">
        <f>IF('ANALISI DELLE SPINTE'!$Z$97&gt;'ANALISI DELLE SPINTE'!$AB$116,'geom masse muro+tensioni'!J108,'geom masse muro+tensioni'!J121)</f>
        <v>0.48716633374040813</v>
      </c>
      <c r="J92" s="10">
        <f>$I$81*I92+IF(H96="dx",'Progetto della zattera slu'!G129*1.1,-0.6)</f>
        <v>2.6871663337404077</v>
      </c>
      <c r="K92" s="3">
        <f t="shared" si="8"/>
        <v>3.35</v>
      </c>
      <c r="M92" s="42">
        <v>0</v>
      </c>
      <c r="N92" s="281">
        <f>N91+DATI!E75*TAN(DATI!E169*PI()/180)+S44</f>
        <v>3.35</v>
      </c>
      <c r="O92" s="47">
        <f>DATI!E75</f>
        <v>0.4</v>
      </c>
      <c r="P92" s="32">
        <f>P91</f>
        <v>0.8</v>
      </c>
    </row>
    <row r="93" spans="2:17" s="428" customFormat="1" x14ac:dyDescent="0.25">
      <c r="J93" s="10">
        <f>IF(I92=0,J92,J92+IF(H96="SX",1*I92,-1*I92))</f>
        <v>2.1999999999999997</v>
      </c>
      <c r="K93" s="3">
        <f>K92</f>
        <v>3.35</v>
      </c>
      <c r="M93" s="42">
        <f>S58</f>
        <v>0.4</v>
      </c>
      <c r="N93" s="281">
        <f>S44+S57</f>
        <v>3.35</v>
      </c>
      <c r="O93" s="32">
        <f>O92</f>
        <v>0.4</v>
      </c>
      <c r="P93" s="32">
        <f>P90</f>
        <v>0.5</v>
      </c>
    </row>
    <row r="94" spans="2:17" x14ac:dyDescent="0.25">
      <c r="C94" s="935" t="s">
        <v>128</v>
      </c>
      <c r="D94" s="935"/>
      <c r="J94" s="10">
        <f>J93</f>
        <v>2.1999999999999997</v>
      </c>
      <c r="K94" s="3">
        <f>K84</f>
        <v>0</v>
      </c>
      <c r="M94" s="42"/>
      <c r="N94" s="42"/>
    </row>
    <row r="95" spans="2:17" x14ac:dyDescent="0.25">
      <c r="C95" s="32">
        <f>C85</f>
        <v>0.55000000000000004</v>
      </c>
      <c r="D95" s="42">
        <f>D85</f>
        <v>-1.1996868753787779</v>
      </c>
      <c r="F95" s="936" t="s">
        <v>789</v>
      </c>
      <c r="G95" s="937"/>
      <c r="H95" s="464">
        <f>'FOGLIO DEPOSITO'!I138</f>
        <v>1.6248275834596275</v>
      </c>
      <c r="J95" s="132">
        <f>J84</f>
        <v>5.2443441681619447</v>
      </c>
      <c r="K95" s="3">
        <f>K94</f>
        <v>0</v>
      </c>
      <c r="M95" s="935" t="s">
        <v>131</v>
      </c>
      <c r="N95" s="935"/>
      <c r="P95">
        <f>'FOGLIO DEPOSITO'!D198</f>
        <v>3.5087719297467721E-6</v>
      </c>
    </row>
    <row r="96" spans="2:17" x14ac:dyDescent="0.25">
      <c r="C96" s="32">
        <f>DATI!E75+DATI!E62/2</f>
        <v>0.55000000000000004</v>
      </c>
      <c r="D96" s="32">
        <f>DATI!E60+DATI!E74+DATI!E88</f>
        <v>3.7</v>
      </c>
      <c r="F96" s="936"/>
      <c r="G96" s="937"/>
      <c r="H96" s="399" t="str">
        <f>DATI!G218</f>
        <v>dx</v>
      </c>
      <c r="M96" s="140">
        <f>M86</f>
        <v>0.7</v>
      </c>
      <c r="N96" s="213">
        <f>P100-P96</f>
        <v>0.51366666666666694</v>
      </c>
      <c r="P96" s="212">
        <f>'FOGLIO DEPOSITO'!W227</f>
        <v>2.8363333333333332</v>
      </c>
      <c r="Q96" t="s">
        <v>133</v>
      </c>
    </row>
    <row r="97" spans="3:17" x14ac:dyDescent="0.25">
      <c r="C97" s="32"/>
      <c r="D97" s="32"/>
      <c r="F97" s="469">
        <f>'FOGLIO DEPOSITO'!I139</f>
        <v>1.6248275834596275</v>
      </c>
      <c r="G97" t="s">
        <v>795</v>
      </c>
      <c r="M97" s="213">
        <f>M87</f>
        <v>2</v>
      </c>
      <c r="N97" s="213">
        <f>N96</f>
        <v>0.51366666666666694</v>
      </c>
      <c r="P97" s="212">
        <f>'FOGLIO DEPOSITO'!W233</f>
        <v>0.51366666666666694</v>
      </c>
      <c r="Q97" t="s">
        <v>136</v>
      </c>
    </row>
    <row r="98" spans="3:17" x14ac:dyDescent="0.25">
      <c r="C98" s="935" t="s">
        <v>130</v>
      </c>
      <c r="D98" s="935"/>
      <c r="F98">
        <f>'FOGLIO DEPOSITO'!B146*'FOGLIO DEPOSITO'!G144</f>
        <v>-7594.4511445395528</v>
      </c>
      <c r="G98" t="s">
        <v>796</v>
      </c>
      <c r="H98" s="192"/>
      <c r="J98" s="11" t="s">
        <v>132</v>
      </c>
      <c r="K98" s="2"/>
      <c r="L98" s="162" t="s">
        <v>137</v>
      </c>
      <c r="M98" s="140">
        <f>M96</f>
        <v>0.7</v>
      </c>
      <c r="N98" s="213">
        <f>P100-P96-P97</f>
        <v>0</v>
      </c>
      <c r="P98" s="212">
        <f>'FOGLIO DEPOSITO'!W239</f>
        <v>0</v>
      </c>
      <c r="Q98" t="s">
        <v>138</v>
      </c>
    </row>
    <row r="99" spans="3:17" x14ac:dyDescent="0.25">
      <c r="C99" s="32">
        <v>0</v>
      </c>
      <c r="D99" s="32">
        <f>DATI!E74*1.3</f>
        <v>0.65</v>
      </c>
      <c r="H99" s="192"/>
      <c r="I99" s="28">
        <v>10</v>
      </c>
      <c r="J99" s="396" t="s">
        <v>134</v>
      </c>
      <c r="K99" s="396" t="s">
        <v>135</v>
      </c>
      <c r="L99" s="162"/>
      <c r="M99" s="213">
        <f>M87</f>
        <v>2</v>
      </c>
      <c r="N99" s="213">
        <f>N98</f>
        <v>0</v>
      </c>
    </row>
    <row r="100" spans="3:17" x14ac:dyDescent="0.25">
      <c r="C100" s="32">
        <v>0</v>
      </c>
      <c r="D100" s="32">
        <f>'Progetto della zattera slu'!H115*0.01+DATI!E74*1.5</f>
        <v>0.95163198369565216</v>
      </c>
      <c r="H100" s="192"/>
      <c r="I100" s="21">
        <f>'FOGLIO DEPOSITO'!X158</f>
        <v>27.430088465110245</v>
      </c>
      <c r="J100">
        <f t="shared" ref="J100:J108" si="9">I100/$I$99</f>
        <v>2.7430088465110245</v>
      </c>
      <c r="K100" s="2">
        <f>K113</f>
        <v>0</v>
      </c>
      <c r="L100" s="162"/>
      <c r="M100" s="140"/>
      <c r="N100" s="140"/>
      <c r="P100" s="212">
        <f>DATI!G216</f>
        <v>3.35</v>
      </c>
      <c r="Q100" t="s">
        <v>139</v>
      </c>
    </row>
    <row r="101" spans="3:17" x14ac:dyDescent="0.25">
      <c r="C101" s="32">
        <f>'FOGLIO DEPOSITO'!D211+'FOGLIO DEPOSITO'!D212+'geom masse muro+tensioni'!S58</f>
        <v>1.9999999999999996</v>
      </c>
      <c r="D101" s="32">
        <f>D100</f>
        <v>0.95163198369565216</v>
      </c>
      <c r="H101" s="192"/>
      <c r="I101" s="21">
        <f>'FOGLIO DEPOSITO'!X157</f>
        <v>27.430088465110245</v>
      </c>
      <c r="J101">
        <f t="shared" si="9"/>
        <v>2.7430088465110245</v>
      </c>
      <c r="K101" s="2">
        <f t="shared" ref="K101:K108" si="10">K114</f>
        <v>0</v>
      </c>
      <c r="L101" s="162"/>
      <c r="M101" s="140"/>
      <c r="N101" s="140"/>
      <c r="P101" s="192"/>
    </row>
    <row r="102" spans="3:17" x14ac:dyDescent="0.25">
      <c r="C102" s="32">
        <f>C101</f>
        <v>1.9999999999999996</v>
      </c>
      <c r="D102" s="32">
        <f>DATI!E74*1.3</f>
        <v>0.65</v>
      </c>
      <c r="H102" s="192"/>
      <c r="I102" s="21">
        <f>'FOGLIO DEPOSITO'!X156</f>
        <v>27.430088465110245</v>
      </c>
      <c r="J102">
        <f t="shared" si="9"/>
        <v>2.7430088465110245</v>
      </c>
      <c r="K102" s="2">
        <f t="shared" si="10"/>
        <v>0</v>
      </c>
      <c r="L102" s="162"/>
      <c r="M102" s="142">
        <v>0</v>
      </c>
      <c r="N102" s="214">
        <f>N96</f>
        <v>0.51366666666666694</v>
      </c>
      <c r="P102">
        <f>DATI!E60+DATI!E74</f>
        <v>3.35</v>
      </c>
    </row>
    <row r="103" spans="3:17" x14ac:dyDescent="0.25">
      <c r="C103" s="32">
        <v>0</v>
      </c>
      <c r="D103" s="32">
        <f>DATI!E74*1.3</f>
        <v>0.65</v>
      </c>
      <c r="H103" s="192"/>
      <c r="I103" s="21">
        <f>'FOGLIO DEPOSITO'!X155</f>
        <v>27.430088465110245</v>
      </c>
      <c r="J103">
        <f t="shared" si="9"/>
        <v>2.7430088465110245</v>
      </c>
      <c r="K103" s="2">
        <f t="shared" si="10"/>
        <v>0</v>
      </c>
      <c r="L103" s="162"/>
      <c r="M103" s="142">
        <f>DATI!E75</f>
        <v>0.4</v>
      </c>
      <c r="N103" s="214">
        <f t="shared" ref="N103:N105" si="11">N97</f>
        <v>0.51366666666666694</v>
      </c>
    </row>
    <row r="104" spans="3:17" x14ac:dyDescent="0.25">
      <c r="C104" s="935" t="s">
        <v>871</v>
      </c>
      <c r="D104" s="935"/>
      <c r="E104" s="935" t="s">
        <v>872</v>
      </c>
      <c r="F104" s="935"/>
      <c r="H104" s="192"/>
      <c r="I104" s="21">
        <f>'FOGLIO DEPOSITO'!X154</f>
        <v>27.430088465110245</v>
      </c>
      <c r="J104">
        <f t="shared" si="9"/>
        <v>2.7430088465110245</v>
      </c>
      <c r="K104" s="2">
        <f t="shared" si="10"/>
        <v>0</v>
      </c>
      <c r="L104" s="162" t="s">
        <v>141</v>
      </c>
      <c r="M104" s="142">
        <v>0</v>
      </c>
      <c r="N104" s="214">
        <f t="shared" si="11"/>
        <v>0</v>
      </c>
    </row>
    <row r="105" spans="3:17" x14ac:dyDescent="0.25">
      <c r="C105" s="32">
        <f>IF(H96="sx",0,S58+S46)</f>
        <v>0.7</v>
      </c>
      <c r="D105" s="32">
        <f>D100*1.2</f>
        <v>1.1419583804347826</v>
      </c>
      <c r="E105" s="32">
        <f>O82</f>
        <v>0</v>
      </c>
      <c r="F105" s="32">
        <f>D105</f>
        <v>1.1419583804347826</v>
      </c>
      <c r="H105" s="192"/>
      <c r="I105" s="21">
        <f>'FOGLIO DEPOSITO'!X153</f>
        <v>24.182631020149174</v>
      </c>
      <c r="J105">
        <f t="shared" si="9"/>
        <v>2.4182631020149175</v>
      </c>
      <c r="K105" s="2">
        <f t="shared" si="10"/>
        <v>0.51366666666666694</v>
      </c>
      <c r="L105" s="162"/>
      <c r="M105" s="142">
        <f>DATI!E75</f>
        <v>0.4</v>
      </c>
      <c r="N105" s="214">
        <f t="shared" si="11"/>
        <v>0</v>
      </c>
    </row>
    <row r="106" spans="3:17" x14ac:dyDescent="0.25">
      <c r="C106" s="32">
        <f>C105</f>
        <v>0.7</v>
      </c>
      <c r="D106" s="42">
        <f>'Progetto della zattera slu'!H113*0.01+D105</f>
        <v>1.5936480283872287</v>
      </c>
      <c r="E106" s="32">
        <f t="shared" ref="E106:E108" si="12">O83</f>
        <v>0</v>
      </c>
      <c r="F106" s="32">
        <f>'Progetto della zattera slu'!H114*0.01+F105</f>
        <v>1.1561290888496554</v>
      </c>
      <c r="H106" s="192"/>
      <c r="I106" s="21">
        <f>'FOGLIO DEPOSITO'!X152</f>
        <v>24.182631020149174</v>
      </c>
      <c r="J106">
        <f t="shared" si="9"/>
        <v>2.4182631020149175</v>
      </c>
      <c r="K106" s="2">
        <f t="shared" si="10"/>
        <v>0.51366666666666694</v>
      </c>
      <c r="L106" s="162"/>
      <c r="M106" s="142"/>
      <c r="N106" s="142"/>
      <c r="P106" s="544"/>
    </row>
    <row r="107" spans="3:17" x14ac:dyDescent="0.25">
      <c r="C107" s="32">
        <f>IF(H96="sx",S58,'FOGLIO DEPOSITO'!D211+'FOGLIO DEPOSITO'!D212+'geom masse muro+tensioni'!S58)</f>
        <v>1.9999999999999996</v>
      </c>
      <c r="D107" s="42">
        <f>D106</f>
        <v>1.5936480283872287</v>
      </c>
      <c r="E107" s="32">
        <f t="shared" si="12"/>
        <v>0.4</v>
      </c>
      <c r="F107" s="32">
        <f>F106</f>
        <v>1.1561290888496554</v>
      </c>
      <c r="I107" s="21">
        <f>'FOGLIO DEPOSITO'!X151</f>
        <v>24.182631020149174</v>
      </c>
      <c r="J107">
        <f t="shared" si="9"/>
        <v>2.4182631020149175</v>
      </c>
      <c r="K107" s="2">
        <f t="shared" si="10"/>
        <v>0.51366666666666694</v>
      </c>
      <c r="M107" s="142"/>
      <c r="N107" s="142"/>
      <c r="P107" s="544"/>
    </row>
    <row r="108" spans="3:17" x14ac:dyDescent="0.25">
      <c r="C108" s="32">
        <f>C107</f>
        <v>1.9999999999999996</v>
      </c>
      <c r="D108" s="42">
        <f>D105</f>
        <v>1.1419583804347826</v>
      </c>
      <c r="E108" s="32">
        <f t="shared" si="12"/>
        <v>0.4</v>
      </c>
      <c r="F108" s="32">
        <f>F105</f>
        <v>1.1419583804347826</v>
      </c>
      <c r="I108" s="21">
        <f>'FOGLIO DEPOSITO'!X150</f>
        <v>4.8716633374040814</v>
      </c>
      <c r="J108">
        <f t="shared" si="9"/>
        <v>0.48716633374040813</v>
      </c>
      <c r="K108" s="2">
        <f t="shared" si="10"/>
        <v>3.35</v>
      </c>
      <c r="M108" s="32"/>
      <c r="N108" s="32"/>
      <c r="P108" s="544"/>
    </row>
    <row r="109" spans="3:17" x14ac:dyDescent="0.25">
      <c r="C109" s="32">
        <f>C105</f>
        <v>0.7</v>
      </c>
      <c r="D109" s="32">
        <f>D105</f>
        <v>1.1419583804347826</v>
      </c>
      <c r="E109" s="32">
        <f>E105</f>
        <v>0</v>
      </c>
      <c r="F109" s="32">
        <f>F108</f>
        <v>1.1419583804347826</v>
      </c>
      <c r="J109" s="2"/>
      <c r="M109" s="215">
        <f>IF(DATI!$G$218="dx",M96,M102)</f>
        <v>0.7</v>
      </c>
      <c r="N109" s="216">
        <f>N102</f>
        <v>0.51366666666666694</v>
      </c>
      <c r="P109" s="544"/>
    </row>
    <row r="110" spans="3:17" x14ac:dyDescent="0.25">
      <c r="C110" s="935" t="s">
        <v>140</v>
      </c>
      <c r="D110" s="935"/>
      <c r="J110" s="2"/>
      <c r="M110" s="217">
        <f>IF(DATI!$G$218="dx",M97,M103)</f>
        <v>2</v>
      </c>
      <c r="N110" s="218">
        <f t="shared" ref="N110:N112" si="13">N103</f>
        <v>0.51366666666666694</v>
      </c>
      <c r="P110" s="544"/>
    </row>
    <row r="111" spans="3:17" x14ac:dyDescent="0.25">
      <c r="C111" s="32">
        <f>C105</f>
        <v>0.7</v>
      </c>
      <c r="D111" s="32">
        <f>D106*1.2</f>
        <v>1.9123776340646743</v>
      </c>
      <c r="H111" s="192"/>
      <c r="J111" s="11" t="s">
        <v>142</v>
      </c>
      <c r="M111" s="217">
        <f>IF(DATI!$G$218="dx",M98,M104)</f>
        <v>0.7</v>
      </c>
      <c r="N111" s="218">
        <f t="shared" si="13"/>
        <v>0</v>
      </c>
      <c r="P111" s="544"/>
    </row>
    <row r="112" spans="3:17" x14ac:dyDescent="0.25">
      <c r="C112" s="32">
        <f>C106</f>
        <v>0.7</v>
      </c>
      <c r="D112" s="42">
        <f>'Progetto della zattera slu'!H112*0.01+D111</f>
        <v>1.9123776340646743</v>
      </c>
      <c r="H112" s="192"/>
      <c r="I112" s="28">
        <v>10</v>
      </c>
      <c r="J112" s="396" t="s">
        <v>134</v>
      </c>
      <c r="K112" s="396" t="s">
        <v>135</v>
      </c>
      <c r="M112" s="219">
        <f>IF(DATI!$G$218="dx",M99,M105)</f>
        <v>2</v>
      </c>
      <c r="N112" s="220">
        <f t="shared" si="13"/>
        <v>0</v>
      </c>
      <c r="P112" s="544"/>
    </row>
    <row r="113" spans="3:16" x14ac:dyDescent="0.25">
      <c r="C113" s="32">
        <f>C107</f>
        <v>1.9999999999999996</v>
      </c>
      <c r="D113" s="42">
        <f>D112</f>
        <v>1.9123776340646743</v>
      </c>
      <c r="H113" s="192"/>
      <c r="I113" s="21">
        <f>'FOGLIO DEPOSITO'!AB158</f>
        <v>30.443441681619454</v>
      </c>
      <c r="J113">
        <f t="shared" ref="J113:J121" si="14">I113/$I$99</f>
        <v>3.0443441681619454</v>
      </c>
      <c r="K113" s="21">
        <f>-'FOGLIO DEPOSITO'!Z174+$H$115</f>
        <v>0</v>
      </c>
      <c r="P113" s="544"/>
    </row>
    <row r="114" spans="3:16" x14ac:dyDescent="0.25">
      <c r="C114" s="32">
        <f>C108</f>
        <v>1.9999999999999996</v>
      </c>
      <c r="D114" s="32">
        <f>D115</f>
        <v>1.9123776340646743</v>
      </c>
      <c r="H114" s="192"/>
      <c r="I114" s="21">
        <f>'FOGLIO DEPOSITO'!AB157</f>
        <v>30.443441681619454</v>
      </c>
      <c r="J114">
        <f t="shared" si="14"/>
        <v>3.0443441681619454</v>
      </c>
      <c r="K114" s="21">
        <f>-'FOGLIO DEPOSITO'!Z173+$H$115</f>
        <v>0</v>
      </c>
      <c r="M114" s="935" t="s">
        <v>144</v>
      </c>
      <c r="N114" s="935"/>
      <c r="P114" s="544"/>
    </row>
    <row r="115" spans="3:16" x14ac:dyDescent="0.25">
      <c r="C115" s="32">
        <f>C109</f>
        <v>0.7</v>
      </c>
      <c r="D115" s="32">
        <f>D111</f>
        <v>1.9123776340646743</v>
      </c>
      <c r="H115" s="192">
        <f>DATI!G216</f>
        <v>3.35</v>
      </c>
      <c r="I115" s="21">
        <f>'FOGLIO DEPOSITO'!AB156</f>
        <v>30.443441681619454</v>
      </c>
      <c r="J115">
        <f t="shared" si="14"/>
        <v>3.0443441681619454</v>
      </c>
      <c r="K115" s="21">
        <f>-'FOGLIO DEPOSITO'!Z172+$H$115</f>
        <v>0</v>
      </c>
      <c r="M115" s="392">
        <f>IF(DATI!E194="no","",IF(DATI!$G$218="dx",M96,M102))</f>
        <v>0.7</v>
      </c>
      <c r="N115" s="221">
        <f>IF(DATI!E194="no","",P100-DATI!E195)</f>
        <v>-1.9999999999999996</v>
      </c>
    </row>
    <row r="116" spans="3:16" x14ac:dyDescent="0.25">
      <c r="C116" s="935" t="s">
        <v>143</v>
      </c>
      <c r="D116" s="935"/>
      <c r="H116" s="192"/>
      <c r="I116" s="21">
        <f>'FOGLIO DEPOSITO'!AB155</f>
        <v>30.443441681619454</v>
      </c>
      <c r="J116">
        <f t="shared" si="14"/>
        <v>3.0443441681619454</v>
      </c>
      <c r="K116" s="21">
        <f>-'FOGLIO DEPOSITO'!Z171+$H$115</f>
        <v>0</v>
      </c>
      <c r="M116" s="222">
        <f>IF(DATI!E194="no","",IF(DATI!$G$218="dx",M97,M103))</f>
        <v>2</v>
      </c>
      <c r="N116" s="223">
        <f>N115</f>
        <v>-1.9999999999999996</v>
      </c>
    </row>
    <row r="117" spans="3:16" x14ac:dyDescent="0.25">
      <c r="C117" s="32">
        <f>C111</f>
        <v>0.7</v>
      </c>
      <c r="D117" s="32">
        <f>D112*1.2</f>
        <v>2.2948531608776093</v>
      </c>
      <c r="H117" s="192"/>
      <c r="I117" s="21">
        <f>'FOGLIO DEPOSITO'!AB154</f>
        <v>30.443441681619454</v>
      </c>
      <c r="J117">
        <f t="shared" si="14"/>
        <v>3.0443441681619454</v>
      </c>
      <c r="K117" s="21">
        <f>-'FOGLIO DEPOSITO'!Z170+$H$115</f>
        <v>0</v>
      </c>
    </row>
    <row r="118" spans="3:16" x14ac:dyDescent="0.25">
      <c r="C118" s="32">
        <f>C112</f>
        <v>0.7</v>
      </c>
      <c r="D118" s="42">
        <f>'Progetto della zattera slu'!H111*0.01+D117</f>
        <v>2.3448531608776091</v>
      </c>
      <c r="H118" s="192"/>
      <c r="I118" s="21">
        <f>'FOGLIO DEPOSITO'!AB153</f>
        <v>26.790262112874075</v>
      </c>
      <c r="J118">
        <f t="shared" si="14"/>
        <v>2.6790262112874075</v>
      </c>
      <c r="K118" s="21">
        <f>-'FOGLIO DEPOSITO'!Z169+$H$115</f>
        <v>0.51366666666666694</v>
      </c>
    </row>
    <row r="119" spans="3:16" x14ac:dyDescent="0.25">
      <c r="C119" s="32">
        <f>C113</f>
        <v>1.9999999999999996</v>
      </c>
      <c r="D119" s="42">
        <f>D118</f>
        <v>2.3448531608776091</v>
      </c>
      <c r="H119" s="192"/>
      <c r="I119" s="21">
        <f>'FOGLIO DEPOSITO'!AB152</f>
        <v>24.182631020149174</v>
      </c>
      <c r="J119">
        <f t="shared" si="14"/>
        <v>2.4182631020149175</v>
      </c>
      <c r="K119" s="21">
        <f>-'FOGLIO DEPOSITO'!Z168+$H$115</f>
        <v>0.51366666666666694</v>
      </c>
    </row>
    <row r="120" spans="3:16" x14ac:dyDescent="0.25">
      <c r="C120" s="32">
        <f>C114</f>
        <v>1.9999999999999996</v>
      </c>
      <c r="D120" s="32">
        <f>D121</f>
        <v>2.2948531608776093</v>
      </c>
      <c r="I120" s="21">
        <f>'FOGLIO DEPOSITO'!AB151</f>
        <v>24.182631020149174</v>
      </c>
      <c r="J120">
        <f t="shared" si="14"/>
        <v>2.4182631020149175</v>
      </c>
      <c r="K120" s="21">
        <f>-'FOGLIO DEPOSITO'!Z167+$H$115</f>
        <v>0.51366666666666694</v>
      </c>
    </row>
    <row r="121" spans="3:16" x14ac:dyDescent="0.25">
      <c r="C121" s="32">
        <f>C115</f>
        <v>0.7</v>
      </c>
      <c r="D121" s="32">
        <f>D117</f>
        <v>2.2948531608776093</v>
      </c>
      <c r="I121" s="21">
        <f>'FOGLIO DEPOSITO'!AB150</f>
        <v>4.8716633374040814</v>
      </c>
      <c r="J121">
        <f t="shared" si="14"/>
        <v>0.48716633374040813</v>
      </c>
      <c r="K121" s="21">
        <f>-'FOGLIO DEPOSITO'!Z166+$H$115</f>
        <v>3.35</v>
      </c>
    </row>
  </sheetData>
  <customSheetViews>
    <customSheetView guid="{5E8F20A8-8220-4169-B947-2AB764A2AA7B}" state="hidden">
      <selection activeCell="O26" sqref="O26"/>
      <pageMargins left="0.7" right="0.7" top="0.75" bottom="0.75" header="0.3" footer="0.3"/>
      <pageSetup paperSize="9" orientation="portrait" r:id="rId1"/>
    </customSheetView>
    <customSheetView guid="{9F540994-A66B-4083-BD64-035E71878618}" state="hidden">
      <selection activeCell="O26" sqref="O26"/>
      <pageMargins left="0.7" right="0.7" top="0.75" bottom="0.75" header="0.3" footer="0.3"/>
      <pageSetup paperSize="9" orientation="portrait" r:id="rId2"/>
    </customSheetView>
  </customSheetViews>
  <mergeCells count="24">
    <mergeCell ref="M95:N95"/>
    <mergeCell ref="M114:N114"/>
    <mergeCell ref="C110:D110"/>
    <mergeCell ref="C116:D116"/>
    <mergeCell ref="C81:D81"/>
    <mergeCell ref="C94:D94"/>
    <mergeCell ref="C98:D98"/>
    <mergeCell ref="C104:D104"/>
    <mergeCell ref="F95:G96"/>
    <mergeCell ref="E81:F81"/>
    <mergeCell ref="E104:F104"/>
    <mergeCell ref="O81:P81"/>
    <mergeCell ref="B11:B13"/>
    <mergeCell ref="B2:N2"/>
    <mergeCell ref="B7:B9"/>
    <mergeCell ref="M81:N81"/>
    <mergeCell ref="B18:B21"/>
    <mergeCell ref="B24:B26"/>
    <mergeCell ref="J43:K43"/>
    <mergeCell ref="C43:D43"/>
    <mergeCell ref="F43:G43"/>
    <mergeCell ref="G81:H81"/>
    <mergeCell ref="C71:D71"/>
    <mergeCell ref="F71:G71"/>
  </mergeCells>
  <pageMargins left="0.7" right="0.7" top="0.75" bottom="0.75" header="0.3" footer="0.3"/>
  <pageSetup paperSize="9" orientation="portrait" r:id="rId3"/>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G588"/>
  <sheetViews>
    <sheetView showGridLines="0" showRowColHeaders="0" zoomScaleNormal="100" workbookViewId="0">
      <selection activeCell="E104" sqref="E104"/>
    </sheetView>
  </sheetViews>
  <sheetFormatPr defaultRowHeight="15" x14ac:dyDescent="0.25"/>
  <cols>
    <col min="1" max="1" width="2.85546875" customWidth="1"/>
    <col min="2" max="2" width="14.28515625" customWidth="1"/>
    <col min="3" max="3" width="14.5703125" customWidth="1"/>
    <col min="4" max="6" width="13.7109375" customWidth="1"/>
    <col min="7" max="7" width="17.28515625" customWidth="1"/>
    <col min="8" max="8" width="16.5703125" customWidth="1"/>
    <col min="9" max="11" width="13.7109375" customWidth="1"/>
    <col min="12" max="12" width="14.42578125" customWidth="1"/>
    <col min="13" max="13" width="17.28515625" style="428" customWidth="1"/>
    <col min="14" max="17" width="14.42578125" style="428" customWidth="1"/>
    <col min="18" max="18" width="9.140625" style="428"/>
    <col min="21" max="21" width="11.85546875" bestFit="1" customWidth="1"/>
  </cols>
  <sheetData>
    <row r="1" spans="1:27" x14ac:dyDescent="0.25">
      <c r="A1" s="429"/>
      <c r="B1" s="429"/>
      <c r="C1" s="429"/>
      <c r="D1" s="429"/>
      <c r="E1" s="429"/>
      <c r="F1" s="429"/>
      <c r="G1" s="429"/>
      <c r="H1" s="429"/>
      <c r="I1" s="429"/>
      <c r="J1" s="429"/>
      <c r="K1" s="429"/>
      <c r="L1" s="429"/>
      <c r="M1" s="429"/>
      <c r="N1" s="429"/>
      <c r="O1" s="429"/>
      <c r="P1" s="429"/>
      <c r="Q1" s="429"/>
      <c r="R1" s="429"/>
      <c r="S1" s="2"/>
      <c r="T1" s="2"/>
      <c r="U1" s="2"/>
      <c r="V1" s="2"/>
      <c r="W1" s="2"/>
      <c r="X1" s="2"/>
      <c r="Y1" s="2"/>
      <c r="Z1" s="2"/>
      <c r="AA1" s="2"/>
    </row>
    <row r="2" spans="1:27" ht="21" x14ac:dyDescent="0.35">
      <c r="A2" s="429"/>
      <c r="B2" s="463" t="s">
        <v>659</v>
      </c>
      <c r="C2" s="429"/>
      <c r="D2" s="429"/>
      <c r="E2" s="429"/>
      <c r="F2" s="429"/>
      <c r="G2" s="429"/>
      <c r="H2" s="429"/>
      <c r="I2" s="429"/>
      <c r="J2" s="429"/>
      <c r="K2" s="429"/>
      <c r="L2" s="429"/>
      <c r="M2" s="429"/>
      <c r="N2" s="429"/>
      <c r="O2" s="429"/>
      <c r="P2" s="429"/>
      <c r="Q2" s="429"/>
      <c r="R2" s="429"/>
      <c r="S2" s="2"/>
      <c r="T2" s="2"/>
      <c r="U2" s="2"/>
      <c r="V2" s="2"/>
      <c r="W2" s="2"/>
      <c r="X2" s="2"/>
      <c r="Y2" s="2"/>
      <c r="Z2" s="2"/>
      <c r="AA2" s="2"/>
    </row>
    <row r="3" spans="1:27" s="428" customFormat="1" ht="18.75" x14ac:dyDescent="0.3">
      <c r="A3" s="429"/>
      <c r="B3" s="74"/>
      <c r="C3" s="429"/>
      <c r="D3" s="429"/>
      <c r="E3" s="429"/>
      <c r="F3" s="429"/>
      <c r="G3" s="429"/>
      <c r="H3" s="429"/>
      <c r="I3" s="429"/>
      <c r="J3" s="429"/>
      <c r="K3" s="429"/>
      <c r="L3" s="429"/>
      <c r="M3" s="429"/>
      <c r="N3" s="429"/>
      <c r="O3" s="429"/>
      <c r="P3" s="429"/>
      <c r="Q3" s="429"/>
      <c r="R3" s="429"/>
      <c r="S3" s="429"/>
      <c r="T3" s="429"/>
      <c r="U3" s="429"/>
      <c r="V3" s="429"/>
      <c r="W3" s="429"/>
      <c r="X3" s="429"/>
      <c r="Y3" s="429"/>
      <c r="Z3" s="429"/>
      <c r="AA3" s="429"/>
    </row>
    <row r="4" spans="1:27" s="428" customFormat="1" ht="15.75" x14ac:dyDescent="0.25">
      <c r="A4" s="429"/>
      <c r="B4" s="15" t="s">
        <v>783</v>
      </c>
      <c r="C4" s="429"/>
      <c r="D4" s="429"/>
      <c r="E4" s="429"/>
      <c r="F4" s="429"/>
      <c r="G4" s="429"/>
      <c r="H4" s="429"/>
      <c r="I4" s="429"/>
      <c r="J4" s="429"/>
      <c r="K4" s="429"/>
      <c r="L4" s="429"/>
      <c r="M4" s="429"/>
      <c r="N4" s="429"/>
      <c r="O4" s="429"/>
      <c r="P4" s="429"/>
      <c r="Q4" s="429"/>
      <c r="R4" s="429"/>
      <c r="S4" s="429"/>
      <c r="T4" s="429"/>
      <c r="U4" s="429"/>
      <c r="V4" s="429"/>
      <c r="W4" s="429"/>
      <c r="X4" s="429"/>
      <c r="Y4" s="429"/>
      <c r="Z4" s="429"/>
      <c r="AA4" s="429"/>
    </row>
    <row r="5" spans="1:27" s="428" customFormat="1" ht="18.75" x14ac:dyDescent="0.3">
      <c r="A5" s="429"/>
      <c r="B5" s="74"/>
      <c r="C5" s="429"/>
      <c r="D5" s="429"/>
      <c r="E5" s="429"/>
      <c r="F5" s="429"/>
      <c r="G5" s="429"/>
      <c r="H5" s="429"/>
      <c r="I5" s="429"/>
      <c r="J5" s="429"/>
      <c r="K5" s="429"/>
      <c r="L5" s="429"/>
      <c r="M5" s="429"/>
      <c r="N5" s="429"/>
      <c r="O5" s="429"/>
      <c r="P5" s="429"/>
      <c r="Q5" s="429"/>
      <c r="R5" s="429"/>
      <c r="S5" s="429"/>
      <c r="T5" s="429"/>
      <c r="U5" s="429"/>
      <c r="V5" s="429"/>
      <c r="W5" s="429"/>
      <c r="X5" s="429"/>
      <c r="Y5" s="429"/>
      <c r="Z5" s="429"/>
      <c r="AA5" s="429"/>
    </row>
    <row r="6" spans="1:27" s="428" customFormat="1" x14ac:dyDescent="0.25">
      <c r="A6" s="429"/>
      <c r="B6" s="898" t="s">
        <v>326</v>
      </c>
      <c r="C6" s="898"/>
      <c r="D6" s="899" t="str">
        <f>IF('FOGLIO DEPOSITO'!I72='FOGLIO DEPOSITO'!I73,"SISMICA",'FOGLIO DEPOSITO'!B222)</f>
        <v>SISMICA</v>
      </c>
      <c r="E6" s="907"/>
      <c r="F6" s="24"/>
      <c r="G6" s="429"/>
      <c r="H6" s="429"/>
      <c r="I6" s="429"/>
      <c r="J6" s="429"/>
      <c r="K6" s="429"/>
      <c r="L6" s="429"/>
      <c r="M6" s="429"/>
      <c r="N6" s="429"/>
      <c r="O6" s="429"/>
      <c r="P6" s="429"/>
      <c r="Q6" s="429"/>
      <c r="R6" s="429"/>
      <c r="S6" s="429"/>
      <c r="T6" s="429"/>
      <c r="U6" s="429"/>
      <c r="V6" s="429"/>
      <c r="W6" s="429"/>
      <c r="X6" s="429"/>
      <c r="Y6" s="429"/>
      <c r="Z6" s="429"/>
      <c r="AA6" s="429"/>
    </row>
    <row r="7" spans="1:27" s="428" customFormat="1" x14ac:dyDescent="0.25">
      <c r="A7" s="429"/>
      <c r="B7" s="898" t="s">
        <v>469</v>
      </c>
      <c r="C7" s="898"/>
      <c r="D7" s="432" t="str">
        <f>DATI!C268</f>
        <v xml:space="preserve"> APPROCCIO 2 --- Combinazione (A1+M1+R3)</v>
      </c>
      <c r="E7" s="322"/>
      <c r="F7" s="24"/>
      <c r="G7" s="429"/>
      <c r="H7" s="429"/>
      <c r="I7" s="429"/>
      <c r="J7" s="429"/>
      <c r="K7" s="429"/>
      <c r="L7" s="429"/>
      <c r="M7" s="429"/>
      <c r="N7" s="429"/>
      <c r="O7" s="429"/>
      <c r="P7" s="429"/>
      <c r="Q7" s="429"/>
      <c r="R7" s="429"/>
      <c r="S7" s="429"/>
      <c r="T7" s="429"/>
      <c r="U7" s="429"/>
      <c r="V7" s="429"/>
      <c r="W7" s="429"/>
      <c r="X7" s="429"/>
      <c r="Y7" s="429"/>
      <c r="Z7" s="429"/>
      <c r="AA7" s="429"/>
    </row>
    <row r="8" spans="1:27" s="428" customFormat="1" x14ac:dyDescent="0.25">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row>
    <row r="9" spans="1:27" s="428" customFormat="1" x14ac:dyDescent="0.25">
      <c r="A9" s="429"/>
      <c r="B9" s="429"/>
      <c r="C9" s="429"/>
      <c r="D9" s="429"/>
      <c r="E9" s="429"/>
      <c r="F9" s="445" t="s">
        <v>463</v>
      </c>
      <c r="G9" s="631" t="s">
        <v>25</v>
      </c>
      <c r="H9" s="429"/>
      <c r="I9" s="429"/>
      <c r="J9" s="429"/>
      <c r="K9" s="429"/>
      <c r="L9" s="429"/>
      <c r="M9" s="429"/>
      <c r="N9" s="429"/>
      <c r="O9" s="429"/>
      <c r="P9" s="429"/>
      <c r="Q9" s="429"/>
      <c r="R9" s="429"/>
      <c r="S9" s="429"/>
      <c r="T9" s="429"/>
      <c r="U9" s="429"/>
      <c r="V9" s="429"/>
      <c r="W9" s="429"/>
      <c r="X9" s="429"/>
      <c r="Y9" s="429"/>
      <c r="Z9" s="429"/>
      <c r="AA9" s="429"/>
    </row>
    <row r="10" spans="1:27" s="428" customFormat="1" x14ac:dyDescent="0.25">
      <c r="A10" s="429"/>
      <c r="B10" s="429"/>
      <c r="C10" s="429"/>
      <c r="D10" s="429"/>
      <c r="E10" s="429"/>
      <c r="F10" s="631" t="s">
        <v>535</v>
      </c>
      <c r="G10" s="633">
        <f>DATI!E272</f>
        <v>1</v>
      </c>
      <c r="H10" s="429"/>
      <c r="I10" s="429"/>
      <c r="J10" s="429"/>
      <c r="K10" s="429"/>
      <c r="L10" s="429"/>
      <c r="M10" s="429"/>
      <c r="N10" s="429"/>
      <c r="O10" s="429"/>
      <c r="P10" s="429"/>
      <c r="Q10" s="429"/>
      <c r="R10" s="429"/>
      <c r="S10" s="429"/>
      <c r="T10" s="429"/>
      <c r="U10" s="429"/>
      <c r="V10" s="429"/>
      <c r="W10" s="429"/>
      <c r="X10" s="429"/>
      <c r="Y10" s="429"/>
      <c r="Z10" s="429"/>
      <c r="AA10" s="429"/>
    </row>
    <row r="11" spans="1:27" s="428" customFormat="1" x14ac:dyDescent="0.25">
      <c r="A11" s="429"/>
      <c r="B11" s="429"/>
      <c r="C11" s="429"/>
      <c r="D11" s="429"/>
      <c r="E11" s="429"/>
      <c r="F11" s="631" t="s">
        <v>553</v>
      </c>
      <c r="G11" s="633">
        <f>DATI!E273</f>
        <v>1</v>
      </c>
      <c r="H11" s="429"/>
      <c r="I11" s="429"/>
      <c r="J11" s="429"/>
      <c r="K11" s="429"/>
      <c r="L11" s="429"/>
      <c r="M11" s="429"/>
      <c r="N11" s="429"/>
      <c r="O11" s="429"/>
      <c r="P11" s="429"/>
      <c r="Q11" s="429"/>
      <c r="R11" s="429"/>
      <c r="S11" s="429"/>
      <c r="T11" s="429"/>
      <c r="U11" s="429"/>
      <c r="V11" s="429"/>
      <c r="W11" s="429"/>
      <c r="X11" s="429"/>
      <c r="Y11" s="429"/>
      <c r="Z11" s="429"/>
      <c r="AA11" s="429"/>
    </row>
    <row r="12" spans="1:27" s="428" customFormat="1" x14ac:dyDescent="0.25">
      <c r="A12" s="429"/>
      <c r="B12" s="429"/>
      <c r="C12" s="429"/>
      <c r="D12" s="429"/>
      <c r="E12" s="429"/>
      <c r="F12" s="631" t="s">
        <v>554</v>
      </c>
      <c r="G12" s="633">
        <f>DATI!E274</f>
        <v>1</v>
      </c>
      <c r="H12" s="429"/>
      <c r="I12" s="429"/>
      <c r="J12" s="429"/>
      <c r="K12" s="429"/>
      <c r="L12" s="429"/>
      <c r="M12" s="429"/>
      <c r="N12" s="429"/>
      <c r="O12" s="429"/>
      <c r="P12" s="429"/>
      <c r="Q12" s="429"/>
      <c r="R12" s="429"/>
      <c r="S12" s="429"/>
      <c r="T12" s="429"/>
      <c r="U12" s="429"/>
      <c r="V12" s="429"/>
      <c r="W12" s="429"/>
      <c r="X12" s="429"/>
      <c r="Y12" s="429"/>
      <c r="Z12" s="429"/>
      <c r="AA12" s="429"/>
    </row>
    <row r="13" spans="1:27" s="428" customFormat="1" x14ac:dyDescent="0.25">
      <c r="A13" s="429"/>
      <c r="B13" s="429"/>
      <c r="C13" s="429"/>
      <c r="D13" s="429"/>
      <c r="E13" s="429"/>
      <c r="F13" s="636"/>
      <c r="G13" s="636"/>
      <c r="H13" s="429"/>
      <c r="I13" s="429"/>
      <c r="J13" s="429"/>
      <c r="K13" s="429"/>
      <c r="L13" s="429"/>
      <c r="M13" s="429"/>
      <c r="N13" s="429"/>
      <c r="O13" s="429"/>
      <c r="P13" s="429"/>
      <c r="Q13" s="429"/>
      <c r="R13" s="429"/>
      <c r="S13" s="429"/>
      <c r="T13" s="429"/>
      <c r="U13" s="429"/>
      <c r="V13" s="429"/>
      <c r="W13" s="429"/>
      <c r="X13" s="429"/>
      <c r="Y13" s="429"/>
      <c r="Z13" s="429"/>
      <c r="AA13" s="429"/>
    </row>
    <row r="14" spans="1:27" s="428" customFormat="1" x14ac:dyDescent="0.25">
      <c r="A14" s="429"/>
      <c r="B14" s="429"/>
      <c r="C14" s="429"/>
      <c r="D14" s="429"/>
      <c r="E14" s="429"/>
      <c r="F14" s="445" t="s">
        <v>464</v>
      </c>
      <c r="G14" s="631" t="s">
        <v>465</v>
      </c>
      <c r="H14" s="429"/>
      <c r="I14" s="429"/>
      <c r="J14" s="429"/>
      <c r="K14" s="429"/>
      <c r="L14" s="429"/>
      <c r="M14" s="429"/>
      <c r="N14" s="429"/>
      <c r="O14" s="429"/>
      <c r="P14" s="429"/>
      <c r="Q14" s="429"/>
      <c r="R14" s="429"/>
      <c r="S14" s="429"/>
      <c r="T14" s="429"/>
      <c r="U14" s="429"/>
      <c r="V14" s="429"/>
      <c r="W14" s="429"/>
      <c r="X14" s="429"/>
      <c r="Y14" s="429"/>
      <c r="Z14" s="429"/>
      <c r="AA14" s="429"/>
    </row>
    <row r="15" spans="1:27" s="428" customFormat="1" x14ac:dyDescent="0.25">
      <c r="A15" s="429"/>
      <c r="B15" s="429"/>
      <c r="C15" s="429"/>
      <c r="D15" s="429"/>
      <c r="E15" s="429"/>
      <c r="F15" s="631" t="s">
        <v>198</v>
      </c>
      <c r="G15" s="633">
        <f>DATI!E277</f>
        <v>1</v>
      </c>
      <c r="H15" s="429"/>
      <c r="I15" s="429"/>
      <c r="J15" s="429"/>
      <c r="K15" s="429"/>
      <c r="L15" s="429"/>
      <c r="M15" s="429"/>
      <c r="N15" s="429"/>
      <c r="O15" s="429"/>
      <c r="P15" s="429"/>
      <c r="Q15" s="429"/>
      <c r="R15" s="429"/>
      <c r="S15" s="429"/>
      <c r="T15" s="429"/>
      <c r="U15" s="429"/>
      <c r="V15" s="429"/>
      <c r="W15" s="429"/>
      <c r="X15" s="429"/>
      <c r="Y15" s="429"/>
      <c r="Z15" s="429"/>
      <c r="AA15" s="429"/>
    </row>
    <row r="16" spans="1:27" s="428" customFormat="1" x14ac:dyDescent="0.25">
      <c r="A16" s="429"/>
      <c r="B16" s="429"/>
      <c r="C16" s="429"/>
      <c r="D16" s="429"/>
      <c r="E16" s="429"/>
      <c r="F16" s="631" t="s">
        <v>199</v>
      </c>
      <c r="G16" s="633">
        <f>DATI!E278</f>
        <v>1</v>
      </c>
      <c r="H16" s="429"/>
      <c r="I16" s="429"/>
      <c r="J16" s="429"/>
      <c r="K16" s="429"/>
      <c r="L16" s="429"/>
      <c r="M16" s="429"/>
      <c r="N16" s="429"/>
      <c r="O16" s="429"/>
      <c r="P16" s="429"/>
      <c r="Q16" s="429"/>
      <c r="R16" s="429"/>
      <c r="S16" s="429"/>
      <c r="T16" s="429"/>
      <c r="U16" s="429"/>
      <c r="V16" s="429"/>
      <c r="W16" s="429"/>
      <c r="X16" s="429"/>
      <c r="Y16" s="429"/>
      <c r="Z16" s="429"/>
      <c r="AA16" s="429"/>
    </row>
    <row r="17" spans="1:27" s="428" customFormat="1" x14ac:dyDescent="0.25">
      <c r="A17" s="429"/>
      <c r="B17" s="429"/>
      <c r="C17" s="429"/>
      <c r="D17" s="429"/>
      <c r="E17" s="429"/>
      <c r="F17" s="631" t="s">
        <v>201</v>
      </c>
      <c r="G17" s="633">
        <f>DATI!E279</f>
        <v>1</v>
      </c>
      <c r="H17" s="429"/>
      <c r="I17" s="429"/>
      <c r="J17" s="429"/>
      <c r="K17" s="429"/>
      <c r="L17" s="429"/>
      <c r="M17" s="429"/>
      <c r="N17" s="429"/>
      <c r="O17" s="429"/>
      <c r="P17" s="429"/>
      <c r="Q17" s="429"/>
      <c r="R17" s="429"/>
      <c r="S17" s="429"/>
      <c r="T17" s="429"/>
      <c r="U17" s="429"/>
      <c r="V17" s="429"/>
      <c r="W17" s="429"/>
      <c r="X17" s="429"/>
      <c r="Y17" s="429"/>
      <c r="Z17" s="429"/>
      <c r="AA17" s="429"/>
    </row>
    <row r="18" spans="1:27" s="428" customFormat="1" x14ac:dyDescent="0.25">
      <c r="A18" s="429"/>
      <c r="B18" s="429"/>
      <c r="C18" s="429"/>
      <c r="D18" s="429"/>
      <c r="E18" s="429"/>
      <c r="F18" s="644" t="s">
        <v>202</v>
      </c>
      <c r="G18" s="633">
        <f>DATI!E280</f>
        <v>1</v>
      </c>
      <c r="H18" s="429"/>
      <c r="I18" s="429"/>
      <c r="J18" s="429"/>
      <c r="K18" s="429"/>
      <c r="L18" s="429"/>
      <c r="M18" s="429"/>
      <c r="N18" s="429"/>
      <c r="O18" s="429"/>
      <c r="P18" s="429"/>
      <c r="Q18" s="429"/>
      <c r="R18" s="429"/>
      <c r="S18" s="429"/>
      <c r="T18" s="429"/>
      <c r="U18" s="429"/>
      <c r="V18" s="429"/>
      <c r="W18" s="429"/>
      <c r="X18" s="429"/>
      <c r="Y18" s="429"/>
      <c r="Z18" s="429"/>
      <c r="AA18" s="429"/>
    </row>
    <row r="19" spans="1:27" s="428" customFormat="1" x14ac:dyDescent="0.25">
      <c r="A19" s="429"/>
      <c r="B19" s="429"/>
      <c r="C19" s="24"/>
      <c r="D19" s="24"/>
      <c r="E19" s="648"/>
      <c r="F19" s="58"/>
      <c r="G19" s="648"/>
      <c r="H19" s="429"/>
      <c r="I19" s="429"/>
      <c r="J19" s="429"/>
      <c r="K19" s="429"/>
      <c r="L19" s="429"/>
      <c r="M19" s="429"/>
      <c r="N19" s="429"/>
      <c r="O19" s="429"/>
      <c r="P19" s="429"/>
      <c r="Q19" s="429"/>
      <c r="R19" s="429"/>
      <c r="S19" s="429"/>
      <c r="T19" s="429"/>
      <c r="U19" s="429"/>
      <c r="V19" s="429"/>
      <c r="W19" s="429"/>
      <c r="X19" s="429"/>
      <c r="Y19" s="429"/>
      <c r="Z19" s="429"/>
      <c r="AA19" s="429"/>
    </row>
    <row r="20" spans="1:27" s="428" customFormat="1" x14ac:dyDescent="0.25">
      <c r="A20" s="429"/>
      <c r="B20" s="24"/>
      <c r="C20" s="24"/>
      <c r="D20" s="648"/>
      <c r="E20" s="637"/>
      <c r="F20" s="429"/>
      <c r="G20" s="429"/>
      <c r="H20" s="640"/>
      <c r="I20" s="640"/>
      <c r="J20" s="429"/>
      <c r="K20" s="429"/>
      <c r="L20" s="429"/>
      <c r="M20" s="429"/>
      <c r="N20" s="429"/>
      <c r="O20" s="429"/>
      <c r="P20" s="429"/>
      <c r="Q20" s="429"/>
      <c r="R20" s="429"/>
      <c r="S20" s="429"/>
      <c r="V20" s="429"/>
      <c r="W20" s="429"/>
      <c r="X20" s="429"/>
      <c r="Y20" s="429"/>
      <c r="Z20" s="429"/>
      <c r="AA20" s="429"/>
    </row>
    <row r="21" spans="1:27" s="428" customFormat="1" ht="18" x14ac:dyDescent="0.25">
      <c r="A21" s="429"/>
      <c r="B21" s="429" t="s">
        <v>358</v>
      </c>
      <c r="C21" s="429"/>
      <c r="D21" s="429"/>
      <c r="E21" s="429"/>
      <c r="F21" s="632" t="s">
        <v>359</v>
      </c>
      <c r="G21" s="654">
        <f>'ANALISI DELLE SPINTE'!D21</f>
        <v>1.6579999999999999</v>
      </c>
      <c r="H21" s="429"/>
      <c r="I21" s="429"/>
      <c r="J21" s="429"/>
      <c r="K21" s="429"/>
      <c r="L21" s="429"/>
      <c r="M21" s="429"/>
      <c r="N21" s="429"/>
      <c r="O21" s="429"/>
      <c r="P21" s="429"/>
      <c r="Q21" s="429"/>
      <c r="R21" s="429"/>
      <c r="S21" s="429"/>
      <c r="V21" s="429"/>
      <c r="W21" s="429"/>
      <c r="X21" s="429"/>
      <c r="Y21" s="429"/>
      <c r="Z21" s="429"/>
      <c r="AA21" s="429"/>
    </row>
    <row r="22" spans="1:27" s="428" customFormat="1" ht="18" x14ac:dyDescent="0.25">
      <c r="A22" s="429"/>
      <c r="B22" s="429" t="s">
        <v>360</v>
      </c>
      <c r="C22" s="429"/>
      <c r="D22" s="429"/>
      <c r="E22" s="429"/>
      <c r="F22" s="632" t="s">
        <v>361</v>
      </c>
      <c r="G22" s="651">
        <f>'ANALISI DELLE SPINTE'!D22</f>
        <v>2.4769999999999999</v>
      </c>
      <c r="H22" s="429"/>
      <c r="I22" s="429"/>
      <c r="J22" s="429"/>
      <c r="K22" s="429"/>
      <c r="L22" s="429"/>
      <c r="M22" s="429"/>
      <c r="N22" s="429"/>
      <c r="O22" s="429"/>
      <c r="P22" s="429"/>
      <c r="Q22" s="429"/>
      <c r="R22" s="429"/>
      <c r="S22" s="429"/>
      <c r="V22" s="429"/>
      <c r="W22" s="429"/>
      <c r="X22" s="429"/>
      <c r="Y22" s="429"/>
      <c r="Z22" s="429"/>
      <c r="AA22" s="429"/>
    </row>
    <row r="23" spans="1:27" s="428" customFormat="1" ht="18" x14ac:dyDescent="0.25">
      <c r="A23" s="429"/>
      <c r="B23" s="429" t="s">
        <v>362</v>
      </c>
      <c r="C23" s="429"/>
      <c r="D23" s="429"/>
      <c r="E23" s="429"/>
      <c r="F23" s="632" t="s">
        <v>363</v>
      </c>
      <c r="G23" s="655">
        <f>'ANALISI DELLE SPINTE'!D23</f>
        <v>0.29599999999999999</v>
      </c>
      <c r="H23" s="429"/>
      <c r="I23" s="429"/>
      <c r="J23" s="429"/>
      <c r="K23" s="429"/>
      <c r="L23" s="429"/>
      <c r="M23" s="429"/>
      <c r="N23" s="429"/>
      <c r="O23" s="429"/>
      <c r="P23" s="429"/>
      <c r="Q23" s="429"/>
      <c r="R23" s="429"/>
      <c r="S23" s="429"/>
      <c r="V23" s="429"/>
      <c r="W23" s="429"/>
      <c r="X23" s="429"/>
      <c r="Y23" s="429"/>
      <c r="Z23" s="429"/>
      <c r="AA23" s="429"/>
    </row>
    <row r="24" spans="1:27" s="428" customFormat="1" x14ac:dyDescent="0.25">
      <c r="A24" s="429"/>
      <c r="B24" s="429" t="s">
        <v>364</v>
      </c>
      <c r="C24" s="429"/>
      <c r="D24" s="429"/>
      <c r="E24" s="429"/>
      <c r="F24" s="429"/>
      <c r="G24" s="651" t="str">
        <f>'ANALISI DELLE SPINTE'!D24</f>
        <v>B</v>
      </c>
      <c r="H24" s="429"/>
      <c r="I24" s="429"/>
      <c r="J24" s="429"/>
      <c r="K24" s="429"/>
      <c r="L24" s="429"/>
      <c r="M24" s="429"/>
      <c r="N24" s="429"/>
      <c r="O24" s="429"/>
      <c r="P24" s="429"/>
      <c r="Q24" s="429"/>
      <c r="R24" s="429"/>
      <c r="S24" s="429"/>
      <c r="W24" s="429"/>
      <c r="X24" s="429"/>
      <c r="Y24" s="429"/>
      <c r="Z24" s="429"/>
      <c r="AA24" s="429"/>
    </row>
    <row r="25" spans="1:27" s="428" customFormat="1" x14ac:dyDescent="0.25">
      <c r="A25" s="429"/>
      <c r="B25" s="429" t="s">
        <v>365</v>
      </c>
      <c r="C25" s="429"/>
      <c r="D25" s="429"/>
      <c r="E25" s="429"/>
      <c r="F25" s="429"/>
      <c r="G25" s="651" t="str">
        <f>'ANALISI DELLE SPINTE'!D25</f>
        <v>T1</v>
      </c>
      <c r="H25" s="429"/>
      <c r="I25" s="429"/>
      <c r="J25" s="429"/>
      <c r="K25" s="429"/>
      <c r="L25" s="429"/>
      <c r="M25" s="429"/>
      <c r="N25" s="429"/>
      <c r="O25" s="429"/>
      <c r="P25" s="429"/>
      <c r="Q25" s="429"/>
      <c r="R25" s="429"/>
      <c r="S25" s="429"/>
      <c r="W25" s="429"/>
      <c r="X25" s="429"/>
      <c r="Y25" s="429"/>
      <c r="Z25" s="429"/>
      <c r="AA25" s="429"/>
    </row>
    <row r="26" spans="1:27" s="428" customFormat="1" x14ac:dyDescent="0.25">
      <c r="A26" s="429"/>
      <c r="B26" s="429" t="s">
        <v>782</v>
      </c>
      <c r="C26" s="429"/>
      <c r="D26" s="429"/>
      <c r="E26" s="429"/>
      <c r="F26" s="383" t="s">
        <v>390</v>
      </c>
      <c r="G26" s="646">
        <f>'ANALISI DELLE SPINTE'!D26</f>
        <v>0.38</v>
      </c>
      <c r="H26" s="429"/>
      <c r="I26" s="429"/>
      <c r="J26" s="429"/>
      <c r="K26" s="429"/>
      <c r="L26" s="429"/>
      <c r="M26" s="429"/>
      <c r="N26" s="429"/>
      <c r="O26" s="429"/>
      <c r="P26" s="429"/>
      <c r="Q26" s="429"/>
      <c r="R26" s="429"/>
      <c r="S26" s="429"/>
      <c r="W26" s="429"/>
      <c r="X26" s="429"/>
      <c r="Y26" s="429"/>
      <c r="Z26" s="429"/>
      <c r="AA26" s="429"/>
    </row>
    <row r="27" spans="1:27" s="428" customFormat="1" x14ac:dyDescent="0.25">
      <c r="A27" s="429"/>
      <c r="B27" s="429" t="s">
        <v>391</v>
      </c>
      <c r="C27" s="429"/>
      <c r="D27" s="429"/>
      <c r="E27" s="429"/>
      <c r="F27" s="629" t="s">
        <v>278</v>
      </c>
      <c r="G27" s="646">
        <f>'ANALISI DELLE SPINTE'!D27</f>
        <v>7.7100550683255151E-2</v>
      </c>
      <c r="H27" s="429"/>
      <c r="I27" s="429"/>
      <c r="J27" s="429"/>
      <c r="K27" s="429"/>
      <c r="L27" s="429"/>
      <c r="M27" s="429"/>
      <c r="N27" s="429"/>
      <c r="O27" s="429"/>
      <c r="P27" s="429"/>
      <c r="Q27" s="429"/>
      <c r="R27" s="429"/>
      <c r="S27" s="429"/>
      <c r="X27" s="429"/>
      <c r="Y27" s="429"/>
      <c r="Z27" s="429"/>
      <c r="AA27" s="429"/>
    </row>
    <row r="28" spans="1:27" s="428" customFormat="1" x14ac:dyDescent="0.25">
      <c r="A28" s="429"/>
      <c r="B28" s="429" t="s">
        <v>392</v>
      </c>
      <c r="C28" s="429"/>
      <c r="D28" s="429"/>
      <c r="E28" s="429"/>
      <c r="F28" s="629" t="s">
        <v>279</v>
      </c>
      <c r="G28" s="646">
        <f>'ANALISI DELLE SPINTE'!D28</f>
        <v>3.8550275341627575E-2</v>
      </c>
      <c r="H28" s="429"/>
      <c r="I28" s="429"/>
      <c r="J28" s="429"/>
      <c r="K28" s="429"/>
      <c r="L28" s="429"/>
      <c r="M28" s="429"/>
      <c r="N28" s="429"/>
      <c r="O28" s="429"/>
      <c r="P28" s="429"/>
      <c r="Q28" s="429"/>
      <c r="R28" s="429"/>
      <c r="S28" s="429"/>
      <c r="X28" s="429"/>
      <c r="Y28" s="429"/>
      <c r="Z28" s="429"/>
      <c r="AA28" s="429"/>
    </row>
    <row r="29" spans="1:27" s="428" customFormat="1" x14ac:dyDescent="0.25">
      <c r="A29" s="429"/>
      <c r="B29" s="429"/>
      <c r="C29" s="429"/>
      <c r="D29" s="429"/>
      <c r="E29" s="429"/>
      <c r="F29" s="429"/>
      <c r="G29" s="429"/>
      <c r="H29" s="429"/>
      <c r="I29" s="429"/>
      <c r="J29" s="429"/>
      <c r="K29" s="429"/>
      <c r="L29" s="429"/>
      <c r="M29" s="429"/>
      <c r="N29" s="429"/>
      <c r="O29" s="429"/>
      <c r="P29" s="429"/>
      <c r="Q29" s="429"/>
      <c r="R29" s="429"/>
      <c r="S29" s="429"/>
      <c r="X29" s="429"/>
      <c r="Y29" s="429"/>
      <c r="Z29" s="429"/>
      <c r="AA29" s="429"/>
    </row>
    <row r="30" spans="1:27" s="428" customFormat="1" x14ac:dyDescent="0.25">
      <c r="A30" s="429"/>
      <c r="B30" s="429"/>
      <c r="C30" s="429"/>
      <c r="D30" s="429"/>
      <c r="E30" s="429"/>
      <c r="F30" s="429"/>
      <c r="G30" s="429"/>
      <c r="H30" s="429"/>
      <c r="I30" s="429"/>
      <c r="J30" s="429"/>
      <c r="K30" s="429"/>
      <c r="L30" s="429"/>
      <c r="M30" s="429"/>
      <c r="N30" s="429"/>
      <c r="O30" s="429"/>
      <c r="P30" s="429"/>
      <c r="Q30" s="429"/>
      <c r="R30" s="429"/>
      <c r="S30" s="429"/>
      <c r="X30" s="429"/>
      <c r="Y30" s="429"/>
      <c r="Z30" s="429"/>
      <c r="AA30" s="429"/>
    </row>
    <row r="31" spans="1:27" s="428" customFormat="1" ht="15.75" x14ac:dyDescent="0.25">
      <c r="A31" s="429"/>
      <c r="B31" s="15" t="s">
        <v>888</v>
      </c>
      <c r="C31" s="429"/>
      <c r="D31" s="429"/>
      <c r="E31" s="429"/>
      <c r="F31" s="429"/>
      <c r="G31" s="429"/>
      <c r="H31" s="429"/>
      <c r="I31" s="429"/>
      <c r="J31" s="429"/>
      <c r="K31" s="429"/>
      <c r="L31" s="429"/>
      <c r="M31" s="429"/>
      <c r="N31" s="429"/>
      <c r="O31" s="429"/>
      <c r="P31" s="429"/>
      <c r="Q31" s="429"/>
      <c r="R31" s="429"/>
      <c r="S31" s="429"/>
      <c r="X31" s="429"/>
      <c r="Y31" s="429"/>
      <c r="Z31" s="429"/>
      <c r="AA31" s="429"/>
    </row>
    <row r="32" spans="1:27" s="428" customFormat="1" x14ac:dyDescent="0.25">
      <c r="A32" s="429"/>
      <c r="B32" s="1" t="s">
        <v>330</v>
      </c>
      <c r="C32" s="429"/>
      <c r="D32" s="429"/>
      <c r="E32" s="429"/>
      <c r="F32" s="429"/>
      <c r="G32" s="429"/>
      <c r="H32" s="429"/>
      <c r="I32" s="429"/>
      <c r="J32" s="429"/>
      <c r="K32" s="429"/>
      <c r="L32" s="429"/>
      <c r="M32" s="429"/>
      <c r="N32" s="429"/>
      <c r="O32" s="429"/>
      <c r="P32" s="429"/>
      <c r="Q32" s="429"/>
      <c r="R32" s="429"/>
      <c r="S32" s="429"/>
      <c r="X32" s="429"/>
      <c r="Y32" s="429"/>
      <c r="Z32" s="429"/>
      <c r="AA32" s="429"/>
    </row>
    <row r="33" spans="1:27" s="428" customFormat="1" x14ac:dyDescent="0.25">
      <c r="A33" s="429"/>
      <c r="B33" s="1"/>
      <c r="C33" s="429"/>
      <c r="D33" s="429"/>
      <c r="E33" s="429"/>
      <c r="F33" s="429"/>
      <c r="G33" s="429"/>
      <c r="H33" s="429"/>
      <c r="I33" s="429"/>
      <c r="J33" s="429"/>
      <c r="K33" s="429"/>
      <c r="L33" s="429"/>
      <c r="M33" s="429"/>
      <c r="N33" s="429"/>
      <c r="O33" s="429"/>
      <c r="P33" s="429"/>
      <c r="Q33" s="429"/>
      <c r="R33" s="429"/>
      <c r="S33" s="429"/>
      <c r="X33" s="429"/>
      <c r="Y33" s="429"/>
      <c r="Z33" s="429"/>
      <c r="AA33" s="429"/>
    </row>
    <row r="34" spans="1:27" s="428" customFormat="1" x14ac:dyDescent="0.25">
      <c r="A34" s="429"/>
      <c r="B34" s="429" t="s">
        <v>331</v>
      </c>
      <c r="C34" s="429"/>
      <c r="D34" s="429"/>
      <c r="E34" s="429"/>
      <c r="F34" s="429"/>
      <c r="G34" s="651" t="str">
        <f>DATI!E7</f>
        <v>C30/37</v>
      </c>
      <c r="H34" s="429"/>
      <c r="I34" s="429"/>
      <c r="J34" s="429"/>
      <c r="K34" s="429"/>
      <c r="L34" s="429"/>
      <c r="M34" s="429"/>
      <c r="N34" s="429"/>
      <c r="O34" s="429"/>
      <c r="P34" s="429"/>
      <c r="Q34" s="429"/>
      <c r="R34" s="429"/>
      <c r="S34" s="429"/>
      <c r="X34" s="429"/>
      <c r="Y34" s="429"/>
      <c r="Z34" s="429"/>
      <c r="AA34" s="429"/>
    </row>
    <row r="35" spans="1:27" s="428" customFormat="1" ht="18" x14ac:dyDescent="0.25">
      <c r="A35" s="429"/>
      <c r="B35" s="429" t="s">
        <v>332</v>
      </c>
      <c r="C35" s="429"/>
      <c r="D35" s="429"/>
      <c r="E35" s="429"/>
      <c r="F35" s="68" t="s">
        <v>333</v>
      </c>
      <c r="G35" s="656">
        <f>DATI!E8</f>
        <v>25</v>
      </c>
      <c r="H35" s="429"/>
      <c r="I35" s="429"/>
      <c r="J35" s="429"/>
      <c r="K35" s="429"/>
      <c r="L35" s="429"/>
      <c r="M35" s="429"/>
      <c r="N35" s="429"/>
      <c r="O35" s="429"/>
      <c r="P35" s="429"/>
      <c r="Q35" s="429"/>
      <c r="R35" s="429"/>
      <c r="S35" s="429"/>
      <c r="X35" s="429"/>
      <c r="Y35" s="429"/>
      <c r="Z35" s="429"/>
      <c r="AA35" s="429"/>
    </row>
    <row r="36" spans="1:27" s="428" customFormat="1" x14ac:dyDescent="0.25">
      <c r="A36" s="429"/>
      <c r="B36" s="429" t="s">
        <v>334</v>
      </c>
      <c r="C36" s="429"/>
      <c r="D36" s="429"/>
      <c r="E36" s="429"/>
      <c r="F36" s="632" t="s">
        <v>335</v>
      </c>
      <c r="G36" s="543">
        <f>DATI!E9</f>
        <v>0.1</v>
      </c>
      <c r="H36" s="429"/>
      <c r="I36" s="429"/>
      <c r="J36" s="429"/>
      <c r="K36" s="429"/>
      <c r="L36" s="429"/>
      <c r="M36" s="429"/>
      <c r="N36" s="429"/>
      <c r="O36" s="429"/>
      <c r="P36" s="429"/>
      <c r="Q36" s="429"/>
      <c r="R36" s="429"/>
      <c r="S36" s="429"/>
      <c r="X36" s="429"/>
      <c r="Y36" s="429"/>
      <c r="Z36" s="429"/>
      <c r="AA36" s="429"/>
    </row>
    <row r="37" spans="1:27" s="428" customFormat="1" x14ac:dyDescent="0.25">
      <c r="A37" s="429"/>
      <c r="B37" s="429"/>
      <c r="C37" s="429"/>
      <c r="D37" s="429"/>
      <c r="E37" s="429"/>
      <c r="F37" s="632"/>
      <c r="G37" s="657"/>
      <c r="H37" s="429"/>
      <c r="I37" s="429"/>
      <c r="J37" s="429"/>
      <c r="K37" s="429"/>
      <c r="L37" s="429"/>
      <c r="M37" s="429"/>
      <c r="N37" s="429"/>
      <c r="O37" s="429"/>
      <c r="P37" s="429"/>
      <c r="Q37" s="429"/>
      <c r="R37" s="429"/>
      <c r="S37" s="429"/>
      <c r="X37" s="429"/>
      <c r="Y37" s="429"/>
      <c r="Z37" s="429"/>
      <c r="AA37" s="429"/>
    </row>
    <row r="38" spans="1:27" s="428" customFormat="1" x14ac:dyDescent="0.25">
      <c r="A38" s="429"/>
      <c r="B38" s="429" t="s">
        <v>336</v>
      </c>
      <c r="C38" s="429"/>
      <c r="D38" s="429"/>
      <c r="E38" s="429"/>
      <c r="F38" s="629" t="s">
        <v>337</v>
      </c>
      <c r="G38" s="379">
        <f>DATI!E11</f>
        <v>37</v>
      </c>
      <c r="H38" s="429"/>
      <c r="I38" s="429"/>
      <c r="J38" s="429"/>
      <c r="K38" s="429"/>
      <c r="L38" s="429"/>
      <c r="M38" s="429"/>
      <c r="N38" s="429"/>
      <c r="O38" s="429"/>
      <c r="P38" s="429"/>
      <c r="Q38" s="429"/>
      <c r="R38" s="429"/>
      <c r="S38" s="429"/>
      <c r="X38" s="429"/>
      <c r="Y38" s="429"/>
      <c r="Z38" s="429"/>
      <c r="AA38" s="429"/>
    </row>
    <row r="39" spans="1:27" s="428" customFormat="1" x14ac:dyDescent="0.25">
      <c r="A39" s="429"/>
      <c r="B39" s="429" t="s">
        <v>338</v>
      </c>
      <c r="C39" s="429"/>
      <c r="D39" s="429"/>
      <c r="E39" s="429"/>
      <c r="F39" s="629" t="s">
        <v>339</v>
      </c>
      <c r="G39" s="379">
        <f>DATI!E12</f>
        <v>38.709999999999994</v>
      </c>
      <c r="H39" s="429"/>
      <c r="I39" s="429"/>
      <c r="J39" s="429"/>
      <c r="K39" s="429"/>
      <c r="L39" s="429"/>
      <c r="M39" s="429"/>
      <c r="N39" s="429"/>
      <c r="O39" s="429"/>
      <c r="P39" s="429"/>
      <c r="Q39" s="429"/>
      <c r="R39" s="429"/>
      <c r="S39" s="429"/>
      <c r="X39" s="429"/>
      <c r="Y39" s="429"/>
      <c r="Z39" s="429"/>
      <c r="AA39" s="429"/>
    </row>
    <row r="40" spans="1:27" s="428" customFormat="1" x14ac:dyDescent="0.25">
      <c r="A40" s="429"/>
      <c r="B40" s="429" t="s">
        <v>340</v>
      </c>
      <c r="C40" s="429"/>
      <c r="D40" s="429"/>
      <c r="E40" s="429"/>
      <c r="F40" s="629" t="s">
        <v>341</v>
      </c>
      <c r="G40" s="379">
        <f>DATI!E13</f>
        <v>30.709999999999997</v>
      </c>
      <c r="H40" s="429"/>
      <c r="I40" s="429"/>
      <c r="J40" s="429"/>
      <c r="K40" s="429"/>
      <c r="L40" s="429"/>
      <c r="M40" s="429"/>
      <c r="N40" s="429"/>
      <c r="O40" s="429"/>
      <c r="P40" s="429"/>
      <c r="Q40" s="429"/>
      <c r="R40" s="429"/>
      <c r="S40" s="429"/>
      <c r="X40" s="429"/>
      <c r="Y40" s="429"/>
      <c r="Z40" s="429"/>
      <c r="AA40" s="429"/>
    </row>
    <row r="41" spans="1:27" s="428" customFormat="1" x14ac:dyDescent="0.25">
      <c r="A41" s="429"/>
      <c r="B41" s="429" t="s">
        <v>342</v>
      </c>
      <c r="C41" s="429"/>
      <c r="D41" s="429"/>
      <c r="E41" s="429"/>
      <c r="F41" s="629" t="s">
        <v>343</v>
      </c>
      <c r="G41" s="379">
        <f>DATI!E14</f>
        <v>20.473333333333333</v>
      </c>
      <c r="H41" s="429"/>
      <c r="I41" s="429"/>
      <c r="J41" s="429"/>
      <c r="K41" s="429"/>
      <c r="L41" s="429"/>
      <c r="M41" s="429"/>
      <c r="N41" s="429"/>
      <c r="O41" s="429"/>
      <c r="P41" s="429"/>
      <c r="Q41" s="429"/>
      <c r="R41" s="429"/>
      <c r="S41" s="429"/>
      <c r="X41" s="429"/>
      <c r="Y41" s="429"/>
      <c r="Z41" s="429"/>
      <c r="AA41" s="429"/>
    </row>
    <row r="42" spans="1:27" s="428" customFormat="1" x14ac:dyDescent="0.25">
      <c r="A42" s="429"/>
      <c r="B42" s="429" t="s">
        <v>344</v>
      </c>
      <c r="C42" s="429"/>
      <c r="D42" s="429"/>
      <c r="E42" s="429"/>
      <c r="F42" s="81" t="s">
        <v>345</v>
      </c>
      <c r="G42" s="379">
        <f>DATI!E15</f>
        <v>2.941989594546778</v>
      </c>
      <c r="H42" s="429"/>
      <c r="I42" s="429"/>
      <c r="J42" s="429"/>
      <c r="K42" s="429"/>
      <c r="L42" s="429"/>
      <c r="M42" s="429"/>
      <c r="N42" s="429"/>
      <c r="O42" s="429"/>
      <c r="P42" s="429"/>
      <c r="Q42" s="429"/>
      <c r="R42" s="429"/>
      <c r="S42" s="429"/>
      <c r="X42" s="429"/>
      <c r="Y42" s="429"/>
      <c r="Z42" s="429"/>
      <c r="AA42" s="429"/>
    </row>
    <row r="43" spans="1:27" s="428" customFormat="1" x14ac:dyDescent="0.25">
      <c r="A43" s="429"/>
      <c r="B43" s="429" t="s">
        <v>346</v>
      </c>
      <c r="C43" s="429"/>
      <c r="D43" s="429"/>
      <c r="E43" s="429"/>
      <c r="F43" s="629" t="s">
        <v>347</v>
      </c>
      <c r="G43" s="379">
        <f>DATI!E16</f>
        <v>2.0593927161827446</v>
      </c>
      <c r="H43" s="429"/>
      <c r="I43" s="429"/>
      <c r="J43" s="429"/>
      <c r="K43" s="429"/>
      <c r="L43" s="429"/>
      <c r="M43" s="429"/>
      <c r="N43" s="429"/>
      <c r="O43" s="429"/>
      <c r="P43" s="429"/>
      <c r="Q43" s="429"/>
      <c r="R43" s="429"/>
      <c r="S43" s="429"/>
      <c r="X43" s="429"/>
      <c r="Y43" s="429"/>
      <c r="Z43" s="429"/>
      <c r="AA43" s="429"/>
    </row>
    <row r="44" spans="1:27" s="428" customFormat="1" x14ac:dyDescent="0.25">
      <c r="A44" s="429"/>
      <c r="B44" s="429" t="s">
        <v>348</v>
      </c>
      <c r="C44" s="429"/>
      <c r="D44" s="429"/>
      <c r="E44" s="429"/>
      <c r="F44" s="629" t="s">
        <v>349</v>
      </c>
      <c r="G44" s="379">
        <f>DATI!E17</f>
        <v>1.3729284774551631</v>
      </c>
      <c r="H44" s="429"/>
      <c r="I44" s="429"/>
      <c r="J44" s="429"/>
      <c r="K44" s="429"/>
      <c r="L44" s="429"/>
      <c r="M44" s="429"/>
      <c r="N44" s="429"/>
      <c r="O44" s="429"/>
      <c r="P44" s="429"/>
      <c r="Q44" s="429"/>
      <c r="R44" s="429"/>
      <c r="S44" s="429"/>
      <c r="T44" s="429"/>
      <c r="X44" s="429"/>
      <c r="Y44" s="429"/>
      <c r="Z44" s="429"/>
      <c r="AA44" s="429"/>
    </row>
    <row r="45" spans="1:27" s="428" customFormat="1" x14ac:dyDescent="0.25">
      <c r="A45" s="429"/>
      <c r="B45" s="429" t="s">
        <v>350</v>
      </c>
      <c r="C45" s="429"/>
      <c r="D45" s="429"/>
      <c r="E45" s="429"/>
      <c r="F45" s="629" t="s">
        <v>351</v>
      </c>
      <c r="G45" s="379">
        <f>DATI!E18</f>
        <v>3.0890890742741171</v>
      </c>
      <c r="H45" s="429"/>
      <c r="I45" s="429"/>
      <c r="J45" s="429"/>
      <c r="K45" s="429"/>
      <c r="L45" s="429"/>
      <c r="M45" s="429"/>
      <c r="N45" s="429"/>
      <c r="O45" s="429"/>
      <c r="P45" s="429"/>
      <c r="Q45" s="429"/>
      <c r="R45" s="429"/>
      <c r="S45" s="429"/>
      <c r="T45" s="429"/>
      <c r="X45" s="429"/>
      <c r="Y45" s="429"/>
      <c r="Z45" s="429"/>
      <c r="AA45" s="429"/>
    </row>
    <row r="46" spans="1:27" s="428" customFormat="1" x14ac:dyDescent="0.25">
      <c r="A46" s="429"/>
      <c r="B46" s="429" t="s">
        <v>352</v>
      </c>
      <c r="C46" s="429"/>
      <c r="D46" s="429"/>
      <c r="E46" s="429"/>
      <c r="F46" s="629" t="s">
        <v>353</v>
      </c>
      <c r="G46" s="380">
        <f>DATI!E19</f>
        <v>33019.434581752503</v>
      </c>
      <c r="H46" s="429"/>
      <c r="I46" s="429"/>
      <c r="J46" s="429"/>
      <c r="K46" s="429"/>
      <c r="L46" s="429"/>
      <c r="M46" s="429"/>
      <c r="N46" s="429"/>
      <c r="O46" s="429"/>
      <c r="P46" s="429"/>
      <c r="Q46" s="429"/>
      <c r="R46" s="429"/>
      <c r="S46" s="429"/>
      <c r="T46" s="429"/>
      <c r="X46" s="429"/>
      <c r="Y46" s="429"/>
      <c r="Z46" s="429"/>
      <c r="AA46" s="429"/>
    </row>
    <row r="47" spans="1:27" s="428" customFormat="1" x14ac:dyDescent="0.25">
      <c r="A47" s="429"/>
      <c r="B47" s="429" t="s">
        <v>966</v>
      </c>
      <c r="C47" s="429"/>
      <c r="D47" s="429"/>
      <c r="E47" s="429"/>
      <c r="F47" s="430" t="s">
        <v>921</v>
      </c>
      <c r="G47" s="633">
        <v>0.85</v>
      </c>
      <c r="H47" s="429"/>
      <c r="I47" s="429"/>
      <c r="J47" s="429"/>
      <c r="K47" s="429"/>
      <c r="L47" s="429"/>
      <c r="M47" s="429"/>
      <c r="N47" s="429"/>
      <c r="O47" s="429"/>
      <c r="P47" s="429"/>
      <c r="Q47" s="429"/>
      <c r="R47" s="429"/>
      <c r="S47" s="429"/>
      <c r="T47" s="429"/>
      <c r="X47" s="429"/>
      <c r="Y47" s="429"/>
      <c r="Z47" s="429"/>
      <c r="AA47" s="429"/>
    </row>
    <row r="48" spans="1:27" s="428" customFormat="1" x14ac:dyDescent="0.25">
      <c r="A48" s="429"/>
      <c r="B48" s="429"/>
      <c r="C48" s="429"/>
      <c r="D48" s="429"/>
      <c r="E48" s="429"/>
      <c r="F48" s="429"/>
      <c r="G48" s="429"/>
      <c r="H48" s="429"/>
      <c r="I48" s="429"/>
      <c r="J48" s="429"/>
      <c r="K48" s="429"/>
      <c r="L48" s="429"/>
      <c r="M48" s="429"/>
      <c r="N48" s="429"/>
      <c r="O48" s="429"/>
      <c r="P48" s="429"/>
      <c r="Q48" s="429"/>
      <c r="R48" s="429"/>
      <c r="S48" s="429"/>
      <c r="T48" s="429"/>
      <c r="X48" s="429"/>
      <c r="Y48" s="429"/>
      <c r="Z48" s="429"/>
      <c r="AA48" s="429"/>
    </row>
    <row r="49" spans="1:27" s="428" customFormat="1" x14ac:dyDescent="0.25">
      <c r="A49" s="429"/>
      <c r="B49" s="1" t="s">
        <v>354</v>
      </c>
      <c r="C49" s="429"/>
      <c r="D49" s="429"/>
      <c r="E49" s="429"/>
      <c r="F49" s="632"/>
      <c r="G49" s="657"/>
      <c r="H49" s="429"/>
      <c r="I49" s="429"/>
      <c r="J49" s="429"/>
      <c r="K49" s="429"/>
      <c r="L49" s="429"/>
      <c r="M49" s="429"/>
      <c r="N49" s="429"/>
      <c r="O49" s="429"/>
      <c r="P49" s="429"/>
      <c r="Q49" s="429"/>
      <c r="R49" s="429"/>
      <c r="S49" s="429"/>
      <c r="T49" s="429"/>
      <c r="X49" s="429"/>
      <c r="Y49" s="429"/>
      <c r="Z49" s="429"/>
      <c r="AA49" s="429"/>
    </row>
    <row r="50" spans="1:27" s="428" customFormat="1" x14ac:dyDescent="0.25">
      <c r="A50" s="429"/>
      <c r="B50" s="429"/>
      <c r="C50" s="429"/>
      <c r="D50" s="429"/>
      <c r="E50" s="429"/>
      <c r="F50" s="632"/>
      <c r="G50" s="657"/>
      <c r="H50" s="429"/>
      <c r="I50" s="429"/>
      <c r="J50" s="429"/>
      <c r="K50" s="429"/>
      <c r="L50" s="429"/>
      <c r="M50" s="429"/>
      <c r="N50" s="429"/>
      <c r="O50" s="429"/>
      <c r="P50" s="429"/>
      <c r="Q50" s="429"/>
      <c r="R50" s="429"/>
      <c r="S50" s="429"/>
      <c r="T50" s="429"/>
      <c r="X50" s="429"/>
      <c r="Y50" s="429"/>
      <c r="Z50" s="429"/>
      <c r="AA50" s="429"/>
    </row>
    <row r="51" spans="1:27" s="428" customFormat="1" x14ac:dyDescent="0.25">
      <c r="A51" s="429"/>
      <c r="B51" s="429" t="s">
        <v>355</v>
      </c>
      <c r="C51" s="429"/>
      <c r="D51" s="429"/>
      <c r="E51" s="429"/>
      <c r="F51" s="429"/>
      <c r="G51" s="651" t="str">
        <f>DATI!E23</f>
        <v>Fe B450C</v>
      </c>
      <c r="H51" s="429"/>
      <c r="I51" s="429"/>
      <c r="J51" s="429"/>
      <c r="K51" s="429"/>
      <c r="L51" s="429"/>
      <c r="M51" s="429"/>
      <c r="N51" s="429"/>
      <c r="O51" s="429"/>
      <c r="P51" s="429"/>
      <c r="Q51" s="429"/>
      <c r="R51" s="429"/>
      <c r="S51" s="429"/>
      <c r="T51" s="429"/>
      <c r="X51" s="429"/>
      <c r="Y51" s="429"/>
      <c r="Z51" s="429"/>
      <c r="AA51" s="429"/>
    </row>
    <row r="52" spans="1:27" s="428" customFormat="1" x14ac:dyDescent="0.25">
      <c r="A52" s="429"/>
      <c r="B52" s="429"/>
      <c r="C52" s="429"/>
      <c r="D52" s="429"/>
      <c r="E52" s="429"/>
      <c r="F52" s="632"/>
      <c r="G52" s="657"/>
      <c r="H52" s="429"/>
      <c r="I52" s="429"/>
      <c r="J52" s="429"/>
      <c r="K52" s="429"/>
      <c r="L52" s="429"/>
      <c r="M52" s="429"/>
      <c r="N52" s="429"/>
      <c r="O52" s="429"/>
      <c r="P52" s="429"/>
      <c r="Q52" s="429"/>
      <c r="R52" s="429"/>
      <c r="S52" s="429"/>
      <c r="T52" s="429"/>
      <c r="X52" s="429"/>
      <c r="Y52" s="429"/>
      <c r="Z52" s="429"/>
      <c r="AA52" s="429"/>
    </row>
    <row r="53" spans="1:27" s="428" customFormat="1" x14ac:dyDescent="0.25">
      <c r="A53" s="429"/>
      <c r="B53" s="429" t="s">
        <v>348</v>
      </c>
      <c r="C53" s="429"/>
      <c r="D53" s="429"/>
      <c r="E53" s="429"/>
      <c r="F53" s="629" t="s">
        <v>356</v>
      </c>
      <c r="G53" s="378">
        <f>DATI!E25</f>
        <v>391.304347826087</v>
      </c>
      <c r="H53" s="429"/>
      <c r="I53" s="429"/>
      <c r="J53" s="429"/>
      <c r="K53" s="429"/>
      <c r="L53" s="429"/>
      <c r="M53" s="429"/>
      <c r="N53" s="429"/>
      <c r="O53" s="429"/>
      <c r="P53" s="429"/>
      <c r="Q53" s="429"/>
      <c r="R53" s="429"/>
      <c r="S53" s="429"/>
      <c r="T53" s="429"/>
      <c r="X53" s="429"/>
      <c r="Y53" s="429"/>
      <c r="Z53" s="429"/>
      <c r="AA53" s="429"/>
    </row>
    <row r="54" spans="1:27" s="428" customFormat="1" x14ac:dyDescent="0.25">
      <c r="A54" s="429"/>
      <c r="B54" s="429" t="s">
        <v>352</v>
      </c>
      <c r="C54" s="429"/>
      <c r="D54" s="429"/>
      <c r="E54" s="429"/>
      <c r="F54" s="629" t="s">
        <v>353</v>
      </c>
      <c r="G54" s="380">
        <f>DATI!E26</f>
        <v>206000</v>
      </c>
      <c r="H54" s="429"/>
      <c r="I54" s="429"/>
      <c r="J54" s="429"/>
      <c r="K54" s="429"/>
      <c r="L54" s="429"/>
      <c r="M54" s="429"/>
      <c r="N54" s="429"/>
      <c r="O54" s="429"/>
      <c r="P54" s="429"/>
      <c r="Q54" s="429"/>
      <c r="R54" s="429"/>
      <c r="S54" s="429"/>
      <c r="T54" s="429"/>
      <c r="X54" s="429"/>
      <c r="Y54" s="429"/>
      <c r="Z54" s="429"/>
      <c r="AA54" s="429"/>
    </row>
    <row r="55" spans="1:27" s="428" customFormat="1" x14ac:dyDescent="0.25">
      <c r="A55" s="429"/>
      <c r="B55" s="1"/>
      <c r="C55" s="429"/>
      <c r="D55" s="429"/>
      <c r="E55" s="429"/>
      <c r="F55" s="429"/>
      <c r="G55" s="429"/>
      <c r="H55" s="429"/>
      <c r="I55" s="429"/>
      <c r="J55" s="429"/>
      <c r="K55" s="429"/>
      <c r="L55" s="429"/>
      <c r="M55" s="429"/>
      <c r="N55" s="429"/>
      <c r="O55" s="429"/>
      <c r="P55" s="429"/>
      <c r="Q55" s="429"/>
      <c r="R55" s="429"/>
      <c r="S55" s="429"/>
      <c r="T55" s="429"/>
      <c r="X55" s="429"/>
      <c r="Y55" s="429"/>
      <c r="Z55" s="429"/>
      <c r="AA55" s="429"/>
    </row>
    <row r="56" spans="1:27" s="428" customFormat="1" x14ac:dyDescent="0.25">
      <c r="A56" s="429"/>
      <c r="B56" s="1" t="s">
        <v>963</v>
      </c>
      <c r="C56" s="429"/>
      <c r="D56" s="429"/>
      <c r="E56" s="429"/>
      <c r="F56" s="429"/>
      <c r="G56" s="429"/>
      <c r="H56" s="429"/>
      <c r="I56" s="429"/>
      <c r="J56" s="429"/>
      <c r="K56" s="429"/>
      <c r="L56" s="429"/>
      <c r="M56" s="429"/>
      <c r="N56" s="429"/>
      <c r="O56" s="429"/>
      <c r="P56" s="429"/>
      <c r="Q56" s="429"/>
      <c r="R56" s="429"/>
      <c r="S56" s="429"/>
      <c r="T56" s="429"/>
      <c r="X56" s="429"/>
      <c r="Y56" s="429"/>
      <c r="Z56" s="429"/>
      <c r="AA56" s="429"/>
    </row>
    <row r="57" spans="1:27" s="428" customFormat="1" x14ac:dyDescent="0.25">
      <c r="A57" s="429"/>
      <c r="B57" s="1"/>
      <c r="C57" s="429"/>
      <c r="D57" s="429"/>
      <c r="E57" s="429"/>
      <c r="F57" s="429"/>
      <c r="G57" s="429"/>
      <c r="H57" s="429"/>
      <c r="I57" s="429"/>
      <c r="J57" s="429"/>
      <c r="K57" s="429"/>
      <c r="L57" s="429"/>
      <c r="M57" s="429"/>
      <c r="N57" s="429"/>
      <c r="O57" s="429"/>
      <c r="P57" s="429"/>
      <c r="Q57" s="429"/>
      <c r="R57" s="429"/>
      <c r="S57" s="429"/>
      <c r="T57" s="429"/>
      <c r="X57" s="429"/>
      <c r="Y57" s="429"/>
      <c r="Z57" s="429"/>
      <c r="AA57" s="429"/>
    </row>
    <row r="58" spans="1:27" s="428" customFormat="1" x14ac:dyDescent="0.25">
      <c r="A58" s="429"/>
      <c r="B58" s="429" t="s">
        <v>964</v>
      </c>
      <c r="C58" s="429"/>
      <c r="D58" s="429"/>
      <c r="E58" s="429"/>
      <c r="F58" s="430" t="s">
        <v>1007</v>
      </c>
      <c r="G58" s="580">
        <v>1.8699999999999999E-3</v>
      </c>
      <c r="H58" s="429"/>
      <c r="I58" s="429"/>
      <c r="J58" s="429"/>
      <c r="K58" s="429"/>
      <c r="L58" s="429"/>
      <c r="M58" s="429"/>
      <c r="N58" s="429"/>
      <c r="O58" s="429"/>
      <c r="P58" s="429"/>
      <c r="Q58" s="429"/>
      <c r="R58" s="429"/>
      <c r="S58" s="429"/>
      <c r="T58" s="429"/>
      <c r="X58" s="429"/>
      <c r="Y58" s="429"/>
      <c r="Z58" s="429"/>
      <c r="AA58" s="429"/>
    </row>
    <row r="59" spans="1:27" s="428" customFormat="1" x14ac:dyDescent="0.25">
      <c r="A59" s="429"/>
      <c r="B59" s="429" t="s">
        <v>964</v>
      </c>
      <c r="C59" s="429"/>
      <c r="D59" s="429"/>
      <c r="E59" s="429"/>
      <c r="F59" s="430" t="s">
        <v>1008</v>
      </c>
      <c r="G59" s="580">
        <v>6.5000000000000002E-2</v>
      </c>
      <c r="H59" s="429"/>
      <c r="I59" s="429"/>
      <c r="J59" s="429"/>
      <c r="K59" s="429"/>
      <c r="L59" s="429"/>
      <c r="M59" s="429"/>
      <c r="N59" s="429"/>
      <c r="O59" s="429"/>
      <c r="P59" s="429"/>
      <c r="Q59" s="429"/>
      <c r="R59" s="429"/>
      <c r="S59" s="429"/>
      <c r="T59" s="429"/>
      <c r="X59" s="429"/>
      <c r="Y59" s="429"/>
      <c r="Z59" s="429"/>
      <c r="AA59" s="429"/>
    </row>
    <row r="60" spans="1:27" s="428" customFormat="1" x14ac:dyDescent="0.25">
      <c r="A60" s="429"/>
      <c r="B60" s="429" t="s">
        <v>965</v>
      </c>
      <c r="C60" s="429"/>
      <c r="D60" s="429"/>
      <c r="E60" s="429"/>
      <c r="F60" s="430" t="s">
        <v>922</v>
      </c>
      <c r="G60" s="580">
        <v>3.5000000000000001E-3</v>
      </c>
      <c r="H60" s="429"/>
      <c r="I60" s="429"/>
      <c r="J60" s="429"/>
      <c r="K60" s="429"/>
      <c r="L60" s="429"/>
      <c r="M60" s="429"/>
      <c r="N60" s="429"/>
      <c r="O60" s="429"/>
      <c r="P60" s="429"/>
      <c r="Q60" s="429"/>
      <c r="R60" s="429"/>
      <c r="S60" s="429"/>
      <c r="T60" s="429"/>
      <c r="X60" s="429"/>
      <c r="Y60" s="429"/>
      <c r="Z60" s="429"/>
      <c r="AA60" s="429"/>
    </row>
    <row r="61" spans="1:27" s="428" customFormat="1" x14ac:dyDescent="0.25">
      <c r="A61" s="429"/>
      <c r="B61" s="429"/>
      <c r="C61" s="429"/>
      <c r="D61" s="429"/>
      <c r="E61" s="429"/>
      <c r="F61" s="429"/>
      <c r="G61" s="429"/>
      <c r="H61" s="429"/>
      <c r="I61" s="429"/>
      <c r="J61" s="429"/>
      <c r="K61" s="429"/>
      <c r="L61" s="429"/>
      <c r="M61" s="429"/>
      <c r="N61" s="429"/>
      <c r="O61" s="429"/>
      <c r="P61" s="429"/>
      <c r="Q61" s="429"/>
      <c r="R61" s="429"/>
      <c r="S61" s="429"/>
      <c r="T61" s="429"/>
      <c r="X61" s="429"/>
      <c r="Y61" s="429"/>
      <c r="Z61" s="429"/>
      <c r="AA61" s="429"/>
    </row>
    <row r="62" spans="1:27" s="428" customFormat="1" ht="15.75" x14ac:dyDescent="0.25">
      <c r="A62" s="429"/>
      <c r="B62" s="15" t="s">
        <v>887</v>
      </c>
      <c r="C62" s="429"/>
      <c r="D62" s="429"/>
      <c r="E62" s="429"/>
      <c r="F62" s="429"/>
      <c r="G62" s="429"/>
      <c r="H62" s="429"/>
      <c r="I62" s="429"/>
      <c r="J62" s="429"/>
      <c r="K62" s="429"/>
      <c r="L62" s="429"/>
      <c r="M62" s="429"/>
      <c r="N62" s="429"/>
      <c r="O62" s="429"/>
      <c r="P62" s="429"/>
      <c r="Q62" s="429"/>
      <c r="R62" s="429"/>
      <c r="S62" s="429"/>
      <c r="T62" s="429"/>
      <c r="X62" s="429"/>
      <c r="Y62" s="429"/>
      <c r="Z62" s="429"/>
      <c r="AA62" s="429"/>
    </row>
    <row r="63" spans="1:27" s="428" customFormat="1" x14ac:dyDescent="0.25">
      <c r="A63" s="429"/>
      <c r="B63" s="1"/>
      <c r="C63" s="429"/>
      <c r="D63" s="429"/>
      <c r="E63" s="429"/>
      <c r="F63" s="429"/>
      <c r="G63" s="429"/>
      <c r="H63" s="429"/>
      <c r="I63" s="429"/>
      <c r="J63" s="429"/>
      <c r="K63" s="429"/>
      <c r="L63" s="429"/>
      <c r="M63" s="429"/>
      <c r="N63" s="429"/>
      <c r="O63" s="429"/>
      <c r="P63" s="429"/>
      <c r="Q63" s="429"/>
      <c r="R63" s="429"/>
      <c r="S63" s="429"/>
      <c r="T63" s="429"/>
      <c r="X63" s="429"/>
      <c r="Y63" s="429"/>
      <c r="Z63" s="429"/>
      <c r="AA63" s="429"/>
    </row>
    <row r="64" spans="1:27" s="428" customFormat="1" x14ac:dyDescent="0.25">
      <c r="A64" s="429"/>
      <c r="B64" s="429" t="s">
        <v>746</v>
      </c>
      <c r="C64" s="429"/>
      <c r="D64" s="429"/>
      <c r="E64" s="429"/>
      <c r="F64" s="809" t="str">
        <f>IF('ANALISI DELLE SPINTE'!AB99&lt;='ANALISI DELLE SPINTE'!AB116,"CONDIZIONI DRENATE","CONDIZIONI NON DRENATE")</f>
        <v>CONDIZIONI DRENATE</v>
      </c>
      <c r="G64" s="809"/>
      <c r="H64" s="429"/>
      <c r="I64" s="429"/>
      <c r="J64" s="429"/>
      <c r="K64" s="429"/>
      <c r="L64" s="429"/>
      <c r="M64" s="429"/>
      <c r="N64" s="429"/>
      <c r="O64" s="429"/>
      <c r="P64" s="429"/>
      <c r="Q64" s="429"/>
      <c r="R64" s="429"/>
      <c r="S64" s="429"/>
      <c r="T64" s="429"/>
      <c r="X64" s="429"/>
      <c r="Y64" s="429"/>
      <c r="Z64" s="429"/>
      <c r="AA64" s="429"/>
    </row>
    <row r="65" spans="1:33" s="428" customFormat="1" x14ac:dyDescent="0.25">
      <c r="A65" s="429"/>
      <c r="B65" s="429"/>
      <c r="C65" s="429"/>
      <c r="D65" s="429"/>
      <c r="E65" s="429"/>
      <c r="F65" s="429"/>
      <c r="G65" s="429"/>
      <c r="H65" s="429"/>
      <c r="I65" s="429"/>
      <c r="J65" s="429"/>
      <c r="K65" s="429"/>
      <c r="L65" s="429"/>
      <c r="M65" s="429"/>
      <c r="N65" s="429"/>
      <c r="O65" s="429"/>
      <c r="P65" s="429"/>
      <c r="Q65" s="429"/>
      <c r="R65" s="429"/>
      <c r="S65" s="429"/>
      <c r="T65" s="429"/>
      <c r="X65" s="429"/>
      <c r="Y65" s="429"/>
      <c r="Z65" s="429"/>
      <c r="AA65" s="429"/>
    </row>
    <row r="66" spans="1:33" s="428" customFormat="1" x14ac:dyDescent="0.25">
      <c r="A66" s="429"/>
      <c r="B66" s="429" t="s">
        <v>747</v>
      </c>
      <c r="C66" s="448"/>
      <c r="D66" s="429"/>
      <c r="E66" s="429"/>
      <c r="F66" s="439" t="s">
        <v>903</v>
      </c>
      <c r="G66" s="662">
        <f>MAXA('ANALISI DELLE SPINTE'!AB99,'ANALISI DELLE SPINTE'!AB116)</f>
        <v>54.684656336963357</v>
      </c>
      <c r="H66" s="429"/>
      <c r="I66" s="429"/>
      <c r="J66" s="429"/>
      <c r="K66" s="429"/>
      <c r="L66" s="429"/>
      <c r="M66" s="429"/>
      <c r="N66" s="429"/>
      <c r="O66" s="429"/>
      <c r="P66" s="429"/>
      <c r="Q66" s="429"/>
      <c r="R66" s="429"/>
      <c r="S66" s="429"/>
      <c r="T66" s="429"/>
      <c r="X66" s="429"/>
      <c r="Y66" s="429"/>
      <c r="Z66" s="429"/>
      <c r="AA66" s="429"/>
    </row>
    <row r="67" spans="1:33" x14ac:dyDescent="0.25">
      <c r="A67" s="429"/>
      <c r="B67" s="537" t="s">
        <v>748</v>
      </c>
      <c r="C67" s="537"/>
      <c r="D67" s="537"/>
      <c r="E67" s="537"/>
      <c r="F67" s="439" t="s">
        <v>558</v>
      </c>
      <c r="G67" s="360">
        <f>MAXA('ANALISI DELLE SPINTE'!AB100,'ANALISI DELLE SPINTE'!AB117)</f>
        <v>67.626126685694729</v>
      </c>
      <c r="H67" s="429"/>
      <c r="I67" s="429"/>
      <c r="J67" s="429"/>
      <c r="K67" s="429"/>
      <c r="L67" s="429"/>
      <c r="M67" s="429"/>
      <c r="N67" s="429"/>
      <c r="O67" s="429"/>
      <c r="P67" s="429"/>
      <c r="Q67" s="429"/>
      <c r="R67" s="429"/>
      <c r="S67" s="2"/>
      <c r="T67" s="2"/>
      <c r="X67" s="2"/>
      <c r="Y67" s="2"/>
      <c r="Z67" s="2"/>
      <c r="AA67" s="2"/>
    </row>
    <row r="68" spans="1:33" x14ac:dyDescent="0.25">
      <c r="A68" s="429"/>
      <c r="B68" s="537" t="s">
        <v>483</v>
      </c>
      <c r="C68" s="537"/>
      <c r="D68" s="537"/>
      <c r="E68" s="537"/>
      <c r="F68" s="632" t="s">
        <v>749</v>
      </c>
      <c r="G68" s="543">
        <f>DATI!G216</f>
        <v>3.35</v>
      </c>
      <c r="H68" s="429"/>
      <c r="I68" s="429"/>
      <c r="J68" s="429"/>
      <c r="K68" s="429"/>
      <c r="L68" s="429"/>
      <c r="M68" s="429"/>
      <c r="N68" s="429"/>
      <c r="O68" s="429"/>
      <c r="P68" s="429"/>
      <c r="Q68" s="429"/>
      <c r="R68" s="429"/>
      <c r="S68" s="2"/>
      <c r="T68" s="2"/>
      <c r="X68" s="2"/>
      <c r="Y68" s="2"/>
      <c r="Z68" s="2"/>
      <c r="AA68" s="2"/>
    </row>
    <row r="69" spans="1:33" x14ac:dyDescent="0.25">
      <c r="A69" s="429"/>
      <c r="B69" s="537" t="s">
        <v>750</v>
      </c>
      <c r="C69" s="537"/>
      <c r="D69" s="537"/>
      <c r="E69" s="537"/>
      <c r="F69" s="632" t="s">
        <v>751</v>
      </c>
      <c r="G69" s="543">
        <f>'FOGLIO DEPOSITO'!D123+'FOGLIO DEPOSITO'!D121</f>
        <v>3.35</v>
      </c>
      <c r="H69" s="429"/>
      <c r="I69" s="429"/>
      <c r="J69" s="429"/>
      <c r="K69" s="429"/>
      <c r="L69" s="429"/>
      <c r="M69" s="429"/>
      <c r="N69" s="429"/>
      <c r="O69" s="429"/>
      <c r="P69" s="429"/>
      <c r="Q69" s="429"/>
      <c r="R69" s="429"/>
      <c r="S69" s="2"/>
      <c r="T69" s="2"/>
      <c r="X69" s="2"/>
      <c r="Y69" s="2"/>
      <c r="Z69" s="2"/>
      <c r="AA69" s="2"/>
    </row>
    <row r="70" spans="1:33" x14ac:dyDescent="0.25">
      <c r="A70" s="429"/>
      <c r="B70" s="948" t="s">
        <v>1006</v>
      </c>
      <c r="C70" s="948"/>
      <c r="D70" s="948"/>
      <c r="E70" s="537"/>
      <c r="F70" s="632" t="s">
        <v>1005</v>
      </c>
      <c r="G70" s="543">
        <f>'SOLLECITAZ NASCOSTO'!D4</f>
        <v>2.85</v>
      </c>
      <c r="H70" s="429"/>
      <c r="I70" s="429"/>
      <c r="J70" s="429"/>
      <c r="K70" s="429"/>
      <c r="L70" s="429"/>
      <c r="M70" s="429"/>
      <c r="N70" s="429"/>
      <c r="O70" s="429"/>
      <c r="P70" s="429"/>
      <c r="Q70" s="429"/>
      <c r="R70" s="429"/>
      <c r="S70" s="2"/>
      <c r="T70" s="2"/>
      <c r="X70" s="2"/>
      <c r="Y70" s="2"/>
      <c r="Z70" s="2"/>
      <c r="AA70" s="2"/>
    </row>
    <row r="71" spans="1:33" x14ac:dyDescent="0.25">
      <c r="A71" s="429"/>
      <c r="B71" s="429"/>
      <c r="C71" s="429"/>
      <c r="D71" s="429"/>
      <c r="E71" s="429"/>
      <c r="F71" s="429"/>
      <c r="G71" s="429"/>
      <c r="H71" s="429"/>
      <c r="I71" s="429"/>
      <c r="J71" s="429"/>
      <c r="K71" s="429"/>
      <c r="L71" s="429"/>
      <c r="M71" s="429"/>
      <c r="N71" s="429"/>
      <c r="O71" s="429"/>
      <c r="P71" s="429"/>
      <c r="Q71" s="429"/>
      <c r="R71" s="429"/>
      <c r="S71" s="2"/>
      <c r="T71" s="2"/>
      <c r="X71" s="2"/>
      <c r="Y71" s="2"/>
      <c r="Z71" s="2"/>
      <c r="AA71" s="2"/>
    </row>
    <row r="72" spans="1:33" x14ac:dyDescent="0.25">
      <c r="A72" s="429"/>
      <c r="B72" s="429"/>
      <c r="C72" s="429"/>
      <c r="D72" s="429"/>
      <c r="E72" s="429"/>
      <c r="F72" s="429"/>
      <c r="G72" s="429"/>
      <c r="H72" s="429"/>
      <c r="I72" s="429"/>
      <c r="J72" s="429"/>
      <c r="K72" s="429"/>
      <c r="L72" s="429"/>
      <c r="M72" s="429"/>
      <c r="N72" s="429"/>
      <c r="O72" s="429"/>
      <c r="P72" s="429"/>
      <c r="Q72" s="429"/>
      <c r="R72" s="429"/>
      <c r="S72" s="2"/>
      <c r="T72" s="2"/>
      <c r="X72" s="2"/>
      <c r="Y72" s="2"/>
      <c r="Z72" s="2"/>
      <c r="AA72" s="2"/>
    </row>
    <row r="73" spans="1:33" ht="15.75" x14ac:dyDescent="0.25">
      <c r="A73" s="429"/>
      <c r="B73" s="15" t="s">
        <v>886</v>
      </c>
      <c r="C73" s="429"/>
      <c r="D73" s="429"/>
      <c r="E73" s="429"/>
      <c r="F73" s="429"/>
      <c r="G73" s="429"/>
      <c r="H73" s="429"/>
      <c r="I73" s="429"/>
      <c r="J73" s="429"/>
      <c r="K73" s="429"/>
      <c r="L73" s="429"/>
      <c r="M73" s="429"/>
      <c r="N73" s="429"/>
      <c r="O73" s="429"/>
      <c r="P73" s="429"/>
      <c r="Q73" s="429"/>
      <c r="R73" s="429"/>
      <c r="S73" s="2"/>
      <c r="T73" s="2"/>
      <c r="X73" s="2"/>
      <c r="Y73" s="2"/>
      <c r="Z73" s="2"/>
      <c r="AA73" s="2"/>
    </row>
    <row r="74" spans="1:33" x14ac:dyDescent="0.25">
      <c r="A74" s="429"/>
      <c r="B74" s="429"/>
      <c r="C74" s="429"/>
      <c r="D74" s="429"/>
      <c r="E74" s="429"/>
      <c r="F74" s="429"/>
      <c r="G74" s="429"/>
      <c r="H74" s="429"/>
      <c r="I74" s="429"/>
      <c r="J74" s="429"/>
      <c r="K74" s="429"/>
      <c r="L74" s="429"/>
      <c r="M74" s="429"/>
      <c r="N74" s="429"/>
      <c r="O74" s="429"/>
      <c r="P74" s="429"/>
      <c r="Q74" s="429"/>
      <c r="R74" s="429"/>
      <c r="S74" s="2"/>
      <c r="T74" s="2"/>
      <c r="U74" s="2"/>
      <c r="V74" s="2"/>
      <c r="W74" s="2"/>
      <c r="X74" s="2"/>
      <c r="Y74" s="2"/>
      <c r="Z74" s="2"/>
      <c r="AA74" s="2"/>
    </row>
    <row r="75" spans="1:33" x14ac:dyDescent="0.25">
      <c r="A75" s="429"/>
      <c r="B75" s="429"/>
      <c r="C75" s="429"/>
      <c r="D75" s="429"/>
      <c r="E75" s="429"/>
      <c r="F75" s="429"/>
      <c r="G75" s="429"/>
      <c r="H75" s="429"/>
      <c r="I75" s="429"/>
      <c r="J75" s="429"/>
      <c r="K75" s="429"/>
      <c r="L75" s="429"/>
      <c r="M75" s="429"/>
      <c r="N75" s="429"/>
      <c r="O75" s="429"/>
      <c r="P75" s="429"/>
      <c r="Q75" s="429"/>
      <c r="R75" s="429"/>
      <c r="S75" s="2"/>
      <c r="T75" s="2"/>
      <c r="U75" s="2"/>
      <c r="V75" s="2"/>
      <c r="W75" s="2"/>
      <c r="X75" s="2"/>
      <c r="Y75" s="2"/>
      <c r="Z75" s="2"/>
      <c r="AA75" s="444"/>
      <c r="AB75" s="442"/>
      <c r="AC75" s="442"/>
      <c r="AD75" s="442"/>
      <c r="AE75" s="442"/>
      <c r="AF75" s="442"/>
      <c r="AG75" s="442"/>
    </row>
    <row r="76" spans="1:33" x14ac:dyDescent="0.25">
      <c r="A76" s="429"/>
      <c r="B76" s="429"/>
      <c r="C76" s="429"/>
      <c r="D76" s="429"/>
      <c r="E76" s="429"/>
      <c r="F76" s="429"/>
      <c r="G76" s="429"/>
      <c r="H76" s="429"/>
      <c r="I76" s="429"/>
      <c r="J76" s="429"/>
      <c r="K76" s="429"/>
      <c r="L76" s="429"/>
      <c r="M76" s="429"/>
      <c r="N76" s="429"/>
      <c r="O76" s="429"/>
      <c r="P76" s="429"/>
      <c r="Q76" s="429"/>
      <c r="R76" s="429"/>
      <c r="S76" s="2"/>
      <c r="T76" s="2"/>
      <c r="X76" s="2"/>
      <c r="Y76" s="2"/>
      <c r="Z76" s="2"/>
      <c r="AA76" s="444"/>
      <c r="AB76" s="442"/>
      <c r="AC76" s="442"/>
      <c r="AD76" s="442"/>
      <c r="AE76" s="442"/>
      <c r="AF76" s="442"/>
      <c r="AG76" s="442"/>
    </row>
    <row r="77" spans="1:33" x14ac:dyDescent="0.25">
      <c r="A77" s="429"/>
      <c r="B77" s="429"/>
      <c r="C77" s="429"/>
      <c r="D77" s="429"/>
      <c r="E77" s="429"/>
      <c r="F77" s="429"/>
      <c r="G77" s="429"/>
      <c r="H77" s="429"/>
      <c r="I77" s="429"/>
      <c r="J77" s="429"/>
      <c r="K77" s="429"/>
      <c r="L77" s="429"/>
      <c r="M77" s="429"/>
      <c r="N77" s="429"/>
      <c r="O77" s="429"/>
      <c r="P77" s="429"/>
      <c r="Q77" s="429"/>
      <c r="R77" s="429"/>
      <c r="S77" s="2"/>
      <c r="T77" s="2"/>
      <c r="X77" s="2"/>
      <c r="Y77" s="2"/>
      <c r="Z77" s="2"/>
      <c r="AA77" s="444"/>
      <c r="AB77" s="442"/>
      <c r="AC77" s="442"/>
      <c r="AD77" s="442"/>
      <c r="AE77" s="442"/>
      <c r="AF77" s="442"/>
      <c r="AG77" s="442"/>
    </row>
    <row r="78" spans="1:33" x14ac:dyDescent="0.25">
      <c r="A78" s="429"/>
      <c r="B78" s="429"/>
      <c r="C78" s="429"/>
      <c r="D78" s="429"/>
      <c r="E78" s="429"/>
      <c r="F78" s="429"/>
      <c r="G78" s="429"/>
      <c r="H78" s="429"/>
      <c r="I78" s="429"/>
      <c r="J78" s="429"/>
      <c r="K78" s="429"/>
      <c r="L78" s="429"/>
      <c r="M78" s="429"/>
      <c r="N78" s="429"/>
      <c r="O78" s="429"/>
      <c r="P78" s="429"/>
      <c r="Q78" s="429"/>
      <c r="R78" s="429"/>
      <c r="S78" s="2"/>
      <c r="T78" s="2"/>
      <c r="X78" s="2"/>
      <c r="Y78" s="2"/>
      <c r="Z78" s="2"/>
      <c r="AA78" s="444"/>
      <c r="AB78" s="442"/>
      <c r="AC78" s="442"/>
      <c r="AD78" s="442"/>
      <c r="AE78" s="442"/>
      <c r="AF78" s="442"/>
      <c r="AG78" s="442"/>
    </row>
    <row r="79" spans="1:33" x14ac:dyDescent="0.25">
      <c r="A79" s="429"/>
      <c r="B79" s="429"/>
      <c r="C79" s="429"/>
      <c r="D79" s="429"/>
      <c r="E79" s="429"/>
      <c r="F79" s="429"/>
      <c r="G79" s="429"/>
      <c r="H79" s="429"/>
      <c r="I79" s="429"/>
      <c r="J79" s="429"/>
      <c r="K79" s="429"/>
      <c r="L79" s="429"/>
      <c r="M79" s="429"/>
      <c r="N79" s="429"/>
      <c r="O79" s="429"/>
      <c r="P79" s="429"/>
      <c r="Q79" s="429"/>
      <c r="R79" s="429"/>
      <c r="S79" s="2"/>
      <c r="T79" s="2"/>
      <c r="X79" s="2"/>
      <c r="Y79" s="2"/>
      <c r="Z79" s="2"/>
      <c r="AA79" s="444"/>
      <c r="AB79" s="442"/>
      <c r="AC79" s="442"/>
      <c r="AD79" s="442"/>
      <c r="AE79" s="442"/>
      <c r="AF79" s="442"/>
      <c r="AG79" s="442"/>
    </row>
    <row r="80" spans="1:33" x14ac:dyDescent="0.25">
      <c r="A80" s="429"/>
      <c r="B80" s="429"/>
      <c r="C80" s="429"/>
      <c r="D80" s="429"/>
      <c r="E80" s="429"/>
      <c r="F80" s="429"/>
      <c r="G80" s="429"/>
      <c r="H80" s="429"/>
      <c r="I80" s="429"/>
      <c r="J80" s="429"/>
      <c r="K80" s="429"/>
      <c r="L80" s="429"/>
      <c r="M80" s="429"/>
      <c r="N80" s="429"/>
      <c r="O80" s="429"/>
      <c r="P80" s="429"/>
      <c r="Q80" s="429"/>
      <c r="R80" s="429"/>
      <c r="S80" s="2"/>
      <c r="T80" s="2"/>
      <c r="X80" s="2"/>
      <c r="Y80" s="2"/>
      <c r="Z80" s="2"/>
      <c r="AA80" s="444"/>
      <c r="AB80" s="442"/>
      <c r="AC80" s="442"/>
      <c r="AD80" s="442"/>
      <c r="AE80" s="442"/>
      <c r="AF80" s="442"/>
      <c r="AG80" s="442"/>
    </row>
    <row r="81" spans="1:27" ht="18.75" x14ac:dyDescent="0.3">
      <c r="A81" s="429"/>
      <c r="B81" s="436"/>
      <c r="C81" s="429"/>
      <c r="D81" s="429"/>
      <c r="E81" s="429"/>
      <c r="F81" s="20"/>
      <c r="G81" s="24"/>
      <c r="H81" s="431"/>
      <c r="I81" s="429"/>
      <c r="J81" s="429"/>
      <c r="K81" s="429"/>
      <c r="L81" s="429"/>
      <c r="M81" s="429"/>
      <c r="N81" s="429"/>
      <c r="O81" s="429"/>
      <c r="P81" s="429"/>
      <c r="Q81" s="429"/>
      <c r="R81" s="429"/>
      <c r="S81" s="2"/>
      <c r="T81" s="2"/>
      <c r="X81" s="2"/>
      <c r="Y81" s="2"/>
      <c r="Z81" s="2"/>
      <c r="AA81" s="2"/>
    </row>
    <row r="82" spans="1:27" x14ac:dyDescent="0.25">
      <c r="A82" s="429"/>
      <c r="B82" s="429"/>
      <c r="C82" s="429"/>
      <c r="D82" s="429"/>
      <c r="E82" s="429"/>
      <c r="F82" s="20"/>
      <c r="G82" s="24"/>
      <c r="H82" s="429"/>
      <c r="I82" s="429"/>
      <c r="J82" s="429"/>
      <c r="K82" s="429"/>
      <c r="L82" s="429"/>
      <c r="M82" s="429"/>
      <c r="N82" s="429"/>
      <c r="O82" s="429"/>
      <c r="P82" s="429"/>
      <c r="Q82" s="429"/>
      <c r="R82" s="429"/>
      <c r="S82" s="2"/>
      <c r="T82" s="2"/>
      <c r="X82" s="2"/>
      <c r="Y82" s="2"/>
      <c r="Z82" s="2"/>
      <c r="AA82" s="2"/>
    </row>
    <row r="83" spans="1:27" x14ac:dyDescent="0.25">
      <c r="A83" s="429"/>
      <c r="B83" s="448"/>
      <c r="C83" s="448"/>
      <c r="D83" s="429"/>
      <c r="E83" s="71"/>
      <c r="F83" s="533"/>
      <c r="G83" s="533"/>
      <c r="H83" s="72"/>
      <c r="I83" s="73"/>
      <c r="J83" s="429"/>
      <c r="K83" s="429"/>
      <c r="L83" s="429"/>
      <c r="M83" s="429"/>
      <c r="N83" s="429"/>
      <c r="O83" s="429"/>
      <c r="P83" s="429"/>
      <c r="Q83" s="429"/>
      <c r="R83" s="429"/>
      <c r="S83" s="2"/>
      <c r="T83" s="2"/>
      <c r="X83" s="2"/>
      <c r="Y83" s="2"/>
      <c r="Z83" s="2"/>
      <c r="AA83" s="2"/>
    </row>
    <row r="84" spans="1:27" x14ac:dyDescent="0.25">
      <c r="A84" s="429"/>
      <c r="B84" s="448"/>
      <c r="C84" s="448"/>
      <c r="D84" s="3"/>
      <c r="E84" s="71"/>
      <c r="F84" s="533"/>
      <c r="G84" s="533"/>
      <c r="H84" s="72"/>
      <c r="I84" s="73"/>
      <c r="J84" s="429"/>
      <c r="K84" s="429"/>
      <c r="L84" s="429"/>
      <c r="M84" s="429"/>
      <c r="N84" s="429"/>
      <c r="O84" s="429"/>
      <c r="P84" s="429"/>
      <c r="Q84" s="429"/>
      <c r="R84" s="429"/>
      <c r="S84" s="2"/>
      <c r="T84" s="2"/>
      <c r="X84" s="2"/>
      <c r="Y84" s="2"/>
      <c r="Z84" s="2"/>
      <c r="AA84" s="2"/>
    </row>
    <row r="85" spans="1:27" x14ac:dyDescent="0.25">
      <c r="A85" s="429"/>
      <c r="B85" s="448"/>
      <c r="C85" s="448"/>
      <c r="D85" s="3"/>
      <c r="E85" s="632"/>
      <c r="F85" s="640"/>
      <c r="G85" s="429"/>
      <c r="H85" s="429"/>
      <c r="I85" s="429"/>
      <c r="J85" s="429"/>
      <c r="K85" s="429"/>
      <c r="L85" s="429"/>
      <c r="M85" s="429"/>
      <c r="N85" s="429"/>
      <c r="O85" s="429"/>
      <c r="P85" s="429"/>
      <c r="Q85" s="429"/>
      <c r="R85" s="429"/>
      <c r="S85" s="2"/>
      <c r="T85" s="2"/>
      <c r="X85" s="2"/>
      <c r="Y85" s="2"/>
      <c r="Z85" s="2"/>
      <c r="AA85" s="2"/>
    </row>
    <row r="86" spans="1:27" x14ac:dyDescent="0.25">
      <c r="A86" s="429"/>
      <c r="B86" s="448"/>
      <c r="C86" s="448"/>
      <c r="D86" s="429"/>
      <c r="E86" s="632"/>
      <c r="F86" s="640"/>
      <c r="G86" s="429"/>
      <c r="H86" s="429"/>
      <c r="I86" s="429"/>
      <c r="J86" s="429"/>
      <c r="K86" s="429"/>
      <c r="L86" s="429"/>
      <c r="M86" s="429"/>
      <c r="N86" s="429"/>
      <c r="O86" s="429"/>
      <c r="P86" s="429"/>
      <c r="Q86" s="429"/>
      <c r="R86" s="429"/>
      <c r="S86" s="2"/>
      <c r="T86" s="2"/>
      <c r="X86" s="2"/>
      <c r="Y86" s="2"/>
      <c r="Z86" s="2"/>
      <c r="AA86" s="2"/>
    </row>
    <row r="87" spans="1:27" x14ac:dyDescent="0.25">
      <c r="A87" s="429"/>
      <c r="B87" s="429"/>
      <c r="C87" s="429"/>
      <c r="D87" s="429"/>
      <c r="E87" s="429"/>
      <c r="F87" s="429"/>
      <c r="G87" s="429"/>
      <c r="H87" s="429"/>
      <c r="I87" s="429"/>
      <c r="J87" s="429"/>
      <c r="K87" s="429"/>
      <c r="L87" s="429"/>
      <c r="M87" s="429"/>
      <c r="N87" s="429"/>
      <c r="O87" s="429"/>
      <c r="P87" s="429"/>
      <c r="Q87" s="429"/>
      <c r="R87" s="429"/>
      <c r="S87" s="2"/>
      <c r="T87" s="2"/>
      <c r="X87" s="2"/>
      <c r="Y87" s="2"/>
      <c r="Z87" s="2"/>
      <c r="AA87" s="2"/>
    </row>
    <row r="88" spans="1:27" x14ac:dyDescent="0.25">
      <c r="A88" s="429"/>
      <c r="B88" s="429"/>
      <c r="C88" s="429"/>
      <c r="D88" s="429"/>
      <c r="E88" s="429"/>
      <c r="F88" s="429"/>
      <c r="G88" s="429"/>
      <c r="H88" s="429"/>
      <c r="I88" s="429"/>
      <c r="J88" s="429"/>
      <c r="K88" s="429"/>
      <c r="L88" s="429"/>
      <c r="M88" s="429"/>
      <c r="N88" s="429"/>
      <c r="O88" s="429"/>
      <c r="P88" s="429"/>
      <c r="Q88" s="429"/>
      <c r="R88" s="429"/>
      <c r="S88" s="2"/>
      <c r="T88" s="2"/>
      <c r="X88" s="2"/>
      <c r="Y88" s="2"/>
      <c r="Z88" s="2"/>
      <c r="AA88" s="2"/>
    </row>
    <row r="89" spans="1:27" x14ac:dyDescent="0.25">
      <c r="A89" s="429"/>
      <c r="B89" s="429"/>
      <c r="C89" s="429"/>
      <c r="D89" s="429"/>
      <c r="E89" s="429"/>
      <c r="F89" s="429"/>
      <c r="G89" s="429"/>
      <c r="H89" s="429"/>
      <c r="I89" s="429"/>
      <c r="J89" s="429"/>
      <c r="K89" s="429"/>
      <c r="L89" s="429"/>
      <c r="M89" s="429"/>
      <c r="N89" s="429"/>
      <c r="O89" s="429"/>
      <c r="P89" s="429"/>
      <c r="Q89" s="429"/>
      <c r="R89" s="429"/>
      <c r="S89" s="2"/>
      <c r="T89" s="2"/>
      <c r="X89" s="2"/>
      <c r="Y89" s="2"/>
      <c r="Z89" s="2"/>
      <c r="AA89" s="2"/>
    </row>
    <row r="90" spans="1:27" x14ac:dyDescent="0.25">
      <c r="A90" s="429"/>
      <c r="B90" s="429"/>
      <c r="C90" s="429"/>
      <c r="D90" s="429"/>
      <c r="E90" s="429"/>
      <c r="F90" s="429"/>
      <c r="G90" s="429"/>
      <c r="H90" s="429"/>
      <c r="I90" s="429"/>
      <c r="J90" s="429"/>
      <c r="K90" s="429"/>
      <c r="L90" s="429"/>
      <c r="M90" s="429"/>
      <c r="N90" s="429"/>
      <c r="O90" s="429"/>
      <c r="P90" s="429"/>
      <c r="Q90" s="429"/>
      <c r="R90" s="429"/>
      <c r="S90" s="2"/>
      <c r="T90" s="2"/>
      <c r="X90" s="2"/>
      <c r="Y90" s="2"/>
      <c r="Z90" s="2"/>
      <c r="AA90" s="2"/>
    </row>
    <row r="91" spans="1:27" x14ac:dyDescent="0.25">
      <c r="A91" s="429"/>
      <c r="B91" s="439"/>
      <c r="C91" s="3"/>
      <c r="D91" s="429"/>
      <c r="E91" s="429"/>
      <c r="F91" s="429"/>
      <c r="G91" s="429"/>
      <c r="H91" s="429"/>
      <c r="I91" s="429"/>
      <c r="J91" s="429"/>
      <c r="K91" s="429"/>
      <c r="L91" s="429"/>
      <c r="M91" s="429"/>
      <c r="N91" s="429"/>
      <c r="O91" s="429"/>
      <c r="P91" s="429"/>
      <c r="Q91" s="429"/>
      <c r="R91" s="429"/>
      <c r="S91" s="2"/>
      <c r="T91" s="2"/>
      <c r="X91" s="2"/>
      <c r="Y91" s="2"/>
      <c r="Z91" s="2"/>
      <c r="AA91" s="2"/>
    </row>
    <row r="92" spans="1:27" ht="15" customHeight="1" x14ac:dyDescent="0.25">
      <c r="A92" s="429"/>
      <c r="B92" s="439"/>
      <c r="C92" s="3"/>
      <c r="D92" s="69"/>
      <c r="E92" s="632"/>
      <c r="F92" s="640"/>
      <c r="G92" s="429"/>
      <c r="H92" s="24"/>
      <c r="I92" s="938" t="str">
        <f>IF('ANALISI DELLE SPINTE'!J129='FOGLIO DEPOSITO'!AD174,"Accendi i grafici in analisi delle spinte per visualizzare correttamente l'andamento dei carichi",IF('ANALISI DELLE SPINTE'!J132='FOGLIO DEPOSITO'!AD171,"accendi i grafici in analisi delle spinte per visualizzare correttamente l'andamento dei carichi",""))</f>
        <v/>
      </c>
      <c r="J92" s="938"/>
      <c r="K92" s="938"/>
      <c r="L92" s="938"/>
      <c r="M92" s="938"/>
      <c r="N92" s="663"/>
      <c r="O92" s="663"/>
      <c r="P92" s="566"/>
      <c r="Q92" s="566"/>
      <c r="R92" s="566"/>
      <c r="S92" s="566"/>
      <c r="T92" s="566"/>
      <c r="U92" s="566"/>
      <c r="V92" s="566"/>
      <c r="X92" s="2"/>
      <c r="Y92" s="2"/>
      <c r="Z92" s="2"/>
      <c r="AA92" s="2"/>
    </row>
    <row r="93" spans="1:27" ht="15" customHeight="1" x14ac:dyDescent="0.25">
      <c r="A93" s="429"/>
      <c r="B93" s="429"/>
      <c r="C93" s="429"/>
      <c r="D93" s="429"/>
      <c r="E93" s="429"/>
      <c r="F93" s="429"/>
      <c r="G93" s="429"/>
      <c r="H93" s="24"/>
      <c r="I93" s="938"/>
      <c r="J93" s="938"/>
      <c r="K93" s="938"/>
      <c r="L93" s="938"/>
      <c r="M93" s="938"/>
      <c r="N93" s="663"/>
      <c r="O93" s="663"/>
      <c r="P93" s="566"/>
      <c r="Q93" s="566"/>
      <c r="R93" s="566"/>
      <c r="S93" s="566"/>
      <c r="T93" s="566"/>
      <c r="U93" s="566"/>
      <c r="V93" s="566"/>
      <c r="X93" s="2"/>
      <c r="Y93" s="2"/>
      <c r="Z93" s="2"/>
      <c r="AA93" s="2"/>
    </row>
    <row r="94" spans="1:27" ht="15" customHeight="1" x14ac:dyDescent="0.25">
      <c r="A94" s="429"/>
      <c r="B94" s="429"/>
      <c r="C94" s="429"/>
      <c r="D94" s="429"/>
      <c r="E94" s="429"/>
      <c r="F94" s="429"/>
      <c r="G94" s="429"/>
      <c r="H94" s="24"/>
      <c r="I94" s="938"/>
      <c r="J94" s="938"/>
      <c r="K94" s="938"/>
      <c r="L94" s="938"/>
      <c r="M94" s="938"/>
      <c r="N94" s="663"/>
      <c r="O94" s="663"/>
      <c r="P94" s="566"/>
      <c r="Q94" s="566"/>
      <c r="R94" s="566"/>
      <c r="S94" s="566"/>
      <c r="T94" s="566"/>
      <c r="U94" s="566"/>
      <c r="V94" s="566"/>
      <c r="W94" s="442"/>
      <c r="X94" s="444"/>
      <c r="Y94" s="444"/>
      <c r="Z94" s="444"/>
      <c r="AA94" s="2"/>
    </row>
    <row r="95" spans="1:27" ht="15" customHeight="1" x14ac:dyDescent="0.25">
      <c r="A95" s="429"/>
      <c r="B95" s="429"/>
      <c r="C95" s="429"/>
      <c r="D95" s="429"/>
      <c r="E95" s="429"/>
      <c r="F95" s="429"/>
      <c r="G95" s="429"/>
      <c r="H95" s="24"/>
      <c r="I95" s="938"/>
      <c r="J95" s="938"/>
      <c r="K95" s="938"/>
      <c r="L95" s="938"/>
      <c r="M95" s="938"/>
      <c r="N95" s="663"/>
      <c r="O95" s="663"/>
      <c r="P95" s="566"/>
      <c r="Q95" s="566"/>
      <c r="R95" s="566"/>
      <c r="S95" s="566"/>
      <c r="T95" s="566"/>
      <c r="U95" s="566"/>
      <c r="V95" s="566"/>
      <c r="W95" s="442"/>
      <c r="X95" s="444"/>
      <c r="Y95" s="444"/>
      <c r="Z95" s="444"/>
      <c r="AA95" s="2"/>
    </row>
    <row r="96" spans="1:27" x14ac:dyDescent="0.25">
      <c r="A96" s="429"/>
      <c r="B96" s="429"/>
      <c r="C96" s="429"/>
      <c r="D96" s="429"/>
      <c r="E96" s="429"/>
      <c r="F96" s="429"/>
      <c r="G96" s="429"/>
      <c r="H96" s="429"/>
      <c r="I96" s="429"/>
      <c r="J96" s="429"/>
      <c r="K96" s="429"/>
      <c r="L96" s="429"/>
      <c r="M96" s="429"/>
      <c r="N96" s="24"/>
      <c r="O96" s="24"/>
      <c r="P96" s="24"/>
      <c r="Q96" s="24"/>
      <c r="R96" s="24"/>
      <c r="S96" s="170"/>
      <c r="T96" s="170"/>
      <c r="U96" s="170"/>
      <c r="V96" s="170"/>
      <c r="W96" s="444"/>
      <c r="X96" s="444"/>
      <c r="Y96" s="444"/>
      <c r="Z96" s="444"/>
      <c r="AA96" s="2"/>
    </row>
    <row r="97" spans="1:27" s="428" customFormat="1" x14ac:dyDescent="0.25">
      <c r="A97" s="429"/>
      <c r="B97" s="429"/>
      <c r="C97" s="429"/>
      <c r="D97" s="429"/>
      <c r="E97" s="429"/>
      <c r="F97" s="429"/>
      <c r="G97" s="429"/>
      <c r="H97" s="429"/>
      <c r="I97" s="429"/>
      <c r="J97" s="429"/>
      <c r="K97" s="429"/>
      <c r="L97" s="429"/>
      <c r="M97" s="429"/>
      <c r="N97" s="429"/>
      <c r="O97" s="429"/>
      <c r="P97" s="429"/>
      <c r="Q97" s="429"/>
      <c r="R97" s="429"/>
      <c r="S97" s="444"/>
      <c r="T97" s="444"/>
      <c r="U97" s="444"/>
      <c r="V97" s="444"/>
      <c r="W97" s="444"/>
      <c r="X97" s="444"/>
      <c r="Y97" s="444"/>
      <c r="Z97" s="444"/>
      <c r="AA97" s="429"/>
    </row>
    <row r="98" spans="1:27" s="428" customFormat="1" x14ac:dyDescent="0.25">
      <c r="A98" s="429"/>
      <c r="B98" s="429"/>
      <c r="C98" s="429"/>
      <c r="D98" s="429"/>
      <c r="E98" s="429"/>
      <c r="F98" s="429"/>
      <c r="G98" s="429"/>
      <c r="H98" s="429"/>
      <c r="I98" s="429"/>
      <c r="J98" s="429"/>
      <c r="K98" s="429"/>
      <c r="L98" s="429"/>
      <c r="M98" s="429"/>
      <c r="N98" s="429"/>
      <c r="O98" s="429"/>
      <c r="P98" s="429"/>
      <c r="Q98" s="429"/>
      <c r="R98" s="429"/>
      <c r="S98" s="429"/>
      <c r="T98" s="429"/>
      <c r="U98" s="429"/>
      <c r="V98" s="429"/>
      <c r="W98" s="429"/>
      <c r="X98" s="429"/>
      <c r="Y98" s="429"/>
      <c r="Z98" s="429"/>
      <c r="AA98" s="429"/>
    </row>
    <row r="99" spans="1:27" s="428" customFormat="1" x14ac:dyDescent="0.25">
      <c r="A99" s="429"/>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row>
    <row r="100" spans="1:27" s="428" customFormat="1" x14ac:dyDescent="0.25">
      <c r="A100" s="429"/>
      <c r="B100" s="429"/>
      <c r="C100" s="429"/>
      <c r="D100" s="429"/>
      <c r="E100" s="429"/>
      <c r="F100" s="429"/>
      <c r="G100" s="429"/>
      <c r="H100" s="429"/>
      <c r="I100" s="429"/>
      <c r="J100" s="429"/>
      <c r="K100" s="429"/>
      <c r="L100" s="429"/>
      <c r="M100" s="429"/>
      <c r="N100" s="429"/>
      <c r="O100" s="429"/>
      <c r="P100" s="429"/>
      <c r="Q100" s="429"/>
      <c r="R100" s="429"/>
      <c r="S100" s="429"/>
      <c r="T100" s="429"/>
      <c r="U100" s="429"/>
      <c r="V100" s="429"/>
      <c r="W100" s="429"/>
      <c r="X100" s="429"/>
      <c r="Y100" s="429"/>
      <c r="Z100" s="429"/>
      <c r="AA100" s="429"/>
    </row>
    <row r="101" spans="1:27" s="428" customFormat="1" ht="21" customHeight="1" x14ac:dyDescent="0.25">
      <c r="A101" s="429"/>
      <c r="B101" s="949" t="s">
        <v>22</v>
      </c>
      <c r="C101" s="950" t="s">
        <v>892</v>
      </c>
      <c r="D101" s="896" t="s">
        <v>890</v>
      </c>
      <c r="E101" s="952" t="s">
        <v>891</v>
      </c>
      <c r="F101" s="952" t="s">
        <v>889</v>
      </c>
      <c r="G101" s="941" t="s">
        <v>837</v>
      </c>
      <c r="H101" s="429"/>
      <c r="I101" s="429"/>
      <c r="J101" s="429"/>
      <c r="K101" s="429"/>
      <c r="L101" s="429"/>
      <c r="M101" s="429"/>
      <c r="N101" s="429"/>
      <c r="O101" s="429"/>
      <c r="P101" s="429"/>
      <c r="Q101" s="429"/>
      <c r="R101" s="429"/>
      <c r="S101" s="429"/>
      <c r="T101" s="429"/>
      <c r="U101" s="429"/>
      <c r="V101" s="429"/>
      <c r="W101" s="429"/>
      <c r="X101" s="429"/>
      <c r="Y101" s="429"/>
      <c r="Z101" s="429"/>
      <c r="AA101" s="429"/>
    </row>
    <row r="102" spans="1:27" s="428" customFormat="1" ht="21" customHeight="1" x14ac:dyDescent="0.25">
      <c r="A102" s="429"/>
      <c r="B102" s="949"/>
      <c r="C102" s="950"/>
      <c r="D102" s="896"/>
      <c r="E102" s="952"/>
      <c r="F102" s="952"/>
      <c r="G102" s="941"/>
      <c r="H102" s="429"/>
      <c r="I102" s="429"/>
      <c r="J102" s="429"/>
      <c r="K102" s="429"/>
      <c r="L102" s="429"/>
      <c r="M102" s="429"/>
      <c r="N102" s="429"/>
      <c r="O102" s="429"/>
      <c r="P102" s="429"/>
      <c r="Q102" s="429"/>
      <c r="R102" s="429"/>
      <c r="S102" s="429"/>
      <c r="T102" s="429"/>
      <c r="U102" s="429"/>
      <c r="V102" s="429"/>
      <c r="W102" s="429"/>
      <c r="X102" s="429"/>
      <c r="Y102" s="429"/>
      <c r="Z102" s="429"/>
      <c r="AA102" s="429"/>
    </row>
    <row r="103" spans="1:27" s="428" customFormat="1" x14ac:dyDescent="0.25">
      <c r="A103" s="429"/>
      <c r="B103" s="949"/>
      <c r="C103" s="950"/>
      <c r="D103" s="896"/>
      <c r="E103" s="952"/>
      <c r="F103" s="952"/>
      <c r="G103" s="941"/>
      <c r="H103" s="429"/>
      <c r="I103" s="429"/>
      <c r="J103" s="429"/>
      <c r="K103" s="429"/>
      <c r="L103" s="429"/>
      <c r="M103" s="429"/>
      <c r="N103" s="429"/>
      <c r="O103" s="429"/>
      <c r="P103" s="429"/>
      <c r="Q103" s="429"/>
      <c r="R103" s="429"/>
      <c r="S103" s="429"/>
      <c r="T103" s="429"/>
      <c r="U103" s="429"/>
      <c r="V103" s="429"/>
      <c r="W103" s="429"/>
      <c r="X103" s="429"/>
      <c r="Y103" s="429"/>
      <c r="Z103" s="429"/>
      <c r="AA103" s="429"/>
    </row>
    <row r="104" spans="1:27" s="428" customFormat="1" x14ac:dyDescent="0.25">
      <c r="A104" s="429"/>
      <c r="B104" s="543">
        <f>'SOLLECITAZ NASCOSTO'!$D$7-'SOLLECITAZ NASCOSTO'!P3</f>
        <v>3.35</v>
      </c>
      <c r="C104" s="543">
        <f>'ANALISI DELLE SPINTE'!D88</f>
        <v>0</v>
      </c>
      <c r="D104" s="646">
        <f>COS(RADIANS('ANALISI DELLE SPINTE'!D37+IF(DATI!G218="SX",0,'FOGLIO DEPOSITO'!D196)))</f>
        <v>0.99999999999384426</v>
      </c>
      <c r="E104" s="633">
        <f>'SOLLECITAZ NASCOSTO'!$Y$100*'SOLLECITAZ NASCOSTO'!P3+'SOLLECITAZ NASCOSTO'!$Y$101</f>
        <v>2.5832006524458331</v>
      </c>
      <c r="F104" s="633">
        <f>IF('ANALISI DELLE SPINTE'!K76="",0,('ANALISI DELLE SPINTE'!AC97)/'SOLLECITAZ NASCOSTO'!D7)</f>
        <v>0</v>
      </c>
      <c r="G104" s="536">
        <f>IF('ANALISI DELLE SPINTE'!$AB$99&gt;='ANALISI DELLE SPINTE'!$AB$116,'FOGLIO DEPOSITO'!K225,'FOGLIO DEPOSITO'!K242)*DATI!$E$61*D104+F104+E104</f>
        <v>4.1440822215876558</v>
      </c>
      <c r="H104" s="429"/>
      <c r="I104" s="429"/>
      <c r="J104" s="429"/>
      <c r="K104" s="429"/>
      <c r="L104" s="429"/>
      <c r="M104" s="429"/>
      <c r="N104" s="429"/>
      <c r="O104" s="429"/>
      <c r="S104" s="429"/>
      <c r="T104" s="429"/>
      <c r="U104" s="429"/>
      <c r="V104" s="429"/>
      <c r="W104" s="429"/>
      <c r="X104" s="429"/>
      <c r="Y104" s="429"/>
      <c r="Z104" s="429"/>
      <c r="AA104" s="429"/>
    </row>
    <row r="105" spans="1:27" s="428" customFormat="1" x14ac:dyDescent="0.25">
      <c r="A105" s="429"/>
      <c r="B105" s="543">
        <f>'SOLLECITAZ NASCOSTO'!$D$7-'SOLLECITAZ NASCOSTO'!P5</f>
        <v>0.51366666666666694</v>
      </c>
      <c r="C105" s="543">
        <f>'ANALISI DELLE SPINTE'!D89</f>
        <v>2.8363333333333332</v>
      </c>
      <c r="D105" s="646">
        <f>COS(RADIANS('ANALISI DELLE SPINTE'!D37+IF(DATI!G218="SX",0,'FOGLIO DEPOSITO'!D196)))</f>
        <v>0.99999999999384426</v>
      </c>
      <c r="E105" s="633">
        <f>'SOLLECITAZ NASCOSTO'!$Y$100*'SOLLECITAZ NASCOSTO'!P5+'SOLLECITAZ NASCOSTO'!$Y$101</f>
        <v>3.1992193305037393</v>
      </c>
      <c r="F105" s="633">
        <f>F104</f>
        <v>0</v>
      </c>
      <c r="G105" s="536">
        <f>IF('ANALISI DELLE SPINTE'!$AB$99&gt;='ANALISI DELLE SPINTE'!$AB$116,'FOGLIO DEPOSITO'!K226,'FOGLIO DEPOSITO'!K243)*DATI!$E$61*D105+F105+E105</f>
        <v>24.071068582390659</v>
      </c>
      <c r="H105" s="429"/>
      <c r="I105" s="429"/>
      <c r="J105" s="429"/>
      <c r="K105" s="429"/>
      <c r="L105" s="429"/>
      <c r="M105" s="429"/>
      <c r="N105" s="429"/>
      <c r="O105" s="429"/>
      <c r="S105" s="429"/>
      <c r="T105" s="429"/>
      <c r="U105" s="429"/>
      <c r="V105" s="429"/>
      <c r="W105" s="429"/>
      <c r="X105" s="429"/>
      <c r="Y105" s="429"/>
      <c r="Z105" s="429"/>
      <c r="AA105" s="429"/>
    </row>
    <row r="106" spans="1:27" s="428" customFormat="1" x14ac:dyDescent="0.25">
      <c r="A106" s="429"/>
      <c r="B106" s="543">
        <f>'SOLLECITAZ NASCOSTO'!$D$7-'SOLLECITAZ NASCOSTO'!P6</f>
        <v>0.51366666666666694</v>
      </c>
      <c r="C106" s="543">
        <f>'ANALISI DELLE SPINTE'!D90-C105</f>
        <v>0</v>
      </c>
      <c r="D106" s="646">
        <f>COS(RADIANS('ANALISI DELLE SPINTE'!D37+IF(DATI!G218="SX",0,'FOGLIO DEPOSITO'!D196)))</f>
        <v>0.99999999999384426</v>
      </c>
      <c r="E106" s="633">
        <f>'SOLLECITAZ NASCOSTO'!$Y$100*'SOLLECITAZ NASCOSTO'!P6+'SOLLECITAZ NASCOSTO'!$Y$101</f>
        <v>3.1992193305037393</v>
      </c>
      <c r="F106" s="633">
        <f>F105</f>
        <v>0</v>
      </c>
      <c r="G106" s="536">
        <f>IF('ANALISI DELLE SPINTE'!$AB$99&gt;='ANALISI DELLE SPINTE'!$AB$116,'FOGLIO DEPOSITO'!K227,'FOGLIO DEPOSITO'!K244)*DATI!$E$61*D106+F106+E106</f>
        <v>24.071068582390659</v>
      </c>
      <c r="H106" s="429"/>
      <c r="I106" s="429"/>
      <c r="J106" s="429"/>
      <c r="K106" s="429"/>
      <c r="L106" s="429"/>
      <c r="M106" s="429"/>
      <c r="N106" s="429"/>
      <c r="O106" s="429"/>
      <c r="S106" s="429"/>
      <c r="T106" s="429"/>
      <c r="U106" s="429"/>
      <c r="V106" s="429"/>
      <c r="W106" s="429"/>
      <c r="X106" s="429"/>
      <c r="Y106" s="429"/>
      <c r="Z106" s="429"/>
      <c r="AA106" s="429"/>
    </row>
    <row r="107" spans="1:27" s="428" customFormat="1" x14ac:dyDescent="0.25">
      <c r="A107" s="429"/>
      <c r="B107" s="543">
        <f>IF(C107="","",'SOLLECITAZ NASCOSTO'!$D$7-'SOLLECITAZ NASCOSTO'!P7)</f>
        <v>0.51366666666666694</v>
      </c>
      <c r="C107" s="543">
        <f>'ANALISI DELLE SPINTE'!D91</f>
        <v>0</v>
      </c>
      <c r="D107" s="646">
        <f>IF(C107="","",COS(RADIANS('ANALISI DELLE SPINTE'!D44+IF(DATI!G218="SX",0,'FOGLIO DEPOSITO'!D196))))</f>
        <v>0.99999999999384426</v>
      </c>
      <c r="E107" s="633">
        <f>IF(C107="","",'SOLLECITAZ NASCOSTO'!$Y$100*'SOLLECITAZ NASCOSTO'!P7+'SOLLECITAZ NASCOSTO'!$Y$101)</f>
        <v>3.1992193305037393</v>
      </c>
      <c r="F107" s="633">
        <f>IF(C107="","",F106)</f>
        <v>0</v>
      </c>
      <c r="G107" s="536">
        <f>IF(C107="","",IF('ANALISI DELLE SPINTE'!$AB$99&gt;='ANALISI DELLE SPINTE'!$AB$116,'FOGLIO DEPOSITO'!K228,'FOGLIO DEPOSITO'!K245)*DATI!$E$61*D107+F107+E107)</f>
        <v>26.678699675115553</v>
      </c>
      <c r="H107" s="429"/>
      <c r="I107" s="429"/>
      <c r="J107" s="429"/>
      <c r="K107" s="429"/>
      <c r="L107" s="429"/>
      <c r="M107" s="429"/>
      <c r="N107" s="429"/>
      <c r="O107" s="429"/>
      <c r="S107" s="429"/>
      <c r="T107" s="429"/>
      <c r="U107" s="429"/>
      <c r="V107" s="429"/>
      <c r="W107" s="429"/>
      <c r="X107" s="429"/>
      <c r="Y107" s="429"/>
      <c r="Z107" s="429"/>
      <c r="AA107" s="429"/>
    </row>
    <row r="108" spans="1:27" s="428" customFormat="1" x14ac:dyDescent="0.25">
      <c r="A108" s="429"/>
      <c r="B108" s="543">
        <f>IF(C108="","",'SOLLECITAZ NASCOSTO'!$D$7-'SOLLECITAZ NASCOSTO'!P8)</f>
        <v>0</v>
      </c>
      <c r="C108" s="543">
        <f>'ANALISI DELLE SPINTE'!D92</f>
        <v>0.51366666666666694</v>
      </c>
      <c r="D108" s="646">
        <f>IF(C108="","",COS(RADIANS('ANALISI DELLE SPINTE'!D44+IF(DATI!G218="SX",0,'FOGLIO DEPOSITO'!D196))))</f>
        <v>0.99999999999384426</v>
      </c>
      <c r="E108" s="633">
        <f>IF(C108="","",'SOLLECITAZ NASCOSTO'!$Y$100*'SOLLECITAZ NASCOSTO'!P8+'SOLLECITAZ NASCOSTO'!$Y$101)</f>
        <v>3.3107817682622578</v>
      </c>
      <c r="F108" s="633">
        <f>IF(C108="","",F107)</f>
        <v>0</v>
      </c>
      <c r="G108" s="536">
        <f>IF(C108="","",IF('ANALISI DELLE SPINTE'!$AB$99&gt;='ANALISI DELLE SPINTE'!$AB$116,'FOGLIO DEPOSITO'!K229,'FOGLIO DEPOSITO'!K246)*DATI!$E$61*D108+F108+E108)</f>
        <v>30.443441681619454</v>
      </c>
      <c r="H108" s="429"/>
      <c r="I108" s="429"/>
      <c r="J108" s="429"/>
      <c r="K108" s="429"/>
      <c r="L108" s="429"/>
      <c r="M108" s="429"/>
      <c r="N108" s="429"/>
      <c r="O108" s="429"/>
      <c r="S108" s="429"/>
      <c r="T108" s="429"/>
      <c r="U108" s="429"/>
      <c r="V108" s="429"/>
      <c r="W108" s="429"/>
      <c r="X108" s="429"/>
      <c r="Y108" s="429"/>
      <c r="Z108" s="429"/>
      <c r="AA108" s="429"/>
    </row>
    <row r="109" spans="1:27" s="428" customFormat="1" x14ac:dyDescent="0.25">
      <c r="A109" s="429"/>
      <c r="B109" s="543">
        <f>IF(C109="","",'SOLLECITAZ NASCOSTO'!$D$7-'SOLLECITAZ NASCOSTO'!P9)</f>
        <v>0</v>
      </c>
      <c r="C109" s="543">
        <f>IF(C108="","",'ANALISI DELLE SPINTE'!D93-C108)</f>
        <v>0</v>
      </c>
      <c r="D109" s="646">
        <f>IF(C109="","",COS(RADIANS('ANALISI DELLE SPINTE'!D44+IF(DATI!G218="SX",0,'FOGLIO DEPOSITO'!D196))))</f>
        <v>0.99999999999384426</v>
      </c>
      <c r="E109" s="633">
        <f>IF(C109="","",'SOLLECITAZ NASCOSTO'!$Y$100*'SOLLECITAZ NASCOSTO'!P9+'SOLLECITAZ NASCOSTO'!$Y$101)</f>
        <v>3.3107817682622578</v>
      </c>
      <c r="F109" s="633">
        <f>IF(C109="","",F108)</f>
        <v>0</v>
      </c>
      <c r="G109" s="536">
        <f>IF(C109="","",IF('ANALISI DELLE SPINTE'!$AB$99&gt;='ANALISI DELLE SPINTE'!$AB$116,'FOGLIO DEPOSITO'!K230,'FOGLIO DEPOSITO'!K247)*DATI!$E$61*D109+F109+E109)</f>
        <v>30.443441681619454</v>
      </c>
      <c r="H109" s="429"/>
      <c r="I109" s="429"/>
      <c r="J109" s="429"/>
      <c r="K109" s="429"/>
      <c r="L109" s="429"/>
      <c r="M109" s="429"/>
      <c r="N109" s="429"/>
      <c r="O109" s="429"/>
      <c r="S109" s="429"/>
      <c r="T109" s="429"/>
      <c r="U109" s="429"/>
      <c r="V109" s="429"/>
      <c r="W109" s="429"/>
      <c r="X109" s="429"/>
      <c r="Y109" s="429"/>
      <c r="Z109" s="429"/>
      <c r="AA109" s="429"/>
    </row>
    <row r="110" spans="1:27" s="428" customFormat="1" x14ac:dyDescent="0.25">
      <c r="A110" s="429"/>
      <c r="B110" s="543" t="str">
        <f>IF(C110="","",'SOLLECITAZ NASCOSTO'!$D$7-'SOLLECITAZ NASCOSTO'!P10)</f>
        <v/>
      </c>
      <c r="C110" s="543" t="str">
        <f>'ANALISI DELLE SPINTE'!D94</f>
        <v/>
      </c>
      <c r="D110" s="646" t="str">
        <f>IF(C110="","",COS(RADIANS('ANALISI DELLE SPINTE'!D51+IF(DATI!G218="SX",0,'FOGLIO DEPOSITO'!D196))))</f>
        <v/>
      </c>
      <c r="E110" s="633" t="str">
        <f>IF(C110="","",'SOLLECITAZ NASCOSTO'!$Y$100*'SOLLECITAZ NASCOSTO'!P10+'SOLLECITAZ NASCOSTO'!$Y$101)</f>
        <v/>
      </c>
      <c r="F110" s="633" t="str">
        <f>IF(C110="","",F109)</f>
        <v/>
      </c>
      <c r="G110" s="536" t="str">
        <f>IF(C110="","",IF('ANALISI DELLE SPINTE'!$AB$99&gt;='ANALISI DELLE SPINTE'!$AB$116,'FOGLIO DEPOSITO'!K231,'FOGLIO DEPOSITO'!K248)*DATI!$E$61*D110+F110+E110)</f>
        <v/>
      </c>
      <c r="H110" s="429"/>
      <c r="I110" s="429"/>
      <c r="J110" s="429"/>
      <c r="K110" s="429"/>
      <c r="L110" s="429"/>
      <c r="M110" s="429"/>
      <c r="N110" s="429"/>
      <c r="O110" s="429"/>
      <c r="S110" s="429"/>
      <c r="T110" s="429"/>
      <c r="U110" s="429"/>
      <c r="V110" s="429"/>
      <c r="W110" s="429"/>
      <c r="X110" s="429"/>
      <c r="Y110" s="429"/>
      <c r="Z110" s="429"/>
      <c r="AA110" s="429"/>
    </row>
    <row r="111" spans="1:27" s="428" customFormat="1" x14ac:dyDescent="0.25">
      <c r="A111" s="429"/>
      <c r="B111" s="543" t="str">
        <f>IF(C111="","",'SOLLECITAZ NASCOSTO'!$D$7-'SOLLECITAZ NASCOSTO'!P11)</f>
        <v/>
      </c>
      <c r="C111" s="543" t="str">
        <f>'ANALISI DELLE SPINTE'!D95</f>
        <v/>
      </c>
      <c r="D111" s="646" t="str">
        <f>IF(C111="","",COS(RADIANS('ANALISI DELLE SPINTE'!D51+IF(DATI!G218="SX",0,'FOGLIO DEPOSITO'!D196))))</f>
        <v/>
      </c>
      <c r="E111" s="633" t="str">
        <f>IF(C111="","",'SOLLECITAZ NASCOSTO'!$Y$100*'SOLLECITAZ NASCOSTO'!P11+'SOLLECITAZ NASCOSTO'!$Y$101)</f>
        <v/>
      </c>
      <c r="F111" s="633" t="str">
        <f>F110</f>
        <v/>
      </c>
      <c r="G111" s="536" t="str">
        <f>IF(C111="","",IF('ANALISI DELLE SPINTE'!$AB$99&gt;='ANALISI DELLE SPINTE'!$AB$116,'FOGLIO DEPOSITO'!K232,'FOGLIO DEPOSITO'!K249)*DATI!$E$61*D111+F111+E111)</f>
        <v/>
      </c>
      <c r="H111" s="429"/>
      <c r="I111" s="429"/>
      <c r="J111" s="429"/>
      <c r="K111" s="429"/>
      <c r="L111" s="429"/>
      <c r="M111" s="429"/>
      <c r="N111" s="429"/>
      <c r="O111" s="429"/>
      <c r="S111" s="429"/>
      <c r="T111" s="429"/>
      <c r="U111" s="429"/>
      <c r="V111" s="429"/>
      <c r="W111" s="429"/>
      <c r="X111" s="429"/>
      <c r="Y111" s="429"/>
      <c r="Z111" s="429"/>
      <c r="AA111" s="429"/>
    </row>
    <row r="112" spans="1:27" s="428" customFormat="1" x14ac:dyDescent="0.25">
      <c r="A112" s="429"/>
      <c r="B112" s="543" t="str">
        <f>IF(C112="","",'SOLLECITAZ NASCOSTO'!$D$7-'SOLLECITAZ NASCOSTO'!P12)</f>
        <v/>
      </c>
      <c r="C112" s="543" t="str">
        <f>IF(C111="","",'ANALISI DELLE SPINTE'!D96-C111)</f>
        <v/>
      </c>
      <c r="D112" s="646" t="str">
        <f>IF(C112="","",COS(RADIANS('ANALISI DELLE SPINTE'!D51+IF(DATI!G218="SX",0,'FOGLIO DEPOSITO'!D196))))</f>
        <v/>
      </c>
      <c r="E112" s="633" t="str">
        <f>IF(C112="","",'SOLLECITAZ NASCOSTO'!$Y$100*'SOLLECITAZ NASCOSTO'!P12+'SOLLECITAZ NASCOSTO'!$Y$101)</f>
        <v/>
      </c>
      <c r="F112" s="633" t="str">
        <f>F111</f>
        <v/>
      </c>
      <c r="G112" s="536" t="str">
        <f>IF(C112="","",IF('ANALISI DELLE SPINTE'!$AB$99&gt;='ANALISI DELLE SPINTE'!$AB$116,'FOGLIO DEPOSITO'!K233,'FOGLIO DEPOSITO'!K250)*DATI!$E$61*D112+F112+E112)</f>
        <v/>
      </c>
      <c r="H112" s="429"/>
      <c r="I112" s="429"/>
      <c r="J112" s="429"/>
      <c r="K112" s="429"/>
      <c r="L112" s="429"/>
      <c r="M112" s="429"/>
      <c r="N112" s="429"/>
      <c r="O112" s="429"/>
      <c r="S112" s="429"/>
      <c r="T112" s="429"/>
      <c r="U112" s="429"/>
      <c r="V112" s="429"/>
      <c r="W112" s="429"/>
      <c r="X112" s="429"/>
      <c r="Y112" s="429"/>
      <c r="Z112" s="429"/>
      <c r="AA112" s="429"/>
    </row>
    <row r="113" spans="1:27" s="428" customFormat="1" x14ac:dyDescent="0.25">
      <c r="A113" s="429"/>
      <c r="B113" s="429"/>
      <c r="C113" s="429"/>
      <c r="D113" s="429"/>
      <c r="E113" s="429"/>
      <c r="F113" s="429"/>
      <c r="G113" s="429"/>
      <c r="H113" s="429"/>
      <c r="I113" s="542"/>
      <c r="J113" s="21"/>
      <c r="K113" s="429"/>
      <c r="L113" s="429"/>
      <c r="M113" s="429"/>
      <c r="N113" s="429"/>
      <c r="O113" s="429"/>
      <c r="P113" s="429"/>
      <c r="Q113" s="429"/>
      <c r="R113" s="429"/>
      <c r="S113" s="429"/>
      <c r="T113" s="429"/>
      <c r="U113" s="429"/>
      <c r="V113" s="429"/>
      <c r="W113" s="429"/>
      <c r="X113" s="429"/>
      <c r="Y113" s="429"/>
      <c r="Z113" s="429"/>
      <c r="AA113" s="429"/>
    </row>
    <row r="114" spans="1:27" s="428" customFormat="1" x14ac:dyDescent="0.25">
      <c r="A114" s="429"/>
      <c r="B114" s="429"/>
      <c r="C114" s="429"/>
      <c r="D114" s="429"/>
      <c r="E114" s="429"/>
      <c r="F114" s="429"/>
      <c r="G114" s="429"/>
      <c r="H114" s="429"/>
      <c r="I114" s="429"/>
      <c r="J114" s="429"/>
      <c r="K114" s="429"/>
      <c r="L114" s="429"/>
      <c r="M114" s="429"/>
      <c r="N114" s="429"/>
      <c r="O114" s="429"/>
      <c r="P114" s="429"/>
      <c r="Q114" s="429"/>
      <c r="R114" s="429"/>
      <c r="S114" s="429"/>
      <c r="T114" s="429"/>
      <c r="U114" s="429"/>
      <c r="V114" s="429"/>
      <c r="W114" s="429"/>
      <c r="X114" s="429"/>
      <c r="Y114" s="429"/>
      <c r="Z114" s="429"/>
      <c r="AA114" s="429"/>
    </row>
    <row r="115" spans="1:27" s="428" customFormat="1" ht="15.75" x14ac:dyDescent="0.25">
      <c r="A115" s="429"/>
      <c r="B115" s="15" t="s">
        <v>893</v>
      </c>
      <c r="C115" s="429"/>
      <c r="D115" s="429"/>
      <c r="E115" s="429"/>
      <c r="F115" s="429"/>
      <c r="G115" s="429"/>
      <c r="H115" s="429"/>
      <c r="I115" s="429"/>
      <c r="J115" s="429"/>
      <c r="K115" s="429"/>
      <c r="L115" s="429"/>
      <c r="M115" s="429"/>
      <c r="N115" s="429"/>
      <c r="O115" s="429"/>
      <c r="P115" s="429"/>
      <c r="Q115" s="429"/>
      <c r="R115" s="429"/>
      <c r="S115" s="429"/>
      <c r="T115" s="429"/>
      <c r="U115" s="429"/>
      <c r="V115" s="429"/>
      <c r="W115" s="429"/>
      <c r="X115" s="429"/>
      <c r="Y115" s="429"/>
      <c r="Z115" s="429"/>
      <c r="AA115" s="429"/>
    </row>
    <row r="116" spans="1:27" s="428" customFormat="1" x14ac:dyDescent="0.25">
      <c r="A116" s="429"/>
      <c r="B116" s="951" t="s">
        <v>984</v>
      </c>
      <c r="C116" s="951"/>
      <c r="D116" s="951"/>
      <c r="E116" s="951"/>
      <c r="F116" s="951"/>
      <c r="G116" s="429"/>
      <c r="H116" s="429"/>
      <c r="I116" s="429"/>
      <c r="J116" s="429"/>
      <c r="K116" s="429"/>
      <c r="L116" s="429"/>
      <c r="M116" s="429"/>
      <c r="N116" s="429"/>
      <c r="O116" s="429"/>
      <c r="P116" s="429"/>
      <c r="Q116" s="429"/>
      <c r="R116" s="429"/>
      <c r="S116" s="429"/>
      <c r="T116" s="429"/>
      <c r="U116" s="429"/>
      <c r="V116" s="429"/>
      <c r="W116" s="429"/>
      <c r="X116" s="429"/>
      <c r="Y116" s="429"/>
      <c r="Z116" s="429"/>
      <c r="AA116" s="429"/>
    </row>
    <row r="117" spans="1:27" s="428" customFormat="1" x14ac:dyDescent="0.25">
      <c r="A117" s="429"/>
      <c r="B117" s="429"/>
      <c r="C117" s="429"/>
      <c r="D117" s="429"/>
      <c r="E117" s="429"/>
      <c r="F117" s="429"/>
      <c r="G117" s="429"/>
      <c r="H117" s="429"/>
      <c r="I117" s="429"/>
      <c r="J117" s="429"/>
      <c r="K117" s="429"/>
      <c r="L117" s="429"/>
      <c r="M117" s="429"/>
      <c r="N117" s="429"/>
      <c r="O117" s="429"/>
      <c r="P117" s="429"/>
      <c r="Q117" s="429"/>
      <c r="R117" s="429"/>
      <c r="S117" s="429"/>
      <c r="T117" s="429"/>
      <c r="U117" s="429"/>
      <c r="V117" s="429"/>
      <c r="W117" s="429"/>
      <c r="X117" s="429"/>
      <c r="Y117" s="429"/>
      <c r="Z117" s="429"/>
      <c r="AA117" s="429"/>
    </row>
    <row r="118" spans="1:27" s="428" customFormat="1" x14ac:dyDescent="0.25">
      <c r="A118" s="429"/>
      <c r="B118" s="429"/>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row>
    <row r="119" spans="1:27" s="428" customFormat="1" x14ac:dyDescent="0.25">
      <c r="A119" s="429"/>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row>
    <row r="120" spans="1:27" s="428" customFormat="1" x14ac:dyDescent="0.25">
      <c r="A120" s="429"/>
      <c r="B120" s="429"/>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row>
    <row r="121" spans="1:27" s="428" customFormat="1" x14ac:dyDescent="0.25">
      <c r="A121" s="429"/>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row>
    <row r="122" spans="1:27" s="428" customFormat="1" x14ac:dyDescent="0.25">
      <c r="A122" s="429"/>
      <c r="B122" s="429"/>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row>
    <row r="123" spans="1:27" s="428" customFormat="1" x14ac:dyDescent="0.25">
      <c r="A123" s="429"/>
      <c r="B123" s="429"/>
      <c r="C123" s="429"/>
      <c r="D123" s="429"/>
      <c r="E123" s="429"/>
      <c r="F123" s="429"/>
      <c r="G123" s="429"/>
      <c r="H123" s="429"/>
      <c r="I123" s="444"/>
      <c r="J123" s="444"/>
      <c r="K123" s="444"/>
      <c r="L123" s="444"/>
      <c r="M123" s="429"/>
      <c r="N123" s="429"/>
      <c r="O123" s="429"/>
      <c r="P123" s="429"/>
      <c r="Q123" s="429"/>
      <c r="R123" s="429"/>
      <c r="S123" s="429"/>
      <c r="T123" s="429"/>
      <c r="U123" s="429"/>
      <c r="V123" s="429"/>
      <c r="W123" s="429"/>
      <c r="X123" s="429"/>
      <c r="Y123" s="429"/>
      <c r="Z123" s="429"/>
      <c r="AA123" s="429"/>
    </row>
    <row r="124" spans="1:27" s="428" customFormat="1" x14ac:dyDescent="0.25">
      <c r="A124" s="429"/>
      <c r="B124" s="429"/>
      <c r="C124" s="429"/>
      <c r="D124" s="429"/>
      <c r="E124" s="429"/>
      <c r="F124" s="429"/>
      <c r="G124" s="429"/>
      <c r="H124" s="429"/>
      <c r="I124" s="444"/>
      <c r="J124" s="444"/>
      <c r="K124" s="444"/>
      <c r="L124" s="444"/>
      <c r="M124" s="429"/>
      <c r="N124" s="429"/>
      <c r="O124" s="429"/>
      <c r="P124" s="429"/>
      <c r="Q124" s="429"/>
      <c r="R124" s="429"/>
      <c r="S124" s="429"/>
      <c r="T124" s="429"/>
      <c r="U124" s="429"/>
      <c r="V124" s="429"/>
      <c r="W124" s="429"/>
      <c r="X124" s="429"/>
      <c r="Y124" s="429"/>
      <c r="Z124" s="429"/>
      <c r="AA124" s="429"/>
    </row>
    <row r="125" spans="1:27" s="428" customFormat="1" x14ac:dyDescent="0.25">
      <c r="A125" s="429"/>
      <c r="B125" s="429"/>
      <c r="C125" s="429"/>
      <c r="D125" s="429"/>
      <c r="E125" s="429"/>
      <c r="F125" s="429"/>
      <c r="G125" s="429"/>
      <c r="H125" s="429"/>
      <c r="I125" s="939" t="str">
        <f>IF(ABS('SOLLECITAZ NASCOSTO'!S6)&lt;=0.01,"","IL FOGLIO COMMETTE UN ERRORE TROPPO GRANDE NEL CALCOLO DELLE SOLLECITAZIONI, E' CONSIGLIABILE NON PROSEGUIRE AL PROEGETTO DELLE ARMATURE")</f>
        <v/>
      </c>
      <c r="J125" s="939"/>
      <c r="K125" s="939"/>
      <c r="L125" s="939"/>
      <c r="M125" s="429"/>
      <c r="N125" s="429"/>
      <c r="O125" s="429"/>
      <c r="P125" s="429"/>
      <c r="Q125" s="429"/>
      <c r="R125" s="429"/>
      <c r="S125" s="429"/>
      <c r="T125" s="429"/>
      <c r="U125" s="429"/>
      <c r="V125" s="429"/>
      <c r="W125" s="429"/>
      <c r="X125" s="429"/>
      <c r="Y125" s="429"/>
      <c r="Z125" s="429"/>
      <c r="AA125" s="429"/>
    </row>
    <row r="126" spans="1:27" s="428" customFormat="1" x14ac:dyDescent="0.25">
      <c r="A126" s="429"/>
      <c r="B126" s="429"/>
      <c r="C126" s="429"/>
      <c r="D126" s="429"/>
      <c r="E126" s="429"/>
      <c r="F126" s="429"/>
      <c r="G126" s="429"/>
      <c r="H126" s="429"/>
      <c r="I126" s="939"/>
      <c r="J126" s="939"/>
      <c r="K126" s="939"/>
      <c r="L126" s="939"/>
      <c r="M126" s="429"/>
      <c r="N126" s="429"/>
      <c r="O126" s="429"/>
      <c r="P126" s="429"/>
      <c r="Q126" s="429"/>
      <c r="R126" s="429"/>
      <c r="S126" s="429"/>
      <c r="T126" s="429"/>
      <c r="U126" s="429"/>
      <c r="V126" s="429"/>
      <c r="W126" s="429"/>
      <c r="X126" s="429"/>
      <c r="Y126" s="429"/>
      <c r="Z126" s="429"/>
      <c r="AA126" s="429"/>
    </row>
    <row r="127" spans="1:27" s="428" customFormat="1" x14ac:dyDescent="0.25">
      <c r="A127" s="429"/>
      <c r="B127" s="429"/>
      <c r="C127" s="429"/>
      <c r="D127" s="429"/>
      <c r="E127" s="429"/>
      <c r="F127" s="429"/>
      <c r="G127" s="429"/>
      <c r="H127" s="429"/>
      <c r="I127" s="939"/>
      <c r="J127" s="939"/>
      <c r="K127" s="939"/>
      <c r="L127" s="939"/>
      <c r="M127" s="429"/>
      <c r="N127" s="429"/>
      <c r="O127" s="429"/>
      <c r="P127" s="429"/>
      <c r="Q127" s="429"/>
      <c r="R127" s="429"/>
      <c r="S127" s="429"/>
      <c r="T127" s="429"/>
      <c r="U127" s="429"/>
      <c r="V127" s="429"/>
      <c r="W127" s="429"/>
      <c r="X127" s="429"/>
      <c r="Y127" s="429"/>
      <c r="Z127" s="429"/>
      <c r="AA127" s="429"/>
    </row>
    <row r="128" spans="1:27" s="428" customFormat="1" x14ac:dyDescent="0.25">
      <c r="A128" s="429"/>
      <c r="B128" s="429"/>
      <c r="C128" s="429"/>
      <c r="D128" s="429"/>
      <c r="E128" s="429"/>
      <c r="F128" s="429"/>
      <c r="G128" s="429"/>
      <c r="H128" s="429"/>
      <c r="I128" s="939"/>
      <c r="J128" s="939"/>
      <c r="K128" s="939"/>
      <c r="L128" s="939"/>
      <c r="M128" s="429"/>
      <c r="N128" s="429"/>
      <c r="O128" s="429"/>
      <c r="P128" s="429"/>
      <c r="Q128" s="429"/>
      <c r="R128" s="429"/>
      <c r="S128" s="429"/>
      <c r="T128" s="429"/>
      <c r="U128" s="429"/>
      <c r="V128" s="429"/>
      <c r="W128" s="429"/>
      <c r="X128" s="429"/>
      <c r="Y128" s="429"/>
      <c r="Z128" s="429"/>
      <c r="AA128" s="429"/>
    </row>
    <row r="129" spans="1:27" s="428" customFormat="1" x14ac:dyDescent="0.25">
      <c r="A129" s="429"/>
      <c r="B129" s="429"/>
      <c r="C129" s="429"/>
      <c r="D129" s="429"/>
      <c r="E129" s="429"/>
      <c r="F129" s="429"/>
      <c r="G129" s="429"/>
      <c r="H129" s="429"/>
      <c r="I129" s="444"/>
      <c r="J129" s="444"/>
      <c r="K129" s="444"/>
      <c r="L129" s="444"/>
      <c r="M129" s="429"/>
      <c r="N129" s="429"/>
      <c r="O129" s="429"/>
      <c r="S129" s="429"/>
      <c r="T129" s="429"/>
      <c r="U129" s="429"/>
      <c r="V129" s="429"/>
      <c r="W129" s="429"/>
      <c r="X129" s="429"/>
      <c r="Y129" s="429"/>
      <c r="Z129" s="429"/>
      <c r="AA129" s="429"/>
    </row>
    <row r="130" spans="1:27" s="428" customFormat="1" x14ac:dyDescent="0.25">
      <c r="A130" s="429"/>
      <c r="B130" s="429"/>
      <c r="C130" s="429"/>
      <c r="D130" s="429"/>
      <c r="E130" s="429"/>
      <c r="F130" s="429"/>
      <c r="G130" s="429"/>
      <c r="H130" s="429"/>
      <c r="I130" s="429"/>
      <c r="J130" s="429"/>
      <c r="K130" s="429"/>
      <c r="L130" s="429"/>
      <c r="M130" s="429"/>
      <c r="N130" s="429"/>
      <c r="O130" s="429"/>
      <c r="S130" s="429"/>
      <c r="T130" s="429"/>
      <c r="U130" s="429"/>
      <c r="V130" s="429"/>
      <c r="W130" s="429"/>
      <c r="X130" s="429"/>
      <c r="Y130" s="429"/>
      <c r="Z130" s="429"/>
      <c r="AA130" s="429"/>
    </row>
    <row r="131" spans="1:27" s="428" customFormat="1" x14ac:dyDescent="0.25">
      <c r="A131" s="429"/>
      <c r="B131" s="429"/>
      <c r="C131" s="429"/>
      <c r="D131" s="429"/>
      <c r="E131" s="429"/>
      <c r="F131" s="429"/>
      <c r="G131" s="429"/>
      <c r="H131" s="429"/>
      <c r="I131" s="429"/>
      <c r="J131" s="429"/>
      <c r="K131" s="429"/>
      <c r="L131" s="429"/>
      <c r="M131" s="429"/>
      <c r="N131" s="429"/>
      <c r="O131" s="429"/>
      <c r="S131" s="429"/>
      <c r="T131" s="429"/>
      <c r="U131" s="429"/>
      <c r="V131" s="429"/>
      <c r="W131" s="429"/>
      <c r="X131" s="429"/>
      <c r="Y131" s="429"/>
      <c r="Z131" s="429"/>
      <c r="AA131" s="429"/>
    </row>
    <row r="132" spans="1:27" s="428" customFormat="1" x14ac:dyDescent="0.25">
      <c r="A132" s="429"/>
      <c r="B132" s="429"/>
      <c r="C132" s="429"/>
      <c r="D132" s="429"/>
      <c r="E132" s="429"/>
      <c r="F132" s="429"/>
      <c r="G132" s="429"/>
      <c r="H132" s="429"/>
      <c r="I132" s="429"/>
      <c r="J132" s="429"/>
      <c r="K132" s="429"/>
      <c r="L132" s="429"/>
      <c r="M132" s="429"/>
      <c r="N132" s="429"/>
      <c r="O132" s="429"/>
      <c r="S132" s="429"/>
      <c r="T132" s="429"/>
      <c r="U132" s="429"/>
      <c r="V132" s="429"/>
      <c r="W132" s="429"/>
      <c r="X132" s="429"/>
      <c r="Y132" s="429"/>
      <c r="Z132" s="429"/>
      <c r="AA132" s="429"/>
    </row>
    <row r="133" spans="1:27" s="428" customFormat="1" x14ac:dyDescent="0.25">
      <c r="A133" s="429"/>
      <c r="B133" s="429"/>
      <c r="C133" s="429"/>
      <c r="D133" s="429"/>
      <c r="E133" s="429"/>
      <c r="F133" s="429"/>
      <c r="G133" s="429"/>
      <c r="H133" s="429"/>
      <c r="I133" s="429"/>
      <c r="J133" s="429"/>
      <c r="K133" s="429"/>
      <c r="L133" s="429"/>
      <c r="M133" s="429"/>
      <c r="N133" s="429"/>
      <c r="O133" s="429"/>
      <c r="S133" s="429"/>
      <c r="T133" s="429"/>
      <c r="U133" s="429"/>
      <c r="V133" s="429"/>
      <c r="W133" s="429"/>
      <c r="X133" s="429"/>
      <c r="Y133" s="429"/>
      <c r="Z133" s="429"/>
      <c r="AA133" s="429"/>
    </row>
    <row r="134" spans="1:27" s="428" customFormat="1" x14ac:dyDescent="0.25">
      <c r="A134" s="429"/>
      <c r="B134" s="429"/>
      <c r="C134" s="429"/>
      <c r="D134" s="429"/>
      <c r="E134" s="429"/>
      <c r="F134" s="429"/>
      <c r="G134" s="429"/>
      <c r="H134" s="429"/>
      <c r="I134" s="11"/>
      <c r="J134" s="429"/>
      <c r="K134" s="429"/>
      <c r="L134" s="429"/>
      <c r="M134" s="429"/>
      <c r="N134" s="429"/>
      <c r="O134" s="429"/>
      <c r="S134" s="429"/>
      <c r="T134" s="429"/>
      <c r="U134" s="429"/>
      <c r="V134" s="429"/>
      <c r="W134" s="429"/>
      <c r="X134" s="429"/>
      <c r="Y134" s="429"/>
      <c r="Z134" s="429"/>
      <c r="AA134" s="429"/>
    </row>
    <row r="135" spans="1:27" s="428" customFormat="1" x14ac:dyDescent="0.25">
      <c r="A135" s="429"/>
      <c r="B135" s="429"/>
      <c r="C135" s="429"/>
      <c r="D135" s="429"/>
      <c r="E135" s="429"/>
      <c r="F135" s="429"/>
      <c r="G135" s="429"/>
      <c r="H135" s="429"/>
      <c r="I135" s="429"/>
      <c r="J135" s="429"/>
      <c r="K135" s="429"/>
      <c r="L135" s="429"/>
      <c r="M135" s="429"/>
      <c r="N135" s="429"/>
      <c r="O135" s="429"/>
      <c r="S135" s="429"/>
      <c r="T135" s="429"/>
      <c r="U135" s="429"/>
      <c r="V135" s="429"/>
      <c r="W135" s="429"/>
      <c r="X135" s="429"/>
      <c r="Y135" s="429"/>
      <c r="Z135" s="429"/>
      <c r="AA135" s="429"/>
    </row>
    <row r="136" spans="1:27" s="428" customFormat="1" x14ac:dyDescent="0.25">
      <c r="A136" s="429"/>
      <c r="B136" s="429"/>
      <c r="C136" s="429"/>
      <c r="D136" s="429"/>
      <c r="E136" s="429"/>
      <c r="F136" s="429"/>
      <c r="G136" s="429"/>
      <c r="H136" s="429"/>
      <c r="I136" s="429"/>
      <c r="J136" s="429"/>
      <c r="K136" s="429"/>
      <c r="L136" s="429"/>
      <c r="M136" s="429"/>
      <c r="N136" s="429"/>
      <c r="O136" s="429"/>
      <c r="S136" s="429"/>
      <c r="T136" s="429"/>
      <c r="U136" s="429"/>
      <c r="V136" s="429"/>
      <c r="W136" s="429"/>
      <c r="X136" s="429"/>
      <c r="Y136" s="429"/>
      <c r="Z136" s="429"/>
      <c r="AA136" s="429"/>
    </row>
    <row r="137" spans="1:27" s="428" customFormat="1" x14ac:dyDescent="0.25">
      <c r="A137" s="429"/>
      <c r="B137" s="429"/>
      <c r="C137" s="429"/>
      <c r="D137" s="429"/>
      <c r="E137" s="429"/>
      <c r="F137" s="429"/>
      <c r="G137" s="429"/>
      <c r="H137" s="429"/>
      <c r="I137" s="429"/>
      <c r="J137" s="429"/>
      <c r="K137" s="429"/>
      <c r="L137" s="429"/>
      <c r="M137" s="429"/>
      <c r="N137" s="429"/>
      <c r="O137" s="429"/>
      <c r="S137" s="429"/>
      <c r="T137" s="429"/>
      <c r="U137" s="429"/>
      <c r="V137" s="429"/>
      <c r="W137" s="429"/>
      <c r="X137" s="429"/>
      <c r="Y137" s="429"/>
      <c r="Z137" s="429"/>
      <c r="AA137" s="429"/>
    </row>
    <row r="138" spans="1:27" s="428" customFormat="1" x14ac:dyDescent="0.25">
      <c r="A138" s="429"/>
      <c r="B138" s="429"/>
      <c r="C138" s="429"/>
      <c r="D138" s="429"/>
      <c r="E138" s="429"/>
      <c r="F138" s="429"/>
      <c r="G138" s="429"/>
      <c r="H138" s="429"/>
      <c r="I138" s="429"/>
      <c r="J138" s="429"/>
      <c r="K138" s="429"/>
      <c r="L138" s="429"/>
      <c r="M138" s="429"/>
      <c r="N138" s="429"/>
      <c r="O138" s="429"/>
      <c r="S138" s="429"/>
      <c r="T138" s="429"/>
      <c r="U138" s="429"/>
      <c r="V138" s="429"/>
      <c r="W138" s="429"/>
      <c r="X138" s="429"/>
      <c r="Y138" s="429"/>
      <c r="Z138" s="429"/>
      <c r="AA138" s="429"/>
    </row>
    <row r="139" spans="1:27" s="428" customFormat="1" x14ac:dyDescent="0.25">
      <c r="A139" s="429"/>
      <c r="B139" s="429"/>
      <c r="C139" s="429"/>
      <c r="D139" s="429"/>
      <c r="E139" s="429"/>
      <c r="F139" s="429"/>
      <c r="G139" s="429"/>
      <c r="H139" s="429"/>
      <c r="I139" s="429"/>
      <c r="J139" s="429"/>
      <c r="K139" s="429"/>
      <c r="L139" s="429"/>
      <c r="M139" s="429"/>
      <c r="N139" s="429"/>
      <c r="O139" s="429"/>
      <c r="S139" s="429"/>
      <c r="T139" s="429"/>
      <c r="U139" s="429"/>
      <c r="V139" s="429"/>
      <c r="W139" s="429"/>
      <c r="X139" s="429"/>
      <c r="Y139" s="429"/>
      <c r="Z139" s="429"/>
      <c r="AA139" s="429"/>
    </row>
    <row r="140" spans="1:27" s="428" customFormat="1" x14ac:dyDescent="0.25">
      <c r="A140" s="429"/>
      <c r="B140" s="429"/>
      <c r="C140" s="429"/>
      <c r="D140" s="429"/>
      <c r="E140" s="429"/>
      <c r="F140" s="429"/>
      <c r="G140" s="429"/>
      <c r="H140" s="429"/>
      <c r="I140" s="444"/>
      <c r="J140" s="444"/>
      <c r="K140" s="444"/>
      <c r="L140" s="444"/>
      <c r="M140" s="429"/>
      <c r="N140" s="429"/>
      <c r="O140" s="429"/>
      <c r="S140" s="429"/>
      <c r="T140" s="429"/>
      <c r="U140" s="429"/>
      <c r="V140" s="429"/>
      <c r="W140" s="429"/>
      <c r="X140" s="429"/>
      <c r="Y140" s="429"/>
      <c r="Z140" s="429"/>
      <c r="AA140" s="429"/>
    </row>
    <row r="141" spans="1:27" s="428" customFormat="1" x14ac:dyDescent="0.25">
      <c r="A141" s="429"/>
      <c r="B141" s="429"/>
      <c r="C141" s="429"/>
      <c r="D141" s="429"/>
      <c r="E141" s="429"/>
      <c r="F141" s="429"/>
      <c r="G141" s="429"/>
      <c r="H141" s="429"/>
      <c r="I141" s="444"/>
      <c r="J141" s="444"/>
      <c r="K141" s="444"/>
      <c r="L141" s="444"/>
      <c r="M141" s="429"/>
      <c r="N141" s="429"/>
      <c r="O141" s="429"/>
      <c r="S141" s="429"/>
      <c r="T141" s="429"/>
      <c r="U141" s="429"/>
      <c r="V141" s="429"/>
      <c r="W141" s="429"/>
      <c r="X141" s="429"/>
      <c r="Y141" s="429"/>
      <c r="Z141" s="429"/>
      <c r="AA141" s="429"/>
    </row>
    <row r="142" spans="1:27" s="428" customFormat="1" x14ac:dyDescent="0.25">
      <c r="A142" s="429"/>
      <c r="B142" s="429"/>
      <c r="C142" s="429"/>
      <c r="D142" s="429"/>
      <c r="E142" s="429"/>
      <c r="F142" s="429"/>
      <c r="G142" s="429"/>
      <c r="H142" s="429"/>
      <c r="I142" s="940" t="str">
        <f>IF('SOLLECITAZ NASCOSTO'!S9="","",IF('SOLLECITAZ NASCOSTO'!S9&lt;0.03,"","IL FOGLIO COMMETTE UN ERRORE TROPPO GRANDE NEL CALCOLO DELLE SOLLECITAZIONI, E' CONSIGLIABILE NON PROSEGUIRE AL PROEGETTO DELLE ARMATURE"))</f>
        <v/>
      </c>
      <c r="J142" s="940"/>
      <c r="K142" s="940"/>
      <c r="L142" s="940"/>
      <c r="M142" s="429"/>
      <c r="N142" s="429"/>
      <c r="O142" s="429"/>
      <c r="S142" s="429"/>
      <c r="T142" s="429"/>
      <c r="U142" s="429"/>
      <c r="V142" s="429"/>
      <c r="W142" s="429"/>
      <c r="X142" s="429"/>
      <c r="Y142" s="429"/>
      <c r="Z142" s="429"/>
      <c r="AA142" s="429"/>
    </row>
    <row r="143" spans="1:27" s="428" customFormat="1" x14ac:dyDescent="0.25">
      <c r="A143" s="429"/>
      <c r="B143" s="429"/>
      <c r="C143" s="429"/>
      <c r="D143" s="429"/>
      <c r="E143" s="429"/>
      <c r="F143" s="429"/>
      <c r="G143" s="429"/>
      <c r="H143" s="429"/>
      <c r="I143" s="940"/>
      <c r="J143" s="940"/>
      <c r="K143" s="940"/>
      <c r="L143" s="940"/>
      <c r="M143" s="429"/>
      <c r="N143" s="429"/>
      <c r="O143" s="429"/>
      <c r="S143" s="429"/>
      <c r="T143" s="429"/>
      <c r="U143" s="429"/>
      <c r="V143" s="429"/>
      <c r="W143" s="429"/>
      <c r="X143" s="429"/>
      <c r="Y143" s="429"/>
      <c r="Z143" s="429"/>
      <c r="AA143" s="429"/>
    </row>
    <row r="144" spans="1:27" s="428" customFormat="1" x14ac:dyDescent="0.25">
      <c r="A144" s="429"/>
      <c r="B144" s="429"/>
      <c r="C144" s="429"/>
      <c r="D144" s="429"/>
      <c r="E144" s="429"/>
      <c r="F144" s="429"/>
      <c r="G144" s="429"/>
      <c r="H144" s="429"/>
      <c r="I144" s="940"/>
      <c r="J144" s="940"/>
      <c r="K144" s="940"/>
      <c r="L144" s="940"/>
      <c r="M144" s="429"/>
      <c r="N144" s="429"/>
      <c r="O144" s="429"/>
      <c r="P144" s="429"/>
      <c r="Q144" s="429"/>
      <c r="R144" s="429"/>
      <c r="S144" s="429"/>
      <c r="T144" s="429"/>
      <c r="U144" s="429"/>
      <c r="V144" s="429"/>
      <c r="W144" s="429"/>
      <c r="X144" s="429"/>
      <c r="Y144" s="429"/>
      <c r="Z144" s="429"/>
      <c r="AA144" s="429"/>
    </row>
    <row r="145" spans="1:27" s="428" customFormat="1" x14ac:dyDescent="0.25">
      <c r="A145" s="429"/>
      <c r="B145" s="429"/>
      <c r="C145" s="429"/>
      <c r="D145" s="429"/>
      <c r="E145" s="429"/>
      <c r="F145" s="429"/>
      <c r="G145" s="429"/>
      <c r="H145" s="429"/>
      <c r="I145" s="940"/>
      <c r="J145" s="940"/>
      <c r="K145" s="940"/>
      <c r="L145" s="940"/>
      <c r="M145" s="429"/>
      <c r="N145" s="429"/>
      <c r="O145" s="429"/>
      <c r="P145" s="429"/>
      <c r="Q145" s="429"/>
      <c r="R145" s="429"/>
      <c r="S145" s="429"/>
      <c r="T145" s="429"/>
      <c r="U145" s="429"/>
      <c r="V145" s="429"/>
      <c r="W145" s="429"/>
      <c r="X145" s="429"/>
      <c r="Y145" s="429"/>
      <c r="Z145" s="429"/>
      <c r="AA145" s="429"/>
    </row>
    <row r="146" spans="1:27" s="428" customFormat="1" x14ac:dyDescent="0.25">
      <c r="A146" s="429"/>
      <c r="B146" s="429"/>
      <c r="C146" s="429"/>
      <c r="D146" s="429"/>
      <c r="E146" s="429"/>
      <c r="F146" s="429"/>
      <c r="G146" s="429"/>
      <c r="H146" s="429"/>
      <c r="I146" s="444"/>
      <c r="J146" s="444"/>
      <c r="K146" s="444"/>
      <c r="L146" s="444"/>
      <c r="M146" s="429"/>
      <c r="N146" s="429"/>
      <c r="O146" s="429"/>
      <c r="P146" s="429"/>
      <c r="Q146" s="429"/>
      <c r="R146" s="429"/>
      <c r="S146" s="429"/>
      <c r="T146" s="429"/>
      <c r="U146" s="429"/>
      <c r="V146" s="429"/>
      <c r="W146" s="429"/>
      <c r="X146" s="429"/>
      <c r="Y146" s="429"/>
      <c r="Z146" s="429"/>
      <c r="AA146" s="429"/>
    </row>
    <row r="147" spans="1:27" s="428" customFormat="1" x14ac:dyDescent="0.25">
      <c r="A147" s="429"/>
      <c r="B147" s="429"/>
      <c r="C147" s="429"/>
      <c r="D147" s="429"/>
      <c r="E147" s="429"/>
      <c r="F147" s="429"/>
      <c r="G147" s="429"/>
      <c r="H147" s="429"/>
      <c r="I147" s="444"/>
      <c r="J147" s="444"/>
      <c r="K147" s="444"/>
      <c r="L147" s="444"/>
      <c r="M147" s="429"/>
      <c r="N147" s="429"/>
      <c r="O147" s="429"/>
      <c r="P147" s="429"/>
      <c r="Q147" s="429"/>
      <c r="R147" s="429"/>
      <c r="S147" s="429"/>
      <c r="T147" s="429"/>
      <c r="U147" s="429"/>
      <c r="V147" s="429"/>
      <c r="W147" s="429"/>
      <c r="X147" s="429"/>
      <c r="Y147" s="429"/>
      <c r="Z147" s="429"/>
      <c r="AA147" s="429"/>
    </row>
    <row r="148" spans="1:27" s="428" customFormat="1" x14ac:dyDescent="0.25">
      <c r="A148" s="429"/>
      <c r="B148" s="429"/>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c r="AA148" s="429"/>
    </row>
    <row r="149" spans="1:27" s="428" customFormat="1" x14ac:dyDescent="0.25">
      <c r="A149" s="429"/>
      <c r="B149" s="429"/>
      <c r="C149" s="429"/>
      <c r="D149" s="429"/>
      <c r="E149" s="429"/>
      <c r="F149" s="429"/>
      <c r="G149" s="429"/>
      <c r="H149" s="429"/>
      <c r="I149" s="429"/>
      <c r="J149" s="429"/>
      <c r="K149" s="429"/>
      <c r="L149" s="429"/>
      <c r="M149" s="429"/>
      <c r="N149" s="429"/>
      <c r="O149" s="429"/>
      <c r="P149" s="429"/>
      <c r="Q149" s="429"/>
      <c r="R149" s="429"/>
      <c r="S149" s="429"/>
      <c r="T149" s="429"/>
      <c r="U149" s="429"/>
      <c r="V149" s="429"/>
      <c r="W149" s="429"/>
      <c r="X149" s="429"/>
      <c r="Y149" s="429"/>
      <c r="Z149" s="429"/>
      <c r="AA149" s="429"/>
    </row>
    <row r="150" spans="1:27" s="428" customFormat="1" x14ac:dyDescent="0.25">
      <c r="A150" s="429"/>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row>
    <row r="151" spans="1:27" s="428" customFormat="1" x14ac:dyDescent="0.25">
      <c r="A151" s="429"/>
      <c r="B151" s="429"/>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c r="AA151" s="429"/>
    </row>
    <row r="152" spans="1:27" s="428" customFormat="1" x14ac:dyDescent="0.25">
      <c r="A152" s="429"/>
      <c r="B152" s="946" t="s">
        <v>21</v>
      </c>
      <c r="C152" s="944" t="s">
        <v>993</v>
      </c>
      <c r="D152" s="845" t="s">
        <v>23</v>
      </c>
      <c r="E152" s="942" t="s">
        <v>31</v>
      </c>
      <c r="F152" s="942" t="s">
        <v>931</v>
      </c>
      <c r="G152" s="429"/>
      <c r="H152" s="429"/>
      <c r="I152" s="429"/>
      <c r="J152" s="429"/>
      <c r="K152" s="429"/>
      <c r="L152" s="429"/>
      <c r="M152" s="664"/>
      <c r="N152" s="429"/>
      <c r="O152" s="664"/>
      <c r="P152" s="554"/>
      <c r="Q152" s="554"/>
      <c r="R152" s="554"/>
      <c r="S152" s="429"/>
      <c r="W152" s="429"/>
      <c r="X152" s="429"/>
      <c r="Y152" s="429"/>
      <c r="Z152" s="429"/>
      <c r="AA152" s="429"/>
    </row>
    <row r="153" spans="1:27" s="428" customFormat="1" x14ac:dyDescent="0.25">
      <c r="A153" s="429"/>
      <c r="B153" s="947"/>
      <c r="C153" s="945"/>
      <c r="D153" s="845"/>
      <c r="E153" s="943"/>
      <c r="F153" s="943"/>
      <c r="G153" s="429"/>
      <c r="H153" s="429"/>
      <c r="I153" s="429"/>
      <c r="J153" s="429"/>
      <c r="K153" s="429"/>
      <c r="L153" s="429"/>
      <c r="M153" s="664"/>
      <c r="N153" s="429"/>
      <c r="O153" s="664"/>
      <c r="P153" s="554"/>
      <c r="Q153" s="554"/>
      <c r="R153" s="554"/>
      <c r="S153" s="429"/>
      <c r="W153" s="429"/>
      <c r="X153" s="429"/>
      <c r="Y153" s="429"/>
      <c r="Z153" s="429"/>
      <c r="AA153" s="429"/>
    </row>
    <row r="154" spans="1:27" s="428" customFormat="1" x14ac:dyDescent="0.25">
      <c r="A154" s="429"/>
      <c r="B154" s="651">
        <v>0</v>
      </c>
      <c r="C154" s="543">
        <f>VLOOKUP(sezione!AG47,'SOLLECITAZ NASCOSTO'!$S$32:$T$448,2,TRUE)</f>
        <v>3.35</v>
      </c>
      <c r="D154" s="665">
        <f>VLOOKUP(sezione!AG47,'SOLLECITAZ NASCOSTO'!$C$32:$M$448,2,FALSE)</f>
        <v>0.3</v>
      </c>
      <c r="E154" s="359">
        <f>VLOOKUP(C154,'SOLLECITAZ NASCOSTO'!$T$23:$V$448,2,FALSE)</f>
        <v>0</v>
      </c>
      <c r="F154" s="360">
        <f>VLOOKUP(C154,'SOLLECITAZ NASCOSTO'!$T$23:$V$448,3,FALSE)</f>
        <v>0</v>
      </c>
      <c r="G154" s="429"/>
      <c r="H154" s="429"/>
      <c r="I154" s="429"/>
      <c r="J154" s="429"/>
      <c r="K154" s="429"/>
      <c r="L154" s="429"/>
      <c r="M154" s="664"/>
      <c r="N154" s="429"/>
      <c r="O154" s="664"/>
      <c r="P154" s="554"/>
      <c r="Q154" s="554"/>
      <c r="R154" s="554"/>
      <c r="S154" s="429"/>
      <c r="W154" s="429"/>
      <c r="X154" s="429"/>
      <c r="Y154" s="429"/>
      <c r="Z154" s="429"/>
      <c r="AA154" s="429"/>
    </row>
    <row r="155" spans="1:27" s="428" customFormat="1" x14ac:dyDescent="0.25">
      <c r="A155" s="429"/>
      <c r="B155" s="651">
        <f t="shared" ref="B155:B164" si="0">B154+1</f>
        <v>1</v>
      </c>
      <c r="C155" s="543">
        <f>VLOOKUP(sezione!AG48,'SOLLECITAZ NASCOSTO'!$S$32:$T$448,2,TRUE)</f>
        <v>3.0691105769230771</v>
      </c>
      <c r="D155" s="665">
        <f>VLOOKUP(sezione!AG48,'SOLLECITAZ NASCOSTO'!$C$32:$M$448,2,TRUE)</f>
        <v>0.30000098557692306</v>
      </c>
      <c r="E155" s="359">
        <f>VLOOKUP(C155,'SOLLECITAZ NASCOSTO'!$T$23:$V$448,2,FALSE)</f>
        <v>1.4411854045006565</v>
      </c>
      <c r="F155" s="360">
        <f>VLOOKUP(C155,'SOLLECITAZ NASCOSTO'!$T$23:$V$448,3,FALSE)</f>
        <v>-0.18943953028727276</v>
      </c>
      <c r="G155" s="429"/>
      <c r="H155" s="429"/>
      <c r="I155" s="429"/>
      <c r="J155" s="429"/>
      <c r="K155" s="429"/>
      <c r="L155" s="429"/>
      <c r="M155" s="664"/>
      <c r="N155" s="429"/>
      <c r="O155" s="664"/>
      <c r="P155" s="554"/>
      <c r="Q155" s="554"/>
      <c r="R155" s="554"/>
      <c r="S155" s="429"/>
      <c r="W155" s="429"/>
      <c r="X155" s="429"/>
      <c r="Y155" s="429"/>
      <c r="Z155" s="429"/>
      <c r="AA155" s="429"/>
    </row>
    <row r="156" spans="1:27" s="428" customFormat="1" x14ac:dyDescent="0.25">
      <c r="A156" s="429"/>
      <c r="B156" s="651">
        <f t="shared" si="0"/>
        <v>2</v>
      </c>
      <c r="C156" s="543">
        <f>VLOOKUP(sezione!AG49,'SOLLECITAZ NASCOSTO'!$S$32:$T$448,2,TRUE)</f>
        <v>2.7813701923076923</v>
      </c>
      <c r="D156" s="665">
        <f>VLOOKUP(sezione!AG49,'SOLLECITAZ NASCOSTO'!$C$32:$M$448,2,TRUE)</f>
        <v>0.30000199519230764</v>
      </c>
      <c r="E156" s="359">
        <f>VLOOKUP(C156,'SOLLECITAZ NASCOSTO'!$T$23:$V$448,2,FALSE)</f>
        <v>3.4922793755436494</v>
      </c>
      <c r="F156" s="360">
        <f>VLOOKUP(C156,'SOLLECITAZ NASCOSTO'!$T$23:$V$448,3,FALSE)</f>
        <v>-0.88527816845511631</v>
      </c>
      <c r="G156" s="429"/>
      <c r="H156" s="429"/>
      <c r="I156" s="429"/>
      <c r="J156" s="429"/>
      <c r="K156" s="429"/>
      <c r="L156" s="429"/>
      <c r="M156" s="444"/>
      <c r="N156" s="429"/>
      <c r="O156" s="444"/>
      <c r="P156" s="442"/>
      <c r="Q156" s="442"/>
      <c r="R156" s="442"/>
      <c r="S156" s="429"/>
      <c r="W156" s="429"/>
      <c r="X156" s="429"/>
      <c r="Y156" s="429"/>
      <c r="Z156" s="429"/>
      <c r="AA156" s="429"/>
    </row>
    <row r="157" spans="1:27" s="428" customFormat="1" x14ac:dyDescent="0.25">
      <c r="A157" s="429"/>
      <c r="B157" s="651">
        <f t="shared" si="0"/>
        <v>3</v>
      </c>
      <c r="C157" s="543">
        <f>VLOOKUP(sezione!AG50,'SOLLECITAZ NASCOSTO'!$S$32:$T$448,2,TRUE)</f>
        <v>2.5004807692307693</v>
      </c>
      <c r="D157" s="665">
        <f>VLOOKUP(sezione!AG50,'SOLLECITAZ NASCOSTO'!$C$32:$M$448,2,TRUE)</f>
        <v>0.30000298076923071</v>
      </c>
      <c r="E157" s="359">
        <f>VLOOKUP(C157,'SOLLECITAZ NASCOSTO'!$T$23:$V$448,2,FALSE)</f>
        <v>6.0556107716507457</v>
      </c>
      <c r="F157" s="360">
        <f>VLOOKUP(C157,'SOLLECITAZ NASCOSTO'!$T$23:$V$448,3,FALSE)</f>
        <v>-2.2132615078574891</v>
      </c>
      <c r="G157" s="429"/>
      <c r="H157" s="429"/>
      <c r="I157" s="429"/>
      <c r="J157" s="429"/>
      <c r="K157" s="429"/>
      <c r="L157" s="429"/>
      <c r="M157" s="666"/>
      <c r="N157" s="429"/>
      <c r="O157" s="666"/>
      <c r="P157" s="555"/>
      <c r="Q157" s="555"/>
      <c r="R157" s="555"/>
      <c r="S157" s="429"/>
      <c r="T157" s="429"/>
      <c r="U157" s="429"/>
      <c r="V157" s="429"/>
      <c r="W157" s="429"/>
      <c r="X157" s="429"/>
      <c r="Y157" s="429"/>
      <c r="Z157" s="429"/>
      <c r="AA157" s="429"/>
    </row>
    <row r="158" spans="1:27" s="428" customFormat="1" x14ac:dyDescent="0.25">
      <c r="A158" s="429"/>
      <c r="B158" s="651">
        <f t="shared" si="0"/>
        <v>4</v>
      </c>
      <c r="C158" s="543">
        <f>VLOOKUP(sezione!AG51,'SOLLECITAZ NASCOSTO'!$S$32:$T$448,2,TRUE)</f>
        <v>2.212740384615385</v>
      </c>
      <c r="D158" s="665">
        <f>VLOOKUP(sezione!AG51,'SOLLECITAZ NASCOSTO'!$C$32:$M$448,2,TRUE)</f>
        <v>0.30000399038461528</v>
      </c>
      <c r="E158" s="359">
        <f>VLOOKUP(C158,'SOLLECITAZ NASCOSTO'!$T$23:$V$448,2,FALSE)</f>
        <v>9.2562201487296036</v>
      </c>
      <c r="F158" s="360">
        <f>VLOOKUP(C158,'SOLLECITAZ NASCOSTO'!$T$23:$V$448,3,FALSE)</f>
        <v>-4.40223767847512</v>
      </c>
      <c r="G158" s="429"/>
      <c r="H158" s="429"/>
      <c r="I158" s="429"/>
      <c r="J158" s="429"/>
      <c r="K158" s="429"/>
      <c r="L158" s="429"/>
      <c r="M158" s="666"/>
      <c r="N158" s="429"/>
      <c r="O158" s="666"/>
      <c r="P158" s="555"/>
      <c r="Q158" s="555"/>
      <c r="R158" s="555"/>
      <c r="S158" s="429"/>
      <c r="T158" s="429"/>
      <c r="U158" s="429"/>
      <c r="V158" s="429"/>
      <c r="W158" s="429"/>
      <c r="X158" s="429"/>
      <c r="Y158" s="429"/>
      <c r="Z158" s="429"/>
      <c r="AA158" s="429"/>
    </row>
    <row r="159" spans="1:27" s="428" customFormat="1" x14ac:dyDescent="0.25">
      <c r="A159" s="429"/>
      <c r="B159" s="651">
        <f t="shared" si="0"/>
        <v>5</v>
      </c>
      <c r="C159" s="543">
        <f>VLOOKUP(sezione!AG52,'SOLLECITAZ NASCOSTO'!$S$32:$T$448,2,TRUE)</f>
        <v>1.925</v>
      </c>
      <c r="D159" s="665">
        <f>VLOOKUP(sezione!AG52,'SOLLECITAZ NASCOSTO'!$C$32:$M$448,2,TRUE)</f>
        <v>0.30000499999999986</v>
      </c>
      <c r="E159" s="359">
        <f>VLOOKUP(C159,'SOLLECITAZ NASCOSTO'!$T$23:$V$448,2,FALSE)</f>
        <v>13.038512020429026</v>
      </c>
      <c r="F159" s="360">
        <f>VLOOKUP(C159,'SOLLECITAZ NASCOSTO'!$T$23:$V$448,3,FALSE)</f>
        <v>-7.5958451946201109</v>
      </c>
      <c r="G159" s="429"/>
      <c r="H159" s="429"/>
      <c r="I159" s="429"/>
      <c r="J159" s="429"/>
      <c r="K159" s="429"/>
      <c r="L159" s="429"/>
      <c r="M159" s="666"/>
      <c r="N159" s="429"/>
      <c r="O159" s="666"/>
      <c r="P159" s="555"/>
      <c r="Q159" s="555"/>
      <c r="R159" s="555"/>
      <c r="S159" s="429"/>
      <c r="T159" s="429"/>
      <c r="U159" s="429"/>
      <c r="V159" s="429"/>
      <c r="W159" s="429"/>
      <c r="X159" s="429"/>
      <c r="Y159" s="429"/>
      <c r="Z159" s="429"/>
      <c r="AA159" s="429"/>
    </row>
    <row r="160" spans="1:27" s="428" customFormat="1" x14ac:dyDescent="0.25">
      <c r="A160" s="429"/>
      <c r="B160" s="651">
        <f t="shared" si="0"/>
        <v>6</v>
      </c>
      <c r="C160" s="543">
        <f>VLOOKUP(sezione!AG53,'SOLLECITAZ NASCOSTO'!$S$32:$T$448,2,TRUE)</f>
        <v>1.644110576923077</v>
      </c>
      <c r="D160" s="665">
        <f>VLOOKUP(sezione!AG53,'SOLLECITAZ NASCOSTO'!$C$32:$M$448,2,TRUE)</f>
        <v>0.30000598557692293</v>
      </c>
      <c r="E160" s="359">
        <f>VLOOKUP(C160,'SOLLECITAZ NASCOSTO'!$T$23:$V$448,2,FALSE)</f>
        <v>17.291822319557873</v>
      </c>
      <c r="F160" s="360">
        <f>VLOOKUP(C160,'SOLLECITAZ NASCOSTO'!$T$23:$V$448,3,FALSE)</f>
        <v>-11.8426129137434</v>
      </c>
      <c r="G160" s="429"/>
      <c r="H160" s="429"/>
      <c r="I160" s="429"/>
      <c r="J160" s="429"/>
      <c r="K160" s="429"/>
      <c r="L160" s="429"/>
      <c r="M160" s="666"/>
      <c r="N160" s="429"/>
      <c r="O160" s="666"/>
      <c r="P160" s="555"/>
      <c r="Q160" s="555"/>
      <c r="R160" s="555"/>
      <c r="S160" s="429"/>
      <c r="T160" s="429"/>
      <c r="U160" s="429"/>
      <c r="V160" s="429"/>
      <c r="W160" s="429"/>
      <c r="X160" s="429"/>
      <c r="Y160" s="429"/>
      <c r="Z160" s="429"/>
      <c r="AA160" s="429"/>
    </row>
    <row r="161" spans="1:27" s="428" customFormat="1" x14ac:dyDescent="0.25">
      <c r="A161" s="429"/>
      <c r="B161" s="651">
        <f t="shared" si="0"/>
        <v>7</v>
      </c>
      <c r="C161" s="543">
        <f>VLOOKUP(sezione!AG54,'SOLLECITAZ NASCOSTO'!$S$32:$T$448,2,TRUE)</f>
        <v>1.3563701923076925</v>
      </c>
      <c r="D161" s="665">
        <f>VLOOKUP(sezione!AG54,'SOLLECITAZ NASCOSTO'!$C$32:$M$448,2,TRUE)</f>
        <v>0.3000069951923075</v>
      </c>
      <c r="E161" s="359">
        <f>VLOOKUP(C161,'SOLLECITAZ NASCOSTO'!$T$23:$V$448,2,FALSE)</f>
        <v>22.223629597293154</v>
      </c>
      <c r="F161" s="360">
        <f>VLOOKUP(C161,'SOLLECITAZ NASCOSTO'!$T$23:$V$448,3,FALSE)</f>
        <v>-17.513768691665764</v>
      </c>
      <c r="G161" s="429"/>
      <c r="H161" s="429"/>
      <c r="I161" s="429"/>
      <c r="J161" s="429"/>
      <c r="K161" s="429"/>
      <c r="L161" s="429"/>
      <c r="M161" s="429"/>
      <c r="N161" s="429"/>
      <c r="O161" s="429"/>
      <c r="P161" s="429"/>
      <c r="Q161" s="429"/>
      <c r="R161" s="429"/>
      <c r="S161" s="429"/>
      <c r="T161" s="429"/>
      <c r="U161" s="429"/>
      <c r="V161" s="429"/>
      <c r="W161" s="429"/>
      <c r="X161" s="429"/>
      <c r="Y161" s="429"/>
      <c r="Z161" s="429"/>
      <c r="AA161" s="429"/>
    </row>
    <row r="162" spans="1:27" s="428" customFormat="1" x14ac:dyDescent="0.25">
      <c r="A162" s="429"/>
      <c r="B162" s="651">
        <f t="shared" si="0"/>
        <v>8</v>
      </c>
      <c r="C162" s="543">
        <f>VLOOKUP(sezione!AG55,'SOLLECITAZ NASCOSTO'!$S$32:$T$448,2,TRUE)</f>
        <v>1.0754807692307695</v>
      </c>
      <c r="D162" s="665">
        <f>VLOOKUP(sezione!AG55,'SOLLECITAZ NASCOSTO'!$C$32:$M$448,2,TRUE)</f>
        <v>0.30000798076923058</v>
      </c>
      <c r="E162" s="359">
        <f>VLOOKUP(C162,'SOLLECITAZ NASCOSTO'!$T$23:$V$448,2,FALSE)</f>
        <v>27.599085888028444</v>
      </c>
      <c r="F162" s="360">
        <f>VLOOKUP(C162,'SOLLECITAZ NASCOSTO'!$T$23:$V$448,3,FALSE)</f>
        <v>-24.498138257943335</v>
      </c>
      <c r="G162" s="429"/>
      <c r="H162" s="429"/>
      <c r="I162" s="429"/>
      <c r="J162" s="429"/>
      <c r="K162" s="429"/>
      <c r="L162" s="429"/>
      <c r="M162" s="429"/>
      <c r="N162" s="429"/>
      <c r="O162" s="429"/>
      <c r="P162" s="429"/>
      <c r="Q162" s="429"/>
      <c r="R162" s="429"/>
      <c r="S162" s="429"/>
      <c r="T162" s="429"/>
      <c r="U162" s="429"/>
      <c r="V162" s="429"/>
      <c r="W162" s="429"/>
      <c r="X162" s="429"/>
      <c r="Y162" s="429"/>
      <c r="Z162" s="429"/>
      <c r="AA162" s="429"/>
    </row>
    <row r="163" spans="1:27" s="428" customFormat="1" x14ac:dyDescent="0.25">
      <c r="A163" s="429"/>
      <c r="B163" s="651">
        <f t="shared" si="0"/>
        <v>9</v>
      </c>
      <c r="C163" s="543">
        <f>VLOOKUP(sezione!AG56,'SOLLECITAZ NASCOSTO'!$S$32:$T$448,2,TRUE)</f>
        <v>0.78774038461538476</v>
      </c>
      <c r="D163" s="665">
        <f>VLOOKUP(sezione!AG56,'SOLLECITAZ NASCOSTO'!$C$32:$M$448,2,TRUE)</f>
        <v>0.30000899038461515</v>
      </c>
      <c r="E163" s="359">
        <f>VLOOKUP(C163,'SOLLECITAZ NASCOSTO'!$T$23:$V$448,2,FALSE)</f>
        <v>33.680408571799653</v>
      </c>
      <c r="F163" s="360">
        <f>VLOOKUP(C163,'SOLLECITAZ NASCOSTO'!$T$23:$V$448,3,FALSE)</f>
        <v>-33.300491021916606</v>
      </c>
      <c r="G163" s="429"/>
      <c r="H163" s="429"/>
      <c r="I163" s="429"/>
      <c r="J163" s="429"/>
      <c r="K163" s="429"/>
      <c r="L163" s="429"/>
      <c r="M163" s="429"/>
      <c r="N163" s="429"/>
      <c r="O163" s="429"/>
      <c r="P163" s="429"/>
      <c r="Y163" s="429"/>
      <c r="Z163" s="429"/>
      <c r="AA163" s="429"/>
    </row>
    <row r="164" spans="1:27" s="428" customFormat="1" x14ac:dyDescent="0.25">
      <c r="A164" s="429"/>
      <c r="B164" s="651">
        <f t="shared" si="0"/>
        <v>10</v>
      </c>
      <c r="C164" s="543">
        <f>VLOOKUP(sezione!AG57,'SOLLECITAZ NASCOSTO'!$S$32:$T$448,2,TRUE)</f>
        <v>0.5</v>
      </c>
      <c r="D164" s="665">
        <f>VLOOKUP(sezione!AG57,'SOLLECITAZ NASCOSTO'!$C$32:$M$448,2,TRUE)</f>
        <v>0.30000999999999978</v>
      </c>
      <c r="E164" s="359">
        <f>VLOOKUP(C164,'SOLLECITAZ NASCOSTO'!$T$23:$V$448,2,FALSE)</f>
        <v>40.361306950783039</v>
      </c>
      <c r="F164" s="360">
        <f>VLOOKUP(C164,'SOLLECITAZ NASCOSTO'!$T$23:$V$448,3,FALSE)</f>
        <v>-43.936434027868202</v>
      </c>
      <c r="G164" s="429"/>
      <c r="H164" s="429"/>
      <c r="I164" s="429"/>
      <c r="J164" s="429"/>
      <c r="K164" s="429"/>
      <c r="L164" s="429"/>
      <c r="M164" s="429"/>
      <c r="N164" s="429"/>
      <c r="O164" s="429"/>
      <c r="P164" s="429"/>
      <c r="Y164" s="429"/>
      <c r="Z164" s="429"/>
      <c r="AA164" s="429"/>
    </row>
    <row r="165" spans="1:27" s="428" customFormat="1" x14ac:dyDescent="0.25">
      <c r="A165" s="429"/>
      <c r="B165" s="20"/>
      <c r="C165" s="657"/>
      <c r="D165" s="667"/>
      <c r="E165" s="659"/>
      <c r="F165" s="366"/>
      <c r="G165" s="429"/>
      <c r="H165" s="429"/>
      <c r="I165" s="429"/>
      <c r="J165" s="429"/>
      <c r="K165" s="429"/>
      <c r="L165" s="429"/>
      <c r="M165" s="429"/>
      <c r="N165" s="429"/>
      <c r="O165" s="429"/>
      <c r="P165" s="429"/>
      <c r="Y165" s="429"/>
      <c r="Z165" s="429"/>
      <c r="AA165" s="429"/>
    </row>
    <row r="166" spans="1:27" s="428" customFormat="1" x14ac:dyDescent="0.25">
      <c r="A166" s="429"/>
      <c r="B166" s="429"/>
      <c r="C166" s="429"/>
      <c r="D166" s="429"/>
      <c r="E166" s="429"/>
      <c r="F166" s="429"/>
      <c r="G166" s="429"/>
      <c r="H166" s="429"/>
      <c r="I166" s="429"/>
      <c r="J166" s="429"/>
      <c r="K166" s="429"/>
      <c r="L166" s="429"/>
      <c r="M166" s="429"/>
      <c r="N166" s="429"/>
      <c r="O166" s="429"/>
      <c r="P166" s="429"/>
      <c r="Y166" s="429"/>
      <c r="Z166" s="429"/>
      <c r="AA166" s="429"/>
    </row>
    <row r="167" spans="1:27" s="428" customFormat="1" x14ac:dyDescent="0.25">
      <c r="A167" s="429"/>
      <c r="B167" s="429"/>
      <c r="C167" s="429"/>
      <c r="D167" s="429"/>
      <c r="E167" s="429"/>
      <c r="F167" s="429"/>
      <c r="G167" s="429"/>
      <c r="H167" s="429"/>
      <c r="I167" s="429"/>
      <c r="J167" s="429"/>
      <c r="K167" s="429"/>
      <c r="L167" s="429"/>
      <c r="M167" s="429"/>
      <c r="N167" s="429"/>
      <c r="O167" s="429"/>
      <c r="P167" s="429"/>
      <c r="Y167" s="429"/>
      <c r="Z167" s="429"/>
      <c r="AA167" s="429"/>
    </row>
    <row r="168" spans="1:27" s="428" customFormat="1" x14ac:dyDescent="0.25">
      <c r="A168" s="429"/>
      <c r="Q168" s="33"/>
    </row>
    <row r="169" spans="1:27" s="428" customFormat="1" x14ac:dyDescent="0.25">
      <c r="A169" s="429"/>
      <c r="Q169" s="33"/>
    </row>
    <row r="170" spans="1:27" s="428" customFormat="1" x14ac:dyDescent="0.25">
      <c r="A170" s="429"/>
      <c r="Q170" s="33"/>
    </row>
    <row r="171" spans="1:27" s="428" customFormat="1" x14ac:dyDescent="0.25">
      <c r="A171" s="429"/>
      <c r="Q171" s="33"/>
    </row>
    <row r="172" spans="1:27" s="428" customFormat="1" x14ac:dyDescent="0.25">
      <c r="A172" s="429"/>
      <c r="Q172" s="33"/>
    </row>
    <row r="173" spans="1:27" s="428" customFormat="1" x14ac:dyDescent="0.25">
      <c r="A173" s="429"/>
      <c r="Q173" s="33"/>
    </row>
    <row r="174" spans="1:27" s="428" customFormat="1" x14ac:dyDescent="0.25">
      <c r="A174" s="429"/>
      <c r="Q174" s="33"/>
    </row>
    <row r="175" spans="1:27" s="428" customFormat="1" x14ac:dyDescent="0.25">
      <c r="A175" s="429"/>
      <c r="Q175" s="33"/>
    </row>
    <row r="176" spans="1:27" s="428" customFormat="1" x14ac:dyDescent="0.25">
      <c r="A176" s="429"/>
      <c r="Q176" s="33"/>
    </row>
    <row r="177" spans="1:30" s="428" customFormat="1" x14ac:dyDescent="0.25">
      <c r="A177" s="429"/>
      <c r="Q177" s="33"/>
    </row>
    <row r="178" spans="1:30" s="428" customFormat="1" x14ac:dyDescent="0.25">
      <c r="A178" s="429"/>
      <c r="Q178" s="33"/>
    </row>
    <row r="179" spans="1:30" s="428" customFormat="1" x14ac:dyDescent="0.25">
      <c r="A179" s="429"/>
      <c r="Q179" s="33"/>
    </row>
    <row r="180" spans="1:30" s="428" customFormat="1" ht="15.75" x14ac:dyDescent="0.25">
      <c r="A180" s="429"/>
      <c r="N180" s="596"/>
      <c r="Q180" s="33"/>
      <c r="Z180" s="429"/>
      <c r="AA180" s="429"/>
      <c r="AB180" s="429"/>
      <c r="AC180" s="429"/>
      <c r="AD180" s="429"/>
    </row>
    <row r="181" spans="1:30" s="428" customFormat="1" ht="15.75" x14ac:dyDescent="0.25">
      <c r="A181" s="429"/>
      <c r="N181" s="596"/>
      <c r="Q181" s="33"/>
      <c r="Z181" s="429"/>
      <c r="AA181" s="429"/>
      <c r="AB181" s="429"/>
      <c r="AC181" s="429"/>
      <c r="AD181" s="429"/>
    </row>
    <row r="182" spans="1:30" s="428" customFormat="1" ht="15.75" x14ac:dyDescent="0.25">
      <c r="A182" s="429"/>
      <c r="N182" s="596"/>
      <c r="Q182" s="33"/>
      <c r="Z182" s="429"/>
      <c r="AA182" s="429"/>
      <c r="AB182" s="429"/>
      <c r="AC182" s="429"/>
      <c r="AD182" s="429"/>
    </row>
    <row r="183" spans="1:30" s="428" customFormat="1" ht="15.75" x14ac:dyDescent="0.25">
      <c r="A183" s="429"/>
      <c r="N183" s="596"/>
      <c r="Q183" s="33"/>
      <c r="Z183" s="429"/>
      <c r="AA183" s="429"/>
      <c r="AB183" s="429"/>
      <c r="AC183" s="429"/>
      <c r="AD183" s="429"/>
    </row>
    <row r="184" spans="1:30" s="428" customFormat="1" x14ac:dyDescent="0.25">
      <c r="A184" s="429"/>
      <c r="Z184" s="429"/>
      <c r="AA184" s="429"/>
      <c r="AB184" s="429"/>
      <c r="AC184" s="429"/>
      <c r="AD184" s="429"/>
    </row>
    <row r="185" spans="1:30" s="428" customFormat="1" x14ac:dyDescent="0.25">
      <c r="A185" s="429"/>
      <c r="Z185" s="429"/>
      <c r="AA185" s="429"/>
      <c r="AB185" s="429"/>
      <c r="AC185" s="429"/>
      <c r="AD185" s="429"/>
    </row>
    <row r="186" spans="1:30" s="428" customFormat="1" x14ac:dyDescent="0.25">
      <c r="A186" s="429"/>
      <c r="Z186" s="429"/>
      <c r="AA186" s="429"/>
      <c r="AB186" s="429"/>
      <c r="AC186" s="429"/>
      <c r="AD186" s="429"/>
    </row>
    <row r="187" spans="1:30" s="428" customFormat="1" ht="15.75" x14ac:dyDescent="0.25">
      <c r="A187" s="429"/>
      <c r="N187" s="596"/>
      <c r="Q187" s="33"/>
      <c r="Z187" s="429"/>
      <c r="AA187" s="429"/>
      <c r="AB187" s="429"/>
      <c r="AC187" s="429"/>
      <c r="AD187" s="429"/>
    </row>
    <row r="188" spans="1:30" s="428" customFormat="1" ht="15.75" x14ac:dyDescent="0.25">
      <c r="A188" s="429"/>
      <c r="N188" s="596"/>
      <c r="Q188" s="33"/>
      <c r="Z188" s="429"/>
      <c r="AA188" s="429"/>
      <c r="AB188" s="429"/>
      <c r="AC188" s="429"/>
      <c r="AD188" s="429"/>
    </row>
    <row r="189" spans="1:30" s="428" customFormat="1" ht="15.75" x14ac:dyDescent="0.25">
      <c r="A189" s="429"/>
      <c r="N189" s="596"/>
      <c r="Q189" s="33"/>
      <c r="Z189" s="429"/>
      <c r="AA189" s="429"/>
      <c r="AB189" s="429"/>
      <c r="AC189" s="429"/>
      <c r="AD189" s="429"/>
    </row>
    <row r="190" spans="1:30" s="428" customFormat="1" ht="15.75" x14ac:dyDescent="0.25">
      <c r="A190" s="429"/>
      <c r="N190" s="596"/>
      <c r="Q190" s="33"/>
      <c r="Z190" s="429"/>
      <c r="AA190" s="429"/>
      <c r="AB190" s="429"/>
      <c r="AC190" s="429"/>
      <c r="AD190" s="429"/>
    </row>
    <row r="191" spans="1:30" s="428" customFormat="1" ht="15.75" x14ac:dyDescent="0.25">
      <c r="A191" s="429"/>
      <c r="N191" s="596"/>
      <c r="Q191" s="33"/>
      <c r="Z191" s="429"/>
      <c r="AA191" s="429"/>
      <c r="AB191" s="429"/>
      <c r="AC191" s="429"/>
      <c r="AD191" s="429"/>
    </row>
    <row r="192" spans="1:30" s="428" customFormat="1" ht="15.75" x14ac:dyDescent="0.25">
      <c r="A192" s="429"/>
      <c r="N192" s="596"/>
      <c r="Q192" s="33"/>
      <c r="Z192" s="429"/>
      <c r="AA192" s="429"/>
      <c r="AB192" s="429"/>
      <c r="AC192" s="429"/>
      <c r="AD192" s="429"/>
    </row>
    <row r="193" spans="1:30" s="428" customFormat="1" ht="15.75" x14ac:dyDescent="0.25">
      <c r="A193" s="429"/>
      <c r="N193" s="596"/>
      <c r="Q193" s="33"/>
      <c r="Z193" s="429"/>
      <c r="AA193" s="429"/>
      <c r="AB193" s="429"/>
      <c r="AC193" s="429"/>
      <c r="AD193" s="429"/>
    </row>
    <row r="194" spans="1:30" s="428" customFormat="1" ht="15.75" x14ac:dyDescent="0.25">
      <c r="A194" s="429"/>
      <c r="N194" s="596"/>
      <c r="Q194" s="33"/>
      <c r="Z194" s="429"/>
      <c r="AA194" s="429"/>
      <c r="AB194" s="429"/>
      <c r="AC194" s="429"/>
      <c r="AD194" s="429"/>
    </row>
    <row r="195" spans="1:30" s="428" customFormat="1" ht="15.75" x14ac:dyDescent="0.25">
      <c r="A195" s="429"/>
      <c r="N195" s="596"/>
      <c r="Q195" s="33"/>
      <c r="Z195" s="429"/>
      <c r="AA195" s="429"/>
      <c r="AB195" s="429"/>
      <c r="AC195" s="429"/>
      <c r="AD195" s="429"/>
    </row>
    <row r="196" spans="1:30" s="428" customFormat="1" ht="15.75" x14ac:dyDescent="0.25">
      <c r="A196" s="429"/>
      <c r="N196" s="596"/>
      <c r="Q196" s="33"/>
      <c r="Z196" s="429"/>
      <c r="AA196" s="429"/>
      <c r="AB196" s="429"/>
      <c r="AC196" s="429"/>
      <c r="AD196" s="429"/>
    </row>
    <row r="197" spans="1:30" s="428" customFormat="1" ht="15.75" x14ac:dyDescent="0.25">
      <c r="A197" s="429"/>
      <c r="N197" s="596"/>
      <c r="Q197" s="33"/>
      <c r="Z197" s="429"/>
      <c r="AA197" s="429"/>
      <c r="AB197" s="429"/>
      <c r="AC197" s="429"/>
      <c r="AD197" s="429"/>
    </row>
    <row r="198" spans="1:30" s="428" customFormat="1" ht="15.75" x14ac:dyDescent="0.25">
      <c r="A198" s="429"/>
      <c r="N198" s="596"/>
      <c r="Q198" s="33"/>
      <c r="Z198" s="429"/>
      <c r="AA198" s="429"/>
      <c r="AB198" s="429"/>
      <c r="AC198" s="429"/>
      <c r="AD198" s="429"/>
    </row>
    <row r="199" spans="1:30" s="428" customFormat="1" ht="15.75" x14ac:dyDescent="0.25">
      <c r="A199" s="429"/>
      <c r="N199" s="596"/>
      <c r="Q199" s="33"/>
      <c r="Z199" s="429"/>
      <c r="AA199" s="429"/>
      <c r="AB199" s="429"/>
      <c r="AC199" s="429"/>
      <c r="AD199" s="429"/>
    </row>
    <row r="200" spans="1:30" s="428" customFormat="1" ht="15.75" x14ac:dyDescent="0.25">
      <c r="A200" s="429"/>
      <c r="N200" s="596"/>
      <c r="Q200" s="33"/>
      <c r="Z200" s="429"/>
      <c r="AA200" s="429"/>
      <c r="AB200" s="429"/>
      <c r="AC200" s="429"/>
      <c r="AD200" s="429"/>
    </row>
    <row r="201" spans="1:30" s="428" customFormat="1" ht="15.75" x14ac:dyDescent="0.25">
      <c r="A201" s="429"/>
      <c r="N201" s="596"/>
      <c r="Q201" s="33"/>
      <c r="Z201" s="429"/>
      <c r="AA201" s="429"/>
      <c r="AB201" s="429"/>
      <c r="AC201" s="429"/>
      <c r="AD201" s="429"/>
    </row>
    <row r="202" spans="1:30" s="428" customFormat="1" ht="15.75" x14ac:dyDescent="0.25">
      <c r="A202" s="429"/>
      <c r="N202" s="596"/>
      <c r="Q202" s="33"/>
      <c r="Z202" s="429"/>
      <c r="AA202" s="429"/>
      <c r="AB202" s="429"/>
      <c r="AC202" s="429"/>
      <c r="AD202" s="429"/>
    </row>
    <row r="203" spans="1:30" s="428" customFormat="1" ht="15.75" x14ac:dyDescent="0.25">
      <c r="A203" s="429"/>
      <c r="N203" s="596"/>
      <c r="Q203" s="33"/>
      <c r="Z203" s="429"/>
      <c r="AA203" s="429"/>
      <c r="AB203" s="429"/>
      <c r="AC203" s="429"/>
      <c r="AD203" s="429"/>
    </row>
    <row r="204" spans="1:30" s="428" customFormat="1" ht="15.75" x14ac:dyDescent="0.25">
      <c r="A204" s="429"/>
      <c r="N204" s="596"/>
      <c r="Q204" s="33"/>
      <c r="Z204" s="429"/>
      <c r="AA204" s="429"/>
      <c r="AB204" s="429"/>
      <c r="AC204" s="429"/>
      <c r="AD204" s="429"/>
    </row>
    <row r="205" spans="1:30" s="428" customFormat="1" ht="15.75" x14ac:dyDescent="0.25">
      <c r="A205" s="429"/>
      <c r="N205" s="596"/>
      <c r="Q205" s="33"/>
      <c r="Z205" s="429"/>
      <c r="AA205" s="429"/>
      <c r="AB205" s="429"/>
      <c r="AC205" s="429"/>
      <c r="AD205" s="429"/>
    </row>
    <row r="206" spans="1:30" s="428" customFormat="1" ht="15.75" x14ac:dyDescent="0.25">
      <c r="A206" s="429"/>
      <c r="N206" s="596"/>
      <c r="Q206" s="33"/>
      <c r="Z206" s="429"/>
      <c r="AA206" s="429"/>
      <c r="AB206" s="429"/>
      <c r="AC206" s="429"/>
      <c r="AD206" s="429"/>
    </row>
    <row r="207" spans="1:30" s="428" customFormat="1" ht="15.75" x14ac:dyDescent="0.25">
      <c r="A207" s="429"/>
      <c r="N207" s="596"/>
      <c r="Q207" s="33"/>
      <c r="Z207" s="429"/>
      <c r="AA207" s="429"/>
      <c r="AB207" s="429"/>
      <c r="AC207" s="429"/>
      <c r="AD207" s="429"/>
    </row>
    <row r="208" spans="1:30" s="428" customFormat="1" ht="15.75" x14ac:dyDescent="0.25">
      <c r="A208" s="429"/>
      <c r="N208" s="596"/>
      <c r="Q208" s="33"/>
      <c r="Z208" s="429"/>
      <c r="AA208" s="429"/>
      <c r="AB208" s="429"/>
      <c r="AC208" s="429"/>
      <c r="AD208" s="429"/>
    </row>
    <row r="209" spans="1:30" s="428" customFormat="1" ht="15.75" x14ac:dyDescent="0.25">
      <c r="A209" s="429"/>
      <c r="N209" s="596"/>
      <c r="Q209" s="33"/>
      <c r="Z209" s="429"/>
      <c r="AA209" s="429"/>
      <c r="AB209" s="429"/>
      <c r="AC209" s="429"/>
      <c r="AD209" s="429"/>
    </row>
    <row r="210" spans="1:30" s="428" customFormat="1" x14ac:dyDescent="0.25">
      <c r="A210" s="429"/>
      <c r="Q210" s="33"/>
      <c r="AD210" s="2"/>
    </row>
    <row r="211" spans="1:30" s="428" customFormat="1" x14ac:dyDescent="0.25">
      <c r="A211" s="429"/>
      <c r="Q211" s="33"/>
      <c r="AC211" s="86"/>
      <c r="AD211" s="111"/>
    </row>
    <row r="212" spans="1:30" s="428" customFormat="1" x14ac:dyDescent="0.25">
      <c r="A212" s="429"/>
      <c r="P212" s="47"/>
      <c r="Q212" s="33"/>
      <c r="X212" s="429"/>
      <c r="AC212" s="2"/>
      <c r="AD212" s="2"/>
    </row>
    <row r="213" spans="1:30" s="428" customFormat="1" x14ac:dyDescent="0.25">
      <c r="A213" s="429"/>
      <c r="P213" s="47"/>
      <c r="Q213" s="33"/>
      <c r="X213" s="429"/>
    </row>
    <row r="214" spans="1:30" s="428" customFormat="1" x14ac:dyDescent="0.25">
      <c r="A214" s="429"/>
      <c r="Q214" s="33"/>
      <c r="X214" s="429"/>
      <c r="Y214" s="58"/>
      <c r="Z214" s="115"/>
      <c r="AA214" s="116"/>
      <c r="AB214" s="116"/>
      <c r="AC214" s="58"/>
      <c r="AD214" s="115"/>
    </row>
    <row r="215" spans="1:30" s="428" customFormat="1" x14ac:dyDescent="0.25">
      <c r="A215" s="429"/>
      <c r="Q215" s="33"/>
      <c r="X215" s="429"/>
      <c r="Y215" s="58"/>
      <c r="Z215" s="115"/>
      <c r="AA215" s="116"/>
      <c r="AB215" s="116"/>
      <c r="AC215" s="58"/>
      <c r="AD215" s="115"/>
    </row>
    <row r="216" spans="1:30" s="428" customFormat="1" x14ac:dyDescent="0.25">
      <c r="A216" s="429"/>
      <c r="X216" s="429"/>
      <c r="Y216" s="58"/>
      <c r="Z216" s="115"/>
      <c r="AA216" s="116"/>
      <c r="AB216" s="116"/>
      <c r="AC216" s="58"/>
      <c r="AD216" s="115"/>
    </row>
    <row r="217" spans="1:30" s="428" customFormat="1" x14ac:dyDescent="0.25">
      <c r="A217" s="429"/>
      <c r="X217" s="429"/>
      <c r="Y217" s="58"/>
      <c r="Z217" s="115"/>
      <c r="AA217" s="116"/>
      <c r="AB217" s="116"/>
      <c r="AC217" s="58"/>
      <c r="AD217" s="115"/>
    </row>
    <row r="218" spans="1:30" s="428" customFormat="1" x14ac:dyDescent="0.25">
      <c r="A218" s="429"/>
      <c r="X218" s="429"/>
      <c r="Y218" s="58"/>
      <c r="Z218" s="115"/>
      <c r="AA218" s="116"/>
      <c r="AB218" s="116"/>
      <c r="AC218" s="58"/>
      <c r="AD218" s="115"/>
    </row>
    <row r="219" spans="1:30" s="428" customFormat="1" x14ac:dyDescent="0.25">
      <c r="A219" s="429"/>
      <c r="X219" s="429"/>
      <c r="Y219" s="58"/>
      <c r="Z219" s="115"/>
      <c r="AA219" s="116"/>
      <c r="AB219" s="116"/>
      <c r="AC219" s="58"/>
      <c r="AD219" s="115"/>
    </row>
    <row r="220" spans="1:30" s="428" customFormat="1" x14ac:dyDescent="0.25">
      <c r="A220" s="429"/>
      <c r="X220" s="429"/>
      <c r="Y220" s="58"/>
      <c r="Z220" s="115"/>
      <c r="AA220" s="116"/>
      <c r="AB220" s="116"/>
      <c r="AC220" s="58"/>
      <c r="AD220" s="115"/>
    </row>
    <row r="221" spans="1:30" s="428" customFormat="1" x14ac:dyDescent="0.25">
      <c r="A221" s="429"/>
      <c r="X221" s="429"/>
      <c r="Y221" s="58"/>
      <c r="Z221" s="115"/>
      <c r="AA221" s="116"/>
      <c r="AB221" s="116"/>
      <c r="AC221" s="58"/>
      <c r="AD221" s="115"/>
    </row>
    <row r="222" spans="1:30" s="428" customFormat="1" x14ac:dyDescent="0.25">
      <c r="A222" s="429"/>
      <c r="X222" s="429"/>
      <c r="Y222" s="58"/>
      <c r="Z222" s="115"/>
      <c r="AA222" s="116"/>
      <c r="AB222" s="116"/>
      <c r="AC222" s="58"/>
      <c r="AD222" s="115"/>
    </row>
    <row r="223" spans="1:30" s="428" customFormat="1" x14ac:dyDescent="0.25">
      <c r="A223" s="429"/>
      <c r="X223" s="429"/>
      <c r="Y223" s="58"/>
      <c r="Z223" s="115"/>
      <c r="AA223" s="116"/>
      <c r="AB223" s="116"/>
      <c r="AC223" s="58"/>
      <c r="AD223" s="115"/>
    </row>
    <row r="224" spans="1:30" s="428" customFormat="1" x14ac:dyDescent="0.25">
      <c r="A224" s="429"/>
      <c r="X224" s="429"/>
      <c r="Y224" s="58"/>
      <c r="Z224" s="115"/>
      <c r="AA224" s="116"/>
      <c r="AB224" s="116"/>
      <c r="AC224" s="58"/>
      <c r="AD224" s="115"/>
    </row>
    <row r="225" spans="1:30" s="428" customFormat="1" x14ac:dyDescent="0.25">
      <c r="A225" s="429"/>
      <c r="X225" s="429"/>
      <c r="Y225" s="58"/>
      <c r="Z225" s="115"/>
      <c r="AA225" s="116"/>
      <c r="AB225" s="116"/>
      <c r="AC225" s="58"/>
      <c r="AD225" s="115"/>
    </row>
    <row r="226" spans="1:30" s="428" customFormat="1" x14ac:dyDescent="0.25">
      <c r="A226" s="429"/>
      <c r="X226" s="429"/>
      <c r="Y226" s="58"/>
      <c r="Z226" s="115"/>
      <c r="AA226" s="116"/>
      <c r="AB226" s="116"/>
      <c r="AC226" s="58"/>
      <c r="AD226" s="115"/>
    </row>
    <row r="227" spans="1:30" s="428" customFormat="1" x14ac:dyDescent="0.25">
      <c r="A227" s="429"/>
      <c r="P227" s="47"/>
      <c r="X227" s="429"/>
      <c r="Y227" s="58"/>
      <c r="Z227" s="115"/>
      <c r="AA227" s="116"/>
      <c r="AB227" s="116"/>
      <c r="AC227" s="58"/>
      <c r="AD227" s="115"/>
    </row>
    <row r="228" spans="1:30" s="428" customFormat="1" x14ac:dyDescent="0.25">
      <c r="A228" s="429"/>
      <c r="P228" s="47"/>
      <c r="X228" s="429"/>
      <c r="Y228" s="58"/>
      <c r="Z228" s="115"/>
      <c r="AA228" s="116"/>
      <c r="AB228" s="116"/>
      <c r="AC228" s="58"/>
      <c r="AD228" s="115"/>
    </row>
    <row r="229" spans="1:30" s="428" customFormat="1" x14ac:dyDescent="0.25">
      <c r="A229" s="429"/>
      <c r="P229" s="47"/>
      <c r="X229" s="429"/>
      <c r="Y229" s="58"/>
      <c r="Z229" s="115"/>
      <c r="AA229" s="116"/>
      <c r="AB229" s="116"/>
      <c r="AC229" s="58"/>
      <c r="AD229" s="115"/>
    </row>
    <row r="230" spans="1:30" s="428" customFormat="1" x14ac:dyDescent="0.25">
      <c r="A230" s="429"/>
      <c r="P230" s="47"/>
      <c r="X230" s="429"/>
      <c r="Y230" s="58"/>
      <c r="Z230" s="115"/>
      <c r="AA230" s="116"/>
      <c r="AB230" s="116"/>
      <c r="AC230" s="58"/>
      <c r="AD230" s="115"/>
    </row>
    <row r="231" spans="1:30" s="428" customFormat="1" x14ac:dyDescent="0.25">
      <c r="A231" s="429"/>
      <c r="P231" s="47"/>
      <c r="X231" s="429"/>
      <c r="Y231" s="58"/>
      <c r="Z231" s="115"/>
      <c r="AA231" s="116"/>
      <c r="AB231" s="116"/>
      <c r="AC231" s="58"/>
      <c r="AD231" s="115"/>
    </row>
    <row r="232" spans="1:30" s="428" customFormat="1" x14ac:dyDescent="0.25">
      <c r="A232" s="429"/>
      <c r="P232" s="47"/>
      <c r="X232" s="429"/>
      <c r="Y232" s="58"/>
      <c r="Z232" s="115"/>
      <c r="AA232" s="116"/>
      <c r="AB232" s="116"/>
      <c r="AC232" s="58"/>
      <c r="AD232" s="115"/>
    </row>
    <row r="233" spans="1:30" s="428" customFormat="1" x14ac:dyDescent="0.25">
      <c r="A233" s="429"/>
      <c r="P233" s="47"/>
      <c r="X233" s="429"/>
      <c r="Y233" s="58"/>
      <c r="Z233" s="115"/>
      <c r="AA233" s="116"/>
      <c r="AB233" s="116"/>
      <c r="AC233" s="58"/>
      <c r="AD233" s="115"/>
    </row>
    <row r="234" spans="1:30" s="428" customFormat="1" x14ac:dyDescent="0.25">
      <c r="A234" s="429"/>
      <c r="P234" s="47"/>
      <c r="X234" s="429"/>
      <c r="Y234" s="58"/>
      <c r="Z234" s="115"/>
      <c r="AA234" s="116"/>
      <c r="AB234" s="116"/>
      <c r="AC234" s="58"/>
      <c r="AD234" s="115"/>
    </row>
    <row r="235" spans="1:30" s="428" customFormat="1" x14ac:dyDescent="0.25">
      <c r="A235" s="429"/>
      <c r="P235" s="47"/>
      <c r="X235" s="429"/>
      <c r="Y235" s="58"/>
      <c r="Z235" s="115"/>
      <c r="AA235" s="116"/>
      <c r="AB235" s="116"/>
      <c r="AC235" s="58"/>
      <c r="AD235" s="115"/>
    </row>
    <row r="236" spans="1:30" s="428" customFormat="1" x14ac:dyDescent="0.25">
      <c r="A236" s="429"/>
      <c r="P236" s="47"/>
      <c r="X236" s="429"/>
      <c r="Y236" s="58"/>
      <c r="Z236" s="115"/>
      <c r="AA236" s="116"/>
      <c r="AB236" s="116"/>
      <c r="AC236" s="58"/>
      <c r="AD236" s="115"/>
    </row>
    <row r="237" spans="1:30" s="428" customFormat="1" x14ac:dyDescent="0.25">
      <c r="A237" s="429"/>
      <c r="P237" s="47"/>
      <c r="X237" s="429"/>
      <c r="Y237" s="58"/>
      <c r="Z237" s="115"/>
      <c r="AA237" s="116"/>
      <c r="AB237" s="116"/>
      <c r="AC237" s="58"/>
      <c r="AD237" s="115"/>
    </row>
    <row r="238" spans="1:30" s="428" customFormat="1" x14ac:dyDescent="0.25">
      <c r="A238" s="429"/>
      <c r="P238" s="47"/>
      <c r="X238" s="429"/>
      <c r="Y238" s="58"/>
      <c r="Z238" s="115"/>
      <c r="AA238" s="116"/>
      <c r="AB238" s="116"/>
      <c r="AC238" s="58"/>
      <c r="AD238" s="115"/>
    </row>
    <row r="239" spans="1:30" s="428" customFormat="1" x14ac:dyDescent="0.25">
      <c r="A239" s="429"/>
      <c r="P239" s="47"/>
      <c r="X239" s="429"/>
      <c r="Y239" s="58"/>
      <c r="Z239" s="115"/>
      <c r="AA239" s="116"/>
      <c r="AB239" s="116"/>
      <c r="AC239" s="58"/>
      <c r="AD239" s="115"/>
    </row>
    <row r="240" spans="1:30" s="428" customFormat="1" x14ac:dyDescent="0.25">
      <c r="A240" s="429"/>
      <c r="P240" s="47"/>
      <c r="X240" s="429"/>
      <c r="Y240" s="58"/>
      <c r="Z240" s="115"/>
      <c r="AA240" s="116"/>
      <c r="AB240" s="116"/>
      <c r="AC240" s="58"/>
      <c r="AD240" s="115"/>
    </row>
    <row r="241" spans="1:30" s="428" customFormat="1" x14ac:dyDescent="0.25">
      <c r="A241" s="429"/>
      <c r="P241" s="47"/>
      <c r="X241" s="429"/>
      <c r="Y241" s="58"/>
      <c r="Z241" s="115"/>
      <c r="AA241" s="116"/>
      <c r="AB241" s="116"/>
      <c r="AC241" s="58"/>
      <c r="AD241" s="115"/>
    </row>
    <row r="242" spans="1:30" s="428" customFormat="1" x14ac:dyDescent="0.25">
      <c r="A242" s="429"/>
      <c r="P242" s="47"/>
      <c r="X242" s="429"/>
      <c r="Y242" s="58"/>
      <c r="Z242" s="115"/>
      <c r="AA242" s="116"/>
      <c r="AB242" s="116"/>
      <c r="AC242" s="58"/>
      <c r="AD242" s="115"/>
    </row>
    <row r="243" spans="1:30" s="428" customFormat="1" x14ac:dyDescent="0.25">
      <c r="A243" s="429"/>
      <c r="P243" s="47"/>
      <c r="X243" s="429"/>
      <c r="Y243" s="58"/>
      <c r="Z243" s="115"/>
      <c r="AA243" s="116"/>
      <c r="AB243" s="116"/>
      <c r="AC243" s="58"/>
      <c r="AD243" s="115"/>
    </row>
    <row r="244" spans="1:30" s="428" customFormat="1" x14ac:dyDescent="0.25">
      <c r="A244" s="429"/>
      <c r="P244" s="47"/>
      <c r="X244" s="429"/>
      <c r="Y244" s="58"/>
      <c r="Z244" s="115"/>
      <c r="AA244" s="116"/>
      <c r="AB244" s="116"/>
      <c r="AC244" s="58"/>
      <c r="AD244" s="115"/>
    </row>
    <row r="245" spans="1:30" s="428" customFormat="1" x14ac:dyDescent="0.25">
      <c r="A245" s="429"/>
      <c r="P245" s="47"/>
      <c r="X245" s="429"/>
      <c r="Y245" s="58"/>
      <c r="Z245" s="115"/>
      <c r="AA245" s="116"/>
      <c r="AB245" s="116"/>
      <c r="AC245" s="58"/>
      <c r="AD245" s="115"/>
    </row>
    <row r="246" spans="1:30" s="428" customFormat="1" x14ac:dyDescent="0.25">
      <c r="A246" s="429"/>
      <c r="P246" s="47"/>
      <c r="X246" s="429"/>
      <c r="Y246" s="58"/>
      <c r="Z246" s="115"/>
      <c r="AA246" s="116"/>
      <c r="AB246" s="116"/>
      <c r="AC246" s="58"/>
      <c r="AD246" s="115"/>
    </row>
    <row r="247" spans="1:30" s="428" customFormat="1" x14ac:dyDescent="0.25">
      <c r="A247" s="429"/>
      <c r="P247" s="47"/>
      <c r="X247" s="429"/>
      <c r="Y247" s="58"/>
      <c r="Z247" s="115"/>
      <c r="AA247" s="116"/>
      <c r="AB247" s="116"/>
      <c r="AC247" s="58"/>
      <c r="AD247" s="115"/>
    </row>
    <row r="248" spans="1:30" s="428" customFormat="1" x14ac:dyDescent="0.25">
      <c r="A248" s="429"/>
      <c r="P248" s="47"/>
      <c r="X248" s="429"/>
      <c r="Y248" s="58"/>
      <c r="Z248" s="115"/>
      <c r="AA248" s="116"/>
      <c r="AB248" s="116"/>
      <c r="AC248" s="58"/>
      <c r="AD248" s="115"/>
    </row>
    <row r="249" spans="1:30" s="428" customFormat="1" x14ac:dyDescent="0.25">
      <c r="A249" s="429"/>
      <c r="P249" s="47"/>
      <c r="X249" s="429"/>
      <c r="Y249" s="58"/>
      <c r="Z249" s="115"/>
      <c r="AA249" s="116"/>
      <c r="AB249" s="116"/>
      <c r="AC249" s="58"/>
      <c r="AD249" s="115"/>
    </row>
    <row r="250" spans="1:30" s="428" customFormat="1" x14ac:dyDescent="0.25">
      <c r="A250" s="429"/>
      <c r="P250" s="47"/>
      <c r="X250" s="429"/>
      <c r="Y250" s="58"/>
      <c r="Z250" s="115"/>
      <c r="AA250" s="116"/>
      <c r="AB250" s="116"/>
      <c r="AC250" s="58"/>
      <c r="AD250" s="115"/>
    </row>
    <row r="251" spans="1:30" s="428" customFormat="1" x14ac:dyDescent="0.25">
      <c r="A251" s="429"/>
      <c r="P251" s="47"/>
      <c r="X251" s="429"/>
      <c r="Y251" s="58"/>
      <c r="Z251" s="115"/>
      <c r="AA251" s="116"/>
      <c r="AB251" s="116"/>
      <c r="AC251" s="58"/>
      <c r="AD251" s="115"/>
    </row>
    <row r="252" spans="1:30" s="428" customFormat="1" x14ac:dyDescent="0.25">
      <c r="A252" s="429"/>
      <c r="P252" s="47"/>
      <c r="X252" s="429"/>
      <c r="Y252" s="58"/>
      <c r="Z252" s="115"/>
      <c r="AA252" s="116"/>
      <c r="AB252" s="116"/>
      <c r="AC252" s="58"/>
      <c r="AD252" s="115"/>
    </row>
    <row r="253" spans="1:30" s="428" customFormat="1" x14ac:dyDescent="0.25">
      <c r="A253" s="429"/>
      <c r="P253" s="47"/>
      <c r="X253" s="429"/>
      <c r="Y253" s="58"/>
      <c r="Z253" s="115"/>
      <c r="AA253" s="116"/>
      <c r="AB253" s="116"/>
      <c r="AC253" s="58"/>
      <c r="AD253" s="115"/>
    </row>
    <row r="254" spans="1:30" s="428" customFormat="1" x14ac:dyDescent="0.25">
      <c r="A254" s="429"/>
      <c r="P254" s="47"/>
      <c r="X254" s="429"/>
      <c r="Y254" s="58"/>
      <c r="Z254" s="115"/>
      <c r="AA254" s="116"/>
      <c r="AB254" s="116"/>
      <c r="AC254" s="58"/>
      <c r="AD254" s="115"/>
    </row>
    <row r="255" spans="1:30" s="428" customFormat="1" x14ac:dyDescent="0.25">
      <c r="A255" s="429"/>
      <c r="P255" s="47"/>
      <c r="X255" s="429"/>
      <c r="Y255" s="58"/>
      <c r="Z255" s="115"/>
      <c r="AA255" s="116"/>
      <c r="AB255" s="116"/>
      <c r="AC255" s="58"/>
      <c r="AD255" s="115"/>
    </row>
    <row r="256" spans="1:30" s="428" customFormat="1" x14ac:dyDescent="0.25">
      <c r="A256" s="429"/>
      <c r="P256" s="47"/>
      <c r="X256" s="429"/>
    </row>
    <row r="257" spans="1:24" s="428" customFormat="1" x14ac:dyDescent="0.25">
      <c r="A257" s="429"/>
      <c r="P257" s="47"/>
      <c r="X257" s="429"/>
    </row>
    <row r="258" spans="1:24" s="428" customFormat="1" x14ac:dyDescent="0.25">
      <c r="A258" s="429"/>
      <c r="P258" s="47"/>
      <c r="X258" s="429"/>
    </row>
    <row r="259" spans="1:24" s="428" customFormat="1" x14ac:dyDescent="0.25">
      <c r="A259" s="429"/>
      <c r="P259" s="47"/>
      <c r="X259" s="429"/>
    </row>
    <row r="260" spans="1:24" s="428" customFormat="1" ht="10.5" customHeight="1" x14ac:dyDescent="0.25">
      <c r="A260" s="429"/>
      <c r="P260" s="47"/>
      <c r="X260" s="429"/>
    </row>
    <row r="261" spans="1:24" s="428" customFormat="1" x14ac:dyDescent="0.25">
      <c r="A261" s="429"/>
      <c r="P261" s="47"/>
      <c r="X261" s="429"/>
    </row>
    <row r="262" spans="1:24" s="428" customFormat="1" ht="9" customHeight="1" x14ac:dyDescent="0.25">
      <c r="A262" s="429"/>
      <c r="X262" s="429"/>
    </row>
    <row r="263" spans="1:24" s="428" customFormat="1" x14ac:dyDescent="0.25">
      <c r="X263" s="429"/>
    </row>
    <row r="264" spans="1:24" s="428" customFormat="1" x14ac:dyDescent="0.25">
      <c r="X264" s="429"/>
    </row>
    <row r="265" spans="1:24" s="428" customFormat="1" x14ac:dyDescent="0.25">
      <c r="X265" s="429"/>
    </row>
    <row r="266" spans="1:24" s="428" customFormat="1" x14ac:dyDescent="0.25">
      <c r="X266" s="429"/>
    </row>
    <row r="267" spans="1:24" s="428" customFormat="1" x14ac:dyDescent="0.25">
      <c r="X267" s="429"/>
    </row>
    <row r="268" spans="1:24" s="428" customFormat="1" x14ac:dyDescent="0.25">
      <c r="X268" s="429"/>
    </row>
    <row r="269" spans="1:24" s="428" customFormat="1" x14ac:dyDescent="0.25">
      <c r="X269" s="429"/>
    </row>
    <row r="270" spans="1:24" s="428" customFormat="1" x14ac:dyDescent="0.25">
      <c r="X270" s="429"/>
    </row>
    <row r="271" spans="1:24" s="428" customFormat="1" x14ac:dyDescent="0.25">
      <c r="X271" s="429"/>
    </row>
    <row r="272" spans="1:24" s="428" customFormat="1" x14ac:dyDescent="0.25">
      <c r="X272" s="429"/>
    </row>
    <row r="273" spans="24:24" s="428" customFormat="1" x14ac:dyDescent="0.25">
      <c r="X273" s="429"/>
    </row>
    <row r="274" spans="24:24" s="428" customFormat="1" x14ac:dyDescent="0.25">
      <c r="X274" s="429"/>
    </row>
    <row r="275" spans="24:24" s="428" customFormat="1" x14ac:dyDescent="0.25">
      <c r="X275" s="429"/>
    </row>
    <row r="276" spans="24:24" s="428" customFormat="1" x14ac:dyDescent="0.25">
      <c r="X276" s="429"/>
    </row>
    <row r="277" spans="24:24" s="428" customFormat="1" x14ac:dyDescent="0.25">
      <c r="X277" s="429"/>
    </row>
    <row r="278" spans="24:24" s="428" customFormat="1" x14ac:dyDescent="0.25">
      <c r="X278" s="429"/>
    </row>
    <row r="279" spans="24:24" s="428" customFormat="1" x14ac:dyDescent="0.25">
      <c r="X279" s="429"/>
    </row>
    <row r="280" spans="24:24" s="428" customFormat="1" x14ac:dyDescent="0.25">
      <c r="X280" s="429"/>
    </row>
    <row r="281" spans="24:24" s="428" customFormat="1" x14ac:dyDescent="0.25">
      <c r="X281" s="429"/>
    </row>
    <row r="282" spans="24:24" s="428" customFormat="1" x14ac:dyDescent="0.25">
      <c r="X282" s="429"/>
    </row>
    <row r="283" spans="24:24" s="428" customFormat="1" x14ac:dyDescent="0.25">
      <c r="X283" s="429"/>
    </row>
    <row r="284" spans="24:24" s="428" customFormat="1" x14ac:dyDescent="0.25">
      <c r="X284" s="429"/>
    </row>
    <row r="285" spans="24:24" s="428" customFormat="1" x14ac:dyDescent="0.25">
      <c r="X285" s="429"/>
    </row>
    <row r="286" spans="24:24" s="428" customFormat="1" x14ac:dyDescent="0.25">
      <c r="X286" s="429"/>
    </row>
    <row r="287" spans="24:24" s="428" customFormat="1" x14ac:dyDescent="0.25">
      <c r="X287" s="429"/>
    </row>
    <row r="288" spans="24:24" s="428" customFormat="1" x14ac:dyDescent="0.25">
      <c r="X288" s="429"/>
    </row>
    <row r="289" spans="24:30" s="428" customFormat="1" x14ac:dyDescent="0.25">
      <c r="X289" s="429"/>
    </row>
    <row r="290" spans="24:30" s="428" customFormat="1" x14ac:dyDescent="0.25">
      <c r="X290" s="429"/>
    </row>
    <row r="291" spans="24:30" s="428" customFormat="1" x14ac:dyDescent="0.25">
      <c r="X291" s="429"/>
    </row>
    <row r="292" spans="24:30" s="428" customFormat="1" x14ac:dyDescent="0.25">
      <c r="X292" s="429"/>
    </row>
    <row r="293" spans="24:30" s="428" customFormat="1" x14ac:dyDescent="0.25">
      <c r="X293" s="429"/>
    </row>
    <row r="294" spans="24:30" s="428" customFormat="1" x14ac:dyDescent="0.25">
      <c r="X294" s="429"/>
      <c r="Y294" s="33"/>
      <c r="Z294" s="33"/>
      <c r="AA294" s="33"/>
    </row>
    <row r="295" spans="24:30" s="428" customFormat="1" ht="6" customHeight="1" x14ac:dyDescent="0.25">
      <c r="X295" s="429"/>
      <c r="Y295" s="33"/>
      <c r="Z295" s="33"/>
      <c r="AA295" s="33"/>
      <c r="AB295" s="429"/>
      <c r="AC295" s="429"/>
      <c r="AD295" s="429"/>
    </row>
    <row r="296" spans="24:30" s="428" customFormat="1" x14ac:dyDescent="0.25">
      <c r="X296" s="429"/>
      <c r="Y296" s="20"/>
      <c r="Z296" s="306"/>
      <c r="AA296" s="306"/>
      <c r="AB296" s="429"/>
      <c r="AC296" s="429"/>
      <c r="AD296" s="429"/>
    </row>
    <row r="297" spans="24:30" s="428" customFormat="1" x14ac:dyDescent="0.25">
      <c r="X297" s="429"/>
      <c r="Y297" s="20"/>
      <c r="Z297" s="306"/>
      <c r="AA297" s="306"/>
      <c r="AB297" s="429"/>
      <c r="AC297" s="429"/>
      <c r="AD297" s="429"/>
    </row>
    <row r="298" spans="24:30" s="428" customFormat="1" x14ac:dyDescent="0.25">
      <c r="X298" s="429"/>
      <c r="Y298" s="20"/>
      <c r="Z298" s="306"/>
      <c r="AA298" s="306"/>
      <c r="AB298" s="429"/>
      <c r="AC298" s="429"/>
      <c r="AD298" s="429"/>
    </row>
    <row r="299" spans="24:30" s="428" customFormat="1" x14ac:dyDescent="0.25">
      <c r="X299" s="429"/>
      <c r="Y299" s="20"/>
      <c r="Z299" s="306"/>
      <c r="AA299" s="306"/>
      <c r="AB299" s="429"/>
      <c r="AC299" s="429"/>
      <c r="AD299" s="429"/>
    </row>
    <row r="300" spans="24:30" s="428" customFormat="1" x14ac:dyDescent="0.25">
      <c r="X300" s="429"/>
      <c r="Y300" s="20"/>
      <c r="Z300" s="306"/>
      <c r="AA300" s="306"/>
      <c r="AB300" s="429"/>
      <c r="AC300" s="429"/>
      <c r="AD300" s="429"/>
    </row>
    <row r="301" spans="24:30" s="428" customFormat="1" x14ac:dyDescent="0.25">
      <c r="X301" s="429"/>
      <c r="Y301" s="20"/>
      <c r="Z301" s="306"/>
      <c r="AA301" s="306"/>
      <c r="AB301" s="429"/>
      <c r="AC301" s="429"/>
      <c r="AD301" s="429"/>
    </row>
    <row r="302" spans="24:30" s="428" customFormat="1" x14ac:dyDescent="0.25">
      <c r="X302" s="429"/>
      <c r="Y302" s="20"/>
      <c r="Z302" s="306"/>
      <c r="AA302" s="306"/>
      <c r="AB302" s="429"/>
      <c r="AC302" s="429"/>
      <c r="AD302" s="429"/>
    </row>
    <row r="303" spans="24:30" s="428" customFormat="1" x14ac:dyDescent="0.25">
      <c r="X303" s="429"/>
      <c r="Y303" s="20"/>
      <c r="Z303" s="306"/>
      <c r="AA303" s="306"/>
      <c r="AB303" s="429"/>
      <c r="AC303" s="429"/>
      <c r="AD303" s="429"/>
    </row>
    <row r="304" spans="24:30" s="428" customFormat="1" x14ac:dyDescent="0.25">
      <c r="X304" s="429"/>
      <c r="Y304" s="20"/>
      <c r="Z304" s="306"/>
      <c r="AA304" s="306"/>
      <c r="AB304" s="429"/>
      <c r="AC304" s="429"/>
      <c r="AD304" s="429"/>
    </row>
    <row r="305" spans="14:30" s="428" customFormat="1" x14ac:dyDescent="0.25">
      <c r="X305" s="429"/>
      <c r="Y305" s="20"/>
      <c r="Z305" s="306"/>
      <c r="AA305" s="306"/>
      <c r="AB305" s="429"/>
      <c r="AC305" s="429"/>
      <c r="AD305" s="429"/>
    </row>
    <row r="306" spans="14:30" s="428" customFormat="1" x14ac:dyDescent="0.25">
      <c r="X306" s="429"/>
      <c r="Y306" s="20"/>
      <c r="Z306" s="306"/>
      <c r="AA306" s="306"/>
      <c r="AB306" s="429"/>
      <c r="AC306" s="429"/>
      <c r="AD306" s="429"/>
    </row>
    <row r="307" spans="14:30" s="428" customFormat="1" x14ac:dyDescent="0.25">
      <c r="X307" s="429"/>
      <c r="Y307" s="20"/>
      <c r="Z307" s="306"/>
      <c r="AA307" s="306"/>
      <c r="AB307" s="429"/>
      <c r="AC307" s="429"/>
      <c r="AD307" s="429"/>
    </row>
    <row r="308" spans="14:30" s="428" customFormat="1" x14ac:dyDescent="0.25">
      <c r="X308" s="429"/>
      <c r="Y308" s="20"/>
      <c r="Z308" s="306"/>
      <c r="AA308" s="306"/>
      <c r="AB308" s="429"/>
      <c r="AC308" s="429"/>
      <c r="AD308" s="429"/>
    </row>
    <row r="309" spans="14:30" s="428" customFormat="1" x14ac:dyDescent="0.25">
      <c r="X309" s="429"/>
      <c r="Y309" s="20"/>
      <c r="Z309" s="306"/>
      <c r="AA309" s="306"/>
      <c r="AB309" s="429"/>
      <c r="AC309" s="429"/>
      <c r="AD309" s="429"/>
    </row>
    <row r="310" spans="14:30" s="428" customFormat="1" x14ac:dyDescent="0.25">
      <c r="X310" s="429"/>
      <c r="Y310" s="20"/>
      <c r="Z310" s="306"/>
      <c r="AA310" s="306"/>
      <c r="AB310" s="429"/>
      <c r="AC310" s="429"/>
      <c r="AD310" s="429"/>
    </row>
    <row r="311" spans="14:30" s="428" customFormat="1" x14ac:dyDescent="0.25">
      <c r="X311" s="429"/>
      <c r="Y311" s="20"/>
      <c r="Z311" s="306"/>
      <c r="AA311" s="306"/>
      <c r="AB311" s="429"/>
      <c r="AC311" s="429"/>
      <c r="AD311" s="429"/>
    </row>
    <row r="312" spans="14:30" s="428" customFormat="1" x14ac:dyDescent="0.25">
      <c r="X312" s="429"/>
      <c r="Y312" s="20"/>
      <c r="Z312" s="306"/>
      <c r="AA312" s="306"/>
      <c r="AB312" s="429"/>
      <c r="AC312" s="429"/>
      <c r="AD312" s="429"/>
    </row>
    <row r="313" spans="14:30" s="428" customFormat="1" x14ac:dyDescent="0.25">
      <c r="X313" s="429"/>
      <c r="Y313" s="20"/>
      <c r="Z313" s="306"/>
      <c r="AA313" s="306"/>
      <c r="AB313" s="429"/>
      <c r="AC313" s="429"/>
      <c r="AD313" s="429"/>
    </row>
    <row r="314" spans="14:30" s="428" customFormat="1" x14ac:dyDescent="0.25">
      <c r="X314" s="429"/>
      <c r="Y314" s="20"/>
      <c r="Z314" s="306"/>
      <c r="AA314" s="306"/>
      <c r="AB314" s="429"/>
      <c r="AC314" s="429"/>
      <c r="AD314" s="429"/>
    </row>
    <row r="315" spans="14:30" s="428" customFormat="1" x14ac:dyDescent="0.25">
      <c r="X315" s="429"/>
      <c r="Y315" s="20"/>
      <c r="Z315" s="306"/>
      <c r="AA315" s="306"/>
      <c r="AB315" s="429"/>
      <c r="AC315" s="429"/>
      <c r="AD315" s="429"/>
    </row>
    <row r="316" spans="14:30" s="428" customFormat="1" x14ac:dyDescent="0.25">
      <c r="X316" s="429"/>
      <c r="Y316" s="20"/>
      <c r="Z316" s="306"/>
      <c r="AA316" s="306"/>
      <c r="AB316" s="429"/>
      <c r="AC316" s="429"/>
      <c r="AD316" s="429"/>
    </row>
    <row r="317" spans="14:30" s="428" customFormat="1" x14ac:dyDescent="0.25">
      <c r="X317" s="429"/>
      <c r="Y317" s="20"/>
      <c r="Z317" s="306"/>
      <c r="AA317" s="306"/>
      <c r="AB317" s="429"/>
      <c r="AC317" s="429"/>
      <c r="AD317" s="429"/>
    </row>
    <row r="318" spans="14:30" s="428" customFormat="1" x14ac:dyDescent="0.25">
      <c r="N318" s="32"/>
      <c r="O318" s="32"/>
      <c r="P318" s="32"/>
      <c r="X318" s="429"/>
      <c r="Y318" s="20"/>
      <c r="Z318" s="306"/>
      <c r="AA318" s="306"/>
      <c r="AB318" s="429"/>
      <c r="AC318" s="429"/>
      <c r="AD318" s="429"/>
    </row>
    <row r="319" spans="14:30" s="428" customFormat="1" x14ac:dyDescent="0.25">
      <c r="N319" s="32"/>
      <c r="O319" s="32"/>
      <c r="P319" s="32"/>
      <c r="X319" s="429"/>
      <c r="Y319" s="20"/>
      <c r="Z319" s="306"/>
      <c r="AA319" s="306"/>
      <c r="AB319" s="429"/>
      <c r="AC319" s="429"/>
      <c r="AD319" s="429"/>
    </row>
    <row r="320" spans="14:30" s="428" customFormat="1" x14ac:dyDescent="0.25">
      <c r="X320" s="429"/>
      <c r="Y320" s="20"/>
      <c r="Z320" s="306"/>
      <c r="AA320" s="306"/>
      <c r="AB320" s="429"/>
      <c r="AC320" s="429"/>
      <c r="AD320" s="429"/>
    </row>
    <row r="321" spans="24:30" s="428" customFormat="1" x14ac:dyDescent="0.25">
      <c r="X321" s="429"/>
      <c r="Y321" s="20"/>
      <c r="Z321" s="306"/>
      <c r="AA321" s="306"/>
      <c r="AB321" s="429"/>
      <c r="AC321" s="429"/>
      <c r="AD321" s="429"/>
    </row>
    <row r="322" spans="24:30" s="428" customFormat="1" x14ac:dyDescent="0.25">
      <c r="X322" s="429"/>
      <c r="Y322" s="20"/>
      <c r="Z322" s="306"/>
      <c r="AA322" s="306"/>
      <c r="AB322" s="429"/>
      <c r="AC322" s="429"/>
      <c r="AD322" s="429"/>
    </row>
    <row r="323" spans="24:30" s="428" customFormat="1" x14ac:dyDescent="0.25">
      <c r="X323" s="429"/>
      <c r="Y323" s="20"/>
      <c r="Z323" s="306"/>
      <c r="AA323" s="306"/>
      <c r="AB323" s="429"/>
      <c r="AC323" s="429"/>
      <c r="AD323" s="429"/>
    </row>
    <row r="324" spans="24:30" s="428" customFormat="1" x14ac:dyDescent="0.25">
      <c r="X324" s="429"/>
      <c r="Y324" s="20"/>
      <c r="Z324" s="306"/>
      <c r="AA324" s="306"/>
      <c r="AB324" s="429"/>
      <c r="AC324" s="429"/>
      <c r="AD324" s="429"/>
    </row>
    <row r="325" spans="24:30" s="428" customFormat="1" x14ac:dyDescent="0.25">
      <c r="X325" s="429"/>
      <c r="Y325" s="20"/>
      <c r="Z325" s="306"/>
      <c r="AA325" s="306"/>
      <c r="AB325" s="429"/>
      <c r="AC325" s="429"/>
      <c r="AD325" s="429"/>
    </row>
    <row r="326" spans="24:30" s="428" customFormat="1" x14ac:dyDescent="0.25">
      <c r="X326" s="429"/>
      <c r="Y326" s="20"/>
      <c r="Z326" s="306"/>
      <c r="AA326" s="306"/>
      <c r="AB326" s="429"/>
      <c r="AC326" s="429"/>
      <c r="AD326" s="429"/>
    </row>
    <row r="327" spans="24:30" s="428" customFormat="1" x14ac:dyDescent="0.25">
      <c r="X327" s="429"/>
      <c r="Y327" s="20"/>
      <c r="Z327" s="306"/>
      <c r="AA327" s="306"/>
      <c r="AB327" s="429"/>
      <c r="AC327" s="429"/>
      <c r="AD327" s="429"/>
    </row>
    <row r="328" spans="24:30" s="428" customFormat="1" x14ac:dyDescent="0.25">
      <c r="X328" s="429"/>
      <c r="Y328" s="20"/>
      <c r="Z328" s="306"/>
      <c r="AA328" s="306"/>
      <c r="AB328" s="429"/>
      <c r="AC328" s="429"/>
      <c r="AD328" s="429"/>
    </row>
    <row r="329" spans="24:30" s="428" customFormat="1" x14ac:dyDescent="0.25">
      <c r="X329" s="429"/>
      <c r="Y329" s="20"/>
      <c r="Z329" s="306"/>
      <c r="AA329" s="306"/>
      <c r="AB329" s="429"/>
      <c r="AC329" s="429"/>
      <c r="AD329" s="429"/>
    </row>
    <row r="330" spans="24:30" s="428" customFormat="1" x14ac:dyDescent="0.25">
      <c r="X330" s="429"/>
      <c r="Y330" s="20"/>
      <c r="Z330" s="306"/>
      <c r="AA330" s="306"/>
      <c r="AB330" s="429"/>
      <c r="AC330" s="429"/>
      <c r="AD330" s="429"/>
    </row>
    <row r="331" spans="24:30" s="428" customFormat="1" ht="9.75" customHeight="1" x14ac:dyDescent="0.25">
      <c r="X331" s="429"/>
      <c r="Y331" s="20"/>
      <c r="Z331" s="306"/>
      <c r="AA331" s="306"/>
      <c r="AB331" s="429"/>
      <c r="AC331" s="429"/>
      <c r="AD331" s="429"/>
    </row>
    <row r="332" spans="24:30" s="428" customFormat="1" x14ac:dyDescent="0.25">
      <c r="X332" s="429"/>
      <c r="Y332" s="20"/>
      <c r="Z332" s="306"/>
      <c r="AA332" s="306"/>
      <c r="AB332" s="429"/>
      <c r="AC332" s="429"/>
      <c r="AD332" s="429"/>
    </row>
    <row r="333" spans="24:30" s="428" customFormat="1" x14ac:dyDescent="0.25">
      <c r="X333" s="429"/>
      <c r="Y333" s="20"/>
      <c r="Z333" s="306"/>
      <c r="AA333" s="306"/>
      <c r="AB333" s="429"/>
      <c r="AC333" s="429"/>
      <c r="AD333" s="429"/>
    </row>
    <row r="334" spans="24:30" s="428" customFormat="1" x14ac:dyDescent="0.25">
      <c r="X334" s="429"/>
      <c r="AB334" s="2"/>
      <c r="AC334" s="2"/>
      <c r="AD334" s="2"/>
    </row>
    <row r="335" spans="24:30" s="428" customFormat="1" x14ac:dyDescent="0.25">
      <c r="X335" s="429"/>
      <c r="Y335" s="20"/>
      <c r="Z335" s="531"/>
      <c r="AA335" s="531"/>
      <c r="AB335" s="429"/>
      <c r="AC335" s="429"/>
      <c r="AD335" s="429"/>
    </row>
    <row r="336" spans="24:30" s="428" customFormat="1" x14ac:dyDescent="0.25">
      <c r="X336" s="429"/>
      <c r="Y336" s="20"/>
      <c r="Z336" s="531"/>
      <c r="AA336" s="531"/>
      <c r="AB336" s="429"/>
      <c r="AC336" s="429"/>
      <c r="AD336" s="429"/>
    </row>
    <row r="337" spans="17:30" s="428" customFormat="1" x14ac:dyDescent="0.25">
      <c r="X337" s="429"/>
      <c r="Y337" s="20"/>
      <c r="Z337" s="531"/>
      <c r="AA337" s="531"/>
      <c r="AB337" s="429"/>
      <c r="AC337" s="429"/>
      <c r="AD337" s="429"/>
    </row>
    <row r="338" spans="17:30" s="428" customFormat="1" x14ac:dyDescent="0.25">
      <c r="X338" s="429"/>
      <c r="Y338" s="20"/>
      <c r="Z338" s="531"/>
      <c r="AA338" s="531"/>
      <c r="AB338" s="429"/>
      <c r="AC338" s="429"/>
      <c r="AD338" s="429"/>
    </row>
    <row r="339" spans="17:30" s="428" customFormat="1" x14ac:dyDescent="0.25">
      <c r="X339" s="429"/>
      <c r="Y339" s="20"/>
      <c r="Z339" s="531"/>
      <c r="AA339" s="531"/>
      <c r="AB339" s="429"/>
      <c r="AC339" s="429"/>
      <c r="AD339" s="429"/>
    </row>
    <row r="340" spans="17:30" s="428" customFormat="1" x14ac:dyDescent="0.25">
      <c r="X340" s="429"/>
      <c r="Y340" s="20"/>
      <c r="Z340" s="531"/>
      <c r="AA340" s="531"/>
      <c r="AB340" s="429"/>
      <c r="AC340" s="429"/>
      <c r="AD340" s="429"/>
    </row>
    <row r="341" spans="17:30" s="428" customFormat="1" x14ac:dyDescent="0.25">
      <c r="X341" s="429"/>
      <c r="Y341" s="20"/>
      <c r="Z341" s="531"/>
      <c r="AA341" s="531"/>
      <c r="AB341" s="429"/>
      <c r="AC341" s="429"/>
      <c r="AD341" s="429"/>
    </row>
    <row r="342" spans="17:30" s="428" customFormat="1" x14ac:dyDescent="0.25">
      <c r="X342" s="429"/>
      <c r="Y342" s="20"/>
      <c r="Z342" s="531"/>
      <c r="AA342" s="531"/>
      <c r="AB342" s="429"/>
      <c r="AC342" s="429"/>
      <c r="AD342" s="429"/>
    </row>
    <row r="343" spans="17:30" s="428" customFormat="1" x14ac:dyDescent="0.25">
      <c r="X343" s="429"/>
      <c r="Y343" s="20"/>
      <c r="Z343" s="531"/>
      <c r="AA343" s="531"/>
      <c r="AB343" s="429"/>
      <c r="AC343" s="429"/>
      <c r="AD343" s="429"/>
    </row>
    <row r="344" spans="17:30" s="428" customFormat="1" x14ac:dyDescent="0.25">
      <c r="X344" s="429"/>
      <c r="Y344" s="20"/>
      <c r="Z344" s="531"/>
      <c r="AA344" s="531"/>
      <c r="AB344" s="429"/>
      <c r="AC344" s="429"/>
      <c r="AD344" s="429"/>
    </row>
    <row r="345" spans="17:30" s="428" customFormat="1" x14ac:dyDescent="0.25">
      <c r="Q345" s="319"/>
      <c r="X345" s="429"/>
      <c r="Y345" s="20"/>
      <c r="Z345" s="531"/>
      <c r="AA345" s="531"/>
      <c r="AB345" s="429"/>
      <c r="AC345" s="429"/>
      <c r="AD345" s="429"/>
    </row>
    <row r="346" spans="17:30" s="428" customFormat="1" x14ac:dyDescent="0.25">
      <c r="X346" s="429"/>
      <c r="Y346" s="20"/>
      <c r="Z346" s="531"/>
      <c r="AA346" s="531"/>
      <c r="AB346" s="429"/>
      <c r="AC346" s="429"/>
      <c r="AD346" s="429"/>
    </row>
    <row r="347" spans="17:30" s="428" customFormat="1" x14ac:dyDescent="0.25">
      <c r="X347" s="429"/>
      <c r="Y347" s="20"/>
      <c r="Z347" s="531"/>
      <c r="AA347" s="531"/>
      <c r="AB347" s="429"/>
      <c r="AC347" s="429"/>
      <c r="AD347" s="429"/>
    </row>
    <row r="348" spans="17:30" s="428" customFormat="1" x14ac:dyDescent="0.25">
      <c r="X348" s="429"/>
      <c r="Y348" s="20"/>
      <c r="Z348" s="531"/>
      <c r="AA348" s="531"/>
      <c r="AB348" s="429"/>
      <c r="AC348" s="429"/>
      <c r="AD348" s="429"/>
    </row>
    <row r="349" spans="17:30" s="428" customFormat="1" x14ac:dyDescent="0.25">
      <c r="X349" s="429"/>
      <c r="Y349" s="20"/>
      <c r="Z349" s="531"/>
      <c r="AA349" s="531"/>
      <c r="AB349" s="429"/>
      <c r="AC349" s="429"/>
      <c r="AD349" s="429"/>
    </row>
    <row r="350" spans="17:30" s="428" customFormat="1" x14ac:dyDescent="0.25">
      <c r="X350" s="429"/>
      <c r="Y350" s="20"/>
      <c r="Z350" s="531"/>
      <c r="AA350" s="531"/>
      <c r="AB350" s="429"/>
      <c r="AC350" s="429"/>
      <c r="AD350" s="429"/>
    </row>
    <row r="351" spans="17:30" s="428" customFormat="1" x14ac:dyDescent="0.25">
      <c r="X351" s="429"/>
      <c r="Y351" s="20"/>
      <c r="Z351" s="531"/>
      <c r="AA351" s="531"/>
      <c r="AB351" s="429"/>
      <c r="AC351" s="429"/>
      <c r="AD351" s="429"/>
    </row>
    <row r="352" spans="17:30" s="428" customFormat="1" x14ac:dyDescent="0.25">
      <c r="X352" s="429"/>
      <c r="Y352" s="20"/>
      <c r="Z352" s="531"/>
      <c r="AA352" s="531"/>
      <c r="AB352" s="429"/>
      <c r="AC352" s="429"/>
      <c r="AD352" s="429"/>
    </row>
    <row r="353" spans="24:30" s="428" customFormat="1" x14ac:dyDescent="0.25">
      <c r="X353" s="429"/>
      <c r="Y353" s="20"/>
      <c r="Z353" s="531"/>
      <c r="AA353" s="531"/>
      <c r="AB353" s="429"/>
      <c r="AC353" s="429"/>
      <c r="AD353" s="429"/>
    </row>
    <row r="354" spans="24:30" s="428" customFormat="1" x14ac:dyDescent="0.25">
      <c r="X354" s="429"/>
      <c r="Y354" s="20"/>
      <c r="Z354" s="531"/>
      <c r="AA354" s="531"/>
      <c r="AB354" s="429"/>
      <c r="AC354" s="429"/>
      <c r="AD354" s="429"/>
    </row>
    <row r="355" spans="24:30" s="428" customFormat="1" x14ac:dyDescent="0.25">
      <c r="X355" s="429"/>
      <c r="Y355" s="20"/>
      <c r="Z355" s="531"/>
      <c r="AA355" s="531"/>
      <c r="AB355" s="429"/>
      <c r="AC355" s="429"/>
      <c r="AD355" s="429"/>
    </row>
    <row r="356" spans="24:30" s="428" customFormat="1" x14ac:dyDescent="0.25">
      <c r="X356" s="429"/>
      <c r="Y356" s="20"/>
      <c r="Z356" s="531"/>
      <c r="AA356" s="531"/>
      <c r="AB356" s="429"/>
      <c r="AC356" s="429"/>
      <c r="AD356" s="429"/>
    </row>
    <row r="357" spans="24:30" s="428" customFormat="1" x14ac:dyDescent="0.25">
      <c r="X357" s="429"/>
      <c r="Y357" s="20"/>
      <c r="Z357" s="531"/>
      <c r="AA357" s="531"/>
      <c r="AB357" s="429"/>
      <c r="AC357" s="429"/>
      <c r="AD357" s="429"/>
    </row>
    <row r="358" spans="24:30" s="428" customFormat="1" x14ac:dyDescent="0.25">
      <c r="X358" s="429"/>
      <c r="Y358" s="20"/>
      <c r="Z358" s="531"/>
      <c r="AA358" s="531"/>
      <c r="AB358" s="429"/>
      <c r="AC358" s="429"/>
      <c r="AD358" s="429"/>
    </row>
    <row r="359" spans="24:30" s="428" customFormat="1" x14ac:dyDescent="0.25">
      <c r="X359" s="429"/>
      <c r="Y359" s="20"/>
      <c r="Z359" s="531"/>
      <c r="AA359" s="531"/>
      <c r="AB359" s="429"/>
      <c r="AC359" s="429"/>
      <c r="AD359" s="429"/>
    </row>
    <row r="360" spans="24:30" s="428" customFormat="1" x14ac:dyDescent="0.25">
      <c r="X360" s="429"/>
      <c r="Y360" s="20"/>
      <c r="Z360" s="531"/>
      <c r="AA360" s="531"/>
      <c r="AB360" s="429"/>
      <c r="AC360" s="429"/>
      <c r="AD360" s="429"/>
    </row>
    <row r="361" spans="24:30" s="428" customFormat="1" x14ac:dyDescent="0.25">
      <c r="X361" s="429"/>
      <c r="Y361" s="20"/>
      <c r="Z361" s="531"/>
      <c r="AA361" s="531"/>
      <c r="AB361" s="429"/>
      <c r="AC361" s="429"/>
      <c r="AD361" s="429"/>
    </row>
    <row r="362" spans="24:30" s="428" customFormat="1" x14ac:dyDescent="0.25">
      <c r="X362" s="429"/>
      <c r="Y362" s="20"/>
      <c r="Z362" s="531"/>
      <c r="AA362" s="531"/>
      <c r="AB362" s="429"/>
      <c r="AC362" s="429"/>
      <c r="AD362" s="429"/>
    </row>
    <row r="363" spans="24:30" s="428" customFormat="1" ht="18" customHeight="1" x14ac:dyDescent="0.25">
      <c r="X363" s="429"/>
      <c r="Y363" s="20"/>
      <c r="Z363" s="531"/>
      <c r="AA363" s="531"/>
      <c r="AB363" s="429"/>
      <c r="AC363" s="429"/>
      <c r="AD363" s="429"/>
    </row>
    <row r="364" spans="24:30" s="428" customFormat="1" x14ac:dyDescent="0.25">
      <c r="X364" s="429"/>
      <c r="Y364" s="20"/>
      <c r="Z364" s="531"/>
      <c r="AA364" s="531"/>
      <c r="AB364" s="429"/>
      <c r="AC364" s="429"/>
      <c r="AD364" s="429"/>
    </row>
    <row r="365" spans="24:30" s="428" customFormat="1" x14ac:dyDescent="0.25">
      <c r="X365" s="429"/>
      <c r="Y365" s="20"/>
      <c r="Z365" s="531"/>
      <c r="AA365" s="531"/>
      <c r="AB365" s="429"/>
      <c r="AC365" s="429"/>
      <c r="AD365" s="429"/>
    </row>
    <row r="366" spans="24:30" s="428" customFormat="1" x14ac:dyDescent="0.25">
      <c r="X366" s="429"/>
      <c r="Y366" s="20"/>
      <c r="Z366" s="531"/>
      <c r="AA366" s="531"/>
      <c r="AB366" s="429"/>
      <c r="AC366" s="429"/>
      <c r="AD366" s="429"/>
    </row>
    <row r="367" spans="24:30" s="428" customFormat="1" x14ac:dyDescent="0.25">
      <c r="X367" s="429"/>
      <c r="Y367" s="20"/>
      <c r="Z367" s="531"/>
      <c r="AA367" s="531"/>
      <c r="AB367" s="429"/>
      <c r="AC367" s="429"/>
      <c r="AD367" s="429"/>
    </row>
    <row r="368" spans="24:30" s="428" customFormat="1" x14ac:dyDescent="0.25">
      <c r="X368" s="429"/>
      <c r="Y368" s="20"/>
      <c r="Z368" s="531"/>
      <c r="AA368" s="531"/>
      <c r="AB368" s="429"/>
      <c r="AC368" s="429"/>
      <c r="AD368" s="429"/>
    </row>
    <row r="369" spans="24:30" s="428" customFormat="1" x14ac:dyDescent="0.25">
      <c r="X369" s="429"/>
      <c r="Y369" s="20"/>
      <c r="Z369" s="531"/>
      <c r="AA369" s="531"/>
      <c r="AB369" s="429"/>
      <c r="AC369" s="429"/>
      <c r="AD369" s="429"/>
    </row>
    <row r="370" spans="24:30" s="428" customFormat="1" x14ac:dyDescent="0.25">
      <c r="X370" s="429"/>
      <c r="Y370" s="20"/>
      <c r="Z370" s="531"/>
      <c r="AA370" s="531"/>
      <c r="AB370" s="429"/>
      <c r="AC370" s="429"/>
      <c r="AD370" s="429"/>
    </row>
    <row r="371" spans="24:30" s="428" customFormat="1" x14ac:dyDescent="0.25">
      <c r="X371" s="429"/>
      <c r="Y371" s="20"/>
      <c r="Z371" s="531"/>
      <c r="AA371" s="531"/>
      <c r="AB371" s="429"/>
      <c r="AC371" s="429"/>
      <c r="AD371" s="429"/>
    </row>
    <row r="372" spans="24:30" s="428" customFormat="1" x14ac:dyDescent="0.25">
      <c r="X372" s="429"/>
      <c r="Y372" s="20"/>
      <c r="Z372" s="531"/>
      <c r="AA372" s="531"/>
      <c r="AB372" s="429"/>
      <c r="AC372" s="429"/>
      <c r="AD372" s="429"/>
    </row>
    <row r="373" spans="24:30" s="428" customFormat="1" x14ac:dyDescent="0.25">
      <c r="X373" s="429"/>
      <c r="Y373" s="20"/>
      <c r="Z373" s="531"/>
      <c r="AA373" s="531"/>
      <c r="AB373" s="429"/>
      <c r="AC373" s="429"/>
      <c r="AD373" s="429"/>
    </row>
    <row r="374" spans="24:30" s="428" customFormat="1" x14ac:dyDescent="0.25">
      <c r="X374" s="429"/>
      <c r="Y374" s="20"/>
      <c r="Z374" s="531"/>
      <c r="AA374" s="531"/>
      <c r="AB374" s="429"/>
      <c r="AC374" s="429"/>
      <c r="AD374" s="429"/>
    </row>
    <row r="375" spans="24:30" s="428" customFormat="1" x14ac:dyDescent="0.25">
      <c r="X375" s="429"/>
      <c r="Y375" s="20"/>
      <c r="Z375" s="531"/>
      <c r="AA375" s="531"/>
      <c r="AB375" s="429"/>
      <c r="AC375" s="429"/>
      <c r="AD375" s="429"/>
    </row>
    <row r="376" spans="24:30" s="428" customFormat="1" x14ac:dyDescent="0.25">
      <c r="X376" s="429"/>
      <c r="Y376" s="20"/>
      <c r="Z376" s="531"/>
      <c r="AA376" s="531"/>
      <c r="AB376" s="429"/>
      <c r="AC376" s="429"/>
      <c r="AD376" s="429"/>
    </row>
    <row r="377" spans="24:30" s="428" customFormat="1" x14ac:dyDescent="0.25">
      <c r="X377" s="429"/>
      <c r="Y377" s="20"/>
      <c r="Z377" s="531"/>
      <c r="AA377" s="531"/>
      <c r="AB377" s="429"/>
      <c r="AC377" s="429"/>
      <c r="AD377" s="429"/>
    </row>
    <row r="378" spans="24:30" s="428" customFormat="1" x14ac:dyDescent="0.25">
      <c r="X378" s="429"/>
      <c r="Y378" s="20"/>
      <c r="Z378" s="531"/>
      <c r="AA378" s="531"/>
      <c r="AB378" s="429"/>
      <c r="AC378" s="429"/>
      <c r="AD378" s="429"/>
    </row>
    <row r="379" spans="24:30" s="428" customFormat="1" x14ac:dyDescent="0.25">
      <c r="X379" s="429"/>
      <c r="Y379" s="20"/>
      <c r="Z379" s="531"/>
      <c r="AA379" s="531"/>
      <c r="AB379" s="429"/>
      <c r="AC379" s="429"/>
      <c r="AD379" s="429"/>
    </row>
    <row r="380" spans="24:30" s="428" customFormat="1" x14ac:dyDescent="0.25">
      <c r="X380" s="429"/>
      <c r="Y380" s="20"/>
      <c r="Z380" s="531"/>
      <c r="AA380" s="531"/>
      <c r="AB380" s="429"/>
      <c r="AC380" s="429"/>
      <c r="AD380" s="429"/>
    </row>
    <row r="381" spans="24:30" s="428" customFormat="1" x14ac:dyDescent="0.25">
      <c r="X381" s="429"/>
      <c r="Y381" s="20"/>
      <c r="Z381" s="531"/>
      <c r="AA381" s="531"/>
      <c r="AB381" s="429"/>
      <c r="AC381" s="429"/>
      <c r="AD381" s="429"/>
    </row>
    <row r="382" spans="24:30" s="428" customFormat="1" x14ac:dyDescent="0.25">
      <c r="X382" s="429"/>
      <c r="Y382" s="20"/>
      <c r="Z382" s="531"/>
      <c r="AA382" s="531"/>
      <c r="AB382" s="429"/>
      <c r="AC382" s="429"/>
      <c r="AD382" s="429"/>
    </row>
    <row r="383" spans="24:30" s="428" customFormat="1" x14ac:dyDescent="0.25">
      <c r="X383" s="429"/>
      <c r="Y383" s="20"/>
      <c r="Z383" s="531"/>
      <c r="AA383" s="531"/>
      <c r="AB383" s="429"/>
      <c r="AC383" s="429"/>
      <c r="AD383" s="429"/>
    </row>
    <row r="384" spans="24:30" s="428" customFormat="1" x14ac:dyDescent="0.25">
      <c r="X384" s="429"/>
      <c r="Y384" s="20"/>
      <c r="Z384" s="531"/>
      <c r="AA384" s="531"/>
      <c r="AB384" s="429"/>
      <c r="AC384" s="429"/>
      <c r="AD384" s="429"/>
    </row>
    <row r="385" spans="24:30" s="428" customFormat="1" x14ac:dyDescent="0.25">
      <c r="X385" s="429"/>
      <c r="Y385" s="20"/>
      <c r="Z385" s="531"/>
      <c r="AA385" s="531"/>
      <c r="AB385" s="429"/>
      <c r="AC385" s="429"/>
      <c r="AD385" s="429"/>
    </row>
    <row r="386" spans="24:30" s="428" customFormat="1" x14ac:dyDescent="0.25">
      <c r="X386" s="429"/>
      <c r="Y386" s="20"/>
      <c r="Z386" s="531"/>
      <c r="AA386" s="531"/>
      <c r="AB386" s="429"/>
      <c r="AC386" s="429"/>
      <c r="AD386" s="429"/>
    </row>
    <row r="387" spans="24:30" s="428" customFormat="1" x14ac:dyDescent="0.25">
      <c r="X387" s="429"/>
      <c r="Y387" s="20"/>
      <c r="Z387" s="531"/>
      <c r="AA387" s="531"/>
      <c r="AB387" s="429"/>
      <c r="AC387" s="429"/>
      <c r="AD387" s="429"/>
    </row>
    <row r="388" spans="24:30" s="428" customFormat="1" x14ac:dyDescent="0.25">
      <c r="X388" s="429"/>
      <c r="Y388" s="20"/>
      <c r="Z388" s="531"/>
      <c r="AA388" s="531"/>
      <c r="AB388" s="429"/>
      <c r="AC388" s="429"/>
      <c r="AD388" s="429"/>
    </row>
    <row r="389" spans="24:30" s="428" customFormat="1" x14ac:dyDescent="0.25">
      <c r="X389" s="429"/>
      <c r="Y389" s="20"/>
      <c r="Z389" s="531"/>
      <c r="AA389" s="531"/>
      <c r="AB389" s="429"/>
      <c r="AC389" s="429"/>
      <c r="AD389" s="429"/>
    </row>
    <row r="390" spans="24:30" s="428" customFormat="1" x14ac:dyDescent="0.25">
      <c r="X390" s="429"/>
      <c r="Y390" s="20"/>
      <c r="Z390" s="531"/>
      <c r="AA390" s="531"/>
      <c r="AB390" s="429"/>
      <c r="AC390" s="429"/>
      <c r="AD390" s="429"/>
    </row>
    <row r="391" spans="24:30" s="428" customFormat="1" x14ac:dyDescent="0.25">
      <c r="X391" s="429"/>
      <c r="Y391" s="20"/>
      <c r="Z391" s="531"/>
      <c r="AA391" s="531"/>
      <c r="AB391" s="429"/>
      <c r="AC391" s="429"/>
      <c r="AD391" s="429"/>
    </row>
    <row r="392" spans="24:30" s="428" customFormat="1" x14ac:dyDescent="0.25">
      <c r="X392" s="429"/>
      <c r="Y392" s="20"/>
      <c r="Z392" s="531"/>
      <c r="AA392" s="531"/>
      <c r="AB392" s="429"/>
      <c r="AC392" s="429"/>
      <c r="AD392" s="429"/>
    </row>
    <row r="393" spans="24:30" s="428" customFormat="1" x14ac:dyDescent="0.25">
      <c r="X393" s="429"/>
      <c r="Y393" s="20"/>
      <c r="Z393" s="531"/>
      <c r="AA393" s="531"/>
      <c r="AB393" s="429"/>
      <c r="AC393" s="429"/>
      <c r="AD393" s="429"/>
    </row>
    <row r="394" spans="24:30" s="428" customFormat="1" x14ac:dyDescent="0.25">
      <c r="X394" s="429"/>
      <c r="Y394" s="20"/>
      <c r="Z394" s="531"/>
      <c r="AA394" s="531"/>
      <c r="AB394" s="429"/>
      <c r="AC394" s="429"/>
      <c r="AD394" s="429"/>
    </row>
    <row r="395" spans="24:30" s="428" customFormat="1" x14ac:dyDescent="0.25">
      <c r="X395" s="429"/>
      <c r="Y395" s="20"/>
      <c r="Z395" s="531"/>
      <c r="AA395" s="531"/>
      <c r="AB395" s="429"/>
      <c r="AC395" s="429"/>
      <c r="AD395" s="429"/>
    </row>
    <row r="396" spans="24:30" s="428" customFormat="1" x14ac:dyDescent="0.25">
      <c r="X396" s="429"/>
      <c r="Y396" s="20"/>
      <c r="Z396" s="531"/>
      <c r="AA396" s="531"/>
      <c r="AB396" s="429"/>
      <c r="AC396" s="429"/>
      <c r="AD396" s="429"/>
    </row>
    <row r="397" spans="24:30" s="428" customFormat="1" x14ac:dyDescent="0.25">
      <c r="X397" s="429"/>
      <c r="Y397" s="20"/>
      <c r="Z397" s="531"/>
      <c r="AA397" s="531"/>
      <c r="AB397" s="429"/>
      <c r="AC397" s="429"/>
      <c r="AD397" s="429"/>
    </row>
    <row r="398" spans="24:30" s="428" customFormat="1" x14ac:dyDescent="0.25">
      <c r="X398" s="429"/>
      <c r="Y398" s="20"/>
      <c r="Z398" s="531"/>
      <c r="AA398" s="531"/>
      <c r="AB398" s="429"/>
      <c r="AC398" s="429"/>
      <c r="AD398" s="429"/>
    </row>
    <row r="399" spans="24:30" s="428" customFormat="1" x14ac:dyDescent="0.25">
      <c r="X399" s="429"/>
      <c r="Y399" s="20"/>
      <c r="Z399" s="531"/>
      <c r="AA399" s="531"/>
      <c r="AB399" s="429"/>
      <c r="AC399" s="429"/>
      <c r="AD399" s="429"/>
    </row>
    <row r="400" spans="24:30" s="428" customFormat="1" x14ac:dyDescent="0.25">
      <c r="X400" s="429"/>
      <c r="Y400" s="20"/>
      <c r="Z400" s="531"/>
      <c r="AA400" s="531"/>
      <c r="AB400" s="429"/>
      <c r="AC400" s="429"/>
      <c r="AD400" s="429"/>
    </row>
    <row r="401" spans="24:30" s="428" customFormat="1" x14ac:dyDescent="0.25">
      <c r="X401" s="429"/>
      <c r="Y401" s="20"/>
      <c r="Z401" s="531"/>
      <c r="AA401" s="531"/>
      <c r="AB401" s="429"/>
      <c r="AC401" s="429"/>
      <c r="AD401" s="429"/>
    </row>
    <row r="402" spans="24:30" s="428" customFormat="1" x14ac:dyDescent="0.25">
      <c r="X402" s="429"/>
      <c r="Y402" s="20"/>
      <c r="Z402" s="531"/>
      <c r="AA402" s="531"/>
      <c r="AB402" s="429"/>
      <c r="AC402" s="429"/>
      <c r="AD402" s="429"/>
    </row>
    <row r="403" spans="24:30" s="428" customFormat="1" x14ac:dyDescent="0.25">
      <c r="X403" s="429"/>
      <c r="Y403" s="20"/>
      <c r="Z403" s="531"/>
      <c r="AA403" s="531"/>
      <c r="AB403" s="429"/>
      <c r="AC403" s="429"/>
      <c r="AD403" s="429"/>
    </row>
    <row r="404" spans="24:30" s="428" customFormat="1" x14ac:dyDescent="0.25">
      <c r="X404" s="429"/>
      <c r="Y404" s="20"/>
      <c r="Z404" s="531"/>
      <c r="AA404" s="531"/>
      <c r="AB404" s="429"/>
      <c r="AC404" s="429"/>
      <c r="AD404" s="429"/>
    </row>
    <row r="405" spans="24:30" s="428" customFormat="1" x14ac:dyDescent="0.25">
      <c r="X405" s="429"/>
      <c r="Y405" s="20"/>
      <c r="Z405" s="531"/>
      <c r="AA405" s="531"/>
      <c r="AB405" s="429"/>
      <c r="AC405" s="429"/>
      <c r="AD405" s="429"/>
    </row>
    <row r="406" spans="24:30" s="428" customFormat="1" x14ac:dyDescent="0.25">
      <c r="X406" s="429"/>
      <c r="Y406" s="20"/>
      <c r="Z406" s="531"/>
      <c r="AA406" s="531"/>
      <c r="AB406" s="429"/>
      <c r="AC406" s="429"/>
      <c r="AD406" s="429"/>
    </row>
    <row r="407" spans="24:30" s="428" customFormat="1" x14ac:dyDescent="0.25">
      <c r="X407" s="429"/>
      <c r="Y407" s="20"/>
      <c r="Z407" s="531"/>
      <c r="AA407" s="531"/>
      <c r="AB407" s="429"/>
      <c r="AC407" s="429"/>
      <c r="AD407" s="429"/>
    </row>
    <row r="408" spans="24:30" s="428" customFormat="1" x14ac:dyDescent="0.25">
      <c r="X408" s="429"/>
      <c r="Y408" s="20"/>
      <c r="Z408" s="531"/>
      <c r="AA408" s="531"/>
      <c r="AB408" s="429"/>
      <c r="AC408" s="429"/>
      <c r="AD408" s="429"/>
    </row>
    <row r="409" spans="24:30" s="428" customFormat="1" x14ac:dyDescent="0.25">
      <c r="X409" s="429"/>
      <c r="Y409" s="20"/>
      <c r="Z409" s="531"/>
      <c r="AA409" s="531"/>
      <c r="AB409" s="429"/>
      <c r="AC409" s="429"/>
      <c r="AD409" s="429"/>
    </row>
    <row r="410" spans="24:30" s="428" customFormat="1" x14ac:dyDescent="0.25">
      <c r="X410" s="429"/>
      <c r="Y410" s="20"/>
      <c r="Z410" s="531"/>
      <c r="AA410" s="531"/>
      <c r="AB410" s="429"/>
      <c r="AC410" s="429"/>
      <c r="AD410" s="429"/>
    </row>
    <row r="411" spans="24:30" s="428" customFormat="1" x14ac:dyDescent="0.25">
      <c r="X411" s="429"/>
      <c r="Y411" s="20"/>
      <c r="Z411" s="531"/>
      <c r="AA411" s="531"/>
      <c r="AB411" s="429"/>
      <c r="AC411" s="429"/>
      <c r="AD411" s="429"/>
    </row>
    <row r="412" spans="24:30" s="428" customFormat="1" x14ac:dyDescent="0.25">
      <c r="X412" s="429"/>
      <c r="Y412" s="20"/>
      <c r="Z412" s="531"/>
      <c r="AA412" s="531"/>
      <c r="AB412" s="429"/>
      <c r="AC412" s="429"/>
      <c r="AD412" s="429"/>
    </row>
    <row r="413" spans="24:30" s="428" customFormat="1" x14ac:dyDescent="0.25">
      <c r="X413" s="429"/>
      <c r="Y413" s="20"/>
      <c r="Z413" s="531"/>
      <c r="AA413" s="531"/>
      <c r="AB413" s="429"/>
      <c r="AC413" s="429"/>
      <c r="AD413" s="429"/>
    </row>
    <row r="414" spans="24:30" s="428" customFormat="1" x14ac:dyDescent="0.25">
      <c r="X414" s="429"/>
      <c r="Y414" s="20"/>
      <c r="Z414" s="531"/>
      <c r="AA414" s="531"/>
      <c r="AB414" s="429"/>
      <c r="AC414" s="429"/>
      <c r="AD414" s="429"/>
    </row>
    <row r="415" spans="24:30" s="428" customFormat="1" x14ac:dyDescent="0.25">
      <c r="X415" s="429"/>
      <c r="Y415" s="20"/>
      <c r="Z415" s="531"/>
      <c r="AA415" s="531"/>
      <c r="AB415" s="429"/>
      <c r="AC415" s="429"/>
      <c r="AD415" s="429"/>
    </row>
    <row r="416" spans="24:30" s="428" customFormat="1" x14ac:dyDescent="0.25">
      <c r="X416" s="429"/>
      <c r="Y416" s="20"/>
      <c r="Z416" s="531"/>
      <c r="AA416" s="531"/>
      <c r="AB416" s="429"/>
      <c r="AC416" s="429"/>
      <c r="AD416" s="429"/>
    </row>
    <row r="417" spans="24:30" s="428" customFormat="1" x14ac:dyDescent="0.25">
      <c r="X417" s="429"/>
      <c r="Y417" s="20"/>
      <c r="Z417" s="531"/>
      <c r="AA417" s="531"/>
      <c r="AB417" s="429"/>
      <c r="AC417" s="429"/>
      <c r="AD417" s="429"/>
    </row>
    <row r="418" spans="24:30" s="428" customFormat="1" x14ac:dyDescent="0.25">
      <c r="X418" s="429"/>
      <c r="Y418" s="20"/>
      <c r="Z418" s="531"/>
      <c r="AA418" s="531"/>
      <c r="AB418" s="429"/>
      <c r="AC418" s="429"/>
      <c r="AD418" s="429"/>
    </row>
    <row r="419" spans="24:30" s="428" customFormat="1" x14ac:dyDescent="0.25">
      <c r="X419" s="429"/>
      <c r="Y419" s="20"/>
      <c r="Z419" s="531"/>
      <c r="AA419" s="531"/>
      <c r="AB419" s="429"/>
      <c r="AC419" s="429"/>
      <c r="AD419" s="429"/>
    </row>
    <row r="420" spans="24:30" s="428" customFormat="1" x14ac:dyDescent="0.25">
      <c r="X420" s="429"/>
      <c r="Y420" s="20"/>
      <c r="Z420" s="531"/>
      <c r="AA420" s="531"/>
      <c r="AB420" s="429"/>
      <c r="AC420" s="429"/>
      <c r="AD420" s="429"/>
    </row>
    <row r="421" spans="24:30" s="428" customFormat="1" x14ac:dyDescent="0.25">
      <c r="X421" s="429"/>
      <c r="Y421" s="20"/>
      <c r="Z421" s="531"/>
      <c r="AA421" s="531"/>
      <c r="AB421" s="429"/>
      <c r="AC421" s="429"/>
      <c r="AD421" s="429"/>
    </row>
    <row r="422" spans="24:30" s="428" customFormat="1" x14ac:dyDescent="0.25">
      <c r="X422" s="429"/>
      <c r="Y422" s="20"/>
      <c r="Z422" s="531"/>
      <c r="AA422" s="531"/>
      <c r="AB422" s="429"/>
      <c r="AC422" s="429"/>
      <c r="AD422" s="429"/>
    </row>
    <row r="423" spans="24:30" s="428" customFormat="1" x14ac:dyDescent="0.25">
      <c r="X423" s="429"/>
      <c r="Y423" s="20"/>
      <c r="Z423" s="531"/>
      <c r="AA423" s="531"/>
      <c r="AB423" s="429"/>
      <c r="AC423" s="429"/>
      <c r="AD423" s="429"/>
    </row>
    <row r="424" spans="24:30" s="428" customFormat="1" x14ac:dyDescent="0.25">
      <c r="X424" s="429"/>
      <c r="Y424" s="20"/>
      <c r="Z424" s="531"/>
      <c r="AA424" s="531"/>
      <c r="AB424" s="429"/>
      <c r="AC424" s="429"/>
      <c r="AD424" s="429"/>
    </row>
    <row r="425" spans="24:30" s="428" customFormat="1" x14ac:dyDescent="0.25">
      <c r="X425" s="429"/>
      <c r="Y425" s="20"/>
      <c r="Z425" s="531"/>
      <c r="AA425" s="531"/>
      <c r="AB425" s="429"/>
      <c r="AC425" s="429"/>
      <c r="AD425" s="429"/>
    </row>
    <row r="426" spans="24:30" s="428" customFormat="1" x14ac:dyDescent="0.25">
      <c r="X426" s="429"/>
      <c r="Y426" s="20"/>
      <c r="Z426" s="531"/>
      <c r="AA426" s="531"/>
      <c r="AB426" s="429"/>
      <c r="AC426" s="429"/>
      <c r="AD426" s="429"/>
    </row>
    <row r="427" spans="24:30" s="428" customFormat="1" x14ac:dyDescent="0.25">
      <c r="X427" s="429"/>
      <c r="Y427" s="20"/>
      <c r="Z427" s="531"/>
      <c r="AA427" s="531"/>
      <c r="AB427" s="429"/>
      <c r="AC427" s="429"/>
      <c r="AD427" s="429"/>
    </row>
    <row r="428" spans="24:30" s="428" customFormat="1" x14ac:dyDescent="0.25">
      <c r="X428" s="429"/>
      <c r="Y428" s="20"/>
      <c r="Z428" s="531"/>
      <c r="AA428" s="531"/>
      <c r="AB428" s="429"/>
      <c r="AC428" s="429"/>
      <c r="AD428" s="429"/>
    </row>
    <row r="429" spans="24:30" s="428" customFormat="1" x14ac:dyDescent="0.25">
      <c r="X429" s="429"/>
      <c r="Y429" s="20"/>
      <c r="Z429" s="531"/>
      <c r="AA429" s="531"/>
      <c r="AB429" s="429"/>
      <c r="AC429" s="429"/>
      <c r="AD429" s="429"/>
    </row>
    <row r="430" spans="24:30" s="428" customFormat="1" x14ac:dyDescent="0.25">
      <c r="X430" s="429"/>
      <c r="Y430" s="20"/>
      <c r="Z430" s="531"/>
      <c r="AA430" s="531"/>
      <c r="AB430" s="429"/>
      <c r="AC430" s="429"/>
      <c r="AD430" s="429"/>
    </row>
    <row r="431" spans="24:30" s="428" customFormat="1" x14ac:dyDescent="0.25">
      <c r="X431" s="429"/>
      <c r="Y431" s="20"/>
      <c r="Z431" s="531"/>
      <c r="AA431" s="531"/>
      <c r="AB431" s="429"/>
      <c r="AC431" s="429"/>
      <c r="AD431" s="429"/>
    </row>
    <row r="432" spans="24:30" s="428" customFormat="1" x14ac:dyDescent="0.25">
      <c r="X432" s="429"/>
      <c r="Y432" s="20"/>
      <c r="Z432" s="531"/>
      <c r="AA432" s="531"/>
      <c r="AB432" s="429"/>
      <c r="AC432" s="429"/>
      <c r="AD432" s="429"/>
    </row>
    <row r="433" spans="24:30" s="428" customFormat="1" x14ac:dyDescent="0.25">
      <c r="X433" s="429"/>
      <c r="Y433" s="20"/>
      <c r="Z433" s="531"/>
      <c r="AA433" s="531"/>
      <c r="AB433" s="429"/>
      <c r="AC433" s="429"/>
      <c r="AD433" s="429"/>
    </row>
    <row r="434" spans="24:30" s="428" customFormat="1" x14ac:dyDescent="0.25">
      <c r="X434" s="429"/>
      <c r="Y434" s="20"/>
      <c r="Z434" s="531"/>
      <c r="AA434" s="531"/>
      <c r="AB434" s="429"/>
      <c r="AC434" s="429"/>
      <c r="AD434" s="429"/>
    </row>
    <row r="435" spans="24:30" s="428" customFormat="1" x14ac:dyDescent="0.25">
      <c r="X435" s="429"/>
      <c r="Y435" s="20"/>
      <c r="Z435" s="531"/>
      <c r="AA435" s="531"/>
      <c r="AB435" s="429"/>
      <c r="AC435" s="429"/>
      <c r="AD435" s="429"/>
    </row>
    <row r="436" spans="24:30" s="428" customFormat="1" x14ac:dyDescent="0.25">
      <c r="X436" s="429"/>
      <c r="Y436" s="20"/>
      <c r="Z436" s="531"/>
      <c r="AA436" s="531"/>
      <c r="AB436" s="429"/>
      <c r="AC436" s="429"/>
      <c r="AD436" s="429"/>
    </row>
    <row r="437" spans="24:30" s="428" customFormat="1" x14ac:dyDescent="0.25">
      <c r="X437" s="429"/>
      <c r="Y437" s="20"/>
      <c r="Z437" s="531"/>
      <c r="AA437" s="531"/>
      <c r="AB437" s="429"/>
      <c r="AC437" s="429"/>
      <c r="AD437" s="429"/>
    </row>
    <row r="438" spans="24:30" s="428" customFormat="1" x14ac:dyDescent="0.25">
      <c r="X438" s="429"/>
      <c r="Y438" s="20"/>
      <c r="Z438" s="531"/>
      <c r="AA438" s="531"/>
      <c r="AB438" s="429"/>
      <c r="AC438" s="429"/>
      <c r="AD438" s="429"/>
    </row>
    <row r="439" spans="24:30" s="428" customFormat="1" x14ac:dyDescent="0.25">
      <c r="X439" s="429"/>
      <c r="Y439" s="20"/>
      <c r="Z439" s="531"/>
      <c r="AA439" s="531"/>
      <c r="AB439" s="429"/>
      <c r="AC439" s="429"/>
      <c r="AD439" s="429"/>
    </row>
    <row r="440" spans="24:30" s="428" customFormat="1" x14ac:dyDescent="0.25">
      <c r="X440" s="429"/>
      <c r="Y440" s="20"/>
      <c r="Z440" s="531"/>
      <c r="AA440" s="531"/>
      <c r="AB440" s="429"/>
      <c r="AC440" s="429"/>
      <c r="AD440" s="429"/>
    </row>
    <row r="441" spans="24:30" s="428" customFormat="1" x14ac:dyDescent="0.25">
      <c r="X441" s="429"/>
      <c r="Y441" s="20"/>
      <c r="Z441" s="531"/>
      <c r="AA441" s="531"/>
      <c r="AB441" s="429"/>
      <c r="AC441" s="429"/>
      <c r="AD441" s="429"/>
    </row>
    <row r="442" spans="24:30" s="428" customFormat="1" x14ac:dyDescent="0.25">
      <c r="X442" s="429"/>
      <c r="Y442" s="20"/>
      <c r="Z442" s="531"/>
      <c r="AA442" s="531"/>
      <c r="AB442" s="429"/>
      <c r="AC442" s="429"/>
      <c r="AD442" s="429"/>
    </row>
    <row r="443" spans="24:30" s="428" customFormat="1" x14ac:dyDescent="0.25">
      <c r="X443" s="429"/>
      <c r="Y443" s="20"/>
      <c r="Z443" s="531"/>
      <c r="AA443" s="531"/>
      <c r="AB443" s="429"/>
      <c r="AC443" s="429"/>
      <c r="AD443" s="429"/>
    </row>
    <row r="444" spans="24:30" s="428" customFormat="1" x14ac:dyDescent="0.25">
      <c r="X444" s="429"/>
      <c r="Y444" s="20"/>
      <c r="Z444" s="531"/>
      <c r="AA444" s="531"/>
      <c r="AB444" s="429"/>
      <c r="AC444" s="429"/>
      <c r="AD444" s="429"/>
    </row>
    <row r="445" spans="24:30" s="428" customFormat="1" x14ac:dyDescent="0.25">
      <c r="X445" s="429"/>
      <c r="Y445" s="20"/>
      <c r="Z445" s="531"/>
      <c r="AA445" s="531"/>
      <c r="AB445" s="429"/>
      <c r="AC445" s="429"/>
      <c r="AD445" s="429"/>
    </row>
    <row r="446" spans="24:30" s="428" customFormat="1" x14ac:dyDescent="0.25">
      <c r="X446" s="429"/>
      <c r="Y446" s="20"/>
      <c r="Z446" s="531"/>
      <c r="AA446" s="531"/>
      <c r="AB446" s="429"/>
      <c r="AC446" s="429"/>
      <c r="AD446" s="429"/>
    </row>
    <row r="447" spans="24:30" s="428" customFormat="1" x14ac:dyDescent="0.25">
      <c r="X447" s="429"/>
      <c r="Y447" s="20"/>
      <c r="Z447" s="531"/>
      <c r="AA447" s="531"/>
      <c r="AB447" s="429"/>
      <c r="AC447" s="429"/>
      <c r="AD447" s="429"/>
    </row>
    <row r="448" spans="24:30" s="428" customFormat="1" x14ac:dyDescent="0.25">
      <c r="X448" s="429"/>
      <c r="Y448" s="20"/>
      <c r="Z448" s="531"/>
      <c r="AA448" s="531"/>
      <c r="AB448" s="429"/>
      <c r="AC448" s="429"/>
      <c r="AD448" s="429"/>
    </row>
    <row r="449" spans="24:30" s="428" customFormat="1" x14ac:dyDescent="0.25">
      <c r="X449" s="429"/>
      <c r="Y449" s="20"/>
      <c r="Z449" s="531"/>
      <c r="AA449" s="531"/>
      <c r="AB449" s="429"/>
      <c r="AC449" s="429"/>
      <c r="AD449" s="429"/>
    </row>
    <row r="450" spans="24:30" s="428" customFormat="1" x14ac:dyDescent="0.25">
      <c r="X450" s="429"/>
      <c r="Y450" s="20"/>
      <c r="Z450" s="531"/>
      <c r="AA450" s="531"/>
      <c r="AB450" s="429"/>
      <c r="AC450" s="429"/>
      <c r="AD450" s="429"/>
    </row>
    <row r="451" spans="24:30" s="428" customFormat="1" x14ac:dyDescent="0.25">
      <c r="X451" s="429"/>
      <c r="Y451" s="20"/>
      <c r="Z451" s="531"/>
      <c r="AA451" s="531"/>
      <c r="AB451" s="429"/>
      <c r="AC451" s="429"/>
      <c r="AD451" s="429"/>
    </row>
    <row r="452" spans="24:30" s="428" customFormat="1" x14ac:dyDescent="0.25">
      <c r="X452" s="429"/>
      <c r="Y452" s="20"/>
      <c r="Z452" s="531"/>
      <c r="AA452" s="531"/>
      <c r="AB452" s="429"/>
      <c r="AC452" s="429"/>
      <c r="AD452" s="429"/>
    </row>
    <row r="453" spans="24:30" s="428" customFormat="1" x14ac:dyDescent="0.25">
      <c r="X453" s="429"/>
      <c r="Y453" s="20"/>
      <c r="Z453" s="531"/>
      <c r="AA453" s="531"/>
      <c r="AB453" s="429"/>
      <c r="AC453" s="429"/>
      <c r="AD453" s="429"/>
    </row>
    <row r="454" spans="24:30" s="428" customFormat="1" x14ac:dyDescent="0.25">
      <c r="X454" s="429"/>
      <c r="Y454" s="20"/>
      <c r="Z454" s="531"/>
      <c r="AA454" s="531"/>
      <c r="AB454" s="429"/>
      <c r="AC454" s="429"/>
      <c r="AD454" s="429"/>
    </row>
    <row r="455" spans="24:30" s="428" customFormat="1" x14ac:dyDescent="0.25">
      <c r="X455" s="429"/>
      <c r="Y455" s="20"/>
      <c r="Z455" s="531"/>
      <c r="AA455" s="531"/>
      <c r="AB455" s="429"/>
      <c r="AC455" s="429"/>
      <c r="AD455" s="429"/>
    </row>
    <row r="456" spans="24:30" s="428" customFormat="1" x14ac:dyDescent="0.25">
      <c r="X456" s="429"/>
      <c r="Y456" s="20"/>
      <c r="Z456" s="531"/>
      <c r="AA456" s="531"/>
      <c r="AB456" s="429"/>
      <c r="AC456" s="429"/>
      <c r="AD456" s="429"/>
    </row>
    <row r="457" spans="24:30" s="428" customFormat="1" x14ac:dyDescent="0.25">
      <c r="X457" s="429"/>
      <c r="Y457" s="20"/>
      <c r="Z457" s="531"/>
      <c r="AA457" s="531"/>
      <c r="AB457" s="429"/>
      <c r="AC457" s="429"/>
      <c r="AD457" s="429"/>
    </row>
    <row r="458" spans="24:30" s="428" customFormat="1" x14ac:dyDescent="0.25">
      <c r="X458" s="429"/>
      <c r="Y458" s="20"/>
      <c r="Z458" s="531"/>
      <c r="AA458" s="531"/>
      <c r="AB458" s="429"/>
      <c r="AC458" s="429"/>
      <c r="AD458" s="429"/>
    </row>
    <row r="459" spans="24:30" s="428" customFormat="1" x14ac:dyDescent="0.25">
      <c r="X459" s="429"/>
      <c r="Y459" s="20"/>
      <c r="Z459" s="531"/>
      <c r="AA459" s="531"/>
      <c r="AB459" s="429"/>
      <c r="AC459" s="429"/>
      <c r="AD459" s="429"/>
    </row>
    <row r="460" spans="24:30" s="428" customFormat="1" x14ac:dyDescent="0.25">
      <c r="X460" s="429"/>
      <c r="Y460" s="20"/>
      <c r="Z460" s="531"/>
      <c r="AA460" s="531"/>
      <c r="AB460" s="429"/>
      <c r="AC460" s="429"/>
      <c r="AD460" s="429"/>
    </row>
    <row r="461" spans="24:30" s="428" customFormat="1" x14ac:dyDescent="0.25">
      <c r="X461" s="429"/>
      <c r="Y461" s="20"/>
      <c r="Z461" s="531"/>
      <c r="AA461" s="531"/>
      <c r="AB461" s="429"/>
      <c r="AC461" s="429"/>
      <c r="AD461" s="429"/>
    </row>
    <row r="462" spans="24:30" s="428" customFormat="1" x14ac:dyDescent="0.25">
      <c r="X462" s="429"/>
      <c r="Y462" s="20"/>
      <c r="Z462" s="531"/>
      <c r="AA462" s="531"/>
      <c r="AB462" s="429"/>
      <c r="AC462" s="429"/>
      <c r="AD462" s="429"/>
    </row>
    <row r="463" spans="24:30" s="428" customFormat="1" x14ac:dyDescent="0.25">
      <c r="X463" s="429"/>
      <c r="Y463" s="20"/>
      <c r="Z463" s="531"/>
      <c r="AA463" s="531"/>
      <c r="AB463" s="429"/>
      <c r="AC463" s="429"/>
      <c r="AD463" s="429"/>
    </row>
    <row r="464" spans="24:30" s="428" customFormat="1" x14ac:dyDescent="0.25">
      <c r="X464" s="429"/>
      <c r="Y464" s="20"/>
      <c r="Z464" s="531"/>
      <c r="AA464" s="531"/>
      <c r="AB464" s="429"/>
      <c r="AC464" s="429"/>
      <c r="AD464" s="429"/>
    </row>
    <row r="465" spans="24:30" s="428" customFormat="1" x14ac:dyDescent="0.25">
      <c r="X465" s="429"/>
      <c r="Y465" s="20"/>
      <c r="Z465" s="531"/>
      <c r="AA465" s="531"/>
      <c r="AB465" s="429"/>
      <c r="AC465" s="429"/>
      <c r="AD465" s="429"/>
    </row>
    <row r="466" spans="24:30" s="428" customFormat="1" x14ac:dyDescent="0.25">
      <c r="X466" s="429"/>
      <c r="Y466" s="20"/>
      <c r="Z466" s="531"/>
      <c r="AA466" s="531"/>
      <c r="AB466" s="429"/>
      <c r="AC466" s="429"/>
      <c r="AD466" s="429"/>
    </row>
    <row r="467" spans="24:30" s="428" customFormat="1" x14ac:dyDescent="0.25">
      <c r="X467" s="429"/>
      <c r="Y467" s="20"/>
      <c r="Z467" s="531"/>
      <c r="AA467" s="531"/>
      <c r="AB467" s="429"/>
      <c r="AC467" s="429"/>
      <c r="AD467" s="429"/>
    </row>
    <row r="468" spans="24:30" s="428" customFormat="1" x14ac:dyDescent="0.25">
      <c r="X468" s="429"/>
      <c r="Y468" s="20"/>
      <c r="Z468" s="531"/>
      <c r="AA468" s="531"/>
      <c r="AB468" s="429"/>
      <c r="AC468" s="429"/>
      <c r="AD468" s="429"/>
    </row>
    <row r="469" spans="24:30" s="428" customFormat="1" x14ac:dyDescent="0.25">
      <c r="X469" s="429"/>
      <c r="Y469" s="20"/>
      <c r="Z469" s="531"/>
      <c r="AA469" s="531"/>
      <c r="AB469" s="429"/>
      <c r="AC469" s="429"/>
      <c r="AD469" s="429"/>
    </row>
    <row r="470" spans="24:30" s="428" customFormat="1" x14ac:dyDescent="0.25">
      <c r="X470" s="429"/>
      <c r="Y470" s="20"/>
      <c r="Z470" s="531"/>
      <c r="AA470" s="531"/>
      <c r="AB470" s="429"/>
      <c r="AC470" s="429"/>
      <c r="AD470" s="429"/>
    </row>
    <row r="471" spans="24:30" s="428" customFormat="1" x14ac:dyDescent="0.25">
      <c r="X471" s="429"/>
      <c r="Y471" s="20"/>
      <c r="Z471" s="531"/>
      <c r="AA471" s="531"/>
      <c r="AB471" s="429"/>
      <c r="AC471" s="429"/>
      <c r="AD471" s="429"/>
    </row>
    <row r="472" spans="24:30" s="428" customFormat="1" x14ac:dyDescent="0.25">
      <c r="X472" s="429"/>
      <c r="Y472" s="20"/>
      <c r="Z472" s="531"/>
      <c r="AA472" s="531"/>
      <c r="AB472" s="429"/>
      <c r="AC472" s="429"/>
      <c r="AD472" s="429"/>
    </row>
    <row r="473" spans="24:30" s="428" customFormat="1" x14ac:dyDescent="0.25">
      <c r="X473" s="429"/>
      <c r="Y473" s="20"/>
      <c r="Z473" s="531"/>
      <c r="AA473" s="531"/>
      <c r="AB473" s="429"/>
      <c r="AC473" s="429"/>
      <c r="AD473" s="429"/>
    </row>
    <row r="474" spans="24:30" s="428" customFormat="1" x14ac:dyDescent="0.25">
      <c r="X474" s="429"/>
      <c r="Y474" s="20"/>
      <c r="Z474" s="531"/>
      <c r="AA474" s="531"/>
      <c r="AB474" s="429"/>
      <c r="AC474" s="429"/>
      <c r="AD474" s="429"/>
    </row>
    <row r="475" spans="24:30" s="428" customFormat="1" x14ac:dyDescent="0.25">
      <c r="X475" s="429"/>
      <c r="Y475" s="20"/>
      <c r="Z475" s="531"/>
      <c r="AA475" s="531"/>
      <c r="AB475" s="429"/>
      <c r="AC475" s="429"/>
      <c r="AD475" s="429"/>
    </row>
    <row r="476" spans="24:30" s="428" customFormat="1" x14ac:dyDescent="0.25">
      <c r="X476" s="429"/>
      <c r="Y476" s="20"/>
      <c r="Z476" s="531"/>
      <c r="AA476" s="531"/>
      <c r="AB476" s="429"/>
      <c r="AC476" s="429"/>
      <c r="AD476" s="429"/>
    </row>
    <row r="477" spans="24:30" s="428" customFormat="1" x14ac:dyDescent="0.25">
      <c r="X477" s="429"/>
      <c r="Y477" s="20"/>
      <c r="Z477" s="531"/>
      <c r="AA477" s="531"/>
      <c r="AB477" s="429"/>
      <c r="AC477" s="429"/>
      <c r="AD477" s="429"/>
    </row>
    <row r="478" spans="24:30" s="428" customFormat="1" x14ac:dyDescent="0.25">
      <c r="X478" s="429"/>
      <c r="Y478" s="20"/>
      <c r="Z478" s="531"/>
      <c r="AA478" s="531"/>
      <c r="AB478" s="429"/>
      <c r="AC478" s="429"/>
      <c r="AD478" s="429"/>
    </row>
    <row r="479" spans="24:30" s="428" customFormat="1" x14ac:dyDescent="0.25">
      <c r="X479" s="429"/>
      <c r="Y479" s="20"/>
      <c r="Z479" s="531"/>
      <c r="AA479" s="531"/>
      <c r="AB479" s="429"/>
      <c r="AC479" s="429"/>
      <c r="AD479" s="429"/>
    </row>
    <row r="480" spans="24:30" s="428" customFormat="1" x14ac:dyDescent="0.25">
      <c r="X480" s="429"/>
      <c r="Y480" s="20"/>
      <c r="Z480" s="531"/>
      <c r="AA480" s="531"/>
      <c r="AB480" s="429"/>
      <c r="AC480" s="429"/>
      <c r="AD480" s="429"/>
    </row>
    <row r="481" spans="24:30" s="428" customFormat="1" x14ac:dyDescent="0.25">
      <c r="X481" s="429"/>
      <c r="Y481" s="20"/>
      <c r="Z481" s="531"/>
      <c r="AA481" s="531"/>
      <c r="AB481" s="429"/>
      <c r="AC481" s="429"/>
      <c r="AD481" s="429"/>
    </row>
    <row r="482" spans="24:30" s="428" customFormat="1" x14ac:dyDescent="0.25">
      <c r="X482" s="429"/>
      <c r="Y482" s="20"/>
      <c r="Z482" s="531"/>
      <c r="AA482" s="531"/>
      <c r="AB482" s="429"/>
      <c r="AC482" s="429"/>
      <c r="AD482" s="429"/>
    </row>
    <row r="483" spans="24:30" s="428" customFormat="1" x14ac:dyDescent="0.25">
      <c r="X483" s="429"/>
      <c r="Y483" s="20"/>
      <c r="Z483" s="531"/>
      <c r="AA483" s="531"/>
      <c r="AB483" s="429"/>
      <c r="AC483" s="429"/>
      <c r="AD483" s="429"/>
    </row>
    <row r="484" spans="24:30" s="428" customFormat="1" x14ac:dyDescent="0.25">
      <c r="X484" s="429"/>
      <c r="Y484" s="20"/>
      <c r="Z484" s="531"/>
      <c r="AA484" s="531"/>
      <c r="AB484" s="429"/>
      <c r="AC484" s="429"/>
      <c r="AD484" s="429"/>
    </row>
    <row r="485" spans="24:30" s="428" customFormat="1" x14ac:dyDescent="0.25">
      <c r="X485" s="429"/>
      <c r="Y485" s="20"/>
      <c r="Z485" s="531"/>
      <c r="AA485" s="531"/>
      <c r="AB485" s="429"/>
      <c r="AC485" s="429"/>
      <c r="AD485" s="429"/>
    </row>
    <row r="486" spans="24:30" s="428" customFormat="1" x14ac:dyDescent="0.25">
      <c r="X486" s="429"/>
      <c r="Y486" s="20"/>
      <c r="Z486" s="531"/>
      <c r="AA486" s="531"/>
      <c r="AB486" s="429"/>
      <c r="AC486" s="429"/>
      <c r="AD486" s="429"/>
    </row>
    <row r="487" spans="24:30" s="428" customFormat="1" x14ac:dyDescent="0.25">
      <c r="X487" s="429"/>
      <c r="Y487" s="20"/>
      <c r="Z487" s="531"/>
      <c r="AA487" s="531"/>
      <c r="AB487" s="429"/>
      <c r="AC487" s="429"/>
      <c r="AD487" s="429"/>
    </row>
    <row r="488" spans="24:30" s="428" customFormat="1" x14ac:dyDescent="0.25">
      <c r="X488" s="429"/>
      <c r="Y488" s="20"/>
      <c r="Z488" s="531"/>
      <c r="AA488" s="531"/>
      <c r="AB488" s="429"/>
      <c r="AC488" s="429"/>
      <c r="AD488" s="429"/>
    </row>
    <row r="489" spans="24:30" s="428" customFormat="1" x14ac:dyDescent="0.25">
      <c r="X489" s="429"/>
      <c r="Y489" s="20"/>
      <c r="Z489" s="531"/>
      <c r="AA489" s="531"/>
      <c r="AB489" s="429"/>
      <c r="AC489" s="429"/>
      <c r="AD489" s="429"/>
    </row>
    <row r="490" spans="24:30" s="428" customFormat="1" x14ac:dyDescent="0.25">
      <c r="X490" s="429"/>
      <c r="Y490" s="20"/>
      <c r="Z490" s="531"/>
      <c r="AA490" s="531"/>
      <c r="AB490" s="429"/>
      <c r="AC490" s="429"/>
      <c r="AD490" s="429"/>
    </row>
    <row r="491" spans="24:30" s="428" customFormat="1" x14ac:dyDescent="0.25">
      <c r="X491" s="429"/>
      <c r="Y491" s="20"/>
      <c r="Z491" s="531"/>
      <c r="AA491" s="531"/>
      <c r="AB491" s="429"/>
      <c r="AC491" s="429"/>
      <c r="AD491" s="429"/>
    </row>
    <row r="492" spans="24:30" s="428" customFormat="1" x14ac:dyDescent="0.25">
      <c r="X492" s="429"/>
      <c r="Y492" s="20"/>
      <c r="Z492" s="531"/>
      <c r="AA492" s="531"/>
      <c r="AB492" s="429"/>
      <c r="AC492" s="429"/>
      <c r="AD492" s="429"/>
    </row>
    <row r="493" spans="24:30" s="428" customFormat="1" x14ac:dyDescent="0.25">
      <c r="X493" s="429"/>
      <c r="Y493" s="20"/>
      <c r="Z493" s="531"/>
      <c r="AA493" s="531"/>
      <c r="AB493" s="429"/>
      <c r="AC493" s="429"/>
      <c r="AD493" s="429"/>
    </row>
    <row r="494" spans="24:30" s="428" customFormat="1" x14ac:dyDescent="0.25">
      <c r="X494" s="429"/>
      <c r="Y494" s="20"/>
      <c r="Z494" s="531"/>
      <c r="AA494" s="531"/>
      <c r="AB494" s="429"/>
      <c r="AC494" s="429"/>
      <c r="AD494" s="429"/>
    </row>
    <row r="495" spans="24:30" s="428" customFormat="1" x14ac:dyDescent="0.25">
      <c r="X495" s="429"/>
      <c r="Y495" s="20"/>
      <c r="Z495" s="531"/>
      <c r="AA495" s="531"/>
      <c r="AB495" s="429"/>
      <c r="AC495" s="429"/>
      <c r="AD495" s="429"/>
    </row>
    <row r="496" spans="24:30" s="428" customFormat="1" x14ac:dyDescent="0.25">
      <c r="X496" s="429"/>
      <c r="Y496" s="20"/>
      <c r="Z496" s="531"/>
      <c r="AA496" s="531"/>
      <c r="AB496" s="429"/>
      <c r="AC496" s="429"/>
      <c r="AD496" s="429"/>
    </row>
    <row r="497" spans="24:30" s="428" customFormat="1" x14ac:dyDescent="0.25">
      <c r="X497" s="429"/>
      <c r="Y497" s="20"/>
      <c r="Z497" s="531"/>
      <c r="AA497" s="531"/>
      <c r="AB497" s="429"/>
      <c r="AC497" s="429"/>
      <c r="AD497" s="429"/>
    </row>
    <row r="498" spans="24:30" s="428" customFormat="1" x14ac:dyDescent="0.25">
      <c r="X498" s="429"/>
      <c r="Y498" s="20"/>
      <c r="Z498" s="531"/>
      <c r="AA498" s="531"/>
      <c r="AB498" s="429"/>
      <c r="AC498" s="429"/>
      <c r="AD498" s="429"/>
    </row>
    <row r="499" spans="24:30" s="428" customFormat="1" x14ac:dyDescent="0.25">
      <c r="X499" s="429"/>
      <c r="Y499" s="20"/>
      <c r="Z499" s="531"/>
      <c r="AA499" s="531"/>
      <c r="AB499" s="429"/>
      <c r="AC499" s="429"/>
      <c r="AD499" s="429"/>
    </row>
    <row r="500" spans="24:30" s="428" customFormat="1" x14ac:dyDescent="0.25">
      <c r="X500" s="429"/>
      <c r="Y500" s="20"/>
      <c r="Z500" s="531"/>
      <c r="AA500" s="531"/>
      <c r="AB500" s="429"/>
      <c r="AC500" s="429"/>
      <c r="AD500" s="429"/>
    </row>
    <row r="501" spans="24:30" s="428" customFormat="1" x14ac:dyDescent="0.25">
      <c r="X501" s="429"/>
      <c r="Y501" s="20"/>
      <c r="Z501" s="531"/>
      <c r="AA501" s="531"/>
      <c r="AB501" s="429"/>
      <c r="AC501" s="429"/>
      <c r="AD501" s="429"/>
    </row>
    <row r="502" spans="24:30" s="428" customFormat="1" x14ac:dyDescent="0.25">
      <c r="X502" s="429"/>
      <c r="Y502" s="20"/>
      <c r="Z502" s="531"/>
      <c r="AA502" s="531"/>
      <c r="AB502" s="429"/>
      <c r="AC502" s="429"/>
      <c r="AD502" s="429"/>
    </row>
    <row r="503" spans="24:30" s="428" customFormat="1" x14ac:dyDescent="0.25">
      <c r="X503" s="429"/>
      <c r="Y503" s="20"/>
      <c r="Z503" s="531"/>
      <c r="AA503" s="531"/>
      <c r="AB503" s="429"/>
      <c r="AC503" s="429"/>
      <c r="AD503" s="429"/>
    </row>
    <row r="504" spans="24:30" s="428" customFormat="1" x14ac:dyDescent="0.25">
      <c r="X504" s="429"/>
      <c r="Y504" s="20"/>
      <c r="Z504" s="531"/>
      <c r="AA504" s="531"/>
      <c r="AB504" s="429"/>
      <c r="AC504" s="429"/>
      <c r="AD504" s="429"/>
    </row>
    <row r="505" spans="24:30" s="428" customFormat="1" x14ac:dyDescent="0.25">
      <c r="X505" s="429"/>
      <c r="Y505" s="20"/>
      <c r="Z505" s="531"/>
      <c r="AA505" s="531"/>
      <c r="AB505" s="429"/>
      <c r="AC505" s="429"/>
      <c r="AD505" s="429"/>
    </row>
    <row r="506" spans="24:30" s="428" customFormat="1" x14ac:dyDescent="0.25">
      <c r="X506" s="429"/>
      <c r="Y506" s="20"/>
      <c r="Z506" s="531"/>
      <c r="AA506" s="531"/>
      <c r="AB506" s="429"/>
      <c r="AC506" s="429"/>
      <c r="AD506" s="429"/>
    </row>
    <row r="507" spans="24:30" s="428" customFormat="1" x14ac:dyDescent="0.25">
      <c r="X507" s="429"/>
      <c r="Y507" s="20"/>
      <c r="Z507" s="531"/>
      <c r="AA507" s="531"/>
      <c r="AB507" s="429"/>
      <c r="AC507" s="429"/>
      <c r="AD507" s="429"/>
    </row>
    <row r="508" spans="24:30" s="428" customFormat="1" x14ac:dyDescent="0.25">
      <c r="X508" s="429"/>
      <c r="Y508" s="20"/>
      <c r="Z508" s="531"/>
      <c r="AA508" s="531"/>
      <c r="AB508" s="429"/>
      <c r="AC508" s="429"/>
      <c r="AD508" s="429"/>
    </row>
    <row r="509" spans="24:30" s="428" customFormat="1" x14ac:dyDescent="0.25">
      <c r="X509" s="429"/>
      <c r="Y509" s="20"/>
      <c r="Z509" s="531"/>
      <c r="AA509" s="531"/>
      <c r="AB509" s="429"/>
      <c r="AC509" s="429"/>
      <c r="AD509" s="429"/>
    </row>
    <row r="510" spans="24:30" s="428" customFormat="1" x14ac:dyDescent="0.25">
      <c r="X510" s="429"/>
      <c r="Y510" s="20"/>
      <c r="Z510" s="531"/>
      <c r="AA510" s="531"/>
      <c r="AB510" s="429"/>
      <c r="AC510" s="429"/>
      <c r="AD510" s="429"/>
    </row>
    <row r="511" spans="24:30" s="428" customFormat="1" x14ac:dyDescent="0.25">
      <c r="X511" s="429"/>
      <c r="Y511" s="20"/>
      <c r="Z511" s="531"/>
      <c r="AA511" s="531"/>
      <c r="AB511" s="429"/>
      <c r="AC511" s="429"/>
      <c r="AD511" s="429"/>
    </row>
    <row r="512" spans="24:30" s="428" customFormat="1" x14ac:dyDescent="0.25">
      <c r="X512" s="429"/>
      <c r="Y512" s="20"/>
      <c r="Z512" s="531"/>
      <c r="AA512" s="531"/>
      <c r="AB512" s="429"/>
      <c r="AC512" s="429"/>
      <c r="AD512" s="429"/>
    </row>
    <row r="513" spans="18:30" s="428" customFormat="1" x14ac:dyDescent="0.25">
      <c r="X513" s="429"/>
      <c r="Y513" s="20"/>
      <c r="Z513" s="531"/>
      <c r="AA513" s="531"/>
      <c r="AB513" s="429"/>
      <c r="AC513" s="429"/>
      <c r="AD513" s="429"/>
    </row>
    <row r="514" spans="18:30" s="428" customFormat="1" x14ac:dyDescent="0.25">
      <c r="X514" s="429"/>
      <c r="Y514" s="20"/>
      <c r="Z514" s="531"/>
      <c r="AA514" s="531"/>
      <c r="AB514" s="429"/>
      <c r="AC514" s="429"/>
      <c r="AD514" s="429"/>
    </row>
    <row r="515" spans="18:30" s="428" customFormat="1" x14ac:dyDescent="0.25">
      <c r="X515" s="429"/>
      <c r="Y515" s="20"/>
      <c r="Z515" s="531"/>
      <c r="AA515" s="531"/>
      <c r="AB515" s="429"/>
      <c r="AC515" s="429"/>
      <c r="AD515" s="429"/>
    </row>
    <row r="516" spans="18:30" s="428" customFormat="1" x14ac:dyDescent="0.25">
      <c r="X516" s="429"/>
      <c r="Y516" s="20"/>
      <c r="Z516" s="531"/>
      <c r="AA516" s="531"/>
      <c r="AB516" s="429"/>
      <c r="AC516" s="429"/>
      <c r="AD516" s="429"/>
    </row>
    <row r="517" spans="18:30" s="428" customFormat="1" x14ac:dyDescent="0.25">
      <c r="X517" s="429"/>
      <c r="Y517" s="20"/>
      <c r="Z517" s="531"/>
      <c r="AA517" s="531"/>
      <c r="AB517" s="429"/>
      <c r="AC517" s="429"/>
      <c r="AD517" s="429"/>
    </row>
    <row r="518" spans="18:30" s="428" customFormat="1" x14ac:dyDescent="0.25">
      <c r="X518" s="429"/>
      <c r="Y518" s="20"/>
      <c r="Z518" s="531"/>
      <c r="AA518" s="531"/>
      <c r="AB518" s="429"/>
      <c r="AC518" s="429"/>
      <c r="AD518" s="429"/>
    </row>
    <row r="519" spans="18:30" s="428" customFormat="1" x14ac:dyDescent="0.25">
      <c r="X519" s="429"/>
      <c r="Y519" s="20"/>
      <c r="Z519" s="531"/>
      <c r="AA519" s="531"/>
      <c r="AB519" s="429"/>
      <c r="AC519" s="429"/>
      <c r="AD519" s="429"/>
    </row>
    <row r="520" spans="18:30" s="428" customFormat="1" x14ac:dyDescent="0.25">
      <c r="X520" s="429"/>
      <c r="Y520" s="20"/>
      <c r="Z520" s="531"/>
      <c r="AA520" s="531"/>
      <c r="AB520" s="429"/>
      <c r="AC520" s="429"/>
      <c r="AD520" s="429"/>
    </row>
    <row r="521" spans="18:30" s="428" customFormat="1" x14ac:dyDescent="0.25">
      <c r="X521" s="429"/>
      <c r="Y521" s="20"/>
      <c r="Z521" s="531"/>
      <c r="AA521" s="531"/>
      <c r="AB521" s="429"/>
      <c r="AC521" s="429"/>
      <c r="AD521" s="429"/>
    </row>
    <row r="522" spans="18:30" s="428" customFormat="1" x14ac:dyDescent="0.25">
      <c r="X522" s="429"/>
      <c r="Y522" s="20"/>
      <c r="Z522" s="531"/>
      <c r="AA522" s="531"/>
      <c r="AB522" s="429"/>
      <c r="AC522" s="429"/>
      <c r="AD522" s="429"/>
    </row>
    <row r="523" spans="18:30" s="428" customFormat="1" x14ac:dyDescent="0.25">
      <c r="X523" s="429"/>
      <c r="Y523" s="20"/>
      <c r="Z523" s="531"/>
      <c r="AA523" s="531"/>
      <c r="AB523" s="429"/>
      <c r="AC523" s="429"/>
      <c r="AD523" s="429"/>
    </row>
    <row r="524" spans="18:30" s="428" customFormat="1" x14ac:dyDescent="0.25">
      <c r="X524" s="429"/>
      <c r="Y524" s="20"/>
      <c r="Z524" s="531"/>
      <c r="AA524" s="531"/>
      <c r="AB524" s="429"/>
      <c r="AC524" s="429"/>
      <c r="AD524" s="429"/>
    </row>
    <row r="525" spans="18:30" s="428" customFormat="1" x14ac:dyDescent="0.25">
      <c r="R525" s="429"/>
      <c r="S525" s="429"/>
      <c r="T525" s="429"/>
      <c r="U525" s="429"/>
      <c r="V525" s="429"/>
      <c r="W525" s="429"/>
      <c r="X525" s="429"/>
      <c r="Y525" s="429"/>
      <c r="Z525" s="429"/>
      <c r="AA525" s="429"/>
    </row>
    <row r="526" spans="18:30" s="428" customFormat="1" x14ac:dyDescent="0.25">
      <c r="R526" s="429"/>
      <c r="S526" s="429"/>
      <c r="T526" s="429"/>
      <c r="U526" s="429"/>
      <c r="V526" s="429"/>
      <c r="W526" s="429"/>
      <c r="X526" s="429"/>
      <c r="Y526" s="429"/>
      <c r="Z526" s="429"/>
      <c r="AA526" s="429"/>
    </row>
    <row r="527" spans="18:30" s="428" customFormat="1" x14ac:dyDescent="0.25">
      <c r="R527" s="429"/>
      <c r="S527" s="429"/>
      <c r="T527" s="429"/>
      <c r="U527" s="429"/>
      <c r="V527" s="429"/>
      <c r="W527" s="429"/>
      <c r="X527" s="429"/>
      <c r="Y527" s="429"/>
      <c r="Z527" s="429"/>
      <c r="AA527" s="429"/>
    </row>
    <row r="528" spans="18:30" s="428" customFormat="1" x14ac:dyDescent="0.25">
      <c r="R528" s="429"/>
      <c r="S528" s="429"/>
      <c r="T528" s="429"/>
      <c r="U528" s="429"/>
      <c r="V528" s="429"/>
      <c r="W528" s="429"/>
      <c r="X528" s="429"/>
      <c r="Y528" s="429"/>
      <c r="Z528" s="429"/>
      <c r="AA528" s="429"/>
    </row>
    <row r="529" spans="18:27" s="428" customFormat="1" x14ac:dyDescent="0.25">
      <c r="R529" s="429"/>
      <c r="S529" s="429"/>
      <c r="T529" s="429"/>
      <c r="U529" s="429"/>
      <c r="V529" s="429"/>
      <c r="W529" s="429"/>
      <c r="X529" s="429"/>
      <c r="Y529" s="429"/>
      <c r="Z529" s="429"/>
      <c r="AA529" s="429"/>
    </row>
    <row r="530" spans="18:27" s="428" customFormat="1" x14ac:dyDescent="0.25">
      <c r="R530" s="429"/>
      <c r="S530" s="429"/>
      <c r="T530" s="429"/>
      <c r="U530" s="429"/>
      <c r="V530" s="429"/>
      <c r="W530" s="429"/>
      <c r="X530" s="429"/>
      <c r="Y530" s="429"/>
      <c r="Z530" s="429"/>
      <c r="AA530" s="429"/>
    </row>
    <row r="531" spans="18:27" s="428" customFormat="1" x14ac:dyDescent="0.25">
      <c r="R531" s="429"/>
      <c r="S531" s="429"/>
      <c r="T531" s="429"/>
      <c r="U531" s="429"/>
      <c r="V531" s="429"/>
      <c r="W531" s="429"/>
      <c r="X531" s="429"/>
      <c r="Y531" s="429"/>
      <c r="Z531" s="429"/>
      <c r="AA531" s="429"/>
    </row>
    <row r="532" spans="18:27" s="428" customFormat="1" x14ac:dyDescent="0.25">
      <c r="R532" s="429"/>
      <c r="S532" s="429"/>
      <c r="T532" s="429"/>
      <c r="U532" s="429"/>
      <c r="V532" s="429"/>
      <c r="W532" s="429"/>
      <c r="X532" s="429"/>
      <c r="Y532" s="429"/>
      <c r="Z532" s="429"/>
      <c r="AA532" s="429"/>
    </row>
    <row r="533" spans="18:27" s="428" customFormat="1" x14ac:dyDescent="0.25">
      <c r="R533" s="429"/>
      <c r="S533" s="429"/>
      <c r="T533" s="429"/>
      <c r="U533" s="429"/>
      <c r="V533" s="429"/>
      <c r="W533" s="429"/>
      <c r="X533" s="429"/>
      <c r="Y533" s="429"/>
      <c r="Z533" s="429"/>
      <c r="AA533" s="429"/>
    </row>
    <row r="534" spans="18:27" s="428" customFormat="1" x14ac:dyDescent="0.25">
      <c r="R534" s="429"/>
      <c r="S534" s="429"/>
      <c r="T534" s="429"/>
      <c r="U534" s="429"/>
      <c r="V534" s="429"/>
      <c r="W534" s="429"/>
      <c r="X534" s="429"/>
      <c r="Y534" s="429"/>
      <c r="Z534" s="429"/>
      <c r="AA534" s="429"/>
    </row>
    <row r="535" spans="18:27" s="428" customFormat="1" x14ac:dyDescent="0.25">
      <c r="R535" s="429"/>
      <c r="S535" s="429"/>
      <c r="T535" s="429"/>
      <c r="U535" s="429"/>
      <c r="V535" s="429"/>
      <c r="W535" s="429"/>
      <c r="X535" s="429"/>
      <c r="Y535" s="429"/>
      <c r="Z535" s="429"/>
      <c r="AA535" s="429"/>
    </row>
    <row r="536" spans="18:27" s="428" customFormat="1" x14ac:dyDescent="0.25">
      <c r="R536" s="429"/>
      <c r="S536" s="429"/>
      <c r="T536" s="429"/>
      <c r="U536" s="429"/>
      <c r="V536" s="429"/>
      <c r="W536" s="429"/>
      <c r="X536" s="429"/>
      <c r="Y536" s="429"/>
      <c r="Z536" s="429"/>
      <c r="AA536" s="429"/>
    </row>
    <row r="537" spans="18:27" s="428" customFormat="1" x14ac:dyDescent="0.25">
      <c r="R537" s="429"/>
      <c r="S537" s="429"/>
      <c r="T537" s="429"/>
      <c r="U537" s="429"/>
      <c r="V537" s="429"/>
      <c r="W537" s="429"/>
      <c r="X537" s="429"/>
      <c r="Y537" s="429"/>
      <c r="Z537" s="429"/>
      <c r="AA537" s="429"/>
    </row>
    <row r="538" spans="18:27" s="428" customFormat="1" x14ac:dyDescent="0.25">
      <c r="R538" s="429"/>
      <c r="S538" s="429"/>
      <c r="T538" s="429"/>
      <c r="U538" s="429"/>
      <c r="V538" s="429"/>
      <c r="W538" s="429"/>
      <c r="X538" s="429"/>
      <c r="Y538" s="429"/>
      <c r="Z538" s="429"/>
      <c r="AA538" s="429"/>
    </row>
    <row r="539" spans="18:27" s="428" customFormat="1" x14ac:dyDescent="0.25">
      <c r="R539" s="429"/>
      <c r="S539" s="429"/>
      <c r="T539" s="429"/>
      <c r="U539" s="429"/>
      <c r="V539" s="429"/>
      <c r="W539" s="429"/>
      <c r="X539" s="429"/>
      <c r="Y539" s="429"/>
      <c r="Z539" s="429"/>
      <c r="AA539" s="429"/>
    </row>
    <row r="540" spans="18:27" s="428" customFormat="1" x14ac:dyDescent="0.25">
      <c r="R540" s="429"/>
      <c r="S540" s="429"/>
      <c r="T540" s="429"/>
      <c r="U540" s="429"/>
      <c r="V540" s="429"/>
      <c r="W540" s="429"/>
      <c r="X540" s="429"/>
      <c r="Y540" s="429"/>
      <c r="Z540" s="429"/>
      <c r="AA540" s="429"/>
    </row>
    <row r="541" spans="18:27" s="428" customFormat="1" x14ac:dyDescent="0.25">
      <c r="R541" s="429"/>
      <c r="S541" s="429"/>
      <c r="T541" s="429"/>
      <c r="U541" s="429"/>
      <c r="V541" s="429"/>
      <c r="W541" s="429"/>
      <c r="X541" s="429"/>
      <c r="Y541" s="429"/>
      <c r="Z541" s="429"/>
      <c r="AA541" s="429"/>
    </row>
    <row r="542" spans="18:27" s="428" customFormat="1" x14ac:dyDescent="0.25">
      <c r="R542" s="429"/>
      <c r="S542" s="429"/>
      <c r="T542" s="429"/>
      <c r="U542" s="429"/>
      <c r="V542" s="429"/>
      <c r="W542" s="429"/>
      <c r="X542" s="429"/>
      <c r="Y542" s="429"/>
      <c r="Z542" s="429"/>
      <c r="AA542" s="429"/>
    </row>
    <row r="543" spans="18:27" s="428" customFormat="1" x14ac:dyDescent="0.25">
      <c r="R543" s="429"/>
      <c r="S543" s="429"/>
      <c r="T543" s="429"/>
      <c r="U543" s="429"/>
      <c r="V543" s="429"/>
      <c r="W543" s="429"/>
      <c r="X543" s="429"/>
      <c r="Y543" s="429"/>
      <c r="Z543" s="429"/>
      <c r="AA543" s="429"/>
    </row>
    <row r="544" spans="18:27" s="428" customFormat="1" x14ac:dyDescent="0.25">
      <c r="R544" s="429"/>
      <c r="S544" s="429"/>
      <c r="T544" s="429"/>
      <c r="U544" s="429"/>
      <c r="V544" s="429"/>
      <c r="W544" s="429"/>
      <c r="X544" s="429"/>
      <c r="Y544" s="429"/>
      <c r="Z544" s="429"/>
      <c r="AA544" s="429"/>
    </row>
    <row r="545" spans="17:27" s="428" customFormat="1" x14ac:dyDescent="0.25">
      <c r="R545" s="429"/>
      <c r="S545" s="429"/>
      <c r="T545" s="429"/>
      <c r="U545" s="429"/>
      <c r="V545" s="429"/>
      <c r="W545" s="429"/>
      <c r="X545" s="429"/>
      <c r="Y545" s="429"/>
      <c r="Z545" s="429"/>
      <c r="AA545" s="429"/>
    </row>
    <row r="546" spans="17:27" s="428" customFormat="1" x14ac:dyDescent="0.25">
      <c r="R546" s="429"/>
      <c r="S546" s="429"/>
      <c r="T546" s="429"/>
      <c r="U546" s="429"/>
      <c r="V546" s="429"/>
      <c r="W546" s="429"/>
      <c r="X546" s="429"/>
      <c r="Y546" s="429"/>
      <c r="Z546" s="429"/>
      <c r="AA546" s="429"/>
    </row>
    <row r="547" spans="17:27" s="428" customFormat="1" x14ac:dyDescent="0.25">
      <c r="R547" s="429"/>
      <c r="S547" s="429"/>
      <c r="T547" s="429"/>
      <c r="U547" s="429"/>
      <c r="V547" s="429"/>
      <c r="W547" s="429"/>
      <c r="X547" s="429"/>
      <c r="Y547" s="429"/>
      <c r="Z547" s="429"/>
      <c r="AA547" s="429"/>
    </row>
    <row r="548" spans="17:27" s="428" customFormat="1" x14ac:dyDescent="0.25">
      <c r="R548" s="429"/>
      <c r="S548" s="429"/>
      <c r="T548" s="429"/>
      <c r="U548" s="429"/>
      <c r="V548" s="429"/>
      <c r="W548" s="429"/>
      <c r="X548" s="429"/>
      <c r="Y548" s="429"/>
      <c r="Z548" s="429"/>
      <c r="AA548" s="429"/>
    </row>
    <row r="549" spans="17:27" s="428" customFormat="1" x14ac:dyDescent="0.25">
      <c r="R549" s="429"/>
      <c r="S549" s="429"/>
      <c r="T549" s="429"/>
      <c r="U549" s="429"/>
      <c r="V549" s="429"/>
      <c r="W549" s="429"/>
      <c r="X549" s="429"/>
      <c r="Y549" s="429"/>
      <c r="Z549" s="429"/>
      <c r="AA549" s="429"/>
    </row>
    <row r="550" spans="17:27" s="428" customFormat="1" x14ac:dyDescent="0.25">
      <c r="R550" s="429"/>
      <c r="S550" s="429"/>
      <c r="T550" s="429"/>
      <c r="U550" s="429"/>
      <c r="V550" s="429"/>
      <c r="W550" s="429"/>
      <c r="X550" s="429"/>
      <c r="Y550" s="429"/>
      <c r="Z550" s="429"/>
      <c r="AA550" s="429"/>
    </row>
    <row r="551" spans="17:27" s="428" customFormat="1" x14ac:dyDescent="0.25">
      <c r="Q551" s="429"/>
      <c r="R551" s="429"/>
      <c r="S551" s="429"/>
      <c r="T551" s="429"/>
      <c r="U551" s="429"/>
      <c r="V551" s="429"/>
      <c r="W551" s="429"/>
      <c r="X551" s="429"/>
      <c r="Y551" s="429"/>
      <c r="Z551" s="429"/>
      <c r="AA551" s="429"/>
    </row>
    <row r="552" spans="17:27" s="428" customFormat="1" x14ac:dyDescent="0.25">
      <c r="Q552" s="429"/>
      <c r="R552" s="429"/>
      <c r="S552" s="429"/>
      <c r="T552" s="429"/>
      <c r="U552" s="429"/>
      <c r="V552" s="429"/>
      <c r="W552" s="429"/>
      <c r="X552" s="429"/>
      <c r="Y552" s="429"/>
      <c r="Z552" s="429"/>
      <c r="AA552" s="429"/>
    </row>
    <row r="553" spans="17:27" s="428" customFormat="1" x14ac:dyDescent="0.25">
      <c r="Q553" s="429"/>
      <c r="R553" s="429"/>
      <c r="S553" s="429"/>
      <c r="T553" s="429"/>
      <c r="U553" s="429"/>
      <c r="V553" s="429"/>
      <c r="W553" s="429"/>
      <c r="X553" s="429"/>
      <c r="Y553" s="429"/>
      <c r="Z553" s="429"/>
      <c r="AA553" s="429"/>
    </row>
    <row r="554" spans="17:27" s="428" customFormat="1" x14ac:dyDescent="0.25">
      <c r="Q554" s="429"/>
      <c r="R554" s="429"/>
      <c r="S554" s="429"/>
      <c r="T554" s="429"/>
      <c r="U554" s="429"/>
      <c r="V554" s="429"/>
      <c r="W554" s="429"/>
      <c r="X554" s="429"/>
      <c r="Y554" s="429"/>
      <c r="Z554" s="429"/>
      <c r="AA554" s="429"/>
    </row>
    <row r="555" spans="17:27" s="428" customFormat="1" x14ac:dyDescent="0.25">
      <c r="Q555" s="429"/>
      <c r="R555" s="429"/>
      <c r="S555" s="429"/>
      <c r="T555" s="429"/>
      <c r="U555" s="429"/>
      <c r="V555" s="429"/>
      <c r="W555" s="429"/>
      <c r="X555" s="429"/>
      <c r="Y555" s="429"/>
      <c r="Z555" s="429"/>
      <c r="AA555" s="429"/>
    </row>
    <row r="556" spans="17:27" s="428" customFormat="1" x14ac:dyDescent="0.25">
      <c r="Q556" s="429"/>
      <c r="R556" s="429"/>
      <c r="S556" s="429"/>
      <c r="T556" s="429"/>
      <c r="U556" s="429"/>
      <c r="V556" s="429"/>
      <c r="W556" s="429"/>
      <c r="X556" s="429"/>
      <c r="Y556" s="429"/>
      <c r="Z556" s="429"/>
      <c r="AA556" s="429"/>
    </row>
    <row r="557" spans="17:27" s="428" customFormat="1" x14ac:dyDescent="0.25">
      <c r="Q557" s="429"/>
      <c r="R557" s="429"/>
      <c r="S557" s="429"/>
      <c r="T557" s="429"/>
      <c r="U557" s="429"/>
      <c r="V557" s="429"/>
      <c r="W557" s="429"/>
      <c r="X557" s="429"/>
      <c r="Y557" s="429"/>
      <c r="Z557" s="429"/>
      <c r="AA557" s="429"/>
    </row>
    <row r="558" spans="17:27" s="428" customFormat="1" x14ac:dyDescent="0.25">
      <c r="Q558" s="429"/>
      <c r="R558" s="429"/>
      <c r="S558" s="429"/>
      <c r="T558" s="429"/>
      <c r="U558" s="429"/>
      <c r="V558" s="429"/>
      <c r="W558" s="429"/>
      <c r="X558" s="429"/>
      <c r="Y558" s="429"/>
      <c r="Z558" s="429"/>
      <c r="AA558" s="429"/>
    </row>
    <row r="559" spans="17:27" s="428" customFormat="1" x14ac:dyDescent="0.25">
      <c r="Q559" s="429"/>
      <c r="R559" s="429"/>
      <c r="S559" s="429"/>
      <c r="T559" s="429"/>
      <c r="U559" s="429"/>
      <c r="V559" s="429"/>
      <c r="W559" s="429"/>
      <c r="X559" s="429"/>
      <c r="Y559" s="429"/>
      <c r="Z559" s="429"/>
      <c r="AA559" s="429"/>
    </row>
    <row r="560" spans="17:27" s="428" customFormat="1" x14ac:dyDescent="0.25">
      <c r="Q560" s="429"/>
      <c r="R560" s="429"/>
      <c r="S560" s="429"/>
      <c r="T560" s="429"/>
      <c r="U560" s="429"/>
      <c r="V560" s="429"/>
      <c r="W560" s="429"/>
      <c r="X560" s="429"/>
      <c r="Y560" s="429"/>
      <c r="Z560" s="429"/>
      <c r="AA560" s="429"/>
    </row>
    <row r="561" spans="17:27" s="428" customFormat="1" x14ac:dyDescent="0.25">
      <c r="Q561" s="429"/>
      <c r="R561" s="429"/>
      <c r="S561" s="429"/>
      <c r="T561" s="429"/>
      <c r="U561" s="429"/>
      <c r="V561" s="429"/>
      <c r="W561" s="429"/>
      <c r="X561" s="429"/>
      <c r="Y561" s="429"/>
      <c r="Z561" s="429"/>
      <c r="AA561" s="429"/>
    </row>
    <row r="562" spans="17:27" s="428" customFormat="1" x14ac:dyDescent="0.25">
      <c r="Q562" s="429"/>
      <c r="R562" s="429"/>
      <c r="S562" s="429"/>
      <c r="T562" s="429"/>
      <c r="U562" s="429"/>
      <c r="V562" s="429"/>
      <c r="W562" s="429"/>
      <c r="X562" s="429"/>
      <c r="Y562" s="429"/>
      <c r="Z562" s="429"/>
      <c r="AA562" s="429"/>
    </row>
    <row r="563" spans="17:27" s="428" customFormat="1" x14ac:dyDescent="0.25">
      <c r="Q563" s="429"/>
      <c r="R563" s="429"/>
      <c r="S563" s="429"/>
      <c r="T563" s="429"/>
      <c r="U563" s="429"/>
      <c r="V563" s="429"/>
      <c r="W563" s="429"/>
      <c r="X563" s="429"/>
      <c r="Y563" s="429"/>
      <c r="Z563" s="429"/>
      <c r="AA563" s="429"/>
    </row>
    <row r="564" spans="17:27" s="428" customFormat="1" x14ac:dyDescent="0.25">
      <c r="Q564" s="429"/>
      <c r="R564" s="429"/>
      <c r="S564" s="429"/>
      <c r="T564" s="429"/>
      <c r="U564" s="429"/>
      <c r="V564" s="429"/>
      <c r="W564" s="429"/>
      <c r="X564" s="429"/>
      <c r="Y564" s="429"/>
      <c r="Z564" s="429"/>
      <c r="AA564" s="429"/>
    </row>
    <row r="565" spans="17:27" s="428" customFormat="1" x14ac:dyDescent="0.25">
      <c r="Q565" s="429"/>
      <c r="R565" s="429"/>
      <c r="S565" s="429"/>
      <c r="T565" s="429"/>
      <c r="U565" s="429"/>
      <c r="V565" s="429"/>
      <c r="W565" s="429"/>
      <c r="X565" s="429"/>
      <c r="Y565" s="429"/>
      <c r="Z565" s="429"/>
      <c r="AA565" s="429"/>
    </row>
    <row r="566" spans="17:27" s="428" customFormat="1" x14ac:dyDescent="0.25">
      <c r="Q566" s="429"/>
      <c r="R566" s="429"/>
      <c r="S566" s="429"/>
      <c r="T566" s="429"/>
      <c r="U566" s="429"/>
      <c r="V566" s="429"/>
      <c r="W566" s="429"/>
      <c r="X566" s="429"/>
      <c r="Y566" s="429"/>
      <c r="Z566" s="429"/>
      <c r="AA566" s="429"/>
    </row>
    <row r="567" spans="17:27" s="428" customFormat="1" x14ac:dyDescent="0.25">
      <c r="Q567" s="429"/>
      <c r="R567" s="429"/>
      <c r="S567" s="429"/>
      <c r="T567" s="429"/>
      <c r="U567" s="429"/>
      <c r="V567" s="429"/>
      <c r="W567" s="429"/>
      <c r="X567" s="429"/>
      <c r="Y567" s="429"/>
      <c r="Z567" s="429"/>
      <c r="AA567" s="429"/>
    </row>
    <row r="568" spans="17:27" s="428" customFormat="1" x14ac:dyDescent="0.25">
      <c r="Q568" s="429"/>
      <c r="R568" s="429"/>
      <c r="S568" s="429"/>
      <c r="T568" s="429"/>
      <c r="U568" s="429"/>
      <c r="V568" s="429"/>
      <c r="W568" s="429"/>
      <c r="X568" s="429"/>
      <c r="Y568" s="429"/>
      <c r="Z568" s="429"/>
      <c r="AA568" s="429"/>
    </row>
    <row r="569" spans="17:27" s="428" customFormat="1" x14ac:dyDescent="0.25">
      <c r="Q569" s="429"/>
      <c r="R569" s="429"/>
      <c r="S569" s="429"/>
      <c r="T569" s="429"/>
      <c r="U569" s="429"/>
      <c r="V569" s="429"/>
      <c r="W569" s="429"/>
      <c r="X569" s="429"/>
      <c r="Y569" s="429"/>
      <c r="Z569" s="429"/>
      <c r="AA569" s="429"/>
    </row>
    <row r="570" spans="17:27" s="428" customFormat="1" x14ac:dyDescent="0.25">
      <c r="Q570" s="429"/>
      <c r="R570" s="429"/>
      <c r="S570" s="429"/>
      <c r="T570" s="429"/>
      <c r="U570" s="429"/>
      <c r="V570" s="429"/>
      <c r="W570" s="429"/>
      <c r="X570" s="429"/>
      <c r="Y570" s="429"/>
      <c r="Z570" s="429"/>
      <c r="AA570" s="429"/>
    </row>
    <row r="571" spans="17:27" s="428" customFormat="1" x14ac:dyDescent="0.25">
      <c r="Q571" s="429"/>
      <c r="R571" s="429"/>
      <c r="S571" s="429"/>
      <c r="T571" s="429"/>
      <c r="U571" s="429"/>
      <c r="V571" s="429"/>
      <c r="W571" s="429"/>
      <c r="X571" s="429"/>
      <c r="Y571" s="429"/>
      <c r="Z571" s="429"/>
      <c r="AA571" s="429"/>
    </row>
    <row r="572" spans="17:27" s="428" customFormat="1" x14ac:dyDescent="0.25">
      <c r="Q572" s="429"/>
      <c r="R572" s="429"/>
      <c r="S572" s="429"/>
      <c r="T572" s="429"/>
      <c r="U572" s="429"/>
      <c r="V572" s="429"/>
      <c r="W572" s="429"/>
      <c r="X572" s="429"/>
      <c r="Y572" s="429"/>
      <c r="Z572" s="429"/>
      <c r="AA572" s="429"/>
    </row>
    <row r="573" spans="17:27" s="428" customFormat="1" x14ac:dyDescent="0.25">
      <c r="Q573" s="429"/>
      <c r="R573" s="429"/>
      <c r="S573" s="429"/>
      <c r="T573" s="429"/>
      <c r="U573" s="429"/>
      <c r="V573" s="429"/>
      <c r="W573" s="429"/>
      <c r="X573" s="429"/>
      <c r="Y573" s="429"/>
      <c r="Z573" s="429"/>
      <c r="AA573" s="429"/>
    </row>
    <row r="574" spans="17:27" s="428" customFormat="1" x14ac:dyDescent="0.25">
      <c r="Q574" s="429"/>
      <c r="R574" s="429"/>
      <c r="S574" s="429"/>
      <c r="T574" s="429"/>
      <c r="U574" s="429"/>
      <c r="V574" s="429"/>
      <c r="W574" s="429"/>
      <c r="X574" s="429"/>
      <c r="Y574" s="429"/>
      <c r="Z574" s="429"/>
      <c r="AA574" s="429"/>
    </row>
    <row r="575" spans="17:27" s="428" customFormat="1" x14ac:dyDescent="0.25">
      <c r="Q575" s="429"/>
      <c r="R575" s="429"/>
      <c r="S575" s="429"/>
      <c r="T575" s="429"/>
      <c r="U575" s="429"/>
      <c r="V575" s="429"/>
      <c r="W575" s="429"/>
      <c r="X575" s="429"/>
      <c r="Y575" s="429"/>
      <c r="Z575" s="429"/>
      <c r="AA575" s="429"/>
    </row>
    <row r="576" spans="17:27" s="428" customFormat="1" x14ac:dyDescent="0.25">
      <c r="Q576" s="429"/>
      <c r="R576" s="429"/>
      <c r="S576" s="429"/>
      <c r="T576" s="429"/>
      <c r="U576" s="429"/>
      <c r="V576" s="429"/>
      <c r="W576" s="429"/>
      <c r="X576" s="429"/>
      <c r="Y576" s="429"/>
      <c r="Z576" s="429"/>
      <c r="AA576" s="429"/>
    </row>
    <row r="577" spans="16:27" s="428" customFormat="1" x14ac:dyDescent="0.25">
      <c r="Q577" s="429"/>
      <c r="R577" s="429"/>
      <c r="S577" s="429"/>
      <c r="T577" s="429"/>
      <c r="U577" s="429"/>
      <c r="V577" s="429"/>
      <c r="W577" s="429"/>
      <c r="X577" s="429"/>
      <c r="Y577" s="429"/>
      <c r="Z577" s="429"/>
      <c r="AA577" s="429"/>
    </row>
    <row r="578" spans="16:27" s="428" customFormat="1" x14ac:dyDescent="0.25">
      <c r="Q578" s="429"/>
      <c r="R578" s="429"/>
      <c r="S578" s="429"/>
      <c r="T578" s="429"/>
      <c r="U578" s="429"/>
      <c r="V578" s="429"/>
      <c r="W578" s="429"/>
      <c r="X578" s="429"/>
      <c r="Y578" s="429"/>
      <c r="Z578" s="429"/>
      <c r="AA578" s="429"/>
    </row>
    <row r="579" spans="16:27" s="428" customFormat="1" x14ac:dyDescent="0.25">
      <c r="Q579" s="429"/>
      <c r="R579" s="429"/>
      <c r="S579" s="429"/>
      <c r="T579" s="429"/>
      <c r="U579" s="429"/>
      <c r="V579" s="429"/>
      <c r="W579" s="429"/>
      <c r="X579" s="429"/>
      <c r="Y579" s="429"/>
      <c r="Z579" s="429"/>
      <c r="AA579" s="429"/>
    </row>
    <row r="580" spans="16:27" s="428" customFormat="1" x14ac:dyDescent="0.25">
      <c r="Q580" s="429"/>
      <c r="R580" s="429"/>
      <c r="S580" s="429"/>
      <c r="T580" s="429"/>
      <c r="U580" s="429"/>
      <c r="V580" s="429"/>
      <c r="W580" s="429"/>
      <c r="X580" s="429"/>
      <c r="Y580" s="429"/>
      <c r="Z580" s="429"/>
      <c r="AA580" s="429"/>
    </row>
    <row r="581" spans="16:27" s="428" customFormat="1" x14ac:dyDescent="0.25">
      <c r="Q581" s="429"/>
      <c r="R581" s="429"/>
      <c r="S581" s="429"/>
      <c r="T581" s="429"/>
      <c r="U581" s="429"/>
      <c r="V581" s="429"/>
      <c r="W581" s="429"/>
      <c r="X581" s="429"/>
      <c r="Y581" s="429"/>
      <c r="Z581" s="429"/>
      <c r="AA581" s="429"/>
    </row>
    <row r="582" spans="16:27" s="428" customFormat="1" x14ac:dyDescent="0.25">
      <c r="Q582" s="429"/>
      <c r="R582" s="429"/>
      <c r="S582" s="429"/>
      <c r="T582" s="429"/>
      <c r="U582" s="429"/>
      <c r="V582" s="429"/>
      <c r="W582" s="429"/>
      <c r="X582" s="429"/>
      <c r="Y582" s="429"/>
      <c r="Z582" s="429"/>
      <c r="AA582" s="429"/>
    </row>
    <row r="583" spans="16:27" s="428" customFormat="1" x14ac:dyDescent="0.25">
      <c r="Q583" s="429"/>
      <c r="R583" s="429"/>
      <c r="S583" s="429"/>
      <c r="T583" s="429"/>
      <c r="U583" s="429"/>
      <c r="V583" s="429"/>
      <c r="W583" s="429"/>
      <c r="X583" s="429"/>
      <c r="Y583" s="429"/>
      <c r="Z583" s="429"/>
      <c r="AA583" s="429"/>
    </row>
    <row r="584" spans="16:27" x14ac:dyDescent="0.25">
      <c r="Q584" s="429"/>
      <c r="R584" s="429"/>
      <c r="S584" s="2"/>
      <c r="T584" s="2"/>
      <c r="U584" s="2"/>
      <c r="V584" s="2"/>
      <c r="W584" s="2"/>
      <c r="X584" s="2"/>
      <c r="Y584" s="2"/>
      <c r="Z584" s="2"/>
      <c r="AA584" s="2"/>
    </row>
    <row r="585" spans="16:27" x14ac:dyDescent="0.25">
      <c r="Q585" s="429"/>
      <c r="R585" s="429"/>
      <c r="S585" s="2"/>
      <c r="T585" s="2"/>
      <c r="U585" s="2"/>
      <c r="V585" s="2"/>
      <c r="W585" s="2"/>
      <c r="X585" s="2"/>
      <c r="Y585" s="2"/>
      <c r="Z585" s="2"/>
      <c r="AA585" s="2"/>
    </row>
    <row r="586" spans="16:27" x14ac:dyDescent="0.25">
      <c r="Q586" s="429"/>
    </row>
    <row r="587" spans="16:27" x14ac:dyDescent="0.25">
      <c r="P587" s="43"/>
      <c r="Q587" s="429"/>
    </row>
    <row r="588" spans="16:27" x14ac:dyDescent="0.25">
      <c r="Q588" s="429"/>
    </row>
  </sheetData>
  <sheetProtection algorithmName="SHA-512" hashValue="jVbD13BxF7PHf5NNQh1UO9mNQQ2OiZTH7uDa9E3rOOKij9dv7k65qMBWovBocJbQA1VWVzDnTo5QktIe/eL/ag==" saltValue="6zPhLrf1D4B/wdij66oOVg==" spinCount="100000" sheet="1" selectLockedCells="1" selectUnlockedCells="1"/>
  <protectedRanges>
    <protectedRange sqref="AD214:AD255" name="Intervallo1"/>
    <protectedRange sqref="AC211" name="Intervallo2_3"/>
    <protectedRange sqref="G49:G50 G52 G36:G37" name="Intervallo1_5_1"/>
  </protectedRanges>
  <customSheetViews>
    <customSheetView guid="{5E8F20A8-8220-4169-B947-2AB764A2AA7B}" showGridLines="0" showRowCol="0">
      <selection activeCell="E104" sqref="E104"/>
      <pageMargins left="0.7" right="0.7" top="0.75" bottom="0.75" header="0.3" footer="0.3"/>
      <pageSetup paperSize="9" orientation="portrait" r:id="rId1"/>
    </customSheetView>
    <customSheetView guid="{9F540994-A66B-4083-BD64-035E71878618}" scale="90" showGridLines="0" showRowCol="0" topLeftCell="A160">
      <selection activeCell="J177" sqref="J177"/>
      <pageMargins left="0.7" right="0.7" top="0.75" bottom="0.75" header="0.3" footer="0.3"/>
      <pageSetup paperSize="9" orientation="portrait" r:id="rId2"/>
    </customSheetView>
  </customSheetViews>
  <mergeCells count="20">
    <mergeCell ref="D152:D153"/>
    <mergeCell ref="E152:E153"/>
    <mergeCell ref="C152:C153"/>
    <mergeCell ref="B152:B153"/>
    <mergeCell ref="B70:D70"/>
    <mergeCell ref="B101:B103"/>
    <mergeCell ref="C101:C103"/>
    <mergeCell ref="D101:D103"/>
    <mergeCell ref="B116:F116"/>
    <mergeCell ref="E101:E103"/>
    <mergeCell ref="F101:F103"/>
    <mergeCell ref="F152:F153"/>
    <mergeCell ref="I92:M95"/>
    <mergeCell ref="I125:L128"/>
    <mergeCell ref="I142:L145"/>
    <mergeCell ref="G101:G103"/>
    <mergeCell ref="B6:C6"/>
    <mergeCell ref="D6:E6"/>
    <mergeCell ref="B7:C7"/>
    <mergeCell ref="F64:G64"/>
  </mergeCells>
  <conditionalFormatting sqref="AA214:AB255">
    <cfRule type="cellIs" dxfId="17" priority="14" operator="equal">
      <formula>"VERIFICATO"</formula>
    </cfRule>
  </conditionalFormatting>
  <pageMargins left="0.7" right="0.7" top="0.75" bottom="0.75" header="0.3" footer="0.3"/>
  <pageSetup paperSize="9"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17</vt:i4>
      </vt:variant>
      <vt:variant>
        <vt:lpstr>Intervalli denominati</vt:lpstr>
      </vt:variant>
      <vt:variant>
        <vt:i4>39</vt:i4>
      </vt:variant>
    </vt:vector>
  </HeadingPairs>
  <TitlesOfParts>
    <vt:vector size="56" baseType="lpstr">
      <vt:lpstr>ISTRUZIONI</vt:lpstr>
      <vt:lpstr>DATI</vt:lpstr>
      <vt:lpstr>ANALISI DELLE SPINTE</vt:lpstr>
      <vt:lpstr>VER. EQU COND. NON DRENATE</vt:lpstr>
      <vt:lpstr>VER. EQU COND. DRENATE</vt:lpstr>
      <vt:lpstr>VER. GEO CONDIZIONI NON DRENATE</vt:lpstr>
      <vt:lpstr>VER. GEO CONDIZIONI DRENATE</vt:lpstr>
      <vt:lpstr>geom masse muro+tensioni</vt:lpstr>
      <vt:lpstr>Progetto del paramento slu</vt:lpstr>
      <vt:lpstr>Foglio deposito bis</vt:lpstr>
      <vt:lpstr>FOGLIO DEPOSITO</vt:lpstr>
      <vt:lpstr>SOLLECITAZ NASCOSTO</vt:lpstr>
      <vt:lpstr>sezione</vt:lpstr>
      <vt:lpstr>Progetto della zattera slu</vt:lpstr>
      <vt:lpstr>SPETTRO DI PROGETTO ORIZZONTALE</vt:lpstr>
      <vt:lpstr>Formule coefficienti correttivi</vt:lpstr>
      <vt:lpstr>tabelle NTC 18</vt:lpstr>
      <vt:lpstr>app</vt:lpstr>
      <vt:lpstr>class</vt:lpstr>
      <vt:lpstr>COMBO</vt:lpstr>
      <vt:lpstr>dis</vt:lpstr>
      <vt:lpstr>dr</vt:lpstr>
      <vt:lpstr>fer</vt:lpstr>
      <vt:lpstr>fond</vt:lpstr>
      <vt:lpstr>fonda</vt:lpstr>
      <vt:lpstr>graf1</vt:lpstr>
      <vt:lpstr>graf2</vt:lpstr>
      <vt:lpstr>graf3</vt:lpstr>
      <vt:lpstr>graf4</vt:lpstr>
      <vt:lpstr>mey</vt:lpstr>
      <vt:lpstr>mur</vt:lpstr>
      <vt:lpstr>NUMCOST</vt:lpstr>
      <vt:lpstr>PASDEN</vt:lpstr>
      <vt:lpstr>perm</vt:lpstr>
      <vt:lpstr>posdent</vt:lpstr>
      <vt:lpstr>posza</vt:lpstr>
      <vt:lpstr>pr</vt:lpstr>
      <vt:lpstr>RAN</vt:lpstr>
      <vt:lpstr>RANK</vt:lpstr>
      <vt:lpstr>sd</vt:lpstr>
      <vt:lpstr>sec</vt:lpstr>
      <vt:lpstr>SISM</vt:lpstr>
      <vt:lpstr>sn</vt:lpstr>
      <vt:lpstr>speg</vt:lpstr>
      <vt:lpstr>spegn</vt:lpstr>
      <vt:lpstr>spin</vt:lpstr>
      <vt:lpstr>spint</vt:lpstr>
      <vt:lpstr>ss</vt:lpstr>
      <vt:lpstr>st</vt:lpstr>
      <vt:lpstr>str</vt:lpstr>
      <vt:lpstr>ter</vt:lpstr>
      <vt:lpstr>terrr</vt:lpstr>
      <vt:lpstr>terrrr</vt:lpstr>
      <vt:lpstr>tfit</vt:lpstr>
      <vt:lpstr>tip</vt:lpstr>
      <vt:lpstr>TOP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Davide Cicchini</dc:creator>
  <cp:keywords/>
  <dc:description/>
  <cp:lastModifiedBy>Davide Cicchini</cp:lastModifiedBy>
  <cp:revision/>
  <cp:lastPrinted>2019-02-14T14:19:15Z</cp:lastPrinted>
  <dcterms:created xsi:type="dcterms:W3CDTF">2015-06-12T08:48:10Z</dcterms:created>
  <dcterms:modified xsi:type="dcterms:W3CDTF">2019-02-20T00:28:27Z</dcterms:modified>
</cp:coreProperties>
</file>